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slicerCaches/slicerCache49.xml" ContentType="application/vnd.ms-excel.slicerCache+xml"/>
  <Override PartName="/xl/slicerCaches/slicerCache50.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pivotTables/pivotTable1.xml" ContentType="application/vnd.openxmlformats-officedocument.spreadsheetml.pivotTable+xml"/>
  <Override PartName="/xl/drawings/drawing7.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8.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9.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10.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11.xml" ContentType="application/vnd.openxmlformats-officedocument.drawing+xml"/>
  <Override PartName="/xl/slicers/slicer5.xml" ContentType="application/vnd.ms-excel.slicer+xml"/>
  <Override PartName="/xl/pivotTables/pivotTable6.xml" ContentType="application/vnd.openxmlformats-officedocument.spreadsheetml.pivotTable+xml"/>
  <Override PartName="/xl/drawings/drawing12.xml" ContentType="application/vnd.openxmlformats-officedocument.drawing+xml"/>
  <Override PartName="/xl/slicers/slicer6.xml" ContentType="application/vnd.ms-excel.slicer+xml"/>
  <Override PartName="/xl/pivotTables/pivotTable7.xml" ContentType="application/vnd.openxmlformats-officedocument.spreadsheetml.pivotTable+xml"/>
  <Override PartName="/xl/drawings/drawing13.xml" ContentType="application/vnd.openxmlformats-officedocument.drawing+xml"/>
  <Override PartName="/xl/slicers/slicer7.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Restricted\ACO Data\Nassau Suffolk PHIP Grant\2023\CHAS\"/>
    </mc:Choice>
  </mc:AlternateContent>
  <bookViews>
    <workbookView xWindow="0" yWindow="0" windowWidth="19080" windowHeight="7850" tabRatio="824" firstSheet="7" activeTab="7"/>
  </bookViews>
  <sheets>
    <sheet name="All Data" sheetId="1" state="hidden" r:id="rId1"/>
    <sheet name="Q1" sheetId="2" state="hidden" r:id="rId2"/>
    <sheet name="Q2" sheetId="3" state="hidden" r:id="rId3"/>
    <sheet name="Q3" sheetId="23" state="hidden" r:id="rId4"/>
    <sheet name="Q4" sheetId="4" state="hidden" r:id="rId5"/>
    <sheet name="Q5" sheetId="6" state="hidden" r:id="rId6"/>
    <sheet name="Q6" sheetId="26" state="hidden" r:id="rId7"/>
    <sheet name="General" sheetId="8" r:id="rId8"/>
    <sheet name="Nassau " sheetId="10" r:id="rId9"/>
    <sheet name="Suffolk " sheetId="11" r:id="rId10"/>
    <sheet name="Population Information" sheetId="30" r:id="rId11"/>
    <sheet name="PT Q1" sheetId="12" r:id="rId12"/>
    <sheet name="PT Q2" sheetId="20" r:id="rId13"/>
    <sheet name="PT Q3" sheetId="13" r:id="rId14"/>
    <sheet name="PT Q4" sheetId="14" r:id="rId15"/>
    <sheet name="PT Q5" sheetId="15" r:id="rId16"/>
    <sheet name="PT Q6" sheetId="27" r:id="rId17"/>
    <sheet name="Nassau Rank" sheetId="17" r:id="rId18"/>
    <sheet name="Suffolk Rank" sheetId="18" r:id="rId19"/>
    <sheet name="PASTE TO GET RANKS" sheetId="28" state="hidden" r:id="rId20"/>
  </sheets>
  <externalReferences>
    <externalReference r:id="rId21"/>
  </externalReferences>
  <definedNames>
    <definedName name="_xlnm._FilterDatabase" localSheetId="0" hidden="1">'All Data'!$A$2:$CU$1249</definedName>
    <definedName name="_xlcn.LinkedTable_Table101" hidden="1">Table10[]</definedName>
    <definedName name="_xlcn.LinkedTable_Table11" hidden="1">Table1[]</definedName>
    <definedName name="_xlcn.LinkedTable_Table111" hidden="1">[1]!Table1[#Data]</definedName>
    <definedName name="_xlcn.LinkedTable_Table21" hidden="1">Table2[]</definedName>
    <definedName name="_xlcn.LinkedTable_Table41" hidden="1">Table4[]</definedName>
    <definedName name="_xlcn.LinkedTable_Table51" hidden="1">Table5[]</definedName>
    <definedName name="_xlcn.LinkedTable_Table71" hidden="1">Table7[]</definedName>
    <definedName name="Slicer_Are_you_Hispanic_or_Latino?">#N/A</definedName>
    <definedName name="Slicer_Are_you_Hispanic_or_Latino?1">#N/A</definedName>
    <definedName name="Slicer_Are_you_Hispanic_or_Latino?2">#N/A</definedName>
    <definedName name="Slicer_Are_you_Hispanic_or_Latino?3">#N/A</definedName>
    <definedName name="Slicer_Are_you_Hispanic_or_Latino?4">#N/A</definedName>
    <definedName name="Slicer_Are_you_Hispanic_or_Latino?5">#N/A</definedName>
    <definedName name="Slicer_County_where_you_live">#N/A</definedName>
    <definedName name="Slicer_County_where_you_live1">#N/A</definedName>
    <definedName name="Slicer_County_where_you_live2">#N/A</definedName>
    <definedName name="Slicer_County_where_you_live3">#N/A</definedName>
    <definedName name="Slicer_County_where_you_live4">#N/A</definedName>
    <definedName name="Slicer_County_where_you_live5">#N/A</definedName>
    <definedName name="Slicer_County_where_you_live6">#N/A</definedName>
    <definedName name="Slicer_Do_you_currently_have_health_insurance?">#N/A</definedName>
    <definedName name="Slicer_Do_you_currently_have_health_insurance?1">#N/A</definedName>
    <definedName name="Slicer_Do_you_currently_have_health_insurance?2">#N/A</definedName>
    <definedName name="Slicer_Do_you_currently_have_health_insurance?3">#N/A</definedName>
    <definedName name="Slicer_Do_you_currently_have_health_insurance?4">#N/A</definedName>
    <definedName name="Slicer_Do_you_currently_have_health_insurance?5">#N/A</definedName>
    <definedName name="Slicer_I_identify_as">#N/A</definedName>
    <definedName name="Slicer_I_identify_as1">#N/A</definedName>
    <definedName name="Slicer_I_identify_as2">#N/A</definedName>
    <definedName name="Slicer_I_identify_as3">#N/A</definedName>
    <definedName name="Slicer_I_identify_as4">#N/A</definedName>
    <definedName name="Slicer_I_identify_as5">#N/A</definedName>
    <definedName name="Slicer_Town_and_ZIP_code_where_you_live">#N/A</definedName>
    <definedName name="Slicer_What_is_your_annual_household_income_from_all_sources?">#N/A</definedName>
    <definedName name="Slicer_What_is_your_annual_household_income_from_all_sources?1">#N/A</definedName>
    <definedName name="Slicer_What_is_your_annual_household_income_from_all_sources?2">#N/A</definedName>
    <definedName name="Slicer_What_is_your_annual_household_income_from_all_sources?3">#N/A</definedName>
    <definedName name="Slicer_What_is_your_annual_household_income_from_all_sources?4">#N/A</definedName>
    <definedName name="Slicer_What_is_your_annual_household_income_from_all_sources?5">#N/A</definedName>
    <definedName name="Slicer_What_is_your_current_employment_status?">#N/A</definedName>
    <definedName name="Slicer_What_is_your_current_employment_status?1">#N/A</definedName>
    <definedName name="Slicer_What_is_your_current_employment_status?2">#N/A</definedName>
    <definedName name="Slicer_What_is_your_current_employment_status?3">#N/A</definedName>
    <definedName name="Slicer_What_is_your_current_employment_status?4">#N/A</definedName>
    <definedName name="Slicer_What_is_your_current_employment_status?5">#N/A</definedName>
    <definedName name="Slicer_What_is_your_highest_level_of_education?">#N/A</definedName>
    <definedName name="Slicer_What_is_your_highest_level_of_education?1">#N/A</definedName>
    <definedName name="Slicer_What_is_your_highest_level_of_education?2">#N/A</definedName>
    <definedName name="Slicer_What_is_your_highest_level_of_education?3">#N/A</definedName>
    <definedName name="Slicer_What_is_your_highest_level_of_education?4">#N/A</definedName>
    <definedName name="Slicer_What_is_your_highest_level_of_education?5">#N/A</definedName>
    <definedName name="Slicer_What_race_do_you_consider_yourself?">#N/A</definedName>
    <definedName name="Slicer_What_race_do_you_consider_yourself?1">#N/A</definedName>
    <definedName name="Slicer_What_race_do_you_consider_yourself?2">#N/A</definedName>
    <definedName name="Slicer_What_race_do_you_consider_yourself?3">#N/A</definedName>
    <definedName name="Slicer_What_race_do_you_consider_yourself?4">#N/A</definedName>
    <definedName name="Slicer_What_race_do_you_consider_yourself?5">#N/A</definedName>
  </definedNames>
  <calcPr calcId="152511"/>
  <pivotCaches>
    <pivotCache cacheId="1" r:id="rId22"/>
    <pivotCache cacheId="2" r:id="rId23"/>
    <pivotCache cacheId="3" r:id="rId24"/>
    <pivotCache cacheId="4" r:id="rId25"/>
    <pivotCache cacheId="5" r:id="rId26"/>
    <pivotCache cacheId="310" r:id="rId27"/>
    <pivotCache cacheId="325" r:id="rId28"/>
  </pivotCaches>
  <extLst>
    <ext xmlns:x14="http://schemas.microsoft.com/office/spreadsheetml/2009/9/main" uri="{876F7934-8845-4945-9796-88D515C7AA90}">
      <x14:pivotCaches>
        <pivotCache cacheId="6" r:id="rId29"/>
        <pivotCache cacheId="7" r:id="rId30"/>
        <pivotCache cacheId="8" r:id="rId31"/>
        <pivotCache cacheId="9" r:id="rId32"/>
        <pivotCache cacheId="10" r:id="rId33"/>
        <pivotCache cacheId="11" r:id="rId34"/>
      </x14:pivotCaches>
    </ext>
    <ext xmlns:x14="http://schemas.microsoft.com/office/spreadsheetml/2009/9/main" uri="{BBE1A952-AA13-448e-AADC-164F8A28A991}">
      <x14:slicerCaches>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4:slicerCache r:id="rId73"/>
        <x14:slicerCache r:id="rId74"/>
        <x14:slicerCache r:id="rId75"/>
        <x14:slicerCache r:id="rId76"/>
        <x14:slicerCache r:id="rId77"/>
        <x14:slicerCache r:id="rId78"/>
        <x14:slicerCache r:id="rId79"/>
        <x14:slicerCache r:id="rId80"/>
        <x14:slicerCache r:id="rId81"/>
        <x14:slicerCache r:id="rId82"/>
        <x14:slicerCache r:id="rId83"/>
        <x14:slicerCache r:id="rId84"/>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Table7-c8f23314-d5ec-41e0-a324-6f60177d2bce" name="PT Q3" connection="LinkedTable_Table7"/>
          <x15:modelTable id="Table5-d0c9afc6-c098-4034-82a6-995fb82f1bda" name="PT Q6" connection="LinkedTable_Table5"/>
          <x15:modelTable id="Table4-bb45c785-5ec7-4ac8-a0cf-ba95a9553830" name="PT Q4" connection="LinkedTable_Table4"/>
          <x15:modelTable id="Table2-adfa4a98-90b2-4a76-b132-4fb2e359caa5" name="PT Q2" connection="LinkedTable_Table2"/>
          <x15:modelTable id="PT Q1-0c4e5f26-e665-41ae-ab83-f6635e07e910" name="PT Q1 1" connection="LinkedTable_Table11"/>
          <x15:modelTable id="Table10-00af910e-a6e6-4d82-8d25-288efa9e3d02" name="PT Q5" connection="LinkedTable_Table10"/>
          <x15:modelTable id="Table1-d9022578-b209-4904-bdde-19fabee9b97e" name="PT Q1" connection="LinkedTable_Table1"/>
        </x15:modelTables>
      </x15:dataModel>
    </ext>
  </extLst>
</workbook>
</file>

<file path=xl/calcChain.xml><?xml version="1.0" encoding="utf-8"?>
<calcChain xmlns="http://schemas.openxmlformats.org/spreadsheetml/2006/main">
  <c r="E98" i="28" l="1"/>
  <c r="C98" i="28"/>
  <c r="E89" i="28"/>
  <c r="C89" i="28"/>
  <c r="E80" i="28"/>
  <c r="C80" i="28"/>
  <c r="E71" i="28"/>
  <c r="C71" i="28"/>
  <c r="E62" i="28"/>
  <c r="C62" i="28"/>
  <c r="E53" i="28"/>
  <c r="C53" i="28"/>
  <c r="V24" i="8" l="1"/>
  <c r="V23" i="8"/>
  <c r="V22" i="8"/>
  <c r="V21" i="8" l="1"/>
  <c r="V20" i="8"/>
  <c r="BH430" i="6" l="1"/>
  <c r="BH431" i="6"/>
  <c r="BH432" i="6"/>
  <c r="BH433" i="6"/>
  <c r="BH434" i="6"/>
  <c r="BH435" i="6"/>
  <c r="BH436" i="6"/>
  <c r="BH437" i="6"/>
  <c r="BH438" i="6"/>
  <c r="BH439" i="6"/>
  <c r="BH440" i="6"/>
  <c r="BH441" i="6"/>
  <c r="BH442" i="6"/>
  <c r="BH443" i="6"/>
  <c r="BH444" i="6"/>
  <c r="BH445" i="6"/>
  <c r="BH446" i="6"/>
  <c r="BH447" i="6"/>
  <c r="BH448" i="6"/>
  <c r="BH449" i="6"/>
  <c r="BH450" i="6"/>
  <c r="BH451" i="6"/>
  <c r="BH452" i="6"/>
  <c r="BH453" i="6"/>
  <c r="BH454" i="6"/>
  <c r="BH455" i="6"/>
  <c r="BH456" i="6"/>
  <c r="BH457" i="6"/>
  <c r="BH458" i="6"/>
  <c r="BH459" i="6"/>
  <c r="BH460" i="6"/>
  <c r="BH461" i="6"/>
  <c r="BH462" i="6"/>
  <c r="BH463" i="6"/>
  <c r="BH464" i="6"/>
  <c r="BH465" i="6"/>
  <c r="BH466" i="6"/>
  <c r="BH467" i="6"/>
  <c r="BH468" i="6"/>
  <c r="BH469" i="6"/>
  <c r="BH470" i="6"/>
  <c r="BH471" i="6"/>
  <c r="BH472" i="6"/>
  <c r="BH473" i="6"/>
  <c r="BH474" i="6"/>
  <c r="BH475" i="6"/>
  <c r="BH476" i="6"/>
  <c r="BH477" i="6"/>
  <c r="BH478" i="6"/>
  <c r="BH479" i="6"/>
  <c r="BH480" i="6"/>
  <c r="BH481" i="6"/>
  <c r="BH482" i="6"/>
  <c r="BH483" i="6"/>
  <c r="BH484" i="6"/>
  <c r="BH485" i="6"/>
  <c r="BH486" i="6"/>
  <c r="BH487" i="6"/>
  <c r="BH488" i="6"/>
  <c r="BH489" i="6"/>
  <c r="BH490" i="6"/>
  <c r="BH491" i="6"/>
  <c r="BH492" i="6"/>
  <c r="BH493" i="6"/>
  <c r="BH494" i="6"/>
  <c r="BH495" i="6"/>
  <c r="BH496" i="6"/>
  <c r="BH497" i="6"/>
  <c r="BH498" i="6"/>
  <c r="BH499" i="6"/>
  <c r="BH500" i="6"/>
  <c r="BH501" i="6"/>
  <c r="BH502" i="6"/>
  <c r="BH503" i="6"/>
  <c r="BH504" i="6"/>
  <c r="BH505" i="6"/>
  <c r="BH506" i="6"/>
  <c r="BH507" i="6"/>
  <c r="BH508" i="6"/>
  <c r="BH509" i="6"/>
  <c r="BH510" i="6"/>
  <c r="BH511" i="6"/>
  <c r="BH512" i="6"/>
  <c r="BH513" i="6"/>
  <c r="BH514" i="6"/>
  <c r="BH515" i="6"/>
  <c r="BH516" i="6"/>
  <c r="BH517" i="6"/>
  <c r="BH518" i="6"/>
  <c r="BH519" i="6"/>
  <c r="BH520" i="6"/>
  <c r="BH521" i="6"/>
  <c r="BH522" i="6"/>
  <c r="BH523" i="6"/>
  <c r="BH524" i="6"/>
  <c r="BH525" i="6"/>
  <c r="BH526" i="6"/>
  <c r="BH527" i="6"/>
  <c r="BH528" i="6"/>
  <c r="BH529" i="6"/>
  <c r="BH530" i="6"/>
  <c r="BG430" i="6"/>
  <c r="BG431" i="6"/>
  <c r="BG432" i="6"/>
  <c r="BG433" i="6"/>
  <c r="BG434" i="6"/>
  <c r="BG435" i="6"/>
  <c r="BG436" i="6"/>
  <c r="BG437" i="6"/>
  <c r="BG438" i="6"/>
  <c r="BG439" i="6"/>
  <c r="BG440" i="6"/>
  <c r="BG441" i="6"/>
  <c r="BG442" i="6"/>
  <c r="BG443" i="6"/>
  <c r="BG444" i="6"/>
  <c r="BG445" i="6"/>
  <c r="BG446" i="6"/>
  <c r="BG447" i="6"/>
  <c r="BG448" i="6"/>
  <c r="BG449" i="6"/>
  <c r="BG450" i="6"/>
  <c r="BG451" i="6"/>
  <c r="BG452" i="6"/>
  <c r="BG453" i="6"/>
  <c r="BG454" i="6"/>
  <c r="BG455" i="6"/>
  <c r="BG456" i="6"/>
  <c r="BG457" i="6"/>
  <c r="BG458" i="6"/>
  <c r="BG459" i="6"/>
  <c r="BG460" i="6"/>
  <c r="BG461" i="6"/>
  <c r="BG462" i="6"/>
  <c r="BG463" i="6"/>
  <c r="BG464" i="6"/>
  <c r="BG465" i="6"/>
  <c r="BG466" i="6"/>
  <c r="BG467" i="6"/>
  <c r="BG468" i="6"/>
  <c r="BG469" i="6"/>
  <c r="BG470" i="6"/>
  <c r="BG471" i="6"/>
  <c r="BG472" i="6"/>
  <c r="BG473" i="6"/>
  <c r="BG474" i="6"/>
  <c r="BG475" i="6"/>
  <c r="BG476" i="6"/>
  <c r="BG477" i="6"/>
  <c r="BG478" i="6"/>
  <c r="BG479" i="6"/>
  <c r="BG480" i="6"/>
  <c r="BG481" i="6"/>
  <c r="BG482" i="6"/>
  <c r="BG483" i="6"/>
  <c r="BG484" i="6"/>
  <c r="BG485" i="6"/>
  <c r="BG486" i="6"/>
  <c r="BG487" i="6"/>
  <c r="BG488" i="6"/>
  <c r="BG489" i="6"/>
  <c r="BG490" i="6"/>
  <c r="BG491" i="6"/>
  <c r="BG492" i="6"/>
  <c r="BG493" i="6"/>
  <c r="BG494" i="6"/>
  <c r="BG495" i="6"/>
  <c r="BG496" i="6"/>
  <c r="BG497" i="6"/>
  <c r="BG498" i="6"/>
  <c r="BG499" i="6"/>
  <c r="BG500" i="6"/>
  <c r="BG501" i="6"/>
  <c r="BG502" i="6"/>
  <c r="BG503" i="6"/>
  <c r="BG504" i="6"/>
  <c r="BG505" i="6"/>
  <c r="BG506" i="6"/>
  <c r="BG507" i="6"/>
  <c r="BG508" i="6"/>
  <c r="BG509" i="6"/>
  <c r="BG510" i="6"/>
  <c r="BG511" i="6"/>
  <c r="BG512" i="6"/>
  <c r="BG513" i="6"/>
  <c r="BG514" i="6"/>
  <c r="BG515" i="6"/>
  <c r="BG516" i="6"/>
  <c r="BG517" i="6"/>
  <c r="BG518" i="6"/>
  <c r="BG519" i="6"/>
  <c r="BG520" i="6"/>
  <c r="BG521" i="6"/>
  <c r="BG522" i="6"/>
  <c r="BG523" i="6"/>
  <c r="BG524" i="6"/>
  <c r="BG525" i="6"/>
  <c r="BG526" i="6"/>
  <c r="BG527" i="6"/>
  <c r="BG528" i="6"/>
  <c r="BG529" i="6"/>
  <c r="BG530" i="6"/>
  <c r="BF430" i="6"/>
  <c r="BF431" i="6"/>
  <c r="BF432" i="6"/>
  <c r="BF433" i="6"/>
  <c r="BF434" i="6"/>
  <c r="BF435" i="6"/>
  <c r="BF436" i="6"/>
  <c r="BF437" i="6"/>
  <c r="BF438" i="6"/>
  <c r="BF439" i="6"/>
  <c r="BF440" i="6"/>
  <c r="BF441" i="6"/>
  <c r="BF442" i="6"/>
  <c r="BF443" i="6"/>
  <c r="BF444" i="6"/>
  <c r="BF445" i="6"/>
  <c r="BF446" i="6"/>
  <c r="BF447" i="6"/>
  <c r="BF448" i="6"/>
  <c r="BF449" i="6"/>
  <c r="BF450" i="6"/>
  <c r="BF451" i="6"/>
  <c r="BF452" i="6"/>
  <c r="BF453" i="6"/>
  <c r="BF454" i="6"/>
  <c r="BF455" i="6"/>
  <c r="BF456" i="6"/>
  <c r="BF457" i="6"/>
  <c r="BF458" i="6"/>
  <c r="BF459" i="6"/>
  <c r="BF460" i="6"/>
  <c r="BF461" i="6"/>
  <c r="BF462" i="6"/>
  <c r="BF463" i="6"/>
  <c r="BF464" i="6"/>
  <c r="BF465" i="6"/>
  <c r="BF466" i="6"/>
  <c r="BF467" i="6"/>
  <c r="BF468" i="6"/>
  <c r="BF469" i="6"/>
  <c r="BF470" i="6"/>
  <c r="BF471" i="6"/>
  <c r="BF472" i="6"/>
  <c r="BF473" i="6"/>
  <c r="BF474" i="6"/>
  <c r="BF475" i="6"/>
  <c r="BF476" i="6"/>
  <c r="BF477" i="6"/>
  <c r="BF478" i="6"/>
  <c r="BF479" i="6"/>
  <c r="BF480" i="6"/>
  <c r="BF481" i="6"/>
  <c r="BF482" i="6"/>
  <c r="BF483" i="6"/>
  <c r="BF484" i="6"/>
  <c r="BF485" i="6"/>
  <c r="BF486" i="6"/>
  <c r="BF487" i="6"/>
  <c r="BF488" i="6"/>
  <c r="BF489" i="6"/>
  <c r="BF490" i="6"/>
  <c r="BF491" i="6"/>
  <c r="BF492" i="6"/>
  <c r="BF493" i="6"/>
  <c r="BF494" i="6"/>
  <c r="BF495" i="6"/>
  <c r="BF496" i="6"/>
  <c r="BF497" i="6"/>
  <c r="BF498" i="6"/>
  <c r="BF499" i="6"/>
  <c r="BF500" i="6"/>
  <c r="BF501" i="6"/>
  <c r="BF502" i="6"/>
  <c r="BF503" i="6"/>
  <c r="BF504" i="6"/>
  <c r="BF505" i="6"/>
  <c r="BF506" i="6"/>
  <c r="BF507" i="6"/>
  <c r="BF508" i="6"/>
  <c r="BF509" i="6"/>
  <c r="BF510" i="6"/>
  <c r="BF511" i="6"/>
  <c r="BF512" i="6"/>
  <c r="BF513" i="6"/>
  <c r="BF514" i="6"/>
  <c r="BF515" i="6"/>
  <c r="BF516" i="6"/>
  <c r="BF517" i="6"/>
  <c r="BF518" i="6"/>
  <c r="BF519" i="6"/>
  <c r="BF520" i="6"/>
  <c r="BF521" i="6"/>
  <c r="BF522" i="6"/>
  <c r="BF523" i="6"/>
  <c r="BF524" i="6"/>
  <c r="BF525" i="6"/>
  <c r="BF526" i="6"/>
  <c r="BF527" i="6"/>
  <c r="BF528" i="6"/>
  <c r="BF529" i="6"/>
  <c r="BF530" i="6"/>
  <c r="BE430" i="6"/>
  <c r="BE431" i="6"/>
  <c r="BE432" i="6"/>
  <c r="BE433" i="6"/>
  <c r="BE434" i="6"/>
  <c r="BE435" i="6"/>
  <c r="BE436" i="6"/>
  <c r="BE437" i="6"/>
  <c r="BE438" i="6"/>
  <c r="BE439" i="6"/>
  <c r="BE440" i="6"/>
  <c r="BE441" i="6"/>
  <c r="BE442" i="6"/>
  <c r="BE443" i="6"/>
  <c r="BE444" i="6"/>
  <c r="BE445" i="6"/>
  <c r="BE446" i="6"/>
  <c r="BE447" i="6"/>
  <c r="BE448" i="6"/>
  <c r="BE449" i="6"/>
  <c r="BE450" i="6"/>
  <c r="BE451" i="6"/>
  <c r="BE452" i="6"/>
  <c r="BE453" i="6"/>
  <c r="BE454" i="6"/>
  <c r="BE455" i="6"/>
  <c r="BE456" i="6"/>
  <c r="BE457" i="6"/>
  <c r="BE458" i="6"/>
  <c r="BE459" i="6"/>
  <c r="BE460" i="6"/>
  <c r="BE461" i="6"/>
  <c r="BE462" i="6"/>
  <c r="BE463" i="6"/>
  <c r="BE464" i="6"/>
  <c r="BE465" i="6"/>
  <c r="BE466" i="6"/>
  <c r="BE467" i="6"/>
  <c r="BE468" i="6"/>
  <c r="BE469" i="6"/>
  <c r="BE470" i="6"/>
  <c r="BE471" i="6"/>
  <c r="BE472" i="6"/>
  <c r="BE473" i="6"/>
  <c r="BE474" i="6"/>
  <c r="BE475" i="6"/>
  <c r="BE476" i="6"/>
  <c r="BE477" i="6"/>
  <c r="BE478" i="6"/>
  <c r="BE479" i="6"/>
  <c r="BE480" i="6"/>
  <c r="BE481" i="6"/>
  <c r="BE482" i="6"/>
  <c r="BE483" i="6"/>
  <c r="BE484" i="6"/>
  <c r="BE485" i="6"/>
  <c r="BE486" i="6"/>
  <c r="BE487" i="6"/>
  <c r="BE488" i="6"/>
  <c r="BE489" i="6"/>
  <c r="BE490" i="6"/>
  <c r="BE491" i="6"/>
  <c r="BE492" i="6"/>
  <c r="BE493" i="6"/>
  <c r="BE494" i="6"/>
  <c r="BE495" i="6"/>
  <c r="BE496" i="6"/>
  <c r="BE497" i="6"/>
  <c r="BE498" i="6"/>
  <c r="BE499" i="6"/>
  <c r="BE500" i="6"/>
  <c r="BE501" i="6"/>
  <c r="BE502" i="6"/>
  <c r="BE503" i="6"/>
  <c r="BE504" i="6"/>
  <c r="BE505" i="6"/>
  <c r="BE506" i="6"/>
  <c r="BE507" i="6"/>
  <c r="BE508" i="6"/>
  <c r="BE509" i="6"/>
  <c r="BE510" i="6"/>
  <c r="BE511" i="6"/>
  <c r="BE512" i="6"/>
  <c r="BE513" i="6"/>
  <c r="BE514" i="6"/>
  <c r="BE515" i="6"/>
  <c r="BE516" i="6"/>
  <c r="BE517" i="6"/>
  <c r="BE518" i="6"/>
  <c r="BE519" i="6"/>
  <c r="BE520" i="6"/>
  <c r="BE521" i="6"/>
  <c r="BE522" i="6"/>
  <c r="BE523" i="6"/>
  <c r="BE524" i="6"/>
  <c r="BE525" i="6"/>
  <c r="BE526" i="6"/>
  <c r="BE527" i="6"/>
  <c r="BE528" i="6"/>
  <c r="BE529" i="6"/>
  <c r="BE530" i="6"/>
  <c r="BD430" i="6"/>
  <c r="BD431" i="6"/>
  <c r="BD432" i="6"/>
  <c r="BD433" i="6"/>
  <c r="BD434" i="6"/>
  <c r="BD435" i="6"/>
  <c r="BD436" i="6"/>
  <c r="BD437" i="6"/>
  <c r="BD438" i="6"/>
  <c r="BD439" i="6"/>
  <c r="BD440" i="6"/>
  <c r="BD441" i="6"/>
  <c r="BD442" i="6"/>
  <c r="BD443" i="6"/>
  <c r="BD444" i="6"/>
  <c r="BD445" i="6"/>
  <c r="BD446" i="6"/>
  <c r="BD447" i="6"/>
  <c r="BD448" i="6"/>
  <c r="BD449" i="6"/>
  <c r="BD450" i="6"/>
  <c r="BD451" i="6"/>
  <c r="BD452" i="6"/>
  <c r="BD453" i="6"/>
  <c r="BD454" i="6"/>
  <c r="BD455" i="6"/>
  <c r="BD456" i="6"/>
  <c r="BD457" i="6"/>
  <c r="BD458" i="6"/>
  <c r="BD459" i="6"/>
  <c r="BD460" i="6"/>
  <c r="BD461" i="6"/>
  <c r="BD462" i="6"/>
  <c r="BD463" i="6"/>
  <c r="BD464" i="6"/>
  <c r="BD465" i="6"/>
  <c r="BD466" i="6"/>
  <c r="BD467" i="6"/>
  <c r="BD468" i="6"/>
  <c r="BD469" i="6"/>
  <c r="BD470" i="6"/>
  <c r="BD471" i="6"/>
  <c r="BD472" i="6"/>
  <c r="BD473" i="6"/>
  <c r="BD474" i="6"/>
  <c r="BD475" i="6"/>
  <c r="BD476" i="6"/>
  <c r="BD477" i="6"/>
  <c r="BD478" i="6"/>
  <c r="BD479" i="6"/>
  <c r="BD480" i="6"/>
  <c r="BD481" i="6"/>
  <c r="BD482" i="6"/>
  <c r="BD483" i="6"/>
  <c r="BD484" i="6"/>
  <c r="BD485" i="6"/>
  <c r="BD486" i="6"/>
  <c r="BD487" i="6"/>
  <c r="BD488" i="6"/>
  <c r="BD489" i="6"/>
  <c r="BD490" i="6"/>
  <c r="BD491" i="6"/>
  <c r="BD492" i="6"/>
  <c r="BD493" i="6"/>
  <c r="BD494" i="6"/>
  <c r="BD495" i="6"/>
  <c r="BD496" i="6"/>
  <c r="BD497" i="6"/>
  <c r="BD498" i="6"/>
  <c r="BD499" i="6"/>
  <c r="BD500" i="6"/>
  <c r="BD501" i="6"/>
  <c r="BD502" i="6"/>
  <c r="BD503" i="6"/>
  <c r="BD504" i="6"/>
  <c r="BD505" i="6"/>
  <c r="BD506" i="6"/>
  <c r="BD507" i="6"/>
  <c r="BD508" i="6"/>
  <c r="BD509" i="6"/>
  <c r="BD510" i="6"/>
  <c r="BD511" i="6"/>
  <c r="BD512" i="6"/>
  <c r="BD513" i="6"/>
  <c r="BD514" i="6"/>
  <c r="BD515" i="6"/>
  <c r="BD516" i="6"/>
  <c r="BD517" i="6"/>
  <c r="BD518" i="6"/>
  <c r="BD519" i="6"/>
  <c r="BD520" i="6"/>
  <c r="BD521" i="6"/>
  <c r="BD522" i="6"/>
  <c r="BD523" i="6"/>
  <c r="BD524" i="6"/>
  <c r="BD525" i="6"/>
  <c r="BD526" i="6"/>
  <c r="BD527" i="6"/>
  <c r="BD528" i="6"/>
  <c r="BD529" i="6"/>
  <c r="BD530" i="6"/>
  <c r="BC430" i="6"/>
  <c r="BC431" i="6"/>
  <c r="BC432" i="6"/>
  <c r="BC433" i="6"/>
  <c r="BC434" i="6"/>
  <c r="BC435" i="6"/>
  <c r="BC436" i="6"/>
  <c r="BC437" i="6"/>
  <c r="BC438" i="6"/>
  <c r="BC439" i="6"/>
  <c r="BC440" i="6"/>
  <c r="BC441" i="6"/>
  <c r="BC442" i="6"/>
  <c r="BC443" i="6"/>
  <c r="BC444" i="6"/>
  <c r="BC445" i="6"/>
  <c r="BC446" i="6"/>
  <c r="BC447" i="6"/>
  <c r="BC448" i="6"/>
  <c r="BC449" i="6"/>
  <c r="BC450" i="6"/>
  <c r="BC451" i="6"/>
  <c r="BC452" i="6"/>
  <c r="BC453" i="6"/>
  <c r="BC454" i="6"/>
  <c r="BC455" i="6"/>
  <c r="BC456" i="6"/>
  <c r="BC457" i="6"/>
  <c r="BC458" i="6"/>
  <c r="BC459" i="6"/>
  <c r="BC460" i="6"/>
  <c r="BC461" i="6"/>
  <c r="BC462" i="6"/>
  <c r="BC463" i="6"/>
  <c r="BC464" i="6"/>
  <c r="BC465" i="6"/>
  <c r="BC466" i="6"/>
  <c r="BC467" i="6"/>
  <c r="BC468" i="6"/>
  <c r="BC469" i="6"/>
  <c r="BC470" i="6"/>
  <c r="BC471" i="6"/>
  <c r="BC472" i="6"/>
  <c r="BC473" i="6"/>
  <c r="BC474" i="6"/>
  <c r="BC475" i="6"/>
  <c r="BC476" i="6"/>
  <c r="BC477" i="6"/>
  <c r="BC478" i="6"/>
  <c r="BC479" i="6"/>
  <c r="BC480" i="6"/>
  <c r="BC481" i="6"/>
  <c r="BC482" i="6"/>
  <c r="BC483" i="6"/>
  <c r="BC484" i="6"/>
  <c r="BC485" i="6"/>
  <c r="BC486" i="6"/>
  <c r="BC487" i="6"/>
  <c r="BC488" i="6"/>
  <c r="BC489" i="6"/>
  <c r="BC490" i="6"/>
  <c r="BC491" i="6"/>
  <c r="BC492" i="6"/>
  <c r="BC493" i="6"/>
  <c r="BC494" i="6"/>
  <c r="BC495" i="6"/>
  <c r="BC496" i="6"/>
  <c r="BC497" i="6"/>
  <c r="BC498" i="6"/>
  <c r="BC499" i="6"/>
  <c r="BC500" i="6"/>
  <c r="BC501" i="6"/>
  <c r="BC502" i="6"/>
  <c r="BC503" i="6"/>
  <c r="BC504" i="6"/>
  <c r="BC505" i="6"/>
  <c r="BC506" i="6"/>
  <c r="BC507" i="6"/>
  <c r="BC508" i="6"/>
  <c r="BC509" i="6"/>
  <c r="BC510" i="6"/>
  <c r="BC511" i="6"/>
  <c r="BC512" i="6"/>
  <c r="BC513" i="6"/>
  <c r="BC514" i="6"/>
  <c r="BC515" i="6"/>
  <c r="BC516" i="6"/>
  <c r="BC517" i="6"/>
  <c r="BC518" i="6"/>
  <c r="BC519" i="6"/>
  <c r="BC520" i="6"/>
  <c r="BC521" i="6"/>
  <c r="BC522" i="6"/>
  <c r="BC523" i="6"/>
  <c r="BC524" i="6"/>
  <c r="BC525" i="6"/>
  <c r="BC526" i="6"/>
  <c r="BC527" i="6"/>
  <c r="BC528" i="6"/>
  <c r="BC529" i="6"/>
  <c r="BC530" i="6"/>
  <c r="BB430" i="6"/>
  <c r="BB431" i="6"/>
  <c r="BB432" i="6"/>
  <c r="BB433" i="6"/>
  <c r="BB434" i="6"/>
  <c r="BB435" i="6"/>
  <c r="BB436" i="6"/>
  <c r="BB437" i="6"/>
  <c r="BB438" i="6"/>
  <c r="BB439" i="6"/>
  <c r="BB440" i="6"/>
  <c r="BB441" i="6"/>
  <c r="BB442" i="6"/>
  <c r="BB443" i="6"/>
  <c r="BB444" i="6"/>
  <c r="BB445" i="6"/>
  <c r="BB446" i="6"/>
  <c r="BB447" i="6"/>
  <c r="BB448" i="6"/>
  <c r="BB449" i="6"/>
  <c r="BB450" i="6"/>
  <c r="BB451" i="6"/>
  <c r="BB452" i="6"/>
  <c r="BB453" i="6"/>
  <c r="BB454" i="6"/>
  <c r="BB455" i="6"/>
  <c r="BB456" i="6"/>
  <c r="BB457" i="6"/>
  <c r="BB458" i="6"/>
  <c r="BB459" i="6"/>
  <c r="BB460" i="6"/>
  <c r="BB461" i="6"/>
  <c r="BB462" i="6"/>
  <c r="BB463" i="6"/>
  <c r="BB464" i="6"/>
  <c r="BB465" i="6"/>
  <c r="BB466" i="6"/>
  <c r="BB467" i="6"/>
  <c r="BB468" i="6"/>
  <c r="BB469" i="6"/>
  <c r="BB470" i="6"/>
  <c r="BB471" i="6"/>
  <c r="BB472" i="6"/>
  <c r="BB473" i="6"/>
  <c r="BB474" i="6"/>
  <c r="BB475" i="6"/>
  <c r="BB476" i="6"/>
  <c r="BB477" i="6"/>
  <c r="BB478" i="6"/>
  <c r="BB479" i="6"/>
  <c r="BB480" i="6"/>
  <c r="BB481" i="6"/>
  <c r="BB482" i="6"/>
  <c r="BB483" i="6"/>
  <c r="BB484" i="6"/>
  <c r="BB485" i="6"/>
  <c r="BB486" i="6"/>
  <c r="BB487" i="6"/>
  <c r="BB488" i="6"/>
  <c r="BB489" i="6"/>
  <c r="BB490" i="6"/>
  <c r="BB491" i="6"/>
  <c r="BB492" i="6"/>
  <c r="BB493" i="6"/>
  <c r="BB494" i="6"/>
  <c r="BB495" i="6"/>
  <c r="BB496" i="6"/>
  <c r="BB497" i="6"/>
  <c r="BB498" i="6"/>
  <c r="BB499" i="6"/>
  <c r="BB500" i="6"/>
  <c r="BB501" i="6"/>
  <c r="BB502" i="6"/>
  <c r="BB503" i="6"/>
  <c r="BB504" i="6"/>
  <c r="BB505" i="6"/>
  <c r="BB506" i="6"/>
  <c r="BB507" i="6"/>
  <c r="BB508" i="6"/>
  <c r="BB509" i="6"/>
  <c r="BB510" i="6"/>
  <c r="BB511" i="6"/>
  <c r="BB512" i="6"/>
  <c r="BB513" i="6"/>
  <c r="BB514" i="6"/>
  <c r="BB515" i="6"/>
  <c r="BB516" i="6"/>
  <c r="BB517" i="6"/>
  <c r="BB518" i="6"/>
  <c r="BB519" i="6"/>
  <c r="BB520" i="6"/>
  <c r="BB521" i="6"/>
  <c r="BB522" i="6"/>
  <c r="BB523" i="6"/>
  <c r="BB524" i="6"/>
  <c r="BB525" i="6"/>
  <c r="BB526" i="6"/>
  <c r="BB527" i="6"/>
  <c r="BB528" i="6"/>
  <c r="BB529" i="6"/>
  <c r="BB530" i="6"/>
  <c r="BA430" i="6"/>
  <c r="BA431" i="6"/>
  <c r="BA432" i="6"/>
  <c r="BA433" i="6"/>
  <c r="BA434" i="6"/>
  <c r="BA435" i="6"/>
  <c r="BA436" i="6"/>
  <c r="BA437" i="6"/>
  <c r="BA438" i="6"/>
  <c r="BA439" i="6"/>
  <c r="BA440" i="6"/>
  <c r="BA441" i="6"/>
  <c r="BA442" i="6"/>
  <c r="BA443" i="6"/>
  <c r="BA444" i="6"/>
  <c r="BA445" i="6"/>
  <c r="BA446" i="6"/>
  <c r="BA447" i="6"/>
  <c r="BA448" i="6"/>
  <c r="BA449" i="6"/>
  <c r="BA450" i="6"/>
  <c r="BA451" i="6"/>
  <c r="BA452" i="6"/>
  <c r="BA453" i="6"/>
  <c r="BA454" i="6"/>
  <c r="BA455" i="6"/>
  <c r="BA456" i="6"/>
  <c r="BA457" i="6"/>
  <c r="BA458" i="6"/>
  <c r="BA459" i="6"/>
  <c r="BA460" i="6"/>
  <c r="BA461" i="6"/>
  <c r="BA462" i="6"/>
  <c r="BA463" i="6"/>
  <c r="BA464" i="6"/>
  <c r="BA465" i="6"/>
  <c r="BA466" i="6"/>
  <c r="BA467" i="6"/>
  <c r="BA468" i="6"/>
  <c r="BA469" i="6"/>
  <c r="BA470" i="6"/>
  <c r="BA471" i="6"/>
  <c r="BA472" i="6"/>
  <c r="BA473" i="6"/>
  <c r="BA474" i="6"/>
  <c r="BA475" i="6"/>
  <c r="BA476" i="6"/>
  <c r="BA477" i="6"/>
  <c r="BA478" i="6"/>
  <c r="BA479" i="6"/>
  <c r="BA480" i="6"/>
  <c r="BA481" i="6"/>
  <c r="BA482" i="6"/>
  <c r="BA483" i="6"/>
  <c r="BA484" i="6"/>
  <c r="BA485" i="6"/>
  <c r="BA486" i="6"/>
  <c r="BA487" i="6"/>
  <c r="BA488" i="6"/>
  <c r="BA489" i="6"/>
  <c r="BA490" i="6"/>
  <c r="BA491" i="6"/>
  <c r="BA492" i="6"/>
  <c r="BA493" i="6"/>
  <c r="BA494" i="6"/>
  <c r="BA495" i="6"/>
  <c r="BA496" i="6"/>
  <c r="BA497" i="6"/>
  <c r="BA498" i="6"/>
  <c r="BA499" i="6"/>
  <c r="BA500" i="6"/>
  <c r="BA501" i="6"/>
  <c r="BA502" i="6"/>
  <c r="BA503" i="6"/>
  <c r="BA504" i="6"/>
  <c r="BA505" i="6"/>
  <c r="BA506" i="6"/>
  <c r="BA507" i="6"/>
  <c r="BA508" i="6"/>
  <c r="BA509" i="6"/>
  <c r="BA510" i="6"/>
  <c r="BA511" i="6"/>
  <c r="BA512" i="6"/>
  <c r="BA513" i="6"/>
  <c r="BA514" i="6"/>
  <c r="BA515" i="6"/>
  <c r="BA516" i="6"/>
  <c r="BA517" i="6"/>
  <c r="BA518" i="6"/>
  <c r="BA519" i="6"/>
  <c r="BA520" i="6"/>
  <c r="BA521" i="6"/>
  <c r="BA522" i="6"/>
  <c r="BA523" i="6"/>
  <c r="BA524" i="6"/>
  <c r="BA525" i="6"/>
  <c r="BA526" i="6"/>
  <c r="BA527" i="6"/>
  <c r="BA528" i="6"/>
  <c r="BA529" i="6"/>
  <c r="BA530" i="6"/>
  <c r="AZ430" i="6"/>
  <c r="AZ431" i="6"/>
  <c r="AZ432" i="6"/>
  <c r="AZ433" i="6"/>
  <c r="AZ434" i="6"/>
  <c r="AZ435" i="6"/>
  <c r="AZ436" i="6"/>
  <c r="AZ437" i="6"/>
  <c r="AZ438" i="6"/>
  <c r="AZ439" i="6"/>
  <c r="AZ440" i="6"/>
  <c r="AZ441" i="6"/>
  <c r="AZ442" i="6"/>
  <c r="AZ443" i="6"/>
  <c r="AZ444" i="6"/>
  <c r="AZ445" i="6"/>
  <c r="AZ446" i="6"/>
  <c r="AZ447" i="6"/>
  <c r="AZ448" i="6"/>
  <c r="AZ449" i="6"/>
  <c r="AZ450" i="6"/>
  <c r="AZ451" i="6"/>
  <c r="AZ452" i="6"/>
  <c r="AZ453" i="6"/>
  <c r="AZ454" i="6"/>
  <c r="AZ455" i="6"/>
  <c r="AZ456" i="6"/>
  <c r="AZ457" i="6"/>
  <c r="AZ458" i="6"/>
  <c r="AZ459" i="6"/>
  <c r="AZ460" i="6"/>
  <c r="AZ461" i="6"/>
  <c r="AZ462" i="6"/>
  <c r="AZ463" i="6"/>
  <c r="AZ464" i="6"/>
  <c r="AZ465" i="6"/>
  <c r="AZ466" i="6"/>
  <c r="AZ467" i="6"/>
  <c r="AZ468" i="6"/>
  <c r="AZ469" i="6"/>
  <c r="AZ470" i="6"/>
  <c r="AZ471" i="6"/>
  <c r="AZ472" i="6"/>
  <c r="AZ473" i="6"/>
  <c r="AZ474" i="6"/>
  <c r="AZ475" i="6"/>
  <c r="AZ476" i="6"/>
  <c r="AZ477" i="6"/>
  <c r="AZ478" i="6"/>
  <c r="AZ479" i="6"/>
  <c r="AZ480" i="6"/>
  <c r="AZ481" i="6"/>
  <c r="AZ482" i="6"/>
  <c r="AZ483" i="6"/>
  <c r="AZ484" i="6"/>
  <c r="AZ485" i="6"/>
  <c r="AZ486" i="6"/>
  <c r="AZ487" i="6"/>
  <c r="AZ488" i="6"/>
  <c r="AZ489" i="6"/>
  <c r="AZ490" i="6"/>
  <c r="AZ491" i="6"/>
  <c r="AZ492" i="6"/>
  <c r="AZ493" i="6"/>
  <c r="AZ494" i="6"/>
  <c r="AZ495" i="6"/>
  <c r="AZ496" i="6"/>
  <c r="AZ497" i="6"/>
  <c r="AZ498" i="6"/>
  <c r="AZ499" i="6"/>
  <c r="AZ500" i="6"/>
  <c r="AZ501" i="6"/>
  <c r="AZ502" i="6"/>
  <c r="AZ503" i="6"/>
  <c r="AZ504" i="6"/>
  <c r="AZ505" i="6"/>
  <c r="AZ506" i="6"/>
  <c r="AZ507" i="6"/>
  <c r="AZ508" i="6"/>
  <c r="AZ509" i="6"/>
  <c r="AZ510" i="6"/>
  <c r="AZ511" i="6"/>
  <c r="AZ512" i="6"/>
  <c r="AZ513" i="6"/>
  <c r="AZ514" i="6"/>
  <c r="AZ515" i="6"/>
  <c r="AZ516" i="6"/>
  <c r="AZ517" i="6"/>
  <c r="AZ518" i="6"/>
  <c r="AZ519" i="6"/>
  <c r="AZ520" i="6"/>
  <c r="AZ521" i="6"/>
  <c r="AZ522" i="6"/>
  <c r="AZ523" i="6"/>
  <c r="AZ524" i="6"/>
  <c r="AZ525" i="6"/>
  <c r="AZ526" i="6"/>
  <c r="AZ527" i="6"/>
  <c r="AZ528" i="6"/>
  <c r="AZ529" i="6"/>
  <c r="AZ530" i="6"/>
  <c r="AY430" i="6"/>
  <c r="AY431" i="6"/>
  <c r="AY432" i="6"/>
  <c r="AY433" i="6"/>
  <c r="AY434" i="6"/>
  <c r="AY435" i="6"/>
  <c r="AY436" i="6"/>
  <c r="AY437" i="6"/>
  <c r="AY438" i="6"/>
  <c r="AY439" i="6"/>
  <c r="AY440" i="6"/>
  <c r="AY441" i="6"/>
  <c r="AY442" i="6"/>
  <c r="AY443" i="6"/>
  <c r="AY444" i="6"/>
  <c r="AY445" i="6"/>
  <c r="AY446" i="6"/>
  <c r="AY447" i="6"/>
  <c r="AY448" i="6"/>
  <c r="AY449" i="6"/>
  <c r="AY450" i="6"/>
  <c r="AY451" i="6"/>
  <c r="AY452" i="6"/>
  <c r="AY453" i="6"/>
  <c r="AY454" i="6"/>
  <c r="AY455" i="6"/>
  <c r="AY456" i="6"/>
  <c r="AY457" i="6"/>
  <c r="AY458" i="6"/>
  <c r="AY459" i="6"/>
  <c r="AY460" i="6"/>
  <c r="AY461" i="6"/>
  <c r="AY462" i="6"/>
  <c r="AY463" i="6"/>
  <c r="AY464" i="6"/>
  <c r="AY465" i="6"/>
  <c r="AY466" i="6"/>
  <c r="AY467" i="6"/>
  <c r="AY468" i="6"/>
  <c r="AY469" i="6"/>
  <c r="AY470" i="6"/>
  <c r="AY471" i="6"/>
  <c r="AY472" i="6"/>
  <c r="AY473" i="6"/>
  <c r="AY474" i="6"/>
  <c r="AY475" i="6"/>
  <c r="AY476" i="6"/>
  <c r="AY477" i="6"/>
  <c r="AY478" i="6"/>
  <c r="AY479" i="6"/>
  <c r="AY480" i="6"/>
  <c r="AY481" i="6"/>
  <c r="AY482" i="6"/>
  <c r="AY483" i="6"/>
  <c r="AY484" i="6"/>
  <c r="AY485" i="6"/>
  <c r="AY486" i="6"/>
  <c r="AY487" i="6"/>
  <c r="AY488" i="6"/>
  <c r="AY489" i="6"/>
  <c r="AY490" i="6"/>
  <c r="AY491" i="6"/>
  <c r="AY492" i="6"/>
  <c r="AY493" i="6"/>
  <c r="AY494" i="6"/>
  <c r="AY495" i="6"/>
  <c r="AY496" i="6"/>
  <c r="AY497" i="6"/>
  <c r="AY498" i="6"/>
  <c r="AY499" i="6"/>
  <c r="AY500" i="6"/>
  <c r="AY501" i="6"/>
  <c r="AY502" i="6"/>
  <c r="AY503" i="6"/>
  <c r="AY504" i="6"/>
  <c r="AY505" i="6"/>
  <c r="AY506" i="6"/>
  <c r="AY507" i="6"/>
  <c r="AY508" i="6"/>
  <c r="AY509" i="6"/>
  <c r="AY510" i="6"/>
  <c r="AY511" i="6"/>
  <c r="AY512" i="6"/>
  <c r="AY513" i="6"/>
  <c r="AY514" i="6"/>
  <c r="AY515" i="6"/>
  <c r="AY516" i="6"/>
  <c r="AY517" i="6"/>
  <c r="AY518" i="6"/>
  <c r="AY519" i="6"/>
  <c r="AY520" i="6"/>
  <c r="AY521" i="6"/>
  <c r="AY522" i="6"/>
  <c r="AY523" i="6"/>
  <c r="AY524" i="6"/>
  <c r="AY525" i="6"/>
  <c r="AY526" i="6"/>
  <c r="AY527" i="6"/>
  <c r="AY528" i="6"/>
  <c r="AY529" i="6"/>
  <c r="AY530" i="6"/>
  <c r="AX430" i="6"/>
  <c r="AX431" i="6"/>
  <c r="AX432" i="6"/>
  <c r="AX433" i="6"/>
  <c r="AX434" i="6"/>
  <c r="AX435" i="6"/>
  <c r="AX436" i="6"/>
  <c r="AX437" i="6"/>
  <c r="AX438" i="6"/>
  <c r="AX439" i="6"/>
  <c r="AX440" i="6"/>
  <c r="AX441" i="6"/>
  <c r="AX442" i="6"/>
  <c r="AX443" i="6"/>
  <c r="AX444" i="6"/>
  <c r="AX445" i="6"/>
  <c r="AX446" i="6"/>
  <c r="AX447" i="6"/>
  <c r="AX448" i="6"/>
  <c r="AX449" i="6"/>
  <c r="AX450" i="6"/>
  <c r="AX451" i="6"/>
  <c r="AX452" i="6"/>
  <c r="AX453" i="6"/>
  <c r="AX454" i="6"/>
  <c r="AX455" i="6"/>
  <c r="AX456" i="6"/>
  <c r="AX457" i="6"/>
  <c r="AX458" i="6"/>
  <c r="AX459" i="6"/>
  <c r="AX460" i="6"/>
  <c r="AX461" i="6"/>
  <c r="AX462" i="6"/>
  <c r="AX463" i="6"/>
  <c r="AX464" i="6"/>
  <c r="AX465" i="6"/>
  <c r="AX466" i="6"/>
  <c r="AX467" i="6"/>
  <c r="AX468" i="6"/>
  <c r="AX469" i="6"/>
  <c r="AX470" i="6"/>
  <c r="AX471" i="6"/>
  <c r="AX472" i="6"/>
  <c r="AX473" i="6"/>
  <c r="AX474" i="6"/>
  <c r="AX475" i="6"/>
  <c r="AX476" i="6"/>
  <c r="AX477" i="6"/>
  <c r="AX478" i="6"/>
  <c r="AX479" i="6"/>
  <c r="AX480" i="6"/>
  <c r="AX481" i="6"/>
  <c r="AX482" i="6"/>
  <c r="AX483" i="6"/>
  <c r="AX484" i="6"/>
  <c r="AX485" i="6"/>
  <c r="AX486" i="6"/>
  <c r="AX487" i="6"/>
  <c r="AX488" i="6"/>
  <c r="AX489" i="6"/>
  <c r="AX490" i="6"/>
  <c r="AX491" i="6"/>
  <c r="AX492" i="6"/>
  <c r="AX493" i="6"/>
  <c r="AX494" i="6"/>
  <c r="AX495" i="6"/>
  <c r="AX496" i="6"/>
  <c r="AX497" i="6"/>
  <c r="AX498" i="6"/>
  <c r="AX499" i="6"/>
  <c r="AX500" i="6"/>
  <c r="AX501" i="6"/>
  <c r="AX502" i="6"/>
  <c r="AX503" i="6"/>
  <c r="AX504" i="6"/>
  <c r="AX505" i="6"/>
  <c r="AX506" i="6"/>
  <c r="AX507" i="6"/>
  <c r="AX508" i="6"/>
  <c r="AX509" i="6"/>
  <c r="AX510" i="6"/>
  <c r="AX511" i="6"/>
  <c r="AX512" i="6"/>
  <c r="AX513" i="6"/>
  <c r="AX514" i="6"/>
  <c r="AX515" i="6"/>
  <c r="AX516" i="6"/>
  <c r="AX517" i="6"/>
  <c r="AX518" i="6"/>
  <c r="AX519" i="6"/>
  <c r="AX520" i="6"/>
  <c r="AX521" i="6"/>
  <c r="AX522" i="6"/>
  <c r="AX523" i="6"/>
  <c r="AX524" i="6"/>
  <c r="AX525" i="6"/>
  <c r="AX526" i="6"/>
  <c r="AX527" i="6"/>
  <c r="AX528" i="6"/>
  <c r="AX529" i="6"/>
  <c r="AX530" i="6"/>
  <c r="AW430" i="6"/>
  <c r="AW431" i="6"/>
  <c r="AW432" i="6"/>
  <c r="AW433" i="6"/>
  <c r="AW434" i="6"/>
  <c r="AW435" i="6"/>
  <c r="AW436" i="6"/>
  <c r="AW437" i="6"/>
  <c r="AW438" i="6"/>
  <c r="AW439" i="6"/>
  <c r="AW440" i="6"/>
  <c r="AW441" i="6"/>
  <c r="AW442" i="6"/>
  <c r="AW443" i="6"/>
  <c r="AW444" i="6"/>
  <c r="AW445" i="6"/>
  <c r="AW446" i="6"/>
  <c r="AW447" i="6"/>
  <c r="AW448" i="6"/>
  <c r="AW449" i="6"/>
  <c r="AW450" i="6"/>
  <c r="AW451" i="6"/>
  <c r="AW452" i="6"/>
  <c r="AW453" i="6"/>
  <c r="AW454" i="6"/>
  <c r="AW455" i="6"/>
  <c r="AW456" i="6"/>
  <c r="AW457" i="6"/>
  <c r="AW458" i="6"/>
  <c r="AW459" i="6"/>
  <c r="AW460" i="6"/>
  <c r="AW461" i="6"/>
  <c r="AW462" i="6"/>
  <c r="AW463" i="6"/>
  <c r="AW464" i="6"/>
  <c r="AW465" i="6"/>
  <c r="AW466" i="6"/>
  <c r="AW467" i="6"/>
  <c r="AW468" i="6"/>
  <c r="AW469" i="6"/>
  <c r="AW470" i="6"/>
  <c r="AW471" i="6"/>
  <c r="AW472" i="6"/>
  <c r="AW473" i="6"/>
  <c r="AW474" i="6"/>
  <c r="AW475" i="6"/>
  <c r="AW476" i="6"/>
  <c r="AW477" i="6"/>
  <c r="AW478" i="6"/>
  <c r="AW479" i="6"/>
  <c r="AW480" i="6"/>
  <c r="AW481" i="6"/>
  <c r="AW482" i="6"/>
  <c r="AW483" i="6"/>
  <c r="AW484" i="6"/>
  <c r="AW485" i="6"/>
  <c r="AW486" i="6"/>
  <c r="AW487" i="6"/>
  <c r="AW488" i="6"/>
  <c r="AW489" i="6"/>
  <c r="AW490" i="6"/>
  <c r="AW491" i="6"/>
  <c r="AW492" i="6"/>
  <c r="AW493" i="6"/>
  <c r="AW494" i="6"/>
  <c r="AW495" i="6"/>
  <c r="AW496" i="6"/>
  <c r="AW497" i="6"/>
  <c r="AW498" i="6"/>
  <c r="AW499" i="6"/>
  <c r="AW500" i="6"/>
  <c r="AW501" i="6"/>
  <c r="AW502" i="6"/>
  <c r="AW503" i="6"/>
  <c r="AW504" i="6"/>
  <c r="AW505" i="6"/>
  <c r="AW506" i="6"/>
  <c r="AW507" i="6"/>
  <c r="AW508" i="6"/>
  <c r="AW509" i="6"/>
  <c r="AW510" i="6"/>
  <c r="AW511" i="6"/>
  <c r="AW512" i="6"/>
  <c r="AW513" i="6"/>
  <c r="AW514" i="6"/>
  <c r="AW515" i="6"/>
  <c r="AW516" i="6"/>
  <c r="AW517" i="6"/>
  <c r="AW518" i="6"/>
  <c r="AW519" i="6"/>
  <c r="AW520" i="6"/>
  <c r="AW521" i="6"/>
  <c r="AW522" i="6"/>
  <c r="AW523" i="6"/>
  <c r="AW524" i="6"/>
  <c r="AW525" i="6"/>
  <c r="AW526" i="6"/>
  <c r="AW527" i="6"/>
  <c r="AW528" i="6"/>
  <c r="AW529" i="6"/>
  <c r="AW530" i="6"/>
  <c r="AV430" i="6"/>
  <c r="AV431" i="6"/>
  <c r="AV432" i="6"/>
  <c r="AV433" i="6"/>
  <c r="AV434" i="6"/>
  <c r="AV435" i="6"/>
  <c r="AV436" i="6"/>
  <c r="AV437" i="6"/>
  <c r="AV438" i="6"/>
  <c r="AV439" i="6"/>
  <c r="AV440" i="6"/>
  <c r="AV441" i="6"/>
  <c r="AV442" i="6"/>
  <c r="AV443" i="6"/>
  <c r="AV444" i="6"/>
  <c r="AV445" i="6"/>
  <c r="AV446" i="6"/>
  <c r="AV447" i="6"/>
  <c r="AV448" i="6"/>
  <c r="AV449" i="6"/>
  <c r="AV450" i="6"/>
  <c r="AV451" i="6"/>
  <c r="AV452" i="6"/>
  <c r="AV453" i="6"/>
  <c r="AV454" i="6"/>
  <c r="AV455" i="6"/>
  <c r="AV456" i="6"/>
  <c r="AV457" i="6"/>
  <c r="AV458" i="6"/>
  <c r="AV459" i="6"/>
  <c r="AV460" i="6"/>
  <c r="AV461" i="6"/>
  <c r="AV462" i="6"/>
  <c r="AV463" i="6"/>
  <c r="AV464" i="6"/>
  <c r="AV465" i="6"/>
  <c r="AV466" i="6"/>
  <c r="AV467" i="6"/>
  <c r="AV468" i="6"/>
  <c r="AV469" i="6"/>
  <c r="AV470" i="6"/>
  <c r="AV471" i="6"/>
  <c r="AV472" i="6"/>
  <c r="AV473" i="6"/>
  <c r="AV474" i="6"/>
  <c r="AV475" i="6"/>
  <c r="AV476" i="6"/>
  <c r="AV477" i="6"/>
  <c r="AV478" i="6"/>
  <c r="AV479" i="6"/>
  <c r="AV480" i="6"/>
  <c r="AV481" i="6"/>
  <c r="AV482" i="6"/>
  <c r="AV483" i="6"/>
  <c r="AV484" i="6"/>
  <c r="AV485" i="6"/>
  <c r="AV486" i="6"/>
  <c r="AV487" i="6"/>
  <c r="AV488" i="6"/>
  <c r="AV489" i="6"/>
  <c r="AV490" i="6"/>
  <c r="AV491" i="6"/>
  <c r="AV492" i="6"/>
  <c r="AV493" i="6"/>
  <c r="AV494" i="6"/>
  <c r="AV495" i="6"/>
  <c r="AV496" i="6"/>
  <c r="AV497" i="6"/>
  <c r="AV498" i="6"/>
  <c r="AV499" i="6"/>
  <c r="AV500" i="6"/>
  <c r="AV501" i="6"/>
  <c r="AV502" i="6"/>
  <c r="AV503" i="6"/>
  <c r="AV504" i="6"/>
  <c r="AV505" i="6"/>
  <c r="AV506" i="6"/>
  <c r="AV507" i="6"/>
  <c r="AV508" i="6"/>
  <c r="AV509" i="6"/>
  <c r="AV510" i="6"/>
  <c r="AV511" i="6"/>
  <c r="AV512" i="6"/>
  <c r="AV513" i="6"/>
  <c r="AV514" i="6"/>
  <c r="AV515" i="6"/>
  <c r="AV516" i="6"/>
  <c r="AV517" i="6"/>
  <c r="AV518" i="6"/>
  <c r="AV519" i="6"/>
  <c r="AV520" i="6"/>
  <c r="AV521" i="6"/>
  <c r="AV522" i="6"/>
  <c r="AV523" i="6"/>
  <c r="AV524" i="6"/>
  <c r="AV525" i="6"/>
  <c r="AV526" i="6"/>
  <c r="AV527" i="6"/>
  <c r="AV528" i="6"/>
  <c r="AV529" i="6"/>
  <c r="AV530" i="6"/>
  <c r="AV430" i="4"/>
  <c r="AV431" i="4"/>
  <c r="AV432" i="4"/>
  <c r="AV433" i="4"/>
  <c r="AV434" i="4"/>
  <c r="AV435" i="4"/>
  <c r="AV436" i="4"/>
  <c r="AV437" i="4"/>
  <c r="AV438" i="4"/>
  <c r="AV439" i="4"/>
  <c r="AV440" i="4"/>
  <c r="AV441" i="4"/>
  <c r="AV442" i="4"/>
  <c r="AV443" i="4"/>
  <c r="AV444" i="4"/>
  <c r="AV445" i="4"/>
  <c r="AV446" i="4"/>
  <c r="AV447" i="4"/>
  <c r="AV448" i="4"/>
  <c r="AV449" i="4"/>
  <c r="AV450" i="4"/>
  <c r="AV451" i="4"/>
  <c r="AV452" i="4"/>
  <c r="AV453" i="4"/>
  <c r="AV454" i="4"/>
  <c r="AV455" i="4"/>
  <c r="AV456" i="4"/>
  <c r="AV457" i="4"/>
  <c r="AV458" i="4"/>
  <c r="AV459" i="4"/>
  <c r="AV460" i="4"/>
  <c r="AV461" i="4"/>
  <c r="AV462" i="4"/>
  <c r="AV463" i="4"/>
  <c r="AV464" i="4"/>
  <c r="AV465" i="4"/>
  <c r="AV466" i="4"/>
  <c r="AV467" i="4"/>
  <c r="AV468" i="4"/>
  <c r="AV469" i="4"/>
  <c r="AV470" i="4"/>
  <c r="AV471" i="4"/>
  <c r="AV472" i="4"/>
  <c r="AV473" i="4"/>
  <c r="AV474" i="4"/>
  <c r="AV475" i="4"/>
  <c r="AV476" i="4"/>
  <c r="AV477" i="4"/>
  <c r="AV478" i="4"/>
  <c r="AV479" i="4"/>
  <c r="AV480" i="4"/>
  <c r="AV481" i="4"/>
  <c r="AV482" i="4"/>
  <c r="AV483" i="4"/>
  <c r="AV484" i="4"/>
  <c r="AV485" i="4"/>
  <c r="AV486" i="4"/>
  <c r="AV487" i="4"/>
  <c r="AV488" i="4"/>
  <c r="AV489" i="4"/>
  <c r="AV490" i="4"/>
  <c r="AV491" i="4"/>
  <c r="AV492" i="4"/>
  <c r="AV493" i="4"/>
  <c r="AV494" i="4"/>
  <c r="AV495" i="4"/>
  <c r="AV496" i="4"/>
  <c r="AV497" i="4"/>
  <c r="AV498" i="4"/>
  <c r="AV499" i="4"/>
  <c r="AV500" i="4"/>
  <c r="AV501" i="4"/>
  <c r="AV502" i="4"/>
  <c r="AV503" i="4"/>
  <c r="AV504" i="4"/>
  <c r="AV505" i="4"/>
  <c r="AV506" i="4"/>
  <c r="AV507" i="4"/>
  <c r="AV508" i="4"/>
  <c r="AV509" i="4"/>
  <c r="AV510" i="4"/>
  <c r="AV511" i="4"/>
  <c r="AV512" i="4"/>
  <c r="AV513" i="4"/>
  <c r="AV514" i="4"/>
  <c r="AV515" i="4"/>
  <c r="AV516" i="4"/>
  <c r="AV517" i="4"/>
  <c r="AV518" i="4"/>
  <c r="AV519" i="4"/>
  <c r="AV520" i="4"/>
  <c r="AV521" i="4"/>
  <c r="AV522" i="4"/>
  <c r="AV523" i="4"/>
  <c r="AV524" i="4"/>
  <c r="AV525" i="4"/>
  <c r="AV526" i="4"/>
  <c r="AV527" i="4"/>
  <c r="AV528" i="4"/>
  <c r="AV529" i="4"/>
  <c r="AV530" i="4"/>
  <c r="AU430" i="4"/>
  <c r="AU431" i="4"/>
  <c r="AU432" i="4"/>
  <c r="AU433" i="4"/>
  <c r="AU434" i="4"/>
  <c r="AU435" i="4"/>
  <c r="AU436" i="4"/>
  <c r="AU437" i="4"/>
  <c r="AU438" i="4"/>
  <c r="AU439" i="4"/>
  <c r="AU440" i="4"/>
  <c r="AU441" i="4"/>
  <c r="AU442" i="4"/>
  <c r="AU443" i="4"/>
  <c r="AU444" i="4"/>
  <c r="AU445" i="4"/>
  <c r="AU446" i="4"/>
  <c r="AU447" i="4"/>
  <c r="AU448" i="4"/>
  <c r="AU449" i="4"/>
  <c r="AU450" i="4"/>
  <c r="AU451" i="4"/>
  <c r="AU452" i="4"/>
  <c r="AU453" i="4"/>
  <c r="AU454" i="4"/>
  <c r="AU455" i="4"/>
  <c r="AU456" i="4"/>
  <c r="AU457" i="4"/>
  <c r="AU458" i="4"/>
  <c r="AU459" i="4"/>
  <c r="AU460" i="4"/>
  <c r="AU461" i="4"/>
  <c r="AU462" i="4"/>
  <c r="AU463" i="4"/>
  <c r="AU464" i="4"/>
  <c r="AU465" i="4"/>
  <c r="AU466" i="4"/>
  <c r="AU467" i="4"/>
  <c r="AU468" i="4"/>
  <c r="AU469" i="4"/>
  <c r="AU470" i="4"/>
  <c r="AU471" i="4"/>
  <c r="AU472" i="4"/>
  <c r="AU473" i="4"/>
  <c r="AU474" i="4"/>
  <c r="AU475" i="4"/>
  <c r="AU476" i="4"/>
  <c r="AU477" i="4"/>
  <c r="AU478" i="4"/>
  <c r="AU479" i="4"/>
  <c r="AU480" i="4"/>
  <c r="AU481" i="4"/>
  <c r="AU482" i="4"/>
  <c r="AU483" i="4"/>
  <c r="AU484" i="4"/>
  <c r="AU485" i="4"/>
  <c r="AU486" i="4"/>
  <c r="AU487" i="4"/>
  <c r="AU488" i="4"/>
  <c r="AU489" i="4"/>
  <c r="AU490" i="4"/>
  <c r="AU491" i="4"/>
  <c r="AU492" i="4"/>
  <c r="AU493" i="4"/>
  <c r="AU494" i="4"/>
  <c r="AU495" i="4"/>
  <c r="AU496" i="4"/>
  <c r="AU497" i="4"/>
  <c r="AU498" i="4"/>
  <c r="AU499" i="4"/>
  <c r="AU500" i="4"/>
  <c r="AU501" i="4"/>
  <c r="AU502" i="4"/>
  <c r="AU503" i="4"/>
  <c r="AU504" i="4"/>
  <c r="AU505" i="4"/>
  <c r="AU506" i="4"/>
  <c r="AU507" i="4"/>
  <c r="AU508" i="4"/>
  <c r="AU509" i="4"/>
  <c r="AU510" i="4"/>
  <c r="AU511" i="4"/>
  <c r="AU512" i="4"/>
  <c r="AU513" i="4"/>
  <c r="AU514" i="4"/>
  <c r="AU515" i="4"/>
  <c r="AU516" i="4"/>
  <c r="AU517" i="4"/>
  <c r="AU518" i="4"/>
  <c r="AU519" i="4"/>
  <c r="AU520" i="4"/>
  <c r="AU521" i="4"/>
  <c r="AU522" i="4"/>
  <c r="AU523" i="4"/>
  <c r="AU524" i="4"/>
  <c r="AU525" i="4"/>
  <c r="AU526" i="4"/>
  <c r="AU527" i="4"/>
  <c r="AU528" i="4"/>
  <c r="AU529" i="4"/>
  <c r="AU530" i="4"/>
  <c r="AT430" i="4"/>
  <c r="AT431" i="4"/>
  <c r="AT432" i="4"/>
  <c r="AT433" i="4"/>
  <c r="AT434" i="4"/>
  <c r="AT435" i="4"/>
  <c r="AT436" i="4"/>
  <c r="AT437" i="4"/>
  <c r="AT438" i="4"/>
  <c r="AT439" i="4"/>
  <c r="AT440" i="4"/>
  <c r="AT441" i="4"/>
  <c r="AT442" i="4"/>
  <c r="AT443" i="4"/>
  <c r="AT444" i="4"/>
  <c r="AT445" i="4"/>
  <c r="AT446" i="4"/>
  <c r="AT447" i="4"/>
  <c r="AT448" i="4"/>
  <c r="AT449" i="4"/>
  <c r="AT450" i="4"/>
  <c r="AT451" i="4"/>
  <c r="AT452" i="4"/>
  <c r="AT453" i="4"/>
  <c r="AT454" i="4"/>
  <c r="AT455" i="4"/>
  <c r="AT456" i="4"/>
  <c r="AT457" i="4"/>
  <c r="AT458" i="4"/>
  <c r="AT459" i="4"/>
  <c r="AT460" i="4"/>
  <c r="AT461" i="4"/>
  <c r="AT462" i="4"/>
  <c r="AT463" i="4"/>
  <c r="AT464" i="4"/>
  <c r="AT465" i="4"/>
  <c r="AT466" i="4"/>
  <c r="AT467" i="4"/>
  <c r="AT468" i="4"/>
  <c r="AT469" i="4"/>
  <c r="AT470" i="4"/>
  <c r="AT471" i="4"/>
  <c r="AT472" i="4"/>
  <c r="AT473" i="4"/>
  <c r="AT474" i="4"/>
  <c r="AT475" i="4"/>
  <c r="AT476" i="4"/>
  <c r="AT477" i="4"/>
  <c r="AT478" i="4"/>
  <c r="AT479" i="4"/>
  <c r="AT480" i="4"/>
  <c r="AT481" i="4"/>
  <c r="AT482" i="4"/>
  <c r="AT483" i="4"/>
  <c r="AT484" i="4"/>
  <c r="AT485" i="4"/>
  <c r="AT486" i="4"/>
  <c r="AT487" i="4"/>
  <c r="AT488" i="4"/>
  <c r="AT489" i="4"/>
  <c r="AT490" i="4"/>
  <c r="AT491" i="4"/>
  <c r="AT492" i="4"/>
  <c r="AT493" i="4"/>
  <c r="AT494" i="4"/>
  <c r="AT495" i="4"/>
  <c r="AT496" i="4"/>
  <c r="AT497" i="4"/>
  <c r="AT498" i="4"/>
  <c r="AT499" i="4"/>
  <c r="AT500" i="4"/>
  <c r="AT501" i="4"/>
  <c r="AT502" i="4"/>
  <c r="AT503" i="4"/>
  <c r="AT504" i="4"/>
  <c r="AT505" i="4"/>
  <c r="AT506" i="4"/>
  <c r="AT507" i="4"/>
  <c r="AT508" i="4"/>
  <c r="AT509" i="4"/>
  <c r="AT510" i="4"/>
  <c r="AT511" i="4"/>
  <c r="AT512" i="4"/>
  <c r="AT513" i="4"/>
  <c r="AT514" i="4"/>
  <c r="AT515" i="4"/>
  <c r="AT516" i="4"/>
  <c r="AT517" i="4"/>
  <c r="AT518" i="4"/>
  <c r="AT519" i="4"/>
  <c r="AT520" i="4"/>
  <c r="AT521" i="4"/>
  <c r="AT522" i="4"/>
  <c r="AT523" i="4"/>
  <c r="AT524" i="4"/>
  <c r="AT525" i="4"/>
  <c r="AT526" i="4"/>
  <c r="AT527" i="4"/>
  <c r="AT528" i="4"/>
  <c r="AT529" i="4"/>
  <c r="AT530" i="4"/>
  <c r="AS430" i="4"/>
  <c r="AS431" i="4"/>
  <c r="AS432" i="4"/>
  <c r="AS433" i="4"/>
  <c r="AS434" i="4"/>
  <c r="AS435" i="4"/>
  <c r="AS436" i="4"/>
  <c r="AS437" i="4"/>
  <c r="AS438" i="4"/>
  <c r="AS439" i="4"/>
  <c r="AS440" i="4"/>
  <c r="AS441" i="4"/>
  <c r="AS442" i="4"/>
  <c r="AS443" i="4"/>
  <c r="AS444" i="4"/>
  <c r="AS445" i="4"/>
  <c r="AS446" i="4"/>
  <c r="AS447" i="4"/>
  <c r="AS448" i="4"/>
  <c r="AS449" i="4"/>
  <c r="AS450" i="4"/>
  <c r="AS451" i="4"/>
  <c r="AS452" i="4"/>
  <c r="AS453" i="4"/>
  <c r="AS454" i="4"/>
  <c r="AS455" i="4"/>
  <c r="AS456" i="4"/>
  <c r="AS457" i="4"/>
  <c r="AS458" i="4"/>
  <c r="AS459" i="4"/>
  <c r="AS460" i="4"/>
  <c r="AS461" i="4"/>
  <c r="AS462" i="4"/>
  <c r="AS463" i="4"/>
  <c r="AS464" i="4"/>
  <c r="AS465" i="4"/>
  <c r="AS466" i="4"/>
  <c r="AS467" i="4"/>
  <c r="AS468" i="4"/>
  <c r="AS469" i="4"/>
  <c r="AS470" i="4"/>
  <c r="AS471" i="4"/>
  <c r="AS472" i="4"/>
  <c r="AS473" i="4"/>
  <c r="AS474" i="4"/>
  <c r="AS475" i="4"/>
  <c r="AS476" i="4"/>
  <c r="AS477" i="4"/>
  <c r="AS478" i="4"/>
  <c r="AS479" i="4"/>
  <c r="AS480" i="4"/>
  <c r="AS481" i="4"/>
  <c r="AS482" i="4"/>
  <c r="AS483" i="4"/>
  <c r="AS484" i="4"/>
  <c r="AS485" i="4"/>
  <c r="AS486" i="4"/>
  <c r="AS487" i="4"/>
  <c r="AS488" i="4"/>
  <c r="AS489" i="4"/>
  <c r="AS490" i="4"/>
  <c r="AS491" i="4"/>
  <c r="AS492" i="4"/>
  <c r="AS493" i="4"/>
  <c r="AS494" i="4"/>
  <c r="AS495" i="4"/>
  <c r="AS496" i="4"/>
  <c r="AS497" i="4"/>
  <c r="AS498" i="4"/>
  <c r="AS499" i="4"/>
  <c r="AS500" i="4"/>
  <c r="AS501" i="4"/>
  <c r="AS502" i="4"/>
  <c r="AS503" i="4"/>
  <c r="AS504" i="4"/>
  <c r="AS505" i="4"/>
  <c r="AS506" i="4"/>
  <c r="AS507" i="4"/>
  <c r="AS508" i="4"/>
  <c r="AS509" i="4"/>
  <c r="AS510" i="4"/>
  <c r="AS511" i="4"/>
  <c r="AS512" i="4"/>
  <c r="AS513" i="4"/>
  <c r="AS514" i="4"/>
  <c r="AS515" i="4"/>
  <c r="AS516" i="4"/>
  <c r="AS517" i="4"/>
  <c r="AS518" i="4"/>
  <c r="AS519" i="4"/>
  <c r="AS520" i="4"/>
  <c r="AS521" i="4"/>
  <c r="AS522" i="4"/>
  <c r="AS523" i="4"/>
  <c r="AS524" i="4"/>
  <c r="AS525" i="4"/>
  <c r="AS526" i="4"/>
  <c r="AS527" i="4"/>
  <c r="AS528" i="4"/>
  <c r="AS529" i="4"/>
  <c r="AS530" i="4"/>
  <c r="AR430" i="4"/>
  <c r="AR431" i="4"/>
  <c r="AR432" i="4"/>
  <c r="AR433" i="4"/>
  <c r="AR434" i="4"/>
  <c r="AR435" i="4"/>
  <c r="AR436" i="4"/>
  <c r="AR437" i="4"/>
  <c r="AR438" i="4"/>
  <c r="AR439" i="4"/>
  <c r="AR440" i="4"/>
  <c r="AR441" i="4"/>
  <c r="AR442" i="4"/>
  <c r="AR443" i="4"/>
  <c r="AR444" i="4"/>
  <c r="AR445" i="4"/>
  <c r="AR446" i="4"/>
  <c r="AR447" i="4"/>
  <c r="AR448" i="4"/>
  <c r="AR449" i="4"/>
  <c r="AR450" i="4"/>
  <c r="AR451" i="4"/>
  <c r="AR452" i="4"/>
  <c r="AR453" i="4"/>
  <c r="AR454" i="4"/>
  <c r="AR455" i="4"/>
  <c r="AR456" i="4"/>
  <c r="AR457" i="4"/>
  <c r="AR458" i="4"/>
  <c r="AR459" i="4"/>
  <c r="AR460" i="4"/>
  <c r="AR461" i="4"/>
  <c r="AR462" i="4"/>
  <c r="AR463" i="4"/>
  <c r="AR464" i="4"/>
  <c r="AR465" i="4"/>
  <c r="AR466" i="4"/>
  <c r="AR467" i="4"/>
  <c r="AR468" i="4"/>
  <c r="AR469" i="4"/>
  <c r="AR470" i="4"/>
  <c r="AR471" i="4"/>
  <c r="AR472" i="4"/>
  <c r="AR473" i="4"/>
  <c r="AR474" i="4"/>
  <c r="AR475" i="4"/>
  <c r="AR476" i="4"/>
  <c r="AR477" i="4"/>
  <c r="AR478" i="4"/>
  <c r="AR479" i="4"/>
  <c r="AR480" i="4"/>
  <c r="AR481" i="4"/>
  <c r="AR482" i="4"/>
  <c r="AR483" i="4"/>
  <c r="AR484" i="4"/>
  <c r="AR485" i="4"/>
  <c r="AR486" i="4"/>
  <c r="AR487" i="4"/>
  <c r="AR488" i="4"/>
  <c r="AR489" i="4"/>
  <c r="AR490" i="4"/>
  <c r="AR491" i="4"/>
  <c r="AR492" i="4"/>
  <c r="AR493" i="4"/>
  <c r="AR494" i="4"/>
  <c r="AR495" i="4"/>
  <c r="AR496" i="4"/>
  <c r="AR497" i="4"/>
  <c r="AR498" i="4"/>
  <c r="AR499" i="4"/>
  <c r="AR500" i="4"/>
  <c r="AR501" i="4"/>
  <c r="AR502" i="4"/>
  <c r="AR503" i="4"/>
  <c r="AR504" i="4"/>
  <c r="AR505" i="4"/>
  <c r="AR506" i="4"/>
  <c r="AR507" i="4"/>
  <c r="AR508" i="4"/>
  <c r="AR509" i="4"/>
  <c r="AR510" i="4"/>
  <c r="AR511" i="4"/>
  <c r="AR512" i="4"/>
  <c r="AR513" i="4"/>
  <c r="AR514" i="4"/>
  <c r="AR515" i="4"/>
  <c r="AR516" i="4"/>
  <c r="AR517" i="4"/>
  <c r="AR518" i="4"/>
  <c r="AR519" i="4"/>
  <c r="AR520" i="4"/>
  <c r="AR521" i="4"/>
  <c r="AR522" i="4"/>
  <c r="AR523" i="4"/>
  <c r="AR524" i="4"/>
  <c r="AR525" i="4"/>
  <c r="AR526" i="4"/>
  <c r="AR527" i="4"/>
  <c r="AR528" i="4"/>
  <c r="AR529" i="4"/>
  <c r="AR530" i="4"/>
  <c r="AQ430" i="4"/>
  <c r="AQ431" i="4"/>
  <c r="AQ432" i="4"/>
  <c r="AQ433" i="4"/>
  <c r="AQ434" i="4"/>
  <c r="AQ435" i="4"/>
  <c r="AQ436" i="4"/>
  <c r="AQ437" i="4"/>
  <c r="AQ438" i="4"/>
  <c r="AQ439" i="4"/>
  <c r="AQ440" i="4"/>
  <c r="AQ441" i="4"/>
  <c r="AQ442" i="4"/>
  <c r="AQ443" i="4"/>
  <c r="AQ444" i="4"/>
  <c r="AQ445" i="4"/>
  <c r="AQ446" i="4"/>
  <c r="AQ447" i="4"/>
  <c r="AQ448" i="4"/>
  <c r="AQ449" i="4"/>
  <c r="AQ450" i="4"/>
  <c r="AQ451" i="4"/>
  <c r="AQ452" i="4"/>
  <c r="AQ453" i="4"/>
  <c r="AQ454" i="4"/>
  <c r="AQ455" i="4"/>
  <c r="AQ456" i="4"/>
  <c r="AQ457" i="4"/>
  <c r="AQ458" i="4"/>
  <c r="AQ459" i="4"/>
  <c r="AQ460" i="4"/>
  <c r="AQ461" i="4"/>
  <c r="AQ462" i="4"/>
  <c r="AQ463" i="4"/>
  <c r="AQ464" i="4"/>
  <c r="AQ465" i="4"/>
  <c r="AQ466" i="4"/>
  <c r="AQ467" i="4"/>
  <c r="AQ468" i="4"/>
  <c r="AQ469" i="4"/>
  <c r="AQ470" i="4"/>
  <c r="AQ471" i="4"/>
  <c r="AQ472" i="4"/>
  <c r="AQ473" i="4"/>
  <c r="AQ474" i="4"/>
  <c r="AQ475" i="4"/>
  <c r="AQ476" i="4"/>
  <c r="AQ477" i="4"/>
  <c r="AQ478" i="4"/>
  <c r="AQ479" i="4"/>
  <c r="AQ480" i="4"/>
  <c r="AQ481" i="4"/>
  <c r="AQ482" i="4"/>
  <c r="AQ483" i="4"/>
  <c r="AQ484" i="4"/>
  <c r="AQ485" i="4"/>
  <c r="AQ486" i="4"/>
  <c r="AQ487" i="4"/>
  <c r="AQ488" i="4"/>
  <c r="AQ489" i="4"/>
  <c r="AQ490" i="4"/>
  <c r="AQ491" i="4"/>
  <c r="AQ492" i="4"/>
  <c r="AQ493" i="4"/>
  <c r="AQ494" i="4"/>
  <c r="AQ495" i="4"/>
  <c r="AQ496" i="4"/>
  <c r="AQ497" i="4"/>
  <c r="AQ498" i="4"/>
  <c r="AQ499" i="4"/>
  <c r="AQ500" i="4"/>
  <c r="AQ501" i="4"/>
  <c r="AQ502" i="4"/>
  <c r="AQ503" i="4"/>
  <c r="AQ504" i="4"/>
  <c r="AQ505" i="4"/>
  <c r="AQ506" i="4"/>
  <c r="AQ507" i="4"/>
  <c r="AQ508" i="4"/>
  <c r="AQ509" i="4"/>
  <c r="AQ510" i="4"/>
  <c r="AQ511" i="4"/>
  <c r="AQ512" i="4"/>
  <c r="AQ513" i="4"/>
  <c r="AQ514" i="4"/>
  <c r="AQ515" i="4"/>
  <c r="AQ516" i="4"/>
  <c r="AQ517" i="4"/>
  <c r="AQ518" i="4"/>
  <c r="AQ519" i="4"/>
  <c r="AQ520" i="4"/>
  <c r="AQ521" i="4"/>
  <c r="AQ522" i="4"/>
  <c r="AQ523" i="4"/>
  <c r="AQ524" i="4"/>
  <c r="AQ525" i="4"/>
  <c r="AQ526" i="4"/>
  <c r="AQ527" i="4"/>
  <c r="AQ528" i="4"/>
  <c r="AQ529" i="4"/>
  <c r="AQ530" i="4"/>
  <c r="AP430" i="4"/>
  <c r="AP431" i="4"/>
  <c r="AP432" i="4"/>
  <c r="AP433" i="4"/>
  <c r="AP434" i="4"/>
  <c r="AP435" i="4"/>
  <c r="AP436" i="4"/>
  <c r="AP437" i="4"/>
  <c r="AP438" i="4"/>
  <c r="AP439" i="4"/>
  <c r="AP440" i="4"/>
  <c r="AP441" i="4"/>
  <c r="AP442" i="4"/>
  <c r="AP443" i="4"/>
  <c r="AP444" i="4"/>
  <c r="AP445" i="4"/>
  <c r="AP446" i="4"/>
  <c r="AP447" i="4"/>
  <c r="AP448" i="4"/>
  <c r="AP449" i="4"/>
  <c r="AP450" i="4"/>
  <c r="AP451" i="4"/>
  <c r="AP452" i="4"/>
  <c r="AP453" i="4"/>
  <c r="AP454" i="4"/>
  <c r="AP455" i="4"/>
  <c r="AP456" i="4"/>
  <c r="AP457" i="4"/>
  <c r="AP458" i="4"/>
  <c r="AP459" i="4"/>
  <c r="AP460" i="4"/>
  <c r="AP461" i="4"/>
  <c r="AP462" i="4"/>
  <c r="AP463" i="4"/>
  <c r="AP464" i="4"/>
  <c r="AP465" i="4"/>
  <c r="AP466" i="4"/>
  <c r="AP467" i="4"/>
  <c r="AP468" i="4"/>
  <c r="AP469" i="4"/>
  <c r="AP470" i="4"/>
  <c r="AP471" i="4"/>
  <c r="AP472" i="4"/>
  <c r="AP473" i="4"/>
  <c r="AP474" i="4"/>
  <c r="AP475" i="4"/>
  <c r="AP476" i="4"/>
  <c r="AP477" i="4"/>
  <c r="AP478" i="4"/>
  <c r="AP479" i="4"/>
  <c r="AP480" i="4"/>
  <c r="AP481" i="4"/>
  <c r="AP482" i="4"/>
  <c r="AP483" i="4"/>
  <c r="AP484" i="4"/>
  <c r="AP485" i="4"/>
  <c r="AP486" i="4"/>
  <c r="AP487" i="4"/>
  <c r="AP488" i="4"/>
  <c r="AP489" i="4"/>
  <c r="AP490" i="4"/>
  <c r="AP491" i="4"/>
  <c r="AP492" i="4"/>
  <c r="AP493" i="4"/>
  <c r="AP494" i="4"/>
  <c r="AP495" i="4"/>
  <c r="AP496" i="4"/>
  <c r="AP497" i="4"/>
  <c r="AP498" i="4"/>
  <c r="AP499" i="4"/>
  <c r="AP500" i="4"/>
  <c r="AP501" i="4"/>
  <c r="AP502" i="4"/>
  <c r="AP503" i="4"/>
  <c r="AP504" i="4"/>
  <c r="AP505" i="4"/>
  <c r="AP506" i="4"/>
  <c r="AP507" i="4"/>
  <c r="AP508" i="4"/>
  <c r="AP509" i="4"/>
  <c r="AP510" i="4"/>
  <c r="AP511" i="4"/>
  <c r="AP512" i="4"/>
  <c r="AP513" i="4"/>
  <c r="AP514" i="4"/>
  <c r="AP515" i="4"/>
  <c r="AP516" i="4"/>
  <c r="AP517" i="4"/>
  <c r="AP518" i="4"/>
  <c r="AP519" i="4"/>
  <c r="AP520" i="4"/>
  <c r="AP521" i="4"/>
  <c r="AP522" i="4"/>
  <c r="AP523" i="4"/>
  <c r="AP524" i="4"/>
  <c r="AP525" i="4"/>
  <c r="AP526" i="4"/>
  <c r="AP527" i="4"/>
  <c r="AP528" i="4"/>
  <c r="AP529" i="4"/>
  <c r="AP530" i="4"/>
  <c r="AO430" i="4"/>
  <c r="AO431" i="4"/>
  <c r="AO432" i="4"/>
  <c r="AO433" i="4"/>
  <c r="AO434" i="4"/>
  <c r="AO435" i="4"/>
  <c r="AO436" i="4"/>
  <c r="AO437" i="4"/>
  <c r="AO438" i="4"/>
  <c r="AO439" i="4"/>
  <c r="AO440" i="4"/>
  <c r="AO441" i="4"/>
  <c r="AO442" i="4"/>
  <c r="AO443" i="4"/>
  <c r="AO444" i="4"/>
  <c r="AO445" i="4"/>
  <c r="AO446" i="4"/>
  <c r="AO447" i="4"/>
  <c r="AO448" i="4"/>
  <c r="AO449" i="4"/>
  <c r="AO450" i="4"/>
  <c r="AO451" i="4"/>
  <c r="AO452" i="4"/>
  <c r="AO453" i="4"/>
  <c r="AO454" i="4"/>
  <c r="AO455" i="4"/>
  <c r="AO456" i="4"/>
  <c r="AO457" i="4"/>
  <c r="AO458" i="4"/>
  <c r="AO459" i="4"/>
  <c r="AO460" i="4"/>
  <c r="AO461" i="4"/>
  <c r="AO462" i="4"/>
  <c r="AO463" i="4"/>
  <c r="AO464" i="4"/>
  <c r="AO465" i="4"/>
  <c r="AO466" i="4"/>
  <c r="AO467" i="4"/>
  <c r="AO468" i="4"/>
  <c r="AO469" i="4"/>
  <c r="AO470" i="4"/>
  <c r="AO471" i="4"/>
  <c r="AO472" i="4"/>
  <c r="AO473" i="4"/>
  <c r="AO474" i="4"/>
  <c r="AO475" i="4"/>
  <c r="AO476" i="4"/>
  <c r="AO477" i="4"/>
  <c r="AO478" i="4"/>
  <c r="AO479" i="4"/>
  <c r="AO480" i="4"/>
  <c r="AO481" i="4"/>
  <c r="AO482" i="4"/>
  <c r="AO483" i="4"/>
  <c r="AO484" i="4"/>
  <c r="AO485" i="4"/>
  <c r="AO486" i="4"/>
  <c r="AO487" i="4"/>
  <c r="AO488" i="4"/>
  <c r="AO489" i="4"/>
  <c r="AO490" i="4"/>
  <c r="AO491" i="4"/>
  <c r="AO492" i="4"/>
  <c r="AO493" i="4"/>
  <c r="AO494" i="4"/>
  <c r="AO495" i="4"/>
  <c r="AO496" i="4"/>
  <c r="AO497" i="4"/>
  <c r="AO498" i="4"/>
  <c r="AO499" i="4"/>
  <c r="AO500" i="4"/>
  <c r="AO501" i="4"/>
  <c r="AO502" i="4"/>
  <c r="AO503" i="4"/>
  <c r="AO504" i="4"/>
  <c r="AO505" i="4"/>
  <c r="AO506" i="4"/>
  <c r="AO507" i="4"/>
  <c r="AO508" i="4"/>
  <c r="AO509" i="4"/>
  <c r="AO510" i="4"/>
  <c r="AO511" i="4"/>
  <c r="AO512" i="4"/>
  <c r="AO513" i="4"/>
  <c r="AO514" i="4"/>
  <c r="AO515" i="4"/>
  <c r="AO516" i="4"/>
  <c r="AO517" i="4"/>
  <c r="AO518" i="4"/>
  <c r="AO519" i="4"/>
  <c r="AO520" i="4"/>
  <c r="AO521" i="4"/>
  <c r="AO522" i="4"/>
  <c r="AO523" i="4"/>
  <c r="AO524" i="4"/>
  <c r="AO525" i="4"/>
  <c r="AO526" i="4"/>
  <c r="AO527" i="4"/>
  <c r="AO528" i="4"/>
  <c r="AO529" i="4"/>
  <c r="AO530" i="4"/>
  <c r="AN430" i="4"/>
  <c r="AN431" i="4"/>
  <c r="AN432" i="4"/>
  <c r="AN433" i="4"/>
  <c r="AN434" i="4"/>
  <c r="AN435" i="4"/>
  <c r="AN436" i="4"/>
  <c r="AN437" i="4"/>
  <c r="AN438" i="4"/>
  <c r="AN439" i="4"/>
  <c r="AN440" i="4"/>
  <c r="AN441" i="4"/>
  <c r="AN442" i="4"/>
  <c r="AN443" i="4"/>
  <c r="AN444" i="4"/>
  <c r="AN445" i="4"/>
  <c r="AN446" i="4"/>
  <c r="AN447" i="4"/>
  <c r="AN448" i="4"/>
  <c r="AN449" i="4"/>
  <c r="AN450" i="4"/>
  <c r="AN451" i="4"/>
  <c r="AN452" i="4"/>
  <c r="AN453" i="4"/>
  <c r="AN454" i="4"/>
  <c r="AN455" i="4"/>
  <c r="AN456" i="4"/>
  <c r="AN457" i="4"/>
  <c r="AN458" i="4"/>
  <c r="AN459" i="4"/>
  <c r="AN460" i="4"/>
  <c r="AN461" i="4"/>
  <c r="AN462" i="4"/>
  <c r="AN463" i="4"/>
  <c r="AN464" i="4"/>
  <c r="AN465" i="4"/>
  <c r="AN466" i="4"/>
  <c r="AN467" i="4"/>
  <c r="AN468" i="4"/>
  <c r="AN469" i="4"/>
  <c r="AN470" i="4"/>
  <c r="AN471" i="4"/>
  <c r="AN472" i="4"/>
  <c r="AN473" i="4"/>
  <c r="AN474" i="4"/>
  <c r="AN475" i="4"/>
  <c r="AN476" i="4"/>
  <c r="AN477" i="4"/>
  <c r="AN478" i="4"/>
  <c r="AN479" i="4"/>
  <c r="AN480" i="4"/>
  <c r="AN481" i="4"/>
  <c r="AN482" i="4"/>
  <c r="AN483" i="4"/>
  <c r="AN484" i="4"/>
  <c r="AN485" i="4"/>
  <c r="AN486" i="4"/>
  <c r="AN487" i="4"/>
  <c r="AN488" i="4"/>
  <c r="AN489" i="4"/>
  <c r="AN490" i="4"/>
  <c r="AN491" i="4"/>
  <c r="AN492" i="4"/>
  <c r="AN493" i="4"/>
  <c r="AN494" i="4"/>
  <c r="AN495" i="4"/>
  <c r="AN496" i="4"/>
  <c r="AN497" i="4"/>
  <c r="AN498" i="4"/>
  <c r="AN499" i="4"/>
  <c r="AN500" i="4"/>
  <c r="AN501" i="4"/>
  <c r="AN502" i="4"/>
  <c r="AN503" i="4"/>
  <c r="AN504" i="4"/>
  <c r="AN505" i="4"/>
  <c r="AN506" i="4"/>
  <c r="AN507" i="4"/>
  <c r="AN508" i="4"/>
  <c r="AN509" i="4"/>
  <c r="AN510" i="4"/>
  <c r="AN511" i="4"/>
  <c r="AN512" i="4"/>
  <c r="AN513" i="4"/>
  <c r="AN514" i="4"/>
  <c r="AN515" i="4"/>
  <c r="AN516" i="4"/>
  <c r="AN517" i="4"/>
  <c r="AN518" i="4"/>
  <c r="AN519" i="4"/>
  <c r="AN520" i="4"/>
  <c r="AN521" i="4"/>
  <c r="AN522" i="4"/>
  <c r="AN523" i="4"/>
  <c r="AN524" i="4"/>
  <c r="AN525" i="4"/>
  <c r="AN526" i="4"/>
  <c r="AN527" i="4"/>
  <c r="AN528" i="4"/>
  <c r="AN529" i="4"/>
  <c r="AN530" i="4"/>
  <c r="AM430" i="4"/>
  <c r="AM431" i="4"/>
  <c r="AM432" i="4"/>
  <c r="AM433" i="4"/>
  <c r="AM434" i="4"/>
  <c r="AM435" i="4"/>
  <c r="AM436" i="4"/>
  <c r="AM437" i="4"/>
  <c r="AM438" i="4"/>
  <c r="AM439" i="4"/>
  <c r="AM440" i="4"/>
  <c r="AM441" i="4"/>
  <c r="AM442" i="4"/>
  <c r="AM443" i="4"/>
  <c r="AM444" i="4"/>
  <c r="AM445" i="4"/>
  <c r="AM446" i="4"/>
  <c r="AM447" i="4"/>
  <c r="AM448" i="4"/>
  <c r="AM449" i="4"/>
  <c r="AM450" i="4"/>
  <c r="AM451" i="4"/>
  <c r="AM452" i="4"/>
  <c r="AM453" i="4"/>
  <c r="AM454" i="4"/>
  <c r="AM455" i="4"/>
  <c r="AM456" i="4"/>
  <c r="AM457" i="4"/>
  <c r="AM458" i="4"/>
  <c r="AM459" i="4"/>
  <c r="AM460" i="4"/>
  <c r="AM461" i="4"/>
  <c r="AM462" i="4"/>
  <c r="AM463" i="4"/>
  <c r="AM464" i="4"/>
  <c r="AM465" i="4"/>
  <c r="AM466" i="4"/>
  <c r="AM467" i="4"/>
  <c r="AM468" i="4"/>
  <c r="AM469" i="4"/>
  <c r="AM470" i="4"/>
  <c r="AM471" i="4"/>
  <c r="AM472" i="4"/>
  <c r="AM473" i="4"/>
  <c r="AM474" i="4"/>
  <c r="AM475" i="4"/>
  <c r="AM476" i="4"/>
  <c r="AM477" i="4"/>
  <c r="AM478" i="4"/>
  <c r="AM479" i="4"/>
  <c r="AM480" i="4"/>
  <c r="AM481" i="4"/>
  <c r="AM482" i="4"/>
  <c r="AM483" i="4"/>
  <c r="AM484" i="4"/>
  <c r="AM485" i="4"/>
  <c r="AM486" i="4"/>
  <c r="AM487" i="4"/>
  <c r="AM488" i="4"/>
  <c r="AM489" i="4"/>
  <c r="AM490" i="4"/>
  <c r="AM491" i="4"/>
  <c r="AM492" i="4"/>
  <c r="AM493" i="4"/>
  <c r="AM494" i="4"/>
  <c r="AM495" i="4"/>
  <c r="AM496" i="4"/>
  <c r="AM497" i="4"/>
  <c r="AM498" i="4"/>
  <c r="AM499" i="4"/>
  <c r="AM500" i="4"/>
  <c r="AM501" i="4"/>
  <c r="AM502" i="4"/>
  <c r="AM503" i="4"/>
  <c r="AM504" i="4"/>
  <c r="AM505" i="4"/>
  <c r="AM506" i="4"/>
  <c r="AM507" i="4"/>
  <c r="AM508" i="4"/>
  <c r="AM509" i="4"/>
  <c r="AM510" i="4"/>
  <c r="AM511" i="4"/>
  <c r="AM512" i="4"/>
  <c r="AM513" i="4"/>
  <c r="AM514" i="4"/>
  <c r="AM515" i="4"/>
  <c r="AM516" i="4"/>
  <c r="AM517" i="4"/>
  <c r="AM518" i="4"/>
  <c r="AM519" i="4"/>
  <c r="AM520" i="4"/>
  <c r="AM521" i="4"/>
  <c r="AM522" i="4"/>
  <c r="AM523" i="4"/>
  <c r="AM524" i="4"/>
  <c r="AM525" i="4"/>
  <c r="AM526" i="4"/>
  <c r="AM527" i="4"/>
  <c r="AM528" i="4"/>
  <c r="AM529" i="4"/>
  <c r="AM530" i="4"/>
  <c r="AL430" i="4"/>
  <c r="AL431" i="4"/>
  <c r="AL432" i="4"/>
  <c r="AL433" i="4"/>
  <c r="AL434" i="4"/>
  <c r="AL435" i="4"/>
  <c r="AL436" i="4"/>
  <c r="AL437" i="4"/>
  <c r="AL438" i="4"/>
  <c r="AL439" i="4"/>
  <c r="AL440" i="4"/>
  <c r="AL441" i="4"/>
  <c r="AL442" i="4"/>
  <c r="AL443" i="4"/>
  <c r="AL444" i="4"/>
  <c r="AL445" i="4"/>
  <c r="AL446" i="4"/>
  <c r="AL447" i="4"/>
  <c r="AL448" i="4"/>
  <c r="AL449" i="4"/>
  <c r="AL450" i="4"/>
  <c r="AL451" i="4"/>
  <c r="AL452" i="4"/>
  <c r="AL453" i="4"/>
  <c r="AL454" i="4"/>
  <c r="AL455" i="4"/>
  <c r="AL456" i="4"/>
  <c r="AL457" i="4"/>
  <c r="AL458" i="4"/>
  <c r="AL459" i="4"/>
  <c r="AL460" i="4"/>
  <c r="AL461" i="4"/>
  <c r="AL462" i="4"/>
  <c r="AL463" i="4"/>
  <c r="AL464" i="4"/>
  <c r="AL465" i="4"/>
  <c r="AL466" i="4"/>
  <c r="AL467" i="4"/>
  <c r="AL468" i="4"/>
  <c r="AL469" i="4"/>
  <c r="AL470" i="4"/>
  <c r="AL471" i="4"/>
  <c r="AL472" i="4"/>
  <c r="AL473" i="4"/>
  <c r="AL474" i="4"/>
  <c r="AL475" i="4"/>
  <c r="AL476" i="4"/>
  <c r="AL477" i="4"/>
  <c r="AL478" i="4"/>
  <c r="AL479" i="4"/>
  <c r="AL480" i="4"/>
  <c r="AL481" i="4"/>
  <c r="AL482" i="4"/>
  <c r="AL483" i="4"/>
  <c r="AL484" i="4"/>
  <c r="AL485" i="4"/>
  <c r="AL486" i="4"/>
  <c r="AL487" i="4"/>
  <c r="AL488" i="4"/>
  <c r="AL489" i="4"/>
  <c r="AL490" i="4"/>
  <c r="AL491" i="4"/>
  <c r="AL492" i="4"/>
  <c r="AL493" i="4"/>
  <c r="AL494" i="4"/>
  <c r="AL495" i="4"/>
  <c r="AL496" i="4"/>
  <c r="AL497" i="4"/>
  <c r="AL498" i="4"/>
  <c r="AL499" i="4"/>
  <c r="AL500" i="4"/>
  <c r="AL501" i="4"/>
  <c r="AL502" i="4"/>
  <c r="AL503" i="4"/>
  <c r="AL504" i="4"/>
  <c r="AL505" i="4"/>
  <c r="AL506" i="4"/>
  <c r="AL507" i="4"/>
  <c r="AL508" i="4"/>
  <c r="AL509" i="4"/>
  <c r="AL510" i="4"/>
  <c r="AL511" i="4"/>
  <c r="AL512" i="4"/>
  <c r="AL513" i="4"/>
  <c r="AL514" i="4"/>
  <c r="AL515" i="4"/>
  <c r="AL516" i="4"/>
  <c r="AL517" i="4"/>
  <c r="AL518" i="4"/>
  <c r="AL519" i="4"/>
  <c r="AL520" i="4"/>
  <c r="AL521" i="4"/>
  <c r="AL522" i="4"/>
  <c r="AL523" i="4"/>
  <c r="AL524" i="4"/>
  <c r="AL525" i="4"/>
  <c r="AL526" i="4"/>
  <c r="AL527" i="4"/>
  <c r="AL528" i="4"/>
  <c r="AL529" i="4"/>
  <c r="AL530" i="4"/>
  <c r="AK430" i="4"/>
  <c r="AK431" i="4"/>
  <c r="AK432" i="4"/>
  <c r="AK433" i="4"/>
  <c r="AK434" i="4"/>
  <c r="AK435" i="4"/>
  <c r="AK436" i="4"/>
  <c r="AK437" i="4"/>
  <c r="AK438" i="4"/>
  <c r="AK439" i="4"/>
  <c r="AK440" i="4"/>
  <c r="AK441" i="4"/>
  <c r="AK442" i="4"/>
  <c r="AK443" i="4"/>
  <c r="AK444" i="4"/>
  <c r="AK445" i="4"/>
  <c r="AK446" i="4"/>
  <c r="AK447" i="4"/>
  <c r="AK448" i="4"/>
  <c r="AK449" i="4"/>
  <c r="AK450" i="4"/>
  <c r="AK451" i="4"/>
  <c r="AK452" i="4"/>
  <c r="AK453" i="4"/>
  <c r="AK454" i="4"/>
  <c r="AK455" i="4"/>
  <c r="AK456" i="4"/>
  <c r="AK457" i="4"/>
  <c r="AK458" i="4"/>
  <c r="AK459" i="4"/>
  <c r="AK460" i="4"/>
  <c r="AK461" i="4"/>
  <c r="AK462" i="4"/>
  <c r="AK463" i="4"/>
  <c r="AK464" i="4"/>
  <c r="AK465" i="4"/>
  <c r="AK466" i="4"/>
  <c r="AK467" i="4"/>
  <c r="AK468" i="4"/>
  <c r="AK469" i="4"/>
  <c r="AK470" i="4"/>
  <c r="AK471" i="4"/>
  <c r="AK472" i="4"/>
  <c r="AK473" i="4"/>
  <c r="AK474" i="4"/>
  <c r="AK475" i="4"/>
  <c r="AK476" i="4"/>
  <c r="AK477" i="4"/>
  <c r="AK478" i="4"/>
  <c r="AK479" i="4"/>
  <c r="AK480" i="4"/>
  <c r="AK481" i="4"/>
  <c r="AK482" i="4"/>
  <c r="AK483" i="4"/>
  <c r="AK484" i="4"/>
  <c r="AK485" i="4"/>
  <c r="AK486" i="4"/>
  <c r="AK487" i="4"/>
  <c r="AK488" i="4"/>
  <c r="AK489" i="4"/>
  <c r="AK490" i="4"/>
  <c r="AK491" i="4"/>
  <c r="AK492" i="4"/>
  <c r="AK493" i="4"/>
  <c r="AK494" i="4"/>
  <c r="AK495" i="4"/>
  <c r="AK496" i="4"/>
  <c r="AK497" i="4"/>
  <c r="AK498" i="4"/>
  <c r="AK499" i="4"/>
  <c r="AK500" i="4"/>
  <c r="AK501" i="4"/>
  <c r="AK502" i="4"/>
  <c r="AK503" i="4"/>
  <c r="AK504" i="4"/>
  <c r="AK505" i="4"/>
  <c r="AK506" i="4"/>
  <c r="AK507" i="4"/>
  <c r="AK508" i="4"/>
  <c r="AK509" i="4"/>
  <c r="AK510" i="4"/>
  <c r="AK511" i="4"/>
  <c r="AK512" i="4"/>
  <c r="AK513" i="4"/>
  <c r="AK514" i="4"/>
  <c r="AK515" i="4"/>
  <c r="AK516" i="4"/>
  <c r="AK517" i="4"/>
  <c r="AK518" i="4"/>
  <c r="AK519" i="4"/>
  <c r="AK520" i="4"/>
  <c r="AK521" i="4"/>
  <c r="AK522" i="4"/>
  <c r="AK523" i="4"/>
  <c r="AK524" i="4"/>
  <c r="AK525" i="4"/>
  <c r="AK526" i="4"/>
  <c r="AK527" i="4"/>
  <c r="AK528" i="4"/>
  <c r="AK529" i="4"/>
  <c r="AK530" i="4"/>
  <c r="AJ430" i="4"/>
  <c r="AJ431" i="4"/>
  <c r="AJ432" i="4"/>
  <c r="AJ433" i="4"/>
  <c r="AJ434" i="4"/>
  <c r="AJ435" i="4"/>
  <c r="AJ436" i="4"/>
  <c r="AJ437" i="4"/>
  <c r="AJ438" i="4"/>
  <c r="AJ439" i="4"/>
  <c r="AJ440" i="4"/>
  <c r="AJ441" i="4"/>
  <c r="AJ442" i="4"/>
  <c r="AJ443" i="4"/>
  <c r="AJ444" i="4"/>
  <c r="AJ445" i="4"/>
  <c r="AJ446" i="4"/>
  <c r="AJ447" i="4"/>
  <c r="AJ448" i="4"/>
  <c r="AJ449" i="4"/>
  <c r="AJ450" i="4"/>
  <c r="AJ451" i="4"/>
  <c r="AJ452" i="4"/>
  <c r="AJ453" i="4"/>
  <c r="AJ454" i="4"/>
  <c r="AJ455" i="4"/>
  <c r="AJ456" i="4"/>
  <c r="AJ457" i="4"/>
  <c r="AJ458" i="4"/>
  <c r="AJ459" i="4"/>
  <c r="AJ460" i="4"/>
  <c r="AJ461" i="4"/>
  <c r="AJ462" i="4"/>
  <c r="AJ463" i="4"/>
  <c r="AJ464" i="4"/>
  <c r="AJ465" i="4"/>
  <c r="AJ466" i="4"/>
  <c r="AJ467" i="4"/>
  <c r="AJ468" i="4"/>
  <c r="AJ469" i="4"/>
  <c r="AJ470" i="4"/>
  <c r="AJ471" i="4"/>
  <c r="AJ472" i="4"/>
  <c r="AJ473" i="4"/>
  <c r="AJ474" i="4"/>
  <c r="AJ475" i="4"/>
  <c r="AJ476" i="4"/>
  <c r="AJ477" i="4"/>
  <c r="AJ478" i="4"/>
  <c r="AJ479" i="4"/>
  <c r="AJ480" i="4"/>
  <c r="AJ481" i="4"/>
  <c r="AJ482" i="4"/>
  <c r="AJ483" i="4"/>
  <c r="AJ484" i="4"/>
  <c r="AJ485" i="4"/>
  <c r="AJ486" i="4"/>
  <c r="AJ487" i="4"/>
  <c r="AJ488" i="4"/>
  <c r="AJ489" i="4"/>
  <c r="AJ490" i="4"/>
  <c r="AJ491" i="4"/>
  <c r="AJ492" i="4"/>
  <c r="AJ493" i="4"/>
  <c r="AJ494" i="4"/>
  <c r="AJ495" i="4"/>
  <c r="AJ496" i="4"/>
  <c r="AJ497" i="4"/>
  <c r="AJ498" i="4"/>
  <c r="AJ499" i="4"/>
  <c r="AJ500" i="4"/>
  <c r="AJ501" i="4"/>
  <c r="AJ502" i="4"/>
  <c r="AJ503" i="4"/>
  <c r="AJ504" i="4"/>
  <c r="AJ505" i="4"/>
  <c r="AJ506" i="4"/>
  <c r="AJ507" i="4"/>
  <c r="AJ508" i="4"/>
  <c r="AJ509" i="4"/>
  <c r="AJ510" i="4"/>
  <c r="AJ511" i="4"/>
  <c r="AJ512" i="4"/>
  <c r="AJ513" i="4"/>
  <c r="AJ514" i="4"/>
  <c r="AJ515" i="4"/>
  <c r="AJ516" i="4"/>
  <c r="AJ517" i="4"/>
  <c r="AJ518" i="4"/>
  <c r="AJ519" i="4"/>
  <c r="AJ520" i="4"/>
  <c r="AJ521" i="4"/>
  <c r="AJ522" i="4"/>
  <c r="AJ523" i="4"/>
  <c r="AJ524" i="4"/>
  <c r="AJ525" i="4"/>
  <c r="AJ526" i="4"/>
  <c r="AJ527" i="4"/>
  <c r="AJ528" i="4"/>
  <c r="AJ529" i="4"/>
  <c r="AJ530" i="4"/>
  <c r="AR430" i="23"/>
  <c r="AR431" i="23"/>
  <c r="AR432" i="23"/>
  <c r="AR433" i="23"/>
  <c r="AR434" i="23"/>
  <c r="AR435" i="23"/>
  <c r="AR436" i="23"/>
  <c r="AR437" i="23"/>
  <c r="AR438" i="23"/>
  <c r="AR439" i="23"/>
  <c r="AR440" i="23"/>
  <c r="AR441" i="23"/>
  <c r="AR442" i="23"/>
  <c r="AR443" i="23"/>
  <c r="AR444" i="23"/>
  <c r="AR445" i="23"/>
  <c r="AR446" i="23"/>
  <c r="AR447" i="23"/>
  <c r="AR448" i="23"/>
  <c r="AR449" i="23"/>
  <c r="AR450" i="23"/>
  <c r="AR451" i="23"/>
  <c r="AR452" i="23"/>
  <c r="AR453" i="23"/>
  <c r="AR454" i="23"/>
  <c r="AR455" i="23"/>
  <c r="AR456" i="23"/>
  <c r="AR457" i="23"/>
  <c r="AR458" i="23"/>
  <c r="AR459" i="23"/>
  <c r="AR460" i="23"/>
  <c r="AR461" i="23"/>
  <c r="AR462" i="23"/>
  <c r="AR463" i="23"/>
  <c r="AR464" i="23"/>
  <c r="AR465" i="23"/>
  <c r="AR466" i="23"/>
  <c r="AR467" i="23"/>
  <c r="AR468" i="23"/>
  <c r="AR469" i="23"/>
  <c r="AR470" i="23"/>
  <c r="AR471" i="23"/>
  <c r="AR472" i="23"/>
  <c r="AR473" i="23"/>
  <c r="AR474" i="23"/>
  <c r="AR475" i="23"/>
  <c r="AR476" i="23"/>
  <c r="AR477" i="23"/>
  <c r="AR478" i="23"/>
  <c r="AR479" i="23"/>
  <c r="AR480" i="23"/>
  <c r="AR481" i="23"/>
  <c r="AR482" i="23"/>
  <c r="AR483" i="23"/>
  <c r="AR484" i="23"/>
  <c r="AR485" i="23"/>
  <c r="AR486" i="23"/>
  <c r="AR487" i="23"/>
  <c r="AR488" i="23"/>
  <c r="AR489" i="23"/>
  <c r="AR490" i="23"/>
  <c r="AR491" i="23"/>
  <c r="AR492" i="23"/>
  <c r="AR493" i="23"/>
  <c r="AR494" i="23"/>
  <c r="AR495" i="23"/>
  <c r="AR496" i="23"/>
  <c r="AR497" i="23"/>
  <c r="AR498" i="23"/>
  <c r="AR499" i="23"/>
  <c r="AR500" i="23"/>
  <c r="AR501" i="23"/>
  <c r="AR502" i="23"/>
  <c r="AR503" i="23"/>
  <c r="AR504" i="23"/>
  <c r="AR505" i="23"/>
  <c r="AR506" i="23"/>
  <c r="AR507" i="23"/>
  <c r="AR508" i="23"/>
  <c r="AR509" i="23"/>
  <c r="AR510" i="23"/>
  <c r="AR511" i="23"/>
  <c r="AR512" i="23"/>
  <c r="AR513" i="23"/>
  <c r="AR514" i="23"/>
  <c r="AR515" i="23"/>
  <c r="AR516" i="23"/>
  <c r="AR517" i="23"/>
  <c r="AR518" i="23"/>
  <c r="AR519" i="23"/>
  <c r="AR520" i="23"/>
  <c r="AR521" i="23"/>
  <c r="AR522" i="23"/>
  <c r="AR523" i="23"/>
  <c r="AR524" i="23"/>
  <c r="AR525" i="23"/>
  <c r="AR526" i="23"/>
  <c r="AR527" i="23"/>
  <c r="AR528" i="23"/>
  <c r="AR529" i="23"/>
  <c r="AR530" i="23"/>
  <c r="AQ430" i="23"/>
  <c r="AQ431" i="23"/>
  <c r="AQ432" i="23"/>
  <c r="AQ433" i="23"/>
  <c r="AQ434" i="23"/>
  <c r="AQ435" i="23"/>
  <c r="AQ436" i="23"/>
  <c r="AQ437" i="23"/>
  <c r="AQ438" i="23"/>
  <c r="AQ439" i="23"/>
  <c r="AQ440" i="23"/>
  <c r="AQ441" i="23"/>
  <c r="AQ442" i="23"/>
  <c r="AQ443" i="23"/>
  <c r="AQ444" i="23"/>
  <c r="AQ445" i="23"/>
  <c r="AQ446" i="23"/>
  <c r="AQ447" i="23"/>
  <c r="AQ448" i="23"/>
  <c r="AQ449" i="23"/>
  <c r="AQ450" i="23"/>
  <c r="AQ451" i="23"/>
  <c r="AQ452" i="23"/>
  <c r="AQ453" i="23"/>
  <c r="AQ454" i="23"/>
  <c r="AQ455" i="23"/>
  <c r="AQ456" i="23"/>
  <c r="AQ457" i="23"/>
  <c r="AQ458" i="23"/>
  <c r="AQ459" i="23"/>
  <c r="AQ460" i="23"/>
  <c r="AQ461" i="23"/>
  <c r="AQ462" i="23"/>
  <c r="AQ463" i="23"/>
  <c r="AQ464" i="23"/>
  <c r="AQ465" i="23"/>
  <c r="AQ466" i="23"/>
  <c r="AQ467" i="23"/>
  <c r="AQ468" i="23"/>
  <c r="AQ469" i="23"/>
  <c r="AQ470" i="23"/>
  <c r="AQ471" i="23"/>
  <c r="AQ472" i="23"/>
  <c r="AQ473" i="23"/>
  <c r="AQ474" i="23"/>
  <c r="AQ475" i="23"/>
  <c r="AQ476" i="23"/>
  <c r="AQ477" i="23"/>
  <c r="AQ478" i="23"/>
  <c r="AQ479" i="23"/>
  <c r="AQ480" i="23"/>
  <c r="AQ481" i="23"/>
  <c r="AQ482" i="23"/>
  <c r="AQ483" i="23"/>
  <c r="AQ484" i="23"/>
  <c r="AQ485" i="23"/>
  <c r="AQ486" i="23"/>
  <c r="AQ487" i="23"/>
  <c r="AQ488" i="23"/>
  <c r="AQ489" i="23"/>
  <c r="AQ490" i="23"/>
  <c r="AQ491" i="23"/>
  <c r="AQ492" i="23"/>
  <c r="AQ493" i="23"/>
  <c r="AQ494" i="23"/>
  <c r="AQ495" i="23"/>
  <c r="AQ496" i="23"/>
  <c r="AQ497" i="23"/>
  <c r="AQ498" i="23"/>
  <c r="AQ499" i="23"/>
  <c r="AQ500" i="23"/>
  <c r="AQ501" i="23"/>
  <c r="AQ502" i="23"/>
  <c r="AQ503" i="23"/>
  <c r="AQ504" i="23"/>
  <c r="AQ505" i="23"/>
  <c r="AQ506" i="23"/>
  <c r="AQ507" i="23"/>
  <c r="AQ508" i="23"/>
  <c r="AQ509" i="23"/>
  <c r="AQ510" i="23"/>
  <c r="AQ511" i="23"/>
  <c r="AQ512" i="23"/>
  <c r="AQ513" i="23"/>
  <c r="AQ514" i="23"/>
  <c r="AQ515" i="23"/>
  <c r="AQ516" i="23"/>
  <c r="AQ517" i="23"/>
  <c r="AQ518" i="23"/>
  <c r="AQ519" i="23"/>
  <c r="AQ520" i="23"/>
  <c r="AQ521" i="23"/>
  <c r="AQ522" i="23"/>
  <c r="AQ523" i="23"/>
  <c r="AQ524" i="23"/>
  <c r="AQ525" i="23"/>
  <c r="AQ526" i="23"/>
  <c r="AQ527" i="23"/>
  <c r="AQ528" i="23"/>
  <c r="AQ529" i="23"/>
  <c r="AQ530" i="23"/>
  <c r="AP430" i="23"/>
  <c r="AP431" i="23"/>
  <c r="AP432" i="23"/>
  <c r="AP433" i="23"/>
  <c r="AP434" i="23"/>
  <c r="AP435" i="23"/>
  <c r="AP436" i="23"/>
  <c r="AP437" i="23"/>
  <c r="AP438" i="23"/>
  <c r="AP439" i="23"/>
  <c r="AP440" i="23"/>
  <c r="AP441" i="23"/>
  <c r="AP442" i="23"/>
  <c r="AP443" i="23"/>
  <c r="AP444" i="23"/>
  <c r="AP445" i="23"/>
  <c r="AP446" i="23"/>
  <c r="AP447" i="23"/>
  <c r="AP448" i="23"/>
  <c r="AP449" i="23"/>
  <c r="AP450" i="23"/>
  <c r="AP451" i="23"/>
  <c r="AP452" i="23"/>
  <c r="AP453" i="23"/>
  <c r="AP454" i="23"/>
  <c r="AP455" i="23"/>
  <c r="AP456" i="23"/>
  <c r="AP457" i="23"/>
  <c r="AP458" i="23"/>
  <c r="AP459" i="23"/>
  <c r="AP460" i="23"/>
  <c r="AP461" i="23"/>
  <c r="AP462" i="23"/>
  <c r="AP463" i="23"/>
  <c r="AP464" i="23"/>
  <c r="AP465" i="23"/>
  <c r="AP466" i="23"/>
  <c r="AP467" i="23"/>
  <c r="AP468" i="23"/>
  <c r="AP469" i="23"/>
  <c r="AP470" i="23"/>
  <c r="AP471" i="23"/>
  <c r="AP472" i="23"/>
  <c r="AP473" i="23"/>
  <c r="AP474" i="23"/>
  <c r="AP475" i="23"/>
  <c r="AP476" i="23"/>
  <c r="AP477" i="23"/>
  <c r="AP478" i="23"/>
  <c r="AP479" i="23"/>
  <c r="AP480" i="23"/>
  <c r="AP481" i="23"/>
  <c r="AP482" i="23"/>
  <c r="AP483" i="23"/>
  <c r="AP484" i="23"/>
  <c r="AP485" i="23"/>
  <c r="AP486" i="23"/>
  <c r="AP487" i="23"/>
  <c r="AP488" i="23"/>
  <c r="AP489" i="23"/>
  <c r="AP490" i="23"/>
  <c r="AP491" i="23"/>
  <c r="AP492" i="23"/>
  <c r="AP493" i="23"/>
  <c r="AP494" i="23"/>
  <c r="AP495" i="23"/>
  <c r="AP496" i="23"/>
  <c r="AP497" i="23"/>
  <c r="AP498" i="23"/>
  <c r="AP499" i="23"/>
  <c r="AP500" i="23"/>
  <c r="AP501" i="23"/>
  <c r="AP502" i="23"/>
  <c r="AP503" i="23"/>
  <c r="AP504" i="23"/>
  <c r="AP505" i="23"/>
  <c r="AP506" i="23"/>
  <c r="AP507" i="23"/>
  <c r="AP508" i="23"/>
  <c r="AP509" i="23"/>
  <c r="AP510" i="23"/>
  <c r="AP511" i="23"/>
  <c r="AP512" i="23"/>
  <c r="AP513" i="23"/>
  <c r="AP514" i="23"/>
  <c r="AP515" i="23"/>
  <c r="AP516" i="23"/>
  <c r="AP517" i="23"/>
  <c r="AP518" i="23"/>
  <c r="AP519" i="23"/>
  <c r="AP520" i="23"/>
  <c r="AP521" i="23"/>
  <c r="AP522" i="23"/>
  <c r="AP523" i="23"/>
  <c r="AP524" i="23"/>
  <c r="AP525" i="23"/>
  <c r="AP526" i="23"/>
  <c r="AP527" i="23"/>
  <c r="AP528" i="23"/>
  <c r="AP529" i="23"/>
  <c r="AP530" i="23"/>
  <c r="AO430" i="23"/>
  <c r="AO431" i="23"/>
  <c r="AO432" i="23"/>
  <c r="AO433" i="23"/>
  <c r="AO434" i="23"/>
  <c r="AO435" i="23"/>
  <c r="AO436" i="23"/>
  <c r="AO437" i="23"/>
  <c r="AO438" i="23"/>
  <c r="AO439" i="23"/>
  <c r="AO440" i="23"/>
  <c r="AO441" i="23"/>
  <c r="AO442" i="23"/>
  <c r="AO443" i="23"/>
  <c r="AO444" i="23"/>
  <c r="AO445" i="23"/>
  <c r="AO446" i="23"/>
  <c r="AO447" i="23"/>
  <c r="AO448" i="23"/>
  <c r="AO449" i="23"/>
  <c r="AO450" i="23"/>
  <c r="AO451" i="23"/>
  <c r="AO452" i="23"/>
  <c r="AO453" i="23"/>
  <c r="AO454" i="23"/>
  <c r="AO455" i="23"/>
  <c r="AO456" i="23"/>
  <c r="AO457" i="23"/>
  <c r="AO458" i="23"/>
  <c r="AO459" i="23"/>
  <c r="AO460" i="23"/>
  <c r="AO461" i="23"/>
  <c r="AO462" i="23"/>
  <c r="AO463" i="23"/>
  <c r="AO464" i="23"/>
  <c r="AO465" i="23"/>
  <c r="AO466" i="23"/>
  <c r="AO467" i="23"/>
  <c r="AO468" i="23"/>
  <c r="AO469" i="23"/>
  <c r="AO470" i="23"/>
  <c r="AO471" i="23"/>
  <c r="AO472" i="23"/>
  <c r="AO473" i="23"/>
  <c r="AO474" i="23"/>
  <c r="AO475" i="23"/>
  <c r="AO476" i="23"/>
  <c r="AO477" i="23"/>
  <c r="AO478" i="23"/>
  <c r="AO479" i="23"/>
  <c r="AO480" i="23"/>
  <c r="AO481" i="23"/>
  <c r="AO482" i="23"/>
  <c r="AO483" i="23"/>
  <c r="AO484" i="23"/>
  <c r="AO485" i="23"/>
  <c r="AO486" i="23"/>
  <c r="AO487" i="23"/>
  <c r="AO488" i="23"/>
  <c r="AO489" i="23"/>
  <c r="AO490" i="23"/>
  <c r="AO491" i="23"/>
  <c r="AO492" i="23"/>
  <c r="AO493" i="23"/>
  <c r="AO494" i="23"/>
  <c r="AO495" i="23"/>
  <c r="AO496" i="23"/>
  <c r="AO497" i="23"/>
  <c r="AO498" i="23"/>
  <c r="AO499" i="23"/>
  <c r="AO500" i="23"/>
  <c r="AO501" i="23"/>
  <c r="AO502" i="23"/>
  <c r="AO503" i="23"/>
  <c r="AO504" i="23"/>
  <c r="AO505" i="23"/>
  <c r="AO506" i="23"/>
  <c r="AO507" i="23"/>
  <c r="AO508" i="23"/>
  <c r="AO509" i="23"/>
  <c r="AO510" i="23"/>
  <c r="AO511" i="23"/>
  <c r="AO512" i="23"/>
  <c r="AO513" i="23"/>
  <c r="AO514" i="23"/>
  <c r="AO515" i="23"/>
  <c r="AO516" i="23"/>
  <c r="AO517" i="23"/>
  <c r="AO518" i="23"/>
  <c r="AO519" i="23"/>
  <c r="AO520" i="23"/>
  <c r="AO521" i="23"/>
  <c r="AO522" i="23"/>
  <c r="AO523" i="23"/>
  <c r="AO524" i="23"/>
  <c r="AO525" i="23"/>
  <c r="AO526" i="23"/>
  <c r="AO527" i="23"/>
  <c r="AO528" i="23"/>
  <c r="AO529" i="23"/>
  <c r="AO530" i="23"/>
  <c r="AN430" i="23"/>
  <c r="AN431" i="23"/>
  <c r="AN432" i="23"/>
  <c r="AN433" i="23"/>
  <c r="AN434" i="23"/>
  <c r="AN435" i="23"/>
  <c r="AN436" i="23"/>
  <c r="AN437" i="23"/>
  <c r="AN438" i="23"/>
  <c r="AN439" i="23"/>
  <c r="AN440" i="23"/>
  <c r="AN441" i="23"/>
  <c r="AN442" i="23"/>
  <c r="AN443" i="23"/>
  <c r="AN444" i="23"/>
  <c r="AN445" i="23"/>
  <c r="AN446" i="23"/>
  <c r="AN447" i="23"/>
  <c r="AN448" i="23"/>
  <c r="AN449" i="23"/>
  <c r="AN450" i="23"/>
  <c r="AN451" i="23"/>
  <c r="AN452" i="23"/>
  <c r="AN453" i="23"/>
  <c r="AN454" i="23"/>
  <c r="AN455" i="23"/>
  <c r="AN456" i="23"/>
  <c r="AN457" i="23"/>
  <c r="AN458" i="23"/>
  <c r="AN459" i="23"/>
  <c r="AN460" i="23"/>
  <c r="AN461" i="23"/>
  <c r="AN462" i="23"/>
  <c r="AN463" i="23"/>
  <c r="AN464" i="23"/>
  <c r="AN465" i="23"/>
  <c r="AN466" i="23"/>
  <c r="AN467" i="23"/>
  <c r="AN468" i="23"/>
  <c r="AN469" i="23"/>
  <c r="AN470" i="23"/>
  <c r="AN471" i="23"/>
  <c r="AN472" i="23"/>
  <c r="AN473" i="23"/>
  <c r="AN474" i="23"/>
  <c r="AN475" i="23"/>
  <c r="AN476" i="23"/>
  <c r="AN477" i="23"/>
  <c r="AN478" i="23"/>
  <c r="AN479" i="23"/>
  <c r="AN480" i="23"/>
  <c r="AN481" i="23"/>
  <c r="AN482" i="23"/>
  <c r="AN483" i="23"/>
  <c r="AN484" i="23"/>
  <c r="AN485" i="23"/>
  <c r="AN486" i="23"/>
  <c r="AN487" i="23"/>
  <c r="AN488" i="23"/>
  <c r="AN489" i="23"/>
  <c r="AN490" i="23"/>
  <c r="AN491" i="23"/>
  <c r="AN492" i="23"/>
  <c r="AN493" i="23"/>
  <c r="AN494" i="23"/>
  <c r="AN495" i="23"/>
  <c r="AN496" i="23"/>
  <c r="AN497" i="23"/>
  <c r="AN498" i="23"/>
  <c r="AN499" i="23"/>
  <c r="AN500" i="23"/>
  <c r="AN501" i="23"/>
  <c r="AN502" i="23"/>
  <c r="AN503" i="23"/>
  <c r="AN504" i="23"/>
  <c r="AN505" i="23"/>
  <c r="AN506" i="23"/>
  <c r="AN507" i="23"/>
  <c r="AN508" i="23"/>
  <c r="AN509" i="23"/>
  <c r="AN510" i="23"/>
  <c r="AN511" i="23"/>
  <c r="AN512" i="23"/>
  <c r="AN513" i="23"/>
  <c r="AN514" i="23"/>
  <c r="AN515" i="23"/>
  <c r="AN516" i="23"/>
  <c r="AN517" i="23"/>
  <c r="AN518" i="23"/>
  <c r="AN519" i="23"/>
  <c r="AN520" i="23"/>
  <c r="AN521" i="23"/>
  <c r="AN522" i="23"/>
  <c r="AN523" i="23"/>
  <c r="AN524" i="23"/>
  <c r="AN525" i="23"/>
  <c r="AN526" i="23"/>
  <c r="AN527" i="23"/>
  <c r="AN528" i="23"/>
  <c r="AN529" i="23"/>
  <c r="AN530" i="23"/>
  <c r="AM430" i="23"/>
  <c r="AM431" i="23"/>
  <c r="AM432" i="23"/>
  <c r="AM433" i="23"/>
  <c r="AM434" i="23"/>
  <c r="AM435" i="23"/>
  <c r="AM436" i="23"/>
  <c r="AM437" i="23"/>
  <c r="AM438" i="23"/>
  <c r="AM439" i="23"/>
  <c r="AM440" i="23"/>
  <c r="AM441" i="23"/>
  <c r="AM442" i="23"/>
  <c r="AM443" i="23"/>
  <c r="AM444" i="23"/>
  <c r="AM445" i="23"/>
  <c r="AM446" i="23"/>
  <c r="AM447" i="23"/>
  <c r="AM448" i="23"/>
  <c r="AM449" i="23"/>
  <c r="AM450" i="23"/>
  <c r="AM451" i="23"/>
  <c r="AM452" i="23"/>
  <c r="AM453" i="23"/>
  <c r="AM454" i="23"/>
  <c r="AM455" i="23"/>
  <c r="AM456" i="23"/>
  <c r="AM457" i="23"/>
  <c r="AM458" i="23"/>
  <c r="AM459" i="23"/>
  <c r="AM460" i="23"/>
  <c r="AM461" i="23"/>
  <c r="AM462" i="23"/>
  <c r="AM463" i="23"/>
  <c r="AM464" i="23"/>
  <c r="AM465" i="23"/>
  <c r="AM466" i="23"/>
  <c r="AM467" i="23"/>
  <c r="AM468" i="23"/>
  <c r="AM469" i="23"/>
  <c r="AM470" i="23"/>
  <c r="AM471" i="23"/>
  <c r="AM472" i="23"/>
  <c r="AM473" i="23"/>
  <c r="AM474" i="23"/>
  <c r="AM475" i="23"/>
  <c r="AM476" i="23"/>
  <c r="AM477" i="23"/>
  <c r="AM478" i="23"/>
  <c r="AM479" i="23"/>
  <c r="AM480" i="23"/>
  <c r="AM481" i="23"/>
  <c r="AM482" i="23"/>
  <c r="AM483" i="23"/>
  <c r="AM484" i="23"/>
  <c r="AM485" i="23"/>
  <c r="AM486" i="23"/>
  <c r="AM487" i="23"/>
  <c r="AM488" i="23"/>
  <c r="AM489" i="23"/>
  <c r="AM490" i="23"/>
  <c r="AM491" i="23"/>
  <c r="AM492" i="23"/>
  <c r="AM493" i="23"/>
  <c r="AM494" i="23"/>
  <c r="AM495" i="23"/>
  <c r="AM496" i="23"/>
  <c r="AM497" i="23"/>
  <c r="AM498" i="23"/>
  <c r="AM499" i="23"/>
  <c r="AM500" i="23"/>
  <c r="AM501" i="23"/>
  <c r="AM502" i="23"/>
  <c r="AM503" i="23"/>
  <c r="AM504" i="23"/>
  <c r="AM505" i="23"/>
  <c r="AM506" i="23"/>
  <c r="AM507" i="23"/>
  <c r="AM508" i="23"/>
  <c r="AM509" i="23"/>
  <c r="AM510" i="23"/>
  <c r="AM511" i="23"/>
  <c r="AM512" i="23"/>
  <c r="AM513" i="23"/>
  <c r="AM514" i="23"/>
  <c r="AM515" i="23"/>
  <c r="AM516" i="23"/>
  <c r="AM517" i="23"/>
  <c r="AM518" i="23"/>
  <c r="AM519" i="23"/>
  <c r="AM520" i="23"/>
  <c r="AM521" i="23"/>
  <c r="AM522" i="23"/>
  <c r="AM523" i="23"/>
  <c r="AM524" i="23"/>
  <c r="AM525" i="23"/>
  <c r="AM526" i="23"/>
  <c r="AM527" i="23"/>
  <c r="AM528" i="23"/>
  <c r="AM529" i="23"/>
  <c r="AM530" i="23"/>
  <c r="AL430" i="23"/>
  <c r="AL431" i="23"/>
  <c r="AL432" i="23"/>
  <c r="AL433" i="23"/>
  <c r="AL434" i="23"/>
  <c r="AL435" i="23"/>
  <c r="AL436" i="23"/>
  <c r="AL437" i="23"/>
  <c r="AL438" i="23"/>
  <c r="AL439" i="23"/>
  <c r="AL440" i="23"/>
  <c r="AL441" i="23"/>
  <c r="AL442" i="23"/>
  <c r="AL443" i="23"/>
  <c r="AL444" i="23"/>
  <c r="AL445" i="23"/>
  <c r="AL446" i="23"/>
  <c r="AL447" i="23"/>
  <c r="AL448" i="23"/>
  <c r="AL449" i="23"/>
  <c r="AL450" i="23"/>
  <c r="AL451" i="23"/>
  <c r="AL452" i="23"/>
  <c r="AL453" i="23"/>
  <c r="AL454" i="23"/>
  <c r="AL455" i="23"/>
  <c r="AL456" i="23"/>
  <c r="AL457" i="23"/>
  <c r="AL458" i="23"/>
  <c r="AL459" i="23"/>
  <c r="AL460" i="23"/>
  <c r="AL461" i="23"/>
  <c r="AL462" i="23"/>
  <c r="AL463" i="23"/>
  <c r="AL464" i="23"/>
  <c r="AL465" i="23"/>
  <c r="AL466" i="23"/>
  <c r="AL467" i="23"/>
  <c r="AL468" i="23"/>
  <c r="AL469" i="23"/>
  <c r="AL470" i="23"/>
  <c r="AL471" i="23"/>
  <c r="AL472" i="23"/>
  <c r="AL473" i="23"/>
  <c r="AL474" i="23"/>
  <c r="AL475" i="23"/>
  <c r="AL476" i="23"/>
  <c r="AL477" i="23"/>
  <c r="AL478" i="23"/>
  <c r="AL479" i="23"/>
  <c r="AL480" i="23"/>
  <c r="AL481" i="23"/>
  <c r="AL482" i="23"/>
  <c r="AL483" i="23"/>
  <c r="AL484" i="23"/>
  <c r="AL485" i="23"/>
  <c r="AL486" i="23"/>
  <c r="AL487" i="23"/>
  <c r="AL488" i="23"/>
  <c r="AL489" i="23"/>
  <c r="AL490" i="23"/>
  <c r="AL491" i="23"/>
  <c r="AL492" i="23"/>
  <c r="AL493" i="23"/>
  <c r="AL494" i="23"/>
  <c r="AL495" i="23"/>
  <c r="AL496" i="23"/>
  <c r="AL497" i="23"/>
  <c r="AL498" i="23"/>
  <c r="AL499" i="23"/>
  <c r="AL500" i="23"/>
  <c r="AL501" i="23"/>
  <c r="AL502" i="23"/>
  <c r="AL503" i="23"/>
  <c r="AL504" i="23"/>
  <c r="AL505" i="23"/>
  <c r="AL506" i="23"/>
  <c r="AL507" i="23"/>
  <c r="AL508" i="23"/>
  <c r="AL509" i="23"/>
  <c r="AL510" i="23"/>
  <c r="AL511" i="23"/>
  <c r="AL512" i="23"/>
  <c r="AL513" i="23"/>
  <c r="AL514" i="23"/>
  <c r="AL515" i="23"/>
  <c r="AL516" i="23"/>
  <c r="AL517" i="23"/>
  <c r="AL518" i="23"/>
  <c r="AL519" i="23"/>
  <c r="AL520" i="23"/>
  <c r="AL521" i="23"/>
  <c r="AL522" i="23"/>
  <c r="AL523" i="23"/>
  <c r="AL524" i="23"/>
  <c r="AL525" i="23"/>
  <c r="AL526" i="23"/>
  <c r="AL527" i="23"/>
  <c r="AL528" i="23"/>
  <c r="AL529" i="23"/>
  <c r="AL530" i="23"/>
  <c r="AK430" i="23"/>
  <c r="AK431" i="23"/>
  <c r="AK432" i="23"/>
  <c r="AK433" i="23"/>
  <c r="AK434" i="23"/>
  <c r="AK435" i="23"/>
  <c r="AK436" i="23"/>
  <c r="AK437" i="23"/>
  <c r="AK438" i="23"/>
  <c r="AK439" i="23"/>
  <c r="AK440" i="23"/>
  <c r="AK441" i="23"/>
  <c r="AK442" i="23"/>
  <c r="AK443" i="23"/>
  <c r="AK444" i="23"/>
  <c r="AK445" i="23"/>
  <c r="AK446" i="23"/>
  <c r="AK447" i="23"/>
  <c r="AK448" i="23"/>
  <c r="AK449" i="23"/>
  <c r="AK450" i="23"/>
  <c r="AK451" i="23"/>
  <c r="AK452" i="23"/>
  <c r="AK453" i="23"/>
  <c r="AK454" i="23"/>
  <c r="AK455" i="23"/>
  <c r="AK456" i="23"/>
  <c r="AK457" i="23"/>
  <c r="AK458" i="23"/>
  <c r="AK459" i="23"/>
  <c r="AK460" i="23"/>
  <c r="AK461" i="23"/>
  <c r="AK462" i="23"/>
  <c r="AK463" i="23"/>
  <c r="AK464" i="23"/>
  <c r="AK465" i="23"/>
  <c r="AK466" i="23"/>
  <c r="AK467" i="23"/>
  <c r="AK468" i="23"/>
  <c r="AK469" i="23"/>
  <c r="AK470" i="23"/>
  <c r="AK471" i="23"/>
  <c r="AK472" i="23"/>
  <c r="AK473" i="23"/>
  <c r="AK474" i="23"/>
  <c r="AK475" i="23"/>
  <c r="AK476" i="23"/>
  <c r="AK477" i="23"/>
  <c r="AK478" i="23"/>
  <c r="AK479" i="23"/>
  <c r="AK480" i="23"/>
  <c r="AK481" i="23"/>
  <c r="AK482" i="23"/>
  <c r="AK483" i="23"/>
  <c r="AK484" i="23"/>
  <c r="AK485" i="23"/>
  <c r="AK486" i="23"/>
  <c r="AK487" i="23"/>
  <c r="AK488" i="23"/>
  <c r="AK489" i="23"/>
  <c r="AK490" i="23"/>
  <c r="AK491" i="23"/>
  <c r="AK492" i="23"/>
  <c r="AK493" i="23"/>
  <c r="AK494" i="23"/>
  <c r="AK495" i="23"/>
  <c r="AK496" i="23"/>
  <c r="AK497" i="23"/>
  <c r="AK498" i="23"/>
  <c r="AK499" i="23"/>
  <c r="AK500" i="23"/>
  <c r="AK501" i="23"/>
  <c r="AK502" i="23"/>
  <c r="AK503" i="23"/>
  <c r="AK504" i="23"/>
  <c r="AK505" i="23"/>
  <c r="AK506" i="23"/>
  <c r="AK507" i="23"/>
  <c r="AK508" i="23"/>
  <c r="AK509" i="23"/>
  <c r="AK510" i="23"/>
  <c r="AK511" i="23"/>
  <c r="AK512" i="23"/>
  <c r="AK513" i="23"/>
  <c r="AK514" i="23"/>
  <c r="AK515" i="23"/>
  <c r="AK516" i="23"/>
  <c r="AK517" i="23"/>
  <c r="AK518" i="23"/>
  <c r="AK519" i="23"/>
  <c r="AK520" i="23"/>
  <c r="AK521" i="23"/>
  <c r="AK522" i="23"/>
  <c r="AK523" i="23"/>
  <c r="AK524" i="23"/>
  <c r="AK525" i="23"/>
  <c r="AK526" i="23"/>
  <c r="AK527" i="23"/>
  <c r="AK528" i="23"/>
  <c r="AK529" i="23"/>
  <c r="AK530" i="23"/>
  <c r="AJ430" i="23"/>
  <c r="AJ431" i="23"/>
  <c r="AJ432" i="23"/>
  <c r="AJ433" i="23"/>
  <c r="AJ434" i="23"/>
  <c r="AJ435" i="23"/>
  <c r="AJ436" i="23"/>
  <c r="AJ437" i="23"/>
  <c r="AJ438" i="23"/>
  <c r="AJ439" i="23"/>
  <c r="AJ440" i="23"/>
  <c r="AJ441" i="23"/>
  <c r="AJ442" i="23"/>
  <c r="AJ443" i="23"/>
  <c r="AJ444" i="23"/>
  <c r="AJ445" i="23"/>
  <c r="AJ446" i="23"/>
  <c r="AJ447" i="23"/>
  <c r="AJ448" i="23"/>
  <c r="AJ449" i="23"/>
  <c r="AJ450" i="23"/>
  <c r="AJ451" i="23"/>
  <c r="AJ452" i="23"/>
  <c r="AJ453" i="23"/>
  <c r="AJ454" i="23"/>
  <c r="AJ455" i="23"/>
  <c r="AJ456" i="23"/>
  <c r="AJ457" i="23"/>
  <c r="AJ458" i="23"/>
  <c r="AJ459" i="23"/>
  <c r="AJ460" i="23"/>
  <c r="AJ461" i="23"/>
  <c r="AJ462" i="23"/>
  <c r="AJ463" i="23"/>
  <c r="AJ464" i="23"/>
  <c r="AJ465" i="23"/>
  <c r="AJ466" i="23"/>
  <c r="AJ467" i="23"/>
  <c r="AJ468" i="23"/>
  <c r="AJ469" i="23"/>
  <c r="AJ470" i="23"/>
  <c r="AJ471" i="23"/>
  <c r="AJ472" i="23"/>
  <c r="AJ473" i="23"/>
  <c r="AJ474" i="23"/>
  <c r="AJ475" i="23"/>
  <c r="AJ476" i="23"/>
  <c r="AJ477" i="23"/>
  <c r="AJ478" i="23"/>
  <c r="AJ479" i="23"/>
  <c r="AJ480" i="23"/>
  <c r="AJ481" i="23"/>
  <c r="AJ482" i="23"/>
  <c r="AJ483" i="23"/>
  <c r="AJ484" i="23"/>
  <c r="AJ485" i="23"/>
  <c r="AJ486" i="23"/>
  <c r="AJ487" i="23"/>
  <c r="AJ488" i="23"/>
  <c r="AJ489" i="23"/>
  <c r="AJ490" i="23"/>
  <c r="AJ491" i="23"/>
  <c r="AJ492" i="23"/>
  <c r="AJ493" i="23"/>
  <c r="AJ494" i="23"/>
  <c r="AJ495" i="23"/>
  <c r="AJ496" i="23"/>
  <c r="AJ497" i="23"/>
  <c r="AJ498" i="23"/>
  <c r="AJ499" i="23"/>
  <c r="AJ500" i="23"/>
  <c r="AJ501" i="23"/>
  <c r="AJ502" i="23"/>
  <c r="AJ503" i="23"/>
  <c r="AJ504" i="23"/>
  <c r="AJ505" i="23"/>
  <c r="AJ506" i="23"/>
  <c r="AJ507" i="23"/>
  <c r="AJ508" i="23"/>
  <c r="AJ509" i="23"/>
  <c r="AJ510" i="23"/>
  <c r="AJ511" i="23"/>
  <c r="AJ512" i="23"/>
  <c r="AJ513" i="23"/>
  <c r="AJ514" i="23"/>
  <c r="AJ515" i="23"/>
  <c r="AJ516" i="23"/>
  <c r="AJ517" i="23"/>
  <c r="AJ518" i="23"/>
  <c r="AJ519" i="23"/>
  <c r="AJ520" i="23"/>
  <c r="AJ521" i="23"/>
  <c r="AJ522" i="23"/>
  <c r="AJ523" i="23"/>
  <c r="AJ524" i="23"/>
  <c r="AJ525" i="23"/>
  <c r="AJ526" i="23"/>
  <c r="AJ527" i="23"/>
  <c r="AJ528" i="23"/>
  <c r="AJ529" i="23"/>
  <c r="AJ530" i="23"/>
  <c r="AI430" i="23"/>
  <c r="AI431" i="23"/>
  <c r="AI432" i="23"/>
  <c r="AI433" i="23"/>
  <c r="AI434" i="23"/>
  <c r="AI435" i="23"/>
  <c r="AI436" i="23"/>
  <c r="AI437" i="23"/>
  <c r="AI438" i="23"/>
  <c r="AI439" i="23"/>
  <c r="AI440" i="23"/>
  <c r="AI441" i="23"/>
  <c r="AI442" i="23"/>
  <c r="AI443" i="23"/>
  <c r="AI444" i="23"/>
  <c r="AI445" i="23"/>
  <c r="AI446" i="23"/>
  <c r="AI447" i="23"/>
  <c r="AI448" i="23"/>
  <c r="AI449" i="23"/>
  <c r="AI450" i="23"/>
  <c r="AI451" i="23"/>
  <c r="AI452" i="23"/>
  <c r="AI453" i="23"/>
  <c r="AI454" i="23"/>
  <c r="AI455" i="23"/>
  <c r="AI456" i="23"/>
  <c r="AI457" i="23"/>
  <c r="AI458" i="23"/>
  <c r="AI459" i="23"/>
  <c r="AI460" i="23"/>
  <c r="AI461" i="23"/>
  <c r="AI462" i="23"/>
  <c r="AI463" i="23"/>
  <c r="AI464" i="23"/>
  <c r="AI465" i="23"/>
  <c r="AI466" i="23"/>
  <c r="AI467" i="23"/>
  <c r="AI468" i="23"/>
  <c r="AI469" i="23"/>
  <c r="AI470" i="23"/>
  <c r="AI471" i="23"/>
  <c r="AI472" i="23"/>
  <c r="AI473" i="23"/>
  <c r="AI474" i="23"/>
  <c r="AI475" i="23"/>
  <c r="AI476" i="23"/>
  <c r="AI477" i="23"/>
  <c r="AI478" i="23"/>
  <c r="AI479" i="23"/>
  <c r="AI480" i="23"/>
  <c r="AI481" i="23"/>
  <c r="AI482" i="23"/>
  <c r="AI483" i="23"/>
  <c r="AI484" i="23"/>
  <c r="AI485" i="23"/>
  <c r="AI486" i="23"/>
  <c r="AI487" i="23"/>
  <c r="AI488" i="23"/>
  <c r="AI489" i="23"/>
  <c r="AI490" i="23"/>
  <c r="AI491" i="23"/>
  <c r="AI492" i="23"/>
  <c r="AI493" i="23"/>
  <c r="AI494" i="23"/>
  <c r="AI495" i="23"/>
  <c r="AI496" i="23"/>
  <c r="AI497" i="23"/>
  <c r="AI498" i="23"/>
  <c r="AI499" i="23"/>
  <c r="AI500" i="23"/>
  <c r="AI501" i="23"/>
  <c r="AI502" i="23"/>
  <c r="AI503" i="23"/>
  <c r="AI504" i="23"/>
  <c r="AI505" i="23"/>
  <c r="AI506" i="23"/>
  <c r="AI507" i="23"/>
  <c r="AI508" i="23"/>
  <c r="AI509" i="23"/>
  <c r="AI510" i="23"/>
  <c r="AI511" i="23"/>
  <c r="AI512" i="23"/>
  <c r="AI513" i="23"/>
  <c r="AI514" i="23"/>
  <c r="AI515" i="23"/>
  <c r="AI516" i="23"/>
  <c r="AI517" i="23"/>
  <c r="AI518" i="23"/>
  <c r="AI519" i="23"/>
  <c r="AI520" i="23"/>
  <c r="AI521" i="23"/>
  <c r="AI522" i="23"/>
  <c r="AI523" i="23"/>
  <c r="AI524" i="23"/>
  <c r="AI525" i="23"/>
  <c r="AI526" i="23"/>
  <c r="AI527" i="23"/>
  <c r="AI528" i="23"/>
  <c r="AI529" i="23"/>
  <c r="AI530" i="23"/>
  <c r="AH430" i="23"/>
  <c r="AH431" i="23"/>
  <c r="AH432" i="23"/>
  <c r="AH433" i="23"/>
  <c r="AH434" i="23"/>
  <c r="AH435" i="23"/>
  <c r="AH436" i="23"/>
  <c r="AH437" i="23"/>
  <c r="AH438" i="23"/>
  <c r="AH439" i="23"/>
  <c r="AH440" i="23"/>
  <c r="AH441" i="23"/>
  <c r="AH442" i="23"/>
  <c r="AH443" i="23"/>
  <c r="AH444" i="23"/>
  <c r="AH445" i="23"/>
  <c r="AH446" i="23"/>
  <c r="AH447" i="23"/>
  <c r="AH448" i="23"/>
  <c r="AH449" i="23"/>
  <c r="AH450" i="23"/>
  <c r="AH451" i="23"/>
  <c r="AH452" i="23"/>
  <c r="AH453" i="23"/>
  <c r="AH454" i="23"/>
  <c r="AH455" i="23"/>
  <c r="AH456" i="23"/>
  <c r="AH457" i="23"/>
  <c r="AH458" i="23"/>
  <c r="AH459" i="23"/>
  <c r="AH460" i="23"/>
  <c r="AH461" i="23"/>
  <c r="AH462" i="23"/>
  <c r="AH463" i="23"/>
  <c r="AH464" i="23"/>
  <c r="AH465" i="23"/>
  <c r="AH466" i="23"/>
  <c r="AH467" i="23"/>
  <c r="AH468" i="23"/>
  <c r="AH469" i="23"/>
  <c r="AH470" i="23"/>
  <c r="AH471" i="23"/>
  <c r="AH472" i="23"/>
  <c r="AH473" i="23"/>
  <c r="AH474" i="23"/>
  <c r="AH475" i="23"/>
  <c r="AH476" i="23"/>
  <c r="AH477" i="23"/>
  <c r="AH478" i="23"/>
  <c r="AH479" i="23"/>
  <c r="AH480" i="23"/>
  <c r="AH481" i="23"/>
  <c r="AH482" i="23"/>
  <c r="AH483" i="23"/>
  <c r="AH484" i="23"/>
  <c r="AH485" i="23"/>
  <c r="AH486" i="23"/>
  <c r="AH487" i="23"/>
  <c r="AH488" i="23"/>
  <c r="AH489" i="23"/>
  <c r="AH490" i="23"/>
  <c r="AH491" i="23"/>
  <c r="AH492" i="23"/>
  <c r="AH493" i="23"/>
  <c r="AH494" i="23"/>
  <c r="AH495" i="23"/>
  <c r="AH496" i="23"/>
  <c r="AH497" i="23"/>
  <c r="AH498" i="23"/>
  <c r="AH499" i="23"/>
  <c r="AH500" i="23"/>
  <c r="AH501" i="23"/>
  <c r="AH502" i="23"/>
  <c r="AH503" i="23"/>
  <c r="AH504" i="23"/>
  <c r="AH505" i="23"/>
  <c r="AH506" i="23"/>
  <c r="AH507" i="23"/>
  <c r="AH508" i="23"/>
  <c r="AH509" i="23"/>
  <c r="AH510" i="23"/>
  <c r="AH511" i="23"/>
  <c r="AH512" i="23"/>
  <c r="AH513" i="23"/>
  <c r="AH514" i="23"/>
  <c r="AH515" i="23"/>
  <c r="AH516" i="23"/>
  <c r="AH517" i="23"/>
  <c r="AH518" i="23"/>
  <c r="AH519" i="23"/>
  <c r="AH520" i="23"/>
  <c r="AH521" i="23"/>
  <c r="AH522" i="23"/>
  <c r="AH523" i="23"/>
  <c r="AH524" i="23"/>
  <c r="AH525" i="23"/>
  <c r="AH526" i="23"/>
  <c r="AH527" i="23"/>
  <c r="AH528" i="23"/>
  <c r="AH529" i="23"/>
  <c r="AH530" i="23"/>
  <c r="AG430" i="23"/>
  <c r="AG431" i="23"/>
  <c r="AG432" i="23"/>
  <c r="AG433" i="23"/>
  <c r="AG434" i="23"/>
  <c r="AG435" i="23"/>
  <c r="AG436" i="23"/>
  <c r="AG437" i="23"/>
  <c r="AG438" i="23"/>
  <c r="AG439" i="23"/>
  <c r="AG440" i="23"/>
  <c r="AG441" i="23"/>
  <c r="AG442" i="23"/>
  <c r="AG443" i="23"/>
  <c r="AG444" i="23"/>
  <c r="AG445" i="23"/>
  <c r="AG446" i="23"/>
  <c r="AG447" i="23"/>
  <c r="AG448" i="23"/>
  <c r="AG449" i="23"/>
  <c r="AG450" i="23"/>
  <c r="AG451" i="23"/>
  <c r="AG452" i="23"/>
  <c r="AG453" i="23"/>
  <c r="AG454" i="23"/>
  <c r="AG455" i="23"/>
  <c r="AG456" i="23"/>
  <c r="AG457" i="23"/>
  <c r="AG458" i="23"/>
  <c r="AG459" i="23"/>
  <c r="AG460" i="23"/>
  <c r="AG461" i="23"/>
  <c r="AG462" i="23"/>
  <c r="AG463" i="23"/>
  <c r="AG464" i="23"/>
  <c r="AG465" i="23"/>
  <c r="AG466" i="23"/>
  <c r="AG467" i="23"/>
  <c r="AG468" i="23"/>
  <c r="AG469" i="23"/>
  <c r="AG470" i="23"/>
  <c r="AG471" i="23"/>
  <c r="AG472" i="23"/>
  <c r="AG473" i="23"/>
  <c r="AG474" i="23"/>
  <c r="AG475" i="23"/>
  <c r="AG476" i="23"/>
  <c r="AG477" i="23"/>
  <c r="AG478" i="23"/>
  <c r="AG479" i="23"/>
  <c r="AG480" i="23"/>
  <c r="AG481" i="23"/>
  <c r="AG482" i="23"/>
  <c r="AG483" i="23"/>
  <c r="AG484" i="23"/>
  <c r="AG485" i="23"/>
  <c r="AG486" i="23"/>
  <c r="AG487" i="23"/>
  <c r="AG488" i="23"/>
  <c r="AG489" i="23"/>
  <c r="AG490" i="23"/>
  <c r="AG491" i="23"/>
  <c r="AG492" i="23"/>
  <c r="AG493" i="23"/>
  <c r="AG494" i="23"/>
  <c r="AG495" i="23"/>
  <c r="AG496" i="23"/>
  <c r="AG497" i="23"/>
  <c r="AG498" i="23"/>
  <c r="AG499" i="23"/>
  <c r="AG500" i="23"/>
  <c r="AG501" i="23"/>
  <c r="AG502" i="23"/>
  <c r="AG503" i="23"/>
  <c r="AG504" i="23"/>
  <c r="AG505" i="23"/>
  <c r="AG506" i="23"/>
  <c r="AG507" i="23"/>
  <c r="AG508" i="23"/>
  <c r="AG509" i="23"/>
  <c r="AG510" i="23"/>
  <c r="AG511" i="23"/>
  <c r="AG512" i="23"/>
  <c r="AG513" i="23"/>
  <c r="AG514" i="23"/>
  <c r="AG515" i="23"/>
  <c r="AG516" i="23"/>
  <c r="AG517" i="23"/>
  <c r="AG518" i="23"/>
  <c r="AG519" i="23"/>
  <c r="AG520" i="23"/>
  <c r="AG521" i="23"/>
  <c r="AG522" i="23"/>
  <c r="AG523" i="23"/>
  <c r="AG524" i="23"/>
  <c r="AG525" i="23"/>
  <c r="AG526" i="23"/>
  <c r="AG527" i="23"/>
  <c r="AG528" i="23"/>
  <c r="AG529" i="23"/>
  <c r="AG530" i="23"/>
  <c r="AF430" i="23"/>
  <c r="AF431" i="23"/>
  <c r="AF432" i="23"/>
  <c r="AF433" i="23"/>
  <c r="AF434" i="23"/>
  <c r="AF435" i="23"/>
  <c r="AF436" i="23"/>
  <c r="AF437" i="23"/>
  <c r="AF438" i="23"/>
  <c r="AF439" i="23"/>
  <c r="AF440" i="23"/>
  <c r="AF441" i="23"/>
  <c r="AF442" i="23"/>
  <c r="AF443" i="23"/>
  <c r="AF444" i="23"/>
  <c r="AF445" i="23"/>
  <c r="AF446" i="23"/>
  <c r="AF447" i="23"/>
  <c r="AF448" i="23"/>
  <c r="AF449" i="23"/>
  <c r="AF450" i="23"/>
  <c r="AF451" i="23"/>
  <c r="AF452" i="23"/>
  <c r="AF453" i="23"/>
  <c r="AF454" i="23"/>
  <c r="AF455" i="23"/>
  <c r="AF456" i="23"/>
  <c r="AF457" i="23"/>
  <c r="AF458" i="23"/>
  <c r="AF459" i="23"/>
  <c r="AF460" i="23"/>
  <c r="AF461" i="23"/>
  <c r="AF462" i="23"/>
  <c r="AF463" i="23"/>
  <c r="AF464" i="23"/>
  <c r="AF465" i="23"/>
  <c r="AF466" i="23"/>
  <c r="AF467" i="23"/>
  <c r="AF468" i="23"/>
  <c r="AF469" i="23"/>
  <c r="AF470" i="23"/>
  <c r="AF471" i="23"/>
  <c r="AF472" i="23"/>
  <c r="AF473" i="23"/>
  <c r="AF474" i="23"/>
  <c r="AF475" i="23"/>
  <c r="AF476" i="23"/>
  <c r="AF477" i="23"/>
  <c r="AF478" i="23"/>
  <c r="AF479" i="23"/>
  <c r="AF480" i="23"/>
  <c r="AF481" i="23"/>
  <c r="AF482" i="23"/>
  <c r="AF483" i="23"/>
  <c r="AF484" i="23"/>
  <c r="AF485" i="23"/>
  <c r="AF486" i="23"/>
  <c r="AF487" i="23"/>
  <c r="AF488" i="23"/>
  <c r="AF489" i="23"/>
  <c r="AF490" i="23"/>
  <c r="AF491" i="23"/>
  <c r="AF492" i="23"/>
  <c r="AF493" i="23"/>
  <c r="AF494" i="23"/>
  <c r="AF495" i="23"/>
  <c r="AF496" i="23"/>
  <c r="AF497" i="23"/>
  <c r="AF498" i="23"/>
  <c r="AF499" i="23"/>
  <c r="AF500" i="23"/>
  <c r="AF501" i="23"/>
  <c r="AF502" i="23"/>
  <c r="AF503" i="23"/>
  <c r="AF504" i="23"/>
  <c r="AF505" i="23"/>
  <c r="AF506" i="23"/>
  <c r="AF507" i="23"/>
  <c r="AF508" i="23"/>
  <c r="AF509" i="23"/>
  <c r="AF510" i="23"/>
  <c r="AF511" i="23"/>
  <c r="AF512" i="23"/>
  <c r="AF513" i="23"/>
  <c r="AF514" i="23"/>
  <c r="AF515" i="23"/>
  <c r="AF516" i="23"/>
  <c r="AF517" i="23"/>
  <c r="AF518" i="23"/>
  <c r="AF519" i="23"/>
  <c r="AF520" i="23"/>
  <c r="AF521" i="23"/>
  <c r="AF522" i="23"/>
  <c r="AF523" i="23"/>
  <c r="AF524" i="23"/>
  <c r="AF525" i="23"/>
  <c r="AF526" i="23"/>
  <c r="AF527" i="23"/>
  <c r="AF528" i="23"/>
  <c r="AF529" i="23"/>
  <c r="AF530" i="23"/>
  <c r="AX430" i="3"/>
  <c r="AX431" i="3"/>
  <c r="AX432" i="3"/>
  <c r="AX433" i="3"/>
  <c r="AX434" i="3"/>
  <c r="AX435" i="3"/>
  <c r="AX436" i="3"/>
  <c r="AX437" i="3"/>
  <c r="AX438" i="3"/>
  <c r="AX439" i="3"/>
  <c r="AX440" i="3"/>
  <c r="AX441" i="3"/>
  <c r="AX442" i="3"/>
  <c r="AX443" i="3"/>
  <c r="AX444" i="3"/>
  <c r="AX445" i="3"/>
  <c r="AX446" i="3"/>
  <c r="AX447" i="3"/>
  <c r="AX448" i="3"/>
  <c r="AX449" i="3"/>
  <c r="AX450" i="3"/>
  <c r="AX451" i="3"/>
  <c r="AX452" i="3"/>
  <c r="AX453" i="3"/>
  <c r="AX454" i="3"/>
  <c r="AX455" i="3"/>
  <c r="AX456" i="3"/>
  <c r="AX457" i="3"/>
  <c r="AX458" i="3"/>
  <c r="AX459" i="3"/>
  <c r="AX460" i="3"/>
  <c r="AX461" i="3"/>
  <c r="AX462" i="3"/>
  <c r="AX463" i="3"/>
  <c r="AX464" i="3"/>
  <c r="AX465" i="3"/>
  <c r="AX466" i="3"/>
  <c r="AX467" i="3"/>
  <c r="AX468" i="3"/>
  <c r="AX469" i="3"/>
  <c r="AX470" i="3"/>
  <c r="AX471" i="3"/>
  <c r="AX472" i="3"/>
  <c r="AX473" i="3"/>
  <c r="AX474" i="3"/>
  <c r="AX475" i="3"/>
  <c r="AX476" i="3"/>
  <c r="AX477" i="3"/>
  <c r="AX478" i="3"/>
  <c r="AX479" i="3"/>
  <c r="AX480" i="3"/>
  <c r="AX481" i="3"/>
  <c r="AX482" i="3"/>
  <c r="AX483" i="3"/>
  <c r="AX484" i="3"/>
  <c r="AX485" i="3"/>
  <c r="AX486" i="3"/>
  <c r="AX487" i="3"/>
  <c r="AX488" i="3"/>
  <c r="AX489" i="3"/>
  <c r="AX490" i="3"/>
  <c r="AX491" i="3"/>
  <c r="AX492" i="3"/>
  <c r="AX493" i="3"/>
  <c r="AX494" i="3"/>
  <c r="AX495" i="3"/>
  <c r="AX496" i="3"/>
  <c r="AX497" i="3"/>
  <c r="AX498" i="3"/>
  <c r="AX499" i="3"/>
  <c r="AX500" i="3"/>
  <c r="AX501" i="3"/>
  <c r="AX502" i="3"/>
  <c r="AX503" i="3"/>
  <c r="AX504" i="3"/>
  <c r="AX505" i="3"/>
  <c r="AX506" i="3"/>
  <c r="AX507" i="3"/>
  <c r="AX508" i="3"/>
  <c r="AX509" i="3"/>
  <c r="AX510" i="3"/>
  <c r="AX511" i="3"/>
  <c r="AX512" i="3"/>
  <c r="AX513" i="3"/>
  <c r="AX514" i="3"/>
  <c r="AX515" i="3"/>
  <c r="AX516" i="3"/>
  <c r="AX517" i="3"/>
  <c r="AX518" i="3"/>
  <c r="AX519" i="3"/>
  <c r="AX520" i="3"/>
  <c r="AX521" i="3"/>
  <c r="AX522" i="3"/>
  <c r="AX523" i="3"/>
  <c r="AX524" i="3"/>
  <c r="AX525" i="3"/>
  <c r="AX526" i="3"/>
  <c r="AX527" i="3"/>
  <c r="AX528" i="3"/>
  <c r="AX529" i="3"/>
  <c r="AX530" i="3"/>
  <c r="AW430" i="3"/>
  <c r="AW431" i="3"/>
  <c r="AW432" i="3"/>
  <c r="AW433" i="3"/>
  <c r="AW434" i="3"/>
  <c r="AW435" i="3"/>
  <c r="AW436" i="3"/>
  <c r="AW437" i="3"/>
  <c r="AW438" i="3"/>
  <c r="AW439" i="3"/>
  <c r="AW440" i="3"/>
  <c r="AW441" i="3"/>
  <c r="AW442" i="3"/>
  <c r="AW443" i="3"/>
  <c r="AW444" i="3"/>
  <c r="AW445" i="3"/>
  <c r="AW446" i="3"/>
  <c r="AW447" i="3"/>
  <c r="AW448" i="3"/>
  <c r="AW449" i="3"/>
  <c r="AW450" i="3"/>
  <c r="AW451" i="3"/>
  <c r="AW452" i="3"/>
  <c r="AW453" i="3"/>
  <c r="AW454" i="3"/>
  <c r="AW455" i="3"/>
  <c r="AW456" i="3"/>
  <c r="AW457" i="3"/>
  <c r="AW458" i="3"/>
  <c r="AW459" i="3"/>
  <c r="AW460" i="3"/>
  <c r="AW461" i="3"/>
  <c r="AW462" i="3"/>
  <c r="AW463" i="3"/>
  <c r="AW464" i="3"/>
  <c r="AW465" i="3"/>
  <c r="AW466" i="3"/>
  <c r="AW467" i="3"/>
  <c r="AW468" i="3"/>
  <c r="AW469" i="3"/>
  <c r="AW470" i="3"/>
  <c r="AW471" i="3"/>
  <c r="AW472" i="3"/>
  <c r="AW473" i="3"/>
  <c r="AW474" i="3"/>
  <c r="AW475" i="3"/>
  <c r="AW476" i="3"/>
  <c r="AW477" i="3"/>
  <c r="AW478" i="3"/>
  <c r="AW479" i="3"/>
  <c r="AW480" i="3"/>
  <c r="AW481" i="3"/>
  <c r="AW482" i="3"/>
  <c r="AW483" i="3"/>
  <c r="AW484" i="3"/>
  <c r="AW485" i="3"/>
  <c r="AW486" i="3"/>
  <c r="AW487" i="3"/>
  <c r="AW488" i="3"/>
  <c r="AW489" i="3"/>
  <c r="AW490" i="3"/>
  <c r="AW491" i="3"/>
  <c r="AW492" i="3"/>
  <c r="AW493" i="3"/>
  <c r="AW494" i="3"/>
  <c r="AW495" i="3"/>
  <c r="AW496" i="3"/>
  <c r="AW497" i="3"/>
  <c r="AW498" i="3"/>
  <c r="AW499" i="3"/>
  <c r="AW500" i="3"/>
  <c r="AW501" i="3"/>
  <c r="AW502" i="3"/>
  <c r="AW503" i="3"/>
  <c r="AW504" i="3"/>
  <c r="AW505" i="3"/>
  <c r="AW506" i="3"/>
  <c r="AW507" i="3"/>
  <c r="AW508" i="3"/>
  <c r="AW509" i="3"/>
  <c r="AW510" i="3"/>
  <c r="AW511" i="3"/>
  <c r="AW512" i="3"/>
  <c r="AW513" i="3"/>
  <c r="AW514" i="3"/>
  <c r="AW515" i="3"/>
  <c r="AW516" i="3"/>
  <c r="AW517" i="3"/>
  <c r="AW518" i="3"/>
  <c r="AW519" i="3"/>
  <c r="AW520" i="3"/>
  <c r="AW521" i="3"/>
  <c r="AW522" i="3"/>
  <c r="AW523" i="3"/>
  <c r="AW524" i="3"/>
  <c r="AW525" i="3"/>
  <c r="AW526" i="3"/>
  <c r="AW527" i="3"/>
  <c r="AW528" i="3"/>
  <c r="AW529" i="3"/>
  <c r="AW530" i="3"/>
  <c r="AV430" i="3"/>
  <c r="AV431" i="3"/>
  <c r="AV432" i="3"/>
  <c r="AV433" i="3"/>
  <c r="AV434" i="3"/>
  <c r="AV435" i="3"/>
  <c r="AV436" i="3"/>
  <c r="AV437" i="3"/>
  <c r="AV438" i="3"/>
  <c r="AV439" i="3"/>
  <c r="AV440" i="3"/>
  <c r="AV441" i="3"/>
  <c r="AV442" i="3"/>
  <c r="AV443" i="3"/>
  <c r="AV444" i="3"/>
  <c r="AV445" i="3"/>
  <c r="AV446" i="3"/>
  <c r="AV447" i="3"/>
  <c r="AV448" i="3"/>
  <c r="AV449" i="3"/>
  <c r="AV450" i="3"/>
  <c r="AV451" i="3"/>
  <c r="AV452" i="3"/>
  <c r="AV453" i="3"/>
  <c r="AV454" i="3"/>
  <c r="AV455" i="3"/>
  <c r="AV456" i="3"/>
  <c r="AV457" i="3"/>
  <c r="AV458" i="3"/>
  <c r="AV459" i="3"/>
  <c r="AV460" i="3"/>
  <c r="AV461" i="3"/>
  <c r="AV462" i="3"/>
  <c r="AV463" i="3"/>
  <c r="AV464" i="3"/>
  <c r="AV465" i="3"/>
  <c r="AV466" i="3"/>
  <c r="AV467" i="3"/>
  <c r="AV468" i="3"/>
  <c r="AV469" i="3"/>
  <c r="AV470" i="3"/>
  <c r="AV471" i="3"/>
  <c r="AV472" i="3"/>
  <c r="AV473" i="3"/>
  <c r="AV474" i="3"/>
  <c r="AV475" i="3"/>
  <c r="AV476" i="3"/>
  <c r="AV477" i="3"/>
  <c r="AV478" i="3"/>
  <c r="AV479" i="3"/>
  <c r="AV480" i="3"/>
  <c r="AV481" i="3"/>
  <c r="AV482" i="3"/>
  <c r="AV483" i="3"/>
  <c r="AV484" i="3"/>
  <c r="AV485" i="3"/>
  <c r="AV486" i="3"/>
  <c r="AV487" i="3"/>
  <c r="AV488" i="3"/>
  <c r="AV489" i="3"/>
  <c r="AV490" i="3"/>
  <c r="AV491" i="3"/>
  <c r="AV492" i="3"/>
  <c r="AV493" i="3"/>
  <c r="AV494" i="3"/>
  <c r="AV495" i="3"/>
  <c r="AV496" i="3"/>
  <c r="AV497" i="3"/>
  <c r="AV498" i="3"/>
  <c r="AV499" i="3"/>
  <c r="AV500" i="3"/>
  <c r="AV501" i="3"/>
  <c r="AV502" i="3"/>
  <c r="AV503" i="3"/>
  <c r="AV504" i="3"/>
  <c r="AV505" i="3"/>
  <c r="AV506" i="3"/>
  <c r="AV507" i="3"/>
  <c r="AV508" i="3"/>
  <c r="AV509" i="3"/>
  <c r="AV510" i="3"/>
  <c r="AV511" i="3"/>
  <c r="AV512" i="3"/>
  <c r="AV513" i="3"/>
  <c r="AV514" i="3"/>
  <c r="AV515" i="3"/>
  <c r="AV516" i="3"/>
  <c r="AV517" i="3"/>
  <c r="AV518" i="3"/>
  <c r="AV519" i="3"/>
  <c r="AV520" i="3"/>
  <c r="AV521" i="3"/>
  <c r="AV522" i="3"/>
  <c r="AV523" i="3"/>
  <c r="AV524" i="3"/>
  <c r="AV525" i="3"/>
  <c r="AV526" i="3"/>
  <c r="AV527" i="3"/>
  <c r="AV528" i="3"/>
  <c r="AV529" i="3"/>
  <c r="AV530"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516" i="3"/>
  <c r="AU517" i="3"/>
  <c r="AU518" i="3"/>
  <c r="AU519" i="3"/>
  <c r="AU520" i="3"/>
  <c r="AU521" i="3"/>
  <c r="AU522" i="3"/>
  <c r="AU523" i="3"/>
  <c r="AU524" i="3"/>
  <c r="AU525" i="3"/>
  <c r="AU526" i="3"/>
  <c r="AU527" i="3"/>
  <c r="AU528" i="3"/>
  <c r="AU529" i="3"/>
  <c r="AU530"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S507" i="3"/>
  <c r="AS508" i="3"/>
  <c r="AS509" i="3"/>
  <c r="AS510" i="3"/>
  <c r="AS511" i="3"/>
  <c r="AS512" i="3"/>
  <c r="AS513" i="3"/>
  <c r="AS514" i="3"/>
  <c r="AS515" i="3"/>
  <c r="AS516" i="3"/>
  <c r="AS517" i="3"/>
  <c r="AS518" i="3"/>
  <c r="AS519" i="3"/>
  <c r="AS520" i="3"/>
  <c r="AS521" i="3"/>
  <c r="AS522" i="3"/>
  <c r="AS523" i="3"/>
  <c r="AS524" i="3"/>
  <c r="AS525" i="3"/>
  <c r="AS526" i="3"/>
  <c r="AS527" i="3"/>
  <c r="AS528" i="3"/>
  <c r="AS529" i="3"/>
  <c r="AS530"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R507" i="3"/>
  <c r="AR508" i="3"/>
  <c r="AR509" i="3"/>
  <c r="AR510" i="3"/>
  <c r="AR511" i="3"/>
  <c r="AR512" i="3"/>
  <c r="AR513" i="3"/>
  <c r="AR514" i="3"/>
  <c r="AR515" i="3"/>
  <c r="AR516" i="3"/>
  <c r="AR517" i="3"/>
  <c r="AR518" i="3"/>
  <c r="AR519" i="3"/>
  <c r="AR520" i="3"/>
  <c r="AR521" i="3"/>
  <c r="AR522" i="3"/>
  <c r="AR523" i="3"/>
  <c r="AR524" i="3"/>
  <c r="AR525" i="3"/>
  <c r="AR526" i="3"/>
  <c r="AR527" i="3"/>
  <c r="AR528" i="3"/>
  <c r="AR529" i="3"/>
  <c r="AR530"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516" i="3"/>
  <c r="AP517" i="3"/>
  <c r="AP518" i="3"/>
  <c r="AP519" i="3"/>
  <c r="AP520" i="3"/>
  <c r="AP521" i="3"/>
  <c r="AP522" i="3"/>
  <c r="AP523" i="3"/>
  <c r="AP524" i="3"/>
  <c r="AP525" i="3"/>
  <c r="AP526" i="3"/>
  <c r="AP527" i="3"/>
  <c r="AP528" i="3"/>
  <c r="AP529" i="3"/>
  <c r="AP530"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M507" i="3"/>
  <c r="AM508" i="3"/>
  <c r="AM509" i="3"/>
  <c r="AM510" i="3"/>
  <c r="AM511" i="3"/>
  <c r="AM512" i="3"/>
  <c r="AM513" i="3"/>
  <c r="AM514" i="3"/>
  <c r="AM515" i="3"/>
  <c r="AM516" i="3"/>
  <c r="AM517" i="3"/>
  <c r="AM518" i="3"/>
  <c r="AM519" i="3"/>
  <c r="AM520" i="3"/>
  <c r="AM521" i="3"/>
  <c r="AM522" i="3"/>
  <c r="AM523" i="3"/>
  <c r="AM524" i="3"/>
  <c r="AM525" i="3"/>
  <c r="AM526" i="3"/>
  <c r="AM527" i="3"/>
  <c r="AM528" i="3"/>
  <c r="AM529" i="3"/>
  <c r="AM530"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521" i="3"/>
  <c r="AL522" i="3"/>
  <c r="AL523" i="3"/>
  <c r="AL524" i="3"/>
  <c r="AL525" i="3"/>
  <c r="AL526" i="3"/>
  <c r="AL527" i="3"/>
  <c r="AL528" i="3"/>
  <c r="AL529" i="3"/>
  <c r="AL530" i="3"/>
  <c r="AX430" i="2"/>
  <c r="AX431" i="2"/>
  <c r="AX432" i="2"/>
  <c r="AX433" i="2"/>
  <c r="AX434" i="2"/>
  <c r="AX435" i="2"/>
  <c r="AX436" i="2"/>
  <c r="AX437" i="2"/>
  <c r="AX438" i="2"/>
  <c r="AX439" i="2"/>
  <c r="AX440" i="2"/>
  <c r="AX441" i="2"/>
  <c r="AX442" i="2"/>
  <c r="AX443" i="2"/>
  <c r="AX444" i="2"/>
  <c r="AX445" i="2"/>
  <c r="AX446" i="2"/>
  <c r="AX447" i="2"/>
  <c r="AX448" i="2"/>
  <c r="AX449" i="2"/>
  <c r="AX450" i="2"/>
  <c r="AX451" i="2"/>
  <c r="AX452" i="2"/>
  <c r="AX453" i="2"/>
  <c r="AX454" i="2"/>
  <c r="AX455" i="2"/>
  <c r="AX456" i="2"/>
  <c r="AX457" i="2"/>
  <c r="AX458" i="2"/>
  <c r="AX459" i="2"/>
  <c r="AX460" i="2"/>
  <c r="AX461" i="2"/>
  <c r="AX462" i="2"/>
  <c r="AX463" i="2"/>
  <c r="AX464" i="2"/>
  <c r="AX465" i="2"/>
  <c r="AX466" i="2"/>
  <c r="AX467" i="2"/>
  <c r="AX468" i="2"/>
  <c r="AX469" i="2"/>
  <c r="AX470" i="2"/>
  <c r="AX471" i="2"/>
  <c r="AX472" i="2"/>
  <c r="AX473" i="2"/>
  <c r="AX474" i="2"/>
  <c r="AX475" i="2"/>
  <c r="AX476" i="2"/>
  <c r="AX477" i="2"/>
  <c r="AX478" i="2"/>
  <c r="AX479" i="2"/>
  <c r="AX480" i="2"/>
  <c r="AX481" i="2"/>
  <c r="AX482" i="2"/>
  <c r="AX483" i="2"/>
  <c r="AX484" i="2"/>
  <c r="AX485" i="2"/>
  <c r="AX486" i="2"/>
  <c r="AX487" i="2"/>
  <c r="AX488" i="2"/>
  <c r="AX489" i="2"/>
  <c r="AX490" i="2"/>
  <c r="AX491" i="2"/>
  <c r="AX492" i="2"/>
  <c r="AX493" i="2"/>
  <c r="AX494" i="2"/>
  <c r="AX495" i="2"/>
  <c r="AX496" i="2"/>
  <c r="AX497" i="2"/>
  <c r="AX498" i="2"/>
  <c r="AX499" i="2"/>
  <c r="AX500" i="2"/>
  <c r="AX501" i="2"/>
  <c r="AX502" i="2"/>
  <c r="AX503" i="2"/>
  <c r="AX504" i="2"/>
  <c r="AX505" i="2"/>
  <c r="AX506" i="2"/>
  <c r="AX507" i="2"/>
  <c r="AX508" i="2"/>
  <c r="AX509" i="2"/>
  <c r="AX510" i="2"/>
  <c r="AX511" i="2"/>
  <c r="AX512" i="2"/>
  <c r="AX513" i="2"/>
  <c r="AX514" i="2"/>
  <c r="AX515" i="2"/>
  <c r="AX516" i="2"/>
  <c r="AX517" i="2"/>
  <c r="AX518" i="2"/>
  <c r="AX519" i="2"/>
  <c r="AX520" i="2"/>
  <c r="AX521" i="2"/>
  <c r="AX522" i="2"/>
  <c r="AX523" i="2"/>
  <c r="AX524" i="2"/>
  <c r="AX525" i="2"/>
  <c r="AX526" i="2"/>
  <c r="AX527" i="2"/>
  <c r="AX528" i="2"/>
  <c r="AX529" i="2"/>
  <c r="AX530" i="2"/>
  <c r="AW430" i="2"/>
  <c r="AW431" i="2"/>
  <c r="AW432" i="2"/>
  <c r="AW433" i="2"/>
  <c r="AW434" i="2"/>
  <c r="AW435" i="2"/>
  <c r="AW436" i="2"/>
  <c r="AW437" i="2"/>
  <c r="AW438" i="2"/>
  <c r="AW439" i="2"/>
  <c r="AW440" i="2"/>
  <c r="AW441" i="2"/>
  <c r="AW442" i="2"/>
  <c r="AW443" i="2"/>
  <c r="AW444" i="2"/>
  <c r="AW445" i="2"/>
  <c r="AW446" i="2"/>
  <c r="AW447" i="2"/>
  <c r="AW448" i="2"/>
  <c r="AW449" i="2"/>
  <c r="AW450" i="2"/>
  <c r="AW451" i="2"/>
  <c r="AW452" i="2"/>
  <c r="AW453" i="2"/>
  <c r="AW454" i="2"/>
  <c r="AW455" i="2"/>
  <c r="AW456" i="2"/>
  <c r="AW457" i="2"/>
  <c r="AW458" i="2"/>
  <c r="AW459" i="2"/>
  <c r="AW460" i="2"/>
  <c r="AW461" i="2"/>
  <c r="AW462" i="2"/>
  <c r="AW463" i="2"/>
  <c r="AW464" i="2"/>
  <c r="AW465" i="2"/>
  <c r="AW466" i="2"/>
  <c r="AW467" i="2"/>
  <c r="AW468" i="2"/>
  <c r="AW469" i="2"/>
  <c r="AW470" i="2"/>
  <c r="AW471" i="2"/>
  <c r="AW472" i="2"/>
  <c r="AW473" i="2"/>
  <c r="AW474" i="2"/>
  <c r="AW475" i="2"/>
  <c r="AW476" i="2"/>
  <c r="AW477" i="2"/>
  <c r="AW478" i="2"/>
  <c r="AW479" i="2"/>
  <c r="AW480" i="2"/>
  <c r="AW481" i="2"/>
  <c r="AW482" i="2"/>
  <c r="AW483" i="2"/>
  <c r="AW484" i="2"/>
  <c r="AW485" i="2"/>
  <c r="AW486" i="2"/>
  <c r="AW487" i="2"/>
  <c r="AW488" i="2"/>
  <c r="AW489" i="2"/>
  <c r="AW490" i="2"/>
  <c r="AW491" i="2"/>
  <c r="AW492" i="2"/>
  <c r="AW493" i="2"/>
  <c r="AW494" i="2"/>
  <c r="AW495" i="2"/>
  <c r="AW496" i="2"/>
  <c r="AW497" i="2"/>
  <c r="AW498" i="2"/>
  <c r="AW499" i="2"/>
  <c r="AW500" i="2"/>
  <c r="AW501" i="2"/>
  <c r="AW502" i="2"/>
  <c r="AW503" i="2"/>
  <c r="AW504" i="2"/>
  <c r="AW505" i="2"/>
  <c r="AW506" i="2"/>
  <c r="AW507" i="2"/>
  <c r="AW508" i="2"/>
  <c r="AW509" i="2"/>
  <c r="AW510" i="2"/>
  <c r="AW511" i="2"/>
  <c r="AW512" i="2"/>
  <c r="AW513" i="2"/>
  <c r="AW514" i="2"/>
  <c r="AW515" i="2"/>
  <c r="AW516" i="2"/>
  <c r="AW517" i="2"/>
  <c r="AW518" i="2"/>
  <c r="AW519" i="2"/>
  <c r="AW520" i="2"/>
  <c r="AW521" i="2"/>
  <c r="AW522" i="2"/>
  <c r="AW523" i="2"/>
  <c r="AW524" i="2"/>
  <c r="AW525" i="2"/>
  <c r="AW526" i="2"/>
  <c r="AW527" i="2"/>
  <c r="AW528" i="2"/>
  <c r="AW529" i="2"/>
  <c r="AW530" i="2"/>
  <c r="AV430" i="2"/>
  <c r="AV431" i="2"/>
  <c r="AV432" i="2"/>
  <c r="AV433" i="2"/>
  <c r="AV434" i="2"/>
  <c r="AV435" i="2"/>
  <c r="AV436" i="2"/>
  <c r="AV437" i="2"/>
  <c r="AV438" i="2"/>
  <c r="AV439" i="2"/>
  <c r="AV440" i="2"/>
  <c r="AV441" i="2"/>
  <c r="AV442" i="2"/>
  <c r="AV443" i="2"/>
  <c r="AV444" i="2"/>
  <c r="AV445" i="2"/>
  <c r="AV446" i="2"/>
  <c r="AV447" i="2"/>
  <c r="AV448" i="2"/>
  <c r="AV449" i="2"/>
  <c r="AV450" i="2"/>
  <c r="AV451" i="2"/>
  <c r="AV452" i="2"/>
  <c r="AV453" i="2"/>
  <c r="AV454" i="2"/>
  <c r="AV455" i="2"/>
  <c r="AV456" i="2"/>
  <c r="AV457" i="2"/>
  <c r="AV458" i="2"/>
  <c r="AV459" i="2"/>
  <c r="AV460" i="2"/>
  <c r="AV461" i="2"/>
  <c r="AV462" i="2"/>
  <c r="AV463" i="2"/>
  <c r="AV464" i="2"/>
  <c r="AV465" i="2"/>
  <c r="AV466" i="2"/>
  <c r="AV467" i="2"/>
  <c r="AV468" i="2"/>
  <c r="AV469" i="2"/>
  <c r="AV470" i="2"/>
  <c r="AV471" i="2"/>
  <c r="AV472" i="2"/>
  <c r="AV473" i="2"/>
  <c r="AV474" i="2"/>
  <c r="AV475" i="2"/>
  <c r="AV476" i="2"/>
  <c r="AV477" i="2"/>
  <c r="AV478" i="2"/>
  <c r="AV479" i="2"/>
  <c r="AV480" i="2"/>
  <c r="AV481" i="2"/>
  <c r="AV482" i="2"/>
  <c r="AV483" i="2"/>
  <c r="AV484" i="2"/>
  <c r="AV485" i="2"/>
  <c r="AV486" i="2"/>
  <c r="AV487" i="2"/>
  <c r="AV488" i="2"/>
  <c r="AV489" i="2"/>
  <c r="AV490" i="2"/>
  <c r="AV491" i="2"/>
  <c r="AV492" i="2"/>
  <c r="AV493" i="2"/>
  <c r="AV494" i="2"/>
  <c r="AV495" i="2"/>
  <c r="AV496" i="2"/>
  <c r="AV497" i="2"/>
  <c r="AV498" i="2"/>
  <c r="AV499" i="2"/>
  <c r="AV500" i="2"/>
  <c r="AV501" i="2"/>
  <c r="AV502" i="2"/>
  <c r="AV503" i="2"/>
  <c r="AV504" i="2"/>
  <c r="AV505" i="2"/>
  <c r="AV506" i="2"/>
  <c r="AV507" i="2"/>
  <c r="AV508" i="2"/>
  <c r="AV509" i="2"/>
  <c r="AV510" i="2"/>
  <c r="AV511" i="2"/>
  <c r="AV512" i="2"/>
  <c r="AV513" i="2"/>
  <c r="AV514" i="2"/>
  <c r="AV515" i="2"/>
  <c r="AV516" i="2"/>
  <c r="AV517" i="2"/>
  <c r="AV518" i="2"/>
  <c r="AV519" i="2"/>
  <c r="AV520" i="2"/>
  <c r="AV521" i="2"/>
  <c r="AV522" i="2"/>
  <c r="AV523" i="2"/>
  <c r="AV524" i="2"/>
  <c r="AV525" i="2"/>
  <c r="AV526" i="2"/>
  <c r="AV527" i="2"/>
  <c r="AV528" i="2"/>
  <c r="AV529" i="2"/>
  <c r="AV530" i="2"/>
  <c r="AU430" i="2"/>
  <c r="AU431" i="2"/>
  <c r="AU432" i="2"/>
  <c r="AU433" i="2"/>
  <c r="AU434" i="2"/>
  <c r="AU435" i="2"/>
  <c r="AU436" i="2"/>
  <c r="AU437" i="2"/>
  <c r="AU438" i="2"/>
  <c r="AU439" i="2"/>
  <c r="AU440" i="2"/>
  <c r="AU441" i="2"/>
  <c r="AU442" i="2"/>
  <c r="AU443" i="2"/>
  <c r="AU444" i="2"/>
  <c r="AU445" i="2"/>
  <c r="AU446" i="2"/>
  <c r="AU447" i="2"/>
  <c r="AU448" i="2"/>
  <c r="AU449" i="2"/>
  <c r="AU450" i="2"/>
  <c r="AU451" i="2"/>
  <c r="AU452" i="2"/>
  <c r="AU453" i="2"/>
  <c r="AU454" i="2"/>
  <c r="AU455" i="2"/>
  <c r="AU456" i="2"/>
  <c r="AU457" i="2"/>
  <c r="AU458" i="2"/>
  <c r="AU459" i="2"/>
  <c r="AU460" i="2"/>
  <c r="AU461" i="2"/>
  <c r="AU462" i="2"/>
  <c r="AU463" i="2"/>
  <c r="AU464" i="2"/>
  <c r="AU465" i="2"/>
  <c r="AU466" i="2"/>
  <c r="AU467" i="2"/>
  <c r="AU468" i="2"/>
  <c r="AU469" i="2"/>
  <c r="AU470" i="2"/>
  <c r="AU471" i="2"/>
  <c r="AU472" i="2"/>
  <c r="AU473" i="2"/>
  <c r="AU474" i="2"/>
  <c r="AU475" i="2"/>
  <c r="AU476" i="2"/>
  <c r="AU477" i="2"/>
  <c r="AU478" i="2"/>
  <c r="AU479" i="2"/>
  <c r="AU480" i="2"/>
  <c r="AU481" i="2"/>
  <c r="AU482" i="2"/>
  <c r="AU483" i="2"/>
  <c r="AU484" i="2"/>
  <c r="AU485" i="2"/>
  <c r="AU486" i="2"/>
  <c r="AU487" i="2"/>
  <c r="AU488" i="2"/>
  <c r="AU489" i="2"/>
  <c r="AU490" i="2"/>
  <c r="AU491" i="2"/>
  <c r="AU492" i="2"/>
  <c r="AU493" i="2"/>
  <c r="AU494" i="2"/>
  <c r="AU495" i="2"/>
  <c r="AU496" i="2"/>
  <c r="AU497" i="2"/>
  <c r="AU498" i="2"/>
  <c r="AU499" i="2"/>
  <c r="AU500" i="2"/>
  <c r="AU501" i="2"/>
  <c r="AU502" i="2"/>
  <c r="AU503" i="2"/>
  <c r="AU504" i="2"/>
  <c r="AU505" i="2"/>
  <c r="AU506" i="2"/>
  <c r="AU507" i="2"/>
  <c r="AU508" i="2"/>
  <c r="AU509" i="2"/>
  <c r="AU510" i="2"/>
  <c r="AU511" i="2"/>
  <c r="AU512" i="2"/>
  <c r="AU513" i="2"/>
  <c r="AU514" i="2"/>
  <c r="AU515" i="2"/>
  <c r="AU516" i="2"/>
  <c r="AU517" i="2"/>
  <c r="AU518" i="2"/>
  <c r="AU519" i="2"/>
  <c r="AU520" i="2"/>
  <c r="AU521" i="2"/>
  <c r="AU522" i="2"/>
  <c r="AU523" i="2"/>
  <c r="AU524" i="2"/>
  <c r="AU525" i="2"/>
  <c r="AU526" i="2"/>
  <c r="AU527" i="2"/>
  <c r="AU528" i="2"/>
  <c r="AU529" i="2"/>
  <c r="AU530" i="2"/>
  <c r="AT430" i="2"/>
  <c r="AT431" i="2"/>
  <c r="AT432" i="2"/>
  <c r="AT433" i="2"/>
  <c r="AT434" i="2"/>
  <c r="AT435" i="2"/>
  <c r="AT436" i="2"/>
  <c r="AT437" i="2"/>
  <c r="AT438" i="2"/>
  <c r="AT439" i="2"/>
  <c r="AT440" i="2"/>
  <c r="AT441" i="2"/>
  <c r="AT442" i="2"/>
  <c r="AT443" i="2"/>
  <c r="AT444" i="2"/>
  <c r="AT445" i="2"/>
  <c r="AT446" i="2"/>
  <c r="AT447" i="2"/>
  <c r="AT448" i="2"/>
  <c r="AT449" i="2"/>
  <c r="AT450" i="2"/>
  <c r="AT451" i="2"/>
  <c r="AT452" i="2"/>
  <c r="AT453" i="2"/>
  <c r="AT454" i="2"/>
  <c r="AT455" i="2"/>
  <c r="AT456" i="2"/>
  <c r="AT457" i="2"/>
  <c r="AT458" i="2"/>
  <c r="AT459" i="2"/>
  <c r="AT460" i="2"/>
  <c r="AT461" i="2"/>
  <c r="AT462" i="2"/>
  <c r="AT463" i="2"/>
  <c r="AT464" i="2"/>
  <c r="AT465" i="2"/>
  <c r="AT466" i="2"/>
  <c r="AT467" i="2"/>
  <c r="AT468" i="2"/>
  <c r="AT469" i="2"/>
  <c r="AT470" i="2"/>
  <c r="AT471" i="2"/>
  <c r="AT472" i="2"/>
  <c r="AT473" i="2"/>
  <c r="AT474" i="2"/>
  <c r="AT475" i="2"/>
  <c r="AT476" i="2"/>
  <c r="AT477" i="2"/>
  <c r="AT478" i="2"/>
  <c r="AT479" i="2"/>
  <c r="AT480" i="2"/>
  <c r="AT481" i="2"/>
  <c r="AT482" i="2"/>
  <c r="AT483" i="2"/>
  <c r="AT484" i="2"/>
  <c r="AT485" i="2"/>
  <c r="AT486" i="2"/>
  <c r="AT487" i="2"/>
  <c r="AT488" i="2"/>
  <c r="AT489" i="2"/>
  <c r="AT490" i="2"/>
  <c r="AT491" i="2"/>
  <c r="AT492" i="2"/>
  <c r="AT493" i="2"/>
  <c r="AT494" i="2"/>
  <c r="AT495" i="2"/>
  <c r="AT496" i="2"/>
  <c r="AT497" i="2"/>
  <c r="AT498" i="2"/>
  <c r="AT499" i="2"/>
  <c r="AT500" i="2"/>
  <c r="AT501" i="2"/>
  <c r="AT502" i="2"/>
  <c r="AT503" i="2"/>
  <c r="AT504" i="2"/>
  <c r="AT505" i="2"/>
  <c r="AT506" i="2"/>
  <c r="AT507" i="2"/>
  <c r="AT508" i="2"/>
  <c r="AT509" i="2"/>
  <c r="AT510" i="2"/>
  <c r="AT511" i="2"/>
  <c r="AT512" i="2"/>
  <c r="AT513" i="2"/>
  <c r="AT514" i="2"/>
  <c r="AT515" i="2"/>
  <c r="AT516" i="2"/>
  <c r="AT517" i="2"/>
  <c r="AT518" i="2"/>
  <c r="AT519" i="2"/>
  <c r="AT520" i="2"/>
  <c r="AT521" i="2"/>
  <c r="AT522" i="2"/>
  <c r="AT523" i="2"/>
  <c r="AT524" i="2"/>
  <c r="AT525" i="2"/>
  <c r="AT526" i="2"/>
  <c r="AT527" i="2"/>
  <c r="AT528" i="2"/>
  <c r="AT529" i="2"/>
  <c r="AT530"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R430" i="2"/>
  <c r="AR431" i="2"/>
  <c r="AR432" i="2"/>
  <c r="AR433" i="2"/>
  <c r="AR434" i="2"/>
  <c r="AR435" i="2"/>
  <c r="AR436" i="2"/>
  <c r="AR437" i="2"/>
  <c r="AR438" i="2"/>
  <c r="AR439" i="2"/>
  <c r="AR440" i="2"/>
  <c r="AR441" i="2"/>
  <c r="AR442" i="2"/>
  <c r="AR443" i="2"/>
  <c r="AR444" i="2"/>
  <c r="AR445" i="2"/>
  <c r="AR446" i="2"/>
  <c r="AR447" i="2"/>
  <c r="AR448" i="2"/>
  <c r="AR449" i="2"/>
  <c r="AR450" i="2"/>
  <c r="AR451" i="2"/>
  <c r="AR452" i="2"/>
  <c r="AR453" i="2"/>
  <c r="AR454" i="2"/>
  <c r="AR455" i="2"/>
  <c r="AR456" i="2"/>
  <c r="AR457" i="2"/>
  <c r="AR458" i="2"/>
  <c r="AR459" i="2"/>
  <c r="AR460" i="2"/>
  <c r="AR461" i="2"/>
  <c r="AR462" i="2"/>
  <c r="AR463" i="2"/>
  <c r="AR464" i="2"/>
  <c r="AR465" i="2"/>
  <c r="AR466" i="2"/>
  <c r="AR467" i="2"/>
  <c r="AR468" i="2"/>
  <c r="AR469" i="2"/>
  <c r="AR470" i="2"/>
  <c r="AR471" i="2"/>
  <c r="AR472" i="2"/>
  <c r="AR473" i="2"/>
  <c r="AR474" i="2"/>
  <c r="AR475" i="2"/>
  <c r="AR476" i="2"/>
  <c r="AR477" i="2"/>
  <c r="AR478" i="2"/>
  <c r="AR479" i="2"/>
  <c r="AR480" i="2"/>
  <c r="AR481" i="2"/>
  <c r="AR482" i="2"/>
  <c r="AR483" i="2"/>
  <c r="AR484" i="2"/>
  <c r="AR485" i="2"/>
  <c r="AR486" i="2"/>
  <c r="AR487" i="2"/>
  <c r="AR488" i="2"/>
  <c r="AR489" i="2"/>
  <c r="AR490" i="2"/>
  <c r="AR491" i="2"/>
  <c r="AR492" i="2"/>
  <c r="AR493" i="2"/>
  <c r="AR494" i="2"/>
  <c r="AR495" i="2"/>
  <c r="AR496" i="2"/>
  <c r="AR497" i="2"/>
  <c r="AR498" i="2"/>
  <c r="AR499" i="2"/>
  <c r="AR500" i="2"/>
  <c r="AR501" i="2"/>
  <c r="AR502" i="2"/>
  <c r="AR503" i="2"/>
  <c r="AR504" i="2"/>
  <c r="AR505" i="2"/>
  <c r="AR506" i="2"/>
  <c r="AR507" i="2"/>
  <c r="AR508" i="2"/>
  <c r="AR509" i="2"/>
  <c r="AR510" i="2"/>
  <c r="AR511" i="2"/>
  <c r="AR512" i="2"/>
  <c r="AR513" i="2"/>
  <c r="AR514" i="2"/>
  <c r="AR515" i="2"/>
  <c r="AR516" i="2"/>
  <c r="AR517" i="2"/>
  <c r="AR518" i="2"/>
  <c r="AR519" i="2"/>
  <c r="AR520" i="2"/>
  <c r="AR521" i="2"/>
  <c r="AR522" i="2"/>
  <c r="AR523" i="2"/>
  <c r="AR524" i="2"/>
  <c r="AR525" i="2"/>
  <c r="AR526" i="2"/>
  <c r="AR527" i="2"/>
  <c r="AR528" i="2"/>
  <c r="AR529" i="2"/>
  <c r="AR530" i="2"/>
  <c r="AQ430" i="2"/>
  <c r="AQ431" i="2"/>
  <c r="AQ432" i="2"/>
  <c r="AQ433" i="2"/>
  <c r="AQ434" i="2"/>
  <c r="AQ435" i="2"/>
  <c r="AQ436" i="2"/>
  <c r="AQ437" i="2"/>
  <c r="AQ438" i="2"/>
  <c r="AQ439" i="2"/>
  <c r="AQ440" i="2"/>
  <c r="AQ441" i="2"/>
  <c r="AQ442" i="2"/>
  <c r="AQ443" i="2"/>
  <c r="AQ444" i="2"/>
  <c r="AQ445" i="2"/>
  <c r="AQ446" i="2"/>
  <c r="AQ447" i="2"/>
  <c r="AQ448" i="2"/>
  <c r="AQ449" i="2"/>
  <c r="AQ450" i="2"/>
  <c r="AQ451" i="2"/>
  <c r="AQ452" i="2"/>
  <c r="AQ453" i="2"/>
  <c r="AQ454" i="2"/>
  <c r="AQ455" i="2"/>
  <c r="AQ456" i="2"/>
  <c r="AQ457" i="2"/>
  <c r="AQ458" i="2"/>
  <c r="AQ459" i="2"/>
  <c r="AQ460" i="2"/>
  <c r="AQ461" i="2"/>
  <c r="AQ462" i="2"/>
  <c r="AQ463" i="2"/>
  <c r="AQ464" i="2"/>
  <c r="AQ465" i="2"/>
  <c r="AQ466" i="2"/>
  <c r="AQ467" i="2"/>
  <c r="AQ468" i="2"/>
  <c r="AQ469" i="2"/>
  <c r="AQ470" i="2"/>
  <c r="AQ471" i="2"/>
  <c r="AQ472" i="2"/>
  <c r="AQ473" i="2"/>
  <c r="AQ474" i="2"/>
  <c r="AQ475" i="2"/>
  <c r="AQ476" i="2"/>
  <c r="AQ477" i="2"/>
  <c r="AQ478" i="2"/>
  <c r="AQ479" i="2"/>
  <c r="AQ480" i="2"/>
  <c r="AQ481" i="2"/>
  <c r="AQ482" i="2"/>
  <c r="AQ483" i="2"/>
  <c r="AQ484" i="2"/>
  <c r="AQ485" i="2"/>
  <c r="AQ486" i="2"/>
  <c r="AQ487" i="2"/>
  <c r="AQ488" i="2"/>
  <c r="AQ489" i="2"/>
  <c r="AQ490" i="2"/>
  <c r="AQ491" i="2"/>
  <c r="AQ492" i="2"/>
  <c r="AQ493" i="2"/>
  <c r="AQ494" i="2"/>
  <c r="AQ495" i="2"/>
  <c r="AQ496" i="2"/>
  <c r="AQ497" i="2"/>
  <c r="AQ498" i="2"/>
  <c r="AQ499" i="2"/>
  <c r="AQ500" i="2"/>
  <c r="AQ501" i="2"/>
  <c r="AQ502" i="2"/>
  <c r="AQ503" i="2"/>
  <c r="AQ504" i="2"/>
  <c r="AQ505" i="2"/>
  <c r="AQ506" i="2"/>
  <c r="AQ507" i="2"/>
  <c r="AQ508" i="2"/>
  <c r="AQ509" i="2"/>
  <c r="AQ510" i="2"/>
  <c r="AQ511" i="2"/>
  <c r="AQ512" i="2"/>
  <c r="AQ513" i="2"/>
  <c r="AQ514" i="2"/>
  <c r="AQ515" i="2"/>
  <c r="AQ516" i="2"/>
  <c r="AQ517" i="2"/>
  <c r="AQ518" i="2"/>
  <c r="AQ519" i="2"/>
  <c r="AQ520" i="2"/>
  <c r="AQ521" i="2"/>
  <c r="AQ522" i="2"/>
  <c r="AQ523" i="2"/>
  <c r="AQ524" i="2"/>
  <c r="AQ525" i="2"/>
  <c r="AQ526" i="2"/>
  <c r="AQ527" i="2"/>
  <c r="AQ528" i="2"/>
  <c r="AQ529" i="2"/>
  <c r="AQ530" i="2"/>
  <c r="AP430" i="2"/>
  <c r="AP431" i="2"/>
  <c r="AP432" i="2"/>
  <c r="AP433" i="2"/>
  <c r="AP434" i="2"/>
  <c r="AP435" i="2"/>
  <c r="AP436" i="2"/>
  <c r="AP437" i="2"/>
  <c r="AP438" i="2"/>
  <c r="AP439" i="2"/>
  <c r="AP440" i="2"/>
  <c r="AP441" i="2"/>
  <c r="AP442" i="2"/>
  <c r="AP443" i="2"/>
  <c r="AP444" i="2"/>
  <c r="AP445" i="2"/>
  <c r="AP446" i="2"/>
  <c r="AP447" i="2"/>
  <c r="AP448" i="2"/>
  <c r="AP449" i="2"/>
  <c r="AP450" i="2"/>
  <c r="AP451" i="2"/>
  <c r="AP452" i="2"/>
  <c r="AP453" i="2"/>
  <c r="AP454" i="2"/>
  <c r="AP455" i="2"/>
  <c r="AP456" i="2"/>
  <c r="AP457" i="2"/>
  <c r="AP458" i="2"/>
  <c r="AP459" i="2"/>
  <c r="AP460" i="2"/>
  <c r="AP461" i="2"/>
  <c r="AP462" i="2"/>
  <c r="AP463" i="2"/>
  <c r="AP464" i="2"/>
  <c r="AP465" i="2"/>
  <c r="AP466" i="2"/>
  <c r="AP467" i="2"/>
  <c r="AP468" i="2"/>
  <c r="AP469" i="2"/>
  <c r="AP470" i="2"/>
  <c r="AP471" i="2"/>
  <c r="AP472" i="2"/>
  <c r="AP473" i="2"/>
  <c r="AP474" i="2"/>
  <c r="AP475" i="2"/>
  <c r="AP476" i="2"/>
  <c r="AP477" i="2"/>
  <c r="AP478" i="2"/>
  <c r="AP479" i="2"/>
  <c r="AP480" i="2"/>
  <c r="AP481" i="2"/>
  <c r="AP482" i="2"/>
  <c r="AP483" i="2"/>
  <c r="AP484" i="2"/>
  <c r="AP485" i="2"/>
  <c r="AP486" i="2"/>
  <c r="AP487" i="2"/>
  <c r="AP488" i="2"/>
  <c r="AP489" i="2"/>
  <c r="AP490" i="2"/>
  <c r="AP491" i="2"/>
  <c r="AP492" i="2"/>
  <c r="AP493" i="2"/>
  <c r="AP494" i="2"/>
  <c r="AP495" i="2"/>
  <c r="AP496" i="2"/>
  <c r="AP497" i="2"/>
  <c r="AP498" i="2"/>
  <c r="AP499" i="2"/>
  <c r="AP500" i="2"/>
  <c r="AP501" i="2"/>
  <c r="AP502" i="2"/>
  <c r="AP503" i="2"/>
  <c r="AP504" i="2"/>
  <c r="AP505" i="2"/>
  <c r="AP506" i="2"/>
  <c r="AP507" i="2"/>
  <c r="AP508" i="2"/>
  <c r="AP509" i="2"/>
  <c r="AP510" i="2"/>
  <c r="AP511" i="2"/>
  <c r="AP512" i="2"/>
  <c r="AP513" i="2"/>
  <c r="AP514" i="2"/>
  <c r="AP515" i="2"/>
  <c r="AP516" i="2"/>
  <c r="AP517" i="2"/>
  <c r="AP518" i="2"/>
  <c r="AP519" i="2"/>
  <c r="AP520" i="2"/>
  <c r="AP521" i="2"/>
  <c r="AP522" i="2"/>
  <c r="AP523" i="2"/>
  <c r="AP524" i="2"/>
  <c r="AP525" i="2"/>
  <c r="AP526" i="2"/>
  <c r="AP527" i="2"/>
  <c r="AP528" i="2"/>
  <c r="AP529" i="2"/>
  <c r="AP530" i="2"/>
  <c r="AO430" i="2"/>
  <c r="AO431" i="2"/>
  <c r="AO432" i="2"/>
  <c r="AO433" i="2"/>
  <c r="AO434" i="2"/>
  <c r="AO435" i="2"/>
  <c r="AO436" i="2"/>
  <c r="AO437" i="2"/>
  <c r="AO438" i="2"/>
  <c r="AO439" i="2"/>
  <c r="AO440" i="2"/>
  <c r="AO441" i="2"/>
  <c r="AO442" i="2"/>
  <c r="AO443" i="2"/>
  <c r="AO444" i="2"/>
  <c r="AO445" i="2"/>
  <c r="AO446" i="2"/>
  <c r="AO447" i="2"/>
  <c r="AO448" i="2"/>
  <c r="AO449" i="2"/>
  <c r="AO450" i="2"/>
  <c r="AO451" i="2"/>
  <c r="AO452" i="2"/>
  <c r="AO453" i="2"/>
  <c r="AO454" i="2"/>
  <c r="AO455" i="2"/>
  <c r="AO456" i="2"/>
  <c r="AO457" i="2"/>
  <c r="AO458" i="2"/>
  <c r="AO459" i="2"/>
  <c r="AO460" i="2"/>
  <c r="AO461" i="2"/>
  <c r="AO462" i="2"/>
  <c r="AO463" i="2"/>
  <c r="AO464" i="2"/>
  <c r="AO465" i="2"/>
  <c r="AO466" i="2"/>
  <c r="AO467" i="2"/>
  <c r="AO468" i="2"/>
  <c r="AO469" i="2"/>
  <c r="AO470" i="2"/>
  <c r="AO471" i="2"/>
  <c r="AO472" i="2"/>
  <c r="AO473" i="2"/>
  <c r="AO474" i="2"/>
  <c r="AO475" i="2"/>
  <c r="AO476" i="2"/>
  <c r="AO477" i="2"/>
  <c r="AO478" i="2"/>
  <c r="AO479" i="2"/>
  <c r="AO480" i="2"/>
  <c r="AO481" i="2"/>
  <c r="AO482" i="2"/>
  <c r="AO483" i="2"/>
  <c r="AO484" i="2"/>
  <c r="AO485" i="2"/>
  <c r="AO486" i="2"/>
  <c r="AO487" i="2"/>
  <c r="AO488" i="2"/>
  <c r="AO489" i="2"/>
  <c r="AO490" i="2"/>
  <c r="AO491" i="2"/>
  <c r="AO492" i="2"/>
  <c r="AO493" i="2"/>
  <c r="AO494" i="2"/>
  <c r="AO495" i="2"/>
  <c r="AO496" i="2"/>
  <c r="AO497" i="2"/>
  <c r="AO498" i="2"/>
  <c r="AO499" i="2"/>
  <c r="AO500" i="2"/>
  <c r="AO501" i="2"/>
  <c r="AO502" i="2"/>
  <c r="AO503" i="2"/>
  <c r="AO504" i="2"/>
  <c r="AO505" i="2"/>
  <c r="AO506" i="2"/>
  <c r="AO507" i="2"/>
  <c r="AO508" i="2"/>
  <c r="AO509" i="2"/>
  <c r="AO510" i="2"/>
  <c r="AO511" i="2"/>
  <c r="AO512" i="2"/>
  <c r="AO513" i="2"/>
  <c r="AO514" i="2"/>
  <c r="AO515" i="2"/>
  <c r="AO516" i="2"/>
  <c r="AO517" i="2"/>
  <c r="AO518" i="2"/>
  <c r="AO519" i="2"/>
  <c r="AO520" i="2"/>
  <c r="AO521" i="2"/>
  <c r="AO522" i="2"/>
  <c r="AO523" i="2"/>
  <c r="AO524" i="2"/>
  <c r="AO525" i="2"/>
  <c r="AO526" i="2"/>
  <c r="AO527" i="2"/>
  <c r="AO528" i="2"/>
  <c r="AO529" i="2"/>
  <c r="AO530" i="2"/>
  <c r="AN430" i="2"/>
  <c r="AN431" i="2"/>
  <c r="AN432" i="2"/>
  <c r="AN433" i="2"/>
  <c r="AN434" i="2"/>
  <c r="AN435" i="2"/>
  <c r="AN436" i="2"/>
  <c r="AN437" i="2"/>
  <c r="AN438" i="2"/>
  <c r="AN439" i="2"/>
  <c r="AN440" i="2"/>
  <c r="AN441" i="2"/>
  <c r="AN442" i="2"/>
  <c r="AN443" i="2"/>
  <c r="AN444" i="2"/>
  <c r="AN445" i="2"/>
  <c r="AN446" i="2"/>
  <c r="AN447" i="2"/>
  <c r="AN448" i="2"/>
  <c r="AN449" i="2"/>
  <c r="AN450" i="2"/>
  <c r="AN451" i="2"/>
  <c r="AN452" i="2"/>
  <c r="AN453" i="2"/>
  <c r="AN454" i="2"/>
  <c r="AN455" i="2"/>
  <c r="AN456" i="2"/>
  <c r="AN457" i="2"/>
  <c r="AN458" i="2"/>
  <c r="AN459" i="2"/>
  <c r="AN460" i="2"/>
  <c r="AN461" i="2"/>
  <c r="AN462" i="2"/>
  <c r="AN463" i="2"/>
  <c r="AN464" i="2"/>
  <c r="AN465" i="2"/>
  <c r="AN466" i="2"/>
  <c r="AN467" i="2"/>
  <c r="AN468" i="2"/>
  <c r="AN469" i="2"/>
  <c r="AN470" i="2"/>
  <c r="AN471" i="2"/>
  <c r="AN472" i="2"/>
  <c r="AN473" i="2"/>
  <c r="AN474" i="2"/>
  <c r="AN475" i="2"/>
  <c r="AN476" i="2"/>
  <c r="AN477" i="2"/>
  <c r="AN478" i="2"/>
  <c r="AN479" i="2"/>
  <c r="AN480" i="2"/>
  <c r="AN481" i="2"/>
  <c r="AN482" i="2"/>
  <c r="AN483" i="2"/>
  <c r="AN484" i="2"/>
  <c r="AN485" i="2"/>
  <c r="AN486" i="2"/>
  <c r="AN487" i="2"/>
  <c r="AN488" i="2"/>
  <c r="AN489" i="2"/>
  <c r="AN490" i="2"/>
  <c r="AN491" i="2"/>
  <c r="AN492" i="2"/>
  <c r="AN493" i="2"/>
  <c r="AN494" i="2"/>
  <c r="AN495" i="2"/>
  <c r="AN496" i="2"/>
  <c r="AN497" i="2"/>
  <c r="AN498" i="2"/>
  <c r="AN499" i="2"/>
  <c r="AN500" i="2"/>
  <c r="AN501" i="2"/>
  <c r="AN502" i="2"/>
  <c r="AN503" i="2"/>
  <c r="AN504" i="2"/>
  <c r="AN505" i="2"/>
  <c r="AN506" i="2"/>
  <c r="AN507" i="2"/>
  <c r="AN508" i="2"/>
  <c r="AN509" i="2"/>
  <c r="AN510" i="2"/>
  <c r="AN511" i="2"/>
  <c r="AN512" i="2"/>
  <c r="AN513" i="2"/>
  <c r="AN514" i="2"/>
  <c r="AN515" i="2"/>
  <c r="AN516" i="2"/>
  <c r="AN517" i="2"/>
  <c r="AN518" i="2"/>
  <c r="AN519" i="2"/>
  <c r="AN520" i="2"/>
  <c r="AN521" i="2"/>
  <c r="AN522" i="2"/>
  <c r="AN523" i="2"/>
  <c r="AN524" i="2"/>
  <c r="AN525" i="2"/>
  <c r="AN526" i="2"/>
  <c r="AN527" i="2"/>
  <c r="AN528" i="2"/>
  <c r="AN529" i="2"/>
  <c r="AN530" i="2"/>
  <c r="P430" i="26"/>
  <c r="P431" i="26"/>
  <c r="P432" i="26"/>
  <c r="P433" i="26"/>
  <c r="P434" i="26"/>
  <c r="P435" i="26"/>
  <c r="P436" i="26"/>
  <c r="P437" i="26"/>
  <c r="P438" i="26"/>
  <c r="P439" i="26"/>
  <c r="P440" i="26"/>
  <c r="P441" i="26"/>
  <c r="P442" i="26"/>
  <c r="P443" i="26"/>
  <c r="P444" i="26"/>
  <c r="P445" i="26"/>
  <c r="P446" i="26"/>
  <c r="P447" i="26"/>
  <c r="P448" i="26"/>
  <c r="P449" i="26"/>
  <c r="P450" i="26"/>
  <c r="P451" i="26"/>
  <c r="P452" i="26"/>
  <c r="P453" i="26"/>
  <c r="P454" i="26"/>
  <c r="P455" i="26"/>
  <c r="P456" i="26"/>
  <c r="P457" i="26"/>
  <c r="P458" i="26"/>
  <c r="P459" i="26"/>
  <c r="P460" i="26"/>
  <c r="P461" i="26"/>
  <c r="P462" i="26"/>
  <c r="P463" i="26"/>
  <c r="P464" i="26"/>
  <c r="P465" i="26"/>
  <c r="P466" i="26"/>
  <c r="P467" i="26"/>
  <c r="P468" i="26"/>
  <c r="P469" i="26"/>
  <c r="P470" i="26"/>
  <c r="P471" i="26"/>
  <c r="P472" i="26"/>
  <c r="P473" i="26"/>
  <c r="P474" i="26"/>
  <c r="P475" i="26"/>
  <c r="P476" i="26"/>
  <c r="P477" i="26"/>
  <c r="P478" i="26"/>
  <c r="P479" i="26"/>
  <c r="P480" i="26"/>
  <c r="P481" i="26"/>
  <c r="P482" i="26"/>
  <c r="P483" i="26"/>
  <c r="P484" i="26"/>
  <c r="P485" i="26"/>
  <c r="P486" i="26"/>
  <c r="P487" i="26"/>
  <c r="P488" i="26"/>
  <c r="P489" i="26"/>
  <c r="P490" i="26"/>
  <c r="P491" i="26"/>
  <c r="P492" i="26"/>
  <c r="P493" i="26"/>
  <c r="P494" i="26"/>
  <c r="P495" i="26"/>
  <c r="P496" i="26"/>
  <c r="P497" i="26"/>
  <c r="P498" i="26"/>
  <c r="P499" i="26"/>
  <c r="P500" i="26"/>
  <c r="P501" i="26"/>
  <c r="P502" i="26"/>
  <c r="P503" i="26"/>
  <c r="P504" i="26"/>
  <c r="P505" i="26"/>
  <c r="P506" i="26"/>
  <c r="P507" i="26"/>
  <c r="P508" i="26"/>
  <c r="P509" i="26"/>
  <c r="P510" i="26"/>
  <c r="P511" i="26"/>
  <c r="P512" i="26"/>
  <c r="P513" i="26"/>
  <c r="P514" i="26"/>
  <c r="P515" i="26"/>
  <c r="P516" i="26"/>
  <c r="P517" i="26"/>
  <c r="P518" i="26"/>
  <c r="P519" i="26"/>
  <c r="P520" i="26"/>
  <c r="P521" i="26"/>
  <c r="P522" i="26"/>
  <c r="P523" i="26"/>
  <c r="P524" i="26"/>
  <c r="P525" i="26"/>
  <c r="P526" i="26"/>
  <c r="P527" i="26"/>
  <c r="P528" i="26"/>
  <c r="P529" i="26"/>
  <c r="P530" i="26"/>
  <c r="Q430" i="26"/>
  <c r="Q431" i="26"/>
  <c r="Q432" i="26"/>
  <c r="Q433" i="26"/>
  <c r="Q434" i="26"/>
  <c r="Q435" i="26"/>
  <c r="Q436" i="26"/>
  <c r="Q437" i="26"/>
  <c r="Q438" i="26"/>
  <c r="Q439" i="26"/>
  <c r="Q440" i="26"/>
  <c r="Q441" i="26"/>
  <c r="Q442" i="26"/>
  <c r="Q443" i="26"/>
  <c r="Q444" i="26"/>
  <c r="Q445" i="26"/>
  <c r="Q446" i="26"/>
  <c r="Q447" i="26"/>
  <c r="Q448" i="26"/>
  <c r="Q449" i="26"/>
  <c r="Q450" i="26"/>
  <c r="Q451" i="26"/>
  <c r="Q452" i="26"/>
  <c r="Q453" i="26"/>
  <c r="Q454" i="26"/>
  <c r="Q455" i="26"/>
  <c r="Q456" i="26"/>
  <c r="Q457" i="26"/>
  <c r="Q458" i="26"/>
  <c r="Q459" i="26"/>
  <c r="Q460" i="26"/>
  <c r="Q461" i="26"/>
  <c r="Q462" i="26"/>
  <c r="Q463" i="26"/>
  <c r="Q464" i="26"/>
  <c r="Q465" i="26"/>
  <c r="Q466" i="26"/>
  <c r="Q467" i="26"/>
  <c r="Q468" i="26"/>
  <c r="Q469" i="26"/>
  <c r="Q470" i="26"/>
  <c r="Q471" i="26"/>
  <c r="Q472" i="26"/>
  <c r="Q473" i="26"/>
  <c r="Q474" i="26"/>
  <c r="Q475" i="26"/>
  <c r="Q476" i="26"/>
  <c r="Q477" i="26"/>
  <c r="Q478" i="26"/>
  <c r="Q479" i="26"/>
  <c r="Q480" i="26"/>
  <c r="Q481" i="26"/>
  <c r="Q482" i="26"/>
  <c r="Q483" i="26"/>
  <c r="Q484" i="26"/>
  <c r="Q485" i="26"/>
  <c r="Q486" i="26"/>
  <c r="Q487" i="26"/>
  <c r="Q488" i="26"/>
  <c r="Q489" i="26"/>
  <c r="Q490" i="26"/>
  <c r="Q491" i="26"/>
  <c r="Q492" i="26"/>
  <c r="Q493" i="26"/>
  <c r="Q494" i="26"/>
  <c r="Q495" i="26"/>
  <c r="Q496" i="26"/>
  <c r="Q497" i="26"/>
  <c r="Q498" i="26"/>
  <c r="Q499" i="26"/>
  <c r="Q500" i="26"/>
  <c r="Q501" i="26"/>
  <c r="Q502" i="26"/>
  <c r="Q503" i="26"/>
  <c r="Q504" i="26"/>
  <c r="Q505" i="26"/>
  <c r="Q506" i="26"/>
  <c r="Q507" i="26"/>
  <c r="Q508" i="26"/>
  <c r="Q509" i="26"/>
  <c r="Q510" i="26"/>
  <c r="Q511" i="26"/>
  <c r="Q512" i="26"/>
  <c r="Q513" i="26"/>
  <c r="Q514" i="26"/>
  <c r="Q515" i="26"/>
  <c r="Q516" i="26"/>
  <c r="Q517" i="26"/>
  <c r="Q518" i="26"/>
  <c r="Q519" i="26"/>
  <c r="Q520" i="26"/>
  <c r="Q521" i="26"/>
  <c r="Q522" i="26"/>
  <c r="Q523" i="26"/>
  <c r="Q524" i="26"/>
  <c r="Q525" i="26"/>
  <c r="Q526" i="26"/>
  <c r="Q527" i="26"/>
  <c r="Q528" i="26"/>
  <c r="Q529" i="26"/>
  <c r="Q530"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S430" i="26"/>
  <c r="S431" i="26"/>
  <c r="S432" i="26"/>
  <c r="S433" i="26"/>
  <c r="S434" i="26"/>
  <c r="S435" i="26"/>
  <c r="S436" i="26"/>
  <c r="S437" i="26"/>
  <c r="S438" i="26"/>
  <c r="S439" i="26"/>
  <c r="S440" i="26"/>
  <c r="S441" i="26"/>
  <c r="S442" i="26"/>
  <c r="S443" i="26"/>
  <c r="S444" i="26"/>
  <c r="S445" i="26"/>
  <c r="S446" i="26"/>
  <c r="S447" i="26"/>
  <c r="S448" i="26"/>
  <c r="S449" i="26"/>
  <c r="S450" i="26"/>
  <c r="S451" i="26"/>
  <c r="S452" i="26"/>
  <c r="S453" i="26"/>
  <c r="S454" i="26"/>
  <c r="S455" i="26"/>
  <c r="S456" i="26"/>
  <c r="S457" i="26"/>
  <c r="S458" i="26"/>
  <c r="S459" i="26"/>
  <c r="S460" i="26"/>
  <c r="S461" i="26"/>
  <c r="S462" i="26"/>
  <c r="S463" i="26"/>
  <c r="S464" i="26"/>
  <c r="S465" i="26"/>
  <c r="S466" i="26"/>
  <c r="S467" i="26"/>
  <c r="S468" i="26"/>
  <c r="S469" i="26"/>
  <c r="S470" i="26"/>
  <c r="S471" i="26"/>
  <c r="S472" i="26"/>
  <c r="S473" i="26"/>
  <c r="S474" i="26"/>
  <c r="S475" i="26"/>
  <c r="S476" i="26"/>
  <c r="S477" i="26"/>
  <c r="S478" i="26"/>
  <c r="S479" i="26"/>
  <c r="S480" i="26"/>
  <c r="S481" i="26"/>
  <c r="S482" i="26"/>
  <c r="S483" i="26"/>
  <c r="S484" i="26"/>
  <c r="S485" i="26"/>
  <c r="S486" i="26"/>
  <c r="S487" i="26"/>
  <c r="S488" i="26"/>
  <c r="S489" i="26"/>
  <c r="S490" i="26"/>
  <c r="S491" i="26"/>
  <c r="S492" i="26"/>
  <c r="S493" i="26"/>
  <c r="S494" i="26"/>
  <c r="S495" i="26"/>
  <c r="S496" i="26"/>
  <c r="S497" i="26"/>
  <c r="S498" i="26"/>
  <c r="S499" i="26"/>
  <c r="S500" i="26"/>
  <c r="S501" i="26"/>
  <c r="S502" i="26"/>
  <c r="S503" i="26"/>
  <c r="S504" i="26"/>
  <c r="S505" i="26"/>
  <c r="S506" i="26"/>
  <c r="S507" i="26"/>
  <c r="S508" i="26"/>
  <c r="S509" i="26"/>
  <c r="S510" i="26"/>
  <c r="S511" i="26"/>
  <c r="S512" i="26"/>
  <c r="S513" i="26"/>
  <c r="S514" i="26"/>
  <c r="S515" i="26"/>
  <c r="S516" i="26"/>
  <c r="S517" i="26"/>
  <c r="S518" i="26"/>
  <c r="S519" i="26"/>
  <c r="S520" i="26"/>
  <c r="S521" i="26"/>
  <c r="S522" i="26"/>
  <c r="S523" i="26"/>
  <c r="S524" i="26"/>
  <c r="S525" i="26"/>
  <c r="S526" i="26"/>
  <c r="S527" i="26"/>
  <c r="S528" i="26"/>
  <c r="S529" i="26"/>
  <c r="S530" i="26"/>
  <c r="T430" i="26"/>
  <c r="T431" i="26"/>
  <c r="T432" i="26"/>
  <c r="T433" i="26"/>
  <c r="T434" i="26"/>
  <c r="T435" i="26"/>
  <c r="T436" i="26"/>
  <c r="T437" i="26"/>
  <c r="T438" i="26"/>
  <c r="T439" i="26"/>
  <c r="T440" i="26"/>
  <c r="T441" i="26"/>
  <c r="T442" i="26"/>
  <c r="T443" i="26"/>
  <c r="T444" i="26"/>
  <c r="T445" i="26"/>
  <c r="T446" i="26"/>
  <c r="T447" i="26"/>
  <c r="T448" i="26"/>
  <c r="T449" i="26"/>
  <c r="T450" i="26"/>
  <c r="T451" i="26"/>
  <c r="T452" i="26"/>
  <c r="T453" i="26"/>
  <c r="T454" i="26"/>
  <c r="T455" i="26"/>
  <c r="T456" i="26"/>
  <c r="T457" i="26"/>
  <c r="T458" i="26"/>
  <c r="T459" i="26"/>
  <c r="T460" i="26"/>
  <c r="T461" i="26"/>
  <c r="T462" i="26"/>
  <c r="T463" i="26"/>
  <c r="T464" i="26"/>
  <c r="T465" i="26"/>
  <c r="T466" i="26"/>
  <c r="T467" i="26"/>
  <c r="T468" i="26"/>
  <c r="T469" i="26"/>
  <c r="T470" i="26"/>
  <c r="T471" i="26"/>
  <c r="T472" i="26"/>
  <c r="T473" i="26"/>
  <c r="T474" i="26"/>
  <c r="T475" i="26"/>
  <c r="T476" i="26"/>
  <c r="T477" i="26"/>
  <c r="T478" i="26"/>
  <c r="T479" i="26"/>
  <c r="T480" i="26"/>
  <c r="T481" i="26"/>
  <c r="T482" i="26"/>
  <c r="T483" i="26"/>
  <c r="T484" i="26"/>
  <c r="T485" i="26"/>
  <c r="T486" i="26"/>
  <c r="T487" i="26"/>
  <c r="T488" i="26"/>
  <c r="T489" i="26"/>
  <c r="T490" i="26"/>
  <c r="T491" i="26"/>
  <c r="T492" i="26"/>
  <c r="T493" i="26"/>
  <c r="T494" i="26"/>
  <c r="T495" i="26"/>
  <c r="T496" i="26"/>
  <c r="T497" i="26"/>
  <c r="T498" i="26"/>
  <c r="T499" i="26"/>
  <c r="T500" i="26"/>
  <c r="T501" i="26"/>
  <c r="T502" i="26"/>
  <c r="T503" i="26"/>
  <c r="T504" i="26"/>
  <c r="T505" i="26"/>
  <c r="T506" i="26"/>
  <c r="T507" i="26"/>
  <c r="T508" i="26"/>
  <c r="T509" i="26"/>
  <c r="T510" i="26"/>
  <c r="T511" i="26"/>
  <c r="T512" i="26"/>
  <c r="T513" i="26"/>
  <c r="T514" i="26"/>
  <c r="T515" i="26"/>
  <c r="T516" i="26"/>
  <c r="T517" i="26"/>
  <c r="T518" i="26"/>
  <c r="T519" i="26"/>
  <c r="T520" i="26"/>
  <c r="T521" i="26"/>
  <c r="T522" i="26"/>
  <c r="T523" i="26"/>
  <c r="T524" i="26"/>
  <c r="T525" i="26"/>
  <c r="T526" i="26"/>
  <c r="T527" i="26"/>
  <c r="T528" i="26"/>
  <c r="T529" i="26"/>
  <c r="T530" i="26"/>
  <c r="U430" i="26"/>
  <c r="U431" i="26"/>
  <c r="U432" i="26"/>
  <c r="U433" i="26"/>
  <c r="U434" i="26"/>
  <c r="U435" i="26"/>
  <c r="U436" i="26"/>
  <c r="U437" i="26"/>
  <c r="U438" i="26"/>
  <c r="U439" i="26"/>
  <c r="U440" i="26"/>
  <c r="U441" i="26"/>
  <c r="U442" i="26"/>
  <c r="U443" i="26"/>
  <c r="U444" i="26"/>
  <c r="U445" i="26"/>
  <c r="U446" i="26"/>
  <c r="U447" i="26"/>
  <c r="U448" i="26"/>
  <c r="U449" i="26"/>
  <c r="U450" i="26"/>
  <c r="U451" i="26"/>
  <c r="U452" i="26"/>
  <c r="U453" i="26"/>
  <c r="U454" i="26"/>
  <c r="U455" i="26"/>
  <c r="U456" i="26"/>
  <c r="U457" i="26"/>
  <c r="U458" i="26"/>
  <c r="U459" i="26"/>
  <c r="U460" i="26"/>
  <c r="U461" i="26"/>
  <c r="U462" i="26"/>
  <c r="U463" i="26"/>
  <c r="U464" i="26"/>
  <c r="U465" i="26"/>
  <c r="U466" i="26"/>
  <c r="U467" i="26"/>
  <c r="U468" i="26"/>
  <c r="U469" i="26"/>
  <c r="U470" i="26"/>
  <c r="U471" i="26"/>
  <c r="U472" i="26"/>
  <c r="U473" i="26"/>
  <c r="U474" i="26"/>
  <c r="U475" i="26"/>
  <c r="U476" i="26"/>
  <c r="U477" i="26"/>
  <c r="U478" i="26"/>
  <c r="U479" i="26"/>
  <c r="U480" i="26"/>
  <c r="U481" i="26"/>
  <c r="U482" i="26"/>
  <c r="U483" i="26"/>
  <c r="U484" i="26"/>
  <c r="U485" i="26"/>
  <c r="U486" i="26"/>
  <c r="U487" i="26"/>
  <c r="U488" i="26"/>
  <c r="U489" i="26"/>
  <c r="U490" i="26"/>
  <c r="U491" i="26"/>
  <c r="U492" i="26"/>
  <c r="U493" i="26"/>
  <c r="U494" i="26"/>
  <c r="U495" i="26"/>
  <c r="U496" i="26"/>
  <c r="U497" i="26"/>
  <c r="U498" i="26"/>
  <c r="U499" i="26"/>
  <c r="U500" i="26"/>
  <c r="U501" i="26"/>
  <c r="U502" i="26"/>
  <c r="U503" i="26"/>
  <c r="U504" i="26"/>
  <c r="U505" i="26"/>
  <c r="U506" i="26"/>
  <c r="U507" i="26"/>
  <c r="U508" i="26"/>
  <c r="U509" i="26"/>
  <c r="U510" i="26"/>
  <c r="U511" i="26"/>
  <c r="U512" i="26"/>
  <c r="U513" i="26"/>
  <c r="U514" i="26"/>
  <c r="U515" i="26"/>
  <c r="U516" i="26"/>
  <c r="U517" i="26"/>
  <c r="U518" i="26"/>
  <c r="U519" i="26"/>
  <c r="U520" i="26"/>
  <c r="U521" i="26"/>
  <c r="U522" i="26"/>
  <c r="U523" i="26"/>
  <c r="U524" i="26"/>
  <c r="U525" i="26"/>
  <c r="U526" i="26"/>
  <c r="U527" i="26"/>
  <c r="U528" i="26"/>
  <c r="U529" i="26"/>
  <c r="U530"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W430" i="26"/>
  <c r="W431" i="26"/>
  <c r="W432" i="26"/>
  <c r="W433" i="26"/>
  <c r="W434" i="26"/>
  <c r="W435" i="26"/>
  <c r="W436" i="26"/>
  <c r="W437" i="26"/>
  <c r="W438" i="26"/>
  <c r="W439" i="26"/>
  <c r="W440" i="26"/>
  <c r="W441" i="26"/>
  <c r="W442" i="26"/>
  <c r="W443" i="26"/>
  <c r="W444" i="26"/>
  <c r="W445" i="26"/>
  <c r="W446" i="26"/>
  <c r="W447" i="26"/>
  <c r="W448" i="26"/>
  <c r="W449" i="26"/>
  <c r="W450" i="26"/>
  <c r="W451" i="26"/>
  <c r="W452" i="26"/>
  <c r="W453" i="26"/>
  <c r="W454" i="26"/>
  <c r="W455" i="26"/>
  <c r="W456" i="26"/>
  <c r="W457" i="26"/>
  <c r="W458" i="26"/>
  <c r="W459" i="26"/>
  <c r="W460" i="26"/>
  <c r="W461" i="26"/>
  <c r="W462" i="26"/>
  <c r="W463" i="26"/>
  <c r="W464" i="26"/>
  <c r="W465" i="26"/>
  <c r="W466" i="26"/>
  <c r="W467" i="26"/>
  <c r="W468" i="26"/>
  <c r="W469" i="26"/>
  <c r="W470" i="26"/>
  <c r="W471" i="26"/>
  <c r="W472" i="26"/>
  <c r="W473" i="26"/>
  <c r="W474" i="26"/>
  <c r="W475" i="26"/>
  <c r="W476" i="26"/>
  <c r="W477" i="26"/>
  <c r="W478" i="26"/>
  <c r="W479" i="26"/>
  <c r="W480" i="26"/>
  <c r="W481" i="26"/>
  <c r="W482" i="26"/>
  <c r="W483" i="26"/>
  <c r="W484" i="26"/>
  <c r="W485" i="26"/>
  <c r="W486" i="26"/>
  <c r="W487" i="26"/>
  <c r="W488" i="26"/>
  <c r="W489" i="26"/>
  <c r="W490" i="26"/>
  <c r="W491" i="26"/>
  <c r="W492" i="26"/>
  <c r="W493" i="26"/>
  <c r="W494" i="26"/>
  <c r="W495" i="26"/>
  <c r="W496" i="26"/>
  <c r="W497" i="26"/>
  <c r="W498" i="26"/>
  <c r="W499" i="26"/>
  <c r="W500" i="26"/>
  <c r="W501" i="26"/>
  <c r="W502" i="26"/>
  <c r="W503" i="26"/>
  <c r="W504" i="26"/>
  <c r="W505" i="26"/>
  <c r="W506" i="26"/>
  <c r="W507" i="26"/>
  <c r="W508" i="26"/>
  <c r="W509" i="26"/>
  <c r="W510" i="26"/>
  <c r="W511" i="26"/>
  <c r="W512" i="26"/>
  <c r="W513" i="26"/>
  <c r="W514" i="26"/>
  <c r="W515" i="26"/>
  <c r="W516" i="26"/>
  <c r="W517" i="26"/>
  <c r="W518" i="26"/>
  <c r="W519" i="26"/>
  <c r="W520" i="26"/>
  <c r="W521" i="26"/>
  <c r="W522" i="26"/>
  <c r="W523" i="26"/>
  <c r="W524" i="26"/>
  <c r="W525" i="26"/>
  <c r="W526" i="26"/>
  <c r="W527" i="26"/>
  <c r="W528" i="26"/>
  <c r="W529" i="26"/>
  <c r="W530" i="26"/>
  <c r="X430" i="26"/>
  <c r="X431" i="26"/>
  <c r="X432" i="26"/>
  <c r="X433" i="26"/>
  <c r="X434" i="26"/>
  <c r="X435" i="26"/>
  <c r="X436" i="26"/>
  <c r="X437" i="26"/>
  <c r="X438" i="26"/>
  <c r="X439" i="26"/>
  <c r="X440" i="26"/>
  <c r="X441" i="26"/>
  <c r="X442" i="26"/>
  <c r="X443" i="26"/>
  <c r="X444" i="26"/>
  <c r="X445" i="26"/>
  <c r="X446" i="26"/>
  <c r="X447" i="26"/>
  <c r="X448" i="26"/>
  <c r="X449" i="26"/>
  <c r="X450" i="26"/>
  <c r="X451" i="26"/>
  <c r="X452" i="26"/>
  <c r="X453" i="26"/>
  <c r="X454" i="26"/>
  <c r="X455" i="26"/>
  <c r="X456" i="26"/>
  <c r="X457" i="26"/>
  <c r="X458" i="26"/>
  <c r="X459" i="26"/>
  <c r="X460" i="26"/>
  <c r="X461" i="26"/>
  <c r="X462" i="26"/>
  <c r="X463" i="26"/>
  <c r="X464" i="26"/>
  <c r="X465" i="26"/>
  <c r="X466" i="26"/>
  <c r="X467" i="26"/>
  <c r="X468" i="26"/>
  <c r="X469" i="26"/>
  <c r="X470" i="26"/>
  <c r="X471" i="26"/>
  <c r="X472" i="26"/>
  <c r="X473" i="26"/>
  <c r="X474" i="26"/>
  <c r="X475" i="26"/>
  <c r="X476" i="26"/>
  <c r="X477" i="26"/>
  <c r="X478" i="26"/>
  <c r="X479" i="26"/>
  <c r="X480" i="26"/>
  <c r="X481" i="26"/>
  <c r="X482" i="26"/>
  <c r="X483" i="26"/>
  <c r="X484" i="26"/>
  <c r="X485" i="26"/>
  <c r="X486" i="26"/>
  <c r="X487" i="26"/>
  <c r="X488" i="26"/>
  <c r="X489" i="26"/>
  <c r="X490" i="26"/>
  <c r="X491" i="26"/>
  <c r="X492" i="26"/>
  <c r="X493" i="26"/>
  <c r="X494" i="26"/>
  <c r="X495" i="26"/>
  <c r="X496" i="26"/>
  <c r="X497" i="26"/>
  <c r="X498" i="26"/>
  <c r="X499" i="26"/>
  <c r="X500" i="26"/>
  <c r="X501" i="26"/>
  <c r="X502" i="26"/>
  <c r="X503" i="26"/>
  <c r="X504" i="26"/>
  <c r="X505" i="26"/>
  <c r="X506" i="26"/>
  <c r="X507" i="26"/>
  <c r="X508" i="26"/>
  <c r="X509" i="26"/>
  <c r="X510" i="26"/>
  <c r="X511" i="26"/>
  <c r="X512" i="26"/>
  <c r="X513" i="26"/>
  <c r="X514" i="26"/>
  <c r="X515" i="26"/>
  <c r="X516" i="26"/>
  <c r="X517" i="26"/>
  <c r="X518" i="26"/>
  <c r="X519" i="26"/>
  <c r="X520" i="26"/>
  <c r="X521" i="26"/>
  <c r="X522" i="26"/>
  <c r="X523" i="26"/>
  <c r="X524" i="26"/>
  <c r="X525" i="26"/>
  <c r="X526" i="26"/>
  <c r="X527" i="26"/>
  <c r="X528" i="26"/>
  <c r="X529" i="26"/>
  <c r="X530"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Z430" i="26"/>
  <c r="Z431" i="26"/>
  <c r="Z432" i="26"/>
  <c r="Z433" i="26"/>
  <c r="Z434" i="26"/>
  <c r="Z435" i="26"/>
  <c r="Z436" i="26"/>
  <c r="Z437" i="26"/>
  <c r="Z438" i="26"/>
  <c r="Z439" i="26"/>
  <c r="Z440" i="26"/>
  <c r="Z441" i="26"/>
  <c r="Z442" i="26"/>
  <c r="Z443" i="26"/>
  <c r="Z444" i="26"/>
  <c r="Z445" i="26"/>
  <c r="Z446" i="26"/>
  <c r="Z447" i="26"/>
  <c r="Z448" i="26"/>
  <c r="Z449" i="26"/>
  <c r="Z450" i="26"/>
  <c r="Z451" i="26"/>
  <c r="Z452" i="26"/>
  <c r="Z453" i="26"/>
  <c r="Z454" i="26"/>
  <c r="Z455" i="26"/>
  <c r="Z456" i="26"/>
  <c r="Z457" i="26"/>
  <c r="Z458" i="26"/>
  <c r="Z459" i="26"/>
  <c r="Z460" i="26"/>
  <c r="Z461" i="26"/>
  <c r="Z462" i="26"/>
  <c r="Z463" i="26"/>
  <c r="Z464" i="26"/>
  <c r="Z465" i="26"/>
  <c r="Z466" i="26"/>
  <c r="Z467" i="26"/>
  <c r="Z468" i="26"/>
  <c r="Z469" i="26"/>
  <c r="Z470" i="26"/>
  <c r="Z471" i="26"/>
  <c r="Z472" i="26"/>
  <c r="Z473" i="26"/>
  <c r="Z474" i="26"/>
  <c r="Z475" i="26"/>
  <c r="Z476" i="26"/>
  <c r="Z477" i="26"/>
  <c r="Z478" i="26"/>
  <c r="Z479" i="26"/>
  <c r="Z480" i="26"/>
  <c r="Z481" i="26"/>
  <c r="Z482" i="26"/>
  <c r="Z483" i="26"/>
  <c r="Z484" i="26"/>
  <c r="Z485" i="26"/>
  <c r="Z486" i="26"/>
  <c r="Z487" i="26"/>
  <c r="Z488" i="26"/>
  <c r="Z489" i="26"/>
  <c r="Z490" i="26"/>
  <c r="Z491" i="26"/>
  <c r="Z492" i="26"/>
  <c r="Z493" i="26"/>
  <c r="Z494" i="26"/>
  <c r="Z495" i="26"/>
  <c r="Z496" i="26"/>
  <c r="Z497" i="26"/>
  <c r="Z498" i="26"/>
  <c r="Z499" i="26"/>
  <c r="Z500" i="26"/>
  <c r="Z501" i="26"/>
  <c r="Z502" i="26"/>
  <c r="Z503" i="26"/>
  <c r="Z504" i="26"/>
  <c r="Z505" i="26"/>
  <c r="Z506" i="26"/>
  <c r="Z507" i="26"/>
  <c r="Z508" i="26"/>
  <c r="Z509" i="26"/>
  <c r="Z510" i="26"/>
  <c r="Z511" i="26"/>
  <c r="Z512" i="26"/>
  <c r="Z513" i="26"/>
  <c r="Z514" i="26"/>
  <c r="Z515" i="26"/>
  <c r="Z516" i="26"/>
  <c r="Z517" i="26"/>
  <c r="Z518" i="26"/>
  <c r="Z519" i="26"/>
  <c r="Z520" i="26"/>
  <c r="Z521" i="26"/>
  <c r="Z522" i="26"/>
  <c r="Z523" i="26"/>
  <c r="Z524" i="26"/>
  <c r="Z525" i="26"/>
  <c r="Z526" i="26"/>
  <c r="Z527" i="26"/>
  <c r="Z528" i="26"/>
  <c r="Z529" i="26"/>
  <c r="Z530" i="26"/>
  <c r="AA430" i="26"/>
  <c r="AA431" i="26"/>
  <c r="AA432" i="26"/>
  <c r="AA433" i="26"/>
  <c r="AA434" i="26"/>
  <c r="AA435" i="26"/>
  <c r="AA436" i="26"/>
  <c r="AA437" i="26"/>
  <c r="AA438" i="26"/>
  <c r="AA439" i="26"/>
  <c r="AA440" i="26"/>
  <c r="AA441" i="26"/>
  <c r="AA442" i="26"/>
  <c r="AA443" i="26"/>
  <c r="AA444" i="26"/>
  <c r="AA445" i="26"/>
  <c r="AA446" i="26"/>
  <c r="AA447" i="26"/>
  <c r="AA448" i="26"/>
  <c r="AA449" i="26"/>
  <c r="AA450" i="26"/>
  <c r="AA451" i="26"/>
  <c r="AA452" i="26"/>
  <c r="AA453" i="26"/>
  <c r="AA454" i="26"/>
  <c r="AA455" i="26"/>
  <c r="AA456" i="26"/>
  <c r="AA457" i="26"/>
  <c r="AA458" i="26"/>
  <c r="AA459" i="26"/>
  <c r="AA460" i="26"/>
  <c r="AA461" i="26"/>
  <c r="AA462" i="26"/>
  <c r="AA463" i="26"/>
  <c r="AA464" i="26"/>
  <c r="AA465" i="26"/>
  <c r="AA466" i="26"/>
  <c r="AA467" i="26"/>
  <c r="AA468" i="26"/>
  <c r="AA469" i="26"/>
  <c r="AA470" i="26"/>
  <c r="AA471" i="26"/>
  <c r="AA472" i="26"/>
  <c r="AA473" i="26"/>
  <c r="AA474" i="26"/>
  <c r="AA475" i="26"/>
  <c r="AA476" i="26"/>
  <c r="AA477" i="26"/>
  <c r="AA478" i="26"/>
  <c r="AA479" i="26"/>
  <c r="AA480" i="26"/>
  <c r="AA481" i="26"/>
  <c r="AA482" i="26"/>
  <c r="AA483" i="26"/>
  <c r="AA484" i="26"/>
  <c r="AA485" i="26"/>
  <c r="AA486" i="26"/>
  <c r="AA487" i="26"/>
  <c r="AA488" i="26"/>
  <c r="AA489" i="26"/>
  <c r="AA490" i="26"/>
  <c r="AA491" i="26"/>
  <c r="AA492" i="26"/>
  <c r="AA493" i="26"/>
  <c r="AA494" i="26"/>
  <c r="AA495" i="26"/>
  <c r="AA496" i="26"/>
  <c r="AA497" i="26"/>
  <c r="AA498" i="26"/>
  <c r="AA499" i="26"/>
  <c r="AA500" i="26"/>
  <c r="AA501" i="26"/>
  <c r="AA502" i="26"/>
  <c r="AA503" i="26"/>
  <c r="AA504" i="26"/>
  <c r="AA505" i="26"/>
  <c r="AA506" i="26"/>
  <c r="AA507" i="26"/>
  <c r="AA508" i="26"/>
  <c r="AA509" i="26"/>
  <c r="AA510" i="26"/>
  <c r="AA511" i="26"/>
  <c r="AA512" i="26"/>
  <c r="AA513" i="26"/>
  <c r="AA514" i="26"/>
  <c r="AA515" i="26"/>
  <c r="AA516" i="26"/>
  <c r="AA517" i="26"/>
  <c r="AA518" i="26"/>
  <c r="AA519" i="26"/>
  <c r="AA520" i="26"/>
  <c r="AA521" i="26"/>
  <c r="AA522" i="26"/>
  <c r="AA523" i="26"/>
  <c r="AA524" i="26"/>
  <c r="AA525" i="26"/>
  <c r="AA526" i="26"/>
  <c r="AA527" i="26"/>
  <c r="AA528" i="26"/>
  <c r="AA529" i="26"/>
  <c r="AA530" i="26"/>
  <c r="AB430" i="26"/>
  <c r="AB431" i="26"/>
  <c r="AB432" i="26"/>
  <c r="AB433" i="26"/>
  <c r="AB434" i="26"/>
  <c r="AB435" i="26"/>
  <c r="AB436" i="26"/>
  <c r="AB437" i="26"/>
  <c r="AB438" i="26"/>
  <c r="AB439" i="26"/>
  <c r="AB440" i="26"/>
  <c r="AB441" i="26"/>
  <c r="AB442" i="26"/>
  <c r="AB443" i="26"/>
  <c r="AB444" i="26"/>
  <c r="AB445" i="26"/>
  <c r="AB446" i="26"/>
  <c r="AB447" i="26"/>
  <c r="AB448" i="26"/>
  <c r="AB449" i="26"/>
  <c r="AB450" i="26"/>
  <c r="AB451" i="26"/>
  <c r="AB452" i="26"/>
  <c r="AB453" i="26"/>
  <c r="AB454" i="26"/>
  <c r="AB455" i="26"/>
  <c r="AB456" i="26"/>
  <c r="AB457" i="26"/>
  <c r="AB458" i="26"/>
  <c r="AB459" i="26"/>
  <c r="AB460" i="26"/>
  <c r="AB461" i="26"/>
  <c r="AB462" i="26"/>
  <c r="AB463" i="26"/>
  <c r="AB464" i="26"/>
  <c r="AB465" i="26"/>
  <c r="AB466" i="26"/>
  <c r="AB467" i="26"/>
  <c r="AB468" i="26"/>
  <c r="AB469" i="26"/>
  <c r="AB470" i="26"/>
  <c r="AB471" i="26"/>
  <c r="AB472" i="26"/>
  <c r="AB473" i="26"/>
  <c r="AB474" i="26"/>
  <c r="AB475" i="26"/>
  <c r="AB476" i="26"/>
  <c r="AB477" i="26"/>
  <c r="AB478" i="26"/>
  <c r="AB479" i="26"/>
  <c r="AB480" i="26"/>
  <c r="AB481" i="26"/>
  <c r="AB482" i="26"/>
  <c r="AB483" i="26"/>
  <c r="AB484" i="26"/>
  <c r="AB485" i="26"/>
  <c r="AB486" i="26"/>
  <c r="AB487" i="26"/>
  <c r="AB488" i="26"/>
  <c r="AB489" i="26"/>
  <c r="AB490" i="26"/>
  <c r="AB491" i="26"/>
  <c r="AB492" i="26"/>
  <c r="AB493" i="26"/>
  <c r="AB494" i="26"/>
  <c r="AB495" i="26"/>
  <c r="AB496" i="26"/>
  <c r="AB497" i="26"/>
  <c r="AB498" i="26"/>
  <c r="AB499" i="26"/>
  <c r="AB500" i="26"/>
  <c r="AB501" i="26"/>
  <c r="AB502" i="26"/>
  <c r="AB503" i="26"/>
  <c r="AB504" i="26"/>
  <c r="AB505" i="26"/>
  <c r="AB506" i="26"/>
  <c r="AB507" i="26"/>
  <c r="AB508" i="26"/>
  <c r="AB509" i="26"/>
  <c r="AB510" i="26"/>
  <c r="AB511" i="26"/>
  <c r="AB512" i="26"/>
  <c r="AB513" i="26"/>
  <c r="AB514" i="26"/>
  <c r="AB515" i="26"/>
  <c r="AB516" i="26"/>
  <c r="AB517" i="26"/>
  <c r="AB518" i="26"/>
  <c r="AB519" i="26"/>
  <c r="AB520" i="26"/>
  <c r="AB521" i="26"/>
  <c r="AB522" i="26"/>
  <c r="AB523" i="26"/>
  <c r="AB524" i="26"/>
  <c r="AB525" i="26"/>
  <c r="AB526" i="26"/>
  <c r="AB527" i="26"/>
  <c r="AB528" i="26"/>
  <c r="AB529" i="26"/>
  <c r="AB530" i="26"/>
  <c r="U430" i="6"/>
  <c r="U431" i="6"/>
  <c r="U432" i="6"/>
  <c r="X432" i="6" s="1"/>
  <c r="U433" i="6"/>
  <c r="U434" i="6"/>
  <c r="U435" i="6"/>
  <c r="AK435" i="6" s="1"/>
  <c r="U436" i="6"/>
  <c r="U437" i="6"/>
  <c r="U438" i="6"/>
  <c r="Z438" i="6" s="1"/>
  <c r="U439" i="6"/>
  <c r="U440" i="6"/>
  <c r="X440" i="6" s="1"/>
  <c r="U441" i="6"/>
  <c r="V441" i="6" s="1"/>
  <c r="U442" i="6"/>
  <c r="U443" i="6"/>
  <c r="Y443" i="6" s="1"/>
  <c r="U444" i="6"/>
  <c r="U445" i="6"/>
  <c r="U446" i="6"/>
  <c r="AA446" i="6" s="1"/>
  <c r="U447" i="6"/>
  <c r="U448" i="6"/>
  <c r="AA448" i="6" s="1"/>
  <c r="U449" i="6"/>
  <c r="U450" i="6"/>
  <c r="U451" i="6"/>
  <c r="U452" i="6"/>
  <c r="U453" i="6"/>
  <c r="U454" i="6"/>
  <c r="AA454" i="6" s="1"/>
  <c r="U455" i="6"/>
  <c r="U456" i="6"/>
  <c r="AB456" i="6" s="1"/>
  <c r="U457" i="6"/>
  <c r="U458" i="6"/>
  <c r="U459" i="6"/>
  <c r="AN459" i="6" s="1"/>
  <c r="U460" i="6"/>
  <c r="U461" i="6"/>
  <c r="U462" i="6"/>
  <c r="U463" i="6"/>
  <c r="U464" i="6"/>
  <c r="Z464" i="6" s="1"/>
  <c r="U465" i="6"/>
  <c r="U466" i="6"/>
  <c r="U467" i="6"/>
  <c r="X467" i="6" s="1"/>
  <c r="U468" i="6"/>
  <c r="U469" i="6"/>
  <c r="U470" i="6"/>
  <c r="U471" i="6"/>
  <c r="U472" i="6"/>
  <c r="U473" i="6"/>
  <c r="V473" i="6" s="1"/>
  <c r="U474" i="6"/>
  <c r="U475" i="6"/>
  <c r="V475" i="6" s="1"/>
  <c r="AF475" i="6" s="1"/>
  <c r="U476" i="6"/>
  <c r="U477" i="6"/>
  <c r="U478" i="6"/>
  <c r="AA478" i="6" s="1"/>
  <c r="U479" i="6"/>
  <c r="U480" i="6"/>
  <c r="AA480" i="6" s="1"/>
  <c r="U481" i="6"/>
  <c r="U482" i="6"/>
  <c r="U483" i="6"/>
  <c r="AI483" i="6" s="1"/>
  <c r="U484" i="6"/>
  <c r="U485" i="6"/>
  <c r="U486" i="6"/>
  <c r="AA486" i="6" s="1"/>
  <c r="U487" i="6"/>
  <c r="U488" i="6"/>
  <c r="AB488" i="6" s="1"/>
  <c r="U489" i="6"/>
  <c r="U490" i="6"/>
  <c r="U491" i="6"/>
  <c r="AC491" i="6" s="1"/>
  <c r="U492" i="6"/>
  <c r="U493" i="6"/>
  <c r="U494" i="6"/>
  <c r="AB494" i="6" s="1"/>
  <c r="U495" i="6"/>
  <c r="U496" i="6"/>
  <c r="Y496" i="6" s="1"/>
  <c r="U497" i="6"/>
  <c r="U498" i="6"/>
  <c r="U499" i="6"/>
  <c r="Y499" i="6" s="1"/>
  <c r="U500" i="6"/>
  <c r="U501" i="6"/>
  <c r="U502" i="6"/>
  <c r="AA502" i="6" s="1"/>
  <c r="U503" i="6"/>
  <c r="U504" i="6"/>
  <c r="Z504" i="6" s="1"/>
  <c r="U505" i="6"/>
  <c r="V505" i="6" s="1"/>
  <c r="U506" i="6"/>
  <c r="U507" i="6"/>
  <c r="X507" i="6" s="1"/>
  <c r="U508" i="6"/>
  <c r="U509" i="6"/>
  <c r="U510" i="6"/>
  <c r="AA510" i="6" s="1"/>
  <c r="U511" i="6"/>
  <c r="U512" i="6"/>
  <c r="AA512" i="6" s="1"/>
  <c r="U513" i="6"/>
  <c r="U514" i="6"/>
  <c r="U515" i="6"/>
  <c r="V515" i="6" s="1"/>
  <c r="U516" i="6"/>
  <c r="U517" i="6"/>
  <c r="U518" i="6"/>
  <c r="U519" i="6"/>
  <c r="U520" i="6"/>
  <c r="AB520" i="6" s="1"/>
  <c r="U521" i="6"/>
  <c r="U522" i="6"/>
  <c r="U523" i="6"/>
  <c r="Z523" i="6" s="1"/>
  <c r="U524" i="6"/>
  <c r="U525" i="6"/>
  <c r="U526" i="6"/>
  <c r="AB526" i="6" s="1"/>
  <c r="U527" i="6"/>
  <c r="U528" i="6"/>
  <c r="Z528" i="6" s="1"/>
  <c r="U529" i="6"/>
  <c r="U530" i="6"/>
  <c r="V431" i="6"/>
  <c r="AO431" i="6" s="1"/>
  <c r="V433" i="6"/>
  <c r="V434" i="6"/>
  <c r="V437" i="6"/>
  <c r="V439" i="6"/>
  <c r="V442" i="6"/>
  <c r="V445" i="6"/>
  <c r="AE445" i="6" s="1"/>
  <c r="V447" i="6"/>
  <c r="V449" i="6"/>
  <c r="V450" i="6"/>
  <c r="V453" i="6"/>
  <c r="V455" i="6"/>
  <c r="V457" i="6"/>
  <c r="V458" i="6"/>
  <c r="X458" i="6" s="1"/>
  <c r="V461" i="6"/>
  <c r="V463" i="6"/>
  <c r="V465" i="6"/>
  <c r="V466" i="6"/>
  <c r="V469" i="6"/>
  <c r="V471" i="6"/>
  <c r="X471" i="6" s="1"/>
  <c r="V474" i="6"/>
  <c r="V477" i="6"/>
  <c r="V479" i="6"/>
  <c r="V481" i="6"/>
  <c r="V482" i="6"/>
  <c r="V485" i="6"/>
  <c r="V487" i="6"/>
  <c r="V489" i="6"/>
  <c r="V490" i="6"/>
  <c r="X490" i="6" s="1"/>
  <c r="V493" i="6"/>
  <c r="X493" i="6" s="1"/>
  <c r="V495" i="6"/>
  <c r="V497" i="6"/>
  <c r="V498" i="6"/>
  <c r="X498" i="6" s="1"/>
  <c r="V501" i="6"/>
  <c r="V503" i="6"/>
  <c r="V506" i="6"/>
  <c r="V509" i="6"/>
  <c r="V511" i="6"/>
  <c r="V513" i="6"/>
  <c r="V514" i="6"/>
  <c r="V517" i="6"/>
  <c r="V519" i="6"/>
  <c r="V521" i="6"/>
  <c r="V522" i="6"/>
  <c r="V525" i="6"/>
  <c r="V527" i="6"/>
  <c r="V529" i="6"/>
  <c r="V530" i="6"/>
  <c r="X430" i="6"/>
  <c r="X431" i="6"/>
  <c r="X434" i="6"/>
  <c r="X437" i="6"/>
  <c r="X438" i="6"/>
  <c r="X439" i="6"/>
  <c r="X442" i="6"/>
  <c r="X445" i="6"/>
  <c r="X447" i="6"/>
  <c r="X450" i="6"/>
  <c r="X451" i="6"/>
  <c r="X453" i="6"/>
  <c r="X454" i="6"/>
  <c r="X455" i="6"/>
  <c r="X461" i="6"/>
  <c r="X462" i="6"/>
  <c r="X463" i="6"/>
  <c r="X466" i="6"/>
  <c r="X469" i="6"/>
  <c r="X470" i="6"/>
  <c r="X474" i="6"/>
  <c r="X477" i="6"/>
  <c r="X479" i="6"/>
  <c r="X482" i="6"/>
  <c r="X485" i="6"/>
  <c r="X486" i="6"/>
  <c r="X487" i="6"/>
  <c r="X491" i="6"/>
  <c r="X494" i="6"/>
  <c r="X495" i="6"/>
  <c r="X501" i="6"/>
  <c r="X502" i="6"/>
  <c r="X503" i="6"/>
  <c r="X506" i="6"/>
  <c r="X509" i="6"/>
  <c r="X511" i="6"/>
  <c r="X514" i="6"/>
  <c r="X517" i="6"/>
  <c r="X518" i="6"/>
  <c r="X519" i="6"/>
  <c r="X522" i="6"/>
  <c r="X525" i="6"/>
  <c r="X526" i="6"/>
  <c r="X527" i="6"/>
  <c r="X530" i="6"/>
  <c r="Y431" i="6"/>
  <c r="Y432" i="6"/>
  <c r="Y433" i="6"/>
  <c r="Y434" i="6"/>
  <c r="Y437" i="6"/>
  <c r="Y439" i="6"/>
  <c r="Y440" i="6"/>
  <c r="Y441" i="6"/>
  <c r="Y442" i="6"/>
  <c r="Y445" i="6"/>
  <c r="Y447" i="6"/>
  <c r="Y449" i="6"/>
  <c r="Y450" i="6"/>
  <c r="Y451" i="6"/>
  <c r="Y453" i="6"/>
  <c r="Y455" i="6"/>
  <c r="Y456" i="6"/>
  <c r="Y457" i="6"/>
  <c r="Y458" i="6"/>
  <c r="Y461" i="6"/>
  <c r="Y463" i="6"/>
  <c r="Y465" i="6"/>
  <c r="Y466" i="6"/>
  <c r="Y469" i="6"/>
  <c r="Y471" i="6"/>
  <c r="Y472" i="6"/>
  <c r="Y473" i="6"/>
  <c r="Y474" i="6"/>
  <c r="Y477" i="6"/>
  <c r="Y479" i="6"/>
  <c r="Y480" i="6"/>
  <c r="Y481" i="6"/>
  <c r="Y482" i="6"/>
  <c r="Y485" i="6"/>
  <c r="Y487" i="6"/>
  <c r="Y488" i="6"/>
  <c r="Y489" i="6"/>
  <c r="Y490" i="6"/>
  <c r="Y493" i="6"/>
  <c r="Y495" i="6"/>
  <c r="Y497" i="6"/>
  <c r="Y498" i="6"/>
  <c r="Y501" i="6"/>
  <c r="Y503" i="6"/>
  <c r="Y504" i="6"/>
  <c r="Y505" i="6"/>
  <c r="Y506" i="6"/>
  <c r="Y507" i="6"/>
  <c r="Y509" i="6"/>
  <c r="Y511" i="6"/>
  <c r="Y512" i="6"/>
  <c r="Y513" i="6"/>
  <c r="Y514" i="6"/>
  <c r="Y517" i="6"/>
  <c r="Y519" i="6"/>
  <c r="Y520" i="6"/>
  <c r="Y521" i="6"/>
  <c r="Y522" i="6"/>
  <c r="Y525" i="6"/>
  <c r="Y527" i="6"/>
  <c r="Y529" i="6"/>
  <c r="Y530" i="6"/>
  <c r="Z432" i="6"/>
  <c r="Z434" i="6"/>
  <c r="Z437" i="6"/>
  <c r="Z442" i="6"/>
  <c r="Z445" i="6"/>
  <c r="Z450" i="6"/>
  <c r="Z453" i="6"/>
  <c r="Z456" i="6"/>
  <c r="Z461" i="6"/>
  <c r="Z466" i="6"/>
  <c r="Z469" i="6"/>
  <c r="Z472" i="6"/>
  <c r="Z474" i="6"/>
  <c r="Z477" i="6"/>
  <c r="Z480" i="6"/>
  <c r="Z482" i="6"/>
  <c r="Z485" i="6"/>
  <c r="Z488" i="6"/>
  <c r="Z490" i="6"/>
  <c r="Z493" i="6"/>
  <c r="Z498" i="6"/>
  <c r="Z499" i="6"/>
  <c r="Z501" i="6"/>
  <c r="Z506" i="6"/>
  <c r="Z509" i="6"/>
  <c r="Z514" i="6"/>
  <c r="Z517" i="6"/>
  <c r="Z520" i="6"/>
  <c r="Z522" i="6"/>
  <c r="Z525" i="6"/>
  <c r="Z530" i="6"/>
  <c r="AA430" i="6"/>
  <c r="AA431" i="6"/>
  <c r="AA432" i="6"/>
  <c r="AA434" i="6"/>
  <c r="AA437" i="6"/>
  <c r="AA438" i="6"/>
  <c r="AA439" i="6"/>
  <c r="AA440" i="6"/>
  <c r="AA442" i="6"/>
  <c r="AA445" i="6"/>
  <c r="AA447" i="6"/>
  <c r="AA450" i="6"/>
  <c r="AA453" i="6"/>
  <c r="AA455" i="6"/>
  <c r="AA458" i="6"/>
  <c r="AA461" i="6"/>
  <c r="AA462" i="6"/>
  <c r="AA463" i="6"/>
  <c r="AA466" i="6"/>
  <c r="AA469" i="6"/>
  <c r="AA471" i="6"/>
  <c r="AA472" i="6"/>
  <c r="AA474" i="6"/>
  <c r="AA477" i="6"/>
  <c r="AA479" i="6"/>
  <c r="AA482" i="6"/>
  <c r="AA485" i="6"/>
  <c r="AA487" i="6"/>
  <c r="AA490" i="6"/>
  <c r="AA493" i="6"/>
  <c r="AA494" i="6"/>
  <c r="AA495" i="6"/>
  <c r="AA501" i="6"/>
  <c r="AA503" i="6"/>
  <c r="AA504" i="6"/>
  <c r="AA506" i="6"/>
  <c r="AA509" i="6"/>
  <c r="AA511" i="6"/>
  <c r="AA514" i="6"/>
  <c r="AA517" i="6"/>
  <c r="AA519" i="6"/>
  <c r="AA522" i="6"/>
  <c r="AA525" i="6"/>
  <c r="AA527" i="6"/>
  <c r="AA530" i="6"/>
  <c r="AB430" i="6"/>
  <c r="AB432" i="6"/>
  <c r="AB433" i="6"/>
  <c r="AB434" i="6"/>
  <c r="AB437" i="6"/>
  <c r="AB438" i="6"/>
  <c r="AB440" i="6"/>
  <c r="AB441" i="6"/>
  <c r="AB442" i="6"/>
  <c r="AB445" i="6"/>
  <c r="AB448" i="6"/>
  <c r="AB449" i="6"/>
  <c r="AB450" i="6"/>
  <c r="AB451" i="6"/>
  <c r="AB453" i="6"/>
  <c r="AB454" i="6"/>
  <c r="AB457" i="6"/>
  <c r="AB458" i="6"/>
  <c r="AB461" i="6"/>
  <c r="AB464" i="6"/>
  <c r="AB465" i="6"/>
  <c r="AB466" i="6"/>
  <c r="AB469" i="6"/>
  <c r="AB470" i="6"/>
  <c r="AB472" i="6"/>
  <c r="AB473" i="6"/>
  <c r="AB474" i="6"/>
  <c r="AB475" i="6"/>
  <c r="AB477" i="6"/>
  <c r="AB478" i="6"/>
  <c r="AB480" i="6"/>
  <c r="AB481" i="6"/>
  <c r="AB482" i="6"/>
  <c r="AB485" i="6"/>
  <c r="AB486" i="6"/>
  <c r="AB489" i="6"/>
  <c r="AB490" i="6"/>
  <c r="AB493" i="6"/>
  <c r="AB497" i="6"/>
  <c r="AB499" i="6"/>
  <c r="AB501" i="6"/>
  <c r="AB502" i="6"/>
  <c r="AB504" i="6"/>
  <c r="AB505" i="6"/>
  <c r="AB506" i="6"/>
  <c r="AB509" i="6"/>
  <c r="AB510" i="6"/>
  <c r="AB512" i="6"/>
  <c r="AB513" i="6"/>
  <c r="AB514" i="6"/>
  <c r="AB517" i="6"/>
  <c r="AB518" i="6"/>
  <c r="AB521" i="6"/>
  <c r="AB522" i="6"/>
  <c r="AB525" i="6"/>
  <c r="AB528" i="6"/>
  <c r="AB529" i="6"/>
  <c r="AB530" i="6"/>
  <c r="AC430" i="6"/>
  <c r="AC433" i="6"/>
  <c r="AC434" i="6"/>
  <c r="AC437" i="6"/>
  <c r="AC438" i="6"/>
  <c r="AC441" i="6"/>
  <c r="AC442" i="6"/>
  <c r="AC449" i="6"/>
  <c r="AC450" i="6"/>
  <c r="AC453" i="6"/>
  <c r="AC457" i="6"/>
  <c r="AC458" i="6"/>
  <c r="AC461" i="6"/>
  <c r="AC462" i="6"/>
  <c r="AC465" i="6"/>
  <c r="AC466" i="6"/>
  <c r="AC469" i="6"/>
  <c r="AC470" i="6"/>
  <c r="AC473" i="6"/>
  <c r="AC474" i="6"/>
  <c r="AC477" i="6"/>
  <c r="AC481" i="6"/>
  <c r="AC482" i="6"/>
  <c r="AC485" i="6"/>
  <c r="AC486" i="6"/>
  <c r="AC489" i="6"/>
  <c r="AC490" i="6"/>
  <c r="AC493" i="6"/>
  <c r="AC497" i="6"/>
  <c r="AC498" i="6"/>
  <c r="AC501" i="6"/>
  <c r="AC502" i="6"/>
  <c r="AC505" i="6"/>
  <c r="AC506" i="6"/>
  <c r="AC509" i="6"/>
  <c r="AC513" i="6"/>
  <c r="AC514" i="6"/>
  <c r="AC515" i="6"/>
  <c r="AC517" i="6"/>
  <c r="AC518" i="6"/>
  <c r="AC521" i="6"/>
  <c r="AC522" i="6"/>
  <c r="AC525" i="6"/>
  <c r="AC529" i="6"/>
  <c r="AC530" i="6"/>
  <c r="AD430" i="6"/>
  <c r="AD431" i="6"/>
  <c r="AD432" i="6"/>
  <c r="AD433" i="6"/>
  <c r="AD434" i="6"/>
  <c r="AD437" i="6"/>
  <c r="AD438" i="6"/>
  <c r="AD439" i="6"/>
  <c r="AD440" i="6"/>
  <c r="AD441" i="6"/>
  <c r="AD442" i="6"/>
  <c r="AD445" i="6"/>
  <c r="AD446" i="6"/>
  <c r="AD447" i="6"/>
  <c r="AD448" i="6"/>
  <c r="AD449" i="6"/>
  <c r="AD450" i="6"/>
  <c r="AD453" i="6"/>
  <c r="AD454" i="6"/>
  <c r="AD455" i="6"/>
  <c r="AD456" i="6"/>
  <c r="AD457" i="6"/>
  <c r="AD458" i="6"/>
  <c r="AD461" i="6"/>
  <c r="AD463" i="6"/>
  <c r="AD464" i="6"/>
  <c r="AD465" i="6"/>
  <c r="AD466" i="6"/>
  <c r="AD469" i="6"/>
  <c r="AD470" i="6"/>
  <c r="AD471" i="6"/>
  <c r="AD473" i="6"/>
  <c r="AD474" i="6"/>
  <c r="AD477" i="6"/>
  <c r="AD478" i="6"/>
  <c r="AD479" i="6"/>
  <c r="AD481" i="6"/>
  <c r="AD482" i="6"/>
  <c r="AD485" i="6"/>
  <c r="AD486" i="6"/>
  <c r="AD487" i="6"/>
  <c r="AD488" i="6"/>
  <c r="AD489" i="6"/>
  <c r="AD490" i="6"/>
  <c r="AD491" i="6"/>
  <c r="AD493" i="6"/>
  <c r="AD495" i="6"/>
  <c r="AD496" i="6"/>
  <c r="AD497" i="6"/>
  <c r="AD498" i="6"/>
  <c r="AD501" i="6"/>
  <c r="AD502" i="6"/>
  <c r="AD503" i="6"/>
  <c r="AD504" i="6"/>
  <c r="AD505" i="6"/>
  <c r="AD506" i="6"/>
  <c r="AD509" i="6"/>
  <c r="AD510" i="6"/>
  <c r="AD511" i="6"/>
  <c r="AD512" i="6"/>
  <c r="AD513" i="6"/>
  <c r="AD514" i="6"/>
  <c r="AD517" i="6"/>
  <c r="AD518" i="6"/>
  <c r="AD519" i="6"/>
  <c r="AD521" i="6"/>
  <c r="AD522" i="6"/>
  <c r="AD525" i="6"/>
  <c r="AD526" i="6"/>
  <c r="AD527" i="6"/>
  <c r="AD528" i="6"/>
  <c r="AD529" i="6"/>
  <c r="AD530" i="6"/>
  <c r="AE431" i="6"/>
  <c r="AE433" i="6"/>
  <c r="AE434" i="6"/>
  <c r="AE437" i="6"/>
  <c r="AE439" i="6"/>
  <c r="AE441" i="6"/>
  <c r="AE442" i="6"/>
  <c r="AE447" i="6"/>
  <c r="AE449" i="6"/>
  <c r="AE450" i="6"/>
  <c r="AE451" i="6"/>
  <c r="AE453" i="6"/>
  <c r="AE455" i="6"/>
  <c r="AE457" i="6"/>
  <c r="AE461" i="6"/>
  <c r="AE463" i="6"/>
  <c r="AE465" i="6"/>
  <c r="AE466" i="6"/>
  <c r="AE469" i="6"/>
  <c r="AE471" i="6"/>
  <c r="AE473" i="6"/>
  <c r="AE474" i="6"/>
  <c r="AE477" i="6"/>
  <c r="AE479" i="6"/>
  <c r="AE481" i="6"/>
  <c r="AE482" i="6"/>
  <c r="AE485" i="6"/>
  <c r="AE487" i="6"/>
  <c r="AE489" i="6"/>
  <c r="AE490" i="6"/>
  <c r="AE493" i="6"/>
  <c r="AE495" i="6"/>
  <c r="AE497" i="6"/>
  <c r="AE501" i="6"/>
  <c r="AE503" i="6"/>
  <c r="AE505" i="6"/>
  <c r="AE506" i="6"/>
  <c r="AE509" i="6"/>
  <c r="AE511" i="6"/>
  <c r="AE513" i="6"/>
  <c r="AE514" i="6"/>
  <c r="AE515" i="6"/>
  <c r="AE517" i="6"/>
  <c r="AE519" i="6"/>
  <c r="AE521" i="6"/>
  <c r="AE522" i="6"/>
  <c r="AE525" i="6"/>
  <c r="AE527" i="6"/>
  <c r="AE529" i="6"/>
  <c r="AE530" i="6"/>
  <c r="AF430" i="6"/>
  <c r="AF431" i="6"/>
  <c r="AF434" i="6"/>
  <c r="AF437" i="6"/>
  <c r="AF438" i="6"/>
  <c r="AF439" i="6"/>
  <c r="AF442" i="6"/>
  <c r="AF445" i="6"/>
  <c r="AF446" i="6"/>
  <c r="AF447" i="6"/>
  <c r="AF450" i="6"/>
  <c r="AF453" i="6"/>
  <c r="AF454" i="6"/>
  <c r="AF455" i="6"/>
  <c r="AF458" i="6"/>
  <c r="AF461" i="6"/>
  <c r="AF462" i="6"/>
  <c r="AF463" i="6"/>
  <c r="AF465" i="6"/>
  <c r="AF466" i="6"/>
  <c r="AF469" i="6"/>
  <c r="AF470" i="6"/>
  <c r="AF471" i="6"/>
  <c r="AF473" i="6"/>
  <c r="AF474" i="6"/>
  <c r="AF477" i="6"/>
  <c r="AF478" i="6"/>
  <c r="AF479" i="6"/>
  <c r="AF481" i="6"/>
  <c r="AF482" i="6"/>
  <c r="AF485" i="6"/>
  <c r="AF486" i="6"/>
  <c r="AF487" i="6"/>
  <c r="AF489" i="6"/>
  <c r="AF490" i="6"/>
  <c r="AF493" i="6"/>
  <c r="AF495" i="6"/>
  <c r="AF497" i="6"/>
  <c r="AF498" i="6"/>
  <c r="AF501" i="6"/>
  <c r="AF502" i="6"/>
  <c r="AF503" i="6"/>
  <c r="AF505" i="6"/>
  <c r="AF506" i="6"/>
  <c r="AF509" i="6"/>
  <c r="AF510" i="6"/>
  <c r="AF511" i="6"/>
  <c r="AF513" i="6"/>
  <c r="AF514" i="6"/>
  <c r="AF517" i="6"/>
  <c r="AF518" i="6"/>
  <c r="AF519" i="6"/>
  <c r="AF521" i="6"/>
  <c r="AF522" i="6"/>
  <c r="AF525" i="6"/>
  <c r="AF526" i="6"/>
  <c r="AF527" i="6"/>
  <c r="AF529" i="6"/>
  <c r="AF530" i="6"/>
  <c r="AG431" i="6"/>
  <c r="AG432" i="6"/>
  <c r="AG433" i="6"/>
  <c r="AG434" i="6"/>
  <c r="AG437" i="6"/>
  <c r="AG439" i="6"/>
  <c r="AG440" i="6"/>
  <c r="AG441" i="6"/>
  <c r="AG442" i="6"/>
  <c r="AG445" i="6"/>
  <c r="AG447" i="6"/>
  <c r="AG448" i="6"/>
  <c r="AG449" i="6"/>
  <c r="AG450" i="6"/>
  <c r="AG453" i="6"/>
  <c r="AG455" i="6"/>
  <c r="AG456" i="6"/>
  <c r="AG457" i="6"/>
  <c r="AG458" i="6"/>
  <c r="AG461" i="6"/>
  <c r="AG463" i="6"/>
  <c r="AG464" i="6"/>
  <c r="AG465" i="6"/>
  <c r="AG466" i="6"/>
  <c r="AG469" i="6"/>
  <c r="AG472" i="6"/>
  <c r="AG473" i="6"/>
  <c r="AG474" i="6"/>
  <c r="AG477" i="6"/>
  <c r="AG479" i="6"/>
  <c r="AG480" i="6"/>
  <c r="AG481" i="6"/>
  <c r="AG482" i="6"/>
  <c r="AG485" i="6"/>
  <c r="AG487" i="6"/>
  <c r="AG488" i="6"/>
  <c r="AG489" i="6"/>
  <c r="AG490" i="6"/>
  <c r="AG493" i="6"/>
  <c r="AG494" i="6"/>
  <c r="AG495" i="6"/>
  <c r="AG496" i="6"/>
  <c r="AG497" i="6"/>
  <c r="AG498" i="6"/>
  <c r="AG501" i="6"/>
  <c r="AG502" i="6"/>
  <c r="AG503" i="6"/>
  <c r="AG505" i="6"/>
  <c r="AG506" i="6"/>
  <c r="AG509" i="6"/>
  <c r="AG510" i="6"/>
  <c r="AG511" i="6"/>
  <c r="AG512" i="6"/>
  <c r="AG513" i="6"/>
  <c r="AG514" i="6"/>
  <c r="AG517" i="6"/>
  <c r="AG519" i="6"/>
  <c r="AG520" i="6"/>
  <c r="AG521" i="6"/>
  <c r="AG522" i="6"/>
  <c r="AG525" i="6"/>
  <c r="AG526" i="6"/>
  <c r="AG527" i="6"/>
  <c r="AG528" i="6"/>
  <c r="AG529" i="6"/>
  <c r="AG530" i="6"/>
  <c r="AH430" i="6"/>
  <c r="AH431" i="6"/>
  <c r="AH432" i="6"/>
  <c r="AH433" i="6"/>
  <c r="AH434" i="6"/>
  <c r="AH437" i="6"/>
  <c r="AH438" i="6"/>
  <c r="AH439" i="6"/>
  <c r="AH440" i="6"/>
  <c r="AH441" i="6"/>
  <c r="AH442" i="6"/>
  <c r="AH445" i="6"/>
  <c r="AH446" i="6"/>
  <c r="AH447" i="6"/>
  <c r="AH448" i="6"/>
  <c r="AH449" i="6"/>
  <c r="AH450" i="6"/>
  <c r="AH453" i="6"/>
  <c r="AH454" i="6"/>
  <c r="AH455" i="6"/>
  <c r="AH456" i="6"/>
  <c r="AH457" i="6"/>
  <c r="AH458" i="6"/>
  <c r="AH461" i="6"/>
  <c r="AH462" i="6"/>
  <c r="AH463" i="6"/>
  <c r="AH464" i="6"/>
  <c r="AH465" i="6"/>
  <c r="AH466" i="6"/>
  <c r="AH469" i="6"/>
  <c r="AH471" i="6"/>
  <c r="AH472" i="6"/>
  <c r="AH473" i="6"/>
  <c r="AH474" i="6"/>
  <c r="AH477" i="6"/>
  <c r="AH478" i="6"/>
  <c r="AH479" i="6"/>
  <c r="AH480" i="6"/>
  <c r="AH481" i="6"/>
  <c r="AH482" i="6"/>
  <c r="AH485" i="6"/>
  <c r="AH486" i="6"/>
  <c r="AH487" i="6"/>
  <c r="AH488" i="6"/>
  <c r="AH489" i="6"/>
  <c r="AH490" i="6"/>
  <c r="AH491" i="6"/>
  <c r="AH493" i="6"/>
  <c r="AH494" i="6"/>
  <c r="AH495" i="6"/>
  <c r="AH497" i="6"/>
  <c r="AH498" i="6"/>
  <c r="AH501" i="6"/>
  <c r="AH502" i="6"/>
  <c r="AH503" i="6"/>
  <c r="AH504" i="6"/>
  <c r="AH505" i="6"/>
  <c r="AH506" i="6"/>
  <c r="AH509" i="6"/>
  <c r="AH510" i="6"/>
  <c r="AH511" i="6"/>
  <c r="AH513" i="6"/>
  <c r="AH514" i="6"/>
  <c r="AH517" i="6"/>
  <c r="AH518" i="6"/>
  <c r="AH519" i="6"/>
  <c r="AH520" i="6"/>
  <c r="AH521" i="6"/>
  <c r="AH522" i="6"/>
  <c r="AH525" i="6"/>
  <c r="AH527" i="6"/>
  <c r="AH528" i="6"/>
  <c r="AH529" i="6"/>
  <c r="AH530" i="6"/>
  <c r="AI430" i="6"/>
  <c r="AI431" i="6"/>
  <c r="AI432" i="6"/>
  <c r="AI433" i="6"/>
  <c r="AI434" i="6"/>
  <c r="AI435" i="6"/>
  <c r="AI437" i="6"/>
  <c r="AI438" i="6"/>
  <c r="AI439" i="6"/>
  <c r="AI440" i="6"/>
  <c r="AI441" i="6"/>
  <c r="AI442" i="6"/>
  <c r="AI445" i="6"/>
  <c r="AI446" i="6"/>
  <c r="AI447" i="6"/>
  <c r="AI448" i="6"/>
  <c r="AI449" i="6"/>
  <c r="AI450" i="6"/>
  <c r="AI453" i="6"/>
  <c r="AI454" i="6"/>
  <c r="AI455" i="6"/>
  <c r="AI456" i="6"/>
  <c r="AI457" i="6"/>
  <c r="AI458" i="6"/>
  <c r="AI461" i="6"/>
  <c r="AI462" i="6"/>
  <c r="AI463" i="6"/>
  <c r="AI464" i="6"/>
  <c r="AI465" i="6"/>
  <c r="AI466" i="6"/>
  <c r="AI469" i="6"/>
  <c r="AI470" i="6"/>
  <c r="AI471" i="6"/>
  <c r="AI472" i="6"/>
  <c r="AI473" i="6"/>
  <c r="AI474" i="6"/>
  <c r="AI477" i="6"/>
  <c r="AI478" i="6"/>
  <c r="AI479" i="6"/>
  <c r="AI480" i="6"/>
  <c r="AI481" i="6"/>
  <c r="AI482" i="6"/>
  <c r="AI485" i="6"/>
  <c r="AI486" i="6"/>
  <c r="AI487" i="6"/>
  <c r="AI488" i="6"/>
  <c r="AI489" i="6"/>
  <c r="AI490" i="6"/>
  <c r="AI493" i="6"/>
  <c r="AI494" i="6"/>
  <c r="AI495" i="6"/>
  <c r="AI496" i="6"/>
  <c r="AI497" i="6"/>
  <c r="AI499" i="6"/>
  <c r="AI501" i="6"/>
  <c r="AI502" i="6"/>
  <c r="AI503" i="6"/>
  <c r="AI504" i="6"/>
  <c r="AI505" i="6"/>
  <c r="AI506" i="6"/>
  <c r="AI509" i="6"/>
  <c r="AI510" i="6"/>
  <c r="AI511" i="6"/>
  <c r="AI512" i="6"/>
  <c r="AI513" i="6"/>
  <c r="AI514" i="6"/>
  <c r="AI517" i="6"/>
  <c r="AI518" i="6"/>
  <c r="AI519" i="6"/>
  <c r="AI520" i="6"/>
  <c r="AI521" i="6"/>
  <c r="AI522" i="6"/>
  <c r="AI525" i="6"/>
  <c r="AI526" i="6"/>
  <c r="AI527" i="6"/>
  <c r="AI528" i="6"/>
  <c r="AI529" i="6"/>
  <c r="AI530" i="6"/>
  <c r="AJ430" i="6"/>
  <c r="AJ431" i="6"/>
  <c r="AJ432" i="6"/>
  <c r="AJ433" i="6"/>
  <c r="AJ434" i="6"/>
  <c r="AJ437" i="6"/>
  <c r="AJ438" i="6"/>
  <c r="AJ439" i="6"/>
  <c r="AJ440" i="6"/>
  <c r="AJ441" i="6"/>
  <c r="AJ442" i="6"/>
  <c r="AJ443" i="6"/>
  <c r="AJ445" i="6"/>
  <c r="AJ446" i="6"/>
  <c r="AJ447" i="6"/>
  <c r="AJ448" i="6"/>
  <c r="AJ449" i="6"/>
  <c r="AJ450" i="6"/>
  <c r="AJ453" i="6"/>
  <c r="AJ454" i="6"/>
  <c r="AJ455" i="6"/>
  <c r="AJ456" i="6"/>
  <c r="AJ457" i="6"/>
  <c r="AJ458" i="6"/>
  <c r="AJ461" i="6"/>
  <c r="AJ462" i="6"/>
  <c r="AJ463" i="6"/>
  <c r="AJ464" i="6"/>
  <c r="AJ465" i="6"/>
  <c r="AJ466" i="6"/>
  <c r="AJ469" i="6"/>
  <c r="AJ471" i="6"/>
  <c r="AJ473" i="6"/>
  <c r="AJ474" i="6"/>
  <c r="AJ477" i="6"/>
  <c r="AJ478" i="6"/>
  <c r="AJ479" i="6"/>
  <c r="AJ480" i="6"/>
  <c r="AJ481" i="6"/>
  <c r="AJ482" i="6"/>
  <c r="AJ485" i="6"/>
  <c r="AJ486" i="6"/>
  <c r="AJ487" i="6"/>
  <c r="AJ488" i="6"/>
  <c r="AJ489" i="6"/>
  <c r="AJ490" i="6"/>
  <c r="AJ493" i="6"/>
  <c r="AJ494" i="6"/>
  <c r="AJ495" i="6"/>
  <c r="AJ496" i="6"/>
  <c r="AJ497" i="6"/>
  <c r="AJ498" i="6"/>
  <c r="AJ501" i="6"/>
  <c r="AJ502" i="6"/>
  <c r="AJ503" i="6"/>
  <c r="AJ504" i="6"/>
  <c r="AJ505" i="6"/>
  <c r="AJ506" i="6"/>
  <c r="AJ509" i="6"/>
  <c r="AJ510" i="6"/>
  <c r="AJ511" i="6"/>
  <c r="AJ512" i="6"/>
  <c r="AJ513" i="6"/>
  <c r="AJ514" i="6"/>
  <c r="AJ517" i="6"/>
  <c r="AJ518" i="6"/>
  <c r="AJ519" i="6"/>
  <c r="AJ521" i="6"/>
  <c r="AJ522" i="6"/>
  <c r="AJ525" i="6"/>
  <c r="AJ527" i="6"/>
  <c r="AJ528" i="6"/>
  <c r="AJ529" i="6"/>
  <c r="AJ530" i="6"/>
  <c r="AK430" i="6"/>
  <c r="AK431" i="6"/>
  <c r="AK432" i="6"/>
  <c r="AK433" i="6"/>
  <c r="AK434" i="6"/>
  <c r="AK437" i="6"/>
  <c r="AK438" i="6"/>
  <c r="AK439" i="6"/>
  <c r="AK440" i="6"/>
  <c r="AK441" i="6"/>
  <c r="AK442" i="6"/>
  <c r="AK445" i="6"/>
  <c r="AK446" i="6"/>
  <c r="AK447" i="6"/>
  <c r="AK448" i="6"/>
  <c r="AK449" i="6"/>
  <c r="AK450" i="6"/>
  <c r="AK451" i="6"/>
  <c r="AK453" i="6"/>
  <c r="AK454" i="6"/>
  <c r="AK455" i="6"/>
  <c r="AK456" i="6"/>
  <c r="AK457" i="6"/>
  <c r="AK458" i="6"/>
  <c r="AK461" i="6"/>
  <c r="AK462" i="6"/>
  <c r="AK463" i="6"/>
  <c r="AK464" i="6"/>
  <c r="AK465" i="6"/>
  <c r="AK466" i="6"/>
  <c r="AK469" i="6"/>
  <c r="AK470" i="6"/>
  <c r="AK471" i="6"/>
  <c r="AK472" i="6"/>
  <c r="AK473" i="6"/>
  <c r="AK474" i="6"/>
  <c r="AK477" i="6"/>
  <c r="AK478" i="6"/>
  <c r="AK479" i="6"/>
  <c r="AK480" i="6"/>
  <c r="AK481" i="6"/>
  <c r="AK482" i="6"/>
  <c r="AK485" i="6"/>
  <c r="AK486" i="6"/>
  <c r="AK487" i="6"/>
  <c r="AK488" i="6"/>
  <c r="AK489" i="6"/>
  <c r="AK490" i="6"/>
  <c r="AK493" i="6"/>
  <c r="AK494" i="6"/>
  <c r="AK495" i="6"/>
  <c r="AK496" i="6"/>
  <c r="AK497" i="6"/>
  <c r="AK498" i="6"/>
  <c r="AK501" i="6"/>
  <c r="AK502" i="6"/>
  <c r="AK503" i="6"/>
  <c r="AK504" i="6"/>
  <c r="AK505" i="6"/>
  <c r="AK506" i="6"/>
  <c r="AK509" i="6"/>
  <c r="AK510" i="6"/>
  <c r="AK511" i="6"/>
  <c r="AK512" i="6"/>
  <c r="AK513" i="6"/>
  <c r="AK514" i="6"/>
  <c r="AK515" i="6"/>
  <c r="AK517" i="6"/>
  <c r="AK518" i="6"/>
  <c r="AK519" i="6"/>
  <c r="AK520" i="6"/>
  <c r="AK521" i="6"/>
  <c r="AK522" i="6"/>
  <c r="AK525" i="6"/>
  <c r="AK526" i="6"/>
  <c r="AK527" i="6"/>
  <c r="AK528" i="6"/>
  <c r="AK529" i="6"/>
  <c r="AK530" i="6"/>
  <c r="AL430" i="6"/>
  <c r="AL431" i="6"/>
  <c r="AL432" i="6"/>
  <c r="AL433" i="6"/>
  <c r="AL434" i="6"/>
  <c r="AL437" i="6"/>
  <c r="AL438" i="6"/>
  <c r="AL439" i="6"/>
  <c r="AL440" i="6"/>
  <c r="AL441" i="6"/>
  <c r="AL442" i="6"/>
  <c r="AL445" i="6"/>
  <c r="AL446" i="6"/>
  <c r="AL447" i="6"/>
  <c r="AL448" i="6"/>
  <c r="AL449" i="6"/>
  <c r="AL450" i="6"/>
  <c r="AL453" i="6"/>
  <c r="AL454" i="6"/>
  <c r="AL455" i="6"/>
  <c r="AL456" i="6"/>
  <c r="AL457" i="6"/>
  <c r="AL458" i="6"/>
  <c r="AL459" i="6"/>
  <c r="AL461" i="6"/>
  <c r="AL462" i="6"/>
  <c r="AL463" i="6"/>
  <c r="AL464" i="6"/>
  <c r="AL465" i="6"/>
  <c r="AL466" i="6"/>
  <c r="AL469" i="6"/>
  <c r="AL470" i="6"/>
  <c r="AL471" i="6"/>
  <c r="AL472" i="6"/>
  <c r="AL473" i="6"/>
  <c r="AL474" i="6"/>
  <c r="AL477" i="6"/>
  <c r="AL478" i="6"/>
  <c r="AL479" i="6"/>
  <c r="AL480" i="6"/>
  <c r="AL481" i="6"/>
  <c r="AL482" i="6"/>
  <c r="AL485" i="6"/>
  <c r="AL486" i="6"/>
  <c r="AL487" i="6"/>
  <c r="AL488" i="6"/>
  <c r="AL489" i="6"/>
  <c r="AL490" i="6"/>
  <c r="AL493" i="6"/>
  <c r="AL494" i="6"/>
  <c r="AL495" i="6"/>
  <c r="AL497" i="6"/>
  <c r="AL498" i="6"/>
  <c r="AL501" i="6"/>
  <c r="AL502" i="6"/>
  <c r="AL503" i="6"/>
  <c r="AL505" i="6"/>
  <c r="AL506" i="6"/>
  <c r="AL509" i="6"/>
  <c r="AL510" i="6"/>
  <c r="AL511" i="6"/>
  <c r="AL512" i="6"/>
  <c r="AL513" i="6"/>
  <c r="AL514" i="6"/>
  <c r="AL517" i="6"/>
  <c r="AL518" i="6"/>
  <c r="AL519" i="6"/>
  <c r="AL521" i="6"/>
  <c r="AL522" i="6"/>
  <c r="AL525" i="6"/>
  <c r="AL526" i="6"/>
  <c r="AL527" i="6"/>
  <c r="AL528" i="6"/>
  <c r="AL529" i="6"/>
  <c r="AL530" i="6"/>
  <c r="AM430" i="6"/>
  <c r="AM431" i="6"/>
  <c r="AM432" i="6"/>
  <c r="AM433" i="6"/>
  <c r="AM434" i="6"/>
  <c r="AM437" i="6"/>
  <c r="AM438" i="6"/>
  <c r="AM439" i="6"/>
  <c r="AM441" i="6"/>
  <c r="AM442" i="6"/>
  <c r="AM445" i="6"/>
  <c r="AM447" i="6"/>
  <c r="AM448" i="6"/>
  <c r="AM449" i="6"/>
  <c r="AM450" i="6"/>
  <c r="AM453" i="6"/>
  <c r="AM454" i="6"/>
  <c r="AM455" i="6"/>
  <c r="AM456" i="6"/>
  <c r="AM457" i="6"/>
  <c r="AM458" i="6"/>
  <c r="AM461" i="6"/>
  <c r="AM462" i="6"/>
  <c r="AM463" i="6"/>
  <c r="AM464" i="6"/>
  <c r="AM465" i="6"/>
  <c r="AM466" i="6"/>
  <c r="AM467" i="6"/>
  <c r="AM469" i="6"/>
  <c r="AM470" i="6"/>
  <c r="AM471" i="6"/>
  <c r="AM472" i="6"/>
  <c r="AM473" i="6"/>
  <c r="AM474" i="6"/>
  <c r="AM477" i="6"/>
  <c r="AM478" i="6"/>
  <c r="AM479" i="6"/>
  <c r="AM480" i="6"/>
  <c r="AM481" i="6"/>
  <c r="AM482" i="6"/>
  <c r="AM485" i="6"/>
  <c r="AM486" i="6"/>
  <c r="AM487" i="6"/>
  <c r="AM488" i="6"/>
  <c r="AM489" i="6"/>
  <c r="AM490" i="6"/>
  <c r="AM493" i="6"/>
  <c r="AM494" i="6"/>
  <c r="AM495" i="6"/>
  <c r="AM497" i="6"/>
  <c r="AM498" i="6"/>
  <c r="AM501" i="6"/>
  <c r="AM502" i="6"/>
  <c r="AM503" i="6"/>
  <c r="AM504" i="6"/>
  <c r="AM505" i="6"/>
  <c r="AM506" i="6"/>
  <c r="AM509" i="6"/>
  <c r="AM510" i="6"/>
  <c r="AM511" i="6"/>
  <c r="AM512" i="6"/>
  <c r="AM513" i="6"/>
  <c r="AM514" i="6"/>
  <c r="AM517" i="6"/>
  <c r="AM518" i="6"/>
  <c r="AM519" i="6"/>
  <c r="AM520" i="6"/>
  <c r="AM521" i="6"/>
  <c r="AM522" i="6"/>
  <c r="AM525" i="6"/>
  <c r="AM526" i="6"/>
  <c r="AM527" i="6"/>
  <c r="AM528" i="6"/>
  <c r="AM529" i="6"/>
  <c r="AM530" i="6"/>
  <c r="AN430" i="6"/>
  <c r="AN431" i="6"/>
  <c r="AN432" i="6"/>
  <c r="AN433" i="6"/>
  <c r="AN434" i="6"/>
  <c r="AN437" i="6"/>
  <c r="AN439" i="6"/>
  <c r="AN441" i="6"/>
  <c r="AN442" i="6"/>
  <c r="AN447" i="6"/>
  <c r="AN448" i="6"/>
  <c r="AN449" i="6"/>
  <c r="AN450" i="6"/>
  <c r="AN453" i="6"/>
  <c r="AN455" i="6"/>
  <c r="AN456" i="6"/>
  <c r="AN457" i="6"/>
  <c r="AN458" i="6"/>
  <c r="AN461" i="6"/>
  <c r="AN462" i="6"/>
  <c r="AN463" i="6"/>
  <c r="AN464" i="6"/>
  <c r="AN465" i="6"/>
  <c r="AN466" i="6"/>
  <c r="AN469" i="6"/>
  <c r="AN470" i="6"/>
  <c r="AN471" i="6"/>
  <c r="AN472" i="6"/>
  <c r="AN473" i="6"/>
  <c r="AN474" i="6"/>
  <c r="AN475" i="6"/>
  <c r="AN477" i="6"/>
  <c r="AN478" i="6"/>
  <c r="AN479" i="6"/>
  <c r="AN480" i="6"/>
  <c r="AN481" i="6"/>
  <c r="AN482" i="6"/>
  <c r="AN485" i="6"/>
  <c r="AN486" i="6"/>
  <c r="AN487" i="6"/>
  <c r="AN488" i="6"/>
  <c r="AN489" i="6"/>
  <c r="AN490" i="6"/>
  <c r="AN493" i="6"/>
  <c r="AN494" i="6"/>
  <c r="AN495" i="6"/>
  <c r="AN496" i="6"/>
  <c r="AN497" i="6"/>
  <c r="AN498" i="6"/>
  <c r="AN501" i="6"/>
  <c r="AN502" i="6"/>
  <c r="AN503" i="6"/>
  <c r="AN504" i="6"/>
  <c r="AN505" i="6"/>
  <c r="AN506" i="6"/>
  <c r="AN509" i="6"/>
  <c r="AN510" i="6"/>
  <c r="AN511" i="6"/>
  <c r="AN512" i="6"/>
  <c r="AN513" i="6"/>
  <c r="AN514" i="6"/>
  <c r="AN517" i="6"/>
  <c r="AN518" i="6"/>
  <c r="AN519" i="6"/>
  <c r="AN520" i="6"/>
  <c r="AN521" i="6"/>
  <c r="AN522" i="6"/>
  <c r="AN525" i="6"/>
  <c r="AN526" i="6"/>
  <c r="AN527" i="6"/>
  <c r="AN528" i="6"/>
  <c r="AN529" i="6"/>
  <c r="AN530" i="6"/>
  <c r="AO430" i="6"/>
  <c r="AO432" i="6"/>
  <c r="AO433" i="6"/>
  <c r="AO434" i="6"/>
  <c r="AO437" i="6"/>
  <c r="AO439" i="6"/>
  <c r="AO440" i="6"/>
  <c r="AO441" i="6"/>
  <c r="AO442" i="6"/>
  <c r="AO445" i="6"/>
  <c r="AO446" i="6"/>
  <c r="AO447" i="6"/>
  <c r="AO449" i="6"/>
  <c r="AO450" i="6"/>
  <c r="AO453" i="6"/>
  <c r="AO454" i="6"/>
  <c r="AO455" i="6"/>
  <c r="AO456" i="6"/>
  <c r="AO457" i="6"/>
  <c r="AO458" i="6"/>
  <c r="AO461" i="6"/>
  <c r="AO462" i="6"/>
  <c r="AO463" i="6"/>
  <c r="AO464" i="6"/>
  <c r="AO465" i="6"/>
  <c r="AO466" i="6"/>
  <c r="AO469" i="6"/>
  <c r="AO470" i="6"/>
  <c r="AO472" i="6"/>
  <c r="AO473" i="6"/>
  <c r="AO474" i="6"/>
  <c r="AO477" i="6"/>
  <c r="AO478" i="6"/>
  <c r="AO479" i="6"/>
  <c r="AO481" i="6"/>
  <c r="AO482" i="6"/>
  <c r="AO483" i="6"/>
  <c r="AO485" i="6"/>
  <c r="AO486" i="6"/>
  <c r="AO487" i="6"/>
  <c r="AO489" i="6"/>
  <c r="AO490" i="6"/>
  <c r="AO493" i="6"/>
  <c r="AO494" i="6"/>
  <c r="AO495" i="6"/>
  <c r="AO496" i="6"/>
  <c r="AO497" i="6"/>
  <c r="AO498" i="6"/>
  <c r="AO501" i="6"/>
  <c r="AO502" i="6"/>
  <c r="AO503" i="6"/>
  <c r="AO504" i="6"/>
  <c r="AO505" i="6"/>
  <c r="AO506" i="6"/>
  <c r="AO509" i="6"/>
  <c r="AO510" i="6"/>
  <c r="AO511" i="6"/>
  <c r="AO512" i="6"/>
  <c r="AO513" i="6"/>
  <c r="AO514" i="6"/>
  <c r="AO517" i="6"/>
  <c r="AO518" i="6"/>
  <c r="AO519" i="6"/>
  <c r="AO520" i="6"/>
  <c r="AO521" i="6"/>
  <c r="AO522" i="6"/>
  <c r="AO525" i="6"/>
  <c r="AO526" i="6"/>
  <c r="AO527" i="6"/>
  <c r="AO529" i="6"/>
  <c r="AO530" i="6"/>
  <c r="AS430" i="6"/>
  <c r="AS431" i="6"/>
  <c r="AS432" i="6"/>
  <c r="AS433" i="6"/>
  <c r="AS434" i="6"/>
  <c r="AS437" i="6"/>
  <c r="AS438" i="6"/>
  <c r="AS439" i="6"/>
  <c r="AS440" i="6"/>
  <c r="AS441" i="6"/>
  <c r="AS442" i="6"/>
  <c r="AS445" i="6"/>
  <c r="AS446" i="6"/>
  <c r="AS447" i="6"/>
  <c r="AS448" i="6"/>
  <c r="AS449" i="6"/>
  <c r="AS450" i="6"/>
  <c r="AS453" i="6"/>
  <c r="AS454" i="6"/>
  <c r="AS455" i="6"/>
  <c r="AS456" i="6"/>
  <c r="AS457" i="6"/>
  <c r="AS458" i="6"/>
  <c r="AS461" i="6"/>
  <c r="AS462" i="6"/>
  <c r="AS463" i="6"/>
  <c r="AS464" i="6"/>
  <c r="AS465" i="6"/>
  <c r="AS466" i="6"/>
  <c r="AS469" i="6"/>
  <c r="AS470" i="6"/>
  <c r="AS471" i="6"/>
  <c r="AS472" i="6"/>
  <c r="AS473" i="6"/>
  <c r="AS474" i="6"/>
  <c r="AS477" i="6"/>
  <c r="AS478" i="6"/>
  <c r="AS479" i="6"/>
  <c r="AS480" i="6"/>
  <c r="AS481" i="6"/>
  <c r="AS482" i="6"/>
  <c r="AS485" i="6"/>
  <c r="AS486" i="6"/>
  <c r="AS487" i="6"/>
  <c r="AS488" i="6"/>
  <c r="AS489" i="6"/>
  <c r="AS490" i="6"/>
  <c r="AS491" i="6"/>
  <c r="AS493" i="6"/>
  <c r="AS494" i="6"/>
  <c r="AS495" i="6"/>
  <c r="AS496" i="6"/>
  <c r="AS497" i="6"/>
  <c r="AS498" i="6"/>
  <c r="AS501" i="6"/>
  <c r="AS502" i="6"/>
  <c r="AS503" i="6"/>
  <c r="AS504" i="6"/>
  <c r="AS505" i="6"/>
  <c r="AS506" i="6"/>
  <c r="AS509" i="6"/>
  <c r="AS510" i="6"/>
  <c r="AS511" i="6"/>
  <c r="AS512" i="6"/>
  <c r="AS513" i="6"/>
  <c r="AS514" i="6"/>
  <c r="AS517" i="6"/>
  <c r="AS518" i="6"/>
  <c r="AS519" i="6"/>
  <c r="AS520" i="6"/>
  <c r="AS521" i="6"/>
  <c r="AS522" i="6"/>
  <c r="AS525" i="6"/>
  <c r="AS526" i="6"/>
  <c r="AS527" i="6"/>
  <c r="AS528" i="6"/>
  <c r="AS529" i="6"/>
  <c r="AS530" i="6"/>
  <c r="O430" i="4"/>
  <c r="O431" i="4"/>
  <c r="O432" i="4"/>
  <c r="O433" i="4"/>
  <c r="P433" i="4" s="1"/>
  <c r="O434" i="4"/>
  <c r="V434" i="4" s="1"/>
  <c r="O435" i="4"/>
  <c r="O436" i="4"/>
  <c r="O437" i="4"/>
  <c r="U437" i="4" s="1"/>
  <c r="O438" i="4"/>
  <c r="O439" i="4"/>
  <c r="S439" i="4" s="1"/>
  <c r="O440" i="4"/>
  <c r="O441" i="4"/>
  <c r="P441" i="4" s="1"/>
  <c r="O442" i="4"/>
  <c r="W442" i="4" s="1"/>
  <c r="O443" i="4"/>
  <c r="O444" i="4"/>
  <c r="O445" i="4"/>
  <c r="U445" i="4" s="1"/>
  <c r="O446" i="4"/>
  <c r="O447" i="4"/>
  <c r="O448" i="4"/>
  <c r="O449" i="4"/>
  <c r="P449" i="4" s="1"/>
  <c r="O450" i="4"/>
  <c r="T450" i="4" s="1"/>
  <c r="O451" i="4"/>
  <c r="O452" i="4"/>
  <c r="O453" i="4"/>
  <c r="U453" i="4" s="1"/>
  <c r="O454" i="4"/>
  <c r="O455" i="4"/>
  <c r="S455" i="4" s="1"/>
  <c r="O456" i="4"/>
  <c r="O457" i="4"/>
  <c r="P457" i="4" s="1"/>
  <c r="O458" i="4"/>
  <c r="P458" i="4" s="1"/>
  <c r="U458" i="4" s="1"/>
  <c r="O459" i="4"/>
  <c r="O460" i="4"/>
  <c r="O461" i="4"/>
  <c r="U461" i="4" s="1"/>
  <c r="O462" i="4"/>
  <c r="O463" i="4"/>
  <c r="O464" i="4"/>
  <c r="O465" i="4"/>
  <c r="P465" i="4" s="1"/>
  <c r="O466" i="4"/>
  <c r="O467" i="4"/>
  <c r="O468" i="4"/>
  <c r="O469" i="4"/>
  <c r="U469" i="4" s="1"/>
  <c r="O470" i="4"/>
  <c r="O471" i="4"/>
  <c r="S471" i="4" s="1"/>
  <c r="O472" i="4"/>
  <c r="O473" i="4"/>
  <c r="P473" i="4" s="1"/>
  <c r="O474" i="4"/>
  <c r="U474" i="4" s="1"/>
  <c r="O475" i="4"/>
  <c r="O476" i="4"/>
  <c r="O477" i="4"/>
  <c r="U477" i="4" s="1"/>
  <c r="O478" i="4"/>
  <c r="O479" i="4"/>
  <c r="S479" i="4" s="1"/>
  <c r="O480" i="4"/>
  <c r="O481" i="4"/>
  <c r="P481" i="4" s="1"/>
  <c r="O482" i="4"/>
  <c r="O483" i="4"/>
  <c r="O484" i="4"/>
  <c r="O485" i="4"/>
  <c r="U485" i="4" s="1"/>
  <c r="O486" i="4"/>
  <c r="O487" i="4"/>
  <c r="S487" i="4" s="1"/>
  <c r="O488" i="4"/>
  <c r="O489" i="4"/>
  <c r="P489" i="4" s="1"/>
  <c r="O490" i="4"/>
  <c r="Y490" i="4" s="1"/>
  <c r="O491" i="4"/>
  <c r="O492" i="4"/>
  <c r="O493" i="4"/>
  <c r="U493" i="4" s="1"/>
  <c r="O494" i="4"/>
  <c r="O495" i="4"/>
  <c r="O496" i="4"/>
  <c r="O497" i="4"/>
  <c r="P497" i="4" s="1"/>
  <c r="O498" i="4"/>
  <c r="V498" i="4" s="1"/>
  <c r="O499" i="4"/>
  <c r="O500" i="4"/>
  <c r="O501" i="4"/>
  <c r="U501" i="4" s="1"/>
  <c r="O502" i="4"/>
  <c r="O503" i="4"/>
  <c r="S503" i="4" s="1"/>
  <c r="O504" i="4"/>
  <c r="O505" i="4"/>
  <c r="P505" i="4" s="1"/>
  <c r="O506" i="4"/>
  <c r="W506" i="4" s="1"/>
  <c r="O507" i="4"/>
  <c r="O508" i="4"/>
  <c r="O509" i="4"/>
  <c r="U509" i="4" s="1"/>
  <c r="O510" i="4"/>
  <c r="O511" i="4"/>
  <c r="S511" i="4" s="1"/>
  <c r="O512" i="4"/>
  <c r="O513" i="4"/>
  <c r="P513" i="4" s="1"/>
  <c r="O514" i="4"/>
  <c r="T514" i="4" s="1"/>
  <c r="O515" i="4"/>
  <c r="O516" i="4"/>
  <c r="O517" i="4"/>
  <c r="U517" i="4" s="1"/>
  <c r="O518" i="4"/>
  <c r="O519" i="4"/>
  <c r="S519" i="4" s="1"/>
  <c r="O520" i="4"/>
  <c r="O521" i="4"/>
  <c r="P521" i="4" s="1"/>
  <c r="O522" i="4"/>
  <c r="P522" i="4" s="1"/>
  <c r="O523" i="4"/>
  <c r="O524" i="4"/>
  <c r="O525" i="4"/>
  <c r="U525" i="4" s="1"/>
  <c r="O526" i="4"/>
  <c r="O527" i="4"/>
  <c r="S527" i="4" s="1"/>
  <c r="O528" i="4"/>
  <c r="O529" i="4"/>
  <c r="P529" i="4" s="1"/>
  <c r="O530" i="4"/>
  <c r="S530" i="4" s="1"/>
  <c r="P430" i="4"/>
  <c r="P432" i="4"/>
  <c r="P435" i="4"/>
  <c r="P436" i="4"/>
  <c r="P438" i="4"/>
  <c r="P440" i="4"/>
  <c r="P442" i="4"/>
  <c r="P443" i="4"/>
  <c r="P444" i="4"/>
  <c r="P446" i="4"/>
  <c r="R446" i="4" s="1"/>
  <c r="P448" i="4"/>
  <c r="P451" i="4"/>
  <c r="P452" i="4"/>
  <c r="P454" i="4"/>
  <c r="P456" i="4"/>
  <c r="P459" i="4"/>
  <c r="P460" i="4"/>
  <c r="P462" i="4"/>
  <c r="P464" i="4"/>
  <c r="P467" i="4"/>
  <c r="S467" i="4" s="1"/>
  <c r="P468" i="4"/>
  <c r="P470" i="4"/>
  <c r="P472" i="4"/>
  <c r="P475" i="4"/>
  <c r="P476" i="4"/>
  <c r="P478" i="4"/>
  <c r="P480" i="4"/>
  <c r="Z480" i="4" s="1"/>
  <c r="P483" i="4"/>
  <c r="P484" i="4"/>
  <c r="P486" i="4"/>
  <c r="P488" i="4"/>
  <c r="P491" i="4"/>
  <c r="P492" i="4"/>
  <c r="P494" i="4"/>
  <c r="P496" i="4"/>
  <c r="P499" i="4"/>
  <c r="P500" i="4"/>
  <c r="P502" i="4"/>
  <c r="P504" i="4"/>
  <c r="P506" i="4"/>
  <c r="P507" i="4"/>
  <c r="P508" i="4"/>
  <c r="P510" i="4"/>
  <c r="P512" i="4"/>
  <c r="P515" i="4"/>
  <c r="P516" i="4"/>
  <c r="P518" i="4"/>
  <c r="S518" i="4" s="1"/>
  <c r="P520" i="4"/>
  <c r="P523" i="4"/>
  <c r="P524" i="4"/>
  <c r="P526" i="4"/>
  <c r="P528" i="4"/>
  <c r="R430" i="4"/>
  <c r="R431" i="4"/>
  <c r="R432" i="4"/>
  <c r="R435" i="4"/>
  <c r="R436" i="4"/>
  <c r="R438" i="4"/>
  <c r="R439" i="4"/>
  <c r="R440" i="4"/>
  <c r="R443" i="4"/>
  <c r="R444" i="4"/>
  <c r="R447" i="4"/>
  <c r="R448" i="4"/>
  <c r="R451" i="4"/>
  <c r="R452" i="4"/>
  <c r="R454" i="4"/>
  <c r="R455" i="4"/>
  <c r="R456" i="4"/>
  <c r="R459" i="4"/>
  <c r="R460" i="4"/>
  <c r="R462" i="4"/>
  <c r="R463" i="4"/>
  <c r="R464" i="4"/>
  <c r="R467" i="4"/>
  <c r="R468" i="4"/>
  <c r="R470" i="4"/>
  <c r="R471" i="4"/>
  <c r="R472" i="4"/>
  <c r="R475" i="4"/>
  <c r="R476" i="4"/>
  <c r="R478" i="4"/>
  <c r="R479" i="4"/>
  <c r="R480" i="4"/>
  <c r="R483" i="4"/>
  <c r="R484" i="4"/>
  <c r="R486" i="4"/>
  <c r="R487" i="4"/>
  <c r="R488" i="4"/>
  <c r="R491" i="4"/>
  <c r="R492" i="4"/>
  <c r="R494" i="4"/>
  <c r="R495" i="4"/>
  <c r="R496" i="4"/>
  <c r="R499" i="4"/>
  <c r="R500" i="4"/>
  <c r="R502" i="4"/>
  <c r="R504" i="4"/>
  <c r="R507" i="4"/>
  <c r="R508" i="4"/>
  <c r="R510" i="4"/>
  <c r="R511" i="4"/>
  <c r="R512" i="4"/>
  <c r="R515" i="4"/>
  <c r="R516" i="4"/>
  <c r="R518" i="4"/>
  <c r="R519" i="4"/>
  <c r="R520" i="4"/>
  <c r="R523" i="4"/>
  <c r="R524" i="4"/>
  <c r="R526" i="4"/>
  <c r="R528" i="4"/>
  <c r="S430" i="4"/>
  <c r="S432" i="4"/>
  <c r="S435" i="4"/>
  <c r="S436" i="4"/>
  <c r="S438" i="4"/>
  <c r="S440" i="4"/>
  <c r="S443" i="4"/>
  <c r="S444" i="4"/>
  <c r="S446" i="4"/>
  <c r="S448" i="4"/>
  <c r="S451" i="4"/>
  <c r="S452" i="4"/>
  <c r="S454" i="4"/>
  <c r="S456" i="4"/>
  <c r="S459" i="4"/>
  <c r="S460" i="4"/>
  <c r="S462" i="4"/>
  <c r="S464" i="4"/>
  <c r="S468" i="4"/>
  <c r="S470" i="4"/>
  <c r="S472" i="4"/>
  <c r="S475" i="4"/>
  <c r="S476" i="4"/>
  <c r="S478" i="4"/>
  <c r="S480" i="4"/>
  <c r="S483" i="4"/>
  <c r="S484" i="4"/>
  <c r="S486" i="4"/>
  <c r="S488" i="4"/>
  <c r="S491" i="4"/>
  <c r="S492" i="4"/>
  <c r="S494" i="4"/>
  <c r="S496" i="4"/>
  <c r="S499" i="4"/>
  <c r="S500" i="4"/>
  <c r="S502" i="4"/>
  <c r="S504" i="4"/>
  <c r="S507" i="4"/>
  <c r="S508" i="4"/>
  <c r="S510" i="4"/>
  <c r="S512" i="4"/>
  <c r="S514" i="4"/>
  <c r="S515" i="4"/>
  <c r="S516" i="4"/>
  <c r="S520" i="4"/>
  <c r="S523" i="4"/>
  <c r="S524" i="4"/>
  <c r="S526" i="4"/>
  <c r="S528" i="4"/>
  <c r="T430" i="4"/>
  <c r="T432" i="4"/>
  <c r="T433" i="4"/>
  <c r="T435" i="4"/>
  <c r="T436" i="4"/>
  <c r="T438" i="4"/>
  <c r="T440" i="4"/>
  <c r="T441" i="4"/>
  <c r="T443" i="4"/>
  <c r="T444" i="4"/>
  <c r="T446" i="4"/>
  <c r="T448" i="4"/>
  <c r="T449" i="4"/>
  <c r="T451" i="4"/>
  <c r="T452" i="4"/>
  <c r="T454" i="4"/>
  <c r="T456" i="4"/>
  <c r="T457" i="4"/>
  <c r="T458" i="4"/>
  <c r="T459" i="4"/>
  <c r="T460" i="4"/>
  <c r="T462" i="4"/>
  <c r="T464" i="4"/>
  <c r="T465" i="4"/>
  <c r="T467" i="4"/>
  <c r="T468" i="4"/>
  <c r="T470" i="4"/>
  <c r="T472" i="4"/>
  <c r="T473" i="4"/>
  <c r="T475" i="4"/>
  <c r="T476" i="4"/>
  <c r="T478" i="4"/>
  <c r="T480" i="4"/>
  <c r="T481" i="4"/>
  <c r="T483" i="4"/>
  <c r="T484" i="4"/>
  <c r="T486" i="4"/>
  <c r="T488" i="4"/>
  <c r="T489" i="4"/>
  <c r="T490" i="4"/>
  <c r="T491" i="4"/>
  <c r="T492" i="4"/>
  <c r="T494" i="4"/>
  <c r="T496" i="4"/>
  <c r="T497" i="4"/>
  <c r="T499" i="4"/>
  <c r="T500" i="4"/>
  <c r="T502" i="4"/>
  <c r="T504" i="4"/>
  <c r="T505" i="4"/>
  <c r="T507" i="4"/>
  <c r="T508" i="4"/>
  <c r="T510" i="4"/>
  <c r="T512" i="4"/>
  <c r="T513" i="4"/>
  <c r="T515" i="4"/>
  <c r="T516" i="4"/>
  <c r="T518" i="4"/>
  <c r="T520" i="4"/>
  <c r="T521" i="4"/>
  <c r="T522" i="4"/>
  <c r="T523" i="4"/>
  <c r="T524" i="4"/>
  <c r="T526" i="4"/>
  <c r="T528" i="4"/>
  <c r="T529" i="4"/>
  <c r="U430" i="4"/>
  <c r="U432" i="4"/>
  <c r="U435" i="4"/>
  <c r="U436" i="4"/>
  <c r="U438" i="4"/>
  <c r="U440" i="4"/>
  <c r="U443" i="4"/>
  <c r="U444" i="4"/>
  <c r="AF444" i="4" s="1"/>
  <c r="AH444" i="4" s="1"/>
  <c r="U446" i="4"/>
  <c r="U448" i="4"/>
  <c r="U451" i="4"/>
  <c r="U452" i="4"/>
  <c r="U454" i="4"/>
  <c r="U456" i="4"/>
  <c r="U459" i="4"/>
  <c r="U460" i="4"/>
  <c r="U462" i="4"/>
  <c r="U464" i="4"/>
  <c r="U467" i="4"/>
  <c r="U468" i="4"/>
  <c r="U470" i="4"/>
  <c r="U472" i="4"/>
  <c r="U475" i="4"/>
  <c r="U476" i="4"/>
  <c r="U478" i="4"/>
  <c r="U483" i="4"/>
  <c r="U484" i="4"/>
  <c r="U486" i="4"/>
  <c r="U488" i="4"/>
  <c r="U491" i="4"/>
  <c r="U492" i="4"/>
  <c r="U494" i="4"/>
  <c r="U496" i="4"/>
  <c r="U499" i="4"/>
  <c r="U500" i="4"/>
  <c r="U502" i="4"/>
  <c r="U504" i="4"/>
  <c r="U507" i="4"/>
  <c r="U508" i="4"/>
  <c r="AF508" i="4" s="1"/>
  <c r="AH508" i="4" s="1"/>
  <c r="U510" i="4"/>
  <c r="U512" i="4"/>
  <c r="U515" i="4"/>
  <c r="U516" i="4"/>
  <c r="U518" i="4"/>
  <c r="U520" i="4"/>
  <c r="U522" i="4"/>
  <c r="U523" i="4"/>
  <c r="U524" i="4"/>
  <c r="U526" i="4"/>
  <c r="U528" i="4"/>
  <c r="V430" i="4"/>
  <c r="V431" i="4"/>
  <c r="V432" i="4"/>
  <c r="V433" i="4"/>
  <c r="V435" i="4"/>
  <c r="V436" i="4"/>
  <c r="V438" i="4"/>
  <c r="V439" i="4"/>
  <c r="V440" i="4"/>
  <c r="V441" i="4"/>
  <c r="V443" i="4"/>
  <c r="V444" i="4"/>
  <c r="V446" i="4"/>
  <c r="V447" i="4"/>
  <c r="V448" i="4"/>
  <c r="V449" i="4"/>
  <c r="V450" i="4"/>
  <c r="V451" i="4"/>
  <c r="V452" i="4"/>
  <c r="V454" i="4"/>
  <c r="V456" i="4"/>
  <c r="V457" i="4"/>
  <c r="V459" i="4"/>
  <c r="V460" i="4"/>
  <c r="V462" i="4"/>
  <c r="V464" i="4"/>
  <c r="V465" i="4"/>
  <c r="V467" i="4"/>
  <c r="V468" i="4"/>
  <c r="V470" i="4"/>
  <c r="V471" i="4"/>
  <c r="V472" i="4"/>
  <c r="V473" i="4"/>
  <c r="V475" i="4"/>
  <c r="V476" i="4"/>
  <c r="V478" i="4"/>
  <c r="V479" i="4"/>
  <c r="V480" i="4"/>
  <c r="V481" i="4"/>
  <c r="V483" i="4"/>
  <c r="V484" i="4"/>
  <c r="V486" i="4"/>
  <c r="V488" i="4"/>
  <c r="V489" i="4"/>
  <c r="V491" i="4"/>
  <c r="V492" i="4"/>
  <c r="V494" i="4"/>
  <c r="V495" i="4"/>
  <c r="V496" i="4"/>
  <c r="V497" i="4"/>
  <c r="V499" i="4"/>
  <c r="V500" i="4"/>
  <c r="V502" i="4"/>
  <c r="V504" i="4"/>
  <c r="V505" i="4"/>
  <c r="V507" i="4"/>
  <c r="V508" i="4"/>
  <c r="V510" i="4"/>
  <c r="V511" i="4"/>
  <c r="V512" i="4"/>
  <c r="V513" i="4"/>
  <c r="V514" i="4"/>
  <c r="V515" i="4"/>
  <c r="V516" i="4"/>
  <c r="V518" i="4"/>
  <c r="V519" i="4"/>
  <c r="V520" i="4"/>
  <c r="V521" i="4"/>
  <c r="V523" i="4"/>
  <c r="V524" i="4"/>
  <c r="V526" i="4"/>
  <c r="V527" i="4"/>
  <c r="V528" i="4"/>
  <c r="V529" i="4"/>
  <c r="W430" i="4"/>
  <c r="W431" i="4"/>
  <c r="W432" i="4"/>
  <c r="W433" i="4"/>
  <c r="W435" i="4"/>
  <c r="W436" i="4"/>
  <c r="W438" i="4"/>
  <c r="W439" i="4"/>
  <c r="W440" i="4"/>
  <c r="W441" i="4"/>
  <c r="W443" i="4"/>
  <c r="W444" i="4"/>
  <c r="W446" i="4"/>
  <c r="W447" i="4"/>
  <c r="W448" i="4"/>
  <c r="W449" i="4"/>
  <c r="W451" i="4"/>
  <c r="W452" i="4"/>
  <c r="W454" i="4"/>
  <c r="W456" i="4"/>
  <c r="W457" i="4"/>
  <c r="W458" i="4"/>
  <c r="W459" i="4"/>
  <c r="W460" i="4"/>
  <c r="W462" i="4"/>
  <c r="W463" i="4"/>
  <c r="W464" i="4"/>
  <c r="W465" i="4"/>
  <c r="W467" i="4"/>
  <c r="W468" i="4"/>
  <c r="W470" i="4"/>
  <c r="W471" i="4"/>
  <c r="W472" i="4"/>
  <c r="W473" i="4"/>
  <c r="W475" i="4"/>
  <c r="W476" i="4"/>
  <c r="W478" i="4"/>
  <c r="W479" i="4"/>
  <c r="W480" i="4"/>
  <c r="W481" i="4"/>
  <c r="W483" i="4"/>
  <c r="W484" i="4"/>
  <c r="W486" i="4"/>
  <c r="W488" i="4"/>
  <c r="W489" i="4"/>
  <c r="W491" i="4"/>
  <c r="W492" i="4"/>
  <c r="W494" i="4"/>
  <c r="W495" i="4"/>
  <c r="W496" i="4"/>
  <c r="W497" i="4"/>
  <c r="W499" i="4"/>
  <c r="W500" i="4"/>
  <c r="W502" i="4"/>
  <c r="W503" i="4"/>
  <c r="W504" i="4"/>
  <c r="W505" i="4"/>
  <c r="W507" i="4"/>
  <c r="W508" i="4"/>
  <c r="W510" i="4"/>
  <c r="W511" i="4"/>
  <c r="W512" i="4"/>
  <c r="W513" i="4"/>
  <c r="W515" i="4"/>
  <c r="W516" i="4"/>
  <c r="W518" i="4"/>
  <c r="W519" i="4"/>
  <c r="W520" i="4"/>
  <c r="W521" i="4"/>
  <c r="W522" i="4"/>
  <c r="W523" i="4"/>
  <c r="W524" i="4"/>
  <c r="W526" i="4"/>
  <c r="W527" i="4"/>
  <c r="W528" i="4"/>
  <c r="W529" i="4"/>
  <c r="X430" i="4"/>
  <c r="X432" i="4"/>
  <c r="X433" i="4"/>
  <c r="X435" i="4"/>
  <c r="X436" i="4"/>
  <c r="X437" i="4"/>
  <c r="X438" i="4"/>
  <c r="X439" i="4"/>
  <c r="X440" i="4"/>
  <c r="X441" i="4"/>
  <c r="X443" i="4"/>
  <c r="X444" i="4"/>
  <c r="X445" i="4"/>
  <c r="X446" i="4"/>
  <c r="X447" i="4"/>
  <c r="X448" i="4"/>
  <c r="X449" i="4"/>
  <c r="X451" i="4"/>
  <c r="X452" i="4"/>
  <c r="X454" i="4"/>
  <c r="X455" i="4"/>
  <c r="X456" i="4"/>
  <c r="X457" i="4"/>
  <c r="X459" i="4"/>
  <c r="X460" i="4"/>
  <c r="X461" i="4"/>
  <c r="X462" i="4"/>
  <c r="X463" i="4"/>
  <c r="X464" i="4"/>
  <c r="X465" i="4"/>
  <c r="X468" i="4"/>
  <c r="X469" i="4"/>
  <c r="X470" i="4"/>
  <c r="X471" i="4"/>
  <c r="X472" i="4"/>
  <c r="X473" i="4"/>
  <c r="X475" i="4"/>
  <c r="X476" i="4"/>
  <c r="X477" i="4"/>
  <c r="X478" i="4"/>
  <c r="X480" i="4"/>
  <c r="X481" i="4"/>
  <c r="X483" i="4"/>
  <c r="X484" i="4"/>
  <c r="X485" i="4"/>
  <c r="X486" i="4"/>
  <c r="X487" i="4"/>
  <c r="X488" i="4"/>
  <c r="X489" i="4"/>
  <c r="X491" i="4"/>
  <c r="X492" i="4"/>
  <c r="X494" i="4"/>
  <c r="X496" i="4"/>
  <c r="X497" i="4"/>
  <c r="X499" i="4"/>
  <c r="X500" i="4"/>
  <c r="X501" i="4"/>
  <c r="X502" i="4"/>
  <c r="X504" i="4"/>
  <c r="X505" i="4"/>
  <c r="X507" i="4"/>
  <c r="X508" i="4"/>
  <c r="X509" i="4"/>
  <c r="X510" i="4"/>
  <c r="X511" i="4"/>
  <c r="X512" i="4"/>
  <c r="X513" i="4"/>
  <c r="X515" i="4"/>
  <c r="X516" i="4"/>
  <c r="X517" i="4"/>
  <c r="X518" i="4"/>
  <c r="X520" i="4"/>
  <c r="X521" i="4"/>
  <c r="X523" i="4"/>
  <c r="X524" i="4"/>
  <c r="X525" i="4"/>
  <c r="X526" i="4"/>
  <c r="X528" i="4"/>
  <c r="X529" i="4"/>
  <c r="Y430" i="4"/>
  <c r="Y431" i="4"/>
  <c r="Y432" i="4"/>
  <c r="Y433" i="4"/>
  <c r="Y435" i="4"/>
  <c r="Y436" i="4"/>
  <c r="Y438" i="4"/>
  <c r="Y439" i="4"/>
  <c r="Y440" i="4"/>
  <c r="Y441" i="4"/>
  <c r="Y442" i="4"/>
  <c r="Y443" i="4"/>
  <c r="Y444" i="4"/>
  <c r="Y446" i="4"/>
  <c r="Y448" i="4"/>
  <c r="Y449" i="4"/>
  <c r="Y451" i="4"/>
  <c r="Y452" i="4"/>
  <c r="Y454" i="4"/>
  <c r="Y455" i="4"/>
  <c r="Y456" i="4"/>
  <c r="Y457" i="4"/>
  <c r="Y459" i="4"/>
  <c r="Y460" i="4"/>
  <c r="Y462" i="4"/>
  <c r="Y463" i="4"/>
  <c r="Y464" i="4"/>
  <c r="Y465" i="4"/>
  <c r="Y467" i="4"/>
  <c r="Y468" i="4"/>
  <c r="Y470" i="4"/>
  <c r="Y471" i="4"/>
  <c r="Y472" i="4"/>
  <c r="Y473" i="4"/>
  <c r="Y475" i="4"/>
  <c r="Y476" i="4"/>
  <c r="Y478" i="4"/>
  <c r="Y479" i="4"/>
  <c r="Y480" i="4"/>
  <c r="Y481" i="4"/>
  <c r="Y483" i="4"/>
  <c r="Y484" i="4"/>
  <c r="Y486" i="4"/>
  <c r="Y487" i="4"/>
  <c r="Y488" i="4"/>
  <c r="AF488" i="4" s="1"/>
  <c r="AH488" i="4" s="1"/>
  <c r="Y489" i="4"/>
  <c r="Y491" i="4"/>
  <c r="Y492" i="4"/>
  <c r="Y494" i="4"/>
  <c r="Y496" i="4"/>
  <c r="Y497" i="4"/>
  <c r="Y499" i="4"/>
  <c r="Y500" i="4"/>
  <c r="Y502" i="4"/>
  <c r="Y503" i="4"/>
  <c r="Y504" i="4"/>
  <c r="Y505" i="4"/>
  <c r="Y506" i="4"/>
  <c r="Y507" i="4"/>
  <c r="Y508" i="4"/>
  <c r="Y510" i="4"/>
  <c r="Y511" i="4"/>
  <c r="Y512" i="4"/>
  <c r="Y513" i="4"/>
  <c r="Y515" i="4"/>
  <c r="Y516" i="4"/>
  <c r="Y518" i="4"/>
  <c r="Y520" i="4"/>
  <c r="Y521" i="4"/>
  <c r="Y523" i="4"/>
  <c r="Y524" i="4"/>
  <c r="Y526" i="4"/>
  <c r="Y527" i="4"/>
  <c r="Y528" i="4"/>
  <c r="Y529" i="4"/>
  <c r="Z430" i="4"/>
  <c r="Z431" i="4"/>
  <c r="Z432" i="4"/>
  <c r="Z433" i="4"/>
  <c r="Z435" i="4"/>
  <c r="Z436" i="4"/>
  <c r="Z438" i="4"/>
  <c r="Z439" i="4"/>
  <c r="Z440" i="4"/>
  <c r="Z441" i="4"/>
  <c r="Z443" i="4"/>
  <c r="Z444" i="4"/>
  <c r="Z446" i="4"/>
  <c r="Z447" i="4"/>
  <c r="Z448" i="4"/>
  <c r="Z449" i="4"/>
  <c r="Z450" i="4"/>
  <c r="Z451" i="4"/>
  <c r="Z452" i="4"/>
  <c r="Z454" i="4"/>
  <c r="Z455" i="4"/>
  <c r="Z456" i="4"/>
  <c r="Z457" i="4"/>
  <c r="Z459" i="4"/>
  <c r="Z460" i="4"/>
  <c r="Z462" i="4"/>
  <c r="Z464" i="4"/>
  <c r="Z465" i="4"/>
  <c r="Z468" i="4"/>
  <c r="Z470" i="4"/>
  <c r="Z471" i="4"/>
  <c r="Z472" i="4"/>
  <c r="Z473" i="4"/>
  <c r="Z475" i="4"/>
  <c r="Z476" i="4"/>
  <c r="Z478" i="4"/>
  <c r="Z479" i="4"/>
  <c r="Z481" i="4"/>
  <c r="Z483" i="4"/>
  <c r="Z484" i="4"/>
  <c r="Z486" i="4"/>
  <c r="Z487" i="4"/>
  <c r="Z488" i="4"/>
  <c r="Z489" i="4"/>
  <c r="Z491" i="4"/>
  <c r="Z492" i="4"/>
  <c r="Z494" i="4"/>
  <c r="Z496" i="4"/>
  <c r="Z497" i="4"/>
  <c r="Z499" i="4"/>
  <c r="Z500" i="4"/>
  <c r="Z502" i="4"/>
  <c r="Z503" i="4"/>
  <c r="Z504" i="4"/>
  <c r="Z505" i="4"/>
  <c r="Z507" i="4"/>
  <c r="Z508" i="4"/>
  <c r="Z510" i="4"/>
  <c r="Z511" i="4"/>
  <c r="Z512" i="4"/>
  <c r="Z513" i="4"/>
  <c r="Z515" i="4"/>
  <c r="Z516" i="4"/>
  <c r="Z518" i="4"/>
  <c r="Z520" i="4"/>
  <c r="Z521" i="4"/>
  <c r="Z523" i="4"/>
  <c r="Z524" i="4"/>
  <c r="Z526" i="4"/>
  <c r="Z528" i="4"/>
  <c r="Z529" i="4"/>
  <c r="AA430" i="4"/>
  <c r="AA432" i="4"/>
  <c r="AA433" i="4"/>
  <c r="AA435" i="4"/>
  <c r="AA436" i="4"/>
  <c r="AA438" i="4"/>
  <c r="AA439" i="4"/>
  <c r="AA440" i="4"/>
  <c r="AA441" i="4"/>
  <c r="AA443" i="4"/>
  <c r="AA444" i="4"/>
  <c r="AA446" i="4"/>
  <c r="AA447" i="4"/>
  <c r="AA448" i="4"/>
  <c r="AA449" i="4"/>
  <c r="AA451" i="4"/>
  <c r="AA452" i="4"/>
  <c r="AA454" i="4"/>
  <c r="AA455" i="4"/>
  <c r="AA456" i="4"/>
  <c r="AA457" i="4"/>
  <c r="AA458" i="4"/>
  <c r="AA459" i="4"/>
  <c r="AA460" i="4"/>
  <c r="AA462" i="4"/>
  <c r="AA463" i="4"/>
  <c r="AA464" i="4"/>
  <c r="AA465" i="4"/>
  <c r="AA467" i="4"/>
  <c r="AA468" i="4"/>
  <c r="AA470" i="4"/>
  <c r="AA471" i="4"/>
  <c r="AA472" i="4"/>
  <c r="AA473" i="4"/>
  <c r="AA475" i="4"/>
  <c r="AA476" i="4"/>
  <c r="AA478" i="4"/>
  <c r="AA479" i="4"/>
  <c r="AA481" i="4"/>
  <c r="AA483" i="4"/>
  <c r="AA484" i="4"/>
  <c r="AA486" i="4"/>
  <c r="AA488" i="4"/>
  <c r="AA489" i="4"/>
  <c r="AA491" i="4"/>
  <c r="AA492" i="4"/>
  <c r="AA494" i="4"/>
  <c r="AA496" i="4"/>
  <c r="AA497" i="4"/>
  <c r="AA499" i="4"/>
  <c r="AA500" i="4"/>
  <c r="AA502" i="4"/>
  <c r="AA503" i="4"/>
  <c r="AA504" i="4"/>
  <c r="AA505" i="4"/>
  <c r="AA507" i="4"/>
  <c r="AA508" i="4"/>
  <c r="AA510" i="4"/>
  <c r="AA511" i="4"/>
  <c r="AA512" i="4"/>
  <c r="AA513" i="4"/>
  <c r="AA515" i="4"/>
  <c r="AA516" i="4"/>
  <c r="AA518" i="4"/>
  <c r="AA519" i="4"/>
  <c r="AA520" i="4"/>
  <c r="AA521" i="4"/>
  <c r="AA522" i="4"/>
  <c r="AA523" i="4"/>
  <c r="AA524" i="4"/>
  <c r="AA526" i="4"/>
  <c r="AA528" i="4"/>
  <c r="AA529" i="4"/>
  <c r="AB430" i="4"/>
  <c r="AB431" i="4"/>
  <c r="AB432" i="4"/>
  <c r="AB433" i="4"/>
  <c r="AB435" i="4"/>
  <c r="AB436" i="4"/>
  <c r="AB438" i="4"/>
  <c r="AB439" i="4"/>
  <c r="AB440" i="4"/>
  <c r="AB441" i="4"/>
  <c r="AB443" i="4"/>
  <c r="AB444" i="4"/>
  <c r="AB446" i="4"/>
  <c r="AB447" i="4"/>
  <c r="AB448" i="4"/>
  <c r="AB449" i="4"/>
  <c r="AB451" i="4"/>
  <c r="AB452" i="4"/>
  <c r="AB454" i="4"/>
  <c r="AB455" i="4"/>
  <c r="AB456" i="4"/>
  <c r="AB457" i="4"/>
  <c r="AB459" i="4"/>
  <c r="AB460" i="4"/>
  <c r="AB462" i="4"/>
  <c r="AB463" i="4"/>
  <c r="AB464" i="4"/>
  <c r="AB465" i="4"/>
  <c r="AB466" i="4"/>
  <c r="AB467" i="4"/>
  <c r="AB468" i="4"/>
  <c r="AB470" i="4"/>
  <c r="AB471" i="4"/>
  <c r="AB472" i="4"/>
  <c r="AB473" i="4"/>
  <c r="AB475" i="4"/>
  <c r="AB476" i="4"/>
  <c r="AB478" i="4"/>
  <c r="AB479" i="4"/>
  <c r="AB480" i="4"/>
  <c r="AB481" i="4"/>
  <c r="AB483" i="4"/>
  <c r="AB484" i="4"/>
  <c r="AB486" i="4"/>
  <c r="AB487" i="4"/>
  <c r="AB488" i="4"/>
  <c r="AB489" i="4"/>
  <c r="AB491" i="4"/>
  <c r="AB492" i="4"/>
  <c r="AB494" i="4"/>
  <c r="AB496" i="4"/>
  <c r="AB497" i="4"/>
  <c r="AB499" i="4"/>
  <c r="AB500" i="4"/>
  <c r="AB502" i="4"/>
  <c r="AB503" i="4"/>
  <c r="AB504" i="4"/>
  <c r="AB505" i="4"/>
  <c r="AB507" i="4"/>
  <c r="AB508" i="4"/>
  <c r="AB510" i="4"/>
  <c r="AB511" i="4"/>
  <c r="AB512" i="4"/>
  <c r="AB513" i="4"/>
  <c r="AB515" i="4"/>
  <c r="AB516" i="4"/>
  <c r="AB519" i="4"/>
  <c r="AB520" i="4"/>
  <c r="AB521" i="4"/>
  <c r="AB523" i="4"/>
  <c r="AB524" i="4"/>
  <c r="AB526" i="4"/>
  <c r="AB527" i="4"/>
  <c r="AB528" i="4"/>
  <c r="AB529" i="4"/>
  <c r="AB530" i="4"/>
  <c r="AC430" i="4"/>
  <c r="AC431" i="4"/>
  <c r="AC432" i="4"/>
  <c r="AC433" i="4"/>
  <c r="AC435" i="4"/>
  <c r="AC436" i="4"/>
  <c r="AC438" i="4"/>
  <c r="AC439" i="4"/>
  <c r="AC440" i="4"/>
  <c r="AC441" i="4"/>
  <c r="AC443" i="4"/>
  <c r="AC444" i="4"/>
  <c r="AC446" i="4"/>
  <c r="AC447" i="4"/>
  <c r="AC448" i="4"/>
  <c r="AC449" i="4"/>
  <c r="AC451" i="4"/>
  <c r="AC452" i="4"/>
  <c r="AC454" i="4"/>
  <c r="AC455" i="4"/>
  <c r="AC456" i="4"/>
  <c r="AC457" i="4"/>
  <c r="AC459" i="4"/>
  <c r="AC460" i="4"/>
  <c r="AC462" i="4"/>
  <c r="AC463" i="4"/>
  <c r="AC464" i="4"/>
  <c r="AC465" i="4"/>
  <c r="AC467" i="4"/>
  <c r="AC468" i="4"/>
  <c r="AC470" i="4"/>
  <c r="AC471" i="4"/>
  <c r="AC472" i="4"/>
  <c r="AC473" i="4"/>
  <c r="AC474" i="4"/>
  <c r="AC475" i="4"/>
  <c r="AC476" i="4"/>
  <c r="AC478" i="4"/>
  <c r="AC479" i="4"/>
  <c r="AC480" i="4"/>
  <c r="AC481" i="4"/>
  <c r="AC483" i="4"/>
  <c r="AC484" i="4"/>
  <c r="AC486" i="4"/>
  <c r="AC487" i="4"/>
  <c r="AC488" i="4"/>
  <c r="AC489" i="4"/>
  <c r="AC491" i="4"/>
  <c r="AC492" i="4"/>
  <c r="AC494" i="4"/>
  <c r="AC495" i="4"/>
  <c r="AC496" i="4"/>
  <c r="AC497" i="4"/>
  <c r="AC499" i="4"/>
  <c r="AC500" i="4"/>
  <c r="AC502" i="4"/>
  <c r="AC503" i="4"/>
  <c r="AC504" i="4"/>
  <c r="AC505" i="4"/>
  <c r="AC507" i="4"/>
  <c r="AC508" i="4"/>
  <c r="AC510" i="4"/>
  <c r="AC511" i="4"/>
  <c r="AC512" i="4"/>
  <c r="AC513" i="4"/>
  <c r="AC515" i="4"/>
  <c r="AC516" i="4"/>
  <c r="AC518" i="4"/>
  <c r="AC519" i="4"/>
  <c r="AC520" i="4"/>
  <c r="AC521" i="4"/>
  <c r="AC523" i="4"/>
  <c r="AC524" i="4"/>
  <c r="AC526" i="4"/>
  <c r="AC527" i="4"/>
  <c r="AC528" i="4"/>
  <c r="AC529" i="4"/>
  <c r="AG430" i="4"/>
  <c r="AG431" i="4"/>
  <c r="AG432" i="4"/>
  <c r="AG433" i="4"/>
  <c r="AG435" i="4"/>
  <c r="AG436" i="4"/>
  <c r="AG438" i="4"/>
  <c r="AG439" i="4"/>
  <c r="AG440" i="4"/>
  <c r="AG441" i="4"/>
  <c r="AG443" i="4"/>
  <c r="AG444" i="4"/>
  <c r="AG446" i="4"/>
  <c r="AG447" i="4"/>
  <c r="AG448" i="4"/>
  <c r="AG449" i="4"/>
  <c r="AG451" i="4"/>
  <c r="AG452" i="4"/>
  <c r="AG454" i="4"/>
  <c r="AG455" i="4"/>
  <c r="AG456" i="4"/>
  <c r="AG457" i="4"/>
  <c r="AG459" i="4"/>
  <c r="AG460" i="4"/>
  <c r="AG462" i="4"/>
  <c r="AG463" i="4"/>
  <c r="AG464" i="4"/>
  <c r="AG465" i="4"/>
  <c r="AG467" i="4"/>
  <c r="AG468" i="4"/>
  <c r="AG470" i="4"/>
  <c r="AG471" i="4"/>
  <c r="AG472" i="4"/>
  <c r="AG473" i="4"/>
  <c r="AG475" i="4"/>
  <c r="AG476" i="4"/>
  <c r="AG478" i="4"/>
  <c r="AG479" i="4"/>
  <c r="AG480" i="4"/>
  <c r="AG481" i="4"/>
  <c r="AG482" i="4"/>
  <c r="AG483" i="4"/>
  <c r="AG484" i="4"/>
  <c r="AG486" i="4"/>
  <c r="AG487" i="4"/>
  <c r="AG488" i="4"/>
  <c r="AG489" i="4"/>
  <c r="AG491" i="4"/>
  <c r="AG492" i="4"/>
  <c r="AG494" i="4"/>
  <c r="AG495" i="4"/>
  <c r="AG496" i="4"/>
  <c r="AG497" i="4"/>
  <c r="AG499" i="4"/>
  <c r="AG500" i="4"/>
  <c r="AG502" i="4"/>
  <c r="AG503" i="4"/>
  <c r="AG504" i="4"/>
  <c r="AG505" i="4"/>
  <c r="AG507" i="4"/>
  <c r="AG508" i="4"/>
  <c r="AG510" i="4"/>
  <c r="AG511" i="4"/>
  <c r="AG512" i="4"/>
  <c r="AG513" i="4"/>
  <c r="AG515" i="4"/>
  <c r="AG516" i="4"/>
  <c r="AG518" i="4"/>
  <c r="AG519" i="4"/>
  <c r="AG520" i="4"/>
  <c r="AG521" i="4"/>
  <c r="AG523" i="4"/>
  <c r="AG524" i="4"/>
  <c r="AG526" i="4"/>
  <c r="AG527" i="4"/>
  <c r="AG528" i="4"/>
  <c r="AG529" i="4"/>
  <c r="M430" i="23"/>
  <c r="M431" i="23"/>
  <c r="M432" i="23"/>
  <c r="P432" i="23" s="1"/>
  <c r="M433" i="23"/>
  <c r="N433" i="23" s="1"/>
  <c r="M434" i="23"/>
  <c r="N434" i="23" s="1"/>
  <c r="M435" i="23"/>
  <c r="N435" i="23" s="1"/>
  <c r="M436" i="23"/>
  <c r="P436" i="23" s="1"/>
  <c r="M437" i="23"/>
  <c r="N437" i="23" s="1"/>
  <c r="M438" i="23"/>
  <c r="M439" i="23"/>
  <c r="M440" i="23"/>
  <c r="N440" i="23" s="1"/>
  <c r="M441" i="23"/>
  <c r="N441" i="23" s="1"/>
  <c r="M442" i="23"/>
  <c r="M443" i="23"/>
  <c r="N443" i="23" s="1"/>
  <c r="M444" i="23"/>
  <c r="P444" i="23" s="1"/>
  <c r="M445" i="23"/>
  <c r="N445" i="23" s="1"/>
  <c r="M446" i="23"/>
  <c r="M447" i="23"/>
  <c r="M448" i="23"/>
  <c r="R448" i="23" s="1"/>
  <c r="M449" i="23"/>
  <c r="N449" i="23" s="1"/>
  <c r="M450" i="23"/>
  <c r="N450" i="23" s="1"/>
  <c r="M451" i="23"/>
  <c r="N451" i="23" s="1"/>
  <c r="M452" i="23"/>
  <c r="P452" i="23" s="1"/>
  <c r="M453" i="23"/>
  <c r="N453" i="23" s="1"/>
  <c r="M454" i="23"/>
  <c r="M455" i="23"/>
  <c r="M456" i="23"/>
  <c r="N456" i="23" s="1"/>
  <c r="M457" i="23"/>
  <c r="N457" i="23" s="1"/>
  <c r="M458" i="23"/>
  <c r="M459" i="23"/>
  <c r="N459" i="23" s="1"/>
  <c r="M460" i="23"/>
  <c r="P460" i="23" s="1"/>
  <c r="M461" i="23"/>
  <c r="N461" i="23" s="1"/>
  <c r="M462" i="23"/>
  <c r="M463" i="23"/>
  <c r="M464" i="23"/>
  <c r="T464" i="23" s="1"/>
  <c r="M465" i="23"/>
  <c r="N465" i="23" s="1"/>
  <c r="M466" i="23"/>
  <c r="N466" i="23" s="1"/>
  <c r="M467" i="23"/>
  <c r="N467" i="23" s="1"/>
  <c r="M468" i="23"/>
  <c r="P468" i="23" s="1"/>
  <c r="M469" i="23"/>
  <c r="N469" i="23" s="1"/>
  <c r="M470" i="23"/>
  <c r="M471" i="23"/>
  <c r="M472" i="23"/>
  <c r="N472" i="23" s="1"/>
  <c r="M473" i="23"/>
  <c r="N473" i="23" s="1"/>
  <c r="M474" i="23"/>
  <c r="M475" i="23"/>
  <c r="N475" i="23" s="1"/>
  <c r="M476" i="23"/>
  <c r="P476" i="23" s="1"/>
  <c r="M477" i="23"/>
  <c r="N477" i="23" s="1"/>
  <c r="M478" i="23"/>
  <c r="M479" i="23"/>
  <c r="M480" i="23"/>
  <c r="P480" i="23" s="1"/>
  <c r="M481" i="23"/>
  <c r="N481" i="23" s="1"/>
  <c r="M482" i="23"/>
  <c r="N482" i="23" s="1"/>
  <c r="M483" i="23"/>
  <c r="N483" i="23" s="1"/>
  <c r="M484" i="23"/>
  <c r="P484" i="23" s="1"/>
  <c r="M485" i="23"/>
  <c r="N485" i="23" s="1"/>
  <c r="M486" i="23"/>
  <c r="M487" i="23"/>
  <c r="M488" i="23"/>
  <c r="N488" i="23" s="1"/>
  <c r="M489" i="23"/>
  <c r="N489" i="23" s="1"/>
  <c r="M490" i="23"/>
  <c r="M491" i="23"/>
  <c r="N491" i="23" s="1"/>
  <c r="M492" i="23"/>
  <c r="P492" i="23" s="1"/>
  <c r="M493" i="23"/>
  <c r="N493" i="23" s="1"/>
  <c r="M494" i="23"/>
  <c r="M495" i="23"/>
  <c r="M496" i="23"/>
  <c r="P496" i="23" s="1"/>
  <c r="M497" i="23"/>
  <c r="N497" i="23" s="1"/>
  <c r="M498" i="23"/>
  <c r="N498" i="23" s="1"/>
  <c r="M499" i="23"/>
  <c r="N499" i="23" s="1"/>
  <c r="M500" i="23"/>
  <c r="P500" i="23" s="1"/>
  <c r="M501" i="23"/>
  <c r="N501" i="23" s="1"/>
  <c r="M502" i="23"/>
  <c r="M503" i="23"/>
  <c r="M504" i="23"/>
  <c r="N504" i="23" s="1"/>
  <c r="P504" i="23" s="1"/>
  <c r="M505" i="23"/>
  <c r="N505" i="23" s="1"/>
  <c r="M506" i="23"/>
  <c r="M507" i="23"/>
  <c r="N507" i="23" s="1"/>
  <c r="M508" i="23"/>
  <c r="P508" i="23" s="1"/>
  <c r="M509" i="23"/>
  <c r="N509" i="23" s="1"/>
  <c r="M510" i="23"/>
  <c r="M511" i="23"/>
  <c r="M512" i="23"/>
  <c r="M513" i="23"/>
  <c r="N513" i="23" s="1"/>
  <c r="M514" i="23"/>
  <c r="N514" i="23" s="1"/>
  <c r="M515" i="23"/>
  <c r="N515" i="23" s="1"/>
  <c r="M516" i="23"/>
  <c r="P516" i="23" s="1"/>
  <c r="M517" i="23"/>
  <c r="N517" i="23" s="1"/>
  <c r="M518" i="23"/>
  <c r="M519" i="23"/>
  <c r="M520" i="23"/>
  <c r="N520" i="23" s="1"/>
  <c r="M521" i="23"/>
  <c r="N521" i="23" s="1"/>
  <c r="M522" i="23"/>
  <c r="M523" i="23"/>
  <c r="N523" i="23" s="1"/>
  <c r="M524" i="23"/>
  <c r="P524" i="23" s="1"/>
  <c r="M525" i="23"/>
  <c r="N525" i="23" s="1"/>
  <c r="M526" i="23"/>
  <c r="M527" i="23"/>
  <c r="M528" i="23"/>
  <c r="T528" i="23" s="1"/>
  <c r="M529" i="23"/>
  <c r="N529" i="23" s="1"/>
  <c r="M530" i="23"/>
  <c r="N530" i="23" s="1"/>
  <c r="N430" i="23"/>
  <c r="N431" i="23"/>
  <c r="N438" i="23"/>
  <c r="N439" i="23"/>
  <c r="N442" i="23"/>
  <c r="N446" i="23"/>
  <c r="N447" i="23"/>
  <c r="N454" i="23"/>
  <c r="N455" i="23"/>
  <c r="V455" i="23" s="1"/>
  <c r="N458" i="23"/>
  <c r="N462" i="23"/>
  <c r="N463" i="23"/>
  <c r="N470" i="23"/>
  <c r="N471" i="23"/>
  <c r="N474" i="23"/>
  <c r="N478" i="23"/>
  <c r="N479" i="23"/>
  <c r="N486" i="23"/>
  <c r="N487" i="23"/>
  <c r="P487" i="23" s="1"/>
  <c r="N490" i="23"/>
  <c r="N494" i="23"/>
  <c r="N495" i="23"/>
  <c r="N502" i="23"/>
  <c r="N503" i="23"/>
  <c r="N506" i="23"/>
  <c r="N510" i="23"/>
  <c r="N511" i="23"/>
  <c r="N518" i="23"/>
  <c r="N519" i="23"/>
  <c r="T519" i="23" s="1"/>
  <c r="N522" i="23"/>
  <c r="N526" i="23"/>
  <c r="N527" i="23"/>
  <c r="P430" i="23"/>
  <c r="P431" i="23"/>
  <c r="P433" i="23"/>
  <c r="P434" i="23"/>
  <c r="P435" i="23"/>
  <c r="P437" i="23"/>
  <c r="P438" i="23"/>
  <c r="P439" i="23"/>
  <c r="P440" i="23"/>
  <c r="P441" i="23"/>
  <c r="P442" i="23"/>
  <c r="P443" i="23"/>
  <c r="P445" i="23"/>
  <c r="P446" i="23"/>
  <c r="P447" i="23"/>
  <c r="P449" i="23"/>
  <c r="P450" i="23"/>
  <c r="P451" i="23"/>
  <c r="P453" i="23"/>
  <c r="P454" i="23"/>
  <c r="P455" i="23"/>
  <c r="P457" i="23"/>
  <c r="P458" i="23"/>
  <c r="AB458" i="23" s="1"/>
  <c r="AD458" i="23" s="1"/>
  <c r="P459" i="23"/>
  <c r="P461" i="23"/>
  <c r="P462" i="23"/>
  <c r="P463" i="23"/>
  <c r="P465" i="23"/>
  <c r="P466" i="23"/>
  <c r="P467" i="23"/>
  <c r="P469" i="23"/>
  <c r="P470" i="23"/>
  <c r="P471" i="23"/>
  <c r="P473" i="23"/>
  <c r="P474" i="23"/>
  <c r="P475" i="23"/>
  <c r="P477" i="23"/>
  <c r="P478" i="23"/>
  <c r="P479" i="23"/>
  <c r="P481" i="23"/>
  <c r="P482" i="23"/>
  <c r="P483" i="23"/>
  <c r="P485" i="23"/>
  <c r="P486" i="23"/>
  <c r="P489" i="23"/>
  <c r="P490" i="23"/>
  <c r="P491" i="23"/>
  <c r="P493" i="23"/>
  <c r="P494" i="23"/>
  <c r="P495" i="23"/>
  <c r="P497" i="23"/>
  <c r="P498" i="23"/>
  <c r="P499" i="23"/>
  <c r="P501" i="23"/>
  <c r="P502" i="23"/>
  <c r="P503" i="23"/>
  <c r="P505" i="23"/>
  <c r="P506" i="23"/>
  <c r="P507" i="23"/>
  <c r="P509" i="23"/>
  <c r="P510" i="23"/>
  <c r="P511" i="23"/>
  <c r="P513" i="23"/>
  <c r="P514" i="23"/>
  <c r="P515" i="23"/>
  <c r="P517" i="23"/>
  <c r="P518" i="23"/>
  <c r="P519" i="23"/>
  <c r="P521" i="23"/>
  <c r="P522" i="23"/>
  <c r="AB522" i="23" s="1"/>
  <c r="AD522" i="23" s="1"/>
  <c r="P523" i="23"/>
  <c r="P525" i="23"/>
  <c r="P526" i="23"/>
  <c r="P527" i="23"/>
  <c r="P529" i="23"/>
  <c r="P530" i="23"/>
  <c r="Q430" i="23"/>
  <c r="Q431" i="23"/>
  <c r="Q433" i="23"/>
  <c r="Q435" i="23"/>
  <c r="Q437" i="23"/>
  <c r="Q438" i="23"/>
  <c r="Q439" i="23"/>
  <c r="Q441" i="23"/>
  <c r="Q442" i="23"/>
  <c r="Q443" i="23"/>
  <c r="Q445" i="23"/>
  <c r="Q446" i="23"/>
  <c r="Q447" i="23"/>
  <c r="Q448" i="23"/>
  <c r="Q449" i="23"/>
  <c r="Q450" i="23"/>
  <c r="Q451" i="23"/>
  <c r="Q453" i="23"/>
  <c r="Q454" i="23"/>
  <c r="Q455" i="23"/>
  <c r="Q457" i="23"/>
  <c r="Q458" i="23"/>
  <c r="Q459" i="23"/>
  <c r="Q461" i="23"/>
  <c r="Q462" i="23"/>
  <c r="Q463" i="23"/>
  <c r="Q465" i="23"/>
  <c r="Q466" i="23"/>
  <c r="Q467" i="23"/>
  <c r="Q469" i="23"/>
  <c r="Q470" i="23"/>
  <c r="Q471" i="23"/>
  <c r="Q473" i="23"/>
  <c r="Q474" i="23"/>
  <c r="Q475" i="23"/>
  <c r="Q477" i="23"/>
  <c r="Q478" i="23"/>
  <c r="Q479" i="23"/>
  <c r="Q481" i="23"/>
  <c r="Q482" i="23"/>
  <c r="Q483" i="23"/>
  <c r="Q485" i="23"/>
  <c r="AB485" i="23" s="1"/>
  <c r="AD485" i="23" s="1"/>
  <c r="Q486" i="23"/>
  <c r="Q487" i="23"/>
  <c r="Q489" i="23"/>
  <c r="Q490" i="23"/>
  <c r="Q491" i="23"/>
  <c r="Q493" i="23"/>
  <c r="Q494" i="23"/>
  <c r="Q495" i="23"/>
  <c r="Q497" i="23"/>
  <c r="Q498" i="23"/>
  <c r="Q499" i="23"/>
  <c r="Q501" i="23"/>
  <c r="Q502" i="23"/>
  <c r="Q503" i="23"/>
  <c r="Q505" i="23"/>
  <c r="Q506" i="23"/>
  <c r="Q507" i="23"/>
  <c r="Q509" i="23"/>
  <c r="Q510" i="23"/>
  <c r="Q511" i="23"/>
  <c r="Q512" i="23"/>
  <c r="Q513" i="23"/>
  <c r="Q514" i="23"/>
  <c r="Q515" i="23"/>
  <c r="Q517" i="23"/>
  <c r="Q518" i="23"/>
  <c r="Q519" i="23"/>
  <c r="Q521" i="23"/>
  <c r="Q522" i="23"/>
  <c r="Q523" i="23"/>
  <c r="Q525" i="23"/>
  <c r="Q526" i="23"/>
  <c r="Q527" i="23"/>
  <c r="Q529" i="23"/>
  <c r="Q530" i="23"/>
  <c r="R430" i="23"/>
  <c r="R431" i="23"/>
  <c r="R433" i="23"/>
  <c r="R435" i="23"/>
  <c r="R437" i="23"/>
  <c r="R438" i="23"/>
  <c r="R439" i="23"/>
  <c r="R441" i="23"/>
  <c r="R442" i="23"/>
  <c r="R443" i="23"/>
  <c r="R445" i="23"/>
  <c r="R446" i="23"/>
  <c r="R447" i="23"/>
  <c r="R449" i="23"/>
  <c r="R450" i="23"/>
  <c r="R451" i="23"/>
  <c r="R453" i="23"/>
  <c r="R454" i="23"/>
  <c r="R456" i="23"/>
  <c r="R457" i="23"/>
  <c r="R458" i="23"/>
  <c r="R459" i="23"/>
  <c r="R461" i="23"/>
  <c r="R462" i="23"/>
  <c r="R463" i="23"/>
  <c r="R465" i="23"/>
  <c r="R467" i="23"/>
  <c r="R469" i="23"/>
  <c r="R470" i="23"/>
  <c r="R471" i="23"/>
  <c r="R473" i="23"/>
  <c r="R474" i="23"/>
  <c r="R475" i="23"/>
  <c r="R477" i="23"/>
  <c r="R478" i="23"/>
  <c r="R479" i="23"/>
  <c r="R481" i="23"/>
  <c r="R482" i="23"/>
  <c r="R483" i="23"/>
  <c r="R485" i="23"/>
  <c r="R486" i="23"/>
  <c r="R487" i="23"/>
  <c r="R489" i="23"/>
  <c r="R490" i="23"/>
  <c r="R491" i="23"/>
  <c r="R493" i="23"/>
  <c r="R494" i="23"/>
  <c r="R495" i="23"/>
  <c r="R497" i="23"/>
  <c r="R498" i="23"/>
  <c r="R499" i="23"/>
  <c r="R501" i="23"/>
  <c r="R502" i="23"/>
  <c r="R503" i="23"/>
  <c r="R505" i="23"/>
  <c r="R506" i="23"/>
  <c r="R507" i="23"/>
  <c r="R509" i="23"/>
  <c r="R510" i="23"/>
  <c r="R511" i="23"/>
  <c r="R513" i="23"/>
  <c r="R514" i="23"/>
  <c r="R515" i="23"/>
  <c r="R517" i="23"/>
  <c r="R518" i="23"/>
  <c r="R519" i="23"/>
  <c r="R520" i="23"/>
  <c r="R521" i="23"/>
  <c r="R522" i="23"/>
  <c r="R523" i="23"/>
  <c r="R525" i="23"/>
  <c r="R526" i="23"/>
  <c r="R527" i="23"/>
  <c r="R529" i="23"/>
  <c r="R530" i="23"/>
  <c r="S430" i="23"/>
  <c r="S431" i="23"/>
  <c r="S433" i="23"/>
  <c r="S434" i="23"/>
  <c r="S435" i="23"/>
  <c r="S437" i="23"/>
  <c r="S438" i="23"/>
  <c r="S439" i="23"/>
  <c r="S441" i="23"/>
  <c r="S442" i="23"/>
  <c r="S443" i="23"/>
  <c r="S445" i="23"/>
  <c r="S446" i="23"/>
  <c r="S447" i="23"/>
  <c r="S449" i="23"/>
  <c r="S450" i="23"/>
  <c r="S451" i="23"/>
  <c r="S453" i="23"/>
  <c r="S454" i="23"/>
  <c r="S455" i="23"/>
  <c r="S457" i="23"/>
  <c r="S458" i="23"/>
  <c r="S459" i="23"/>
  <c r="S461" i="23"/>
  <c r="S462" i="23"/>
  <c r="S463" i="23"/>
  <c r="S464" i="23"/>
  <c r="S465" i="23"/>
  <c r="S466" i="23"/>
  <c r="S467" i="23"/>
  <c r="S469" i="23"/>
  <c r="S470" i="23"/>
  <c r="S471" i="23"/>
  <c r="S473" i="23"/>
  <c r="S474" i="23"/>
  <c r="S475" i="23"/>
  <c r="S477" i="23"/>
  <c r="S478" i="23"/>
  <c r="S479" i="23"/>
  <c r="S481" i="23"/>
  <c r="S482" i="23"/>
  <c r="S483" i="23"/>
  <c r="S485" i="23"/>
  <c r="S486" i="23"/>
  <c r="S487" i="23"/>
  <c r="S489" i="23"/>
  <c r="S490" i="23"/>
  <c r="S491" i="23"/>
  <c r="S493" i="23"/>
  <c r="S494" i="23"/>
  <c r="S495" i="23"/>
  <c r="S497" i="23"/>
  <c r="S498" i="23"/>
  <c r="S499" i="23"/>
  <c r="S501" i="23"/>
  <c r="S502" i="23"/>
  <c r="S503" i="23"/>
  <c r="S505" i="23"/>
  <c r="S506" i="23"/>
  <c r="S507" i="23"/>
  <c r="S509" i="23"/>
  <c r="S510" i="23"/>
  <c r="S511" i="23"/>
  <c r="S513" i="23"/>
  <c r="S514" i="23"/>
  <c r="S515" i="23"/>
  <c r="S517" i="23"/>
  <c r="S518" i="23"/>
  <c r="S519" i="23"/>
  <c r="S521" i="23"/>
  <c r="S522" i="23"/>
  <c r="S523" i="23"/>
  <c r="S525" i="23"/>
  <c r="S526" i="23"/>
  <c r="S527" i="23"/>
  <c r="S528" i="23"/>
  <c r="S529" i="23"/>
  <c r="S530" i="23"/>
  <c r="T430" i="23"/>
  <c r="T431" i="23"/>
  <c r="T433" i="23"/>
  <c r="T434" i="23"/>
  <c r="T435" i="23"/>
  <c r="T437" i="23"/>
  <c r="T438" i="23"/>
  <c r="T439" i="23"/>
  <c r="T441" i="23"/>
  <c r="T442" i="23"/>
  <c r="T443" i="23"/>
  <c r="T445" i="23"/>
  <c r="T446" i="23"/>
  <c r="T447" i="23"/>
  <c r="T449" i="23"/>
  <c r="T450" i="23"/>
  <c r="T451" i="23"/>
  <c r="T453" i="23"/>
  <c r="T454" i="23"/>
  <c r="T455" i="23"/>
  <c r="T457" i="23"/>
  <c r="T458" i="23"/>
  <c r="T459" i="23"/>
  <c r="T461" i="23"/>
  <c r="T462" i="23"/>
  <c r="T463" i="23"/>
  <c r="T465" i="23"/>
  <c r="T466" i="23"/>
  <c r="T467" i="23"/>
  <c r="T469" i="23"/>
  <c r="T470" i="23"/>
  <c r="T471" i="23"/>
  <c r="T472" i="23"/>
  <c r="T473" i="23"/>
  <c r="T474" i="23"/>
  <c r="T475" i="23"/>
  <c r="T477" i="23"/>
  <c r="T478" i="23"/>
  <c r="T479" i="23"/>
  <c r="T481" i="23"/>
  <c r="T482" i="23"/>
  <c r="T483" i="23"/>
  <c r="T485" i="23"/>
  <c r="T486" i="23"/>
  <c r="T487" i="23"/>
  <c r="T489" i="23"/>
  <c r="T490" i="23"/>
  <c r="T491" i="23"/>
  <c r="T493" i="23"/>
  <c r="T494" i="23"/>
  <c r="T495" i="23"/>
  <c r="T497" i="23"/>
  <c r="T498" i="23"/>
  <c r="T499" i="23"/>
  <c r="T501" i="23"/>
  <c r="T502" i="23"/>
  <c r="T503" i="23"/>
  <c r="T505" i="23"/>
  <c r="T506" i="23"/>
  <c r="T507" i="23"/>
  <c r="T509" i="23"/>
  <c r="T510" i="23"/>
  <c r="T511" i="23"/>
  <c r="T513" i="23"/>
  <c r="T514" i="23"/>
  <c r="T515" i="23"/>
  <c r="T517" i="23"/>
  <c r="T518" i="23"/>
  <c r="T521" i="23"/>
  <c r="T522" i="23"/>
  <c r="T523" i="23"/>
  <c r="T525" i="23"/>
  <c r="T526" i="23"/>
  <c r="T527" i="23"/>
  <c r="T529" i="23"/>
  <c r="T530" i="23"/>
  <c r="U430" i="23"/>
  <c r="U431" i="23"/>
  <c r="U433" i="23"/>
  <c r="U434" i="23"/>
  <c r="U435" i="23"/>
  <c r="U437" i="23"/>
  <c r="U438" i="23"/>
  <c r="U439" i="23"/>
  <c r="U441" i="23"/>
  <c r="U442" i="23"/>
  <c r="U443" i="23"/>
  <c r="U445" i="23"/>
  <c r="U446" i="23"/>
  <c r="U447" i="23"/>
  <c r="U449" i="23"/>
  <c r="U450" i="23"/>
  <c r="U451" i="23"/>
  <c r="U453" i="23"/>
  <c r="U454" i="23"/>
  <c r="U455" i="23"/>
  <c r="U457" i="23"/>
  <c r="U458" i="23"/>
  <c r="U459" i="23"/>
  <c r="U461" i="23"/>
  <c r="U462" i="23"/>
  <c r="U463" i="23"/>
  <c r="U465" i="23"/>
  <c r="U466" i="23"/>
  <c r="U467" i="23"/>
  <c r="U469" i="23"/>
  <c r="U470" i="23"/>
  <c r="U471" i="23"/>
  <c r="U473" i="23"/>
  <c r="U474" i="23"/>
  <c r="U475" i="23"/>
  <c r="U477" i="23"/>
  <c r="U478" i="23"/>
  <c r="U479" i="23"/>
  <c r="U480" i="23"/>
  <c r="U481" i="23"/>
  <c r="U482" i="23"/>
  <c r="U483" i="23"/>
  <c r="U485" i="23"/>
  <c r="U486" i="23"/>
  <c r="U487" i="23"/>
  <c r="U489" i="23"/>
  <c r="U490" i="23"/>
  <c r="U491" i="23"/>
  <c r="U493" i="23"/>
  <c r="U494" i="23"/>
  <c r="U495" i="23"/>
  <c r="U497" i="23"/>
  <c r="U498" i="23"/>
  <c r="U499" i="23"/>
  <c r="U501" i="23"/>
  <c r="U502" i="23"/>
  <c r="U503" i="23"/>
  <c r="U505" i="23"/>
  <c r="U506" i="23"/>
  <c r="U507" i="23"/>
  <c r="U509" i="23"/>
  <c r="U510" i="23"/>
  <c r="U511" i="23"/>
  <c r="U513" i="23"/>
  <c r="U514" i="23"/>
  <c r="U515" i="23"/>
  <c r="U517" i="23"/>
  <c r="U518" i="23"/>
  <c r="U519" i="23"/>
  <c r="U521" i="23"/>
  <c r="U522" i="23"/>
  <c r="U523" i="23"/>
  <c r="U525" i="23"/>
  <c r="U526" i="23"/>
  <c r="U527" i="23"/>
  <c r="U529" i="23"/>
  <c r="U530" i="23"/>
  <c r="V430" i="23"/>
  <c r="V431" i="23"/>
  <c r="V433" i="23"/>
  <c r="V434" i="23"/>
  <c r="V435" i="23"/>
  <c r="V436" i="23"/>
  <c r="V437" i="23"/>
  <c r="V438" i="23"/>
  <c r="V439" i="23"/>
  <c r="V441" i="23"/>
  <c r="V442" i="23"/>
  <c r="V443" i="23"/>
  <c r="V444" i="23"/>
  <c r="V445" i="23"/>
  <c r="V446" i="23"/>
  <c r="V447" i="23"/>
  <c r="V449" i="23"/>
  <c r="V450" i="23"/>
  <c r="V451" i="23"/>
  <c r="V452" i="23"/>
  <c r="V453" i="23"/>
  <c r="V454" i="23"/>
  <c r="V457" i="23"/>
  <c r="V458" i="23"/>
  <c r="V459" i="23"/>
  <c r="V460" i="23"/>
  <c r="V461" i="23"/>
  <c r="V462" i="23"/>
  <c r="V463" i="23"/>
  <c r="V465" i="23"/>
  <c r="V466" i="23"/>
  <c r="V467" i="23"/>
  <c r="V468" i="23"/>
  <c r="V469" i="23"/>
  <c r="V470" i="23"/>
  <c r="V471" i="23"/>
  <c r="V473" i="23"/>
  <c r="V474" i="23"/>
  <c r="V475" i="23"/>
  <c r="V476" i="23"/>
  <c r="V477" i="23"/>
  <c r="V478" i="23"/>
  <c r="V479" i="23"/>
  <c r="V481" i="23"/>
  <c r="V482" i="23"/>
  <c r="V483" i="23"/>
  <c r="V484" i="23"/>
  <c r="V485" i="23"/>
  <c r="V486" i="23"/>
  <c r="V487" i="23"/>
  <c r="V489" i="23"/>
  <c r="V490" i="23"/>
  <c r="V491" i="23"/>
  <c r="V492" i="23"/>
  <c r="V493" i="23"/>
  <c r="V494" i="23"/>
  <c r="V495" i="23"/>
  <c r="V497" i="23"/>
  <c r="V498" i="23"/>
  <c r="V499" i="23"/>
  <c r="V500" i="23"/>
  <c r="V501" i="23"/>
  <c r="V502" i="23"/>
  <c r="V503" i="23"/>
  <c r="V505" i="23"/>
  <c r="V506" i="23"/>
  <c r="V507" i="23"/>
  <c r="V508" i="23"/>
  <c r="V509" i="23"/>
  <c r="V510" i="23"/>
  <c r="V511" i="23"/>
  <c r="V513" i="23"/>
  <c r="V514" i="23"/>
  <c r="V515" i="23"/>
  <c r="V516" i="23"/>
  <c r="V517" i="23"/>
  <c r="V518" i="23"/>
  <c r="V519" i="23"/>
  <c r="V521" i="23"/>
  <c r="V522" i="23"/>
  <c r="V523" i="23"/>
  <c r="V524" i="23"/>
  <c r="V525" i="23"/>
  <c r="V526" i="23"/>
  <c r="V527" i="23"/>
  <c r="V529" i="23"/>
  <c r="V530" i="23"/>
  <c r="W430" i="23"/>
  <c r="W431" i="23"/>
  <c r="W433" i="23"/>
  <c r="W435" i="23"/>
  <c r="W437" i="23"/>
  <c r="W438" i="23"/>
  <c r="W439" i="23"/>
  <c r="W441" i="23"/>
  <c r="W442" i="23"/>
  <c r="W443" i="23"/>
  <c r="W445" i="23"/>
  <c r="W446" i="23"/>
  <c r="W447" i="23"/>
  <c r="W449" i="23"/>
  <c r="W450" i="23"/>
  <c r="W451" i="23"/>
  <c r="W453" i="23"/>
  <c r="W454" i="23"/>
  <c r="W455" i="23"/>
  <c r="W457" i="23"/>
  <c r="W458" i="23"/>
  <c r="W459" i="23"/>
  <c r="W461" i="23"/>
  <c r="W462" i="23"/>
  <c r="W463" i="23"/>
  <c r="W464" i="23"/>
  <c r="W465" i="23"/>
  <c r="W467" i="23"/>
  <c r="W469" i="23"/>
  <c r="W470" i="23"/>
  <c r="W471" i="23"/>
  <c r="W473" i="23"/>
  <c r="W474" i="23"/>
  <c r="W475" i="23"/>
  <c r="W477" i="23"/>
  <c r="W478" i="23"/>
  <c r="W479" i="23"/>
  <c r="W481" i="23"/>
  <c r="W482" i="23"/>
  <c r="W483" i="23"/>
  <c r="W485" i="23"/>
  <c r="W486" i="23"/>
  <c r="W487" i="23"/>
  <c r="W489" i="23"/>
  <c r="W490" i="23"/>
  <c r="W491" i="23"/>
  <c r="W493" i="23"/>
  <c r="W494" i="23"/>
  <c r="W495" i="23"/>
  <c r="W497" i="23"/>
  <c r="W498" i="23"/>
  <c r="W499" i="23"/>
  <c r="W501" i="23"/>
  <c r="W502" i="23"/>
  <c r="W503" i="23"/>
  <c r="W505" i="23"/>
  <c r="W506" i="23"/>
  <c r="W507" i="23"/>
  <c r="W509" i="23"/>
  <c r="W510" i="23"/>
  <c r="W511" i="23"/>
  <c r="W513" i="23"/>
  <c r="W514" i="23"/>
  <c r="W515" i="23"/>
  <c r="W517" i="23"/>
  <c r="W518" i="23"/>
  <c r="W519" i="23"/>
  <c r="W521" i="23"/>
  <c r="W522" i="23"/>
  <c r="W523" i="23"/>
  <c r="W525" i="23"/>
  <c r="W526" i="23"/>
  <c r="W527" i="23"/>
  <c r="W528" i="23"/>
  <c r="W529" i="23"/>
  <c r="W530" i="23"/>
  <c r="X430" i="23"/>
  <c r="X431" i="23"/>
  <c r="X433" i="23"/>
  <c r="X434" i="23"/>
  <c r="X435" i="23"/>
  <c r="X437" i="23"/>
  <c r="X438" i="23"/>
  <c r="X439" i="23"/>
  <c r="X441" i="23"/>
  <c r="X442" i="23"/>
  <c r="X443" i="23"/>
  <c r="X445" i="23"/>
  <c r="X446" i="23"/>
  <c r="X447" i="23"/>
  <c r="X449" i="23"/>
  <c r="X450" i="23"/>
  <c r="X451" i="23"/>
  <c r="X453" i="23"/>
  <c r="X454" i="23"/>
  <c r="X455" i="23"/>
  <c r="X457" i="23"/>
  <c r="X458" i="23"/>
  <c r="X459" i="23"/>
  <c r="X461" i="23"/>
  <c r="X462" i="23"/>
  <c r="X463" i="23"/>
  <c r="X465" i="23"/>
  <c r="X466" i="23"/>
  <c r="X467" i="23"/>
  <c r="X469" i="23"/>
  <c r="X470" i="23"/>
  <c r="X471" i="23"/>
  <c r="X472" i="23"/>
  <c r="X473" i="23"/>
  <c r="X474" i="23"/>
  <c r="X475" i="23"/>
  <c r="X477" i="23"/>
  <c r="X478" i="23"/>
  <c r="X479" i="23"/>
  <c r="X481" i="23"/>
  <c r="X482" i="23"/>
  <c r="X483" i="23"/>
  <c r="X485" i="23"/>
  <c r="X486" i="23"/>
  <c r="X489" i="23"/>
  <c r="X490" i="23"/>
  <c r="X491" i="23"/>
  <c r="X493" i="23"/>
  <c r="X494" i="23"/>
  <c r="X495" i="23"/>
  <c r="X497" i="23"/>
  <c r="X498" i="23"/>
  <c r="X499" i="23"/>
  <c r="X501" i="23"/>
  <c r="X502" i="23"/>
  <c r="X503" i="23"/>
  <c r="X505" i="23"/>
  <c r="X506" i="23"/>
  <c r="X507" i="23"/>
  <c r="X509" i="23"/>
  <c r="X510" i="23"/>
  <c r="X511" i="23"/>
  <c r="X513" i="23"/>
  <c r="X514" i="23"/>
  <c r="X515" i="23"/>
  <c r="X517" i="23"/>
  <c r="X518" i="23"/>
  <c r="X519" i="23"/>
  <c r="X521" i="23"/>
  <c r="X522" i="23"/>
  <c r="X523" i="23"/>
  <c r="X525" i="23"/>
  <c r="X526" i="23"/>
  <c r="X527" i="23"/>
  <c r="X529" i="23"/>
  <c r="X530" i="23"/>
  <c r="Y430" i="23"/>
  <c r="Y431" i="23"/>
  <c r="Y433" i="23"/>
  <c r="Y434" i="23"/>
  <c r="Y435" i="23"/>
  <c r="Y437" i="23"/>
  <c r="Y438" i="23"/>
  <c r="Y439" i="23"/>
  <c r="Y441" i="23"/>
  <c r="Y442" i="23"/>
  <c r="Y443" i="23"/>
  <c r="Y445" i="23"/>
  <c r="Y446" i="23"/>
  <c r="Y447" i="23"/>
  <c r="Y449" i="23"/>
  <c r="Y450" i="23"/>
  <c r="Y451" i="23"/>
  <c r="Y453" i="23"/>
  <c r="Y454" i="23"/>
  <c r="Y455" i="23"/>
  <c r="Y457" i="23"/>
  <c r="Y458" i="23"/>
  <c r="Y459" i="23"/>
  <c r="Y461" i="23"/>
  <c r="Y462" i="23"/>
  <c r="Y463" i="23"/>
  <c r="Y465" i="23"/>
  <c r="Y467" i="23"/>
  <c r="Y469" i="23"/>
  <c r="Y470" i="23"/>
  <c r="Y471" i="23"/>
  <c r="Y473" i="23"/>
  <c r="Y474" i="23"/>
  <c r="Y475" i="23"/>
  <c r="Y477" i="23"/>
  <c r="Y478" i="23"/>
  <c r="Y479" i="23"/>
  <c r="Y480" i="23"/>
  <c r="Y481" i="23"/>
  <c r="Y482" i="23"/>
  <c r="Y483" i="23"/>
  <c r="Y485" i="23"/>
  <c r="Y486" i="23"/>
  <c r="Y489" i="23"/>
  <c r="Y490" i="23"/>
  <c r="Y491" i="23"/>
  <c r="Y493" i="23"/>
  <c r="Y494" i="23"/>
  <c r="Y495" i="23"/>
  <c r="Y497" i="23"/>
  <c r="Y498" i="23"/>
  <c r="Y499" i="23"/>
  <c r="Y501" i="23"/>
  <c r="Y502" i="23"/>
  <c r="Y503" i="23"/>
  <c r="Y505" i="23"/>
  <c r="Y506" i="23"/>
  <c r="Y507" i="23"/>
  <c r="Y509" i="23"/>
  <c r="Y510" i="23"/>
  <c r="Y511" i="23"/>
  <c r="Y513" i="23"/>
  <c r="Y514" i="23"/>
  <c r="Y515" i="23"/>
  <c r="Y517" i="23"/>
  <c r="Y518" i="23"/>
  <c r="Y519" i="23"/>
  <c r="Y521" i="23"/>
  <c r="Y522" i="23"/>
  <c r="Y523" i="23"/>
  <c r="Y525" i="23"/>
  <c r="Y526" i="23"/>
  <c r="Y527" i="23"/>
  <c r="Y529" i="23"/>
  <c r="Y530" i="23"/>
  <c r="AC430" i="23"/>
  <c r="AC431" i="23"/>
  <c r="AC433" i="23"/>
  <c r="AC434" i="23"/>
  <c r="AC435" i="23"/>
  <c r="AC437" i="23"/>
  <c r="AC438" i="23"/>
  <c r="AC439" i="23"/>
  <c r="AC441" i="23"/>
  <c r="AC442" i="23"/>
  <c r="AC443" i="23"/>
  <c r="AC445" i="23"/>
  <c r="AC446" i="23"/>
  <c r="AC447" i="23"/>
  <c r="AC449" i="23"/>
  <c r="AC450" i="23"/>
  <c r="AC451" i="23"/>
  <c r="AC453" i="23"/>
  <c r="AC454" i="23"/>
  <c r="AC455" i="23"/>
  <c r="AC457" i="23"/>
  <c r="AC458" i="23"/>
  <c r="AC459" i="23"/>
  <c r="AC461" i="23"/>
  <c r="AC462" i="23"/>
  <c r="AC463" i="23"/>
  <c r="AC464" i="23"/>
  <c r="AC465" i="23"/>
  <c r="AC466" i="23"/>
  <c r="AC467" i="23"/>
  <c r="AC469" i="23"/>
  <c r="AC470" i="23"/>
  <c r="AC471" i="23"/>
  <c r="AC473" i="23"/>
  <c r="AC474" i="23"/>
  <c r="AC475" i="23"/>
  <c r="AC477" i="23"/>
  <c r="AC478" i="23"/>
  <c r="AC479" i="23"/>
  <c r="AC481" i="23"/>
  <c r="AC482" i="23"/>
  <c r="AC483" i="23"/>
  <c r="AC485" i="23"/>
  <c r="AC486" i="23"/>
  <c r="AC487" i="23"/>
  <c r="AC489" i="23"/>
  <c r="AC490" i="23"/>
  <c r="AC491" i="23"/>
  <c r="AC493" i="23"/>
  <c r="AC494" i="23"/>
  <c r="AC495" i="23"/>
  <c r="AC497" i="23"/>
  <c r="AC498" i="23"/>
  <c r="AC499" i="23"/>
  <c r="AC501" i="23"/>
  <c r="AC502" i="23"/>
  <c r="AC503" i="23"/>
  <c r="AC505" i="23"/>
  <c r="AC506" i="23"/>
  <c r="AC507" i="23"/>
  <c r="AC509" i="23"/>
  <c r="AC510" i="23"/>
  <c r="AC511" i="23"/>
  <c r="AC513" i="23"/>
  <c r="AC514" i="23"/>
  <c r="AC515" i="23"/>
  <c r="AC517" i="23"/>
  <c r="AC518" i="23"/>
  <c r="AC519" i="23"/>
  <c r="AC521" i="23"/>
  <c r="AC522" i="23"/>
  <c r="AC523" i="23"/>
  <c r="AC525" i="23"/>
  <c r="AC526" i="23"/>
  <c r="AC527" i="23"/>
  <c r="AC528" i="23"/>
  <c r="AC529" i="23"/>
  <c r="AC530" i="23"/>
  <c r="P430" i="3"/>
  <c r="U430" i="3" s="1"/>
  <c r="P431" i="3"/>
  <c r="V431" i="3" s="1"/>
  <c r="P432" i="3"/>
  <c r="S432" i="3" s="1"/>
  <c r="P433" i="3"/>
  <c r="Z433" i="3" s="1"/>
  <c r="P434" i="3"/>
  <c r="Q434" i="3" s="1"/>
  <c r="P435" i="3"/>
  <c r="P436" i="3"/>
  <c r="P437" i="3"/>
  <c r="P438" i="3"/>
  <c r="U438" i="3" s="1"/>
  <c r="P439" i="3"/>
  <c r="Q439" i="3" s="1"/>
  <c r="P440" i="3"/>
  <c r="S440" i="3" s="1"/>
  <c r="P441" i="3"/>
  <c r="AI441" i="3" s="1"/>
  <c r="P442" i="3"/>
  <c r="P443" i="3"/>
  <c r="P444" i="3"/>
  <c r="U444" i="3" s="1"/>
  <c r="P445" i="3"/>
  <c r="P446" i="3"/>
  <c r="U446" i="3" s="1"/>
  <c r="P447" i="3"/>
  <c r="S447" i="3" s="1"/>
  <c r="P448" i="3"/>
  <c r="S448" i="3" s="1"/>
  <c r="P449" i="3"/>
  <c r="T449" i="3" s="1"/>
  <c r="P450" i="3"/>
  <c r="Q450" i="3" s="1"/>
  <c r="P451" i="3"/>
  <c r="P452" i="3"/>
  <c r="P453" i="3"/>
  <c r="P454" i="3"/>
  <c r="P455" i="3"/>
  <c r="Q455" i="3" s="1"/>
  <c r="P456" i="3"/>
  <c r="S456" i="3" s="1"/>
  <c r="P457" i="3"/>
  <c r="X457" i="3" s="1"/>
  <c r="P458" i="3"/>
  <c r="S458" i="3" s="1"/>
  <c r="P459" i="3"/>
  <c r="P460" i="3"/>
  <c r="U460" i="3" s="1"/>
  <c r="P461" i="3"/>
  <c r="P462" i="3"/>
  <c r="U462" i="3" s="1"/>
  <c r="P463" i="3"/>
  <c r="V463" i="3" s="1"/>
  <c r="P464" i="3"/>
  <c r="S464" i="3" s="1"/>
  <c r="P465" i="3"/>
  <c r="Z465" i="3" s="1"/>
  <c r="P466" i="3"/>
  <c r="Q466" i="3" s="1"/>
  <c r="AE466" i="3" s="1"/>
  <c r="P467" i="3"/>
  <c r="P468" i="3"/>
  <c r="P469" i="3"/>
  <c r="P470" i="3"/>
  <c r="P471" i="3"/>
  <c r="Q471" i="3" s="1"/>
  <c r="P472" i="3"/>
  <c r="S472" i="3" s="1"/>
  <c r="P473" i="3"/>
  <c r="W473" i="3" s="1"/>
  <c r="P474" i="3"/>
  <c r="AD474" i="3" s="1"/>
  <c r="P475" i="3"/>
  <c r="P476" i="3"/>
  <c r="Q476" i="3" s="1"/>
  <c r="P477" i="3"/>
  <c r="P478" i="3"/>
  <c r="U478" i="3" s="1"/>
  <c r="P479" i="3"/>
  <c r="S479" i="3" s="1"/>
  <c r="P480" i="3"/>
  <c r="S480" i="3" s="1"/>
  <c r="P481" i="3"/>
  <c r="T481" i="3" s="1"/>
  <c r="P482" i="3"/>
  <c r="Q482" i="3" s="1"/>
  <c r="P483" i="3"/>
  <c r="P484" i="3"/>
  <c r="Q484" i="3" s="1"/>
  <c r="AA484" i="3" s="1"/>
  <c r="P485" i="3"/>
  <c r="P486" i="3"/>
  <c r="P487" i="3"/>
  <c r="V487" i="3" s="1"/>
  <c r="P488" i="3"/>
  <c r="S488" i="3" s="1"/>
  <c r="P489" i="3"/>
  <c r="X489" i="3" s="1"/>
  <c r="P490" i="3"/>
  <c r="X490" i="3" s="1"/>
  <c r="P491" i="3"/>
  <c r="P492" i="3"/>
  <c r="P493" i="3"/>
  <c r="P494" i="3"/>
  <c r="U494" i="3" s="1"/>
  <c r="P495" i="3"/>
  <c r="V495" i="3" s="1"/>
  <c r="P496" i="3"/>
  <c r="S496" i="3" s="1"/>
  <c r="P497" i="3"/>
  <c r="Z497" i="3" s="1"/>
  <c r="P498" i="3"/>
  <c r="Q498" i="3" s="1"/>
  <c r="P499" i="3"/>
  <c r="P500" i="3"/>
  <c r="U500" i="3" s="1"/>
  <c r="P501" i="3"/>
  <c r="P502" i="3"/>
  <c r="U502" i="3" s="1"/>
  <c r="P503" i="3"/>
  <c r="Q503" i="3" s="1"/>
  <c r="P504" i="3"/>
  <c r="S504" i="3" s="1"/>
  <c r="P505" i="3"/>
  <c r="W505" i="3" s="1"/>
  <c r="P506" i="3"/>
  <c r="AD506" i="3" s="1"/>
  <c r="P507" i="3"/>
  <c r="P508" i="3"/>
  <c r="Q508" i="3" s="1"/>
  <c r="P509" i="3"/>
  <c r="P510" i="3"/>
  <c r="P511" i="3"/>
  <c r="P512" i="3"/>
  <c r="S512" i="3" s="1"/>
  <c r="P513" i="3"/>
  <c r="T513" i="3" s="1"/>
  <c r="P514" i="3"/>
  <c r="Q514" i="3" s="1"/>
  <c r="AE514" i="3" s="1"/>
  <c r="P515" i="3"/>
  <c r="P516" i="3"/>
  <c r="P517" i="3"/>
  <c r="P518" i="3"/>
  <c r="U518" i="3" s="1"/>
  <c r="P519" i="3"/>
  <c r="Q519" i="3" s="1"/>
  <c r="P520" i="3"/>
  <c r="P521" i="3"/>
  <c r="X521" i="3" s="1"/>
  <c r="P522" i="3"/>
  <c r="U522" i="3" s="1"/>
  <c r="P523" i="3"/>
  <c r="P524" i="3"/>
  <c r="U524" i="3" s="1"/>
  <c r="P525" i="3"/>
  <c r="P526" i="3"/>
  <c r="P527" i="3"/>
  <c r="V527" i="3" s="1"/>
  <c r="P528" i="3"/>
  <c r="S528" i="3" s="1"/>
  <c r="P529" i="3"/>
  <c r="Z529" i="3" s="1"/>
  <c r="P530" i="3"/>
  <c r="Q530" i="3" s="1"/>
  <c r="Q435" i="3"/>
  <c r="Q437" i="3"/>
  <c r="Q443" i="3"/>
  <c r="S443" i="3" s="1"/>
  <c r="Q445" i="3"/>
  <c r="Q447" i="3"/>
  <c r="T447" i="3" s="1"/>
  <c r="Q451" i="3"/>
  <c r="Q453" i="3"/>
  <c r="Q459" i="3"/>
  <c r="Q461" i="3"/>
  <c r="AB461" i="3" s="1"/>
  <c r="Q463" i="3"/>
  <c r="Q467" i="3"/>
  <c r="Q469" i="3"/>
  <c r="Q475" i="3"/>
  <c r="Q477" i="3"/>
  <c r="AE477" i="3" s="1"/>
  <c r="Q479" i="3"/>
  <c r="Q483" i="3"/>
  <c r="Q485" i="3"/>
  <c r="Q491" i="3"/>
  <c r="Q492" i="3"/>
  <c r="AA492" i="3" s="1"/>
  <c r="Q493" i="3"/>
  <c r="U493" i="3" s="1"/>
  <c r="Q499" i="3"/>
  <c r="Q501" i="3"/>
  <c r="Q507" i="3"/>
  <c r="Q509" i="3"/>
  <c r="U509" i="3" s="1"/>
  <c r="Q511" i="3"/>
  <c r="T511" i="3" s="1"/>
  <c r="Q515" i="3"/>
  <c r="Q517" i="3"/>
  <c r="Q523" i="3"/>
  <c r="Q525" i="3"/>
  <c r="Q527" i="3"/>
  <c r="AB527" i="3" s="1"/>
  <c r="S430" i="3"/>
  <c r="S435" i="3"/>
  <c r="S437" i="3"/>
  <c r="S438" i="3"/>
  <c r="S439" i="3"/>
  <c r="S442" i="3"/>
  <c r="S445" i="3"/>
  <c r="S446" i="3"/>
  <c r="S451" i="3"/>
  <c r="S453" i="3"/>
  <c r="S454" i="3"/>
  <c r="S455" i="3"/>
  <c r="S459" i="3"/>
  <c r="S461" i="3"/>
  <c r="S462" i="3"/>
  <c r="S467" i="3"/>
  <c r="S469" i="3"/>
  <c r="S470" i="3"/>
  <c r="S471" i="3"/>
  <c r="S475" i="3"/>
  <c r="S477" i="3"/>
  <c r="S478" i="3"/>
  <c r="S483" i="3"/>
  <c r="S485" i="3"/>
  <c r="S486" i="3"/>
  <c r="S487" i="3"/>
  <c r="S491" i="3"/>
  <c r="S493" i="3"/>
  <c r="S494" i="3"/>
  <c r="S495" i="3"/>
  <c r="S498" i="3"/>
  <c r="S499" i="3"/>
  <c r="S501" i="3"/>
  <c r="S503" i="3"/>
  <c r="S507" i="3"/>
  <c r="S508" i="3"/>
  <c r="S509" i="3"/>
  <c r="S511" i="3"/>
  <c r="S515" i="3"/>
  <c r="S517" i="3"/>
  <c r="S518" i="3"/>
  <c r="S519" i="3"/>
  <c r="S522" i="3"/>
  <c r="S523" i="3"/>
  <c r="S525" i="3"/>
  <c r="S527" i="3"/>
  <c r="T431" i="3"/>
  <c r="T432" i="3"/>
  <c r="T434" i="3"/>
  <c r="T435" i="3"/>
  <c r="T437" i="3"/>
  <c r="T439" i="3"/>
  <c r="T440" i="3"/>
  <c r="T443" i="3"/>
  <c r="T445" i="3"/>
  <c r="T448" i="3"/>
  <c r="T451" i="3"/>
  <c r="T453" i="3"/>
  <c r="T455" i="3"/>
  <c r="T456" i="3"/>
  <c r="T457" i="3"/>
  <c r="T459" i="3"/>
  <c r="T461" i="3"/>
  <c r="T463" i="3"/>
  <c r="T464" i="3"/>
  <c r="T467" i="3"/>
  <c r="T469" i="3"/>
  <c r="T471" i="3"/>
  <c r="T475" i="3"/>
  <c r="T479" i="3"/>
  <c r="T480" i="3"/>
  <c r="T483" i="3"/>
  <c r="T485" i="3"/>
  <c r="T487" i="3"/>
  <c r="T491" i="3"/>
  <c r="T493" i="3"/>
  <c r="T495" i="3"/>
  <c r="T499" i="3"/>
  <c r="T501" i="3"/>
  <c r="T503" i="3"/>
  <c r="T504" i="3"/>
  <c r="T507" i="3"/>
  <c r="T509" i="3"/>
  <c r="T512" i="3"/>
  <c r="T515" i="3"/>
  <c r="T517" i="3"/>
  <c r="T519" i="3"/>
  <c r="T523" i="3"/>
  <c r="T525" i="3"/>
  <c r="T527" i="3"/>
  <c r="T528" i="3"/>
  <c r="U432" i="3"/>
  <c r="U435" i="3"/>
  <c r="U436" i="3"/>
  <c r="U437" i="3"/>
  <c r="U440" i="3"/>
  <c r="U443" i="3"/>
  <c r="U445" i="3"/>
  <c r="U448" i="3"/>
  <c r="U451" i="3"/>
  <c r="U452" i="3"/>
  <c r="U453" i="3"/>
  <c r="U456" i="3"/>
  <c r="U459" i="3"/>
  <c r="U464" i="3"/>
  <c r="U466" i="3"/>
  <c r="U467" i="3"/>
  <c r="U468" i="3"/>
  <c r="U469" i="3"/>
  <c r="U475" i="3"/>
  <c r="U476" i="3"/>
  <c r="U477" i="3"/>
  <c r="U480" i="3"/>
  <c r="U483" i="3"/>
  <c r="U485" i="3"/>
  <c r="U491" i="3"/>
  <c r="U492" i="3"/>
  <c r="U499" i="3"/>
  <c r="U501" i="3"/>
  <c r="U504" i="3"/>
  <c r="U506" i="3"/>
  <c r="U507" i="3"/>
  <c r="U508" i="3"/>
  <c r="U515" i="3"/>
  <c r="U517" i="3"/>
  <c r="AH517" i="3" s="1"/>
  <c r="U523" i="3"/>
  <c r="U525" i="3"/>
  <c r="U528" i="3"/>
  <c r="V430" i="3"/>
  <c r="V432" i="3"/>
  <c r="V435" i="3"/>
  <c r="V437" i="3"/>
  <c r="V438" i="3"/>
  <c r="V440" i="3"/>
  <c r="V443" i="3"/>
  <c r="V445" i="3"/>
  <c r="V446" i="3"/>
  <c r="V448" i="3"/>
  <c r="V451" i="3"/>
  <c r="V453" i="3"/>
  <c r="V454" i="3"/>
  <c r="V456" i="3"/>
  <c r="V458" i="3"/>
  <c r="V459" i="3"/>
  <c r="V461" i="3"/>
  <c r="V462" i="3"/>
  <c r="V464" i="3"/>
  <c r="V467" i="3"/>
  <c r="V469" i="3"/>
  <c r="V470" i="3"/>
  <c r="V472" i="3"/>
  <c r="V475" i="3"/>
  <c r="V477" i="3"/>
  <c r="V478" i="3"/>
  <c r="V483" i="3"/>
  <c r="V485" i="3"/>
  <c r="V488" i="3"/>
  <c r="V491" i="3"/>
  <c r="V494" i="3"/>
  <c r="V499" i="3"/>
  <c r="V501" i="3"/>
  <c r="V504" i="3"/>
  <c r="V507" i="3"/>
  <c r="V509" i="3"/>
  <c r="V510" i="3"/>
  <c r="V512" i="3"/>
  <c r="V515" i="3"/>
  <c r="V517" i="3"/>
  <c r="V518" i="3"/>
  <c r="V520" i="3"/>
  <c r="V522" i="3"/>
  <c r="V523" i="3"/>
  <c r="V525" i="3"/>
  <c r="V526" i="3"/>
  <c r="V528" i="3"/>
  <c r="W430" i="3"/>
  <c r="W432" i="3"/>
  <c r="W433" i="3"/>
  <c r="W435" i="3"/>
  <c r="W437" i="3"/>
  <c r="W438" i="3"/>
  <c r="W440" i="3"/>
  <c r="W443" i="3"/>
  <c r="W445" i="3"/>
  <c r="W446" i="3"/>
  <c r="W448" i="3"/>
  <c r="W451" i="3"/>
  <c r="W453" i="3"/>
  <c r="W454" i="3"/>
  <c r="W456" i="3"/>
  <c r="W459" i="3"/>
  <c r="W461" i="3"/>
  <c r="W462" i="3"/>
  <c r="W464" i="3"/>
  <c r="W465" i="3"/>
  <c r="W466" i="3"/>
  <c r="W467" i="3"/>
  <c r="W469" i="3"/>
  <c r="W470" i="3"/>
  <c r="W472" i="3"/>
  <c r="W475" i="3"/>
  <c r="W477" i="3"/>
  <c r="W478" i="3"/>
  <c r="W480" i="3"/>
  <c r="W483" i="3"/>
  <c r="W485" i="3"/>
  <c r="W486" i="3"/>
  <c r="W488" i="3"/>
  <c r="W490" i="3"/>
  <c r="W491" i="3"/>
  <c r="W493" i="3"/>
  <c r="W494" i="3"/>
  <c r="W496" i="3"/>
  <c r="W499" i="3"/>
  <c r="W501" i="3"/>
  <c r="W502" i="3"/>
  <c r="W504" i="3"/>
  <c r="W507" i="3"/>
  <c r="W509" i="3"/>
  <c r="W510" i="3"/>
  <c r="W512" i="3"/>
  <c r="W513" i="3"/>
  <c r="W515" i="3"/>
  <c r="W517" i="3"/>
  <c r="W518" i="3"/>
  <c r="W523" i="3"/>
  <c r="W525" i="3"/>
  <c r="W526" i="3"/>
  <c r="W528" i="3"/>
  <c r="X435" i="3"/>
  <c r="X436" i="3"/>
  <c r="X437" i="3"/>
  <c r="X443" i="3"/>
  <c r="X444" i="3"/>
  <c r="X445" i="3"/>
  <c r="X446" i="3"/>
  <c r="X451" i="3"/>
  <c r="X452" i="3"/>
  <c r="X453" i="3"/>
  <c r="X459" i="3"/>
  <c r="X460" i="3"/>
  <c r="X461" i="3"/>
  <c r="X462" i="3"/>
  <c r="X467" i="3"/>
  <c r="X468" i="3"/>
  <c r="X469" i="3"/>
  <c r="X470" i="3"/>
  <c r="X475" i="3"/>
  <c r="X477" i="3"/>
  <c r="X478" i="3"/>
  <c r="X483" i="3"/>
  <c r="X484" i="3"/>
  <c r="X485" i="3"/>
  <c r="X491" i="3"/>
  <c r="X492" i="3"/>
  <c r="X493" i="3"/>
  <c r="X494" i="3"/>
  <c r="X499" i="3"/>
  <c r="X500" i="3"/>
  <c r="X501" i="3"/>
  <c r="X507" i="3"/>
  <c r="X508" i="3"/>
  <c r="X509" i="3"/>
  <c r="X514" i="3"/>
  <c r="X515" i="3"/>
  <c r="X516" i="3"/>
  <c r="X517" i="3"/>
  <c r="X518" i="3"/>
  <c r="X523" i="3"/>
  <c r="X524" i="3"/>
  <c r="X525" i="3"/>
  <c r="X526" i="3"/>
  <c r="Y430" i="3"/>
  <c r="Y431" i="3"/>
  <c r="Y432" i="3"/>
  <c r="Y435" i="3"/>
  <c r="Y436" i="3"/>
  <c r="Y437" i="3"/>
  <c r="Y439" i="3"/>
  <c r="Y440" i="3"/>
  <c r="Y443" i="3"/>
  <c r="Y444" i="3"/>
  <c r="Y445" i="3"/>
  <c r="Y446" i="3"/>
  <c r="Y447" i="3"/>
  <c r="Y448" i="3"/>
  <c r="Y451" i="3"/>
  <c r="Y452" i="3"/>
  <c r="Y453" i="3"/>
  <c r="Y454" i="3"/>
  <c r="Y455" i="3"/>
  <c r="Y456" i="3"/>
  <c r="Y459" i="3"/>
  <c r="Y460" i="3"/>
  <c r="Y462" i="3"/>
  <c r="Y463" i="3"/>
  <c r="Y464" i="3"/>
  <c r="Y467" i="3"/>
  <c r="Y468" i="3"/>
  <c r="Y469" i="3"/>
  <c r="Y471" i="3"/>
  <c r="Y472" i="3"/>
  <c r="Y475" i="3"/>
  <c r="Y476" i="3"/>
  <c r="Y477" i="3"/>
  <c r="Y478" i="3"/>
  <c r="Y479" i="3"/>
  <c r="Y480" i="3"/>
  <c r="Y483" i="3"/>
  <c r="Y484" i="3"/>
  <c r="Y485" i="3"/>
  <c r="Y486" i="3"/>
  <c r="Y487" i="3"/>
  <c r="Y488" i="3"/>
  <c r="Y491" i="3"/>
  <c r="Y492" i="3"/>
  <c r="Y493" i="3"/>
  <c r="Y494" i="3"/>
  <c r="Y495" i="3"/>
  <c r="Y496" i="3"/>
  <c r="Y499" i="3"/>
  <c r="Y500" i="3"/>
  <c r="Y501" i="3"/>
  <c r="Y502" i="3"/>
  <c r="Y503" i="3"/>
  <c r="Y504" i="3"/>
  <c r="Y507" i="3"/>
  <c r="Y508" i="3"/>
  <c r="Y509" i="3"/>
  <c r="Y510" i="3"/>
  <c r="Y511" i="3"/>
  <c r="Y512" i="3"/>
  <c r="Y515" i="3"/>
  <c r="Y516" i="3"/>
  <c r="Y517" i="3"/>
  <c r="Y518" i="3"/>
  <c r="Y519" i="3"/>
  <c r="Y523" i="3"/>
  <c r="Y524" i="3"/>
  <c r="Y525" i="3"/>
  <c r="Y526" i="3"/>
  <c r="Y527" i="3"/>
  <c r="Y528" i="3"/>
  <c r="Z430" i="3"/>
  <c r="Z435" i="3"/>
  <c r="Z437" i="3"/>
  <c r="Z438" i="3"/>
  <c r="Z439" i="3"/>
  <c r="Z443" i="3"/>
  <c r="Z444" i="3"/>
  <c r="Z445" i="3"/>
  <c r="Z446" i="3"/>
  <c r="Z451" i="3"/>
  <c r="Z452" i="3"/>
  <c r="Z453" i="3"/>
  <c r="Z454" i="3"/>
  <c r="Z455" i="3"/>
  <c r="Z459" i="3"/>
  <c r="Z460" i="3"/>
  <c r="Z461" i="3"/>
  <c r="Z462" i="3"/>
  <c r="Z467" i="3"/>
  <c r="Z468" i="3"/>
  <c r="Z469" i="3"/>
  <c r="Z470" i="3"/>
  <c r="Z471" i="3"/>
  <c r="Z475" i="3"/>
  <c r="Z477" i="3"/>
  <c r="Z483" i="3"/>
  <c r="Z484" i="3"/>
  <c r="Z485" i="3"/>
  <c r="Z486" i="3"/>
  <c r="Z487" i="3"/>
  <c r="Z491" i="3"/>
  <c r="Z493" i="3"/>
  <c r="Z494" i="3"/>
  <c r="Z499" i="3"/>
  <c r="Z500" i="3"/>
  <c r="Z501" i="3"/>
  <c r="Z503" i="3"/>
  <c r="Z507" i="3"/>
  <c r="Z509" i="3"/>
  <c r="Z510" i="3"/>
  <c r="Z515" i="3"/>
  <c r="Z517" i="3"/>
  <c r="Z518" i="3"/>
  <c r="Z519" i="3"/>
  <c r="Z523" i="3"/>
  <c r="Z525" i="3"/>
  <c r="Z526" i="3"/>
  <c r="AA430" i="3"/>
  <c r="AA432" i="3"/>
  <c r="AA435" i="3"/>
  <c r="AA436" i="3"/>
  <c r="AA437" i="3"/>
  <c r="AA438" i="3"/>
  <c r="AA439" i="3"/>
  <c r="AA443" i="3"/>
  <c r="AA444" i="3"/>
  <c r="AA445" i="3"/>
  <c r="AA446" i="3"/>
  <c r="AA447" i="3"/>
  <c r="AA451" i="3"/>
  <c r="AA452" i="3"/>
  <c r="AA453" i="3"/>
  <c r="AA454" i="3"/>
  <c r="AA455" i="3"/>
  <c r="AA459" i="3"/>
  <c r="AA460" i="3"/>
  <c r="AA461" i="3"/>
  <c r="AA462" i="3"/>
  <c r="AA463" i="3"/>
  <c r="AA467" i="3"/>
  <c r="AA468" i="3"/>
  <c r="AA469" i="3"/>
  <c r="AA470" i="3"/>
  <c r="AA471" i="3"/>
  <c r="AA475" i="3"/>
  <c r="AA476" i="3"/>
  <c r="AA477" i="3"/>
  <c r="AA478" i="3"/>
  <c r="AA479" i="3"/>
  <c r="AA483" i="3"/>
  <c r="AA485" i="3"/>
  <c r="AA486" i="3"/>
  <c r="AA487" i="3"/>
  <c r="AA491" i="3"/>
  <c r="AA493" i="3"/>
  <c r="AA494" i="3"/>
  <c r="AA495" i="3"/>
  <c r="AA499" i="3"/>
  <c r="AA500" i="3"/>
  <c r="AA501" i="3"/>
  <c r="AA502" i="3"/>
  <c r="AA503" i="3"/>
  <c r="AA507" i="3"/>
  <c r="AA508" i="3"/>
  <c r="AA510" i="3"/>
  <c r="AA511" i="3"/>
  <c r="AA515" i="3"/>
  <c r="AA516" i="3"/>
  <c r="AA517" i="3"/>
  <c r="AA518" i="3"/>
  <c r="AA519" i="3"/>
  <c r="AA523" i="3"/>
  <c r="AA525" i="3"/>
  <c r="AA527" i="3"/>
  <c r="AB430" i="3"/>
  <c r="AB431" i="3"/>
  <c r="AB432" i="3"/>
  <c r="AB435" i="3"/>
  <c r="AB437" i="3"/>
  <c r="AB439" i="3"/>
  <c r="AB440" i="3"/>
  <c r="AB442" i="3"/>
  <c r="AB443" i="3"/>
  <c r="AB444" i="3"/>
  <c r="AB445" i="3"/>
  <c r="AB446" i="3"/>
  <c r="AB448" i="3"/>
  <c r="AB451" i="3"/>
  <c r="AB452" i="3"/>
  <c r="AB453" i="3"/>
  <c r="AB454" i="3"/>
  <c r="AB455" i="3"/>
  <c r="AB456" i="3"/>
  <c r="AB459" i="3"/>
  <c r="AB460" i="3"/>
  <c r="AB462" i="3"/>
  <c r="AB463" i="3"/>
  <c r="AB464" i="3"/>
  <c r="AB467" i="3"/>
  <c r="AB468" i="3"/>
  <c r="AB469" i="3"/>
  <c r="AB470" i="3"/>
  <c r="AB471" i="3"/>
  <c r="AB472" i="3"/>
  <c r="AB475" i="3"/>
  <c r="AB476" i="3"/>
  <c r="AB477" i="3"/>
  <c r="AB478" i="3"/>
  <c r="AB479" i="3"/>
  <c r="AB480" i="3"/>
  <c r="AB483" i="3"/>
  <c r="AB484" i="3"/>
  <c r="AB485" i="3"/>
  <c r="AB486" i="3"/>
  <c r="AB487" i="3"/>
  <c r="AB488" i="3"/>
  <c r="AB491" i="3"/>
  <c r="AB493" i="3"/>
  <c r="AB494" i="3"/>
  <c r="AB495" i="3"/>
  <c r="AB496" i="3"/>
  <c r="AB499" i="3"/>
  <c r="AB500" i="3"/>
  <c r="AB501" i="3"/>
  <c r="AB502" i="3"/>
  <c r="AB503" i="3"/>
  <c r="AB504" i="3"/>
  <c r="AB506" i="3"/>
  <c r="AB507" i="3"/>
  <c r="AB508" i="3"/>
  <c r="AB509" i="3"/>
  <c r="AB510" i="3"/>
  <c r="AB511" i="3"/>
  <c r="AB512" i="3"/>
  <c r="AB515" i="3"/>
  <c r="AB516" i="3"/>
  <c r="AB517" i="3"/>
  <c r="AB518" i="3"/>
  <c r="AB519" i="3"/>
  <c r="AB523" i="3"/>
  <c r="AB524" i="3"/>
  <c r="AB525" i="3"/>
  <c r="AB528" i="3"/>
  <c r="AC430" i="3"/>
  <c r="AC431" i="3"/>
  <c r="AC432" i="3"/>
  <c r="AC435" i="3"/>
  <c r="AC436" i="3"/>
  <c r="AC437" i="3"/>
  <c r="AC438" i="3"/>
  <c r="AC439" i="3"/>
  <c r="AC440" i="3"/>
  <c r="AC442" i="3"/>
  <c r="AC443" i="3"/>
  <c r="AC444" i="3"/>
  <c r="AC445" i="3"/>
  <c r="AC446" i="3"/>
  <c r="AC447" i="3"/>
  <c r="AC448" i="3"/>
  <c r="AC451" i="3"/>
  <c r="AC452" i="3"/>
  <c r="AC453" i="3"/>
  <c r="AC454" i="3"/>
  <c r="AC456" i="3"/>
  <c r="AC459" i="3"/>
  <c r="AC460" i="3"/>
  <c r="AC461" i="3"/>
  <c r="AC462" i="3"/>
  <c r="AC463" i="3"/>
  <c r="AC464" i="3"/>
  <c r="AC467" i="3"/>
  <c r="AC468" i="3"/>
  <c r="AC469" i="3"/>
  <c r="AC470" i="3"/>
  <c r="AC471" i="3"/>
  <c r="AC472" i="3"/>
  <c r="AC475" i="3"/>
  <c r="AC476" i="3"/>
  <c r="AC477" i="3"/>
  <c r="AC478" i="3"/>
  <c r="AC479" i="3"/>
  <c r="AC483" i="3"/>
  <c r="AC484" i="3"/>
  <c r="AC485" i="3"/>
  <c r="AC486" i="3"/>
  <c r="AC488"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1" i="3"/>
  <c r="AC522" i="3"/>
  <c r="AC523" i="3"/>
  <c r="AC524" i="3"/>
  <c r="AC525" i="3"/>
  <c r="AC526" i="3"/>
  <c r="AC527" i="3"/>
  <c r="AC528" i="3"/>
  <c r="AC529" i="3"/>
  <c r="AC530" i="3"/>
  <c r="AD432" i="3"/>
  <c r="AD435" i="3"/>
  <c r="AD436" i="3"/>
  <c r="AD437" i="3"/>
  <c r="AD438" i="3"/>
  <c r="AD440" i="3"/>
  <c r="AD443" i="3"/>
  <c r="AD444" i="3"/>
  <c r="AD445" i="3"/>
  <c r="AD446" i="3"/>
  <c r="AD448" i="3"/>
  <c r="AD451" i="3"/>
  <c r="AD452" i="3"/>
  <c r="AD453" i="3"/>
  <c r="AD454" i="3"/>
  <c r="AD456" i="3"/>
  <c r="AD459" i="3"/>
  <c r="AD460" i="3"/>
  <c r="AD461" i="3"/>
  <c r="AD462" i="3"/>
  <c r="AD464" i="3"/>
  <c r="AD467" i="3"/>
  <c r="AD468" i="3"/>
  <c r="AD469" i="3"/>
  <c r="AD470" i="3"/>
  <c r="AD472" i="3"/>
  <c r="AD475" i="3"/>
  <c r="AD476" i="3"/>
  <c r="AD477" i="3"/>
  <c r="AD478" i="3"/>
  <c r="AD480" i="3"/>
  <c r="AD483" i="3"/>
  <c r="AD484" i="3"/>
  <c r="AD485" i="3"/>
  <c r="AD486" i="3"/>
  <c r="AD491" i="3"/>
  <c r="AD492" i="3"/>
  <c r="AD493" i="3"/>
  <c r="AD494" i="3"/>
  <c r="AD499" i="3"/>
  <c r="AD500" i="3"/>
  <c r="AD501" i="3"/>
  <c r="AD502" i="3"/>
  <c r="AD504" i="3"/>
  <c r="AD507" i="3"/>
  <c r="AD508" i="3"/>
  <c r="AD509" i="3"/>
  <c r="AD510" i="3"/>
  <c r="AD512" i="3"/>
  <c r="AD515" i="3"/>
  <c r="AD516" i="3"/>
  <c r="AD517" i="3"/>
  <c r="AD518" i="3"/>
  <c r="AD523" i="3"/>
  <c r="AD524" i="3"/>
  <c r="AD525" i="3"/>
  <c r="AD528" i="3"/>
  <c r="AE430" i="3"/>
  <c r="AE431" i="3"/>
  <c r="AE432" i="3"/>
  <c r="AE433" i="3"/>
  <c r="AE434" i="3"/>
  <c r="AE435" i="3"/>
  <c r="AE437" i="3"/>
  <c r="AE438" i="3"/>
  <c r="AE439" i="3"/>
  <c r="AE440" i="3"/>
  <c r="AE441" i="3"/>
  <c r="AE442" i="3"/>
  <c r="AE443" i="3"/>
  <c r="AE444" i="3"/>
  <c r="AE445" i="3"/>
  <c r="AE446" i="3"/>
  <c r="AE447" i="3"/>
  <c r="AE448" i="3"/>
  <c r="AE449" i="3"/>
  <c r="AE450" i="3"/>
  <c r="AE451" i="3"/>
  <c r="AE453" i="3"/>
  <c r="AE455" i="3"/>
  <c r="AE456" i="3"/>
  <c r="AE458" i="3"/>
  <c r="AE459" i="3"/>
  <c r="AE460" i="3"/>
  <c r="AE461" i="3"/>
  <c r="AE462" i="3"/>
  <c r="AE463" i="3"/>
  <c r="AE464" i="3"/>
  <c r="AE465" i="3"/>
  <c r="AE467" i="3"/>
  <c r="AE468" i="3"/>
  <c r="AE469" i="3"/>
  <c r="AE470" i="3"/>
  <c r="AE471" i="3"/>
  <c r="AE472" i="3"/>
  <c r="AE473" i="3"/>
  <c r="AE474" i="3"/>
  <c r="AE475" i="3"/>
  <c r="AE476" i="3"/>
  <c r="AE479" i="3"/>
  <c r="AE480" i="3"/>
  <c r="AE481" i="3"/>
  <c r="AE482" i="3"/>
  <c r="AE483" i="3"/>
  <c r="AE484" i="3"/>
  <c r="AE485" i="3"/>
  <c r="AE486" i="3"/>
  <c r="AE487" i="3"/>
  <c r="AE488" i="3"/>
  <c r="AE489" i="3"/>
  <c r="AE490" i="3"/>
  <c r="AE491" i="3"/>
  <c r="AE493" i="3"/>
  <c r="AE494" i="3"/>
  <c r="AE495" i="3"/>
  <c r="AE497" i="3"/>
  <c r="AE498" i="3"/>
  <c r="AE499" i="3"/>
  <c r="AE500" i="3"/>
  <c r="AE501" i="3"/>
  <c r="AE502" i="3"/>
  <c r="AE503" i="3"/>
  <c r="AE504" i="3"/>
  <c r="AE505" i="3"/>
  <c r="AE507" i="3"/>
  <c r="AE510" i="3"/>
  <c r="AE511" i="3"/>
  <c r="AE513" i="3"/>
  <c r="AE515" i="3"/>
  <c r="AE517" i="3"/>
  <c r="AE518" i="3"/>
  <c r="AE519" i="3"/>
  <c r="AE521" i="3"/>
  <c r="AE523" i="3"/>
  <c r="AE525" i="3"/>
  <c r="AE526" i="3"/>
  <c r="AE527" i="3"/>
  <c r="AE528" i="3"/>
  <c r="AE529" i="3"/>
  <c r="AE530" i="3"/>
  <c r="AI430" i="3"/>
  <c r="AI431" i="3"/>
  <c r="AI432" i="3"/>
  <c r="AI435" i="3"/>
  <c r="AI436" i="3"/>
  <c r="AI437" i="3"/>
  <c r="AI438" i="3"/>
  <c r="AI439" i="3"/>
  <c r="AI440" i="3"/>
  <c r="AI443" i="3"/>
  <c r="AI444" i="3"/>
  <c r="AI445" i="3"/>
  <c r="AI446" i="3"/>
  <c r="AI447" i="3"/>
  <c r="AI448" i="3"/>
  <c r="AI451" i="3"/>
  <c r="AI452" i="3"/>
  <c r="AI453" i="3"/>
  <c r="AI454" i="3"/>
  <c r="AI455" i="3"/>
  <c r="AI456" i="3"/>
  <c r="AI459" i="3"/>
  <c r="AI460" i="3"/>
  <c r="AI461" i="3"/>
  <c r="AI462" i="3"/>
  <c r="AI463" i="3"/>
  <c r="AI464" i="3"/>
  <c r="AI467" i="3"/>
  <c r="AI468" i="3"/>
  <c r="AI469" i="3"/>
  <c r="AI470" i="3"/>
  <c r="AI471" i="3"/>
  <c r="AI472" i="3"/>
  <c r="AI475" i="3"/>
  <c r="AI476" i="3"/>
  <c r="AI477" i="3"/>
  <c r="AI478" i="3"/>
  <c r="AI479" i="3"/>
  <c r="AI480" i="3"/>
  <c r="AI483" i="3"/>
  <c r="AI484" i="3"/>
  <c r="AI485" i="3"/>
  <c r="AI486" i="3"/>
  <c r="AI487" i="3"/>
  <c r="AI488" i="3"/>
  <c r="AI491" i="3"/>
  <c r="AI492" i="3"/>
  <c r="AI493" i="3"/>
  <c r="AI494" i="3"/>
  <c r="AI495" i="3"/>
  <c r="AI496" i="3"/>
  <c r="AI499" i="3"/>
  <c r="AI500" i="3"/>
  <c r="AI501" i="3"/>
  <c r="AI502" i="3"/>
  <c r="AI503" i="3"/>
  <c r="AI504" i="3"/>
  <c r="AI507" i="3"/>
  <c r="AI508" i="3"/>
  <c r="AI509" i="3"/>
  <c r="AI510" i="3"/>
  <c r="AI511" i="3"/>
  <c r="AI512" i="3"/>
  <c r="AI515" i="3"/>
  <c r="AI516" i="3"/>
  <c r="AI517" i="3"/>
  <c r="AI518" i="3"/>
  <c r="AI519" i="3"/>
  <c r="AI520" i="3"/>
  <c r="AI523" i="3"/>
  <c r="AI524" i="3"/>
  <c r="AI525" i="3"/>
  <c r="AI526" i="3"/>
  <c r="AI527" i="3"/>
  <c r="AI528" i="3"/>
  <c r="P430" i="2"/>
  <c r="X430" i="2" s="1"/>
  <c r="P431" i="2"/>
  <c r="T431" i="2" s="1"/>
  <c r="P432" i="2"/>
  <c r="P433" i="2"/>
  <c r="P434" i="2"/>
  <c r="Y434" i="2" s="1"/>
  <c r="P435" i="2"/>
  <c r="V435" i="2" s="1"/>
  <c r="P436" i="2"/>
  <c r="P437" i="2"/>
  <c r="P438" i="2"/>
  <c r="AA438" i="2" s="1"/>
  <c r="P439" i="2"/>
  <c r="P440" i="2"/>
  <c r="P441" i="2"/>
  <c r="Q441" i="2" s="1"/>
  <c r="P442" i="2"/>
  <c r="S442" i="2" s="1"/>
  <c r="P443" i="2"/>
  <c r="V443" i="2" s="1"/>
  <c r="P444" i="2"/>
  <c r="T444" i="2" s="1"/>
  <c r="P445" i="2"/>
  <c r="P446" i="2"/>
  <c r="U446" i="2" s="1"/>
  <c r="P447" i="2"/>
  <c r="P448" i="2"/>
  <c r="AI448" i="2" s="1"/>
  <c r="P449" i="2"/>
  <c r="AC449" i="2" s="1"/>
  <c r="P450" i="2"/>
  <c r="AC450" i="2" s="1"/>
  <c r="P451" i="2"/>
  <c r="AE451" i="2" s="1"/>
  <c r="P452" i="2"/>
  <c r="T452" i="2" s="1"/>
  <c r="P453" i="2"/>
  <c r="P454" i="2"/>
  <c r="V454" i="2" s="1"/>
  <c r="P455" i="2"/>
  <c r="P456" i="2"/>
  <c r="Z456" i="2" s="1"/>
  <c r="P457" i="2"/>
  <c r="Y457" i="2" s="1"/>
  <c r="P458" i="2"/>
  <c r="V458" i="2" s="1"/>
  <c r="P459" i="2"/>
  <c r="AI459" i="2" s="1"/>
  <c r="P460" i="2"/>
  <c r="P461" i="2"/>
  <c r="P462" i="2"/>
  <c r="P463" i="2"/>
  <c r="P464" i="2"/>
  <c r="AA464" i="2" s="1"/>
  <c r="P465" i="2"/>
  <c r="P466" i="2"/>
  <c r="X466" i="2" s="1"/>
  <c r="P467" i="2"/>
  <c r="P468" i="2"/>
  <c r="AB468" i="2" s="1"/>
  <c r="P469" i="2"/>
  <c r="P470" i="2"/>
  <c r="Q470" i="2" s="1"/>
  <c r="P471" i="2"/>
  <c r="X471" i="2" s="1"/>
  <c r="P472" i="2"/>
  <c r="P473" i="2"/>
  <c r="V473" i="2" s="1"/>
  <c r="P474" i="2"/>
  <c r="V474" i="2" s="1"/>
  <c r="P475" i="2"/>
  <c r="AE475" i="2" s="1"/>
  <c r="P476" i="2"/>
  <c r="AB476" i="2" s="1"/>
  <c r="P477" i="2"/>
  <c r="P478" i="2"/>
  <c r="P479" i="2"/>
  <c r="P480" i="2"/>
  <c r="W480" i="2" s="1"/>
  <c r="P481" i="2"/>
  <c r="P482" i="2"/>
  <c r="Y482" i="2" s="1"/>
  <c r="P483" i="2"/>
  <c r="Y483" i="2" s="1"/>
  <c r="P484" i="2"/>
  <c r="AB484" i="2" s="1"/>
  <c r="P485" i="2"/>
  <c r="P486" i="2"/>
  <c r="AD486" i="2" s="1"/>
  <c r="P487" i="2"/>
  <c r="P488" i="2"/>
  <c r="S488" i="2" s="1"/>
  <c r="P489" i="2"/>
  <c r="AC489" i="2" s="1"/>
  <c r="P490" i="2"/>
  <c r="Q490" i="2" s="1"/>
  <c r="P491" i="2"/>
  <c r="V491" i="2" s="1"/>
  <c r="P492" i="2"/>
  <c r="AB492" i="2" s="1"/>
  <c r="P493" i="2"/>
  <c r="P494" i="2"/>
  <c r="P495" i="2"/>
  <c r="AA495" i="2" s="1"/>
  <c r="P496" i="2"/>
  <c r="P497" i="2"/>
  <c r="Q497" i="2" s="1"/>
  <c r="P498" i="2"/>
  <c r="X498" i="2" s="1"/>
  <c r="P499" i="2"/>
  <c r="V499" i="2" s="1"/>
  <c r="P500" i="2"/>
  <c r="T500" i="2" s="1"/>
  <c r="P501" i="2"/>
  <c r="P502" i="2"/>
  <c r="P503" i="2"/>
  <c r="P504" i="2"/>
  <c r="P505" i="2"/>
  <c r="V505" i="2" s="1"/>
  <c r="P506" i="2"/>
  <c r="S506" i="2" s="1"/>
  <c r="P507" i="2"/>
  <c r="AI507" i="2" s="1"/>
  <c r="P508" i="2"/>
  <c r="T508" i="2" s="1"/>
  <c r="P509" i="2"/>
  <c r="P510" i="2"/>
  <c r="P511" i="2"/>
  <c r="S511" i="2" s="1"/>
  <c r="P512" i="2"/>
  <c r="P513" i="2"/>
  <c r="V513" i="2" s="1"/>
  <c r="P514" i="2"/>
  <c r="AB514" i="2" s="1"/>
  <c r="P515" i="2"/>
  <c r="V515" i="2" s="1"/>
  <c r="P516" i="2"/>
  <c r="AB516" i="2" s="1"/>
  <c r="P517" i="2"/>
  <c r="Q517" i="2" s="1"/>
  <c r="AB517" i="2" s="1"/>
  <c r="P518" i="2"/>
  <c r="P519" i="2"/>
  <c r="Z519" i="2" s="1"/>
  <c r="P520" i="2"/>
  <c r="Q520" i="2" s="1"/>
  <c r="W520" i="2" s="1"/>
  <c r="P521" i="2"/>
  <c r="P522" i="2"/>
  <c r="S522" i="2" s="1"/>
  <c r="P523" i="2"/>
  <c r="P524" i="2"/>
  <c r="AB524" i="2" s="1"/>
  <c r="P525" i="2"/>
  <c r="Q525" i="2" s="1"/>
  <c r="P526" i="2"/>
  <c r="P527" i="2"/>
  <c r="Q527" i="2" s="1"/>
  <c r="P528" i="2"/>
  <c r="T528" i="2" s="1"/>
  <c r="P529" i="2"/>
  <c r="P530" i="2"/>
  <c r="AI530" i="2" s="1"/>
  <c r="Q430" i="2"/>
  <c r="Q438" i="2"/>
  <c r="Q446" i="2"/>
  <c r="Q449" i="2"/>
  <c r="Q458" i="2"/>
  <c r="AB458" i="2" s="1"/>
  <c r="Q462" i="2"/>
  <c r="Q478" i="2"/>
  <c r="Q481" i="2"/>
  <c r="Q482" i="2"/>
  <c r="Q486" i="2"/>
  <c r="Q502" i="2"/>
  <c r="Q512" i="2"/>
  <c r="U512" i="2" s="1"/>
  <c r="Q514" i="2"/>
  <c r="Q518" i="2"/>
  <c r="S430" i="2"/>
  <c r="S432" i="2"/>
  <c r="S438" i="2"/>
  <c r="S445" i="2"/>
  <c r="S457" i="2"/>
  <c r="S458" i="2"/>
  <c r="S461" i="2"/>
  <c r="S462" i="2"/>
  <c r="S469" i="2"/>
  <c r="S470" i="2"/>
  <c r="S472" i="2"/>
  <c r="S473" i="2"/>
  <c r="S474" i="2"/>
  <c r="S478" i="2"/>
  <c r="S485" i="2"/>
  <c r="S486" i="2"/>
  <c r="S490" i="2"/>
  <c r="S493" i="2"/>
  <c r="S494" i="2"/>
  <c r="S501" i="2"/>
  <c r="S509" i="2"/>
  <c r="S517" i="2"/>
  <c r="S518" i="2"/>
  <c r="T434" i="2"/>
  <c r="T437" i="2"/>
  <c r="T446" i="2"/>
  <c r="T454" i="2"/>
  <c r="T461" i="2"/>
  <c r="T462" i="2"/>
  <c r="T464" i="2"/>
  <c r="T470" i="2"/>
  <c r="T478" i="2"/>
  <c r="T479" i="2"/>
  <c r="T484" i="2"/>
  <c r="T486" i="2"/>
  <c r="T490" i="2"/>
  <c r="T502" i="2"/>
  <c r="T509" i="2"/>
  <c r="T512" i="2"/>
  <c r="T513" i="2"/>
  <c r="T514" i="2"/>
  <c r="T517" i="2"/>
  <c r="T524" i="2"/>
  <c r="T525" i="2"/>
  <c r="T530" i="2"/>
  <c r="U437" i="2"/>
  <c r="U438" i="2"/>
  <c r="U454" i="2"/>
  <c r="U456" i="2"/>
  <c r="U457" i="2"/>
  <c r="U458" i="2"/>
  <c r="U470" i="2"/>
  <c r="U485" i="2"/>
  <c r="U488" i="2"/>
  <c r="U490" i="2"/>
  <c r="U494" i="2"/>
  <c r="U501" i="2"/>
  <c r="U502" i="2"/>
  <c r="U506" i="2"/>
  <c r="U510" i="2"/>
  <c r="U517" i="2"/>
  <c r="U518" i="2"/>
  <c r="U525" i="2"/>
  <c r="V430" i="2"/>
  <c r="V433" i="2"/>
  <c r="V437" i="2"/>
  <c r="V438" i="2"/>
  <c r="V445" i="2"/>
  <c r="V446" i="2"/>
  <c r="V448" i="2"/>
  <c r="V449" i="2"/>
  <c r="V453" i="2"/>
  <c r="V461" i="2"/>
  <c r="V462" i="2"/>
  <c r="V469" i="2"/>
  <c r="V470" i="2"/>
  <c r="V477" i="2"/>
  <c r="V485" i="2"/>
  <c r="V488" i="2"/>
  <c r="V498" i="2"/>
  <c r="V501" i="2"/>
  <c r="V509" i="2"/>
  <c r="V510" i="2"/>
  <c r="V517" i="2"/>
  <c r="V525" i="2"/>
  <c r="V528" i="2"/>
  <c r="V529" i="2"/>
  <c r="V530" i="2"/>
  <c r="W430" i="2"/>
  <c r="W437" i="2"/>
  <c r="W438" i="2"/>
  <c r="W442" i="2"/>
  <c r="W446" i="2"/>
  <c r="W450" i="2"/>
  <c r="W453" i="2"/>
  <c r="W454" i="2"/>
  <c r="W462" i="2"/>
  <c r="W464" i="2"/>
  <c r="W465" i="2"/>
  <c r="W466" i="2"/>
  <c r="W469" i="2"/>
  <c r="W470" i="2"/>
  <c r="W477" i="2"/>
  <c r="W478" i="2"/>
  <c r="W482" i="2"/>
  <c r="W486" i="2"/>
  <c r="W493" i="2"/>
  <c r="W494" i="2"/>
  <c r="W495" i="2"/>
  <c r="W502" i="2"/>
  <c r="W505" i="2"/>
  <c r="W506" i="2"/>
  <c r="W510" i="2"/>
  <c r="W517" i="2"/>
  <c r="W518" i="2"/>
  <c r="W522" i="2"/>
  <c r="W525" i="2"/>
  <c r="W526" i="2"/>
  <c r="X437" i="2"/>
  <c r="X440" i="2"/>
  <c r="X446" i="2"/>
  <c r="X447" i="2"/>
  <c r="X453" i="2"/>
  <c r="X461" i="2"/>
  <c r="X462" i="2"/>
  <c r="X477" i="2"/>
  <c r="X478" i="2"/>
  <c r="X480" i="2"/>
  <c r="X482" i="2"/>
  <c r="X490" i="2"/>
  <c r="X493" i="2"/>
  <c r="X494" i="2"/>
  <c r="X502" i="2"/>
  <c r="X505" i="2"/>
  <c r="X509" i="2"/>
  <c r="X510" i="2"/>
  <c r="X518" i="2"/>
  <c r="X525" i="2"/>
  <c r="X526" i="2"/>
  <c r="Y430" i="2"/>
  <c r="Y437" i="2"/>
  <c r="Y438" i="2"/>
  <c r="Y445" i="2"/>
  <c r="Y446" i="2"/>
  <c r="Y454" i="2"/>
  <c r="Y458" i="2"/>
  <c r="Y459" i="2"/>
  <c r="Y461" i="2"/>
  <c r="Y462" i="2"/>
  <c r="Y469" i="2"/>
  <c r="Y470" i="2"/>
  <c r="Y475" i="2"/>
  <c r="Y478" i="2"/>
  <c r="Y485" i="2"/>
  <c r="Y486" i="2"/>
  <c r="Y493" i="2"/>
  <c r="Y496" i="2"/>
  <c r="Y498" i="2"/>
  <c r="Y501" i="2"/>
  <c r="Y502" i="2"/>
  <c r="Y507" i="2"/>
  <c r="Y509" i="2"/>
  <c r="Y510" i="2"/>
  <c r="Y517" i="2"/>
  <c r="Y518" i="2"/>
  <c r="Y525" i="2"/>
  <c r="Y529" i="2"/>
  <c r="Y530" i="2"/>
  <c r="Z430" i="2"/>
  <c r="Z438" i="2"/>
  <c r="Z442" i="2"/>
  <c r="Z445" i="2"/>
  <c r="Z446" i="2"/>
  <c r="Z453" i="2"/>
  <c r="Z454" i="2"/>
  <c r="Z458" i="2"/>
  <c r="Z461" i="2"/>
  <c r="Z469" i="2"/>
  <c r="Z470" i="2"/>
  <c r="Z477" i="2"/>
  <c r="Z478" i="2"/>
  <c r="Z485" i="2"/>
  <c r="Z486" i="2"/>
  <c r="Z493" i="2"/>
  <c r="Z502" i="2"/>
  <c r="Z504" i="2"/>
  <c r="Z505" i="2"/>
  <c r="Z510" i="2"/>
  <c r="Z517" i="2"/>
  <c r="Z518" i="2"/>
  <c r="Z522" i="2"/>
  <c r="Z526" i="2"/>
  <c r="Z530" i="2"/>
  <c r="AA430" i="2"/>
  <c r="AA446" i="2"/>
  <c r="AA448" i="2"/>
  <c r="AA450" i="2"/>
  <c r="AA461" i="2"/>
  <c r="AA462" i="2"/>
  <c r="AA474" i="2"/>
  <c r="AA477" i="2"/>
  <c r="AA478" i="2"/>
  <c r="AA486" i="2"/>
  <c r="AA490" i="2"/>
  <c r="AA494" i="2"/>
  <c r="AA501" i="2"/>
  <c r="AA502" i="2"/>
  <c r="AA510" i="2"/>
  <c r="AA512" i="2"/>
  <c r="AA517" i="2"/>
  <c r="AA518" i="2"/>
  <c r="AA525" i="2"/>
  <c r="AA529" i="2"/>
  <c r="AB430" i="2"/>
  <c r="AB437" i="2"/>
  <c r="AB438" i="2"/>
  <c r="AB456" i="2"/>
  <c r="AB457" i="2"/>
  <c r="AB460" i="2"/>
  <c r="AB461" i="2"/>
  <c r="AB469" i="2"/>
  <c r="AB470" i="2"/>
  <c r="AB478" i="2"/>
  <c r="AB485" i="2"/>
  <c r="AB486" i="2"/>
  <c r="AB500" i="2"/>
  <c r="AB501" i="2"/>
  <c r="AB502" i="2"/>
  <c r="AB506" i="2"/>
  <c r="AB508" i="2"/>
  <c r="AB509" i="2"/>
  <c r="AB522" i="2"/>
  <c r="AB525" i="2"/>
  <c r="AB526" i="2"/>
  <c r="AC437" i="2"/>
  <c r="AC445" i="2"/>
  <c r="AC446" i="2"/>
  <c r="AC461" i="2"/>
  <c r="AC462" i="2"/>
  <c r="AC466" i="2"/>
  <c r="AC469" i="2"/>
  <c r="AC470" i="2"/>
  <c r="AC477" i="2"/>
  <c r="AC478" i="2"/>
  <c r="AC480" i="2"/>
  <c r="AC481" i="2"/>
  <c r="AC482" i="2"/>
  <c r="AC486" i="2"/>
  <c r="AC506" i="2"/>
  <c r="AC509" i="2"/>
  <c r="AC510" i="2"/>
  <c r="AC517" i="2"/>
  <c r="AC522" i="2"/>
  <c r="AC525" i="2"/>
  <c r="AC526" i="2"/>
  <c r="AD437" i="2"/>
  <c r="AD443" i="2"/>
  <c r="AD445" i="2"/>
  <c r="AD461" i="2"/>
  <c r="AD462" i="2"/>
  <c r="AD469" i="2"/>
  <c r="AD470" i="2"/>
  <c r="AD478" i="2"/>
  <c r="AD480" i="2"/>
  <c r="AD482" i="2"/>
  <c r="AD485" i="2"/>
  <c r="AD493" i="2"/>
  <c r="AD494" i="2"/>
  <c r="AD502" i="2"/>
  <c r="AD509" i="2"/>
  <c r="AD514" i="2"/>
  <c r="AD518" i="2"/>
  <c r="AD525" i="2"/>
  <c r="AD530" i="2"/>
  <c r="AE430" i="2"/>
  <c r="AE437" i="2"/>
  <c r="AE438" i="2"/>
  <c r="AE445" i="2"/>
  <c r="AE446" i="2"/>
  <c r="AE447" i="2"/>
  <c r="AE459" i="2"/>
  <c r="AE461" i="2"/>
  <c r="AE462" i="2"/>
  <c r="AE469" i="2"/>
  <c r="AE470" i="2"/>
  <c r="AE474" i="2"/>
  <c r="AE477" i="2"/>
  <c r="AE478" i="2"/>
  <c r="AE485" i="2"/>
  <c r="AE490" i="2"/>
  <c r="AE491" i="2"/>
  <c r="AE493" i="2"/>
  <c r="AE501" i="2"/>
  <c r="AE502" i="2"/>
  <c r="AE517" i="2"/>
  <c r="AE518" i="2"/>
  <c r="AE526" i="2"/>
  <c r="AE530" i="2"/>
  <c r="AI430" i="2"/>
  <c r="AI436" i="2"/>
  <c r="AI437" i="2"/>
  <c r="AI438" i="2"/>
  <c r="AI440" i="2"/>
  <c r="AI444" i="2"/>
  <c r="AI445" i="2"/>
  <c r="AI446" i="2"/>
  <c r="AI452" i="2"/>
  <c r="AI453" i="2"/>
  <c r="AI454" i="2"/>
  <c r="AI460" i="2"/>
  <c r="AI461" i="2"/>
  <c r="AI462" i="2"/>
  <c r="AI464" i="2"/>
  <c r="AI465" i="2"/>
  <c r="AI466" i="2"/>
  <c r="AI467" i="2"/>
  <c r="AI468" i="2"/>
  <c r="AI469" i="2"/>
  <c r="AI470" i="2"/>
  <c r="AI474" i="2"/>
  <c r="AI476" i="2"/>
  <c r="AI478" i="2"/>
  <c r="AI484" i="2"/>
  <c r="AI485" i="2"/>
  <c r="AI490" i="2"/>
  <c r="AI491" i="2"/>
  <c r="AI492" i="2"/>
  <c r="AI493" i="2"/>
  <c r="AI494" i="2"/>
  <c r="AI500" i="2"/>
  <c r="AI501" i="2"/>
  <c r="AI502" i="2"/>
  <c r="AI508" i="2"/>
  <c r="AI509" i="2"/>
  <c r="AI510" i="2"/>
  <c r="AI516" i="2"/>
  <c r="AI517" i="2"/>
  <c r="AI518" i="2"/>
  <c r="AI524" i="2"/>
  <c r="AI525" i="2"/>
  <c r="AI526" i="2"/>
  <c r="AL430" i="2"/>
  <c r="AL431" i="2"/>
  <c r="AL432" i="2"/>
  <c r="AL433" i="2"/>
  <c r="AL434" i="2"/>
  <c r="AL435" i="2"/>
  <c r="AL436" i="2"/>
  <c r="AL437" i="2"/>
  <c r="AL438" i="2"/>
  <c r="AL439" i="2"/>
  <c r="AL440" i="2"/>
  <c r="AL441" i="2"/>
  <c r="AL442" i="2"/>
  <c r="AL443" i="2"/>
  <c r="AL444" i="2"/>
  <c r="AL445" i="2"/>
  <c r="AL446" i="2"/>
  <c r="AL447" i="2"/>
  <c r="AL448" i="2"/>
  <c r="AL449" i="2"/>
  <c r="AL450" i="2"/>
  <c r="AL451" i="2"/>
  <c r="AL452" i="2"/>
  <c r="AL453" i="2"/>
  <c r="AL454" i="2"/>
  <c r="AL455" i="2"/>
  <c r="AL456" i="2"/>
  <c r="AL457" i="2"/>
  <c r="AL458" i="2"/>
  <c r="AL459" i="2"/>
  <c r="AL460" i="2"/>
  <c r="AL461" i="2"/>
  <c r="AL462" i="2"/>
  <c r="AL463" i="2"/>
  <c r="AL464" i="2"/>
  <c r="AL465" i="2"/>
  <c r="AL466" i="2"/>
  <c r="AL467" i="2"/>
  <c r="AL468" i="2"/>
  <c r="AL469" i="2"/>
  <c r="AL470" i="2"/>
  <c r="AL471" i="2"/>
  <c r="AL472" i="2"/>
  <c r="AL473" i="2"/>
  <c r="AL474" i="2"/>
  <c r="AL475" i="2"/>
  <c r="AL476" i="2"/>
  <c r="AL477" i="2"/>
  <c r="AL478" i="2"/>
  <c r="AL479" i="2"/>
  <c r="AL480" i="2"/>
  <c r="AL481" i="2"/>
  <c r="AL482" i="2"/>
  <c r="AL483" i="2"/>
  <c r="AL484" i="2"/>
  <c r="AL485" i="2"/>
  <c r="AL486" i="2"/>
  <c r="AL487" i="2"/>
  <c r="AL488" i="2"/>
  <c r="AL489" i="2"/>
  <c r="AL490" i="2"/>
  <c r="AL491" i="2"/>
  <c r="AL492" i="2"/>
  <c r="AL493" i="2"/>
  <c r="AL494" i="2"/>
  <c r="AL495" i="2"/>
  <c r="AL496" i="2"/>
  <c r="AL497" i="2"/>
  <c r="AL498" i="2"/>
  <c r="AL499" i="2"/>
  <c r="AL500" i="2"/>
  <c r="AL501" i="2"/>
  <c r="AL502" i="2"/>
  <c r="AL503" i="2"/>
  <c r="AL504" i="2"/>
  <c r="AL505" i="2"/>
  <c r="AL506" i="2"/>
  <c r="AL507" i="2"/>
  <c r="AL508" i="2"/>
  <c r="AL509" i="2"/>
  <c r="AL510" i="2"/>
  <c r="AL511" i="2"/>
  <c r="AL512" i="2"/>
  <c r="AL513" i="2"/>
  <c r="AL514" i="2"/>
  <c r="AL515" i="2"/>
  <c r="AL516" i="2"/>
  <c r="AL517" i="2"/>
  <c r="AL518" i="2"/>
  <c r="AL519" i="2"/>
  <c r="AL520" i="2"/>
  <c r="AL521" i="2"/>
  <c r="AL522" i="2"/>
  <c r="AL523" i="2"/>
  <c r="AL524" i="2"/>
  <c r="AL525" i="2"/>
  <c r="AL526" i="2"/>
  <c r="AL527" i="2"/>
  <c r="AL528" i="2"/>
  <c r="AL529" i="2"/>
  <c r="AL530" i="2"/>
  <c r="W521" i="2" l="1"/>
  <c r="X521" i="2"/>
  <c r="Q521" i="2"/>
  <c r="V521" i="2"/>
  <c r="AD521" i="2"/>
  <c r="T521" i="2"/>
  <c r="V465" i="2"/>
  <c r="AA465" i="2"/>
  <c r="Y465" i="2"/>
  <c r="Z465" i="2"/>
  <c r="AE465" i="2"/>
  <c r="AB465" i="2"/>
  <c r="U465" i="2"/>
  <c r="X529" i="2"/>
  <c r="U529" i="2"/>
  <c r="W529" i="2"/>
  <c r="AB529" i="2"/>
  <c r="AC529" i="2"/>
  <c r="S529" i="2"/>
  <c r="Z529" i="2"/>
  <c r="T481" i="2"/>
  <c r="X481" i="2"/>
  <c r="S481" i="2"/>
  <c r="U481" i="2"/>
  <c r="V481" i="2"/>
  <c r="Z481" i="2"/>
  <c r="AB481" i="2"/>
  <c r="Q433" i="2"/>
  <c r="U433" i="2" s="1"/>
  <c r="AE433" i="2"/>
  <c r="AI433" i="2"/>
  <c r="W433" i="2"/>
  <c r="AI513" i="2"/>
  <c r="AE505" i="2"/>
  <c r="Q504" i="2"/>
  <c r="X504" i="2" s="1"/>
  <c r="T504" i="2"/>
  <c r="W504" i="2"/>
  <c r="AC504" i="2"/>
  <c r="W472" i="2"/>
  <c r="T472" i="2"/>
  <c r="AC472" i="2"/>
  <c r="Q472" i="2"/>
  <c r="AA472" i="2" s="1"/>
  <c r="X472" i="2"/>
  <c r="T440" i="2"/>
  <c r="AD440" i="2"/>
  <c r="V440" i="2"/>
  <c r="AA440" i="2"/>
  <c r="S440" i="2"/>
  <c r="Z440" i="2"/>
  <c r="AI499" i="2"/>
  <c r="AE473" i="2"/>
  <c r="AE442" i="2"/>
  <c r="AD528" i="2"/>
  <c r="AD507" i="2"/>
  <c r="AD491" i="2"/>
  <c r="AD474" i="2"/>
  <c r="AD459" i="2"/>
  <c r="AD435" i="2"/>
  <c r="AC496" i="2"/>
  <c r="AC441" i="2"/>
  <c r="AB521" i="2"/>
  <c r="AB442" i="2"/>
  <c r="AA506" i="2"/>
  <c r="AA489" i="2"/>
  <c r="AA442" i="2"/>
  <c r="Z457" i="2"/>
  <c r="Z441" i="2"/>
  <c r="Y522" i="2"/>
  <c r="Y506" i="2"/>
  <c r="Y491" i="2"/>
  <c r="Y473" i="2"/>
  <c r="AH473" i="2" s="1"/>
  <c r="AJ473" i="2" s="1"/>
  <c r="X522" i="2"/>
  <c r="X434" i="2"/>
  <c r="W498" i="2"/>
  <c r="W441" i="2"/>
  <c r="U504" i="2"/>
  <c r="U474" i="2"/>
  <c r="T529" i="2"/>
  <c r="T482" i="2"/>
  <c r="T433" i="2"/>
  <c r="S448" i="2"/>
  <c r="Q530" i="2"/>
  <c r="Q498" i="2"/>
  <c r="AB498" i="2" s="1"/>
  <c r="Q474" i="2"/>
  <c r="X474" i="2" s="1"/>
  <c r="Q442" i="2"/>
  <c r="T503" i="2"/>
  <c r="AC503" i="2"/>
  <c r="X503" i="2"/>
  <c r="U487" i="2"/>
  <c r="Q487" i="2"/>
  <c r="AC487" i="2"/>
  <c r="S479" i="2"/>
  <c r="Y479" i="2"/>
  <c r="AD479" i="2"/>
  <c r="Q463" i="2"/>
  <c r="Z463" i="2" s="1"/>
  <c r="W463" i="2"/>
  <c r="Z455" i="2"/>
  <c r="T455" i="2"/>
  <c r="S447" i="2"/>
  <c r="U447" i="2"/>
  <c r="AE439" i="2"/>
  <c r="V439" i="2"/>
  <c r="U505" i="2"/>
  <c r="Y505" i="2"/>
  <c r="AA505" i="2"/>
  <c r="AB505" i="2"/>
  <c r="AI505" i="2"/>
  <c r="Q505" i="2"/>
  <c r="AC505" i="2" s="1"/>
  <c r="T505" i="2"/>
  <c r="T457" i="2"/>
  <c r="X457" i="2"/>
  <c r="AA457" i="2"/>
  <c r="W481" i="2"/>
  <c r="Y512" i="2"/>
  <c r="S512" i="2"/>
  <c r="AB512" i="2"/>
  <c r="AD512" i="2"/>
  <c r="Q480" i="2"/>
  <c r="AA480" i="2"/>
  <c r="U480" i="2"/>
  <c r="V480" i="2"/>
  <c r="Z480" i="2"/>
  <c r="AB480" i="2"/>
  <c r="AI480" i="2"/>
  <c r="Q464" i="2"/>
  <c r="AC464" i="2" s="1"/>
  <c r="S464" i="2"/>
  <c r="Y464" i="2"/>
  <c r="V464" i="2"/>
  <c r="U464" i="2"/>
  <c r="Q432" i="2"/>
  <c r="V432" i="2"/>
  <c r="Y432" i="2"/>
  <c r="AH432" i="2" s="1"/>
  <c r="AJ432" i="2" s="1"/>
  <c r="AB432" i="2"/>
  <c r="AE432" i="2"/>
  <c r="AI432" i="2"/>
  <c r="U432" i="2"/>
  <c r="W432" i="2"/>
  <c r="AI512" i="2"/>
  <c r="AI483" i="2"/>
  <c r="AI472" i="2"/>
  <c r="AE504" i="2"/>
  <c r="AE458" i="2"/>
  <c r="AC520" i="2"/>
  <c r="Z521" i="2"/>
  <c r="AI522" i="2"/>
  <c r="AI482" i="2"/>
  <c r="AI449" i="2"/>
  <c r="AE522" i="2"/>
  <c r="AE483" i="2"/>
  <c r="AE441" i="2"/>
  <c r="AD506" i="2"/>
  <c r="AD490" i="2"/>
  <c r="AD473" i="2"/>
  <c r="AD458" i="2"/>
  <c r="AD434" i="2"/>
  <c r="AC490" i="2"/>
  <c r="AC440" i="2"/>
  <c r="AB441" i="2"/>
  <c r="AA522" i="2"/>
  <c r="AA504" i="2"/>
  <c r="AA434" i="2"/>
  <c r="Z520" i="2"/>
  <c r="Z498" i="2"/>
  <c r="Z473" i="2"/>
  <c r="Y521" i="2"/>
  <c r="Y504" i="2"/>
  <c r="Y472" i="2"/>
  <c r="Y435" i="2"/>
  <c r="X520" i="2"/>
  <c r="X450" i="2"/>
  <c r="X433" i="2"/>
  <c r="W497" i="2"/>
  <c r="W457" i="2"/>
  <c r="W440" i="2"/>
  <c r="V520" i="2"/>
  <c r="V504" i="2"/>
  <c r="V483" i="2"/>
  <c r="U522" i="2"/>
  <c r="AH522" i="2" s="1"/>
  <c r="AJ522" i="2" s="1"/>
  <c r="U473" i="2"/>
  <c r="U450" i="2"/>
  <c r="T480" i="2"/>
  <c r="T432" i="2"/>
  <c r="Q529" i="2"/>
  <c r="Q466" i="2"/>
  <c r="AB497" i="2"/>
  <c r="AD497" i="2"/>
  <c r="AE497" i="2"/>
  <c r="S497" i="2"/>
  <c r="U497" i="2"/>
  <c r="AI497" i="2"/>
  <c r="V497" i="2"/>
  <c r="Z497" i="2"/>
  <c r="AI473" i="2"/>
  <c r="AE529" i="2"/>
  <c r="AC521" i="2"/>
  <c r="S449" i="2"/>
  <c r="S528" i="2"/>
  <c r="AH528" i="2" s="1"/>
  <c r="AJ528" i="2" s="1"/>
  <c r="Z528" i="2"/>
  <c r="U528" i="2"/>
  <c r="W528" i="2"/>
  <c r="AB528" i="2"/>
  <c r="AC528" i="2"/>
  <c r="Q528" i="2"/>
  <c r="AA528" i="2" s="1"/>
  <c r="Y528" i="2"/>
  <c r="AE528" i="2"/>
  <c r="W496" i="2"/>
  <c r="X496" i="2"/>
  <c r="S496" i="2"/>
  <c r="AI496" i="2"/>
  <c r="X456" i="2"/>
  <c r="T456" i="2"/>
  <c r="AA456" i="2"/>
  <c r="AD456" i="2"/>
  <c r="AE456" i="2"/>
  <c r="Q456" i="2"/>
  <c r="S456" i="2"/>
  <c r="V456" i="2"/>
  <c r="AH456" i="2" s="1"/>
  <c r="AJ456" i="2" s="1"/>
  <c r="Y456" i="2"/>
  <c r="AI521" i="2"/>
  <c r="AI481" i="2"/>
  <c r="AI435" i="2"/>
  <c r="AE521" i="2"/>
  <c r="AE482" i="2"/>
  <c r="AE450" i="2"/>
  <c r="AE440" i="2"/>
  <c r="AD520" i="2"/>
  <c r="AD505" i="2"/>
  <c r="AD450" i="2"/>
  <c r="AD433" i="2"/>
  <c r="AC512" i="2"/>
  <c r="AC456" i="2"/>
  <c r="AB490" i="2"/>
  <c r="AB440" i="2"/>
  <c r="AA521" i="2"/>
  <c r="AA482" i="2"/>
  <c r="AA433" i="2"/>
  <c r="Z472" i="2"/>
  <c r="Z433" i="2"/>
  <c r="Y520" i="2"/>
  <c r="Y450" i="2"/>
  <c r="X497" i="2"/>
  <c r="X449" i="2"/>
  <c r="X432" i="2"/>
  <c r="W513" i="2"/>
  <c r="W456" i="2"/>
  <c r="V459" i="2"/>
  <c r="U521" i="2"/>
  <c r="U472" i="2"/>
  <c r="U442" i="2"/>
  <c r="T497" i="2"/>
  <c r="T450" i="2"/>
  <c r="S530" i="2"/>
  <c r="S505" i="2"/>
  <c r="AH505" i="2" s="1"/>
  <c r="AJ505" i="2" s="1"/>
  <c r="S465" i="2"/>
  <c r="Q496" i="2"/>
  <c r="AB496" i="2" s="1"/>
  <c r="Q465" i="2"/>
  <c r="AD465" i="2" s="1"/>
  <c r="Q440" i="2"/>
  <c r="Y440" i="2" s="1"/>
  <c r="X441" i="2"/>
  <c r="AI441" i="2"/>
  <c r="T441" i="2"/>
  <c r="Y441" i="2"/>
  <c r="AD441" i="2"/>
  <c r="V441" i="2"/>
  <c r="AA441" i="2"/>
  <c r="AD529" i="2"/>
  <c r="AC497" i="2"/>
  <c r="AB473" i="2"/>
  <c r="U520" i="2"/>
  <c r="AA520" i="2"/>
  <c r="AB520" i="2"/>
  <c r="T520" i="2"/>
  <c r="Z488" i="2"/>
  <c r="W488" i="2"/>
  <c r="Y488" i="2"/>
  <c r="Q488" i="2"/>
  <c r="AC488" i="2" s="1"/>
  <c r="X488" i="2"/>
  <c r="AD488" i="2"/>
  <c r="AE488" i="2"/>
  <c r="AI488" i="2"/>
  <c r="T488" i="2"/>
  <c r="AH488" i="2" s="1"/>
  <c r="AJ488" i="2" s="1"/>
  <c r="AA488" i="2"/>
  <c r="Q448" i="2"/>
  <c r="U448" i="2"/>
  <c r="W448" i="2"/>
  <c r="AB448" i="2"/>
  <c r="AI520" i="2"/>
  <c r="AI458" i="2"/>
  <c r="AE520" i="2"/>
  <c r="AE481" i="2"/>
  <c r="AE449" i="2"/>
  <c r="AD519" i="2"/>
  <c r="AD504" i="2"/>
  <c r="AH504" i="2" s="1"/>
  <c r="AJ504" i="2" s="1"/>
  <c r="AD483" i="2"/>
  <c r="AD449" i="2"/>
  <c r="AD432" i="2"/>
  <c r="AC433" i="2"/>
  <c r="AB488" i="2"/>
  <c r="AA481" i="2"/>
  <c r="AA458" i="2"/>
  <c r="AA432" i="2"/>
  <c r="Z490" i="2"/>
  <c r="Z432" i="2"/>
  <c r="Y449" i="2"/>
  <c r="Y433" i="2"/>
  <c r="X512" i="2"/>
  <c r="X448" i="2"/>
  <c r="W527" i="2"/>
  <c r="W512" i="2"/>
  <c r="U519" i="2"/>
  <c r="U441" i="2"/>
  <c r="T449" i="2"/>
  <c r="S504" i="2"/>
  <c r="S480" i="2"/>
  <c r="S441" i="2"/>
  <c r="AH441" i="2" s="1"/>
  <c r="AJ441" i="2" s="1"/>
  <c r="S489" i="2"/>
  <c r="AB489" i="2"/>
  <c r="W489" i="2"/>
  <c r="AH489" i="2" s="1"/>
  <c r="AJ489" i="2" s="1"/>
  <c r="Y489" i="2"/>
  <c r="Q489" i="2"/>
  <c r="X489" i="2"/>
  <c r="AD489" i="2"/>
  <c r="AE489" i="2"/>
  <c r="AI489" i="2"/>
  <c r="AI529" i="2"/>
  <c r="AI504" i="2"/>
  <c r="AI457" i="2"/>
  <c r="AE480" i="2"/>
  <c r="AE448" i="2"/>
  <c r="AD448" i="2"/>
  <c r="AC432" i="2"/>
  <c r="AA497" i="2"/>
  <c r="Z489" i="2"/>
  <c r="Z448" i="2"/>
  <c r="Y481" i="2"/>
  <c r="Y448" i="2"/>
  <c r="X465" i="2"/>
  <c r="V457" i="2"/>
  <c r="U440" i="2"/>
  <c r="T448" i="2"/>
  <c r="AH448" i="2" s="1"/>
  <c r="AJ448" i="2" s="1"/>
  <c r="S521" i="2"/>
  <c r="AH521" i="2" s="1"/>
  <c r="AJ521" i="2" s="1"/>
  <c r="Y523" i="2"/>
  <c r="AI523" i="2"/>
  <c r="V523" i="2"/>
  <c r="AD523" i="2"/>
  <c r="Y515" i="2"/>
  <c r="AI515" i="2"/>
  <c r="Y499" i="2"/>
  <c r="AE499" i="2"/>
  <c r="Y467" i="2"/>
  <c r="AD467" i="2"/>
  <c r="AE467" i="2"/>
  <c r="Y451" i="2"/>
  <c r="AI451" i="2"/>
  <c r="AE443" i="2"/>
  <c r="Y443" i="2"/>
  <c r="AI443" i="2"/>
  <c r="V489" i="2"/>
  <c r="U513" i="2"/>
  <c r="X513" i="2"/>
  <c r="AC513" i="2"/>
  <c r="Y513" i="2"/>
  <c r="AE513" i="2"/>
  <c r="S513" i="2"/>
  <c r="AH513" i="2" s="1"/>
  <c r="AJ513" i="2" s="1"/>
  <c r="Z513" i="2"/>
  <c r="AB513" i="2"/>
  <c r="AD513" i="2"/>
  <c r="W473" i="2"/>
  <c r="T473" i="2"/>
  <c r="AC473" i="2"/>
  <c r="Q473" i="2"/>
  <c r="X473" i="2"/>
  <c r="AA473" i="2"/>
  <c r="Z449" i="2"/>
  <c r="AB449" i="2"/>
  <c r="U449" i="2"/>
  <c r="W449" i="2"/>
  <c r="AI528" i="2"/>
  <c r="AI475" i="2"/>
  <c r="AI456" i="2"/>
  <c r="AD515" i="2"/>
  <c r="AD481" i="2"/>
  <c r="AD464" i="2"/>
  <c r="AC448" i="2"/>
  <c r="AB504" i="2"/>
  <c r="AA513" i="2"/>
  <c r="AA496" i="2"/>
  <c r="AA449" i="2"/>
  <c r="Z464" i="2"/>
  <c r="Y497" i="2"/>
  <c r="Y480" i="2"/>
  <c r="X528" i="2"/>
  <c r="X464" i="2"/>
  <c r="V512" i="2"/>
  <c r="V472" i="2"/>
  <c r="U489" i="2"/>
  <c r="T489" i="2"/>
  <c r="S520" i="2"/>
  <c r="AH520" i="2" s="1"/>
  <c r="AJ520" i="2" s="1"/>
  <c r="S433" i="2"/>
  <c r="Q513" i="2"/>
  <c r="Q457" i="2"/>
  <c r="AD457" i="2" s="1"/>
  <c r="AA530" i="2"/>
  <c r="X530" i="2"/>
  <c r="U530" i="2"/>
  <c r="W530" i="2"/>
  <c r="AB530" i="2"/>
  <c r="AC530" i="2"/>
  <c r="Q522" i="2"/>
  <c r="V522" i="2"/>
  <c r="AD522" i="2"/>
  <c r="T522" i="2"/>
  <c r="S514" i="2"/>
  <c r="V514" i="2"/>
  <c r="Z514" i="2"/>
  <c r="W514" i="2"/>
  <c r="AA514" i="2"/>
  <c r="AI514" i="2"/>
  <c r="U514" i="2"/>
  <c r="X514" i="2"/>
  <c r="AC514" i="2"/>
  <c r="Y514" i="2"/>
  <c r="AE514" i="2"/>
  <c r="X506" i="2"/>
  <c r="V506" i="2"/>
  <c r="AI506" i="2"/>
  <c r="Q506" i="2"/>
  <c r="T506" i="2"/>
  <c r="AA498" i="2"/>
  <c r="AD498" i="2"/>
  <c r="AE498" i="2"/>
  <c r="S498" i="2"/>
  <c r="U498" i="2"/>
  <c r="AI498" i="2"/>
  <c r="V490" i="2"/>
  <c r="W490" i="2"/>
  <c r="AH490" i="2" s="1"/>
  <c r="AJ490" i="2" s="1"/>
  <c r="Y490" i="2"/>
  <c r="S482" i="2"/>
  <c r="U482" i="2"/>
  <c r="V482" i="2"/>
  <c r="Z482" i="2"/>
  <c r="AB482" i="2"/>
  <c r="Y474" i="2"/>
  <c r="Z474" i="2"/>
  <c r="AB474" i="2"/>
  <c r="W474" i="2"/>
  <c r="T474" i="2"/>
  <c r="AH474" i="2" s="1"/>
  <c r="AJ474" i="2" s="1"/>
  <c r="AC474" i="2"/>
  <c r="T466" i="2"/>
  <c r="S466" i="2"/>
  <c r="V466" i="2"/>
  <c r="Y466" i="2"/>
  <c r="Z466" i="2"/>
  <c r="AD466" i="2"/>
  <c r="AE466" i="2"/>
  <c r="AB466" i="2"/>
  <c r="W458" i="2"/>
  <c r="AC458" i="2"/>
  <c r="T458" i="2"/>
  <c r="X458" i="2"/>
  <c r="AH458" i="2" s="1"/>
  <c r="AJ458" i="2" s="1"/>
  <c r="S450" i="2"/>
  <c r="AH450" i="2" s="1"/>
  <c r="AJ450" i="2" s="1"/>
  <c r="Q450" i="2"/>
  <c r="V450" i="2"/>
  <c r="Z450" i="2"/>
  <c r="AI450" i="2"/>
  <c r="AB450" i="2"/>
  <c r="V442" i="2"/>
  <c r="Y442" i="2"/>
  <c r="AC442" i="2"/>
  <c r="X442" i="2"/>
  <c r="AH442" i="2" s="1"/>
  <c r="AJ442" i="2" s="1"/>
  <c r="AI442" i="2"/>
  <c r="T442" i="2"/>
  <c r="AD442" i="2"/>
  <c r="U434" i="2"/>
  <c r="W434" i="2"/>
  <c r="S434" i="2"/>
  <c r="Z434" i="2"/>
  <c r="Q434" i="2"/>
  <c r="V434" i="2" s="1"/>
  <c r="AE434" i="2"/>
  <c r="AI434" i="2"/>
  <c r="Q526" i="2"/>
  <c r="V526" i="2"/>
  <c r="Y526" i="2"/>
  <c r="Q510" i="2"/>
  <c r="T510" i="2"/>
  <c r="S502" i="2"/>
  <c r="V502" i="2"/>
  <c r="AH502" i="2" s="1"/>
  <c r="AJ502" i="2" s="1"/>
  <c r="Q494" i="2"/>
  <c r="AE494" i="2" s="1"/>
  <c r="Y494" i="2"/>
  <c r="U478" i="2"/>
  <c r="AH478" i="2" s="1"/>
  <c r="AJ478" i="2" s="1"/>
  <c r="V478" i="2"/>
  <c r="U462" i="2"/>
  <c r="Z462" i="2"/>
  <c r="AB462" i="2"/>
  <c r="S526" i="2"/>
  <c r="S454" i="2"/>
  <c r="Q454" i="2"/>
  <c r="Q509" i="2"/>
  <c r="W509" i="2"/>
  <c r="Q501" i="2"/>
  <c r="T501" i="2" s="1"/>
  <c r="Z501" i="2"/>
  <c r="Q493" i="2"/>
  <c r="T493" i="2"/>
  <c r="U493" i="2"/>
  <c r="AA493" i="2"/>
  <c r="Q485" i="2"/>
  <c r="W485" i="2"/>
  <c r="Q477" i="2"/>
  <c r="U477" i="2" s="1"/>
  <c r="S477" i="2"/>
  <c r="Q469" i="2"/>
  <c r="T469" i="2" s="1"/>
  <c r="X469" i="2"/>
  <c r="Q461" i="2"/>
  <c r="W461" i="2"/>
  <c r="Q453" i="2"/>
  <c r="T453" i="2" s="1"/>
  <c r="Y453" i="2"/>
  <c r="AA453" i="2"/>
  <c r="Q445" i="2"/>
  <c r="X445" i="2"/>
  <c r="Q437" i="2"/>
  <c r="S437" i="2"/>
  <c r="Z437" i="2"/>
  <c r="AI486" i="2"/>
  <c r="AI477" i="2"/>
  <c r="AE525" i="2"/>
  <c r="AE510" i="2"/>
  <c r="AE486" i="2"/>
  <c r="AE454" i="2"/>
  <c r="AD510" i="2"/>
  <c r="AD477" i="2"/>
  <c r="AD454" i="2"/>
  <c r="AC502" i="2"/>
  <c r="AC485" i="2"/>
  <c r="AB510" i="2"/>
  <c r="AB445" i="2"/>
  <c r="AA485" i="2"/>
  <c r="AH485" i="2" s="1"/>
  <c r="AJ485" i="2" s="1"/>
  <c r="AA470" i="2"/>
  <c r="AA454" i="2"/>
  <c r="AA437" i="2"/>
  <c r="Z525" i="2"/>
  <c r="Z509" i="2"/>
  <c r="Z494" i="2"/>
  <c r="Y477" i="2"/>
  <c r="X501" i="2"/>
  <c r="X485" i="2"/>
  <c r="X470" i="2"/>
  <c r="AH470" i="2" s="1"/>
  <c r="AJ470" i="2" s="1"/>
  <c r="X454" i="2"/>
  <c r="W501" i="2"/>
  <c r="W445" i="2"/>
  <c r="W431" i="2"/>
  <c r="V494" i="2"/>
  <c r="U461" i="2"/>
  <c r="AH461" i="2" s="1"/>
  <c r="AJ461" i="2" s="1"/>
  <c r="U430" i="2"/>
  <c r="T485" i="2"/>
  <c r="T438" i="2"/>
  <c r="S525" i="2"/>
  <c r="S510" i="2"/>
  <c r="AH510" i="2" s="1"/>
  <c r="AJ510" i="2" s="1"/>
  <c r="S453" i="2"/>
  <c r="AE527" i="2"/>
  <c r="AD487" i="2"/>
  <c r="AH487" i="2" s="1"/>
  <c r="AJ487" i="2" s="1"/>
  <c r="AC463" i="2"/>
  <c r="AC439" i="2"/>
  <c r="AB527" i="2"/>
  <c r="AB503" i="2"/>
  <c r="AB479" i="2"/>
  <c r="AA503" i="2"/>
  <c r="AA471" i="2"/>
  <c r="Z527" i="2"/>
  <c r="Z495" i="2"/>
  <c r="Z431" i="2"/>
  <c r="Y487" i="2"/>
  <c r="X479" i="2"/>
  <c r="V447" i="2"/>
  <c r="U495" i="2"/>
  <c r="T511" i="2"/>
  <c r="T498" i="2"/>
  <c r="T487" i="2"/>
  <c r="S519" i="2"/>
  <c r="S487" i="2"/>
  <c r="S455" i="2"/>
  <c r="Q511" i="2"/>
  <c r="AC511" i="2" s="1"/>
  <c r="Q447" i="2"/>
  <c r="AE503" i="2"/>
  <c r="AE455" i="2"/>
  <c r="AD527" i="2"/>
  <c r="AD495" i="2"/>
  <c r="AC498" i="2"/>
  <c r="AA447" i="2"/>
  <c r="AH462" i="2"/>
  <c r="AJ462" i="2" s="1"/>
  <c r="Y495" i="2"/>
  <c r="Y431" i="2"/>
  <c r="X511" i="2"/>
  <c r="X455" i="2"/>
  <c r="W503" i="2"/>
  <c r="AH503" i="2" s="1"/>
  <c r="AJ503" i="2" s="1"/>
  <c r="W471" i="2"/>
  <c r="W439" i="2"/>
  <c r="V479" i="2"/>
  <c r="T463" i="2"/>
  <c r="S431" i="2"/>
  <c r="Q471" i="2"/>
  <c r="V471" i="2" s="1"/>
  <c r="AD431" i="2"/>
  <c r="AC447" i="2"/>
  <c r="AC434" i="2"/>
  <c r="AB487" i="2"/>
  <c r="AA479" i="2"/>
  <c r="Z503" i="2"/>
  <c r="Z471" i="2"/>
  <c r="Z439" i="2"/>
  <c r="Y503" i="2"/>
  <c r="Y439" i="2"/>
  <c r="X431" i="2"/>
  <c r="V455" i="2"/>
  <c r="U527" i="2"/>
  <c r="U503" i="2"/>
  <c r="AH480" i="2"/>
  <c r="AJ480" i="2" s="1"/>
  <c r="U455" i="2"/>
  <c r="U431" i="2"/>
  <c r="S527" i="2"/>
  <c r="S495" i="2"/>
  <c r="S463" i="2"/>
  <c r="Q495" i="2"/>
  <c r="AC495" i="2" s="1"/>
  <c r="Q431" i="2"/>
  <c r="AI527" i="2"/>
  <c r="AI519" i="2"/>
  <c r="AI511" i="2"/>
  <c r="AI503" i="2"/>
  <c r="AI495" i="2"/>
  <c r="AI487" i="2"/>
  <c r="AI479" i="2"/>
  <c r="AI471" i="2"/>
  <c r="AI463" i="2"/>
  <c r="AI455" i="2"/>
  <c r="AI447" i="2"/>
  <c r="AI439" i="2"/>
  <c r="AI431" i="2"/>
  <c r="AE512" i="2"/>
  <c r="AA511" i="2"/>
  <c r="AA455" i="2"/>
  <c r="AA431" i="2"/>
  <c r="Z512" i="2"/>
  <c r="Y511" i="2"/>
  <c r="Y447" i="2"/>
  <c r="X487" i="2"/>
  <c r="W511" i="2"/>
  <c r="W479" i="2"/>
  <c r="W447" i="2"/>
  <c r="V519" i="2"/>
  <c r="V487" i="2"/>
  <c r="U479" i="2"/>
  <c r="T495" i="2"/>
  <c r="S439" i="2"/>
  <c r="Q519" i="2"/>
  <c r="AE519" i="2" s="1"/>
  <c r="Q455" i="2"/>
  <c r="AE511" i="2"/>
  <c r="AE471" i="2"/>
  <c r="AE431" i="2"/>
  <c r="AD503" i="2"/>
  <c r="AD439" i="2"/>
  <c r="AC519" i="2"/>
  <c r="AB447" i="2"/>
  <c r="AA487" i="2"/>
  <c r="Z511" i="2"/>
  <c r="Z479" i="2"/>
  <c r="Z447" i="2"/>
  <c r="Y519" i="2"/>
  <c r="Y455" i="2"/>
  <c r="X519" i="2"/>
  <c r="V527" i="2"/>
  <c r="U463" i="2"/>
  <c r="T471" i="2"/>
  <c r="T447" i="2"/>
  <c r="S503" i="2"/>
  <c r="S471" i="2"/>
  <c r="Q479" i="2"/>
  <c r="AE479" i="2"/>
  <c r="AD511" i="2"/>
  <c r="AD471" i="2"/>
  <c r="AC479" i="2"/>
  <c r="AB471" i="2"/>
  <c r="AA463" i="2"/>
  <c r="Y527" i="2"/>
  <c r="Y463" i="2"/>
  <c r="X495" i="2"/>
  <c r="AH449" i="2"/>
  <c r="AJ449" i="2" s="1"/>
  <c r="X439" i="2"/>
  <c r="W519" i="2"/>
  <c r="W487" i="2"/>
  <c r="W455" i="2"/>
  <c r="V495" i="2"/>
  <c r="U511" i="2"/>
  <c r="Q503" i="2"/>
  <c r="Q439" i="2"/>
  <c r="U439" i="2" s="1"/>
  <c r="AE487" i="2"/>
  <c r="AD447" i="2"/>
  <c r="AC527" i="2"/>
  <c r="AC455" i="2"/>
  <c r="AB519" i="2"/>
  <c r="Z487" i="2"/>
  <c r="Y471" i="2"/>
  <c r="X527" i="2"/>
  <c r="V503" i="2"/>
  <c r="AS483" i="6"/>
  <c r="AO475" i="6"/>
  <c r="AN467" i="6"/>
  <c r="AM523" i="6"/>
  <c r="AM459" i="6"/>
  <c r="AL515" i="6"/>
  <c r="AL451" i="6"/>
  <c r="AK507" i="6"/>
  <c r="AK443" i="6"/>
  <c r="AJ499" i="6"/>
  <c r="AJ435" i="6"/>
  <c r="AI491" i="6"/>
  <c r="AH483" i="6"/>
  <c r="AG483" i="6"/>
  <c r="AG451" i="6"/>
  <c r="AF499" i="6"/>
  <c r="AE491" i="6"/>
  <c r="AD483" i="6"/>
  <c r="AC475" i="6"/>
  <c r="AC435" i="6"/>
  <c r="AB523" i="6"/>
  <c r="AA491" i="6"/>
  <c r="AA475" i="6"/>
  <c r="AA435" i="6"/>
  <c r="Y475" i="6"/>
  <c r="V499" i="6"/>
  <c r="AC499" i="6" s="1"/>
  <c r="V459" i="6"/>
  <c r="AS499" i="6"/>
  <c r="AS435" i="6"/>
  <c r="AO491" i="6"/>
  <c r="AN483" i="6"/>
  <c r="AM475" i="6"/>
  <c r="AL467" i="6"/>
  <c r="AK523" i="6"/>
  <c r="AK459" i="6"/>
  <c r="AJ515" i="6"/>
  <c r="AJ451" i="6"/>
  <c r="AI507" i="6"/>
  <c r="AI498" i="6"/>
  <c r="AI443" i="6"/>
  <c r="AH499" i="6"/>
  <c r="AH435" i="6"/>
  <c r="AG491" i="6"/>
  <c r="AG471" i="6"/>
  <c r="AG459" i="6"/>
  <c r="AF507" i="6"/>
  <c r="AF451" i="6"/>
  <c r="AE475" i="6"/>
  <c r="AD499" i="6"/>
  <c r="AD435" i="6"/>
  <c r="AC459" i="6"/>
  <c r="AC445" i="6"/>
  <c r="AB498" i="6"/>
  <c r="AA515" i="6"/>
  <c r="AA459" i="6"/>
  <c r="AA443" i="6"/>
  <c r="Z443" i="6"/>
  <c r="Y483" i="6"/>
  <c r="X475" i="6"/>
  <c r="X435" i="6"/>
  <c r="V523" i="6"/>
  <c r="AL523" i="6" s="1"/>
  <c r="V483" i="6"/>
  <c r="Z483" i="6" s="1"/>
  <c r="V443" i="6"/>
  <c r="AS507" i="6"/>
  <c r="AS443" i="6"/>
  <c r="AO499" i="6"/>
  <c r="AO435" i="6"/>
  <c r="AN491" i="6"/>
  <c r="AM483" i="6"/>
  <c r="AR474" i="6"/>
  <c r="AT474" i="6" s="1"/>
  <c r="AL475" i="6"/>
  <c r="AK467" i="6"/>
  <c r="AJ459" i="6"/>
  <c r="AR525" i="6"/>
  <c r="AT525" i="6" s="1"/>
  <c r="AI515" i="6"/>
  <c r="AR461" i="6"/>
  <c r="AT461" i="6" s="1"/>
  <c r="AI451" i="6"/>
  <c r="AH507" i="6"/>
  <c r="AH443" i="6"/>
  <c r="AG499" i="6"/>
  <c r="AF483" i="6"/>
  <c r="AE499" i="6"/>
  <c r="AE435" i="6"/>
  <c r="AD443" i="6"/>
  <c r="AC443" i="6"/>
  <c r="AB507" i="6"/>
  <c r="AB483" i="6"/>
  <c r="AA499" i="6"/>
  <c r="Z515" i="6"/>
  <c r="Z459" i="6"/>
  <c r="Y515" i="6"/>
  <c r="Y459" i="6"/>
  <c r="X515" i="6"/>
  <c r="V467" i="6"/>
  <c r="AJ467" i="6" s="1"/>
  <c r="AS515" i="6"/>
  <c r="AS451" i="6"/>
  <c r="AO507" i="6"/>
  <c r="AO471" i="6"/>
  <c r="AO443" i="6"/>
  <c r="AN499" i="6"/>
  <c r="AN445" i="6"/>
  <c r="AN435" i="6"/>
  <c r="AM491" i="6"/>
  <c r="AL483" i="6"/>
  <c r="AK475" i="6"/>
  <c r="AI523" i="6"/>
  <c r="AI459" i="6"/>
  <c r="AH515" i="6"/>
  <c r="AH451" i="6"/>
  <c r="AG507" i="6"/>
  <c r="AG467" i="6"/>
  <c r="AG435" i="6"/>
  <c r="AF515" i="6"/>
  <c r="AF435" i="6"/>
  <c r="AE523" i="6"/>
  <c r="AE498" i="6"/>
  <c r="AE459" i="6"/>
  <c r="AD515" i="6"/>
  <c r="AD451" i="6"/>
  <c r="AC523" i="6"/>
  <c r="AB459" i="6"/>
  <c r="AA498" i="6"/>
  <c r="AA483" i="6"/>
  <c r="Z491" i="6"/>
  <c r="Z475" i="6"/>
  <c r="Z458" i="6"/>
  <c r="Y491" i="6"/>
  <c r="AR491" i="6" s="1"/>
  <c r="AT491" i="6" s="1"/>
  <c r="X499" i="6"/>
  <c r="X459" i="6"/>
  <c r="V507" i="6"/>
  <c r="AJ507" i="6" s="1"/>
  <c r="AS523" i="6"/>
  <c r="AS459" i="6"/>
  <c r="AO515" i="6"/>
  <c r="AN507" i="6"/>
  <c r="AN443" i="6"/>
  <c r="AM499" i="6"/>
  <c r="AM435" i="6"/>
  <c r="AL491" i="6"/>
  <c r="AK483" i="6"/>
  <c r="AJ475" i="6"/>
  <c r="AI467" i="6"/>
  <c r="AH523" i="6"/>
  <c r="AH459" i="6"/>
  <c r="AG515" i="6"/>
  <c r="AF491" i="6"/>
  <c r="AF459" i="6"/>
  <c r="AE483" i="6"/>
  <c r="AE458" i="6"/>
  <c r="AD523" i="6"/>
  <c r="AD459" i="6"/>
  <c r="AC467" i="6"/>
  <c r="AB515" i="6"/>
  <c r="AB435" i="6"/>
  <c r="AA467" i="6"/>
  <c r="Y523" i="6"/>
  <c r="Y435" i="6"/>
  <c r="X443" i="6"/>
  <c r="V491" i="6"/>
  <c r="V451" i="6"/>
  <c r="Z451" i="6" s="1"/>
  <c r="AS467" i="6"/>
  <c r="AO523" i="6"/>
  <c r="AO459" i="6"/>
  <c r="AN515" i="6"/>
  <c r="AM507" i="6"/>
  <c r="AM443" i="6"/>
  <c r="AL499" i="6"/>
  <c r="AL435" i="6"/>
  <c r="AK491" i="6"/>
  <c r="AJ483" i="6"/>
  <c r="AI475" i="6"/>
  <c r="AH467" i="6"/>
  <c r="AG523" i="6"/>
  <c r="AG475" i="6"/>
  <c r="AG443" i="6"/>
  <c r="AF523" i="6"/>
  <c r="AE507" i="6"/>
  <c r="AE443" i="6"/>
  <c r="AD467" i="6"/>
  <c r="AB491" i="6"/>
  <c r="AA523" i="6"/>
  <c r="AA507" i="6"/>
  <c r="AA451" i="6"/>
  <c r="Z507" i="6"/>
  <c r="Z435" i="6"/>
  <c r="Y467" i="6"/>
  <c r="X483" i="6"/>
  <c r="V435" i="6"/>
  <c r="AS475" i="6"/>
  <c r="AO467" i="6"/>
  <c r="AN523" i="6"/>
  <c r="AM515" i="6"/>
  <c r="AM451" i="6"/>
  <c r="AL507" i="6"/>
  <c r="AL443" i="6"/>
  <c r="AK499" i="6"/>
  <c r="AJ491" i="6"/>
  <c r="AH475" i="6"/>
  <c r="AF467" i="6"/>
  <c r="AF443" i="6"/>
  <c r="AD475" i="6"/>
  <c r="AC451" i="6"/>
  <c r="AB467" i="6"/>
  <c r="AB443" i="6"/>
  <c r="AG474" i="4"/>
  <c r="AC530" i="4"/>
  <c r="AC466" i="4"/>
  <c r="AB522" i="4"/>
  <c r="AB458" i="4"/>
  <c r="AA514" i="4"/>
  <c r="AA450" i="4"/>
  <c r="Z506" i="4"/>
  <c r="Z442" i="4"/>
  <c r="Y498" i="4"/>
  <c r="Y434" i="4"/>
  <c r="W514" i="4"/>
  <c r="W450" i="4"/>
  <c r="V506" i="4"/>
  <c r="V442" i="4"/>
  <c r="AF484" i="4"/>
  <c r="AH484" i="4" s="1"/>
  <c r="U434" i="4"/>
  <c r="AF502" i="4"/>
  <c r="AH502" i="4" s="1"/>
  <c r="S490" i="4"/>
  <c r="AF438" i="4"/>
  <c r="AH438" i="4" s="1"/>
  <c r="R527" i="4"/>
  <c r="R506" i="4"/>
  <c r="AF506" i="4" s="1"/>
  <c r="AH506" i="4" s="1"/>
  <c r="R474" i="4"/>
  <c r="R442" i="4"/>
  <c r="AF442" i="4" s="1"/>
  <c r="AH442" i="4" s="1"/>
  <c r="P482" i="4"/>
  <c r="T482" i="4" s="1"/>
  <c r="AF515" i="4"/>
  <c r="AH515" i="4" s="1"/>
  <c r="AG490" i="4"/>
  <c r="AC482" i="4"/>
  <c r="AA530" i="4"/>
  <c r="AA466" i="4"/>
  <c r="Z522" i="4"/>
  <c r="Z467" i="4"/>
  <c r="Z458" i="4"/>
  <c r="Y514" i="4"/>
  <c r="AF496" i="4"/>
  <c r="AH496" i="4" s="1"/>
  <c r="Y450" i="4"/>
  <c r="AF432" i="4"/>
  <c r="AH432" i="4" s="1"/>
  <c r="W530" i="4"/>
  <c r="AF530" i="4" s="1"/>
  <c r="AH530" i="4" s="1"/>
  <c r="W466" i="4"/>
  <c r="V522" i="4"/>
  <c r="V458" i="4"/>
  <c r="U482" i="4"/>
  <c r="AF468" i="4"/>
  <c r="AH468" i="4" s="1"/>
  <c r="AF486" i="4"/>
  <c r="AH486" i="4" s="1"/>
  <c r="S474" i="4"/>
  <c r="R514" i="4"/>
  <c r="R482" i="4"/>
  <c r="P530" i="4"/>
  <c r="P466" i="4"/>
  <c r="T466" i="4" s="1"/>
  <c r="AG498" i="4"/>
  <c r="AG434" i="4"/>
  <c r="AC490" i="4"/>
  <c r="AB482" i="4"/>
  <c r="AA474" i="4"/>
  <c r="Z530" i="4"/>
  <c r="Y522" i="4"/>
  <c r="AF504" i="4"/>
  <c r="AH504" i="4" s="1"/>
  <c r="Y458" i="4"/>
  <c r="AF440" i="4"/>
  <c r="AH440" i="4" s="1"/>
  <c r="W474" i="4"/>
  <c r="V530" i="4"/>
  <c r="V466" i="4"/>
  <c r="U506" i="4"/>
  <c r="AF492" i="4"/>
  <c r="AH492" i="4" s="1"/>
  <c r="U480" i="4"/>
  <c r="AF480" i="4" s="1"/>
  <c r="AH480" i="4" s="1"/>
  <c r="U442" i="4"/>
  <c r="T530" i="4"/>
  <c r="T498" i="4"/>
  <c r="T434" i="4"/>
  <c r="AF510" i="4"/>
  <c r="AH510" i="4" s="1"/>
  <c r="AF446" i="4"/>
  <c r="AH446" i="4" s="1"/>
  <c r="S434" i="4"/>
  <c r="AF523" i="4"/>
  <c r="AH523" i="4" s="1"/>
  <c r="AF491" i="4"/>
  <c r="AH491" i="4" s="1"/>
  <c r="AF459" i="4"/>
  <c r="AH459" i="4" s="1"/>
  <c r="P490" i="4"/>
  <c r="AG506" i="4"/>
  <c r="AG442" i="4"/>
  <c r="AC434" i="4"/>
  <c r="AB518" i="4"/>
  <c r="AF518" i="4" s="1"/>
  <c r="AH518" i="4" s="1"/>
  <c r="AB490" i="4"/>
  <c r="AA482" i="4"/>
  <c r="Z474" i="4"/>
  <c r="Y530" i="4"/>
  <c r="AF512" i="4"/>
  <c r="AH512" i="4" s="1"/>
  <c r="Y466" i="4"/>
  <c r="AF448" i="4"/>
  <c r="AH448" i="4" s="1"/>
  <c r="X467" i="4"/>
  <c r="W482" i="4"/>
  <c r="V474" i="4"/>
  <c r="U530" i="4"/>
  <c r="AF516" i="4"/>
  <c r="AH516" i="4" s="1"/>
  <c r="U466" i="4"/>
  <c r="AF452" i="4"/>
  <c r="AH452" i="4" s="1"/>
  <c r="S522" i="4"/>
  <c r="AF470" i="4"/>
  <c r="AH470" i="4" s="1"/>
  <c r="S458" i="4"/>
  <c r="R522" i="4"/>
  <c r="AF522" i="4" s="1"/>
  <c r="AH522" i="4" s="1"/>
  <c r="R490" i="4"/>
  <c r="R458" i="4"/>
  <c r="AF458" i="4" s="1"/>
  <c r="AH458" i="4" s="1"/>
  <c r="P514" i="4"/>
  <c r="Z514" i="4" s="1"/>
  <c r="P450" i="4"/>
  <c r="S450" i="4" s="1"/>
  <c r="S447" i="4"/>
  <c r="AF462" i="4"/>
  <c r="AH462" i="4" s="1"/>
  <c r="AF483" i="4"/>
  <c r="AH483" i="4" s="1"/>
  <c r="AG514" i="4"/>
  <c r="AG450" i="4"/>
  <c r="AC506" i="4"/>
  <c r="AC442" i="4"/>
  <c r="AB498" i="4"/>
  <c r="AB434" i="4"/>
  <c r="AA490" i="4"/>
  <c r="Z482" i="4"/>
  <c r="AF520" i="4"/>
  <c r="AH520" i="4" s="1"/>
  <c r="Y474" i="4"/>
  <c r="AF456" i="4"/>
  <c r="AH456" i="4" s="1"/>
  <c r="X530" i="4"/>
  <c r="X522" i="4"/>
  <c r="X506" i="4"/>
  <c r="X498" i="4"/>
  <c r="X490" i="4"/>
  <c r="X482" i="4"/>
  <c r="X474" i="4"/>
  <c r="X466" i="4"/>
  <c r="X458" i="4"/>
  <c r="X450" i="4"/>
  <c r="X442" i="4"/>
  <c r="X434" i="4"/>
  <c r="W490" i="4"/>
  <c r="V482" i="4"/>
  <c r="U490" i="4"/>
  <c r="AF476" i="4"/>
  <c r="AH476" i="4" s="1"/>
  <c r="T506" i="4"/>
  <c r="T474" i="4"/>
  <c r="T442" i="4"/>
  <c r="AF494" i="4"/>
  <c r="AH494" i="4" s="1"/>
  <c r="S482" i="4"/>
  <c r="AF430" i="4"/>
  <c r="AH430" i="4" s="1"/>
  <c r="AF499" i="4"/>
  <c r="AH499" i="4" s="1"/>
  <c r="AF467" i="4"/>
  <c r="AH467" i="4" s="1"/>
  <c r="AF435" i="4"/>
  <c r="AH435" i="4" s="1"/>
  <c r="P474" i="4"/>
  <c r="AB474" i="4" s="1"/>
  <c r="AF451" i="4"/>
  <c r="AH451" i="4" s="1"/>
  <c r="AG522" i="4"/>
  <c r="AG458" i="4"/>
  <c r="AC514" i="4"/>
  <c r="AC450" i="4"/>
  <c r="AB506" i="4"/>
  <c r="AB442" i="4"/>
  <c r="AA498" i="4"/>
  <c r="AA480" i="4"/>
  <c r="AA434" i="4"/>
  <c r="Z490" i="4"/>
  <c r="AF528" i="4"/>
  <c r="AH528" i="4" s="1"/>
  <c r="Y482" i="4"/>
  <c r="AF464" i="4"/>
  <c r="AH464" i="4" s="1"/>
  <c r="W498" i="4"/>
  <c r="W434" i="4"/>
  <c r="V490" i="4"/>
  <c r="U514" i="4"/>
  <c r="AF500" i="4"/>
  <c r="AH500" i="4" s="1"/>
  <c r="U450" i="4"/>
  <c r="AF436" i="4"/>
  <c r="AH436" i="4" s="1"/>
  <c r="S506" i="4"/>
  <c r="AF454" i="4"/>
  <c r="AH454" i="4" s="1"/>
  <c r="S442" i="4"/>
  <c r="R530" i="4"/>
  <c r="R498" i="4"/>
  <c r="R466" i="4"/>
  <c r="R434" i="4"/>
  <c r="P498" i="4"/>
  <c r="S498" i="4" s="1"/>
  <c r="P434" i="4"/>
  <c r="AF526" i="4"/>
  <c r="AH526" i="4" s="1"/>
  <c r="AG530" i="4"/>
  <c r="AG466" i="4"/>
  <c r="AC522" i="4"/>
  <c r="AC458" i="4"/>
  <c r="AB514" i="4"/>
  <c r="AB450" i="4"/>
  <c r="AA506" i="4"/>
  <c r="AA442" i="4"/>
  <c r="Z498" i="4"/>
  <c r="Z434" i="4"/>
  <c r="AF472" i="4"/>
  <c r="AH472" i="4" s="1"/>
  <c r="AF524" i="4"/>
  <c r="AH524" i="4" s="1"/>
  <c r="AF460" i="4"/>
  <c r="AH460" i="4" s="1"/>
  <c r="AF478" i="4"/>
  <c r="AH478" i="4" s="1"/>
  <c r="AF507" i="4"/>
  <c r="AH507" i="4" s="1"/>
  <c r="AF475" i="4"/>
  <c r="AH475" i="4" s="1"/>
  <c r="AF443" i="4"/>
  <c r="AH443" i="4" s="1"/>
  <c r="R466" i="23"/>
  <c r="AB466" i="23" s="1"/>
  <c r="AD466" i="23" s="1"/>
  <c r="W466" i="23"/>
  <c r="Y466" i="23"/>
  <c r="Q434" i="23"/>
  <c r="R434" i="23"/>
  <c r="W434" i="23"/>
  <c r="AC472" i="23"/>
  <c r="Y488" i="23"/>
  <c r="X480" i="23"/>
  <c r="AB527" i="23"/>
  <c r="AD527" i="23" s="1"/>
  <c r="W472" i="23"/>
  <c r="AB463" i="23"/>
  <c r="AD463" i="23" s="1"/>
  <c r="V528" i="23"/>
  <c r="V520" i="23"/>
  <c r="V512" i="23"/>
  <c r="V504" i="23"/>
  <c r="V496" i="23"/>
  <c r="V488" i="23"/>
  <c r="V480" i="23"/>
  <c r="V472" i="23"/>
  <c r="V464" i="23"/>
  <c r="V456" i="23"/>
  <c r="V448" i="23"/>
  <c r="V440" i="23"/>
  <c r="V432" i="23"/>
  <c r="AB497" i="23"/>
  <c r="AD497" i="23" s="1"/>
  <c r="U488" i="23"/>
  <c r="AB433" i="23"/>
  <c r="AD433" i="23" s="1"/>
  <c r="AB526" i="23"/>
  <c r="AD526" i="23" s="1"/>
  <c r="T480" i="23"/>
  <c r="AB462" i="23"/>
  <c r="AD462" i="23" s="1"/>
  <c r="AB499" i="23"/>
  <c r="AD499" i="23" s="1"/>
  <c r="S472" i="23"/>
  <c r="AB435" i="23"/>
  <c r="AD435" i="23" s="1"/>
  <c r="R528" i="23"/>
  <c r="R464" i="23"/>
  <c r="R455" i="23"/>
  <c r="Q520" i="23"/>
  <c r="AB493" i="23"/>
  <c r="AD493" i="23" s="1"/>
  <c r="Q456" i="23"/>
  <c r="AB530" i="23"/>
  <c r="AD530" i="23" s="1"/>
  <c r="P512" i="23"/>
  <c r="P448" i="23"/>
  <c r="AC480" i="23"/>
  <c r="Y496" i="23"/>
  <c r="Y487" i="23"/>
  <c r="Y432" i="23"/>
  <c r="X488" i="23"/>
  <c r="W480" i="23"/>
  <c r="AB471" i="23"/>
  <c r="AD471" i="23" s="1"/>
  <c r="AB505" i="23"/>
  <c r="AD505" i="23" s="1"/>
  <c r="U496" i="23"/>
  <c r="AB441" i="23"/>
  <c r="AD441" i="23" s="1"/>
  <c r="U432" i="23"/>
  <c r="T488" i="23"/>
  <c r="AB470" i="23"/>
  <c r="AD470" i="23" s="1"/>
  <c r="AB507" i="23"/>
  <c r="AD507" i="23" s="1"/>
  <c r="S480" i="23"/>
  <c r="AB443" i="23"/>
  <c r="AD443" i="23" s="1"/>
  <c r="R472" i="23"/>
  <c r="Q528" i="23"/>
  <c r="AB501" i="23"/>
  <c r="AD501" i="23" s="1"/>
  <c r="Q464" i="23"/>
  <c r="AB437" i="23"/>
  <c r="AD437" i="23" s="1"/>
  <c r="P520" i="23"/>
  <c r="AB474" i="23"/>
  <c r="AD474" i="23" s="1"/>
  <c r="P456" i="23"/>
  <c r="AB519" i="23"/>
  <c r="AD519" i="23" s="1"/>
  <c r="AB455" i="23"/>
  <c r="AD455" i="23" s="1"/>
  <c r="AC488" i="23"/>
  <c r="Y504" i="23"/>
  <c r="Y440" i="23"/>
  <c r="X496" i="23"/>
  <c r="X487" i="23"/>
  <c r="X432" i="23"/>
  <c r="W488" i="23"/>
  <c r="AB479" i="23"/>
  <c r="AD479" i="23" s="1"/>
  <c r="AB513" i="23"/>
  <c r="AD513" i="23" s="1"/>
  <c r="U504" i="23"/>
  <c r="AB449" i="23"/>
  <c r="AD449" i="23" s="1"/>
  <c r="U440" i="23"/>
  <c r="T496" i="23"/>
  <c r="AB478" i="23"/>
  <c r="AD478" i="23" s="1"/>
  <c r="T432" i="23"/>
  <c r="AB515" i="23"/>
  <c r="AD515" i="23" s="1"/>
  <c r="S488" i="23"/>
  <c r="AB451" i="23"/>
  <c r="AD451" i="23" s="1"/>
  <c r="R480" i="23"/>
  <c r="AB509" i="23"/>
  <c r="AD509" i="23" s="1"/>
  <c r="Q472" i="23"/>
  <c r="AB445" i="23"/>
  <c r="AD445" i="23" s="1"/>
  <c r="P528" i="23"/>
  <c r="AB482" i="23"/>
  <c r="AD482" i="23" s="1"/>
  <c r="P464" i="23"/>
  <c r="N528" i="23"/>
  <c r="N512" i="23"/>
  <c r="R512" i="23" s="1"/>
  <c r="N496" i="23"/>
  <c r="Q496" i="23" s="1"/>
  <c r="N480" i="23"/>
  <c r="N464" i="23"/>
  <c r="N448" i="23"/>
  <c r="N432" i="23"/>
  <c r="AC496" i="23"/>
  <c r="AC432" i="23"/>
  <c r="Y512" i="23"/>
  <c r="Y448" i="23"/>
  <c r="X504" i="23"/>
  <c r="X440" i="23"/>
  <c r="AB487" i="23"/>
  <c r="AD487" i="23" s="1"/>
  <c r="W432" i="23"/>
  <c r="AB521" i="23"/>
  <c r="AD521" i="23" s="1"/>
  <c r="U512" i="23"/>
  <c r="AB457" i="23"/>
  <c r="AD457" i="23" s="1"/>
  <c r="U448" i="23"/>
  <c r="T504" i="23"/>
  <c r="AB486" i="23"/>
  <c r="AD486" i="23" s="1"/>
  <c r="T440" i="23"/>
  <c r="AB523" i="23"/>
  <c r="AD523" i="23" s="1"/>
  <c r="AB459" i="23"/>
  <c r="AD459" i="23" s="1"/>
  <c r="S432" i="23"/>
  <c r="R488" i="23"/>
  <c r="AB517" i="23"/>
  <c r="AD517" i="23" s="1"/>
  <c r="Q480" i="23"/>
  <c r="AB480" i="23" s="1"/>
  <c r="AD480" i="23" s="1"/>
  <c r="AB453" i="23"/>
  <c r="AD453" i="23" s="1"/>
  <c r="AB490" i="23"/>
  <c r="AD490" i="23" s="1"/>
  <c r="P472" i="23"/>
  <c r="AB518" i="23"/>
  <c r="AD518" i="23" s="1"/>
  <c r="AC504" i="23"/>
  <c r="AC440" i="23"/>
  <c r="Y520" i="23"/>
  <c r="Y456" i="23"/>
  <c r="X448" i="23"/>
  <c r="W504" i="23"/>
  <c r="AB495" i="23"/>
  <c r="AD495" i="23" s="1"/>
  <c r="W440" i="23"/>
  <c r="AB431" i="23"/>
  <c r="AD431" i="23" s="1"/>
  <c r="AB529" i="23"/>
  <c r="AD529" i="23" s="1"/>
  <c r="U520" i="23"/>
  <c r="AB465" i="23"/>
  <c r="AD465" i="23" s="1"/>
  <c r="U456" i="23"/>
  <c r="T512" i="23"/>
  <c r="AB494" i="23"/>
  <c r="AD494" i="23" s="1"/>
  <c r="T448" i="23"/>
  <c r="AB430" i="23"/>
  <c r="AD430" i="23" s="1"/>
  <c r="S504" i="23"/>
  <c r="AB467" i="23"/>
  <c r="AD467" i="23" s="1"/>
  <c r="S440" i="23"/>
  <c r="R496" i="23"/>
  <c r="R432" i="23"/>
  <c r="AB525" i="23"/>
  <c r="AD525" i="23" s="1"/>
  <c r="Q488" i="23"/>
  <c r="AB461" i="23"/>
  <c r="AD461" i="23" s="1"/>
  <c r="AB498" i="23"/>
  <c r="AD498" i="23" s="1"/>
  <c r="AB434" i="23"/>
  <c r="AD434" i="23" s="1"/>
  <c r="AC512" i="23"/>
  <c r="AC448" i="23"/>
  <c r="Y528" i="23"/>
  <c r="Y464" i="23"/>
  <c r="X520" i="23"/>
  <c r="X456" i="23"/>
  <c r="W512" i="23"/>
  <c r="AB503" i="23"/>
  <c r="AD503" i="23" s="1"/>
  <c r="W448" i="23"/>
  <c r="AB439" i="23"/>
  <c r="AD439" i="23" s="1"/>
  <c r="U528" i="23"/>
  <c r="AB473" i="23"/>
  <c r="AD473" i="23" s="1"/>
  <c r="U464" i="23"/>
  <c r="T520" i="23"/>
  <c r="AB502" i="23"/>
  <c r="AD502" i="23" s="1"/>
  <c r="T456" i="23"/>
  <c r="AB438" i="23"/>
  <c r="AD438" i="23" s="1"/>
  <c r="S512" i="23"/>
  <c r="AB475" i="23"/>
  <c r="AD475" i="23" s="1"/>
  <c r="S448" i="23"/>
  <c r="R504" i="23"/>
  <c r="R440" i="23"/>
  <c r="AB469" i="23"/>
  <c r="AD469" i="23" s="1"/>
  <c r="Q432" i="23"/>
  <c r="AB432" i="23" s="1"/>
  <c r="AD432" i="23" s="1"/>
  <c r="AB506" i="23"/>
  <c r="AD506" i="23" s="1"/>
  <c r="P488" i="23"/>
  <c r="AB442" i="23"/>
  <c r="AD442" i="23" s="1"/>
  <c r="AB489" i="23"/>
  <c r="AD489" i="23" s="1"/>
  <c r="AB454" i="23"/>
  <c r="AD454" i="23" s="1"/>
  <c r="AB491" i="23"/>
  <c r="AD491" i="23" s="1"/>
  <c r="AC520" i="23"/>
  <c r="AC456" i="23"/>
  <c r="Y472" i="23"/>
  <c r="X528" i="23"/>
  <c r="X464" i="23"/>
  <c r="W520" i="23"/>
  <c r="AB511" i="23"/>
  <c r="AD511" i="23" s="1"/>
  <c r="W456" i="23"/>
  <c r="AB447" i="23"/>
  <c r="AD447" i="23" s="1"/>
  <c r="AB481" i="23"/>
  <c r="AD481" i="23" s="1"/>
  <c r="U472" i="23"/>
  <c r="AB510" i="23"/>
  <c r="AD510" i="23" s="1"/>
  <c r="AB446" i="23"/>
  <c r="AD446" i="23" s="1"/>
  <c r="S520" i="23"/>
  <c r="AB483" i="23"/>
  <c r="AD483" i="23" s="1"/>
  <c r="S456" i="23"/>
  <c r="Q504" i="23"/>
  <c r="AB504" i="23" s="1"/>
  <c r="AD504" i="23" s="1"/>
  <c r="AB477" i="23"/>
  <c r="AD477" i="23" s="1"/>
  <c r="Q440" i="23"/>
  <c r="AB440" i="23" s="1"/>
  <c r="AD440" i="23" s="1"/>
  <c r="AB514" i="23"/>
  <c r="AD514" i="23" s="1"/>
  <c r="AB450" i="23"/>
  <c r="AD450" i="23" s="1"/>
  <c r="AE508" i="3"/>
  <c r="Z508" i="3"/>
  <c r="X476" i="3"/>
  <c r="Z476" i="3"/>
  <c r="AH509" i="3"/>
  <c r="AJ509" i="3" s="1"/>
  <c r="AD514" i="3"/>
  <c r="Y522" i="3"/>
  <c r="V482" i="3"/>
  <c r="X450" i="3"/>
  <c r="AB450" i="3"/>
  <c r="AA458" i="3"/>
  <c r="Y514" i="3"/>
  <c r="Y466" i="3"/>
  <c r="W442" i="3"/>
  <c r="T490" i="3"/>
  <c r="AB522" i="3"/>
  <c r="AB458" i="3"/>
  <c r="AA509" i="3"/>
  <c r="AH445" i="3"/>
  <c r="AJ445" i="3" s="1"/>
  <c r="Z514" i="3"/>
  <c r="Z492" i="3"/>
  <c r="Z482" i="3"/>
  <c r="Z450" i="3"/>
  <c r="Y529" i="3"/>
  <c r="Y521" i="3"/>
  <c r="Y513" i="3"/>
  <c r="Y505" i="3"/>
  <c r="Y497" i="3"/>
  <c r="Y489" i="3"/>
  <c r="Y481" i="3"/>
  <c r="Y473" i="3"/>
  <c r="Y465" i="3"/>
  <c r="Y457" i="3"/>
  <c r="Y449" i="3"/>
  <c r="Y441" i="3"/>
  <c r="Y433" i="3"/>
  <c r="X498" i="3"/>
  <c r="X434" i="3"/>
  <c r="W522" i="3"/>
  <c r="W498" i="3"/>
  <c r="W441" i="3"/>
  <c r="V506" i="3"/>
  <c r="V493" i="3"/>
  <c r="AH493" i="3" s="1"/>
  <c r="AJ493" i="3" s="1"/>
  <c r="V442" i="3"/>
  <c r="U530" i="3"/>
  <c r="AH515" i="3"/>
  <c r="AJ515" i="3" s="1"/>
  <c r="AH501" i="3"/>
  <c r="AJ501" i="3" s="1"/>
  <c r="U490" i="3"/>
  <c r="U461" i="3"/>
  <c r="U450" i="3"/>
  <c r="T489" i="3"/>
  <c r="T477" i="3"/>
  <c r="AH477" i="3" s="1"/>
  <c r="AJ477" i="3" s="1"/>
  <c r="T466" i="3"/>
  <c r="S482" i="3"/>
  <c r="AH453" i="3"/>
  <c r="AJ453" i="3" s="1"/>
  <c r="Q524" i="3"/>
  <c r="Q460" i="3"/>
  <c r="Q444" i="3"/>
  <c r="S520" i="3"/>
  <c r="AD482" i="3"/>
  <c r="Y498" i="3"/>
  <c r="Y474" i="3"/>
  <c r="Y442" i="3"/>
  <c r="AH507" i="3"/>
  <c r="AJ507" i="3" s="1"/>
  <c r="T514" i="3"/>
  <c r="AH469" i="3"/>
  <c r="AJ469" i="3" s="1"/>
  <c r="AI530" i="3"/>
  <c r="AI522" i="3"/>
  <c r="AI514" i="3"/>
  <c r="AI506" i="3"/>
  <c r="AI498" i="3"/>
  <c r="AI490" i="3"/>
  <c r="AI482" i="3"/>
  <c r="AI474" i="3"/>
  <c r="AI466" i="3"/>
  <c r="AI458" i="3"/>
  <c r="AI450" i="3"/>
  <c r="AI442" i="3"/>
  <c r="AI434" i="3"/>
  <c r="AD522" i="3"/>
  <c r="AD490" i="3"/>
  <c r="AD458" i="3"/>
  <c r="AC458" i="3"/>
  <c r="AB530" i="3"/>
  <c r="AB466" i="3"/>
  <c r="AB447" i="3"/>
  <c r="AA530" i="3"/>
  <c r="AA498" i="3"/>
  <c r="AA466" i="3"/>
  <c r="AA434" i="3"/>
  <c r="Z513" i="3"/>
  <c r="Z481" i="3"/>
  <c r="Z449" i="3"/>
  <c r="X522" i="3"/>
  <c r="X458" i="3"/>
  <c r="W497" i="3"/>
  <c r="W474" i="3"/>
  <c r="W450" i="3"/>
  <c r="V530" i="3"/>
  <c r="AH491" i="3"/>
  <c r="AJ491" i="3" s="1"/>
  <c r="V466" i="3"/>
  <c r="U514" i="3"/>
  <c r="U474" i="3"/>
  <c r="T522" i="3"/>
  <c r="S530" i="3"/>
  <c r="S506" i="3"/>
  <c r="S466" i="3"/>
  <c r="AH437" i="3"/>
  <c r="AJ437" i="3" s="1"/>
  <c r="Q490" i="3"/>
  <c r="V511" i="3"/>
  <c r="AC450" i="3"/>
  <c r="AB514" i="3"/>
  <c r="Y506" i="3"/>
  <c r="Y482" i="3"/>
  <c r="Y450" i="3"/>
  <c r="Y434" i="3"/>
  <c r="AH443" i="3"/>
  <c r="AJ443" i="3" s="1"/>
  <c r="AH451" i="3"/>
  <c r="AJ451" i="3" s="1"/>
  <c r="AI529" i="3"/>
  <c r="AI521" i="3"/>
  <c r="AI513" i="3"/>
  <c r="AI505" i="3"/>
  <c r="AI497" i="3"/>
  <c r="AI489" i="3"/>
  <c r="AI481" i="3"/>
  <c r="AI473" i="3"/>
  <c r="AI465" i="3"/>
  <c r="AI457" i="3"/>
  <c r="AI449" i="3"/>
  <c r="AI433" i="3"/>
  <c r="AC466" i="3"/>
  <c r="AB492" i="3"/>
  <c r="AB474" i="3"/>
  <c r="Z522" i="3"/>
  <c r="Z490" i="3"/>
  <c r="Z458" i="3"/>
  <c r="X482" i="3"/>
  <c r="W530" i="3"/>
  <c r="W449" i="3"/>
  <c r="V490" i="3"/>
  <c r="AH485" i="3"/>
  <c r="AJ485" i="3" s="1"/>
  <c r="U434" i="3"/>
  <c r="T521" i="3"/>
  <c r="T498" i="3"/>
  <c r="S450" i="3"/>
  <c r="Q522" i="3"/>
  <c r="AE522" i="3" s="1"/>
  <c r="Q506" i="3"/>
  <c r="Q474" i="3"/>
  <c r="Z474" i="3" s="1"/>
  <c r="Q458" i="3"/>
  <c r="Q442" i="3"/>
  <c r="Z442" i="3" s="1"/>
  <c r="AA490" i="3"/>
  <c r="Y530" i="3"/>
  <c r="Y490" i="3"/>
  <c r="Y458" i="3"/>
  <c r="AJ517" i="3"/>
  <c r="AE509" i="3"/>
  <c r="AD530" i="3"/>
  <c r="AD498" i="3"/>
  <c r="AD466" i="3"/>
  <c r="AD434" i="3"/>
  <c r="AC474" i="3"/>
  <c r="AB482" i="3"/>
  <c r="AA474" i="3"/>
  <c r="AA442" i="3"/>
  <c r="AH499" i="3"/>
  <c r="AJ499" i="3" s="1"/>
  <c r="AH467" i="3"/>
  <c r="AJ467" i="3" s="1"/>
  <c r="AH435" i="3"/>
  <c r="AJ435" i="3" s="1"/>
  <c r="X506" i="3"/>
  <c r="X442" i="3"/>
  <c r="W529" i="3"/>
  <c r="W506" i="3"/>
  <c r="W482" i="3"/>
  <c r="V514" i="3"/>
  <c r="AH475" i="3"/>
  <c r="AJ475" i="3" s="1"/>
  <c r="V450" i="3"/>
  <c r="U498" i="3"/>
  <c r="AH483" i="3"/>
  <c r="AJ483" i="3" s="1"/>
  <c r="U458" i="3"/>
  <c r="T473" i="3"/>
  <c r="T450" i="3"/>
  <c r="S526" i="3"/>
  <c r="S514" i="3"/>
  <c r="S502" i="3"/>
  <c r="S490" i="3"/>
  <c r="S434" i="3"/>
  <c r="AD450" i="3"/>
  <c r="AC482" i="3"/>
  <c r="AB490" i="3"/>
  <c r="AH461" i="3"/>
  <c r="AJ461" i="3" s="1"/>
  <c r="Z530" i="3"/>
  <c r="Z498" i="3"/>
  <c r="Z466" i="3"/>
  <c r="Z434" i="3"/>
  <c r="Y461" i="3"/>
  <c r="X530" i="3"/>
  <c r="X466" i="3"/>
  <c r="W481" i="3"/>
  <c r="W458" i="3"/>
  <c r="V474" i="3"/>
  <c r="U482" i="3"/>
  <c r="T530" i="3"/>
  <c r="T506" i="3"/>
  <c r="AH525" i="3"/>
  <c r="AJ525" i="3" s="1"/>
  <c r="S474" i="3"/>
  <c r="AE492" i="3"/>
  <c r="AD442" i="3"/>
  <c r="AC434" i="3"/>
  <c r="AB498" i="3"/>
  <c r="AB434" i="3"/>
  <c r="AA514" i="3"/>
  <c r="AA482" i="3"/>
  <c r="AA450" i="3"/>
  <c r="W514" i="3"/>
  <c r="W434" i="3"/>
  <c r="AH523" i="3"/>
  <c r="AJ523" i="3" s="1"/>
  <c r="V498" i="3"/>
  <c r="AH459" i="3"/>
  <c r="AJ459" i="3" s="1"/>
  <c r="V434" i="3"/>
  <c r="T505" i="3"/>
  <c r="T482" i="3"/>
  <c r="T458" i="3"/>
  <c r="S510" i="3"/>
  <c r="AR485" i="6"/>
  <c r="AT485" i="6" s="1"/>
  <c r="AR493" i="6"/>
  <c r="AT493" i="6" s="1"/>
  <c r="AB524" i="6"/>
  <c r="Y524" i="6"/>
  <c r="AA524" i="6"/>
  <c r="AM524" i="6"/>
  <c r="Z524" i="6"/>
  <c r="AG524" i="6"/>
  <c r="AO524" i="6"/>
  <c r="V524" i="6"/>
  <c r="AJ524" i="6" s="1"/>
  <c r="AC524" i="6"/>
  <c r="AE524" i="6"/>
  <c r="AL524" i="6"/>
  <c r="AN524" i="6"/>
  <c r="AI524" i="6"/>
  <c r="AS524" i="6"/>
  <c r="AB516" i="6"/>
  <c r="Y516" i="6"/>
  <c r="AA516" i="6"/>
  <c r="X516" i="6"/>
  <c r="AM516" i="6"/>
  <c r="AJ516" i="6"/>
  <c r="AO516" i="6"/>
  <c r="AL516" i="6"/>
  <c r="V516" i="6"/>
  <c r="AG516" i="6" s="1"/>
  <c r="AN516" i="6"/>
  <c r="Z516" i="6"/>
  <c r="AI516" i="6"/>
  <c r="AS516" i="6"/>
  <c r="AC516" i="6"/>
  <c r="AE516" i="6"/>
  <c r="AF516" i="6"/>
  <c r="AH516" i="6"/>
  <c r="AB508" i="6"/>
  <c r="Y508" i="6"/>
  <c r="AA508" i="6"/>
  <c r="AF508" i="6"/>
  <c r="AM508" i="6"/>
  <c r="AJ508" i="6"/>
  <c r="X508" i="6"/>
  <c r="AG508" i="6"/>
  <c r="AO508" i="6"/>
  <c r="AL508" i="6"/>
  <c r="AI508" i="6"/>
  <c r="AS508" i="6"/>
  <c r="AN508" i="6"/>
  <c r="V508" i="6"/>
  <c r="Z508" i="6"/>
  <c r="AC508" i="6"/>
  <c r="AE508" i="6"/>
  <c r="AH508" i="6"/>
  <c r="AB500" i="6"/>
  <c r="Y500" i="6"/>
  <c r="AA500" i="6"/>
  <c r="AM500" i="6"/>
  <c r="V500" i="6"/>
  <c r="AC500" i="6"/>
  <c r="AE500" i="6"/>
  <c r="AF500" i="6"/>
  <c r="AJ500" i="6"/>
  <c r="Z500" i="6"/>
  <c r="AG500" i="6"/>
  <c r="AO500" i="6"/>
  <c r="AN500" i="6"/>
  <c r="AL500" i="6"/>
  <c r="X500" i="6"/>
  <c r="AI500" i="6"/>
  <c r="AS500" i="6"/>
  <c r="AH500" i="6"/>
  <c r="AB492" i="6"/>
  <c r="Y492" i="6"/>
  <c r="AM492" i="6"/>
  <c r="AJ492" i="6"/>
  <c r="AF492" i="6"/>
  <c r="AG492" i="6"/>
  <c r="AO492" i="6"/>
  <c r="V492" i="6"/>
  <c r="X492" i="6" s="1"/>
  <c r="AC492" i="6"/>
  <c r="AE492" i="6"/>
  <c r="AL492" i="6"/>
  <c r="Z492" i="6"/>
  <c r="AN492" i="6"/>
  <c r="AI492" i="6"/>
  <c r="AS492" i="6"/>
  <c r="AH492" i="6"/>
  <c r="AB484" i="6"/>
  <c r="Y484" i="6"/>
  <c r="AA484" i="6"/>
  <c r="X484" i="6"/>
  <c r="Z484" i="6"/>
  <c r="AM484" i="6"/>
  <c r="AJ484" i="6"/>
  <c r="AO484" i="6"/>
  <c r="AF484" i="6"/>
  <c r="AG484" i="6"/>
  <c r="AL484" i="6"/>
  <c r="V484" i="6"/>
  <c r="AC484" i="6"/>
  <c r="AE484" i="6"/>
  <c r="AI484" i="6"/>
  <c r="AS484" i="6"/>
  <c r="AN484" i="6"/>
  <c r="AH484" i="6"/>
  <c r="AB476" i="6"/>
  <c r="Y476" i="6"/>
  <c r="AA476" i="6"/>
  <c r="AM476" i="6"/>
  <c r="AJ476" i="6"/>
  <c r="X476" i="6"/>
  <c r="AO476" i="6"/>
  <c r="Z476" i="6"/>
  <c r="AL476" i="6"/>
  <c r="AN476" i="6"/>
  <c r="AF476" i="6"/>
  <c r="AG476" i="6"/>
  <c r="AI476" i="6"/>
  <c r="AS476" i="6"/>
  <c r="V476" i="6"/>
  <c r="AC476" i="6"/>
  <c r="AE476" i="6"/>
  <c r="AH476" i="6"/>
  <c r="AB468" i="6"/>
  <c r="Y468" i="6"/>
  <c r="AA468" i="6"/>
  <c r="AM468" i="6"/>
  <c r="V468" i="6"/>
  <c r="AC468" i="6"/>
  <c r="AE468" i="6"/>
  <c r="AJ468" i="6"/>
  <c r="AO468" i="6"/>
  <c r="AL468" i="6"/>
  <c r="AG468" i="6"/>
  <c r="X468" i="6"/>
  <c r="AI468" i="6"/>
  <c r="AS468" i="6"/>
  <c r="AF468" i="6"/>
  <c r="AN468" i="6"/>
  <c r="AH468" i="6"/>
  <c r="AB460" i="6"/>
  <c r="Y460" i="6"/>
  <c r="AA460" i="6"/>
  <c r="AM460" i="6"/>
  <c r="Z460" i="6"/>
  <c r="AJ460" i="6"/>
  <c r="AO460" i="6"/>
  <c r="AN460" i="6"/>
  <c r="V460" i="6"/>
  <c r="AG460" i="6" s="1"/>
  <c r="AC460" i="6"/>
  <c r="AE460" i="6"/>
  <c r="AL460" i="6"/>
  <c r="AI460" i="6"/>
  <c r="AS460" i="6"/>
  <c r="AB452" i="6"/>
  <c r="Y452" i="6"/>
  <c r="X452" i="6"/>
  <c r="AF452" i="6"/>
  <c r="AM452" i="6"/>
  <c r="AO452" i="6"/>
  <c r="AL452" i="6"/>
  <c r="V452" i="6"/>
  <c r="AA452" i="6" s="1"/>
  <c r="AN452" i="6"/>
  <c r="Z452" i="6"/>
  <c r="AI452" i="6"/>
  <c r="AS452" i="6"/>
  <c r="AC452" i="6"/>
  <c r="AE452" i="6"/>
  <c r="AG452" i="6"/>
  <c r="AH452" i="6"/>
  <c r="Y444" i="6"/>
  <c r="AA444" i="6"/>
  <c r="AG444" i="6"/>
  <c r="AM444" i="6"/>
  <c r="AJ444" i="6"/>
  <c r="AF444" i="6"/>
  <c r="AO444" i="6"/>
  <c r="AL444" i="6"/>
  <c r="AI444" i="6"/>
  <c r="AS444" i="6"/>
  <c r="AN444" i="6"/>
  <c r="V444" i="6"/>
  <c r="AB444" i="6" s="1"/>
  <c r="Z444" i="6"/>
  <c r="AC444" i="6"/>
  <c r="AE444" i="6"/>
  <c r="AH444" i="6"/>
  <c r="Y436" i="6"/>
  <c r="AA436" i="6"/>
  <c r="AM436" i="6"/>
  <c r="V436" i="6"/>
  <c r="AE436" i="6" s="1"/>
  <c r="AC436" i="6"/>
  <c r="AG436" i="6"/>
  <c r="AJ436" i="6"/>
  <c r="AL436" i="6"/>
  <c r="X436" i="6"/>
  <c r="AF436" i="6"/>
  <c r="AI436" i="6"/>
  <c r="AS436" i="6"/>
  <c r="AN436" i="6"/>
  <c r="AR458" i="6"/>
  <c r="AT458" i="6" s="1"/>
  <c r="AR501" i="6"/>
  <c r="AT501" i="6" s="1"/>
  <c r="AR437" i="6"/>
  <c r="AT437" i="6" s="1"/>
  <c r="AR506" i="6"/>
  <c r="AT506" i="6" s="1"/>
  <c r="AR514" i="6"/>
  <c r="AT514" i="6" s="1"/>
  <c r="AR450" i="6"/>
  <c r="AT450" i="6" s="1"/>
  <c r="AK524" i="6"/>
  <c r="AK516" i="6"/>
  <c r="AK508" i="6"/>
  <c r="AK500" i="6"/>
  <c r="AK492" i="6"/>
  <c r="AK484" i="6"/>
  <c r="AK476" i="6"/>
  <c r="AK468" i="6"/>
  <c r="AK460" i="6"/>
  <c r="AK452" i="6"/>
  <c r="AK444" i="6"/>
  <c r="AK436" i="6"/>
  <c r="AR490" i="6"/>
  <c r="AT490" i="6" s="1"/>
  <c r="AR453" i="6"/>
  <c r="AT453" i="6" s="1"/>
  <c r="AR445" i="6"/>
  <c r="AT445" i="6" s="1"/>
  <c r="AR434" i="6"/>
  <c r="AT434" i="6" s="1"/>
  <c r="X524" i="6"/>
  <c r="AF524" i="6"/>
  <c r="AF460" i="6"/>
  <c r="Z468" i="6"/>
  <c r="AR477" i="6"/>
  <c r="AT477" i="6" s="1"/>
  <c r="AR466" i="6"/>
  <c r="AT466" i="6" s="1"/>
  <c r="AR442" i="6"/>
  <c r="AT442" i="6" s="1"/>
  <c r="AD524" i="6"/>
  <c r="AD516" i="6"/>
  <c r="AD508" i="6"/>
  <c r="AD500" i="6"/>
  <c r="AD492" i="6"/>
  <c r="AD484" i="6"/>
  <c r="AD476" i="6"/>
  <c r="AD468" i="6"/>
  <c r="AD444" i="6"/>
  <c r="AD436" i="6"/>
  <c r="AR522" i="6"/>
  <c r="AT522" i="6" s="1"/>
  <c r="AR509" i="6"/>
  <c r="AT509" i="6" s="1"/>
  <c r="AR498" i="6"/>
  <c r="AT498" i="6" s="1"/>
  <c r="AR469" i="6"/>
  <c r="AT469" i="6" s="1"/>
  <c r="AR517" i="6"/>
  <c r="AT517" i="6" s="1"/>
  <c r="AR530" i="6"/>
  <c r="AT530" i="6" s="1"/>
  <c r="AR482" i="6"/>
  <c r="AT482" i="6" s="1"/>
  <c r="AA496" i="6"/>
  <c r="AA464" i="6"/>
  <c r="Z496" i="6"/>
  <c r="AF494" i="6"/>
  <c r="Y464" i="6"/>
  <c r="X510" i="6"/>
  <c r="X478" i="6"/>
  <c r="X446" i="6"/>
  <c r="AA529" i="6"/>
  <c r="X529" i="6"/>
  <c r="Z529" i="6"/>
  <c r="AA521" i="6"/>
  <c r="X521" i="6"/>
  <c r="Z521" i="6"/>
  <c r="AA513" i="6"/>
  <c r="X513" i="6"/>
  <c r="Z513" i="6"/>
  <c r="AA505" i="6"/>
  <c r="X505" i="6"/>
  <c r="Z505" i="6"/>
  <c r="AA497" i="6"/>
  <c r="X497" i="6"/>
  <c r="Z497" i="6"/>
  <c r="AA489" i="6"/>
  <c r="X489" i="6"/>
  <c r="Z489" i="6"/>
  <c r="AA481" i="6"/>
  <c r="X481" i="6"/>
  <c r="Z481" i="6"/>
  <c r="AA473" i="6"/>
  <c r="X473" i="6"/>
  <c r="Z473" i="6"/>
  <c r="AA465" i="6"/>
  <c r="X465" i="6"/>
  <c r="Z465" i="6"/>
  <c r="AA457" i="6"/>
  <c r="X457" i="6"/>
  <c r="AF457" i="6"/>
  <c r="Z457" i="6"/>
  <c r="AA449" i="6"/>
  <c r="X449" i="6"/>
  <c r="AF449" i="6"/>
  <c r="Z449" i="6"/>
  <c r="AA441" i="6"/>
  <c r="X441" i="6"/>
  <c r="AF441" i="6"/>
  <c r="Z441" i="6"/>
  <c r="AA433" i="6"/>
  <c r="X433" i="6"/>
  <c r="AF433" i="6"/>
  <c r="Z433" i="6"/>
  <c r="X528" i="6"/>
  <c r="AF528" i="6"/>
  <c r="AC528" i="6"/>
  <c r="V528" i="6"/>
  <c r="AO528" i="6" s="1"/>
  <c r="AE528" i="6"/>
  <c r="X520" i="6"/>
  <c r="AF520" i="6"/>
  <c r="AC520" i="6"/>
  <c r="V520" i="6"/>
  <c r="AE520" i="6"/>
  <c r="AF512" i="6"/>
  <c r="AC512" i="6"/>
  <c r="V512" i="6"/>
  <c r="AH512" i="6" s="1"/>
  <c r="AE512" i="6"/>
  <c r="AF504" i="6"/>
  <c r="AC504" i="6"/>
  <c r="V504" i="6"/>
  <c r="AE504" i="6"/>
  <c r="X496" i="6"/>
  <c r="AF496" i="6"/>
  <c r="AC496" i="6"/>
  <c r="V496" i="6"/>
  <c r="AE496" i="6" s="1"/>
  <c r="AF488" i="6"/>
  <c r="AC488" i="6"/>
  <c r="V488" i="6"/>
  <c r="AO488" i="6" s="1"/>
  <c r="AE488" i="6"/>
  <c r="X480" i="6"/>
  <c r="AF480" i="6"/>
  <c r="AC480" i="6"/>
  <c r="V480" i="6"/>
  <c r="AE480" i="6"/>
  <c r="X472" i="6"/>
  <c r="AF472" i="6"/>
  <c r="AC472" i="6"/>
  <c r="V472" i="6"/>
  <c r="AE472" i="6"/>
  <c r="AF464" i="6"/>
  <c r="AC464" i="6"/>
  <c r="V464" i="6"/>
  <c r="X464" i="6" s="1"/>
  <c r="AE464" i="6"/>
  <c r="X456" i="6"/>
  <c r="AF456" i="6"/>
  <c r="AC456" i="6"/>
  <c r="V456" i="6"/>
  <c r="AE456" i="6"/>
  <c r="X448" i="6"/>
  <c r="AF448" i="6"/>
  <c r="AC448" i="6"/>
  <c r="V448" i="6"/>
  <c r="AE448" i="6"/>
  <c r="AC510" i="6"/>
  <c r="AC478" i="6"/>
  <c r="AA520" i="6"/>
  <c r="AA488" i="6"/>
  <c r="AA456" i="6"/>
  <c r="Z512" i="6"/>
  <c r="AC527" i="6"/>
  <c r="Z527" i="6"/>
  <c r="AB527" i="6"/>
  <c r="AC519" i="6"/>
  <c r="Z519" i="6"/>
  <c r="AR519" i="6" s="1"/>
  <c r="AT519" i="6" s="1"/>
  <c r="AB519" i="6"/>
  <c r="AC511" i="6"/>
  <c r="Z511" i="6"/>
  <c r="AB511" i="6"/>
  <c r="AC503" i="6"/>
  <c r="Z503" i="6"/>
  <c r="AB503" i="6"/>
  <c r="AC495" i="6"/>
  <c r="Z495" i="6"/>
  <c r="AB495" i="6"/>
  <c r="AC487" i="6"/>
  <c r="Z487" i="6"/>
  <c r="AR487" i="6" s="1"/>
  <c r="AT487" i="6" s="1"/>
  <c r="AB487" i="6"/>
  <c r="AC479" i="6"/>
  <c r="Z479" i="6"/>
  <c r="AB479" i="6"/>
  <c r="AC471" i="6"/>
  <c r="Z471" i="6"/>
  <c r="AB471" i="6"/>
  <c r="AC463" i="6"/>
  <c r="Z463" i="6"/>
  <c r="AB463" i="6"/>
  <c r="AC455" i="6"/>
  <c r="Z455" i="6"/>
  <c r="AR455" i="6" s="1"/>
  <c r="AT455" i="6" s="1"/>
  <c r="AB455" i="6"/>
  <c r="AC447" i="6"/>
  <c r="Z447" i="6"/>
  <c r="AB447" i="6"/>
  <c r="AC439" i="6"/>
  <c r="Z439" i="6"/>
  <c r="AB439" i="6"/>
  <c r="AC431" i="6"/>
  <c r="Z431" i="6"/>
  <c r="AB431" i="6"/>
  <c r="Z526" i="6"/>
  <c r="V526" i="6"/>
  <c r="AE526" i="6" s="1"/>
  <c r="Y526" i="6"/>
  <c r="V518" i="6"/>
  <c r="AG518" i="6" s="1"/>
  <c r="AE518" i="6"/>
  <c r="Y518" i="6"/>
  <c r="Z510" i="6"/>
  <c r="V510" i="6"/>
  <c r="AE510" i="6"/>
  <c r="Y510" i="6"/>
  <c r="Z502" i="6"/>
  <c r="V502" i="6"/>
  <c r="AE502" i="6"/>
  <c r="Y502" i="6"/>
  <c r="AR502" i="6" s="1"/>
  <c r="AT502" i="6" s="1"/>
  <c r="V494" i="6"/>
  <c r="AE494" i="6"/>
  <c r="Y494" i="6"/>
  <c r="Z486" i="6"/>
  <c r="V486" i="6"/>
  <c r="AE486" i="6"/>
  <c r="Y486" i="6"/>
  <c r="AG486" i="6"/>
  <c r="Z478" i="6"/>
  <c r="V478" i="6"/>
  <c r="AE478" i="6"/>
  <c r="Y478" i="6"/>
  <c r="AG478" i="6"/>
  <c r="Z470" i="6"/>
  <c r="V470" i="6"/>
  <c r="AE470" i="6"/>
  <c r="Y470" i="6"/>
  <c r="AG470" i="6"/>
  <c r="Z462" i="6"/>
  <c r="V462" i="6"/>
  <c r="AD462" i="6" s="1"/>
  <c r="AE462" i="6"/>
  <c r="Y462" i="6"/>
  <c r="AG462" i="6"/>
  <c r="V454" i="6"/>
  <c r="AE454" i="6"/>
  <c r="Y454" i="6"/>
  <c r="AG454" i="6"/>
  <c r="Z446" i="6"/>
  <c r="V446" i="6"/>
  <c r="AE446" i="6"/>
  <c r="Y446" i="6"/>
  <c r="AG446" i="6"/>
  <c r="AE440" i="6"/>
  <c r="AE432" i="6"/>
  <c r="Y438" i="6"/>
  <c r="Y430" i="6"/>
  <c r="V440" i="6"/>
  <c r="V432" i="6"/>
  <c r="AE438" i="6"/>
  <c r="AC440" i="6"/>
  <c r="AC432" i="6"/>
  <c r="AR432" i="6" s="1"/>
  <c r="AT432" i="6" s="1"/>
  <c r="V438" i="6"/>
  <c r="V430" i="6"/>
  <c r="AG430" i="6" s="1"/>
  <c r="AF440" i="6"/>
  <c r="AF432" i="6"/>
  <c r="AA525" i="4"/>
  <c r="AA517" i="4"/>
  <c r="AA509" i="4"/>
  <c r="AA501" i="4"/>
  <c r="AA485" i="4"/>
  <c r="AA477" i="4"/>
  <c r="AA469" i="4"/>
  <c r="AA461" i="4"/>
  <c r="AA453" i="4"/>
  <c r="AA445" i="4"/>
  <c r="AA437" i="4"/>
  <c r="S525" i="4"/>
  <c r="S509" i="4"/>
  <c r="S501" i="4"/>
  <c r="S493" i="4"/>
  <c r="S485" i="4"/>
  <c r="S469" i="4"/>
  <c r="S453" i="4"/>
  <c r="S445" i="4"/>
  <c r="S437" i="4"/>
  <c r="P527" i="4"/>
  <c r="P519" i="4"/>
  <c r="P511" i="4"/>
  <c r="P503" i="4"/>
  <c r="P495" i="4"/>
  <c r="S495" i="4" s="1"/>
  <c r="P487" i="4"/>
  <c r="P479" i="4"/>
  <c r="X479" i="4" s="1"/>
  <c r="P471" i="4"/>
  <c r="P463" i="4"/>
  <c r="P455" i="4"/>
  <c r="P447" i="4"/>
  <c r="Y447" i="4" s="1"/>
  <c r="P439" i="4"/>
  <c r="P431" i="4"/>
  <c r="V525" i="4"/>
  <c r="V517" i="4"/>
  <c r="V509" i="4"/>
  <c r="V501" i="4"/>
  <c r="V493" i="4"/>
  <c r="V485" i="4"/>
  <c r="V469" i="4"/>
  <c r="V461" i="4"/>
  <c r="V453" i="4"/>
  <c r="V445" i="4"/>
  <c r="V437" i="4"/>
  <c r="T527" i="4"/>
  <c r="T519" i="4"/>
  <c r="T511" i="4"/>
  <c r="T503" i="4"/>
  <c r="T495" i="4"/>
  <c r="T487" i="4"/>
  <c r="T471" i="4"/>
  <c r="AF471" i="4" s="1"/>
  <c r="AH471" i="4" s="1"/>
  <c r="T463" i="4"/>
  <c r="T455" i="4"/>
  <c r="T447" i="4"/>
  <c r="T439" i="4"/>
  <c r="T431" i="4"/>
  <c r="R529" i="4"/>
  <c r="R521" i="4"/>
  <c r="R513" i="4"/>
  <c r="R505" i="4"/>
  <c r="AF505" i="4" s="1"/>
  <c r="AH505" i="4" s="1"/>
  <c r="R497" i="4"/>
  <c r="R489" i="4"/>
  <c r="R481" i="4"/>
  <c r="R473" i="4"/>
  <c r="R465" i="4"/>
  <c r="R457" i="4"/>
  <c r="R449" i="4"/>
  <c r="R441" i="4"/>
  <c r="AF441" i="4" s="1"/>
  <c r="AH441" i="4" s="1"/>
  <c r="R433" i="4"/>
  <c r="Y525" i="4"/>
  <c r="Y517" i="4"/>
  <c r="Y509" i="4"/>
  <c r="Y501" i="4"/>
  <c r="Y493" i="4"/>
  <c r="Y485" i="4"/>
  <c r="Y477" i="4"/>
  <c r="Y469" i="4"/>
  <c r="Y461" i="4"/>
  <c r="Y453" i="4"/>
  <c r="Y445" i="4"/>
  <c r="Y437" i="4"/>
  <c r="U529" i="4"/>
  <c r="U521" i="4"/>
  <c r="U513" i="4"/>
  <c r="U505" i="4"/>
  <c r="U497" i="4"/>
  <c r="U489" i="4"/>
  <c r="U481" i="4"/>
  <c r="U473" i="4"/>
  <c r="U465" i="4"/>
  <c r="U457" i="4"/>
  <c r="U449" i="4"/>
  <c r="U441" i="4"/>
  <c r="U433" i="4"/>
  <c r="P525" i="4"/>
  <c r="P517" i="4"/>
  <c r="S517" i="4" s="1"/>
  <c r="P509" i="4"/>
  <c r="P501" i="4"/>
  <c r="P493" i="4"/>
  <c r="X493" i="4" s="1"/>
  <c r="P485" i="4"/>
  <c r="P477" i="4"/>
  <c r="S477" i="4" s="1"/>
  <c r="P469" i="4"/>
  <c r="P461" i="4"/>
  <c r="S461" i="4" s="1"/>
  <c r="P453" i="4"/>
  <c r="X453" i="4" s="1"/>
  <c r="P445" i="4"/>
  <c r="P437" i="4"/>
  <c r="AB525" i="4"/>
  <c r="AB517" i="4"/>
  <c r="AB509" i="4"/>
  <c r="AB501" i="4"/>
  <c r="AB485" i="4"/>
  <c r="AB477" i="4"/>
  <c r="AB469" i="4"/>
  <c r="AB461" i="4"/>
  <c r="AB453" i="4"/>
  <c r="AB445" i="4"/>
  <c r="AB437" i="4"/>
  <c r="T525" i="4"/>
  <c r="T517" i="4"/>
  <c r="T509" i="4"/>
  <c r="T501" i="4"/>
  <c r="T493" i="4"/>
  <c r="T485" i="4"/>
  <c r="T477" i="4"/>
  <c r="T469" i="4"/>
  <c r="T461" i="4"/>
  <c r="T453" i="4"/>
  <c r="T445" i="4"/>
  <c r="T437" i="4"/>
  <c r="AG525" i="4"/>
  <c r="AG517" i="4"/>
  <c r="AG509" i="4"/>
  <c r="AG501" i="4"/>
  <c r="AG493" i="4"/>
  <c r="AG485" i="4"/>
  <c r="AG477" i="4"/>
  <c r="AG469" i="4"/>
  <c r="AG461" i="4"/>
  <c r="AG453" i="4"/>
  <c r="AG445" i="4"/>
  <c r="AG437" i="4"/>
  <c r="W525" i="4"/>
  <c r="W517" i="4"/>
  <c r="W509" i="4"/>
  <c r="W501" i="4"/>
  <c r="W493" i="4"/>
  <c r="W485" i="4"/>
  <c r="W477" i="4"/>
  <c r="W469" i="4"/>
  <c r="W461" i="4"/>
  <c r="W453" i="4"/>
  <c r="W445" i="4"/>
  <c r="W437" i="4"/>
  <c r="U527" i="4"/>
  <c r="U519" i="4"/>
  <c r="U511" i="4"/>
  <c r="AF511" i="4" s="1"/>
  <c r="AH511" i="4" s="1"/>
  <c r="U503" i="4"/>
  <c r="U495" i="4"/>
  <c r="U487" i="4"/>
  <c r="U479" i="4"/>
  <c r="U471" i="4"/>
  <c r="U463" i="4"/>
  <c r="U455" i="4"/>
  <c r="U447" i="4"/>
  <c r="U439" i="4"/>
  <c r="U431" i="4"/>
  <c r="S529" i="4"/>
  <c r="S521" i="4"/>
  <c r="S513" i="4"/>
  <c r="S505" i="4"/>
  <c r="S497" i="4"/>
  <c r="S489" i="4"/>
  <c r="S481" i="4"/>
  <c r="S473" i="4"/>
  <c r="S465" i="4"/>
  <c r="S457" i="4"/>
  <c r="S449" i="4"/>
  <c r="S441" i="4"/>
  <c r="S433" i="4"/>
  <c r="Z525" i="4"/>
  <c r="Z517" i="4"/>
  <c r="Z509" i="4"/>
  <c r="Z501" i="4"/>
  <c r="Z493" i="4"/>
  <c r="Z485" i="4"/>
  <c r="Z477" i="4"/>
  <c r="Z469" i="4"/>
  <c r="Z461" i="4"/>
  <c r="Z453" i="4"/>
  <c r="Z445" i="4"/>
  <c r="Z437" i="4"/>
  <c r="R525" i="4"/>
  <c r="AF525" i="4" s="1"/>
  <c r="AH525" i="4" s="1"/>
  <c r="R509" i="4"/>
  <c r="R501" i="4"/>
  <c r="AF501" i="4" s="1"/>
  <c r="AH501" i="4" s="1"/>
  <c r="R493" i="4"/>
  <c r="R485" i="4"/>
  <c r="R477" i="4"/>
  <c r="R469" i="4"/>
  <c r="R461" i="4"/>
  <c r="R445" i="4"/>
  <c r="R437" i="4"/>
  <c r="AF437" i="4" s="1"/>
  <c r="AH437" i="4" s="1"/>
  <c r="AC525" i="4"/>
  <c r="AC517" i="4"/>
  <c r="AC509" i="4"/>
  <c r="AC501" i="4"/>
  <c r="AC493" i="4"/>
  <c r="AC485" i="4"/>
  <c r="AC477" i="4"/>
  <c r="AC469" i="4"/>
  <c r="AC461" i="4"/>
  <c r="AC453" i="4"/>
  <c r="AC445" i="4"/>
  <c r="AC437" i="4"/>
  <c r="AB460" i="23"/>
  <c r="AD460" i="23" s="1"/>
  <c r="AC524" i="23"/>
  <c r="AC516" i="23"/>
  <c r="AC508" i="23"/>
  <c r="AC500" i="23"/>
  <c r="AC492" i="23"/>
  <c r="AC484" i="23"/>
  <c r="AC476" i="23"/>
  <c r="AC468" i="23"/>
  <c r="AC460" i="23"/>
  <c r="AC452" i="23"/>
  <c r="AC444" i="23"/>
  <c r="AC436" i="23"/>
  <c r="S524" i="23"/>
  <c r="S516" i="23"/>
  <c r="S508" i="23"/>
  <c r="S500" i="23"/>
  <c r="S492" i="23"/>
  <c r="S484" i="23"/>
  <c r="S476" i="23"/>
  <c r="S468" i="23"/>
  <c r="S460" i="23"/>
  <c r="S452" i="23"/>
  <c r="S444" i="23"/>
  <c r="S436" i="23"/>
  <c r="Y524" i="23"/>
  <c r="Y516" i="23"/>
  <c r="Y508" i="23"/>
  <c r="Y500" i="23"/>
  <c r="Y492" i="23"/>
  <c r="Y484" i="23"/>
  <c r="Y476" i="23"/>
  <c r="Y468" i="23"/>
  <c r="Y460" i="23"/>
  <c r="Y452" i="23"/>
  <c r="Y444" i="23"/>
  <c r="Y436" i="23"/>
  <c r="Q524" i="23"/>
  <c r="Q516" i="23"/>
  <c r="Q508" i="23"/>
  <c r="Q500" i="23"/>
  <c r="Q492" i="23"/>
  <c r="Q484" i="23"/>
  <c r="Q476" i="23"/>
  <c r="Q468" i="23"/>
  <c r="AB468" i="23" s="1"/>
  <c r="AD468" i="23" s="1"/>
  <c r="Q460" i="23"/>
  <c r="Q452" i="23"/>
  <c r="Q444" i="23"/>
  <c r="Q436" i="23"/>
  <c r="T524" i="23"/>
  <c r="T516" i="23"/>
  <c r="T508" i="23"/>
  <c r="T500" i="23"/>
  <c r="T492" i="23"/>
  <c r="T484" i="23"/>
  <c r="T476" i="23"/>
  <c r="T468" i="23"/>
  <c r="T460" i="23"/>
  <c r="T452" i="23"/>
  <c r="T444" i="23"/>
  <c r="T436" i="23"/>
  <c r="W524" i="23"/>
  <c r="W516" i="23"/>
  <c r="W508" i="23"/>
  <c r="W500" i="23"/>
  <c r="W492" i="23"/>
  <c r="W484" i="23"/>
  <c r="W476" i="23"/>
  <c r="W468" i="23"/>
  <c r="W460" i="23"/>
  <c r="W452" i="23"/>
  <c r="W444" i="23"/>
  <c r="W436" i="23"/>
  <c r="N524" i="23"/>
  <c r="N516" i="23"/>
  <c r="N508" i="23"/>
  <c r="N500" i="23"/>
  <c r="N492" i="23"/>
  <c r="N484" i="23"/>
  <c r="N476" i="23"/>
  <c r="N468" i="23"/>
  <c r="N460" i="23"/>
  <c r="N452" i="23"/>
  <c r="N444" i="23"/>
  <c r="N436" i="23"/>
  <c r="R524" i="23"/>
  <c r="R516" i="23"/>
  <c r="R508" i="23"/>
  <c r="R500" i="23"/>
  <c r="R492" i="23"/>
  <c r="R484" i="23"/>
  <c r="R476" i="23"/>
  <c r="R468" i="23"/>
  <c r="R460" i="23"/>
  <c r="R452" i="23"/>
  <c r="R444" i="23"/>
  <c r="R436" i="23"/>
  <c r="U524" i="23"/>
  <c r="U516" i="23"/>
  <c r="U508" i="23"/>
  <c r="U500" i="23"/>
  <c r="U492" i="23"/>
  <c r="U484" i="23"/>
  <c r="U476" i="23"/>
  <c r="U468" i="23"/>
  <c r="U460" i="23"/>
  <c r="U452" i="23"/>
  <c r="U444" i="23"/>
  <c r="U436" i="23"/>
  <c r="X524" i="23"/>
  <c r="X516" i="23"/>
  <c r="X508" i="23"/>
  <c r="X500" i="23"/>
  <c r="X492" i="23"/>
  <c r="X484" i="23"/>
  <c r="X476" i="23"/>
  <c r="X468" i="23"/>
  <c r="X460" i="23"/>
  <c r="X452" i="23"/>
  <c r="X444" i="23"/>
  <c r="X436" i="23"/>
  <c r="Z527" i="3"/>
  <c r="Z473" i="3"/>
  <c r="Z463" i="3"/>
  <c r="X513" i="3"/>
  <c r="X481" i="3"/>
  <c r="X449" i="3"/>
  <c r="V479" i="3"/>
  <c r="V447" i="3"/>
  <c r="W524" i="3"/>
  <c r="T524" i="3"/>
  <c r="V524" i="3"/>
  <c r="W516" i="3"/>
  <c r="T516" i="3"/>
  <c r="V516" i="3"/>
  <c r="W508" i="3"/>
  <c r="T508" i="3"/>
  <c r="V508" i="3"/>
  <c r="W500" i="3"/>
  <c r="T500" i="3"/>
  <c r="V500" i="3"/>
  <c r="W492" i="3"/>
  <c r="T492" i="3"/>
  <c r="V492" i="3"/>
  <c r="S484" i="3"/>
  <c r="W484" i="3"/>
  <c r="T484" i="3"/>
  <c r="V484" i="3"/>
  <c r="S476" i="3"/>
  <c r="W476" i="3"/>
  <c r="T476" i="3"/>
  <c r="V476" i="3"/>
  <c r="S468" i="3"/>
  <c r="W468" i="3"/>
  <c r="T468" i="3"/>
  <c r="V468" i="3"/>
  <c r="S460" i="3"/>
  <c r="W460" i="3"/>
  <c r="T460" i="3"/>
  <c r="V460" i="3"/>
  <c r="W452" i="3"/>
  <c r="T452" i="3"/>
  <c r="S444" i="3"/>
  <c r="W444" i="3"/>
  <c r="T444" i="3"/>
  <c r="V444" i="3"/>
  <c r="W436" i="3"/>
  <c r="T436" i="3"/>
  <c r="Q495" i="3"/>
  <c r="Q431" i="3"/>
  <c r="AC487" i="3"/>
  <c r="Z489" i="3"/>
  <c r="Z479" i="3"/>
  <c r="V519" i="3"/>
  <c r="V455" i="3"/>
  <c r="U484" i="3"/>
  <c r="S516" i="3"/>
  <c r="S431" i="3"/>
  <c r="Q468" i="3"/>
  <c r="Q529" i="3"/>
  <c r="V529" i="3"/>
  <c r="S529" i="3"/>
  <c r="AA529" i="3"/>
  <c r="U529" i="3"/>
  <c r="Q521" i="3"/>
  <c r="V521" i="3"/>
  <c r="S521" i="3"/>
  <c r="AA521" i="3"/>
  <c r="U521" i="3"/>
  <c r="Q513" i="3"/>
  <c r="V513" i="3"/>
  <c r="S513" i="3"/>
  <c r="AA513" i="3"/>
  <c r="U513" i="3"/>
  <c r="Q505" i="3"/>
  <c r="U505" i="3" s="1"/>
  <c r="V505" i="3"/>
  <c r="S505" i="3"/>
  <c r="AA505" i="3"/>
  <c r="Q497" i="3"/>
  <c r="V497" i="3"/>
  <c r="S497" i="3"/>
  <c r="AA497" i="3"/>
  <c r="U497" i="3"/>
  <c r="Q489" i="3"/>
  <c r="V489" i="3"/>
  <c r="S489" i="3"/>
  <c r="AA489" i="3"/>
  <c r="U489" i="3"/>
  <c r="AC489" i="3"/>
  <c r="Q481" i="3"/>
  <c r="V481" i="3"/>
  <c r="S481" i="3"/>
  <c r="AA481" i="3"/>
  <c r="U481" i="3"/>
  <c r="AC481" i="3"/>
  <c r="Q473" i="3"/>
  <c r="V473" i="3"/>
  <c r="S473" i="3"/>
  <c r="AA473" i="3"/>
  <c r="U473" i="3"/>
  <c r="AC473" i="3"/>
  <c r="Q465" i="3"/>
  <c r="V465" i="3"/>
  <c r="S465" i="3"/>
  <c r="AA465" i="3"/>
  <c r="U465" i="3"/>
  <c r="AC465" i="3"/>
  <c r="Q457" i="3"/>
  <c r="AE457" i="3" s="1"/>
  <c r="V457" i="3"/>
  <c r="S457" i="3"/>
  <c r="U457" i="3"/>
  <c r="AC457" i="3"/>
  <c r="Q449" i="3"/>
  <c r="V449" i="3"/>
  <c r="S449" i="3"/>
  <c r="AA449" i="3"/>
  <c r="U449" i="3"/>
  <c r="AC449" i="3"/>
  <c r="Q441" i="3"/>
  <c r="T441" i="3" s="1"/>
  <c r="V441" i="3"/>
  <c r="S441" i="3"/>
  <c r="AA441" i="3"/>
  <c r="U441" i="3"/>
  <c r="AC441" i="3"/>
  <c r="Q433" i="3"/>
  <c r="V433" i="3"/>
  <c r="S433" i="3"/>
  <c r="AA433" i="3"/>
  <c r="U433" i="3"/>
  <c r="AC433" i="3"/>
  <c r="AD529" i="3"/>
  <c r="AD521" i="3"/>
  <c r="AD513" i="3"/>
  <c r="AD505" i="3"/>
  <c r="AD497" i="3"/>
  <c r="AD489" i="3"/>
  <c r="AD481" i="3"/>
  <c r="AD473" i="3"/>
  <c r="AD465" i="3"/>
  <c r="AD449" i="3"/>
  <c r="AD441" i="3"/>
  <c r="AD433" i="3"/>
  <c r="AA431" i="3"/>
  <c r="Z505" i="3"/>
  <c r="Z495" i="3"/>
  <c r="Z441" i="3"/>
  <c r="Z431" i="3"/>
  <c r="X529" i="3"/>
  <c r="X497" i="3"/>
  <c r="X465" i="3"/>
  <c r="X433" i="3"/>
  <c r="S524" i="3"/>
  <c r="S492" i="3"/>
  <c r="Q516" i="3"/>
  <c r="Q452" i="3"/>
  <c r="AE452" i="3" s="1"/>
  <c r="W521" i="3"/>
  <c r="W489" i="3"/>
  <c r="W457" i="3"/>
  <c r="T529" i="3"/>
  <c r="T497" i="3"/>
  <c r="T465" i="3"/>
  <c r="T433" i="3"/>
  <c r="X527" i="3"/>
  <c r="U527" i="3"/>
  <c r="W527" i="3"/>
  <c r="X519" i="3"/>
  <c r="U519" i="3"/>
  <c r="AH519" i="3" s="1"/>
  <c r="AJ519" i="3" s="1"/>
  <c r="W519" i="3"/>
  <c r="X511" i="3"/>
  <c r="U511" i="3"/>
  <c r="W511" i="3"/>
  <c r="X503" i="3"/>
  <c r="U503" i="3"/>
  <c r="W503" i="3"/>
  <c r="X495" i="3"/>
  <c r="U495" i="3"/>
  <c r="W495" i="3"/>
  <c r="X487" i="3"/>
  <c r="U487" i="3"/>
  <c r="W487" i="3"/>
  <c r="X479" i="3"/>
  <c r="U479" i="3"/>
  <c r="W479" i="3"/>
  <c r="X471" i="3"/>
  <c r="U471" i="3"/>
  <c r="W471" i="3"/>
  <c r="X463" i="3"/>
  <c r="U463" i="3"/>
  <c r="W463" i="3"/>
  <c r="X455" i="3"/>
  <c r="U455" i="3"/>
  <c r="W455" i="3"/>
  <c r="X447" i="3"/>
  <c r="U447" i="3"/>
  <c r="W447" i="3"/>
  <c r="X439" i="3"/>
  <c r="U439" i="3"/>
  <c r="W439" i="3"/>
  <c r="X431" i="3"/>
  <c r="U431" i="3"/>
  <c r="W431" i="3"/>
  <c r="AD527" i="3"/>
  <c r="AD519" i="3"/>
  <c r="AD511" i="3"/>
  <c r="AD503" i="3"/>
  <c r="AD495" i="3"/>
  <c r="AD487" i="3"/>
  <c r="AD479" i="3"/>
  <c r="AD471" i="3"/>
  <c r="AD463" i="3"/>
  <c r="AD455" i="3"/>
  <c r="AD447" i="3"/>
  <c r="AD439" i="3"/>
  <c r="AD431" i="3"/>
  <c r="AC455" i="3"/>
  <c r="AB529" i="3"/>
  <c r="AB521" i="3"/>
  <c r="AB513" i="3"/>
  <c r="AB505" i="3"/>
  <c r="AB497" i="3"/>
  <c r="AB489" i="3"/>
  <c r="AB481" i="3"/>
  <c r="AB473" i="3"/>
  <c r="AB465" i="3"/>
  <c r="AB457" i="3"/>
  <c r="AB449" i="3"/>
  <c r="AB441" i="3"/>
  <c r="AB433" i="3"/>
  <c r="Z521" i="3"/>
  <c r="Z511" i="3"/>
  <c r="Z457" i="3"/>
  <c r="Z447" i="3"/>
  <c r="X505" i="3"/>
  <c r="X473" i="3"/>
  <c r="X441" i="3"/>
  <c r="V503" i="3"/>
  <c r="V471" i="3"/>
  <c r="V439" i="3"/>
  <c r="U516" i="3"/>
  <c r="S500" i="3"/>
  <c r="S463" i="3"/>
  <c r="Q500" i="3"/>
  <c r="Q487" i="3"/>
  <c r="Q436" i="3"/>
  <c r="V436" i="3" s="1"/>
  <c r="Z528" i="3"/>
  <c r="Z520" i="3"/>
  <c r="Z504" i="3"/>
  <c r="Z496" i="3"/>
  <c r="Z488" i="3"/>
  <c r="Z480" i="3"/>
  <c r="Z472" i="3"/>
  <c r="Z464" i="3"/>
  <c r="Z456" i="3"/>
  <c r="Z448" i="3"/>
  <c r="Z440" i="3"/>
  <c r="Z432" i="3"/>
  <c r="T518" i="3"/>
  <c r="AH518" i="3" s="1"/>
  <c r="AJ518" i="3" s="1"/>
  <c r="T502" i="3"/>
  <c r="T494" i="3"/>
  <c r="AH494" i="3" s="1"/>
  <c r="AJ494" i="3" s="1"/>
  <c r="T486" i="3"/>
  <c r="T470" i="3"/>
  <c r="T462" i="3"/>
  <c r="AH462" i="3" s="1"/>
  <c r="AJ462" i="3" s="1"/>
  <c r="T454" i="3"/>
  <c r="T446" i="3"/>
  <c r="AH446" i="3" s="1"/>
  <c r="AJ446" i="3" s="1"/>
  <c r="T438" i="3"/>
  <c r="T430" i="3"/>
  <c r="Q528" i="3"/>
  <c r="Q520" i="3"/>
  <c r="Q512" i="3"/>
  <c r="Q504" i="3"/>
  <c r="Q496" i="3"/>
  <c r="Q488" i="3"/>
  <c r="Q480" i="3"/>
  <c r="Q472" i="3"/>
  <c r="Q464" i="3"/>
  <c r="Q456" i="3"/>
  <c r="Q448" i="3"/>
  <c r="Q440" i="3"/>
  <c r="Q432" i="3"/>
  <c r="X528" i="3"/>
  <c r="X512" i="3"/>
  <c r="X504" i="3"/>
  <c r="X496" i="3"/>
  <c r="X488" i="3"/>
  <c r="X480" i="3"/>
  <c r="X472" i="3"/>
  <c r="X464" i="3"/>
  <c r="X456" i="3"/>
  <c r="X448" i="3"/>
  <c r="X440" i="3"/>
  <c r="X432" i="3"/>
  <c r="Q526" i="3"/>
  <c r="U526" i="3" s="1"/>
  <c r="Q518" i="3"/>
  <c r="Q510" i="3"/>
  <c r="X510" i="3" s="1"/>
  <c r="Q502" i="3"/>
  <c r="Q494" i="3"/>
  <c r="Q486" i="3"/>
  <c r="Q478" i="3"/>
  <c r="T478" i="3" s="1"/>
  <c r="Q470" i="3"/>
  <c r="Y470" i="3" s="1"/>
  <c r="Q462" i="3"/>
  <c r="Q454" i="3"/>
  <c r="Q446" i="3"/>
  <c r="Q438" i="3"/>
  <c r="Q430" i="3"/>
  <c r="AA528" i="3"/>
  <c r="AA520" i="3"/>
  <c r="AA512" i="3"/>
  <c r="AA504" i="3"/>
  <c r="AA496" i="3"/>
  <c r="AA488" i="3"/>
  <c r="AA480" i="3"/>
  <c r="AA464" i="3"/>
  <c r="AA456" i="3"/>
  <c r="AA448" i="3"/>
  <c r="AA440" i="3"/>
  <c r="AA445" i="2"/>
  <c r="U445" i="2"/>
  <c r="AB431" i="2"/>
  <c r="V431" i="2"/>
  <c r="S460" i="2"/>
  <c r="AA460" i="2"/>
  <c r="X460" i="2"/>
  <c r="U460" i="2"/>
  <c r="AC460" i="2"/>
  <c r="Q460" i="2"/>
  <c r="Z460" i="2"/>
  <c r="W460" i="2"/>
  <c r="AE460" i="2"/>
  <c r="V460" i="2"/>
  <c r="AD460" i="2"/>
  <c r="AB477" i="2"/>
  <c r="AH479" i="2"/>
  <c r="AJ479" i="2" s="1"/>
  <c r="T445" i="2"/>
  <c r="AC494" i="2"/>
  <c r="T494" i="2"/>
  <c r="AB494" i="2"/>
  <c r="AB455" i="2"/>
  <c r="AD455" i="2"/>
  <c r="AD430" i="2"/>
  <c r="AC430" i="2"/>
  <c r="T430" i="2"/>
  <c r="X523" i="2"/>
  <c r="AC523" i="2"/>
  <c r="Q523" i="2"/>
  <c r="AE523" i="2" s="1"/>
  <c r="Z523" i="2"/>
  <c r="W523" i="2"/>
  <c r="T523" i="2"/>
  <c r="AB523" i="2"/>
  <c r="S523" i="2"/>
  <c r="X515" i="2"/>
  <c r="U515" i="2"/>
  <c r="AC515" i="2"/>
  <c r="Q515" i="2"/>
  <c r="AE515" i="2" s="1"/>
  <c r="Z515" i="2"/>
  <c r="W515" i="2"/>
  <c r="T515" i="2"/>
  <c r="S515" i="2"/>
  <c r="X507" i="2"/>
  <c r="AC507" i="2"/>
  <c r="Q507" i="2"/>
  <c r="AE507" i="2" s="1"/>
  <c r="Z507" i="2"/>
  <c r="W507" i="2"/>
  <c r="AB507" i="2"/>
  <c r="AA507" i="2"/>
  <c r="U499" i="2"/>
  <c r="AC499" i="2"/>
  <c r="Q499" i="2"/>
  <c r="AD499" i="2" s="1"/>
  <c r="Z499" i="2"/>
  <c r="W499" i="2"/>
  <c r="AB499" i="2"/>
  <c r="S499" i="2"/>
  <c r="AA499" i="2"/>
  <c r="X491" i="2"/>
  <c r="U491" i="2"/>
  <c r="AC491" i="2"/>
  <c r="Q491" i="2"/>
  <c r="Z491" i="2"/>
  <c r="W491" i="2"/>
  <c r="T491" i="2"/>
  <c r="AB491" i="2"/>
  <c r="S491" i="2"/>
  <c r="AA491" i="2"/>
  <c r="X483" i="2"/>
  <c r="U483" i="2"/>
  <c r="AC483" i="2"/>
  <c r="Q483" i="2"/>
  <c r="Z483" i="2"/>
  <c r="W483" i="2"/>
  <c r="T483" i="2"/>
  <c r="AB483" i="2"/>
  <c r="S483" i="2"/>
  <c r="AA483" i="2"/>
  <c r="X475" i="2"/>
  <c r="AC475" i="2"/>
  <c r="Q475" i="2"/>
  <c r="U475" i="2" s="1"/>
  <c r="Z475" i="2"/>
  <c r="W475" i="2"/>
  <c r="T475" i="2"/>
  <c r="AB475" i="2"/>
  <c r="S475" i="2"/>
  <c r="AA475" i="2"/>
  <c r="X467" i="2"/>
  <c r="Q467" i="2"/>
  <c r="U467" i="2" s="1"/>
  <c r="Z467" i="2"/>
  <c r="W467" i="2"/>
  <c r="T467" i="2"/>
  <c r="AB467" i="2"/>
  <c r="S467" i="2"/>
  <c r="X459" i="2"/>
  <c r="U459" i="2"/>
  <c r="AC459" i="2"/>
  <c r="Q459" i="2"/>
  <c r="Z459" i="2"/>
  <c r="W459" i="2"/>
  <c r="T459" i="2"/>
  <c r="AB459" i="2"/>
  <c r="S459" i="2"/>
  <c r="AA459" i="2"/>
  <c r="X451" i="2"/>
  <c r="U451" i="2"/>
  <c r="AC451" i="2"/>
  <c r="Q451" i="2"/>
  <c r="Z451" i="2"/>
  <c r="W451" i="2"/>
  <c r="T451" i="2"/>
  <c r="S451" i="2"/>
  <c r="AA451" i="2"/>
  <c r="X443" i="2"/>
  <c r="AC443" i="2"/>
  <c r="Q443" i="2"/>
  <c r="T443" i="2" s="1"/>
  <c r="Z443" i="2"/>
  <c r="W443" i="2"/>
  <c r="AB443" i="2"/>
  <c r="S443" i="2"/>
  <c r="X435" i="2"/>
  <c r="U435" i="2"/>
  <c r="AC435" i="2"/>
  <c r="Q435" i="2"/>
  <c r="Z435" i="2"/>
  <c r="W435" i="2"/>
  <c r="AE435" i="2"/>
  <c r="T435" i="2"/>
  <c r="AB435" i="2"/>
  <c r="S435" i="2"/>
  <c r="AA435" i="2"/>
  <c r="S468" i="2"/>
  <c r="AA468" i="2"/>
  <c r="X468" i="2"/>
  <c r="AC468" i="2"/>
  <c r="Q468" i="2"/>
  <c r="U468" i="2" s="1"/>
  <c r="Z468" i="2"/>
  <c r="W468" i="2"/>
  <c r="AE468" i="2"/>
  <c r="V468" i="2"/>
  <c r="AC471" i="2"/>
  <c r="V518" i="2"/>
  <c r="AC518" i="2"/>
  <c r="T518" i="2"/>
  <c r="AB518" i="2"/>
  <c r="AC454" i="2"/>
  <c r="AB454" i="2"/>
  <c r="AD446" i="2"/>
  <c r="S446" i="2"/>
  <c r="AB446" i="2"/>
  <c r="AD517" i="2"/>
  <c r="X517" i="2"/>
  <c r="AD501" i="2"/>
  <c r="AC501" i="2"/>
  <c r="AH501" i="2" s="1"/>
  <c r="AJ501" i="2" s="1"/>
  <c r="V493" i="2"/>
  <c r="AC493" i="2"/>
  <c r="AD453" i="2"/>
  <c r="U453" i="2"/>
  <c r="AC453" i="2"/>
  <c r="S476" i="2"/>
  <c r="AA476" i="2"/>
  <c r="X476" i="2"/>
  <c r="U476" i="2"/>
  <c r="AC476" i="2"/>
  <c r="Q476" i="2"/>
  <c r="V476" i="2" s="1"/>
  <c r="W476" i="2"/>
  <c r="AE476" i="2"/>
  <c r="AD476" i="2"/>
  <c r="AB493" i="2"/>
  <c r="AB453" i="2"/>
  <c r="T439" i="2"/>
  <c r="AB439" i="2"/>
  <c r="AA439" i="2"/>
  <c r="AH437" i="2"/>
  <c r="AJ437" i="2" s="1"/>
  <c r="AA516" i="2"/>
  <c r="U516" i="2"/>
  <c r="AC516" i="2"/>
  <c r="Q516" i="2"/>
  <c r="S516" i="2" s="1"/>
  <c r="Z516" i="2"/>
  <c r="W516" i="2"/>
  <c r="V516" i="2"/>
  <c r="AD516" i="2"/>
  <c r="S452" i="2"/>
  <c r="AA452" i="2"/>
  <c r="X452" i="2"/>
  <c r="U452" i="2"/>
  <c r="AC452" i="2"/>
  <c r="Q452" i="2"/>
  <c r="Z452" i="2"/>
  <c r="W452" i="2"/>
  <c r="AE452" i="2"/>
  <c r="V452" i="2"/>
  <c r="AD452" i="2"/>
  <c r="AB452" i="2"/>
  <c r="T516" i="2"/>
  <c r="T460" i="2"/>
  <c r="T527" i="2"/>
  <c r="AA527" i="2"/>
  <c r="AB463" i="2"/>
  <c r="AD438" i="2"/>
  <c r="X438" i="2"/>
  <c r="AC438" i="2"/>
  <c r="AA509" i="2"/>
  <c r="U509" i="2"/>
  <c r="S524" i="2"/>
  <c r="X524" i="2"/>
  <c r="AC524" i="2"/>
  <c r="Q524" i="2"/>
  <c r="AA524" i="2" s="1"/>
  <c r="Z524" i="2"/>
  <c r="W524" i="2"/>
  <c r="AE524" i="2"/>
  <c r="V524" i="2"/>
  <c r="AD524" i="2"/>
  <c r="S500" i="2"/>
  <c r="AA500" i="2"/>
  <c r="X500" i="2"/>
  <c r="U500" i="2"/>
  <c r="AC500" i="2"/>
  <c r="Q500" i="2"/>
  <c r="Z500" i="2"/>
  <c r="W500" i="2"/>
  <c r="AE500" i="2"/>
  <c r="V500" i="2"/>
  <c r="AD500" i="2"/>
  <c r="AA492" i="2"/>
  <c r="X492" i="2"/>
  <c r="U492" i="2"/>
  <c r="AC492" i="2"/>
  <c r="Q492" i="2"/>
  <c r="T492" i="2" s="1"/>
  <c r="Z492" i="2"/>
  <c r="W492" i="2"/>
  <c r="V492" i="2"/>
  <c r="AD492" i="2"/>
  <c r="S484" i="2"/>
  <c r="AA484" i="2"/>
  <c r="X484" i="2"/>
  <c r="U484" i="2"/>
  <c r="AC484" i="2"/>
  <c r="Q484" i="2"/>
  <c r="Z484" i="2"/>
  <c r="W484" i="2"/>
  <c r="AE484" i="2"/>
  <c r="V484" i="2"/>
  <c r="AD484" i="2"/>
  <c r="S436" i="2"/>
  <c r="AA436" i="2"/>
  <c r="U436" i="2"/>
  <c r="Q436" i="2"/>
  <c r="X436" i="2" s="1"/>
  <c r="Z436" i="2"/>
  <c r="W436" i="2"/>
  <c r="AE436" i="2"/>
  <c r="V436" i="2"/>
  <c r="AD436" i="2"/>
  <c r="AE453" i="2"/>
  <c r="AC431" i="2"/>
  <c r="V507" i="2"/>
  <c r="V467" i="2"/>
  <c r="T477" i="2"/>
  <c r="T468" i="2"/>
  <c r="AD526" i="2"/>
  <c r="AA526" i="2"/>
  <c r="U526" i="2"/>
  <c r="T526" i="2"/>
  <c r="AA469" i="2"/>
  <c r="U469" i="2"/>
  <c r="AH469" i="2" s="1"/>
  <c r="AJ469" i="2" s="1"/>
  <c r="AB495" i="2"/>
  <c r="AE495" i="2"/>
  <c r="S508" i="2"/>
  <c r="AA508" i="2"/>
  <c r="X508" i="2"/>
  <c r="AC508" i="2"/>
  <c r="Q508" i="2"/>
  <c r="U508" i="2" s="1"/>
  <c r="Z508" i="2"/>
  <c r="W508" i="2"/>
  <c r="AD508" i="2"/>
  <c r="S444" i="2"/>
  <c r="AA444" i="2"/>
  <c r="X444" i="2"/>
  <c r="U444" i="2"/>
  <c r="Q444" i="2"/>
  <c r="AB444" i="2" s="1"/>
  <c r="Z444" i="2"/>
  <c r="W444" i="2"/>
  <c r="AE444" i="2"/>
  <c r="V444" i="2"/>
  <c r="AD444" i="2"/>
  <c r="AE509" i="2"/>
  <c r="Y524" i="2"/>
  <c r="Y516" i="2"/>
  <c r="Y508" i="2"/>
  <c r="Y500" i="2"/>
  <c r="Y492" i="2"/>
  <c r="Y484" i="2"/>
  <c r="Y476" i="2"/>
  <c r="Y468" i="2"/>
  <c r="Y460" i="2"/>
  <c r="Y452" i="2"/>
  <c r="Y436" i="2"/>
  <c r="U471" i="2"/>
  <c r="AH447" i="2"/>
  <c r="AJ447" i="2" s="1"/>
  <c r="AH525" i="2"/>
  <c r="AJ525" i="2" s="1"/>
  <c r="T476" i="2"/>
  <c r="AB511" i="2"/>
  <c r="V511" i="2"/>
  <c r="V486" i="2"/>
  <c r="X486" i="2"/>
  <c r="U486" i="2"/>
  <c r="P3" i="26"/>
  <c r="Q3" i="26"/>
  <c r="R3" i="26"/>
  <c r="S3" i="26"/>
  <c r="T3" i="26"/>
  <c r="U3" i="26"/>
  <c r="V3" i="26"/>
  <c r="W3" i="26"/>
  <c r="X3" i="26"/>
  <c r="Y3" i="26"/>
  <c r="Z3" i="26"/>
  <c r="AA3" i="26"/>
  <c r="AB3" i="26"/>
  <c r="P4" i="26"/>
  <c r="Q4" i="26"/>
  <c r="R4" i="26"/>
  <c r="S4" i="26"/>
  <c r="T4" i="26"/>
  <c r="U4" i="26"/>
  <c r="V4" i="26"/>
  <c r="W4" i="26"/>
  <c r="X4" i="26"/>
  <c r="Y4" i="26"/>
  <c r="Z4" i="26"/>
  <c r="AA4" i="26"/>
  <c r="AB4" i="26"/>
  <c r="P5" i="26"/>
  <c r="Q5" i="26"/>
  <c r="R5" i="26"/>
  <c r="S5" i="26"/>
  <c r="T5" i="26"/>
  <c r="U5" i="26"/>
  <c r="V5" i="26"/>
  <c r="W5" i="26"/>
  <c r="X5" i="26"/>
  <c r="Y5" i="26"/>
  <c r="Z5" i="26"/>
  <c r="AA5" i="26"/>
  <c r="AB5" i="26"/>
  <c r="P6" i="26"/>
  <c r="Q6" i="26"/>
  <c r="R6" i="26"/>
  <c r="S6" i="26"/>
  <c r="T6" i="26"/>
  <c r="U6" i="26"/>
  <c r="V6" i="26"/>
  <c r="W6" i="26"/>
  <c r="X6" i="26"/>
  <c r="Y6" i="26"/>
  <c r="Z6" i="26"/>
  <c r="AA6" i="26"/>
  <c r="AB6" i="26"/>
  <c r="P7" i="26"/>
  <c r="Q7" i="26"/>
  <c r="R7" i="26"/>
  <c r="S7" i="26"/>
  <c r="T7" i="26"/>
  <c r="U7" i="26"/>
  <c r="V7" i="26"/>
  <c r="W7" i="26"/>
  <c r="X7" i="26"/>
  <c r="Y7" i="26"/>
  <c r="Z7" i="26"/>
  <c r="AA7" i="26"/>
  <c r="AB7" i="26"/>
  <c r="P8" i="26"/>
  <c r="Q8" i="26"/>
  <c r="R8" i="26"/>
  <c r="S8" i="26"/>
  <c r="T8" i="26"/>
  <c r="U8" i="26"/>
  <c r="V8" i="26"/>
  <c r="W8" i="26"/>
  <c r="X8" i="26"/>
  <c r="Y8" i="26"/>
  <c r="Z8" i="26"/>
  <c r="AA8" i="26"/>
  <c r="AB8" i="26"/>
  <c r="P9" i="26"/>
  <c r="Q9" i="26"/>
  <c r="R9" i="26"/>
  <c r="S9" i="26"/>
  <c r="T9" i="26"/>
  <c r="U9" i="26"/>
  <c r="V9" i="26"/>
  <c r="W9" i="26"/>
  <c r="X9" i="26"/>
  <c r="Y9" i="26"/>
  <c r="Z9" i="26"/>
  <c r="AA9" i="26"/>
  <c r="AB9" i="26"/>
  <c r="P10" i="26"/>
  <c r="Q10" i="26"/>
  <c r="R10" i="26"/>
  <c r="S10" i="26"/>
  <c r="T10" i="26"/>
  <c r="U10" i="26"/>
  <c r="V10" i="26"/>
  <c r="W10" i="26"/>
  <c r="X10" i="26"/>
  <c r="Y10" i="26"/>
  <c r="Z10" i="26"/>
  <c r="AA10" i="26"/>
  <c r="AB10" i="26"/>
  <c r="P11" i="26"/>
  <c r="Q11" i="26"/>
  <c r="R11" i="26"/>
  <c r="S11" i="26"/>
  <c r="T11" i="26"/>
  <c r="U11" i="26"/>
  <c r="V11" i="26"/>
  <c r="W11" i="26"/>
  <c r="X11" i="26"/>
  <c r="Y11" i="26"/>
  <c r="Z11" i="26"/>
  <c r="AA11" i="26"/>
  <c r="AB11" i="26"/>
  <c r="P12" i="26"/>
  <c r="Q12" i="26"/>
  <c r="R12" i="26"/>
  <c r="S12" i="26"/>
  <c r="T12" i="26"/>
  <c r="U12" i="26"/>
  <c r="V12" i="26"/>
  <c r="W12" i="26"/>
  <c r="X12" i="26"/>
  <c r="Y12" i="26"/>
  <c r="Z12" i="26"/>
  <c r="AA12" i="26"/>
  <c r="AB12" i="26"/>
  <c r="P13" i="26"/>
  <c r="Q13" i="26"/>
  <c r="R13" i="26"/>
  <c r="S13" i="26"/>
  <c r="T13" i="26"/>
  <c r="U13" i="26"/>
  <c r="V13" i="26"/>
  <c r="W13" i="26"/>
  <c r="X13" i="26"/>
  <c r="Y13" i="26"/>
  <c r="Z13" i="26"/>
  <c r="AA13" i="26"/>
  <c r="AB13" i="26"/>
  <c r="P14" i="26"/>
  <c r="Q14" i="26"/>
  <c r="R14" i="26"/>
  <c r="S14" i="26"/>
  <c r="T14" i="26"/>
  <c r="U14" i="26"/>
  <c r="V14" i="26"/>
  <c r="W14" i="26"/>
  <c r="X14" i="26"/>
  <c r="Y14" i="26"/>
  <c r="Z14" i="26"/>
  <c r="AA14" i="26"/>
  <c r="AB14" i="26"/>
  <c r="P15" i="26"/>
  <c r="Q15" i="26"/>
  <c r="R15" i="26"/>
  <c r="S15" i="26"/>
  <c r="T15" i="26"/>
  <c r="U15" i="26"/>
  <c r="V15" i="26"/>
  <c r="W15" i="26"/>
  <c r="X15" i="26"/>
  <c r="Y15" i="26"/>
  <c r="Z15" i="26"/>
  <c r="AA15" i="26"/>
  <c r="AB15" i="26"/>
  <c r="P16" i="26"/>
  <c r="Q16" i="26"/>
  <c r="R16" i="26"/>
  <c r="S16" i="26"/>
  <c r="T16" i="26"/>
  <c r="U16" i="26"/>
  <c r="V16" i="26"/>
  <c r="W16" i="26"/>
  <c r="X16" i="26"/>
  <c r="Y16" i="26"/>
  <c r="Z16" i="26"/>
  <c r="AA16" i="26"/>
  <c r="AB16" i="26"/>
  <c r="P17" i="26"/>
  <c r="Q17" i="26"/>
  <c r="R17" i="26"/>
  <c r="S17" i="26"/>
  <c r="T17" i="26"/>
  <c r="U17" i="26"/>
  <c r="V17" i="26"/>
  <c r="W17" i="26"/>
  <c r="X17" i="26"/>
  <c r="Y17" i="26"/>
  <c r="Z17" i="26"/>
  <c r="AA17" i="26"/>
  <c r="AB17" i="26"/>
  <c r="P18" i="26"/>
  <c r="Q18" i="26"/>
  <c r="R18" i="26"/>
  <c r="S18" i="26"/>
  <c r="T18" i="26"/>
  <c r="U18" i="26"/>
  <c r="V18" i="26"/>
  <c r="W18" i="26"/>
  <c r="X18" i="26"/>
  <c r="Y18" i="26"/>
  <c r="Z18" i="26"/>
  <c r="AA18" i="26"/>
  <c r="AB18" i="26"/>
  <c r="P19" i="26"/>
  <c r="Q19" i="26"/>
  <c r="R19" i="26"/>
  <c r="S19" i="26"/>
  <c r="T19" i="26"/>
  <c r="U19" i="26"/>
  <c r="V19" i="26"/>
  <c r="W19" i="26"/>
  <c r="X19" i="26"/>
  <c r="Y19" i="26"/>
  <c r="Z19" i="26"/>
  <c r="AA19" i="26"/>
  <c r="AB19" i="26"/>
  <c r="P20" i="26"/>
  <c r="Q20" i="26"/>
  <c r="R20" i="26"/>
  <c r="S20" i="26"/>
  <c r="T20" i="26"/>
  <c r="U20" i="26"/>
  <c r="V20" i="26"/>
  <c r="W20" i="26"/>
  <c r="X20" i="26"/>
  <c r="Y20" i="26"/>
  <c r="Z20" i="26"/>
  <c r="AA20" i="26"/>
  <c r="AB20" i="26"/>
  <c r="P21" i="26"/>
  <c r="Q21" i="26"/>
  <c r="R21" i="26"/>
  <c r="S21" i="26"/>
  <c r="T21" i="26"/>
  <c r="U21" i="26"/>
  <c r="V21" i="26"/>
  <c r="W21" i="26"/>
  <c r="X21" i="26"/>
  <c r="Y21" i="26"/>
  <c r="Z21" i="26"/>
  <c r="AA21" i="26"/>
  <c r="AB21" i="26"/>
  <c r="P22" i="26"/>
  <c r="Q22" i="26"/>
  <c r="R22" i="26"/>
  <c r="S22" i="26"/>
  <c r="T22" i="26"/>
  <c r="U22" i="26"/>
  <c r="V22" i="26"/>
  <c r="W22" i="26"/>
  <c r="X22" i="26"/>
  <c r="Y22" i="26"/>
  <c r="Z22" i="26"/>
  <c r="AA22" i="26"/>
  <c r="AB22" i="26"/>
  <c r="P23" i="26"/>
  <c r="Q23" i="26"/>
  <c r="R23" i="26"/>
  <c r="S23" i="26"/>
  <c r="T23" i="26"/>
  <c r="U23" i="26"/>
  <c r="V23" i="26"/>
  <c r="W23" i="26"/>
  <c r="X23" i="26"/>
  <c r="Y23" i="26"/>
  <c r="Z23" i="26"/>
  <c r="AA23" i="26"/>
  <c r="AB23" i="26"/>
  <c r="P24" i="26"/>
  <c r="Q24" i="26"/>
  <c r="R24" i="26"/>
  <c r="S24" i="26"/>
  <c r="T24" i="26"/>
  <c r="U24" i="26"/>
  <c r="V24" i="26"/>
  <c r="W24" i="26"/>
  <c r="X24" i="26"/>
  <c r="Y24" i="26"/>
  <c r="Z24" i="26"/>
  <c r="AA24" i="26"/>
  <c r="AB24" i="26"/>
  <c r="P25" i="26"/>
  <c r="Q25" i="26"/>
  <c r="R25" i="26"/>
  <c r="S25" i="26"/>
  <c r="T25" i="26"/>
  <c r="U25" i="26"/>
  <c r="V25" i="26"/>
  <c r="W25" i="26"/>
  <c r="X25" i="26"/>
  <c r="Y25" i="26"/>
  <c r="Z25" i="26"/>
  <c r="AA25" i="26"/>
  <c r="AB25" i="26"/>
  <c r="P26" i="26"/>
  <c r="Q26" i="26"/>
  <c r="R26" i="26"/>
  <c r="S26" i="26"/>
  <c r="T26" i="26"/>
  <c r="U26" i="26"/>
  <c r="V26" i="26"/>
  <c r="W26" i="26"/>
  <c r="X26" i="26"/>
  <c r="Y26" i="26"/>
  <c r="Z26" i="26"/>
  <c r="AA26" i="26"/>
  <c r="AB26" i="26"/>
  <c r="P27" i="26"/>
  <c r="Q27" i="26"/>
  <c r="R27" i="26"/>
  <c r="S27" i="26"/>
  <c r="T27" i="26"/>
  <c r="U27" i="26"/>
  <c r="V27" i="26"/>
  <c r="W27" i="26"/>
  <c r="X27" i="26"/>
  <c r="Y27" i="26"/>
  <c r="Z27" i="26"/>
  <c r="AA27" i="26"/>
  <c r="AB27" i="26"/>
  <c r="P28" i="26"/>
  <c r="Q28" i="26"/>
  <c r="R28" i="26"/>
  <c r="S28" i="26"/>
  <c r="T28" i="26"/>
  <c r="U28" i="26"/>
  <c r="V28" i="26"/>
  <c r="W28" i="26"/>
  <c r="X28" i="26"/>
  <c r="Y28" i="26"/>
  <c r="Z28" i="26"/>
  <c r="AA28" i="26"/>
  <c r="AB28" i="26"/>
  <c r="P29" i="26"/>
  <c r="Q29" i="26"/>
  <c r="R29" i="26"/>
  <c r="S29" i="26"/>
  <c r="T29" i="26"/>
  <c r="U29" i="26"/>
  <c r="V29" i="26"/>
  <c r="W29" i="26"/>
  <c r="X29" i="26"/>
  <c r="Y29" i="26"/>
  <c r="Z29" i="26"/>
  <c r="AA29" i="26"/>
  <c r="AB29" i="26"/>
  <c r="P30" i="26"/>
  <c r="Q30" i="26"/>
  <c r="R30" i="26"/>
  <c r="S30" i="26"/>
  <c r="T30" i="26"/>
  <c r="U30" i="26"/>
  <c r="V30" i="26"/>
  <c r="W30" i="26"/>
  <c r="X30" i="26"/>
  <c r="Y30" i="26"/>
  <c r="Z30" i="26"/>
  <c r="AA30" i="26"/>
  <c r="AB30" i="26"/>
  <c r="P31" i="26"/>
  <c r="Q31" i="26"/>
  <c r="R31" i="26"/>
  <c r="S31" i="26"/>
  <c r="T31" i="26"/>
  <c r="U31" i="26"/>
  <c r="V31" i="26"/>
  <c r="W31" i="26"/>
  <c r="X31" i="26"/>
  <c r="Y31" i="26"/>
  <c r="Z31" i="26"/>
  <c r="AA31" i="26"/>
  <c r="AB31" i="26"/>
  <c r="P32" i="26"/>
  <c r="Q32" i="26"/>
  <c r="R32" i="26"/>
  <c r="S32" i="26"/>
  <c r="T32" i="26"/>
  <c r="U32" i="26"/>
  <c r="V32" i="26"/>
  <c r="W32" i="26"/>
  <c r="X32" i="26"/>
  <c r="Y32" i="26"/>
  <c r="Z32" i="26"/>
  <c r="AA32" i="26"/>
  <c r="AB32" i="26"/>
  <c r="P33" i="26"/>
  <c r="Q33" i="26"/>
  <c r="R33" i="26"/>
  <c r="S33" i="26"/>
  <c r="T33" i="26"/>
  <c r="U33" i="26"/>
  <c r="V33" i="26"/>
  <c r="W33" i="26"/>
  <c r="X33" i="26"/>
  <c r="Y33" i="26"/>
  <c r="Z33" i="26"/>
  <c r="AA33" i="26"/>
  <c r="AB33" i="26"/>
  <c r="P34" i="26"/>
  <c r="Q34" i="26"/>
  <c r="R34" i="26"/>
  <c r="S34" i="26"/>
  <c r="T34" i="26"/>
  <c r="U34" i="26"/>
  <c r="V34" i="26"/>
  <c r="W34" i="26"/>
  <c r="X34" i="26"/>
  <c r="Y34" i="26"/>
  <c r="Z34" i="26"/>
  <c r="AA34" i="26"/>
  <c r="AB34" i="26"/>
  <c r="P35" i="26"/>
  <c r="Q35" i="26"/>
  <c r="R35" i="26"/>
  <c r="S35" i="26"/>
  <c r="T35" i="26"/>
  <c r="U35" i="26"/>
  <c r="V35" i="26"/>
  <c r="W35" i="26"/>
  <c r="X35" i="26"/>
  <c r="Y35" i="26"/>
  <c r="Z35" i="26"/>
  <c r="AA35" i="26"/>
  <c r="AB35" i="26"/>
  <c r="P36" i="26"/>
  <c r="Q36" i="26"/>
  <c r="R36" i="26"/>
  <c r="S36" i="26"/>
  <c r="T36" i="26"/>
  <c r="U36" i="26"/>
  <c r="V36" i="26"/>
  <c r="W36" i="26"/>
  <c r="X36" i="26"/>
  <c r="Y36" i="26"/>
  <c r="Z36" i="26"/>
  <c r="AA36" i="26"/>
  <c r="AB36" i="26"/>
  <c r="P37" i="26"/>
  <c r="Q37" i="26"/>
  <c r="R37" i="26"/>
  <c r="S37" i="26"/>
  <c r="T37" i="26"/>
  <c r="U37" i="26"/>
  <c r="V37" i="26"/>
  <c r="W37" i="26"/>
  <c r="X37" i="26"/>
  <c r="Y37" i="26"/>
  <c r="Z37" i="26"/>
  <c r="AA37" i="26"/>
  <c r="AB37" i="26"/>
  <c r="P38" i="26"/>
  <c r="Q38" i="26"/>
  <c r="R38" i="26"/>
  <c r="S38" i="26"/>
  <c r="T38" i="26"/>
  <c r="U38" i="26"/>
  <c r="V38" i="26"/>
  <c r="W38" i="26"/>
  <c r="X38" i="26"/>
  <c r="Y38" i="26"/>
  <c r="Z38" i="26"/>
  <c r="AA38" i="26"/>
  <c r="AB38" i="26"/>
  <c r="P39" i="26"/>
  <c r="Q39" i="26"/>
  <c r="R39" i="26"/>
  <c r="S39" i="26"/>
  <c r="T39" i="26"/>
  <c r="U39" i="26"/>
  <c r="V39" i="26"/>
  <c r="W39" i="26"/>
  <c r="X39" i="26"/>
  <c r="Y39" i="26"/>
  <c r="Z39" i="26"/>
  <c r="AA39" i="26"/>
  <c r="AB39" i="26"/>
  <c r="P40" i="26"/>
  <c r="Q40" i="26"/>
  <c r="R40" i="26"/>
  <c r="S40" i="26"/>
  <c r="T40" i="26"/>
  <c r="U40" i="26"/>
  <c r="V40" i="26"/>
  <c r="W40" i="26"/>
  <c r="X40" i="26"/>
  <c r="Y40" i="26"/>
  <c r="Z40" i="26"/>
  <c r="AA40" i="26"/>
  <c r="AB40" i="26"/>
  <c r="P41" i="26"/>
  <c r="Q41" i="26"/>
  <c r="R41" i="26"/>
  <c r="S41" i="26"/>
  <c r="T41" i="26"/>
  <c r="U41" i="26"/>
  <c r="V41" i="26"/>
  <c r="W41" i="26"/>
  <c r="X41" i="26"/>
  <c r="Y41" i="26"/>
  <c r="Z41" i="26"/>
  <c r="AA41" i="26"/>
  <c r="AB41" i="26"/>
  <c r="P42" i="26"/>
  <c r="Q42" i="26"/>
  <c r="R42" i="26"/>
  <c r="S42" i="26"/>
  <c r="T42" i="26"/>
  <c r="U42" i="26"/>
  <c r="V42" i="26"/>
  <c r="W42" i="26"/>
  <c r="X42" i="26"/>
  <c r="Y42" i="26"/>
  <c r="Z42" i="26"/>
  <c r="AA42" i="26"/>
  <c r="AB42" i="26"/>
  <c r="P43" i="26"/>
  <c r="Q43" i="26"/>
  <c r="R43" i="26"/>
  <c r="S43" i="26"/>
  <c r="T43" i="26"/>
  <c r="U43" i="26"/>
  <c r="V43" i="26"/>
  <c r="W43" i="26"/>
  <c r="X43" i="26"/>
  <c r="Y43" i="26"/>
  <c r="Z43" i="26"/>
  <c r="AA43" i="26"/>
  <c r="AB43" i="26"/>
  <c r="P44" i="26"/>
  <c r="Q44" i="26"/>
  <c r="R44" i="26"/>
  <c r="S44" i="26"/>
  <c r="T44" i="26"/>
  <c r="U44" i="26"/>
  <c r="V44" i="26"/>
  <c r="W44" i="26"/>
  <c r="X44" i="26"/>
  <c r="Y44" i="26"/>
  <c r="Z44" i="26"/>
  <c r="AA44" i="26"/>
  <c r="AB44" i="26"/>
  <c r="P45" i="26"/>
  <c r="Q45" i="26"/>
  <c r="R45" i="26"/>
  <c r="S45" i="26"/>
  <c r="T45" i="26"/>
  <c r="U45" i="26"/>
  <c r="V45" i="26"/>
  <c r="W45" i="26"/>
  <c r="X45" i="26"/>
  <c r="Y45" i="26"/>
  <c r="Z45" i="26"/>
  <c r="AA45" i="26"/>
  <c r="AB45" i="26"/>
  <c r="P46" i="26"/>
  <c r="Q46" i="26"/>
  <c r="R46" i="26"/>
  <c r="S46" i="26"/>
  <c r="T46" i="26"/>
  <c r="U46" i="26"/>
  <c r="V46" i="26"/>
  <c r="W46" i="26"/>
  <c r="X46" i="26"/>
  <c r="Y46" i="26"/>
  <c r="Z46" i="26"/>
  <c r="AA46" i="26"/>
  <c r="AB46" i="26"/>
  <c r="P47" i="26"/>
  <c r="Q47" i="26"/>
  <c r="R47" i="26"/>
  <c r="S47" i="26"/>
  <c r="T47" i="26"/>
  <c r="U47" i="26"/>
  <c r="V47" i="26"/>
  <c r="W47" i="26"/>
  <c r="X47" i="26"/>
  <c r="Y47" i="26"/>
  <c r="Z47" i="26"/>
  <c r="AA47" i="26"/>
  <c r="AB47" i="26"/>
  <c r="P48" i="26"/>
  <c r="Q48" i="26"/>
  <c r="R48" i="26"/>
  <c r="S48" i="26"/>
  <c r="T48" i="26"/>
  <c r="U48" i="26"/>
  <c r="V48" i="26"/>
  <c r="W48" i="26"/>
  <c r="X48" i="26"/>
  <c r="Y48" i="26"/>
  <c r="Z48" i="26"/>
  <c r="AA48" i="26"/>
  <c r="AB48" i="26"/>
  <c r="P49" i="26"/>
  <c r="Q49" i="26"/>
  <c r="R49" i="26"/>
  <c r="S49" i="26"/>
  <c r="T49" i="26"/>
  <c r="U49" i="26"/>
  <c r="V49" i="26"/>
  <c r="W49" i="26"/>
  <c r="X49" i="26"/>
  <c r="Y49" i="26"/>
  <c r="Z49" i="26"/>
  <c r="AA49" i="26"/>
  <c r="AB49" i="26"/>
  <c r="P50" i="26"/>
  <c r="Q50" i="26"/>
  <c r="R50" i="26"/>
  <c r="S50" i="26"/>
  <c r="T50" i="26"/>
  <c r="U50" i="26"/>
  <c r="V50" i="26"/>
  <c r="W50" i="26"/>
  <c r="X50" i="26"/>
  <c r="Y50" i="26"/>
  <c r="Z50" i="26"/>
  <c r="AA50" i="26"/>
  <c r="AB50" i="26"/>
  <c r="P51" i="26"/>
  <c r="Q51" i="26"/>
  <c r="R51" i="26"/>
  <c r="S51" i="26"/>
  <c r="T51" i="26"/>
  <c r="U51" i="26"/>
  <c r="V51" i="26"/>
  <c r="W51" i="26"/>
  <c r="X51" i="26"/>
  <c r="Y51" i="26"/>
  <c r="Z51" i="26"/>
  <c r="AA51" i="26"/>
  <c r="AB51" i="26"/>
  <c r="P52" i="26"/>
  <c r="Q52" i="26"/>
  <c r="R52" i="26"/>
  <c r="S52" i="26"/>
  <c r="T52" i="26"/>
  <c r="U52" i="26"/>
  <c r="V52" i="26"/>
  <c r="W52" i="26"/>
  <c r="X52" i="26"/>
  <c r="Y52" i="26"/>
  <c r="Z52" i="26"/>
  <c r="AA52" i="26"/>
  <c r="AB52" i="26"/>
  <c r="P53" i="26"/>
  <c r="Q53" i="26"/>
  <c r="R53" i="26"/>
  <c r="S53" i="26"/>
  <c r="T53" i="26"/>
  <c r="U53" i="26"/>
  <c r="V53" i="26"/>
  <c r="W53" i="26"/>
  <c r="X53" i="26"/>
  <c r="Y53" i="26"/>
  <c r="Z53" i="26"/>
  <c r="AA53" i="26"/>
  <c r="AB53" i="26"/>
  <c r="P54" i="26"/>
  <c r="Q54" i="26"/>
  <c r="R54" i="26"/>
  <c r="S54" i="26"/>
  <c r="T54" i="26"/>
  <c r="U54" i="26"/>
  <c r="V54" i="26"/>
  <c r="W54" i="26"/>
  <c r="X54" i="26"/>
  <c r="Y54" i="26"/>
  <c r="Z54" i="26"/>
  <c r="AA54" i="26"/>
  <c r="AB54" i="26"/>
  <c r="P55" i="26"/>
  <c r="Q55" i="26"/>
  <c r="R55" i="26"/>
  <c r="S55" i="26"/>
  <c r="T55" i="26"/>
  <c r="U55" i="26"/>
  <c r="V55" i="26"/>
  <c r="W55" i="26"/>
  <c r="X55" i="26"/>
  <c r="Y55" i="26"/>
  <c r="Z55" i="26"/>
  <c r="AA55" i="26"/>
  <c r="AB55" i="26"/>
  <c r="P56" i="26"/>
  <c r="Q56" i="26"/>
  <c r="R56" i="26"/>
  <c r="S56" i="26"/>
  <c r="T56" i="26"/>
  <c r="U56" i="26"/>
  <c r="V56" i="26"/>
  <c r="W56" i="26"/>
  <c r="X56" i="26"/>
  <c r="Y56" i="26"/>
  <c r="Z56" i="26"/>
  <c r="AA56" i="26"/>
  <c r="AB56" i="26"/>
  <c r="P57" i="26"/>
  <c r="Q57" i="26"/>
  <c r="R57" i="26"/>
  <c r="S57" i="26"/>
  <c r="T57" i="26"/>
  <c r="U57" i="26"/>
  <c r="V57" i="26"/>
  <c r="W57" i="26"/>
  <c r="X57" i="26"/>
  <c r="Y57" i="26"/>
  <c r="Z57" i="26"/>
  <c r="AA57" i="26"/>
  <c r="AB57" i="26"/>
  <c r="P58" i="26"/>
  <c r="Q58" i="26"/>
  <c r="R58" i="26"/>
  <c r="S58" i="26"/>
  <c r="T58" i="26"/>
  <c r="U58" i="26"/>
  <c r="V58" i="26"/>
  <c r="W58" i="26"/>
  <c r="X58" i="26"/>
  <c r="Y58" i="26"/>
  <c r="Z58" i="26"/>
  <c r="AA58" i="26"/>
  <c r="AB58" i="26"/>
  <c r="P59" i="26"/>
  <c r="Q59" i="26"/>
  <c r="R59" i="26"/>
  <c r="S59" i="26"/>
  <c r="T59" i="26"/>
  <c r="U59" i="26"/>
  <c r="V59" i="26"/>
  <c r="W59" i="26"/>
  <c r="X59" i="26"/>
  <c r="Y59" i="26"/>
  <c r="Z59" i="26"/>
  <c r="AA59" i="26"/>
  <c r="AB59" i="26"/>
  <c r="P60" i="26"/>
  <c r="Q60" i="26"/>
  <c r="R60" i="26"/>
  <c r="S60" i="26"/>
  <c r="T60" i="26"/>
  <c r="U60" i="26"/>
  <c r="V60" i="26"/>
  <c r="W60" i="26"/>
  <c r="X60" i="26"/>
  <c r="Y60" i="26"/>
  <c r="Z60" i="26"/>
  <c r="AA60" i="26"/>
  <c r="AB60" i="26"/>
  <c r="P61" i="26"/>
  <c r="Q61" i="26"/>
  <c r="R61" i="26"/>
  <c r="S61" i="26"/>
  <c r="T61" i="26"/>
  <c r="U61" i="26"/>
  <c r="V61" i="26"/>
  <c r="W61" i="26"/>
  <c r="X61" i="26"/>
  <c r="Y61" i="26"/>
  <c r="Z61" i="26"/>
  <c r="AA61" i="26"/>
  <c r="AB61" i="26"/>
  <c r="P62" i="26"/>
  <c r="Q62" i="26"/>
  <c r="R62" i="26"/>
  <c r="S62" i="26"/>
  <c r="T62" i="26"/>
  <c r="U62" i="26"/>
  <c r="V62" i="26"/>
  <c r="W62" i="26"/>
  <c r="X62" i="26"/>
  <c r="Y62" i="26"/>
  <c r="Z62" i="26"/>
  <c r="AA62" i="26"/>
  <c r="AB62" i="26"/>
  <c r="P63" i="26"/>
  <c r="Q63" i="26"/>
  <c r="R63" i="26"/>
  <c r="S63" i="26"/>
  <c r="T63" i="26"/>
  <c r="U63" i="26"/>
  <c r="V63" i="26"/>
  <c r="W63" i="26"/>
  <c r="X63" i="26"/>
  <c r="Y63" i="26"/>
  <c r="Z63" i="26"/>
  <c r="AA63" i="26"/>
  <c r="AB63" i="26"/>
  <c r="P64" i="26"/>
  <c r="Q64" i="26"/>
  <c r="R64" i="26"/>
  <c r="S64" i="26"/>
  <c r="T64" i="26"/>
  <c r="U64" i="26"/>
  <c r="V64" i="26"/>
  <c r="W64" i="26"/>
  <c r="X64" i="26"/>
  <c r="Y64" i="26"/>
  <c r="Z64" i="26"/>
  <c r="AA64" i="26"/>
  <c r="AB64" i="26"/>
  <c r="P65" i="26"/>
  <c r="Q65" i="26"/>
  <c r="R65" i="26"/>
  <c r="S65" i="26"/>
  <c r="T65" i="26"/>
  <c r="U65" i="26"/>
  <c r="V65" i="26"/>
  <c r="W65" i="26"/>
  <c r="X65" i="26"/>
  <c r="Y65" i="26"/>
  <c r="Z65" i="26"/>
  <c r="AA65" i="26"/>
  <c r="AB65" i="26"/>
  <c r="P66" i="26"/>
  <c r="Q66" i="26"/>
  <c r="R66" i="26"/>
  <c r="S66" i="26"/>
  <c r="T66" i="26"/>
  <c r="U66" i="26"/>
  <c r="V66" i="26"/>
  <c r="W66" i="26"/>
  <c r="X66" i="26"/>
  <c r="Y66" i="26"/>
  <c r="Z66" i="26"/>
  <c r="AA66" i="26"/>
  <c r="AB66" i="26"/>
  <c r="P67" i="26"/>
  <c r="Q67" i="26"/>
  <c r="R67" i="26"/>
  <c r="S67" i="26"/>
  <c r="T67" i="26"/>
  <c r="U67" i="26"/>
  <c r="V67" i="26"/>
  <c r="W67" i="26"/>
  <c r="X67" i="26"/>
  <c r="Y67" i="26"/>
  <c r="Z67" i="26"/>
  <c r="AA67" i="26"/>
  <c r="AB67" i="26"/>
  <c r="P68" i="26"/>
  <c r="Q68" i="26"/>
  <c r="R68" i="26"/>
  <c r="S68" i="26"/>
  <c r="T68" i="26"/>
  <c r="U68" i="26"/>
  <c r="V68" i="26"/>
  <c r="W68" i="26"/>
  <c r="X68" i="26"/>
  <c r="Y68" i="26"/>
  <c r="Z68" i="26"/>
  <c r="AA68" i="26"/>
  <c r="AB68" i="26"/>
  <c r="P69" i="26"/>
  <c r="Q69" i="26"/>
  <c r="R69" i="26"/>
  <c r="S69" i="26"/>
  <c r="T69" i="26"/>
  <c r="U69" i="26"/>
  <c r="V69" i="26"/>
  <c r="W69" i="26"/>
  <c r="X69" i="26"/>
  <c r="Y69" i="26"/>
  <c r="Z69" i="26"/>
  <c r="AA69" i="26"/>
  <c r="AB69" i="26"/>
  <c r="P70" i="26"/>
  <c r="Q70" i="26"/>
  <c r="R70" i="26"/>
  <c r="S70" i="26"/>
  <c r="T70" i="26"/>
  <c r="U70" i="26"/>
  <c r="V70" i="26"/>
  <c r="W70" i="26"/>
  <c r="X70" i="26"/>
  <c r="Y70" i="26"/>
  <c r="Z70" i="26"/>
  <c r="AA70" i="26"/>
  <c r="AB70" i="26"/>
  <c r="P71" i="26"/>
  <c r="Q71" i="26"/>
  <c r="R71" i="26"/>
  <c r="S71" i="26"/>
  <c r="T71" i="26"/>
  <c r="U71" i="26"/>
  <c r="V71" i="26"/>
  <c r="W71" i="26"/>
  <c r="X71" i="26"/>
  <c r="Y71" i="26"/>
  <c r="Z71" i="26"/>
  <c r="AA71" i="26"/>
  <c r="AB71" i="26"/>
  <c r="P72" i="26"/>
  <c r="Q72" i="26"/>
  <c r="R72" i="26"/>
  <c r="S72" i="26"/>
  <c r="T72" i="26"/>
  <c r="U72" i="26"/>
  <c r="V72" i="26"/>
  <c r="W72" i="26"/>
  <c r="X72" i="26"/>
  <c r="Y72" i="26"/>
  <c r="Z72" i="26"/>
  <c r="AA72" i="26"/>
  <c r="AB72" i="26"/>
  <c r="P73" i="26"/>
  <c r="Q73" i="26"/>
  <c r="R73" i="26"/>
  <c r="S73" i="26"/>
  <c r="T73" i="26"/>
  <c r="U73" i="26"/>
  <c r="V73" i="26"/>
  <c r="W73" i="26"/>
  <c r="X73" i="26"/>
  <c r="Y73" i="26"/>
  <c r="Z73" i="26"/>
  <c r="AA73" i="26"/>
  <c r="AB73" i="26"/>
  <c r="P74" i="26"/>
  <c r="Q74" i="26"/>
  <c r="R74" i="26"/>
  <c r="S74" i="26"/>
  <c r="T74" i="26"/>
  <c r="U74" i="26"/>
  <c r="V74" i="26"/>
  <c r="W74" i="26"/>
  <c r="X74" i="26"/>
  <c r="Y74" i="26"/>
  <c r="Z74" i="26"/>
  <c r="AA74" i="26"/>
  <c r="AB74" i="26"/>
  <c r="P75" i="26"/>
  <c r="Q75" i="26"/>
  <c r="R75" i="26"/>
  <c r="S75" i="26"/>
  <c r="T75" i="26"/>
  <c r="U75" i="26"/>
  <c r="V75" i="26"/>
  <c r="W75" i="26"/>
  <c r="X75" i="26"/>
  <c r="Y75" i="26"/>
  <c r="Z75" i="26"/>
  <c r="AA75" i="26"/>
  <c r="AB75" i="26"/>
  <c r="P76" i="26"/>
  <c r="Q76" i="26"/>
  <c r="R76" i="26"/>
  <c r="S76" i="26"/>
  <c r="T76" i="26"/>
  <c r="U76" i="26"/>
  <c r="V76" i="26"/>
  <c r="W76" i="26"/>
  <c r="X76" i="26"/>
  <c r="Y76" i="26"/>
  <c r="Z76" i="26"/>
  <c r="AA76" i="26"/>
  <c r="AB76" i="26"/>
  <c r="P77" i="26"/>
  <c r="Q77" i="26"/>
  <c r="R77" i="26"/>
  <c r="S77" i="26"/>
  <c r="T77" i="26"/>
  <c r="U77" i="26"/>
  <c r="V77" i="26"/>
  <c r="W77" i="26"/>
  <c r="X77" i="26"/>
  <c r="Y77" i="26"/>
  <c r="Z77" i="26"/>
  <c r="AA77" i="26"/>
  <c r="AB77" i="26"/>
  <c r="P78" i="26"/>
  <c r="Q78" i="26"/>
  <c r="R78" i="26"/>
  <c r="S78" i="26"/>
  <c r="T78" i="26"/>
  <c r="U78" i="26"/>
  <c r="V78" i="26"/>
  <c r="W78" i="26"/>
  <c r="X78" i="26"/>
  <c r="Y78" i="26"/>
  <c r="Z78" i="26"/>
  <c r="AA78" i="26"/>
  <c r="AB78" i="26"/>
  <c r="P79" i="26"/>
  <c r="Q79" i="26"/>
  <c r="R79" i="26"/>
  <c r="S79" i="26"/>
  <c r="T79" i="26"/>
  <c r="U79" i="26"/>
  <c r="V79" i="26"/>
  <c r="W79" i="26"/>
  <c r="X79" i="26"/>
  <c r="Y79" i="26"/>
  <c r="Z79" i="26"/>
  <c r="AA79" i="26"/>
  <c r="AB79" i="26"/>
  <c r="P80" i="26"/>
  <c r="Q80" i="26"/>
  <c r="R80" i="26"/>
  <c r="S80" i="26"/>
  <c r="T80" i="26"/>
  <c r="U80" i="26"/>
  <c r="V80" i="26"/>
  <c r="W80" i="26"/>
  <c r="X80" i="26"/>
  <c r="Y80" i="26"/>
  <c r="Z80" i="26"/>
  <c r="AA80" i="26"/>
  <c r="AB80" i="26"/>
  <c r="P81" i="26"/>
  <c r="Q81" i="26"/>
  <c r="R81" i="26"/>
  <c r="S81" i="26"/>
  <c r="T81" i="26"/>
  <c r="U81" i="26"/>
  <c r="V81" i="26"/>
  <c r="W81" i="26"/>
  <c r="X81" i="26"/>
  <c r="Y81" i="26"/>
  <c r="Z81" i="26"/>
  <c r="AA81" i="26"/>
  <c r="AB81" i="26"/>
  <c r="P82" i="26"/>
  <c r="Q82" i="26"/>
  <c r="R82" i="26"/>
  <c r="S82" i="26"/>
  <c r="T82" i="26"/>
  <c r="U82" i="26"/>
  <c r="V82" i="26"/>
  <c r="W82" i="26"/>
  <c r="X82" i="26"/>
  <c r="Y82" i="26"/>
  <c r="Z82" i="26"/>
  <c r="AA82" i="26"/>
  <c r="AB82" i="26"/>
  <c r="P83" i="26"/>
  <c r="Q83" i="26"/>
  <c r="R83" i="26"/>
  <c r="S83" i="26"/>
  <c r="T83" i="26"/>
  <c r="U83" i="26"/>
  <c r="V83" i="26"/>
  <c r="W83" i="26"/>
  <c r="X83" i="26"/>
  <c r="Y83" i="26"/>
  <c r="Z83" i="26"/>
  <c r="AA83" i="26"/>
  <c r="AB83" i="26"/>
  <c r="P84" i="26"/>
  <c r="Q84" i="26"/>
  <c r="R84" i="26"/>
  <c r="S84" i="26"/>
  <c r="T84" i="26"/>
  <c r="U84" i="26"/>
  <c r="V84" i="26"/>
  <c r="W84" i="26"/>
  <c r="X84" i="26"/>
  <c r="Y84" i="26"/>
  <c r="Z84" i="26"/>
  <c r="AA84" i="26"/>
  <c r="AB84" i="26"/>
  <c r="P85" i="26"/>
  <c r="Q85" i="26"/>
  <c r="R85" i="26"/>
  <c r="S85" i="26"/>
  <c r="T85" i="26"/>
  <c r="U85" i="26"/>
  <c r="V85" i="26"/>
  <c r="W85" i="26"/>
  <c r="X85" i="26"/>
  <c r="Y85" i="26"/>
  <c r="Z85" i="26"/>
  <c r="AA85" i="26"/>
  <c r="AB85" i="26"/>
  <c r="P86" i="26"/>
  <c r="Q86" i="26"/>
  <c r="R86" i="26"/>
  <c r="S86" i="26"/>
  <c r="T86" i="26"/>
  <c r="U86" i="26"/>
  <c r="V86" i="26"/>
  <c r="W86" i="26"/>
  <c r="X86" i="26"/>
  <c r="Y86" i="26"/>
  <c r="Z86" i="26"/>
  <c r="AA86" i="26"/>
  <c r="AB86" i="26"/>
  <c r="P87" i="26"/>
  <c r="Q87" i="26"/>
  <c r="R87" i="26"/>
  <c r="S87" i="26"/>
  <c r="T87" i="26"/>
  <c r="U87" i="26"/>
  <c r="V87" i="26"/>
  <c r="W87" i="26"/>
  <c r="X87" i="26"/>
  <c r="Y87" i="26"/>
  <c r="Z87" i="26"/>
  <c r="AA87" i="26"/>
  <c r="AB87" i="26"/>
  <c r="P88" i="26"/>
  <c r="Q88" i="26"/>
  <c r="R88" i="26"/>
  <c r="S88" i="26"/>
  <c r="T88" i="26"/>
  <c r="U88" i="26"/>
  <c r="V88" i="26"/>
  <c r="W88" i="26"/>
  <c r="X88" i="26"/>
  <c r="Y88" i="26"/>
  <c r="Z88" i="26"/>
  <c r="AA88" i="26"/>
  <c r="AB88" i="26"/>
  <c r="P89" i="26"/>
  <c r="Q89" i="26"/>
  <c r="R89" i="26"/>
  <c r="S89" i="26"/>
  <c r="T89" i="26"/>
  <c r="U89" i="26"/>
  <c r="V89" i="26"/>
  <c r="W89" i="26"/>
  <c r="X89" i="26"/>
  <c r="Y89" i="26"/>
  <c r="Z89" i="26"/>
  <c r="AA89" i="26"/>
  <c r="AB89" i="26"/>
  <c r="P90" i="26"/>
  <c r="Q90" i="26"/>
  <c r="R90" i="26"/>
  <c r="S90" i="26"/>
  <c r="T90" i="26"/>
  <c r="U90" i="26"/>
  <c r="V90" i="26"/>
  <c r="W90" i="26"/>
  <c r="X90" i="26"/>
  <c r="Y90" i="26"/>
  <c r="Z90" i="26"/>
  <c r="AA90" i="26"/>
  <c r="AB90" i="26"/>
  <c r="P91" i="26"/>
  <c r="Q91" i="26"/>
  <c r="R91" i="26"/>
  <c r="S91" i="26"/>
  <c r="T91" i="26"/>
  <c r="U91" i="26"/>
  <c r="V91" i="26"/>
  <c r="W91" i="26"/>
  <c r="X91" i="26"/>
  <c r="Y91" i="26"/>
  <c r="Z91" i="26"/>
  <c r="AA91" i="26"/>
  <c r="AB91" i="26"/>
  <c r="P92" i="26"/>
  <c r="Q92" i="26"/>
  <c r="R92" i="26"/>
  <c r="S92" i="26"/>
  <c r="T92" i="26"/>
  <c r="U92" i="26"/>
  <c r="V92" i="26"/>
  <c r="W92" i="26"/>
  <c r="X92" i="26"/>
  <c r="Y92" i="26"/>
  <c r="Z92" i="26"/>
  <c r="AA92" i="26"/>
  <c r="AB92" i="26"/>
  <c r="P93" i="26"/>
  <c r="Q93" i="26"/>
  <c r="R93" i="26"/>
  <c r="S93" i="26"/>
  <c r="T93" i="26"/>
  <c r="U93" i="26"/>
  <c r="V93" i="26"/>
  <c r="W93" i="26"/>
  <c r="X93" i="26"/>
  <c r="Y93" i="26"/>
  <c r="Z93" i="26"/>
  <c r="AA93" i="26"/>
  <c r="AB93" i="26"/>
  <c r="P94" i="26"/>
  <c r="Q94" i="26"/>
  <c r="R94" i="26"/>
  <c r="S94" i="26"/>
  <c r="T94" i="26"/>
  <c r="U94" i="26"/>
  <c r="V94" i="26"/>
  <c r="W94" i="26"/>
  <c r="X94" i="26"/>
  <c r="Y94" i="26"/>
  <c r="Z94" i="26"/>
  <c r="AA94" i="26"/>
  <c r="AB94" i="26"/>
  <c r="P95" i="26"/>
  <c r="Q95" i="26"/>
  <c r="R95" i="26"/>
  <c r="S95" i="26"/>
  <c r="T95" i="26"/>
  <c r="U95" i="26"/>
  <c r="V95" i="26"/>
  <c r="W95" i="26"/>
  <c r="X95" i="26"/>
  <c r="Y95" i="26"/>
  <c r="Z95" i="26"/>
  <c r="AA95" i="26"/>
  <c r="AB95" i="26"/>
  <c r="P96" i="26"/>
  <c r="Q96" i="26"/>
  <c r="R96" i="26"/>
  <c r="S96" i="26"/>
  <c r="T96" i="26"/>
  <c r="U96" i="26"/>
  <c r="V96" i="26"/>
  <c r="W96" i="26"/>
  <c r="X96" i="26"/>
  <c r="Y96" i="26"/>
  <c r="Z96" i="26"/>
  <c r="AA96" i="26"/>
  <c r="AB96" i="26"/>
  <c r="P97" i="26"/>
  <c r="Q97" i="26"/>
  <c r="R97" i="26"/>
  <c r="S97" i="26"/>
  <c r="T97" i="26"/>
  <c r="U97" i="26"/>
  <c r="V97" i="26"/>
  <c r="W97" i="26"/>
  <c r="X97" i="26"/>
  <c r="Y97" i="26"/>
  <c r="Z97" i="26"/>
  <c r="AA97" i="26"/>
  <c r="AB97" i="26"/>
  <c r="P98" i="26"/>
  <c r="Q98" i="26"/>
  <c r="R98" i="26"/>
  <c r="S98" i="26"/>
  <c r="T98" i="26"/>
  <c r="U98" i="26"/>
  <c r="V98" i="26"/>
  <c r="W98" i="26"/>
  <c r="X98" i="26"/>
  <c r="Y98" i="26"/>
  <c r="Z98" i="26"/>
  <c r="AA98" i="26"/>
  <c r="AB98" i="26"/>
  <c r="P99" i="26"/>
  <c r="Q99" i="26"/>
  <c r="R99" i="26"/>
  <c r="S99" i="26"/>
  <c r="T99" i="26"/>
  <c r="U99" i="26"/>
  <c r="V99" i="26"/>
  <c r="W99" i="26"/>
  <c r="X99" i="26"/>
  <c r="Y99" i="26"/>
  <c r="Z99" i="26"/>
  <c r="AA99" i="26"/>
  <c r="AB99" i="26"/>
  <c r="P100" i="26"/>
  <c r="Q100" i="26"/>
  <c r="R100" i="26"/>
  <c r="S100" i="26"/>
  <c r="T100" i="26"/>
  <c r="U100" i="26"/>
  <c r="V100" i="26"/>
  <c r="W100" i="26"/>
  <c r="X100" i="26"/>
  <c r="Y100" i="26"/>
  <c r="Z100" i="26"/>
  <c r="AA100" i="26"/>
  <c r="AB100" i="26"/>
  <c r="P101" i="26"/>
  <c r="Q101" i="26"/>
  <c r="R101" i="26"/>
  <c r="S101" i="26"/>
  <c r="T101" i="26"/>
  <c r="U101" i="26"/>
  <c r="V101" i="26"/>
  <c r="W101" i="26"/>
  <c r="X101" i="26"/>
  <c r="Y101" i="26"/>
  <c r="Z101" i="26"/>
  <c r="AA101" i="26"/>
  <c r="AB101" i="26"/>
  <c r="P102" i="26"/>
  <c r="Q102" i="26"/>
  <c r="R102" i="26"/>
  <c r="S102" i="26"/>
  <c r="T102" i="26"/>
  <c r="U102" i="26"/>
  <c r="V102" i="26"/>
  <c r="W102" i="26"/>
  <c r="X102" i="26"/>
  <c r="Y102" i="26"/>
  <c r="Z102" i="26"/>
  <c r="AA102" i="26"/>
  <c r="AB102" i="26"/>
  <c r="P103" i="26"/>
  <c r="Q103" i="26"/>
  <c r="R103" i="26"/>
  <c r="S103" i="26"/>
  <c r="T103" i="26"/>
  <c r="U103" i="26"/>
  <c r="V103" i="26"/>
  <c r="W103" i="26"/>
  <c r="X103" i="26"/>
  <c r="Y103" i="26"/>
  <c r="Z103" i="26"/>
  <c r="AA103" i="26"/>
  <c r="AB103" i="26"/>
  <c r="P104" i="26"/>
  <c r="Q104" i="26"/>
  <c r="R104" i="26"/>
  <c r="S104" i="26"/>
  <c r="T104" i="26"/>
  <c r="U104" i="26"/>
  <c r="V104" i="26"/>
  <c r="W104" i="26"/>
  <c r="X104" i="26"/>
  <c r="Y104" i="26"/>
  <c r="Z104" i="26"/>
  <c r="AA104" i="26"/>
  <c r="AB104" i="26"/>
  <c r="P105" i="26"/>
  <c r="Q105" i="26"/>
  <c r="R105" i="26"/>
  <c r="S105" i="26"/>
  <c r="T105" i="26"/>
  <c r="U105" i="26"/>
  <c r="V105" i="26"/>
  <c r="W105" i="26"/>
  <c r="X105" i="26"/>
  <c r="Y105" i="26"/>
  <c r="Z105" i="26"/>
  <c r="AA105" i="26"/>
  <c r="AB105" i="26"/>
  <c r="P106" i="26"/>
  <c r="Q106" i="26"/>
  <c r="R106" i="26"/>
  <c r="S106" i="26"/>
  <c r="T106" i="26"/>
  <c r="U106" i="26"/>
  <c r="V106" i="26"/>
  <c r="W106" i="26"/>
  <c r="X106" i="26"/>
  <c r="Y106" i="26"/>
  <c r="Z106" i="26"/>
  <c r="AA106" i="26"/>
  <c r="AB106" i="26"/>
  <c r="P107" i="26"/>
  <c r="Q107" i="26"/>
  <c r="R107" i="26"/>
  <c r="S107" i="26"/>
  <c r="T107" i="26"/>
  <c r="U107" i="26"/>
  <c r="V107" i="26"/>
  <c r="W107" i="26"/>
  <c r="X107" i="26"/>
  <c r="Y107" i="26"/>
  <c r="Z107" i="26"/>
  <c r="AA107" i="26"/>
  <c r="AB107" i="26"/>
  <c r="P108" i="26"/>
  <c r="Q108" i="26"/>
  <c r="R108" i="26"/>
  <c r="S108" i="26"/>
  <c r="T108" i="26"/>
  <c r="U108" i="26"/>
  <c r="V108" i="26"/>
  <c r="W108" i="26"/>
  <c r="X108" i="26"/>
  <c r="Y108" i="26"/>
  <c r="Z108" i="26"/>
  <c r="AA108" i="26"/>
  <c r="AB108" i="26"/>
  <c r="P109" i="26"/>
  <c r="Q109" i="26"/>
  <c r="R109" i="26"/>
  <c r="S109" i="26"/>
  <c r="T109" i="26"/>
  <c r="U109" i="26"/>
  <c r="V109" i="26"/>
  <c r="W109" i="26"/>
  <c r="X109" i="26"/>
  <c r="Y109" i="26"/>
  <c r="Z109" i="26"/>
  <c r="AA109" i="26"/>
  <c r="AB109" i="26"/>
  <c r="P110" i="26"/>
  <c r="Q110" i="26"/>
  <c r="R110" i="26"/>
  <c r="S110" i="26"/>
  <c r="T110" i="26"/>
  <c r="U110" i="26"/>
  <c r="V110" i="26"/>
  <c r="W110" i="26"/>
  <c r="X110" i="26"/>
  <c r="Y110" i="26"/>
  <c r="Z110" i="26"/>
  <c r="AA110" i="26"/>
  <c r="AB110" i="26"/>
  <c r="P111" i="26"/>
  <c r="Q111" i="26"/>
  <c r="R111" i="26"/>
  <c r="S111" i="26"/>
  <c r="T111" i="26"/>
  <c r="U111" i="26"/>
  <c r="V111" i="26"/>
  <c r="W111" i="26"/>
  <c r="X111" i="26"/>
  <c r="Y111" i="26"/>
  <c r="Z111" i="26"/>
  <c r="AA111" i="26"/>
  <c r="AB111" i="26"/>
  <c r="P112" i="26"/>
  <c r="Q112" i="26"/>
  <c r="R112" i="26"/>
  <c r="S112" i="26"/>
  <c r="T112" i="26"/>
  <c r="U112" i="26"/>
  <c r="V112" i="26"/>
  <c r="W112" i="26"/>
  <c r="X112" i="26"/>
  <c r="Y112" i="26"/>
  <c r="Z112" i="26"/>
  <c r="AA112" i="26"/>
  <c r="AB112" i="26"/>
  <c r="P113" i="26"/>
  <c r="Q113" i="26"/>
  <c r="R113" i="26"/>
  <c r="S113" i="26"/>
  <c r="T113" i="26"/>
  <c r="U113" i="26"/>
  <c r="V113" i="26"/>
  <c r="W113" i="26"/>
  <c r="X113" i="26"/>
  <c r="Y113" i="26"/>
  <c r="Z113" i="26"/>
  <c r="AA113" i="26"/>
  <c r="AB113" i="26"/>
  <c r="P114" i="26"/>
  <c r="Q114" i="26"/>
  <c r="R114" i="26"/>
  <c r="S114" i="26"/>
  <c r="T114" i="26"/>
  <c r="U114" i="26"/>
  <c r="V114" i="26"/>
  <c r="W114" i="26"/>
  <c r="X114" i="26"/>
  <c r="Y114" i="26"/>
  <c r="Z114" i="26"/>
  <c r="AA114" i="26"/>
  <c r="AB114" i="26"/>
  <c r="P115" i="26"/>
  <c r="Q115" i="26"/>
  <c r="R115" i="26"/>
  <c r="S115" i="26"/>
  <c r="T115" i="26"/>
  <c r="U115" i="26"/>
  <c r="V115" i="26"/>
  <c r="W115" i="26"/>
  <c r="X115" i="26"/>
  <c r="Y115" i="26"/>
  <c r="Z115" i="26"/>
  <c r="AA115" i="26"/>
  <c r="AB115" i="26"/>
  <c r="P116" i="26"/>
  <c r="Q116" i="26"/>
  <c r="R116" i="26"/>
  <c r="S116" i="26"/>
  <c r="T116" i="26"/>
  <c r="U116" i="26"/>
  <c r="V116" i="26"/>
  <c r="W116" i="26"/>
  <c r="X116" i="26"/>
  <c r="Y116" i="26"/>
  <c r="Z116" i="26"/>
  <c r="AA116" i="26"/>
  <c r="AB116" i="26"/>
  <c r="P117" i="26"/>
  <c r="Q117" i="26"/>
  <c r="R117" i="26"/>
  <c r="S117" i="26"/>
  <c r="T117" i="26"/>
  <c r="U117" i="26"/>
  <c r="V117" i="26"/>
  <c r="W117" i="26"/>
  <c r="X117" i="26"/>
  <c r="Y117" i="26"/>
  <c r="Z117" i="26"/>
  <c r="AA117" i="26"/>
  <c r="AB117" i="26"/>
  <c r="P118" i="26"/>
  <c r="Q118" i="26"/>
  <c r="R118" i="26"/>
  <c r="S118" i="26"/>
  <c r="T118" i="26"/>
  <c r="U118" i="26"/>
  <c r="V118" i="26"/>
  <c r="W118" i="26"/>
  <c r="X118" i="26"/>
  <c r="Y118" i="26"/>
  <c r="Z118" i="26"/>
  <c r="AA118" i="26"/>
  <c r="AB118" i="26"/>
  <c r="P119" i="26"/>
  <c r="Q119" i="26"/>
  <c r="R119" i="26"/>
  <c r="S119" i="26"/>
  <c r="T119" i="26"/>
  <c r="U119" i="26"/>
  <c r="V119" i="26"/>
  <c r="W119" i="26"/>
  <c r="X119" i="26"/>
  <c r="Y119" i="26"/>
  <c r="Z119" i="26"/>
  <c r="AA119" i="26"/>
  <c r="AB119" i="26"/>
  <c r="P120" i="26"/>
  <c r="Q120" i="26"/>
  <c r="R120" i="26"/>
  <c r="S120" i="26"/>
  <c r="T120" i="26"/>
  <c r="U120" i="26"/>
  <c r="V120" i="26"/>
  <c r="W120" i="26"/>
  <c r="X120" i="26"/>
  <c r="Y120" i="26"/>
  <c r="Z120" i="26"/>
  <c r="AA120" i="26"/>
  <c r="AB120" i="26"/>
  <c r="P121" i="26"/>
  <c r="Q121" i="26"/>
  <c r="R121" i="26"/>
  <c r="S121" i="26"/>
  <c r="T121" i="26"/>
  <c r="U121" i="26"/>
  <c r="V121" i="26"/>
  <c r="W121" i="26"/>
  <c r="X121" i="26"/>
  <c r="Y121" i="26"/>
  <c r="Z121" i="26"/>
  <c r="AA121" i="26"/>
  <c r="AB121" i="26"/>
  <c r="P122" i="26"/>
  <c r="Q122" i="26"/>
  <c r="R122" i="26"/>
  <c r="S122" i="26"/>
  <c r="T122" i="26"/>
  <c r="U122" i="26"/>
  <c r="V122" i="26"/>
  <c r="W122" i="26"/>
  <c r="X122" i="26"/>
  <c r="Y122" i="26"/>
  <c r="Z122" i="26"/>
  <c r="AA122" i="26"/>
  <c r="AB122" i="26"/>
  <c r="P123" i="26"/>
  <c r="Q123" i="26"/>
  <c r="R123" i="26"/>
  <c r="S123" i="26"/>
  <c r="T123" i="26"/>
  <c r="U123" i="26"/>
  <c r="V123" i="26"/>
  <c r="W123" i="26"/>
  <c r="X123" i="26"/>
  <c r="Y123" i="26"/>
  <c r="Z123" i="26"/>
  <c r="AA123" i="26"/>
  <c r="AB123" i="26"/>
  <c r="P124" i="26"/>
  <c r="Q124" i="26"/>
  <c r="R124" i="26"/>
  <c r="S124" i="26"/>
  <c r="T124" i="26"/>
  <c r="U124" i="26"/>
  <c r="V124" i="26"/>
  <c r="W124" i="26"/>
  <c r="X124" i="26"/>
  <c r="Y124" i="26"/>
  <c r="Z124" i="26"/>
  <c r="AA124" i="26"/>
  <c r="AB124" i="26"/>
  <c r="P125" i="26"/>
  <c r="Q125" i="26"/>
  <c r="R125" i="26"/>
  <c r="S125" i="26"/>
  <c r="T125" i="26"/>
  <c r="U125" i="26"/>
  <c r="V125" i="26"/>
  <c r="W125" i="26"/>
  <c r="X125" i="26"/>
  <c r="Y125" i="26"/>
  <c r="Z125" i="26"/>
  <c r="AA125" i="26"/>
  <c r="AB125" i="26"/>
  <c r="P126" i="26"/>
  <c r="Q126" i="26"/>
  <c r="R126" i="26"/>
  <c r="S126" i="26"/>
  <c r="T126" i="26"/>
  <c r="U126" i="26"/>
  <c r="V126" i="26"/>
  <c r="W126" i="26"/>
  <c r="X126" i="26"/>
  <c r="Y126" i="26"/>
  <c r="Z126" i="26"/>
  <c r="AA126" i="26"/>
  <c r="AB126" i="26"/>
  <c r="P127" i="26"/>
  <c r="Q127" i="26"/>
  <c r="R127" i="26"/>
  <c r="S127" i="26"/>
  <c r="T127" i="26"/>
  <c r="U127" i="26"/>
  <c r="V127" i="26"/>
  <c r="W127" i="26"/>
  <c r="X127" i="26"/>
  <c r="Y127" i="26"/>
  <c r="Z127" i="26"/>
  <c r="AA127" i="26"/>
  <c r="AB127" i="26"/>
  <c r="P128" i="26"/>
  <c r="Q128" i="26"/>
  <c r="R128" i="26"/>
  <c r="S128" i="26"/>
  <c r="T128" i="26"/>
  <c r="U128" i="26"/>
  <c r="V128" i="26"/>
  <c r="W128" i="26"/>
  <c r="X128" i="26"/>
  <c r="Y128" i="26"/>
  <c r="Z128" i="26"/>
  <c r="AA128" i="26"/>
  <c r="AB128" i="26"/>
  <c r="P129" i="26"/>
  <c r="Q129" i="26"/>
  <c r="R129" i="26"/>
  <c r="S129" i="26"/>
  <c r="T129" i="26"/>
  <c r="U129" i="26"/>
  <c r="V129" i="26"/>
  <c r="W129" i="26"/>
  <c r="X129" i="26"/>
  <c r="Y129" i="26"/>
  <c r="Z129" i="26"/>
  <c r="AA129" i="26"/>
  <c r="AB129" i="26"/>
  <c r="P130" i="26"/>
  <c r="Q130" i="26"/>
  <c r="R130" i="26"/>
  <c r="S130" i="26"/>
  <c r="T130" i="26"/>
  <c r="U130" i="26"/>
  <c r="V130" i="26"/>
  <c r="W130" i="26"/>
  <c r="X130" i="26"/>
  <c r="Y130" i="26"/>
  <c r="Z130" i="26"/>
  <c r="AA130" i="26"/>
  <c r="AB130" i="26"/>
  <c r="P131" i="26"/>
  <c r="Q131" i="26"/>
  <c r="R131" i="26"/>
  <c r="S131" i="26"/>
  <c r="T131" i="26"/>
  <c r="U131" i="26"/>
  <c r="V131" i="26"/>
  <c r="W131" i="26"/>
  <c r="X131" i="26"/>
  <c r="Y131" i="26"/>
  <c r="Z131" i="26"/>
  <c r="AA131" i="26"/>
  <c r="AB131" i="26"/>
  <c r="P132" i="26"/>
  <c r="Q132" i="26"/>
  <c r="R132" i="26"/>
  <c r="S132" i="26"/>
  <c r="T132" i="26"/>
  <c r="U132" i="26"/>
  <c r="V132" i="26"/>
  <c r="W132" i="26"/>
  <c r="X132" i="26"/>
  <c r="Y132" i="26"/>
  <c r="Z132" i="26"/>
  <c r="AA132" i="26"/>
  <c r="AB132" i="26"/>
  <c r="P133" i="26"/>
  <c r="Q133" i="26"/>
  <c r="R133" i="26"/>
  <c r="S133" i="26"/>
  <c r="T133" i="26"/>
  <c r="U133" i="26"/>
  <c r="V133" i="26"/>
  <c r="W133" i="26"/>
  <c r="X133" i="26"/>
  <c r="Y133" i="26"/>
  <c r="Z133" i="26"/>
  <c r="AA133" i="26"/>
  <c r="AB133" i="26"/>
  <c r="P134" i="26"/>
  <c r="Q134" i="26"/>
  <c r="R134" i="26"/>
  <c r="S134" i="26"/>
  <c r="T134" i="26"/>
  <c r="U134" i="26"/>
  <c r="V134" i="26"/>
  <c r="W134" i="26"/>
  <c r="X134" i="26"/>
  <c r="Y134" i="26"/>
  <c r="Z134" i="26"/>
  <c r="AA134" i="26"/>
  <c r="AB134" i="26"/>
  <c r="P135" i="26"/>
  <c r="Q135" i="26"/>
  <c r="R135" i="26"/>
  <c r="S135" i="26"/>
  <c r="T135" i="26"/>
  <c r="U135" i="26"/>
  <c r="V135" i="26"/>
  <c r="W135" i="26"/>
  <c r="X135" i="26"/>
  <c r="Y135" i="26"/>
  <c r="Z135" i="26"/>
  <c r="AA135" i="26"/>
  <c r="AB135" i="26"/>
  <c r="P136" i="26"/>
  <c r="Q136" i="26"/>
  <c r="R136" i="26"/>
  <c r="S136" i="26"/>
  <c r="T136" i="26"/>
  <c r="U136" i="26"/>
  <c r="V136" i="26"/>
  <c r="W136" i="26"/>
  <c r="X136" i="26"/>
  <c r="Y136" i="26"/>
  <c r="Z136" i="26"/>
  <c r="AA136" i="26"/>
  <c r="AB136" i="26"/>
  <c r="P137" i="26"/>
  <c r="Q137" i="26"/>
  <c r="R137" i="26"/>
  <c r="S137" i="26"/>
  <c r="T137" i="26"/>
  <c r="U137" i="26"/>
  <c r="V137" i="26"/>
  <c r="W137" i="26"/>
  <c r="X137" i="26"/>
  <c r="Y137" i="26"/>
  <c r="Z137" i="26"/>
  <c r="AA137" i="26"/>
  <c r="AB137" i="26"/>
  <c r="P138" i="26"/>
  <c r="Q138" i="26"/>
  <c r="R138" i="26"/>
  <c r="S138" i="26"/>
  <c r="T138" i="26"/>
  <c r="U138" i="26"/>
  <c r="V138" i="26"/>
  <c r="W138" i="26"/>
  <c r="X138" i="26"/>
  <c r="Y138" i="26"/>
  <c r="Z138" i="26"/>
  <c r="AA138" i="26"/>
  <c r="AB138" i="26"/>
  <c r="P139" i="26"/>
  <c r="Q139" i="26"/>
  <c r="R139" i="26"/>
  <c r="S139" i="26"/>
  <c r="T139" i="26"/>
  <c r="U139" i="26"/>
  <c r="V139" i="26"/>
  <c r="W139" i="26"/>
  <c r="X139" i="26"/>
  <c r="Y139" i="26"/>
  <c r="Z139" i="26"/>
  <c r="AA139" i="26"/>
  <c r="AB139" i="26"/>
  <c r="P140" i="26"/>
  <c r="Q140" i="26"/>
  <c r="R140" i="26"/>
  <c r="S140" i="26"/>
  <c r="T140" i="26"/>
  <c r="U140" i="26"/>
  <c r="V140" i="26"/>
  <c r="W140" i="26"/>
  <c r="X140" i="26"/>
  <c r="Y140" i="26"/>
  <c r="Z140" i="26"/>
  <c r="AA140" i="26"/>
  <c r="AB140" i="26"/>
  <c r="P141" i="26"/>
  <c r="Q141" i="26"/>
  <c r="R141" i="26"/>
  <c r="S141" i="26"/>
  <c r="T141" i="26"/>
  <c r="U141" i="26"/>
  <c r="V141" i="26"/>
  <c r="W141" i="26"/>
  <c r="X141" i="26"/>
  <c r="Y141" i="26"/>
  <c r="Z141" i="26"/>
  <c r="AA141" i="26"/>
  <c r="AB141" i="26"/>
  <c r="P142" i="26"/>
  <c r="Q142" i="26"/>
  <c r="R142" i="26"/>
  <c r="S142" i="26"/>
  <c r="T142" i="26"/>
  <c r="U142" i="26"/>
  <c r="V142" i="26"/>
  <c r="W142" i="26"/>
  <c r="X142" i="26"/>
  <c r="Y142" i="26"/>
  <c r="Z142" i="26"/>
  <c r="AA142" i="26"/>
  <c r="AB142" i="26"/>
  <c r="P143" i="26"/>
  <c r="Q143" i="26"/>
  <c r="R143" i="26"/>
  <c r="S143" i="26"/>
  <c r="T143" i="26"/>
  <c r="U143" i="26"/>
  <c r="V143" i="26"/>
  <c r="W143" i="26"/>
  <c r="X143" i="26"/>
  <c r="Y143" i="26"/>
  <c r="Z143" i="26"/>
  <c r="AA143" i="26"/>
  <c r="AB143" i="26"/>
  <c r="P144" i="26"/>
  <c r="Q144" i="26"/>
  <c r="R144" i="26"/>
  <c r="S144" i="26"/>
  <c r="T144" i="26"/>
  <c r="U144" i="26"/>
  <c r="V144" i="26"/>
  <c r="W144" i="26"/>
  <c r="X144" i="26"/>
  <c r="Y144" i="26"/>
  <c r="Z144" i="26"/>
  <c r="AA144" i="26"/>
  <c r="AB144" i="26"/>
  <c r="P145" i="26"/>
  <c r="Q145" i="26"/>
  <c r="R145" i="26"/>
  <c r="S145" i="26"/>
  <c r="T145" i="26"/>
  <c r="U145" i="26"/>
  <c r="V145" i="26"/>
  <c r="W145" i="26"/>
  <c r="X145" i="26"/>
  <c r="Y145" i="26"/>
  <c r="Z145" i="26"/>
  <c r="AA145" i="26"/>
  <c r="AB145" i="26"/>
  <c r="P146" i="26"/>
  <c r="Q146" i="26"/>
  <c r="R146" i="26"/>
  <c r="S146" i="26"/>
  <c r="T146" i="26"/>
  <c r="U146" i="26"/>
  <c r="V146" i="26"/>
  <c r="W146" i="26"/>
  <c r="X146" i="26"/>
  <c r="Y146" i="26"/>
  <c r="Z146" i="26"/>
  <c r="AA146" i="26"/>
  <c r="AB146" i="26"/>
  <c r="P147" i="26"/>
  <c r="Q147" i="26"/>
  <c r="R147" i="26"/>
  <c r="S147" i="26"/>
  <c r="T147" i="26"/>
  <c r="U147" i="26"/>
  <c r="V147" i="26"/>
  <c r="W147" i="26"/>
  <c r="X147" i="26"/>
  <c r="Y147" i="26"/>
  <c r="Z147" i="26"/>
  <c r="AA147" i="26"/>
  <c r="AB147" i="26"/>
  <c r="P148" i="26"/>
  <c r="Q148" i="26"/>
  <c r="R148" i="26"/>
  <c r="S148" i="26"/>
  <c r="T148" i="26"/>
  <c r="U148" i="26"/>
  <c r="V148" i="26"/>
  <c r="W148" i="26"/>
  <c r="X148" i="26"/>
  <c r="Y148" i="26"/>
  <c r="Z148" i="26"/>
  <c r="AA148" i="26"/>
  <c r="AB148" i="26"/>
  <c r="P149" i="26"/>
  <c r="Q149" i="26"/>
  <c r="R149" i="26"/>
  <c r="S149" i="26"/>
  <c r="T149" i="26"/>
  <c r="U149" i="26"/>
  <c r="V149" i="26"/>
  <c r="W149" i="26"/>
  <c r="X149" i="26"/>
  <c r="Y149" i="26"/>
  <c r="Z149" i="26"/>
  <c r="AA149" i="26"/>
  <c r="AB149" i="26"/>
  <c r="P150" i="26"/>
  <c r="Q150" i="26"/>
  <c r="R150" i="26"/>
  <c r="S150" i="26"/>
  <c r="T150" i="26"/>
  <c r="U150" i="26"/>
  <c r="V150" i="26"/>
  <c r="W150" i="26"/>
  <c r="X150" i="26"/>
  <c r="Y150" i="26"/>
  <c r="Z150" i="26"/>
  <c r="AA150" i="26"/>
  <c r="AB150" i="26"/>
  <c r="P151" i="26"/>
  <c r="Q151" i="26"/>
  <c r="R151" i="26"/>
  <c r="S151" i="26"/>
  <c r="T151" i="26"/>
  <c r="U151" i="26"/>
  <c r="V151" i="26"/>
  <c r="W151" i="26"/>
  <c r="X151" i="26"/>
  <c r="Y151" i="26"/>
  <c r="Z151" i="26"/>
  <c r="AA151" i="26"/>
  <c r="AB151" i="26"/>
  <c r="P152" i="26"/>
  <c r="Q152" i="26"/>
  <c r="R152" i="26"/>
  <c r="S152" i="26"/>
  <c r="T152" i="26"/>
  <c r="U152" i="26"/>
  <c r="V152" i="26"/>
  <c r="W152" i="26"/>
  <c r="X152" i="26"/>
  <c r="Y152" i="26"/>
  <c r="Z152" i="26"/>
  <c r="AA152" i="26"/>
  <c r="AB152" i="26"/>
  <c r="P153" i="26"/>
  <c r="Q153" i="26"/>
  <c r="R153" i="26"/>
  <c r="S153" i="26"/>
  <c r="T153" i="26"/>
  <c r="U153" i="26"/>
  <c r="V153" i="26"/>
  <c r="W153" i="26"/>
  <c r="X153" i="26"/>
  <c r="Y153" i="26"/>
  <c r="Z153" i="26"/>
  <c r="AA153" i="26"/>
  <c r="AB153" i="26"/>
  <c r="P154" i="26"/>
  <c r="Q154" i="26"/>
  <c r="R154" i="26"/>
  <c r="S154" i="26"/>
  <c r="T154" i="26"/>
  <c r="U154" i="26"/>
  <c r="V154" i="26"/>
  <c r="W154" i="26"/>
  <c r="X154" i="26"/>
  <c r="Y154" i="26"/>
  <c r="Z154" i="26"/>
  <c r="AA154" i="26"/>
  <c r="AB154" i="26"/>
  <c r="P155" i="26"/>
  <c r="Q155" i="26"/>
  <c r="R155" i="26"/>
  <c r="S155" i="26"/>
  <c r="T155" i="26"/>
  <c r="U155" i="26"/>
  <c r="V155" i="26"/>
  <c r="W155" i="26"/>
  <c r="X155" i="26"/>
  <c r="Y155" i="26"/>
  <c r="Z155" i="26"/>
  <c r="AA155" i="26"/>
  <c r="AB155" i="26"/>
  <c r="P156" i="26"/>
  <c r="Q156" i="26"/>
  <c r="R156" i="26"/>
  <c r="S156" i="26"/>
  <c r="T156" i="26"/>
  <c r="U156" i="26"/>
  <c r="V156" i="26"/>
  <c r="W156" i="26"/>
  <c r="X156" i="26"/>
  <c r="Y156" i="26"/>
  <c r="Z156" i="26"/>
  <c r="AA156" i="26"/>
  <c r="AB156" i="26"/>
  <c r="P157" i="26"/>
  <c r="Q157" i="26"/>
  <c r="R157" i="26"/>
  <c r="S157" i="26"/>
  <c r="T157" i="26"/>
  <c r="U157" i="26"/>
  <c r="V157" i="26"/>
  <c r="W157" i="26"/>
  <c r="X157" i="26"/>
  <c r="Y157" i="26"/>
  <c r="Z157" i="26"/>
  <c r="AA157" i="26"/>
  <c r="AB157" i="26"/>
  <c r="P158" i="26"/>
  <c r="Q158" i="26"/>
  <c r="R158" i="26"/>
  <c r="S158" i="26"/>
  <c r="T158" i="26"/>
  <c r="U158" i="26"/>
  <c r="V158" i="26"/>
  <c r="W158" i="26"/>
  <c r="X158" i="26"/>
  <c r="Y158" i="26"/>
  <c r="Z158" i="26"/>
  <c r="AA158" i="26"/>
  <c r="AB158" i="26"/>
  <c r="P159" i="26"/>
  <c r="Q159" i="26"/>
  <c r="R159" i="26"/>
  <c r="S159" i="26"/>
  <c r="T159" i="26"/>
  <c r="U159" i="26"/>
  <c r="V159" i="26"/>
  <c r="W159" i="26"/>
  <c r="X159" i="26"/>
  <c r="Y159" i="26"/>
  <c r="Z159" i="26"/>
  <c r="AA159" i="26"/>
  <c r="AB159" i="26"/>
  <c r="P160" i="26"/>
  <c r="Q160" i="26"/>
  <c r="R160" i="26"/>
  <c r="S160" i="26"/>
  <c r="T160" i="26"/>
  <c r="U160" i="26"/>
  <c r="V160" i="26"/>
  <c r="W160" i="26"/>
  <c r="X160" i="26"/>
  <c r="Y160" i="26"/>
  <c r="Z160" i="26"/>
  <c r="AA160" i="26"/>
  <c r="AB160" i="26"/>
  <c r="P161" i="26"/>
  <c r="Q161" i="26"/>
  <c r="R161" i="26"/>
  <c r="S161" i="26"/>
  <c r="T161" i="26"/>
  <c r="U161" i="26"/>
  <c r="V161" i="26"/>
  <c r="W161" i="26"/>
  <c r="X161" i="26"/>
  <c r="Y161" i="26"/>
  <c r="Z161" i="26"/>
  <c r="AA161" i="26"/>
  <c r="AB161" i="26"/>
  <c r="P162" i="26"/>
  <c r="Q162" i="26"/>
  <c r="R162" i="26"/>
  <c r="S162" i="26"/>
  <c r="T162" i="26"/>
  <c r="U162" i="26"/>
  <c r="V162" i="26"/>
  <c r="W162" i="26"/>
  <c r="X162" i="26"/>
  <c r="Y162" i="26"/>
  <c r="Z162" i="26"/>
  <c r="AA162" i="26"/>
  <c r="AB162" i="26"/>
  <c r="P163" i="26"/>
  <c r="Q163" i="26"/>
  <c r="R163" i="26"/>
  <c r="S163" i="26"/>
  <c r="T163" i="26"/>
  <c r="U163" i="26"/>
  <c r="V163" i="26"/>
  <c r="W163" i="26"/>
  <c r="X163" i="26"/>
  <c r="Y163" i="26"/>
  <c r="Z163" i="26"/>
  <c r="AA163" i="26"/>
  <c r="AB163" i="26"/>
  <c r="P164" i="26"/>
  <c r="Q164" i="26"/>
  <c r="R164" i="26"/>
  <c r="S164" i="26"/>
  <c r="T164" i="26"/>
  <c r="U164" i="26"/>
  <c r="V164" i="26"/>
  <c r="W164" i="26"/>
  <c r="X164" i="26"/>
  <c r="Y164" i="26"/>
  <c r="Z164" i="26"/>
  <c r="AA164" i="26"/>
  <c r="AB164" i="26"/>
  <c r="P165" i="26"/>
  <c r="Q165" i="26"/>
  <c r="R165" i="26"/>
  <c r="S165" i="26"/>
  <c r="T165" i="26"/>
  <c r="U165" i="26"/>
  <c r="V165" i="26"/>
  <c r="W165" i="26"/>
  <c r="X165" i="26"/>
  <c r="Y165" i="26"/>
  <c r="Z165" i="26"/>
  <c r="AA165" i="26"/>
  <c r="AB165" i="26"/>
  <c r="P166" i="26"/>
  <c r="Q166" i="26"/>
  <c r="R166" i="26"/>
  <c r="S166" i="26"/>
  <c r="T166" i="26"/>
  <c r="U166" i="26"/>
  <c r="V166" i="26"/>
  <c r="W166" i="26"/>
  <c r="X166" i="26"/>
  <c r="Y166" i="26"/>
  <c r="Z166" i="26"/>
  <c r="AA166" i="26"/>
  <c r="AB166" i="26"/>
  <c r="P167" i="26"/>
  <c r="Q167" i="26"/>
  <c r="R167" i="26"/>
  <c r="S167" i="26"/>
  <c r="T167" i="26"/>
  <c r="U167" i="26"/>
  <c r="V167" i="26"/>
  <c r="W167" i="26"/>
  <c r="X167" i="26"/>
  <c r="Y167" i="26"/>
  <c r="Z167" i="26"/>
  <c r="AA167" i="26"/>
  <c r="AB167" i="26"/>
  <c r="P168" i="26"/>
  <c r="Q168" i="26"/>
  <c r="R168" i="26"/>
  <c r="S168" i="26"/>
  <c r="T168" i="26"/>
  <c r="U168" i="26"/>
  <c r="V168" i="26"/>
  <c r="W168" i="26"/>
  <c r="X168" i="26"/>
  <c r="Y168" i="26"/>
  <c r="Z168" i="26"/>
  <c r="AA168" i="26"/>
  <c r="AB168" i="26"/>
  <c r="P169" i="26"/>
  <c r="Q169" i="26"/>
  <c r="R169" i="26"/>
  <c r="S169" i="26"/>
  <c r="T169" i="26"/>
  <c r="U169" i="26"/>
  <c r="V169" i="26"/>
  <c r="W169" i="26"/>
  <c r="X169" i="26"/>
  <c r="Y169" i="26"/>
  <c r="Z169" i="26"/>
  <c r="AA169" i="26"/>
  <c r="AB169" i="26"/>
  <c r="P170" i="26"/>
  <c r="Q170" i="26"/>
  <c r="R170" i="26"/>
  <c r="S170" i="26"/>
  <c r="T170" i="26"/>
  <c r="U170" i="26"/>
  <c r="V170" i="26"/>
  <c r="W170" i="26"/>
  <c r="X170" i="26"/>
  <c r="Y170" i="26"/>
  <c r="Z170" i="26"/>
  <c r="AA170" i="26"/>
  <c r="AB170" i="26"/>
  <c r="P171" i="26"/>
  <c r="Q171" i="26"/>
  <c r="R171" i="26"/>
  <c r="S171" i="26"/>
  <c r="T171" i="26"/>
  <c r="U171" i="26"/>
  <c r="V171" i="26"/>
  <c r="W171" i="26"/>
  <c r="X171" i="26"/>
  <c r="Y171" i="26"/>
  <c r="Z171" i="26"/>
  <c r="AA171" i="26"/>
  <c r="AB171" i="26"/>
  <c r="P172" i="26"/>
  <c r="Q172" i="26"/>
  <c r="R172" i="26"/>
  <c r="S172" i="26"/>
  <c r="T172" i="26"/>
  <c r="U172" i="26"/>
  <c r="V172" i="26"/>
  <c r="W172" i="26"/>
  <c r="X172" i="26"/>
  <c r="Y172" i="26"/>
  <c r="Z172" i="26"/>
  <c r="AA172" i="26"/>
  <c r="AB172" i="26"/>
  <c r="P173" i="26"/>
  <c r="Q173" i="26"/>
  <c r="R173" i="26"/>
  <c r="S173" i="26"/>
  <c r="T173" i="26"/>
  <c r="U173" i="26"/>
  <c r="V173" i="26"/>
  <c r="W173" i="26"/>
  <c r="X173" i="26"/>
  <c r="Y173" i="26"/>
  <c r="Z173" i="26"/>
  <c r="AA173" i="26"/>
  <c r="AB173" i="26"/>
  <c r="P174" i="26"/>
  <c r="Q174" i="26"/>
  <c r="R174" i="26"/>
  <c r="S174" i="26"/>
  <c r="T174" i="26"/>
  <c r="U174" i="26"/>
  <c r="V174" i="26"/>
  <c r="W174" i="26"/>
  <c r="X174" i="26"/>
  <c r="Y174" i="26"/>
  <c r="Z174" i="26"/>
  <c r="AA174" i="26"/>
  <c r="AB174" i="26"/>
  <c r="P175" i="26"/>
  <c r="Q175" i="26"/>
  <c r="R175" i="26"/>
  <c r="S175" i="26"/>
  <c r="T175" i="26"/>
  <c r="U175" i="26"/>
  <c r="V175" i="26"/>
  <c r="W175" i="26"/>
  <c r="X175" i="26"/>
  <c r="Y175" i="26"/>
  <c r="Z175" i="26"/>
  <c r="AA175" i="26"/>
  <c r="AB175" i="26"/>
  <c r="P176" i="26"/>
  <c r="Q176" i="26"/>
  <c r="R176" i="26"/>
  <c r="S176" i="26"/>
  <c r="T176" i="26"/>
  <c r="U176" i="26"/>
  <c r="V176" i="26"/>
  <c r="W176" i="26"/>
  <c r="X176" i="26"/>
  <c r="Y176" i="26"/>
  <c r="Z176" i="26"/>
  <c r="AA176" i="26"/>
  <c r="AB176" i="26"/>
  <c r="P177" i="26"/>
  <c r="Q177" i="26"/>
  <c r="R177" i="26"/>
  <c r="S177" i="26"/>
  <c r="T177" i="26"/>
  <c r="U177" i="26"/>
  <c r="V177" i="26"/>
  <c r="W177" i="26"/>
  <c r="X177" i="26"/>
  <c r="Y177" i="26"/>
  <c r="Z177" i="26"/>
  <c r="AA177" i="26"/>
  <c r="AB177" i="26"/>
  <c r="P178" i="26"/>
  <c r="Q178" i="26"/>
  <c r="R178" i="26"/>
  <c r="S178" i="26"/>
  <c r="T178" i="26"/>
  <c r="U178" i="26"/>
  <c r="V178" i="26"/>
  <c r="W178" i="26"/>
  <c r="X178" i="26"/>
  <c r="Y178" i="26"/>
  <c r="Z178" i="26"/>
  <c r="AA178" i="26"/>
  <c r="AB178" i="26"/>
  <c r="P179" i="26"/>
  <c r="Q179" i="26"/>
  <c r="R179" i="26"/>
  <c r="S179" i="26"/>
  <c r="T179" i="26"/>
  <c r="U179" i="26"/>
  <c r="V179" i="26"/>
  <c r="W179" i="26"/>
  <c r="X179" i="26"/>
  <c r="Y179" i="26"/>
  <c r="Z179" i="26"/>
  <c r="AA179" i="26"/>
  <c r="AB179" i="26"/>
  <c r="P180" i="26"/>
  <c r="Q180" i="26"/>
  <c r="R180" i="26"/>
  <c r="S180" i="26"/>
  <c r="T180" i="26"/>
  <c r="U180" i="26"/>
  <c r="V180" i="26"/>
  <c r="W180" i="26"/>
  <c r="X180" i="26"/>
  <c r="Y180" i="26"/>
  <c r="Z180" i="26"/>
  <c r="AA180" i="26"/>
  <c r="AB180" i="26"/>
  <c r="P181" i="26"/>
  <c r="Q181" i="26"/>
  <c r="R181" i="26"/>
  <c r="S181" i="26"/>
  <c r="T181" i="26"/>
  <c r="U181" i="26"/>
  <c r="V181" i="26"/>
  <c r="W181" i="26"/>
  <c r="X181" i="26"/>
  <c r="Y181" i="26"/>
  <c r="Z181" i="26"/>
  <c r="AA181" i="26"/>
  <c r="AB181" i="26"/>
  <c r="P182" i="26"/>
  <c r="Q182" i="26"/>
  <c r="R182" i="26"/>
  <c r="S182" i="26"/>
  <c r="T182" i="26"/>
  <c r="U182" i="26"/>
  <c r="V182" i="26"/>
  <c r="W182" i="26"/>
  <c r="X182" i="26"/>
  <c r="Y182" i="26"/>
  <c r="Z182" i="26"/>
  <c r="AA182" i="26"/>
  <c r="AB182" i="26"/>
  <c r="P183" i="26"/>
  <c r="Q183" i="26"/>
  <c r="R183" i="26"/>
  <c r="S183" i="26"/>
  <c r="T183" i="26"/>
  <c r="U183" i="26"/>
  <c r="V183" i="26"/>
  <c r="W183" i="26"/>
  <c r="X183" i="26"/>
  <c r="Y183" i="26"/>
  <c r="Z183" i="26"/>
  <c r="AA183" i="26"/>
  <c r="AB183" i="26"/>
  <c r="P184" i="26"/>
  <c r="Q184" i="26"/>
  <c r="R184" i="26"/>
  <c r="S184" i="26"/>
  <c r="T184" i="26"/>
  <c r="U184" i="26"/>
  <c r="V184" i="26"/>
  <c r="W184" i="26"/>
  <c r="X184" i="26"/>
  <c r="Y184" i="26"/>
  <c r="Z184" i="26"/>
  <c r="AA184" i="26"/>
  <c r="AB184" i="26"/>
  <c r="P185" i="26"/>
  <c r="Q185" i="26"/>
  <c r="R185" i="26"/>
  <c r="S185" i="26"/>
  <c r="T185" i="26"/>
  <c r="U185" i="26"/>
  <c r="V185" i="26"/>
  <c r="W185" i="26"/>
  <c r="X185" i="26"/>
  <c r="Y185" i="26"/>
  <c r="Z185" i="26"/>
  <c r="AA185" i="26"/>
  <c r="AB185" i="26"/>
  <c r="P186" i="26"/>
  <c r="Q186" i="26"/>
  <c r="R186" i="26"/>
  <c r="S186" i="26"/>
  <c r="T186" i="26"/>
  <c r="U186" i="26"/>
  <c r="V186" i="26"/>
  <c r="W186" i="26"/>
  <c r="X186" i="26"/>
  <c r="Y186" i="26"/>
  <c r="Z186" i="26"/>
  <c r="AA186" i="26"/>
  <c r="AB186" i="26"/>
  <c r="P187" i="26"/>
  <c r="Q187" i="26"/>
  <c r="R187" i="26"/>
  <c r="S187" i="26"/>
  <c r="T187" i="26"/>
  <c r="U187" i="26"/>
  <c r="V187" i="26"/>
  <c r="W187" i="26"/>
  <c r="X187" i="26"/>
  <c r="Y187" i="26"/>
  <c r="Z187" i="26"/>
  <c r="AA187" i="26"/>
  <c r="AB187" i="26"/>
  <c r="P188" i="26"/>
  <c r="Q188" i="26"/>
  <c r="R188" i="26"/>
  <c r="S188" i="26"/>
  <c r="T188" i="26"/>
  <c r="U188" i="26"/>
  <c r="V188" i="26"/>
  <c r="W188" i="26"/>
  <c r="X188" i="26"/>
  <c r="Y188" i="26"/>
  <c r="Z188" i="26"/>
  <c r="AA188" i="26"/>
  <c r="AB188" i="26"/>
  <c r="P189" i="26"/>
  <c r="Q189" i="26"/>
  <c r="R189" i="26"/>
  <c r="S189" i="26"/>
  <c r="T189" i="26"/>
  <c r="U189" i="26"/>
  <c r="V189" i="26"/>
  <c r="W189" i="26"/>
  <c r="X189" i="26"/>
  <c r="Y189" i="26"/>
  <c r="Z189" i="26"/>
  <c r="AA189" i="26"/>
  <c r="AB189" i="26"/>
  <c r="P190" i="26"/>
  <c r="Q190" i="26"/>
  <c r="R190" i="26"/>
  <c r="S190" i="26"/>
  <c r="T190" i="26"/>
  <c r="U190" i="26"/>
  <c r="V190" i="26"/>
  <c r="W190" i="26"/>
  <c r="X190" i="26"/>
  <c r="Y190" i="26"/>
  <c r="Z190" i="26"/>
  <c r="AA190" i="26"/>
  <c r="AB190" i="26"/>
  <c r="P191" i="26"/>
  <c r="Q191" i="26"/>
  <c r="R191" i="26"/>
  <c r="S191" i="26"/>
  <c r="T191" i="26"/>
  <c r="U191" i="26"/>
  <c r="V191" i="26"/>
  <c r="W191" i="26"/>
  <c r="X191" i="26"/>
  <c r="Y191" i="26"/>
  <c r="Z191" i="26"/>
  <c r="AA191" i="26"/>
  <c r="AB191" i="26"/>
  <c r="P192" i="26"/>
  <c r="Q192" i="26"/>
  <c r="R192" i="26"/>
  <c r="S192" i="26"/>
  <c r="T192" i="26"/>
  <c r="U192" i="26"/>
  <c r="V192" i="26"/>
  <c r="W192" i="26"/>
  <c r="X192" i="26"/>
  <c r="Y192" i="26"/>
  <c r="Z192" i="26"/>
  <c r="AA192" i="26"/>
  <c r="AB192" i="26"/>
  <c r="P193" i="26"/>
  <c r="Q193" i="26"/>
  <c r="R193" i="26"/>
  <c r="S193" i="26"/>
  <c r="T193" i="26"/>
  <c r="U193" i="26"/>
  <c r="V193" i="26"/>
  <c r="W193" i="26"/>
  <c r="X193" i="26"/>
  <c r="Y193" i="26"/>
  <c r="Z193" i="26"/>
  <c r="AA193" i="26"/>
  <c r="AB193" i="26"/>
  <c r="P194" i="26"/>
  <c r="Q194" i="26"/>
  <c r="R194" i="26"/>
  <c r="S194" i="26"/>
  <c r="T194" i="26"/>
  <c r="U194" i="26"/>
  <c r="V194" i="26"/>
  <c r="W194" i="26"/>
  <c r="X194" i="26"/>
  <c r="Y194" i="26"/>
  <c r="Z194" i="26"/>
  <c r="AA194" i="26"/>
  <c r="AB194" i="26"/>
  <c r="P195" i="26"/>
  <c r="Q195" i="26"/>
  <c r="R195" i="26"/>
  <c r="S195" i="26"/>
  <c r="T195" i="26"/>
  <c r="U195" i="26"/>
  <c r="V195" i="26"/>
  <c r="W195" i="26"/>
  <c r="X195" i="26"/>
  <c r="Y195" i="26"/>
  <c r="Z195" i="26"/>
  <c r="AA195" i="26"/>
  <c r="AB195" i="26"/>
  <c r="P196" i="26"/>
  <c r="Q196" i="26"/>
  <c r="R196" i="26"/>
  <c r="S196" i="26"/>
  <c r="T196" i="26"/>
  <c r="U196" i="26"/>
  <c r="V196" i="26"/>
  <c r="W196" i="26"/>
  <c r="X196" i="26"/>
  <c r="Y196" i="26"/>
  <c r="Z196" i="26"/>
  <c r="AA196" i="26"/>
  <c r="AB196" i="26"/>
  <c r="P197" i="26"/>
  <c r="Q197" i="26"/>
  <c r="R197" i="26"/>
  <c r="S197" i="26"/>
  <c r="T197" i="26"/>
  <c r="U197" i="26"/>
  <c r="V197" i="26"/>
  <c r="W197" i="26"/>
  <c r="X197" i="26"/>
  <c r="Y197" i="26"/>
  <c r="Z197" i="26"/>
  <c r="AA197" i="26"/>
  <c r="AB197" i="26"/>
  <c r="P198" i="26"/>
  <c r="Q198" i="26"/>
  <c r="R198" i="26"/>
  <c r="S198" i="26"/>
  <c r="T198" i="26"/>
  <c r="U198" i="26"/>
  <c r="V198" i="26"/>
  <c r="W198" i="26"/>
  <c r="X198" i="26"/>
  <c r="Y198" i="26"/>
  <c r="Z198" i="26"/>
  <c r="AA198" i="26"/>
  <c r="AB198" i="26"/>
  <c r="P199" i="26"/>
  <c r="Q199" i="26"/>
  <c r="R199" i="26"/>
  <c r="S199" i="26"/>
  <c r="T199" i="26"/>
  <c r="U199" i="26"/>
  <c r="V199" i="26"/>
  <c r="W199" i="26"/>
  <c r="X199" i="26"/>
  <c r="Y199" i="26"/>
  <c r="Z199" i="26"/>
  <c r="AA199" i="26"/>
  <c r="AB199" i="26"/>
  <c r="P200" i="26"/>
  <c r="Q200" i="26"/>
  <c r="R200" i="26"/>
  <c r="S200" i="26"/>
  <c r="T200" i="26"/>
  <c r="U200" i="26"/>
  <c r="V200" i="26"/>
  <c r="W200" i="26"/>
  <c r="X200" i="26"/>
  <c r="Y200" i="26"/>
  <c r="Z200" i="26"/>
  <c r="AA200" i="26"/>
  <c r="AB200" i="26"/>
  <c r="P201" i="26"/>
  <c r="Q201" i="26"/>
  <c r="R201" i="26"/>
  <c r="S201" i="26"/>
  <c r="T201" i="26"/>
  <c r="U201" i="26"/>
  <c r="V201" i="26"/>
  <c r="W201" i="26"/>
  <c r="X201" i="26"/>
  <c r="Y201" i="26"/>
  <c r="Z201" i="26"/>
  <c r="AA201" i="26"/>
  <c r="AB201" i="26"/>
  <c r="P202" i="26"/>
  <c r="Q202" i="26"/>
  <c r="R202" i="26"/>
  <c r="S202" i="26"/>
  <c r="T202" i="26"/>
  <c r="U202" i="26"/>
  <c r="V202" i="26"/>
  <c r="W202" i="26"/>
  <c r="X202" i="26"/>
  <c r="Y202" i="26"/>
  <c r="Z202" i="26"/>
  <c r="AA202" i="26"/>
  <c r="AB202" i="26"/>
  <c r="P203" i="26"/>
  <c r="Q203" i="26"/>
  <c r="R203" i="26"/>
  <c r="S203" i="26"/>
  <c r="T203" i="26"/>
  <c r="U203" i="26"/>
  <c r="V203" i="26"/>
  <c r="W203" i="26"/>
  <c r="X203" i="26"/>
  <c r="Y203" i="26"/>
  <c r="Z203" i="26"/>
  <c r="AA203" i="26"/>
  <c r="AB203" i="26"/>
  <c r="P204" i="26"/>
  <c r="Q204" i="26"/>
  <c r="R204" i="26"/>
  <c r="S204" i="26"/>
  <c r="T204" i="26"/>
  <c r="U204" i="26"/>
  <c r="V204" i="26"/>
  <c r="W204" i="26"/>
  <c r="X204" i="26"/>
  <c r="Y204" i="26"/>
  <c r="Z204" i="26"/>
  <c r="AA204" i="26"/>
  <c r="AB204" i="26"/>
  <c r="P205" i="26"/>
  <c r="Q205" i="26"/>
  <c r="R205" i="26"/>
  <c r="S205" i="26"/>
  <c r="T205" i="26"/>
  <c r="U205" i="26"/>
  <c r="V205" i="26"/>
  <c r="W205" i="26"/>
  <c r="X205" i="26"/>
  <c r="Y205" i="26"/>
  <c r="Z205" i="26"/>
  <c r="AA205" i="26"/>
  <c r="AB205" i="26"/>
  <c r="P206" i="26"/>
  <c r="Q206" i="26"/>
  <c r="R206" i="26"/>
  <c r="S206" i="26"/>
  <c r="T206" i="26"/>
  <c r="U206" i="26"/>
  <c r="V206" i="26"/>
  <c r="W206" i="26"/>
  <c r="X206" i="26"/>
  <c r="Y206" i="26"/>
  <c r="Z206" i="26"/>
  <c r="AA206" i="26"/>
  <c r="AB206" i="26"/>
  <c r="P207" i="26"/>
  <c r="Q207" i="26"/>
  <c r="R207" i="26"/>
  <c r="S207" i="26"/>
  <c r="T207" i="26"/>
  <c r="U207" i="26"/>
  <c r="V207" i="26"/>
  <c r="W207" i="26"/>
  <c r="X207" i="26"/>
  <c r="Y207" i="26"/>
  <c r="Z207" i="26"/>
  <c r="AA207" i="26"/>
  <c r="AB207" i="26"/>
  <c r="P208" i="26"/>
  <c r="Q208" i="26"/>
  <c r="R208" i="26"/>
  <c r="S208" i="26"/>
  <c r="T208" i="26"/>
  <c r="U208" i="26"/>
  <c r="V208" i="26"/>
  <c r="W208" i="26"/>
  <c r="X208" i="26"/>
  <c r="Y208" i="26"/>
  <c r="Z208" i="26"/>
  <c r="AA208" i="26"/>
  <c r="AB208" i="26"/>
  <c r="P209" i="26"/>
  <c r="Q209" i="26"/>
  <c r="R209" i="26"/>
  <c r="S209" i="26"/>
  <c r="T209" i="26"/>
  <c r="U209" i="26"/>
  <c r="V209" i="26"/>
  <c r="W209" i="26"/>
  <c r="X209" i="26"/>
  <c r="Y209" i="26"/>
  <c r="Z209" i="26"/>
  <c r="AA209" i="26"/>
  <c r="AB209" i="26"/>
  <c r="P210" i="26"/>
  <c r="Q210" i="26"/>
  <c r="R210" i="26"/>
  <c r="S210" i="26"/>
  <c r="T210" i="26"/>
  <c r="U210" i="26"/>
  <c r="V210" i="26"/>
  <c r="W210" i="26"/>
  <c r="X210" i="26"/>
  <c r="Y210" i="26"/>
  <c r="Z210" i="26"/>
  <c r="AA210" i="26"/>
  <c r="AB210" i="26"/>
  <c r="P211" i="26"/>
  <c r="Q211" i="26"/>
  <c r="R211" i="26"/>
  <c r="S211" i="26"/>
  <c r="T211" i="26"/>
  <c r="U211" i="26"/>
  <c r="V211" i="26"/>
  <c r="W211" i="26"/>
  <c r="X211" i="26"/>
  <c r="Y211" i="26"/>
  <c r="Z211" i="26"/>
  <c r="AA211" i="26"/>
  <c r="AB211" i="26"/>
  <c r="P212" i="26"/>
  <c r="Q212" i="26"/>
  <c r="R212" i="26"/>
  <c r="S212" i="26"/>
  <c r="T212" i="26"/>
  <c r="U212" i="26"/>
  <c r="V212" i="26"/>
  <c r="W212" i="26"/>
  <c r="X212" i="26"/>
  <c r="Y212" i="26"/>
  <c r="Z212" i="26"/>
  <c r="AA212" i="26"/>
  <c r="AB212" i="26"/>
  <c r="P213" i="26"/>
  <c r="Q213" i="26"/>
  <c r="R213" i="26"/>
  <c r="S213" i="26"/>
  <c r="T213" i="26"/>
  <c r="U213" i="26"/>
  <c r="V213" i="26"/>
  <c r="W213" i="26"/>
  <c r="X213" i="26"/>
  <c r="Y213" i="26"/>
  <c r="Z213" i="26"/>
  <c r="AA213" i="26"/>
  <c r="AB213" i="26"/>
  <c r="P214" i="26"/>
  <c r="Q214" i="26"/>
  <c r="R214" i="26"/>
  <c r="S214" i="26"/>
  <c r="T214" i="26"/>
  <c r="U214" i="26"/>
  <c r="V214" i="26"/>
  <c r="W214" i="26"/>
  <c r="X214" i="26"/>
  <c r="Y214" i="26"/>
  <c r="Z214" i="26"/>
  <c r="AA214" i="26"/>
  <c r="AB214" i="26"/>
  <c r="P215" i="26"/>
  <c r="Q215" i="26"/>
  <c r="R215" i="26"/>
  <c r="S215" i="26"/>
  <c r="T215" i="26"/>
  <c r="U215" i="26"/>
  <c r="V215" i="26"/>
  <c r="W215" i="26"/>
  <c r="X215" i="26"/>
  <c r="Y215" i="26"/>
  <c r="Z215" i="26"/>
  <c r="AA215" i="26"/>
  <c r="AB215" i="26"/>
  <c r="P216" i="26"/>
  <c r="Q216" i="26"/>
  <c r="R216" i="26"/>
  <c r="S216" i="26"/>
  <c r="T216" i="26"/>
  <c r="U216" i="26"/>
  <c r="V216" i="26"/>
  <c r="W216" i="26"/>
  <c r="X216" i="26"/>
  <c r="Y216" i="26"/>
  <c r="Z216" i="26"/>
  <c r="AA216" i="26"/>
  <c r="AB216" i="26"/>
  <c r="P217" i="26"/>
  <c r="Q217" i="26"/>
  <c r="R217" i="26"/>
  <c r="S217" i="26"/>
  <c r="T217" i="26"/>
  <c r="U217" i="26"/>
  <c r="V217" i="26"/>
  <c r="W217" i="26"/>
  <c r="X217" i="26"/>
  <c r="Y217" i="26"/>
  <c r="Z217" i="26"/>
  <c r="AA217" i="26"/>
  <c r="AB217" i="26"/>
  <c r="P218" i="26"/>
  <c r="Q218" i="26"/>
  <c r="R218" i="26"/>
  <c r="S218" i="26"/>
  <c r="T218" i="26"/>
  <c r="U218" i="26"/>
  <c r="V218" i="26"/>
  <c r="W218" i="26"/>
  <c r="X218" i="26"/>
  <c r="Y218" i="26"/>
  <c r="Z218" i="26"/>
  <c r="AA218" i="26"/>
  <c r="AB218" i="26"/>
  <c r="P219" i="26"/>
  <c r="Q219" i="26"/>
  <c r="R219" i="26"/>
  <c r="S219" i="26"/>
  <c r="T219" i="26"/>
  <c r="U219" i="26"/>
  <c r="V219" i="26"/>
  <c r="W219" i="26"/>
  <c r="X219" i="26"/>
  <c r="Y219" i="26"/>
  <c r="Z219" i="26"/>
  <c r="AA219" i="26"/>
  <c r="AB219" i="26"/>
  <c r="P220" i="26"/>
  <c r="Q220" i="26"/>
  <c r="R220" i="26"/>
  <c r="S220" i="26"/>
  <c r="T220" i="26"/>
  <c r="U220" i="26"/>
  <c r="V220" i="26"/>
  <c r="W220" i="26"/>
  <c r="X220" i="26"/>
  <c r="Y220" i="26"/>
  <c r="Z220" i="26"/>
  <c r="AA220" i="26"/>
  <c r="AB220" i="26"/>
  <c r="P221" i="26"/>
  <c r="Q221" i="26"/>
  <c r="R221" i="26"/>
  <c r="S221" i="26"/>
  <c r="T221" i="26"/>
  <c r="U221" i="26"/>
  <c r="V221" i="26"/>
  <c r="W221" i="26"/>
  <c r="X221" i="26"/>
  <c r="Y221" i="26"/>
  <c r="Z221" i="26"/>
  <c r="AA221" i="26"/>
  <c r="AB221" i="26"/>
  <c r="P222" i="26"/>
  <c r="Q222" i="26"/>
  <c r="R222" i="26"/>
  <c r="S222" i="26"/>
  <c r="T222" i="26"/>
  <c r="U222" i="26"/>
  <c r="V222" i="26"/>
  <c r="W222" i="26"/>
  <c r="X222" i="26"/>
  <c r="Y222" i="26"/>
  <c r="Z222" i="26"/>
  <c r="AA222" i="26"/>
  <c r="AB222" i="26"/>
  <c r="P223" i="26"/>
  <c r="Q223" i="26"/>
  <c r="R223" i="26"/>
  <c r="S223" i="26"/>
  <c r="T223" i="26"/>
  <c r="U223" i="26"/>
  <c r="V223" i="26"/>
  <c r="W223" i="26"/>
  <c r="X223" i="26"/>
  <c r="Y223" i="26"/>
  <c r="Z223" i="26"/>
  <c r="AA223" i="26"/>
  <c r="AB223" i="26"/>
  <c r="P224" i="26"/>
  <c r="Q224" i="26"/>
  <c r="R224" i="26"/>
  <c r="S224" i="26"/>
  <c r="T224" i="26"/>
  <c r="U224" i="26"/>
  <c r="V224" i="26"/>
  <c r="W224" i="26"/>
  <c r="X224" i="26"/>
  <c r="Y224" i="26"/>
  <c r="Z224" i="26"/>
  <c r="AA224" i="26"/>
  <c r="AB224" i="26"/>
  <c r="P225" i="26"/>
  <c r="Q225" i="26"/>
  <c r="R225" i="26"/>
  <c r="S225" i="26"/>
  <c r="T225" i="26"/>
  <c r="U225" i="26"/>
  <c r="V225" i="26"/>
  <c r="W225" i="26"/>
  <c r="X225" i="26"/>
  <c r="Y225" i="26"/>
  <c r="Z225" i="26"/>
  <c r="AA225" i="26"/>
  <c r="AB225" i="26"/>
  <c r="P226" i="26"/>
  <c r="Q226" i="26"/>
  <c r="R226" i="26"/>
  <c r="S226" i="26"/>
  <c r="T226" i="26"/>
  <c r="U226" i="26"/>
  <c r="V226" i="26"/>
  <c r="W226" i="26"/>
  <c r="X226" i="26"/>
  <c r="Y226" i="26"/>
  <c r="Z226" i="26"/>
  <c r="AA226" i="26"/>
  <c r="AB226" i="26"/>
  <c r="P227" i="26"/>
  <c r="Q227" i="26"/>
  <c r="R227" i="26"/>
  <c r="S227" i="26"/>
  <c r="T227" i="26"/>
  <c r="U227" i="26"/>
  <c r="V227" i="26"/>
  <c r="W227" i="26"/>
  <c r="X227" i="26"/>
  <c r="Y227" i="26"/>
  <c r="Z227" i="26"/>
  <c r="AA227" i="26"/>
  <c r="AB227" i="26"/>
  <c r="P228" i="26"/>
  <c r="Q228" i="26"/>
  <c r="R228" i="26"/>
  <c r="S228" i="26"/>
  <c r="T228" i="26"/>
  <c r="U228" i="26"/>
  <c r="V228" i="26"/>
  <c r="W228" i="26"/>
  <c r="X228" i="26"/>
  <c r="Y228" i="26"/>
  <c r="Z228" i="26"/>
  <c r="AA228" i="26"/>
  <c r="AB228" i="26"/>
  <c r="P229" i="26"/>
  <c r="Q229" i="26"/>
  <c r="R229" i="26"/>
  <c r="S229" i="26"/>
  <c r="T229" i="26"/>
  <c r="U229" i="26"/>
  <c r="V229" i="26"/>
  <c r="W229" i="26"/>
  <c r="X229" i="26"/>
  <c r="Y229" i="26"/>
  <c r="Z229" i="26"/>
  <c r="AA229" i="26"/>
  <c r="AB229" i="26"/>
  <c r="P230" i="26"/>
  <c r="Q230" i="26"/>
  <c r="R230" i="26"/>
  <c r="S230" i="26"/>
  <c r="T230" i="26"/>
  <c r="U230" i="26"/>
  <c r="V230" i="26"/>
  <c r="W230" i="26"/>
  <c r="X230" i="26"/>
  <c r="Y230" i="26"/>
  <c r="Z230" i="26"/>
  <c r="AA230" i="26"/>
  <c r="AB230" i="26"/>
  <c r="P231" i="26"/>
  <c r="Q231" i="26"/>
  <c r="R231" i="26"/>
  <c r="S231" i="26"/>
  <c r="T231" i="26"/>
  <c r="U231" i="26"/>
  <c r="V231" i="26"/>
  <c r="W231" i="26"/>
  <c r="X231" i="26"/>
  <c r="Y231" i="26"/>
  <c r="Z231" i="26"/>
  <c r="AA231" i="26"/>
  <c r="AB231" i="26"/>
  <c r="P232" i="26"/>
  <c r="Q232" i="26"/>
  <c r="R232" i="26"/>
  <c r="S232" i="26"/>
  <c r="T232" i="26"/>
  <c r="U232" i="26"/>
  <c r="V232" i="26"/>
  <c r="W232" i="26"/>
  <c r="X232" i="26"/>
  <c r="Y232" i="26"/>
  <c r="Z232" i="26"/>
  <c r="AA232" i="26"/>
  <c r="AB232" i="26"/>
  <c r="P233" i="26"/>
  <c r="Q233" i="26"/>
  <c r="R233" i="26"/>
  <c r="S233" i="26"/>
  <c r="T233" i="26"/>
  <c r="U233" i="26"/>
  <c r="V233" i="26"/>
  <c r="W233" i="26"/>
  <c r="X233" i="26"/>
  <c r="Y233" i="26"/>
  <c r="Z233" i="26"/>
  <c r="AA233" i="26"/>
  <c r="AB233" i="26"/>
  <c r="P234" i="26"/>
  <c r="Q234" i="26"/>
  <c r="R234" i="26"/>
  <c r="S234" i="26"/>
  <c r="T234" i="26"/>
  <c r="U234" i="26"/>
  <c r="V234" i="26"/>
  <c r="W234" i="26"/>
  <c r="X234" i="26"/>
  <c r="Y234" i="26"/>
  <c r="Z234" i="26"/>
  <c r="AA234" i="26"/>
  <c r="AB234" i="26"/>
  <c r="P235" i="26"/>
  <c r="Q235" i="26"/>
  <c r="R235" i="26"/>
  <c r="S235" i="26"/>
  <c r="T235" i="26"/>
  <c r="U235" i="26"/>
  <c r="V235" i="26"/>
  <c r="W235" i="26"/>
  <c r="X235" i="26"/>
  <c r="Y235" i="26"/>
  <c r="Z235" i="26"/>
  <c r="AA235" i="26"/>
  <c r="AB235" i="26"/>
  <c r="P236" i="26"/>
  <c r="Q236" i="26"/>
  <c r="R236" i="26"/>
  <c r="S236" i="26"/>
  <c r="T236" i="26"/>
  <c r="U236" i="26"/>
  <c r="V236" i="26"/>
  <c r="W236" i="26"/>
  <c r="X236" i="26"/>
  <c r="Y236" i="26"/>
  <c r="Z236" i="26"/>
  <c r="AA236" i="26"/>
  <c r="AB236" i="26"/>
  <c r="P237" i="26"/>
  <c r="Q237" i="26"/>
  <c r="R237" i="26"/>
  <c r="S237" i="26"/>
  <c r="T237" i="26"/>
  <c r="U237" i="26"/>
  <c r="V237" i="26"/>
  <c r="W237" i="26"/>
  <c r="X237" i="26"/>
  <c r="Y237" i="26"/>
  <c r="Z237" i="26"/>
  <c r="AA237" i="26"/>
  <c r="AB237" i="26"/>
  <c r="P238" i="26"/>
  <c r="Q238" i="26"/>
  <c r="R238" i="26"/>
  <c r="S238" i="26"/>
  <c r="T238" i="26"/>
  <c r="U238" i="26"/>
  <c r="V238" i="26"/>
  <c r="W238" i="26"/>
  <c r="X238" i="26"/>
  <c r="Y238" i="26"/>
  <c r="Z238" i="26"/>
  <c r="AA238" i="26"/>
  <c r="AB238" i="26"/>
  <c r="P239" i="26"/>
  <c r="Q239" i="26"/>
  <c r="R239" i="26"/>
  <c r="S239" i="26"/>
  <c r="T239" i="26"/>
  <c r="U239" i="26"/>
  <c r="V239" i="26"/>
  <c r="W239" i="26"/>
  <c r="X239" i="26"/>
  <c r="Y239" i="26"/>
  <c r="Z239" i="26"/>
  <c r="AA239" i="26"/>
  <c r="AB239" i="26"/>
  <c r="P240" i="26"/>
  <c r="Q240" i="26"/>
  <c r="R240" i="26"/>
  <c r="S240" i="26"/>
  <c r="T240" i="26"/>
  <c r="U240" i="26"/>
  <c r="V240" i="26"/>
  <c r="W240" i="26"/>
  <c r="X240" i="26"/>
  <c r="Y240" i="26"/>
  <c r="Z240" i="26"/>
  <c r="AA240" i="26"/>
  <c r="AB240" i="26"/>
  <c r="P241" i="26"/>
  <c r="Q241" i="26"/>
  <c r="R241" i="26"/>
  <c r="S241" i="26"/>
  <c r="T241" i="26"/>
  <c r="U241" i="26"/>
  <c r="V241" i="26"/>
  <c r="W241" i="26"/>
  <c r="X241" i="26"/>
  <c r="Y241" i="26"/>
  <c r="Z241" i="26"/>
  <c r="AA241" i="26"/>
  <c r="AB241" i="26"/>
  <c r="P242" i="26"/>
  <c r="Q242" i="26"/>
  <c r="R242" i="26"/>
  <c r="S242" i="26"/>
  <c r="T242" i="26"/>
  <c r="U242" i="26"/>
  <c r="V242" i="26"/>
  <c r="W242" i="26"/>
  <c r="X242" i="26"/>
  <c r="Y242" i="26"/>
  <c r="Z242" i="26"/>
  <c r="AA242" i="26"/>
  <c r="AB242" i="26"/>
  <c r="P243" i="26"/>
  <c r="Q243" i="26"/>
  <c r="R243" i="26"/>
  <c r="S243" i="26"/>
  <c r="T243" i="26"/>
  <c r="U243" i="26"/>
  <c r="V243" i="26"/>
  <c r="W243" i="26"/>
  <c r="X243" i="26"/>
  <c r="Y243" i="26"/>
  <c r="Z243" i="26"/>
  <c r="AA243" i="26"/>
  <c r="AB243" i="26"/>
  <c r="P244" i="26"/>
  <c r="Q244" i="26"/>
  <c r="R244" i="26"/>
  <c r="S244" i="26"/>
  <c r="T244" i="26"/>
  <c r="U244" i="26"/>
  <c r="V244" i="26"/>
  <c r="W244" i="26"/>
  <c r="X244" i="26"/>
  <c r="Y244" i="26"/>
  <c r="Z244" i="26"/>
  <c r="AA244" i="26"/>
  <c r="AB244" i="26"/>
  <c r="P245" i="26"/>
  <c r="Q245" i="26"/>
  <c r="R245" i="26"/>
  <c r="S245" i="26"/>
  <c r="T245" i="26"/>
  <c r="U245" i="26"/>
  <c r="V245" i="26"/>
  <c r="W245" i="26"/>
  <c r="X245" i="26"/>
  <c r="Y245" i="26"/>
  <c r="Z245" i="26"/>
  <c r="AA245" i="26"/>
  <c r="AB245" i="26"/>
  <c r="P246" i="26"/>
  <c r="Q246" i="26"/>
  <c r="R246" i="26"/>
  <c r="S246" i="26"/>
  <c r="T246" i="26"/>
  <c r="U246" i="26"/>
  <c r="V246" i="26"/>
  <c r="W246" i="26"/>
  <c r="X246" i="26"/>
  <c r="Y246" i="26"/>
  <c r="Z246" i="26"/>
  <c r="AA246" i="26"/>
  <c r="AB246" i="26"/>
  <c r="P247" i="26"/>
  <c r="Q247" i="26"/>
  <c r="R247" i="26"/>
  <c r="S247" i="26"/>
  <c r="T247" i="26"/>
  <c r="U247" i="26"/>
  <c r="V247" i="26"/>
  <c r="W247" i="26"/>
  <c r="X247" i="26"/>
  <c r="Y247" i="26"/>
  <c r="Z247" i="26"/>
  <c r="AA247" i="26"/>
  <c r="AB247" i="26"/>
  <c r="P248" i="26"/>
  <c r="Q248" i="26"/>
  <c r="R248" i="26"/>
  <c r="S248" i="26"/>
  <c r="T248" i="26"/>
  <c r="U248" i="26"/>
  <c r="V248" i="26"/>
  <c r="W248" i="26"/>
  <c r="X248" i="26"/>
  <c r="Y248" i="26"/>
  <c r="Z248" i="26"/>
  <c r="AA248" i="26"/>
  <c r="AB248" i="26"/>
  <c r="P249" i="26"/>
  <c r="Q249" i="26"/>
  <c r="R249" i="26"/>
  <c r="S249" i="26"/>
  <c r="T249" i="26"/>
  <c r="U249" i="26"/>
  <c r="V249" i="26"/>
  <c r="W249" i="26"/>
  <c r="X249" i="26"/>
  <c r="Y249" i="26"/>
  <c r="Z249" i="26"/>
  <c r="AA249" i="26"/>
  <c r="AB249" i="26"/>
  <c r="P250" i="26"/>
  <c r="Q250" i="26"/>
  <c r="R250" i="26"/>
  <c r="S250" i="26"/>
  <c r="T250" i="26"/>
  <c r="U250" i="26"/>
  <c r="V250" i="26"/>
  <c r="W250" i="26"/>
  <c r="X250" i="26"/>
  <c r="Y250" i="26"/>
  <c r="Z250" i="26"/>
  <c r="AA250" i="26"/>
  <c r="AB250" i="26"/>
  <c r="P251" i="26"/>
  <c r="Q251" i="26"/>
  <c r="R251" i="26"/>
  <c r="S251" i="26"/>
  <c r="T251" i="26"/>
  <c r="U251" i="26"/>
  <c r="V251" i="26"/>
  <c r="W251" i="26"/>
  <c r="X251" i="26"/>
  <c r="Y251" i="26"/>
  <c r="Z251" i="26"/>
  <c r="AA251" i="26"/>
  <c r="AB251" i="26"/>
  <c r="P252" i="26"/>
  <c r="Q252" i="26"/>
  <c r="R252" i="26"/>
  <c r="S252" i="26"/>
  <c r="T252" i="26"/>
  <c r="U252" i="26"/>
  <c r="V252" i="26"/>
  <c r="W252" i="26"/>
  <c r="X252" i="26"/>
  <c r="Y252" i="26"/>
  <c r="Z252" i="26"/>
  <c r="AA252" i="26"/>
  <c r="AB252" i="26"/>
  <c r="P253" i="26"/>
  <c r="Q253" i="26"/>
  <c r="R253" i="26"/>
  <c r="S253" i="26"/>
  <c r="T253" i="26"/>
  <c r="U253" i="26"/>
  <c r="V253" i="26"/>
  <c r="W253" i="26"/>
  <c r="X253" i="26"/>
  <c r="Y253" i="26"/>
  <c r="Z253" i="26"/>
  <c r="AA253" i="26"/>
  <c r="AB253" i="26"/>
  <c r="P254" i="26"/>
  <c r="Q254" i="26"/>
  <c r="R254" i="26"/>
  <c r="S254" i="26"/>
  <c r="T254" i="26"/>
  <c r="U254" i="26"/>
  <c r="V254" i="26"/>
  <c r="W254" i="26"/>
  <c r="X254" i="26"/>
  <c r="Y254" i="26"/>
  <c r="Z254" i="26"/>
  <c r="AA254" i="26"/>
  <c r="AB254" i="26"/>
  <c r="P255" i="26"/>
  <c r="Q255" i="26"/>
  <c r="R255" i="26"/>
  <c r="S255" i="26"/>
  <c r="T255" i="26"/>
  <c r="U255" i="26"/>
  <c r="V255" i="26"/>
  <c r="W255" i="26"/>
  <c r="X255" i="26"/>
  <c r="Y255" i="26"/>
  <c r="Z255" i="26"/>
  <c r="AA255" i="26"/>
  <c r="AB255" i="26"/>
  <c r="P256" i="26"/>
  <c r="Q256" i="26"/>
  <c r="R256" i="26"/>
  <c r="S256" i="26"/>
  <c r="T256" i="26"/>
  <c r="U256" i="26"/>
  <c r="V256" i="26"/>
  <c r="W256" i="26"/>
  <c r="X256" i="26"/>
  <c r="Y256" i="26"/>
  <c r="Z256" i="26"/>
  <c r="AA256" i="26"/>
  <c r="AB256" i="26"/>
  <c r="P257" i="26"/>
  <c r="Q257" i="26"/>
  <c r="R257" i="26"/>
  <c r="S257" i="26"/>
  <c r="T257" i="26"/>
  <c r="U257" i="26"/>
  <c r="V257" i="26"/>
  <c r="W257" i="26"/>
  <c r="X257" i="26"/>
  <c r="Y257" i="26"/>
  <c r="Z257" i="26"/>
  <c r="AA257" i="26"/>
  <c r="AB257" i="26"/>
  <c r="P258" i="26"/>
  <c r="Q258" i="26"/>
  <c r="R258" i="26"/>
  <c r="S258" i="26"/>
  <c r="T258" i="26"/>
  <c r="U258" i="26"/>
  <c r="V258" i="26"/>
  <c r="W258" i="26"/>
  <c r="X258" i="26"/>
  <c r="Y258" i="26"/>
  <c r="Z258" i="26"/>
  <c r="AA258" i="26"/>
  <c r="AB258" i="26"/>
  <c r="P259" i="26"/>
  <c r="Q259" i="26"/>
  <c r="R259" i="26"/>
  <c r="S259" i="26"/>
  <c r="T259" i="26"/>
  <c r="U259" i="26"/>
  <c r="V259" i="26"/>
  <c r="W259" i="26"/>
  <c r="X259" i="26"/>
  <c r="Y259" i="26"/>
  <c r="Z259" i="26"/>
  <c r="AA259" i="26"/>
  <c r="AB259" i="26"/>
  <c r="P260" i="26"/>
  <c r="Q260" i="26"/>
  <c r="R260" i="26"/>
  <c r="S260" i="26"/>
  <c r="T260" i="26"/>
  <c r="U260" i="26"/>
  <c r="V260" i="26"/>
  <c r="W260" i="26"/>
  <c r="X260" i="26"/>
  <c r="Y260" i="26"/>
  <c r="Z260" i="26"/>
  <c r="AA260" i="26"/>
  <c r="AB260" i="26"/>
  <c r="P261" i="26"/>
  <c r="Q261" i="26"/>
  <c r="R261" i="26"/>
  <c r="S261" i="26"/>
  <c r="T261" i="26"/>
  <c r="U261" i="26"/>
  <c r="V261" i="26"/>
  <c r="W261" i="26"/>
  <c r="X261" i="26"/>
  <c r="Y261" i="26"/>
  <c r="Z261" i="26"/>
  <c r="AA261" i="26"/>
  <c r="AB261" i="26"/>
  <c r="P262" i="26"/>
  <c r="Q262" i="26"/>
  <c r="R262" i="26"/>
  <c r="S262" i="26"/>
  <c r="T262" i="26"/>
  <c r="U262" i="26"/>
  <c r="V262" i="26"/>
  <c r="W262" i="26"/>
  <c r="X262" i="26"/>
  <c r="Y262" i="26"/>
  <c r="Z262" i="26"/>
  <c r="AA262" i="26"/>
  <c r="AB262" i="26"/>
  <c r="P263" i="26"/>
  <c r="Q263" i="26"/>
  <c r="R263" i="26"/>
  <c r="S263" i="26"/>
  <c r="T263" i="26"/>
  <c r="U263" i="26"/>
  <c r="V263" i="26"/>
  <c r="W263" i="26"/>
  <c r="X263" i="26"/>
  <c r="Y263" i="26"/>
  <c r="Z263" i="26"/>
  <c r="AA263" i="26"/>
  <c r="AB263" i="26"/>
  <c r="P264" i="26"/>
  <c r="Q264" i="26"/>
  <c r="R264" i="26"/>
  <c r="S264" i="26"/>
  <c r="T264" i="26"/>
  <c r="U264" i="26"/>
  <c r="V264" i="26"/>
  <c r="W264" i="26"/>
  <c r="X264" i="26"/>
  <c r="Y264" i="26"/>
  <c r="Z264" i="26"/>
  <c r="AA264" i="26"/>
  <c r="AB264" i="26"/>
  <c r="P265" i="26"/>
  <c r="Q265" i="26"/>
  <c r="R265" i="26"/>
  <c r="S265" i="26"/>
  <c r="T265" i="26"/>
  <c r="U265" i="26"/>
  <c r="V265" i="26"/>
  <c r="W265" i="26"/>
  <c r="X265" i="26"/>
  <c r="Y265" i="26"/>
  <c r="Z265" i="26"/>
  <c r="AA265" i="26"/>
  <c r="AB265" i="26"/>
  <c r="P266" i="26"/>
  <c r="Q266" i="26"/>
  <c r="R266" i="26"/>
  <c r="S266" i="26"/>
  <c r="T266" i="26"/>
  <c r="U266" i="26"/>
  <c r="V266" i="26"/>
  <c r="W266" i="26"/>
  <c r="X266" i="26"/>
  <c r="Y266" i="26"/>
  <c r="Z266" i="26"/>
  <c r="AA266" i="26"/>
  <c r="AB266" i="26"/>
  <c r="P267" i="26"/>
  <c r="Q267" i="26"/>
  <c r="R267" i="26"/>
  <c r="S267" i="26"/>
  <c r="T267" i="26"/>
  <c r="U267" i="26"/>
  <c r="V267" i="26"/>
  <c r="W267" i="26"/>
  <c r="X267" i="26"/>
  <c r="Y267" i="26"/>
  <c r="Z267" i="26"/>
  <c r="AA267" i="26"/>
  <c r="AB267" i="26"/>
  <c r="P268" i="26"/>
  <c r="Q268" i="26"/>
  <c r="R268" i="26"/>
  <c r="S268" i="26"/>
  <c r="T268" i="26"/>
  <c r="U268" i="26"/>
  <c r="V268" i="26"/>
  <c r="W268" i="26"/>
  <c r="X268" i="26"/>
  <c r="Y268" i="26"/>
  <c r="Z268" i="26"/>
  <c r="AA268" i="26"/>
  <c r="AB268" i="26"/>
  <c r="P269" i="26"/>
  <c r="Q269" i="26"/>
  <c r="R269" i="26"/>
  <c r="S269" i="26"/>
  <c r="T269" i="26"/>
  <c r="U269" i="26"/>
  <c r="V269" i="26"/>
  <c r="W269" i="26"/>
  <c r="X269" i="26"/>
  <c r="Y269" i="26"/>
  <c r="Z269" i="26"/>
  <c r="AA269" i="26"/>
  <c r="AB269" i="26"/>
  <c r="P270" i="26"/>
  <c r="Q270" i="26"/>
  <c r="R270" i="26"/>
  <c r="S270" i="26"/>
  <c r="T270" i="26"/>
  <c r="U270" i="26"/>
  <c r="V270" i="26"/>
  <c r="W270" i="26"/>
  <c r="X270" i="26"/>
  <c r="Y270" i="26"/>
  <c r="Z270" i="26"/>
  <c r="AA270" i="26"/>
  <c r="AB270" i="26"/>
  <c r="P271" i="26"/>
  <c r="Q271" i="26"/>
  <c r="R271" i="26"/>
  <c r="S271" i="26"/>
  <c r="T271" i="26"/>
  <c r="U271" i="26"/>
  <c r="V271" i="26"/>
  <c r="W271" i="26"/>
  <c r="X271" i="26"/>
  <c r="Y271" i="26"/>
  <c r="Z271" i="26"/>
  <c r="AA271" i="26"/>
  <c r="AB271" i="26"/>
  <c r="P272" i="26"/>
  <c r="Q272" i="26"/>
  <c r="R272" i="26"/>
  <c r="S272" i="26"/>
  <c r="T272" i="26"/>
  <c r="U272" i="26"/>
  <c r="V272" i="26"/>
  <c r="W272" i="26"/>
  <c r="X272" i="26"/>
  <c r="Y272" i="26"/>
  <c r="Z272" i="26"/>
  <c r="AA272" i="26"/>
  <c r="AB272" i="26"/>
  <c r="P273" i="26"/>
  <c r="Q273" i="26"/>
  <c r="R273" i="26"/>
  <c r="S273" i="26"/>
  <c r="T273" i="26"/>
  <c r="U273" i="26"/>
  <c r="V273" i="26"/>
  <c r="W273" i="26"/>
  <c r="X273" i="26"/>
  <c r="Y273" i="26"/>
  <c r="Z273" i="26"/>
  <c r="AA273" i="26"/>
  <c r="AB273" i="26"/>
  <c r="P274" i="26"/>
  <c r="Q274" i="26"/>
  <c r="R274" i="26"/>
  <c r="S274" i="26"/>
  <c r="T274" i="26"/>
  <c r="U274" i="26"/>
  <c r="V274" i="26"/>
  <c r="W274" i="26"/>
  <c r="X274" i="26"/>
  <c r="Y274" i="26"/>
  <c r="Z274" i="26"/>
  <c r="AA274" i="26"/>
  <c r="AB274" i="26"/>
  <c r="P275" i="26"/>
  <c r="Q275" i="26"/>
  <c r="R275" i="26"/>
  <c r="S275" i="26"/>
  <c r="T275" i="26"/>
  <c r="U275" i="26"/>
  <c r="V275" i="26"/>
  <c r="W275" i="26"/>
  <c r="X275" i="26"/>
  <c r="Y275" i="26"/>
  <c r="Z275" i="26"/>
  <c r="AA275" i="26"/>
  <c r="AB275" i="26"/>
  <c r="P276" i="26"/>
  <c r="Q276" i="26"/>
  <c r="R276" i="26"/>
  <c r="S276" i="26"/>
  <c r="T276" i="26"/>
  <c r="U276" i="26"/>
  <c r="V276" i="26"/>
  <c r="W276" i="26"/>
  <c r="X276" i="26"/>
  <c r="Y276" i="26"/>
  <c r="Z276" i="26"/>
  <c r="AA276" i="26"/>
  <c r="AB276" i="26"/>
  <c r="P277" i="26"/>
  <c r="Q277" i="26"/>
  <c r="R277" i="26"/>
  <c r="S277" i="26"/>
  <c r="T277" i="26"/>
  <c r="U277" i="26"/>
  <c r="V277" i="26"/>
  <c r="W277" i="26"/>
  <c r="X277" i="26"/>
  <c r="Y277" i="26"/>
  <c r="Z277" i="26"/>
  <c r="AA277" i="26"/>
  <c r="AB277" i="26"/>
  <c r="P278" i="26"/>
  <c r="Q278" i="26"/>
  <c r="R278" i="26"/>
  <c r="S278" i="26"/>
  <c r="T278" i="26"/>
  <c r="U278" i="26"/>
  <c r="V278" i="26"/>
  <c r="W278" i="26"/>
  <c r="X278" i="26"/>
  <c r="Y278" i="26"/>
  <c r="Z278" i="26"/>
  <c r="AA278" i="26"/>
  <c r="AB278" i="26"/>
  <c r="P279" i="26"/>
  <c r="Q279" i="26"/>
  <c r="R279" i="26"/>
  <c r="S279" i="26"/>
  <c r="T279" i="26"/>
  <c r="U279" i="26"/>
  <c r="V279" i="26"/>
  <c r="W279" i="26"/>
  <c r="X279" i="26"/>
  <c r="Y279" i="26"/>
  <c r="Z279" i="26"/>
  <c r="AA279" i="26"/>
  <c r="AB279" i="26"/>
  <c r="P280" i="26"/>
  <c r="Q280" i="26"/>
  <c r="R280" i="26"/>
  <c r="S280" i="26"/>
  <c r="T280" i="26"/>
  <c r="U280" i="26"/>
  <c r="V280" i="26"/>
  <c r="W280" i="26"/>
  <c r="X280" i="26"/>
  <c r="Y280" i="26"/>
  <c r="Z280" i="26"/>
  <c r="AA280" i="26"/>
  <c r="AB280" i="26"/>
  <c r="P281" i="26"/>
  <c r="Q281" i="26"/>
  <c r="R281" i="26"/>
  <c r="S281" i="26"/>
  <c r="T281" i="26"/>
  <c r="U281" i="26"/>
  <c r="V281" i="26"/>
  <c r="W281" i="26"/>
  <c r="X281" i="26"/>
  <c r="Y281" i="26"/>
  <c r="Z281" i="26"/>
  <c r="AA281" i="26"/>
  <c r="AB281" i="26"/>
  <c r="P282" i="26"/>
  <c r="Q282" i="26"/>
  <c r="R282" i="26"/>
  <c r="S282" i="26"/>
  <c r="T282" i="26"/>
  <c r="U282" i="26"/>
  <c r="V282" i="26"/>
  <c r="W282" i="26"/>
  <c r="X282" i="26"/>
  <c r="Y282" i="26"/>
  <c r="Z282" i="26"/>
  <c r="AA282" i="26"/>
  <c r="AB282" i="26"/>
  <c r="P283" i="26"/>
  <c r="Q283" i="26"/>
  <c r="R283" i="26"/>
  <c r="S283" i="26"/>
  <c r="T283" i="26"/>
  <c r="U283" i="26"/>
  <c r="V283" i="26"/>
  <c r="W283" i="26"/>
  <c r="X283" i="26"/>
  <c r="Y283" i="26"/>
  <c r="Z283" i="26"/>
  <c r="AA283" i="26"/>
  <c r="AB283" i="26"/>
  <c r="P284" i="26"/>
  <c r="Q284" i="26"/>
  <c r="R284" i="26"/>
  <c r="S284" i="26"/>
  <c r="T284" i="26"/>
  <c r="U284" i="26"/>
  <c r="V284" i="26"/>
  <c r="W284" i="26"/>
  <c r="X284" i="26"/>
  <c r="Y284" i="26"/>
  <c r="Z284" i="26"/>
  <c r="AA284" i="26"/>
  <c r="AB284" i="26"/>
  <c r="P285" i="26"/>
  <c r="Q285" i="26"/>
  <c r="R285" i="26"/>
  <c r="S285" i="26"/>
  <c r="T285" i="26"/>
  <c r="U285" i="26"/>
  <c r="V285" i="26"/>
  <c r="W285" i="26"/>
  <c r="X285" i="26"/>
  <c r="Y285" i="26"/>
  <c r="Z285" i="26"/>
  <c r="AA285" i="26"/>
  <c r="AB285" i="26"/>
  <c r="P286" i="26"/>
  <c r="Q286" i="26"/>
  <c r="R286" i="26"/>
  <c r="S286" i="26"/>
  <c r="T286" i="26"/>
  <c r="U286" i="26"/>
  <c r="V286" i="26"/>
  <c r="W286" i="26"/>
  <c r="X286" i="26"/>
  <c r="Y286" i="26"/>
  <c r="Z286" i="26"/>
  <c r="AA286" i="26"/>
  <c r="AB286" i="26"/>
  <c r="P287" i="26"/>
  <c r="Q287" i="26"/>
  <c r="R287" i="26"/>
  <c r="S287" i="26"/>
  <c r="T287" i="26"/>
  <c r="U287" i="26"/>
  <c r="V287" i="26"/>
  <c r="W287" i="26"/>
  <c r="X287" i="26"/>
  <c r="Y287" i="26"/>
  <c r="Z287" i="26"/>
  <c r="AA287" i="26"/>
  <c r="AB287" i="26"/>
  <c r="P288" i="26"/>
  <c r="Q288" i="26"/>
  <c r="R288" i="26"/>
  <c r="S288" i="26"/>
  <c r="T288" i="26"/>
  <c r="U288" i="26"/>
  <c r="V288" i="26"/>
  <c r="W288" i="26"/>
  <c r="X288" i="26"/>
  <c r="Y288" i="26"/>
  <c r="Z288" i="26"/>
  <c r="AA288" i="26"/>
  <c r="AB288" i="26"/>
  <c r="P289" i="26"/>
  <c r="Q289" i="26"/>
  <c r="R289" i="26"/>
  <c r="S289" i="26"/>
  <c r="T289" i="26"/>
  <c r="U289" i="26"/>
  <c r="V289" i="26"/>
  <c r="W289" i="26"/>
  <c r="X289" i="26"/>
  <c r="Y289" i="26"/>
  <c r="Z289" i="26"/>
  <c r="AA289" i="26"/>
  <c r="AB289" i="26"/>
  <c r="P290" i="26"/>
  <c r="Q290" i="26"/>
  <c r="R290" i="26"/>
  <c r="S290" i="26"/>
  <c r="T290" i="26"/>
  <c r="U290" i="26"/>
  <c r="V290" i="26"/>
  <c r="W290" i="26"/>
  <c r="X290" i="26"/>
  <c r="Y290" i="26"/>
  <c r="Z290" i="26"/>
  <c r="AA290" i="26"/>
  <c r="AB290" i="26"/>
  <c r="P291" i="26"/>
  <c r="Q291" i="26"/>
  <c r="R291" i="26"/>
  <c r="S291" i="26"/>
  <c r="T291" i="26"/>
  <c r="U291" i="26"/>
  <c r="V291" i="26"/>
  <c r="W291" i="26"/>
  <c r="X291" i="26"/>
  <c r="Y291" i="26"/>
  <c r="Z291" i="26"/>
  <c r="AA291" i="26"/>
  <c r="AB291" i="26"/>
  <c r="P292" i="26"/>
  <c r="Q292" i="26"/>
  <c r="R292" i="26"/>
  <c r="S292" i="26"/>
  <c r="T292" i="26"/>
  <c r="U292" i="26"/>
  <c r="V292" i="26"/>
  <c r="W292" i="26"/>
  <c r="X292" i="26"/>
  <c r="Y292" i="26"/>
  <c r="Z292" i="26"/>
  <c r="AA292" i="26"/>
  <c r="AB292" i="26"/>
  <c r="P293" i="26"/>
  <c r="Q293" i="26"/>
  <c r="R293" i="26"/>
  <c r="S293" i="26"/>
  <c r="T293" i="26"/>
  <c r="U293" i="26"/>
  <c r="V293" i="26"/>
  <c r="W293" i="26"/>
  <c r="X293" i="26"/>
  <c r="Y293" i="26"/>
  <c r="Z293" i="26"/>
  <c r="AA293" i="26"/>
  <c r="AB293" i="26"/>
  <c r="P294" i="26"/>
  <c r="Q294" i="26"/>
  <c r="R294" i="26"/>
  <c r="S294" i="26"/>
  <c r="T294" i="26"/>
  <c r="U294" i="26"/>
  <c r="V294" i="26"/>
  <c r="W294" i="26"/>
  <c r="X294" i="26"/>
  <c r="Y294" i="26"/>
  <c r="Z294" i="26"/>
  <c r="AA294" i="26"/>
  <c r="AB294" i="26"/>
  <c r="P295" i="26"/>
  <c r="Q295" i="26"/>
  <c r="R295" i="26"/>
  <c r="S295" i="26"/>
  <c r="T295" i="26"/>
  <c r="U295" i="26"/>
  <c r="V295" i="26"/>
  <c r="W295" i="26"/>
  <c r="X295" i="26"/>
  <c r="Y295" i="26"/>
  <c r="Z295" i="26"/>
  <c r="AA295" i="26"/>
  <c r="AB295" i="26"/>
  <c r="P296" i="26"/>
  <c r="Q296" i="26"/>
  <c r="R296" i="26"/>
  <c r="S296" i="26"/>
  <c r="T296" i="26"/>
  <c r="U296" i="26"/>
  <c r="V296" i="26"/>
  <c r="W296" i="26"/>
  <c r="X296" i="26"/>
  <c r="Y296" i="26"/>
  <c r="Z296" i="26"/>
  <c r="AA296" i="26"/>
  <c r="AB296" i="26"/>
  <c r="P297" i="26"/>
  <c r="Q297" i="26"/>
  <c r="R297" i="26"/>
  <c r="S297" i="26"/>
  <c r="T297" i="26"/>
  <c r="U297" i="26"/>
  <c r="V297" i="26"/>
  <c r="W297" i="26"/>
  <c r="X297" i="26"/>
  <c r="Y297" i="26"/>
  <c r="Z297" i="26"/>
  <c r="AA297" i="26"/>
  <c r="AB297" i="26"/>
  <c r="P298" i="26"/>
  <c r="Q298" i="26"/>
  <c r="R298" i="26"/>
  <c r="S298" i="26"/>
  <c r="T298" i="26"/>
  <c r="U298" i="26"/>
  <c r="V298" i="26"/>
  <c r="W298" i="26"/>
  <c r="X298" i="26"/>
  <c r="Y298" i="26"/>
  <c r="Z298" i="26"/>
  <c r="AA298" i="26"/>
  <c r="AB298" i="26"/>
  <c r="P299" i="26"/>
  <c r="Q299" i="26"/>
  <c r="R299" i="26"/>
  <c r="S299" i="26"/>
  <c r="T299" i="26"/>
  <c r="U299" i="26"/>
  <c r="V299" i="26"/>
  <c r="W299" i="26"/>
  <c r="X299" i="26"/>
  <c r="Y299" i="26"/>
  <c r="Z299" i="26"/>
  <c r="AA299" i="26"/>
  <c r="AB299" i="26"/>
  <c r="P300" i="26"/>
  <c r="Q300" i="26"/>
  <c r="R300" i="26"/>
  <c r="S300" i="26"/>
  <c r="T300" i="26"/>
  <c r="U300" i="26"/>
  <c r="V300" i="26"/>
  <c r="W300" i="26"/>
  <c r="X300" i="26"/>
  <c r="Y300" i="26"/>
  <c r="Z300" i="26"/>
  <c r="AA300" i="26"/>
  <c r="AB300" i="26"/>
  <c r="P301" i="26"/>
  <c r="Q301" i="26"/>
  <c r="R301" i="26"/>
  <c r="S301" i="26"/>
  <c r="T301" i="26"/>
  <c r="U301" i="26"/>
  <c r="V301" i="26"/>
  <c r="W301" i="26"/>
  <c r="X301" i="26"/>
  <c r="Y301" i="26"/>
  <c r="Z301" i="26"/>
  <c r="AA301" i="26"/>
  <c r="AB301" i="26"/>
  <c r="P302" i="26"/>
  <c r="Q302" i="26"/>
  <c r="R302" i="26"/>
  <c r="S302" i="26"/>
  <c r="T302" i="26"/>
  <c r="U302" i="26"/>
  <c r="V302" i="26"/>
  <c r="W302" i="26"/>
  <c r="X302" i="26"/>
  <c r="Y302" i="26"/>
  <c r="Z302" i="26"/>
  <c r="AA302" i="26"/>
  <c r="AB302" i="26"/>
  <c r="P303" i="26"/>
  <c r="Q303" i="26"/>
  <c r="R303" i="26"/>
  <c r="S303" i="26"/>
  <c r="T303" i="26"/>
  <c r="U303" i="26"/>
  <c r="V303" i="26"/>
  <c r="W303" i="26"/>
  <c r="X303" i="26"/>
  <c r="Y303" i="26"/>
  <c r="Z303" i="26"/>
  <c r="AA303" i="26"/>
  <c r="AB303" i="26"/>
  <c r="P304" i="26"/>
  <c r="Q304" i="26"/>
  <c r="R304" i="26"/>
  <c r="S304" i="26"/>
  <c r="T304" i="26"/>
  <c r="U304" i="26"/>
  <c r="V304" i="26"/>
  <c r="W304" i="26"/>
  <c r="X304" i="26"/>
  <c r="Y304" i="26"/>
  <c r="Z304" i="26"/>
  <c r="AA304" i="26"/>
  <c r="AB304" i="26"/>
  <c r="P305" i="26"/>
  <c r="Q305" i="26"/>
  <c r="R305" i="26"/>
  <c r="S305" i="26"/>
  <c r="T305" i="26"/>
  <c r="U305" i="26"/>
  <c r="V305" i="26"/>
  <c r="W305" i="26"/>
  <c r="X305" i="26"/>
  <c r="Y305" i="26"/>
  <c r="Z305" i="26"/>
  <c r="AA305" i="26"/>
  <c r="AB305" i="26"/>
  <c r="P306" i="26"/>
  <c r="Q306" i="26"/>
  <c r="R306" i="26"/>
  <c r="S306" i="26"/>
  <c r="T306" i="26"/>
  <c r="U306" i="26"/>
  <c r="V306" i="26"/>
  <c r="W306" i="26"/>
  <c r="X306" i="26"/>
  <c r="Y306" i="26"/>
  <c r="Z306" i="26"/>
  <c r="AA306" i="26"/>
  <c r="AB306" i="26"/>
  <c r="P307" i="26"/>
  <c r="Q307" i="26"/>
  <c r="R307" i="26"/>
  <c r="S307" i="26"/>
  <c r="T307" i="26"/>
  <c r="U307" i="26"/>
  <c r="V307" i="26"/>
  <c r="W307" i="26"/>
  <c r="X307" i="26"/>
  <c r="Y307" i="26"/>
  <c r="Z307" i="26"/>
  <c r="AA307" i="26"/>
  <c r="AB307" i="26"/>
  <c r="P308" i="26"/>
  <c r="Q308" i="26"/>
  <c r="R308" i="26"/>
  <c r="S308" i="26"/>
  <c r="T308" i="26"/>
  <c r="U308" i="26"/>
  <c r="V308" i="26"/>
  <c r="W308" i="26"/>
  <c r="X308" i="26"/>
  <c r="Y308" i="26"/>
  <c r="Z308" i="26"/>
  <c r="AA308" i="26"/>
  <c r="AB308" i="26"/>
  <c r="P309" i="26"/>
  <c r="Q309" i="26"/>
  <c r="R309" i="26"/>
  <c r="S309" i="26"/>
  <c r="T309" i="26"/>
  <c r="U309" i="26"/>
  <c r="V309" i="26"/>
  <c r="W309" i="26"/>
  <c r="X309" i="26"/>
  <c r="Y309" i="26"/>
  <c r="Z309" i="26"/>
  <c r="AA309" i="26"/>
  <c r="AB309" i="26"/>
  <c r="P310" i="26"/>
  <c r="Q310" i="26"/>
  <c r="R310" i="26"/>
  <c r="S310" i="26"/>
  <c r="T310" i="26"/>
  <c r="U310" i="26"/>
  <c r="V310" i="26"/>
  <c r="W310" i="26"/>
  <c r="X310" i="26"/>
  <c r="Y310" i="26"/>
  <c r="Z310" i="26"/>
  <c r="AA310" i="26"/>
  <c r="AB310" i="26"/>
  <c r="P311" i="26"/>
  <c r="Q311" i="26"/>
  <c r="R311" i="26"/>
  <c r="S311" i="26"/>
  <c r="T311" i="26"/>
  <c r="U311" i="26"/>
  <c r="V311" i="26"/>
  <c r="W311" i="26"/>
  <c r="X311" i="26"/>
  <c r="Y311" i="26"/>
  <c r="Z311" i="26"/>
  <c r="AA311" i="26"/>
  <c r="AB311" i="26"/>
  <c r="P312" i="26"/>
  <c r="Q312" i="26"/>
  <c r="R312" i="26"/>
  <c r="S312" i="26"/>
  <c r="T312" i="26"/>
  <c r="U312" i="26"/>
  <c r="V312" i="26"/>
  <c r="W312" i="26"/>
  <c r="X312" i="26"/>
  <c r="Y312" i="26"/>
  <c r="Z312" i="26"/>
  <c r="AA312" i="26"/>
  <c r="AB312" i="26"/>
  <c r="P313" i="26"/>
  <c r="Q313" i="26"/>
  <c r="R313" i="26"/>
  <c r="S313" i="26"/>
  <c r="T313" i="26"/>
  <c r="U313" i="26"/>
  <c r="V313" i="26"/>
  <c r="W313" i="26"/>
  <c r="X313" i="26"/>
  <c r="Y313" i="26"/>
  <c r="Z313" i="26"/>
  <c r="AA313" i="26"/>
  <c r="AB313" i="26"/>
  <c r="P314" i="26"/>
  <c r="Q314" i="26"/>
  <c r="R314" i="26"/>
  <c r="S314" i="26"/>
  <c r="T314" i="26"/>
  <c r="U314" i="26"/>
  <c r="V314" i="26"/>
  <c r="W314" i="26"/>
  <c r="X314" i="26"/>
  <c r="Y314" i="26"/>
  <c r="Z314" i="26"/>
  <c r="AA314" i="26"/>
  <c r="AB314" i="26"/>
  <c r="P315" i="26"/>
  <c r="Q315" i="26"/>
  <c r="R315" i="26"/>
  <c r="S315" i="26"/>
  <c r="T315" i="26"/>
  <c r="U315" i="26"/>
  <c r="V315" i="26"/>
  <c r="W315" i="26"/>
  <c r="X315" i="26"/>
  <c r="Y315" i="26"/>
  <c r="Z315" i="26"/>
  <c r="AA315" i="26"/>
  <c r="AB315" i="26"/>
  <c r="P316" i="26"/>
  <c r="Q316" i="26"/>
  <c r="R316" i="26"/>
  <c r="S316" i="26"/>
  <c r="T316" i="26"/>
  <c r="U316" i="26"/>
  <c r="V316" i="26"/>
  <c r="W316" i="26"/>
  <c r="X316" i="26"/>
  <c r="Y316" i="26"/>
  <c r="Z316" i="26"/>
  <c r="AA316" i="26"/>
  <c r="AB316" i="26"/>
  <c r="P317" i="26"/>
  <c r="Q317" i="26"/>
  <c r="R317" i="26"/>
  <c r="S317" i="26"/>
  <c r="T317" i="26"/>
  <c r="U317" i="26"/>
  <c r="V317" i="26"/>
  <c r="W317" i="26"/>
  <c r="X317" i="26"/>
  <c r="Y317" i="26"/>
  <c r="Z317" i="26"/>
  <c r="AA317" i="26"/>
  <c r="AB317" i="26"/>
  <c r="P318" i="26"/>
  <c r="Q318" i="26"/>
  <c r="R318" i="26"/>
  <c r="S318" i="26"/>
  <c r="T318" i="26"/>
  <c r="U318" i="26"/>
  <c r="V318" i="26"/>
  <c r="W318" i="26"/>
  <c r="X318" i="26"/>
  <c r="Y318" i="26"/>
  <c r="Z318" i="26"/>
  <c r="AA318" i="26"/>
  <c r="AB318" i="26"/>
  <c r="P319" i="26"/>
  <c r="Q319" i="26"/>
  <c r="R319" i="26"/>
  <c r="S319" i="26"/>
  <c r="T319" i="26"/>
  <c r="U319" i="26"/>
  <c r="V319" i="26"/>
  <c r="W319" i="26"/>
  <c r="X319" i="26"/>
  <c r="Y319" i="26"/>
  <c r="Z319" i="26"/>
  <c r="AA319" i="26"/>
  <c r="AB319" i="26"/>
  <c r="P320" i="26"/>
  <c r="Q320" i="26"/>
  <c r="R320" i="26"/>
  <c r="S320" i="26"/>
  <c r="T320" i="26"/>
  <c r="U320" i="26"/>
  <c r="V320" i="26"/>
  <c r="W320" i="26"/>
  <c r="X320" i="26"/>
  <c r="Y320" i="26"/>
  <c r="Z320" i="26"/>
  <c r="AA320" i="26"/>
  <c r="AB320" i="26"/>
  <c r="P321" i="26"/>
  <c r="Q321" i="26"/>
  <c r="R321" i="26"/>
  <c r="S321" i="26"/>
  <c r="T321" i="26"/>
  <c r="U321" i="26"/>
  <c r="V321" i="26"/>
  <c r="W321" i="26"/>
  <c r="X321" i="26"/>
  <c r="Y321" i="26"/>
  <c r="Z321" i="26"/>
  <c r="AA321" i="26"/>
  <c r="AB321" i="26"/>
  <c r="P322" i="26"/>
  <c r="Q322" i="26"/>
  <c r="R322" i="26"/>
  <c r="S322" i="26"/>
  <c r="T322" i="26"/>
  <c r="U322" i="26"/>
  <c r="V322" i="26"/>
  <c r="W322" i="26"/>
  <c r="X322" i="26"/>
  <c r="Y322" i="26"/>
  <c r="Z322" i="26"/>
  <c r="AA322" i="26"/>
  <c r="AB322" i="26"/>
  <c r="P323" i="26"/>
  <c r="Q323" i="26"/>
  <c r="R323" i="26"/>
  <c r="S323" i="26"/>
  <c r="T323" i="26"/>
  <c r="U323" i="26"/>
  <c r="V323" i="26"/>
  <c r="W323" i="26"/>
  <c r="X323" i="26"/>
  <c r="Y323" i="26"/>
  <c r="Z323" i="26"/>
  <c r="AA323" i="26"/>
  <c r="AB323" i="26"/>
  <c r="P324" i="26"/>
  <c r="Q324" i="26"/>
  <c r="R324" i="26"/>
  <c r="S324" i="26"/>
  <c r="T324" i="26"/>
  <c r="U324" i="26"/>
  <c r="V324" i="26"/>
  <c r="W324" i="26"/>
  <c r="X324" i="26"/>
  <c r="Y324" i="26"/>
  <c r="Z324" i="26"/>
  <c r="AA324" i="26"/>
  <c r="AB324" i="26"/>
  <c r="P325" i="26"/>
  <c r="Q325" i="26"/>
  <c r="R325" i="26"/>
  <c r="S325" i="26"/>
  <c r="T325" i="26"/>
  <c r="U325" i="26"/>
  <c r="V325" i="26"/>
  <c r="W325" i="26"/>
  <c r="X325" i="26"/>
  <c r="Y325" i="26"/>
  <c r="Z325" i="26"/>
  <c r="AA325" i="26"/>
  <c r="AB325" i="26"/>
  <c r="P326" i="26"/>
  <c r="Q326" i="26"/>
  <c r="R326" i="26"/>
  <c r="S326" i="26"/>
  <c r="T326" i="26"/>
  <c r="U326" i="26"/>
  <c r="V326" i="26"/>
  <c r="W326" i="26"/>
  <c r="X326" i="26"/>
  <c r="Y326" i="26"/>
  <c r="Z326" i="26"/>
  <c r="AA326" i="26"/>
  <c r="AB326" i="26"/>
  <c r="P327" i="26"/>
  <c r="Q327" i="26"/>
  <c r="R327" i="26"/>
  <c r="S327" i="26"/>
  <c r="T327" i="26"/>
  <c r="U327" i="26"/>
  <c r="V327" i="26"/>
  <c r="W327" i="26"/>
  <c r="X327" i="26"/>
  <c r="Y327" i="26"/>
  <c r="Z327" i="26"/>
  <c r="AA327" i="26"/>
  <c r="AB327" i="26"/>
  <c r="P328" i="26"/>
  <c r="Q328" i="26"/>
  <c r="R328" i="26"/>
  <c r="S328" i="26"/>
  <c r="T328" i="26"/>
  <c r="U328" i="26"/>
  <c r="V328" i="26"/>
  <c r="W328" i="26"/>
  <c r="X328" i="26"/>
  <c r="Y328" i="26"/>
  <c r="Z328" i="26"/>
  <c r="AA328" i="26"/>
  <c r="AB328" i="26"/>
  <c r="P329" i="26"/>
  <c r="Q329" i="26"/>
  <c r="R329" i="26"/>
  <c r="S329" i="26"/>
  <c r="T329" i="26"/>
  <c r="U329" i="26"/>
  <c r="V329" i="26"/>
  <c r="W329" i="26"/>
  <c r="X329" i="26"/>
  <c r="Y329" i="26"/>
  <c r="Z329" i="26"/>
  <c r="AA329" i="26"/>
  <c r="AB329" i="26"/>
  <c r="P330" i="26"/>
  <c r="Q330" i="26"/>
  <c r="R330" i="26"/>
  <c r="S330" i="26"/>
  <c r="T330" i="26"/>
  <c r="U330" i="26"/>
  <c r="V330" i="26"/>
  <c r="W330" i="26"/>
  <c r="X330" i="26"/>
  <c r="Y330" i="26"/>
  <c r="Z330" i="26"/>
  <c r="AA330" i="26"/>
  <c r="AB330" i="26"/>
  <c r="P331" i="26"/>
  <c r="Q331" i="26"/>
  <c r="R331" i="26"/>
  <c r="S331" i="26"/>
  <c r="T331" i="26"/>
  <c r="U331" i="26"/>
  <c r="V331" i="26"/>
  <c r="W331" i="26"/>
  <c r="X331" i="26"/>
  <c r="Y331" i="26"/>
  <c r="Z331" i="26"/>
  <c r="AA331" i="26"/>
  <c r="AB331" i="26"/>
  <c r="P332" i="26"/>
  <c r="Q332" i="26"/>
  <c r="R332" i="26"/>
  <c r="S332" i="26"/>
  <c r="T332" i="26"/>
  <c r="U332" i="26"/>
  <c r="V332" i="26"/>
  <c r="W332" i="26"/>
  <c r="X332" i="26"/>
  <c r="Y332" i="26"/>
  <c r="Z332" i="26"/>
  <c r="AA332" i="26"/>
  <c r="AB332" i="26"/>
  <c r="P333" i="26"/>
  <c r="Q333" i="26"/>
  <c r="R333" i="26"/>
  <c r="S333" i="26"/>
  <c r="T333" i="26"/>
  <c r="U333" i="26"/>
  <c r="V333" i="26"/>
  <c r="W333" i="26"/>
  <c r="X333" i="26"/>
  <c r="Y333" i="26"/>
  <c r="Z333" i="26"/>
  <c r="AA333" i="26"/>
  <c r="AB333" i="26"/>
  <c r="P334" i="26"/>
  <c r="Q334" i="26"/>
  <c r="R334" i="26"/>
  <c r="S334" i="26"/>
  <c r="T334" i="26"/>
  <c r="U334" i="26"/>
  <c r="V334" i="26"/>
  <c r="W334" i="26"/>
  <c r="X334" i="26"/>
  <c r="Y334" i="26"/>
  <c r="Z334" i="26"/>
  <c r="AA334" i="26"/>
  <c r="AB334" i="26"/>
  <c r="P335" i="26"/>
  <c r="Q335" i="26"/>
  <c r="R335" i="26"/>
  <c r="S335" i="26"/>
  <c r="T335" i="26"/>
  <c r="U335" i="26"/>
  <c r="V335" i="26"/>
  <c r="W335" i="26"/>
  <c r="X335" i="26"/>
  <c r="Y335" i="26"/>
  <c r="Z335" i="26"/>
  <c r="AA335" i="26"/>
  <c r="AB335" i="26"/>
  <c r="P336" i="26"/>
  <c r="Q336" i="26"/>
  <c r="R336" i="26"/>
  <c r="S336" i="26"/>
  <c r="T336" i="26"/>
  <c r="U336" i="26"/>
  <c r="V336" i="26"/>
  <c r="W336" i="26"/>
  <c r="X336" i="26"/>
  <c r="Y336" i="26"/>
  <c r="Z336" i="26"/>
  <c r="AA336" i="26"/>
  <c r="AB336" i="26"/>
  <c r="P337" i="26"/>
  <c r="Q337" i="26"/>
  <c r="R337" i="26"/>
  <c r="S337" i="26"/>
  <c r="T337" i="26"/>
  <c r="U337" i="26"/>
  <c r="V337" i="26"/>
  <c r="W337" i="26"/>
  <c r="X337" i="26"/>
  <c r="Y337" i="26"/>
  <c r="Z337" i="26"/>
  <c r="AA337" i="26"/>
  <c r="AB337" i="26"/>
  <c r="P338" i="26"/>
  <c r="Q338" i="26"/>
  <c r="R338" i="26"/>
  <c r="S338" i="26"/>
  <c r="T338" i="26"/>
  <c r="U338" i="26"/>
  <c r="V338" i="26"/>
  <c r="W338" i="26"/>
  <c r="X338" i="26"/>
  <c r="Y338" i="26"/>
  <c r="Z338" i="26"/>
  <c r="AA338" i="26"/>
  <c r="AB338" i="26"/>
  <c r="P339" i="26"/>
  <c r="Q339" i="26"/>
  <c r="R339" i="26"/>
  <c r="S339" i="26"/>
  <c r="T339" i="26"/>
  <c r="U339" i="26"/>
  <c r="V339" i="26"/>
  <c r="W339" i="26"/>
  <c r="X339" i="26"/>
  <c r="Y339" i="26"/>
  <c r="Z339" i="26"/>
  <c r="AA339" i="26"/>
  <c r="AB339" i="26"/>
  <c r="P340" i="26"/>
  <c r="Q340" i="26"/>
  <c r="R340" i="26"/>
  <c r="S340" i="26"/>
  <c r="T340" i="26"/>
  <c r="U340" i="26"/>
  <c r="V340" i="26"/>
  <c r="W340" i="26"/>
  <c r="X340" i="26"/>
  <c r="Y340" i="26"/>
  <c r="Z340" i="26"/>
  <c r="AA340" i="26"/>
  <c r="AB340" i="26"/>
  <c r="P341" i="26"/>
  <c r="Q341" i="26"/>
  <c r="R341" i="26"/>
  <c r="S341" i="26"/>
  <c r="T341" i="26"/>
  <c r="U341" i="26"/>
  <c r="V341" i="26"/>
  <c r="W341" i="26"/>
  <c r="X341" i="26"/>
  <c r="Y341" i="26"/>
  <c r="Z341" i="26"/>
  <c r="AA341" i="26"/>
  <c r="AB341" i="26"/>
  <c r="P342" i="26"/>
  <c r="Q342" i="26"/>
  <c r="R342" i="26"/>
  <c r="S342" i="26"/>
  <c r="T342" i="26"/>
  <c r="U342" i="26"/>
  <c r="V342" i="26"/>
  <c r="W342" i="26"/>
  <c r="X342" i="26"/>
  <c r="Y342" i="26"/>
  <c r="Z342" i="26"/>
  <c r="AA342" i="26"/>
  <c r="AB342" i="26"/>
  <c r="P343" i="26"/>
  <c r="Q343" i="26"/>
  <c r="R343" i="26"/>
  <c r="S343" i="26"/>
  <c r="T343" i="26"/>
  <c r="U343" i="26"/>
  <c r="V343" i="26"/>
  <c r="W343" i="26"/>
  <c r="X343" i="26"/>
  <c r="Y343" i="26"/>
  <c r="Z343" i="26"/>
  <c r="AA343" i="26"/>
  <c r="AB343" i="26"/>
  <c r="P344" i="26"/>
  <c r="Q344" i="26"/>
  <c r="R344" i="26"/>
  <c r="S344" i="26"/>
  <c r="T344" i="26"/>
  <c r="U344" i="26"/>
  <c r="V344" i="26"/>
  <c r="W344" i="26"/>
  <c r="X344" i="26"/>
  <c r="Y344" i="26"/>
  <c r="Z344" i="26"/>
  <c r="AA344" i="26"/>
  <c r="AB344" i="26"/>
  <c r="P345" i="26"/>
  <c r="Q345" i="26"/>
  <c r="R345" i="26"/>
  <c r="S345" i="26"/>
  <c r="T345" i="26"/>
  <c r="U345" i="26"/>
  <c r="V345" i="26"/>
  <c r="W345" i="26"/>
  <c r="X345" i="26"/>
  <c r="Y345" i="26"/>
  <c r="Z345" i="26"/>
  <c r="AA345" i="26"/>
  <c r="AB345" i="26"/>
  <c r="P346" i="26"/>
  <c r="Q346" i="26"/>
  <c r="R346" i="26"/>
  <c r="S346" i="26"/>
  <c r="T346" i="26"/>
  <c r="U346" i="26"/>
  <c r="V346" i="26"/>
  <c r="W346" i="26"/>
  <c r="X346" i="26"/>
  <c r="Y346" i="26"/>
  <c r="Z346" i="26"/>
  <c r="AA346" i="26"/>
  <c r="AB346" i="26"/>
  <c r="P347" i="26"/>
  <c r="Q347" i="26"/>
  <c r="R347" i="26"/>
  <c r="S347" i="26"/>
  <c r="T347" i="26"/>
  <c r="U347" i="26"/>
  <c r="V347" i="26"/>
  <c r="W347" i="26"/>
  <c r="X347" i="26"/>
  <c r="Y347" i="26"/>
  <c r="Z347" i="26"/>
  <c r="AA347" i="26"/>
  <c r="AB347" i="26"/>
  <c r="P348" i="26"/>
  <c r="Q348" i="26"/>
  <c r="R348" i="26"/>
  <c r="S348" i="26"/>
  <c r="T348" i="26"/>
  <c r="U348" i="26"/>
  <c r="V348" i="26"/>
  <c r="W348" i="26"/>
  <c r="X348" i="26"/>
  <c r="Y348" i="26"/>
  <c r="Z348" i="26"/>
  <c r="AA348" i="26"/>
  <c r="AB348" i="26"/>
  <c r="P349" i="26"/>
  <c r="Q349" i="26"/>
  <c r="R349" i="26"/>
  <c r="S349" i="26"/>
  <c r="T349" i="26"/>
  <c r="U349" i="26"/>
  <c r="V349" i="26"/>
  <c r="W349" i="26"/>
  <c r="X349" i="26"/>
  <c r="Y349" i="26"/>
  <c r="Z349" i="26"/>
  <c r="AA349" i="26"/>
  <c r="AB349" i="26"/>
  <c r="P350" i="26"/>
  <c r="Q350" i="26"/>
  <c r="R350" i="26"/>
  <c r="S350" i="26"/>
  <c r="T350" i="26"/>
  <c r="U350" i="26"/>
  <c r="V350" i="26"/>
  <c r="W350" i="26"/>
  <c r="X350" i="26"/>
  <c r="Y350" i="26"/>
  <c r="Z350" i="26"/>
  <c r="AA350" i="26"/>
  <c r="AB350" i="26"/>
  <c r="P351" i="26"/>
  <c r="Q351" i="26"/>
  <c r="R351" i="26"/>
  <c r="S351" i="26"/>
  <c r="T351" i="26"/>
  <c r="U351" i="26"/>
  <c r="V351" i="26"/>
  <c r="W351" i="26"/>
  <c r="X351" i="26"/>
  <c r="Y351" i="26"/>
  <c r="Z351" i="26"/>
  <c r="AA351" i="26"/>
  <c r="AB351" i="26"/>
  <c r="P352" i="26"/>
  <c r="Q352" i="26"/>
  <c r="R352" i="26"/>
  <c r="S352" i="26"/>
  <c r="T352" i="26"/>
  <c r="U352" i="26"/>
  <c r="V352" i="26"/>
  <c r="W352" i="26"/>
  <c r="X352" i="26"/>
  <c r="Y352" i="26"/>
  <c r="Z352" i="26"/>
  <c r="AA352" i="26"/>
  <c r="AB352" i="26"/>
  <c r="P353" i="26"/>
  <c r="Q353" i="26"/>
  <c r="R353" i="26"/>
  <c r="S353" i="26"/>
  <c r="T353" i="26"/>
  <c r="U353" i="26"/>
  <c r="V353" i="26"/>
  <c r="W353" i="26"/>
  <c r="X353" i="26"/>
  <c r="Y353" i="26"/>
  <c r="Z353" i="26"/>
  <c r="AA353" i="26"/>
  <c r="AB353" i="26"/>
  <c r="P354" i="26"/>
  <c r="Q354" i="26"/>
  <c r="R354" i="26"/>
  <c r="S354" i="26"/>
  <c r="T354" i="26"/>
  <c r="U354" i="26"/>
  <c r="V354" i="26"/>
  <c r="W354" i="26"/>
  <c r="X354" i="26"/>
  <c r="Y354" i="26"/>
  <c r="Z354" i="26"/>
  <c r="AA354" i="26"/>
  <c r="AB354" i="26"/>
  <c r="P355" i="26"/>
  <c r="Q355" i="26"/>
  <c r="R355" i="26"/>
  <c r="S355" i="26"/>
  <c r="T355" i="26"/>
  <c r="U355" i="26"/>
  <c r="V355" i="26"/>
  <c r="W355" i="26"/>
  <c r="X355" i="26"/>
  <c r="Y355" i="26"/>
  <c r="Z355" i="26"/>
  <c r="AA355" i="26"/>
  <c r="AB355" i="26"/>
  <c r="P356" i="26"/>
  <c r="Q356" i="26"/>
  <c r="R356" i="26"/>
  <c r="S356" i="26"/>
  <c r="T356" i="26"/>
  <c r="U356" i="26"/>
  <c r="V356" i="26"/>
  <c r="W356" i="26"/>
  <c r="X356" i="26"/>
  <c r="Y356" i="26"/>
  <c r="Z356" i="26"/>
  <c r="AA356" i="26"/>
  <c r="AB356" i="26"/>
  <c r="P357" i="26"/>
  <c r="Q357" i="26"/>
  <c r="R357" i="26"/>
  <c r="S357" i="26"/>
  <c r="T357" i="26"/>
  <c r="U357" i="26"/>
  <c r="V357" i="26"/>
  <c r="W357" i="26"/>
  <c r="X357" i="26"/>
  <c r="Y357" i="26"/>
  <c r="Z357" i="26"/>
  <c r="AA357" i="26"/>
  <c r="AB357" i="26"/>
  <c r="P358" i="26"/>
  <c r="Q358" i="26"/>
  <c r="R358" i="26"/>
  <c r="S358" i="26"/>
  <c r="T358" i="26"/>
  <c r="U358" i="26"/>
  <c r="V358" i="26"/>
  <c r="W358" i="26"/>
  <c r="X358" i="26"/>
  <c r="Y358" i="26"/>
  <c r="Z358" i="26"/>
  <c r="AA358" i="26"/>
  <c r="AB358" i="26"/>
  <c r="P359" i="26"/>
  <c r="Q359" i="26"/>
  <c r="R359" i="26"/>
  <c r="S359" i="26"/>
  <c r="T359" i="26"/>
  <c r="U359" i="26"/>
  <c r="V359" i="26"/>
  <c r="W359" i="26"/>
  <c r="X359" i="26"/>
  <c r="Y359" i="26"/>
  <c r="Z359" i="26"/>
  <c r="AA359" i="26"/>
  <c r="AB359" i="26"/>
  <c r="P360" i="26"/>
  <c r="Q360" i="26"/>
  <c r="R360" i="26"/>
  <c r="S360" i="26"/>
  <c r="T360" i="26"/>
  <c r="U360" i="26"/>
  <c r="V360" i="26"/>
  <c r="W360" i="26"/>
  <c r="X360" i="26"/>
  <c r="Y360" i="26"/>
  <c r="Z360" i="26"/>
  <c r="AA360" i="26"/>
  <c r="AB360" i="26"/>
  <c r="P361" i="26"/>
  <c r="Q361" i="26"/>
  <c r="R361" i="26"/>
  <c r="S361" i="26"/>
  <c r="T361" i="26"/>
  <c r="U361" i="26"/>
  <c r="V361" i="26"/>
  <c r="W361" i="26"/>
  <c r="X361" i="26"/>
  <c r="Y361" i="26"/>
  <c r="Z361" i="26"/>
  <c r="AA361" i="26"/>
  <c r="AB361" i="26"/>
  <c r="P362" i="26"/>
  <c r="Q362" i="26"/>
  <c r="R362" i="26"/>
  <c r="S362" i="26"/>
  <c r="T362" i="26"/>
  <c r="U362" i="26"/>
  <c r="V362" i="26"/>
  <c r="W362" i="26"/>
  <c r="X362" i="26"/>
  <c r="Y362" i="26"/>
  <c r="Z362" i="26"/>
  <c r="AA362" i="26"/>
  <c r="AB362" i="26"/>
  <c r="P363" i="26"/>
  <c r="Q363" i="26"/>
  <c r="R363" i="26"/>
  <c r="S363" i="26"/>
  <c r="T363" i="26"/>
  <c r="U363" i="26"/>
  <c r="V363" i="26"/>
  <c r="W363" i="26"/>
  <c r="X363" i="26"/>
  <c r="Y363" i="26"/>
  <c r="Z363" i="26"/>
  <c r="AA363" i="26"/>
  <c r="AB363" i="26"/>
  <c r="P364" i="26"/>
  <c r="Q364" i="26"/>
  <c r="R364" i="26"/>
  <c r="S364" i="26"/>
  <c r="T364" i="26"/>
  <c r="U364" i="26"/>
  <c r="V364" i="26"/>
  <c r="W364" i="26"/>
  <c r="X364" i="26"/>
  <c r="Y364" i="26"/>
  <c r="Z364" i="26"/>
  <c r="AA364" i="26"/>
  <c r="AB364" i="26"/>
  <c r="P365" i="26"/>
  <c r="Q365" i="26"/>
  <c r="R365" i="26"/>
  <c r="S365" i="26"/>
  <c r="T365" i="26"/>
  <c r="U365" i="26"/>
  <c r="V365" i="26"/>
  <c r="W365" i="26"/>
  <c r="X365" i="26"/>
  <c r="Y365" i="26"/>
  <c r="Z365" i="26"/>
  <c r="AA365" i="26"/>
  <c r="AB365" i="26"/>
  <c r="P366" i="26"/>
  <c r="Q366" i="26"/>
  <c r="R366" i="26"/>
  <c r="S366" i="26"/>
  <c r="T366" i="26"/>
  <c r="U366" i="26"/>
  <c r="V366" i="26"/>
  <c r="W366" i="26"/>
  <c r="X366" i="26"/>
  <c r="Y366" i="26"/>
  <c r="Z366" i="26"/>
  <c r="AA366" i="26"/>
  <c r="AB366" i="26"/>
  <c r="P367" i="26"/>
  <c r="Q367" i="26"/>
  <c r="R367" i="26"/>
  <c r="S367" i="26"/>
  <c r="T367" i="26"/>
  <c r="U367" i="26"/>
  <c r="V367" i="26"/>
  <c r="W367" i="26"/>
  <c r="X367" i="26"/>
  <c r="Y367" i="26"/>
  <c r="Z367" i="26"/>
  <c r="AA367" i="26"/>
  <c r="AB367" i="26"/>
  <c r="P368" i="26"/>
  <c r="Q368" i="26"/>
  <c r="R368" i="26"/>
  <c r="S368" i="26"/>
  <c r="T368" i="26"/>
  <c r="U368" i="26"/>
  <c r="V368" i="26"/>
  <c r="W368" i="26"/>
  <c r="X368" i="26"/>
  <c r="Y368" i="26"/>
  <c r="Z368" i="26"/>
  <c r="AA368" i="26"/>
  <c r="AB368" i="26"/>
  <c r="P369" i="26"/>
  <c r="Q369" i="26"/>
  <c r="R369" i="26"/>
  <c r="S369" i="26"/>
  <c r="T369" i="26"/>
  <c r="U369" i="26"/>
  <c r="V369" i="26"/>
  <c r="W369" i="26"/>
  <c r="X369" i="26"/>
  <c r="Y369" i="26"/>
  <c r="Z369" i="26"/>
  <c r="AA369" i="26"/>
  <c r="AB369" i="26"/>
  <c r="P370" i="26"/>
  <c r="Q370" i="26"/>
  <c r="R370" i="26"/>
  <c r="S370" i="26"/>
  <c r="T370" i="26"/>
  <c r="U370" i="26"/>
  <c r="V370" i="26"/>
  <c r="W370" i="26"/>
  <c r="X370" i="26"/>
  <c r="Y370" i="26"/>
  <c r="Z370" i="26"/>
  <c r="AA370" i="26"/>
  <c r="AB370" i="26"/>
  <c r="P371" i="26"/>
  <c r="Q371" i="26"/>
  <c r="R371" i="26"/>
  <c r="S371" i="26"/>
  <c r="T371" i="26"/>
  <c r="U371" i="26"/>
  <c r="V371" i="26"/>
  <c r="W371" i="26"/>
  <c r="X371" i="26"/>
  <c r="Y371" i="26"/>
  <c r="Z371" i="26"/>
  <c r="AA371" i="26"/>
  <c r="AB371" i="26"/>
  <c r="P372" i="26"/>
  <c r="Q372" i="26"/>
  <c r="R372" i="26"/>
  <c r="S372" i="26"/>
  <c r="T372" i="26"/>
  <c r="U372" i="26"/>
  <c r="V372" i="26"/>
  <c r="W372" i="26"/>
  <c r="X372" i="26"/>
  <c r="Y372" i="26"/>
  <c r="Z372" i="26"/>
  <c r="AA372" i="26"/>
  <c r="AB372" i="26"/>
  <c r="P373" i="26"/>
  <c r="Q373" i="26"/>
  <c r="R373" i="26"/>
  <c r="S373" i="26"/>
  <c r="T373" i="26"/>
  <c r="U373" i="26"/>
  <c r="V373" i="26"/>
  <c r="W373" i="26"/>
  <c r="X373" i="26"/>
  <c r="Y373" i="26"/>
  <c r="Z373" i="26"/>
  <c r="AA373" i="26"/>
  <c r="AB373" i="26"/>
  <c r="P374" i="26"/>
  <c r="Q374" i="26"/>
  <c r="R374" i="26"/>
  <c r="S374" i="26"/>
  <c r="T374" i="26"/>
  <c r="U374" i="26"/>
  <c r="V374" i="26"/>
  <c r="W374" i="26"/>
  <c r="X374" i="26"/>
  <c r="Y374" i="26"/>
  <c r="Z374" i="26"/>
  <c r="AA374" i="26"/>
  <c r="AB374" i="26"/>
  <c r="P375" i="26"/>
  <c r="Q375" i="26"/>
  <c r="R375" i="26"/>
  <c r="S375" i="26"/>
  <c r="T375" i="26"/>
  <c r="U375" i="26"/>
  <c r="V375" i="26"/>
  <c r="W375" i="26"/>
  <c r="X375" i="26"/>
  <c r="Y375" i="26"/>
  <c r="Z375" i="26"/>
  <c r="AA375" i="26"/>
  <c r="AB375" i="26"/>
  <c r="P376" i="26"/>
  <c r="Q376" i="26"/>
  <c r="R376" i="26"/>
  <c r="S376" i="26"/>
  <c r="T376" i="26"/>
  <c r="U376" i="26"/>
  <c r="V376" i="26"/>
  <c r="W376" i="26"/>
  <c r="X376" i="26"/>
  <c r="Y376" i="26"/>
  <c r="Z376" i="26"/>
  <c r="AA376" i="26"/>
  <c r="AB376" i="26"/>
  <c r="P377" i="26"/>
  <c r="Q377" i="26"/>
  <c r="R377" i="26"/>
  <c r="S377" i="26"/>
  <c r="T377" i="26"/>
  <c r="U377" i="26"/>
  <c r="V377" i="26"/>
  <c r="W377" i="26"/>
  <c r="X377" i="26"/>
  <c r="Y377" i="26"/>
  <c r="Z377" i="26"/>
  <c r="AA377" i="26"/>
  <c r="AB377" i="26"/>
  <c r="P378" i="26"/>
  <c r="Q378" i="26"/>
  <c r="R378" i="26"/>
  <c r="S378" i="26"/>
  <c r="T378" i="26"/>
  <c r="U378" i="26"/>
  <c r="V378" i="26"/>
  <c r="W378" i="26"/>
  <c r="X378" i="26"/>
  <c r="Y378" i="26"/>
  <c r="Z378" i="26"/>
  <c r="AA378" i="26"/>
  <c r="AB378" i="26"/>
  <c r="P379" i="26"/>
  <c r="Q379" i="26"/>
  <c r="R379" i="26"/>
  <c r="S379" i="26"/>
  <c r="T379" i="26"/>
  <c r="U379" i="26"/>
  <c r="V379" i="26"/>
  <c r="W379" i="26"/>
  <c r="X379" i="26"/>
  <c r="Y379" i="26"/>
  <c r="Z379" i="26"/>
  <c r="AA379" i="26"/>
  <c r="AB379" i="26"/>
  <c r="P380" i="26"/>
  <c r="Q380" i="26"/>
  <c r="R380" i="26"/>
  <c r="S380" i="26"/>
  <c r="T380" i="26"/>
  <c r="U380" i="26"/>
  <c r="V380" i="26"/>
  <c r="W380" i="26"/>
  <c r="X380" i="26"/>
  <c r="Y380" i="26"/>
  <c r="Z380" i="26"/>
  <c r="AA380" i="26"/>
  <c r="AB380" i="26"/>
  <c r="P381" i="26"/>
  <c r="Q381" i="26"/>
  <c r="R381" i="26"/>
  <c r="S381" i="26"/>
  <c r="T381" i="26"/>
  <c r="U381" i="26"/>
  <c r="V381" i="26"/>
  <c r="W381" i="26"/>
  <c r="X381" i="26"/>
  <c r="Y381" i="26"/>
  <c r="Z381" i="26"/>
  <c r="AA381" i="26"/>
  <c r="AB381" i="26"/>
  <c r="P382" i="26"/>
  <c r="Q382" i="26"/>
  <c r="R382" i="26"/>
  <c r="S382" i="26"/>
  <c r="T382" i="26"/>
  <c r="U382" i="26"/>
  <c r="V382" i="26"/>
  <c r="W382" i="26"/>
  <c r="X382" i="26"/>
  <c r="Y382" i="26"/>
  <c r="Z382" i="26"/>
  <c r="AA382" i="26"/>
  <c r="AB382" i="26"/>
  <c r="P383" i="26"/>
  <c r="Q383" i="26"/>
  <c r="R383" i="26"/>
  <c r="S383" i="26"/>
  <c r="T383" i="26"/>
  <c r="U383" i="26"/>
  <c r="V383" i="26"/>
  <c r="W383" i="26"/>
  <c r="X383" i="26"/>
  <c r="Y383" i="26"/>
  <c r="Z383" i="26"/>
  <c r="AA383" i="26"/>
  <c r="AB383" i="26"/>
  <c r="P384" i="26"/>
  <c r="Q384" i="26"/>
  <c r="R384" i="26"/>
  <c r="S384" i="26"/>
  <c r="T384" i="26"/>
  <c r="U384" i="26"/>
  <c r="V384" i="26"/>
  <c r="W384" i="26"/>
  <c r="X384" i="26"/>
  <c r="Y384" i="26"/>
  <c r="Z384" i="26"/>
  <c r="AA384" i="26"/>
  <c r="AB384" i="26"/>
  <c r="P385" i="26"/>
  <c r="Q385" i="26"/>
  <c r="R385" i="26"/>
  <c r="S385" i="26"/>
  <c r="T385" i="26"/>
  <c r="U385" i="26"/>
  <c r="V385" i="26"/>
  <c r="W385" i="26"/>
  <c r="X385" i="26"/>
  <c r="Y385" i="26"/>
  <c r="Z385" i="26"/>
  <c r="AA385" i="26"/>
  <c r="AB385" i="26"/>
  <c r="P386" i="26"/>
  <c r="Q386" i="26"/>
  <c r="R386" i="26"/>
  <c r="S386" i="26"/>
  <c r="T386" i="26"/>
  <c r="U386" i="26"/>
  <c r="V386" i="26"/>
  <c r="W386" i="26"/>
  <c r="X386" i="26"/>
  <c r="Y386" i="26"/>
  <c r="Z386" i="26"/>
  <c r="AA386" i="26"/>
  <c r="AB386" i="26"/>
  <c r="P387" i="26"/>
  <c r="Q387" i="26"/>
  <c r="R387" i="26"/>
  <c r="S387" i="26"/>
  <c r="T387" i="26"/>
  <c r="U387" i="26"/>
  <c r="V387" i="26"/>
  <c r="W387" i="26"/>
  <c r="X387" i="26"/>
  <c r="Y387" i="26"/>
  <c r="Z387" i="26"/>
  <c r="AA387" i="26"/>
  <c r="AB387" i="26"/>
  <c r="P388" i="26"/>
  <c r="Q388" i="26"/>
  <c r="R388" i="26"/>
  <c r="S388" i="26"/>
  <c r="T388" i="26"/>
  <c r="U388" i="26"/>
  <c r="V388" i="26"/>
  <c r="W388" i="26"/>
  <c r="X388" i="26"/>
  <c r="Y388" i="26"/>
  <c r="Z388" i="26"/>
  <c r="AA388" i="26"/>
  <c r="AB388" i="26"/>
  <c r="P389" i="26"/>
  <c r="Q389" i="26"/>
  <c r="R389" i="26"/>
  <c r="S389" i="26"/>
  <c r="T389" i="26"/>
  <c r="U389" i="26"/>
  <c r="V389" i="26"/>
  <c r="W389" i="26"/>
  <c r="X389" i="26"/>
  <c r="Y389" i="26"/>
  <c r="Z389" i="26"/>
  <c r="AA389" i="26"/>
  <c r="AB389" i="26"/>
  <c r="P390" i="26"/>
  <c r="Q390" i="26"/>
  <c r="R390" i="26"/>
  <c r="S390" i="26"/>
  <c r="T390" i="26"/>
  <c r="U390" i="26"/>
  <c r="V390" i="26"/>
  <c r="W390" i="26"/>
  <c r="X390" i="26"/>
  <c r="Y390" i="26"/>
  <c r="Z390" i="26"/>
  <c r="AA390" i="26"/>
  <c r="AB390" i="26"/>
  <c r="P391" i="26"/>
  <c r="Q391" i="26"/>
  <c r="R391" i="26"/>
  <c r="S391" i="26"/>
  <c r="T391" i="26"/>
  <c r="U391" i="26"/>
  <c r="V391" i="26"/>
  <c r="W391" i="26"/>
  <c r="X391" i="26"/>
  <c r="Y391" i="26"/>
  <c r="Z391" i="26"/>
  <c r="AA391" i="26"/>
  <c r="AB391" i="26"/>
  <c r="P392" i="26"/>
  <c r="Q392" i="26"/>
  <c r="R392" i="26"/>
  <c r="S392" i="26"/>
  <c r="T392" i="26"/>
  <c r="U392" i="26"/>
  <c r="V392" i="26"/>
  <c r="W392" i="26"/>
  <c r="X392" i="26"/>
  <c r="Y392" i="26"/>
  <c r="Z392" i="26"/>
  <c r="AA392" i="26"/>
  <c r="AB392" i="26"/>
  <c r="P393" i="26"/>
  <c r="Q393" i="26"/>
  <c r="R393" i="26"/>
  <c r="S393" i="26"/>
  <c r="T393" i="26"/>
  <c r="U393" i="26"/>
  <c r="V393" i="26"/>
  <c r="W393" i="26"/>
  <c r="X393" i="26"/>
  <c r="Y393" i="26"/>
  <c r="Z393" i="26"/>
  <c r="AA393" i="26"/>
  <c r="AB393" i="26"/>
  <c r="P394" i="26"/>
  <c r="Q394" i="26"/>
  <c r="R394" i="26"/>
  <c r="S394" i="26"/>
  <c r="T394" i="26"/>
  <c r="U394" i="26"/>
  <c r="V394" i="26"/>
  <c r="W394" i="26"/>
  <c r="X394" i="26"/>
  <c r="Y394" i="26"/>
  <c r="Z394" i="26"/>
  <c r="AA394" i="26"/>
  <c r="AB394" i="26"/>
  <c r="P395" i="26"/>
  <c r="Q395" i="26"/>
  <c r="R395" i="26"/>
  <c r="S395" i="26"/>
  <c r="T395" i="26"/>
  <c r="U395" i="26"/>
  <c r="V395" i="26"/>
  <c r="W395" i="26"/>
  <c r="X395" i="26"/>
  <c r="Y395" i="26"/>
  <c r="Z395" i="26"/>
  <c r="AA395" i="26"/>
  <c r="AB395" i="26"/>
  <c r="P396" i="26"/>
  <c r="Q396" i="26"/>
  <c r="R396" i="26"/>
  <c r="S396" i="26"/>
  <c r="T396" i="26"/>
  <c r="U396" i="26"/>
  <c r="V396" i="26"/>
  <c r="W396" i="26"/>
  <c r="X396" i="26"/>
  <c r="Y396" i="26"/>
  <c r="Z396" i="26"/>
  <c r="AA396" i="26"/>
  <c r="AB396" i="26"/>
  <c r="P397" i="26"/>
  <c r="Q397" i="26"/>
  <c r="R397" i="26"/>
  <c r="S397" i="26"/>
  <c r="T397" i="26"/>
  <c r="U397" i="26"/>
  <c r="V397" i="26"/>
  <c r="W397" i="26"/>
  <c r="X397" i="26"/>
  <c r="Y397" i="26"/>
  <c r="Z397" i="26"/>
  <c r="AA397" i="26"/>
  <c r="AB397" i="26"/>
  <c r="P398" i="26"/>
  <c r="Q398" i="26"/>
  <c r="R398" i="26"/>
  <c r="S398" i="26"/>
  <c r="T398" i="26"/>
  <c r="U398" i="26"/>
  <c r="V398" i="26"/>
  <c r="W398" i="26"/>
  <c r="X398" i="26"/>
  <c r="Y398" i="26"/>
  <c r="Z398" i="26"/>
  <c r="AA398" i="26"/>
  <c r="AB398" i="26"/>
  <c r="P399" i="26"/>
  <c r="Q399" i="26"/>
  <c r="R399" i="26"/>
  <c r="S399" i="26"/>
  <c r="T399" i="26"/>
  <c r="U399" i="26"/>
  <c r="V399" i="26"/>
  <c r="W399" i="26"/>
  <c r="X399" i="26"/>
  <c r="Y399" i="26"/>
  <c r="Z399" i="26"/>
  <c r="AA399" i="26"/>
  <c r="AB399" i="26"/>
  <c r="P400" i="26"/>
  <c r="Q400" i="26"/>
  <c r="R400" i="26"/>
  <c r="S400" i="26"/>
  <c r="T400" i="26"/>
  <c r="U400" i="26"/>
  <c r="V400" i="26"/>
  <c r="W400" i="26"/>
  <c r="X400" i="26"/>
  <c r="Y400" i="26"/>
  <c r="Z400" i="26"/>
  <c r="AA400" i="26"/>
  <c r="AB400" i="26"/>
  <c r="P401" i="26"/>
  <c r="Q401" i="26"/>
  <c r="R401" i="26"/>
  <c r="S401" i="26"/>
  <c r="T401" i="26"/>
  <c r="U401" i="26"/>
  <c r="V401" i="26"/>
  <c r="W401" i="26"/>
  <c r="X401" i="26"/>
  <c r="Y401" i="26"/>
  <c r="Z401" i="26"/>
  <c r="AA401" i="26"/>
  <c r="AB401" i="26"/>
  <c r="P402" i="26"/>
  <c r="Q402" i="26"/>
  <c r="R402" i="26"/>
  <c r="S402" i="26"/>
  <c r="T402" i="26"/>
  <c r="U402" i="26"/>
  <c r="V402" i="26"/>
  <c r="W402" i="26"/>
  <c r="X402" i="26"/>
  <c r="Y402" i="26"/>
  <c r="Z402" i="26"/>
  <c r="AA402" i="26"/>
  <c r="AB402" i="26"/>
  <c r="P403" i="26"/>
  <c r="Q403" i="26"/>
  <c r="R403" i="26"/>
  <c r="S403" i="26"/>
  <c r="T403" i="26"/>
  <c r="U403" i="26"/>
  <c r="V403" i="26"/>
  <c r="W403" i="26"/>
  <c r="X403" i="26"/>
  <c r="Y403" i="26"/>
  <c r="Z403" i="26"/>
  <c r="AA403" i="26"/>
  <c r="AB403" i="26"/>
  <c r="P404" i="26"/>
  <c r="Q404" i="26"/>
  <c r="R404" i="26"/>
  <c r="S404" i="26"/>
  <c r="T404" i="26"/>
  <c r="U404" i="26"/>
  <c r="V404" i="26"/>
  <c r="W404" i="26"/>
  <c r="X404" i="26"/>
  <c r="Y404" i="26"/>
  <c r="Z404" i="26"/>
  <c r="AA404" i="26"/>
  <c r="AB404" i="26"/>
  <c r="P405" i="26"/>
  <c r="Q405" i="26"/>
  <c r="R405" i="26"/>
  <c r="S405" i="26"/>
  <c r="T405" i="26"/>
  <c r="U405" i="26"/>
  <c r="V405" i="26"/>
  <c r="W405" i="26"/>
  <c r="X405" i="26"/>
  <c r="Y405" i="26"/>
  <c r="Z405" i="26"/>
  <c r="AA405" i="26"/>
  <c r="AB405" i="26"/>
  <c r="P406" i="26"/>
  <c r="Q406" i="26"/>
  <c r="R406" i="26"/>
  <c r="S406" i="26"/>
  <c r="T406" i="26"/>
  <c r="U406" i="26"/>
  <c r="V406" i="26"/>
  <c r="W406" i="26"/>
  <c r="X406" i="26"/>
  <c r="Y406" i="26"/>
  <c r="Z406" i="26"/>
  <c r="AA406" i="26"/>
  <c r="AB406" i="26"/>
  <c r="P407" i="26"/>
  <c r="Q407" i="26"/>
  <c r="R407" i="26"/>
  <c r="S407" i="26"/>
  <c r="T407" i="26"/>
  <c r="U407" i="26"/>
  <c r="V407" i="26"/>
  <c r="W407" i="26"/>
  <c r="X407" i="26"/>
  <c r="Y407" i="26"/>
  <c r="Z407" i="26"/>
  <c r="AA407" i="26"/>
  <c r="AB407" i="26"/>
  <c r="P408" i="26"/>
  <c r="Q408" i="26"/>
  <c r="R408" i="26"/>
  <c r="S408" i="26"/>
  <c r="T408" i="26"/>
  <c r="U408" i="26"/>
  <c r="V408" i="26"/>
  <c r="W408" i="26"/>
  <c r="X408" i="26"/>
  <c r="Y408" i="26"/>
  <c r="Z408" i="26"/>
  <c r="AA408" i="26"/>
  <c r="AB408" i="26"/>
  <c r="P409" i="26"/>
  <c r="Q409" i="26"/>
  <c r="R409" i="26"/>
  <c r="S409" i="26"/>
  <c r="T409" i="26"/>
  <c r="U409" i="26"/>
  <c r="V409" i="26"/>
  <c r="W409" i="26"/>
  <c r="X409" i="26"/>
  <c r="Y409" i="26"/>
  <c r="Z409" i="26"/>
  <c r="AA409" i="26"/>
  <c r="AB409" i="26"/>
  <c r="P410" i="26"/>
  <c r="Q410" i="26"/>
  <c r="R410" i="26"/>
  <c r="S410" i="26"/>
  <c r="T410" i="26"/>
  <c r="U410" i="26"/>
  <c r="V410" i="26"/>
  <c r="W410" i="26"/>
  <c r="X410" i="26"/>
  <c r="Y410" i="26"/>
  <c r="Z410" i="26"/>
  <c r="AA410" i="26"/>
  <c r="AB410" i="26"/>
  <c r="P411" i="26"/>
  <c r="Q411" i="26"/>
  <c r="R411" i="26"/>
  <c r="S411" i="26"/>
  <c r="T411" i="26"/>
  <c r="U411" i="26"/>
  <c r="V411" i="26"/>
  <c r="W411" i="26"/>
  <c r="X411" i="26"/>
  <c r="Y411" i="26"/>
  <c r="Z411" i="26"/>
  <c r="AA411" i="26"/>
  <c r="AB411" i="26"/>
  <c r="P412" i="26"/>
  <c r="Q412" i="26"/>
  <c r="R412" i="26"/>
  <c r="S412" i="26"/>
  <c r="T412" i="26"/>
  <c r="U412" i="26"/>
  <c r="V412" i="26"/>
  <c r="W412" i="26"/>
  <c r="X412" i="26"/>
  <c r="Y412" i="26"/>
  <c r="Z412" i="26"/>
  <c r="AA412" i="26"/>
  <c r="AB412" i="26"/>
  <c r="P413" i="26"/>
  <c r="Q413" i="26"/>
  <c r="R413" i="26"/>
  <c r="S413" i="26"/>
  <c r="T413" i="26"/>
  <c r="U413" i="26"/>
  <c r="V413" i="26"/>
  <c r="W413" i="26"/>
  <c r="X413" i="26"/>
  <c r="Y413" i="26"/>
  <c r="Z413" i="26"/>
  <c r="AA413" i="26"/>
  <c r="AB413" i="26"/>
  <c r="P414" i="26"/>
  <c r="Q414" i="26"/>
  <c r="R414" i="26"/>
  <c r="S414" i="26"/>
  <c r="T414" i="26"/>
  <c r="U414" i="26"/>
  <c r="V414" i="26"/>
  <c r="W414" i="26"/>
  <c r="X414" i="26"/>
  <c r="Y414" i="26"/>
  <c r="Z414" i="26"/>
  <c r="AA414" i="26"/>
  <c r="AB414" i="26"/>
  <c r="P415" i="26"/>
  <c r="Q415" i="26"/>
  <c r="R415" i="26"/>
  <c r="S415" i="26"/>
  <c r="T415" i="26"/>
  <c r="U415" i="26"/>
  <c r="V415" i="26"/>
  <c r="W415" i="26"/>
  <c r="X415" i="26"/>
  <c r="Y415" i="26"/>
  <c r="Z415" i="26"/>
  <c r="AA415" i="26"/>
  <c r="AB415" i="26"/>
  <c r="P416" i="26"/>
  <c r="Q416" i="26"/>
  <c r="R416" i="26"/>
  <c r="S416" i="26"/>
  <c r="T416" i="26"/>
  <c r="U416" i="26"/>
  <c r="V416" i="26"/>
  <c r="W416" i="26"/>
  <c r="X416" i="26"/>
  <c r="Y416" i="26"/>
  <c r="Z416" i="26"/>
  <c r="AA416" i="26"/>
  <c r="AB416" i="26"/>
  <c r="P417" i="26"/>
  <c r="Q417" i="26"/>
  <c r="R417" i="26"/>
  <c r="S417" i="26"/>
  <c r="T417" i="26"/>
  <c r="U417" i="26"/>
  <c r="V417" i="26"/>
  <c r="W417" i="26"/>
  <c r="X417" i="26"/>
  <c r="Y417" i="26"/>
  <c r="Z417" i="26"/>
  <c r="AA417" i="26"/>
  <c r="AB417" i="26"/>
  <c r="P418" i="26"/>
  <c r="Q418" i="26"/>
  <c r="R418" i="26"/>
  <c r="S418" i="26"/>
  <c r="T418" i="26"/>
  <c r="U418" i="26"/>
  <c r="V418" i="26"/>
  <c r="W418" i="26"/>
  <c r="X418" i="26"/>
  <c r="Y418" i="26"/>
  <c r="Z418" i="26"/>
  <c r="AA418" i="26"/>
  <c r="AB418" i="26"/>
  <c r="P419" i="26"/>
  <c r="Q419" i="26"/>
  <c r="R419" i="26"/>
  <c r="S419" i="26"/>
  <c r="T419" i="26"/>
  <c r="U419" i="26"/>
  <c r="V419" i="26"/>
  <c r="W419" i="26"/>
  <c r="X419" i="26"/>
  <c r="Y419" i="26"/>
  <c r="Z419" i="26"/>
  <c r="AA419" i="26"/>
  <c r="AB419" i="26"/>
  <c r="P420" i="26"/>
  <c r="Q420" i="26"/>
  <c r="R420" i="26"/>
  <c r="S420" i="26"/>
  <c r="T420" i="26"/>
  <c r="U420" i="26"/>
  <c r="V420" i="26"/>
  <c r="W420" i="26"/>
  <c r="X420" i="26"/>
  <c r="Y420" i="26"/>
  <c r="Z420" i="26"/>
  <c r="AA420" i="26"/>
  <c r="AB420" i="26"/>
  <c r="P421" i="26"/>
  <c r="Q421" i="26"/>
  <c r="R421" i="26"/>
  <c r="S421" i="26"/>
  <c r="T421" i="26"/>
  <c r="U421" i="26"/>
  <c r="V421" i="26"/>
  <c r="W421" i="26"/>
  <c r="X421" i="26"/>
  <c r="Y421" i="26"/>
  <c r="Z421" i="26"/>
  <c r="AA421" i="26"/>
  <c r="AB421" i="26"/>
  <c r="P422" i="26"/>
  <c r="Q422" i="26"/>
  <c r="R422" i="26"/>
  <c r="S422" i="26"/>
  <c r="T422" i="26"/>
  <c r="U422" i="26"/>
  <c r="V422" i="26"/>
  <c r="W422" i="26"/>
  <c r="X422" i="26"/>
  <c r="Y422" i="26"/>
  <c r="Z422" i="26"/>
  <c r="AA422" i="26"/>
  <c r="AB422" i="26"/>
  <c r="P423" i="26"/>
  <c r="Q423" i="26"/>
  <c r="R423" i="26"/>
  <c r="S423" i="26"/>
  <c r="T423" i="26"/>
  <c r="U423" i="26"/>
  <c r="V423" i="26"/>
  <c r="W423" i="26"/>
  <c r="X423" i="26"/>
  <c r="Y423" i="26"/>
  <c r="Z423" i="26"/>
  <c r="AA423" i="26"/>
  <c r="AB423" i="26"/>
  <c r="P424" i="26"/>
  <c r="Q424" i="26"/>
  <c r="R424" i="26"/>
  <c r="S424" i="26"/>
  <c r="T424" i="26"/>
  <c r="U424" i="26"/>
  <c r="V424" i="26"/>
  <c r="W424" i="26"/>
  <c r="X424" i="26"/>
  <c r="Y424" i="26"/>
  <c r="Z424" i="26"/>
  <c r="AA424" i="26"/>
  <c r="AB424" i="26"/>
  <c r="P425" i="26"/>
  <c r="Q425" i="26"/>
  <c r="R425" i="26"/>
  <c r="S425" i="26"/>
  <c r="T425" i="26"/>
  <c r="U425" i="26"/>
  <c r="V425" i="26"/>
  <c r="W425" i="26"/>
  <c r="X425" i="26"/>
  <c r="Y425" i="26"/>
  <c r="Z425" i="26"/>
  <c r="AA425" i="26"/>
  <c r="AB425" i="26"/>
  <c r="P426" i="26"/>
  <c r="Q426" i="26"/>
  <c r="R426" i="26"/>
  <c r="S426" i="26"/>
  <c r="T426" i="26"/>
  <c r="U426" i="26"/>
  <c r="V426" i="26"/>
  <c r="W426" i="26"/>
  <c r="X426" i="26"/>
  <c r="Y426" i="26"/>
  <c r="Z426" i="26"/>
  <c r="AA426" i="26"/>
  <c r="AB426" i="26"/>
  <c r="P427" i="26"/>
  <c r="Q427" i="26"/>
  <c r="R427" i="26"/>
  <c r="S427" i="26"/>
  <c r="T427" i="26"/>
  <c r="U427" i="26"/>
  <c r="V427" i="26"/>
  <c r="W427" i="26"/>
  <c r="X427" i="26"/>
  <c r="Y427" i="26"/>
  <c r="Z427" i="26"/>
  <c r="AA427" i="26"/>
  <c r="AB427" i="26"/>
  <c r="P428" i="26"/>
  <c r="Q428" i="26"/>
  <c r="R428" i="26"/>
  <c r="S428" i="26"/>
  <c r="T428" i="26"/>
  <c r="U428" i="26"/>
  <c r="V428" i="26"/>
  <c r="W428" i="26"/>
  <c r="X428" i="26"/>
  <c r="Y428" i="26"/>
  <c r="Z428" i="26"/>
  <c r="AA428" i="26"/>
  <c r="AB428" i="26"/>
  <c r="P429" i="26"/>
  <c r="Q429" i="26"/>
  <c r="R429" i="26"/>
  <c r="S429" i="26"/>
  <c r="T429" i="26"/>
  <c r="U429" i="26"/>
  <c r="V429" i="26"/>
  <c r="W429" i="26"/>
  <c r="X429" i="26"/>
  <c r="Y429" i="26"/>
  <c r="Z429" i="26"/>
  <c r="AA429" i="26"/>
  <c r="AB429" i="26"/>
  <c r="AB2" i="26"/>
  <c r="AA2" i="26"/>
  <c r="Z2" i="26"/>
  <c r="Y2" i="26"/>
  <c r="X2" i="26"/>
  <c r="W2" i="26"/>
  <c r="V2" i="26"/>
  <c r="U2" i="26"/>
  <c r="T2" i="26"/>
  <c r="S2" i="26"/>
  <c r="R2" i="26"/>
  <c r="Q2" i="26"/>
  <c r="P2" i="26"/>
  <c r="AV3" i="6"/>
  <c r="AW3" i="6"/>
  <c r="AX3" i="6"/>
  <c r="AY3" i="6"/>
  <c r="AZ3" i="6"/>
  <c r="BA3" i="6"/>
  <c r="BB3" i="6"/>
  <c r="BC3" i="6"/>
  <c r="BD3" i="6"/>
  <c r="BE3" i="6"/>
  <c r="BF3" i="6"/>
  <c r="BG3" i="6"/>
  <c r="BH3" i="6"/>
  <c r="AV4" i="6"/>
  <c r="AW4" i="6"/>
  <c r="AX4" i="6"/>
  <c r="AY4" i="6"/>
  <c r="AZ4" i="6"/>
  <c r="BA4" i="6"/>
  <c r="BB4" i="6"/>
  <c r="BC4" i="6"/>
  <c r="BD4" i="6"/>
  <c r="BE4" i="6"/>
  <c r="BF4" i="6"/>
  <c r="BG4" i="6"/>
  <c r="BH4" i="6"/>
  <c r="AV5" i="6"/>
  <c r="AW5" i="6"/>
  <c r="AX5" i="6"/>
  <c r="AY5" i="6"/>
  <c r="AZ5" i="6"/>
  <c r="BA5" i="6"/>
  <c r="BB5" i="6"/>
  <c r="BC5" i="6"/>
  <c r="BD5" i="6"/>
  <c r="BE5" i="6"/>
  <c r="BF5" i="6"/>
  <c r="BG5" i="6"/>
  <c r="BH5" i="6"/>
  <c r="AV6" i="6"/>
  <c r="AW6" i="6"/>
  <c r="AX6" i="6"/>
  <c r="AY6" i="6"/>
  <c r="AZ6" i="6"/>
  <c r="BA6" i="6"/>
  <c r="BB6" i="6"/>
  <c r="BC6" i="6"/>
  <c r="BD6" i="6"/>
  <c r="BE6" i="6"/>
  <c r="BF6" i="6"/>
  <c r="BG6" i="6"/>
  <c r="BH6" i="6"/>
  <c r="AV7" i="6"/>
  <c r="AW7" i="6"/>
  <c r="AX7" i="6"/>
  <c r="AY7" i="6"/>
  <c r="AZ7" i="6"/>
  <c r="BA7" i="6"/>
  <c r="BB7" i="6"/>
  <c r="BC7" i="6"/>
  <c r="BD7" i="6"/>
  <c r="BE7" i="6"/>
  <c r="BF7" i="6"/>
  <c r="BG7" i="6"/>
  <c r="BH7" i="6"/>
  <c r="AV8" i="6"/>
  <c r="AW8" i="6"/>
  <c r="AX8" i="6"/>
  <c r="AY8" i="6"/>
  <c r="AZ8" i="6"/>
  <c r="BA8" i="6"/>
  <c r="BB8" i="6"/>
  <c r="BC8" i="6"/>
  <c r="BD8" i="6"/>
  <c r="BE8" i="6"/>
  <c r="BF8" i="6"/>
  <c r="BG8" i="6"/>
  <c r="BH8" i="6"/>
  <c r="AV9" i="6"/>
  <c r="AW9" i="6"/>
  <c r="AX9" i="6"/>
  <c r="AY9" i="6"/>
  <c r="AZ9" i="6"/>
  <c r="BA9" i="6"/>
  <c r="BB9" i="6"/>
  <c r="BC9" i="6"/>
  <c r="BD9" i="6"/>
  <c r="BE9" i="6"/>
  <c r="BF9" i="6"/>
  <c r="BG9" i="6"/>
  <c r="BH9" i="6"/>
  <c r="AV10" i="6"/>
  <c r="AW10" i="6"/>
  <c r="AX10" i="6"/>
  <c r="AY10" i="6"/>
  <c r="AZ10" i="6"/>
  <c r="BA10" i="6"/>
  <c r="BB10" i="6"/>
  <c r="BC10" i="6"/>
  <c r="BD10" i="6"/>
  <c r="BE10" i="6"/>
  <c r="BF10" i="6"/>
  <c r="BG10" i="6"/>
  <c r="BH10" i="6"/>
  <c r="AV11" i="6"/>
  <c r="AW11" i="6"/>
  <c r="AX11" i="6"/>
  <c r="AY11" i="6"/>
  <c r="AZ11" i="6"/>
  <c r="BA11" i="6"/>
  <c r="BB11" i="6"/>
  <c r="BC11" i="6"/>
  <c r="BD11" i="6"/>
  <c r="BE11" i="6"/>
  <c r="BF11" i="6"/>
  <c r="BG11" i="6"/>
  <c r="BH11" i="6"/>
  <c r="AV12" i="6"/>
  <c r="AW12" i="6"/>
  <c r="AX12" i="6"/>
  <c r="AY12" i="6"/>
  <c r="AZ12" i="6"/>
  <c r="BA12" i="6"/>
  <c r="BB12" i="6"/>
  <c r="BC12" i="6"/>
  <c r="BD12" i="6"/>
  <c r="BE12" i="6"/>
  <c r="BF12" i="6"/>
  <c r="BG12" i="6"/>
  <c r="BH12" i="6"/>
  <c r="AV13" i="6"/>
  <c r="AW13" i="6"/>
  <c r="AX13" i="6"/>
  <c r="AY13" i="6"/>
  <c r="AZ13" i="6"/>
  <c r="BA13" i="6"/>
  <c r="BB13" i="6"/>
  <c r="BC13" i="6"/>
  <c r="BD13" i="6"/>
  <c r="BE13" i="6"/>
  <c r="BF13" i="6"/>
  <c r="BG13" i="6"/>
  <c r="BH13" i="6"/>
  <c r="AV14" i="6"/>
  <c r="AW14" i="6"/>
  <c r="AX14" i="6"/>
  <c r="AY14" i="6"/>
  <c r="AZ14" i="6"/>
  <c r="BA14" i="6"/>
  <c r="BB14" i="6"/>
  <c r="BC14" i="6"/>
  <c r="BD14" i="6"/>
  <c r="BE14" i="6"/>
  <c r="BF14" i="6"/>
  <c r="BG14" i="6"/>
  <c r="BH14" i="6"/>
  <c r="AV15" i="6"/>
  <c r="AW15" i="6"/>
  <c r="AX15" i="6"/>
  <c r="AY15" i="6"/>
  <c r="AZ15" i="6"/>
  <c r="BA15" i="6"/>
  <c r="BB15" i="6"/>
  <c r="BC15" i="6"/>
  <c r="BD15" i="6"/>
  <c r="BE15" i="6"/>
  <c r="BF15" i="6"/>
  <c r="BG15" i="6"/>
  <c r="BH15" i="6"/>
  <c r="AV16" i="6"/>
  <c r="AW16" i="6"/>
  <c r="AX16" i="6"/>
  <c r="AY16" i="6"/>
  <c r="AZ16" i="6"/>
  <c r="BA16" i="6"/>
  <c r="BB16" i="6"/>
  <c r="BC16" i="6"/>
  <c r="BD16" i="6"/>
  <c r="BE16" i="6"/>
  <c r="BF16" i="6"/>
  <c r="BG16" i="6"/>
  <c r="BH16" i="6"/>
  <c r="AV17" i="6"/>
  <c r="AW17" i="6"/>
  <c r="AX17" i="6"/>
  <c r="AY17" i="6"/>
  <c r="AZ17" i="6"/>
  <c r="BA17" i="6"/>
  <c r="BB17" i="6"/>
  <c r="BC17" i="6"/>
  <c r="BD17" i="6"/>
  <c r="BE17" i="6"/>
  <c r="BF17" i="6"/>
  <c r="BG17" i="6"/>
  <c r="BH17" i="6"/>
  <c r="AV18" i="6"/>
  <c r="AW18" i="6"/>
  <c r="AX18" i="6"/>
  <c r="AY18" i="6"/>
  <c r="AZ18" i="6"/>
  <c r="BA18" i="6"/>
  <c r="BB18" i="6"/>
  <c r="BC18" i="6"/>
  <c r="BD18" i="6"/>
  <c r="BE18" i="6"/>
  <c r="BF18" i="6"/>
  <c r="BG18" i="6"/>
  <c r="BH18" i="6"/>
  <c r="AV19" i="6"/>
  <c r="AW19" i="6"/>
  <c r="AX19" i="6"/>
  <c r="AY19" i="6"/>
  <c r="AZ19" i="6"/>
  <c r="BA19" i="6"/>
  <c r="BB19" i="6"/>
  <c r="BC19" i="6"/>
  <c r="BD19" i="6"/>
  <c r="BE19" i="6"/>
  <c r="BF19" i="6"/>
  <c r="BG19" i="6"/>
  <c r="BH19" i="6"/>
  <c r="AV20" i="6"/>
  <c r="AW20" i="6"/>
  <c r="AX20" i="6"/>
  <c r="AY20" i="6"/>
  <c r="AZ20" i="6"/>
  <c r="BA20" i="6"/>
  <c r="BB20" i="6"/>
  <c r="BC20" i="6"/>
  <c r="BD20" i="6"/>
  <c r="BE20" i="6"/>
  <c r="BF20" i="6"/>
  <c r="BG20" i="6"/>
  <c r="BH20" i="6"/>
  <c r="AV21" i="6"/>
  <c r="AW21" i="6"/>
  <c r="AX21" i="6"/>
  <c r="AY21" i="6"/>
  <c r="AZ21" i="6"/>
  <c r="BA21" i="6"/>
  <c r="BB21" i="6"/>
  <c r="BC21" i="6"/>
  <c r="BD21" i="6"/>
  <c r="BE21" i="6"/>
  <c r="BF21" i="6"/>
  <c r="BG21" i="6"/>
  <c r="BH21" i="6"/>
  <c r="AV22" i="6"/>
  <c r="AW22" i="6"/>
  <c r="AX22" i="6"/>
  <c r="AY22" i="6"/>
  <c r="AZ22" i="6"/>
  <c r="BA22" i="6"/>
  <c r="BB22" i="6"/>
  <c r="BC22" i="6"/>
  <c r="BD22" i="6"/>
  <c r="BE22" i="6"/>
  <c r="BF22" i="6"/>
  <c r="BG22" i="6"/>
  <c r="BH22" i="6"/>
  <c r="AV23" i="6"/>
  <c r="AW23" i="6"/>
  <c r="AX23" i="6"/>
  <c r="AY23" i="6"/>
  <c r="AZ23" i="6"/>
  <c r="BA23" i="6"/>
  <c r="BB23" i="6"/>
  <c r="BC23" i="6"/>
  <c r="BD23" i="6"/>
  <c r="BE23" i="6"/>
  <c r="BF23" i="6"/>
  <c r="BG23" i="6"/>
  <c r="BH23" i="6"/>
  <c r="AV24" i="6"/>
  <c r="AW24" i="6"/>
  <c r="AX24" i="6"/>
  <c r="AY24" i="6"/>
  <c r="AZ24" i="6"/>
  <c r="BA24" i="6"/>
  <c r="BB24" i="6"/>
  <c r="BC24" i="6"/>
  <c r="BD24" i="6"/>
  <c r="BE24" i="6"/>
  <c r="BF24" i="6"/>
  <c r="BG24" i="6"/>
  <c r="BH24" i="6"/>
  <c r="AV25" i="6"/>
  <c r="AW25" i="6"/>
  <c r="AX25" i="6"/>
  <c r="AY25" i="6"/>
  <c r="AZ25" i="6"/>
  <c r="BA25" i="6"/>
  <c r="BB25" i="6"/>
  <c r="BC25" i="6"/>
  <c r="BD25" i="6"/>
  <c r="BE25" i="6"/>
  <c r="BF25" i="6"/>
  <c r="BG25" i="6"/>
  <c r="BH25" i="6"/>
  <c r="AV26" i="6"/>
  <c r="AW26" i="6"/>
  <c r="AX26" i="6"/>
  <c r="AY26" i="6"/>
  <c r="AZ26" i="6"/>
  <c r="BA26" i="6"/>
  <c r="BB26" i="6"/>
  <c r="BC26" i="6"/>
  <c r="BD26" i="6"/>
  <c r="BE26" i="6"/>
  <c r="BF26" i="6"/>
  <c r="BG26" i="6"/>
  <c r="BH26" i="6"/>
  <c r="AV27" i="6"/>
  <c r="AW27" i="6"/>
  <c r="AX27" i="6"/>
  <c r="AY27" i="6"/>
  <c r="AZ27" i="6"/>
  <c r="BA27" i="6"/>
  <c r="BB27" i="6"/>
  <c r="BC27" i="6"/>
  <c r="BD27" i="6"/>
  <c r="BE27" i="6"/>
  <c r="BF27" i="6"/>
  <c r="BG27" i="6"/>
  <c r="BH27" i="6"/>
  <c r="AV28" i="6"/>
  <c r="AW28" i="6"/>
  <c r="AX28" i="6"/>
  <c r="AY28" i="6"/>
  <c r="AZ28" i="6"/>
  <c r="BA28" i="6"/>
  <c r="BB28" i="6"/>
  <c r="BC28" i="6"/>
  <c r="BD28" i="6"/>
  <c r="BE28" i="6"/>
  <c r="BF28" i="6"/>
  <c r="BG28" i="6"/>
  <c r="BH28" i="6"/>
  <c r="AV29" i="6"/>
  <c r="AW29" i="6"/>
  <c r="AX29" i="6"/>
  <c r="AY29" i="6"/>
  <c r="AZ29" i="6"/>
  <c r="BA29" i="6"/>
  <c r="BB29" i="6"/>
  <c r="BC29" i="6"/>
  <c r="BD29" i="6"/>
  <c r="BE29" i="6"/>
  <c r="BF29" i="6"/>
  <c r="BG29" i="6"/>
  <c r="BH29" i="6"/>
  <c r="AV30" i="6"/>
  <c r="AW30" i="6"/>
  <c r="AX30" i="6"/>
  <c r="AY30" i="6"/>
  <c r="AZ30" i="6"/>
  <c r="BA30" i="6"/>
  <c r="BB30" i="6"/>
  <c r="BC30" i="6"/>
  <c r="BD30" i="6"/>
  <c r="BE30" i="6"/>
  <c r="BF30" i="6"/>
  <c r="BG30" i="6"/>
  <c r="BH30" i="6"/>
  <c r="AV31" i="6"/>
  <c r="AW31" i="6"/>
  <c r="AX31" i="6"/>
  <c r="AY31" i="6"/>
  <c r="AZ31" i="6"/>
  <c r="BA31" i="6"/>
  <c r="BB31" i="6"/>
  <c r="BC31" i="6"/>
  <c r="BD31" i="6"/>
  <c r="BE31" i="6"/>
  <c r="BF31" i="6"/>
  <c r="BG31" i="6"/>
  <c r="BH31" i="6"/>
  <c r="AV32" i="6"/>
  <c r="AW32" i="6"/>
  <c r="AX32" i="6"/>
  <c r="AY32" i="6"/>
  <c r="AZ32" i="6"/>
  <c r="BA32" i="6"/>
  <c r="BB32" i="6"/>
  <c r="BC32" i="6"/>
  <c r="BD32" i="6"/>
  <c r="BE32" i="6"/>
  <c r="BF32" i="6"/>
  <c r="BG32" i="6"/>
  <c r="BH32" i="6"/>
  <c r="AV33" i="6"/>
  <c r="AW33" i="6"/>
  <c r="AX33" i="6"/>
  <c r="AY33" i="6"/>
  <c r="AZ33" i="6"/>
  <c r="BA33" i="6"/>
  <c r="BB33" i="6"/>
  <c r="BC33" i="6"/>
  <c r="BD33" i="6"/>
  <c r="BE33" i="6"/>
  <c r="BF33" i="6"/>
  <c r="BG33" i="6"/>
  <c r="BH33" i="6"/>
  <c r="AV34" i="6"/>
  <c r="AW34" i="6"/>
  <c r="AX34" i="6"/>
  <c r="AY34" i="6"/>
  <c r="AZ34" i="6"/>
  <c r="BA34" i="6"/>
  <c r="BB34" i="6"/>
  <c r="BC34" i="6"/>
  <c r="BD34" i="6"/>
  <c r="BE34" i="6"/>
  <c r="BF34" i="6"/>
  <c r="BG34" i="6"/>
  <c r="BH34" i="6"/>
  <c r="AV35" i="6"/>
  <c r="AW35" i="6"/>
  <c r="AX35" i="6"/>
  <c r="AY35" i="6"/>
  <c r="AZ35" i="6"/>
  <c r="BA35" i="6"/>
  <c r="BB35" i="6"/>
  <c r="BC35" i="6"/>
  <c r="BD35" i="6"/>
  <c r="BE35" i="6"/>
  <c r="BF35" i="6"/>
  <c r="BG35" i="6"/>
  <c r="BH35" i="6"/>
  <c r="AV36" i="6"/>
  <c r="AW36" i="6"/>
  <c r="AX36" i="6"/>
  <c r="AY36" i="6"/>
  <c r="AZ36" i="6"/>
  <c r="BA36" i="6"/>
  <c r="BB36" i="6"/>
  <c r="BC36" i="6"/>
  <c r="BD36" i="6"/>
  <c r="BE36" i="6"/>
  <c r="BF36" i="6"/>
  <c r="BG36" i="6"/>
  <c r="BH36" i="6"/>
  <c r="AV37" i="6"/>
  <c r="AW37" i="6"/>
  <c r="AX37" i="6"/>
  <c r="AY37" i="6"/>
  <c r="AZ37" i="6"/>
  <c r="BA37" i="6"/>
  <c r="BB37" i="6"/>
  <c r="BC37" i="6"/>
  <c r="BD37" i="6"/>
  <c r="BE37" i="6"/>
  <c r="BF37" i="6"/>
  <c r="BG37" i="6"/>
  <c r="BH37" i="6"/>
  <c r="AV38" i="6"/>
  <c r="AW38" i="6"/>
  <c r="AX38" i="6"/>
  <c r="AY38" i="6"/>
  <c r="AZ38" i="6"/>
  <c r="BA38" i="6"/>
  <c r="BB38" i="6"/>
  <c r="BC38" i="6"/>
  <c r="BD38" i="6"/>
  <c r="BE38" i="6"/>
  <c r="BF38" i="6"/>
  <c r="BG38" i="6"/>
  <c r="BH38" i="6"/>
  <c r="AV39" i="6"/>
  <c r="AW39" i="6"/>
  <c r="AX39" i="6"/>
  <c r="AY39" i="6"/>
  <c r="AZ39" i="6"/>
  <c r="BA39" i="6"/>
  <c r="BB39" i="6"/>
  <c r="BC39" i="6"/>
  <c r="BD39" i="6"/>
  <c r="BE39" i="6"/>
  <c r="BF39" i="6"/>
  <c r="BG39" i="6"/>
  <c r="BH39" i="6"/>
  <c r="AV40" i="6"/>
  <c r="AW40" i="6"/>
  <c r="AX40" i="6"/>
  <c r="AY40" i="6"/>
  <c r="AZ40" i="6"/>
  <c r="BA40" i="6"/>
  <c r="BB40" i="6"/>
  <c r="BC40" i="6"/>
  <c r="BD40" i="6"/>
  <c r="BE40" i="6"/>
  <c r="BF40" i="6"/>
  <c r="BG40" i="6"/>
  <c r="BH40" i="6"/>
  <c r="AV41" i="6"/>
  <c r="AW41" i="6"/>
  <c r="AX41" i="6"/>
  <c r="AY41" i="6"/>
  <c r="AZ41" i="6"/>
  <c r="BA41" i="6"/>
  <c r="BB41" i="6"/>
  <c r="BC41" i="6"/>
  <c r="BD41" i="6"/>
  <c r="BE41" i="6"/>
  <c r="BF41" i="6"/>
  <c r="BG41" i="6"/>
  <c r="BH41" i="6"/>
  <c r="AV42" i="6"/>
  <c r="AW42" i="6"/>
  <c r="AX42" i="6"/>
  <c r="AY42" i="6"/>
  <c r="AZ42" i="6"/>
  <c r="BA42" i="6"/>
  <c r="BB42" i="6"/>
  <c r="BC42" i="6"/>
  <c r="BD42" i="6"/>
  <c r="BE42" i="6"/>
  <c r="BF42" i="6"/>
  <c r="BG42" i="6"/>
  <c r="BH42" i="6"/>
  <c r="AV43" i="6"/>
  <c r="AW43" i="6"/>
  <c r="AX43" i="6"/>
  <c r="AY43" i="6"/>
  <c r="AZ43" i="6"/>
  <c r="BA43" i="6"/>
  <c r="BB43" i="6"/>
  <c r="BC43" i="6"/>
  <c r="BD43" i="6"/>
  <c r="BE43" i="6"/>
  <c r="BF43" i="6"/>
  <c r="BG43" i="6"/>
  <c r="BH43" i="6"/>
  <c r="AV44" i="6"/>
  <c r="AW44" i="6"/>
  <c r="AX44" i="6"/>
  <c r="AY44" i="6"/>
  <c r="AZ44" i="6"/>
  <c r="BA44" i="6"/>
  <c r="BB44" i="6"/>
  <c r="BC44" i="6"/>
  <c r="BD44" i="6"/>
  <c r="BE44" i="6"/>
  <c r="BF44" i="6"/>
  <c r="BG44" i="6"/>
  <c r="BH44" i="6"/>
  <c r="AV45" i="6"/>
  <c r="AW45" i="6"/>
  <c r="AX45" i="6"/>
  <c r="AY45" i="6"/>
  <c r="AZ45" i="6"/>
  <c r="BA45" i="6"/>
  <c r="BB45" i="6"/>
  <c r="BC45" i="6"/>
  <c r="BD45" i="6"/>
  <c r="BE45" i="6"/>
  <c r="BF45" i="6"/>
  <c r="BG45" i="6"/>
  <c r="BH45" i="6"/>
  <c r="AV46" i="6"/>
  <c r="AW46" i="6"/>
  <c r="AX46" i="6"/>
  <c r="AY46" i="6"/>
  <c r="AZ46" i="6"/>
  <c r="BA46" i="6"/>
  <c r="BB46" i="6"/>
  <c r="BC46" i="6"/>
  <c r="BD46" i="6"/>
  <c r="BE46" i="6"/>
  <c r="BF46" i="6"/>
  <c r="BG46" i="6"/>
  <c r="BH46" i="6"/>
  <c r="AV47" i="6"/>
  <c r="AW47" i="6"/>
  <c r="AX47" i="6"/>
  <c r="AY47" i="6"/>
  <c r="AZ47" i="6"/>
  <c r="BA47" i="6"/>
  <c r="BB47" i="6"/>
  <c r="BC47" i="6"/>
  <c r="BD47" i="6"/>
  <c r="BE47" i="6"/>
  <c r="BF47" i="6"/>
  <c r="BG47" i="6"/>
  <c r="BH47" i="6"/>
  <c r="AV48" i="6"/>
  <c r="AW48" i="6"/>
  <c r="AX48" i="6"/>
  <c r="AY48" i="6"/>
  <c r="AZ48" i="6"/>
  <c r="BA48" i="6"/>
  <c r="BB48" i="6"/>
  <c r="BC48" i="6"/>
  <c r="BD48" i="6"/>
  <c r="BE48" i="6"/>
  <c r="BF48" i="6"/>
  <c r="BG48" i="6"/>
  <c r="BH48" i="6"/>
  <c r="AV49" i="6"/>
  <c r="AW49" i="6"/>
  <c r="AX49" i="6"/>
  <c r="AY49" i="6"/>
  <c r="AZ49" i="6"/>
  <c r="BA49" i="6"/>
  <c r="BB49" i="6"/>
  <c r="BC49" i="6"/>
  <c r="BD49" i="6"/>
  <c r="BE49" i="6"/>
  <c r="BF49" i="6"/>
  <c r="BG49" i="6"/>
  <c r="BH49" i="6"/>
  <c r="AV50" i="6"/>
  <c r="AW50" i="6"/>
  <c r="AX50" i="6"/>
  <c r="AY50" i="6"/>
  <c r="AZ50" i="6"/>
  <c r="BA50" i="6"/>
  <c r="BB50" i="6"/>
  <c r="BC50" i="6"/>
  <c r="BD50" i="6"/>
  <c r="BE50" i="6"/>
  <c r="BF50" i="6"/>
  <c r="BG50" i="6"/>
  <c r="BH50" i="6"/>
  <c r="AV51" i="6"/>
  <c r="AW51" i="6"/>
  <c r="AX51" i="6"/>
  <c r="AY51" i="6"/>
  <c r="AZ51" i="6"/>
  <c r="BA51" i="6"/>
  <c r="BB51" i="6"/>
  <c r="BC51" i="6"/>
  <c r="BD51" i="6"/>
  <c r="BE51" i="6"/>
  <c r="BF51" i="6"/>
  <c r="BG51" i="6"/>
  <c r="BH51" i="6"/>
  <c r="AV52" i="6"/>
  <c r="AW52" i="6"/>
  <c r="AX52" i="6"/>
  <c r="AY52" i="6"/>
  <c r="AZ52" i="6"/>
  <c r="BA52" i="6"/>
  <c r="BB52" i="6"/>
  <c r="BC52" i="6"/>
  <c r="BD52" i="6"/>
  <c r="BE52" i="6"/>
  <c r="BF52" i="6"/>
  <c r="BG52" i="6"/>
  <c r="BH52" i="6"/>
  <c r="AV53" i="6"/>
  <c r="AW53" i="6"/>
  <c r="AX53" i="6"/>
  <c r="AY53" i="6"/>
  <c r="AZ53" i="6"/>
  <c r="BA53" i="6"/>
  <c r="BB53" i="6"/>
  <c r="BC53" i="6"/>
  <c r="BD53" i="6"/>
  <c r="BE53" i="6"/>
  <c r="BF53" i="6"/>
  <c r="BG53" i="6"/>
  <c r="BH53" i="6"/>
  <c r="AV54" i="6"/>
  <c r="AW54" i="6"/>
  <c r="AX54" i="6"/>
  <c r="AY54" i="6"/>
  <c r="AZ54" i="6"/>
  <c r="BA54" i="6"/>
  <c r="BB54" i="6"/>
  <c r="BC54" i="6"/>
  <c r="BD54" i="6"/>
  <c r="BE54" i="6"/>
  <c r="BF54" i="6"/>
  <c r="BG54" i="6"/>
  <c r="BH54" i="6"/>
  <c r="AV55" i="6"/>
  <c r="AW55" i="6"/>
  <c r="AX55" i="6"/>
  <c r="AY55" i="6"/>
  <c r="AZ55" i="6"/>
  <c r="BA55" i="6"/>
  <c r="BB55" i="6"/>
  <c r="BC55" i="6"/>
  <c r="BD55" i="6"/>
  <c r="BE55" i="6"/>
  <c r="BF55" i="6"/>
  <c r="BG55" i="6"/>
  <c r="BH55" i="6"/>
  <c r="AV56" i="6"/>
  <c r="AW56" i="6"/>
  <c r="AX56" i="6"/>
  <c r="AY56" i="6"/>
  <c r="AZ56" i="6"/>
  <c r="BA56" i="6"/>
  <c r="BB56" i="6"/>
  <c r="BC56" i="6"/>
  <c r="BD56" i="6"/>
  <c r="BE56" i="6"/>
  <c r="BF56" i="6"/>
  <c r="BG56" i="6"/>
  <c r="BH56" i="6"/>
  <c r="AV57" i="6"/>
  <c r="AW57" i="6"/>
  <c r="AX57" i="6"/>
  <c r="AY57" i="6"/>
  <c r="AZ57" i="6"/>
  <c r="BA57" i="6"/>
  <c r="BB57" i="6"/>
  <c r="BC57" i="6"/>
  <c r="BD57" i="6"/>
  <c r="BE57" i="6"/>
  <c r="BF57" i="6"/>
  <c r="BG57" i="6"/>
  <c r="BH57" i="6"/>
  <c r="AV58" i="6"/>
  <c r="AW58" i="6"/>
  <c r="AX58" i="6"/>
  <c r="AY58" i="6"/>
  <c r="AZ58" i="6"/>
  <c r="BA58" i="6"/>
  <c r="BB58" i="6"/>
  <c r="BC58" i="6"/>
  <c r="BD58" i="6"/>
  <c r="BE58" i="6"/>
  <c r="BF58" i="6"/>
  <c r="BG58" i="6"/>
  <c r="BH58" i="6"/>
  <c r="AV59" i="6"/>
  <c r="AW59" i="6"/>
  <c r="AX59" i="6"/>
  <c r="AY59" i="6"/>
  <c r="AZ59" i="6"/>
  <c r="BA59" i="6"/>
  <c r="BB59" i="6"/>
  <c r="BC59" i="6"/>
  <c r="BD59" i="6"/>
  <c r="BE59" i="6"/>
  <c r="BF59" i="6"/>
  <c r="BG59" i="6"/>
  <c r="BH59" i="6"/>
  <c r="AV60" i="6"/>
  <c r="AW60" i="6"/>
  <c r="AX60" i="6"/>
  <c r="AY60" i="6"/>
  <c r="AZ60" i="6"/>
  <c r="BA60" i="6"/>
  <c r="BB60" i="6"/>
  <c r="BC60" i="6"/>
  <c r="BD60" i="6"/>
  <c r="BE60" i="6"/>
  <c r="BF60" i="6"/>
  <c r="BG60" i="6"/>
  <c r="BH60" i="6"/>
  <c r="AV61" i="6"/>
  <c r="AW61" i="6"/>
  <c r="AX61" i="6"/>
  <c r="AY61" i="6"/>
  <c r="AZ61" i="6"/>
  <c r="BA61" i="6"/>
  <c r="BB61" i="6"/>
  <c r="BC61" i="6"/>
  <c r="BD61" i="6"/>
  <c r="BE61" i="6"/>
  <c r="BF61" i="6"/>
  <c r="BG61" i="6"/>
  <c r="BH61" i="6"/>
  <c r="AV62" i="6"/>
  <c r="AW62" i="6"/>
  <c r="AX62" i="6"/>
  <c r="AY62" i="6"/>
  <c r="AZ62" i="6"/>
  <c r="BA62" i="6"/>
  <c r="BB62" i="6"/>
  <c r="BC62" i="6"/>
  <c r="BD62" i="6"/>
  <c r="BE62" i="6"/>
  <c r="BF62" i="6"/>
  <c r="BG62" i="6"/>
  <c r="BH62" i="6"/>
  <c r="AV63" i="6"/>
  <c r="AW63" i="6"/>
  <c r="AX63" i="6"/>
  <c r="AY63" i="6"/>
  <c r="AZ63" i="6"/>
  <c r="BA63" i="6"/>
  <c r="BB63" i="6"/>
  <c r="BC63" i="6"/>
  <c r="BD63" i="6"/>
  <c r="BE63" i="6"/>
  <c r="BF63" i="6"/>
  <c r="BG63" i="6"/>
  <c r="BH63" i="6"/>
  <c r="AV64" i="6"/>
  <c r="AW64" i="6"/>
  <c r="AX64" i="6"/>
  <c r="AY64" i="6"/>
  <c r="AZ64" i="6"/>
  <c r="BA64" i="6"/>
  <c r="BB64" i="6"/>
  <c r="BC64" i="6"/>
  <c r="BD64" i="6"/>
  <c r="BE64" i="6"/>
  <c r="BF64" i="6"/>
  <c r="BG64" i="6"/>
  <c r="BH64" i="6"/>
  <c r="AV65" i="6"/>
  <c r="AW65" i="6"/>
  <c r="AX65" i="6"/>
  <c r="AY65" i="6"/>
  <c r="AZ65" i="6"/>
  <c r="BA65" i="6"/>
  <c r="BB65" i="6"/>
  <c r="BC65" i="6"/>
  <c r="BD65" i="6"/>
  <c r="BE65" i="6"/>
  <c r="BF65" i="6"/>
  <c r="BG65" i="6"/>
  <c r="BH65" i="6"/>
  <c r="AV66" i="6"/>
  <c r="AW66" i="6"/>
  <c r="AX66" i="6"/>
  <c r="AY66" i="6"/>
  <c r="AZ66" i="6"/>
  <c r="BA66" i="6"/>
  <c r="BB66" i="6"/>
  <c r="BC66" i="6"/>
  <c r="BD66" i="6"/>
  <c r="BE66" i="6"/>
  <c r="BF66" i="6"/>
  <c r="BG66" i="6"/>
  <c r="BH66" i="6"/>
  <c r="AV67" i="6"/>
  <c r="AW67" i="6"/>
  <c r="AX67" i="6"/>
  <c r="AY67" i="6"/>
  <c r="AZ67" i="6"/>
  <c r="BA67" i="6"/>
  <c r="BB67" i="6"/>
  <c r="BC67" i="6"/>
  <c r="BD67" i="6"/>
  <c r="BE67" i="6"/>
  <c r="BF67" i="6"/>
  <c r="BG67" i="6"/>
  <c r="BH67" i="6"/>
  <c r="AV68" i="6"/>
  <c r="AW68" i="6"/>
  <c r="AX68" i="6"/>
  <c r="AY68" i="6"/>
  <c r="AZ68" i="6"/>
  <c r="BA68" i="6"/>
  <c r="BB68" i="6"/>
  <c r="BC68" i="6"/>
  <c r="BD68" i="6"/>
  <c r="BE68" i="6"/>
  <c r="BF68" i="6"/>
  <c r="BG68" i="6"/>
  <c r="BH68" i="6"/>
  <c r="AV69" i="6"/>
  <c r="AW69" i="6"/>
  <c r="AX69" i="6"/>
  <c r="AY69" i="6"/>
  <c r="AZ69" i="6"/>
  <c r="BA69" i="6"/>
  <c r="BB69" i="6"/>
  <c r="BC69" i="6"/>
  <c r="BD69" i="6"/>
  <c r="BE69" i="6"/>
  <c r="BF69" i="6"/>
  <c r="BG69" i="6"/>
  <c r="BH69" i="6"/>
  <c r="AV70" i="6"/>
  <c r="AW70" i="6"/>
  <c r="AX70" i="6"/>
  <c r="AY70" i="6"/>
  <c r="AZ70" i="6"/>
  <c r="BA70" i="6"/>
  <c r="BB70" i="6"/>
  <c r="BC70" i="6"/>
  <c r="BD70" i="6"/>
  <c r="BE70" i="6"/>
  <c r="BF70" i="6"/>
  <c r="BG70" i="6"/>
  <c r="BH70" i="6"/>
  <c r="AV71" i="6"/>
  <c r="AW71" i="6"/>
  <c r="AX71" i="6"/>
  <c r="AY71" i="6"/>
  <c r="AZ71" i="6"/>
  <c r="BA71" i="6"/>
  <c r="BB71" i="6"/>
  <c r="BC71" i="6"/>
  <c r="BD71" i="6"/>
  <c r="BE71" i="6"/>
  <c r="BF71" i="6"/>
  <c r="BG71" i="6"/>
  <c r="BH71" i="6"/>
  <c r="AV72" i="6"/>
  <c r="AW72" i="6"/>
  <c r="AX72" i="6"/>
  <c r="AY72" i="6"/>
  <c r="AZ72" i="6"/>
  <c r="BA72" i="6"/>
  <c r="BB72" i="6"/>
  <c r="BC72" i="6"/>
  <c r="BD72" i="6"/>
  <c r="BE72" i="6"/>
  <c r="BF72" i="6"/>
  <c r="BG72" i="6"/>
  <c r="BH72" i="6"/>
  <c r="AV73" i="6"/>
  <c r="AW73" i="6"/>
  <c r="AX73" i="6"/>
  <c r="AY73" i="6"/>
  <c r="AZ73" i="6"/>
  <c r="BA73" i="6"/>
  <c r="BB73" i="6"/>
  <c r="BC73" i="6"/>
  <c r="BD73" i="6"/>
  <c r="BE73" i="6"/>
  <c r="BF73" i="6"/>
  <c r="BG73" i="6"/>
  <c r="BH73" i="6"/>
  <c r="AV74" i="6"/>
  <c r="AW74" i="6"/>
  <c r="AX74" i="6"/>
  <c r="AY74" i="6"/>
  <c r="AZ74" i="6"/>
  <c r="BA74" i="6"/>
  <c r="BB74" i="6"/>
  <c r="BC74" i="6"/>
  <c r="BD74" i="6"/>
  <c r="BE74" i="6"/>
  <c r="BF74" i="6"/>
  <c r="BG74" i="6"/>
  <c r="BH74" i="6"/>
  <c r="AV75" i="6"/>
  <c r="AW75" i="6"/>
  <c r="AX75" i="6"/>
  <c r="AY75" i="6"/>
  <c r="AZ75" i="6"/>
  <c r="BA75" i="6"/>
  <c r="BB75" i="6"/>
  <c r="BC75" i="6"/>
  <c r="BD75" i="6"/>
  <c r="BE75" i="6"/>
  <c r="BF75" i="6"/>
  <c r="BG75" i="6"/>
  <c r="BH75" i="6"/>
  <c r="AV76" i="6"/>
  <c r="AW76" i="6"/>
  <c r="AX76" i="6"/>
  <c r="AY76" i="6"/>
  <c r="AZ76" i="6"/>
  <c r="BA76" i="6"/>
  <c r="BB76" i="6"/>
  <c r="BC76" i="6"/>
  <c r="BD76" i="6"/>
  <c r="BE76" i="6"/>
  <c r="BF76" i="6"/>
  <c r="BG76" i="6"/>
  <c r="BH76" i="6"/>
  <c r="AV77" i="6"/>
  <c r="AW77" i="6"/>
  <c r="AX77" i="6"/>
  <c r="AY77" i="6"/>
  <c r="AZ77" i="6"/>
  <c r="BA77" i="6"/>
  <c r="BB77" i="6"/>
  <c r="BC77" i="6"/>
  <c r="BD77" i="6"/>
  <c r="BE77" i="6"/>
  <c r="BF77" i="6"/>
  <c r="BG77" i="6"/>
  <c r="BH77" i="6"/>
  <c r="AV78" i="6"/>
  <c r="AW78" i="6"/>
  <c r="AX78" i="6"/>
  <c r="AY78" i="6"/>
  <c r="AZ78" i="6"/>
  <c r="BA78" i="6"/>
  <c r="BB78" i="6"/>
  <c r="BC78" i="6"/>
  <c r="BD78" i="6"/>
  <c r="BE78" i="6"/>
  <c r="BF78" i="6"/>
  <c r="BG78" i="6"/>
  <c r="BH78" i="6"/>
  <c r="AV79" i="6"/>
  <c r="AW79" i="6"/>
  <c r="AX79" i="6"/>
  <c r="AY79" i="6"/>
  <c r="AZ79" i="6"/>
  <c r="BA79" i="6"/>
  <c r="BB79" i="6"/>
  <c r="BC79" i="6"/>
  <c r="BD79" i="6"/>
  <c r="BE79" i="6"/>
  <c r="BF79" i="6"/>
  <c r="BG79" i="6"/>
  <c r="BH79" i="6"/>
  <c r="AV80" i="6"/>
  <c r="AW80" i="6"/>
  <c r="AX80" i="6"/>
  <c r="AY80" i="6"/>
  <c r="AZ80" i="6"/>
  <c r="BA80" i="6"/>
  <c r="BB80" i="6"/>
  <c r="BC80" i="6"/>
  <c r="BD80" i="6"/>
  <c r="BE80" i="6"/>
  <c r="BF80" i="6"/>
  <c r="BG80" i="6"/>
  <c r="BH80" i="6"/>
  <c r="AV81" i="6"/>
  <c r="AW81" i="6"/>
  <c r="AX81" i="6"/>
  <c r="AY81" i="6"/>
  <c r="AZ81" i="6"/>
  <c r="BA81" i="6"/>
  <c r="BB81" i="6"/>
  <c r="BC81" i="6"/>
  <c r="BD81" i="6"/>
  <c r="BE81" i="6"/>
  <c r="BF81" i="6"/>
  <c r="BG81" i="6"/>
  <c r="BH81" i="6"/>
  <c r="AV82" i="6"/>
  <c r="AW82" i="6"/>
  <c r="AX82" i="6"/>
  <c r="AY82" i="6"/>
  <c r="AZ82" i="6"/>
  <c r="BA82" i="6"/>
  <c r="BB82" i="6"/>
  <c r="BC82" i="6"/>
  <c r="BD82" i="6"/>
  <c r="BE82" i="6"/>
  <c r="BF82" i="6"/>
  <c r="BG82" i="6"/>
  <c r="BH82" i="6"/>
  <c r="AV83" i="6"/>
  <c r="AW83" i="6"/>
  <c r="AX83" i="6"/>
  <c r="AY83" i="6"/>
  <c r="AZ83" i="6"/>
  <c r="BA83" i="6"/>
  <c r="BB83" i="6"/>
  <c r="BC83" i="6"/>
  <c r="BD83" i="6"/>
  <c r="BE83" i="6"/>
  <c r="BF83" i="6"/>
  <c r="BG83" i="6"/>
  <c r="BH83" i="6"/>
  <c r="AV84" i="6"/>
  <c r="AW84" i="6"/>
  <c r="AX84" i="6"/>
  <c r="AY84" i="6"/>
  <c r="AZ84" i="6"/>
  <c r="BA84" i="6"/>
  <c r="BB84" i="6"/>
  <c r="BC84" i="6"/>
  <c r="BD84" i="6"/>
  <c r="BE84" i="6"/>
  <c r="BF84" i="6"/>
  <c r="BG84" i="6"/>
  <c r="BH84" i="6"/>
  <c r="AV85" i="6"/>
  <c r="AW85" i="6"/>
  <c r="AX85" i="6"/>
  <c r="AY85" i="6"/>
  <c r="AZ85" i="6"/>
  <c r="BA85" i="6"/>
  <c r="BB85" i="6"/>
  <c r="BC85" i="6"/>
  <c r="BD85" i="6"/>
  <c r="BE85" i="6"/>
  <c r="BF85" i="6"/>
  <c r="BG85" i="6"/>
  <c r="BH85" i="6"/>
  <c r="AV86" i="6"/>
  <c r="AW86" i="6"/>
  <c r="AX86" i="6"/>
  <c r="AY86" i="6"/>
  <c r="AZ86" i="6"/>
  <c r="BA86" i="6"/>
  <c r="BB86" i="6"/>
  <c r="BC86" i="6"/>
  <c r="BD86" i="6"/>
  <c r="BE86" i="6"/>
  <c r="BF86" i="6"/>
  <c r="BG86" i="6"/>
  <c r="BH86" i="6"/>
  <c r="AV87" i="6"/>
  <c r="AW87" i="6"/>
  <c r="AX87" i="6"/>
  <c r="AY87" i="6"/>
  <c r="AZ87" i="6"/>
  <c r="BA87" i="6"/>
  <c r="BB87" i="6"/>
  <c r="BC87" i="6"/>
  <c r="BD87" i="6"/>
  <c r="BE87" i="6"/>
  <c r="BF87" i="6"/>
  <c r="BG87" i="6"/>
  <c r="BH87" i="6"/>
  <c r="AV88" i="6"/>
  <c r="AW88" i="6"/>
  <c r="AX88" i="6"/>
  <c r="AY88" i="6"/>
  <c r="AZ88" i="6"/>
  <c r="BA88" i="6"/>
  <c r="BB88" i="6"/>
  <c r="BC88" i="6"/>
  <c r="BD88" i="6"/>
  <c r="BE88" i="6"/>
  <c r="BF88" i="6"/>
  <c r="BG88" i="6"/>
  <c r="BH88" i="6"/>
  <c r="AV89" i="6"/>
  <c r="AW89" i="6"/>
  <c r="AX89" i="6"/>
  <c r="AY89" i="6"/>
  <c r="AZ89" i="6"/>
  <c r="BA89" i="6"/>
  <c r="BB89" i="6"/>
  <c r="BC89" i="6"/>
  <c r="BD89" i="6"/>
  <c r="BE89" i="6"/>
  <c r="BF89" i="6"/>
  <c r="BG89" i="6"/>
  <c r="BH89" i="6"/>
  <c r="AV90" i="6"/>
  <c r="AW90" i="6"/>
  <c r="AX90" i="6"/>
  <c r="AY90" i="6"/>
  <c r="AZ90" i="6"/>
  <c r="BA90" i="6"/>
  <c r="BB90" i="6"/>
  <c r="BC90" i="6"/>
  <c r="BD90" i="6"/>
  <c r="BE90" i="6"/>
  <c r="BF90" i="6"/>
  <c r="BG90" i="6"/>
  <c r="BH90" i="6"/>
  <c r="AV91" i="6"/>
  <c r="AW91" i="6"/>
  <c r="AX91" i="6"/>
  <c r="AY91" i="6"/>
  <c r="AZ91" i="6"/>
  <c r="BA91" i="6"/>
  <c r="BB91" i="6"/>
  <c r="BC91" i="6"/>
  <c r="BD91" i="6"/>
  <c r="BE91" i="6"/>
  <c r="BF91" i="6"/>
  <c r="BG91" i="6"/>
  <c r="BH91" i="6"/>
  <c r="AV92" i="6"/>
  <c r="AW92" i="6"/>
  <c r="AX92" i="6"/>
  <c r="AY92" i="6"/>
  <c r="AZ92" i="6"/>
  <c r="BA92" i="6"/>
  <c r="BB92" i="6"/>
  <c r="BC92" i="6"/>
  <c r="BD92" i="6"/>
  <c r="BE92" i="6"/>
  <c r="BF92" i="6"/>
  <c r="BG92" i="6"/>
  <c r="BH92" i="6"/>
  <c r="AV93" i="6"/>
  <c r="AW93" i="6"/>
  <c r="AX93" i="6"/>
  <c r="AY93" i="6"/>
  <c r="AZ93" i="6"/>
  <c r="BA93" i="6"/>
  <c r="BB93" i="6"/>
  <c r="BC93" i="6"/>
  <c r="BD93" i="6"/>
  <c r="BE93" i="6"/>
  <c r="BF93" i="6"/>
  <c r="BG93" i="6"/>
  <c r="BH93" i="6"/>
  <c r="AV94" i="6"/>
  <c r="AW94" i="6"/>
  <c r="AX94" i="6"/>
  <c r="AY94" i="6"/>
  <c r="AZ94" i="6"/>
  <c r="BA94" i="6"/>
  <c r="BB94" i="6"/>
  <c r="BC94" i="6"/>
  <c r="BD94" i="6"/>
  <c r="BE94" i="6"/>
  <c r="BF94" i="6"/>
  <c r="BG94" i="6"/>
  <c r="BH94" i="6"/>
  <c r="AV95" i="6"/>
  <c r="AW95" i="6"/>
  <c r="AX95" i="6"/>
  <c r="AY95" i="6"/>
  <c r="AZ95" i="6"/>
  <c r="BA95" i="6"/>
  <c r="BB95" i="6"/>
  <c r="BC95" i="6"/>
  <c r="BD95" i="6"/>
  <c r="BE95" i="6"/>
  <c r="BF95" i="6"/>
  <c r="BG95" i="6"/>
  <c r="BH95" i="6"/>
  <c r="AV96" i="6"/>
  <c r="AW96" i="6"/>
  <c r="AX96" i="6"/>
  <c r="AY96" i="6"/>
  <c r="AZ96" i="6"/>
  <c r="BA96" i="6"/>
  <c r="BB96" i="6"/>
  <c r="BC96" i="6"/>
  <c r="BD96" i="6"/>
  <c r="BE96" i="6"/>
  <c r="BF96" i="6"/>
  <c r="BG96" i="6"/>
  <c r="BH96" i="6"/>
  <c r="AV97" i="6"/>
  <c r="AW97" i="6"/>
  <c r="AX97" i="6"/>
  <c r="AY97" i="6"/>
  <c r="AZ97" i="6"/>
  <c r="BA97" i="6"/>
  <c r="BB97" i="6"/>
  <c r="BC97" i="6"/>
  <c r="BD97" i="6"/>
  <c r="BE97" i="6"/>
  <c r="BF97" i="6"/>
  <c r="BG97" i="6"/>
  <c r="BH97" i="6"/>
  <c r="AV98" i="6"/>
  <c r="AW98" i="6"/>
  <c r="AX98" i="6"/>
  <c r="AY98" i="6"/>
  <c r="AZ98" i="6"/>
  <c r="BA98" i="6"/>
  <c r="BB98" i="6"/>
  <c r="BC98" i="6"/>
  <c r="BD98" i="6"/>
  <c r="BE98" i="6"/>
  <c r="BF98" i="6"/>
  <c r="BG98" i="6"/>
  <c r="BH98" i="6"/>
  <c r="AV99" i="6"/>
  <c r="AW99" i="6"/>
  <c r="AX99" i="6"/>
  <c r="AY99" i="6"/>
  <c r="AZ99" i="6"/>
  <c r="BA99" i="6"/>
  <c r="BB99" i="6"/>
  <c r="BC99" i="6"/>
  <c r="BD99" i="6"/>
  <c r="BE99" i="6"/>
  <c r="BF99" i="6"/>
  <c r="BG99" i="6"/>
  <c r="BH99" i="6"/>
  <c r="AV100" i="6"/>
  <c r="AW100" i="6"/>
  <c r="AX100" i="6"/>
  <c r="AY100" i="6"/>
  <c r="AZ100" i="6"/>
  <c r="BA100" i="6"/>
  <c r="BB100" i="6"/>
  <c r="BC100" i="6"/>
  <c r="BD100" i="6"/>
  <c r="BE100" i="6"/>
  <c r="BF100" i="6"/>
  <c r="BG100" i="6"/>
  <c r="BH100" i="6"/>
  <c r="AV101" i="6"/>
  <c r="AW101" i="6"/>
  <c r="AX101" i="6"/>
  <c r="AY101" i="6"/>
  <c r="AZ101" i="6"/>
  <c r="BA101" i="6"/>
  <c r="BB101" i="6"/>
  <c r="BC101" i="6"/>
  <c r="BD101" i="6"/>
  <c r="BE101" i="6"/>
  <c r="BF101" i="6"/>
  <c r="BG101" i="6"/>
  <c r="BH101" i="6"/>
  <c r="AV102" i="6"/>
  <c r="AW102" i="6"/>
  <c r="AX102" i="6"/>
  <c r="AY102" i="6"/>
  <c r="AZ102" i="6"/>
  <c r="BA102" i="6"/>
  <c r="BB102" i="6"/>
  <c r="BC102" i="6"/>
  <c r="BD102" i="6"/>
  <c r="BE102" i="6"/>
  <c r="BF102" i="6"/>
  <c r="BG102" i="6"/>
  <c r="BH102" i="6"/>
  <c r="AV103" i="6"/>
  <c r="AW103" i="6"/>
  <c r="AX103" i="6"/>
  <c r="AY103" i="6"/>
  <c r="AZ103" i="6"/>
  <c r="BA103" i="6"/>
  <c r="BB103" i="6"/>
  <c r="BC103" i="6"/>
  <c r="BD103" i="6"/>
  <c r="BE103" i="6"/>
  <c r="BF103" i="6"/>
  <c r="BG103" i="6"/>
  <c r="BH103" i="6"/>
  <c r="AV104" i="6"/>
  <c r="AW104" i="6"/>
  <c r="AX104" i="6"/>
  <c r="AY104" i="6"/>
  <c r="AZ104" i="6"/>
  <c r="BA104" i="6"/>
  <c r="BB104" i="6"/>
  <c r="BC104" i="6"/>
  <c r="BD104" i="6"/>
  <c r="BE104" i="6"/>
  <c r="BF104" i="6"/>
  <c r="BG104" i="6"/>
  <c r="BH104" i="6"/>
  <c r="AV105" i="6"/>
  <c r="AW105" i="6"/>
  <c r="AX105" i="6"/>
  <c r="AY105" i="6"/>
  <c r="AZ105" i="6"/>
  <c r="BA105" i="6"/>
  <c r="BB105" i="6"/>
  <c r="BC105" i="6"/>
  <c r="BD105" i="6"/>
  <c r="BE105" i="6"/>
  <c r="BF105" i="6"/>
  <c r="BG105" i="6"/>
  <c r="BH105" i="6"/>
  <c r="AV106" i="6"/>
  <c r="AW106" i="6"/>
  <c r="AX106" i="6"/>
  <c r="AY106" i="6"/>
  <c r="AZ106" i="6"/>
  <c r="BA106" i="6"/>
  <c r="BB106" i="6"/>
  <c r="BC106" i="6"/>
  <c r="BD106" i="6"/>
  <c r="BE106" i="6"/>
  <c r="BF106" i="6"/>
  <c r="BG106" i="6"/>
  <c r="BH106" i="6"/>
  <c r="AV107" i="6"/>
  <c r="AW107" i="6"/>
  <c r="AX107" i="6"/>
  <c r="AY107" i="6"/>
  <c r="AZ107" i="6"/>
  <c r="BA107" i="6"/>
  <c r="BB107" i="6"/>
  <c r="BC107" i="6"/>
  <c r="BD107" i="6"/>
  <c r="BE107" i="6"/>
  <c r="BF107" i="6"/>
  <c r="BG107" i="6"/>
  <c r="BH107" i="6"/>
  <c r="AV108" i="6"/>
  <c r="AW108" i="6"/>
  <c r="AX108" i="6"/>
  <c r="AY108" i="6"/>
  <c r="AZ108" i="6"/>
  <c r="BA108" i="6"/>
  <c r="BB108" i="6"/>
  <c r="BC108" i="6"/>
  <c r="BD108" i="6"/>
  <c r="BE108" i="6"/>
  <c r="BF108" i="6"/>
  <c r="BG108" i="6"/>
  <c r="BH108" i="6"/>
  <c r="AV109" i="6"/>
  <c r="AW109" i="6"/>
  <c r="AX109" i="6"/>
  <c r="AY109" i="6"/>
  <c r="AZ109" i="6"/>
  <c r="BA109" i="6"/>
  <c r="BB109" i="6"/>
  <c r="BC109" i="6"/>
  <c r="BD109" i="6"/>
  <c r="BE109" i="6"/>
  <c r="BF109" i="6"/>
  <c r="BG109" i="6"/>
  <c r="BH109" i="6"/>
  <c r="AV110" i="6"/>
  <c r="AW110" i="6"/>
  <c r="AX110" i="6"/>
  <c r="AY110" i="6"/>
  <c r="AZ110" i="6"/>
  <c r="BA110" i="6"/>
  <c r="BB110" i="6"/>
  <c r="BC110" i="6"/>
  <c r="BD110" i="6"/>
  <c r="BE110" i="6"/>
  <c r="BF110" i="6"/>
  <c r="BG110" i="6"/>
  <c r="BH110" i="6"/>
  <c r="AV111" i="6"/>
  <c r="AW111" i="6"/>
  <c r="AX111" i="6"/>
  <c r="AY111" i="6"/>
  <c r="AZ111" i="6"/>
  <c r="BA111" i="6"/>
  <c r="BB111" i="6"/>
  <c r="BC111" i="6"/>
  <c r="BD111" i="6"/>
  <c r="BE111" i="6"/>
  <c r="BF111" i="6"/>
  <c r="BG111" i="6"/>
  <c r="BH111" i="6"/>
  <c r="AV112" i="6"/>
  <c r="AW112" i="6"/>
  <c r="AX112" i="6"/>
  <c r="AY112" i="6"/>
  <c r="AZ112" i="6"/>
  <c r="BA112" i="6"/>
  <c r="BB112" i="6"/>
  <c r="BC112" i="6"/>
  <c r="BD112" i="6"/>
  <c r="BE112" i="6"/>
  <c r="BF112" i="6"/>
  <c r="BG112" i="6"/>
  <c r="BH112" i="6"/>
  <c r="AV113" i="6"/>
  <c r="AW113" i="6"/>
  <c r="AX113" i="6"/>
  <c r="AY113" i="6"/>
  <c r="AZ113" i="6"/>
  <c r="BA113" i="6"/>
  <c r="BB113" i="6"/>
  <c r="BC113" i="6"/>
  <c r="BD113" i="6"/>
  <c r="BE113" i="6"/>
  <c r="BF113" i="6"/>
  <c r="BG113" i="6"/>
  <c r="BH113" i="6"/>
  <c r="AV114" i="6"/>
  <c r="AW114" i="6"/>
  <c r="AX114" i="6"/>
  <c r="AY114" i="6"/>
  <c r="AZ114" i="6"/>
  <c r="BA114" i="6"/>
  <c r="BB114" i="6"/>
  <c r="BC114" i="6"/>
  <c r="BD114" i="6"/>
  <c r="BE114" i="6"/>
  <c r="BF114" i="6"/>
  <c r="BG114" i="6"/>
  <c r="BH114" i="6"/>
  <c r="AV115" i="6"/>
  <c r="AW115" i="6"/>
  <c r="AX115" i="6"/>
  <c r="AY115" i="6"/>
  <c r="AZ115" i="6"/>
  <c r="BA115" i="6"/>
  <c r="BB115" i="6"/>
  <c r="BC115" i="6"/>
  <c r="BD115" i="6"/>
  <c r="BE115" i="6"/>
  <c r="BF115" i="6"/>
  <c r="BG115" i="6"/>
  <c r="BH115" i="6"/>
  <c r="AV116" i="6"/>
  <c r="AW116" i="6"/>
  <c r="AX116" i="6"/>
  <c r="AY116" i="6"/>
  <c r="AZ116" i="6"/>
  <c r="BA116" i="6"/>
  <c r="BB116" i="6"/>
  <c r="BC116" i="6"/>
  <c r="BD116" i="6"/>
  <c r="BE116" i="6"/>
  <c r="BF116" i="6"/>
  <c r="BG116" i="6"/>
  <c r="BH116" i="6"/>
  <c r="AV117" i="6"/>
  <c r="AW117" i="6"/>
  <c r="AX117" i="6"/>
  <c r="AY117" i="6"/>
  <c r="AZ117" i="6"/>
  <c r="BA117" i="6"/>
  <c r="BB117" i="6"/>
  <c r="BC117" i="6"/>
  <c r="BD117" i="6"/>
  <c r="BE117" i="6"/>
  <c r="BF117" i="6"/>
  <c r="BG117" i="6"/>
  <c r="BH117" i="6"/>
  <c r="AV118" i="6"/>
  <c r="AW118" i="6"/>
  <c r="AX118" i="6"/>
  <c r="AY118" i="6"/>
  <c r="AZ118" i="6"/>
  <c r="BA118" i="6"/>
  <c r="BB118" i="6"/>
  <c r="BC118" i="6"/>
  <c r="BD118" i="6"/>
  <c r="BE118" i="6"/>
  <c r="BF118" i="6"/>
  <c r="BG118" i="6"/>
  <c r="BH118" i="6"/>
  <c r="AV119" i="6"/>
  <c r="AW119" i="6"/>
  <c r="AX119" i="6"/>
  <c r="AY119" i="6"/>
  <c r="AZ119" i="6"/>
  <c r="BA119" i="6"/>
  <c r="BB119" i="6"/>
  <c r="BC119" i="6"/>
  <c r="BD119" i="6"/>
  <c r="BE119" i="6"/>
  <c r="BF119" i="6"/>
  <c r="BG119" i="6"/>
  <c r="BH119" i="6"/>
  <c r="AV120" i="6"/>
  <c r="AW120" i="6"/>
  <c r="AX120" i="6"/>
  <c r="AY120" i="6"/>
  <c r="AZ120" i="6"/>
  <c r="BA120" i="6"/>
  <c r="BB120" i="6"/>
  <c r="BC120" i="6"/>
  <c r="BD120" i="6"/>
  <c r="BE120" i="6"/>
  <c r="BF120" i="6"/>
  <c r="BG120" i="6"/>
  <c r="BH120" i="6"/>
  <c r="AV121" i="6"/>
  <c r="AW121" i="6"/>
  <c r="AX121" i="6"/>
  <c r="AY121" i="6"/>
  <c r="AZ121" i="6"/>
  <c r="BA121" i="6"/>
  <c r="BB121" i="6"/>
  <c r="BC121" i="6"/>
  <c r="BD121" i="6"/>
  <c r="BE121" i="6"/>
  <c r="BF121" i="6"/>
  <c r="BG121" i="6"/>
  <c r="BH121" i="6"/>
  <c r="AV122" i="6"/>
  <c r="AW122" i="6"/>
  <c r="AX122" i="6"/>
  <c r="AY122" i="6"/>
  <c r="AZ122" i="6"/>
  <c r="BA122" i="6"/>
  <c r="BB122" i="6"/>
  <c r="BC122" i="6"/>
  <c r="BD122" i="6"/>
  <c r="BE122" i="6"/>
  <c r="BF122" i="6"/>
  <c r="BG122" i="6"/>
  <c r="BH122" i="6"/>
  <c r="AV123" i="6"/>
  <c r="AW123" i="6"/>
  <c r="AX123" i="6"/>
  <c r="AY123" i="6"/>
  <c r="AZ123" i="6"/>
  <c r="BA123" i="6"/>
  <c r="BB123" i="6"/>
  <c r="BC123" i="6"/>
  <c r="BD123" i="6"/>
  <c r="BE123" i="6"/>
  <c r="BF123" i="6"/>
  <c r="BG123" i="6"/>
  <c r="BH123" i="6"/>
  <c r="AV124" i="6"/>
  <c r="AW124" i="6"/>
  <c r="AX124" i="6"/>
  <c r="AY124" i="6"/>
  <c r="AZ124" i="6"/>
  <c r="BA124" i="6"/>
  <c r="BB124" i="6"/>
  <c r="BC124" i="6"/>
  <c r="BD124" i="6"/>
  <c r="BE124" i="6"/>
  <c r="BF124" i="6"/>
  <c r="BG124" i="6"/>
  <c r="BH124" i="6"/>
  <c r="AV125" i="6"/>
  <c r="AW125" i="6"/>
  <c r="AX125" i="6"/>
  <c r="AY125" i="6"/>
  <c r="AZ125" i="6"/>
  <c r="BA125" i="6"/>
  <c r="BB125" i="6"/>
  <c r="BC125" i="6"/>
  <c r="BD125" i="6"/>
  <c r="BE125" i="6"/>
  <c r="BF125" i="6"/>
  <c r="BG125" i="6"/>
  <c r="BH125" i="6"/>
  <c r="AV126" i="6"/>
  <c r="AW126" i="6"/>
  <c r="AX126" i="6"/>
  <c r="AY126" i="6"/>
  <c r="AZ126" i="6"/>
  <c r="BA126" i="6"/>
  <c r="BB126" i="6"/>
  <c r="BC126" i="6"/>
  <c r="BD126" i="6"/>
  <c r="BE126" i="6"/>
  <c r="BF126" i="6"/>
  <c r="BG126" i="6"/>
  <c r="BH126" i="6"/>
  <c r="AV127" i="6"/>
  <c r="AW127" i="6"/>
  <c r="AX127" i="6"/>
  <c r="AY127" i="6"/>
  <c r="AZ127" i="6"/>
  <c r="BA127" i="6"/>
  <c r="BB127" i="6"/>
  <c r="BC127" i="6"/>
  <c r="BD127" i="6"/>
  <c r="BE127" i="6"/>
  <c r="BF127" i="6"/>
  <c r="BG127" i="6"/>
  <c r="BH127" i="6"/>
  <c r="AV128" i="6"/>
  <c r="AW128" i="6"/>
  <c r="AX128" i="6"/>
  <c r="AY128" i="6"/>
  <c r="AZ128" i="6"/>
  <c r="BA128" i="6"/>
  <c r="BB128" i="6"/>
  <c r="BC128" i="6"/>
  <c r="BD128" i="6"/>
  <c r="BE128" i="6"/>
  <c r="BF128" i="6"/>
  <c r="BG128" i="6"/>
  <c r="BH128" i="6"/>
  <c r="AV129" i="6"/>
  <c r="AW129" i="6"/>
  <c r="AX129" i="6"/>
  <c r="AY129" i="6"/>
  <c r="AZ129" i="6"/>
  <c r="BA129" i="6"/>
  <c r="BB129" i="6"/>
  <c r="BC129" i="6"/>
  <c r="BD129" i="6"/>
  <c r="BE129" i="6"/>
  <c r="BF129" i="6"/>
  <c r="BG129" i="6"/>
  <c r="BH129" i="6"/>
  <c r="AV130" i="6"/>
  <c r="AW130" i="6"/>
  <c r="AX130" i="6"/>
  <c r="AY130" i="6"/>
  <c r="AZ130" i="6"/>
  <c r="BA130" i="6"/>
  <c r="BB130" i="6"/>
  <c r="BC130" i="6"/>
  <c r="BD130" i="6"/>
  <c r="BE130" i="6"/>
  <c r="BF130" i="6"/>
  <c r="BG130" i="6"/>
  <c r="BH130" i="6"/>
  <c r="AV131" i="6"/>
  <c r="AW131" i="6"/>
  <c r="AX131" i="6"/>
  <c r="AY131" i="6"/>
  <c r="AZ131" i="6"/>
  <c r="BA131" i="6"/>
  <c r="BB131" i="6"/>
  <c r="BC131" i="6"/>
  <c r="BD131" i="6"/>
  <c r="BE131" i="6"/>
  <c r="BF131" i="6"/>
  <c r="BG131" i="6"/>
  <c r="BH131" i="6"/>
  <c r="AV132" i="6"/>
  <c r="AW132" i="6"/>
  <c r="AX132" i="6"/>
  <c r="AY132" i="6"/>
  <c r="AZ132" i="6"/>
  <c r="BA132" i="6"/>
  <c r="BB132" i="6"/>
  <c r="BC132" i="6"/>
  <c r="BD132" i="6"/>
  <c r="BE132" i="6"/>
  <c r="BF132" i="6"/>
  <c r="BG132" i="6"/>
  <c r="BH132" i="6"/>
  <c r="AV133" i="6"/>
  <c r="AW133" i="6"/>
  <c r="AX133" i="6"/>
  <c r="AY133" i="6"/>
  <c r="AZ133" i="6"/>
  <c r="BA133" i="6"/>
  <c r="BB133" i="6"/>
  <c r="BC133" i="6"/>
  <c r="BD133" i="6"/>
  <c r="BE133" i="6"/>
  <c r="BF133" i="6"/>
  <c r="BG133" i="6"/>
  <c r="BH133" i="6"/>
  <c r="AV134" i="6"/>
  <c r="AW134" i="6"/>
  <c r="AX134" i="6"/>
  <c r="AY134" i="6"/>
  <c r="AZ134" i="6"/>
  <c r="BA134" i="6"/>
  <c r="BB134" i="6"/>
  <c r="BC134" i="6"/>
  <c r="BD134" i="6"/>
  <c r="BE134" i="6"/>
  <c r="BF134" i="6"/>
  <c r="BG134" i="6"/>
  <c r="BH134" i="6"/>
  <c r="AV135" i="6"/>
  <c r="AW135" i="6"/>
  <c r="AX135" i="6"/>
  <c r="AY135" i="6"/>
  <c r="AZ135" i="6"/>
  <c r="BA135" i="6"/>
  <c r="BB135" i="6"/>
  <c r="BC135" i="6"/>
  <c r="BD135" i="6"/>
  <c r="BE135" i="6"/>
  <c r="BF135" i="6"/>
  <c r="BG135" i="6"/>
  <c r="BH135" i="6"/>
  <c r="AV136" i="6"/>
  <c r="AW136" i="6"/>
  <c r="AX136" i="6"/>
  <c r="AY136" i="6"/>
  <c r="AZ136" i="6"/>
  <c r="BA136" i="6"/>
  <c r="BB136" i="6"/>
  <c r="BC136" i="6"/>
  <c r="BD136" i="6"/>
  <c r="BE136" i="6"/>
  <c r="BF136" i="6"/>
  <c r="BG136" i="6"/>
  <c r="BH136" i="6"/>
  <c r="AV137" i="6"/>
  <c r="AW137" i="6"/>
  <c r="AX137" i="6"/>
  <c r="AY137" i="6"/>
  <c r="AZ137" i="6"/>
  <c r="BA137" i="6"/>
  <c r="BB137" i="6"/>
  <c r="BC137" i="6"/>
  <c r="BD137" i="6"/>
  <c r="BE137" i="6"/>
  <c r="BF137" i="6"/>
  <c r="BG137" i="6"/>
  <c r="BH137" i="6"/>
  <c r="AV138" i="6"/>
  <c r="AW138" i="6"/>
  <c r="AX138" i="6"/>
  <c r="AY138" i="6"/>
  <c r="AZ138" i="6"/>
  <c r="BA138" i="6"/>
  <c r="BB138" i="6"/>
  <c r="BC138" i="6"/>
  <c r="BD138" i="6"/>
  <c r="BE138" i="6"/>
  <c r="BF138" i="6"/>
  <c r="BG138" i="6"/>
  <c r="BH138" i="6"/>
  <c r="AV139" i="6"/>
  <c r="AW139" i="6"/>
  <c r="AX139" i="6"/>
  <c r="AY139" i="6"/>
  <c r="AZ139" i="6"/>
  <c r="BA139" i="6"/>
  <c r="BB139" i="6"/>
  <c r="BC139" i="6"/>
  <c r="BD139" i="6"/>
  <c r="BE139" i="6"/>
  <c r="BF139" i="6"/>
  <c r="BG139" i="6"/>
  <c r="BH139" i="6"/>
  <c r="AV140" i="6"/>
  <c r="AW140" i="6"/>
  <c r="AX140" i="6"/>
  <c r="AY140" i="6"/>
  <c r="AZ140" i="6"/>
  <c r="BA140" i="6"/>
  <c r="BB140" i="6"/>
  <c r="BC140" i="6"/>
  <c r="BD140" i="6"/>
  <c r="BE140" i="6"/>
  <c r="BF140" i="6"/>
  <c r="BG140" i="6"/>
  <c r="BH140" i="6"/>
  <c r="AV141" i="6"/>
  <c r="AW141" i="6"/>
  <c r="AX141" i="6"/>
  <c r="AY141" i="6"/>
  <c r="AZ141" i="6"/>
  <c r="BA141" i="6"/>
  <c r="BB141" i="6"/>
  <c r="BC141" i="6"/>
  <c r="BD141" i="6"/>
  <c r="BE141" i="6"/>
  <c r="BF141" i="6"/>
  <c r="BG141" i="6"/>
  <c r="BH141" i="6"/>
  <c r="AV142" i="6"/>
  <c r="AW142" i="6"/>
  <c r="AX142" i="6"/>
  <c r="AY142" i="6"/>
  <c r="AZ142" i="6"/>
  <c r="BA142" i="6"/>
  <c r="BB142" i="6"/>
  <c r="BC142" i="6"/>
  <c r="BD142" i="6"/>
  <c r="BE142" i="6"/>
  <c r="BF142" i="6"/>
  <c r="BG142" i="6"/>
  <c r="BH142" i="6"/>
  <c r="AV143" i="6"/>
  <c r="AW143" i="6"/>
  <c r="AX143" i="6"/>
  <c r="AY143" i="6"/>
  <c r="AZ143" i="6"/>
  <c r="BA143" i="6"/>
  <c r="BB143" i="6"/>
  <c r="BC143" i="6"/>
  <c r="BD143" i="6"/>
  <c r="BE143" i="6"/>
  <c r="BF143" i="6"/>
  <c r="BG143" i="6"/>
  <c r="BH143" i="6"/>
  <c r="AV144" i="6"/>
  <c r="AW144" i="6"/>
  <c r="AX144" i="6"/>
  <c r="AY144" i="6"/>
  <c r="AZ144" i="6"/>
  <c r="BA144" i="6"/>
  <c r="BB144" i="6"/>
  <c r="BC144" i="6"/>
  <c r="BD144" i="6"/>
  <c r="BE144" i="6"/>
  <c r="BF144" i="6"/>
  <c r="BG144" i="6"/>
  <c r="BH144" i="6"/>
  <c r="AV145" i="6"/>
  <c r="AW145" i="6"/>
  <c r="AX145" i="6"/>
  <c r="AY145" i="6"/>
  <c r="AZ145" i="6"/>
  <c r="BA145" i="6"/>
  <c r="BB145" i="6"/>
  <c r="BC145" i="6"/>
  <c r="BD145" i="6"/>
  <c r="BE145" i="6"/>
  <c r="BF145" i="6"/>
  <c r="BG145" i="6"/>
  <c r="BH145" i="6"/>
  <c r="AV146" i="6"/>
  <c r="AW146" i="6"/>
  <c r="AX146" i="6"/>
  <c r="AY146" i="6"/>
  <c r="AZ146" i="6"/>
  <c r="BA146" i="6"/>
  <c r="BB146" i="6"/>
  <c r="BC146" i="6"/>
  <c r="BD146" i="6"/>
  <c r="BE146" i="6"/>
  <c r="BF146" i="6"/>
  <c r="BG146" i="6"/>
  <c r="BH146" i="6"/>
  <c r="AV147" i="6"/>
  <c r="AW147" i="6"/>
  <c r="AX147" i="6"/>
  <c r="AY147" i="6"/>
  <c r="AZ147" i="6"/>
  <c r="BA147" i="6"/>
  <c r="BB147" i="6"/>
  <c r="BC147" i="6"/>
  <c r="BD147" i="6"/>
  <c r="BE147" i="6"/>
  <c r="BF147" i="6"/>
  <c r="BG147" i="6"/>
  <c r="BH147" i="6"/>
  <c r="AV148" i="6"/>
  <c r="AW148" i="6"/>
  <c r="AX148" i="6"/>
  <c r="AY148" i="6"/>
  <c r="AZ148" i="6"/>
  <c r="BA148" i="6"/>
  <c r="BB148" i="6"/>
  <c r="BC148" i="6"/>
  <c r="BD148" i="6"/>
  <c r="BE148" i="6"/>
  <c r="BF148" i="6"/>
  <c r="BG148" i="6"/>
  <c r="BH148" i="6"/>
  <c r="AV149" i="6"/>
  <c r="AW149" i="6"/>
  <c r="AX149" i="6"/>
  <c r="AY149" i="6"/>
  <c r="AZ149" i="6"/>
  <c r="BA149" i="6"/>
  <c r="BB149" i="6"/>
  <c r="BC149" i="6"/>
  <c r="BD149" i="6"/>
  <c r="BE149" i="6"/>
  <c r="BF149" i="6"/>
  <c r="BG149" i="6"/>
  <c r="BH149" i="6"/>
  <c r="AV150" i="6"/>
  <c r="AW150" i="6"/>
  <c r="AX150" i="6"/>
  <c r="AY150" i="6"/>
  <c r="AZ150" i="6"/>
  <c r="BA150" i="6"/>
  <c r="BB150" i="6"/>
  <c r="BC150" i="6"/>
  <c r="BD150" i="6"/>
  <c r="BE150" i="6"/>
  <c r="BF150" i="6"/>
  <c r="BG150" i="6"/>
  <c r="BH150" i="6"/>
  <c r="AV151" i="6"/>
  <c r="AW151" i="6"/>
  <c r="AX151" i="6"/>
  <c r="AY151" i="6"/>
  <c r="AZ151" i="6"/>
  <c r="BA151" i="6"/>
  <c r="BB151" i="6"/>
  <c r="BC151" i="6"/>
  <c r="BD151" i="6"/>
  <c r="BE151" i="6"/>
  <c r="BF151" i="6"/>
  <c r="BG151" i="6"/>
  <c r="BH151" i="6"/>
  <c r="AV152" i="6"/>
  <c r="AW152" i="6"/>
  <c r="AX152" i="6"/>
  <c r="AY152" i="6"/>
  <c r="AZ152" i="6"/>
  <c r="BA152" i="6"/>
  <c r="BB152" i="6"/>
  <c r="BC152" i="6"/>
  <c r="BD152" i="6"/>
  <c r="BE152" i="6"/>
  <c r="BF152" i="6"/>
  <c r="BG152" i="6"/>
  <c r="BH152" i="6"/>
  <c r="AV153" i="6"/>
  <c r="AW153" i="6"/>
  <c r="AX153" i="6"/>
  <c r="AY153" i="6"/>
  <c r="AZ153" i="6"/>
  <c r="BA153" i="6"/>
  <c r="BB153" i="6"/>
  <c r="BC153" i="6"/>
  <c r="BD153" i="6"/>
  <c r="BE153" i="6"/>
  <c r="BF153" i="6"/>
  <c r="BG153" i="6"/>
  <c r="BH153" i="6"/>
  <c r="AV154" i="6"/>
  <c r="AW154" i="6"/>
  <c r="AX154" i="6"/>
  <c r="AY154" i="6"/>
  <c r="AZ154" i="6"/>
  <c r="BA154" i="6"/>
  <c r="BB154" i="6"/>
  <c r="BC154" i="6"/>
  <c r="BD154" i="6"/>
  <c r="BE154" i="6"/>
  <c r="BF154" i="6"/>
  <c r="BG154" i="6"/>
  <c r="BH154" i="6"/>
  <c r="AV155" i="6"/>
  <c r="AW155" i="6"/>
  <c r="AX155" i="6"/>
  <c r="AY155" i="6"/>
  <c r="AZ155" i="6"/>
  <c r="BA155" i="6"/>
  <c r="BB155" i="6"/>
  <c r="BC155" i="6"/>
  <c r="BD155" i="6"/>
  <c r="BE155" i="6"/>
  <c r="BF155" i="6"/>
  <c r="BG155" i="6"/>
  <c r="BH155" i="6"/>
  <c r="AV156" i="6"/>
  <c r="AW156" i="6"/>
  <c r="AX156" i="6"/>
  <c r="AY156" i="6"/>
  <c r="AZ156" i="6"/>
  <c r="BA156" i="6"/>
  <c r="BB156" i="6"/>
  <c r="BC156" i="6"/>
  <c r="BD156" i="6"/>
  <c r="BE156" i="6"/>
  <c r="BF156" i="6"/>
  <c r="BG156" i="6"/>
  <c r="BH156" i="6"/>
  <c r="AV157" i="6"/>
  <c r="AW157" i="6"/>
  <c r="AX157" i="6"/>
  <c r="AY157" i="6"/>
  <c r="AZ157" i="6"/>
  <c r="BA157" i="6"/>
  <c r="BB157" i="6"/>
  <c r="BC157" i="6"/>
  <c r="BD157" i="6"/>
  <c r="BE157" i="6"/>
  <c r="BF157" i="6"/>
  <c r="BG157" i="6"/>
  <c r="BH157" i="6"/>
  <c r="AV158" i="6"/>
  <c r="AW158" i="6"/>
  <c r="AX158" i="6"/>
  <c r="AY158" i="6"/>
  <c r="AZ158" i="6"/>
  <c r="BA158" i="6"/>
  <c r="BB158" i="6"/>
  <c r="BC158" i="6"/>
  <c r="BD158" i="6"/>
  <c r="BE158" i="6"/>
  <c r="BF158" i="6"/>
  <c r="BG158" i="6"/>
  <c r="BH158" i="6"/>
  <c r="AV159" i="6"/>
  <c r="AW159" i="6"/>
  <c r="AX159" i="6"/>
  <c r="AY159" i="6"/>
  <c r="AZ159" i="6"/>
  <c r="BA159" i="6"/>
  <c r="BB159" i="6"/>
  <c r="BC159" i="6"/>
  <c r="BD159" i="6"/>
  <c r="BE159" i="6"/>
  <c r="BF159" i="6"/>
  <c r="BG159" i="6"/>
  <c r="BH159" i="6"/>
  <c r="AV160" i="6"/>
  <c r="AW160" i="6"/>
  <c r="AX160" i="6"/>
  <c r="AY160" i="6"/>
  <c r="AZ160" i="6"/>
  <c r="BA160" i="6"/>
  <c r="BB160" i="6"/>
  <c r="BC160" i="6"/>
  <c r="BD160" i="6"/>
  <c r="BE160" i="6"/>
  <c r="BF160" i="6"/>
  <c r="BG160" i="6"/>
  <c r="BH160" i="6"/>
  <c r="AV161" i="6"/>
  <c r="AW161" i="6"/>
  <c r="AX161" i="6"/>
  <c r="AY161" i="6"/>
  <c r="AZ161" i="6"/>
  <c r="BA161" i="6"/>
  <c r="BB161" i="6"/>
  <c r="BC161" i="6"/>
  <c r="BD161" i="6"/>
  <c r="BE161" i="6"/>
  <c r="BF161" i="6"/>
  <c r="BG161" i="6"/>
  <c r="BH161" i="6"/>
  <c r="AV162" i="6"/>
  <c r="AW162" i="6"/>
  <c r="AX162" i="6"/>
  <c r="AY162" i="6"/>
  <c r="AZ162" i="6"/>
  <c r="BA162" i="6"/>
  <c r="BB162" i="6"/>
  <c r="BC162" i="6"/>
  <c r="BD162" i="6"/>
  <c r="BE162" i="6"/>
  <c r="BF162" i="6"/>
  <c r="BG162" i="6"/>
  <c r="BH162" i="6"/>
  <c r="AV163" i="6"/>
  <c r="AW163" i="6"/>
  <c r="AX163" i="6"/>
  <c r="AY163" i="6"/>
  <c r="AZ163" i="6"/>
  <c r="BA163" i="6"/>
  <c r="BB163" i="6"/>
  <c r="BC163" i="6"/>
  <c r="BD163" i="6"/>
  <c r="BE163" i="6"/>
  <c r="BF163" i="6"/>
  <c r="BG163" i="6"/>
  <c r="BH163" i="6"/>
  <c r="AV164" i="6"/>
  <c r="AW164" i="6"/>
  <c r="AX164" i="6"/>
  <c r="AY164" i="6"/>
  <c r="AZ164" i="6"/>
  <c r="BA164" i="6"/>
  <c r="BB164" i="6"/>
  <c r="BC164" i="6"/>
  <c r="BD164" i="6"/>
  <c r="BE164" i="6"/>
  <c r="BF164" i="6"/>
  <c r="BG164" i="6"/>
  <c r="BH164" i="6"/>
  <c r="AV165" i="6"/>
  <c r="AW165" i="6"/>
  <c r="AX165" i="6"/>
  <c r="AY165" i="6"/>
  <c r="AZ165" i="6"/>
  <c r="BA165" i="6"/>
  <c r="BB165" i="6"/>
  <c r="BC165" i="6"/>
  <c r="BD165" i="6"/>
  <c r="BE165" i="6"/>
  <c r="BF165" i="6"/>
  <c r="BG165" i="6"/>
  <c r="BH165" i="6"/>
  <c r="AV166" i="6"/>
  <c r="AW166" i="6"/>
  <c r="AX166" i="6"/>
  <c r="AY166" i="6"/>
  <c r="AZ166" i="6"/>
  <c r="BA166" i="6"/>
  <c r="BB166" i="6"/>
  <c r="BC166" i="6"/>
  <c r="BD166" i="6"/>
  <c r="BE166" i="6"/>
  <c r="BF166" i="6"/>
  <c r="BG166" i="6"/>
  <c r="BH166" i="6"/>
  <c r="AV167" i="6"/>
  <c r="AW167" i="6"/>
  <c r="AX167" i="6"/>
  <c r="AY167" i="6"/>
  <c r="AZ167" i="6"/>
  <c r="BA167" i="6"/>
  <c r="BB167" i="6"/>
  <c r="BC167" i="6"/>
  <c r="BD167" i="6"/>
  <c r="BE167" i="6"/>
  <c r="BF167" i="6"/>
  <c r="BG167" i="6"/>
  <c r="BH167" i="6"/>
  <c r="AV168" i="6"/>
  <c r="AW168" i="6"/>
  <c r="AX168" i="6"/>
  <c r="AY168" i="6"/>
  <c r="AZ168" i="6"/>
  <c r="BA168" i="6"/>
  <c r="BB168" i="6"/>
  <c r="BC168" i="6"/>
  <c r="BD168" i="6"/>
  <c r="BE168" i="6"/>
  <c r="BF168" i="6"/>
  <c r="BG168" i="6"/>
  <c r="BH168" i="6"/>
  <c r="AV169" i="6"/>
  <c r="AW169" i="6"/>
  <c r="AX169" i="6"/>
  <c r="AY169" i="6"/>
  <c r="AZ169" i="6"/>
  <c r="BA169" i="6"/>
  <c r="BB169" i="6"/>
  <c r="BC169" i="6"/>
  <c r="BD169" i="6"/>
  <c r="BE169" i="6"/>
  <c r="BF169" i="6"/>
  <c r="BG169" i="6"/>
  <c r="BH169" i="6"/>
  <c r="AV170" i="6"/>
  <c r="AW170" i="6"/>
  <c r="AX170" i="6"/>
  <c r="AY170" i="6"/>
  <c r="AZ170" i="6"/>
  <c r="BA170" i="6"/>
  <c r="BB170" i="6"/>
  <c r="BC170" i="6"/>
  <c r="BD170" i="6"/>
  <c r="BE170" i="6"/>
  <c r="BF170" i="6"/>
  <c r="BG170" i="6"/>
  <c r="BH170" i="6"/>
  <c r="AV171" i="6"/>
  <c r="AW171" i="6"/>
  <c r="AX171" i="6"/>
  <c r="AY171" i="6"/>
  <c r="AZ171" i="6"/>
  <c r="BA171" i="6"/>
  <c r="BB171" i="6"/>
  <c r="BC171" i="6"/>
  <c r="BD171" i="6"/>
  <c r="BE171" i="6"/>
  <c r="BF171" i="6"/>
  <c r="BG171" i="6"/>
  <c r="BH171" i="6"/>
  <c r="AV172" i="6"/>
  <c r="AW172" i="6"/>
  <c r="AX172" i="6"/>
  <c r="AY172" i="6"/>
  <c r="AZ172" i="6"/>
  <c r="BA172" i="6"/>
  <c r="BB172" i="6"/>
  <c r="BC172" i="6"/>
  <c r="BD172" i="6"/>
  <c r="BE172" i="6"/>
  <c r="BF172" i="6"/>
  <c r="BG172" i="6"/>
  <c r="BH172" i="6"/>
  <c r="AV173" i="6"/>
  <c r="AW173" i="6"/>
  <c r="AX173" i="6"/>
  <c r="AY173" i="6"/>
  <c r="AZ173" i="6"/>
  <c r="BA173" i="6"/>
  <c r="BB173" i="6"/>
  <c r="BC173" i="6"/>
  <c r="BD173" i="6"/>
  <c r="BE173" i="6"/>
  <c r="BF173" i="6"/>
  <c r="BG173" i="6"/>
  <c r="BH173" i="6"/>
  <c r="AV174" i="6"/>
  <c r="AW174" i="6"/>
  <c r="AX174" i="6"/>
  <c r="AY174" i="6"/>
  <c r="AZ174" i="6"/>
  <c r="BA174" i="6"/>
  <c r="BB174" i="6"/>
  <c r="BC174" i="6"/>
  <c r="BD174" i="6"/>
  <c r="BE174" i="6"/>
  <c r="BF174" i="6"/>
  <c r="BG174" i="6"/>
  <c r="BH174" i="6"/>
  <c r="AV175" i="6"/>
  <c r="AW175" i="6"/>
  <c r="AX175" i="6"/>
  <c r="AY175" i="6"/>
  <c r="AZ175" i="6"/>
  <c r="BA175" i="6"/>
  <c r="BB175" i="6"/>
  <c r="BC175" i="6"/>
  <c r="BD175" i="6"/>
  <c r="BE175" i="6"/>
  <c r="BF175" i="6"/>
  <c r="BG175" i="6"/>
  <c r="BH175" i="6"/>
  <c r="AV176" i="6"/>
  <c r="AW176" i="6"/>
  <c r="AX176" i="6"/>
  <c r="AY176" i="6"/>
  <c r="AZ176" i="6"/>
  <c r="BA176" i="6"/>
  <c r="BB176" i="6"/>
  <c r="BC176" i="6"/>
  <c r="BD176" i="6"/>
  <c r="BE176" i="6"/>
  <c r="BF176" i="6"/>
  <c r="BG176" i="6"/>
  <c r="BH176" i="6"/>
  <c r="AV177" i="6"/>
  <c r="AW177" i="6"/>
  <c r="AX177" i="6"/>
  <c r="AY177" i="6"/>
  <c r="AZ177" i="6"/>
  <c r="BA177" i="6"/>
  <c r="BB177" i="6"/>
  <c r="BC177" i="6"/>
  <c r="BD177" i="6"/>
  <c r="BE177" i="6"/>
  <c r="BF177" i="6"/>
  <c r="BG177" i="6"/>
  <c r="BH177" i="6"/>
  <c r="AV178" i="6"/>
  <c r="AW178" i="6"/>
  <c r="AX178" i="6"/>
  <c r="AY178" i="6"/>
  <c r="AZ178" i="6"/>
  <c r="BA178" i="6"/>
  <c r="BB178" i="6"/>
  <c r="BC178" i="6"/>
  <c r="BD178" i="6"/>
  <c r="BE178" i="6"/>
  <c r="BF178" i="6"/>
  <c r="BG178" i="6"/>
  <c r="BH178" i="6"/>
  <c r="AV179" i="6"/>
  <c r="AW179" i="6"/>
  <c r="AX179" i="6"/>
  <c r="AY179" i="6"/>
  <c r="AZ179" i="6"/>
  <c r="BA179" i="6"/>
  <c r="BB179" i="6"/>
  <c r="BC179" i="6"/>
  <c r="BD179" i="6"/>
  <c r="BE179" i="6"/>
  <c r="BF179" i="6"/>
  <c r="BG179" i="6"/>
  <c r="BH179" i="6"/>
  <c r="AV180" i="6"/>
  <c r="AW180" i="6"/>
  <c r="AX180" i="6"/>
  <c r="AY180" i="6"/>
  <c r="AZ180" i="6"/>
  <c r="BA180" i="6"/>
  <c r="BB180" i="6"/>
  <c r="BC180" i="6"/>
  <c r="BD180" i="6"/>
  <c r="BE180" i="6"/>
  <c r="BF180" i="6"/>
  <c r="BG180" i="6"/>
  <c r="BH180" i="6"/>
  <c r="AV181" i="6"/>
  <c r="AW181" i="6"/>
  <c r="AX181" i="6"/>
  <c r="AY181" i="6"/>
  <c r="AZ181" i="6"/>
  <c r="BA181" i="6"/>
  <c r="BB181" i="6"/>
  <c r="BC181" i="6"/>
  <c r="BD181" i="6"/>
  <c r="BE181" i="6"/>
  <c r="BF181" i="6"/>
  <c r="BG181" i="6"/>
  <c r="BH181" i="6"/>
  <c r="AV182" i="6"/>
  <c r="AW182" i="6"/>
  <c r="AX182" i="6"/>
  <c r="AY182" i="6"/>
  <c r="AZ182" i="6"/>
  <c r="BA182" i="6"/>
  <c r="BB182" i="6"/>
  <c r="BC182" i="6"/>
  <c r="BD182" i="6"/>
  <c r="BE182" i="6"/>
  <c r="BF182" i="6"/>
  <c r="BG182" i="6"/>
  <c r="BH182" i="6"/>
  <c r="AV183" i="6"/>
  <c r="AW183" i="6"/>
  <c r="AX183" i="6"/>
  <c r="AY183" i="6"/>
  <c r="AZ183" i="6"/>
  <c r="BA183" i="6"/>
  <c r="BB183" i="6"/>
  <c r="BC183" i="6"/>
  <c r="BD183" i="6"/>
  <c r="BE183" i="6"/>
  <c r="BF183" i="6"/>
  <c r="BG183" i="6"/>
  <c r="BH183" i="6"/>
  <c r="AV184" i="6"/>
  <c r="AW184" i="6"/>
  <c r="AX184" i="6"/>
  <c r="AY184" i="6"/>
  <c r="AZ184" i="6"/>
  <c r="BA184" i="6"/>
  <c r="BB184" i="6"/>
  <c r="BC184" i="6"/>
  <c r="BD184" i="6"/>
  <c r="BE184" i="6"/>
  <c r="BF184" i="6"/>
  <c r="BG184" i="6"/>
  <c r="BH184" i="6"/>
  <c r="AV185" i="6"/>
  <c r="AW185" i="6"/>
  <c r="AX185" i="6"/>
  <c r="AY185" i="6"/>
  <c r="AZ185" i="6"/>
  <c r="BA185" i="6"/>
  <c r="BB185" i="6"/>
  <c r="BC185" i="6"/>
  <c r="BD185" i="6"/>
  <c r="BE185" i="6"/>
  <c r="BF185" i="6"/>
  <c r="BG185" i="6"/>
  <c r="BH185" i="6"/>
  <c r="AV186" i="6"/>
  <c r="AW186" i="6"/>
  <c r="AX186" i="6"/>
  <c r="AY186" i="6"/>
  <c r="AZ186" i="6"/>
  <c r="BA186" i="6"/>
  <c r="BB186" i="6"/>
  <c r="BC186" i="6"/>
  <c r="BD186" i="6"/>
  <c r="BE186" i="6"/>
  <c r="BF186" i="6"/>
  <c r="BG186" i="6"/>
  <c r="BH186" i="6"/>
  <c r="AV187" i="6"/>
  <c r="AW187" i="6"/>
  <c r="AX187" i="6"/>
  <c r="AY187" i="6"/>
  <c r="AZ187" i="6"/>
  <c r="BA187" i="6"/>
  <c r="BB187" i="6"/>
  <c r="BC187" i="6"/>
  <c r="BD187" i="6"/>
  <c r="BE187" i="6"/>
  <c r="BF187" i="6"/>
  <c r="BG187" i="6"/>
  <c r="BH187" i="6"/>
  <c r="AV188" i="6"/>
  <c r="AW188" i="6"/>
  <c r="AX188" i="6"/>
  <c r="AY188" i="6"/>
  <c r="AZ188" i="6"/>
  <c r="BA188" i="6"/>
  <c r="BB188" i="6"/>
  <c r="BC188" i="6"/>
  <c r="BD188" i="6"/>
  <c r="BE188" i="6"/>
  <c r="BF188" i="6"/>
  <c r="BG188" i="6"/>
  <c r="BH188" i="6"/>
  <c r="AV189" i="6"/>
  <c r="AW189" i="6"/>
  <c r="AX189" i="6"/>
  <c r="AY189" i="6"/>
  <c r="AZ189" i="6"/>
  <c r="BA189" i="6"/>
  <c r="BB189" i="6"/>
  <c r="BC189" i="6"/>
  <c r="BD189" i="6"/>
  <c r="BE189" i="6"/>
  <c r="BF189" i="6"/>
  <c r="BG189" i="6"/>
  <c r="BH189" i="6"/>
  <c r="AV190" i="6"/>
  <c r="AW190" i="6"/>
  <c r="AX190" i="6"/>
  <c r="AY190" i="6"/>
  <c r="AZ190" i="6"/>
  <c r="BA190" i="6"/>
  <c r="BB190" i="6"/>
  <c r="BC190" i="6"/>
  <c r="BD190" i="6"/>
  <c r="BE190" i="6"/>
  <c r="BF190" i="6"/>
  <c r="BG190" i="6"/>
  <c r="BH190" i="6"/>
  <c r="AV191" i="6"/>
  <c r="AW191" i="6"/>
  <c r="AX191" i="6"/>
  <c r="AY191" i="6"/>
  <c r="AZ191" i="6"/>
  <c r="BA191" i="6"/>
  <c r="BB191" i="6"/>
  <c r="BC191" i="6"/>
  <c r="BD191" i="6"/>
  <c r="BE191" i="6"/>
  <c r="BF191" i="6"/>
  <c r="BG191" i="6"/>
  <c r="BH191" i="6"/>
  <c r="AV192" i="6"/>
  <c r="AW192" i="6"/>
  <c r="AX192" i="6"/>
  <c r="AY192" i="6"/>
  <c r="AZ192" i="6"/>
  <c r="BA192" i="6"/>
  <c r="BB192" i="6"/>
  <c r="BC192" i="6"/>
  <c r="BD192" i="6"/>
  <c r="BE192" i="6"/>
  <c r="BF192" i="6"/>
  <c r="BG192" i="6"/>
  <c r="BH192" i="6"/>
  <c r="AV193" i="6"/>
  <c r="AW193" i="6"/>
  <c r="AX193" i="6"/>
  <c r="AY193" i="6"/>
  <c r="AZ193" i="6"/>
  <c r="BA193" i="6"/>
  <c r="BB193" i="6"/>
  <c r="BC193" i="6"/>
  <c r="BD193" i="6"/>
  <c r="BE193" i="6"/>
  <c r="BF193" i="6"/>
  <c r="BG193" i="6"/>
  <c r="BH193" i="6"/>
  <c r="AV194" i="6"/>
  <c r="AW194" i="6"/>
  <c r="AX194" i="6"/>
  <c r="AY194" i="6"/>
  <c r="AZ194" i="6"/>
  <c r="BA194" i="6"/>
  <c r="BB194" i="6"/>
  <c r="BC194" i="6"/>
  <c r="BD194" i="6"/>
  <c r="BE194" i="6"/>
  <c r="BF194" i="6"/>
  <c r="BG194" i="6"/>
  <c r="BH194" i="6"/>
  <c r="AV195" i="6"/>
  <c r="AW195" i="6"/>
  <c r="AX195" i="6"/>
  <c r="AY195" i="6"/>
  <c r="AZ195" i="6"/>
  <c r="BA195" i="6"/>
  <c r="BB195" i="6"/>
  <c r="BC195" i="6"/>
  <c r="BD195" i="6"/>
  <c r="BE195" i="6"/>
  <c r="BF195" i="6"/>
  <c r="BG195" i="6"/>
  <c r="BH195" i="6"/>
  <c r="AV196" i="6"/>
  <c r="AW196" i="6"/>
  <c r="AX196" i="6"/>
  <c r="AY196" i="6"/>
  <c r="AZ196" i="6"/>
  <c r="BA196" i="6"/>
  <c r="BB196" i="6"/>
  <c r="BC196" i="6"/>
  <c r="BD196" i="6"/>
  <c r="BE196" i="6"/>
  <c r="BF196" i="6"/>
  <c r="BG196" i="6"/>
  <c r="BH196" i="6"/>
  <c r="AV197" i="6"/>
  <c r="AW197" i="6"/>
  <c r="AX197" i="6"/>
  <c r="AY197" i="6"/>
  <c r="AZ197" i="6"/>
  <c r="BA197" i="6"/>
  <c r="BB197" i="6"/>
  <c r="BC197" i="6"/>
  <c r="BD197" i="6"/>
  <c r="BE197" i="6"/>
  <c r="BF197" i="6"/>
  <c r="BG197" i="6"/>
  <c r="BH197" i="6"/>
  <c r="AV198" i="6"/>
  <c r="AW198" i="6"/>
  <c r="AX198" i="6"/>
  <c r="AY198" i="6"/>
  <c r="AZ198" i="6"/>
  <c r="BA198" i="6"/>
  <c r="BB198" i="6"/>
  <c r="BC198" i="6"/>
  <c r="BD198" i="6"/>
  <c r="BE198" i="6"/>
  <c r="BF198" i="6"/>
  <c r="BG198" i="6"/>
  <c r="BH198" i="6"/>
  <c r="AV199" i="6"/>
  <c r="AW199" i="6"/>
  <c r="AX199" i="6"/>
  <c r="AY199" i="6"/>
  <c r="AZ199" i="6"/>
  <c r="BA199" i="6"/>
  <c r="BB199" i="6"/>
  <c r="BC199" i="6"/>
  <c r="BD199" i="6"/>
  <c r="BE199" i="6"/>
  <c r="BF199" i="6"/>
  <c r="BG199" i="6"/>
  <c r="BH199" i="6"/>
  <c r="AV200" i="6"/>
  <c r="AW200" i="6"/>
  <c r="AX200" i="6"/>
  <c r="AY200" i="6"/>
  <c r="AZ200" i="6"/>
  <c r="BA200" i="6"/>
  <c r="BB200" i="6"/>
  <c r="BC200" i="6"/>
  <c r="BD200" i="6"/>
  <c r="BE200" i="6"/>
  <c r="BF200" i="6"/>
  <c r="BG200" i="6"/>
  <c r="BH200" i="6"/>
  <c r="AV201" i="6"/>
  <c r="AW201" i="6"/>
  <c r="AX201" i="6"/>
  <c r="AY201" i="6"/>
  <c r="AZ201" i="6"/>
  <c r="BA201" i="6"/>
  <c r="BB201" i="6"/>
  <c r="BC201" i="6"/>
  <c r="BD201" i="6"/>
  <c r="BE201" i="6"/>
  <c r="BF201" i="6"/>
  <c r="BG201" i="6"/>
  <c r="BH201" i="6"/>
  <c r="AV202" i="6"/>
  <c r="AW202" i="6"/>
  <c r="AX202" i="6"/>
  <c r="AY202" i="6"/>
  <c r="AZ202" i="6"/>
  <c r="BA202" i="6"/>
  <c r="BB202" i="6"/>
  <c r="BC202" i="6"/>
  <c r="BD202" i="6"/>
  <c r="BE202" i="6"/>
  <c r="BF202" i="6"/>
  <c r="BG202" i="6"/>
  <c r="BH202" i="6"/>
  <c r="AV203" i="6"/>
  <c r="AW203" i="6"/>
  <c r="AX203" i="6"/>
  <c r="AY203" i="6"/>
  <c r="AZ203" i="6"/>
  <c r="BA203" i="6"/>
  <c r="BB203" i="6"/>
  <c r="BC203" i="6"/>
  <c r="BD203" i="6"/>
  <c r="BE203" i="6"/>
  <c r="BF203" i="6"/>
  <c r="BG203" i="6"/>
  <c r="BH203" i="6"/>
  <c r="AV204" i="6"/>
  <c r="AW204" i="6"/>
  <c r="AX204" i="6"/>
  <c r="AY204" i="6"/>
  <c r="AZ204" i="6"/>
  <c r="BA204" i="6"/>
  <c r="BB204" i="6"/>
  <c r="BC204" i="6"/>
  <c r="BD204" i="6"/>
  <c r="BE204" i="6"/>
  <c r="BF204" i="6"/>
  <c r="BG204" i="6"/>
  <c r="BH204" i="6"/>
  <c r="AV205" i="6"/>
  <c r="AW205" i="6"/>
  <c r="AX205" i="6"/>
  <c r="AY205" i="6"/>
  <c r="AZ205" i="6"/>
  <c r="BA205" i="6"/>
  <c r="BB205" i="6"/>
  <c r="BC205" i="6"/>
  <c r="BD205" i="6"/>
  <c r="BE205" i="6"/>
  <c r="BF205" i="6"/>
  <c r="BG205" i="6"/>
  <c r="BH205" i="6"/>
  <c r="AV206" i="6"/>
  <c r="AW206" i="6"/>
  <c r="AX206" i="6"/>
  <c r="AY206" i="6"/>
  <c r="AZ206" i="6"/>
  <c r="BA206" i="6"/>
  <c r="BB206" i="6"/>
  <c r="BC206" i="6"/>
  <c r="BD206" i="6"/>
  <c r="BE206" i="6"/>
  <c r="BF206" i="6"/>
  <c r="BG206" i="6"/>
  <c r="BH206" i="6"/>
  <c r="AV207" i="6"/>
  <c r="AW207" i="6"/>
  <c r="AX207" i="6"/>
  <c r="AY207" i="6"/>
  <c r="AZ207" i="6"/>
  <c r="BA207" i="6"/>
  <c r="BB207" i="6"/>
  <c r="BC207" i="6"/>
  <c r="BD207" i="6"/>
  <c r="BE207" i="6"/>
  <c r="BF207" i="6"/>
  <c r="BG207" i="6"/>
  <c r="BH207" i="6"/>
  <c r="AV208" i="6"/>
  <c r="AW208" i="6"/>
  <c r="AX208" i="6"/>
  <c r="AY208" i="6"/>
  <c r="AZ208" i="6"/>
  <c r="BA208" i="6"/>
  <c r="BB208" i="6"/>
  <c r="BC208" i="6"/>
  <c r="BD208" i="6"/>
  <c r="BE208" i="6"/>
  <c r="BF208" i="6"/>
  <c r="BG208" i="6"/>
  <c r="BH208" i="6"/>
  <c r="AV209" i="6"/>
  <c r="AW209" i="6"/>
  <c r="AX209" i="6"/>
  <c r="AY209" i="6"/>
  <c r="AZ209" i="6"/>
  <c r="BA209" i="6"/>
  <c r="BB209" i="6"/>
  <c r="BC209" i="6"/>
  <c r="BD209" i="6"/>
  <c r="BE209" i="6"/>
  <c r="BF209" i="6"/>
  <c r="BG209" i="6"/>
  <c r="BH209" i="6"/>
  <c r="AV210" i="6"/>
  <c r="AW210" i="6"/>
  <c r="AX210" i="6"/>
  <c r="AY210" i="6"/>
  <c r="AZ210" i="6"/>
  <c r="BA210" i="6"/>
  <c r="BB210" i="6"/>
  <c r="BC210" i="6"/>
  <c r="BD210" i="6"/>
  <c r="BE210" i="6"/>
  <c r="BF210" i="6"/>
  <c r="BG210" i="6"/>
  <c r="BH210" i="6"/>
  <c r="AV211" i="6"/>
  <c r="AW211" i="6"/>
  <c r="AX211" i="6"/>
  <c r="AY211" i="6"/>
  <c r="AZ211" i="6"/>
  <c r="BA211" i="6"/>
  <c r="BB211" i="6"/>
  <c r="BC211" i="6"/>
  <c r="BD211" i="6"/>
  <c r="BE211" i="6"/>
  <c r="BF211" i="6"/>
  <c r="BG211" i="6"/>
  <c r="BH211" i="6"/>
  <c r="AV212" i="6"/>
  <c r="AW212" i="6"/>
  <c r="AX212" i="6"/>
  <c r="AY212" i="6"/>
  <c r="AZ212" i="6"/>
  <c r="BA212" i="6"/>
  <c r="BB212" i="6"/>
  <c r="BC212" i="6"/>
  <c r="BD212" i="6"/>
  <c r="BE212" i="6"/>
  <c r="BF212" i="6"/>
  <c r="BG212" i="6"/>
  <c r="BH212" i="6"/>
  <c r="AV213" i="6"/>
  <c r="AW213" i="6"/>
  <c r="AX213" i="6"/>
  <c r="AY213" i="6"/>
  <c r="AZ213" i="6"/>
  <c r="BA213" i="6"/>
  <c r="BB213" i="6"/>
  <c r="BC213" i="6"/>
  <c r="BD213" i="6"/>
  <c r="BE213" i="6"/>
  <c r="BF213" i="6"/>
  <c r="BG213" i="6"/>
  <c r="BH213" i="6"/>
  <c r="AV214" i="6"/>
  <c r="AW214" i="6"/>
  <c r="AX214" i="6"/>
  <c r="AY214" i="6"/>
  <c r="AZ214" i="6"/>
  <c r="BA214" i="6"/>
  <c r="BB214" i="6"/>
  <c r="BC214" i="6"/>
  <c r="BD214" i="6"/>
  <c r="BE214" i="6"/>
  <c r="BF214" i="6"/>
  <c r="BG214" i="6"/>
  <c r="BH214" i="6"/>
  <c r="AV215" i="6"/>
  <c r="AW215" i="6"/>
  <c r="AX215" i="6"/>
  <c r="AY215" i="6"/>
  <c r="AZ215" i="6"/>
  <c r="BA215" i="6"/>
  <c r="BB215" i="6"/>
  <c r="BC215" i="6"/>
  <c r="BD215" i="6"/>
  <c r="BE215" i="6"/>
  <c r="BF215" i="6"/>
  <c r="BG215" i="6"/>
  <c r="BH215" i="6"/>
  <c r="AV216" i="6"/>
  <c r="AW216" i="6"/>
  <c r="AX216" i="6"/>
  <c r="AY216" i="6"/>
  <c r="AZ216" i="6"/>
  <c r="BA216" i="6"/>
  <c r="BB216" i="6"/>
  <c r="BC216" i="6"/>
  <c r="BD216" i="6"/>
  <c r="BE216" i="6"/>
  <c r="BF216" i="6"/>
  <c r="BG216" i="6"/>
  <c r="BH216" i="6"/>
  <c r="AV217" i="6"/>
  <c r="AW217" i="6"/>
  <c r="AX217" i="6"/>
  <c r="AY217" i="6"/>
  <c r="AZ217" i="6"/>
  <c r="BA217" i="6"/>
  <c r="BB217" i="6"/>
  <c r="BC217" i="6"/>
  <c r="BD217" i="6"/>
  <c r="BE217" i="6"/>
  <c r="BF217" i="6"/>
  <c r="BG217" i="6"/>
  <c r="BH217" i="6"/>
  <c r="AV218" i="6"/>
  <c r="AW218" i="6"/>
  <c r="AX218" i="6"/>
  <c r="AY218" i="6"/>
  <c r="AZ218" i="6"/>
  <c r="BA218" i="6"/>
  <c r="BB218" i="6"/>
  <c r="BC218" i="6"/>
  <c r="BD218" i="6"/>
  <c r="BE218" i="6"/>
  <c r="BF218" i="6"/>
  <c r="BG218" i="6"/>
  <c r="BH218" i="6"/>
  <c r="AV219" i="6"/>
  <c r="AW219" i="6"/>
  <c r="AX219" i="6"/>
  <c r="AY219" i="6"/>
  <c r="AZ219" i="6"/>
  <c r="BA219" i="6"/>
  <c r="BB219" i="6"/>
  <c r="BC219" i="6"/>
  <c r="BD219" i="6"/>
  <c r="BE219" i="6"/>
  <c r="BF219" i="6"/>
  <c r="BG219" i="6"/>
  <c r="BH219" i="6"/>
  <c r="AV220" i="6"/>
  <c r="AW220" i="6"/>
  <c r="AX220" i="6"/>
  <c r="AY220" i="6"/>
  <c r="AZ220" i="6"/>
  <c r="BA220" i="6"/>
  <c r="BB220" i="6"/>
  <c r="BC220" i="6"/>
  <c r="BD220" i="6"/>
  <c r="BE220" i="6"/>
  <c r="BF220" i="6"/>
  <c r="BG220" i="6"/>
  <c r="BH220" i="6"/>
  <c r="AV221" i="6"/>
  <c r="AW221" i="6"/>
  <c r="AX221" i="6"/>
  <c r="AY221" i="6"/>
  <c r="AZ221" i="6"/>
  <c r="BA221" i="6"/>
  <c r="BB221" i="6"/>
  <c r="BC221" i="6"/>
  <c r="BD221" i="6"/>
  <c r="BE221" i="6"/>
  <c r="BF221" i="6"/>
  <c r="BG221" i="6"/>
  <c r="BH221" i="6"/>
  <c r="AV222" i="6"/>
  <c r="AW222" i="6"/>
  <c r="AX222" i="6"/>
  <c r="AY222" i="6"/>
  <c r="AZ222" i="6"/>
  <c r="BA222" i="6"/>
  <c r="BB222" i="6"/>
  <c r="BC222" i="6"/>
  <c r="BD222" i="6"/>
  <c r="BE222" i="6"/>
  <c r="BF222" i="6"/>
  <c r="BG222" i="6"/>
  <c r="BH222" i="6"/>
  <c r="AV223" i="6"/>
  <c r="AW223" i="6"/>
  <c r="AX223" i="6"/>
  <c r="AY223" i="6"/>
  <c r="AZ223" i="6"/>
  <c r="BA223" i="6"/>
  <c r="BB223" i="6"/>
  <c r="BC223" i="6"/>
  <c r="BD223" i="6"/>
  <c r="BE223" i="6"/>
  <c r="BF223" i="6"/>
  <c r="BG223" i="6"/>
  <c r="BH223" i="6"/>
  <c r="AV224" i="6"/>
  <c r="AW224" i="6"/>
  <c r="AX224" i="6"/>
  <c r="AY224" i="6"/>
  <c r="AZ224" i="6"/>
  <c r="BA224" i="6"/>
  <c r="BB224" i="6"/>
  <c r="BC224" i="6"/>
  <c r="BD224" i="6"/>
  <c r="BE224" i="6"/>
  <c r="BF224" i="6"/>
  <c r="BG224" i="6"/>
  <c r="BH224" i="6"/>
  <c r="AV225" i="6"/>
  <c r="AW225" i="6"/>
  <c r="AX225" i="6"/>
  <c r="AY225" i="6"/>
  <c r="AZ225" i="6"/>
  <c r="BA225" i="6"/>
  <c r="BB225" i="6"/>
  <c r="BC225" i="6"/>
  <c r="BD225" i="6"/>
  <c r="BE225" i="6"/>
  <c r="BF225" i="6"/>
  <c r="BG225" i="6"/>
  <c r="BH225" i="6"/>
  <c r="AV226" i="6"/>
  <c r="AW226" i="6"/>
  <c r="AX226" i="6"/>
  <c r="AY226" i="6"/>
  <c r="AZ226" i="6"/>
  <c r="BA226" i="6"/>
  <c r="BB226" i="6"/>
  <c r="BC226" i="6"/>
  <c r="BD226" i="6"/>
  <c r="BE226" i="6"/>
  <c r="BF226" i="6"/>
  <c r="BG226" i="6"/>
  <c r="BH226" i="6"/>
  <c r="AV227" i="6"/>
  <c r="AW227" i="6"/>
  <c r="AX227" i="6"/>
  <c r="AY227" i="6"/>
  <c r="AZ227" i="6"/>
  <c r="BA227" i="6"/>
  <c r="BB227" i="6"/>
  <c r="BC227" i="6"/>
  <c r="BD227" i="6"/>
  <c r="BE227" i="6"/>
  <c r="BF227" i="6"/>
  <c r="BG227" i="6"/>
  <c r="BH227" i="6"/>
  <c r="AV228" i="6"/>
  <c r="AW228" i="6"/>
  <c r="AX228" i="6"/>
  <c r="AY228" i="6"/>
  <c r="AZ228" i="6"/>
  <c r="BA228" i="6"/>
  <c r="BB228" i="6"/>
  <c r="BC228" i="6"/>
  <c r="BD228" i="6"/>
  <c r="BE228" i="6"/>
  <c r="BF228" i="6"/>
  <c r="BG228" i="6"/>
  <c r="BH228" i="6"/>
  <c r="AV229" i="6"/>
  <c r="AW229" i="6"/>
  <c r="AX229" i="6"/>
  <c r="AY229" i="6"/>
  <c r="AZ229" i="6"/>
  <c r="BA229" i="6"/>
  <c r="BB229" i="6"/>
  <c r="BC229" i="6"/>
  <c r="BD229" i="6"/>
  <c r="BE229" i="6"/>
  <c r="BF229" i="6"/>
  <c r="BG229" i="6"/>
  <c r="BH229" i="6"/>
  <c r="AV230" i="6"/>
  <c r="AW230" i="6"/>
  <c r="AX230" i="6"/>
  <c r="AY230" i="6"/>
  <c r="AZ230" i="6"/>
  <c r="BA230" i="6"/>
  <c r="BB230" i="6"/>
  <c r="BC230" i="6"/>
  <c r="BD230" i="6"/>
  <c r="BE230" i="6"/>
  <c r="BF230" i="6"/>
  <c r="BG230" i="6"/>
  <c r="BH230" i="6"/>
  <c r="AV231" i="6"/>
  <c r="AW231" i="6"/>
  <c r="AX231" i="6"/>
  <c r="AY231" i="6"/>
  <c r="AZ231" i="6"/>
  <c r="BA231" i="6"/>
  <c r="BB231" i="6"/>
  <c r="BC231" i="6"/>
  <c r="BD231" i="6"/>
  <c r="BE231" i="6"/>
  <c r="BF231" i="6"/>
  <c r="BG231" i="6"/>
  <c r="BH231" i="6"/>
  <c r="AV232" i="6"/>
  <c r="AW232" i="6"/>
  <c r="AX232" i="6"/>
  <c r="AY232" i="6"/>
  <c r="AZ232" i="6"/>
  <c r="BA232" i="6"/>
  <c r="BB232" i="6"/>
  <c r="BC232" i="6"/>
  <c r="BD232" i="6"/>
  <c r="BE232" i="6"/>
  <c r="BF232" i="6"/>
  <c r="BG232" i="6"/>
  <c r="BH232" i="6"/>
  <c r="AV233" i="6"/>
  <c r="AW233" i="6"/>
  <c r="AX233" i="6"/>
  <c r="AY233" i="6"/>
  <c r="AZ233" i="6"/>
  <c r="BA233" i="6"/>
  <c r="BB233" i="6"/>
  <c r="BC233" i="6"/>
  <c r="BD233" i="6"/>
  <c r="BE233" i="6"/>
  <c r="BF233" i="6"/>
  <c r="BG233" i="6"/>
  <c r="BH233" i="6"/>
  <c r="AV234" i="6"/>
  <c r="AW234" i="6"/>
  <c r="AX234" i="6"/>
  <c r="AY234" i="6"/>
  <c r="AZ234" i="6"/>
  <c r="BA234" i="6"/>
  <c r="BB234" i="6"/>
  <c r="BC234" i="6"/>
  <c r="BD234" i="6"/>
  <c r="BE234" i="6"/>
  <c r="BF234" i="6"/>
  <c r="BG234" i="6"/>
  <c r="BH234" i="6"/>
  <c r="AV235" i="6"/>
  <c r="AW235" i="6"/>
  <c r="AX235" i="6"/>
  <c r="AY235" i="6"/>
  <c r="AZ235" i="6"/>
  <c r="BA235" i="6"/>
  <c r="BB235" i="6"/>
  <c r="BC235" i="6"/>
  <c r="BD235" i="6"/>
  <c r="BE235" i="6"/>
  <c r="BF235" i="6"/>
  <c r="BG235" i="6"/>
  <c r="BH235" i="6"/>
  <c r="AV236" i="6"/>
  <c r="AW236" i="6"/>
  <c r="AX236" i="6"/>
  <c r="AY236" i="6"/>
  <c r="AZ236" i="6"/>
  <c r="BA236" i="6"/>
  <c r="BB236" i="6"/>
  <c r="BC236" i="6"/>
  <c r="BD236" i="6"/>
  <c r="BE236" i="6"/>
  <c r="BF236" i="6"/>
  <c r="BG236" i="6"/>
  <c r="BH236" i="6"/>
  <c r="AV237" i="6"/>
  <c r="AW237" i="6"/>
  <c r="AX237" i="6"/>
  <c r="AY237" i="6"/>
  <c r="AZ237" i="6"/>
  <c r="BA237" i="6"/>
  <c r="BB237" i="6"/>
  <c r="BC237" i="6"/>
  <c r="BD237" i="6"/>
  <c r="BE237" i="6"/>
  <c r="BF237" i="6"/>
  <c r="BG237" i="6"/>
  <c r="BH237" i="6"/>
  <c r="AV238" i="6"/>
  <c r="AW238" i="6"/>
  <c r="AX238" i="6"/>
  <c r="AY238" i="6"/>
  <c r="AZ238" i="6"/>
  <c r="BA238" i="6"/>
  <c r="BB238" i="6"/>
  <c r="BC238" i="6"/>
  <c r="BD238" i="6"/>
  <c r="BE238" i="6"/>
  <c r="BF238" i="6"/>
  <c r="BG238" i="6"/>
  <c r="BH238" i="6"/>
  <c r="AV239" i="6"/>
  <c r="AW239" i="6"/>
  <c r="AX239" i="6"/>
  <c r="AY239" i="6"/>
  <c r="AZ239" i="6"/>
  <c r="BA239" i="6"/>
  <c r="BB239" i="6"/>
  <c r="BC239" i="6"/>
  <c r="BD239" i="6"/>
  <c r="BE239" i="6"/>
  <c r="BF239" i="6"/>
  <c r="BG239" i="6"/>
  <c r="BH239" i="6"/>
  <c r="AV240" i="6"/>
  <c r="AW240" i="6"/>
  <c r="AX240" i="6"/>
  <c r="AY240" i="6"/>
  <c r="AZ240" i="6"/>
  <c r="BA240" i="6"/>
  <c r="BB240" i="6"/>
  <c r="BC240" i="6"/>
  <c r="BD240" i="6"/>
  <c r="BE240" i="6"/>
  <c r="BF240" i="6"/>
  <c r="BG240" i="6"/>
  <c r="BH240" i="6"/>
  <c r="AV241" i="6"/>
  <c r="AW241" i="6"/>
  <c r="AX241" i="6"/>
  <c r="AY241" i="6"/>
  <c r="AZ241" i="6"/>
  <c r="BA241" i="6"/>
  <c r="BB241" i="6"/>
  <c r="BC241" i="6"/>
  <c r="BD241" i="6"/>
  <c r="BE241" i="6"/>
  <c r="BF241" i="6"/>
  <c r="BG241" i="6"/>
  <c r="BH241" i="6"/>
  <c r="AV242" i="6"/>
  <c r="AW242" i="6"/>
  <c r="AX242" i="6"/>
  <c r="AY242" i="6"/>
  <c r="AZ242" i="6"/>
  <c r="BA242" i="6"/>
  <c r="BB242" i="6"/>
  <c r="BC242" i="6"/>
  <c r="BD242" i="6"/>
  <c r="BE242" i="6"/>
  <c r="BF242" i="6"/>
  <c r="BG242" i="6"/>
  <c r="BH242" i="6"/>
  <c r="AV243" i="6"/>
  <c r="AW243" i="6"/>
  <c r="AX243" i="6"/>
  <c r="AY243" i="6"/>
  <c r="AZ243" i="6"/>
  <c r="BA243" i="6"/>
  <c r="BB243" i="6"/>
  <c r="BC243" i="6"/>
  <c r="BD243" i="6"/>
  <c r="BE243" i="6"/>
  <c r="BF243" i="6"/>
  <c r="BG243" i="6"/>
  <c r="BH243" i="6"/>
  <c r="AV244" i="6"/>
  <c r="AW244" i="6"/>
  <c r="AX244" i="6"/>
  <c r="AY244" i="6"/>
  <c r="AZ244" i="6"/>
  <c r="BA244" i="6"/>
  <c r="BB244" i="6"/>
  <c r="BC244" i="6"/>
  <c r="BD244" i="6"/>
  <c r="BE244" i="6"/>
  <c r="BF244" i="6"/>
  <c r="BG244" i="6"/>
  <c r="BH244" i="6"/>
  <c r="AV245" i="6"/>
  <c r="AW245" i="6"/>
  <c r="AX245" i="6"/>
  <c r="AY245" i="6"/>
  <c r="AZ245" i="6"/>
  <c r="BA245" i="6"/>
  <c r="BB245" i="6"/>
  <c r="BC245" i="6"/>
  <c r="BD245" i="6"/>
  <c r="BE245" i="6"/>
  <c r="BF245" i="6"/>
  <c r="BG245" i="6"/>
  <c r="BH245" i="6"/>
  <c r="AV246" i="6"/>
  <c r="AW246" i="6"/>
  <c r="AX246" i="6"/>
  <c r="AY246" i="6"/>
  <c r="AZ246" i="6"/>
  <c r="BA246" i="6"/>
  <c r="BB246" i="6"/>
  <c r="BC246" i="6"/>
  <c r="BD246" i="6"/>
  <c r="BE246" i="6"/>
  <c r="BF246" i="6"/>
  <c r="BG246" i="6"/>
  <c r="BH246" i="6"/>
  <c r="AV247" i="6"/>
  <c r="AW247" i="6"/>
  <c r="AX247" i="6"/>
  <c r="AY247" i="6"/>
  <c r="AZ247" i="6"/>
  <c r="BA247" i="6"/>
  <c r="BB247" i="6"/>
  <c r="BC247" i="6"/>
  <c r="BD247" i="6"/>
  <c r="BE247" i="6"/>
  <c r="BF247" i="6"/>
  <c r="BG247" i="6"/>
  <c r="BH247" i="6"/>
  <c r="AV248" i="6"/>
  <c r="AW248" i="6"/>
  <c r="AX248" i="6"/>
  <c r="AY248" i="6"/>
  <c r="AZ248" i="6"/>
  <c r="BA248" i="6"/>
  <c r="BB248" i="6"/>
  <c r="BC248" i="6"/>
  <c r="BD248" i="6"/>
  <c r="BE248" i="6"/>
  <c r="BF248" i="6"/>
  <c r="BG248" i="6"/>
  <c r="BH248" i="6"/>
  <c r="AV249" i="6"/>
  <c r="AW249" i="6"/>
  <c r="AX249" i="6"/>
  <c r="AY249" i="6"/>
  <c r="AZ249" i="6"/>
  <c r="BA249" i="6"/>
  <c r="BB249" i="6"/>
  <c r="BC249" i="6"/>
  <c r="BD249" i="6"/>
  <c r="BE249" i="6"/>
  <c r="BF249" i="6"/>
  <c r="BG249" i="6"/>
  <c r="BH249" i="6"/>
  <c r="AV250" i="6"/>
  <c r="AW250" i="6"/>
  <c r="AX250" i="6"/>
  <c r="AY250" i="6"/>
  <c r="AZ250" i="6"/>
  <c r="BA250" i="6"/>
  <c r="BB250" i="6"/>
  <c r="BC250" i="6"/>
  <c r="BD250" i="6"/>
  <c r="BE250" i="6"/>
  <c r="BF250" i="6"/>
  <c r="BG250" i="6"/>
  <c r="BH250" i="6"/>
  <c r="AV251" i="6"/>
  <c r="AW251" i="6"/>
  <c r="AX251" i="6"/>
  <c r="AY251" i="6"/>
  <c r="AZ251" i="6"/>
  <c r="BA251" i="6"/>
  <c r="BB251" i="6"/>
  <c r="BC251" i="6"/>
  <c r="BD251" i="6"/>
  <c r="BE251" i="6"/>
  <c r="BF251" i="6"/>
  <c r="BG251" i="6"/>
  <c r="BH251" i="6"/>
  <c r="AV252" i="6"/>
  <c r="AW252" i="6"/>
  <c r="AX252" i="6"/>
  <c r="AY252" i="6"/>
  <c r="AZ252" i="6"/>
  <c r="BA252" i="6"/>
  <c r="BB252" i="6"/>
  <c r="BC252" i="6"/>
  <c r="BD252" i="6"/>
  <c r="BE252" i="6"/>
  <c r="BF252" i="6"/>
  <c r="BG252" i="6"/>
  <c r="BH252" i="6"/>
  <c r="AV253" i="6"/>
  <c r="AW253" i="6"/>
  <c r="AX253" i="6"/>
  <c r="AY253" i="6"/>
  <c r="AZ253" i="6"/>
  <c r="BA253" i="6"/>
  <c r="BB253" i="6"/>
  <c r="BC253" i="6"/>
  <c r="BD253" i="6"/>
  <c r="BE253" i="6"/>
  <c r="BF253" i="6"/>
  <c r="BG253" i="6"/>
  <c r="BH253" i="6"/>
  <c r="AV254" i="6"/>
  <c r="AW254" i="6"/>
  <c r="AX254" i="6"/>
  <c r="AY254" i="6"/>
  <c r="AZ254" i="6"/>
  <c r="BA254" i="6"/>
  <c r="BB254" i="6"/>
  <c r="BC254" i="6"/>
  <c r="BD254" i="6"/>
  <c r="BE254" i="6"/>
  <c r="BF254" i="6"/>
  <c r="BG254" i="6"/>
  <c r="BH254" i="6"/>
  <c r="AV255" i="6"/>
  <c r="AW255" i="6"/>
  <c r="AX255" i="6"/>
  <c r="AY255" i="6"/>
  <c r="AZ255" i="6"/>
  <c r="BA255" i="6"/>
  <c r="BB255" i="6"/>
  <c r="BC255" i="6"/>
  <c r="BD255" i="6"/>
  <c r="BE255" i="6"/>
  <c r="BF255" i="6"/>
  <c r="BG255" i="6"/>
  <c r="BH255" i="6"/>
  <c r="AV256" i="6"/>
  <c r="AW256" i="6"/>
  <c r="AX256" i="6"/>
  <c r="AY256" i="6"/>
  <c r="AZ256" i="6"/>
  <c r="BA256" i="6"/>
  <c r="BB256" i="6"/>
  <c r="BC256" i="6"/>
  <c r="BD256" i="6"/>
  <c r="BE256" i="6"/>
  <c r="BF256" i="6"/>
  <c r="BG256" i="6"/>
  <c r="BH256" i="6"/>
  <c r="AV257" i="6"/>
  <c r="AW257" i="6"/>
  <c r="AX257" i="6"/>
  <c r="AY257" i="6"/>
  <c r="AZ257" i="6"/>
  <c r="BA257" i="6"/>
  <c r="BB257" i="6"/>
  <c r="BC257" i="6"/>
  <c r="BD257" i="6"/>
  <c r="BE257" i="6"/>
  <c r="BF257" i="6"/>
  <c r="BG257" i="6"/>
  <c r="BH257" i="6"/>
  <c r="AV258" i="6"/>
  <c r="AW258" i="6"/>
  <c r="AX258" i="6"/>
  <c r="AY258" i="6"/>
  <c r="AZ258" i="6"/>
  <c r="BA258" i="6"/>
  <c r="BB258" i="6"/>
  <c r="BC258" i="6"/>
  <c r="BD258" i="6"/>
  <c r="BE258" i="6"/>
  <c r="BF258" i="6"/>
  <c r="BG258" i="6"/>
  <c r="BH258" i="6"/>
  <c r="AV259" i="6"/>
  <c r="AW259" i="6"/>
  <c r="AX259" i="6"/>
  <c r="AY259" i="6"/>
  <c r="AZ259" i="6"/>
  <c r="BA259" i="6"/>
  <c r="BB259" i="6"/>
  <c r="BC259" i="6"/>
  <c r="BD259" i="6"/>
  <c r="BE259" i="6"/>
  <c r="BF259" i="6"/>
  <c r="BG259" i="6"/>
  <c r="BH259" i="6"/>
  <c r="AV260" i="6"/>
  <c r="AW260" i="6"/>
  <c r="AX260" i="6"/>
  <c r="AY260" i="6"/>
  <c r="AZ260" i="6"/>
  <c r="BA260" i="6"/>
  <c r="BB260" i="6"/>
  <c r="BC260" i="6"/>
  <c r="BD260" i="6"/>
  <c r="BE260" i="6"/>
  <c r="BF260" i="6"/>
  <c r="BG260" i="6"/>
  <c r="BH260" i="6"/>
  <c r="AV261" i="6"/>
  <c r="AW261" i="6"/>
  <c r="AX261" i="6"/>
  <c r="AY261" i="6"/>
  <c r="AZ261" i="6"/>
  <c r="BA261" i="6"/>
  <c r="BB261" i="6"/>
  <c r="BC261" i="6"/>
  <c r="BD261" i="6"/>
  <c r="BE261" i="6"/>
  <c r="BF261" i="6"/>
  <c r="BG261" i="6"/>
  <c r="BH261" i="6"/>
  <c r="AV262" i="6"/>
  <c r="AW262" i="6"/>
  <c r="AX262" i="6"/>
  <c r="AY262" i="6"/>
  <c r="AZ262" i="6"/>
  <c r="BA262" i="6"/>
  <c r="BB262" i="6"/>
  <c r="BC262" i="6"/>
  <c r="BD262" i="6"/>
  <c r="BE262" i="6"/>
  <c r="BF262" i="6"/>
  <c r="BG262" i="6"/>
  <c r="BH262" i="6"/>
  <c r="AV263" i="6"/>
  <c r="AW263" i="6"/>
  <c r="AX263" i="6"/>
  <c r="AY263" i="6"/>
  <c r="AZ263" i="6"/>
  <c r="BA263" i="6"/>
  <c r="BB263" i="6"/>
  <c r="BC263" i="6"/>
  <c r="BD263" i="6"/>
  <c r="BE263" i="6"/>
  <c r="BF263" i="6"/>
  <c r="BG263" i="6"/>
  <c r="BH263" i="6"/>
  <c r="AV264" i="6"/>
  <c r="AW264" i="6"/>
  <c r="AX264" i="6"/>
  <c r="AY264" i="6"/>
  <c r="AZ264" i="6"/>
  <c r="BA264" i="6"/>
  <c r="BB264" i="6"/>
  <c r="BC264" i="6"/>
  <c r="BD264" i="6"/>
  <c r="BE264" i="6"/>
  <c r="BF264" i="6"/>
  <c r="BG264" i="6"/>
  <c r="BH264" i="6"/>
  <c r="AV265" i="6"/>
  <c r="AW265" i="6"/>
  <c r="AX265" i="6"/>
  <c r="AY265" i="6"/>
  <c r="AZ265" i="6"/>
  <c r="BA265" i="6"/>
  <c r="BB265" i="6"/>
  <c r="BC265" i="6"/>
  <c r="BD265" i="6"/>
  <c r="BE265" i="6"/>
  <c r="BF265" i="6"/>
  <c r="BG265" i="6"/>
  <c r="BH265" i="6"/>
  <c r="AV266" i="6"/>
  <c r="AW266" i="6"/>
  <c r="AX266" i="6"/>
  <c r="AY266" i="6"/>
  <c r="AZ266" i="6"/>
  <c r="BA266" i="6"/>
  <c r="BB266" i="6"/>
  <c r="BC266" i="6"/>
  <c r="BD266" i="6"/>
  <c r="BE266" i="6"/>
  <c r="BF266" i="6"/>
  <c r="BG266" i="6"/>
  <c r="BH266" i="6"/>
  <c r="AV267" i="6"/>
  <c r="AW267" i="6"/>
  <c r="AX267" i="6"/>
  <c r="AY267" i="6"/>
  <c r="AZ267" i="6"/>
  <c r="BA267" i="6"/>
  <c r="BB267" i="6"/>
  <c r="BC267" i="6"/>
  <c r="BD267" i="6"/>
  <c r="BE267" i="6"/>
  <c r="BF267" i="6"/>
  <c r="BG267" i="6"/>
  <c r="BH267" i="6"/>
  <c r="AV268" i="6"/>
  <c r="AW268" i="6"/>
  <c r="AX268" i="6"/>
  <c r="AY268" i="6"/>
  <c r="AZ268" i="6"/>
  <c r="BA268" i="6"/>
  <c r="BB268" i="6"/>
  <c r="BC268" i="6"/>
  <c r="BD268" i="6"/>
  <c r="BE268" i="6"/>
  <c r="BF268" i="6"/>
  <c r="BG268" i="6"/>
  <c r="BH268" i="6"/>
  <c r="AV269" i="6"/>
  <c r="AW269" i="6"/>
  <c r="AX269" i="6"/>
  <c r="AY269" i="6"/>
  <c r="AZ269" i="6"/>
  <c r="BA269" i="6"/>
  <c r="BB269" i="6"/>
  <c r="BC269" i="6"/>
  <c r="BD269" i="6"/>
  <c r="BE269" i="6"/>
  <c r="BF269" i="6"/>
  <c r="BG269" i="6"/>
  <c r="BH269" i="6"/>
  <c r="AV270" i="6"/>
  <c r="AW270" i="6"/>
  <c r="AX270" i="6"/>
  <c r="AY270" i="6"/>
  <c r="AZ270" i="6"/>
  <c r="BA270" i="6"/>
  <c r="BB270" i="6"/>
  <c r="BC270" i="6"/>
  <c r="BD270" i="6"/>
  <c r="BE270" i="6"/>
  <c r="BF270" i="6"/>
  <c r="BG270" i="6"/>
  <c r="BH270" i="6"/>
  <c r="AV271" i="6"/>
  <c r="AW271" i="6"/>
  <c r="AX271" i="6"/>
  <c r="AY271" i="6"/>
  <c r="AZ271" i="6"/>
  <c r="BA271" i="6"/>
  <c r="BB271" i="6"/>
  <c r="BC271" i="6"/>
  <c r="BD271" i="6"/>
  <c r="BE271" i="6"/>
  <c r="BF271" i="6"/>
  <c r="BG271" i="6"/>
  <c r="BH271" i="6"/>
  <c r="AV272" i="6"/>
  <c r="AW272" i="6"/>
  <c r="AX272" i="6"/>
  <c r="AY272" i="6"/>
  <c r="AZ272" i="6"/>
  <c r="BA272" i="6"/>
  <c r="BB272" i="6"/>
  <c r="BC272" i="6"/>
  <c r="BD272" i="6"/>
  <c r="BE272" i="6"/>
  <c r="BF272" i="6"/>
  <c r="BG272" i="6"/>
  <c r="BH272" i="6"/>
  <c r="AV273" i="6"/>
  <c r="AW273" i="6"/>
  <c r="AX273" i="6"/>
  <c r="AY273" i="6"/>
  <c r="AZ273" i="6"/>
  <c r="BA273" i="6"/>
  <c r="BB273" i="6"/>
  <c r="BC273" i="6"/>
  <c r="BD273" i="6"/>
  <c r="BE273" i="6"/>
  <c r="BF273" i="6"/>
  <c r="BG273" i="6"/>
  <c r="BH273" i="6"/>
  <c r="AV274" i="6"/>
  <c r="AW274" i="6"/>
  <c r="AX274" i="6"/>
  <c r="AY274" i="6"/>
  <c r="AZ274" i="6"/>
  <c r="BA274" i="6"/>
  <c r="BB274" i="6"/>
  <c r="BC274" i="6"/>
  <c r="BD274" i="6"/>
  <c r="BE274" i="6"/>
  <c r="BF274" i="6"/>
  <c r="BG274" i="6"/>
  <c r="BH274" i="6"/>
  <c r="AV275" i="6"/>
  <c r="AW275" i="6"/>
  <c r="AX275" i="6"/>
  <c r="AY275" i="6"/>
  <c r="AZ275" i="6"/>
  <c r="BA275" i="6"/>
  <c r="BB275" i="6"/>
  <c r="BC275" i="6"/>
  <c r="BD275" i="6"/>
  <c r="BE275" i="6"/>
  <c r="BF275" i="6"/>
  <c r="BG275" i="6"/>
  <c r="BH275" i="6"/>
  <c r="AV276" i="6"/>
  <c r="AW276" i="6"/>
  <c r="AX276" i="6"/>
  <c r="AY276" i="6"/>
  <c r="AZ276" i="6"/>
  <c r="BA276" i="6"/>
  <c r="BB276" i="6"/>
  <c r="BC276" i="6"/>
  <c r="BD276" i="6"/>
  <c r="BE276" i="6"/>
  <c r="BF276" i="6"/>
  <c r="BG276" i="6"/>
  <c r="BH276" i="6"/>
  <c r="AV277" i="6"/>
  <c r="AW277" i="6"/>
  <c r="AX277" i="6"/>
  <c r="AY277" i="6"/>
  <c r="AZ277" i="6"/>
  <c r="BA277" i="6"/>
  <c r="BB277" i="6"/>
  <c r="BC277" i="6"/>
  <c r="BD277" i="6"/>
  <c r="BE277" i="6"/>
  <c r="BF277" i="6"/>
  <c r="BG277" i="6"/>
  <c r="BH277" i="6"/>
  <c r="AV278" i="6"/>
  <c r="AW278" i="6"/>
  <c r="AX278" i="6"/>
  <c r="AY278" i="6"/>
  <c r="AZ278" i="6"/>
  <c r="BA278" i="6"/>
  <c r="BB278" i="6"/>
  <c r="BC278" i="6"/>
  <c r="BD278" i="6"/>
  <c r="BE278" i="6"/>
  <c r="BF278" i="6"/>
  <c r="BG278" i="6"/>
  <c r="BH278" i="6"/>
  <c r="AV279" i="6"/>
  <c r="AW279" i="6"/>
  <c r="AX279" i="6"/>
  <c r="AY279" i="6"/>
  <c r="AZ279" i="6"/>
  <c r="BA279" i="6"/>
  <c r="BB279" i="6"/>
  <c r="BC279" i="6"/>
  <c r="BD279" i="6"/>
  <c r="BE279" i="6"/>
  <c r="BF279" i="6"/>
  <c r="BG279" i="6"/>
  <c r="BH279" i="6"/>
  <c r="AV280" i="6"/>
  <c r="AW280" i="6"/>
  <c r="AX280" i="6"/>
  <c r="AY280" i="6"/>
  <c r="AZ280" i="6"/>
  <c r="BA280" i="6"/>
  <c r="BB280" i="6"/>
  <c r="BC280" i="6"/>
  <c r="BD280" i="6"/>
  <c r="BE280" i="6"/>
  <c r="BF280" i="6"/>
  <c r="BG280" i="6"/>
  <c r="BH280" i="6"/>
  <c r="AV281" i="6"/>
  <c r="AW281" i="6"/>
  <c r="AX281" i="6"/>
  <c r="AY281" i="6"/>
  <c r="AZ281" i="6"/>
  <c r="BA281" i="6"/>
  <c r="BB281" i="6"/>
  <c r="BC281" i="6"/>
  <c r="BD281" i="6"/>
  <c r="BE281" i="6"/>
  <c r="BF281" i="6"/>
  <c r="BG281" i="6"/>
  <c r="BH281" i="6"/>
  <c r="AV282" i="6"/>
  <c r="AW282" i="6"/>
  <c r="AX282" i="6"/>
  <c r="AY282" i="6"/>
  <c r="AZ282" i="6"/>
  <c r="BA282" i="6"/>
  <c r="BB282" i="6"/>
  <c r="BC282" i="6"/>
  <c r="BD282" i="6"/>
  <c r="BE282" i="6"/>
  <c r="BF282" i="6"/>
  <c r="BG282" i="6"/>
  <c r="BH282" i="6"/>
  <c r="AV283" i="6"/>
  <c r="AW283" i="6"/>
  <c r="AX283" i="6"/>
  <c r="AY283" i="6"/>
  <c r="AZ283" i="6"/>
  <c r="BA283" i="6"/>
  <c r="BB283" i="6"/>
  <c r="BC283" i="6"/>
  <c r="BD283" i="6"/>
  <c r="BE283" i="6"/>
  <c r="BF283" i="6"/>
  <c r="BG283" i="6"/>
  <c r="BH283" i="6"/>
  <c r="AV284" i="6"/>
  <c r="AW284" i="6"/>
  <c r="AX284" i="6"/>
  <c r="AY284" i="6"/>
  <c r="AZ284" i="6"/>
  <c r="BA284" i="6"/>
  <c r="BB284" i="6"/>
  <c r="BC284" i="6"/>
  <c r="BD284" i="6"/>
  <c r="BE284" i="6"/>
  <c r="BF284" i="6"/>
  <c r="BG284" i="6"/>
  <c r="BH284" i="6"/>
  <c r="AV285" i="6"/>
  <c r="AW285" i="6"/>
  <c r="AX285" i="6"/>
  <c r="AY285" i="6"/>
  <c r="AZ285" i="6"/>
  <c r="BA285" i="6"/>
  <c r="BB285" i="6"/>
  <c r="BC285" i="6"/>
  <c r="BD285" i="6"/>
  <c r="BE285" i="6"/>
  <c r="BF285" i="6"/>
  <c r="BG285" i="6"/>
  <c r="BH285" i="6"/>
  <c r="AV286" i="6"/>
  <c r="AW286" i="6"/>
  <c r="AX286" i="6"/>
  <c r="AY286" i="6"/>
  <c r="AZ286" i="6"/>
  <c r="BA286" i="6"/>
  <c r="BB286" i="6"/>
  <c r="BC286" i="6"/>
  <c r="BD286" i="6"/>
  <c r="BE286" i="6"/>
  <c r="BF286" i="6"/>
  <c r="BG286" i="6"/>
  <c r="BH286" i="6"/>
  <c r="AV287" i="6"/>
  <c r="AW287" i="6"/>
  <c r="AX287" i="6"/>
  <c r="AY287" i="6"/>
  <c r="AZ287" i="6"/>
  <c r="BA287" i="6"/>
  <c r="BB287" i="6"/>
  <c r="BC287" i="6"/>
  <c r="BD287" i="6"/>
  <c r="BE287" i="6"/>
  <c r="BF287" i="6"/>
  <c r="BG287" i="6"/>
  <c r="BH287" i="6"/>
  <c r="AV288" i="6"/>
  <c r="AW288" i="6"/>
  <c r="AX288" i="6"/>
  <c r="AY288" i="6"/>
  <c r="AZ288" i="6"/>
  <c r="BA288" i="6"/>
  <c r="BB288" i="6"/>
  <c r="BC288" i="6"/>
  <c r="BD288" i="6"/>
  <c r="BE288" i="6"/>
  <c r="BF288" i="6"/>
  <c r="BG288" i="6"/>
  <c r="BH288" i="6"/>
  <c r="AV289" i="6"/>
  <c r="AW289" i="6"/>
  <c r="AX289" i="6"/>
  <c r="AY289" i="6"/>
  <c r="AZ289" i="6"/>
  <c r="BA289" i="6"/>
  <c r="BB289" i="6"/>
  <c r="BC289" i="6"/>
  <c r="BD289" i="6"/>
  <c r="BE289" i="6"/>
  <c r="BF289" i="6"/>
  <c r="BG289" i="6"/>
  <c r="BH289" i="6"/>
  <c r="AV290" i="6"/>
  <c r="AW290" i="6"/>
  <c r="AX290" i="6"/>
  <c r="AY290" i="6"/>
  <c r="AZ290" i="6"/>
  <c r="BA290" i="6"/>
  <c r="BB290" i="6"/>
  <c r="BC290" i="6"/>
  <c r="BD290" i="6"/>
  <c r="BE290" i="6"/>
  <c r="BF290" i="6"/>
  <c r="BG290" i="6"/>
  <c r="BH290" i="6"/>
  <c r="AV291" i="6"/>
  <c r="AW291" i="6"/>
  <c r="AX291" i="6"/>
  <c r="AY291" i="6"/>
  <c r="AZ291" i="6"/>
  <c r="BA291" i="6"/>
  <c r="BB291" i="6"/>
  <c r="BC291" i="6"/>
  <c r="BD291" i="6"/>
  <c r="BE291" i="6"/>
  <c r="BF291" i="6"/>
  <c r="BG291" i="6"/>
  <c r="BH291" i="6"/>
  <c r="AV292" i="6"/>
  <c r="AW292" i="6"/>
  <c r="AX292" i="6"/>
  <c r="AY292" i="6"/>
  <c r="AZ292" i="6"/>
  <c r="BA292" i="6"/>
  <c r="BB292" i="6"/>
  <c r="BC292" i="6"/>
  <c r="BD292" i="6"/>
  <c r="BE292" i="6"/>
  <c r="BF292" i="6"/>
  <c r="BG292" i="6"/>
  <c r="BH292" i="6"/>
  <c r="AV293" i="6"/>
  <c r="AW293" i="6"/>
  <c r="AX293" i="6"/>
  <c r="AY293" i="6"/>
  <c r="AZ293" i="6"/>
  <c r="BA293" i="6"/>
  <c r="BB293" i="6"/>
  <c r="BC293" i="6"/>
  <c r="BD293" i="6"/>
  <c r="BE293" i="6"/>
  <c r="BF293" i="6"/>
  <c r="BG293" i="6"/>
  <c r="BH293" i="6"/>
  <c r="AV294" i="6"/>
  <c r="AW294" i="6"/>
  <c r="AX294" i="6"/>
  <c r="AY294" i="6"/>
  <c r="AZ294" i="6"/>
  <c r="BA294" i="6"/>
  <c r="BB294" i="6"/>
  <c r="BC294" i="6"/>
  <c r="BD294" i="6"/>
  <c r="BE294" i="6"/>
  <c r="BF294" i="6"/>
  <c r="BG294" i="6"/>
  <c r="BH294" i="6"/>
  <c r="AV295" i="6"/>
  <c r="AW295" i="6"/>
  <c r="AX295" i="6"/>
  <c r="AY295" i="6"/>
  <c r="AZ295" i="6"/>
  <c r="BA295" i="6"/>
  <c r="BB295" i="6"/>
  <c r="BC295" i="6"/>
  <c r="BD295" i="6"/>
  <c r="BE295" i="6"/>
  <c r="BF295" i="6"/>
  <c r="BG295" i="6"/>
  <c r="BH295" i="6"/>
  <c r="AV296" i="6"/>
  <c r="AW296" i="6"/>
  <c r="AX296" i="6"/>
  <c r="AY296" i="6"/>
  <c r="AZ296" i="6"/>
  <c r="BA296" i="6"/>
  <c r="BB296" i="6"/>
  <c r="BC296" i="6"/>
  <c r="BD296" i="6"/>
  <c r="BE296" i="6"/>
  <c r="BF296" i="6"/>
  <c r="BG296" i="6"/>
  <c r="BH296" i="6"/>
  <c r="AV297" i="6"/>
  <c r="AW297" i="6"/>
  <c r="AX297" i="6"/>
  <c r="AY297" i="6"/>
  <c r="AZ297" i="6"/>
  <c r="BA297" i="6"/>
  <c r="BB297" i="6"/>
  <c r="BC297" i="6"/>
  <c r="BD297" i="6"/>
  <c r="BE297" i="6"/>
  <c r="BF297" i="6"/>
  <c r="BG297" i="6"/>
  <c r="BH297" i="6"/>
  <c r="AV298" i="6"/>
  <c r="AW298" i="6"/>
  <c r="AX298" i="6"/>
  <c r="AY298" i="6"/>
  <c r="AZ298" i="6"/>
  <c r="BA298" i="6"/>
  <c r="BB298" i="6"/>
  <c r="BC298" i="6"/>
  <c r="BD298" i="6"/>
  <c r="BE298" i="6"/>
  <c r="BF298" i="6"/>
  <c r="BG298" i="6"/>
  <c r="BH298" i="6"/>
  <c r="AV299" i="6"/>
  <c r="AW299" i="6"/>
  <c r="AX299" i="6"/>
  <c r="AY299" i="6"/>
  <c r="AZ299" i="6"/>
  <c r="BA299" i="6"/>
  <c r="BB299" i="6"/>
  <c r="BC299" i="6"/>
  <c r="BD299" i="6"/>
  <c r="BE299" i="6"/>
  <c r="BF299" i="6"/>
  <c r="BG299" i="6"/>
  <c r="BH299" i="6"/>
  <c r="AV300" i="6"/>
  <c r="AW300" i="6"/>
  <c r="AX300" i="6"/>
  <c r="AY300" i="6"/>
  <c r="AZ300" i="6"/>
  <c r="BA300" i="6"/>
  <c r="BB300" i="6"/>
  <c r="BC300" i="6"/>
  <c r="BD300" i="6"/>
  <c r="BE300" i="6"/>
  <c r="BF300" i="6"/>
  <c r="BG300" i="6"/>
  <c r="BH300" i="6"/>
  <c r="AV301" i="6"/>
  <c r="AW301" i="6"/>
  <c r="AX301" i="6"/>
  <c r="AY301" i="6"/>
  <c r="AZ301" i="6"/>
  <c r="BA301" i="6"/>
  <c r="BB301" i="6"/>
  <c r="BC301" i="6"/>
  <c r="BD301" i="6"/>
  <c r="BE301" i="6"/>
  <c r="BF301" i="6"/>
  <c r="BG301" i="6"/>
  <c r="BH301" i="6"/>
  <c r="AV302" i="6"/>
  <c r="AW302" i="6"/>
  <c r="AX302" i="6"/>
  <c r="AY302" i="6"/>
  <c r="AZ302" i="6"/>
  <c r="BA302" i="6"/>
  <c r="BB302" i="6"/>
  <c r="BC302" i="6"/>
  <c r="BD302" i="6"/>
  <c r="BE302" i="6"/>
  <c r="BF302" i="6"/>
  <c r="BG302" i="6"/>
  <c r="BH302" i="6"/>
  <c r="AV303" i="6"/>
  <c r="AW303" i="6"/>
  <c r="AX303" i="6"/>
  <c r="AY303" i="6"/>
  <c r="AZ303" i="6"/>
  <c r="BA303" i="6"/>
  <c r="BB303" i="6"/>
  <c r="BC303" i="6"/>
  <c r="BD303" i="6"/>
  <c r="BE303" i="6"/>
  <c r="BF303" i="6"/>
  <c r="BG303" i="6"/>
  <c r="BH303" i="6"/>
  <c r="AV304" i="6"/>
  <c r="AW304" i="6"/>
  <c r="AX304" i="6"/>
  <c r="AY304" i="6"/>
  <c r="AZ304" i="6"/>
  <c r="BA304" i="6"/>
  <c r="BB304" i="6"/>
  <c r="BC304" i="6"/>
  <c r="BD304" i="6"/>
  <c r="BE304" i="6"/>
  <c r="BF304" i="6"/>
  <c r="BG304" i="6"/>
  <c r="BH304" i="6"/>
  <c r="AV305" i="6"/>
  <c r="AW305" i="6"/>
  <c r="AX305" i="6"/>
  <c r="AY305" i="6"/>
  <c r="AZ305" i="6"/>
  <c r="BA305" i="6"/>
  <c r="BB305" i="6"/>
  <c r="BC305" i="6"/>
  <c r="BD305" i="6"/>
  <c r="BE305" i="6"/>
  <c r="BF305" i="6"/>
  <c r="BG305" i="6"/>
  <c r="BH305" i="6"/>
  <c r="AV306" i="6"/>
  <c r="AW306" i="6"/>
  <c r="AX306" i="6"/>
  <c r="AY306" i="6"/>
  <c r="AZ306" i="6"/>
  <c r="BA306" i="6"/>
  <c r="BB306" i="6"/>
  <c r="BC306" i="6"/>
  <c r="BD306" i="6"/>
  <c r="BE306" i="6"/>
  <c r="BF306" i="6"/>
  <c r="BG306" i="6"/>
  <c r="BH306" i="6"/>
  <c r="AV307" i="6"/>
  <c r="AW307" i="6"/>
  <c r="AX307" i="6"/>
  <c r="AY307" i="6"/>
  <c r="AZ307" i="6"/>
  <c r="BA307" i="6"/>
  <c r="BB307" i="6"/>
  <c r="BC307" i="6"/>
  <c r="BD307" i="6"/>
  <c r="BE307" i="6"/>
  <c r="BF307" i="6"/>
  <c r="BG307" i="6"/>
  <c r="BH307" i="6"/>
  <c r="AV308" i="6"/>
  <c r="AW308" i="6"/>
  <c r="AX308" i="6"/>
  <c r="AY308" i="6"/>
  <c r="AZ308" i="6"/>
  <c r="BA308" i="6"/>
  <c r="BB308" i="6"/>
  <c r="BC308" i="6"/>
  <c r="BD308" i="6"/>
  <c r="BE308" i="6"/>
  <c r="BF308" i="6"/>
  <c r="BG308" i="6"/>
  <c r="BH308" i="6"/>
  <c r="AV309" i="6"/>
  <c r="AW309" i="6"/>
  <c r="AX309" i="6"/>
  <c r="AY309" i="6"/>
  <c r="AZ309" i="6"/>
  <c r="BA309" i="6"/>
  <c r="BB309" i="6"/>
  <c r="BC309" i="6"/>
  <c r="BD309" i="6"/>
  <c r="BE309" i="6"/>
  <c r="BF309" i="6"/>
  <c r="BG309" i="6"/>
  <c r="BH309" i="6"/>
  <c r="AV310" i="6"/>
  <c r="AW310" i="6"/>
  <c r="AX310" i="6"/>
  <c r="AY310" i="6"/>
  <c r="AZ310" i="6"/>
  <c r="BA310" i="6"/>
  <c r="BB310" i="6"/>
  <c r="BC310" i="6"/>
  <c r="BD310" i="6"/>
  <c r="BE310" i="6"/>
  <c r="BF310" i="6"/>
  <c r="BG310" i="6"/>
  <c r="BH310" i="6"/>
  <c r="AV311" i="6"/>
  <c r="AW311" i="6"/>
  <c r="AX311" i="6"/>
  <c r="AY311" i="6"/>
  <c r="AZ311" i="6"/>
  <c r="BA311" i="6"/>
  <c r="BB311" i="6"/>
  <c r="BC311" i="6"/>
  <c r="BD311" i="6"/>
  <c r="BE311" i="6"/>
  <c r="BF311" i="6"/>
  <c r="BG311" i="6"/>
  <c r="BH311" i="6"/>
  <c r="AV312" i="6"/>
  <c r="AW312" i="6"/>
  <c r="AX312" i="6"/>
  <c r="AY312" i="6"/>
  <c r="AZ312" i="6"/>
  <c r="BA312" i="6"/>
  <c r="BB312" i="6"/>
  <c r="BC312" i="6"/>
  <c r="BD312" i="6"/>
  <c r="BE312" i="6"/>
  <c r="BF312" i="6"/>
  <c r="BG312" i="6"/>
  <c r="BH312" i="6"/>
  <c r="AV313" i="6"/>
  <c r="AW313" i="6"/>
  <c r="AX313" i="6"/>
  <c r="AY313" i="6"/>
  <c r="AZ313" i="6"/>
  <c r="BA313" i="6"/>
  <c r="BB313" i="6"/>
  <c r="BC313" i="6"/>
  <c r="BD313" i="6"/>
  <c r="BE313" i="6"/>
  <c r="BF313" i="6"/>
  <c r="BG313" i="6"/>
  <c r="BH313" i="6"/>
  <c r="AV314" i="6"/>
  <c r="AW314" i="6"/>
  <c r="AX314" i="6"/>
  <c r="AY314" i="6"/>
  <c r="AZ314" i="6"/>
  <c r="BA314" i="6"/>
  <c r="BB314" i="6"/>
  <c r="BC314" i="6"/>
  <c r="BD314" i="6"/>
  <c r="BE314" i="6"/>
  <c r="BF314" i="6"/>
  <c r="BG314" i="6"/>
  <c r="BH314" i="6"/>
  <c r="AV315" i="6"/>
  <c r="AW315" i="6"/>
  <c r="AX315" i="6"/>
  <c r="AY315" i="6"/>
  <c r="AZ315" i="6"/>
  <c r="BA315" i="6"/>
  <c r="BB315" i="6"/>
  <c r="BC315" i="6"/>
  <c r="BD315" i="6"/>
  <c r="BE315" i="6"/>
  <c r="BF315" i="6"/>
  <c r="BG315" i="6"/>
  <c r="BH315" i="6"/>
  <c r="AV316" i="6"/>
  <c r="AW316" i="6"/>
  <c r="AX316" i="6"/>
  <c r="AY316" i="6"/>
  <c r="AZ316" i="6"/>
  <c r="BA316" i="6"/>
  <c r="BB316" i="6"/>
  <c r="BC316" i="6"/>
  <c r="BD316" i="6"/>
  <c r="BE316" i="6"/>
  <c r="BF316" i="6"/>
  <c r="BG316" i="6"/>
  <c r="BH316" i="6"/>
  <c r="AV317" i="6"/>
  <c r="AW317" i="6"/>
  <c r="AX317" i="6"/>
  <c r="AY317" i="6"/>
  <c r="AZ317" i="6"/>
  <c r="BA317" i="6"/>
  <c r="BB317" i="6"/>
  <c r="BC317" i="6"/>
  <c r="BD317" i="6"/>
  <c r="BE317" i="6"/>
  <c r="BF317" i="6"/>
  <c r="BG317" i="6"/>
  <c r="BH317" i="6"/>
  <c r="AV318" i="6"/>
  <c r="AW318" i="6"/>
  <c r="AX318" i="6"/>
  <c r="AY318" i="6"/>
  <c r="AZ318" i="6"/>
  <c r="BA318" i="6"/>
  <c r="BB318" i="6"/>
  <c r="BC318" i="6"/>
  <c r="BD318" i="6"/>
  <c r="BE318" i="6"/>
  <c r="BF318" i="6"/>
  <c r="BG318" i="6"/>
  <c r="BH318" i="6"/>
  <c r="AV319" i="6"/>
  <c r="AW319" i="6"/>
  <c r="AX319" i="6"/>
  <c r="AY319" i="6"/>
  <c r="AZ319" i="6"/>
  <c r="BA319" i="6"/>
  <c r="BB319" i="6"/>
  <c r="BC319" i="6"/>
  <c r="BD319" i="6"/>
  <c r="BE319" i="6"/>
  <c r="BF319" i="6"/>
  <c r="BG319" i="6"/>
  <c r="BH319" i="6"/>
  <c r="AV320" i="6"/>
  <c r="AW320" i="6"/>
  <c r="AX320" i="6"/>
  <c r="AY320" i="6"/>
  <c r="AZ320" i="6"/>
  <c r="BA320" i="6"/>
  <c r="BB320" i="6"/>
  <c r="BC320" i="6"/>
  <c r="BD320" i="6"/>
  <c r="BE320" i="6"/>
  <c r="BF320" i="6"/>
  <c r="BG320" i="6"/>
  <c r="BH320" i="6"/>
  <c r="AV321" i="6"/>
  <c r="AW321" i="6"/>
  <c r="AX321" i="6"/>
  <c r="AY321" i="6"/>
  <c r="AZ321" i="6"/>
  <c r="BA321" i="6"/>
  <c r="BB321" i="6"/>
  <c r="BC321" i="6"/>
  <c r="BD321" i="6"/>
  <c r="BE321" i="6"/>
  <c r="BF321" i="6"/>
  <c r="BG321" i="6"/>
  <c r="BH321" i="6"/>
  <c r="AV322" i="6"/>
  <c r="AW322" i="6"/>
  <c r="AX322" i="6"/>
  <c r="AY322" i="6"/>
  <c r="AZ322" i="6"/>
  <c r="BA322" i="6"/>
  <c r="BB322" i="6"/>
  <c r="BC322" i="6"/>
  <c r="BD322" i="6"/>
  <c r="BE322" i="6"/>
  <c r="BF322" i="6"/>
  <c r="BG322" i="6"/>
  <c r="BH322" i="6"/>
  <c r="AV323" i="6"/>
  <c r="AW323" i="6"/>
  <c r="AX323" i="6"/>
  <c r="AY323" i="6"/>
  <c r="AZ323" i="6"/>
  <c r="BA323" i="6"/>
  <c r="BB323" i="6"/>
  <c r="BC323" i="6"/>
  <c r="BD323" i="6"/>
  <c r="BE323" i="6"/>
  <c r="BF323" i="6"/>
  <c r="BG323" i="6"/>
  <c r="BH323" i="6"/>
  <c r="AV324" i="6"/>
  <c r="AW324" i="6"/>
  <c r="AX324" i="6"/>
  <c r="AY324" i="6"/>
  <c r="AZ324" i="6"/>
  <c r="BA324" i="6"/>
  <c r="BB324" i="6"/>
  <c r="BC324" i="6"/>
  <c r="BD324" i="6"/>
  <c r="BE324" i="6"/>
  <c r="BF324" i="6"/>
  <c r="BG324" i="6"/>
  <c r="BH324" i="6"/>
  <c r="AV325" i="6"/>
  <c r="AW325" i="6"/>
  <c r="AX325" i="6"/>
  <c r="AY325" i="6"/>
  <c r="AZ325" i="6"/>
  <c r="BA325" i="6"/>
  <c r="BB325" i="6"/>
  <c r="BC325" i="6"/>
  <c r="BD325" i="6"/>
  <c r="BE325" i="6"/>
  <c r="BF325" i="6"/>
  <c r="BG325" i="6"/>
  <c r="BH325" i="6"/>
  <c r="AV326" i="6"/>
  <c r="AW326" i="6"/>
  <c r="AX326" i="6"/>
  <c r="AY326" i="6"/>
  <c r="AZ326" i="6"/>
  <c r="BA326" i="6"/>
  <c r="BB326" i="6"/>
  <c r="BC326" i="6"/>
  <c r="BD326" i="6"/>
  <c r="BE326" i="6"/>
  <c r="BF326" i="6"/>
  <c r="BG326" i="6"/>
  <c r="BH326" i="6"/>
  <c r="AV327" i="6"/>
  <c r="AW327" i="6"/>
  <c r="AX327" i="6"/>
  <c r="AY327" i="6"/>
  <c r="AZ327" i="6"/>
  <c r="BA327" i="6"/>
  <c r="BB327" i="6"/>
  <c r="BC327" i="6"/>
  <c r="BD327" i="6"/>
  <c r="BE327" i="6"/>
  <c r="BF327" i="6"/>
  <c r="BG327" i="6"/>
  <c r="BH327" i="6"/>
  <c r="AV328" i="6"/>
  <c r="AW328" i="6"/>
  <c r="AX328" i="6"/>
  <c r="AY328" i="6"/>
  <c r="AZ328" i="6"/>
  <c r="BA328" i="6"/>
  <c r="BB328" i="6"/>
  <c r="BC328" i="6"/>
  <c r="BD328" i="6"/>
  <c r="BE328" i="6"/>
  <c r="BF328" i="6"/>
  <c r="BG328" i="6"/>
  <c r="BH328" i="6"/>
  <c r="AV329" i="6"/>
  <c r="AW329" i="6"/>
  <c r="AX329" i="6"/>
  <c r="AY329" i="6"/>
  <c r="AZ329" i="6"/>
  <c r="BA329" i="6"/>
  <c r="BB329" i="6"/>
  <c r="BC329" i="6"/>
  <c r="BD329" i="6"/>
  <c r="BE329" i="6"/>
  <c r="BF329" i="6"/>
  <c r="BG329" i="6"/>
  <c r="BH329" i="6"/>
  <c r="AV330" i="6"/>
  <c r="AW330" i="6"/>
  <c r="AX330" i="6"/>
  <c r="AY330" i="6"/>
  <c r="AZ330" i="6"/>
  <c r="BA330" i="6"/>
  <c r="BB330" i="6"/>
  <c r="BC330" i="6"/>
  <c r="BD330" i="6"/>
  <c r="BE330" i="6"/>
  <c r="BF330" i="6"/>
  <c r="BG330" i="6"/>
  <c r="BH330" i="6"/>
  <c r="AV331" i="6"/>
  <c r="AW331" i="6"/>
  <c r="AX331" i="6"/>
  <c r="AY331" i="6"/>
  <c r="AZ331" i="6"/>
  <c r="BA331" i="6"/>
  <c r="BB331" i="6"/>
  <c r="BC331" i="6"/>
  <c r="BD331" i="6"/>
  <c r="BE331" i="6"/>
  <c r="BF331" i="6"/>
  <c r="BG331" i="6"/>
  <c r="BH331" i="6"/>
  <c r="AV332" i="6"/>
  <c r="AW332" i="6"/>
  <c r="AX332" i="6"/>
  <c r="AY332" i="6"/>
  <c r="AZ332" i="6"/>
  <c r="BA332" i="6"/>
  <c r="BB332" i="6"/>
  <c r="BC332" i="6"/>
  <c r="BD332" i="6"/>
  <c r="BE332" i="6"/>
  <c r="BF332" i="6"/>
  <c r="BG332" i="6"/>
  <c r="BH332" i="6"/>
  <c r="AV333" i="6"/>
  <c r="AW333" i="6"/>
  <c r="AX333" i="6"/>
  <c r="AY333" i="6"/>
  <c r="AZ333" i="6"/>
  <c r="BA333" i="6"/>
  <c r="BB333" i="6"/>
  <c r="BC333" i="6"/>
  <c r="BD333" i="6"/>
  <c r="BE333" i="6"/>
  <c r="BF333" i="6"/>
  <c r="BG333" i="6"/>
  <c r="BH333" i="6"/>
  <c r="AV334" i="6"/>
  <c r="AW334" i="6"/>
  <c r="AX334" i="6"/>
  <c r="AY334" i="6"/>
  <c r="AZ334" i="6"/>
  <c r="BA334" i="6"/>
  <c r="BB334" i="6"/>
  <c r="BC334" i="6"/>
  <c r="BD334" i="6"/>
  <c r="BE334" i="6"/>
  <c r="BF334" i="6"/>
  <c r="BG334" i="6"/>
  <c r="BH334" i="6"/>
  <c r="AV335" i="6"/>
  <c r="AW335" i="6"/>
  <c r="AX335" i="6"/>
  <c r="AY335" i="6"/>
  <c r="AZ335" i="6"/>
  <c r="BA335" i="6"/>
  <c r="BB335" i="6"/>
  <c r="BC335" i="6"/>
  <c r="BD335" i="6"/>
  <c r="BE335" i="6"/>
  <c r="BF335" i="6"/>
  <c r="BG335" i="6"/>
  <c r="BH335" i="6"/>
  <c r="AV336" i="6"/>
  <c r="AW336" i="6"/>
  <c r="AX336" i="6"/>
  <c r="AY336" i="6"/>
  <c r="AZ336" i="6"/>
  <c r="BA336" i="6"/>
  <c r="BB336" i="6"/>
  <c r="BC336" i="6"/>
  <c r="BD336" i="6"/>
  <c r="BE336" i="6"/>
  <c r="BF336" i="6"/>
  <c r="BG336" i="6"/>
  <c r="BH336" i="6"/>
  <c r="AV337" i="6"/>
  <c r="AW337" i="6"/>
  <c r="AX337" i="6"/>
  <c r="AY337" i="6"/>
  <c r="AZ337" i="6"/>
  <c r="BA337" i="6"/>
  <c r="BB337" i="6"/>
  <c r="BC337" i="6"/>
  <c r="BD337" i="6"/>
  <c r="BE337" i="6"/>
  <c r="BF337" i="6"/>
  <c r="BG337" i="6"/>
  <c r="BH337" i="6"/>
  <c r="AV338" i="6"/>
  <c r="AW338" i="6"/>
  <c r="AX338" i="6"/>
  <c r="AY338" i="6"/>
  <c r="AZ338" i="6"/>
  <c r="BA338" i="6"/>
  <c r="BB338" i="6"/>
  <c r="BC338" i="6"/>
  <c r="BD338" i="6"/>
  <c r="BE338" i="6"/>
  <c r="BF338" i="6"/>
  <c r="BG338" i="6"/>
  <c r="BH338" i="6"/>
  <c r="AV339" i="6"/>
  <c r="AW339" i="6"/>
  <c r="AX339" i="6"/>
  <c r="AY339" i="6"/>
  <c r="AZ339" i="6"/>
  <c r="BA339" i="6"/>
  <c r="BB339" i="6"/>
  <c r="BC339" i="6"/>
  <c r="BD339" i="6"/>
  <c r="BE339" i="6"/>
  <c r="BF339" i="6"/>
  <c r="BG339" i="6"/>
  <c r="BH339" i="6"/>
  <c r="AV340" i="6"/>
  <c r="AW340" i="6"/>
  <c r="AX340" i="6"/>
  <c r="AY340" i="6"/>
  <c r="AZ340" i="6"/>
  <c r="BA340" i="6"/>
  <c r="BB340" i="6"/>
  <c r="BC340" i="6"/>
  <c r="BD340" i="6"/>
  <c r="BE340" i="6"/>
  <c r="BF340" i="6"/>
  <c r="BG340" i="6"/>
  <c r="BH340" i="6"/>
  <c r="AV341" i="6"/>
  <c r="AW341" i="6"/>
  <c r="AX341" i="6"/>
  <c r="AY341" i="6"/>
  <c r="AZ341" i="6"/>
  <c r="BA341" i="6"/>
  <c r="BB341" i="6"/>
  <c r="BC341" i="6"/>
  <c r="BD341" i="6"/>
  <c r="BE341" i="6"/>
  <c r="BF341" i="6"/>
  <c r="BG341" i="6"/>
  <c r="BH341" i="6"/>
  <c r="AV342" i="6"/>
  <c r="AW342" i="6"/>
  <c r="AX342" i="6"/>
  <c r="AY342" i="6"/>
  <c r="AZ342" i="6"/>
  <c r="BA342" i="6"/>
  <c r="BB342" i="6"/>
  <c r="BC342" i="6"/>
  <c r="BD342" i="6"/>
  <c r="BE342" i="6"/>
  <c r="BF342" i="6"/>
  <c r="BG342" i="6"/>
  <c r="BH342" i="6"/>
  <c r="AV343" i="6"/>
  <c r="AW343" i="6"/>
  <c r="AX343" i="6"/>
  <c r="AY343" i="6"/>
  <c r="AZ343" i="6"/>
  <c r="BA343" i="6"/>
  <c r="BB343" i="6"/>
  <c r="BC343" i="6"/>
  <c r="BD343" i="6"/>
  <c r="BE343" i="6"/>
  <c r="BF343" i="6"/>
  <c r="BG343" i="6"/>
  <c r="BH343" i="6"/>
  <c r="AV344" i="6"/>
  <c r="AW344" i="6"/>
  <c r="AX344" i="6"/>
  <c r="AY344" i="6"/>
  <c r="AZ344" i="6"/>
  <c r="BA344" i="6"/>
  <c r="BB344" i="6"/>
  <c r="BC344" i="6"/>
  <c r="BD344" i="6"/>
  <c r="BE344" i="6"/>
  <c r="BF344" i="6"/>
  <c r="BG344" i="6"/>
  <c r="BH344" i="6"/>
  <c r="AV345" i="6"/>
  <c r="AW345" i="6"/>
  <c r="AX345" i="6"/>
  <c r="AY345" i="6"/>
  <c r="AZ345" i="6"/>
  <c r="BA345" i="6"/>
  <c r="BB345" i="6"/>
  <c r="BC345" i="6"/>
  <c r="BD345" i="6"/>
  <c r="BE345" i="6"/>
  <c r="BF345" i="6"/>
  <c r="BG345" i="6"/>
  <c r="BH345" i="6"/>
  <c r="AV346" i="6"/>
  <c r="AW346" i="6"/>
  <c r="AX346" i="6"/>
  <c r="AY346" i="6"/>
  <c r="AZ346" i="6"/>
  <c r="BA346" i="6"/>
  <c r="BB346" i="6"/>
  <c r="BC346" i="6"/>
  <c r="BD346" i="6"/>
  <c r="BE346" i="6"/>
  <c r="BF346" i="6"/>
  <c r="BG346" i="6"/>
  <c r="BH346" i="6"/>
  <c r="AV347" i="6"/>
  <c r="AW347" i="6"/>
  <c r="AX347" i="6"/>
  <c r="AY347" i="6"/>
  <c r="AZ347" i="6"/>
  <c r="BA347" i="6"/>
  <c r="BB347" i="6"/>
  <c r="BC347" i="6"/>
  <c r="BD347" i="6"/>
  <c r="BE347" i="6"/>
  <c r="BF347" i="6"/>
  <c r="BG347" i="6"/>
  <c r="BH347" i="6"/>
  <c r="AV348" i="6"/>
  <c r="AW348" i="6"/>
  <c r="AX348" i="6"/>
  <c r="AY348" i="6"/>
  <c r="AZ348" i="6"/>
  <c r="BA348" i="6"/>
  <c r="BB348" i="6"/>
  <c r="BC348" i="6"/>
  <c r="BD348" i="6"/>
  <c r="BE348" i="6"/>
  <c r="BF348" i="6"/>
  <c r="BG348" i="6"/>
  <c r="BH348" i="6"/>
  <c r="AV349" i="6"/>
  <c r="AW349" i="6"/>
  <c r="AX349" i="6"/>
  <c r="AY349" i="6"/>
  <c r="AZ349" i="6"/>
  <c r="BA349" i="6"/>
  <c r="BB349" i="6"/>
  <c r="BC349" i="6"/>
  <c r="BD349" i="6"/>
  <c r="BE349" i="6"/>
  <c r="BF349" i="6"/>
  <c r="BG349" i="6"/>
  <c r="BH349" i="6"/>
  <c r="AV350" i="6"/>
  <c r="AW350" i="6"/>
  <c r="AX350" i="6"/>
  <c r="AY350" i="6"/>
  <c r="AZ350" i="6"/>
  <c r="BA350" i="6"/>
  <c r="BB350" i="6"/>
  <c r="BC350" i="6"/>
  <c r="BD350" i="6"/>
  <c r="BE350" i="6"/>
  <c r="BF350" i="6"/>
  <c r="BG350" i="6"/>
  <c r="BH350" i="6"/>
  <c r="AV351" i="6"/>
  <c r="AW351" i="6"/>
  <c r="AX351" i="6"/>
  <c r="AY351" i="6"/>
  <c r="AZ351" i="6"/>
  <c r="BA351" i="6"/>
  <c r="BB351" i="6"/>
  <c r="BC351" i="6"/>
  <c r="BD351" i="6"/>
  <c r="BE351" i="6"/>
  <c r="BF351" i="6"/>
  <c r="BG351" i="6"/>
  <c r="BH351" i="6"/>
  <c r="AV352" i="6"/>
  <c r="AW352" i="6"/>
  <c r="AX352" i="6"/>
  <c r="AY352" i="6"/>
  <c r="AZ352" i="6"/>
  <c r="BA352" i="6"/>
  <c r="BB352" i="6"/>
  <c r="BC352" i="6"/>
  <c r="BD352" i="6"/>
  <c r="BE352" i="6"/>
  <c r="BF352" i="6"/>
  <c r="BG352" i="6"/>
  <c r="BH352" i="6"/>
  <c r="AV353" i="6"/>
  <c r="AW353" i="6"/>
  <c r="AX353" i="6"/>
  <c r="AY353" i="6"/>
  <c r="AZ353" i="6"/>
  <c r="BA353" i="6"/>
  <c r="BB353" i="6"/>
  <c r="BC353" i="6"/>
  <c r="BD353" i="6"/>
  <c r="BE353" i="6"/>
  <c r="BF353" i="6"/>
  <c r="BG353" i="6"/>
  <c r="BH353" i="6"/>
  <c r="AV354" i="6"/>
  <c r="AW354" i="6"/>
  <c r="AX354" i="6"/>
  <c r="AY354" i="6"/>
  <c r="AZ354" i="6"/>
  <c r="BA354" i="6"/>
  <c r="BB354" i="6"/>
  <c r="BC354" i="6"/>
  <c r="BD354" i="6"/>
  <c r="BE354" i="6"/>
  <c r="BF354" i="6"/>
  <c r="BG354" i="6"/>
  <c r="BH354" i="6"/>
  <c r="AV355" i="6"/>
  <c r="AW355" i="6"/>
  <c r="AX355" i="6"/>
  <c r="AY355" i="6"/>
  <c r="AZ355" i="6"/>
  <c r="BA355" i="6"/>
  <c r="BB355" i="6"/>
  <c r="BC355" i="6"/>
  <c r="BD355" i="6"/>
  <c r="BE355" i="6"/>
  <c r="BF355" i="6"/>
  <c r="BG355" i="6"/>
  <c r="BH355" i="6"/>
  <c r="AV356" i="6"/>
  <c r="AW356" i="6"/>
  <c r="AX356" i="6"/>
  <c r="AY356" i="6"/>
  <c r="AZ356" i="6"/>
  <c r="BA356" i="6"/>
  <c r="BB356" i="6"/>
  <c r="BC356" i="6"/>
  <c r="BD356" i="6"/>
  <c r="BE356" i="6"/>
  <c r="BF356" i="6"/>
  <c r="BG356" i="6"/>
  <c r="BH356" i="6"/>
  <c r="AV357" i="6"/>
  <c r="AW357" i="6"/>
  <c r="AX357" i="6"/>
  <c r="AY357" i="6"/>
  <c r="AZ357" i="6"/>
  <c r="BA357" i="6"/>
  <c r="BB357" i="6"/>
  <c r="BC357" i="6"/>
  <c r="BD357" i="6"/>
  <c r="BE357" i="6"/>
  <c r="BF357" i="6"/>
  <c r="BG357" i="6"/>
  <c r="BH357" i="6"/>
  <c r="AV358" i="6"/>
  <c r="AW358" i="6"/>
  <c r="AX358" i="6"/>
  <c r="AY358" i="6"/>
  <c r="AZ358" i="6"/>
  <c r="BA358" i="6"/>
  <c r="BB358" i="6"/>
  <c r="BC358" i="6"/>
  <c r="BD358" i="6"/>
  <c r="BE358" i="6"/>
  <c r="BF358" i="6"/>
  <c r="BG358" i="6"/>
  <c r="BH358" i="6"/>
  <c r="AV359" i="6"/>
  <c r="AW359" i="6"/>
  <c r="AX359" i="6"/>
  <c r="AY359" i="6"/>
  <c r="AZ359" i="6"/>
  <c r="BA359" i="6"/>
  <c r="BB359" i="6"/>
  <c r="BC359" i="6"/>
  <c r="BD359" i="6"/>
  <c r="BE359" i="6"/>
  <c r="BF359" i="6"/>
  <c r="BG359" i="6"/>
  <c r="BH359" i="6"/>
  <c r="AV360" i="6"/>
  <c r="AW360" i="6"/>
  <c r="AX360" i="6"/>
  <c r="AY360" i="6"/>
  <c r="AZ360" i="6"/>
  <c r="BA360" i="6"/>
  <c r="BB360" i="6"/>
  <c r="BC360" i="6"/>
  <c r="BD360" i="6"/>
  <c r="BE360" i="6"/>
  <c r="BF360" i="6"/>
  <c r="BG360" i="6"/>
  <c r="BH360" i="6"/>
  <c r="AV361" i="6"/>
  <c r="AW361" i="6"/>
  <c r="AX361" i="6"/>
  <c r="AY361" i="6"/>
  <c r="AZ361" i="6"/>
  <c r="BA361" i="6"/>
  <c r="BB361" i="6"/>
  <c r="BC361" i="6"/>
  <c r="BD361" i="6"/>
  <c r="BE361" i="6"/>
  <c r="BF361" i="6"/>
  <c r="BG361" i="6"/>
  <c r="BH361" i="6"/>
  <c r="AV362" i="6"/>
  <c r="AW362" i="6"/>
  <c r="AX362" i="6"/>
  <c r="AY362" i="6"/>
  <c r="AZ362" i="6"/>
  <c r="BA362" i="6"/>
  <c r="BB362" i="6"/>
  <c r="BC362" i="6"/>
  <c r="BD362" i="6"/>
  <c r="BE362" i="6"/>
  <c r="BF362" i="6"/>
  <c r="BG362" i="6"/>
  <c r="BH362" i="6"/>
  <c r="AV363" i="6"/>
  <c r="AW363" i="6"/>
  <c r="AX363" i="6"/>
  <c r="AY363" i="6"/>
  <c r="AZ363" i="6"/>
  <c r="BA363" i="6"/>
  <c r="BB363" i="6"/>
  <c r="BC363" i="6"/>
  <c r="BD363" i="6"/>
  <c r="BE363" i="6"/>
  <c r="BF363" i="6"/>
  <c r="BG363" i="6"/>
  <c r="BH363" i="6"/>
  <c r="AV364" i="6"/>
  <c r="AW364" i="6"/>
  <c r="AX364" i="6"/>
  <c r="AY364" i="6"/>
  <c r="AZ364" i="6"/>
  <c r="BA364" i="6"/>
  <c r="BB364" i="6"/>
  <c r="BC364" i="6"/>
  <c r="BD364" i="6"/>
  <c r="BE364" i="6"/>
  <c r="BF364" i="6"/>
  <c r="BG364" i="6"/>
  <c r="BH364" i="6"/>
  <c r="AV365" i="6"/>
  <c r="AW365" i="6"/>
  <c r="AX365" i="6"/>
  <c r="AY365" i="6"/>
  <c r="AZ365" i="6"/>
  <c r="BA365" i="6"/>
  <c r="BB365" i="6"/>
  <c r="BC365" i="6"/>
  <c r="BD365" i="6"/>
  <c r="BE365" i="6"/>
  <c r="BF365" i="6"/>
  <c r="BG365" i="6"/>
  <c r="BH365" i="6"/>
  <c r="AV366" i="6"/>
  <c r="AW366" i="6"/>
  <c r="AX366" i="6"/>
  <c r="AY366" i="6"/>
  <c r="AZ366" i="6"/>
  <c r="BA366" i="6"/>
  <c r="BB366" i="6"/>
  <c r="BC366" i="6"/>
  <c r="BD366" i="6"/>
  <c r="BE366" i="6"/>
  <c r="BF366" i="6"/>
  <c r="BG366" i="6"/>
  <c r="BH366" i="6"/>
  <c r="AV367" i="6"/>
  <c r="AW367" i="6"/>
  <c r="AX367" i="6"/>
  <c r="AY367" i="6"/>
  <c r="AZ367" i="6"/>
  <c r="BA367" i="6"/>
  <c r="BB367" i="6"/>
  <c r="BC367" i="6"/>
  <c r="BD367" i="6"/>
  <c r="BE367" i="6"/>
  <c r="BF367" i="6"/>
  <c r="BG367" i="6"/>
  <c r="BH367" i="6"/>
  <c r="AV368" i="6"/>
  <c r="AW368" i="6"/>
  <c r="AX368" i="6"/>
  <c r="AY368" i="6"/>
  <c r="AZ368" i="6"/>
  <c r="BA368" i="6"/>
  <c r="BB368" i="6"/>
  <c r="BC368" i="6"/>
  <c r="BD368" i="6"/>
  <c r="BE368" i="6"/>
  <c r="BF368" i="6"/>
  <c r="BG368" i="6"/>
  <c r="BH368" i="6"/>
  <c r="AV369" i="6"/>
  <c r="AW369" i="6"/>
  <c r="AX369" i="6"/>
  <c r="AY369" i="6"/>
  <c r="AZ369" i="6"/>
  <c r="BA369" i="6"/>
  <c r="BB369" i="6"/>
  <c r="BC369" i="6"/>
  <c r="BD369" i="6"/>
  <c r="BE369" i="6"/>
  <c r="BF369" i="6"/>
  <c r="BG369" i="6"/>
  <c r="BH369" i="6"/>
  <c r="AV370" i="6"/>
  <c r="AW370" i="6"/>
  <c r="AX370" i="6"/>
  <c r="AY370" i="6"/>
  <c r="AZ370" i="6"/>
  <c r="BA370" i="6"/>
  <c r="BB370" i="6"/>
  <c r="BC370" i="6"/>
  <c r="BD370" i="6"/>
  <c r="BE370" i="6"/>
  <c r="BF370" i="6"/>
  <c r="BG370" i="6"/>
  <c r="BH370" i="6"/>
  <c r="AV371" i="6"/>
  <c r="AW371" i="6"/>
  <c r="AX371" i="6"/>
  <c r="AY371" i="6"/>
  <c r="AZ371" i="6"/>
  <c r="BA371" i="6"/>
  <c r="BB371" i="6"/>
  <c r="BC371" i="6"/>
  <c r="BD371" i="6"/>
  <c r="BE371" i="6"/>
  <c r="BF371" i="6"/>
  <c r="BG371" i="6"/>
  <c r="BH371" i="6"/>
  <c r="AV372" i="6"/>
  <c r="AW372" i="6"/>
  <c r="AX372" i="6"/>
  <c r="AY372" i="6"/>
  <c r="AZ372" i="6"/>
  <c r="BA372" i="6"/>
  <c r="BB372" i="6"/>
  <c r="BC372" i="6"/>
  <c r="BD372" i="6"/>
  <c r="BE372" i="6"/>
  <c r="BF372" i="6"/>
  <c r="BG372" i="6"/>
  <c r="BH372" i="6"/>
  <c r="AV373" i="6"/>
  <c r="AW373" i="6"/>
  <c r="AX373" i="6"/>
  <c r="AY373" i="6"/>
  <c r="AZ373" i="6"/>
  <c r="BA373" i="6"/>
  <c r="BB373" i="6"/>
  <c r="BC373" i="6"/>
  <c r="BD373" i="6"/>
  <c r="BE373" i="6"/>
  <c r="BF373" i="6"/>
  <c r="BG373" i="6"/>
  <c r="BH373" i="6"/>
  <c r="AV374" i="6"/>
  <c r="AW374" i="6"/>
  <c r="AX374" i="6"/>
  <c r="AY374" i="6"/>
  <c r="AZ374" i="6"/>
  <c r="BA374" i="6"/>
  <c r="BB374" i="6"/>
  <c r="BC374" i="6"/>
  <c r="BD374" i="6"/>
  <c r="BE374" i="6"/>
  <c r="BF374" i="6"/>
  <c r="BG374" i="6"/>
  <c r="BH374" i="6"/>
  <c r="AV375" i="6"/>
  <c r="AW375" i="6"/>
  <c r="AX375" i="6"/>
  <c r="AY375" i="6"/>
  <c r="AZ375" i="6"/>
  <c r="BA375" i="6"/>
  <c r="BB375" i="6"/>
  <c r="BC375" i="6"/>
  <c r="BD375" i="6"/>
  <c r="BE375" i="6"/>
  <c r="BF375" i="6"/>
  <c r="BG375" i="6"/>
  <c r="BH375" i="6"/>
  <c r="AV376" i="6"/>
  <c r="AW376" i="6"/>
  <c r="AX376" i="6"/>
  <c r="AY376" i="6"/>
  <c r="AZ376" i="6"/>
  <c r="BA376" i="6"/>
  <c r="BB376" i="6"/>
  <c r="BC376" i="6"/>
  <c r="BD376" i="6"/>
  <c r="BE376" i="6"/>
  <c r="BF376" i="6"/>
  <c r="BG376" i="6"/>
  <c r="BH376" i="6"/>
  <c r="AV377" i="6"/>
  <c r="AW377" i="6"/>
  <c r="AX377" i="6"/>
  <c r="AY377" i="6"/>
  <c r="AZ377" i="6"/>
  <c r="BA377" i="6"/>
  <c r="BB377" i="6"/>
  <c r="BC377" i="6"/>
  <c r="BD377" i="6"/>
  <c r="BE377" i="6"/>
  <c r="BF377" i="6"/>
  <c r="BG377" i="6"/>
  <c r="BH377" i="6"/>
  <c r="AV378" i="6"/>
  <c r="AW378" i="6"/>
  <c r="AX378" i="6"/>
  <c r="AY378" i="6"/>
  <c r="AZ378" i="6"/>
  <c r="BA378" i="6"/>
  <c r="BB378" i="6"/>
  <c r="BC378" i="6"/>
  <c r="BD378" i="6"/>
  <c r="BE378" i="6"/>
  <c r="BF378" i="6"/>
  <c r="BG378" i="6"/>
  <c r="BH378" i="6"/>
  <c r="AV379" i="6"/>
  <c r="AW379" i="6"/>
  <c r="AX379" i="6"/>
  <c r="AY379" i="6"/>
  <c r="AZ379" i="6"/>
  <c r="BA379" i="6"/>
  <c r="BB379" i="6"/>
  <c r="BC379" i="6"/>
  <c r="BD379" i="6"/>
  <c r="BE379" i="6"/>
  <c r="BF379" i="6"/>
  <c r="BG379" i="6"/>
  <c r="BH379" i="6"/>
  <c r="AV380" i="6"/>
  <c r="AW380" i="6"/>
  <c r="AX380" i="6"/>
  <c r="AY380" i="6"/>
  <c r="AZ380" i="6"/>
  <c r="BA380" i="6"/>
  <c r="BB380" i="6"/>
  <c r="BC380" i="6"/>
  <c r="BD380" i="6"/>
  <c r="BE380" i="6"/>
  <c r="BF380" i="6"/>
  <c r="BG380" i="6"/>
  <c r="BH380" i="6"/>
  <c r="AV381" i="6"/>
  <c r="AW381" i="6"/>
  <c r="AX381" i="6"/>
  <c r="AY381" i="6"/>
  <c r="AZ381" i="6"/>
  <c r="BA381" i="6"/>
  <c r="BB381" i="6"/>
  <c r="BC381" i="6"/>
  <c r="BD381" i="6"/>
  <c r="BE381" i="6"/>
  <c r="BF381" i="6"/>
  <c r="BG381" i="6"/>
  <c r="BH381" i="6"/>
  <c r="AV382" i="6"/>
  <c r="AW382" i="6"/>
  <c r="AX382" i="6"/>
  <c r="AY382" i="6"/>
  <c r="AZ382" i="6"/>
  <c r="BA382" i="6"/>
  <c r="BB382" i="6"/>
  <c r="BC382" i="6"/>
  <c r="BD382" i="6"/>
  <c r="BE382" i="6"/>
  <c r="BF382" i="6"/>
  <c r="BG382" i="6"/>
  <c r="BH382" i="6"/>
  <c r="AV383" i="6"/>
  <c r="AW383" i="6"/>
  <c r="AX383" i="6"/>
  <c r="AY383" i="6"/>
  <c r="AZ383" i="6"/>
  <c r="BA383" i="6"/>
  <c r="BB383" i="6"/>
  <c r="BC383" i="6"/>
  <c r="BD383" i="6"/>
  <c r="BE383" i="6"/>
  <c r="BF383" i="6"/>
  <c r="BG383" i="6"/>
  <c r="BH383" i="6"/>
  <c r="AV384" i="6"/>
  <c r="AW384" i="6"/>
  <c r="AX384" i="6"/>
  <c r="AY384" i="6"/>
  <c r="AZ384" i="6"/>
  <c r="BA384" i="6"/>
  <c r="BB384" i="6"/>
  <c r="BC384" i="6"/>
  <c r="BD384" i="6"/>
  <c r="BE384" i="6"/>
  <c r="BF384" i="6"/>
  <c r="BG384" i="6"/>
  <c r="BH384" i="6"/>
  <c r="AV385" i="6"/>
  <c r="AW385" i="6"/>
  <c r="AX385" i="6"/>
  <c r="AY385" i="6"/>
  <c r="AZ385" i="6"/>
  <c r="BA385" i="6"/>
  <c r="BB385" i="6"/>
  <c r="BC385" i="6"/>
  <c r="BD385" i="6"/>
  <c r="BE385" i="6"/>
  <c r="BF385" i="6"/>
  <c r="BG385" i="6"/>
  <c r="BH385" i="6"/>
  <c r="AV386" i="6"/>
  <c r="AW386" i="6"/>
  <c r="AX386" i="6"/>
  <c r="AY386" i="6"/>
  <c r="AZ386" i="6"/>
  <c r="BA386" i="6"/>
  <c r="BB386" i="6"/>
  <c r="BC386" i="6"/>
  <c r="BD386" i="6"/>
  <c r="BE386" i="6"/>
  <c r="BF386" i="6"/>
  <c r="BG386" i="6"/>
  <c r="BH386" i="6"/>
  <c r="AV387" i="6"/>
  <c r="AW387" i="6"/>
  <c r="AX387" i="6"/>
  <c r="AY387" i="6"/>
  <c r="AZ387" i="6"/>
  <c r="BA387" i="6"/>
  <c r="BB387" i="6"/>
  <c r="BC387" i="6"/>
  <c r="BD387" i="6"/>
  <c r="BE387" i="6"/>
  <c r="BF387" i="6"/>
  <c r="BG387" i="6"/>
  <c r="BH387" i="6"/>
  <c r="AV388" i="6"/>
  <c r="AW388" i="6"/>
  <c r="AX388" i="6"/>
  <c r="AY388" i="6"/>
  <c r="AZ388" i="6"/>
  <c r="BA388" i="6"/>
  <c r="BB388" i="6"/>
  <c r="BC388" i="6"/>
  <c r="BD388" i="6"/>
  <c r="BE388" i="6"/>
  <c r="BF388" i="6"/>
  <c r="BG388" i="6"/>
  <c r="BH388" i="6"/>
  <c r="AV389" i="6"/>
  <c r="AW389" i="6"/>
  <c r="AX389" i="6"/>
  <c r="AY389" i="6"/>
  <c r="AZ389" i="6"/>
  <c r="BA389" i="6"/>
  <c r="BB389" i="6"/>
  <c r="BC389" i="6"/>
  <c r="BD389" i="6"/>
  <c r="BE389" i="6"/>
  <c r="BF389" i="6"/>
  <c r="BG389" i="6"/>
  <c r="BH389" i="6"/>
  <c r="AV390" i="6"/>
  <c r="AW390" i="6"/>
  <c r="AX390" i="6"/>
  <c r="AY390" i="6"/>
  <c r="AZ390" i="6"/>
  <c r="BA390" i="6"/>
  <c r="BB390" i="6"/>
  <c r="BC390" i="6"/>
  <c r="BD390" i="6"/>
  <c r="BE390" i="6"/>
  <c r="BF390" i="6"/>
  <c r="BG390" i="6"/>
  <c r="BH390" i="6"/>
  <c r="AV391" i="6"/>
  <c r="AW391" i="6"/>
  <c r="AX391" i="6"/>
  <c r="AY391" i="6"/>
  <c r="AZ391" i="6"/>
  <c r="BA391" i="6"/>
  <c r="BB391" i="6"/>
  <c r="BC391" i="6"/>
  <c r="BD391" i="6"/>
  <c r="BE391" i="6"/>
  <c r="BF391" i="6"/>
  <c r="BG391" i="6"/>
  <c r="BH391" i="6"/>
  <c r="AV392" i="6"/>
  <c r="AW392" i="6"/>
  <c r="AX392" i="6"/>
  <c r="AY392" i="6"/>
  <c r="AZ392" i="6"/>
  <c r="BA392" i="6"/>
  <c r="BB392" i="6"/>
  <c r="BC392" i="6"/>
  <c r="BD392" i="6"/>
  <c r="BE392" i="6"/>
  <c r="BF392" i="6"/>
  <c r="BG392" i="6"/>
  <c r="BH392" i="6"/>
  <c r="AV393" i="6"/>
  <c r="AW393" i="6"/>
  <c r="AX393" i="6"/>
  <c r="AY393" i="6"/>
  <c r="AZ393" i="6"/>
  <c r="BA393" i="6"/>
  <c r="BB393" i="6"/>
  <c r="BC393" i="6"/>
  <c r="BD393" i="6"/>
  <c r="BE393" i="6"/>
  <c r="BF393" i="6"/>
  <c r="BG393" i="6"/>
  <c r="BH393" i="6"/>
  <c r="AV394" i="6"/>
  <c r="AW394" i="6"/>
  <c r="AX394" i="6"/>
  <c r="AY394" i="6"/>
  <c r="AZ394" i="6"/>
  <c r="BA394" i="6"/>
  <c r="BB394" i="6"/>
  <c r="BC394" i="6"/>
  <c r="BD394" i="6"/>
  <c r="BE394" i="6"/>
  <c r="BF394" i="6"/>
  <c r="BG394" i="6"/>
  <c r="BH394" i="6"/>
  <c r="AV395" i="6"/>
  <c r="AW395" i="6"/>
  <c r="AX395" i="6"/>
  <c r="AY395" i="6"/>
  <c r="AZ395" i="6"/>
  <c r="BA395" i="6"/>
  <c r="BB395" i="6"/>
  <c r="BC395" i="6"/>
  <c r="BD395" i="6"/>
  <c r="BE395" i="6"/>
  <c r="BF395" i="6"/>
  <c r="BG395" i="6"/>
  <c r="BH395" i="6"/>
  <c r="AV396" i="6"/>
  <c r="AW396" i="6"/>
  <c r="AX396" i="6"/>
  <c r="AY396" i="6"/>
  <c r="AZ396" i="6"/>
  <c r="BA396" i="6"/>
  <c r="BB396" i="6"/>
  <c r="BC396" i="6"/>
  <c r="BD396" i="6"/>
  <c r="BE396" i="6"/>
  <c r="BF396" i="6"/>
  <c r="BG396" i="6"/>
  <c r="BH396" i="6"/>
  <c r="AV397" i="6"/>
  <c r="AW397" i="6"/>
  <c r="AX397" i="6"/>
  <c r="AY397" i="6"/>
  <c r="AZ397" i="6"/>
  <c r="BA397" i="6"/>
  <c r="BB397" i="6"/>
  <c r="BC397" i="6"/>
  <c r="BD397" i="6"/>
  <c r="BE397" i="6"/>
  <c r="BF397" i="6"/>
  <c r="BG397" i="6"/>
  <c r="BH397" i="6"/>
  <c r="AV398" i="6"/>
  <c r="AW398" i="6"/>
  <c r="AX398" i="6"/>
  <c r="AY398" i="6"/>
  <c r="AZ398" i="6"/>
  <c r="BA398" i="6"/>
  <c r="BB398" i="6"/>
  <c r="BC398" i="6"/>
  <c r="BD398" i="6"/>
  <c r="BE398" i="6"/>
  <c r="BF398" i="6"/>
  <c r="BG398" i="6"/>
  <c r="BH398" i="6"/>
  <c r="AV399" i="6"/>
  <c r="AW399" i="6"/>
  <c r="AX399" i="6"/>
  <c r="AY399" i="6"/>
  <c r="AZ399" i="6"/>
  <c r="BA399" i="6"/>
  <c r="BB399" i="6"/>
  <c r="BC399" i="6"/>
  <c r="BD399" i="6"/>
  <c r="BE399" i="6"/>
  <c r="BF399" i="6"/>
  <c r="BG399" i="6"/>
  <c r="BH399" i="6"/>
  <c r="AV400" i="6"/>
  <c r="AW400" i="6"/>
  <c r="AX400" i="6"/>
  <c r="AY400" i="6"/>
  <c r="AZ400" i="6"/>
  <c r="BA400" i="6"/>
  <c r="BB400" i="6"/>
  <c r="BC400" i="6"/>
  <c r="BD400" i="6"/>
  <c r="BE400" i="6"/>
  <c r="BF400" i="6"/>
  <c r="BG400" i="6"/>
  <c r="BH400" i="6"/>
  <c r="AV401" i="6"/>
  <c r="AW401" i="6"/>
  <c r="AX401" i="6"/>
  <c r="AY401" i="6"/>
  <c r="AZ401" i="6"/>
  <c r="BA401" i="6"/>
  <c r="BB401" i="6"/>
  <c r="BC401" i="6"/>
  <c r="BD401" i="6"/>
  <c r="BE401" i="6"/>
  <c r="BF401" i="6"/>
  <c r="BG401" i="6"/>
  <c r="BH401" i="6"/>
  <c r="AV402" i="6"/>
  <c r="AW402" i="6"/>
  <c r="AX402" i="6"/>
  <c r="AY402" i="6"/>
  <c r="AZ402" i="6"/>
  <c r="BA402" i="6"/>
  <c r="BB402" i="6"/>
  <c r="BC402" i="6"/>
  <c r="BD402" i="6"/>
  <c r="BE402" i="6"/>
  <c r="BF402" i="6"/>
  <c r="BG402" i="6"/>
  <c r="BH402" i="6"/>
  <c r="AV403" i="6"/>
  <c r="AW403" i="6"/>
  <c r="AX403" i="6"/>
  <c r="AY403" i="6"/>
  <c r="AZ403" i="6"/>
  <c r="BA403" i="6"/>
  <c r="BB403" i="6"/>
  <c r="BC403" i="6"/>
  <c r="BD403" i="6"/>
  <c r="BE403" i="6"/>
  <c r="BF403" i="6"/>
  <c r="BG403" i="6"/>
  <c r="BH403" i="6"/>
  <c r="AV404" i="6"/>
  <c r="AW404" i="6"/>
  <c r="AX404" i="6"/>
  <c r="AY404" i="6"/>
  <c r="AZ404" i="6"/>
  <c r="BA404" i="6"/>
  <c r="BB404" i="6"/>
  <c r="BC404" i="6"/>
  <c r="BD404" i="6"/>
  <c r="BE404" i="6"/>
  <c r="BF404" i="6"/>
  <c r="BG404" i="6"/>
  <c r="BH404" i="6"/>
  <c r="AV405" i="6"/>
  <c r="AW405" i="6"/>
  <c r="AX405" i="6"/>
  <c r="AY405" i="6"/>
  <c r="AZ405" i="6"/>
  <c r="BA405" i="6"/>
  <c r="BB405" i="6"/>
  <c r="BC405" i="6"/>
  <c r="BD405" i="6"/>
  <c r="BE405" i="6"/>
  <c r="BF405" i="6"/>
  <c r="BG405" i="6"/>
  <c r="BH405" i="6"/>
  <c r="AV406" i="6"/>
  <c r="AW406" i="6"/>
  <c r="AX406" i="6"/>
  <c r="AY406" i="6"/>
  <c r="AZ406" i="6"/>
  <c r="BA406" i="6"/>
  <c r="BB406" i="6"/>
  <c r="BC406" i="6"/>
  <c r="BD406" i="6"/>
  <c r="BE406" i="6"/>
  <c r="BF406" i="6"/>
  <c r="BG406" i="6"/>
  <c r="BH406" i="6"/>
  <c r="AV407" i="6"/>
  <c r="AW407" i="6"/>
  <c r="AX407" i="6"/>
  <c r="AY407" i="6"/>
  <c r="AZ407" i="6"/>
  <c r="BA407" i="6"/>
  <c r="BB407" i="6"/>
  <c r="BC407" i="6"/>
  <c r="BD407" i="6"/>
  <c r="BE407" i="6"/>
  <c r="BF407" i="6"/>
  <c r="BG407" i="6"/>
  <c r="BH407" i="6"/>
  <c r="AV408" i="6"/>
  <c r="AW408" i="6"/>
  <c r="AX408" i="6"/>
  <c r="AY408" i="6"/>
  <c r="AZ408" i="6"/>
  <c r="BA408" i="6"/>
  <c r="BB408" i="6"/>
  <c r="BC408" i="6"/>
  <c r="BD408" i="6"/>
  <c r="BE408" i="6"/>
  <c r="BF408" i="6"/>
  <c r="BG408" i="6"/>
  <c r="BH408" i="6"/>
  <c r="AV409" i="6"/>
  <c r="AW409" i="6"/>
  <c r="AX409" i="6"/>
  <c r="AY409" i="6"/>
  <c r="AZ409" i="6"/>
  <c r="BA409" i="6"/>
  <c r="BB409" i="6"/>
  <c r="BC409" i="6"/>
  <c r="BD409" i="6"/>
  <c r="BE409" i="6"/>
  <c r="BF409" i="6"/>
  <c r="BG409" i="6"/>
  <c r="BH409" i="6"/>
  <c r="AV410" i="6"/>
  <c r="AW410" i="6"/>
  <c r="AX410" i="6"/>
  <c r="AY410" i="6"/>
  <c r="AZ410" i="6"/>
  <c r="BA410" i="6"/>
  <c r="BB410" i="6"/>
  <c r="BC410" i="6"/>
  <c r="BD410" i="6"/>
  <c r="BE410" i="6"/>
  <c r="BF410" i="6"/>
  <c r="BG410" i="6"/>
  <c r="BH410" i="6"/>
  <c r="AV411" i="6"/>
  <c r="AW411" i="6"/>
  <c r="AX411" i="6"/>
  <c r="AY411" i="6"/>
  <c r="AZ411" i="6"/>
  <c r="BA411" i="6"/>
  <c r="BB411" i="6"/>
  <c r="BC411" i="6"/>
  <c r="BD411" i="6"/>
  <c r="BE411" i="6"/>
  <c r="BF411" i="6"/>
  <c r="BG411" i="6"/>
  <c r="BH411" i="6"/>
  <c r="AV412" i="6"/>
  <c r="AW412" i="6"/>
  <c r="AX412" i="6"/>
  <c r="AY412" i="6"/>
  <c r="AZ412" i="6"/>
  <c r="BA412" i="6"/>
  <c r="BB412" i="6"/>
  <c r="BC412" i="6"/>
  <c r="BD412" i="6"/>
  <c r="BE412" i="6"/>
  <c r="BF412" i="6"/>
  <c r="BG412" i="6"/>
  <c r="BH412" i="6"/>
  <c r="AV413" i="6"/>
  <c r="AW413" i="6"/>
  <c r="AX413" i="6"/>
  <c r="AY413" i="6"/>
  <c r="AZ413" i="6"/>
  <c r="BA413" i="6"/>
  <c r="BB413" i="6"/>
  <c r="BC413" i="6"/>
  <c r="BD413" i="6"/>
  <c r="BE413" i="6"/>
  <c r="BF413" i="6"/>
  <c r="BG413" i="6"/>
  <c r="BH413" i="6"/>
  <c r="AV414" i="6"/>
  <c r="AW414" i="6"/>
  <c r="AX414" i="6"/>
  <c r="AY414" i="6"/>
  <c r="AZ414" i="6"/>
  <c r="BA414" i="6"/>
  <c r="BB414" i="6"/>
  <c r="BC414" i="6"/>
  <c r="BD414" i="6"/>
  <c r="BE414" i="6"/>
  <c r="BF414" i="6"/>
  <c r="BG414" i="6"/>
  <c r="BH414" i="6"/>
  <c r="AV415" i="6"/>
  <c r="AW415" i="6"/>
  <c r="AX415" i="6"/>
  <c r="AY415" i="6"/>
  <c r="AZ415" i="6"/>
  <c r="BA415" i="6"/>
  <c r="BB415" i="6"/>
  <c r="BC415" i="6"/>
  <c r="BD415" i="6"/>
  <c r="BE415" i="6"/>
  <c r="BF415" i="6"/>
  <c r="BG415" i="6"/>
  <c r="BH415" i="6"/>
  <c r="AV416" i="6"/>
  <c r="AW416" i="6"/>
  <c r="AX416" i="6"/>
  <c r="AY416" i="6"/>
  <c r="AZ416" i="6"/>
  <c r="BA416" i="6"/>
  <c r="BB416" i="6"/>
  <c r="BC416" i="6"/>
  <c r="BD416" i="6"/>
  <c r="BE416" i="6"/>
  <c r="BF416" i="6"/>
  <c r="BG416" i="6"/>
  <c r="BH416" i="6"/>
  <c r="AV417" i="6"/>
  <c r="AW417" i="6"/>
  <c r="AX417" i="6"/>
  <c r="AY417" i="6"/>
  <c r="AZ417" i="6"/>
  <c r="BA417" i="6"/>
  <c r="BB417" i="6"/>
  <c r="BC417" i="6"/>
  <c r="BD417" i="6"/>
  <c r="BE417" i="6"/>
  <c r="BF417" i="6"/>
  <c r="BG417" i="6"/>
  <c r="BH417" i="6"/>
  <c r="AV418" i="6"/>
  <c r="AW418" i="6"/>
  <c r="AX418" i="6"/>
  <c r="AY418" i="6"/>
  <c r="AZ418" i="6"/>
  <c r="BA418" i="6"/>
  <c r="BB418" i="6"/>
  <c r="BC418" i="6"/>
  <c r="BD418" i="6"/>
  <c r="BE418" i="6"/>
  <c r="BF418" i="6"/>
  <c r="BG418" i="6"/>
  <c r="BH418" i="6"/>
  <c r="AV419" i="6"/>
  <c r="AW419" i="6"/>
  <c r="AX419" i="6"/>
  <c r="AY419" i="6"/>
  <c r="AZ419" i="6"/>
  <c r="BA419" i="6"/>
  <c r="BB419" i="6"/>
  <c r="BC419" i="6"/>
  <c r="BD419" i="6"/>
  <c r="BE419" i="6"/>
  <c r="BF419" i="6"/>
  <c r="BG419" i="6"/>
  <c r="BH419" i="6"/>
  <c r="AV420" i="6"/>
  <c r="AW420" i="6"/>
  <c r="AX420" i="6"/>
  <c r="AY420" i="6"/>
  <c r="AZ420" i="6"/>
  <c r="BA420" i="6"/>
  <c r="BB420" i="6"/>
  <c r="BC420" i="6"/>
  <c r="BD420" i="6"/>
  <c r="BE420" i="6"/>
  <c r="BF420" i="6"/>
  <c r="BG420" i="6"/>
  <c r="BH420" i="6"/>
  <c r="AV421" i="6"/>
  <c r="AW421" i="6"/>
  <c r="AX421" i="6"/>
  <c r="AY421" i="6"/>
  <c r="AZ421" i="6"/>
  <c r="BA421" i="6"/>
  <c r="BB421" i="6"/>
  <c r="BC421" i="6"/>
  <c r="BD421" i="6"/>
  <c r="BE421" i="6"/>
  <c r="BF421" i="6"/>
  <c r="BG421" i="6"/>
  <c r="BH421" i="6"/>
  <c r="AV422" i="6"/>
  <c r="AW422" i="6"/>
  <c r="AX422" i="6"/>
  <c r="AY422" i="6"/>
  <c r="AZ422" i="6"/>
  <c r="BA422" i="6"/>
  <c r="BB422" i="6"/>
  <c r="BC422" i="6"/>
  <c r="BD422" i="6"/>
  <c r="BE422" i="6"/>
  <c r="BF422" i="6"/>
  <c r="BG422" i="6"/>
  <c r="BH422" i="6"/>
  <c r="AV423" i="6"/>
  <c r="AW423" i="6"/>
  <c r="AX423" i="6"/>
  <c r="AY423" i="6"/>
  <c r="AZ423" i="6"/>
  <c r="BA423" i="6"/>
  <c r="BB423" i="6"/>
  <c r="BC423" i="6"/>
  <c r="BD423" i="6"/>
  <c r="BE423" i="6"/>
  <c r="BF423" i="6"/>
  <c r="BG423" i="6"/>
  <c r="BH423" i="6"/>
  <c r="AV424" i="6"/>
  <c r="AW424" i="6"/>
  <c r="AX424" i="6"/>
  <c r="AY424" i="6"/>
  <c r="AZ424" i="6"/>
  <c r="BA424" i="6"/>
  <c r="BB424" i="6"/>
  <c r="BC424" i="6"/>
  <c r="BD424" i="6"/>
  <c r="BE424" i="6"/>
  <c r="BF424" i="6"/>
  <c r="BG424" i="6"/>
  <c r="BH424" i="6"/>
  <c r="AV425" i="6"/>
  <c r="AW425" i="6"/>
  <c r="AX425" i="6"/>
  <c r="AY425" i="6"/>
  <c r="AZ425" i="6"/>
  <c r="BA425" i="6"/>
  <c r="BB425" i="6"/>
  <c r="BC425" i="6"/>
  <c r="BD425" i="6"/>
  <c r="BE425" i="6"/>
  <c r="BF425" i="6"/>
  <c r="BG425" i="6"/>
  <c r="BH425" i="6"/>
  <c r="AV426" i="6"/>
  <c r="AW426" i="6"/>
  <c r="AX426" i="6"/>
  <c r="AY426" i="6"/>
  <c r="AZ426" i="6"/>
  <c r="BA426" i="6"/>
  <c r="BB426" i="6"/>
  <c r="BC426" i="6"/>
  <c r="BD426" i="6"/>
  <c r="BE426" i="6"/>
  <c r="BF426" i="6"/>
  <c r="BG426" i="6"/>
  <c r="BH426" i="6"/>
  <c r="AV427" i="6"/>
  <c r="AW427" i="6"/>
  <c r="AX427" i="6"/>
  <c r="AY427" i="6"/>
  <c r="AZ427" i="6"/>
  <c r="BA427" i="6"/>
  <c r="BB427" i="6"/>
  <c r="BC427" i="6"/>
  <c r="BD427" i="6"/>
  <c r="BE427" i="6"/>
  <c r="BF427" i="6"/>
  <c r="BG427" i="6"/>
  <c r="BH427" i="6"/>
  <c r="AV428" i="6"/>
  <c r="AW428" i="6"/>
  <c r="AX428" i="6"/>
  <c r="AY428" i="6"/>
  <c r="AZ428" i="6"/>
  <c r="BA428" i="6"/>
  <c r="BB428" i="6"/>
  <c r="BC428" i="6"/>
  <c r="BD428" i="6"/>
  <c r="BE428" i="6"/>
  <c r="BF428" i="6"/>
  <c r="BG428" i="6"/>
  <c r="BH428" i="6"/>
  <c r="AV429" i="6"/>
  <c r="AW429" i="6"/>
  <c r="AX429" i="6"/>
  <c r="AY429" i="6"/>
  <c r="AZ429" i="6"/>
  <c r="BA429" i="6"/>
  <c r="BB429" i="6"/>
  <c r="BC429" i="6"/>
  <c r="BD429" i="6"/>
  <c r="BE429" i="6"/>
  <c r="BF429" i="6"/>
  <c r="BG429" i="6"/>
  <c r="BH429" i="6"/>
  <c r="BH2" i="6"/>
  <c r="BG2" i="6"/>
  <c r="BF2" i="6"/>
  <c r="BE2" i="6"/>
  <c r="BD2" i="6"/>
  <c r="BC2" i="6"/>
  <c r="BB2" i="6"/>
  <c r="BA2" i="6"/>
  <c r="AZ2" i="6"/>
  <c r="AY2" i="6"/>
  <c r="AX2" i="6"/>
  <c r="AW2" i="6"/>
  <c r="AV2" i="6"/>
  <c r="AJ3" i="4"/>
  <c r="AK3" i="4"/>
  <c r="AL3" i="4"/>
  <c r="AM3" i="4"/>
  <c r="AN3" i="4"/>
  <c r="AO3" i="4"/>
  <c r="AP3" i="4"/>
  <c r="AQ3" i="4"/>
  <c r="AR3" i="4"/>
  <c r="AS3" i="4"/>
  <c r="AT3" i="4"/>
  <c r="AU3" i="4"/>
  <c r="AV3" i="4"/>
  <c r="AJ4" i="4"/>
  <c r="AK4" i="4"/>
  <c r="AL4" i="4"/>
  <c r="AM4" i="4"/>
  <c r="AN4" i="4"/>
  <c r="AO4" i="4"/>
  <c r="AP4" i="4"/>
  <c r="AQ4" i="4"/>
  <c r="AR4" i="4"/>
  <c r="AS4" i="4"/>
  <c r="AT4" i="4"/>
  <c r="AU4" i="4"/>
  <c r="AV4" i="4"/>
  <c r="AJ5" i="4"/>
  <c r="AK5" i="4"/>
  <c r="AL5" i="4"/>
  <c r="AM5" i="4"/>
  <c r="AN5" i="4"/>
  <c r="AO5" i="4"/>
  <c r="AP5" i="4"/>
  <c r="AQ5" i="4"/>
  <c r="AR5" i="4"/>
  <c r="AS5" i="4"/>
  <c r="AT5" i="4"/>
  <c r="AU5" i="4"/>
  <c r="AV5" i="4"/>
  <c r="AJ6" i="4"/>
  <c r="AK6" i="4"/>
  <c r="AL6" i="4"/>
  <c r="AM6" i="4"/>
  <c r="AN6" i="4"/>
  <c r="AO6" i="4"/>
  <c r="AP6" i="4"/>
  <c r="AQ6" i="4"/>
  <c r="AR6" i="4"/>
  <c r="AS6" i="4"/>
  <c r="AT6" i="4"/>
  <c r="AU6" i="4"/>
  <c r="AV6" i="4"/>
  <c r="AJ7" i="4"/>
  <c r="AK7" i="4"/>
  <c r="AL7" i="4"/>
  <c r="AM7" i="4"/>
  <c r="AN7" i="4"/>
  <c r="AO7" i="4"/>
  <c r="AP7" i="4"/>
  <c r="AQ7" i="4"/>
  <c r="AR7" i="4"/>
  <c r="AS7" i="4"/>
  <c r="AT7" i="4"/>
  <c r="AU7" i="4"/>
  <c r="AV7" i="4"/>
  <c r="AJ8" i="4"/>
  <c r="AK8" i="4"/>
  <c r="AL8" i="4"/>
  <c r="AM8" i="4"/>
  <c r="AN8" i="4"/>
  <c r="AO8" i="4"/>
  <c r="AP8" i="4"/>
  <c r="AQ8" i="4"/>
  <c r="AR8" i="4"/>
  <c r="AS8" i="4"/>
  <c r="AT8" i="4"/>
  <c r="AU8" i="4"/>
  <c r="AV8" i="4"/>
  <c r="AJ9" i="4"/>
  <c r="AK9" i="4"/>
  <c r="AL9" i="4"/>
  <c r="AM9" i="4"/>
  <c r="AN9" i="4"/>
  <c r="AO9" i="4"/>
  <c r="AP9" i="4"/>
  <c r="AQ9" i="4"/>
  <c r="AR9" i="4"/>
  <c r="AS9" i="4"/>
  <c r="AT9" i="4"/>
  <c r="AU9" i="4"/>
  <c r="AV9" i="4"/>
  <c r="AJ10" i="4"/>
  <c r="AK10" i="4"/>
  <c r="AL10" i="4"/>
  <c r="AM10" i="4"/>
  <c r="AN10" i="4"/>
  <c r="AO10" i="4"/>
  <c r="AP10" i="4"/>
  <c r="AQ10" i="4"/>
  <c r="AR10" i="4"/>
  <c r="AS10" i="4"/>
  <c r="AT10" i="4"/>
  <c r="AU10" i="4"/>
  <c r="AV10" i="4"/>
  <c r="AJ11" i="4"/>
  <c r="AK11" i="4"/>
  <c r="AL11" i="4"/>
  <c r="AM11" i="4"/>
  <c r="AN11" i="4"/>
  <c r="AO11" i="4"/>
  <c r="AP11" i="4"/>
  <c r="AQ11" i="4"/>
  <c r="AR11" i="4"/>
  <c r="AS11" i="4"/>
  <c r="AT11" i="4"/>
  <c r="AU11" i="4"/>
  <c r="AV11" i="4"/>
  <c r="AJ12" i="4"/>
  <c r="AK12" i="4"/>
  <c r="AL12" i="4"/>
  <c r="AM12" i="4"/>
  <c r="AN12" i="4"/>
  <c r="AO12" i="4"/>
  <c r="AP12" i="4"/>
  <c r="AQ12" i="4"/>
  <c r="AR12" i="4"/>
  <c r="AS12" i="4"/>
  <c r="AT12" i="4"/>
  <c r="AU12" i="4"/>
  <c r="AV12" i="4"/>
  <c r="AJ13" i="4"/>
  <c r="AK13" i="4"/>
  <c r="AL13" i="4"/>
  <c r="AM13" i="4"/>
  <c r="AN13" i="4"/>
  <c r="AO13" i="4"/>
  <c r="AP13" i="4"/>
  <c r="AQ13" i="4"/>
  <c r="AR13" i="4"/>
  <c r="AS13" i="4"/>
  <c r="AT13" i="4"/>
  <c r="AU13" i="4"/>
  <c r="AV13" i="4"/>
  <c r="AJ14" i="4"/>
  <c r="AK14" i="4"/>
  <c r="AL14" i="4"/>
  <c r="AM14" i="4"/>
  <c r="AN14" i="4"/>
  <c r="AO14" i="4"/>
  <c r="AP14" i="4"/>
  <c r="AQ14" i="4"/>
  <c r="AR14" i="4"/>
  <c r="AS14" i="4"/>
  <c r="AT14" i="4"/>
  <c r="AU14" i="4"/>
  <c r="AV14" i="4"/>
  <c r="AJ15" i="4"/>
  <c r="AK15" i="4"/>
  <c r="AL15" i="4"/>
  <c r="AM15" i="4"/>
  <c r="AN15" i="4"/>
  <c r="AO15" i="4"/>
  <c r="AP15" i="4"/>
  <c r="AQ15" i="4"/>
  <c r="AR15" i="4"/>
  <c r="AS15" i="4"/>
  <c r="AT15" i="4"/>
  <c r="AU15" i="4"/>
  <c r="AV15" i="4"/>
  <c r="AJ16" i="4"/>
  <c r="AK16" i="4"/>
  <c r="AL16" i="4"/>
  <c r="AM16" i="4"/>
  <c r="AN16" i="4"/>
  <c r="AO16" i="4"/>
  <c r="AP16" i="4"/>
  <c r="AQ16" i="4"/>
  <c r="AR16" i="4"/>
  <c r="AS16" i="4"/>
  <c r="AT16" i="4"/>
  <c r="AU16" i="4"/>
  <c r="AV16" i="4"/>
  <c r="AJ17" i="4"/>
  <c r="AK17" i="4"/>
  <c r="AL17" i="4"/>
  <c r="AM17" i="4"/>
  <c r="AN17" i="4"/>
  <c r="AO17" i="4"/>
  <c r="AP17" i="4"/>
  <c r="AQ17" i="4"/>
  <c r="AR17" i="4"/>
  <c r="AS17" i="4"/>
  <c r="AT17" i="4"/>
  <c r="AU17" i="4"/>
  <c r="AV17" i="4"/>
  <c r="AJ18" i="4"/>
  <c r="AK18" i="4"/>
  <c r="AL18" i="4"/>
  <c r="AM18" i="4"/>
  <c r="AN18" i="4"/>
  <c r="AO18" i="4"/>
  <c r="AP18" i="4"/>
  <c r="AQ18" i="4"/>
  <c r="AR18" i="4"/>
  <c r="AS18" i="4"/>
  <c r="AT18" i="4"/>
  <c r="AU18" i="4"/>
  <c r="AV18" i="4"/>
  <c r="AJ19" i="4"/>
  <c r="AK19" i="4"/>
  <c r="AL19" i="4"/>
  <c r="AM19" i="4"/>
  <c r="AN19" i="4"/>
  <c r="AO19" i="4"/>
  <c r="AP19" i="4"/>
  <c r="AQ19" i="4"/>
  <c r="AR19" i="4"/>
  <c r="AS19" i="4"/>
  <c r="AT19" i="4"/>
  <c r="AU19" i="4"/>
  <c r="AV19" i="4"/>
  <c r="AJ20" i="4"/>
  <c r="AK20" i="4"/>
  <c r="AL20" i="4"/>
  <c r="AM20" i="4"/>
  <c r="AN20" i="4"/>
  <c r="AO20" i="4"/>
  <c r="AP20" i="4"/>
  <c r="AQ20" i="4"/>
  <c r="AR20" i="4"/>
  <c r="AS20" i="4"/>
  <c r="AT20" i="4"/>
  <c r="AU20" i="4"/>
  <c r="AV20" i="4"/>
  <c r="AJ21" i="4"/>
  <c r="AK21" i="4"/>
  <c r="AL21" i="4"/>
  <c r="AM21" i="4"/>
  <c r="AN21" i="4"/>
  <c r="AO21" i="4"/>
  <c r="AP21" i="4"/>
  <c r="AQ21" i="4"/>
  <c r="AR21" i="4"/>
  <c r="AS21" i="4"/>
  <c r="AT21" i="4"/>
  <c r="AU21" i="4"/>
  <c r="AV21" i="4"/>
  <c r="AJ22" i="4"/>
  <c r="AK22" i="4"/>
  <c r="AL22" i="4"/>
  <c r="AM22" i="4"/>
  <c r="AN22" i="4"/>
  <c r="AO22" i="4"/>
  <c r="AP22" i="4"/>
  <c r="AQ22" i="4"/>
  <c r="AR22" i="4"/>
  <c r="AS22" i="4"/>
  <c r="AT22" i="4"/>
  <c r="AU22" i="4"/>
  <c r="AV22" i="4"/>
  <c r="AJ23" i="4"/>
  <c r="AK23" i="4"/>
  <c r="AL23" i="4"/>
  <c r="AM23" i="4"/>
  <c r="AN23" i="4"/>
  <c r="AO23" i="4"/>
  <c r="AP23" i="4"/>
  <c r="AQ23" i="4"/>
  <c r="AR23" i="4"/>
  <c r="AS23" i="4"/>
  <c r="AT23" i="4"/>
  <c r="AU23" i="4"/>
  <c r="AV23" i="4"/>
  <c r="AJ24" i="4"/>
  <c r="AK24" i="4"/>
  <c r="AL24" i="4"/>
  <c r="AM24" i="4"/>
  <c r="AN24" i="4"/>
  <c r="AO24" i="4"/>
  <c r="AP24" i="4"/>
  <c r="AQ24" i="4"/>
  <c r="AR24" i="4"/>
  <c r="AS24" i="4"/>
  <c r="AT24" i="4"/>
  <c r="AU24" i="4"/>
  <c r="AV24" i="4"/>
  <c r="AJ25" i="4"/>
  <c r="AK25" i="4"/>
  <c r="AL25" i="4"/>
  <c r="AM25" i="4"/>
  <c r="AN25" i="4"/>
  <c r="AO25" i="4"/>
  <c r="AP25" i="4"/>
  <c r="AQ25" i="4"/>
  <c r="AR25" i="4"/>
  <c r="AS25" i="4"/>
  <c r="AT25" i="4"/>
  <c r="AU25" i="4"/>
  <c r="AV25" i="4"/>
  <c r="AJ26" i="4"/>
  <c r="AK26" i="4"/>
  <c r="AL26" i="4"/>
  <c r="AM26" i="4"/>
  <c r="AN26" i="4"/>
  <c r="AO26" i="4"/>
  <c r="AP26" i="4"/>
  <c r="AQ26" i="4"/>
  <c r="AR26" i="4"/>
  <c r="AS26" i="4"/>
  <c r="AT26" i="4"/>
  <c r="AU26" i="4"/>
  <c r="AV26" i="4"/>
  <c r="AJ27" i="4"/>
  <c r="AK27" i="4"/>
  <c r="AL27" i="4"/>
  <c r="AM27" i="4"/>
  <c r="AN27" i="4"/>
  <c r="AO27" i="4"/>
  <c r="AP27" i="4"/>
  <c r="AQ27" i="4"/>
  <c r="AR27" i="4"/>
  <c r="AS27" i="4"/>
  <c r="AT27" i="4"/>
  <c r="AU27" i="4"/>
  <c r="AV27" i="4"/>
  <c r="AJ28" i="4"/>
  <c r="AK28" i="4"/>
  <c r="AL28" i="4"/>
  <c r="AM28" i="4"/>
  <c r="AN28" i="4"/>
  <c r="AO28" i="4"/>
  <c r="AP28" i="4"/>
  <c r="AQ28" i="4"/>
  <c r="AR28" i="4"/>
  <c r="AS28" i="4"/>
  <c r="AT28" i="4"/>
  <c r="AU28" i="4"/>
  <c r="AV28" i="4"/>
  <c r="AJ29" i="4"/>
  <c r="AK29" i="4"/>
  <c r="AL29" i="4"/>
  <c r="AM29" i="4"/>
  <c r="AN29" i="4"/>
  <c r="AO29" i="4"/>
  <c r="AP29" i="4"/>
  <c r="AQ29" i="4"/>
  <c r="AR29" i="4"/>
  <c r="AS29" i="4"/>
  <c r="AT29" i="4"/>
  <c r="AU29" i="4"/>
  <c r="AV29" i="4"/>
  <c r="AJ30" i="4"/>
  <c r="AK30" i="4"/>
  <c r="AL30" i="4"/>
  <c r="AM30" i="4"/>
  <c r="AN30" i="4"/>
  <c r="AO30" i="4"/>
  <c r="AP30" i="4"/>
  <c r="AQ30" i="4"/>
  <c r="AR30" i="4"/>
  <c r="AS30" i="4"/>
  <c r="AT30" i="4"/>
  <c r="AU30" i="4"/>
  <c r="AV30" i="4"/>
  <c r="AJ31" i="4"/>
  <c r="AK31" i="4"/>
  <c r="AL31" i="4"/>
  <c r="AM31" i="4"/>
  <c r="AN31" i="4"/>
  <c r="AO31" i="4"/>
  <c r="AP31" i="4"/>
  <c r="AQ31" i="4"/>
  <c r="AR31" i="4"/>
  <c r="AS31" i="4"/>
  <c r="AT31" i="4"/>
  <c r="AU31" i="4"/>
  <c r="AV31" i="4"/>
  <c r="AJ32" i="4"/>
  <c r="AK32" i="4"/>
  <c r="AL32" i="4"/>
  <c r="AM32" i="4"/>
  <c r="AN32" i="4"/>
  <c r="AO32" i="4"/>
  <c r="AP32" i="4"/>
  <c r="AQ32" i="4"/>
  <c r="AR32" i="4"/>
  <c r="AS32" i="4"/>
  <c r="AT32" i="4"/>
  <c r="AU32" i="4"/>
  <c r="AV32" i="4"/>
  <c r="AJ33" i="4"/>
  <c r="AK33" i="4"/>
  <c r="AL33" i="4"/>
  <c r="AM33" i="4"/>
  <c r="AN33" i="4"/>
  <c r="AO33" i="4"/>
  <c r="AP33" i="4"/>
  <c r="AQ33" i="4"/>
  <c r="AR33" i="4"/>
  <c r="AS33" i="4"/>
  <c r="AT33" i="4"/>
  <c r="AU33" i="4"/>
  <c r="AV33" i="4"/>
  <c r="AJ34" i="4"/>
  <c r="AK34" i="4"/>
  <c r="AL34" i="4"/>
  <c r="AM34" i="4"/>
  <c r="AN34" i="4"/>
  <c r="AO34" i="4"/>
  <c r="AP34" i="4"/>
  <c r="AQ34" i="4"/>
  <c r="AR34" i="4"/>
  <c r="AS34" i="4"/>
  <c r="AT34" i="4"/>
  <c r="AU34" i="4"/>
  <c r="AV34" i="4"/>
  <c r="AJ35" i="4"/>
  <c r="AK35" i="4"/>
  <c r="AL35" i="4"/>
  <c r="AM35" i="4"/>
  <c r="AN35" i="4"/>
  <c r="AO35" i="4"/>
  <c r="AP35" i="4"/>
  <c r="AQ35" i="4"/>
  <c r="AR35" i="4"/>
  <c r="AS35" i="4"/>
  <c r="AT35" i="4"/>
  <c r="AU35" i="4"/>
  <c r="AV35" i="4"/>
  <c r="AJ36" i="4"/>
  <c r="AK36" i="4"/>
  <c r="AL36" i="4"/>
  <c r="AM36" i="4"/>
  <c r="AN36" i="4"/>
  <c r="AO36" i="4"/>
  <c r="AP36" i="4"/>
  <c r="AQ36" i="4"/>
  <c r="AR36" i="4"/>
  <c r="AS36" i="4"/>
  <c r="AT36" i="4"/>
  <c r="AU36" i="4"/>
  <c r="AV36" i="4"/>
  <c r="AJ37" i="4"/>
  <c r="AK37" i="4"/>
  <c r="AL37" i="4"/>
  <c r="AM37" i="4"/>
  <c r="AN37" i="4"/>
  <c r="AO37" i="4"/>
  <c r="AP37" i="4"/>
  <c r="AQ37" i="4"/>
  <c r="AR37" i="4"/>
  <c r="AS37" i="4"/>
  <c r="AT37" i="4"/>
  <c r="AU37" i="4"/>
  <c r="AV37" i="4"/>
  <c r="AJ38" i="4"/>
  <c r="AK38" i="4"/>
  <c r="AL38" i="4"/>
  <c r="AM38" i="4"/>
  <c r="AN38" i="4"/>
  <c r="AO38" i="4"/>
  <c r="AP38" i="4"/>
  <c r="AQ38" i="4"/>
  <c r="AR38" i="4"/>
  <c r="AS38" i="4"/>
  <c r="AT38" i="4"/>
  <c r="AU38" i="4"/>
  <c r="AV38" i="4"/>
  <c r="AJ39" i="4"/>
  <c r="AK39" i="4"/>
  <c r="AL39" i="4"/>
  <c r="AM39" i="4"/>
  <c r="AN39" i="4"/>
  <c r="AO39" i="4"/>
  <c r="AP39" i="4"/>
  <c r="AQ39" i="4"/>
  <c r="AR39" i="4"/>
  <c r="AS39" i="4"/>
  <c r="AT39" i="4"/>
  <c r="AU39" i="4"/>
  <c r="AV39" i="4"/>
  <c r="AJ40" i="4"/>
  <c r="AK40" i="4"/>
  <c r="AL40" i="4"/>
  <c r="AM40" i="4"/>
  <c r="AN40" i="4"/>
  <c r="AO40" i="4"/>
  <c r="AP40" i="4"/>
  <c r="AQ40" i="4"/>
  <c r="AR40" i="4"/>
  <c r="AS40" i="4"/>
  <c r="AT40" i="4"/>
  <c r="AU40" i="4"/>
  <c r="AV40" i="4"/>
  <c r="AJ41" i="4"/>
  <c r="AK41" i="4"/>
  <c r="AL41" i="4"/>
  <c r="AM41" i="4"/>
  <c r="AN41" i="4"/>
  <c r="AO41" i="4"/>
  <c r="AP41" i="4"/>
  <c r="AQ41" i="4"/>
  <c r="AR41" i="4"/>
  <c r="AS41" i="4"/>
  <c r="AT41" i="4"/>
  <c r="AU41" i="4"/>
  <c r="AV41" i="4"/>
  <c r="AJ42" i="4"/>
  <c r="AK42" i="4"/>
  <c r="AL42" i="4"/>
  <c r="AM42" i="4"/>
  <c r="AN42" i="4"/>
  <c r="AO42" i="4"/>
  <c r="AP42" i="4"/>
  <c r="AQ42" i="4"/>
  <c r="AR42" i="4"/>
  <c r="AS42" i="4"/>
  <c r="AT42" i="4"/>
  <c r="AU42" i="4"/>
  <c r="AV42" i="4"/>
  <c r="AJ43" i="4"/>
  <c r="AK43" i="4"/>
  <c r="AL43" i="4"/>
  <c r="AM43" i="4"/>
  <c r="AN43" i="4"/>
  <c r="AO43" i="4"/>
  <c r="AP43" i="4"/>
  <c r="AQ43" i="4"/>
  <c r="AR43" i="4"/>
  <c r="AS43" i="4"/>
  <c r="AT43" i="4"/>
  <c r="AU43" i="4"/>
  <c r="AV43" i="4"/>
  <c r="AJ44" i="4"/>
  <c r="AK44" i="4"/>
  <c r="AL44" i="4"/>
  <c r="AM44" i="4"/>
  <c r="AN44" i="4"/>
  <c r="AO44" i="4"/>
  <c r="AP44" i="4"/>
  <c r="AQ44" i="4"/>
  <c r="AR44" i="4"/>
  <c r="AS44" i="4"/>
  <c r="AT44" i="4"/>
  <c r="AU44" i="4"/>
  <c r="AV44" i="4"/>
  <c r="AJ45" i="4"/>
  <c r="AK45" i="4"/>
  <c r="AL45" i="4"/>
  <c r="AM45" i="4"/>
  <c r="AN45" i="4"/>
  <c r="AO45" i="4"/>
  <c r="AP45" i="4"/>
  <c r="AQ45" i="4"/>
  <c r="AR45" i="4"/>
  <c r="AS45" i="4"/>
  <c r="AT45" i="4"/>
  <c r="AU45" i="4"/>
  <c r="AV45" i="4"/>
  <c r="AJ46" i="4"/>
  <c r="AK46" i="4"/>
  <c r="AL46" i="4"/>
  <c r="AM46" i="4"/>
  <c r="AN46" i="4"/>
  <c r="AO46" i="4"/>
  <c r="AP46" i="4"/>
  <c r="AQ46" i="4"/>
  <c r="AR46" i="4"/>
  <c r="AS46" i="4"/>
  <c r="AT46" i="4"/>
  <c r="AU46" i="4"/>
  <c r="AV46" i="4"/>
  <c r="AJ47" i="4"/>
  <c r="AK47" i="4"/>
  <c r="AL47" i="4"/>
  <c r="AM47" i="4"/>
  <c r="AN47" i="4"/>
  <c r="AO47" i="4"/>
  <c r="AP47" i="4"/>
  <c r="AQ47" i="4"/>
  <c r="AR47" i="4"/>
  <c r="AS47" i="4"/>
  <c r="AT47" i="4"/>
  <c r="AU47" i="4"/>
  <c r="AV47" i="4"/>
  <c r="AJ48" i="4"/>
  <c r="AK48" i="4"/>
  <c r="AL48" i="4"/>
  <c r="AM48" i="4"/>
  <c r="AN48" i="4"/>
  <c r="AO48" i="4"/>
  <c r="AP48" i="4"/>
  <c r="AQ48" i="4"/>
  <c r="AR48" i="4"/>
  <c r="AS48" i="4"/>
  <c r="AT48" i="4"/>
  <c r="AU48" i="4"/>
  <c r="AV48" i="4"/>
  <c r="AJ49" i="4"/>
  <c r="AK49" i="4"/>
  <c r="AL49" i="4"/>
  <c r="AM49" i="4"/>
  <c r="AN49" i="4"/>
  <c r="AO49" i="4"/>
  <c r="AP49" i="4"/>
  <c r="AQ49" i="4"/>
  <c r="AR49" i="4"/>
  <c r="AS49" i="4"/>
  <c r="AT49" i="4"/>
  <c r="AU49" i="4"/>
  <c r="AV49" i="4"/>
  <c r="AJ50" i="4"/>
  <c r="AK50" i="4"/>
  <c r="AL50" i="4"/>
  <c r="AM50" i="4"/>
  <c r="AN50" i="4"/>
  <c r="AO50" i="4"/>
  <c r="AP50" i="4"/>
  <c r="AQ50" i="4"/>
  <c r="AR50" i="4"/>
  <c r="AS50" i="4"/>
  <c r="AT50" i="4"/>
  <c r="AU50" i="4"/>
  <c r="AV50" i="4"/>
  <c r="AJ51" i="4"/>
  <c r="AK51" i="4"/>
  <c r="AL51" i="4"/>
  <c r="AM51" i="4"/>
  <c r="AN51" i="4"/>
  <c r="AO51" i="4"/>
  <c r="AP51" i="4"/>
  <c r="AQ51" i="4"/>
  <c r="AR51" i="4"/>
  <c r="AS51" i="4"/>
  <c r="AT51" i="4"/>
  <c r="AU51" i="4"/>
  <c r="AV51" i="4"/>
  <c r="AJ52" i="4"/>
  <c r="AK52" i="4"/>
  <c r="AL52" i="4"/>
  <c r="AM52" i="4"/>
  <c r="AN52" i="4"/>
  <c r="AO52" i="4"/>
  <c r="AP52" i="4"/>
  <c r="AQ52" i="4"/>
  <c r="AR52" i="4"/>
  <c r="AS52" i="4"/>
  <c r="AT52" i="4"/>
  <c r="AU52" i="4"/>
  <c r="AV52" i="4"/>
  <c r="AJ53" i="4"/>
  <c r="AK53" i="4"/>
  <c r="AL53" i="4"/>
  <c r="AM53" i="4"/>
  <c r="AN53" i="4"/>
  <c r="AO53" i="4"/>
  <c r="AP53" i="4"/>
  <c r="AQ53" i="4"/>
  <c r="AR53" i="4"/>
  <c r="AS53" i="4"/>
  <c r="AT53" i="4"/>
  <c r="AU53" i="4"/>
  <c r="AV53" i="4"/>
  <c r="AJ54" i="4"/>
  <c r="AK54" i="4"/>
  <c r="AL54" i="4"/>
  <c r="AM54" i="4"/>
  <c r="AN54" i="4"/>
  <c r="AO54" i="4"/>
  <c r="AP54" i="4"/>
  <c r="AQ54" i="4"/>
  <c r="AR54" i="4"/>
  <c r="AS54" i="4"/>
  <c r="AT54" i="4"/>
  <c r="AU54" i="4"/>
  <c r="AV54" i="4"/>
  <c r="AJ55" i="4"/>
  <c r="AK55" i="4"/>
  <c r="AL55" i="4"/>
  <c r="AM55" i="4"/>
  <c r="AN55" i="4"/>
  <c r="AO55" i="4"/>
  <c r="AP55" i="4"/>
  <c r="AQ55" i="4"/>
  <c r="AR55" i="4"/>
  <c r="AS55" i="4"/>
  <c r="AT55" i="4"/>
  <c r="AU55" i="4"/>
  <c r="AV55" i="4"/>
  <c r="AJ56" i="4"/>
  <c r="AK56" i="4"/>
  <c r="AL56" i="4"/>
  <c r="AM56" i="4"/>
  <c r="AN56" i="4"/>
  <c r="AO56" i="4"/>
  <c r="AP56" i="4"/>
  <c r="AQ56" i="4"/>
  <c r="AR56" i="4"/>
  <c r="AS56" i="4"/>
  <c r="AT56" i="4"/>
  <c r="AU56" i="4"/>
  <c r="AV56" i="4"/>
  <c r="AJ57" i="4"/>
  <c r="AK57" i="4"/>
  <c r="AL57" i="4"/>
  <c r="AM57" i="4"/>
  <c r="AN57" i="4"/>
  <c r="AO57" i="4"/>
  <c r="AP57" i="4"/>
  <c r="AQ57" i="4"/>
  <c r="AR57" i="4"/>
  <c r="AS57" i="4"/>
  <c r="AT57" i="4"/>
  <c r="AU57" i="4"/>
  <c r="AV57" i="4"/>
  <c r="AJ58" i="4"/>
  <c r="AK58" i="4"/>
  <c r="AL58" i="4"/>
  <c r="AM58" i="4"/>
  <c r="AN58" i="4"/>
  <c r="AO58" i="4"/>
  <c r="AP58" i="4"/>
  <c r="AQ58" i="4"/>
  <c r="AR58" i="4"/>
  <c r="AS58" i="4"/>
  <c r="AT58" i="4"/>
  <c r="AU58" i="4"/>
  <c r="AV58" i="4"/>
  <c r="AJ59" i="4"/>
  <c r="AK59" i="4"/>
  <c r="AL59" i="4"/>
  <c r="AM59" i="4"/>
  <c r="AN59" i="4"/>
  <c r="AO59" i="4"/>
  <c r="AP59" i="4"/>
  <c r="AQ59" i="4"/>
  <c r="AR59" i="4"/>
  <c r="AS59" i="4"/>
  <c r="AT59" i="4"/>
  <c r="AU59" i="4"/>
  <c r="AV59" i="4"/>
  <c r="AJ60" i="4"/>
  <c r="AK60" i="4"/>
  <c r="AL60" i="4"/>
  <c r="AM60" i="4"/>
  <c r="AN60" i="4"/>
  <c r="AO60" i="4"/>
  <c r="AP60" i="4"/>
  <c r="AQ60" i="4"/>
  <c r="AR60" i="4"/>
  <c r="AS60" i="4"/>
  <c r="AT60" i="4"/>
  <c r="AU60" i="4"/>
  <c r="AV60" i="4"/>
  <c r="AJ61" i="4"/>
  <c r="AK61" i="4"/>
  <c r="AL61" i="4"/>
  <c r="AM61" i="4"/>
  <c r="AN61" i="4"/>
  <c r="AO61" i="4"/>
  <c r="AP61" i="4"/>
  <c r="AQ61" i="4"/>
  <c r="AR61" i="4"/>
  <c r="AS61" i="4"/>
  <c r="AT61" i="4"/>
  <c r="AU61" i="4"/>
  <c r="AV61" i="4"/>
  <c r="AJ62" i="4"/>
  <c r="AK62" i="4"/>
  <c r="AL62" i="4"/>
  <c r="AM62" i="4"/>
  <c r="AN62" i="4"/>
  <c r="AO62" i="4"/>
  <c r="AP62" i="4"/>
  <c r="AQ62" i="4"/>
  <c r="AR62" i="4"/>
  <c r="AS62" i="4"/>
  <c r="AT62" i="4"/>
  <c r="AU62" i="4"/>
  <c r="AV62" i="4"/>
  <c r="AJ63" i="4"/>
  <c r="AK63" i="4"/>
  <c r="AL63" i="4"/>
  <c r="AM63" i="4"/>
  <c r="AN63" i="4"/>
  <c r="AO63" i="4"/>
  <c r="AP63" i="4"/>
  <c r="AQ63" i="4"/>
  <c r="AR63" i="4"/>
  <c r="AS63" i="4"/>
  <c r="AT63" i="4"/>
  <c r="AU63" i="4"/>
  <c r="AV63" i="4"/>
  <c r="AJ64" i="4"/>
  <c r="AK64" i="4"/>
  <c r="AL64" i="4"/>
  <c r="AM64" i="4"/>
  <c r="AN64" i="4"/>
  <c r="AO64" i="4"/>
  <c r="AP64" i="4"/>
  <c r="AQ64" i="4"/>
  <c r="AR64" i="4"/>
  <c r="AS64" i="4"/>
  <c r="AT64" i="4"/>
  <c r="AU64" i="4"/>
  <c r="AV64" i="4"/>
  <c r="AJ65" i="4"/>
  <c r="AK65" i="4"/>
  <c r="AL65" i="4"/>
  <c r="AM65" i="4"/>
  <c r="AN65" i="4"/>
  <c r="AO65" i="4"/>
  <c r="AP65" i="4"/>
  <c r="AQ65" i="4"/>
  <c r="AR65" i="4"/>
  <c r="AS65" i="4"/>
  <c r="AT65" i="4"/>
  <c r="AU65" i="4"/>
  <c r="AV65" i="4"/>
  <c r="AJ66" i="4"/>
  <c r="AK66" i="4"/>
  <c r="AL66" i="4"/>
  <c r="AM66" i="4"/>
  <c r="AN66" i="4"/>
  <c r="AO66" i="4"/>
  <c r="AP66" i="4"/>
  <c r="AQ66" i="4"/>
  <c r="AR66" i="4"/>
  <c r="AS66" i="4"/>
  <c r="AT66" i="4"/>
  <c r="AU66" i="4"/>
  <c r="AV66" i="4"/>
  <c r="AJ67" i="4"/>
  <c r="AK67" i="4"/>
  <c r="AL67" i="4"/>
  <c r="AM67" i="4"/>
  <c r="AN67" i="4"/>
  <c r="AO67" i="4"/>
  <c r="AP67" i="4"/>
  <c r="AQ67" i="4"/>
  <c r="AR67" i="4"/>
  <c r="AS67" i="4"/>
  <c r="AT67" i="4"/>
  <c r="AU67" i="4"/>
  <c r="AV67" i="4"/>
  <c r="AJ68" i="4"/>
  <c r="AK68" i="4"/>
  <c r="AL68" i="4"/>
  <c r="AM68" i="4"/>
  <c r="AN68" i="4"/>
  <c r="AO68" i="4"/>
  <c r="AP68" i="4"/>
  <c r="AQ68" i="4"/>
  <c r="AR68" i="4"/>
  <c r="AS68" i="4"/>
  <c r="AT68" i="4"/>
  <c r="AU68" i="4"/>
  <c r="AV68" i="4"/>
  <c r="AJ69" i="4"/>
  <c r="AK69" i="4"/>
  <c r="AL69" i="4"/>
  <c r="AM69" i="4"/>
  <c r="AN69" i="4"/>
  <c r="AO69" i="4"/>
  <c r="AP69" i="4"/>
  <c r="AQ69" i="4"/>
  <c r="AR69" i="4"/>
  <c r="AS69" i="4"/>
  <c r="AT69" i="4"/>
  <c r="AU69" i="4"/>
  <c r="AV69" i="4"/>
  <c r="AJ70" i="4"/>
  <c r="AK70" i="4"/>
  <c r="AL70" i="4"/>
  <c r="AM70" i="4"/>
  <c r="AN70" i="4"/>
  <c r="AO70" i="4"/>
  <c r="AP70" i="4"/>
  <c r="AQ70" i="4"/>
  <c r="AR70" i="4"/>
  <c r="AS70" i="4"/>
  <c r="AT70" i="4"/>
  <c r="AU70" i="4"/>
  <c r="AV70" i="4"/>
  <c r="AJ71" i="4"/>
  <c r="AK71" i="4"/>
  <c r="AL71" i="4"/>
  <c r="AM71" i="4"/>
  <c r="AN71" i="4"/>
  <c r="AO71" i="4"/>
  <c r="AP71" i="4"/>
  <c r="AQ71" i="4"/>
  <c r="AR71" i="4"/>
  <c r="AS71" i="4"/>
  <c r="AT71" i="4"/>
  <c r="AU71" i="4"/>
  <c r="AV71" i="4"/>
  <c r="AJ72" i="4"/>
  <c r="AK72" i="4"/>
  <c r="AL72" i="4"/>
  <c r="AM72" i="4"/>
  <c r="AN72" i="4"/>
  <c r="AO72" i="4"/>
  <c r="AP72" i="4"/>
  <c r="AQ72" i="4"/>
  <c r="AR72" i="4"/>
  <c r="AS72" i="4"/>
  <c r="AT72" i="4"/>
  <c r="AU72" i="4"/>
  <c r="AV72" i="4"/>
  <c r="AJ73" i="4"/>
  <c r="AK73" i="4"/>
  <c r="AL73" i="4"/>
  <c r="AM73" i="4"/>
  <c r="AN73" i="4"/>
  <c r="AO73" i="4"/>
  <c r="AP73" i="4"/>
  <c r="AQ73" i="4"/>
  <c r="AR73" i="4"/>
  <c r="AS73" i="4"/>
  <c r="AT73" i="4"/>
  <c r="AU73" i="4"/>
  <c r="AV73" i="4"/>
  <c r="AJ74" i="4"/>
  <c r="AK74" i="4"/>
  <c r="AL74" i="4"/>
  <c r="AM74" i="4"/>
  <c r="AN74" i="4"/>
  <c r="AO74" i="4"/>
  <c r="AP74" i="4"/>
  <c r="AQ74" i="4"/>
  <c r="AR74" i="4"/>
  <c r="AS74" i="4"/>
  <c r="AT74" i="4"/>
  <c r="AU74" i="4"/>
  <c r="AV74" i="4"/>
  <c r="AJ75" i="4"/>
  <c r="AK75" i="4"/>
  <c r="AL75" i="4"/>
  <c r="AM75" i="4"/>
  <c r="AN75" i="4"/>
  <c r="AO75" i="4"/>
  <c r="AP75" i="4"/>
  <c r="AQ75" i="4"/>
  <c r="AR75" i="4"/>
  <c r="AS75" i="4"/>
  <c r="AT75" i="4"/>
  <c r="AU75" i="4"/>
  <c r="AV75" i="4"/>
  <c r="AJ76" i="4"/>
  <c r="AK76" i="4"/>
  <c r="AL76" i="4"/>
  <c r="AM76" i="4"/>
  <c r="AN76" i="4"/>
  <c r="AO76" i="4"/>
  <c r="AP76" i="4"/>
  <c r="AQ76" i="4"/>
  <c r="AR76" i="4"/>
  <c r="AS76" i="4"/>
  <c r="AT76" i="4"/>
  <c r="AU76" i="4"/>
  <c r="AV76" i="4"/>
  <c r="AJ77" i="4"/>
  <c r="AK77" i="4"/>
  <c r="AL77" i="4"/>
  <c r="AM77" i="4"/>
  <c r="AN77" i="4"/>
  <c r="AO77" i="4"/>
  <c r="AP77" i="4"/>
  <c r="AQ77" i="4"/>
  <c r="AR77" i="4"/>
  <c r="AS77" i="4"/>
  <c r="AT77" i="4"/>
  <c r="AU77" i="4"/>
  <c r="AV77" i="4"/>
  <c r="AJ78" i="4"/>
  <c r="AK78" i="4"/>
  <c r="AL78" i="4"/>
  <c r="AM78" i="4"/>
  <c r="AN78" i="4"/>
  <c r="AO78" i="4"/>
  <c r="AP78" i="4"/>
  <c r="AQ78" i="4"/>
  <c r="AR78" i="4"/>
  <c r="AS78" i="4"/>
  <c r="AT78" i="4"/>
  <c r="AU78" i="4"/>
  <c r="AV78" i="4"/>
  <c r="AJ79" i="4"/>
  <c r="AK79" i="4"/>
  <c r="AL79" i="4"/>
  <c r="AM79" i="4"/>
  <c r="AN79" i="4"/>
  <c r="AO79" i="4"/>
  <c r="AP79" i="4"/>
  <c r="AQ79" i="4"/>
  <c r="AR79" i="4"/>
  <c r="AS79" i="4"/>
  <c r="AT79" i="4"/>
  <c r="AU79" i="4"/>
  <c r="AV79" i="4"/>
  <c r="AJ80" i="4"/>
  <c r="AK80" i="4"/>
  <c r="AL80" i="4"/>
  <c r="AM80" i="4"/>
  <c r="AN80" i="4"/>
  <c r="AO80" i="4"/>
  <c r="AP80" i="4"/>
  <c r="AQ80" i="4"/>
  <c r="AR80" i="4"/>
  <c r="AS80" i="4"/>
  <c r="AT80" i="4"/>
  <c r="AU80" i="4"/>
  <c r="AV80" i="4"/>
  <c r="AJ81" i="4"/>
  <c r="AK81" i="4"/>
  <c r="AL81" i="4"/>
  <c r="AM81" i="4"/>
  <c r="AN81" i="4"/>
  <c r="AO81" i="4"/>
  <c r="AP81" i="4"/>
  <c r="AQ81" i="4"/>
  <c r="AR81" i="4"/>
  <c r="AS81" i="4"/>
  <c r="AT81" i="4"/>
  <c r="AU81" i="4"/>
  <c r="AV81" i="4"/>
  <c r="AJ82" i="4"/>
  <c r="AK82" i="4"/>
  <c r="AL82" i="4"/>
  <c r="AM82" i="4"/>
  <c r="AN82" i="4"/>
  <c r="AO82" i="4"/>
  <c r="AP82" i="4"/>
  <c r="AQ82" i="4"/>
  <c r="AR82" i="4"/>
  <c r="AS82" i="4"/>
  <c r="AT82" i="4"/>
  <c r="AU82" i="4"/>
  <c r="AV82" i="4"/>
  <c r="AJ83" i="4"/>
  <c r="AK83" i="4"/>
  <c r="AL83" i="4"/>
  <c r="AM83" i="4"/>
  <c r="AN83" i="4"/>
  <c r="AO83" i="4"/>
  <c r="AP83" i="4"/>
  <c r="AQ83" i="4"/>
  <c r="AR83" i="4"/>
  <c r="AS83" i="4"/>
  <c r="AT83" i="4"/>
  <c r="AU83" i="4"/>
  <c r="AV83" i="4"/>
  <c r="AJ84" i="4"/>
  <c r="AK84" i="4"/>
  <c r="AL84" i="4"/>
  <c r="AM84" i="4"/>
  <c r="AN84" i="4"/>
  <c r="AO84" i="4"/>
  <c r="AP84" i="4"/>
  <c r="AQ84" i="4"/>
  <c r="AR84" i="4"/>
  <c r="AS84" i="4"/>
  <c r="AT84" i="4"/>
  <c r="AU84" i="4"/>
  <c r="AV84" i="4"/>
  <c r="AJ85" i="4"/>
  <c r="AK85" i="4"/>
  <c r="AL85" i="4"/>
  <c r="AM85" i="4"/>
  <c r="AN85" i="4"/>
  <c r="AO85" i="4"/>
  <c r="AP85" i="4"/>
  <c r="AQ85" i="4"/>
  <c r="AR85" i="4"/>
  <c r="AS85" i="4"/>
  <c r="AT85" i="4"/>
  <c r="AU85" i="4"/>
  <c r="AV85" i="4"/>
  <c r="AJ86" i="4"/>
  <c r="AK86" i="4"/>
  <c r="AL86" i="4"/>
  <c r="AM86" i="4"/>
  <c r="AN86" i="4"/>
  <c r="AO86" i="4"/>
  <c r="AP86" i="4"/>
  <c r="AQ86" i="4"/>
  <c r="AR86" i="4"/>
  <c r="AS86" i="4"/>
  <c r="AT86" i="4"/>
  <c r="AU86" i="4"/>
  <c r="AV86" i="4"/>
  <c r="AJ87" i="4"/>
  <c r="AK87" i="4"/>
  <c r="AL87" i="4"/>
  <c r="AM87" i="4"/>
  <c r="AN87" i="4"/>
  <c r="AO87" i="4"/>
  <c r="AP87" i="4"/>
  <c r="AQ87" i="4"/>
  <c r="AR87" i="4"/>
  <c r="AS87" i="4"/>
  <c r="AT87" i="4"/>
  <c r="AU87" i="4"/>
  <c r="AV87" i="4"/>
  <c r="AJ88" i="4"/>
  <c r="AK88" i="4"/>
  <c r="AL88" i="4"/>
  <c r="AM88" i="4"/>
  <c r="AN88" i="4"/>
  <c r="AO88" i="4"/>
  <c r="AP88" i="4"/>
  <c r="AQ88" i="4"/>
  <c r="AR88" i="4"/>
  <c r="AS88" i="4"/>
  <c r="AT88" i="4"/>
  <c r="AU88" i="4"/>
  <c r="AV88" i="4"/>
  <c r="AJ89" i="4"/>
  <c r="AK89" i="4"/>
  <c r="AL89" i="4"/>
  <c r="AM89" i="4"/>
  <c r="AN89" i="4"/>
  <c r="AO89" i="4"/>
  <c r="AP89" i="4"/>
  <c r="AQ89" i="4"/>
  <c r="AR89" i="4"/>
  <c r="AS89" i="4"/>
  <c r="AT89" i="4"/>
  <c r="AU89" i="4"/>
  <c r="AV89" i="4"/>
  <c r="AJ90" i="4"/>
  <c r="AK90" i="4"/>
  <c r="AL90" i="4"/>
  <c r="AM90" i="4"/>
  <c r="AN90" i="4"/>
  <c r="AO90" i="4"/>
  <c r="AP90" i="4"/>
  <c r="AQ90" i="4"/>
  <c r="AR90" i="4"/>
  <c r="AS90" i="4"/>
  <c r="AT90" i="4"/>
  <c r="AU90" i="4"/>
  <c r="AV90" i="4"/>
  <c r="AJ91" i="4"/>
  <c r="AK91" i="4"/>
  <c r="AL91" i="4"/>
  <c r="AM91" i="4"/>
  <c r="AN91" i="4"/>
  <c r="AO91" i="4"/>
  <c r="AP91" i="4"/>
  <c r="AQ91" i="4"/>
  <c r="AR91" i="4"/>
  <c r="AS91" i="4"/>
  <c r="AT91" i="4"/>
  <c r="AU91" i="4"/>
  <c r="AV91" i="4"/>
  <c r="AJ92" i="4"/>
  <c r="AK92" i="4"/>
  <c r="AL92" i="4"/>
  <c r="AM92" i="4"/>
  <c r="AN92" i="4"/>
  <c r="AO92" i="4"/>
  <c r="AP92" i="4"/>
  <c r="AQ92" i="4"/>
  <c r="AR92" i="4"/>
  <c r="AS92" i="4"/>
  <c r="AT92" i="4"/>
  <c r="AU92" i="4"/>
  <c r="AV92" i="4"/>
  <c r="AJ93" i="4"/>
  <c r="AK93" i="4"/>
  <c r="AL93" i="4"/>
  <c r="AM93" i="4"/>
  <c r="AN93" i="4"/>
  <c r="AO93" i="4"/>
  <c r="AP93" i="4"/>
  <c r="AQ93" i="4"/>
  <c r="AR93" i="4"/>
  <c r="AS93" i="4"/>
  <c r="AT93" i="4"/>
  <c r="AU93" i="4"/>
  <c r="AV93" i="4"/>
  <c r="AJ94" i="4"/>
  <c r="AK94" i="4"/>
  <c r="AL94" i="4"/>
  <c r="AM94" i="4"/>
  <c r="AN94" i="4"/>
  <c r="AO94" i="4"/>
  <c r="AP94" i="4"/>
  <c r="AQ94" i="4"/>
  <c r="AR94" i="4"/>
  <c r="AS94" i="4"/>
  <c r="AT94" i="4"/>
  <c r="AU94" i="4"/>
  <c r="AV94" i="4"/>
  <c r="AJ95" i="4"/>
  <c r="AK95" i="4"/>
  <c r="AL95" i="4"/>
  <c r="AM95" i="4"/>
  <c r="AN95" i="4"/>
  <c r="AO95" i="4"/>
  <c r="AP95" i="4"/>
  <c r="AQ95" i="4"/>
  <c r="AR95" i="4"/>
  <c r="AS95" i="4"/>
  <c r="AT95" i="4"/>
  <c r="AU95" i="4"/>
  <c r="AV95" i="4"/>
  <c r="AJ96" i="4"/>
  <c r="AK96" i="4"/>
  <c r="AL96" i="4"/>
  <c r="AM96" i="4"/>
  <c r="AN96" i="4"/>
  <c r="AO96" i="4"/>
  <c r="AP96" i="4"/>
  <c r="AQ96" i="4"/>
  <c r="AR96" i="4"/>
  <c r="AS96" i="4"/>
  <c r="AT96" i="4"/>
  <c r="AU96" i="4"/>
  <c r="AV96" i="4"/>
  <c r="AJ97" i="4"/>
  <c r="AK97" i="4"/>
  <c r="AL97" i="4"/>
  <c r="AM97" i="4"/>
  <c r="AN97" i="4"/>
  <c r="AO97" i="4"/>
  <c r="AP97" i="4"/>
  <c r="AQ97" i="4"/>
  <c r="AR97" i="4"/>
  <c r="AS97" i="4"/>
  <c r="AT97" i="4"/>
  <c r="AU97" i="4"/>
  <c r="AV97" i="4"/>
  <c r="AJ98" i="4"/>
  <c r="AK98" i="4"/>
  <c r="AL98" i="4"/>
  <c r="AM98" i="4"/>
  <c r="AN98" i="4"/>
  <c r="AO98" i="4"/>
  <c r="AP98" i="4"/>
  <c r="AQ98" i="4"/>
  <c r="AR98" i="4"/>
  <c r="AS98" i="4"/>
  <c r="AT98" i="4"/>
  <c r="AU98" i="4"/>
  <c r="AV98" i="4"/>
  <c r="AJ99" i="4"/>
  <c r="AK99" i="4"/>
  <c r="AL99" i="4"/>
  <c r="AM99" i="4"/>
  <c r="AN99" i="4"/>
  <c r="AO99" i="4"/>
  <c r="AP99" i="4"/>
  <c r="AQ99" i="4"/>
  <c r="AR99" i="4"/>
  <c r="AS99" i="4"/>
  <c r="AT99" i="4"/>
  <c r="AU99" i="4"/>
  <c r="AV99" i="4"/>
  <c r="AJ100" i="4"/>
  <c r="AK100" i="4"/>
  <c r="AL100" i="4"/>
  <c r="AM100" i="4"/>
  <c r="AN100" i="4"/>
  <c r="AO100" i="4"/>
  <c r="AP100" i="4"/>
  <c r="AQ100" i="4"/>
  <c r="AR100" i="4"/>
  <c r="AS100" i="4"/>
  <c r="AT100" i="4"/>
  <c r="AU100" i="4"/>
  <c r="AV100" i="4"/>
  <c r="AJ101" i="4"/>
  <c r="AK101" i="4"/>
  <c r="AL101" i="4"/>
  <c r="AM101" i="4"/>
  <c r="AN101" i="4"/>
  <c r="AO101" i="4"/>
  <c r="AP101" i="4"/>
  <c r="AQ101" i="4"/>
  <c r="AR101" i="4"/>
  <c r="AS101" i="4"/>
  <c r="AT101" i="4"/>
  <c r="AU101" i="4"/>
  <c r="AV101" i="4"/>
  <c r="AJ102" i="4"/>
  <c r="AK102" i="4"/>
  <c r="AL102" i="4"/>
  <c r="AM102" i="4"/>
  <c r="AN102" i="4"/>
  <c r="AO102" i="4"/>
  <c r="AP102" i="4"/>
  <c r="AQ102" i="4"/>
  <c r="AR102" i="4"/>
  <c r="AS102" i="4"/>
  <c r="AT102" i="4"/>
  <c r="AU102" i="4"/>
  <c r="AV102" i="4"/>
  <c r="AJ103" i="4"/>
  <c r="AK103" i="4"/>
  <c r="AL103" i="4"/>
  <c r="AM103" i="4"/>
  <c r="AN103" i="4"/>
  <c r="AO103" i="4"/>
  <c r="AP103" i="4"/>
  <c r="AQ103" i="4"/>
  <c r="AR103" i="4"/>
  <c r="AS103" i="4"/>
  <c r="AT103" i="4"/>
  <c r="AU103" i="4"/>
  <c r="AV103" i="4"/>
  <c r="AJ104" i="4"/>
  <c r="AK104" i="4"/>
  <c r="AL104" i="4"/>
  <c r="AM104" i="4"/>
  <c r="AN104" i="4"/>
  <c r="AO104" i="4"/>
  <c r="AP104" i="4"/>
  <c r="AQ104" i="4"/>
  <c r="AR104" i="4"/>
  <c r="AS104" i="4"/>
  <c r="AT104" i="4"/>
  <c r="AU104" i="4"/>
  <c r="AV104" i="4"/>
  <c r="AJ105" i="4"/>
  <c r="AK105" i="4"/>
  <c r="AL105" i="4"/>
  <c r="AM105" i="4"/>
  <c r="AN105" i="4"/>
  <c r="AO105" i="4"/>
  <c r="AP105" i="4"/>
  <c r="AQ105" i="4"/>
  <c r="AR105" i="4"/>
  <c r="AS105" i="4"/>
  <c r="AT105" i="4"/>
  <c r="AU105" i="4"/>
  <c r="AV105" i="4"/>
  <c r="AJ106" i="4"/>
  <c r="AK106" i="4"/>
  <c r="AL106" i="4"/>
  <c r="AM106" i="4"/>
  <c r="AN106" i="4"/>
  <c r="AO106" i="4"/>
  <c r="AP106" i="4"/>
  <c r="AQ106" i="4"/>
  <c r="AR106" i="4"/>
  <c r="AS106" i="4"/>
  <c r="AT106" i="4"/>
  <c r="AU106" i="4"/>
  <c r="AV106" i="4"/>
  <c r="AJ107" i="4"/>
  <c r="AK107" i="4"/>
  <c r="AL107" i="4"/>
  <c r="AM107" i="4"/>
  <c r="AN107" i="4"/>
  <c r="AO107" i="4"/>
  <c r="AP107" i="4"/>
  <c r="AQ107" i="4"/>
  <c r="AR107" i="4"/>
  <c r="AS107" i="4"/>
  <c r="AT107" i="4"/>
  <c r="AU107" i="4"/>
  <c r="AV107" i="4"/>
  <c r="AJ108" i="4"/>
  <c r="AK108" i="4"/>
  <c r="AL108" i="4"/>
  <c r="AM108" i="4"/>
  <c r="AN108" i="4"/>
  <c r="AO108" i="4"/>
  <c r="AP108" i="4"/>
  <c r="AQ108" i="4"/>
  <c r="AR108" i="4"/>
  <c r="AS108" i="4"/>
  <c r="AT108" i="4"/>
  <c r="AU108" i="4"/>
  <c r="AV108" i="4"/>
  <c r="AJ109" i="4"/>
  <c r="AK109" i="4"/>
  <c r="AL109" i="4"/>
  <c r="AM109" i="4"/>
  <c r="AN109" i="4"/>
  <c r="AO109" i="4"/>
  <c r="AP109" i="4"/>
  <c r="AQ109" i="4"/>
  <c r="AR109" i="4"/>
  <c r="AS109" i="4"/>
  <c r="AT109" i="4"/>
  <c r="AU109" i="4"/>
  <c r="AV109" i="4"/>
  <c r="AJ110" i="4"/>
  <c r="AK110" i="4"/>
  <c r="AL110" i="4"/>
  <c r="AM110" i="4"/>
  <c r="AN110" i="4"/>
  <c r="AO110" i="4"/>
  <c r="AP110" i="4"/>
  <c r="AQ110" i="4"/>
  <c r="AR110" i="4"/>
  <c r="AS110" i="4"/>
  <c r="AT110" i="4"/>
  <c r="AU110" i="4"/>
  <c r="AV110" i="4"/>
  <c r="AJ111" i="4"/>
  <c r="AK111" i="4"/>
  <c r="AL111" i="4"/>
  <c r="AM111" i="4"/>
  <c r="AN111" i="4"/>
  <c r="AO111" i="4"/>
  <c r="AP111" i="4"/>
  <c r="AQ111" i="4"/>
  <c r="AR111" i="4"/>
  <c r="AS111" i="4"/>
  <c r="AT111" i="4"/>
  <c r="AU111" i="4"/>
  <c r="AV111" i="4"/>
  <c r="AJ112" i="4"/>
  <c r="AK112" i="4"/>
  <c r="AL112" i="4"/>
  <c r="AM112" i="4"/>
  <c r="AN112" i="4"/>
  <c r="AO112" i="4"/>
  <c r="AP112" i="4"/>
  <c r="AQ112" i="4"/>
  <c r="AR112" i="4"/>
  <c r="AS112" i="4"/>
  <c r="AT112" i="4"/>
  <c r="AU112" i="4"/>
  <c r="AV112" i="4"/>
  <c r="AJ113" i="4"/>
  <c r="AK113" i="4"/>
  <c r="AL113" i="4"/>
  <c r="AM113" i="4"/>
  <c r="AN113" i="4"/>
  <c r="AO113" i="4"/>
  <c r="AP113" i="4"/>
  <c r="AQ113" i="4"/>
  <c r="AR113" i="4"/>
  <c r="AS113" i="4"/>
  <c r="AT113" i="4"/>
  <c r="AU113" i="4"/>
  <c r="AV113" i="4"/>
  <c r="AJ114" i="4"/>
  <c r="AK114" i="4"/>
  <c r="AL114" i="4"/>
  <c r="AM114" i="4"/>
  <c r="AN114" i="4"/>
  <c r="AO114" i="4"/>
  <c r="AP114" i="4"/>
  <c r="AQ114" i="4"/>
  <c r="AR114" i="4"/>
  <c r="AS114" i="4"/>
  <c r="AT114" i="4"/>
  <c r="AU114" i="4"/>
  <c r="AV114" i="4"/>
  <c r="AJ115" i="4"/>
  <c r="AK115" i="4"/>
  <c r="AL115" i="4"/>
  <c r="AM115" i="4"/>
  <c r="AN115" i="4"/>
  <c r="AO115" i="4"/>
  <c r="AP115" i="4"/>
  <c r="AQ115" i="4"/>
  <c r="AR115" i="4"/>
  <c r="AS115" i="4"/>
  <c r="AT115" i="4"/>
  <c r="AU115" i="4"/>
  <c r="AV115" i="4"/>
  <c r="AJ116" i="4"/>
  <c r="AK116" i="4"/>
  <c r="AL116" i="4"/>
  <c r="AM116" i="4"/>
  <c r="AN116" i="4"/>
  <c r="AO116" i="4"/>
  <c r="AP116" i="4"/>
  <c r="AQ116" i="4"/>
  <c r="AR116" i="4"/>
  <c r="AS116" i="4"/>
  <c r="AT116" i="4"/>
  <c r="AU116" i="4"/>
  <c r="AV116" i="4"/>
  <c r="AJ117" i="4"/>
  <c r="AK117" i="4"/>
  <c r="AL117" i="4"/>
  <c r="AM117" i="4"/>
  <c r="AN117" i="4"/>
  <c r="AO117" i="4"/>
  <c r="AP117" i="4"/>
  <c r="AQ117" i="4"/>
  <c r="AR117" i="4"/>
  <c r="AS117" i="4"/>
  <c r="AT117" i="4"/>
  <c r="AU117" i="4"/>
  <c r="AV117" i="4"/>
  <c r="AJ118" i="4"/>
  <c r="AK118" i="4"/>
  <c r="AL118" i="4"/>
  <c r="AM118" i="4"/>
  <c r="AN118" i="4"/>
  <c r="AO118" i="4"/>
  <c r="AP118" i="4"/>
  <c r="AQ118" i="4"/>
  <c r="AR118" i="4"/>
  <c r="AS118" i="4"/>
  <c r="AT118" i="4"/>
  <c r="AU118" i="4"/>
  <c r="AV118" i="4"/>
  <c r="AJ119" i="4"/>
  <c r="AK119" i="4"/>
  <c r="AL119" i="4"/>
  <c r="AM119" i="4"/>
  <c r="AN119" i="4"/>
  <c r="AO119" i="4"/>
  <c r="AP119" i="4"/>
  <c r="AQ119" i="4"/>
  <c r="AR119" i="4"/>
  <c r="AS119" i="4"/>
  <c r="AT119" i="4"/>
  <c r="AU119" i="4"/>
  <c r="AV119" i="4"/>
  <c r="AJ120" i="4"/>
  <c r="AK120" i="4"/>
  <c r="AL120" i="4"/>
  <c r="AM120" i="4"/>
  <c r="AN120" i="4"/>
  <c r="AO120" i="4"/>
  <c r="AP120" i="4"/>
  <c r="AQ120" i="4"/>
  <c r="AR120" i="4"/>
  <c r="AS120" i="4"/>
  <c r="AT120" i="4"/>
  <c r="AU120" i="4"/>
  <c r="AV120" i="4"/>
  <c r="AJ121" i="4"/>
  <c r="AK121" i="4"/>
  <c r="AL121" i="4"/>
  <c r="AM121" i="4"/>
  <c r="AN121" i="4"/>
  <c r="AO121" i="4"/>
  <c r="AP121" i="4"/>
  <c r="AQ121" i="4"/>
  <c r="AR121" i="4"/>
  <c r="AS121" i="4"/>
  <c r="AT121" i="4"/>
  <c r="AU121" i="4"/>
  <c r="AV121" i="4"/>
  <c r="AJ122" i="4"/>
  <c r="AK122" i="4"/>
  <c r="AL122" i="4"/>
  <c r="AM122" i="4"/>
  <c r="AN122" i="4"/>
  <c r="AO122" i="4"/>
  <c r="AP122" i="4"/>
  <c r="AQ122" i="4"/>
  <c r="AR122" i="4"/>
  <c r="AS122" i="4"/>
  <c r="AT122" i="4"/>
  <c r="AU122" i="4"/>
  <c r="AV122" i="4"/>
  <c r="AJ123" i="4"/>
  <c r="AK123" i="4"/>
  <c r="AL123" i="4"/>
  <c r="AM123" i="4"/>
  <c r="AN123" i="4"/>
  <c r="AO123" i="4"/>
  <c r="AP123" i="4"/>
  <c r="AQ123" i="4"/>
  <c r="AR123" i="4"/>
  <c r="AS123" i="4"/>
  <c r="AT123" i="4"/>
  <c r="AU123" i="4"/>
  <c r="AV123" i="4"/>
  <c r="AJ124" i="4"/>
  <c r="AK124" i="4"/>
  <c r="AL124" i="4"/>
  <c r="AM124" i="4"/>
  <c r="AN124" i="4"/>
  <c r="AO124" i="4"/>
  <c r="AP124" i="4"/>
  <c r="AQ124" i="4"/>
  <c r="AR124" i="4"/>
  <c r="AS124" i="4"/>
  <c r="AT124" i="4"/>
  <c r="AU124" i="4"/>
  <c r="AV124" i="4"/>
  <c r="AJ125" i="4"/>
  <c r="AK125" i="4"/>
  <c r="AL125" i="4"/>
  <c r="AM125" i="4"/>
  <c r="AN125" i="4"/>
  <c r="AO125" i="4"/>
  <c r="AP125" i="4"/>
  <c r="AQ125" i="4"/>
  <c r="AR125" i="4"/>
  <c r="AS125" i="4"/>
  <c r="AT125" i="4"/>
  <c r="AU125" i="4"/>
  <c r="AV125" i="4"/>
  <c r="AJ126" i="4"/>
  <c r="AK126" i="4"/>
  <c r="AL126" i="4"/>
  <c r="AM126" i="4"/>
  <c r="AN126" i="4"/>
  <c r="AO126" i="4"/>
  <c r="AP126" i="4"/>
  <c r="AQ126" i="4"/>
  <c r="AR126" i="4"/>
  <c r="AS126" i="4"/>
  <c r="AT126" i="4"/>
  <c r="AU126" i="4"/>
  <c r="AV126" i="4"/>
  <c r="AJ127" i="4"/>
  <c r="AK127" i="4"/>
  <c r="AL127" i="4"/>
  <c r="AM127" i="4"/>
  <c r="AN127" i="4"/>
  <c r="AO127" i="4"/>
  <c r="AP127" i="4"/>
  <c r="AQ127" i="4"/>
  <c r="AR127" i="4"/>
  <c r="AS127" i="4"/>
  <c r="AT127" i="4"/>
  <c r="AU127" i="4"/>
  <c r="AV127" i="4"/>
  <c r="AJ128" i="4"/>
  <c r="AK128" i="4"/>
  <c r="AL128" i="4"/>
  <c r="AM128" i="4"/>
  <c r="AN128" i="4"/>
  <c r="AO128" i="4"/>
  <c r="AP128" i="4"/>
  <c r="AQ128" i="4"/>
  <c r="AR128" i="4"/>
  <c r="AS128" i="4"/>
  <c r="AT128" i="4"/>
  <c r="AU128" i="4"/>
  <c r="AV128" i="4"/>
  <c r="AJ129" i="4"/>
  <c r="AK129" i="4"/>
  <c r="AL129" i="4"/>
  <c r="AM129" i="4"/>
  <c r="AN129" i="4"/>
  <c r="AO129" i="4"/>
  <c r="AP129" i="4"/>
  <c r="AQ129" i="4"/>
  <c r="AR129" i="4"/>
  <c r="AS129" i="4"/>
  <c r="AT129" i="4"/>
  <c r="AU129" i="4"/>
  <c r="AV129" i="4"/>
  <c r="AJ130" i="4"/>
  <c r="AK130" i="4"/>
  <c r="AL130" i="4"/>
  <c r="AM130" i="4"/>
  <c r="AN130" i="4"/>
  <c r="AO130" i="4"/>
  <c r="AP130" i="4"/>
  <c r="AQ130" i="4"/>
  <c r="AR130" i="4"/>
  <c r="AS130" i="4"/>
  <c r="AT130" i="4"/>
  <c r="AU130" i="4"/>
  <c r="AV130" i="4"/>
  <c r="AJ131" i="4"/>
  <c r="AK131" i="4"/>
  <c r="AL131" i="4"/>
  <c r="AM131" i="4"/>
  <c r="AN131" i="4"/>
  <c r="AO131" i="4"/>
  <c r="AP131" i="4"/>
  <c r="AQ131" i="4"/>
  <c r="AR131" i="4"/>
  <c r="AS131" i="4"/>
  <c r="AT131" i="4"/>
  <c r="AU131" i="4"/>
  <c r="AV131" i="4"/>
  <c r="AJ132" i="4"/>
  <c r="AK132" i="4"/>
  <c r="AL132" i="4"/>
  <c r="AM132" i="4"/>
  <c r="AN132" i="4"/>
  <c r="AO132" i="4"/>
  <c r="AP132" i="4"/>
  <c r="AQ132" i="4"/>
  <c r="AR132" i="4"/>
  <c r="AS132" i="4"/>
  <c r="AT132" i="4"/>
  <c r="AU132" i="4"/>
  <c r="AV132" i="4"/>
  <c r="AJ133" i="4"/>
  <c r="AK133" i="4"/>
  <c r="AL133" i="4"/>
  <c r="AM133" i="4"/>
  <c r="AN133" i="4"/>
  <c r="AO133" i="4"/>
  <c r="AP133" i="4"/>
  <c r="AQ133" i="4"/>
  <c r="AR133" i="4"/>
  <c r="AS133" i="4"/>
  <c r="AT133" i="4"/>
  <c r="AU133" i="4"/>
  <c r="AV133" i="4"/>
  <c r="AJ134" i="4"/>
  <c r="AK134" i="4"/>
  <c r="AL134" i="4"/>
  <c r="AM134" i="4"/>
  <c r="AN134" i="4"/>
  <c r="AO134" i="4"/>
  <c r="AP134" i="4"/>
  <c r="AQ134" i="4"/>
  <c r="AR134" i="4"/>
  <c r="AS134" i="4"/>
  <c r="AT134" i="4"/>
  <c r="AU134" i="4"/>
  <c r="AV134" i="4"/>
  <c r="AJ135" i="4"/>
  <c r="AK135" i="4"/>
  <c r="AL135" i="4"/>
  <c r="AM135" i="4"/>
  <c r="AN135" i="4"/>
  <c r="AO135" i="4"/>
  <c r="AP135" i="4"/>
  <c r="AQ135" i="4"/>
  <c r="AR135" i="4"/>
  <c r="AS135" i="4"/>
  <c r="AT135" i="4"/>
  <c r="AU135" i="4"/>
  <c r="AV135" i="4"/>
  <c r="AJ136" i="4"/>
  <c r="AK136" i="4"/>
  <c r="AL136" i="4"/>
  <c r="AM136" i="4"/>
  <c r="AN136" i="4"/>
  <c r="AO136" i="4"/>
  <c r="AP136" i="4"/>
  <c r="AQ136" i="4"/>
  <c r="AR136" i="4"/>
  <c r="AS136" i="4"/>
  <c r="AT136" i="4"/>
  <c r="AU136" i="4"/>
  <c r="AV136" i="4"/>
  <c r="AJ137" i="4"/>
  <c r="AK137" i="4"/>
  <c r="AL137" i="4"/>
  <c r="AM137" i="4"/>
  <c r="AN137" i="4"/>
  <c r="AO137" i="4"/>
  <c r="AP137" i="4"/>
  <c r="AQ137" i="4"/>
  <c r="AR137" i="4"/>
  <c r="AS137" i="4"/>
  <c r="AT137" i="4"/>
  <c r="AU137" i="4"/>
  <c r="AV137" i="4"/>
  <c r="AJ138" i="4"/>
  <c r="AK138" i="4"/>
  <c r="AL138" i="4"/>
  <c r="AM138" i="4"/>
  <c r="AN138" i="4"/>
  <c r="AO138" i="4"/>
  <c r="AP138" i="4"/>
  <c r="AQ138" i="4"/>
  <c r="AR138" i="4"/>
  <c r="AS138" i="4"/>
  <c r="AT138" i="4"/>
  <c r="AU138" i="4"/>
  <c r="AV138" i="4"/>
  <c r="AJ139" i="4"/>
  <c r="AK139" i="4"/>
  <c r="AL139" i="4"/>
  <c r="AM139" i="4"/>
  <c r="AN139" i="4"/>
  <c r="AO139" i="4"/>
  <c r="AP139" i="4"/>
  <c r="AQ139" i="4"/>
  <c r="AR139" i="4"/>
  <c r="AS139" i="4"/>
  <c r="AT139" i="4"/>
  <c r="AU139" i="4"/>
  <c r="AV139" i="4"/>
  <c r="AJ140" i="4"/>
  <c r="AK140" i="4"/>
  <c r="AL140" i="4"/>
  <c r="AM140" i="4"/>
  <c r="AN140" i="4"/>
  <c r="AO140" i="4"/>
  <c r="AP140" i="4"/>
  <c r="AQ140" i="4"/>
  <c r="AR140" i="4"/>
  <c r="AS140" i="4"/>
  <c r="AT140" i="4"/>
  <c r="AU140" i="4"/>
  <c r="AV140" i="4"/>
  <c r="AJ141" i="4"/>
  <c r="AK141" i="4"/>
  <c r="AL141" i="4"/>
  <c r="AM141" i="4"/>
  <c r="AN141" i="4"/>
  <c r="AO141" i="4"/>
  <c r="AP141" i="4"/>
  <c r="AQ141" i="4"/>
  <c r="AR141" i="4"/>
  <c r="AS141" i="4"/>
  <c r="AT141" i="4"/>
  <c r="AU141" i="4"/>
  <c r="AV141" i="4"/>
  <c r="AJ142" i="4"/>
  <c r="AK142" i="4"/>
  <c r="AL142" i="4"/>
  <c r="AM142" i="4"/>
  <c r="AN142" i="4"/>
  <c r="AO142" i="4"/>
  <c r="AP142" i="4"/>
  <c r="AQ142" i="4"/>
  <c r="AR142" i="4"/>
  <c r="AS142" i="4"/>
  <c r="AT142" i="4"/>
  <c r="AU142" i="4"/>
  <c r="AV142" i="4"/>
  <c r="AJ143" i="4"/>
  <c r="AK143" i="4"/>
  <c r="AL143" i="4"/>
  <c r="AM143" i="4"/>
  <c r="AN143" i="4"/>
  <c r="AO143" i="4"/>
  <c r="AP143" i="4"/>
  <c r="AQ143" i="4"/>
  <c r="AR143" i="4"/>
  <c r="AS143" i="4"/>
  <c r="AT143" i="4"/>
  <c r="AU143" i="4"/>
  <c r="AV143" i="4"/>
  <c r="AJ144" i="4"/>
  <c r="AK144" i="4"/>
  <c r="AL144" i="4"/>
  <c r="AM144" i="4"/>
  <c r="AN144" i="4"/>
  <c r="AO144" i="4"/>
  <c r="AP144" i="4"/>
  <c r="AQ144" i="4"/>
  <c r="AR144" i="4"/>
  <c r="AS144" i="4"/>
  <c r="AT144" i="4"/>
  <c r="AU144" i="4"/>
  <c r="AV144" i="4"/>
  <c r="AJ145" i="4"/>
  <c r="AK145" i="4"/>
  <c r="AL145" i="4"/>
  <c r="AM145" i="4"/>
  <c r="AN145" i="4"/>
  <c r="AO145" i="4"/>
  <c r="AP145" i="4"/>
  <c r="AQ145" i="4"/>
  <c r="AR145" i="4"/>
  <c r="AS145" i="4"/>
  <c r="AT145" i="4"/>
  <c r="AU145" i="4"/>
  <c r="AV145" i="4"/>
  <c r="AJ146" i="4"/>
  <c r="AK146" i="4"/>
  <c r="AL146" i="4"/>
  <c r="AM146" i="4"/>
  <c r="AN146" i="4"/>
  <c r="AO146" i="4"/>
  <c r="AP146" i="4"/>
  <c r="AQ146" i="4"/>
  <c r="AR146" i="4"/>
  <c r="AS146" i="4"/>
  <c r="AT146" i="4"/>
  <c r="AU146" i="4"/>
  <c r="AV146" i="4"/>
  <c r="AJ147" i="4"/>
  <c r="AK147" i="4"/>
  <c r="AL147" i="4"/>
  <c r="AM147" i="4"/>
  <c r="AN147" i="4"/>
  <c r="AO147" i="4"/>
  <c r="AP147" i="4"/>
  <c r="AQ147" i="4"/>
  <c r="AR147" i="4"/>
  <c r="AS147" i="4"/>
  <c r="AT147" i="4"/>
  <c r="AU147" i="4"/>
  <c r="AV147" i="4"/>
  <c r="AJ148" i="4"/>
  <c r="AK148" i="4"/>
  <c r="AL148" i="4"/>
  <c r="AM148" i="4"/>
  <c r="AN148" i="4"/>
  <c r="AO148" i="4"/>
  <c r="AP148" i="4"/>
  <c r="AQ148" i="4"/>
  <c r="AR148" i="4"/>
  <c r="AS148" i="4"/>
  <c r="AT148" i="4"/>
  <c r="AU148" i="4"/>
  <c r="AV148" i="4"/>
  <c r="AJ149" i="4"/>
  <c r="AK149" i="4"/>
  <c r="AL149" i="4"/>
  <c r="AM149" i="4"/>
  <c r="AN149" i="4"/>
  <c r="AO149" i="4"/>
  <c r="AP149" i="4"/>
  <c r="AQ149" i="4"/>
  <c r="AR149" i="4"/>
  <c r="AS149" i="4"/>
  <c r="AT149" i="4"/>
  <c r="AU149" i="4"/>
  <c r="AV149" i="4"/>
  <c r="AJ150" i="4"/>
  <c r="AK150" i="4"/>
  <c r="AL150" i="4"/>
  <c r="AM150" i="4"/>
  <c r="AN150" i="4"/>
  <c r="AO150" i="4"/>
  <c r="AP150" i="4"/>
  <c r="AQ150" i="4"/>
  <c r="AR150" i="4"/>
  <c r="AS150" i="4"/>
  <c r="AT150" i="4"/>
  <c r="AU150" i="4"/>
  <c r="AV150" i="4"/>
  <c r="AJ151" i="4"/>
  <c r="AK151" i="4"/>
  <c r="AL151" i="4"/>
  <c r="AM151" i="4"/>
  <c r="AN151" i="4"/>
  <c r="AO151" i="4"/>
  <c r="AP151" i="4"/>
  <c r="AQ151" i="4"/>
  <c r="AR151" i="4"/>
  <c r="AS151" i="4"/>
  <c r="AT151" i="4"/>
  <c r="AU151" i="4"/>
  <c r="AV151" i="4"/>
  <c r="AJ152" i="4"/>
  <c r="AK152" i="4"/>
  <c r="AL152" i="4"/>
  <c r="AM152" i="4"/>
  <c r="AN152" i="4"/>
  <c r="AO152" i="4"/>
  <c r="AP152" i="4"/>
  <c r="AQ152" i="4"/>
  <c r="AR152" i="4"/>
  <c r="AS152" i="4"/>
  <c r="AT152" i="4"/>
  <c r="AU152" i="4"/>
  <c r="AV152" i="4"/>
  <c r="AJ153" i="4"/>
  <c r="AK153" i="4"/>
  <c r="AL153" i="4"/>
  <c r="AM153" i="4"/>
  <c r="AN153" i="4"/>
  <c r="AO153" i="4"/>
  <c r="AP153" i="4"/>
  <c r="AQ153" i="4"/>
  <c r="AR153" i="4"/>
  <c r="AS153" i="4"/>
  <c r="AT153" i="4"/>
  <c r="AU153" i="4"/>
  <c r="AV153" i="4"/>
  <c r="AJ154" i="4"/>
  <c r="AK154" i="4"/>
  <c r="AL154" i="4"/>
  <c r="AM154" i="4"/>
  <c r="AN154" i="4"/>
  <c r="AO154" i="4"/>
  <c r="AP154" i="4"/>
  <c r="AQ154" i="4"/>
  <c r="AR154" i="4"/>
  <c r="AS154" i="4"/>
  <c r="AT154" i="4"/>
  <c r="AU154" i="4"/>
  <c r="AV154" i="4"/>
  <c r="AJ155" i="4"/>
  <c r="AK155" i="4"/>
  <c r="AL155" i="4"/>
  <c r="AM155" i="4"/>
  <c r="AN155" i="4"/>
  <c r="AO155" i="4"/>
  <c r="AP155" i="4"/>
  <c r="AQ155" i="4"/>
  <c r="AR155" i="4"/>
  <c r="AS155" i="4"/>
  <c r="AT155" i="4"/>
  <c r="AU155" i="4"/>
  <c r="AV155" i="4"/>
  <c r="AJ156" i="4"/>
  <c r="AK156" i="4"/>
  <c r="AL156" i="4"/>
  <c r="AM156" i="4"/>
  <c r="AN156" i="4"/>
  <c r="AO156" i="4"/>
  <c r="AP156" i="4"/>
  <c r="AQ156" i="4"/>
  <c r="AR156" i="4"/>
  <c r="AS156" i="4"/>
  <c r="AT156" i="4"/>
  <c r="AU156" i="4"/>
  <c r="AV156" i="4"/>
  <c r="AJ157" i="4"/>
  <c r="AK157" i="4"/>
  <c r="AL157" i="4"/>
  <c r="AM157" i="4"/>
  <c r="AN157" i="4"/>
  <c r="AO157" i="4"/>
  <c r="AP157" i="4"/>
  <c r="AQ157" i="4"/>
  <c r="AR157" i="4"/>
  <c r="AS157" i="4"/>
  <c r="AT157" i="4"/>
  <c r="AU157" i="4"/>
  <c r="AV157" i="4"/>
  <c r="AJ158" i="4"/>
  <c r="AK158" i="4"/>
  <c r="AL158" i="4"/>
  <c r="AM158" i="4"/>
  <c r="AN158" i="4"/>
  <c r="AO158" i="4"/>
  <c r="AP158" i="4"/>
  <c r="AQ158" i="4"/>
  <c r="AR158" i="4"/>
  <c r="AS158" i="4"/>
  <c r="AT158" i="4"/>
  <c r="AU158" i="4"/>
  <c r="AV158" i="4"/>
  <c r="AJ159" i="4"/>
  <c r="AK159" i="4"/>
  <c r="AL159" i="4"/>
  <c r="AM159" i="4"/>
  <c r="AN159" i="4"/>
  <c r="AO159" i="4"/>
  <c r="AP159" i="4"/>
  <c r="AQ159" i="4"/>
  <c r="AR159" i="4"/>
  <c r="AS159" i="4"/>
  <c r="AT159" i="4"/>
  <c r="AU159" i="4"/>
  <c r="AV159" i="4"/>
  <c r="AJ160" i="4"/>
  <c r="AK160" i="4"/>
  <c r="AL160" i="4"/>
  <c r="AM160" i="4"/>
  <c r="AN160" i="4"/>
  <c r="AO160" i="4"/>
  <c r="AP160" i="4"/>
  <c r="AQ160" i="4"/>
  <c r="AR160" i="4"/>
  <c r="AS160" i="4"/>
  <c r="AT160" i="4"/>
  <c r="AU160" i="4"/>
  <c r="AV160" i="4"/>
  <c r="AJ161" i="4"/>
  <c r="AK161" i="4"/>
  <c r="AL161" i="4"/>
  <c r="AM161" i="4"/>
  <c r="AN161" i="4"/>
  <c r="AO161" i="4"/>
  <c r="AP161" i="4"/>
  <c r="AQ161" i="4"/>
  <c r="AR161" i="4"/>
  <c r="AS161" i="4"/>
  <c r="AT161" i="4"/>
  <c r="AU161" i="4"/>
  <c r="AV161" i="4"/>
  <c r="AJ162" i="4"/>
  <c r="AK162" i="4"/>
  <c r="AL162" i="4"/>
  <c r="AM162" i="4"/>
  <c r="AN162" i="4"/>
  <c r="AO162" i="4"/>
  <c r="AP162" i="4"/>
  <c r="AQ162" i="4"/>
  <c r="AR162" i="4"/>
  <c r="AS162" i="4"/>
  <c r="AT162" i="4"/>
  <c r="AU162" i="4"/>
  <c r="AV162" i="4"/>
  <c r="AJ163" i="4"/>
  <c r="AK163" i="4"/>
  <c r="AL163" i="4"/>
  <c r="AM163" i="4"/>
  <c r="AN163" i="4"/>
  <c r="AO163" i="4"/>
  <c r="AP163" i="4"/>
  <c r="AQ163" i="4"/>
  <c r="AR163" i="4"/>
  <c r="AS163" i="4"/>
  <c r="AT163" i="4"/>
  <c r="AU163" i="4"/>
  <c r="AV163" i="4"/>
  <c r="AJ164" i="4"/>
  <c r="AK164" i="4"/>
  <c r="AL164" i="4"/>
  <c r="AM164" i="4"/>
  <c r="AN164" i="4"/>
  <c r="AO164" i="4"/>
  <c r="AP164" i="4"/>
  <c r="AQ164" i="4"/>
  <c r="AR164" i="4"/>
  <c r="AS164" i="4"/>
  <c r="AT164" i="4"/>
  <c r="AU164" i="4"/>
  <c r="AV164" i="4"/>
  <c r="AJ165" i="4"/>
  <c r="AK165" i="4"/>
  <c r="AL165" i="4"/>
  <c r="AM165" i="4"/>
  <c r="AN165" i="4"/>
  <c r="AO165" i="4"/>
  <c r="AP165" i="4"/>
  <c r="AQ165" i="4"/>
  <c r="AR165" i="4"/>
  <c r="AS165" i="4"/>
  <c r="AT165" i="4"/>
  <c r="AU165" i="4"/>
  <c r="AV165" i="4"/>
  <c r="AJ166" i="4"/>
  <c r="AK166" i="4"/>
  <c r="AL166" i="4"/>
  <c r="AM166" i="4"/>
  <c r="AN166" i="4"/>
  <c r="AO166" i="4"/>
  <c r="AP166" i="4"/>
  <c r="AQ166" i="4"/>
  <c r="AR166" i="4"/>
  <c r="AS166" i="4"/>
  <c r="AT166" i="4"/>
  <c r="AU166" i="4"/>
  <c r="AV166" i="4"/>
  <c r="AJ167" i="4"/>
  <c r="AK167" i="4"/>
  <c r="AL167" i="4"/>
  <c r="AM167" i="4"/>
  <c r="AN167" i="4"/>
  <c r="AO167" i="4"/>
  <c r="AP167" i="4"/>
  <c r="AQ167" i="4"/>
  <c r="AR167" i="4"/>
  <c r="AS167" i="4"/>
  <c r="AT167" i="4"/>
  <c r="AU167" i="4"/>
  <c r="AV167" i="4"/>
  <c r="AJ168" i="4"/>
  <c r="AK168" i="4"/>
  <c r="AL168" i="4"/>
  <c r="AM168" i="4"/>
  <c r="AN168" i="4"/>
  <c r="AO168" i="4"/>
  <c r="AP168" i="4"/>
  <c r="AQ168" i="4"/>
  <c r="AR168" i="4"/>
  <c r="AS168" i="4"/>
  <c r="AT168" i="4"/>
  <c r="AU168" i="4"/>
  <c r="AV168" i="4"/>
  <c r="AJ169" i="4"/>
  <c r="AK169" i="4"/>
  <c r="AL169" i="4"/>
  <c r="AM169" i="4"/>
  <c r="AN169" i="4"/>
  <c r="AO169" i="4"/>
  <c r="AP169" i="4"/>
  <c r="AQ169" i="4"/>
  <c r="AR169" i="4"/>
  <c r="AS169" i="4"/>
  <c r="AT169" i="4"/>
  <c r="AU169" i="4"/>
  <c r="AV169" i="4"/>
  <c r="AJ170" i="4"/>
  <c r="AK170" i="4"/>
  <c r="AL170" i="4"/>
  <c r="AM170" i="4"/>
  <c r="AN170" i="4"/>
  <c r="AO170" i="4"/>
  <c r="AP170" i="4"/>
  <c r="AQ170" i="4"/>
  <c r="AR170" i="4"/>
  <c r="AS170" i="4"/>
  <c r="AT170" i="4"/>
  <c r="AU170" i="4"/>
  <c r="AV170" i="4"/>
  <c r="AJ171" i="4"/>
  <c r="AK171" i="4"/>
  <c r="AL171" i="4"/>
  <c r="AM171" i="4"/>
  <c r="AN171" i="4"/>
  <c r="AO171" i="4"/>
  <c r="AP171" i="4"/>
  <c r="AQ171" i="4"/>
  <c r="AR171" i="4"/>
  <c r="AS171" i="4"/>
  <c r="AT171" i="4"/>
  <c r="AU171" i="4"/>
  <c r="AV171" i="4"/>
  <c r="AJ172" i="4"/>
  <c r="AK172" i="4"/>
  <c r="AL172" i="4"/>
  <c r="AM172" i="4"/>
  <c r="AN172" i="4"/>
  <c r="AO172" i="4"/>
  <c r="AP172" i="4"/>
  <c r="AQ172" i="4"/>
  <c r="AR172" i="4"/>
  <c r="AS172" i="4"/>
  <c r="AT172" i="4"/>
  <c r="AU172" i="4"/>
  <c r="AV172" i="4"/>
  <c r="AJ173" i="4"/>
  <c r="AK173" i="4"/>
  <c r="AL173" i="4"/>
  <c r="AM173" i="4"/>
  <c r="AN173" i="4"/>
  <c r="AO173" i="4"/>
  <c r="AP173" i="4"/>
  <c r="AQ173" i="4"/>
  <c r="AR173" i="4"/>
  <c r="AS173" i="4"/>
  <c r="AT173" i="4"/>
  <c r="AU173" i="4"/>
  <c r="AV173" i="4"/>
  <c r="AJ174" i="4"/>
  <c r="AK174" i="4"/>
  <c r="AL174" i="4"/>
  <c r="AM174" i="4"/>
  <c r="AN174" i="4"/>
  <c r="AO174" i="4"/>
  <c r="AP174" i="4"/>
  <c r="AQ174" i="4"/>
  <c r="AR174" i="4"/>
  <c r="AS174" i="4"/>
  <c r="AT174" i="4"/>
  <c r="AU174" i="4"/>
  <c r="AV174" i="4"/>
  <c r="AJ175" i="4"/>
  <c r="AK175" i="4"/>
  <c r="AL175" i="4"/>
  <c r="AM175" i="4"/>
  <c r="AN175" i="4"/>
  <c r="AO175" i="4"/>
  <c r="AP175" i="4"/>
  <c r="AQ175" i="4"/>
  <c r="AR175" i="4"/>
  <c r="AS175" i="4"/>
  <c r="AT175" i="4"/>
  <c r="AU175" i="4"/>
  <c r="AV175" i="4"/>
  <c r="AJ176" i="4"/>
  <c r="AK176" i="4"/>
  <c r="AL176" i="4"/>
  <c r="AM176" i="4"/>
  <c r="AN176" i="4"/>
  <c r="AO176" i="4"/>
  <c r="AP176" i="4"/>
  <c r="AQ176" i="4"/>
  <c r="AR176" i="4"/>
  <c r="AS176" i="4"/>
  <c r="AT176" i="4"/>
  <c r="AU176" i="4"/>
  <c r="AV176" i="4"/>
  <c r="AJ177" i="4"/>
  <c r="AK177" i="4"/>
  <c r="AL177" i="4"/>
  <c r="AM177" i="4"/>
  <c r="AN177" i="4"/>
  <c r="AO177" i="4"/>
  <c r="AP177" i="4"/>
  <c r="AQ177" i="4"/>
  <c r="AR177" i="4"/>
  <c r="AS177" i="4"/>
  <c r="AT177" i="4"/>
  <c r="AU177" i="4"/>
  <c r="AV177" i="4"/>
  <c r="AJ178" i="4"/>
  <c r="AK178" i="4"/>
  <c r="AL178" i="4"/>
  <c r="AM178" i="4"/>
  <c r="AN178" i="4"/>
  <c r="AO178" i="4"/>
  <c r="AP178" i="4"/>
  <c r="AQ178" i="4"/>
  <c r="AR178" i="4"/>
  <c r="AS178" i="4"/>
  <c r="AT178" i="4"/>
  <c r="AU178" i="4"/>
  <c r="AV178" i="4"/>
  <c r="AJ179" i="4"/>
  <c r="AK179" i="4"/>
  <c r="AL179" i="4"/>
  <c r="AM179" i="4"/>
  <c r="AN179" i="4"/>
  <c r="AO179" i="4"/>
  <c r="AP179" i="4"/>
  <c r="AQ179" i="4"/>
  <c r="AR179" i="4"/>
  <c r="AS179" i="4"/>
  <c r="AT179" i="4"/>
  <c r="AU179" i="4"/>
  <c r="AV179" i="4"/>
  <c r="AJ180" i="4"/>
  <c r="AK180" i="4"/>
  <c r="AL180" i="4"/>
  <c r="AM180" i="4"/>
  <c r="AN180" i="4"/>
  <c r="AO180" i="4"/>
  <c r="AP180" i="4"/>
  <c r="AQ180" i="4"/>
  <c r="AR180" i="4"/>
  <c r="AS180" i="4"/>
  <c r="AT180" i="4"/>
  <c r="AU180" i="4"/>
  <c r="AV180" i="4"/>
  <c r="AJ181" i="4"/>
  <c r="AK181" i="4"/>
  <c r="AL181" i="4"/>
  <c r="AM181" i="4"/>
  <c r="AN181" i="4"/>
  <c r="AO181" i="4"/>
  <c r="AP181" i="4"/>
  <c r="AQ181" i="4"/>
  <c r="AR181" i="4"/>
  <c r="AS181" i="4"/>
  <c r="AT181" i="4"/>
  <c r="AU181" i="4"/>
  <c r="AV181" i="4"/>
  <c r="AJ182" i="4"/>
  <c r="AK182" i="4"/>
  <c r="AL182" i="4"/>
  <c r="AM182" i="4"/>
  <c r="AN182" i="4"/>
  <c r="AO182" i="4"/>
  <c r="AP182" i="4"/>
  <c r="AQ182" i="4"/>
  <c r="AR182" i="4"/>
  <c r="AS182" i="4"/>
  <c r="AT182" i="4"/>
  <c r="AU182" i="4"/>
  <c r="AV182" i="4"/>
  <c r="AJ183" i="4"/>
  <c r="AK183" i="4"/>
  <c r="AL183" i="4"/>
  <c r="AM183" i="4"/>
  <c r="AN183" i="4"/>
  <c r="AO183" i="4"/>
  <c r="AP183" i="4"/>
  <c r="AQ183" i="4"/>
  <c r="AR183" i="4"/>
  <c r="AS183" i="4"/>
  <c r="AT183" i="4"/>
  <c r="AU183" i="4"/>
  <c r="AV183" i="4"/>
  <c r="AJ184" i="4"/>
  <c r="AK184" i="4"/>
  <c r="AL184" i="4"/>
  <c r="AM184" i="4"/>
  <c r="AN184" i="4"/>
  <c r="AO184" i="4"/>
  <c r="AP184" i="4"/>
  <c r="AQ184" i="4"/>
  <c r="AR184" i="4"/>
  <c r="AS184" i="4"/>
  <c r="AT184" i="4"/>
  <c r="AU184" i="4"/>
  <c r="AV184" i="4"/>
  <c r="AJ185" i="4"/>
  <c r="AK185" i="4"/>
  <c r="AL185" i="4"/>
  <c r="AM185" i="4"/>
  <c r="AN185" i="4"/>
  <c r="AO185" i="4"/>
  <c r="AP185" i="4"/>
  <c r="AQ185" i="4"/>
  <c r="AR185" i="4"/>
  <c r="AS185" i="4"/>
  <c r="AT185" i="4"/>
  <c r="AU185" i="4"/>
  <c r="AV185" i="4"/>
  <c r="AJ186" i="4"/>
  <c r="AK186" i="4"/>
  <c r="AL186" i="4"/>
  <c r="AM186" i="4"/>
  <c r="AN186" i="4"/>
  <c r="AO186" i="4"/>
  <c r="AP186" i="4"/>
  <c r="AQ186" i="4"/>
  <c r="AR186" i="4"/>
  <c r="AS186" i="4"/>
  <c r="AT186" i="4"/>
  <c r="AU186" i="4"/>
  <c r="AV186" i="4"/>
  <c r="AJ187" i="4"/>
  <c r="AK187" i="4"/>
  <c r="AL187" i="4"/>
  <c r="AM187" i="4"/>
  <c r="AN187" i="4"/>
  <c r="AO187" i="4"/>
  <c r="AP187" i="4"/>
  <c r="AQ187" i="4"/>
  <c r="AR187" i="4"/>
  <c r="AS187" i="4"/>
  <c r="AT187" i="4"/>
  <c r="AU187" i="4"/>
  <c r="AV187" i="4"/>
  <c r="AJ188" i="4"/>
  <c r="AK188" i="4"/>
  <c r="AL188" i="4"/>
  <c r="AM188" i="4"/>
  <c r="AN188" i="4"/>
  <c r="AO188" i="4"/>
  <c r="AP188" i="4"/>
  <c r="AQ188" i="4"/>
  <c r="AR188" i="4"/>
  <c r="AS188" i="4"/>
  <c r="AT188" i="4"/>
  <c r="AU188" i="4"/>
  <c r="AV188" i="4"/>
  <c r="AJ189" i="4"/>
  <c r="AK189" i="4"/>
  <c r="AL189" i="4"/>
  <c r="AM189" i="4"/>
  <c r="AN189" i="4"/>
  <c r="AO189" i="4"/>
  <c r="AP189" i="4"/>
  <c r="AQ189" i="4"/>
  <c r="AR189" i="4"/>
  <c r="AS189" i="4"/>
  <c r="AT189" i="4"/>
  <c r="AU189" i="4"/>
  <c r="AV189" i="4"/>
  <c r="AJ190" i="4"/>
  <c r="AK190" i="4"/>
  <c r="AL190" i="4"/>
  <c r="AM190" i="4"/>
  <c r="AN190" i="4"/>
  <c r="AO190" i="4"/>
  <c r="AP190" i="4"/>
  <c r="AQ190" i="4"/>
  <c r="AR190" i="4"/>
  <c r="AS190" i="4"/>
  <c r="AT190" i="4"/>
  <c r="AU190" i="4"/>
  <c r="AV190" i="4"/>
  <c r="AJ191" i="4"/>
  <c r="AK191" i="4"/>
  <c r="AL191" i="4"/>
  <c r="AM191" i="4"/>
  <c r="AN191" i="4"/>
  <c r="AO191" i="4"/>
  <c r="AP191" i="4"/>
  <c r="AQ191" i="4"/>
  <c r="AR191" i="4"/>
  <c r="AS191" i="4"/>
  <c r="AT191" i="4"/>
  <c r="AU191" i="4"/>
  <c r="AV191" i="4"/>
  <c r="AJ192" i="4"/>
  <c r="AK192" i="4"/>
  <c r="AL192" i="4"/>
  <c r="AM192" i="4"/>
  <c r="AN192" i="4"/>
  <c r="AO192" i="4"/>
  <c r="AP192" i="4"/>
  <c r="AQ192" i="4"/>
  <c r="AR192" i="4"/>
  <c r="AS192" i="4"/>
  <c r="AT192" i="4"/>
  <c r="AU192" i="4"/>
  <c r="AV192" i="4"/>
  <c r="AJ193" i="4"/>
  <c r="AK193" i="4"/>
  <c r="AL193" i="4"/>
  <c r="AM193" i="4"/>
  <c r="AN193" i="4"/>
  <c r="AO193" i="4"/>
  <c r="AP193" i="4"/>
  <c r="AQ193" i="4"/>
  <c r="AR193" i="4"/>
  <c r="AS193" i="4"/>
  <c r="AT193" i="4"/>
  <c r="AU193" i="4"/>
  <c r="AV193" i="4"/>
  <c r="AJ194" i="4"/>
  <c r="AK194" i="4"/>
  <c r="AL194" i="4"/>
  <c r="AM194" i="4"/>
  <c r="AN194" i="4"/>
  <c r="AO194" i="4"/>
  <c r="AP194" i="4"/>
  <c r="AQ194" i="4"/>
  <c r="AR194" i="4"/>
  <c r="AS194" i="4"/>
  <c r="AT194" i="4"/>
  <c r="AU194" i="4"/>
  <c r="AV194" i="4"/>
  <c r="AJ195" i="4"/>
  <c r="AK195" i="4"/>
  <c r="AL195" i="4"/>
  <c r="AM195" i="4"/>
  <c r="AN195" i="4"/>
  <c r="AO195" i="4"/>
  <c r="AP195" i="4"/>
  <c r="AQ195" i="4"/>
  <c r="AR195" i="4"/>
  <c r="AS195" i="4"/>
  <c r="AT195" i="4"/>
  <c r="AU195" i="4"/>
  <c r="AV195" i="4"/>
  <c r="AJ196" i="4"/>
  <c r="AK196" i="4"/>
  <c r="AL196" i="4"/>
  <c r="AM196" i="4"/>
  <c r="AN196" i="4"/>
  <c r="AO196" i="4"/>
  <c r="AP196" i="4"/>
  <c r="AQ196" i="4"/>
  <c r="AR196" i="4"/>
  <c r="AS196" i="4"/>
  <c r="AT196" i="4"/>
  <c r="AU196" i="4"/>
  <c r="AV196" i="4"/>
  <c r="AJ197" i="4"/>
  <c r="AK197" i="4"/>
  <c r="AL197" i="4"/>
  <c r="AM197" i="4"/>
  <c r="AN197" i="4"/>
  <c r="AO197" i="4"/>
  <c r="AP197" i="4"/>
  <c r="AQ197" i="4"/>
  <c r="AR197" i="4"/>
  <c r="AS197" i="4"/>
  <c r="AT197" i="4"/>
  <c r="AU197" i="4"/>
  <c r="AV197" i="4"/>
  <c r="AJ198" i="4"/>
  <c r="AK198" i="4"/>
  <c r="AL198" i="4"/>
  <c r="AM198" i="4"/>
  <c r="AN198" i="4"/>
  <c r="AO198" i="4"/>
  <c r="AP198" i="4"/>
  <c r="AQ198" i="4"/>
  <c r="AR198" i="4"/>
  <c r="AS198" i="4"/>
  <c r="AT198" i="4"/>
  <c r="AU198" i="4"/>
  <c r="AV198" i="4"/>
  <c r="AJ199" i="4"/>
  <c r="AK199" i="4"/>
  <c r="AL199" i="4"/>
  <c r="AM199" i="4"/>
  <c r="AN199" i="4"/>
  <c r="AO199" i="4"/>
  <c r="AP199" i="4"/>
  <c r="AQ199" i="4"/>
  <c r="AR199" i="4"/>
  <c r="AS199" i="4"/>
  <c r="AT199" i="4"/>
  <c r="AU199" i="4"/>
  <c r="AV199" i="4"/>
  <c r="AJ200" i="4"/>
  <c r="AK200" i="4"/>
  <c r="AL200" i="4"/>
  <c r="AM200" i="4"/>
  <c r="AN200" i="4"/>
  <c r="AO200" i="4"/>
  <c r="AP200" i="4"/>
  <c r="AQ200" i="4"/>
  <c r="AR200" i="4"/>
  <c r="AS200" i="4"/>
  <c r="AT200" i="4"/>
  <c r="AU200" i="4"/>
  <c r="AV200" i="4"/>
  <c r="AJ201" i="4"/>
  <c r="AK201" i="4"/>
  <c r="AL201" i="4"/>
  <c r="AM201" i="4"/>
  <c r="AN201" i="4"/>
  <c r="AO201" i="4"/>
  <c r="AP201" i="4"/>
  <c r="AQ201" i="4"/>
  <c r="AR201" i="4"/>
  <c r="AS201" i="4"/>
  <c r="AT201" i="4"/>
  <c r="AU201" i="4"/>
  <c r="AV201" i="4"/>
  <c r="AJ202" i="4"/>
  <c r="AK202" i="4"/>
  <c r="AL202" i="4"/>
  <c r="AM202" i="4"/>
  <c r="AN202" i="4"/>
  <c r="AO202" i="4"/>
  <c r="AP202" i="4"/>
  <c r="AQ202" i="4"/>
  <c r="AR202" i="4"/>
  <c r="AS202" i="4"/>
  <c r="AT202" i="4"/>
  <c r="AU202" i="4"/>
  <c r="AV202" i="4"/>
  <c r="AJ203" i="4"/>
  <c r="AK203" i="4"/>
  <c r="AL203" i="4"/>
  <c r="AM203" i="4"/>
  <c r="AN203" i="4"/>
  <c r="AO203" i="4"/>
  <c r="AP203" i="4"/>
  <c r="AQ203" i="4"/>
  <c r="AR203" i="4"/>
  <c r="AS203" i="4"/>
  <c r="AT203" i="4"/>
  <c r="AU203" i="4"/>
  <c r="AV203" i="4"/>
  <c r="AJ204" i="4"/>
  <c r="AK204" i="4"/>
  <c r="AL204" i="4"/>
  <c r="AM204" i="4"/>
  <c r="AN204" i="4"/>
  <c r="AO204" i="4"/>
  <c r="AP204" i="4"/>
  <c r="AQ204" i="4"/>
  <c r="AR204" i="4"/>
  <c r="AS204" i="4"/>
  <c r="AT204" i="4"/>
  <c r="AU204" i="4"/>
  <c r="AV204" i="4"/>
  <c r="AJ205" i="4"/>
  <c r="AK205" i="4"/>
  <c r="AL205" i="4"/>
  <c r="AM205" i="4"/>
  <c r="AN205" i="4"/>
  <c r="AO205" i="4"/>
  <c r="AP205" i="4"/>
  <c r="AQ205" i="4"/>
  <c r="AR205" i="4"/>
  <c r="AS205" i="4"/>
  <c r="AT205" i="4"/>
  <c r="AU205" i="4"/>
  <c r="AV205" i="4"/>
  <c r="AJ206" i="4"/>
  <c r="AK206" i="4"/>
  <c r="AL206" i="4"/>
  <c r="AM206" i="4"/>
  <c r="AN206" i="4"/>
  <c r="AO206" i="4"/>
  <c r="AP206" i="4"/>
  <c r="AQ206" i="4"/>
  <c r="AR206" i="4"/>
  <c r="AS206" i="4"/>
  <c r="AT206" i="4"/>
  <c r="AU206" i="4"/>
  <c r="AV206" i="4"/>
  <c r="AJ207" i="4"/>
  <c r="AK207" i="4"/>
  <c r="AL207" i="4"/>
  <c r="AM207" i="4"/>
  <c r="AN207" i="4"/>
  <c r="AO207" i="4"/>
  <c r="AP207" i="4"/>
  <c r="AQ207" i="4"/>
  <c r="AR207" i="4"/>
  <c r="AS207" i="4"/>
  <c r="AT207" i="4"/>
  <c r="AU207" i="4"/>
  <c r="AV207" i="4"/>
  <c r="AJ208" i="4"/>
  <c r="AK208" i="4"/>
  <c r="AL208" i="4"/>
  <c r="AM208" i="4"/>
  <c r="AN208" i="4"/>
  <c r="AO208" i="4"/>
  <c r="AP208" i="4"/>
  <c r="AQ208" i="4"/>
  <c r="AR208" i="4"/>
  <c r="AS208" i="4"/>
  <c r="AT208" i="4"/>
  <c r="AU208" i="4"/>
  <c r="AV208" i="4"/>
  <c r="AJ209" i="4"/>
  <c r="AK209" i="4"/>
  <c r="AL209" i="4"/>
  <c r="AM209" i="4"/>
  <c r="AN209" i="4"/>
  <c r="AO209" i="4"/>
  <c r="AP209" i="4"/>
  <c r="AQ209" i="4"/>
  <c r="AR209" i="4"/>
  <c r="AS209" i="4"/>
  <c r="AT209" i="4"/>
  <c r="AU209" i="4"/>
  <c r="AV209" i="4"/>
  <c r="AJ210" i="4"/>
  <c r="AK210" i="4"/>
  <c r="AL210" i="4"/>
  <c r="AM210" i="4"/>
  <c r="AN210" i="4"/>
  <c r="AO210" i="4"/>
  <c r="AP210" i="4"/>
  <c r="AQ210" i="4"/>
  <c r="AR210" i="4"/>
  <c r="AS210" i="4"/>
  <c r="AT210" i="4"/>
  <c r="AU210" i="4"/>
  <c r="AV210" i="4"/>
  <c r="AJ211" i="4"/>
  <c r="AK211" i="4"/>
  <c r="AL211" i="4"/>
  <c r="AM211" i="4"/>
  <c r="AN211" i="4"/>
  <c r="AO211" i="4"/>
  <c r="AP211" i="4"/>
  <c r="AQ211" i="4"/>
  <c r="AR211" i="4"/>
  <c r="AS211" i="4"/>
  <c r="AT211" i="4"/>
  <c r="AU211" i="4"/>
  <c r="AV211" i="4"/>
  <c r="AJ212" i="4"/>
  <c r="AK212" i="4"/>
  <c r="AL212" i="4"/>
  <c r="AM212" i="4"/>
  <c r="AN212" i="4"/>
  <c r="AO212" i="4"/>
  <c r="AP212" i="4"/>
  <c r="AQ212" i="4"/>
  <c r="AR212" i="4"/>
  <c r="AS212" i="4"/>
  <c r="AT212" i="4"/>
  <c r="AU212" i="4"/>
  <c r="AV212" i="4"/>
  <c r="AJ213" i="4"/>
  <c r="AK213" i="4"/>
  <c r="AL213" i="4"/>
  <c r="AM213" i="4"/>
  <c r="AN213" i="4"/>
  <c r="AO213" i="4"/>
  <c r="AP213" i="4"/>
  <c r="AQ213" i="4"/>
  <c r="AR213" i="4"/>
  <c r="AS213" i="4"/>
  <c r="AT213" i="4"/>
  <c r="AU213" i="4"/>
  <c r="AV213" i="4"/>
  <c r="AJ214" i="4"/>
  <c r="AK214" i="4"/>
  <c r="AL214" i="4"/>
  <c r="AM214" i="4"/>
  <c r="AN214" i="4"/>
  <c r="AO214" i="4"/>
  <c r="AP214" i="4"/>
  <c r="AQ214" i="4"/>
  <c r="AR214" i="4"/>
  <c r="AS214" i="4"/>
  <c r="AT214" i="4"/>
  <c r="AU214" i="4"/>
  <c r="AV214" i="4"/>
  <c r="AJ215" i="4"/>
  <c r="AK215" i="4"/>
  <c r="AL215" i="4"/>
  <c r="AM215" i="4"/>
  <c r="AN215" i="4"/>
  <c r="AO215" i="4"/>
  <c r="AP215" i="4"/>
  <c r="AQ215" i="4"/>
  <c r="AR215" i="4"/>
  <c r="AS215" i="4"/>
  <c r="AT215" i="4"/>
  <c r="AU215" i="4"/>
  <c r="AV215" i="4"/>
  <c r="AJ216" i="4"/>
  <c r="AK216" i="4"/>
  <c r="AL216" i="4"/>
  <c r="AM216" i="4"/>
  <c r="AN216" i="4"/>
  <c r="AO216" i="4"/>
  <c r="AP216" i="4"/>
  <c r="AQ216" i="4"/>
  <c r="AR216" i="4"/>
  <c r="AS216" i="4"/>
  <c r="AT216" i="4"/>
  <c r="AU216" i="4"/>
  <c r="AV216" i="4"/>
  <c r="AJ217" i="4"/>
  <c r="AK217" i="4"/>
  <c r="AL217" i="4"/>
  <c r="AM217" i="4"/>
  <c r="AN217" i="4"/>
  <c r="AO217" i="4"/>
  <c r="AP217" i="4"/>
  <c r="AQ217" i="4"/>
  <c r="AR217" i="4"/>
  <c r="AS217" i="4"/>
  <c r="AT217" i="4"/>
  <c r="AU217" i="4"/>
  <c r="AV217" i="4"/>
  <c r="AJ218" i="4"/>
  <c r="AK218" i="4"/>
  <c r="AL218" i="4"/>
  <c r="AM218" i="4"/>
  <c r="AN218" i="4"/>
  <c r="AO218" i="4"/>
  <c r="AP218" i="4"/>
  <c r="AQ218" i="4"/>
  <c r="AR218" i="4"/>
  <c r="AS218" i="4"/>
  <c r="AT218" i="4"/>
  <c r="AU218" i="4"/>
  <c r="AV218" i="4"/>
  <c r="AJ219" i="4"/>
  <c r="AK219" i="4"/>
  <c r="AL219" i="4"/>
  <c r="AM219" i="4"/>
  <c r="AN219" i="4"/>
  <c r="AO219" i="4"/>
  <c r="AP219" i="4"/>
  <c r="AQ219" i="4"/>
  <c r="AR219" i="4"/>
  <c r="AS219" i="4"/>
  <c r="AT219" i="4"/>
  <c r="AU219" i="4"/>
  <c r="AV219" i="4"/>
  <c r="AJ220" i="4"/>
  <c r="AK220" i="4"/>
  <c r="AL220" i="4"/>
  <c r="AM220" i="4"/>
  <c r="AN220" i="4"/>
  <c r="AO220" i="4"/>
  <c r="AP220" i="4"/>
  <c r="AQ220" i="4"/>
  <c r="AR220" i="4"/>
  <c r="AS220" i="4"/>
  <c r="AT220" i="4"/>
  <c r="AU220" i="4"/>
  <c r="AV220" i="4"/>
  <c r="AJ221" i="4"/>
  <c r="AK221" i="4"/>
  <c r="AL221" i="4"/>
  <c r="AM221" i="4"/>
  <c r="AN221" i="4"/>
  <c r="AO221" i="4"/>
  <c r="AP221" i="4"/>
  <c r="AQ221" i="4"/>
  <c r="AR221" i="4"/>
  <c r="AS221" i="4"/>
  <c r="AT221" i="4"/>
  <c r="AU221" i="4"/>
  <c r="AV221" i="4"/>
  <c r="AJ222" i="4"/>
  <c r="AK222" i="4"/>
  <c r="AL222" i="4"/>
  <c r="AM222" i="4"/>
  <c r="AN222" i="4"/>
  <c r="AO222" i="4"/>
  <c r="AP222" i="4"/>
  <c r="AQ222" i="4"/>
  <c r="AR222" i="4"/>
  <c r="AS222" i="4"/>
  <c r="AT222" i="4"/>
  <c r="AU222" i="4"/>
  <c r="AV222" i="4"/>
  <c r="AJ223" i="4"/>
  <c r="AK223" i="4"/>
  <c r="AL223" i="4"/>
  <c r="AM223" i="4"/>
  <c r="AN223" i="4"/>
  <c r="AO223" i="4"/>
  <c r="AP223" i="4"/>
  <c r="AQ223" i="4"/>
  <c r="AR223" i="4"/>
  <c r="AS223" i="4"/>
  <c r="AT223" i="4"/>
  <c r="AU223" i="4"/>
  <c r="AV223" i="4"/>
  <c r="AJ224" i="4"/>
  <c r="AK224" i="4"/>
  <c r="AL224" i="4"/>
  <c r="AM224" i="4"/>
  <c r="AN224" i="4"/>
  <c r="AO224" i="4"/>
  <c r="AP224" i="4"/>
  <c r="AQ224" i="4"/>
  <c r="AR224" i="4"/>
  <c r="AS224" i="4"/>
  <c r="AT224" i="4"/>
  <c r="AU224" i="4"/>
  <c r="AV224" i="4"/>
  <c r="AJ225" i="4"/>
  <c r="AK225" i="4"/>
  <c r="AL225" i="4"/>
  <c r="AM225" i="4"/>
  <c r="AN225" i="4"/>
  <c r="AO225" i="4"/>
  <c r="AP225" i="4"/>
  <c r="AQ225" i="4"/>
  <c r="AR225" i="4"/>
  <c r="AS225" i="4"/>
  <c r="AT225" i="4"/>
  <c r="AU225" i="4"/>
  <c r="AV225" i="4"/>
  <c r="AJ226" i="4"/>
  <c r="AK226" i="4"/>
  <c r="AL226" i="4"/>
  <c r="AM226" i="4"/>
  <c r="AN226" i="4"/>
  <c r="AO226" i="4"/>
  <c r="AP226" i="4"/>
  <c r="AQ226" i="4"/>
  <c r="AR226" i="4"/>
  <c r="AS226" i="4"/>
  <c r="AT226" i="4"/>
  <c r="AU226" i="4"/>
  <c r="AV226" i="4"/>
  <c r="AJ227" i="4"/>
  <c r="AK227" i="4"/>
  <c r="AL227" i="4"/>
  <c r="AM227" i="4"/>
  <c r="AN227" i="4"/>
  <c r="AO227" i="4"/>
  <c r="AP227" i="4"/>
  <c r="AQ227" i="4"/>
  <c r="AR227" i="4"/>
  <c r="AS227" i="4"/>
  <c r="AT227" i="4"/>
  <c r="AU227" i="4"/>
  <c r="AV227" i="4"/>
  <c r="AJ228" i="4"/>
  <c r="AK228" i="4"/>
  <c r="AL228" i="4"/>
  <c r="AM228" i="4"/>
  <c r="AN228" i="4"/>
  <c r="AO228" i="4"/>
  <c r="AP228" i="4"/>
  <c r="AQ228" i="4"/>
  <c r="AR228" i="4"/>
  <c r="AS228" i="4"/>
  <c r="AT228" i="4"/>
  <c r="AU228" i="4"/>
  <c r="AV228" i="4"/>
  <c r="AJ229" i="4"/>
  <c r="AK229" i="4"/>
  <c r="AL229" i="4"/>
  <c r="AM229" i="4"/>
  <c r="AN229" i="4"/>
  <c r="AO229" i="4"/>
  <c r="AP229" i="4"/>
  <c r="AQ229" i="4"/>
  <c r="AR229" i="4"/>
  <c r="AS229" i="4"/>
  <c r="AT229" i="4"/>
  <c r="AU229" i="4"/>
  <c r="AV229" i="4"/>
  <c r="AJ230" i="4"/>
  <c r="AK230" i="4"/>
  <c r="AL230" i="4"/>
  <c r="AM230" i="4"/>
  <c r="AN230" i="4"/>
  <c r="AO230" i="4"/>
  <c r="AP230" i="4"/>
  <c r="AQ230" i="4"/>
  <c r="AR230" i="4"/>
  <c r="AS230" i="4"/>
  <c r="AT230" i="4"/>
  <c r="AU230" i="4"/>
  <c r="AV230" i="4"/>
  <c r="AJ231" i="4"/>
  <c r="AK231" i="4"/>
  <c r="AL231" i="4"/>
  <c r="AM231" i="4"/>
  <c r="AN231" i="4"/>
  <c r="AO231" i="4"/>
  <c r="AP231" i="4"/>
  <c r="AQ231" i="4"/>
  <c r="AR231" i="4"/>
  <c r="AS231" i="4"/>
  <c r="AT231" i="4"/>
  <c r="AU231" i="4"/>
  <c r="AV231" i="4"/>
  <c r="AJ232" i="4"/>
  <c r="AK232" i="4"/>
  <c r="AL232" i="4"/>
  <c r="AM232" i="4"/>
  <c r="AN232" i="4"/>
  <c r="AO232" i="4"/>
  <c r="AP232" i="4"/>
  <c r="AQ232" i="4"/>
  <c r="AR232" i="4"/>
  <c r="AS232" i="4"/>
  <c r="AT232" i="4"/>
  <c r="AU232" i="4"/>
  <c r="AV232" i="4"/>
  <c r="AJ233" i="4"/>
  <c r="AK233" i="4"/>
  <c r="AL233" i="4"/>
  <c r="AM233" i="4"/>
  <c r="AN233" i="4"/>
  <c r="AO233" i="4"/>
  <c r="AP233" i="4"/>
  <c r="AQ233" i="4"/>
  <c r="AR233" i="4"/>
  <c r="AS233" i="4"/>
  <c r="AT233" i="4"/>
  <c r="AU233" i="4"/>
  <c r="AV233" i="4"/>
  <c r="AJ234" i="4"/>
  <c r="AK234" i="4"/>
  <c r="AL234" i="4"/>
  <c r="AM234" i="4"/>
  <c r="AN234" i="4"/>
  <c r="AO234" i="4"/>
  <c r="AP234" i="4"/>
  <c r="AQ234" i="4"/>
  <c r="AR234" i="4"/>
  <c r="AS234" i="4"/>
  <c r="AT234" i="4"/>
  <c r="AU234" i="4"/>
  <c r="AV234" i="4"/>
  <c r="AJ235" i="4"/>
  <c r="AK235" i="4"/>
  <c r="AL235" i="4"/>
  <c r="AM235" i="4"/>
  <c r="AN235" i="4"/>
  <c r="AO235" i="4"/>
  <c r="AP235" i="4"/>
  <c r="AQ235" i="4"/>
  <c r="AR235" i="4"/>
  <c r="AS235" i="4"/>
  <c r="AT235" i="4"/>
  <c r="AU235" i="4"/>
  <c r="AV235" i="4"/>
  <c r="AJ236" i="4"/>
  <c r="AK236" i="4"/>
  <c r="AL236" i="4"/>
  <c r="AM236" i="4"/>
  <c r="AN236" i="4"/>
  <c r="AO236" i="4"/>
  <c r="AP236" i="4"/>
  <c r="AQ236" i="4"/>
  <c r="AR236" i="4"/>
  <c r="AS236" i="4"/>
  <c r="AT236" i="4"/>
  <c r="AU236" i="4"/>
  <c r="AV236" i="4"/>
  <c r="AJ237" i="4"/>
  <c r="AK237" i="4"/>
  <c r="AL237" i="4"/>
  <c r="AM237" i="4"/>
  <c r="AN237" i="4"/>
  <c r="AO237" i="4"/>
  <c r="AP237" i="4"/>
  <c r="AQ237" i="4"/>
  <c r="AR237" i="4"/>
  <c r="AS237" i="4"/>
  <c r="AT237" i="4"/>
  <c r="AU237" i="4"/>
  <c r="AV237" i="4"/>
  <c r="AJ238" i="4"/>
  <c r="AK238" i="4"/>
  <c r="AL238" i="4"/>
  <c r="AM238" i="4"/>
  <c r="AN238" i="4"/>
  <c r="AO238" i="4"/>
  <c r="AP238" i="4"/>
  <c r="AQ238" i="4"/>
  <c r="AR238" i="4"/>
  <c r="AS238" i="4"/>
  <c r="AT238" i="4"/>
  <c r="AU238" i="4"/>
  <c r="AV238" i="4"/>
  <c r="AJ239" i="4"/>
  <c r="AK239" i="4"/>
  <c r="AL239" i="4"/>
  <c r="AM239" i="4"/>
  <c r="AN239" i="4"/>
  <c r="AO239" i="4"/>
  <c r="AP239" i="4"/>
  <c r="AQ239" i="4"/>
  <c r="AR239" i="4"/>
  <c r="AS239" i="4"/>
  <c r="AT239" i="4"/>
  <c r="AU239" i="4"/>
  <c r="AV239" i="4"/>
  <c r="AJ240" i="4"/>
  <c r="AK240" i="4"/>
  <c r="AL240" i="4"/>
  <c r="AM240" i="4"/>
  <c r="AN240" i="4"/>
  <c r="AO240" i="4"/>
  <c r="AP240" i="4"/>
  <c r="AQ240" i="4"/>
  <c r="AR240" i="4"/>
  <c r="AS240" i="4"/>
  <c r="AT240" i="4"/>
  <c r="AU240" i="4"/>
  <c r="AV240" i="4"/>
  <c r="AJ241" i="4"/>
  <c r="AK241" i="4"/>
  <c r="AL241" i="4"/>
  <c r="AM241" i="4"/>
  <c r="AN241" i="4"/>
  <c r="AO241" i="4"/>
  <c r="AP241" i="4"/>
  <c r="AQ241" i="4"/>
  <c r="AR241" i="4"/>
  <c r="AS241" i="4"/>
  <c r="AT241" i="4"/>
  <c r="AU241" i="4"/>
  <c r="AV241" i="4"/>
  <c r="AJ242" i="4"/>
  <c r="AK242" i="4"/>
  <c r="AL242" i="4"/>
  <c r="AM242" i="4"/>
  <c r="AN242" i="4"/>
  <c r="AO242" i="4"/>
  <c r="AP242" i="4"/>
  <c r="AQ242" i="4"/>
  <c r="AR242" i="4"/>
  <c r="AS242" i="4"/>
  <c r="AT242" i="4"/>
  <c r="AU242" i="4"/>
  <c r="AV242" i="4"/>
  <c r="AJ243" i="4"/>
  <c r="AK243" i="4"/>
  <c r="AL243" i="4"/>
  <c r="AM243" i="4"/>
  <c r="AN243" i="4"/>
  <c r="AO243" i="4"/>
  <c r="AP243" i="4"/>
  <c r="AQ243" i="4"/>
  <c r="AR243" i="4"/>
  <c r="AS243" i="4"/>
  <c r="AT243" i="4"/>
  <c r="AU243" i="4"/>
  <c r="AV243" i="4"/>
  <c r="AJ244" i="4"/>
  <c r="AK244" i="4"/>
  <c r="AL244" i="4"/>
  <c r="AM244" i="4"/>
  <c r="AN244" i="4"/>
  <c r="AO244" i="4"/>
  <c r="AP244" i="4"/>
  <c r="AQ244" i="4"/>
  <c r="AR244" i="4"/>
  <c r="AS244" i="4"/>
  <c r="AT244" i="4"/>
  <c r="AU244" i="4"/>
  <c r="AV244" i="4"/>
  <c r="AJ245" i="4"/>
  <c r="AK245" i="4"/>
  <c r="AL245" i="4"/>
  <c r="AM245" i="4"/>
  <c r="AN245" i="4"/>
  <c r="AO245" i="4"/>
  <c r="AP245" i="4"/>
  <c r="AQ245" i="4"/>
  <c r="AR245" i="4"/>
  <c r="AS245" i="4"/>
  <c r="AT245" i="4"/>
  <c r="AU245" i="4"/>
  <c r="AV245" i="4"/>
  <c r="AJ246" i="4"/>
  <c r="AK246" i="4"/>
  <c r="AL246" i="4"/>
  <c r="AM246" i="4"/>
  <c r="AN246" i="4"/>
  <c r="AO246" i="4"/>
  <c r="AP246" i="4"/>
  <c r="AQ246" i="4"/>
  <c r="AR246" i="4"/>
  <c r="AS246" i="4"/>
  <c r="AT246" i="4"/>
  <c r="AU246" i="4"/>
  <c r="AV246" i="4"/>
  <c r="AJ247" i="4"/>
  <c r="AK247" i="4"/>
  <c r="AL247" i="4"/>
  <c r="AM247" i="4"/>
  <c r="AN247" i="4"/>
  <c r="AO247" i="4"/>
  <c r="AP247" i="4"/>
  <c r="AQ247" i="4"/>
  <c r="AR247" i="4"/>
  <c r="AS247" i="4"/>
  <c r="AT247" i="4"/>
  <c r="AU247" i="4"/>
  <c r="AV247" i="4"/>
  <c r="AJ248" i="4"/>
  <c r="AK248" i="4"/>
  <c r="AL248" i="4"/>
  <c r="AM248" i="4"/>
  <c r="AN248" i="4"/>
  <c r="AO248" i="4"/>
  <c r="AP248" i="4"/>
  <c r="AQ248" i="4"/>
  <c r="AR248" i="4"/>
  <c r="AS248" i="4"/>
  <c r="AT248" i="4"/>
  <c r="AU248" i="4"/>
  <c r="AV248" i="4"/>
  <c r="AJ249" i="4"/>
  <c r="AK249" i="4"/>
  <c r="AL249" i="4"/>
  <c r="AM249" i="4"/>
  <c r="AN249" i="4"/>
  <c r="AO249" i="4"/>
  <c r="AP249" i="4"/>
  <c r="AQ249" i="4"/>
  <c r="AR249" i="4"/>
  <c r="AS249" i="4"/>
  <c r="AT249" i="4"/>
  <c r="AU249" i="4"/>
  <c r="AV249" i="4"/>
  <c r="AJ250" i="4"/>
  <c r="AK250" i="4"/>
  <c r="AL250" i="4"/>
  <c r="AM250" i="4"/>
  <c r="AN250" i="4"/>
  <c r="AO250" i="4"/>
  <c r="AP250" i="4"/>
  <c r="AQ250" i="4"/>
  <c r="AR250" i="4"/>
  <c r="AS250" i="4"/>
  <c r="AT250" i="4"/>
  <c r="AU250" i="4"/>
  <c r="AV250" i="4"/>
  <c r="AJ251" i="4"/>
  <c r="AK251" i="4"/>
  <c r="AL251" i="4"/>
  <c r="AM251" i="4"/>
  <c r="AN251" i="4"/>
  <c r="AO251" i="4"/>
  <c r="AP251" i="4"/>
  <c r="AQ251" i="4"/>
  <c r="AR251" i="4"/>
  <c r="AS251" i="4"/>
  <c r="AT251" i="4"/>
  <c r="AU251" i="4"/>
  <c r="AV251" i="4"/>
  <c r="AJ252" i="4"/>
  <c r="AK252" i="4"/>
  <c r="AL252" i="4"/>
  <c r="AM252" i="4"/>
  <c r="AN252" i="4"/>
  <c r="AO252" i="4"/>
  <c r="AP252" i="4"/>
  <c r="AQ252" i="4"/>
  <c r="AR252" i="4"/>
  <c r="AS252" i="4"/>
  <c r="AT252" i="4"/>
  <c r="AU252" i="4"/>
  <c r="AV252" i="4"/>
  <c r="AJ253" i="4"/>
  <c r="AK253" i="4"/>
  <c r="AL253" i="4"/>
  <c r="AM253" i="4"/>
  <c r="AN253" i="4"/>
  <c r="AO253" i="4"/>
  <c r="AP253" i="4"/>
  <c r="AQ253" i="4"/>
  <c r="AR253" i="4"/>
  <c r="AS253" i="4"/>
  <c r="AT253" i="4"/>
  <c r="AU253" i="4"/>
  <c r="AV253" i="4"/>
  <c r="AJ254" i="4"/>
  <c r="AK254" i="4"/>
  <c r="AL254" i="4"/>
  <c r="AM254" i="4"/>
  <c r="AN254" i="4"/>
  <c r="AO254" i="4"/>
  <c r="AP254" i="4"/>
  <c r="AQ254" i="4"/>
  <c r="AR254" i="4"/>
  <c r="AS254" i="4"/>
  <c r="AT254" i="4"/>
  <c r="AU254" i="4"/>
  <c r="AV254" i="4"/>
  <c r="AJ255" i="4"/>
  <c r="AK255" i="4"/>
  <c r="AL255" i="4"/>
  <c r="AM255" i="4"/>
  <c r="AN255" i="4"/>
  <c r="AO255" i="4"/>
  <c r="AP255" i="4"/>
  <c r="AQ255" i="4"/>
  <c r="AR255" i="4"/>
  <c r="AS255" i="4"/>
  <c r="AT255" i="4"/>
  <c r="AU255" i="4"/>
  <c r="AV255" i="4"/>
  <c r="AJ256" i="4"/>
  <c r="AK256" i="4"/>
  <c r="AL256" i="4"/>
  <c r="AM256" i="4"/>
  <c r="AN256" i="4"/>
  <c r="AO256" i="4"/>
  <c r="AP256" i="4"/>
  <c r="AQ256" i="4"/>
  <c r="AR256" i="4"/>
  <c r="AS256" i="4"/>
  <c r="AT256" i="4"/>
  <c r="AU256" i="4"/>
  <c r="AV256" i="4"/>
  <c r="AJ257" i="4"/>
  <c r="AK257" i="4"/>
  <c r="AL257" i="4"/>
  <c r="AM257" i="4"/>
  <c r="AN257" i="4"/>
  <c r="AO257" i="4"/>
  <c r="AP257" i="4"/>
  <c r="AQ257" i="4"/>
  <c r="AR257" i="4"/>
  <c r="AS257" i="4"/>
  <c r="AT257" i="4"/>
  <c r="AU257" i="4"/>
  <c r="AV257" i="4"/>
  <c r="AJ258" i="4"/>
  <c r="AK258" i="4"/>
  <c r="AL258" i="4"/>
  <c r="AM258" i="4"/>
  <c r="AN258" i="4"/>
  <c r="AO258" i="4"/>
  <c r="AP258" i="4"/>
  <c r="AQ258" i="4"/>
  <c r="AR258" i="4"/>
  <c r="AS258" i="4"/>
  <c r="AT258" i="4"/>
  <c r="AU258" i="4"/>
  <c r="AV258" i="4"/>
  <c r="AJ259" i="4"/>
  <c r="AK259" i="4"/>
  <c r="AL259" i="4"/>
  <c r="AM259" i="4"/>
  <c r="AN259" i="4"/>
  <c r="AO259" i="4"/>
  <c r="AP259" i="4"/>
  <c r="AQ259" i="4"/>
  <c r="AR259" i="4"/>
  <c r="AS259" i="4"/>
  <c r="AT259" i="4"/>
  <c r="AU259" i="4"/>
  <c r="AV259" i="4"/>
  <c r="AJ260" i="4"/>
  <c r="AK260" i="4"/>
  <c r="AL260" i="4"/>
  <c r="AM260" i="4"/>
  <c r="AN260" i="4"/>
  <c r="AO260" i="4"/>
  <c r="AP260" i="4"/>
  <c r="AQ260" i="4"/>
  <c r="AR260" i="4"/>
  <c r="AS260" i="4"/>
  <c r="AT260" i="4"/>
  <c r="AU260" i="4"/>
  <c r="AV260" i="4"/>
  <c r="AJ261" i="4"/>
  <c r="AK261" i="4"/>
  <c r="AL261" i="4"/>
  <c r="AM261" i="4"/>
  <c r="AN261" i="4"/>
  <c r="AO261" i="4"/>
  <c r="AP261" i="4"/>
  <c r="AQ261" i="4"/>
  <c r="AR261" i="4"/>
  <c r="AS261" i="4"/>
  <c r="AT261" i="4"/>
  <c r="AU261" i="4"/>
  <c r="AV261" i="4"/>
  <c r="AJ262" i="4"/>
  <c r="AK262" i="4"/>
  <c r="AL262" i="4"/>
  <c r="AM262" i="4"/>
  <c r="AN262" i="4"/>
  <c r="AO262" i="4"/>
  <c r="AP262" i="4"/>
  <c r="AQ262" i="4"/>
  <c r="AR262" i="4"/>
  <c r="AS262" i="4"/>
  <c r="AT262" i="4"/>
  <c r="AU262" i="4"/>
  <c r="AV262" i="4"/>
  <c r="AJ263" i="4"/>
  <c r="AK263" i="4"/>
  <c r="AL263" i="4"/>
  <c r="AM263" i="4"/>
  <c r="AN263" i="4"/>
  <c r="AO263" i="4"/>
  <c r="AP263" i="4"/>
  <c r="AQ263" i="4"/>
  <c r="AR263" i="4"/>
  <c r="AS263" i="4"/>
  <c r="AT263" i="4"/>
  <c r="AU263" i="4"/>
  <c r="AV263" i="4"/>
  <c r="AJ264" i="4"/>
  <c r="AK264" i="4"/>
  <c r="AL264" i="4"/>
  <c r="AM264" i="4"/>
  <c r="AN264" i="4"/>
  <c r="AO264" i="4"/>
  <c r="AP264" i="4"/>
  <c r="AQ264" i="4"/>
  <c r="AR264" i="4"/>
  <c r="AS264" i="4"/>
  <c r="AT264" i="4"/>
  <c r="AU264" i="4"/>
  <c r="AV264" i="4"/>
  <c r="AJ265" i="4"/>
  <c r="AK265" i="4"/>
  <c r="AL265" i="4"/>
  <c r="AM265" i="4"/>
  <c r="AN265" i="4"/>
  <c r="AO265" i="4"/>
  <c r="AP265" i="4"/>
  <c r="AQ265" i="4"/>
  <c r="AR265" i="4"/>
  <c r="AS265" i="4"/>
  <c r="AT265" i="4"/>
  <c r="AU265" i="4"/>
  <c r="AV265" i="4"/>
  <c r="AJ266" i="4"/>
  <c r="AK266" i="4"/>
  <c r="AL266" i="4"/>
  <c r="AM266" i="4"/>
  <c r="AN266" i="4"/>
  <c r="AO266" i="4"/>
  <c r="AP266" i="4"/>
  <c r="AQ266" i="4"/>
  <c r="AR266" i="4"/>
  <c r="AS266" i="4"/>
  <c r="AT266" i="4"/>
  <c r="AU266" i="4"/>
  <c r="AV266" i="4"/>
  <c r="AJ267" i="4"/>
  <c r="AK267" i="4"/>
  <c r="AL267" i="4"/>
  <c r="AM267" i="4"/>
  <c r="AN267" i="4"/>
  <c r="AO267" i="4"/>
  <c r="AP267" i="4"/>
  <c r="AQ267" i="4"/>
  <c r="AR267" i="4"/>
  <c r="AS267" i="4"/>
  <c r="AT267" i="4"/>
  <c r="AU267" i="4"/>
  <c r="AV267" i="4"/>
  <c r="AJ268" i="4"/>
  <c r="AK268" i="4"/>
  <c r="AL268" i="4"/>
  <c r="AM268" i="4"/>
  <c r="AN268" i="4"/>
  <c r="AO268" i="4"/>
  <c r="AP268" i="4"/>
  <c r="AQ268" i="4"/>
  <c r="AR268" i="4"/>
  <c r="AS268" i="4"/>
  <c r="AT268" i="4"/>
  <c r="AU268" i="4"/>
  <c r="AV268" i="4"/>
  <c r="AJ269" i="4"/>
  <c r="AK269" i="4"/>
  <c r="AL269" i="4"/>
  <c r="AM269" i="4"/>
  <c r="AN269" i="4"/>
  <c r="AO269" i="4"/>
  <c r="AP269" i="4"/>
  <c r="AQ269" i="4"/>
  <c r="AR269" i="4"/>
  <c r="AS269" i="4"/>
  <c r="AT269" i="4"/>
  <c r="AU269" i="4"/>
  <c r="AV269" i="4"/>
  <c r="AJ270" i="4"/>
  <c r="AK270" i="4"/>
  <c r="AL270" i="4"/>
  <c r="AM270" i="4"/>
  <c r="AN270" i="4"/>
  <c r="AO270" i="4"/>
  <c r="AP270" i="4"/>
  <c r="AQ270" i="4"/>
  <c r="AR270" i="4"/>
  <c r="AS270" i="4"/>
  <c r="AT270" i="4"/>
  <c r="AU270" i="4"/>
  <c r="AV270" i="4"/>
  <c r="AJ271" i="4"/>
  <c r="AK271" i="4"/>
  <c r="AL271" i="4"/>
  <c r="AM271" i="4"/>
  <c r="AN271" i="4"/>
  <c r="AO271" i="4"/>
  <c r="AP271" i="4"/>
  <c r="AQ271" i="4"/>
  <c r="AR271" i="4"/>
  <c r="AS271" i="4"/>
  <c r="AT271" i="4"/>
  <c r="AU271" i="4"/>
  <c r="AV271" i="4"/>
  <c r="AJ272" i="4"/>
  <c r="AK272" i="4"/>
  <c r="AL272" i="4"/>
  <c r="AM272" i="4"/>
  <c r="AN272" i="4"/>
  <c r="AO272" i="4"/>
  <c r="AP272" i="4"/>
  <c r="AQ272" i="4"/>
  <c r="AR272" i="4"/>
  <c r="AS272" i="4"/>
  <c r="AT272" i="4"/>
  <c r="AU272" i="4"/>
  <c r="AV272" i="4"/>
  <c r="AJ273" i="4"/>
  <c r="AK273" i="4"/>
  <c r="AL273" i="4"/>
  <c r="AM273" i="4"/>
  <c r="AN273" i="4"/>
  <c r="AO273" i="4"/>
  <c r="AP273" i="4"/>
  <c r="AQ273" i="4"/>
  <c r="AR273" i="4"/>
  <c r="AS273" i="4"/>
  <c r="AT273" i="4"/>
  <c r="AU273" i="4"/>
  <c r="AV273" i="4"/>
  <c r="AJ274" i="4"/>
  <c r="AK274" i="4"/>
  <c r="AL274" i="4"/>
  <c r="AM274" i="4"/>
  <c r="AN274" i="4"/>
  <c r="AO274" i="4"/>
  <c r="AP274" i="4"/>
  <c r="AQ274" i="4"/>
  <c r="AR274" i="4"/>
  <c r="AS274" i="4"/>
  <c r="AT274" i="4"/>
  <c r="AU274" i="4"/>
  <c r="AV274" i="4"/>
  <c r="AJ275" i="4"/>
  <c r="AK275" i="4"/>
  <c r="AL275" i="4"/>
  <c r="AM275" i="4"/>
  <c r="AN275" i="4"/>
  <c r="AO275" i="4"/>
  <c r="AP275" i="4"/>
  <c r="AQ275" i="4"/>
  <c r="AR275" i="4"/>
  <c r="AS275" i="4"/>
  <c r="AT275" i="4"/>
  <c r="AU275" i="4"/>
  <c r="AV275" i="4"/>
  <c r="AJ276" i="4"/>
  <c r="AK276" i="4"/>
  <c r="AL276" i="4"/>
  <c r="AM276" i="4"/>
  <c r="AN276" i="4"/>
  <c r="AO276" i="4"/>
  <c r="AP276" i="4"/>
  <c r="AQ276" i="4"/>
  <c r="AR276" i="4"/>
  <c r="AS276" i="4"/>
  <c r="AT276" i="4"/>
  <c r="AU276" i="4"/>
  <c r="AV276" i="4"/>
  <c r="AJ277" i="4"/>
  <c r="AK277" i="4"/>
  <c r="AL277" i="4"/>
  <c r="AM277" i="4"/>
  <c r="AN277" i="4"/>
  <c r="AO277" i="4"/>
  <c r="AP277" i="4"/>
  <c r="AQ277" i="4"/>
  <c r="AR277" i="4"/>
  <c r="AS277" i="4"/>
  <c r="AT277" i="4"/>
  <c r="AU277" i="4"/>
  <c r="AV277" i="4"/>
  <c r="AJ278" i="4"/>
  <c r="AK278" i="4"/>
  <c r="AL278" i="4"/>
  <c r="AM278" i="4"/>
  <c r="AN278" i="4"/>
  <c r="AO278" i="4"/>
  <c r="AP278" i="4"/>
  <c r="AQ278" i="4"/>
  <c r="AR278" i="4"/>
  <c r="AS278" i="4"/>
  <c r="AT278" i="4"/>
  <c r="AU278" i="4"/>
  <c r="AV278" i="4"/>
  <c r="AJ279" i="4"/>
  <c r="AK279" i="4"/>
  <c r="AL279" i="4"/>
  <c r="AM279" i="4"/>
  <c r="AN279" i="4"/>
  <c r="AO279" i="4"/>
  <c r="AP279" i="4"/>
  <c r="AQ279" i="4"/>
  <c r="AR279" i="4"/>
  <c r="AS279" i="4"/>
  <c r="AT279" i="4"/>
  <c r="AU279" i="4"/>
  <c r="AV279" i="4"/>
  <c r="AJ280" i="4"/>
  <c r="AK280" i="4"/>
  <c r="AL280" i="4"/>
  <c r="AM280" i="4"/>
  <c r="AN280" i="4"/>
  <c r="AO280" i="4"/>
  <c r="AP280" i="4"/>
  <c r="AQ280" i="4"/>
  <c r="AR280" i="4"/>
  <c r="AS280" i="4"/>
  <c r="AT280" i="4"/>
  <c r="AU280" i="4"/>
  <c r="AV280" i="4"/>
  <c r="AJ281" i="4"/>
  <c r="AK281" i="4"/>
  <c r="AL281" i="4"/>
  <c r="AM281" i="4"/>
  <c r="AN281" i="4"/>
  <c r="AO281" i="4"/>
  <c r="AP281" i="4"/>
  <c r="AQ281" i="4"/>
  <c r="AR281" i="4"/>
  <c r="AS281" i="4"/>
  <c r="AT281" i="4"/>
  <c r="AU281" i="4"/>
  <c r="AV281" i="4"/>
  <c r="AJ282" i="4"/>
  <c r="AK282" i="4"/>
  <c r="AL282" i="4"/>
  <c r="AM282" i="4"/>
  <c r="AN282" i="4"/>
  <c r="AO282" i="4"/>
  <c r="AP282" i="4"/>
  <c r="AQ282" i="4"/>
  <c r="AR282" i="4"/>
  <c r="AS282" i="4"/>
  <c r="AT282" i="4"/>
  <c r="AU282" i="4"/>
  <c r="AV282" i="4"/>
  <c r="AJ283" i="4"/>
  <c r="AK283" i="4"/>
  <c r="AL283" i="4"/>
  <c r="AM283" i="4"/>
  <c r="AN283" i="4"/>
  <c r="AO283" i="4"/>
  <c r="AP283" i="4"/>
  <c r="AQ283" i="4"/>
  <c r="AR283" i="4"/>
  <c r="AS283" i="4"/>
  <c r="AT283" i="4"/>
  <c r="AU283" i="4"/>
  <c r="AV283" i="4"/>
  <c r="AJ284" i="4"/>
  <c r="AK284" i="4"/>
  <c r="AL284" i="4"/>
  <c r="AM284" i="4"/>
  <c r="AN284" i="4"/>
  <c r="AO284" i="4"/>
  <c r="AP284" i="4"/>
  <c r="AQ284" i="4"/>
  <c r="AR284" i="4"/>
  <c r="AS284" i="4"/>
  <c r="AT284" i="4"/>
  <c r="AU284" i="4"/>
  <c r="AV284" i="4"/>
  <c r="AJ285" i="4"/>
  <c r="AK285" i="4"/>
  <c r="AL285" i="4"/>
  <c r="AM285" i="4"/>
  <c r="AN285" i="4"/>
  <c r="AO285" i="4"/>
  <c r="AP285" i="4"/>
  <c r="AQ285" i="4"/>
  <c r="AR285" i="4"/>
  <c r="AS285" i="4"/>
  <c r="AT285" i="4"/>
  <c r="AU285" i="4"/>
  <c r="AV285" i="4"/>
  <c r="AJ286" i="4"/>
  <c r="AK286" i="4"/>
  <c r="AL286" i="4"/>
  <c r="AM286" i="4"/>
  <c r="AN286" i="4"/>
  <c r="AO286" i="4"/>
  <c r="AP286" i="4"/>
  <c r="AQ286" i="4"/>
  <c r="AR286" i="4"/>
  <c r="AS286" i="4"/>
  <c r="AT286" i="4"/>
  <c r="AU286" i="4"/>
  <c r="AV286" i="4"/>
  <c r="AJ287" i="4"/>
  <c r="AK287" i="4"/>
  <c r="AL287" i="4"/>
  <c r="AM287" i="4"/>
  <c r="AN287" i="4"/>
  <c r="AO287" i="4"/>
  <c r="AP287" i="4"/>
  <c r="AQ287" i="4"/>
  <c r="AR287" i="4"/>
  <c r="AS287" i="4"/>
  <c r="AT287" i="4"/>
  <c r="AU287" i="4"/>
  <c r="AV287" i="4"/>
  <c r="AJ288" i="4"/>
  <c r="AK288" i="4"/>
  <c r="AL288" i="4"/>
  <c r="AM288" i="4"/>
  <c r="AN288" i="4"/>
  <c r="AO288" i="4"/>
  <c r="AP288" i="4"/>
  <c r="AQ288" i="4"/>
  <c r="AR288" i="4"/>
  <c r="AS288" i="4"/>
  <c r="AT288" i="4"/>
  <c r="AU288" i="4"/>
  <c r="AV288" i="4"/>
  <c r="AJ289" i="4"/>
  <c r="AK289" i="4"/>
  <c r="AL289" i="4"/>
  <c r="AM289" i="4"/>
  <c r="AN289" i="4"/>
  <c r="AO289" i="4"/>
  <c r="AP289" i="4"/>
  <c r="AQ289" i="4"/>
  <c r="AR289" i="4"/>
  <c r="AS289" i="4"/>
  <c r="AT289" i="4"/>
  <c r="AU289" i="4"/>
  <c r="AV289" i="4"/>
  <c r="AJ290" i="4"/>
  <c r="AK290" i="4"/>
  <c r="AL290" i="4"/>
  <c r="AM290" i="4"/>
  <c r="AN290" i="4"/>
  <c r="AO290" i="4"/>
  <c r="AP290" i="4"/>
  <c r="AQ290" i="4"/>
  <c r="AR290" i="4"/>
  <c r="AS290" i="4"/>
  <c r="AT290" i="4"/>
  <c r="AU290" i="4"/>
  <c r="AV290" i="4"/>
  <c r="AJ291" i="4"/>
  <c r="AK291" i="4"/>
  <c r="AL291" i="4"/>
  <c r="AM291" i="4"/>
  <c r="AN291" i="4"/>
  <c r="AO291" i="4"/>
  <c r="AP291" i="4"/>
  <c r="AQ291" i="4"/>
  <c r="AR291" i="4"/>
  <c r="AS291" i="4"/>
  <c r="AT291" i="4"/>
  <c r="AU291" i="4"/>
  <c r="AV291" i="4"/>
  <c r="AJ292" i="4"/>
  <c r="AK292" i="4"/>
  <c r="AL292" i="4"/>
  <c r="AM292" i="4"/>
  <c r="AN292" i="4"/>
  <c r="AO292" i="4"/>
  <c r="AP292" i="4"/>
  <c r="AQ292" i="4"/>
  <c r="AR292" i="4"/>
  <c r="AS292" i="4"/>
  <c r="AT292" i="4"/>
  <c r="AU292" i="4"/>
  <c r="AV292" i="4"/>
  <c r="AJ293" i="4"/>
  <c r="AK293" i="4"/>
  <c r="AL293" i="4"/>
  <c r="AM293" i="4"/>
  <c r="AN293" i="4"/>
  <c r="AO293" i="4"/>
  <c r="AP293" i="4"/>
  <c r="AQ293" i="4"/>
  <c r="AR293" i="4"/>
  <c r="AS293" i="4"/>
  <c r="AT293" i="4"/>
  <c r="AU293" i="4"/>
  <c r="AV293" i="4"/>
  <c r="AJ294" i="4"/>
  <c r="AK294" i="4"/>
  <c r="AL294" i="4"/>
  <c r="AM294" i="4"/>
  <c r="AN294" i="4"/>
  <c r="AO294" i="4"/>
  <c r="AP294" i="4"/>
  <c r="AQ294" i="4"/>
  <c r="AR294" i="4"/>
  <c r="AS294" i="4"/>
  <c r="AT294" i="4"/>
  <c r="AU294" i="4"/>
  <c r="AV294" i="4"/>
  <c r="AJ295" i="4"/>
  <c r="AK295" i="4"/>
  <c r="AL295" i="4"/>
  <c r="AM295" i="4"/>
  <c r="AN295" i="4"/>
  <c r="AO295" i="4"/>
  <c r="AP295" i="4"/>
  <c r="AQ295" i="4"/>
  <c r="AR295" i="4"/>
  <c r="AS295" i="4"/>
  <c r="AT295" i="4"/>
  <c r="AU295" i="4"/>
  <c r="AV295" i="4"/>
  <c r="AJ296" i="4"/>
  <c r="AK296" i="4"/>
  <c r="AL296" i="4"/>
  <c r="AM296" i="4"/>
  <c r="AN296" i="4"/>
  <c r="AO296" i="4"/>
  <c r="AP296" i="4"/>
  <c r="AQ296" i="4"/>
  <c r="AR296" i="4"/>
  <c r="AS296" i="4"/>
  <c r="AT296" i="4"/>
  <c r="AU296" i="4"/>
  <c r="AV296" i="4"/>
  <c r="AJ297" i="4"/>
  <c r="AK297" i="4"/>
  <c r="AL297" i="4"/>
  <c r="AM297" i="4"/>
  <c r="AN297" i="4"/>
  <c r="AO297" i="4"/>
  <c r="AP297" i="4"/>
  <c r="AQ297" i="4"/>
  <c r="AR297" i="4"/>
  <c r="AS297" i="4"/>
  <c r="AT297" i="4"/>
  <c r="AU297" i="4"/>
  <c r="AV297" i="4"/>
  <c r="AJ298" i="4"/>
  <c r="AK298" i="4"/>
  <c r="AL298" i="4"/>
  <c r="AM298" i="4"/>
  <c r="AN298" i="4"/>
  <c r="AO298" i="4"/>
  <c r="AP298" i="4"/>
  <c r="AQ298" i="4"/>
  <c r="AR298" i="4"/>
  <c r="AS298" i="4"/>
  <c r="AT298" i="4"/>
  <c r="AU298" i="4"/>
  <c r="AV298" i="4"/>
  <c r="AJ299" i="4"/>
  <c r="AK299" i="4"/>
  <c r="AL299" i="4"/>
  <c r="AM299" i="4"/>
  <c r="AN299" i="4"/>
  <c r="AO299" i="4"/>
  <c r="AP299" i="4"/>
  <c r="AQ299" i="4"/>
  <c r="AR299" i="4"/>
  <c r="AS299" i="4"/>
  <c r="AT299" i="4"/>
  <c r="AU299" i="4"/>
  <c r="AV299" i="4"/>
  <c r="AJ300" i="4"/>
  <c r="AK300" i="4"/>
  <c r="AL300" i="4"/>
  <c r="AM300" i="4"/>
  <c r="AN300" i="4"/>
  <c r="AO300" i="4"/>
  <c r="AP300" i="4"/>
  <c r="AQ300" i="4"/>
  <c r="AR300" i="4"/>
  <c r="AS300" i="4"/>
  <c r="AT300" i="4"/>
  <c r="AU300" i="4"/>
  <c r="AV300" i="4"/>
  <c r="AJ301" i="4"/>
  <c r="AK301" i="4"/>
  <c r="AL301" i="4"/>
  <c r="AM301" i="4"/>
  <c r="AN301" i="4"/>
  <c r="AO301" i="4"/>
  <c r="AP301" i="4"/>
  <c r="AQ301" i="4"/>
  <c r="AR301" i="4"/>
  <c r="AS301" i="4"/>
  <c r="AT301" i="4"/>
  <c r="AU301" i="4"/>
  <c r="AV301" i="4"/>
  <c r="AJ302" i="4"/>
  <c r="AK302" i="4"/>
  <c r="AL302" i="4"/>
  <c r="AM302" i="4"/>
  <c r="AN302" i="4"/>
  <c r="AO302" i="4"/>
  <c r="AP302" i="4"/>
  <c r="AQ302" i="4"/>
  <c r="AR302" i="4"/>
  <c r="AS302" i="4"/>
  <c r="AT302" i="4"/>
  <c r="AU302" i="4"/>
  <c r="AV302" i="4"/>
  <c r="AJ303" i="4"/>
  <c r="AK303" i="4"/>
  <c r="AL303" i="4"/>
  <c r="AM303" i="4"/>
  <c r="AN303" i="4"/>
  <c r="AO303" i="4"/>
  <c r="AP303" i="4"/>
  <c r="AQ303" i="4"/>
  <c r="AR303" i="4"/>
  <c r="AS303" i="4"/>
  <c r="AT303" i="4"/>
  <c r="AU303" i="4"/>
  <c r="AV303" i="4"/>
  <c r="AJ304" i="4"/>
  <c r="AK304" i="4"/>
  <c r="AL304" i="4"/>
  <c r="AM304" i="4"/>
  <c r="AN304" i="4"/>
  <c r="AO304" i="4"/>
  <c r="AP304" i="4"/>
  <c r="AQ304" i="4"/>
  <c r="AR304" i="4"/>
  <c r="AS304" i="4"/>
  <c r="AT304" i="4"/>
  <c r="AU304" i="4"/>
  <c r="AV304" i="4"/>
  <c r="AJ305" i="4"/>
  <c r="AK305" i="4"/>
  <c r="AL305" i="4"/>
  <c r="AM305" i="4"/>
  <c r="AN305" i="4"/>
  <c r="AO305" i="4"/>
  <c r="AP305" i="4"/>
  <c r="AQ305" i="4"/>
  <c r="AR305" i="4"/>
  <c r="AS305" i="4"/>
  <c r="AT305" i="4"/>
  <c r="AU305" i="4"/>
  <c r="AV305" i="4"/>
  <c r="AJ306" i="4"/>
  <c r="AK306" i="4"/>
  <c r="AL306" i="4"/>
  <c r="AM306" i="4"/>
  <c r="AN306" i="4"/>
  <c r="AO306" i="4"/>
  <c r="AP306" i="4"/>
  <c r="AQ306" i="4"/>
  <c r="AR306" i="4"/>
  <c r="AS306" i="4"/>
  <c r="AT306" i="4"/>
  <c r="AU306" i="4"/>
  <c r="AV306" i="4"/>
  <c r="AJ307" i="4"/>
  <c r="AK307" i="4"/>
  <c r="AL307" i="4"/>
  <c r="AM307" i="4"/>
  <c r="AN307" i="4"/>
  <c r="AO307" i="4"/>
  <c r="AP307" i="4"/>
  <c r="AQ307" i="4"/>
  <c r="AR307" i="4"/>
  <c r="AS307" i="4"/>
  <c r="AT307" i="4"/>
  <c r="AU307" i="4"/>
  <c r="AV307" i="4"/>
  <c r="AJ308" i="4"/>
  <c r="AK308" i="4"/>
  <c r="AL308" i="4"/>
  <c r="AM308" i="4"/>
  <c r="AN308" i="4"/>
  <c r="AO308" i="4"/>
  <c r="AP308" i="4"/>
  <c r="AQ308" i="4"/>
  <c r="AR308" i="4"/>
  <c r="AS308" i="4"/>
  <c r="AT308" i="4"/>
  <c r="AU308" i="4"/>
  <c r="AV308" i="4"/>
  <c r="AJ309" i="4"/>
  <c r="AK309" i="4"/>
  <c r="AL309" i="4"/>
  <c r="AM309" i="4"/>
  <c r="AN309" i="4"/>
  <c r="AO309" i="4"/>
  <c r="AP309" i="4"/>
  <c r="AQ309" i="4"/>
  <c r="AR309" i="4"/>
  <c r="AS309" i="4"/>
  <c r="AT309" i="4"/>
  <c r="AU309" i="4"/>
  <c r="AV309" i="4"/>
  <c r="AJ310" i="4"/>
  <c r="AK310" i="4"/>
  <c r="AL310" i="4"/>
  <c r="AM310" i="4"/>
  <c r="AN310" i="4"/>
  <c r="AO310" i="4"/>
  <c r="AP310" i="4"/>
  <c r="AQ310" i="4"/>
  <c r="AR310" i="4"/>
  <c r="AS310" i="4"/>
  <c r="AT310" i="4"/>
  <c r="AU310" i="4"/>
  <c r="AV310" i="4"/>
  <c r="AJ311" i="4"/>
  <c r="AK311" i="4"/>
  <c r="AL311" i="4"/>
  <c r="AM311" i="4"/>
  <c r="AN311" i="4"/>
  <c r="AO311" i="4"/>
  <c r="AP311" i="4"/>
  <c r="AQ311" i="4"/>
  <c r="AR311" i="4"/>
  <c r="AS311" i="4"/>
  <c r="AT311" i="4"/>
  <c r="AU311" i="4"/>
  <c r="AV311" i="4"/>
  <c r="AJ312" i="4"/>
  <c r="AK312" i="4"/>
  <c r="AL312" i="4"/>
  <c r="AM312" i="4"/>
  <c r="AN312" i="4"/>
  <c r="AO312" i="4"/>
  <c r="AP312" i="4"/>
  <c r="AQ312" i="4"/>
  <c r="AR312" i="4"/>
  <c r="AS312" i="4"/>
  <c r="AT312" i="4"/>
  <c r="AU312" i="4"/>
  <c r="AV312" i="4"/>
  <c r="AJ313" i="4"/>
  <c r="AK313" i="4"/>
  <c r="AL313" i="4"/>
  <c r="AM313" i="4"/>
  <c r="AN313" i="4"/>
  <c r="AO313" i="4"/>
  <c r="AP313" i="4"/>
  <c r="AQ313" i="4"/>
  <c r="AR313" i="4"/>
  <c r="AS313" i="4"/>
  <c r="AT313" i="4"/>
  <c r="AU313" i="4"/>
  <c r="AV313" i="4"/>
  <c r="AJ314" i="4"/>
  <c r="AK314" i="4"/>
  <c r="AL314" i="4"/>
  <c r="AM314" i="4"/>
  <c r="AN314" i="4"/>
  <c r="AO314" i="4"/>
  <c r="AP314" i="4"/>
  <c r="AQ314" i="4"/>
  <c r="AR314" i="4"/>
  <c r="AS314" i="4"/>
  <c r="AT314" i="4"/>
  <c r="AU314" i="4"/>
  <c r="AV314" i="4"/>
  <c r="AJ315" i="4"/>
  <c r="AK315" i="4"/>
  <c r="AL315" i="4"/>
  <c r="AM315" i="4"/>
  <c r="AN315" i="4"/>
  <c r="AO315" i="4"/>
  <c r="AP315" i="4"/>
  <c r="AQ315" i="4"/>
  <c r="AR315" i="4"/>
  <c r="AS315" i="4"/>
  <c r="AT315" i="4"/>
  <c r="AU315" i="4"/>
  <c r="AV315" i="4"/>
  <c r="AJ316" i="4"/>
  <c r="AK316" i="4"/>
  <c r="AL316" i="4"/>
  <c r="AM316" i="4"/>
  <c r="AN316" i="4"/>
  <c r="AO316" i="4"/>
  <c r="AP316" i="4"/>
  <c r="AQ316" i="4"/>
  <c r="AR316" i="4"/>
  <c r="AS316" i="4"/>
  <c r="AT316" i="4"/>
  <c r="AU316" i="4"/>
  <c r="AV316" i="4"/>
  <c r="AJ317" i="4"/>
  <c r="AK317" i="4"/>
  <c r="AL317" i="4"/>
  <c r="AM317" i="4"/>
  <c r="AN317" i="4"/>
  <c r="AO317" i="4"/>
  <c r="AP317" i="4"/>
  <c r="AQ317" i="4"/>
  <c r="AR317" i="4"/>
  <c r="AS317" i="4"/>
  <c r="AT317" i="4"/>
  <c r="AU317" i="4"/>
  <c r="AV317" i="4"/>
  <c r="AJ318" i="4"/>
  <c r="AK318" i="4"/>
  <c r="AL318" i="4"/>
  <c r="AM318" i="4"/>
  <c r="AN318" i="4"/>
  <c r="AO318" i="4"/>
  <c r="AP318" i="4"/>
  <c r="AQ318" i="4"/>
  <c r="AR318" i="4"/>
  <c r="AS318" i="4"/>
  <c r="AT318" i="4"/>
  <c r="AU318" i="4"/>
  <c r="AV318" i="4"/>
  <c r="AJ319" i="4"/>
  <c r="AK319" i="4"/>
  <c r="AL319" i="4"/>
  <c r="AM319" i="4"/>
  <c r="AN319" i="4"/>
  <c r="AO319" i="4"/>
  <c r="AP319" i="4"/>
  <c r="AQ319" i="4"/>
  <c r="AR319" i="4"/>
  <c r="AS319" i="4"/>
  <c r="AT319" i="4"/>
  <c r="AU319" i="4"/>
  <c r="AV319" i="4"/>
  <c r="AJ320" i="4"/>
  <c r="AK320" i="4"/>
  <c r="AL320" i="4"/>
  <c r="AM320" i="4"/>
  <c r="AN320" i="4"/>
  <c r="AO320" i="4"/>
  <c r="AP320" i="4"/>
  <c r="AQ320" i="4"/>
  <c r="AR320" i="4"/>
  <c r="AS320" i="4"/>
  <c r="AT320" i="4"/>
  <c r="AU320" i="4"/>
  <c r="AV320" i="4"/>
  <c r="AJ321" i="4"/>
  <c r="AK321" i="4"/>
  <c r="AL321" i="4"/>
  <c r="AM321" i="4"/>
  <c r="AN321" i="4"/>
  <c r="AO321" i="4"/>
  <c r="AP321" i="4"/>
  <c r="AQ321" i="4"/>
  <c r="AR321" i="4"/>
  <c r="AS321" i="4"/>
  <c r="AT321" i="4"/>
  <c r="AU321" i="4"/>
  <c r="AV321" i="4"/>
  <c r="AJ322" i="4"/>
  <c r="AK322" i="4"/>
  <c r="AL322" i="4"/>
  <c r="AM322" i="4"/>
  <c r="AN322" i="4"/>
  <c r="AO322" i="4"/>
  <c r="AP322" i="4"/>
  <c r="AQ322" i="4"/>
  <c r="AR322" i="4"/>
  <c r="AS322" i="4"/>
  <c r="AT322" i="4"/>
  <c r="AU322" i="4"/>
  <c r="AV322" i="4"/>
  <c r="AJ323" i="4"/>
  <c r="AK323" i="4"/>
  <c r="AL323" i="4"/>
  <c r="AM323" i="4"/>
  <c r="AN323" i="4"/>
  <c r="AO323" i="4"/>
  <c r="AP323" i="4"/>
  <c r="AQ323" i="4"/>
  <c r="AR323" i="4"/>
  <c r="AS323" i="4"/>
  <c r="AT323" i="4"/>
  <c r="AU323" i="4"/>
  <c r="AV323" i="4"/>
  <c r="AJ324" i="4"/>
  <c r="AK324" i="4"/>
  <c r="AL324" i="4"/>
  <c r="AM324" i="4"/>
  <c r="AN324" i="4"/>
  <c r="AO324" i="4"/>
  <c r="AP324" i="4"/>
  <c r="AQ324" i="4"/>
  <c r="AR324" i="4"/>
  <c r="AS324" i="4"/>
  <c r="AT324" i="4"/>
  <c r="AU324" i="4"/>
  <c r="AV324" i="4"/>
  <c r="AJ325" i="4"/>
  <c r="AK325" i="4"/>
  <c r="AL325" i="4"/>
  <c r="AM325" i="4"/>
  <c r="AN325" i="4"/>
  <c r="AO325" i="4"/>
  <c r="AP325" i="4"/>
  <c r="AQ325" i="4"/>
  <c r="AR325" i="4"/>
  <c r="AS325" i="4"/>
  <c r="AT325" i="4"/>
  <c r="AU325" i="4"/>
  <c r="AV325" i="4"/>
  <c r="AJ326" i="4"/>
  <c r="AK326" i="4"/>
  <c r="AL326" i="4"/>
  <c r="AM326" i="4"/>
  <c r="AN326" i="4"/>
  <c r="AO326" i="4"/>
  <c r="AP326" i="4"/>
  <c r="AQ326" i="4"/>
  <c r="AR326" i="4"/>
  <c r="AS326" i="4"/>
  <c r="AT326" i="4"/>
  <c r="AU326" i="4"/>
  <c r="AV326" i="4"/>
  <c r="AJ327" i="4"/>
  <c r="AK327" i="4"/>
  <c r="AL327" i="4"/>
  <c r="AM327" i="4"/>
  <c r="AN327" i="4"/>
  <c r="AO327" i="4"/>
  <c r="AP327" i="4"/>
  <c r="AQ327" i="4"/>
  <c r="AR327" i="4"/>
  <c r="AS327" i="4"/>
  <c r="AT327" i="4"/>
  <c r="AU327" i="4"/>
  <c r="AV327" i="4"/>
  <c r="AJ328" i="4"/>
  <c r="AK328" i="4"/>
  <c r="AL328" i="4"/>
  <c r="AM328" i="4"/>
  <c r="AN328" i="4"/>
  <c r="AO328" i="4"/>
  <c r="AP328" i="4"/>
  <c r="AQ328" i="4"/>
  <c r="AR328" i="4"/>
  <c r="AS328" i="4"/>
  <c r="AT328" i="4"/>
  <c r="AU328" i="4"/>
  <c r="AV328" i="4"/>
  <c r="AJ329" i="4"/>
  <c r="AK329" i="4"/>
  <c r="AL329" i="4"/>
  <c r="AM329" i="4"/>
  <c r="AN329" i="4"/>
  <c r="AO329" i="4"/>
  <c r="AP329" i="4"/>
  <c r="AQ329" i="4"/>
  <c r="AR329" i="4"/>
  <c r="AS329" i="4"/>
  <c r="AT329" i="4"/>
  <c r="AU329" i="4"/>
  <c r="AV329" i="4"/>
  <c r="AJ330" i="4"/>
  <c r="AK330" i="4"/>
  <c r="AL330" i="4"/>
  <c r="AM330" i="4"/>
  <c r="AN330" i="4"/>
  <c r="AO330" i="4"/>
  <c r="AP330" i="4"/>
  <c r="AQ330" i="4"/>
  <c r="AR330" i="4"/>
  <c r="AS330" i="4"/>
  <c r="AT330" i="4"/>
  <c r="AU330" i="4"/>
  <c r="AV330" i="4"/>
  <c r="AJ331" i="4"/>
  <c r="AK331" i="4"/>
  <c r="AL331" i="4"/>
  <c r="AM331" i="4"/>
  <c r="AN331" i="4"/>
  <c r="AO331" i="4"/>
  <c r="AP331" i="4"/>
  <c r="AQ331" i="4"/>
  <c r="AR331" i="4"/>
  <c r="AS331" i="4"/>
  <c r="AT331" i="4"/>
  <c r="AU331" i="4"/>
  <c r="AV331" i="4"/>
  <c r="AJ332" i="4"/>
  <c r="AK332" i="4"/>
  <c r="AL332" i="4"/>
  <c r="AM332" i="4"/>
  <c r="AN332" i="4"/>
  <c r="AO332" i="4"/>
  <c r="AP332" i="4"/>
  <c r="AQ332" i="4"/>
  <c r="AR332" i="4"/>
  <c r="AS332" i="4"/>
  <c r="AT332" i="4"/>
  <c r="AU332" i="4"/>
  <c r="AV332" i="4"/>
  <c r="AJ333" i="4"/>
  <c r="AK333" i="4"/>
  <c r="AL333" i="4"/>
  <c r="AM333" i="4"/>
  <c r="AN333" i="4"/>
  <c r="AO333" i="4"/>
  <c r="AP333" i="4"/>
  <c r="AQ333" i="4"/>
  <c r="AR333" i="4"/>
  <c r="AS333" i="4"/>
  <c r="AT333" i="4"/>
  <c r="AU333" i="4"/>
  <c r="AV333" i="4"/>
  <c r="AJ334" i="4"/>
  <c r="AK334" i="4"/>
  <c r="AL334" i="4"/>
  <c r="AM334" i="4"/>
  <c r="AN334" i="4"/>
  <c r="AO334" i="4"/>
  <c r="AP334" i="4"/>
  <c r="AQ334" i="4"/>
  <c r="AR334" i="4"/>
  <c r="AS334" i="4"/>
  <c r="AT334" i="4"/>
  <c r="AU334" i="4"/>
  <c r="AV334" i="4"/>
  <c r="AJ335" i="4"/>
  <c r="AK335" i="4"/>
  <c r="AL335" i="4"/>
  <c r="AM335" i="4"/>
  <c r="AN335" i="4"/>
  <c r="AO335" i="4"/>
  <c r="AP335" i="4"/>
  <c r="AQ335" i="4"/>
  <c r="AR335" i="4"/>
  <c r="AS335" i="4"/>
  <c r="AT335" i="4"/>
  <c r="AU335" i="4"/>
  <c r="AV335" i="4"/>
  <c r="AJ336" i="4"/>
  <c r="AK336" i="4"/>
  <c r="AL336" i="4"/>
  <c r="AM336" i="4"/>
  <c r="AN336" i="4"/>
  <c r="AO336" i="4"/>
  <c r="AP336" i="4"/>
  <c r="AQ336" i="4"/>
  <c r="AR336" i="4"/>
  <c r="AS336" i="4"/>
  <c r="AT336" i="4"/>
  <c r="AU336" i="4"/>
  <c r="AV336" i="4"/>
  <c r="AJ337" i="4"/>
  <c r="AK337" i="4"/>
  <c r="AL337" i="4"/>
  <c r="AM337" i="4"/>
  <c r="AN337" i="4"/>
  <c r="AO337" i="4"/>
  <c r="AP337" i="4"/>
  <c r="AQ337" i="4"/>
  <c r="AR337" i="4"/>
  <c r="AS337" i="4"/>
  <c r="AT337" i="4"/>
  <c r="AU337" i="4"/>
  <c r="AV337" i="4"/>
  <c r="AJ338" i="4"/>
  <c r="AK338" i="4"/>
  <c r="AL338" i="4"/>
  <c r="AM338" i="4"/>
  <c r="AN338" i="4"/>
  <c r="AO338" i="4"/>
  <c r="AP338" i="4"/>
  <c r="AQ338" i="4"/>
  <c r="AR338" i="4"/>
  <c r="AS338" i="4"/>
  <c r="AT338" i="4"/>
  <c r="AU338" i="4"/>
  <c r="AV338" i="4"/>
  <c r="AJ339" i="4"/>
  <c r="AK339" i="4"/>
  <c r="AL339" i="4"/>
  <c r="AM339" i="4"/>
  <c r="AN339" i="4"/>
  <c r="AO339" i="4"/>
  <c r="AP339" i="4"/>
  <c r="AQ339" i="4"/>
  <c r="AR339" i="4"/>
  <c r="AS339" i="4"/>
  <c r="AT339" i="4"/>
  <c r="AU339" i="4"/>
  <c r="AV339" i="4"/>
  <c r="AJ340" i="4"/>
  <c r="AK340" i="4"/>
  <c r="AL340" i="4"/>
  <c r="AM340" i="4"/>
  <c r="AN340" i="4"/>
  <c r="AO340" i="4"/>
  <c r="AP340" i="4"/>
  <c r="AQ340" i="4"/>
  <c r="AR340" i="4"/>
  <c r="AS340" i="4"/>
  <c r="AT340" i="4"/>
  <c r="AU340" i="4"/>
  <c r="AV340" i="4"/>
  <c r="AJ341" i="4"/>
  <c r="AK341" i="4"/>
  <c r="AL341" i="4"/>
  <c r="AM341" i="4"/>
  <c r="AN341" i="4"/>
  <c r="AO341" i="4"/>
  <c r="AP341" i="4"/>
  <c r="AQ341" i="4"/>
  <c r="AR341" i="4"/>
  <c r="AS341" i="4"/>
  <c r="AT341" i="4"/>
  <c r="AU341" i="4"/>
  <c r="AV341" i="4"/>
  <c r="AJ342" i="4"/>
  <c r="AK342" i="4"/>
  <c r="AL342" i="4"/>
  <c r="AM342" i="4"/>
  <c r="AN342" i="4"/>
  <c r="AO342" i="4"/>
  <c r="AP342" i="4"/>
  <c r="AQ342" i="4"/>
  <c r="AR342" i="4"/>
  <c r="AS342" i="4"/>
  <c r="AT342" i="4"/>
  <c r="AU342" i="4"/>
  <c r="AV342" i="4"/>
  <c r="AJ343" i="4"/>
  <c r="AK343" i="4"/>
  <c r="AL343" i="4"/>
  <c r="AM343" i="4"/>
  <c r="AN343" i="4"/>
  <c r="AO343" i="4"/>
  <c r="AP343" i="4"/>
  <c r="AQ343" i="4"/>
  <c r="AR343" i="4"/>
  <c r="AS343" i="4"/>
  <c r="AT343" i="4"/>
  <c r="AU343" i="4"/>
  <c r="AV343" i="4"/>
  <c r="AJ344" i="4"/>
  <c r="AK344" i="4"/>
  <c r="AL344" i="4"/>
  <c r="AM344" i="4"/>
  <c r="AN344" i="4"/>
  <c r="AO344" i="4"/>
  <c r="AP344" i="4"/>
  <c r="AQ344" i="4"/>
  <c r="AR344" i="4"/>
  <c r="AS344" i="4"/>
  <c r="AT344" i="4"/>
  <c r="AU344" i="4"/>
  <c r="AV344" i="4"/>
  <c r="AJ345" i="4"/>
  <c r="AK345" i="4"/>
  <c r="AL345" i="4"/>
  <c r="AM345" i="4"/>
  <c r="AN345" i="4"/>
  <c r="AO345" i="4"/>
  <c r="AP345" i="4"/>
  <c r="AQ345" i="4"/>
  <c r="AR345" i="4"/>
  <c r="AS345" i="4"/>
  <c r="AT345" i="4"/>
  <c r="AU345" i="4"/>
  <c r="AV345" i="4"/>
  <c r="AJ346" i="4"/>
  <c r="AK346" i="4"/>
  <c r="AL346" i="4"/>
  <c r="AM346" i="4"/>
  <c r="AN346" i="4"/>
  <c r="AO346" i="4"/>
  <c r="AP346" i="4"/>
  <c r="AQ346" i="4"/>
  <c r="AR346" i="4"/>
  <c r="AS346" i="4"/>
  <c r="AT346" i="4"/>
  <c r="AU346" i="4"/>
  <c r="AV346" i="4"/>
  <c r="AJ347" i="4"/>
  <c r="AK347" i="4"/>
  <c r="AL347" i="4"/>
  <c r="AM347" i="4"/>
  <c r="AN347" i="4"/>
  <c r="AO347" i="4"/>
  <c r="AP347" i="4"/>
  <c r="AQ347" i="4"/>
  <c r="AR347" i="4"/>
  <c r="AS347" i="4"/>
  <c r="AT347" i="4"/>
  <c r="AU347" i="4"/>
  <c r="AV347" i="4"/>
  <c r="AJ348" i="4"/>
  <c r="AK348" i="4"/>
  <c r="AL348" i="4"/>
  <c r="AM348" i="4"/>
  <c r="AN348" i="4"/>
  <c r="AO348" i="4"/>
  <c r="AP348" i="4"/>
  <c r="AQ348" i="4"/>
  <c r="AR348" i="4"/>
  <c r="AS348" i="4"/>
  <c r="AT348" i="4"/>
  <c r="AU348" i="4"/>
  <c r="AV348" i="4"/>
  <c r="AJ349" i="4"/>
  <c r="AK349" i="4"/>
  <c r="AL349" i="4"/>
  <c r="AM349" i="4"/>
  <c r="AN349" i="4"/>
  <c r="AO349" i="4"/>
  <c r="AP349" i="4"/>
  <c r="AQ349" i="4"/>
  <c r="AR349" i="4"/>
  <c r="AS349" i="4"/>
  <c r="AT349" i="4"/>
  <c r="AU349" i="4"/>
  <c r="AV349" i="4"/>
  <c r="AJ350" i="4"/>
  <c r="AK350" i="4"/>
  <c r="AL350" i="4"/>
  <c r="AM350" i="4"/>
  <c r="AN350" i="4"/>
  <c r="AO350" i="4"/>
  <c r="AP350" i="4"/>
  <c r="AQ350" i="4"/>
  <c r="AR350" i="4"/>
  <c r="AS350" i="4"/>
  <c r="AT350" i="4"/>
  <c r="AU350" i="4"/>
  <c r="AV350" i="4"/>
  <c r="AJ351" i="4"/>
  <c r="AK351" i="4"/>
  <c r="AL351" i="4"/>
  <c r="AM351" i="4"/>
  <c r="AN351" i="4"/>
  <c r="AO351" i="4"/>
  <c r="AP351" i="4"/>
  <c r="AQ351" i="4"/>
  <c r="AR351" i="4"/>
  <c r="AS351" i="4"/>
  <c r="AT351" i="4"/>
  <c r="AU351" i="4"/>
  <c r="AV351" i="4"/>
  <c r="AJ352" i="4"/>
  <c r="AK352" i="4"/>
  <c r="AL352" i="4"/>
  <c r="AM352" i="4"/>
  <c r="AN352" i="4"/>
  <c r="AO352" i="4"/>
  <c r="AP352" i="4"/>
  <c r="AQ352" i="4"/>
  <c r="AR352" i="4"/>
  <c r="AS352" i="4"/>
  <c r="AT352" i="4"/>
  <c r="AU352" i="4"/>
  <c r="AV352" i="4"/>
  <c r="AJ353" i="4"/>
  <c r="AK353" i="4"/>
  <c r="AL353" i="4"/>
  <c r="AM353" i="4"/>
  <c r="AN353" i="4"/>
  <c r="AO353" i="4"/>
  <c r="AP353" i="4"/>
  <c r="AQ353" i="4"/>
  <c r="AR353" i="4"/>
  <c r="AS353" i="4"/>
  <c r="AT353" i="4"/>
  <c r="AU353" i="4"/>
  <c r="AV353" i="4"/>
  <c r="AJ354" i="4"/>
  <c r="AK354" i="4"/>
  <c r="AL354" i="4"/>
  <c r="AM354" i="4"/>
  <c r="AN354" i="4"/>
  <c r="AO354" i="4"/>
  <c r="AP354" i="4"/>
  <c r="AQ354" i="4"/>
  <c r="AR354" i="4"/>
  <c r="AS354" i="4"/>
  <c r="AT354" i="4"/>
  <c r="AU354" i="4"/>
  <c r="AV354" i="4"/>
  <c r="AJ355" i="4"/>
  <c r="AK355" i="4"/>
  <c r="AL355" i="4"/>
  <c r="AM355" i="4"/>
  <c r="AN355" i="4"/>
  <c r="AO355" i="4"/>
  <c r="AP355" i="4"/>
  <c r="AQ355" i="4"/>
  <c r="AR355" i="4"/>
  <c r="AS355" i="4"/>
  <c r="AT355" i="4"/>
  <c r="AU355" i="4"/>
  <c r="AV355" i="4"/>
  <c r="AJ356" i="4"/>
  <c r="AK356" i="4"/>
  <c r="AL356" i="4"/>
  <c r="AM356" i="4"/>
  <c r="AN356" i="4"/>
  <c r="AO356" i="4"/>
  <c r="AP356" i="4"/>
  <c r="AQ356" i="4"/>
  <c r="AR356" i="4"/>
  <c r="AS356" i="4"/>
  <c r="AT356" i="4"/>
  <c r="AU356" i="4"/>
  <c r="AV356" i="4"/>
  <c r="AJ357" i="4"/>
  <c r="AK357" i="4"/>
  <c r="AL357" i="4"/>
  <c r="AM357" i="4"/>
  <c r="AN357" i="4"/>
  <c r="AO357" i="4"/>
  <c r="AP357" i="4"/>
  <c r="AQ357" i="4"/>
  <c r="AR357" i="4"/>
  <c r="AS357" i="4"/>
  <c r="AT357" i="4"/>
  <c r="AU357" i="4"/>
  <c r="AV357" i="4"/>
  <c r="AJ358" i="4"/>
  <c r="AK358" i="4"/>
  <c r="AL358" i="4"/>
  <c r="AM358" i="4"/>
  <c r="AN358" i="4"/>
  <c r="AO358" i="4"/>
  <c r="AP358" i="4"/>
  <c r="AQ358" i="4"/>
  <c r="AR358" i="4"/>
  <c r="AS358" i="4"/>
  <c r="AT358" i="4"/>
  <c r="AU358" i="4"/>
  <c r="AV358" i="4"/>
  <c r="AJ359" i="4"/>
  <c r="AK359" i="4"/>
  <c r="AL359" i="4"/>
  <c r="AM359" i="4"/>
  <c r="AN359" i="4"/>
  <c r="AO359" i="4"/>
  <c r="AP359" i="4"/>
  <c r="AQ359" i="4"/>
  <c r="AR359" i="4"/>
  <c r="AS359" i="4"/>
  <c r="AT359" i="4"/>
  <c r="AU359" i="4"/>
  <c r="AV359" i="4"/>
  <c r="AJ360" i="4"/>
  <c r="AK360" i="4"/>
  <c r="AL360" i="4"/>
  <c r="AM360" i="4"/>
  <c r="AN360" i="4"/>
  <c r="AO360" i="4"/>
  <c r="AP360" i="4"/>
  <c r="AQ360" i="4"/>
  <c r="AR360" i="4"/>
  <c r="AS360" i="4"/>
  <c r="AT360" i="4"/>
  <c r="AU360" i="4"/>
  <c r="AV360" i="4"/>
  <c r="AJ361" i="4"/>
  <c r="AK361" i="4"/>
  <c r="AL361" i="4"/>
  <c r="AM361" i="4"/>
  <c r="AN361" i="4"/>
  <c r="AO361" i="4"/>
  <c r="AP361" i="4"/>
  <c r="AQ361" i="4"/>
  <c r="AR361" i="4"/>
  <c r="AS361" i="4"/>
  <c r="AT361" i="4"/>
  <c r="AU361" i="4"/>
  <c r="AV361" i="4"/>
  <c r="AJ362" i="4"/>
  <c r="AK362" i="4"/>
  <c r="AL362" i="4"/>
  <c r="AM362" i="4"/>
  <c r="AN362" i="4"/>
  <c r="AO362" i="4"/>
  <c r="AP362" i="4"/>
  <c r="AQ362" i="4"/>
  <c r="AR362" i="4"/>
  <c r="AS362" i="4"/>
  <c r="AT362" i="4"/>
  <c r="AU362" i="4"/>
  <c r="AV362" i="4"/>
  <c r="AJ363" i="4"/>
  <c r="AK363" i="4"/>
  <c r="AL363" i="4"/>
  <c r="AM363" i="4"/>
  <c r="AN363" i="4"/>
  <c r="AO363" i="4"/>
  <c r="AP363" i="4"/>
  <c r="AQ363" i="4"/>
  <c r="AR363" i="4"/>
  <c r="AS363" i="4"/>
  <c r="AT363" i="4"/>
  <c r="AU363" i="4"/>
  <c r="AV363" i="4"/>
  <c r="AJ364" i="4"/>
  <c r="AK364" i="4"/>
  <c r="AL364" i="4"/>
  <c r="AM364" i="4"/>
  <c r="AN364" i="4"/>
  <c r="AO364" i="4"/>
  <c r="AP364" i="4"/>
  <c r="AQ364" i="4"/>
  <c r="AR364" i="4"/>
  <c r="AS364" i="4"/>
  <c r="AT364" i="4"/>
  <c r="AU364" i="4"/>
  <c r="AV364" i="4"/>
  <c r="AJ365" i="4"/>
  <c r="AK365" i="4"/>
  <c r="AL365" i="4"/>
  <c r="AM365" i="4"/>
  <c r="AN365" i="4"/>
  <c r="AO365" i="4"/>
  <c r="AP365" i="4"/>
  <c r="AQ365" i="4"/>
  <c r="AR365" i="4"/>
  <c r="AS365" i="4"/>
  <c r="AT365" i="4"/>
  <c r="AU365" i="4"/>
  <c r="AV365" i="4"/>
  <c r="AJ366" i="4"/>
  <c r="AK366" i="4"/>
  <c r="AL366" i="4"/>
  <c r="AM366" i="4"/>
  <c r="AN366" i="4"/>
  <c r="AO366" i="4"/>
  <c r="AP366" i="4"/>
  <c r="AQ366" i="4"/>
  <c r="AR366" i="4"/>
  <c r="AS366" i="4"/>
  <c r="AT366" i="4"/>
  <c r="AU366" i="4"/>
  <c r="AV366" i="4"/>
  <c r="AJ367" i="4"/>
  <c r="AK367" i="4"/>
  <c r="AL367" i="4"/>
  <c r="AM367" i="4"/>
  <c r="AN367" i="4"/>
  <c r="AO367" i="4"/>
  <c r="AP367" i="4"/>
  <c r="AQ367" i="4"/>
  <c r="AR367" i="4"/>
  <c r="AS367" i="4"/>
  <c r="AT367" i="4"/>
  <c r="AU367" i="4"/>
  <c r="AV367" i="4"/>
  <c r="AJ368" i="4"/>
  <c r="AK368" i="4"/>
  <c r="AL368" i="4"/>
  <c r="AM368" i="4"/>
  <c r="AN368" i="4"/>
  <c r="AO368" i="4"/>
  <c r="AP368" i="4"/>
  <c r="AQ368" i="4"/>
  <c r="AR368" i="4"/>
  <c r="AS368" i="4"/>
  <c r="AT368" i="4"/>
  <c r="AU368" i="4"/>
  <c r="AV368" i="4"/>
  <c r="AJ369" i="4"/>
  <c r="AK369" i="4"/>
  <c r="AL369" i="4"/>
  <c r="AM369" i="4"/>
  <c r="AN369" i="4"/>
  <c r="AO369" i="4"/>
  <c r="AP369" i="4"/>
  <c r="AQ369" i="4"/>
  <c r="AR369" i="4"/>
  <c r="AS369" i="4"/>
  <c r="AT369" i="4"/>
  <c r="AU369" i="4"/>
  <c r="AV369" i="4"/>
  <c r="AJ370" i="4"/>
  <c r="AK370" i="4"/>
  <c r="AL370" i="4"/>
  <c r="AM370" i="4"/>
  <c r="AN370" i="4"/>
  <c r="AO370" i="4"/>
  <c r="AP370" i="4"/>
  <c r="AQ370" i="4"/>
  <c r="AR370" i="4"/>
  <c r="AS370" i="4"/>
  <c r="AT370" i="4"/>
  <c r="AU370" i="4"/>
  <c r="AV370" i="4"/>
  <c r="AJ371" i="4"/>
  <c r="AK371" i="4"/>
  <c r="AL371" i="4"/>
  <c r="AM371" i="4"/>
  <c r="AN371" i="4"/>
  <c r="AO371" i="4"/>
  <c r="AP371" i="4"/>
  <c r="AQ371" i="4"/>
  <c r="AR371" i="4"/>
  <c r="AS371" i="4"/>
  <c r="AT371" i="4"/>
  <c r="AU371" i="4"/>
  <c r="AV371" i="4"/>
  <c r="AJ372" i="4"/>
  <c r="AK372" i="4"/>
  <c r="AL372" i="4"/>
  <c r="AM372" i="4"/>
  <c r="AN372" i="4"/>
  <c r="AO372" i="4"/>
  <c r="AP372" i="4"/>
  <c r="AQ372" i="4"/>
  <c r="AR372" i="4"/>
  <c r="AS372" i="4"/>
  <c r="AT372" i="4"/>
  <c r="AU372" i="4"/>
  <c r="AV372" i="4"/>
  <c r="AJ373" i="4"/>
  <c r="AK373" i="4"/>
  <c r="AL373" i="4"/>
  <c r="AM373" i="4"/>
  <c r="AN373" i="4"/>
  <c r="AO373" i="4"/>
  <c r="AP373" i="4"/>
  <c r="AQ373" i="4"/>
  <c r="AR373" i="4"/>
  <c r="AS373" i="4"/>
  <c r="AT373" i="4"/>
  <c r="AU373" i="4"/>
  <c r="AV373" i="4"/>
  <c r="AJ374" i="4"/>
  <c r="AK374" i="4"/>
  <c r="AL374" i="4"/>
  <c r="AM374" i="4"/>
  <c r="AN374" i="4"/>
  <c r="AO374" i="4"/>
  <c r="AP374" i="4"/>
  <c r="AQ374" i="4"/>
  <c r="AR374" i="4"/>
  <c r="AS374" i="4"/>
  <c r="AT374" i="4"/>
  <c r="AU374" i="4"/>
  <c r="AV374" i="4"/>
  <c r="AJ375" i="4"/>
  <c r="AK375" i="4"/>
  <c r="AL375" i="4"/>
  <c r="AM375" i="4"/>
  <c r="AN375" i="4"/>
  <c r="AO375" i="4"/>
  <c r="AP375" i="4"/>
  <c r="AQ375" i="4"/>
  <c r="AR375" i="4"/>
  <c r="AS375" i="4"/>
  <c r="AT375" i="4"/>
  <c r="AU375" i="4"/>
  <c r="AV375" i="4"/>
  <c r="AJ376" i="4"/>
  <c r="AK376" i="4"/>
  <c r="AL376" i="4"/>
  <c r="AM376" i="4"/>
  <c r="AN376" i="4"/>
  <c r="AO376" i="4"/>
  <c r="AP376" i="4"/>
  <c r="AQ376" i="4"/>
  <c r="AR376" i="4"/>
  <c r="AS376" i="4"/>
  <c r="AT376" i="4"/>
  <c r="AU376" i="4"/>
  <c r="AV376" i="4"/>
  <c r="AJ377" i="4"/>
  <c r="AK377" i="4"/>
  <c r="AL377" i="4"/>
  <c r="AM377" i="4"/>
  <c r="AN377" i="4"/>
  <c r="AO377" i="4"/>
  <c r="AP377" i="4"/>
  <c r="AQ377" i="4"/>
  <c r="AR377" i="4"/>
  <c r="AS377" i="4"/>
  <c r="AT377" i="4"/>
  <c r="AU377" i="4"/>
  <c r="AV377" i="4"/>
  <c r="AJ378" i="4"/>
  <c r="AK378" i="4"/>
  <c r="AL378" i="4"/>
  <c r="AM378" i="4"/>
  <c r="AN378" i="4"/>
  <c r="AO378" i="4"/>
  <c r="AP378" i="4"/>
  <c r="AQ378" i="4"/>
  <c r="AR378" i="4"/>
  <c r="AS378" i="4"/>
  <c r="AT378" i="4"/>
  <c r="AU378" i="4"/>
  <c r="AV378" i="4"/>
  <c r="AJ379" i="4"/>
  <c r="AK379" i="4"/>
  <c r="AL379" i="4"/>
  <c r="AM379" i="4"/>
  <c r="AN379" i="4"/>
  <c r="AO379" i="4"/>
  <c r="AP379" i="4"/>
  <c r="AQ379" i="4"/>
  <c r="AR379" i="4"/>
  <c r="AS379" i="4"/>
  <c r="AT379" i="4"/>
  <c r="AU379" i="4"/>
  <c r="AV379" i="4"/>
  <c r="AJ380" i="4"/>
  <c r="AK380" i="4"/>
  <c r="AL380" i="4"/>
  <c r="AM380" i="4"/>
  <c r="AN380" i="4"/>
  <c r="AO380" i="4"/>
  <c r="AP380" i="4"/>
  <c r="AQ380" i="4"/>
  <c r="AR380" i="4"/>
  <c r="AS380" i="4"/>
  <c r="AT380" i="4"/>
  <c r="AU380" i="4"/>
  <c r="AV380" i="4"/>
  <c r="AJ381" i="4"/>
  <c r="AK381" i="4"/>
  <c r="AL381" i="4"/>
  <c r="AM381" i="4"/>
  <c r="AN381" i="4"/>
  <c r="AO381" i="4"/>
  <c r="AP381" i="4"/>
  <c r="AQ381" i="4"/>
  <c r="AR381" i="4"/>
  <c r="AS381" i="4"/>
  <c r="AT381" i="4"/>
  <c r="AU381" i="4"/>
  <c r="AV381" i="4"/>
  <c r="AJ382" i="4"/>
  <c r="AK382" i="4"/>
  <c r="AL382" i="4"/>
  <c r="AM382" i="4"/>
  <c r="AN382" i="4"/>
  <c r="AO382" i="4"/>
  <c r="AP382" i="4"/>
  <c r="AQ382" i="4"/>
  <c r="AR382" i="4"/>
  <c r="AS382" i="4"/>
  <c r="AT382" i="4"/>
  <c r="AU382" i="4"/>
  <c r="AV382" i="4"/>
  <c r="AJ383" i="4"/>
  <c r="AK383" i="4"/>
  <c r="AL383" i="4"/>
  <c r="AM383" i="4"/>
  <c r="AN383" i="4"/>
  <c r="AO383" i="4"/>
  <c r="AP383" i="4"/>
  <c r="AQ383" i="4"/>
  <c r="AR383" i="4"/>
  <c r="AS383" i="4"/>
  <c r="AT383" i="4"/>
  <c r="AU383" i="4"/>
  <c r="AV383" i="4"/>
  <c r="AJ384" i="4"/>
  <c r="AK384" i="4"/>
  <c r="AL384" i="4"/>
  <c r="AM384" i="4"/>
  <c r="AN384" i="4"/>
  <c r="AO384" i="4"/>
  <c r="AP384" i="4"/>
  <c r="AQ384" i="4"/>
  <c r="AR384" i="4"/>
  <c r="AS384" i="4"/>
  <c r="AT384" i="4"/>
  <c r="AU384" i="4"/>
  <c r="AV384" i="4"/>
  <c r="AJ385" i="4"/>
  <c r="AK385" i="4"/>
  <c r="AL385" i="4"/>
  <c r="AM385" i="4"/>
  <c r="AN385" i="4"/>
  <c r="AO385" i="4"/>
  <c r="AP385" i="4"/>
  <c r="AQ385" i="4"/>
  <c r="AR385" i="4"/>
  <c r="AS385" i="4"/>
  <c r="AT385" i="4"/>
  <c r="AU385" i="4"/>
  <c r="AV385" i="4"/>
  <c r="AJ386" i="4"/>
  <c r="AK386" i="4"/>
  <c r="AL386" i="4"/>
  <c r="AM386" i="4"/>
  <c r="AN386" i="4"/>
  <c r="AO386" i="4"/>
  <c r="AP386" i="4"/>
  <c r="AQ386" i="4"/>
  <c r="AR386" i="4"/>
  <c r="AS386" i="4"/>
  <c r="AT386" i="4"/>
  <c r="AU386" i="4"/>
  <c r="AV386" i="4"/>
  <c r="AJ387" i="4"/>
  <c r="AK387" i="4"/>
  <c r="AL387" i="4"/>
  <c r="AM387" i="4"/>
  <c r="AN387" i="4"/>
  <c r="AO387" i="4"/>
  <c r="AP387" i="4"/>
  <c r="AQ387" i="4"/>
  <c r="AR387" i="4"/>
  <c r="AS387" i="4"/>
  <c r="AT387" i="4"/>
  <c r="AU387" i="4"/>
  <c r="AV387" i="4"/>
  <c r="AJ388" i="4"/>
  <c r="AK388" i="4"/>
  <c r="AL388" i="4"/>
  <c r="AM388" i="4"/>
  <c r="AN388" i="4"/>
  <c r="AO388" i="4"/>
  <c r="AP388" i="4"/>
  <c r="AQ388" i="4"/>
  <c r="AR388" i="4"/>
  <c r="AS388" i="4"/>
  <c r="AT388" i="4"/>
  <c r="AU388" i="4"/>
  <c r="AV388" i="4"/>
  <c r="AJ389" i="4"/>
  <c r="AK389" i="4"/>
  <c r="AL389" i="4"/>
  <c r="AM389" i="4"/>
  <c r="AN389" i="4"/>
  <c r="AO389" i="4"/>
  <c r="AP389" i="4"/>
  <c r="AQ389" i="4"/>
  <c r="AR389" i="4"/>
  <c r="AS389" i="4"/>
  <c r="AT389" i="4"/>
  <c r="AU389" i="4"/>
  <c r="AV389" i="4"/>
  <c r="AJ390" i="4"/>
  <c r="AK390" i="4"/>
  <c r="AL390" i="4"/>
  <c r="AM390" i="4"/>
  <c r="AN390" i="4"/>
  <c r="AO390" i="4"/>
  <c r="AP390" i="4"/>
  <c r="AQ390" i="4"/>
  <c r="AR390" i="4"/>
  <c r="AS390" i="4"/>
  <c r="AT390" i="4"/>
  <c r="AU390" i="4"/>
  <c r="AV390" i="4"/>
  <c r="AJ391" i="4"/>
  <c r="AK391" i="4"/>
  <c r="AL391" i="4"/>
  <c r="AM391" i="4"/>
  <c r="AN391" i="4"/>
  <c r="AO391" i="4"/>
  <c r="AP391" i="4"/>
  <c r="AQ391" i="4"/>
  <c r="AR391" i="4"/>
  <c r="AS391" i="4"/>
  <c r="AT391" i="4"/>
  <c r="AU391" i="4"/>
  <c r="AV391" i="4"/>
  <c r="AJ392" i="4"/>
  <c r="AK392" i="4"/>
  <c r="AL392" i="4"/>
  <c r="AM392" i="4"/>
  <c r="AN392" i="4"/>
  <c r="AO392" i="4"/>
  <c r="AP392" i="4"/>
  <c r="AQ392" i="4"/>
  <c r="AR392" i="4"/>
  <c r="AS392" i="4"/>
  <c r="AT392" i="4"/>
  <c r="AU392" i="4"/>
  <c r="AV392" i="4"/>
  <c r="AJ393" i="4"/>
  <c r="AK393" i="4"/>
  <c r="AL393" i="4"/>
  <c r="AM393" i="4"/>
  <c r="AN393" i="4"/>
  <c r="AO393" i="4"/>
  <c r="AP393" i="4"/>
  <c r="AQ393" i="4"/>
  <c r="AR393" i="4"/>
  <c r="AS393" i="4"/>
  <c r="AT393" i="4"/>
  <c r="AU393" i="4"/>
  <c r="AV393" i="4"/>
  <c r="AJ394" i="4"/>
  <c r="AK394" i="4"/>
  <c r="AL394" i="4"/>
  <c r="AM394" i="4"/>
  <c r="AN394" i="4"/>
  <c r="AO394" i="4"/>
  <c r="AP394" i="4"/>
  <c r="AQ394" i="4"/>
  <c r="AR394" i="4"/>
  <c r="AS394" i="4"/>
  <c r="AT394" i="4"/>
  <c r="AU394" i="4"/>
  <c r="AV394" i="4"/>
  <c r="AJ395" i="4"/>
  <c r="AK395" i="4"/>
  <c r="AL395" i="4"/>
  <c r="AM395" i="4"/>
  <c r="AN395" i="4"/>
  <c r="AO395" i="4"/>
  <c r="AP395" i="4"/>
  <c r="AQ395" i="4"/>
  <c r="AR395" i="4"/>
  <c r="AS395" i="4"/>
  <c r="AT395" i="4"/>
  <c r="AU395" i="4"/>
  <c r="AV395" i="4"/>
  <c r="AJ396" i="4"/>
  <c r="AK396" i="4"/>
  <c r="AL396" i="4"/>
  <c r="AM396" i="4"/>
  <c r="AN396" i="4"/>
  <c r="AO396" i="4"/>
  <c r="AP396" i="4"/>
  <c r="AQ396" i="4"/>
  <c r="AR396" i="4"/>
  <c r="AS396" i="4"/>
  <c r="AT396" i="4"/>
  <c r="AU396" i="4"/>
  <c r="AV396" i="4"/>
  <c r="AJ397" i="4"/>
  <c r="AK397" i="4"/>
  <c r="AL397" i="4"/>
  <c r="AM397" i="4"/>
  <c r="AN397" i="4"/>
  <c r="AO397" i="4"/>
  <c r="AP397" i="4"/>
  <c r="AQ397" i="4"/>
  <c r="AR397" i="4"/>
  <c r="AS397" i="4"/>
  <c r="AT397" i="4"/>
  <c r="AU397" i="4"/>
  <c r="AV397" i="4"/>
  <c r="AJ398" i="4"/>
  <c r="AK398" i="4"/>
  <c r="AL398" i="4"/>
  <c r="AM398" i="4"/>
  <c r="AN398" i="4"/>
  <c r="AO398" i="4"/>
  <c r="AP398" i="4"/>
  <c r="AQ398" i="4"/>
  <c r="AR398" i="4"/>
  <c r="AS398" i="4"/>
  <c r="AT398" i="4"/>
  <c r="AU398" i="4"/>
  <c r="AV398" i="4"/>
  <c r="AJ399" i="4"/>
  <c r="AK399" i="4"/>
  <c r="AL399" i="4"/>
  <c r="AM399" i="4"/>
  <c r="AN399" i="4"/>
  <c r="AO399" i="4"/>
  <c r="AP399" i="4"/>
  <c r="AQ399" i="4"/>
  <c r="AR399" i="4"/>
  <c r="AS399" i="4"/>
  <c r="AT399" i="4"/>
  <c r="AU399" i="4"/>
  <c r="AV399" i="4"/>
  <c r="AJ400" i="4"/>
  <c r="AK400" i="4"/>
  <c r="AL400" i="4"/>
  <c r="AM400" i="4"/>
  <c r="AN400" i="4"/>
  <c r="AO400" i="4"/>
  <c r="AP400" i="4"/>
  <c r="AQ400" i="4"/>
  <c r="AR400" i="4"/>
  <c r="AS400" i="4"/>
  <c r="AT400" i="4"/>
  <c r="AU400" i="4"/>
  <c r="AV400" i="4"/>
  <c r="AJ401" i="4"/>
  <c r="AK401" i="4"/>
  <c r="AL401" i="4"/>
  <c r="AM401" i="4"/>
  <c r="AN401" i="4"/>
  <c r="AO401" i="4"/>
  <c r="AP401" i="4"/>
  <c r="AQ401" i="4"/>
  <c r="AR401" i="4"/>
  <c r="AS401" i="4"/>
  <c r="AT401" i="4"/>
  <c r="AU401" i="4"/>
  <c r="AV401" i="4"/>
  <c r="AJ402" i="4"/>
  <c r="AK402" i="4"/>
  <c r="AL402" i="4"/>
  <c r="AM402" i="4"/>
  <c r="AN402" i="4"/>
  <c r="AO402" i="4"/>
  <c r="AP402" i="4"/>
  <c r="AQ402" i="4"/>
  <c r="AR402" i="4"/>
  <c r="AS402" i="4"/>
  <c r="AT402" i="4"/>
  <c r="AU402" i="4"/>
  <c r="AV402" i="4"/>
  <c r="AJ403" i="4"/>
  <c r="AK403" i="4"/>
  <c r="AL403" i="4"/>
  <c r="AM403" i="4"/>
  <c r="AN403" i="4"/>
  <c r="AO403" i="4"/>
  <c r="AP403" i="4"/>
  <c r="AQ403" i="4"/>
  <c r="AR403" i="4"/>
  <c r="AS403" i="4"/>
  <c r="AT403" i="4"/>
  <c r="AU403" i="4"/>
  <c r="AV403" i="4"/>
  <c r="AJ404" i="4"/>
  <c r="AK404" i="4"/>
  <c r="AL404" i="4"/>
  <c r="AM404" i="4"/>
  <c r="AN404" i="4"/>
  <c r="AO404" i="4"/>
  <c r="AP404" i="4"/>
  <c r="AQ404" i="4"/>
  <c r="AR404" i="4"/>
  <c r="AS404" i="4"/>
  <c r="AT404" i="4"/>
  <c r="AU404" i="4"/>
  <c r="AV404" i="4"/>
  <c r="AJ405" i="4"/>
  <c r="AK405" i="4"/>
  <c r="AL405" i="4"/>
  <c r="AM405" i="4"/>
  <c r="AN405" i="4"/>
  <c r="AO405" i="4"/>
  <c r="AP405" i="4"/>
  <c r="AQ405" i="4"/>
  <c r="AR405" i="4"/>
  <c r="AS405" i="4"/>
  <c r="AT405" i="4"/>
  <c r="AU405" i="4"/>
  <c r="AV405" i="4"/>
  <c r="AJ406" i="4"/>
  <c r="AK406" i="4"/>
  <c r="AL406" i="4"/>
  <c r="AM406" i="4"/>
  <c r="AN406" i="4"/>
  <c r="AO406" i="4"/>
  <c r="AP406" i="4"/>
  <c r="AQ406" i="4"/>
  <c r="AR406" i="4"/>
  <c r="AS406" i="4"/>
  <c r="AT406" i="4"/>
  <c r="AU406" i="4"/>
  <c r="AV406" i="4"/>
  <c r="AJ407" i="4"/>
  <c r="AK407" i="4"/>
  <c r="AL407" i="4"/>
  <c r="AM407" i="4"/>
  <c r="AN407" i="4"/>
  <c r="AO407" i="4"/>
  <c r="AP407" i="4"/>
  <c r="AQ407" i="4"/>
  <c r="AR407" i="4"/>
  <c r="AS407" i="4"/>
  <c r="AT407" i="4"/>
  <c r="AU407" i="4"/>
  <c r="AV407" i="4"/>
  <c r="AJ408" i="4"/>
  <c r="AK408" i="4"/>
  <c r="AL408" i="4"/>
  <c r="AM408" i="4"/>
  <c r="AN408" i="4"/>
  <c r="AO408" i="4"/>
  <c r="AP408" i="4"/>
  <c r="AQ408" i="4"/>
  <c r="AR408" i="4"/>
  <c r="AS408" i="4"/>
  <c r="AT408" i="4"/>
  <c r="AU408" i="4"/>
  <c r="AV408" i="4"/>
  <c r="AJ409" i="4"/>
  <c r="AK409" i="4"/>
  <c r="AL409" i="4"/>
  <c r="AM409" i="4"/>
  <c r="AN409" i="4"/>
  <c r="AO409" i="4"/>
  <c r="AP409" i="4"/>
  <c r="AQ409" i="4"/>
  <c r="AR409" i="4"/>
  <c r="AS409" i="4"/>
  <c r="AT409" i="4"/>
  <c r="AU409" i="4"/>
  <c r="AV409" i="4"/>
  <c r="AJ410" i="4"/>
  <c r="AK410" i="4"/>
  <c r="AL410" i="4"/>
  <c r="AM410" i="4"/>
  <c r="AN410" i="4"/>
  <c r="AO410" i="4"/>
  <c r="AP410" i="4"/>
  <c r="AQ410" i="4"/>
  <c r="AR410" i="4"/>
  <c r="AS410" i="4"/>
  <c r="AT410" i="4"/>
  <c r="AU410" i="4"/>
  <c r="AV410" i="4"/>
  <c r="AJ411" i="4"/>
  <c r="AK411" i="4"/>
  <c r="AL411" i="4"/>
  <c r="AM411" i="4"/>
  <c r="AN411" i="4"/>
  <c r="AO411" i="4"/>
  <c r="AP411" i="4"/>
  <c r="AQ411" i="4"/>
  <c r="AR411" i="4"/>
  <c r="AS411" i="4"/>
  <c r="AT411" i="4"/>
  <c r="AU411" i="4"/>
  <c r="AV411" i="4"/>
  <c r="AJ412" i="4"/>
  <c r="AK412" i="4"/>
  <c r="AL412" i="4"/>
  <c r="AM412" i="4"/>
  <c r="AN412" i="4"/>
  <c r="AO412" i="4"/>
  <c r="AP412" i="4"/>
  <c r="AQ412" i="4"/>
  <c r="AR412" i="4"/>
  <c r="AS412" i="4"/>
  <c r="AT412" i="4"/>
  <c r="AU412" i="4"/>
  <c r="AV412" i="4"/>
  <c r="AJ413" i="4"/>
  <c r="AK413" i="4"/>
  <c r="AL413" i="4"/>
  <c r="AM413" i="4"/>
  <c r="AN413" i="4"/>
  <c r="AO413" i="4"/>
  <c r="AP413" i="4"/>
  <c r="AQ413" i="4"/>
  <c r="AR413" i="4"/>
  <c r="AS413" i="4"/>
  <c r="AT413" i="4"/>
  <c r="AU413" i="4"/>
  <c r="AV413" i="4"/>
  <c r="AJ414" i="4"/>
  <c r="AK414" i="4"/>
  <c r="AL414" i="4"/>
  <c r="AM414" i="4"/>
  <c r="AN414" i="4"/>
  <c r="AO414" i="4"/>
  <c r="AP414" i="4"/>
  <c r="AQ414" i="4"/>
  <c r="AR414" i="4"/>
  <c r="AS414" i="4"/>
  <c r="AT414" i="4"/>
  <c r="AU414" i="4"/>
  <c r="AV414" i="4"/>
  <c r="AJ415" i="4"/>
  <c r="AK415" i="4"/>
  <c r="AL415" i="4"/>
  <c r="AM415" i="4"/>
  <c r="AN415" i="4"/>
  <c r="AO415" i="4"/>
  <c r="AP415" i="4"/>
  <c r="AQ415" i="4"/>
  <c r="AR415" i="4"/>
  <c r="AS415" i="4"/>
  <c r="AT415" i="4"/>
  <c r="AU415" i="4"/>
  <c r="AV415" i="4"/>
  <c r="AJ416" i="4"/>
  <c r="AK416" i="4"/>
  <c r="AL416" i="4"/>
  <c r="AM416" i="4"/>
  <c r="AN416" i="4"/>
  <c r="AO416" i="4"/>
  <c r="AP416" i="4"/>
  <c r="AQ416" i="4"/>
  <c r="AR416" i="4"/>
  <c r="AS416" i="4"/>
  <c r="AT416" i="4"/>
  <c r="AU416" i="4"/>
  <c r="AV416" i="4"/>
  <c r="AJ417" i="4"/>
  <c r="AK417" i="4"/>
  <c r="AL417" i="4"/>
  <c r="AM417" i="4"/>
  <c r="AN417" i="4"/>
  <c r="AO417" i="4"/>
  <c r="AP417" i="4"/>
  <c r="AQ417" i="4"/>
  <c r="AR417" i="4"/>
  <c r="AS417" i="4"/>
  <c r="AT417" i="4"/>
  <c r="AU417" i="4"/>
  <c r="AV417" i="4"/>
  <c r="AJ418" i="4"/>
  <c r="AK418" i="4"/>
  <c r="AL418" i="4"/>
  <c r="AM418" i="4"/>
  <c r="AN418" i="4"/>
  <c r="AO418" i="4"/>
  <c r="AP418" i="4"/>
  <c r="AQ418" i="4"/>
  <c r="AR418" i="4"/>
  <c r="AS418" i="4"/>
  <c r="AT418" i="4"/>
  <c r="AU418" i="4"/>
  <c r="AV418" i="4"/>
  <c r="AJ419" i="4"/>
  <c r="AK419" i="4"/>
  <c r="AL419" i="4"/>
  <c r="AM419" i="4"/>
  <c r="AN419" i="4"/>
  <c r="AO419" i="4"/>
  <c r="AP419" i="4"/>
  <c r="AQ419" i="4"/>
  <c r="AR419" i="4"/>
  <c r="AS419" i="4"/>
  <c r="AT419" i="4"/>
  <c r="AU419" i="4"/>
  <c r="AV419" i="4"/>
  <c r="AJ420" i="4"/>
  <c r="AK420" i="4"/>
  <c r="AL420" i="4"/>
  <c r="AM420" i="4"/>
  <c r="AN420" i="4"/>
  <c r="AO420" i="4"/>
  <c r="AP420" i="4"/>
  <c r="AQ420" i="4"/>
  <c r="AR420" i="4"/>
  <c r="AS420" i="4"/>
  <c r="AT420" i="4"/>
  <c r="AU420" i="4"/>
  <c r="AV420" i="4"/>
  <c r="AJ421" i="4"/>
  <c r="AK421" i="4"/>
  <c r="AL421" i="4"/>
  <c r="AM421" i="4"/>
  <c r="AN421" i="4"/>
  <c r="AO421" i="4"/>
  <c r="AP421" i="4"/>
  <c r="AQ421" i="4"/>
  <c r="AR421" i="4"/>
  <c r="AS421" i="4"/>
  <c r="AT421" i="4"/>
  <c r="AU421" i="4"/>
  <c r="AV421" i="4"/>
  <c r="AJ422" i="4"/>
  <c r="AK422" i="4"/>
  <c r="AL422" i="4"/>
  <c r="AM422" i="4"/>
  <c r="AN422" i="4"/>
  <c r="AO422" i="4"/>
  <c r="AP422" i="4"/>
  <c r="AQ422" i="4"/>
  <c r="AR422" i="4"/>
  <c r="AS422" i="4"/>
  <c r="AT422" i="4"/>
  <c r="AU422" i="4"/>
  <c r="AV422" i="4"/>
  <c r="AJ423" i="4"/>
  <c r="AK423" i="4"/>
  <c r="AL423" i="4"/>
  <c r="AM423" i="4"/>
  <c r="AN423" i="4"/>
  <c r="AO423" i="4"/>
  <c r="AP423" i="4"/>
  <c r="AQ423" i="4"/>
  <c r="AR423" i="4"/>
  <c r="AS423" i="4"/>
  <c r="AT423" i="4"/>
  <c r="AU423" i="4"/>
  <c r="AV423" i="4"/>
  <c r="AJ424" i="4"/>
  <c r="AK424" i="4"/>
  <c r="AL424" i="4"/>
  <c r="AM424" i="4"/>
  <c r="AN424" i="4"/>
  <c r="AO424" i="4"/>
  <c r="AP424" i="4"/>
  <c r="AQ424" i="4"/>
  <c r="AR424" i="4"/>
  <c r="AS424" i="4"/>
  <c r="AT424" i="4"/>
  <c r="AU424" i="4"/>
  <c r="AV424" i="4"/>
  <c r="AJ425" i="4"/>
  <c r="AK425" i="4"/>
  <c r="AL425" i="4"/>
  <c r="AM425" i="4"/>
  <c r="AN425" i="4"/>
  <c r="AO425" i="4"/>
  <c r="AP425" i="4"/>
  <c r="AQ425" i="4"/>
  <c r="AR425" i="4"/>
  <c r="AS425" i="4"/>
  <c r="AT425" i="4"/>
  <c r="AU425" i="4"/>
  <c r="AV425" i="4"/>
  <c r="AJ426" i="4"/>
  <c r="AK426" i="4"/>
  <c r="AL426" i="4"/>
  <c r="AM426" i="4"/>
  <c r="AN426" i="4"/>
  <c r="AO426" i="4"/>
  <c r="AP426" i="4"/>
  <c r="AQ426" i="4"/>
  <c r="AR426" i="4"/>
  <c r="AS426" i="4"/>
  <c r="AT426" i="4"/>
  <c r="AU426" i="4"/>
  <c r="AV426" i="4"/>
  <c r="AJ427" i="4"/>
  <c r="AK427" i="4"/>
  <c r="AL427" i="4"/>
  <c r="AM427" i="4"/>
  <c r="AN427" i="4"/>
  <c r="AO427" i="4"/>
  <c r="AP427" i="4"/>
  <c r="AQ427" i="4"/>
  <c r="AR427" i="4"/>
  <c r="AS427" i="4"/>
  <c r="AT427" i="4"/>
  <c r="AU427" i="4"/>
  <c r="AV427" i="4"/>
  <c r="AJ428" i="4"/>
  <c r="AK428" i="4"/>
  <c r="AL428" i="4"/>
  <c r="AM428" i="4"/>
  <c r="AN428" i="4"/>
  <c r="AO428" i="4"/>
  <c r="AP428" i="4"/>
  <c r="AQ428" i="4"/>
  <c r="AR428" i="4"/>
  <c r="AS428" i="4"/>
  <c r="AT428" i="4"/>
  <c r="AU428" i="4"/>
  <c r="AV428" i="4"/>
  <c r="AJ429" i="4"/>
  <c r="AK429" i="4"/>
  <c r="AL429" i="4"/>
  <c r="AM429" i="4"/>
  <c r="AN429" i="4"/>
  <c r="AO429" i="4"/>
  <c r="AP429" i="4"/>
  <c r="AQ429" i="4"/>
  <c r="AR429" i="4"/>
  <c r="AS429" i="4"/>
  <c r="AT429" i="4"/>
  <c r="AU429" i="4"/>
  <c r="AV429" i="4"/>
  <c r="AV2" i="4"/>
  <c r="AU2" i="4"/>
  <c r="AT2" i="4"/>
  <c r="AS2" i="4"/>
  <c r="AR2" i="4"/>
  <c r="AQ2" i="4"/>
  <c r="AP2" i="4"/>
  <c r="AO2" i="4"/>
  <c r="AN2" i="4"/>
  <c r="AM2" i="4"/>
  <c r="AL2" i="4"/>
  <c r="AK2" i="4"/>
  <c r="AJ2" i="4"/>
  <c r="AF3" i="23"/>
  <c r="AG3" i="23"/>
  <c r="AH3" i="23"/>
  <c r="AI3" i="23"/>
  <c r="AJ3" i="23"/>
  <c r="AK3" i="23"/>
  <c r="AL3" i="23"/>
  <c r="AM3" i="23"/>
  <c r="AN3" i="23"/>
  <c r="AO3" i="23"/>
  <c r="AP3" i="23"/>
  <c r="AQ3" i="23"/>
  <c r="AR3" i="23"/>
  <c r="AF4" i="23"/>
  <c r="AG4" i="23"/>
  <c r="AH4" i="23"/>
  <c r="AI4" i="23"/>
  <c r="AJ4" i="23"/>
  <c r="AK4" i="23"/>
  <c r="AL4" i="23"/>
  <c r="AM4" i="23"/>
  <c r="AN4" i="23"/>
  <c r="AO4" i="23"/>
  <c r="AP4" i="23"/>
  <c r="AQ4" i="23"/>
  <c r="AR4" i="23"/>
  <c r="AF5" i="23"/>
  <c r="AG5" i="23"/>
  <c r="AH5" i="23"/>
  <c r="AI5" i="23"/>
  <c r="AJ5" i="23"/>
  <c r="AK5" i="23"/>
  <c r="AL5" i="23"/>
  <c r="AM5" i="23"/>
  <c r="AN5" i="23"/>
  <c r="AO5" i="23"/>
  <c r="AP5" i="23"/>
  <c r="AQ5" i="23"/>
  <c r="AR5" i="23"/>
  <c r="AF6" i="23"/>
  <c r="AG6" i="23"/>
  <c r="AH6" i="23"/>
  <c r="AI6" i="23"/>
  <c r="AJ6" i="23"/>
  <c r="AK6" i="23"/>
  <c r="AL6" i="23"/>
  <c r="AM6" i="23"/>
  <c r="AN6" i="23"/>
  <c r="AO6" i="23"/>
  <c r="AP6" i="23"/>
  <c r="AQ6" i="23"/>
  <c r="AR6" i="23"/>
  <c r="AF7" i="23"/>
  <c r="AG7" i="23"/>
  <c r="AH7" i="23"/>
  <c r="AI7" i="23"/>
  <c r="AJ7" i="23"/>
  <c r="AK7" i="23"/>
  <c r="AL7" i="23"/>
  <c r="AM7" i="23"/>
  <c r="AN7" i="23"/>
  <c r="AO7" i="23"/>
  <c r="AP7" i="23"/>
  <c r="AQ7" i="23"/>
  <c r="AR7" i="23"/>
  <c r="AF8" i="23"/>
  <c r="AG8" i="23"/>
  <c r="AH8" i="23"/>
  <c r="AI8" i="23"/>
  <c r="AJ8" i="23"/>
  <c r="AK8" i="23"/>
  <c r="AL8" i="23"/>
  <c r="AM8" i="23"/>
  <c r="AN8" i="23"/>
  <c r="AO8" i="23"/>
  <c r="AP8" i="23"/>
  <c r="AQ8" i="23"/>
  <c r="AR8" i="23"/>
  <c r="AF9" i="23"/>
  <c r="AG9" i="23"/>
  <c r="AH9" i="23"/>
  <c r="AI9" i="23"/>
  <c r="AJ9" i="23"/>
  <c r="AK9" i="23"/>
  <c r="AL9" i="23"/>
  <c r="AM9" i="23"/>
  <c r="AN9" i="23"/>
  <c r="AO9" i="23"/>
  <c r="AP9" i="23"/>
  <c r="AQ9" i="23"/>
  <c r="AR9" i="23"/>
  <c r="AF10" i="23"/>
  <c r="AG10" i="23"/>
  <c r="AH10" i="23"/>
  <c r="AI10" i="23"/>
  <c r="AJ10" i="23"/>
  <c r="AK10" i="23"/>
  <c r="AL10" i="23"/>
  <c r="AM10" i="23"/>
  <c r="AN10" i="23"/>
  <c r="AO10" i="23"/>
  <c r="AP10" i="23"/>
  <c r="AQ10" i="23"/>
  <c r="AR10" i="23"/>
  <c r="AF11" i="23"/>
  <c r="AG11" i="23"/>
  <c r="AH11" i="23"/>
  <c r="AI11" i="23"/>
  <c r="AJ11" i="23"/>
  <c r="AK11" i="23"/>
  <c r="AL11" i="23"/>
  <c r="AM11" i="23"/>
  <c r="AN11" i="23"/>
  <c r="AO11" i="23"/>
  <c r="AP11" i="23"/>
  <c r="AQ11" i="23"/>
  <c r="AR11" i="23"/>
  <c r="AF12" i="23"/>
  <c r="AG12" i="23"/>
  <c r="AH12" i="23"/>
  <c r="AI12" i="23"/>
  <c r="AJ12" i="23"/>
  <c r="AK12" i="23"/>
  <c r="AL12" i="23"/>
  <c r="AM12" i="23"/>
  <c r="AN12" i="23"/>
  <c r="AO12" i="23"/>
  <c r="AP12" i="23"/>
  <c r="AQ12" i="23"/>
  <c r="AR12" i="23"/>
  <c r="AF13" i="23"/>
  <c r="AG13" i="23"/>
  <c r="AH13" i="23"/>
  <c r="AI13" i="23"/>
  <c r="AJ13" i="23"/>
  <c r="AK13" i="23"/>
  <c r="AL13" i="23"/>
  <c r="AM13" i="23"/>
  <c r="AN13" i="23"/>
  <c r="AO13" i="23"/>
  <c r="AP13" i="23"/>
  <c r="AQ13" i="23"/>
  <c r="AR13" i="23"/>
  <c r="AF14" i="23"/>
  <c r="AG14" i="23"/>
  <c r="AH14" i="23"/>
  <c r="AI14" i="23"/>
  <c r="AJ14" i="23"/>
  <c r="AK14" i="23"/>
  <c r="AL14" i="23"/>
  <c r="AM14" i="23"/>
  <c r="AN14" i="23"/>
  <c r="AO14" i="23"/>
  <c r="AP14" i="23"/>
  <c r="AQ14" i="23"/>
  <c r="AR14" i="23"/>
  <c r="AF15" i="23"/>
  <c r="AG15" i="23"/>
  <c r="AH15" i="23"/>
  <c r="AI15" i="23"/>
  <c r="AJ15" i="23"/>
  <c r="AK15" i="23"/>
  <c r="AL15" i="23"/>
  <c r="AM15" i="23"/>
  <c r="AN15" i="23"/>
  <c r="AO15" i="23"/>
  <c r="AP15" i="23"/>
  <c r="AQ15" i="23"/>
  <c r="AR15" i="23"/>
  <c r="AF16" i="23"/>
  <c r="AG16" i="23"/>
  <c r="AH16" i="23"/>
  <c r="AI16" i="23"/>
  <c r="AJ16" i="23"/>
  <c r="AK16" i="23"/>
  <c r="AL16" i="23"/>
  <c r="AM16" i="23"/>
  <c r="AN16" i="23"/>
  <c r="AO16" i="23"/>
  <c r="AP16" i="23"/>
  <c r="AQ16" i="23"/>
  <c r="AR16" i="23"/>
  <c r="AF17" i="23"/>
  <c r="AG17" i="23"/>
  <c r="AH17" i="23"/>
  <c r="AI17" i="23"/>
  <c r="AJ17" i="23"/>
  <c r="AK17" i="23"/>
  <c r="AL17" i="23"/>
  <c r="AM17" i="23"/>
  <c r="AN17" i="23"/>
  <c r="AO17" i="23"/>
  <c r="AP17" i="23"/>
  <c r="AQ17" i="23"/>
  <c r="AR17" i="23"/>
  <c r="AF18" i="23"/>
  <c r="AG18" i="23"/>
  <c r="AH18" i="23"/>
  <c r="AI18" i="23"/>
  <c r="AJ18" i="23"/>
  <c r="AK18" i="23"/>
  <c r="AL18" i="23"/>
  <c r="AM18" i="23"/>
  <c r="AN18" i="23"/>
  <c r="AO18" i="23"/>
  <c r="AP18" i="23"/>
  <c r="AQ18" i="23"/>
  <c r="AR18" i="23"/>
  <c r="AF19" i="23"/>
  <c r="AG19" i="23"/>
  <c r="AH19" i="23"/>
  <c r="AI19" i="23"/>
  <c r="AJ19" i="23"/>
  <c r="AK19" i="23"/>
  <c r="AL19" i="23"/>
  <c r="AM19" i="23"/>
  <c r="AN19" i="23"/>
  <c r="AO19" i="23"/>
  <c r="AP19" i="23"/>
  <c r="AQ19" i="23"/>
  <c r="AR19" i="23"/>
  <c r="AF20" i="23"/>
  <c r="AG20" i="23"/>
  <c r="AH20" i="23"/>
  <c r="AI20" i="23"/>
  <c r="AJ20" i="23"/>
  <c r="AK20" i="23"/>
  <c r="AL20" i="23"/>
  <c r="AM20" i="23"/>
  <c r="AN20" i="23"/>
  <c r="AO20" i="23"/>
  <c r="AP20" i="23"/>
  <c r="AQ20" i="23"/>
  <c r="AR20" i="23"/>
  <c r="AF21" i="23"/>
  <c r="AG21" i="23"/>
  <c r="AH21" i="23"/>
  <c r="AI21" i="23"/>
  <c r="AJ21" i="23"/>
  <c r="AK21" i="23"/>
  <c r="AL21" i="23"/>
  <c r="AM21" i="23"/>
  <c r="AN21" i="23"/>
  <c r="AO21" i="23"/>
  <c r="AP21" i="23"/>
  <c r="AQ21" i="23"/>
  <c r="AR21" i="23"/>
  <c r="AF22" i="23"/>
  <c r="AG22" i="23"/>
  <c r="AH22" i="23"/>
  <c r="AI22" i="23"/>
  <c r="AJ22" i="23"/>
  <c r="AK22" i="23"/>
  <c r="AL22" i="23"/>
  <c r="AM22" i="23"/>
  <c r="AN22" i="23"/>
  <c r="AO22" i="23"/>
  <c r="AP22" i="23"/>
  <c r="AQ22" i="23"/>
  <c r="AR22" i="23"/>
  <c r="AF23" i="23"/>
  <c r="AG23" i="23"/>
  <c r="AH23" i="23"/>
  <c r="AI23" i="23"/>
  <c r="AJ23" i="23"/>
  <c r="AK23" i="23"/>
  <c r="AL23" i="23"/>
  <c r="AM23" i="23"/>
  <c r="AN23" i="23"/>
  <c r="AO23" i="23"/>
  <c r="AP23" i="23"/>
  <c r="AQ23" i="23"/>
  <c r="AR23" i="23"/>
  <c r="AF24" i="23"/>
  <c r="AG24" i="23"/>
  <c r="AH24" i="23"/>
  <c r="AI24" i="23"/>
  <c r="AJ24" i="23"/>
  <c r="AK24" i="23"/>
  <c r="AL24" i="23"/>
  <c r="AM24" i="23"/>
  <c r="AN24" i="23"/>
  <c r="AO24" i="23"/>
  <c r="AP24" i="23"/>
  <c r="AQ24" i="23"/>
  <c r="AR24" i="23"/>
  <c r="AF25" i="23"/>
  <c r="AG25" i="23"/>
  <c r="AH25" i="23"/>
  <c r="AI25" i="23"/>
  <c r="AJ25" i="23"/>
  <c r="AK25" i="23"/>
  <c r="AL25" i="23"/>
  <c r="AM25" i="23"/>
  <c r="AN25" i="23"/>
  <c r="AO25" i="23"/>
  <c r="AP25" i="23"/>
  <c r="AQ25" i="23"/>
  <c r="AR25" i="23"/>
  <c r="AF26" i="23"/>
  <c r="AG26" i="23"/>
  <c r="AH26" i="23"/>
  <c r="AI26" i="23"/>
  <c r="AJ26" i="23"/>
  <c r="AK26" i="23"/>
  <c r="AL26" i="23"/>
  <c r="AM26" i="23"/>
  <c r="AN26" i="23"/>
  <c r="AO26" i="23"/>
  <c r="AP26" i="23"/>
  <c r="AQ26" i="23"/>
  <c r="AR26" i="23"/>
  <c r="AF27" i="23"/>
  <c r="AG27" i="23"/>
  <c r="AH27" i="23"/>
  <c r="AI27" i="23"/>
  <c r="AJ27" i="23"/>
  <c r="AK27" i="23"/>
  <c r="AL27" i="23"/>
  <c r="AM27" i="23"/>
  <c r="AN27" i="23"/>
  <c r="AO27" i="23"/>
  <c r="AP27" i="23"/>
  <c r="AQ27" i="23"/>
  <c r="AR27" i="23"/>
  <c r="AF28" i="23"/>
  <c r="AG28" i="23"/>
  <c r="AH28" i="23"/>
  <c r="AI28" i="23"/>
  <c r="AJ28" i="23"/>
  <c r="AK28" i="23"/>
  <c r="AL28" i="23"/>
  <c r="AM28" i="23"/>
  <c r="AN28" i="23"/>
  <c r="AO28" i="23"/>
  <c r="AP28" i="23"/>
  <c r="AQ28" i="23"/>
  <c r="AR28" i="23"/>
  <c r="AF29" i="23"/>
  <c r="AG29" i="23"/>
  <c r="AH29" i="23"/>
  <c r="AI29" i="23"/>
  <c r="AJ29" i="23"/>
  <c r="AK29" i="23"/>
  <c r="AL29" i="23"/>
  <c r="AM29" i="23"/>
  <c r="AN29" i="23"/>
  <c r="AO29" i="23"/>
  <c r="AP29" i="23"/>
  <c r="AQ29" i="23"/>
  <c r="AR29" i="23"/>
  <c r="AF30" i="23"/>
  <c r="AG30" i="23"/>
  <c r="AH30" i="23"/>
  <c r="AI30" i="23"/>
  <c r="AJ30" i="23"/>
  <c r="AK30" i="23"/>
  <c r="AL30" i="23"/>
  <c r="AM30" i="23"/>
  <c r="AN30" i="23"/>
  <c r="AO30" i="23"/>
  <c r="AP30" i="23"/>
  <c r="AQ30" i="23"/>
  <c r="AR30" i="23"/>
  <c r="AF31" i="23"/>
  <c r="AG31" i="23"/>
  <c r="AH31" i="23"/>
  <c r="AI31" i="23"/>
  <c r="AJ31" i="23"/>
  <c r="AK31" i="23"/>
  <c r="AL31" i="23"/>
  <c r="AM31" i="23"/>
  <c r="AN31" i="23"/>
  <c r="AO31" i="23"/>
  <c r="AP31" i="23"/>
  <c r="AQ31" i="23"/>
  <c r="AR31" i="23"/>
  <c r="AF32" i="23"/>
  <c r="AG32" i="23"/>
  <c r="AH32" i="23"/>
  <c r="AI32" i="23"/>
  <c r="AJ32" i="23"/>
  <c r="AK32" i="23"/>
  <c r="AL32" i="23"/>
  <c r="AM32" i="23"/>
  <c r="AN32" i="23"/>
  <c r="AO32" i="23"/>
  <c r="AP32" i="23"/>
  <c r="AQ32" i="23"/>
  <c r="AR32" i="23"/>
  <c r="AF33" i="23"/>
  <c r="AG33" i="23"/>
  <c r="AH33" i="23"/>
  <c r="AI33" i="23"/>
  <c r="AJ33" i="23"/>
  <c r="AK33" i="23"/>
  <c r="AL33" i="23"/>
  <c r="AM33" i="23"/>
  <c r="AN33" i="23"/>
  <c r="AO33" i="23"/>
  <c r="AP33" i="23"/>
  <c r="AQ33" i="23"/>
  <c r="AR33" i="23"/>
  <c r="AF34" i="23"/>
  <c r="AG34" i="23"/>
  <c r="AH34" i="23"/>
  <c r="AI34" i="23"/>
  <c r="AJ34" i="23"/>
  <c r="AK34" i="23"/>
  <c r="AL34" i="23"/>
  <c r="AM34" i="23"/>
  <c r="AN34" i="23"/>
  <c r="AO34" i="23"/>
  <c r="AP34" i="23"/>
  <c r="AQ34" i="23"/>
  <c r="AR34" i="23"/>
  <c r="AF35" i="23"/>
  <c r="AG35" i="23"/>
  <c r="AH35" i="23"/>
  <c r="AI35" i="23"/>
  <c r="AJ35" i="23"/>
  <c r="AK35" i="23"/>
  <c r="AL35" i="23"/>
  <c r="AM35" i="23"/>
  <c r="AN35" i="23"/>
  <c r="AO35" i="23"/>
  <c r="AP35" i="23"/>
  <c r="AQ35" i="23"/>
  <c r="AR35" i="23"/>
  <c r="AF36" i="23"/>
  <c r="AG36" i="23"/>
  <c r="AH36" i="23"/>
  <c r="AI36" i="23"/>
  <c r="AJ36" i="23"/>
  <c r="AK36" i="23"/>
  <c r="AL36" i="23"/>
  <c r="AM36" i="23"/>
  <c r="AN36" i="23"/>
  <c r="AO36" i="23"/>
  <c r="AP36" i="23"/>
  <c r="AQ36" i="23"/>
  <c r="AR36" i="23"/>
  <c r="AF37" i="23"/>
  <c r="AG37" i="23"/>
  <c r="AH37" i="23"/>
  <c r="AI37" i="23"/>
  <c r="AJ37" i="23"/>
  <c r="AK37" i="23"/>
  <c r="AL37" i="23"/>
  <c r="AM37" i="23"/>
  <c r="AN37" i="23"/>
  <c r="AO37" i="23"/>
  <c r="AP37" i="23"/>
  <c r="AQ37" i="23"/>
  <c r="AR37" i="23"/>
  <c r="AF38" i="23"/>
  <c r="AG38" i="23"/>
  <c r="AH38" i="23"/>
  <c r="AI38" i="23"/>
  <c r="AJ38" i="23"/>
  <c r="AK38" i="23"/>
  <c r="AL38" i="23"/>
  <c r="AM38" i="23"/>
  <c r="AN38" i="23"/>
  <c r="AO38" i="23"/>
  <c r="AP38" i="23"/>
  <c r="AQ38" i="23"/>
  <c r="AR38" i="23"/>
  <c r="AF39" i="23"/>
  <c r="AG39" i="23"/>
  <c r="AH39" i="23"/>
  <c r="AI39" i="23"/>
  <c r="AJ39" i="23"/>
  <c r="AK39" i="23"/>
  <c r="AL39" i="23"/>
  <c r="AM39" i="23"/>
  <c r="AN39" i="23"/>
  <c r="AO39" i="23"/>
  <c r="AP39" i="23"/>
  <c r="AQ39" i="23"/>
  <c r="AR39" i="23"/>
  <c r="AF40" i="23"/>
  <c r="AG40" i="23"/>
  <c r="AH40" i="23"/>
  <c r="AI40" i="23"/>
  <c r="AJ40" i="23"/>
  <c r="AK40" i="23"/>
  <c r="AL40" i="23"/>
  <c r="AM40" i="23"/>
  <c r="AN40" i="23"/>
  <c r="AO40" i="23"/>
  <c r="AP40" i="23"/>
  <c r="AQ40" i="23"/>
  <c r="AR40" i="23"/>
  <c r="AF41" i="23"/>
  <c r="AG41" i="23"/>
  <c r="AH41" i="23"/>
  <c r="AI41" i="23"/>
  <c r="AJ41" i="23"/>
  <c r="AK41" i="23"/>
  <c r="AL41" i="23"/>
  <c r="AM41" i="23"/>
  <c r="AN41" i="23"/>
  <c r="AO41" i="23"/>
  <c r="AP41" i="23"/>
  <c r="AQ41" i="23"/>
  <c r="AR41" i="23"/>
  <c r="AF42" i="23"/>
  <c r="AG42" i="23"/>
  <c r="AH42" i="23"/>
  <c r="AI42" i="23"/>
  <c r="AJ42" i="23"/>
  <c r="AK42" i="23"/>
  <c r="AL42" i="23"/>
  <c r="AM42" i="23"/>
  <c r="AN42" i="23"/>
  <c r="AO42" i="23"/>
  <c r="AP42" i="23"/>
  <c r="AQ42" i="23"/>
  <c r="AR42" i="23"/>
  <c r="AF43" i="23"/>
  <c r="AG43" i="23"/>
  <c r="AH43" i="23"/>
  <c r="AI43" i="23"/>
  <c r="AJ43" i="23"/>
  <c r="AK43" i="23"/>
  <c r="AL43" i="23"/>
  <c r="AM43" i="23"/>
  <c r="AN43" i="23"/>
  <c r="AO43" i="23"/>
  <c r="AP43" i="23"/>
  <c r="AQ43" i="23"/>
  <c r="AR43" i="23"/>
  <c r="AF44" i="23"/>
  <c r="AG44" i="23"/>
  <c r="AH44" i="23"/>
  <c r="AI44" i="23"/>
  <c r="AJ44" i="23"/>
  <c r="AK44" i="23"/>
  <c r="AL44" i="23"/>
  <c r="AM44" i="23"/>
  <c r="AN44" i="23"/>
  <c r="AO44" i="23"/>
  <c r="AP44" i="23"/>
  <c r="AQ44" i="23"/>
  <c r="AR44" i="23"/>
  <c r="AF45" i="23"/>
  <c r="AG45" i="23"/>
  <c r="AH45" i="23"/>
  <c r="AI45" i="23"/>
  <c r="AJ45" i="23"/>
  <c r="AK45" i="23"/>
  <c r="AL45" i="23"/>
  <c r="AM45" i="23"/>
  <c r="AN45" i="23"/>
  <c r="AO45" i="23"/>
  <c r="AP45" i="23"/>
  <c r="AQ45" i="23"/>
  <c r="AR45" i="23"/>
  <c r="AF46" i="23"/>
  <c r="AG46" i="23"/>
  <c r="AH46" i="23"/>
  <c r="AI46" i="23"/>
  <c r="AJ46" i="23"/>
  <c r="AK46" i="23"/>
  <c r="AL46" i="23"/>
  <c r="AM46" i="23"/>
  <c r="AN46" i="23"/>
  <c r="AO46" i="23"/>
  <c r="AP46" i="23"/>
  <c r="AQ46" i="23"/>
  <c r="AR46" i="23"/>
  <c r="AF47" i="23"/>
  <c r="AG47" i="23"/>
  <c r="AH47" i="23"/>
  <c r="AI47" i="23"/>
  <c r="AJ47" i="23"/>
  <c r="AK47" i="23"/>
  <c r="AL47" i="23"/>
  <c r="AM47" i="23"/>
  <c r="AN47" i="23"/>
  <c r="AO47" i="23"/>
  <c r="AP47" i="23"/>
  <c r="AQ47" i="23"/>
  <c r="AR47" i="23"/>
  <c r="AF48" i="23"/>
  <c r="AG48" i="23"/>
  <c r="AH48" i="23"/>
  <c r="AI48" i="23"/>
  <c r="AJ48" i="23"/>
  <c r="AK48" i="23"/>
  <c r="AL48" i="23"/>
  <c r="AM48" i="23"/>
  <c r="AN48" i="23"/>
  <c r="AO48" i="23"/>
  <c r="AP48" i="23"/>
  <c r="AQ48" i="23"/>
  <c r="AR48" i="23"/>
  <c r="AF49" i="23"/>
  <c r="AG49" i="23"/>
  <c r="AH49" i="23"/>
  <c r="AI49" i="23"/>
  <c r="AJ49" i="23"/>
  <c r="AK49" i="23"/>
  <c r="AL49" i="23"/>
  <c r="AM49" i="23"/>
  <c r="AN49" i="23"/>
  <c r="AO49" i="23"/>
  <c r="AP49" i="23"/>
  <c r="AQ49" i="23"/>
  <c r="AR49" i="23"/>
  <c r="AF50" i="23"/>
  <c r="AG50" i="23"/>
  <c r="AH50" i="23"/>
  <c r="AI50" i="23"/>
  <c r="AJ50" i="23"/>
  <c r="AK50" i="23"/>
  <c r="AL50" i="23"/>
  <c r="AM50" i="23"/>
  <c r="AN50" i="23"/>
  <c r="AO50" i="23"/>
  <c r="AP50" i="23"/>
  <c r="AQ50" i="23"/>
  <c r="AR50" i="23"/>
  <c r="AF51" i="23"/>
  <c r="AG51" i="23"/>
  <c r="AH51" i="23"/>
  <c r="AI51" i="23"/>
  <c r="AJ51" i="23"/>
  <c r="AK51" i="23"/>
  <c r="AL51" i="23"/>
  <c r="AM51" i="23"/>
  <c r="AN51" i="23"/>
  <c r="AO51" i="23"/>
  <c r="AP51" i="23"/>
  <c r="AQ51" i="23"/>
  <c r="AR51" i="23"/>
  <c r="AF52" i="23"/>
  <c r="AG52" i="23"/>
  <c r="AH52" i="23"/>
  <c r="AI52" i="23"/>
  <c r="AJ52" i="23"/>
  <c r="AK52" i="23"/>
  <c r="AL52" i="23"/>
  <c r="AM52" i="23"/>
  <c r="AN52" i="23"/>
  <c r="AO52" i="23"/>
  <c r="AP52" i="23"/>
  <c r="AQ52" i="23"/>
  <c r="AR52" i="23"/>
  <c r="AF53" i="23"/>
  <c r="AG53" i="23"/>
  <c r="AH53" i="23"/>
  <c r="AI53" i="23"/>
  <c r="AJ53" i="23"/>
  <c r="AK53" i="23"/>
  <c r="AL53" i="23"/>
  <c r="AM53" i="23"/>
  <c r="AN53" i="23"/>
  <c r="AO53" i="23"/>
  <c r="AP53" i="23"/>
  <c r="AQ53" i="23"/>
  <c r="AR53" i="23"/>
  <c r="AF54" i="23"/>
  <c r="AG54" i="23"/>
  <c r="AH54" i="23"/>
  <c r="AI54" i="23"/>
  <c r="AJ54" i="23"/>
  <c r="AK54" i="23"/>
  <c r="AL54" i="23"/>
  <c r="AM54" i="23"/>
  <c r="AN54" i="23"/>
  <c r="AO54" i="23"/>
  <c r="AP54" i="23"/>
  <c r="AQ54" i="23"/>
  <c r="AR54" i="23"/>
  <c r="AF55" i="23"/>
  <c r="AG55" i="23"/>
  <c r="AH55" i="23"/>
  <c r="AI55" i="23"/>
  <c r="AJ55" i="23"/>
  <c r="AK55" i="23"/>
  <c r="AL55" i="23"/>
  <c r="AM55" i="23"/>
  <c r="AN55" i="23"/>
  <c r="AO55" i="23"/>
  <c r="AP55" i="23"/>
  <c r="AQ55" i="23"/>
  <c r="AR55" i="23"/>
  <c r="AF56" i="23"/>
  <c r="AG56" i="23"/>
  <c r="AH56" i="23"/>
  <c r="AI56" i="23"/>
  <c r="AJ56" i="23"/>
  <c r="AK56" i="23"/>
  <c r="AL56" i="23"/>
  <c r="AM56" i="23"/>
  <c r="AN56" i="23"/>
  <c r="AO56" i="23"/>
  <c r="AP56" i="23"/>
  <c r="AQ56" i="23"/>
  <c r="AR56" i="23"/>
  <c r="AF57" i="23"/>
  <c r="AG57" i="23"/>
  <c r="AH57" i="23"/>
  <c r="AI57" i="23"/>
  <c r="AJ57" i="23"/>
  <c r="AK57" i="23"/>
  <c r="AL57" i="23"/>
  <c r="AM57" i="23"/>
  <c r="AN57" i="23"/>
  <c r="AO57" i="23"/>
  <c r="AP57" i="23"/>
  <c r="AQ57" i="23"/>
  <c r="AR57" i="23"/>
  <c r="AF58" i="23"/>
  <c r="AG58" i="23"/>
  <c r="AH58" i="23"/>
  <c r="AI58" i="23"/>
  <c r="AJ58" i="23"/>
  <c r="AK58" i="23"/>
  <c r="AL58" i="23"/>
  <c r="AM58" i="23"/>
  <c r="AN58" i="23"/>
  <c r="AO58" i="23"/>
  <c r="AP58" i="23"/>
  <c r="AQ58" i="23"/>
  <c r="AR58" i="23"/>
  <c r="AF59" i="23"/>
  <c r="AG59" i="23"/>
  <c r="AH59" i="23"/>
  <c r="AI59" i="23"/>
  <c r="AJ59" i="23"/>
  <c r="AK59" i="23"/>
  <c r="AL59" i="23"/>
  <c r="AM59" i="23"/>
  <c r="AN59" i="23"/>
  <c r="AO59" i="23"/>
  <c r="AP59" i="23"/>
  <c r="AQ59" i="23"/>
  <c r="AR59" i="23"/>
  <c r="AF60" i="23"/>
  <c r="AG60" i="23"/>
  <c r="AH60" i="23"/>
  <c r="AI60" i="23"/>
  <c r="AJ60" i="23"/>
  <c r="AK60" i="23"/>
  <c r="AL60" i="23"/>
  <c r="AM60" i="23"/>
  <c r="AN60" i="23"/>
  <c r="AO60" i="23"/>
  <c r="AP60" i="23"/>
  <c r="AQ60" i="23"/>
  <c r="AR60" i="23"/>
  <c r="AF61" i="23"/>
  <c r="AG61" i="23"/>
  <c r="AH61" i="23"/>
  <c r="AI61" i="23"/>
  <c r="AJ61" i="23"/>
  <c r="AK61" i="23"/>
  <c r="AL61" i="23"/>
  <c r="AM61" i="23"/>
  <c r="AN61" i="23"/>
  <c r="AO61" i="23"/>
  <c r="AP61" i="23"/>
  <c r="AQ61" i="23"/>
  <c r="AR61" i="23"/>
  <c r="AF62" i="23"/>
  <c r="AG62" i="23"/>
  <c r="AH62" i="23"/>
  <c r="AI62" i="23"/>
  <c r="AJ62" i="23"/>
  <c r="AK62" i="23"/>
  <c r="AL62" i="23"/>
  <c r="AM62" i="23"/>
  <c r="AN62" i="23"/>
  <c r="AO62" i="23"/>
  <c r="AP62" i="23"/>
  <c r="AQ62" i="23"/>
  <c r="AR62" i="23"/>
  <c r="AF63" i="23"/>
  <c r="AG63" i="23"/>
  <c r="AH63" i="23"/>
  <c r="AI63" i="23"/>
  <c r="AJ63" i="23"/>
  <c r="AK63" i="23"/>
  <c r="AL63" i="23"/>
  <c r="AM63" i="23"/>
  <c r="AN63" i="23"/>
  <c r="AO63" i="23"/>
  <c r="AP63" i="23"/>
  <c r="AQ63" i="23"/>
  <c r="AR63" i="23"/>
  <c r="AF64" i="23"/>
  <c r="AG64" i="23"/>
  <c r="AH64" i="23"/>
  <c r="AI64" i="23"/>
  <c r="AJ64" i="23"/>
  <c r="AK64" i="23"/>
  <c r="AL64" i="23"/>
  <c r="AM64" i="23"/>
  <c r="AN64" i="23"/>
  <c r="AO64" i="23"/>
  <c r="AP64" i="23"/>
  <c r="AQ64" i="23"/>
  <c r="AR64" i="23"/>
  <c r="AF65" i="23"/>
  <c r="AG65" i="23"/>
  <c r="AH65" i="23"/>
  <c r="AI65" i="23"/>
  <c r="AJ65" i="23"/>
  <c r="AK65" i="23"/>
  <c r="AL65" i="23"/>
  <c r="AM65" i="23"/>
  <c r="AN65" i="23"/>
  <c r="AO65" i="23"/>
  <c r="AP65" i="23"/>
  <c r="AQ65" i="23"/>
  <c r="AR65" i="23"/>
  <c r="AF66" i="23"/>
  <c r="AG66" i="23"/>
  <c r="AH66" i="23"/>
  <c r="AI66" i="23"/>
  <c r="AJ66" i="23"/>
  <c r="AK66" i="23"/>
  <c r="AL66" i="23"/>
  <c r="AM66" i="23"/>
  <c r="AN66" i="23"/>
  <c r="AO66" i="23"/>
  <c r="AP66" i="23"/>
  <c r="AQ66" i="23"/>
  <c r="AR66" i="23"/>
  <c r="AF67" i="23"/>
  <c r="AG67" i="23"/>
  <c r="AH67" i="23"/>
  <c r="AI67" i="23"/>
  <c r="AJ67" i="23"/>
  <c r="AK67" i="23"/>
  <c r="AL67" i="23"/>
  <c r="AM67" i="23"/>
  <c r="AN67" i="23"/>
  <c r="AO67" i="23"/>
  <c r="AP67" i="23"/>
  <c r="AQ67" i="23"/>
  <c r="AR67" i="23"/>
  <c r="AF68" i="23"/>
  <c r="AG68" i="23"/>
  <c r="AH68" i="23"/>
  <c r="AI68" i="23"/>
  <c r="AJ68" i="23"/>
  <c r="AK68" i="23"/>
  <c r="AL68" i="23"/>
  <c r="AM68" i="23"/>
  <c r="AN68" i="23"/>
  <c r="AO68" i="23"/>
  <c r="AP68" i="23"/>
  <c r="AQ68" i="23"/>
  <c r="AR68" i="23"/>
  <c r="AF69" i="23"/>
  <c r="AG69" i="23"/>
  <c r="AH69" i="23"/>
  <c r="AI69" i="23"/>
  <c r="AJ69" i="23"/>
  <c r="AK69" i="23"/>
  <c r="AL69" i="23"/>
  <c r="AM69" i="23"/>
  <c r="AN69" i="23"/>
  <c r="AO69" i="23"/>
  <c r="AP69" i="23"/>
  <c r="AQ69" i="23"/>
  <c r="AR69" i="23"/>
  <c r="AF70" i="23"/>
  <c r="AG70" i="23"/>
  <c r="AH70" i="23"/>
  <c r="AI70" i="23"/>
  <c r="AJ70" i="23"/>
  <c r="AK70" i="23"/>
  <c r="AL70" i="23"/>
  <c r="AM70" i="23"/>
  <c r="AN70" i="23"/>
  <c r="AO70" i="23"/>
  <c r="AP70" i="23"/>
  <c r="AQ70" i="23"/>
  <c r="AR70" i="23"/>
  <c r="AF71" i="23"/>
  <c r="AG71" i="23"/>
  <c r="AH71" i="23"/>
  <c r="AI71" i="23"/>
  <c r="AJ71" i="23"/>
  <c r="AK71" i="23"/>
  <c r="AL71" i="23"/>
  <c r="AM71" i="23"/>
  <c r="AN71" i="23"/>
  <c r="AO71" i="23"/>
  <c r="AP71" i="23"/>
  <c r="AQ71" i="23"/>
  <c r="AR71" i="23"/>
  <c r="AF72" i="23"/>
  <c r="AG72" i="23"/>
  <c r="AH72" i="23"/>
  <c r="AI72" i="23"/>
  <c r="AJ72" i="23"/>
  <c r="AK72" i="23"/>
  <c r="AL72" i="23"/>
  <c r="AM72" i="23"/>
  <c r="AN72" i="23"/>
  <c r="AO72" i="23"/>
  <c r="AP72" i="23"/>
  <c r="AQ72" i="23"/>
  <c r="AR72" i="23"/>
  <c r="AF73" i="23"/>
  <c r="AG73" i="23"/>
  <c r="AH73" i="23"/>
  <c r="AI73" i="23"/>
  <c r="AJ73" i="23"/>
  <c r="AK73" i="23"/>
  <c r="AL73" i="23"/>
  <c r="AM73" i="23"/>
  <c r="AN73" i="23"/>
  <c r="AO73" i="23"/>
  <c r="AP73" i="23"/>
  <c r="AQ73" i="23"/>
  <c r="AR73" i="23"/>
  <c r="AF74" i="23"/>
  <c r="AG74" i="23"/>
  <c r="AH74" i="23"/>
  <c r="AI74" i="23"/>
  <c r="AJ74" i="23"/>
  <c r="AK74" i="23"/>
  <c r="AL74" i="23"/>
  <c r="AM74" i="23"/>
  <c r="AN74" i="23"/>
  <c r="AO74" i="23"/>
  <c r="AP74" i="23"/>
  <c r="AQ74" i="23"/>
  <c r="AR74" i="23"/>
  <c r="AF75" i="23"/>
  <c r="AG75" i="23"/>
  <c r="AH75" i="23"/>
  <c r="AI75" i="23"/>
  <c r="AJ75" i="23"/>
  <c r="AK75" i="23"/>
  <c r="AL75" i="23"/>
  <c r="AM75" i="23"/>
  <c r="AN75" i="23"/>
  <c r="AO75" i="23"/>
  <c r="AP75" i="23"/>
  <c r="AQ75" i="23"/>
  <c r="AR75" i="23"/>
  <c r="AF76" i="23"/>
  <c r="AG76" i="23"/>
  <c r="AH76" i="23"/>
  <c r="AI76" i="23"/>
  <c r="AJ76" i="23"/>
  <c r="AK76" i="23"/>
  <c r="AL76" i="23"/>
  <c r="AM76" i="23"/>
  <c r="AN76" i="23"/>
  <c r="AO76" i="23"/>
  <c r="AP76" i="23"/>
  <c r="AQ76" i="23"/>
  <c r="AR76" i="23"/>
  <c r="AF77" i="23"/>
  <c r="AG77" i="23"/>
  <c r="AH77" i="23"/>
  <c r="AI77" i="23"/>
  <c r="AJ77" i="23"/>
  <c r="AK77" i="23"/>
  <c r="AL77" i="23"/>
  <c r="AM77" i="23"/>
  <c r="AN77" i="23"/>
  <c r="AO77" i="23"/>
  <c r="AP77" i="23"/>
  <c r="AQ77" i="23"/>
  <c r="AR77" i="23"/>
  <c r="AF78" i="23"/>
  <c r="AG78" i="23"/>
  <c r="AH78" i="23"/>
  <c r="AI78" i="23"/>
  <c r="AJ78" i="23"/>
  <c r="AK78" i="23"/>
  <c r="AL78" i="23"/>
  <c r="AM78" i="23"/>
  <c r="AN78" i="23"/>
  <c r="AO78" i="23"/>
  <c r="AP78" i="23"/>
  <c r="AQ78" i="23"/>
  <c r="AR78" i="23"/>
  <c r="AF79" i="23"/>
  <c r="AG79" i="23"/>
  <c r="AH79" i="23"/>
  <c r="AI79" i="23"/>
  <c r="AJ79" i="23"/>
  <c r="AK79" i="23"/>
  <c r="AL79" i="23"/>
  <c r="AM79" i="23"/>
  <c r="AN79" i="23"/>
  <c r="AO79" i="23"/>
  <c r="AP79" i="23"/>
  <c r="AQ79" i="23"/>
  <c r="AR79" i="23"/>
  <c r="AF80" i="23"/>
  <c r="AG80" i="23"/>
  <c r="AH80" i="23"/>
  <c r="AI80" i="23"/>
  <c r="AJ80" i="23"/>
  <c r="AK80" i="23"/>
  <c r="AL80" i="23"/>
  <c r="AM80" i="23"/>
  <c r="AN80" i="23"/>
  <c r="AO80" i="23"/>
  <c r="AP80" i="23"/>
  <c r="AQ80" i="23"/>
  <c r="AR80" i="23"/>
  <c r="AF81" i="23"/>
  <c r="AG81" i="23"/>
  <c r="AH81" i="23"/>
  <c r="AI81" i="23"/>
  <c r="AJ81" i="23"/>
  <c r="AK81" i="23"/>
  <c r="AL81" i="23"/>
  <c r="AM81" i="23"/>
  <c r="AN81" i="23"/>
  <c r="AO81" i="23"/>
  <c r="AP81" i="23"/>
  <c r="AQ81" i="23"/>
  <c r="AR81" i="23"/>
  <c r="AF82" i="23"/>
  <c r="AG82" i="23"/>
  <c r="AH82" i="23"/>
  <c r="AI82" i="23"/>
  <c r="AJ82" i="23"/>
  <c r="AK82" i="23"/>
  <c r="AL82" i="23"/>
  <c r="AM82" i="23"/>
  <c r="AN82" i="23"/>
  <c r="AO82" i="23"/>
  <c r="AP82" i="23"/>
  <c r="AQ82" i="23"/>
  <c r="AR82" i="23"/>
  <c r="AF83" i="23"/>
  <c r="AG83" i="23"/>
  <c r="AH83" i="23"/>
  <c r="AI83" i="23"/>
  <c r="AJ83" i="23"/>
  <c r="AK83" i="23"/>
  <c r="AL83" i="23"/>
  <c r="AM83" i="23"/>
  <c r="AN83" i="23"/>
  <c r="AO83" i="23"/>
  <c r="AP83" i="23"/>
  <c r="AQ83" i="23"/>
  <c r="AR83" i="23"/>
  <c r="AF84" i="23"/>
  <c r="AG84" i="23"/>
  <c r="AH84" i="23"/>
  <c r="AI84" i="23"/>
  <c r="AJ84" i="23"/>
  <c r="AK84" i="23"/>
  <c r="AL84" i="23"/>
  <c r="AM84" i="23"/>
  <c r="AN84" i="23"/>
  <c r="AO84" i="23"/>
  <c r="AP84" i="23"/>
  <c r="AQ84" i="23"/>
  <c r="AR84" i="23"/>
  <c r="AF85" i="23"/>
  <c r="AG85" i="23"/>
  <c r="AH85" i="23"/>
  <c r="AI85" i="23"/>
  <c r="AJ85" i="23"/>
  <c r="AK85" i="23"/>
  <c r="AL85" i="23"/>
  <c r="AM85" i="23"/>
  <c r="AN85" i="23"/>
  <c r="AO85" i="23"/>
  <c r="AP85" i="23"/>
  <c r="AQ85" i="23"/>
  <c r="AR85" i="23"/>
  <c r="AF86" i="23"/>
  <c r="AG86" i="23"/>
  <c r="AH86" i="23"/>
  <c r="AI86" i="23"/>
  <c r="AJ86" i="23"/>
  <c r="AK86" i="23"/>
  <c r="AL86" i="23"/>
  <c r="AM86" i="23"/>
  <c r="AN86" i="23"/>
  <c r="AO86" i="23"/>
  <c r="AP86" i="23"/>
  <c r="AQ86" i="23"/>
  <c r="AR86" i="23"/>
  <c r="AF87" i="23"/>
  <c r="AG87" i="23"/>
  <c r="AH87" i="23"/>
  <c r="AI87" i="23"/>
  <c r="AJ87" i="23"/>
  <c r="AK87" i="23"/>
  <c r="AL87" i="23"/>
  <c r="AM87" i="23"/>
  <c r="AN87" i="23"/>
  <c r="AO87" i="23"/>
  <c r="AP87" i="23"/>
  <c r="AQ87" i="23"/>
  <c r="AR87" i="23"/>
  <c r="AF88" i="23"/>
  <c r="AG88" i="23"/>
  <c r="AH88" i="23"/>
  <c r="AI88" i="23"/>
  <c r="AJ88" i="23"/>
  <c r="AK88" i="23"/>
  <c r="AL88" i="23"/>
  <c r="AM88" i="23"/>
  <c r="AN88" i="23"/>
  <c r="AO88" i="23"/>
  <c r="AP88" i="23"/>
  <c r="AQ88" i="23"/>
  <c r="AR88" i="23"/>
  <c r="AF89" i="23"/>
  <c r="AG89" i="23"/>
  <c r="AH89" i="23"/>
  <c r="AI89" i="23"/>
  <c r="AJ89" i="23"/>
  <c r="AK89" i="23"/>
  <c r="AL89" i="23"/>
  <c r="AM89" i="23"/>
  <c r="AN89" i="23"/>
  <c r="AO89" i="23"/>
  <c r="AP89" i="23"/>
  <c r="AQ89" i="23"/>
  <c r="AR89" i="23"/>
  <c r="AF90" i="23"/>
  <c r="AG90" i="23"/>
  <c r="AH90" i="23"/>
  <c r="AI90" i="23"/>
  <c r="AJ90" i="23"/>
  <c r="AK90" i="23"/>
  <c r="AL90" i="23"/>
  <c r="AM90" i="23"/>
  <c r="AN90" i="23"/>
  <c r="AO90" i="23"/>
  <c r="AP90" i="23"/>
  <c r="AQ90" i="23"/>
  <c r="AR90" i="23"/>
  <c r="AF91" i="23"/>
  <c r="AG91" i="23"/>
  <c r="AH91" i="23"/>
  <c r="AI91" i="23"/>
  <c r="AJ91" i="23"/>
  <c r="AK91" i="23"/>
  <c r="AL91" i="23"/>
  <c r="AM91" i="23"/>
  <c r="AN91" i="23"/>
  <c r="AO91" i="23"/>
  <c r="AP91" i="23"/>
  <c r="AQ91" i="23"/>
  <c r="AR91" i="23"/>
  <c r="AF92" i="23"/>
  <c r="AG92" i="23"/>
  <c r="AH92" i="23"/>
  <c r="AI92" i="23"/>
  <c r="AJ92" i="23"/>
  <c r="AK92" i="23"/>
  <c r="AL92" i="23"/>
  <c r="AM92" i="23"/>
  <c r="AN92" i="23"/>
  <c r="AO92" i="23"/>
  <c r="AP92" i="23"/>
  <c r="AQ92" i="23"/>
  <c r="AR92" i="23"/>
  <c r="AF93" i="23"/>
  <c r="AG93" i="23"/>
  <c r="AH93" i="23"/>
  <c r="AI93" i="23"/>
  <c r="AJ93" i="23"/>
  <c r="AK93" i="23"/>
  <c r="AL93" i="23"/>
  <c r="AM93" i="23"/>
  <c r="AN93" i="23"/>
  <c r="AO93" i="23"/>
  <c r="AP93" i="23"/>
  <c r="AQ93" i="23"/>
  <c r="AR93" i="23"/>
  <c r="AF94" i="23"/>
  <c r="AG94" i="23"/>
  <c r="AH94" i="23"/>
  <c r="AI94" i="23"/>
  <c r="AJ94" i="23"/>
  <c r="AK94" i="23"/>
  <c r="AL94" i="23"/>
  <c r="AM94" i="23"/>
  <c r="AN94" i="23"/>
  <c r="AO94" i="23"/>
  <c r="AP94" i="23"/>
  <c r="AQ94" i="23"/>
  <c r="AR94" i="23"/>
  <c r="AF95" i="23"/>
  <c r="AG95" i="23"/>
  <c r="AH95" i="23"/>
  <c r="AI95" i="23"/>
  <c r="AJ95" i="23"/>
  <c r="AK95" i="23"/>
  <c r="AL95" i="23"/>
  <c r="AM95" i="23"/>
  <c r="AN95" i="23"/>
  <c r="AO95" i="23"/>
  <c r="AP95" i="23"/>
  <c r="AQ95" i="23"/>
  <c r="AR95" i="23"/>
  <c r="AF96" i="23"/>
  <c r="AG96" i="23"/>
  <c r="AH96" i="23"/>
  <c r="AI96" i="23"/>
  <c r="AJ96" i="23"/>
  <c r="AK96" i="23"/>
  <c r="AL96" i="23"/>
  <c r="AM96" i="23"/>
  <c r="AN96" i="23"/>
  <c r="AO96" i="23"/>
  <c r="AP96" i="23"/>
  <c r="AQ96" i="23"/>
  <c r="AR96" i="23"/>
  <c r="AF97" i="23"/>
  <c r="AG97" i="23"/>
  <c r="AH97" i="23"/>
  <c r="AI97" i="23"/>
  <c r="AJ97" i="23"/>
  <c r="AK97" i="23"/>
  <c r="AL97" i="23"/>
  <c r="AM97" i="23"/>
  <c r="AN97" i="23"/>
  <c r="AO97" i="23"/>
  <c r="AP97" i="23"/>
  <c r="AQ97" i="23"/>
  <c r="AR97" i="23"/>
  <c r="AF98" i="23"/>
  <c r="AG98" i="23"/>
  <c r="AH98" i="23"/>
  <c r="AI98" i="23"/>
  <c r="AJ98" i="23"/>
  <c r="AK98" i="23"/>
  <c r="AL98" i="23"/>
  <c r="AM98" i="23"/>
  <c r="AN98" i="23"/>
  <c r="AO98" i="23"/>
  <c r="AP98" i="23"/>
  <c r="AQ98" i="23"/>
  <c r="AR98" i="23"/>
  <c r="AF99" i="23"/>
  <c r="AG99" i="23"/>
  <c r="AH99" i="23"/>
  <c r="AI99" i="23"/>
  <c r="AJ99" i="23"/>
  <c r="AK99" i="23"/>
  <c r="AL99" i="23"/>
  <c r="AM99" i="23"/>
  <c r="AN99" i="23"/>
  <c r="AO99" i="23"/>
  <c r="AP99" i="23"/>
  <c r="AQ99" i="23"/>
  <c r="AR99" i="23"/>
  <c r="AF100" i="23"/>
  <c r="AG100" i="23"/>
  <c r="AH100" i="23"/>
  <c r="AI100" i="23"/>
  <c r="AJ100" i="23"/>
  <c r="AK100" i="23"/>
  <c r="AL100" i="23"/>
  <c r="AM100" i="23"/>
  <c r="AN100" i="23"/>
  <c r="AO100" i="23"/>
  <c r="AP100" i="23"/>
  <c r="AQ100" i="23"/>
  <c r="AR100" i="23"/>
  <c r="AF101" i="23"/>
  <c r="AG101" i="23"/>
  <c r="AH101" i="23"/>
  <c r="AI101" i="23"/>
  <c r="AJ101" i="23"/>
  <c r="AK101" i="23"/>
  <c r="AL101" i="23"/>
  <c r="AM101" i="23"/>
  <c r="AN101" i="23"/>
  <c r="AO101" i="23"/>
  <c r="AP101" i="23"/>
  <c r="AQ101" i="23"/>
  <c r="AR101" i="23"/>
  <c r="AF102" i="23"/>
  <c r="AG102" i="23"/>
  <c r="AH102" i="23"/>
  <c r="AI102" i="23"/>
  <c r="AJ102" i="23"/>
  <c r="AK102" i="23"/>
  <c r="AL102" i="23"/>
  <c r="AM102" i="23"/>
  <c r="AN102" i="23"/>
  <c r="AO102" i="23"/>
  <c r="AP102" i="23"/>
  <c r="AQ102" i="23"/>
  <c r="AR102" i="23"/>
  <c r="AF103" i="23"/>
  <c r="AG103" i="23"/>
  <c r="AH103" i="23"/>
  <c r="AI103" i="23"/>
  <c r="AJ103" i="23"/>
  <c r="AK103" i="23"/>
  <c r="AL103" i="23"/>
  <c r="AM103" i="23"/>
  <c r="AN103" i="23"/>
  <c r="AO103" i="23"/>
  <c r="AP103" i="23"/>
  <c r="AQ103" i="23"/>
  <c r="AR103" i="23"/>
  <c r="AF104" i="23"/>
  <c r="AG104" i="23"/>
  <c r="AH104" i="23"/>
  <c r="AI104" i="23"/>
  <c r="AJ104" i="23"/>
  <c r="AK104" i="23"/>
  <c r="AL104" i="23"/>
  <c r="AM104" i="23"/>
  <c r="AN104" i="23"/>
  <c r="AO104" i="23"/>
  <c r="AP104" i="23"/>
  <c r="AQ104" i="23"/>
  <c r="AR104" i="23"/>
  <c r="AF105" i="23"/>
  <c r="AG105" i="23"/>
  <c r="AH105" i="23"/>
  <c r="AI105" i="23"/>
  <c r="AJ105" i="23"/>
  <c r="AK105" i="23"/>
  <c r="AL105" i="23"/>
  <c r="AM105" i="23"/>
  <c r="AN105" i="23"/>
  <c r="AO105" i="23"/>
  <c r="AP105" i="23"/>
  <c r="AQ105" i="23"/>
  <c r="AR105" i="23"/>
  <c r="AF106" i="23"/>
  <c r="AG106" i="23"/>
  <c r="AH106" i="23"/>
  <c r="AI106" i="23"/>
  <c r="AJ106" i="23"/>
  <c r="AK106" i="23"/>
  <c r="AL106" i="23"/>
  <c r="AM106" i="23"/>
  <c r="AN106" i="23"/>
  <c r="AO106" i="23"/>
  <c r="AP106" i="23"/>
  <c r="AQ106" i="23"/>
  <c r="AR106" i="23"/>
  <c r="AF107" i="23"/>
  <c r="AG107" i="23"/>
  <c r="AH107" i="23"/>
  <c r="AI107" i="23"/>
  <c r="AJ107" i="23"/>
  <c r="AK107" i="23"/>
  <c r="AL107" i="23"/>
  <c r="AM107" i="23"/>
  <c r="AN107" i="23"/>
  <c r="AO107" i="23"/>
  <c r="AP107" i="23"/>
  <c r="AQ107" i="23"/>
  <c r="AR107" i="23"/>
  <c r="AF108" i="23"/>
  <c r="AG108" i="23"/>
  <c r="AH108" i="23"/>
  <c r="AI108" i="23"/>
  <c r="AJ108" i="23"/>
  <c r="AK108" i="23"/>
  <c r="AL108" i="23"/>
  <c r="AM108" i="23"/>
  <c r="AN108" i="23"/>
  <c r="AO108" i="23"/>
  <c r="AP108" i="23"/>
  <c r="AQ108" i="23"/>
  <c r="AR108" i="23"/>
  <c r="AF109" i="23"/>
  <c r="AG109" i="23"/>
  <c r="AH109" i="23"/>
  <c r="AI109" i="23"/>
  <c r="AJ109" i="23"/>
  <c r="AK109" i="23"/>
  <c r="AL109" i="23"/>
  <c r="AM109" i="23"/>
  <c r="AN109" i="23"/>
  <c r="AO109" i="23"/>
  <c r="AP109" i="23"/>
  <c r="AQ109" i="23"/>
  <c r="AR109" i="23"/>
  <c r="AF110" i="23"/>
  <c r="AG110" i="23"/>
  <c r="AH110" i="23"/>
  <c r="AI110" i="23"/>
  <c r="AJ110" i="23"/>
  <c r="AK110" i="23"/>
  <c r="AL110" i="23"/>
  <c r="AM110" i="23"/>
  <c r="AN110" i="23"/>
  <c r="AO110" i="23"/>
  <c r="AP110" i="23"/>
  <c r="AQ110" i="23"/>
  <c r="AR110" i="23"/>
  <c r="AF111" i="23"/>
  <c r="AG111" i="23"/>
  <c r="AH111" i="23"/>
  <c r="AI111" i="23"/>
  <c r="AJ111" i="23"/>
  <c r="AK111" i="23"/>
  <c r="AL111" i="23"/>
  <c r="AM111" i="23"/>
  <c r="AN111" i="23"/>
  <c r="AO111" i="23"/>
  <c r="AP111" i="23"/>
  <c r="AQ111" i="23"/>
  <c r="AR111" i="23"/>
  <c r="AF112" i="23"/>
  <c r="AG112" i="23"/>
  <c r="AH112" i="23"/>
  <c r="AI112" i="23"/>
  <c r="AJ112" i="23"/>
  <c r="AK112" i="23"/>
  <c r="AL112" i="23"/>
  <c r="AM112" i="23"/>
  <c r="AN112" i="23"/>
  <c r="AO112" i="23"/>
  <c r="AP112" i="23"/>
  <c r="AQ112" i="23"/>
  <c r="AR112" i="23"/>
  <c r="AF113" i="23"/>
  <c r="AG113" i="23"/>
  <c r="AH113" i="23"/>
  <c r="AI113" i="23"/>
  <c r="AJ113" i="23"/>
  <c r="AK113" i="23"/>
  <c r="AL113" i="23"/>
  <c r="AM113" i="23"/>
  <c r="AN113" i="23"/>
  <c r="AO113" i="23"/>
  <c r="AP113" i="23"/>
  <c r="AQ113" i="23"/>
  <c r="AR113" i="23"/>
  <c r="AF114" i="23"/>
  <c r="AG114" i="23"/>
  <c r="AH114" i="23"/>
  <c r="AI114" i="23"/>
  <c r="AJ114" i="23"/>
  <c r="AK114" i="23"/>
  <c r="AL114" i="23"/>
  <c r="AM114" i="23"/>
  <c r="AN114" i="23"/>
  <c r="AO114" i="23"/>
  <c r="AP114" i="23"/>
  <c r="AQ114" i="23"/>
  <c r="AR114" i="23"/>
  <c r="AF115" i="23"/>
  <c r="AG115" i="23"/>
  <c r="AH115" i="23"/>
  <c r="AI115" i="23"/>
  <c r="AJ115" i="23"/>
  <c r="AK115" i="23"/>
  <c r="AL115" i="23"/>
  <c r="AM115" i="23"/>
  <c r="AN115" i="23"/>
  <c r="AO115" i="23"/>
  <c r="AP115" i="23"/>
  <c r="AQ115" i="23"/>
  <c r="AR115" i="23"/>
  <c r="AF116" i="23"/>
  <c r="AG116" i="23"/>
  <c r="AH116" i="23"/>
  <c r="AI116" i="23"/>
  <c r="AJ116" i="23"/>
  <c r="AK116" i="23"/>
  <c r="AL116" i="23"/>
  <c r="AM116" i="23"/>
  <c r="AN116" i="23"/>
  <c r="AO116" i="23"/>
  <c r="AP116" i="23"/>
  <c r="AQ116" i="23"/>
  <c r="AR116" i="23"/>
  <c r="AF117" i="23"/>
  <c r="AG117" i="23"/>
  <c r="AH117" i="23"/>
  <c r="AI117" i="23"/>
  <c r="AJ117" i="23"/>
  <c r="AK117" i="23"/>
  <c r="AL117" i="23"/>
  <c r="AM117" i="23"/>
  <c r="AN117" i="23"/>
  <c r="AO117" i="23"/>
  <c r="AP117" i="23"/>
  <c r="AQ117" i="23"/>
  <c r="AR117" i="23"/>
  <c r="AF118" i="23"/>
  <c r="AG118" i="23"/>
  <c r="AH118" i="23"/>
  <c r="AI118" i="23"/>
  <c r="AJ118" i="23"/>
  <c r="AK118" i="23"/>
  <c r="AL118" i="23"/>
  <c r="AM118" i="23"/>
  <c r="AN118" i="23"/>
  <c r="AO118" i="23"/>
  <c r="AP118" i="23"/>
  <c r="AQ118" i="23"/>
  <c r="AR118" i="23"/>
  <c r="AF119" i="23"/>
  <c r="AG119" i="23"/>
  <c r="AH119" i="23"/>
  <c r="AI119" i="23"/>
  <c r="AJ119" i="23"/>
  <c r="AK119" i="23"/>
  <c r="AL119" i="23"/>
  <c r="AM119" i="23"/>
  <c r="AN119" i="23"/>
  <c r="AO119" i="23"/>
  <c r="AP119" i="23"/>
  <c r="AQ119" i="23"/>
  <c r="AR119" i="23"/>
  <c r="AF120" i="23"/>
  <c r="AG120" i="23"/>
  <c r="AH120" i="23"/>
  <c r="AI120" i="23"/>
  <c r="AJ120" i="23"/>
  <c r="AK120" i="23"/>
  <c r="AL120" i="23"/>
  <c r="AM120" i="23"/>
  <c r="AN120" i="23"/>
  <c r="AO120" i="23"/>
  <c r="AP120" i="23"/>
  <c r="AQ120" i="23"/>
  <c r="AR120" i="23"/>
  <c r="AF121" i="23"/>
  <c r="AG121" i="23"/>
  <c r="AH121" i="23"/>
  <c r="AI121" i="23"/>
  <c r="AJ121" i="23"/>
  <c r="AK121" i="23"/>
  <c r="AL121" i="23"/>
  <c r="AM121" i="23"/>
  <c r="AN121" i="23"/>
  <c r="AO121" i="23"/>
  <c r="AP121" i="23"/>
  <c r="AQ121" i="23"/>
  <c r="AR121" i="23"/>
  <c r="AF122" i="23"/>
  <c r="AG122" i="23"/>
  <c r="AH122" i="23"/>
  <c r="AI122" i="23"/>
  <c r="AJ122" i="23"/>
  <c r="AK122" i="23"/>
  <c r="AL122" i="23"/>
  <c r="AM122" i="23"/>
  <c r="AN122" i="23"/>
  <c r="AO122" i="23"/>
  <c r="AP122" i="23"/>
  <c r="AQ122" i="23"/>
  <c r="AR122" i="23"/>
  <c r="AF123" i="23"/>
  <c r="AG123" i="23"/>
  <c r="AH123" i="23"/>
  <c r="AI123" i="23"/>
  <c r="AJ123" i="23"/>
  <c r="AK123" i="23"/>
  <c r="AL123" i="23"/>
  <c r="AM123" i="23"/>
  <c r="AN123" i="23"/>
  <c r="AO123" i="23"/>
  <c r="AP123" i="23"/>
  <c r="AQ123" i="23"/>
  <c r="AR123" i="23"/>
  <c r="AF124" i="23"/>
  <c r="AG124" i="23"/>
  <c r="AH124" i="23"/>
  <c r="AI124" i="23"/>
  <c r="AJ124" i="23"/>
  <c r="AK124" i="23"/>
  <c r="AL124" i="23"/>
  <c r="AM124" i="23"/>
  <c r="AN124" i="23"/>
  <c r="AO124" i="23"/>
  <c r="AP124" i="23"/>
  <c r="AQ124" i="23"/>
  <c r="AR124" i="23"/>
  <c r="AF125" i="23"/>
  <c r="AG125" i="23"/>
  <c r="AH125" i="23"/>
  <c r="AI125" i="23"/>
  <c r="AJ125" i="23"/>
  <c r="AK125" i="23"/>
  <c r="AL125" i="23"/>
  <c r="AM125" i="23"/>
  <c r="AN125" i="23"/>
  <c r="AO125" i="23"/>
  <c r="AP125" i="23"/>
  <c r="AQ125" i="23"/>
  <c r="AR125" i="23"/>
  <c r="AF126" i="23"/>
  <c r="AG126" i="23"/>
  <c r="AH126" i="23"/>
  <c r="AI126" i="23"/>
  <c r="AJ126" i="23"/>
  <c r="AK126" i="23"/>
  <c r="AL126" i="23"/>
  <c r="AM126" i="23"/>
  <c r="AN126" i="23"/>
  <c r="AO126" i="23"/>
  <c r="AP126" i="23"/>
  <c r="AQ126" i="23"/>
  <c r="AR126" i="23"/>
  <c r="AF127" i="23"/>
  <c r="AG127" i="23"/>
  <c r="AH127" i="23"/>
  <c r="AI127" i="23"/>
  <c r="AJ127" i="23"/>
  <c r="AK127" i="23"/>
  <c r="AL127" i="23"/>
  <c r="AM127" i="23"/>
  <c r="AN127" i="23"/>
  <c r="AO127" i="23"/>
  <c r="AP127" i="23"/>
  <c r="AQ127" i="23"/>
  <c r="AR127" i="23"/>
  <c r="AF128" i="23"/>
  <c r="AG128" i="23"/>
  <c r="AH128" i="23"/>
  <c r="AI128" i="23"/>
  <c r="AJ128" i="23"/>
  <c r="AK128" i="23"/>
  <c r="AL128" i="23"/>
  <c r="AM128" i="23"/>
  <c r="AN128" i="23"/>
  <c r="AO128" i="23"/>
  <c r="AP128" i="23"/>
  <c r="AQ128" i="23"/>
  <c r="AR128" i="23"/>
  <c r="AF129" i="23"/>
  <c r="AG129" i="23"/>
  <c r="AH129" i="23"/>
  <c r="AI129" i="23"/>
  <c r="AJ129" i="23"/>
  <c r="AK129" i="23"/>
  <c r="AL129" i="23"/>
  <c r="AM129" i="23"/>
  <c r="AN129" i="23"/>
  <c r="AO129" i="23"/>
  <c r="AP129" i="23"/>
  <c r="AQ129" i="23"/>
  <c r="AR129" i="23"/>
  <c r="AF130" i="23"/>
  <c r="AG130" i="23"/>
  <c r="AH130" i="23"/>
  <c r="AI130" i="23"/>
  <c r="AJ130" i="23"/>
  <c r="AK130" i="23"/>
  <c r="AL130" i="23"/>
  <c r="AM130" i="23"/>
  <c r="AN130" i="23"/>
  <c r="AO130" i="23"/>
  <c r="AP130" i="23"/>
  <c r="AQ130" i="23"/>
  <c r="AR130" i="23"/>
  <c r="AF131" i="23"/>
  <c r="AG131" i="23"/>
  <c r="AH131" i="23"/>
  <c r="AI131" i="23"/>
  <c r="AJ131" i="23"/>
  <c r="AK131" i="23"/>
  <c r="AL131" i="23"/>
  <c r="AM131" i="23"/>
  <c r="AN131" i="23"/>
  <c r="AO131" i="23"/>
  <c r="AP131" i="23"/>
  <c r="AQ131" i="23"/>
  <c r="AR131" i="23"/>
  <c r="AF132" i="23"/>
  <c r="AG132" i="23"/>
  <c r="AH132" i="23"/>
  <c r="AI132" i="23"/>
  <c r="AJ132" i="23"/>
  <c r="AK132" i="23"/>
  <c r="AL132" i="23"/>
  <c r="AM132" i="23"/>
  <c r="AN132" i="23"/>
  <c r="AO132" i="23"/>
  <c r="AP132" i="23"/>
  <c r="AQ132" i="23"/>
  <c r="AR132" i="23"/>
  <c r="AF133" i="23"/>
  <c r="AG133" i="23"/>
  <c r="AH133" i="23"/>
  <c r="AI133" i="23"/>
  <c r="AJ133" i="23"/>
  <c r="AK133" i="23"/>
  <c r="AL133" i="23"/>
  <c r="AM133" i="23"/>
  <c r="AN133" i="23"/>
  <c r="AO133" i="23"/>
  <c r="AP133" i="23"/>
  <c r="AQ133" i="23"/>
  <c r="AR133" i="23"/>
  <c r="AF134" i="23"/>
  <c r="AG134" i="23"/>
  <c r="AH134" i="23"/>
  <c r="AI134" i="23"/>
  <c r="AJ134" i="23"/>
  <c r="AK134" i="23"/>
  <c r="AL134" i="23"/>
  <c r="AM134" i="23"/>
  <c r="AN134" i="23"/>
  <c r="AO134" i="23"/>
  <c r="AP134" i="23"/>
  <c r="AQ134" i="23"/>
  <c r="AR134" i="23"/>
  <c r="AF135" i="23"/>
  <c r="AG135" i="23"/>
  <c r="AH135" i="23"/>
  <c r="AI135" i="23"/>
  <c r="AJ135" i="23"/>
  <c r="AK135" i="23"/>
  <c r="AL135" i="23"/>
  <c r="AM135" i="23"/>
  <c r="AN135" i="23"/>
  <c r="AO135" i="23"/>
  <c r="AP135" i="23"/>
  <c r="AQ135" i="23"/>
  <c r="AR135" i="23"/>
  <c r="AF136" i="23"/>
  <c r="AG136" i="23"/>
  <c r="AH136" i="23"/>
  <c r="AI136" i="23"/>
  <c r="AJ136" i="23"/>
  <c r="AK136" i="23"/>
  <c r="AL136" i="23"/>
  <c r="AM136" i="23"/>
  <c r="AN136" i="23"/>
  <c r="AO136" i="23"/>
  <c r="AP136" i="23"/>
  <c r="AQ136" i="23"/>
  <c r="AR136" i="23"/>
  <c r="AF137" i="23"/>
  <c r="AG137" i="23"/>
  <c r="AH137" i="23"/>
  <c r="AI137" i="23"/>
  <c r="AJ137" i="23"/>
  <c r="AK137" i="23"/>
  <c r="AL137" i="23"/>
  <c r="AM137" i="23"/>
  <c r="AN137" i="23"/>
  <c r="AO137" i="23"/>
  <c r="AP137" i="23"/>
  <c r="AQ137" i="23"/>
  <c r="AR137" i="23"/>
  <c r="AF138" i="23"/>
  <c r="AG138" i="23"/>
  <c r="AH138" i="23"/>
  <c r="AI138" i="23"/>
  <c r="AJ138" i="23"/>
  <c r="AK138" i="23"/>
  <c r="AL138" i="23"/>
  <c r="AM138" i="23"/>
  <c r="AN138" i="23"/>
  <c r="AO138" i="23"/>
  <c r="AP138" i="23"/>
  <c r="AQ138" i="23"/>
  <c r="AR138" i="23"/>
  <c r="AF139" i="23"/>
  <c r="AG139" i="23"/>
  <c r="AH139" i="23"/>
  <c r="AI139" i="23"/>
  <c r="AJ139" i="23"/>
  <c r="AK139" i="23"/>
  <c r="AL139" i="23"/>
  <c r="AM139" i="23"/>
  <c r="AN139" i="23"/>
  <c r="AO139" i="23"/>
  <c r="AP139" i="23"/>
  <c r="AQ139" i="23"/>
  <c r="AR139" i="23"/>
  <c r="AF140" i="23"/>
  <c r="AG140" i="23"/>
  <c r="AH140" i="23"/>
  <c r="AI140" i="23"/>
  <c r="AJ140" i="23"/>
  <c r="AK140" i="23"/>
  <c r="AL140" i="23"/>
  <c r="AM140" i="23"/>
  <c r="AN140" i="23"/>
  <c r="AO140" i="23"/>
  <c r="AP140" i="23"/>
  <c r="AQ140" i="23"/>
  <c r="AR140" i="23"/>
  <c r="AF141" i="23"/>
  <c r="AG141" i="23"/>
  <c r="AH141" i="23"/>
  <c r="AI141" i="23"/>
  <c r="AJ141" i="23"/>
  <c r="AK141" i="23"/>
  <c r="AL141" i="23"/>
  <c r="AM141" i="23"/>
  <c r="AN141" i="23"/>
  <c r="AO141" i="23"/>
  <c r="AP141" i="23"/>
  <c r="AQ141" i="23"/>
  <c r="AR141" i="23"/>
  <c r="AF142" i="23"/>
  <c r="AG142" i="23"/>
  <c r="AH142" i="23"/>
  <c r="AI142" i="23"/>
  <c r="AJ142" i="23"/>
  <c r="AK142" i="23"/>
  <c r="AL142" i="23"/>
  <c r="AM142" i="23"/>
  <c r="AN142" i="23"/>
  <c r="AO142" i="23"/>
  <c r="AP142" i="23"/>
  <c r="AQ142" i="23"/>
  <c r="AR142" i="23"/>
  <c r="AF143" i="23"/>
  <c r="AG143" i="23"/>
  <c r="AH143" i="23"/>
  <c r="AI143" i="23"/>
  <c r="AJ143" i="23"/>
  <c r="AK143" i="23"/>
  <c r="AL143" i="23"/>
  <c r="AM143" i="23"/>
  <c r="AN143" i="23"/>
  <c r="AO143" i="23"/>
  <c r="AP143" i="23"/>
  <c r="AQ143" i="23"/>
  <c r="AR143" i="23"/>
  <c r="AF144" i="23"/>
  <c r="AG144" i="23"/>
  <c r="AH144" i="23"/>
  <c r="AI144" i="23"/>
  <c r="AJ144" i="23"/>
  <c r="AK144" i="23"/>
  <c r="AL144" i="23"/>
  <c r="AM144" i="23"/>
  <c r="AN144" i="23"/>
  <c r="AO144" i="23"/>
  <c r="AP144" i="23"/>
  <c r="AQ144" i="23"/>
  <c r="AR144" i="23"/>
  <c r="AF145" i="23"/>
  <c r="AG145" i="23"/>
  <c r="AH145" i="23"/>
  <c r="AI145" i="23"/>
  <c r="AJ145" i="23"/>
  <c r="AK145" i="23"/>
  <c r="AL145" i="23"/>
  <c r="AM145" i="23"/>
  <c r="AN145" i="23"/>
  <c r="AO145" i="23"/>
  <c r="AP145" i="23"/>
  <c r="AQ145" i="23"/>
  <c r="AR145" i="23"/>
  <c r="AF146" i="23"/>
  <c r="AG146" i="23"/>
  <c r="AH146" i="23"/>
  <c r="AI146" i="23"/>
  <c r="AJ146" i="23"/>
  <c r="AK146" i="23"/>
  <c r="AL146" i="23"/>
  <c r="AM146" i="23"/>
  <c r="AN146" i="23"/>
  <c r="AO146" i="23"/>
  <c r="AP146" i="23"/>
  <c r="AQ146" i="23"/>
  <c r="AR146" i="23"/>
  <c r="AF147" i="23"/>
  <c r="AG147" i="23"/>
  <c r="AH147" i="23"/>
  <c r="AI147" i="23"/>
  <c r="AJ147" i="23"/>
  <c r="AK147" i="23"/>
  <c r="AL147" i="23"/>
  <c r="AM147" i="23"/>
  <c r="AN147" i="23"/>
  <c r="AO147" i="23"/>
  <c r="AP147" i="23"/>
  <c r="AQ147" i="23"/>
  <c r="AR147" i="23"/>
  <c r="AF148" i="23"/>
  <c r="AG148" i="23"/>
  <c r="AH148" i="23"/>
  <c r="AI148" i="23"/>
  <c r="AJ148" i="23"/>
  <c r="AK148" i="23"/>
  <c r="AL148" i="23"/>
  <c r="AM148" i="23"/>
  <c r="AN148" i="23"/>
  <c r="AO148" i="23"/>
  <c r="AP148" i="23"/>
  <c r="AQ148" i="23"/>
  <c r="AR148" i="23"/>
  <c r="AF149" i="23"/>
  <c r="AG149" i="23"/>
  <c r="AH149" i="23"/>
  <c r="AI149" i="23"/>
  <c r="AJ149" i="23"/>
  <c r="AK149" i="23"/>
  <c r="AL149" i="23"/>
  <c r="AM149" i="23"/>
  <c r="AN149" i="23"/>
  <c r="AO149" i="23"/>
  <c r="AP149" i="23"/>
  <c r="AQ149" i="23"/>
  <c r="AR149" i="23"/>
  <c r="AF150" i="23"/>
  <c r="AG150" i="23"/>
  <c r="AH150" i="23"/>
  <c r="AI150" i="23"/>
  <c r="AJ150" i="23"/>
  <c r="AK150" i="23"/>
  <c r="AL150" i="23"/>
  <c r="AM150" i="23"/>
  <c r="AN150" i="23"/>
  <c r="AO150" i="23"/>
  <c r="AP150" i="23"/>
  <c r="AQ150" i="23"/>
  <c r="AR150" i="23"/>
  <c r="AF151" i="23"/>
  <c r="AG151" i="23"/>
  <c r="AH151" i="23"/>
  <c r="AI151" i="23"/>
  <c r="AJ151" i="23"/>
  <c r="AK151" i="23"/>
  <c r="AL151" i="23"/>
  <c r="AM151" i="23"/>
  <c r="AN151" i="23"/>
  <c r="AO151" i="23"/>
  <c r="AP151" i="23"/>
  <c r="AQ151" i="23"/>
  <c r="AR151" i="23"/>
  <c r="AF152" i="23"/>
  <c r="AG152" i="23"/>
  <c r="AH152" i="23"/>
  <c r="AI152" i="23"/>
  <c r="AJ152" i="23"/>
  <c r="AK152" i="23"/>
  <c r="AL152" i="23"/>
  <c r="AM152" i="23"/>
  <c r="AN152" i="23"/>
  <c r="AO152" i="23"/>
  <c r="AP152" i="23"/>
  <c r="AQ152" i="23"/>
  <c r="AR152" i="23"/>
  <c r="AF153" i="23"/>
  <c r="AG153" i="23"/>
  <c r="AH153" i="23"/>
  <c r="AI153" i="23"/>
  <c r="AJ153" i="23"/>
  <c r="AK153" i="23"/>
  <c r="AL153" i="23"/>
  <c r="AM153" i="23"/>
  <c r="AN153" i="23"/>
  <c r="AO153" i="23"/>
  <c r="AP153" i="23"/>
  <c r="AQ153" i="23"/>
  <c r="AR153" i="23"/>
  <c r="AF154" i="23"/>
  <c r="AG154" i="23"/>
  <c r="AH154" i="23"/>
  <c r="AI154" i="23"/>
  <c r="AJ154" i="23"/>
  <c r="AK154" i="23"/>
  <c r="AL154" i="23"/>
  <c r="AM154" i="23"/>
  <c r="AN154" i="23"/>
  <c r="AO154" i="23"/>
  <c r="AP154" i="23"/>
  <c r="AQ154" i="23"/>
  <c r="AR154" i="23"/>
  <c r="AF155" i="23"/>
  <c r="AG155" i="23"/>
  <c r="AH155" i="23"/>
  <c r="AI155" i="23"/>
  <c r="AJ155" i="23"/>
  <c r="AK155" i="23"/>
  <c r="AL155" i="23"/>
  <c r="AM155" i="23"/>
  <c r="AN155" i="23"/>
  <c r="AO155" i="23"/>
  <c r="AP155" i="23"/>
  <c r="AQ155" i="23"/>
  <c r="AR155" i="23"/>
  <c r="AF156" i="23"/>
  <c r="AG156" i="23"/>
  <c r="AH156" i="23"/>
  <c r="AI156" i="23"/>
  <c r="AJ156" i="23"/>
  <c r="AK156" i="23"/>
  <c r="AL156" i="23"/>
  <c r="AM156" i="23"/>
  <c r="AN156" i="23"/>
  <c r="AO156" i="23"/>
  <c r="AP156" i="23"/>
  <c r="AQ156" i="23"/>
  <c r="AR156" i="23"/>
  <c r="AF157" i="23"/>
  <c r="AG157" i="23"/>
  <c r="AH157" i="23"/>
  <c r="AI157" i="23"/>
  <c r="AJ157" i="23"/>
  <c r="AK157" i="23"/>
  <c r="AL157" i="23"/>
  <c r="AM157" i="23"/>
  <c r="AN157" i="23"/>
  <c r="AO157" i="23"/>
  <c r="AP157" i="23"/>
  <c r="AQ157" i="23"/>
  <c r="AR157" i="23"/>
  <c r="AF158" i="23"/>
  <c r="AG158" i="23"/>
  <c r="AH158" i="23"/>
  <c r="AI158" i="23"/>
  <c r="AJ158" i="23"/>
  <c r="AK158" i="23"/>
  <c r="AL158" i="23"/>
  <c r="AM158" i="23"/>
  <c r="AN158" i="23"/>
  <c r="AO158" i="23"/>
  <c r="AP158" i="23"/>
  <c r="AQ158" i="23"/>
  <c r="AR158" i="23"/>
  <c r="AF159" i="23"/>
  <c r="AG159" i="23"/>
  <c r="AH159" i="23"/>
  <c r="AI159" i="23"/>
  <c r="AJ159" i="23"/>
  <c r="AK159" i="23"/>
  <c r="AL159" i="23"/>
  <c r="AM159" i="23"/>
  <c r="AN159" i="23"/>
  <c r="AO159" i="23"/>
  <c r="AP159" i="23"/>
  <c r="AQ159" i="23"/>
  <c r="AR159" i="23"/>
  <c r="AF160" i="23"/>
  <c r="AG160" i="23"/>
  <c r="AH160" i="23"/>
  <c r="AI160" i="23"/>
  <c r="AJ160" i="23"/>
  <c r="AK160" i="23"/>
  <c r="AL160" i="23"/>
  <c r="AM160" i="23"/>
  <c r="AN160" i="23"/>
  <c r="AO160" i="23"/>
  <c r="AP160" i="23"/>
  <c r="AQ160" i="23"/>
  <c r="AR160" i="23"/>
  <c r="AF161" i="23"/>
  <c r="AG161" i="23"/>
  <c r="AH161" i="23"/>
  <c r="AI161" i="23"/>
  <c r="AJ161" i="23"/>
  <c r="AK161" i="23"/>
  <c r="AL161" i="23"/>
  <c r="AM161" i="23"/>
  <c r="AN161" i="23"/>
  <c r="AO161" i="23"/>
  <c r="AP161" i="23"/>
  <c r="AQ161" i="23"/>
  <c r="AR161" i="23"/>
  <c r="AF162" i="23"/>
  <c r="AG162" i="23"/>
  <c r="AH162" i="23"/>
  <c r="AI162" i="23"/>
  <c r="AJ162" i="23"/>
  <c r="AK162" i="23"/>
  <c r="AL162" i="23"/>
  <c r="AM162" i="23"/>
  <c r="AN162" i="23"/>
  <c r="AO162" i="23"/>
  <c r="AP162" i="23"/>
  <c r="AQ162" i="23"/>
  <c r="AR162" i="23"/>
  <c r="AF163" i="23"/>
  <c r="AG163" i="23"/>
  <c r="AH163" i="23"/>
  <c r="AI163" i="23"/>
  <c r="AJ163" i="23"/>
  <c r="AK163" i="23"/>
  <c r="AL163" i="23"/>
  <c r="AM163" i="23"/>
  <c r="AN163" i="23"/>
  <c r="AO163" i="23"/>
  <c r="AP163" i="23"/>
  <c r="AQ163" i="23"/>
  <c r="AR163" i="23"/>
  <c r="AF164" i="23"/>
  <c r="AG164" i="23"/>
  <c r="AH164" i="23"/>
  <c r="AI164" i="23"/>
  <c r="AJ164" i="23"/>
  <c r="AK164" i="23"/>
  <c r="AL164" i="23"/>
  <c r="AM164" i="23"/>
  <c r="AN164" i="23"/>
  <c r="AO164" i="23"/>
  <c r="AP164" i="23"/>
  <c r="AQ164" i="23"/>
  <c r="AR164" i="23"/>
  <c r="AF165" i="23"/>
  <c r="AG165" i="23"/>
  <c r="AH165" i="23"/>
  <c r="AI165" i="23"/>
  <c r="AJ165" i="23"/>
  <c r="AK165" i="23"/>
  <c r="AL165" i="23"/>
  <c r="AM165" i="23"/>
  <c r="AN165" i="23"/>
  <c r="AO165" i="23"/>
  <c r="AP165" i="23"/>
  <c r="AQ165" i="23"/>
  <c r="AR165" i="23"/>
  <c r="AF166" i="23"/>
  <c r="AG166" i="23"/>
  <c r="AH166" i="23"/>
  <c r="AI166" i="23"/>
  <c r="AJ166" i="23"/>
  <c r="AK166" i="23"/>
  <c r="AL166" i="23"/>
  <c r="AM166" i="23"/>
  <c r="AN166" i="23"/>
  <c r="AO166" i="23"/>
  <c r="AP166" i="23"/>
  <c r="AQ166" i="23"/>
  <c r="AR166" i="23"/>
  <c r="AF167" i="23"/>
  <c r="AG167" i="23"/>
  <c r="AH167" i="23"/>
  <c r="AI167" i="23"/>
  <c r="AJ167" i="23"/>
  <c r="AK167" i="23"/>
  <c r="AL167" i="23"/>
  <c r="AM167" i="23"/>
  <c r="AN167" i="23"/>
  <c r="AO167" i="23"/>
  <c r="AP167" i="23"/>
  <c r="AQ167" i="23"/>
  <c r="AR167" i="23"/>
  <c r="AF168" i="23"/>
  <c r="AG168" i="23"/>
  <c r="AH168" i="23"/>
  <c r="AI168" i="23"/>
  <c r="AJ168" i="23"/>
  <c r="AK168" i="23"/>
  <c r="AL168" i="23"/>
  <c r="AM168" i="23"/>
  <c r="AN168" i="23"/>
  <c r="AO168" i="23"/>
  <c r="AP168" i="23"/>
  <c r="AQ168" i="23"/>
  <c r="AR168" i="23"/>
  <c r="AF169" i="23"/>
  <c r="AG169" i="23"/>
  <c r="AH169" i="23"/>
  <c r="AI169" i="23"/>
  <c r="AJ169" i="23"/>
  <c r="AK169" i="23"/>
  <c r="AL169" i="23"/>
  <c r="AM169" i="23"/>
  <c r="AN169" i="23"/>
  <c r="AO169" i="23"/>
  <c r="AP169" i="23"/>
  <c r="AQ169" i="23"/>
  <c r="AR169" i="23"/>
  <c r="AF170" i="23"/>
  <c r="AG170" i="23"/>
  <c r="AH170" i="23"/>
  <c r="AI170" i="23"/>
  <c r="AJ170" i="23"/>
  <c r="AK170" i="23"/>
  <c r="AL170" i="23"/>
  <c r="AM170" i="23"/>
  <c r="AN170" i="23"/>
  <c r="AO170" i="23"/>
  <c r="AP170" i="23"/>
  <c r="AQ170" i="23"/>
  <c r="AR170" i="23"/>
  <c r="AF171" i="23"/>
  <c r="AG171" i="23"/>
  <c r="AH171" i="23"/>
  <c r="AI171" i="23"/>
  <c r="AJ171" i="23"/>
  <c r="AK171" i="23"/>
  <c r="AL171" i="23"/>
  <c r="AM171" i="23"/>
  <c r="AN171" i="23"/>
  <c r="AO171" i="23"/>
  <c r="AP171" i="23"/>
  <c r="AQ171" i="23"/>
  <c r="AR171" i="23"/>
  <c r="AF172" i="23"/>
  <c r="AG172" i="23"/>
  <c r="AH172" i="23"/>
  <c r="AI172" i="23"/>
  <c r="AJ172" i="23"/>
  <c r="AK172" i="23"/>
  <c r="AL172" i="23"/>
  <c r="AM172" i="23"/>
  <c r="AN172" i="23"/>
  <c r="AO172" i="23"/>
  <c r="AP172" i="23"/>
  <c r="AQ172" i="23"/>
  <c r="AR172" i="23"/>
  <c r="AF173" i="23"/>
  <c r="AG173" i="23"/>
  <c r="AH173" i="23"/>
  <c r="AI173" i="23"/>
  <c r="AJ173" i="23"/>
  <c r="AK173" i="23"/>
  <c r="AL173" i="23"/>
  <c r="AM173" i="23"/>
  <c r="AN173" i="23"/>
  <c r="AO173" i="23"/>
  <c r="AP173" i="23"/>
  <c r="AQ173" i="23"/>
  <c r="AR173" i="23"/>
  <c r="AF174" i="23"/>
  <c r="AG174" i="23"/>
  <c r="AH174" i="23"/>
  <c r="AI174" i="23"/>
  <c r="AJ174" i="23"/>
  <c r="AK174" i="23"/>
  <c r="AL174" i="23"/>
  <c r="AM174" i="23"/>
  <c r="AN174" i="23"/>
  <c r="AO174" i="23"/>
  <c r="AP174" i="23"/>
  <c r="AQ174" i="23"/>
  <c r="AR174" i="23"/>
  <c r="AF175" i="23"/>
  <c r="AG175" i="23"/>
  <c r="AH175" i="23"/>
  <c r="AI175" i="23"/>
  <c r="AJ175" i="23"/>
  <c r="AK175" i="23"/>
  <c r="AL175" i="23"/>
  <c r="AM175" i="23"/>
  <c r="AN175" i="23"/>
  <c r="AO175" i="23"/>
  <c r="AP175" i="23"/>
  <c r="AQ175" i="23"/>
  <c r="AR175" i="23"/>
  <c r="AF176" i="23"/>
  <c r="AG176" i="23"/>
  <c r="AH176" i="23"/>
  <c r="AI176" i="23"/>
  <c r="AJ176" i="23"/>
  <c r="AK176" i="23"/>
  <c r="AL176" i="23"/>
  <c r="AM176" i="23"/>
  <c r="AN176" i="23"/>
  <c r="AO176" i="23"/>
  <c r="AP176" i="23"/>
  <c r="AQ176" i="23"/>
  <c r="AR176" i="23"/>
  <c r="AF177" i="23"/>
  <c r="AG177" i="23"/>
  <c r="AH177" i="23"/>
  <c r="AI177" i="23"/>
  <c r="AJ177" i="23"/>
  <c r="AK177" i="23"/>
  <c r="AL177" i="23"/>
  <c r="AM177" i="23"/>
  <c r="AN177" i="23"/>
  <c r="AO177" i="23"/>
  <c r="AP177" i="23"/>
  <c r="AQ177" i="23"/>
  <c r="AR177" i="23"/>
  <c r="AF178" i="23"/>
  <c r="AG178" i="23"/>
  <c r="AH178" i="23"/>
  <c r="AI178" i="23"/>
  <c r="AJ178" i="23"/>
  <c r="AK178" i="23"/>
  <c r="AL178" i="23"/>
  <c r="AM178" i="23"/>
  <c r="AN178" i="23"/>
  <c r="AO178" i="23"/>
  <c r="AP178" i="23"/>
  <c r="AQ178" i="23"/>
  <c r="AR178" i="23"/>
  <c r="AF179" i="23"/>
  <c r="AG179" i="23"/>
  <c r="AH179" i="23"/>
  <c r="AI179" i="23"/>
  <c r="AJ179" i="23"/>
  <c r="AK179" i="23"/>
  <c r="AL179" i="23"/>
  <c r="AM179" i="23"/>
  <c r="AN179" i="23"/>
  <c r="AO179" i="23"/>
  <c r="AP179" i="23"/>
  <c r="AQ179" i="23"/>
  <c r="AR179" i="23"/>
  <c r="AF180" i="23"/>
  <c r="AG180" i="23"/>
  <c r="AH180" i="23"/>
  <c r="AI180" i="23"/>
  <c r="AJ180" i="23"/>
  <c r="AK180" i="23"/>
  <c r="AL180" i="23"/>
  <c r="AM180" i="23"/>
  <c r="AN180" i="23"/>
  <c r="AO180" i="23"/>
  <c r="AP180" i="23"/>
  <c r="AQ180" i="23"/>
  <c r="AR180" i="23"/>
  <c r="AF181" i="23"/>
  <c r="AG181" i="23"/>
  <c r="AH181" i="23"/>
  <c r="AI181" i="23"/>
  <c r="AJ181" i="23"/>
  <c r="AK181" i="23"/>
  <c r="AL181" i="23"/>
  <c r="AM181" i="23"/>
  <c r="AN181" i="23"/>
  <c r="AO181" i="23"/>
  <c r="AP181" i="23"/>
  <c r="AQ181" i="23"/>
  <c r="AR181" i="23"/>
  <c r="AF182" i="23"/>
  <c r="AG182" i="23"/>
  <c r="AH182" i="23"/>
  <c r="AI182" i="23"/>
  <c r="AJ182" i="23"/>
  <c r="AK182" i="23"/>
  <c r="AL182" i="23"/>
  <c r="AM182" i="23"/>
  <c r="AN182" i="23"/>
  <c r="AO182" i="23"/>
  <c r="AP182" i="23"/>
  <c r="AQ182" i="23"/>
  <c r="AR182" i="23"/>
  <c r="AF183" i="23"/>
  <c r="AG183" i="23"/>
  <c r="AH183" i="23"/>
  <c r="AI183" i="23"/>
  <c r="AJ183" i="23"/>
  <c r="AK183" i="23"/>
  <c r="AL183" i="23"/>
  <c r="AM183" i="23"/>
  <c r="AN183" i="23"/>
  <c r="AO183" i="23"/>
  <c r="AP183" i="23"/>
  <c r="AQ183" i="23"/>
  <c r="AR183" i="23"/>
  <c r="AF184" i="23"/>
  <c r="AG184" i="23"/>
  <c r="AH184" i="23"/>
  <c r="AI184" i="23"/>
  <c r="AJ184" i="23"/>
  <c r="AK184" i="23"/>
  <c r="AL184" i="23"/>
  <c r="AM184" i="23"/>
  <c r="AN184" i="23"/>
  <c r="AO184" i="23"/>
  <c r="AP184" i="23"/>
  <c r="AQ184" i="23"/>
  <c r="AR184" i="23"/>
  <c r="AF185" i="23"/>
  <c r="AG185" i="23"/>
  <c r="AH185" i="23"/>
  <c r="AI185" i="23"/>
  <c r="AJ185" i="23"/>
  <c r="AK185" i="23"/>
  <c r="AL185" i="23"/>
  <c r="AM185" i="23"/>
  <c r="AN185" i="23"/>
  <c r="AO185" i="23"/>
  <c r="AP185" i="23"/>
  <c r="AQ185" i="23"/>
  <c r="AR185" i="23"/>
  <c r="AF186" i="23"/>
  <c r="AG186" i="23"/>
  <c r="AH186" i="23"/>
  <c r="AI186" i="23"/>
  <c r="AJ186" i="23"/>
  <c r="AK186" i="23"/>
  <c r="AL186" i="23"/>
  <c r="AM186" i="23"/>
  <c r="AN186" i="23"/>
  <c r="AO186" i="23"/>
  <c r="AP186" i="23"/>
  <c r="AQ186" i="23"/>
  <c r="AR186" i="23"/>
  <c r="AF187" i="23"/>
  <c r="AG187" i="23"/>
  <c r="AH187" i="23"/>
  <c r="AI187" i="23"/>
  <c r="AJ187" i="23"/>
  <c r="AK187" i="23"/>
  <c r="AL187" i="23"/>
  <c r="AM187" i="23"/>
  <c r="AN187" i="23"/>
  <c r="AO187" i="23"/>
  <c r="AP187" i="23"/>
  <c r="AQ187" i="23"/>
  <c r="AR187" i="23"/>
  <c r="AF188" i="23"/>
  <c r="AG188" i="23"/>
  <c r="AH188" i="23"/>
  <c r="AI188" i="23"/>
  <c r="AJ188" i="23"/>
  <c r="AK188" i="23"/>
  <c r="AL188" i="23"/>
  <c r="AM188" i="23"/>
  <c r="AN188" i="23"/>
  <c r="AO188" i="23"/>
  <c r="AP188" i="23"/>
  <c r="AQ188" i="23"/>
  <c r="AR188" i="23"/>
  <c r="AF189" i="23"/>
  <c r="AG189" i="23"/>
  <c r="AH189" i="23"/>
  <c r="AI189" i="23"/>
  <c r="AJ189" i="23"/>
  <c r="AK189" i="23"/>
  <c r="AL189" i="23"/>
  <c r="AM189" i="23"/>
  <c r="AN189" i="23"/>
  <c r="AO189" i="23"/>
  <c r="AP189" i="23"/>
  <c r="AQ189" i="23"/>
  <c r="AR189" i="23"/>
  <c r="AF190" i="23"/>
  <c r="AG190" i="23"/>
  <c r="AH190" i="23"/>
  <c r="AI190" i="23"/>
  <c r="AJ190" i="23"/>
  <c r="AK190" i="23"/>
  <c r="AL190" i="23"/>
  <c r="AM190" i="23"/>
  <c r="AN190" i="23"/>
  <c r="AO190" i="23"/>
  <c r="AP190" i="23"/>
  <c r="AQ190" i="23"/>
  <c r="AR190" i="23"/>
  <c r="AF191" i="23"/>
  <c r="AG191" i="23"/>
  <c r="AH191" i="23"/>
  <c r="AI191" i="23"/>
  <c r="AJ191" i="23"/>
  <c r="AK191" i="23"/>
  <c r="AL191" i="23"/>
  <c r="AM191" i="23"/>
  <c r="AN191" i="23"/>
  <c r="AO191" i="23"/>
  <c r="AP191" i="23"/>
  <c r="AQ191" i="23"/>
  <c r="AR191" i="23"/>
  <c r="AF192" i="23"/>
  <c r="AG192" i="23"/>
  <c r="AH192" i="23"/>
  <c r="AI192" i="23"/>
  <c r="AJ192" i="23"/>
  <c r="AK192" i="23"/>
  <c r="AL192" i="23"/>
  <c r="AM192" i="23"/>
  <c r="AN192" i="23"/>
  <c r="AO192" i="23"/>
  <c r="AP192" i="23"/>
  <c r="AQ192" i="23"/>
  <c r="AR192" i="23"/>
  <c r="AF193" i="23"/>
  <c r="AG193" i="23"/>
  <c r="AH193" i="23"/>
  <c r="AI193" i="23"/>
  <c r="AJ193" i="23"/>
  <c r="AK193" i="23"/>
  <c r="AL193" i="23"/>
  <c r="AM193" i="23"/>
  <c r="AN193" i="23"/>
  <c r="AO193" i="23"/>
  <c r="AP193" i="23"/>
  <c r="AQ193" i="23"/>
  <c r="AR193" i="23"/>
  <c r="AF194" i="23"/>
  <c r="AG194" i="23"/>
  <c r="AH194" i="23"/>
  <c r="AI194" i="23"/>
  <c r="AJ194" i="23"/>
  <c r="AK194" i="23"/>
  <c r="AL194" i="23"/>
  <c r="AM194" i="23"/>
  <c r="AN194" i="23"/>
  <c r="AO194" i="23"/>
  <c r="AP194" i="23"/>
  <c r="AQ194" i="23"/>
  <c r="AR194" i="23"/>
  <c r="AF195" i="23"/>
  <c r="AG195" i="23"/>
  <c r="AH195" i="23"/>
  <c r="AI195" i="23"/>
  <c r="AJ195" i="23"/>
  <c r="AK195" i="23"/>
  <c r="AL195" i="23"/>
  <c r="AM195" i="23"/>
  <c r="AN195" i="23"/>
  <c r="AO195" i="23"/>
  <c r="AP195" i="23"/>
  <c r="AQ195" i="23"/>
  <c r="AR195" i="23"/>
  <c r="AF196" i="23"/>
  <c r="AG196" i="23"/>
  <c r="AH196" i="23"/>
  <c r="AI196" i="23"/>
  <c r="AJ196" i="23"/>
  <c r="AK196" i="23"/>
  <c r="AL196" i="23"/>
  <c r="AM196" i="23"/>
  <c r="AN196" i="23"/>
  <c r="AO196" i="23"/>
  <c r="AP196" i="23"/>
  <c r="AQ196" i="23"/>
  <c r="AR196" i="23"/>
  <c r="AF197" i="23"/>
  <c r="AG197" i="23"/>
  <c r="AH197" i="23"/>
  <c r="AI197" i="23"/>
  <c r="AJ197" i="23"/>
  <c r="AK197" i="23"/>
  <c r="AL197" i="23"/>
  <c r="AM197" i="23"/>
  <c r="AN197" i="23"/>
  <c r="AO197" i="23"/>
  <c r="AP197" i="23"/>
  <c r="AQ197" i="23"/>
  <c r="AR197" i="23"/>
  <c r="AF198" i="23"/>
  <c r="AG198" i="23"/>
  <c r="AH198" i="23"/>
  <c r="AI198" i="23"/>
  <c r="AJ198" i="23"/>
  <c r="AK198" i="23"/>
  <c r="AL198" i="23"/>
  <c r="AM198" i="23"/>
  <c r="AN198" i="23"/>
  <c r="AO198" i="23"/>
  <c r="AP198" i="23"/>
  <c r="AQ198" i="23"/>
  <c r="AR198" i="23"/>
  <c r="AF199" i="23"/>
  <c r="AG199" i="23"/>
  <c r="AH199" i="23"/>
  <c r="AI199" i="23"/>
  <c r="AJ199" i="23"/>
  <c r="AK199" i="23"/>
  <c r="AL199" i="23"/>
  <c r="AM199" i="23"/>
  <c r="AN199" i="23"/>
  <c r="AO199" i="23"/>
  <c r="AP199" i="23"/>
  <c r="AQ199" i="23"/>
  <c r="AR199" i="23"/>
  <c r="AF200" i="23"/>
  <c r="AG200" i="23"/>
  <c r="AH200" i="23"/>
  <c r="AI200" i="23"/>
  <c r="AJ200" i="23"/>
  <c r="AK200" i="23"/>
  <c r="AL200" i="23"/>
  <c r="AM200" i="23"/>
  <c r="AN200" i="23"/>
  <c r="AO200" i="23"/>
  <c r="AP200" i="23"/>
  <c r="AQ200" i="23"/>
  <c r="AR200" i="23"/>
  <c r="AF201" i="23"/>
  <c r="AG201" i="23"/>
  <c r="AH201" i="23"/>
  <c r="AI201" i="23"/>
  <c r="AJ201" i="23"/>
  <c r="AK201" i="23"/>
  <c r="AL201" i="23"/>
  <c r="AM201" i="23"/>
  <c r="AN201" i="23"/>
  <c r="AO201" i="23"/>
  <c r="AP201" i="23"/>
  <c r="AQ201" i="23"/>
  <c r="AR201" i="23"/>
  <c r="AF202" i="23"/>
  <c r="AG202" i="23"/>
  <c r="AH202" i="23"/>
  <c r="AI202" i="23"/>
  <c r="AJ202" i="23"/>
  <c r="AK202" i="23"/>
  <c r="AL202" i="23"/>
  <c r="AM202" i="23"/>
  <c r="AN202" i="23"/>
  <c r="AO202" i="23"/>
  <c r="AP202" i="23"/>
  <c r="AQ202" i="23"/>
  <c r="AR202" i="23"/>
  <c r="AF203" i="23"/>
  <c r="AG203" i="23"/>
  <c r="AH203" i="23"/>
  <c r="AI203" i="23"/>
  <c r="AJ203" i="23"/>
  <c r="AK203" i="23"/>
  <c r="AL203" i="23"/>
  <c r="AM203" i="23"/>
  <c r="AN203" i="23"/>
  <c r="AO203" i="23"/>
  <c r="AP203" i="23"/>
  <c r="AQ203" i="23"/>
  <c r="AR203" i="23"/>
  <c r="AF204" i="23"/>
  <c r="AG204" i="23"/>
  <c r="AH204" i="23"/>
  <c r="AI204" i="23"/>
  <c r="AJ204" i="23"/>
  <c r="AK204" i="23"/>
  <c r="AL204" i="23"/>
  <c r="AM204" i="23"/>
  <c r="AN204" i="23"/>
  <c r="AO204" i="23"/>
  <c r="AP204" i="23"/>
  <c r="AQ204" i="23"/>
  <c r="AR204" i="23"/>
  <c r="AF205" i="23"/>
  <c r="AG205" i="23"/>
  <c r="AH205" i="23"/>
  <c r="AI205" i="23"/>
  <c r="AJ205" i="23"/>
  <c r="AK205" i="23"/>
  <c r="AL205" i="23"/>
  <c r="AM205" i="23"/>
  <c r="AN205" i="23"/>
  <c r="AO205" i="23"/>
  <c r="AP205" i="23"/>
  <c r="AQ205" i="23"/>
  <c r="AR205" i="23"/>
  <c r="AF206" i="23"/>
  <c r="AG206" i="23"/>
  <c r="AH206" i="23"/>
  <c r="AI206" i="23"/>
  <c r="AJ206" i="23"/>
  <c r="AK206" i="23"/>
  <c r="AL206" i="23"/>
  <c r="AM206" i="23"/>
  <c r="AN206" i="23"/>
  <c r="AO206" i="23"/>
  <c r="AP206" i="23"/>
  <c r="AQ206" i="23"/>
  <c r="AR206" i="23"/>
  <c r="AF207" i="23"/>
  <c r="AG207" i="23"/>
  <c r="AH207" i="23"/>
  <c r="AI207" i="23"/>
  <c r="AJ207" i="23"/>
  <c r="AK207" i="23"/>
  <c r="AL207" i="23"/>
  <c r="AM207" i="23"/>
  <c r="AN207" i="23"/>
  <c r="AO207" i="23"/>
  <c r="AP207" i="23"/>
  <c r="AQ207" i="23"/>
  <c r="AR207" i="23"/>
  <c r="AF208" i="23"/>
  <c r="AG208" i="23"/>
  <c r="AH208" i="23"/>
  <c r="AI208" i="23"/>
  <c r="AJ208" i="23"/>
  <c r="AK208" i="23"/>
  <c r="AL208" i="23"/>
  <c r="AM208" i="23"/>
  <c r="AN208" i="23"/>
  <c r="AO208" i="23"/>
  <c r="AP208" i="23"/>
  <c r="AQ208" i="23"/>
  <c r="AR208" i="23"/>
  <c r="AF209" i="23"/>
  <c r="AG209" i="23"/>
  <c r="AH209" i="23"/>
  <c r="AI209" i="23"/>
  <c r="AJ209" i="23"/>
  <c r="AK209" i="23"/>
  <c r="AL209" i="23"/>
  <c r="AM209" i="23"/>
  <c r="AN209" i="23"/>
  <c r="AO209" i="23"/>
  <c r="AP209" i="23"/>
  <c r="AQ209" i="23"/>
  <c r="AR209" i="23"/>
  <c r="AF210" i="23"/>
  <c r="AG210" i="23"/>
  <c r="AH210" i="23"/>
  <c r="AI210" i="23"/>
  <c r="AJ210" i="23"/>
  <c r="AK210" i="23"/>
  <c r="AL210" i="23"/>
  <c r="AM210" i="23"/>
  <c r="AN210" i="23"/>
  <c r="AO210" i="23"/>
  <c r="AP210" i="23"/>
  <c r="AQ210" i="23"/>
  <c r="AR210" i="23"/>
  <c r="AF211" i="23"/>
  <c r="AG211" i="23"/>
  <c r="AH211" i="23"/>
  <c r="AI211" i="23"/>
  <c r="AJ211" i="23"/>
  <c r="AK211" i="23"/>
  <c r="AL211" i="23"/>
  <c r="AM211" i="23"/>
  <c r="AN211" i="23"/>
  <c r="AO211" i="23"/>
  <c r="AP211" i="23"/>
  <c r="AQ211" i="23"/>
  <c r="AR211" i="23"/>
  <c r="AF212" i="23"/>
  <c r="AG212" i="23"/>
  <c r="AH212" i="23"/>
  <c r="AI212" i="23"/>
  <c r="AJ212" i="23"/>
  <c r="AK212" i="23"/>
  <c r="AL212" i="23"/>
  <c r="AM212" i="23"/>
  <c r="AN212" i="23"/>
  <c r="AO212" i="23"/>
  <c r="AP212" i="23"/>
  <c r="AQ212" i="23"/>
  <c r="AR212" i="23"/>
  <c r="AF213" i="23"/>
  <c r="AG213" i="23"/>
  <c r="AH213" i="23"/>
  <c r="AI213" i="23"/>
  <c r="AJ213" i="23"/>
  <c r="AK213" i="23"/>
  <c r="AL213" i="23"/>
  <c r="AM213" i="23"/>
  <c r="AN213" i="23"/>
  <c r="AO213" i="23"/>
  <c r="AP213" i="23"/>
  <c r="AQ213" i="23"/>
  <c r="AR213" i="23"/>
  <c r="AF214" i="23"/>
  <c r="AG214" i="23"/>
  <c r="AH214" i="23"/>
  <c r="AI214" i="23"/>
  <c r="AJ214" i="23"/>
  <c r="AK214" i="23"/>
  <c r="AL214" i="23"/>
  <c r="AM214" i="23"/>
  <c r="AN214" i="23"/>
  <c r="AO214" i="23"/>
  <c r="AP214" i="23"/>
  <c r="AQ214" i="23"/>
  <c r="AR214" i="23"/>
  <c r="AF215" i="23"/>
  <c r="AG215" i="23"/>
  <c r="AH215" i="23"/>
  <c r="AI215" i="23"/>
  <c r="AJ215" i="23"/>
  <c r="AK215" i="23"/>
  <c r="AL215" i="23"/>
  <c r="AM215" i="23"/>
  <c r="AN215" i="23"/>
  <c r="AO215" i="23"/>
  <c r="AP215" i="23"/>
  <c r="AQ215" i="23"/>
  <c r="AR215" i="23"/>
  <c r="AF216" i="23"/>
  <c r="AG216" i="23"/>
  <c r="AH216" i="23"/>
  <c r="AI216" i="23"/>
  <c r="AJ216" i="23"/>
  <c r="AK216" i="23"/>
  <c r="AL216" i="23"/>
  <c r="AM216" i="23"/>
  <c r="AN216" i="23"/>
  <c r="AO216" i="23"/>
  <c r="AP216" i="23"/>
  <c r="AQ216" i="23"/>
  <c r="AR216" i="23"/>
  <c r="AF217" i="23"/>
  <c r="AG217" i="23"/>
  <c r="AH217" i="23"/>
  <c r="AI217" i="23"/>
  <c r="AJ217" i="23"/>
  <c r="AK217" i="23"/>
  <c r="AL217" i="23"/>
  <c r="AM217" i="23"/>
  <c r="AN217" i="23"/>
  <c r="AO217" i="23"/>
  <c r="AP217" i="23"/>
  <c r="AQ217" i="23"/>
  <c r="AR217" i="23"/>
  <c r="AF218" i="23"/>
  <c r="AG218" i="23"/>
  <c r="AH218" i="23"/>
  <c r="AI218" i="23"/>
  <c r="AJ218" i="23"/>
  <c r="AK218" i="23"/>
  <c r="AL218" i="23"/>
  <c r="AM218" i="23"/>
  <c r="AN218" i="23"/>
  <c r="AO218" i="23"/>
  <c r="AP218" i="23"/>
  <c r="AQ218" i="23"/>
  <c r="AR218" i="23"/>
  <c r="AF219" i="23"/>
  <c r="AG219" i="23"/>
  <c r="AH219" i="23"/>
  <c r="AI219" i="23"/>
  <c r="AJ219" i="23"/>
  <c r="AK219" i="23"/>
  <c r="AL219" i="23"/>
  <c r="AM219" i="23"/>
  <c r="AN219" i="23"/>
  <c r="AO219" i="23"/>
  <c r="AP219" i="23"/>
  <c r="AQ219" i="23"/>
  <c r="AR219" i="23"/>
  <c r="AF220" i="23"/>
  <c r="AG220" i="23"/>
  <c r="AH220" i="23"/>
  <c r="AI220" i="23"/>
  <c r="AJ220" i="23"/>
  <c r="AK220" i="23"/>
  <c r="AL220" i="23"/>
  <c r="AM220" i="23"/>
  <c r="AN220" i="23"/>
  <c r="AO220" i="23"/>
  <c r="AP220" i="23"/>
  <c r="AQ220" i="23"/>
  <c r="AR220" i="23"/>
  <c r="AF221" i="23"/>
  <c r="AG221" i="23"/>
  <c r="AH221" i="23"/>
  <c r="AI221" i="23"/>
  <c r="AJ221" i="23"/>
  <c r="AK221" i="23"/>
  <c r="AL221" i="23"/>
  <c r="AM221" i="23"/>
  <c r="AN221" i="23"/>
  <c r="AO221" i="23"/>
  <c r="AP221" i="23"/>
  <c r="AQ221" i="23"/>
  <c r="AR221" i="23"/>
  <c r="AF222" i="23"/>
  <c r="AG222" i="23"/>
  <c r="AH222" i="23"/>
  <c r="AI222" i="23"/>
  <c r="AJ222" i="23"/>
  <c r="AK222" i="23"/>
  <c r="AL222" i="23"/>
  <c r="AM222" i="23"/>
  <c r="AN222" i="23"/>
  <c r="AO222" i="23"/>
  <c r="AP222" i="23"/>
  <c r="AQ222" i="23"/>
  <c r="AR222" i="23"/>
  <c r="AF223" i="23"/>
  <c r="AG223" i="23"/>
  <c r="AH223" i="23"/>
  <c r="AI223" i="23"/>
  <c r="AJ223" i="23"/>
  <c r="AK223" i="23"/>
  <c r="AL223" i="23"/>
  <c r="AM223" i="23"/>
  <c r="AN223" i="23"/>
  <c r="AO223" i="23"/>
  <c r="AP223" i="23"/>
  <c r="AQ223" i="23"/>
  <c r="AR223" i="23"/>
  <c r="AF224" i="23"/>
  <c r="AG224" i="23"/>
  <c r="AH224" i="23"/>
  <c r="AI224" i="23"/>
  <c r="AJ224" i="23"/>
  <c r="AK224" i="23"/>
  <c r="AL224" i="23"/>
  <c r="AM224" i="23"/>
  <c r="AN224" i="23"/>
  <c r="AO224" i="23"/>
  <c r="AP224" i="23"/>
  <c r="AQ224" i="23"/>
  <c r="AR224" i="23"/>
  <c r="AF225" i="23"/>
  <c r="AG225" i="23"/>
  <c r="AH225" i="23"/>
  <c r="AI225" i="23"/>
  <c r="AJ225" i="23"/>
  <c r="AK225" i="23"/>
  <c r="AL225" i="23"/>
  <c r="AM225" i="23"/>
  <c r="AN225" i="23"/>
  <c r="AO225" i="23"/>
  <c r="AP225" i="23"/>
  <c r="AQ225" i="23"/>
  <c r="AR225" i="23"/>
  <c r="AF226" i="23"/>
  <c r="AG226" i="23"/>
  <c r="AH226" i="23"/>
  <c r="AI226" i="23"/>
  <c r="AJ226" i="23"/>
  <c r="AK226" i="23"/>
  <c r="AL226" i="23"/>
  <c r="AM226" i="23"/>
  <c r="AN226" i="23"/>
  <c r="AO226" i="23"/>
  <c r="AP226" i="23"/>
  <c r="AQ226" i="23"/>
  <c r="AR226" i="23"/>
  <c r="AF227" i="23"/>
  <c r="AG227" i="23"/>
  <c r="AH227" i="23"/>
  <c r="AI227" i="23"/>
  <c r="AJ227" i="23"/>
  <c r="AK227" i="23"/>
  <c r="AL227" i="23"/>
  <c r="AM227" i="23"/>
  <c r="AN227" i="23"/>
  <c r="AO227" i="23"/>
  <c r="AP227" i="23"/>
  <c r="AQ227" i="23"/>
  <c r="AR227" i="23"/>
  <c r="AF228" i="23"/>
  <c r="AG228" i="23"/>
  <c r="AH228" i="23"/>
  <c r="AI228" i="23"/>
  <c r="AJ228" i="23"/>
  <c r="AK228" i="23"/>
  <c r="AL228" i="23"/>
  <c r="AM228" i="23"/>
  <c r="AN228" i="23"/>
  <c r="AO228" i="23"/>
  <c r="AP228" i="23"/>
  <c r="AQ228" i="23"/>
  <c r="AR228" i="23"/>
  <c r="AF229" i="23"/>
  <c r="AG229" i="23"/>
  <c r="AH229" i="23"/>
  <c r="AI229" i="23"/>
  <c r="AJ229" i="23"/>
  <c r="AK229" i="23"/>
  <c r="AL229" i="23"/>
  <c r="AM229" i="23"/>
  <c r="AN229" i="23"/>
  <c r="AO229" i="23"/>
  <c r="AP229" i="23"/>
  <c r="AQ229" i="23"/>
  <c r="AR229" i="23"/>
  <c r="AF230" i="23"/>
  <c r="AG230" i="23"/>
  <c r="AH230" i="23"/>
  <c r="AI230" i="23"/>
  <c r="AJ230" i="23"/>
  <c r="AK230" i="23"/>
  <c r="AL230" i="23"/>
  <c r="AM230" i="23"/>
  <c r="AN230" i="23"/>
  <c r="AO230" i="23"/>
  <c r="AP230" i="23"/>
  <c r="AQ230" i="23"/>
  <c r="AR230" i="23"/>
  <c r="AF231" i="23"/>
  <c r="AG231" i="23"/>
  <c r="AH231" i="23"/>
  <c r="AI231" i="23"/>
  <c r="AJ231" i="23"/>
  <c r="AK231" i="23"/>
  <c r="AL231" i="23"/>
  <c r="AM231" i="23"/>
  <c r="AN231" i="23"/>
  <c r="AO231" i="23"/>
  <c r="AP231" i="23"/>
  <c r="AQ231" i="23"/>
  <c r="AR231" i="23"/>
  <c r="AF232" i="23"/>
  <c r="AG232" i="23"/>
  <c r="AH232" i="23"/>
  <c r="AI232" i="23"/>
  <c r="AJ232" i="23"/>
  <c r="AK232" i="23"/>
  <c r="AL232" i="23"/>
  <c r="AM232" i="23"/>
  <c r="AN232" i="23"/>
  <c r="AO232" i="23"/>
  <c r="AP232" i="23"/>
  <c r="AQ232" i="23"/>
  <c r="AR232" i="23"/>
  <c r="AF233" i="23"/>
  <c r="AG233" i="23"/>
  <c r="AH233" i="23"/>
  <c r="AI233" i="23"/>
  <c r="AJ233" i="23"/>
  <c r="AK233" i="23"/>
  <c r="AL233" i="23"/>
  <c r="AM233" i="23"/>
  <c r="AN233" i="23"/>
  <c r="AO233" i="23"/>
  <c r="AP233" i="23"/>
  <c r="AQ233" i="23"/>
  <c r="AR233" i="23"/>
  <c r="AF234" i="23"/>
  <c r="AG234" i="23"/>
  <c r="AH234" i="23"/>
  <c r="AI234" i="23"/>
  <c r="AJ234" i="23"/>
  <c r="AK234" i="23"/>
  <c r="AL234" i="23"/>
  <c r="AM234" i="23"/>
  <c r="AN234" i="23"/>
  <c r="AO234" i="23"/>
  <c r="AP234" i="23"/>
  <c r="AQ234" i="23"/>
  <c r="AR234" i="23"/>
  <c r="AF235" i="23"/>
  <c r="AG235" i="23"/>
  <c r="AH235" i="23"/>
  <c r="AI235" i="23"/>
  <c r="AJ235" i="23"/>
  <c r="AK235" i="23"/>
  <c r="AL235" i="23"/>
  <c r="AM235" i="23"/>
  <c r="AN235" i="23"/>
  <c r="AO235" i="23"/>
  <c r="AP235" i="23"/>
  <c r="AQ235" i="23"/>
  <c r="AR235" i="23"/>
  <c r="AF236" i="23"/>
  <c r="AG236" i="23"/>
  <c r="AH236" i="23"/>
  <c r="AI236" i="23"/>
  <c r="AJ236" i="23"/>
  <c r="AK236" i="23"/>
  <c r="AL236" i="23"/>
  <c r="AM236" i="23"/>
  <c r="AN236" i="23"/>
  <c r="AO236" i="23"/>
  <c r="AP236" i="23"/>
  <c r="AQ236" i="23"/>
  <c r="AR236" i="23"/>
  <c r="AF237" i="23"/>
  <c r="AG237" i="23"/>
  <c r="AH237" i="23"/>
  <c r="AI237" i="23"/>
  <c r="AJ237" i="23"/>
  <c r="AK237" i="23"/>
  <c r="AL237" i="23"/>
  <c r="AM237" i="23"/>
  <c r="AN237" i="23"/>
  <c r="AO237" i="23"/>
  <c r="AP237" i="23"/>
  <c r="AQ237" i="23"/>
  <c r="AR237" i="23"/>
  <c r="AF238" i="23"/>
  <c r="AG238" i="23"/>
  <c r="AH238" i="23"/>
  <c r="AI238" i="23"/>
  <c r="AJ238" i="23"/>
  <c r="AK238" i="23"/>
  <c r="AL238" i="23"/>
  <c r="AM238" i="23"/>
  <c r="AN238" i="23"/>
  <c r="AO238" i="23"/>
  <c r="AP238" i="23"/>
  <c r="AQ238" i="23"/>
  <c r="AR238" i="23"/>
  <c r="AF239" i="23"/>
  <c r="AG239" i="23"/>
  <c r="AH239" i="23"/>
  <c r="AI239" i="23"/>
  <c r="AJ239" i="23"/>
  <c r="AK239" i="23"/>
  <c r="AL239" i="23"/>
  <c r="AM239" i="23"/>
  <c r="AN239" i="23"/>
  <c r="AO239" i="23"/>
  <c r="AP239" i="23"/>
  <c r="AQ239" i="23"/>
  <c r="AR239" i="23"/>
  <c r="AF240" i="23"/>
  <c r="AG240" i="23"/>
  <c r="AH240" i="23"/>
  <c r="AI240" i="23"/>
  <c r="AJ240" i="23"/>
  <c r="AK240" i="23"/>
  <c r="AL240" i="23"/>
  <c r="AM240" i="23"/>
  <c r="AN240" i="23"/>
  <c r="AO240" i="23"/>
  <c r="AP240" i="23"/>
  <c r="AQ240" i="23"/>
  <c r="AR240" i="23"/>
  <c r="AF241" i="23"/>
  <c r="AG241" i="23"/>
  <c r="AH241" i="23"/>
  <c r="AI241" i="23"/>
  <c r="AJ241" i="23"/>
  <c r="AK241" i="23"/>
  <c r="AL241" i="23"/>
  <c r="AM241" i="23"/>
  <c r="AN241" i="23"/>
  <c r="AO241" i="23"/>
  <c r="AP241" i="23"/>
  <c r="AQ241" i="23"/>
  <c r="AR241" i="23"/>
  <c r="AF242" i="23"/>
  <c r="AG242" i="23"/>
  <c r="AH242" i="23"/>
  <c r="AI242" i="23"/>
  <c r="AJ242" i="23"/>
  <c r="AK242" i="23"/>
  <c r="AL242" i="23"/>
  <c r="AM242" i="23"/>
  <c r="AN242" i="23"/>
  <c r="AO242" i="23"/>
  <c r="AP242" i="23"/>
  <c r="AQ242" i="23"/>
  <c r="AR242" i="23"/>
  <c r="AF243" i="23"/>
  <c r="AG243" i="23"/>
  <c r="AH243" i="23"/>
  <c r="AI243" i="23"/>
  <c r="AJ243" i="23"/>
  <c r="AK243" i="23"/>
  <c r="AL243" i="23"/>
  <c r="AM243" i="23"/>
  <c r="AN243" i="23"/>
  <c r="AO243" i="23"/>
  <c r="AP243" i="23"/>
  <c r="AQ243" i="23"/>
  <c r="AR243" i="23"/>
  <c r="AF244" i="23"/>
  <c r="AG244" i="23"/>
  <c r="AH244" i="23"/>
  <c r="AI244" i="23"/>
  <c r="AJ244" i="23"/>
  <c r="AK244" i="23"/>
  <c r="AL244" i="23"/>
  <c r="AM244" i="23"/>
  <c r="AN244" i="23"/>
  <c r="AO244" i="23"/>
  <c r="AP244" i="23"/>
  <c r="AQ244" i="23"/>
  <c r="AR244" i="23"/>
  <c r="AF245" i="23"/>
  <c r="AG245" i="23"/>
  <c r="AH245" i="23"/>
  <c r="AI245" i="23"/>
  <c r="AJ245" i="23"/>
  <c r="AK245" i="23"/>
  <c r="AL245" i="23"/>
  <c r="AM245" i="23"/>
  <c r="AN245" i="23"/>
  <c r="AO245" i="23"/>
  <c r="AP245" i="23"/>
  <c r="AQ245" i="23"/>
  <c r="AR245" i="23"/>
  <c r="AF246" i="23"/>
  <c r="AG246" i="23"/>
  <c r="AH246" i="23"/>
  <c r="AI246" i="23"/>
  <c r="AJ246" i="23"/>
  <c r="AK246" i="23"/>
  <c r="AL246" i="23"/>
  <c r="AM246" i="23"/>
  <c r="AN246" i="23"/>
  <c r="AO246" i="23"/>
  <c r="AP246" i="23"/>
  <c r="AQ246" i="23"/>
  <c r="AR246" i="23"/>
  <c r="AF247" i="23"/>
  <c r="AG247" i="23"/>
  <c r="AH247" i="23"/>
  <c r="AI247" i="23"/>
  <c r="AJ247" i="23"/>
  <c r="AK247" i="23"/>
  <c r="AL247" i="23"/>
  <c r="AM247" i="23"/>
  <c r="AN247" i="23"/>
  <c r="AO247" i="23"/>
  <c r="AP247" i="23"/>
  <c r="AQ247" i="23"/>
  <c r="AR247" i="23"/>
  <c r="AF248" i="23"/>
  <c r="AG248" i="23"/>
  <c r="AH248" i="23"/>
  <c r="AI248" i="23"/>
  <c r="AJ248" i="23"/>
  <c r="AK248" i="23"/>
  <c r="AL248" i="23"/>
  <c r="AM248" i="23"/>
  <c r="AN248" i="23"/>
  <c r="AO248" i="23"/>
  <c r="AP248" i="23"/>
  <c r="AQ248" i="23"/>
  <c r="AR248" i="23"/>
  <c r="AF249" i="23"/>
  <c r="AG249" i="23"/>
  <c r="AH249" i="23"/>
  <c r="AI249" i="23"/>
  <c r="AJ249" i="23"/>
  <c r="AK249" i="23"/>
  <c r="AL249" i="23"/>
  <c r="AM249" i="23"/>
  <c r="AN249" i="23"/>
  <c r="AO249" i="23"/>
  <c r="AP249" i="23"/>
  <c r="AQ249" i="23"/>
  <c r="AR249" i="23"/>
  <c r="AF250" i="23"/>
  <c r="AG250" i="23"/>
  <c r="AH250" i="23"/>
  <c r="AI250" i="23"/>
  <c r="AJ250" i="23"/>
  <c r="AK250" i="23"/>
  <c r="AL250" i="23"/>
  <c r="AM250" i="23"/>
  <c r="AN250" i="23"/>
  <c r="AO250" i="23"/>
  <c r="AP250" i="23"/>
  <c r="AQ250" i="23"/>
  <c r="AR250" i="23"/>
  <c r="AF251" i="23"/>
  <c r="AG251" i="23"/>
  <c r="AH251" i="23"/>
  <c r="AI251" i="23"/>
  <c r="AJ251" i="23"/>
  <c r="AK251" i="23"/>
  <c r="AL251" i="23"/>
  <c r="AM251" i="23"/>
  <c r="AN251" i="23"/>
  <c r="AO251" i="23"/>
  <c r="AP251" i="23"/>
  <c r="AQ251" i="23"/>
  <c r="AR251" i="23"/>
  <c r="AF252" i="23"/>
  <c r="AG252" i="23"/>
  <c r="AH252" i="23"/>
  <c r="AI252" i="23"/>
  <c r="AJ252" i="23"/>
  <c r="AK252" i="23"/>
  <c r="AL252" i="23"/>
  <c r="AM252" i="23"/>
  <c r="AN252" i="23"/>
  <c r="AO252" i="23"/>
  <c r="AP252" i="23"/>
  <c r="AQ252" i="23"/>
  <c r="AR252" i="23"/>
  <c r="AF253" i="23"/>
  <c r="AG253" i="23"/>
  <c r="AH253" i="23"/>
  <c r="AI253" i="23"/>
  <c r="AJ253" i="23"/>
  <c r="AK253" i="23"/>
  <c r="AL253" i="23"/>
  <c r="AM253" i="23"/>
  <c r="AN253" i="23"/>
  <c r="AO253" i="23"/>
  <c r="AP253" i="23"/>
  <c r="AQ253" i="23"/>
  <c r="AR253" i="23"/>
  <c r="AF254" i="23"/>
  <c r="AG254" i="23"/>
  <c r="AH254" i="23"/>
  <c r="AI254" i="23"/>
  <c r="AJ254" i="23"/>
  <c r="AK254" i="23"/>
  <c r="AL254" i="23"/>
  <c r="AM254" i="23"/>
  <c r="AN254" i="23"/>
  <c r="AO254" i="23"/>
  <c r="AP254" i="23"/>
  <c r="AQ254" i="23"/>
  <c r="AR254" i="23"/>
  <c r="AF255" i="23"/>
  <c r="AG255" i="23"/>
  <c r="AH255" i="23"/>
  <c r="AI255" i="23"/>
  <c r="AJ255" i="23"/>
  <c r="AK255" i="23"/>
  <c r="AL255" i="23"/>
  <c r="AM255" i="23"/>
  <c r="AN255" i="23"/>
  <c r="AO255" i="23"/>
  <c r="AP255" i="23"/>
  <c r="AQ255" i="23"/>
  <c r="AR255" i="23"/>
  <c r="AF256" i="23"/>
  <c r="AG256" i="23"/>
  <c r="AH256" i="23"/>
  <c r="AI256" i="23"/>
  <c r="AJ256" i="23"/>
  <c r="AK256" i="23"/>
  <c r="AL256" i="23"/>
  <c r="AM256" i="23"/>
  <c r="AN256" i="23"/>
  <c r="AO256" i="23"/>
  <c r="AP256" i="23"/>
  <c r="AQ256" i="23"/>
  <c r="AR256" i="23"/>
  <c r="AF257" i="23"/>
  <c r="AG257" i="23"/>
  <c r="AH257" i="23"/>
  <c r="AI257" i="23"/>
  <c r="AJ257" i="23"/>
  <c r="AK257" i="23"/>
  <c r="AL257" i="23"/>
  <c r="AM257" i="23"/>
  <c r="AN257" i="23"/>
  <c r="AO257" i="23"/>
  <c r="AP257" i="23"/>
  <c r="AQ257" i="23"/>
  <c r="AR257" i="23"/>
  <c r="AF258" i="23"/>
  <c r="AG258" i="23"/>
  <c r="AH258" i="23"/>
  <c r="AI258" i="23"/>
  <c r="AJ258" i="23"/>
  <c r="AK258" i="23"/>
  <c r="AL258" i="23"/>
  <c r="AM258" i="23"/>
  <c r="AN258" i="23"/>
  <c r="AO258" i="23"/>
  <c r="AP258" i="23"/>
  <c r="AQ258" i="23"/>
  <c r="AR258" i="23"/>
  <c r="AF259" i="23"/>
  <c r="AG259" i="23"/>
  <c r="AH259" i="23"/>
  <c r="AI259" i="23"/>
  <c r="AJ259" i="23"/>
  <c r="AK259" i="23"/>
  <c r="AL259" i="23"/>
  <c r="AM259" i="23"/>
  <c r="AN259" i="23"/>
  <c r="AO259" i="23"/>
  <c r="AP259" i="23"/>
  <c r="AQ259" i="23"/>
  <c r="AR259" i="23"/>
  <c r="AF260" i="23"/>
  <c r="AG260" i="23"/>
  <c r="AH260" i="23"/>
  <c r="AI260" i="23"/>
  <c r="AJ260" i="23"/>
  <c r="AK260" i="23"/>
  <c r="AL260" i="23"/>
  <c r="AM260" i="23"/>
  <c r="AN260" i="23"/>
  <c r="AO260" i="23"/>
  <c r="AP260" i="23"/>
  <c r="AQ260" i="23"/>
  <c r="AR260" i="23"/>
  <c r="AF261" i="23"/>
  <c r="AG261" i="23"/>
  <c r="AH261" i="23"/>
  <c r="AI261" i="23"/>
  <c r="AJ261" i="23"/>
  <c r="AK261" i="23"/>
  <c r="AL261" i="23"/>
  <c r="AM261" i="23"/>
  <c r="AN261" i="23"/>
  <c r="AO261" i="23"/>
  <c r="AP261" i="23"/>
  <c r="AQ261" i="23"/>
  <c r="AR261" i="23"/>
  <c r="AF262" i="23"/>
  <c r="AG262" i="23"/>
  <c r="AH262" i="23"/>
  <c r="AI262" i="23"/>
  <c r="AJ262" i="23"/>
  <c r="AK262" i="23"/>
  <c r="AL262" i="23"/>
  <c r="AM262" i="23"/>
  <c r="AN262" i="23"/>
  <c r="AO262" i="23"/>
  <c r="AP262" i="23"/>
  <c r="AQ262" i="23"/>
  <c r="AR262" i="23"/>
  <c r="AF263" i="23"/>
  <c r="AG263" i="23"/>
  <c r="AH263" i="23"/>
  <c r="AI263" i="23"/>
  <c r="AJ263" i="23"/>
  <c r="AK263" i="23"/>
  <c r="AL263" i="23"/>
  <c r="AM263" i="23"/>
  <c r="AN263" i="23"/>
  <c r="AO263" i="23"/>
  <c r="AP263" i="23"/>
  <c r="AQ263" i="23"/>
  <c r="AR263" i="23"/>
  <c r="AF264" i="23"/>
  <c r="AG264" i="23"/>
  <c r="AH264" i="23"/>
  <c r="AI264" i="23"/>
  <c r="AJ264" i="23"/>
  <c r="AK264" i="23"/>
  <c r="AL264" i="23"/>
  <c r="AM264" i="23"/>
  <c r="AN264" i="23"/>
  <c r="AO264" i="23"/>
  <c r="AP264" i="23"/>
  <c r="AQ264" i="23"/>
  <c r="AR264" i="23"/>
  <c r="AF265" i="23"/>
  <c r="AG265" i="23"/>
  <c r="AH265" i="23"/>
  <c r="AI265" i="23"/>
  <c r="AJ265" i="23"/>
  <c r="AK265" i="23"/>
  <c r="AL265" i="23"/>
  <c r="AM265" i="23"/>
  <c r="AN265" i="23"/>
  <c r="AO265" i="23"/>
  <c r="AP265" i="23"/>
  <c r="AQ265" i="23"/>
  <c r="AR265" i="23"/>
  <c r="AF266" i="23"/>
  <c r="AG266" i="23"/>
  <c r="AH266" i="23"/>
  <c r="AI266" i="23"/>
  <c r="AJ266" i="23"/>
  <c r="AK266" i="23"/>
  <c r="AL266" i="23"/>
  <c r="AM266" i="23"/>
  <c r="AN266" i="23"/>
  <c r="AO266" i="23"/>
  <c r="AP266" i="23"/>
  <c r="AQ266" i="23"/>
  <c r="AR266" i="23"/>
  <c r="AF267" i="23"/>
  <c r="AG267" i="23"/>
  <c r="AH267" i="23"/>
  <c r="AI267" i="23"/>
  <c r="AJ267" i="23"/>
  <c r="AK267" i="23"/>
  <c r="AL267" i="23"/>
  <c r="AM267" i="23"/>
  <c r="AN267" i="23"/>
  <c r="AO267" i="23"/>
  <c r="AP267" i="23"/>
  <c r="AQ267" i="23"/>
  <c r="AR267" i="23"/>
  <c r="AF268" i="23"/>
  <c r="AG268" i="23"/>
  <c r="AH268" i="23"/>
  <c r="AI268" i="23"/>
  <c r="AJ268" i="23"/>
  <c r="AK268" i="23"/>
  <c r="AL268" i="23"/>
  <c r="AM268" i="23"/>
  <c r="AN268" i="23"/>
  <c r="AO268" i="23"/>
  <c r="AP268" i="23"/>
  <c r="AQ268" i="23"/>
  <c r="AR268" i="23"/>
  <c r="AF269" i="23"/>
  <c r="AG269" i="23"/>
  <c r="AH269" i="23"/>
  <c r="AI269" i="23"/>
  <c r="AJ269" i="23"/>
  <c r="AK269" i="23"/>
  <c r="AL269" i="23"/>
  <c r="AM269" i="23"/>
  <c r="AN269" i="23"/>
  <c r="AO269" i="23"/>
  <c r="AP269" i="23"/>
  <c r="AQ269" i="23"/>
  <c r="AR269" i="23"/>
  <c r="AF270" i="23"/>
  <c r="AG270" i="23"/>
  <c r="AH270" i="23"/>
  <c r="AI270" i="23"/>
  <c r="AJ270" i="23"/>
  <c r="AK270" i="23"/>
  <c r="AL270" i="23"/>
  <c r="AM270" i="23"/>
  <c r="AN270" i="23"/>
  <c r="AO270" i="23"/>
  <c r="AP270" i="23"/>
  <c r="AQ270" i="23"/>
  <c r="AR270" i="23"/>
  <c r="AF271" i="23"/>
  <c r="AG271" i="23"/>
  <c r="AH271" i="23"/>
  <c r="AI271" i="23"/>
  <c r="AJ271" i="23"/>
  <c r="AK271" i="23"/>
  <c r="AL271" i="23"/>
  <c r="AM271" i="23"/>
  <c r="AN271" i="23"/>
  <c r="AO271" i="23"/>
  <c r="AP271" i="23"/>
  <c r="AQ271" i="23"/>
  <c r="AR271" i="23"/>
  <c r="AF272" i="23"/>
  <c r="AG272" i="23"/>
  <c r="AH272" i="23"/>
  <c r="AI272" i="23"/>
  <c r="AJ272" i="23"/>
  <c r="AK272" i="23"/>
  <c r="AL272" i="23"/>
  <c r="AM272" i="23"/>
  <c r="AN272" i="23"/>
  <c r="AO272" i="23"/>
  <c r="AP272" i="23"/>
  <c r="AQ272" i="23"/>
  <c r="AR272" i="23"/>
  <c r="AF273" i="23"/>
  <c r="AG273" i="23"/>
  <c r="AH273" i="23"/>
  <c r="AI273" i="23"/>
  <c r="AJ273" i="23"/>
  <c r="AK273" i="23"/>
  <c r="AL273" i="23"/>
  <c r="AM273" i="23"/>
  <c r="AN273" i="23"/>
  <c r="AO273" i="23"/>
  <c r="AP273" i="23"/>
  <c r="AQ273" i="23"/>
  <c r="AR273" i="23"/>
  <c r="AF274" i="23"/>
  <c r="AG274" i="23"/>
  <c r="AH274" i="23"/>
  <c r="AI274" i="23"/>
  <c r="AJ274" i="23"/>
  <c r="AK274" i="23"/>
  <c r="AL274" i="23"/>
  <c r="AM274" i="23"/>
  <c r="AN274" i="23"/>
  <c r="AO274" i="23"/>
  <c r="AP274" i="23"/>
  <c r="AQ274" i="23"/>
  <c r="AR274" i="23"/>
  <c r="AF275" i="23"/>
  <c r="AG275" i="23"/>
  <c r="AH275" i="23"/>
  <c r="AI275" i="23"/>
  <c r="AJ275" i="23"/>
  <c r="AK275" i="23"/>
  <c r="AL275" i="23"/>
  <c r="AM275" i="23"/>
  <c r="AN275" i="23"/>
  <c r="AO275" i="23"/>
  <c r="AP275" i="23"/>
  <c r="AQ275" i="23"/>
  <c r="AR275" i="23"/>
  <c r="AF276" i="23"/>
  <c r="AG276" i="23"/>
  <c r="AH276" i="23"/>
  <c r="AI276" i="23"/>
  <c r="AJ276" i="23"/>
  <c r="AK276" i="23"/>
  <c r="AL276" i="23"/>
  <c r="AM276" i="23"/>
  <c r="AN276" i="23"/>
  <c r="AO276" i="23"/>
  <c r="AP276" i="23"/>
  <c r="AQ276" i="23"/>
  <c r="AR276" i="23"/>
  <c r="AF277" i="23"/>
  <c r="AG277" i="23"/>
  <c r="AH277" i="23"/>
  <c r="AI277" i="23"/>
  <c r="AJ277" i="23"/>
  <c r="AK277" i="23"/>
  <c r="AL277" i="23"/>
  <c r="AM277" i="23"/>
  <c r="AN277" i="23"/>
  <c r="AO277" i="23"/>
  <c r="AP277" i="23"/>
  <c r="AQ277" i="23"/>
  <c r="AR277" i="23"/>
  <c r="AF278" i="23"/>
  <c r="AG278" i="23"/>
  <c r="AH278" i="23"/>
  <c r="AI278" i="23"/>
  <c r="AJ278" i="23"/>
  <c r="AK278" i="23"/>
  <c r="AL278" i="23"/>
  <c r="AM278" i="23"/>
  <c r="AN278" i="23"/>
  <c r="AO278" i="23"/>
  <c r="AP278" i="23"/>
  <c r="AQ278" i="23"/>
  <c r="AR278" i="23"/>
  <c r="AF279" i="23"/>
  <c r="AG279" i="23"/>
  <c r="AH279" i="23"/>
  <c r="AI279" i="23"/>
  <c r="AJ279" i="23"/>
  <c r="AK279" i="23"/>
  <c r="AL279" i="23"/>
  <c r="AM279" i="23"/>
  <c r="AN279" i="23"/>
  <c r="AO279" i="23"/>
  <c r="AP279" i="23"/>
  <c r="AQ279" i="23"/>
  <c r="AR279" i="23"/>
  <c r="AF280" i="23"/>
  <c r="AG280" i="23"/>
  <c r="AH280" i="23"/>
  <c r="AI280" i="23"/>
  <c r="AJ280" i="23"/>
  <c r="AK280" i="23"/>
  <c r="AL280" i="23"/>
  <c r="AM280" i="23"/>
  <c r="AN280" i="23"/>
  <c r="AO280" i="23"/>
  <c r="AP280" i="23"/>
  <c r="AQ280" i="23"/>
  <c r="AR280" i="23"/>
  <c r="AF281" i="23"/>
  <c r="AG281" i="23"/>
  <c r="AH281" i="23"/>
  <c r="AI281" i="23"/>
  <c r="AJ281" i="23"/>
  <c r="AK281" i="23"/>
  <c r="AL281" i="23"/>
  <c r="AM281" i="23"/>
  <c r="AN281" i="23"/>
  <c r="AO281" i="23"/>
  <c r="AP281" i="23"/>
  <c r="AQ281" i="23"/>
  <c r="AR281" i="23"/>
  <c r="AF282" i="23"/>
  <c r="AG282" i="23"/>
  <c r="AH282" i="23"/>
  <c r="AI282" i="23"/>
  <c r="AJ282" i="23"/>
  <c r="AK282" i="23"/>
  <c r="AL282" i="23"/>
  <c r="AM282" i="23"/>
  <c r="AN282" i="23"/>
  <c r="AO282" i="23"/>
  <c r="AP282" i="23"/>
  <c r="AQ282" i="23"/>
  <c r="AR282" i="23"/>
  <c r="AF283" i="23"/>
  <c r="AG283" i="23"/>
  <c r="AH283" i="23"/>
  <c r="AI283" i="23"/>
  <c r="AJ283" i="23"/>
  <c r="AK283" i="23"/>
  <c r="AL283" i="23"/>
  <c r="AM283" i="23"/>
  <c r="AN283" i="23"/>
  <c r="AO283" i="23"/>
  <c r="AP283" i="23"/>
  <c r="AQ283" i="23"/>
  <c r="AR283" i="23"/>
  <c r="AF284" i="23"/>
  <c r="AG284" i="23"/>
  <c r="AH284" i="23"/>
  <c r="AI284" i="23"/>
  <c r="AJ284" i="23"/>
  <c r="AK284" i="23"/>
  <c r="AL284" i="23"/>
  <c r="AM284" i="23"/>
  <c r="AN284" i="23"/>
  <c r="AO284" i="23"/>
  <c r="AP284" i="23"/>
  <c r="AQ284" i="23"/>
  <c r="AR284" i="23"/>
  <c r="AF285" i="23"/>
  <c r="AG285" i="23"/>
  <c r="AH285" i="23"/>
  <c r="AI285" i="23"/>
  <c r="AJ285" i="23"/>
  <c r="AK285" i="23"/>
  <c r="AL285" i="23"/>
  <c r="AM285" i="23"/>
  <c r="AN285" i="23"/>
  <c r="AO285" i="23"/>
  <c r="AP285" i="23"/>
  <c r="AQ285" i="23"/>
  <c r="AR285" i="23"/>
  <c r="AF286" i="23"/>
  <c r="AG286" i="23"/>
  <c r="AH286" i="23"/>
  <c r="AI286" i="23"/>
  <c r="AJ286" i="23"/>
  <c r="AK286" i="23"/>
  <c r="AL286" i="23"/>
  <c r="AM286" i="23"/>
  <c r="AN286" i="23"/>
  <c r="AO286" i="23"/>
  <c r="AP286" i="23"/>
  <c r="AQ286" i="23"/>
  <c r="AR286" i="23"/>
  <c r="AF287" i="23"/>
  <c r="AG287" i="23"/>
  <c r="AH287" i="23"/>
  <c r="AI287" i="23"/>
  <c r="AJ287" i="23"/>
  <c r="AK287" i="23"/>
  <c r="AL287" i="23"/>
  <c r="AM287" i="23"/>
  <c r="AN287" i="23"/>
  <c r="AO287" i="23"/>
  <c r="AP287" i="23"/>
  <c r="AQ287" i="23"/>
  <c r="AR287" i="23"/>
  <c r="AF288" i="23"/>
  <c r="AG288" i="23"/>
  <c r="AH288" i="23"/>
  <c r="AI288" i="23"/>
  <c r="AJ288" i="23"/>
  <c r="AK288" i="23"/>
  <c r="AL288" i="23"/>
  <c r="AM288" i="23"/>
  <c r="AN288" i="23"/>
  <c r="AO288" i="23"/>
  <c r="AP288" i="23"/>
  <c r="AQ288" i="23"/>
  <c r="AR288" i="23"/>
  <c r="AF289" i="23"/>
  <c r="AG289" i="23"/>
  <c r="AH289" i="23"/>
  <c r="AI289" i="23"/>
  <c r="AJ289" i="23"/>
  <c r="AK289" i="23"/>
  <c r="AL289" i="23"/>
  <c r="AM289" i="23"/>
  <c r="AN289" i="23"/>
  <c r="AO289" i="23"/>
  <c r="AP289" i="23"/>
  <c r="AQ289" i="23"/>
  <c r="AR289" i="23"/>
  <c r="AF290" i="23"/>
  <c r="AG290" i="23"/>
  <c r="AH290" i="23"/>
  <c r="AI290" i="23"/>
  <c r="AJ290" i="23"/>
  <c r="AK290" i="23"/>
  <c r="AL290" i="23"/>
  <c r="AM290" i="23"/>
  <c r="AN290" i="23"/>
  <c r="AO290" i="23"/>
  <c r="AP290" i="23"/>
  <c r="AQ290" i="23"/>
  <c r="AR290" i="23"/>
  <c r="AF291" i="23"/>
  <c r="AG291" i="23"/>
  <c r="AH291" i="23"/>
  <c r="AI291" i="23"/>
  <c r="AJ291" i="23"/>
  <c r="AK291" i="23"/>
  <c r="AL291" i="23"/>
  <c r="AM291" i="23"/>
  <c r="AN291" i="23"/>
  <c r="AO291" i="23"/>
  <c r="AP291" i="23"/>
  <c r="AQ291" i="23"/>
  <c r="AR291" i="23"/>
  <c r="AF292" i="23"/>
  <c r="AG292" i="23"/>
  <c r="AH292" i="23"/>
  <c r="AI292" i="23"/>
  <c r="AJ292" i="23"/>
  <c r="AK292" i="23"/>
  <c r="AL292" i="23"/>
  <c r="AM292" i="23"/>
  <c r="AN292" i="23"/>
  <c r="AO292" i="23"/>
  <c r="AP292" i="23"/>
  <c r="AQ292" i="23"/>
  <c r="AR292" i="23"/>
  <c r="AF293" i="23"/>
  <c r="AG293" i="23"/>
  <c r="AH293" i="23"/>
  <c r="AI293" i="23"/>
  <c r="AJ293" i="23"/>
  <c r="AK293" i="23"/>
  <c r="AL293" i="23"/>
  <c r="AM293" i="23"/>
  <c r="AN293" i="23"/>
  <c r="AO293" i="23"/>
  <c r="AP293" i="23"/>
  <c r="AQ293" i="23"/>
  <c r="AR293" i="23"/>
  <c r="AF294" i="23"/>
  <c r="AG294" i="23"/>
  <c r="AH294" i="23"/>
  <c r="AI294" i="23"/>
  <c r="AJ294" i="23"/>
  <c r="AK294" i="23"/>
  <c r="AL294" i="23"/>
  <c r="AM294" i="23"/>
  <c r="AN294" i="23"/>
  <c r="AO294" i="23"/>
  <c r="AP294" i="23"/>
  <c r="AQ294" i="23"/>
  <c r="AR294" i="23"/>
  <c r="AF295" i="23"/>
  <c r="AG295" i="23"/>
  <c r="AH295" i="23"/>
  <c r="AI295" i="23"/>
  <c r="AJ295" i="23"/>
  <c r="AK295" i="23"/>
  <c r="AL295" i="23"/>
  <c r="AM295" i="23"/>
  <c r="AN295" i="23"/>
  <c r="AO295" i="23"/>
  <c r="AP295" i="23"/>
  <c r="AQ295" i="23"/>
  <c r="AR295" i="23"/>
  <c r="AF296" i="23"/>
  <c r="AG296" i="23"/>
  <c r="AH296" i="23"/>
  <c r="AI296" i="23"/>
  <c r="AJ296" i="23"/>
  <c r="AK296" i="23"/>
  <c r="AL296" i="23"/>
  <c r="AM296" i="23"/>
  <c r="AN296" i="23"/>
  <c r="AO296" i="23"/>
  <c r="AP296" i="23"/>
  <c r="AQ296" i="23"/>
  <c r="AR296" i="23"/>
  <c r="AF297" i="23"/>
  <c r="AG297" i="23"/>
  <c r="AH297" i="23"/>
  <c r="AI297" i="23"/>
  <c r="AJ297" i="23"/>
  <c r="AK297" i="23"/>
  <c r="AL297" i="23"/>
  <c r="AM297" i="23"/>
  <c r="AN297" i="23"/>
  <c r="AO297" i="23"/>
  <c r="AP297" i="23"/>
  <c r="AQ297" i="23"/>
  <c r="AR297" i="23"/>
  <c r="AF298" i="23"/>
  <c r="AG298" i="23"/>
  <c r="AH298" i="23"/>
  <c r="AI298" i="23"/>
  <c r="AJ298" i="23"/>
  <c r="AK298" i="23"/>
  <c r="AL298" i="23"/>
  <c r="AM298" i="23"/>
  <c r="AN298" i="23"/>
  <c r="AO298" i="23"/>
  <c r="AP298" i="23"/>
  <c r="AQ298" i="23"/>
  <c r="AR298" i="23"/>
  <c r="AF299" i="23"/>
  <c r="AG299" i="23"/>
  <c r="AH299" i="23"/>
  <c r="AI299" i="23"/>
  <c r="AJ299" i="23"/>
  <c r="AK299" i="23"/>
  <c r="AL299" i="23"/>
  <c r="AM299" i="23"/>
  <c r="AN299" i="23"/>
  <c r="AO299" i="23"/>
  <c r="AP299" i="23"/>
  <c r="AQ299" i="23"/>
  <c r="AR299" i="23"/>
  <c r="AF300" i="23"/>
  <c r="AG300" i="23"/>
  <c r="AH300" i="23"/>
  <c r="AI300" i="23"/>
  <c r="AJ300" i="23"/>
  <c r="AK300" i="23"/>
  <c r="AL300" i="23"/>
  <c r="AM300" i="23"/>
  <c r="AN300" i="23"/>
  <c r="AO300" i="23"/>
  <c r="AP300" i="23"/>
  <c r="AQ300" i="23"/>
  <c r="AR300" i="23"/>
  <c r="AF301" i="23"/>
  <c r="AG301" i="23"/>
  <c r="AH301" i="23"/>
  <c r="AI301" i="23"/>
  <c r="AJ301" i="23"/>
  <c r="AK301" i="23"/>
  <c r="AL301" i="23"/>
  <c r="AM301" i="23"/>
  <c r="AN301" i="23"/>
  <c r="AO301" i="23"/>
  <c r="AP301" i="23"/>
  <c r="AQ301" i="23"/>
  <c r="AR301" i="23"/>
  <c r="AF302" i="23"/>
  <c r="AG302" i="23"/>
  <c r="AH302" i="23"/>
  <c r="AI302" i="23"/>
  <c r="AJ302" i="23"/>
  <c r="AK302" i="23"/>
  <c r="AL302" i="23"/>
  <c r="AM302" i="23"/>
  <c r="AN302" i="23"/>
  <c r="AO302" i="23"/>
  <c r="AP302" i="23"/>
  <c r="AQ302" i="23"/>
  <c r="AR302" i="23"/>
  <c r="AF303" i="23"/>
  <c r="AG303" i="23"/>
  <c r="AH303" i="23"/>
  <c r="AI303" i="23"/>
  <c r="AJ303" i="23"/>
  <c r="AK303" i="23"/>
  <c r="AL303" i="23"/>
  <c r="AM303" i="23"/>
  <c r="AN303" i="23"/>
  <c r="AO303" i="23"/>
  <c r="AP303" i="23"/>
  <c r="AQ303" i="23"/>
  <c r="AR303" i="23"/>
  <c r="AF304" i="23"/>
  <c r="AG304" i="23"/>
  <c r="AH304" i="23"/>
  <c r="AI304" i="23"/>
  <c r="AJ304" i="23"/>
  <c r="AK304" i="23"/>
  <c r="AL304" i="23"/>
  <c r="AM304" i="23"/>
  <c r="AN304" i="23"/>
  <c r="AO304" i="23"/>
  <c r="AP304" i="23"/>
  <c r="AQ304" i="23"/>
  <c r="AR304" i="23"/>
  <c r="AF305" i="23"/>
  <c r="AG305" i="23"/>
  <c r="AH305" i="23"/>
  <c r="AI305" i="23"/>
  <c r="AJ305" i="23"/>
  <c r="AK305" i="23"/>
  <c r="AL305" i="23"/>
  <c r="AM305" i="23"/>
  <c r="AN305" i="23"/>
  <c r="AO305" i="23"/>
  <c r="AP305" i="23"/>
  <c r="AQ305" i="23"/>
  <c r="AR305" i="23"/>
  <c r="AF306" i="23"/>
  <c r="AG306" i="23"/>
  <c r="AH306" i="23"/>
  <c r="AI306" i="23"/>
  <c r="AJ306" i="23"/>
  <c r="AK306" i="23"/>
  <c r="AL306" i="23"/>
  <c r="AM306" i="23"/>
  <c r="AN306" i="23"/>
  <c r="AO306" i="23"/>
  <c r="AP306" i="23"/>
  <c r="AQ306" i="23"/>
  <c r="AR306" i="23"/>
  <c r="AF307" i="23"/>
  <c r="AG307" i="23"/>
  <c r="AH307" i="23"/>
  <c r="AI307" i="23"/>
  <c r="AJ307" i="23"/>
  <c r="AK307" i="23"/>
  <c r="AL307" i="23"/>
  <c r="AM307" i="23"/>
  <c r="AN307" i="23"/>
  <c r="AO307" i="23"/>
  <c r="AP307" i="23"/>
  <c r="AQ307" i="23"/>
  <c r="AR307" i="23"/>
  <c r="AF308" i="23"/>
  <c r="AG308" i="23"/>
  <c r="AH308" i="23"/>
  <c r="AI308" i="23"/>
  <c r="AJ308" i="23"/>
  <c r="AK308" i="23"/>
  <c r="AL308" i="23"/>
  <c r="AM308" i="23"/>
  <c r="AN308" i="23"/>
  <c r="AO308" i="23"/>
  <c r="AP308" i="23"/>
  <c r="AQ308" i="23"/>
  <c r="AR308" i="23"/>
  <c r="AF309" i="23"/>
  <c r="AG309" i="23"/>
  <c r="AH309" i="23"/>
  <c r="AI309" i="23"/>
  <c r="AJ309" i="23"/>
  <c r="AK309" i="23"/>
  <c r="AL309" i="23"/>
  <c r="AM309" i="23"/>
  <c r="AN309" i="23"/>
  <c r="AO309" i="23"/>
  <c r="AP309" i="23"/>
  <c r="AQ309" i="23"/>
  <c r="AR309" i="23"/>
  <c r="AF310" i="23"/>
  <c r="AG310" i="23"/>
  <c r="AH310" i="23"/>
  <c r="AI310" i="23"/>
  <c r="AJ310" i="23"/>
  <c r="AK310" i="23"/>
  <c r="AL310" i="23"/>
  <c r="AM310" i="23"/>
  <c r="AN310" i="23"/>
  <c r="AO310" i="23"/>
  <c r="AP310" i="23"/>
  <c r="AQ310" i="23"/>
  <c r="AR310" i="23"/>
  <c r="AF311" i="23"/>
  <c r="AG311" i="23"/>
  <c r="AH311" i="23"/>
  <c r="AI311" i="23"/>
  <c r="AJ311" i="23"/>
  <c r="AK311" i="23"/>
  <c r="AL311" i="23"/>
  <c r="AM311" i="23"/>
  <c r="AN311" i="23"/>
  <c r="AO311" i="23"/>
  <c r="AP311" i="23"/>
  <c r="AQ311" i="23"/>
  <c r="AR311" i="23"/>
  <c r="AF312" i="23"/>
  <c r="AG312" i="23"/>
  <c r="AH312" i="23"/>
  <c r="AI312" i="23"/>
  <c r="AJ312" i="23"/>
  <c r="AK312" i="23"/>
  <c r="AL312" i="23"/>
  <c r="AM312" i="23"/>
  <c r="AN312" i="23"/>
  <c r="AO312" i="23"/>
  <c r="AP312" i="23"/>
  <c r="AQ312" i="23"/>
  <c r="AR312" i="23"/>
  <c r="AF313" i="23"/>
  <c r="AG313" i="23"/>
  <c r="AH313" i="23"/>
  <c r="AI313" i="23"/>
  <c r="AJ313" i="23"/>
  <c r="AK313" i="23"/>
  <c r="AL313" i="23"/>
  <c r="AM313" i="23"/>
  <c r="AN313" i="23"/>
  <c r="AO313" i="23"/>
  <c r="AP313" i="23"/>
  <c r="AQ313" i="23"/>
  <c r="AR313" i="23"/>
  <c r="AF314" i="23"/>
  <c r="AG314" i="23"/>
  <c r="AH314" i="23"/>
  <c r="AI314" i="23"/>
  <c r="AJ314" i="23"/>
  <c r="AK314" i="23"/>
  <c r="AL314" i="23"/>
  <c r="AM314" i="23"/>
  <c r="AN314" i="23"/>
  <c r="AO314" i="23"/>
  <c r="AP314" i="23"/>
  <c r="AQ314" i="23"/>
  <c r="AR314" i="23"/>
  <c r="AF315" i="23"/>
  <c r="AG315" i="23"/>
  <c r="AH315" i="23"/>
  <c r="AI315" i="23"/>
  <c r="AJ315" i="23"/>
  <c r="AK315" i="23"/>
  <c r="AL315" i="23"/>
  <c r="AM315" i="23"/>
  <c r="AN315" i="23"/>
  <c r="AO315" i="23"/>
  <c r="AP315" i="23"/>
  <c r="AQ315" i="23"/>
  <c r="AR315" i="23"/>
  <c r="AF316" i="23"/>
  <c r="AG316" i="23"/>
  <c r="AH316" i="23"/>
  <c r="AI316" i="23"/>
  <c r="AJ316" i="23"/>
  <c r="AK316" i="23"/>
  <c r="AL316" i="23"/>
  <c r="AM316" i="23"/>
  <c r="AN316" i="23"/>
  <c r="AO316" i="23"/>
  <c r="AP316" i="23"/>
  <c r="AQ316" i="23"/>
  <c r="AR316" i="23"/>
  <c r="AF317" i="23"/>
  <c r="AG317" i="23"/>
  <c r="AH317" i="23"/>
  <c r="AI317" i="23"/>
  <c r="AJ317" i="23"/>
  <c r="AK317" i="23"/>
  <c r="AL317" i="23"/>
  <c r="AM317" i="23"/>
  <c r="AN317" i="23"/>
  <c r="AO317" i="23"/>
  <c r="AP317" i="23"/>
  <c r="AQ317" i="23"/>
  <c r="AR317" i="23"/>
  <c r="AF318" i="23"/>
  <c r="AG318" i="23"/>
  <c r="AH318" i="23"/>
  <c r="AI318" i="23"/>
  <c r="AJ318" i="23"/>
  <c r="AK318" i="23"/>
  <c r="AL318" i="23"/>
  <c r="AM318" i="23"/>
  <c r="AN318" i="23"/>
  <c r="AO318" i="23"/>
  <c r="AP318" i="23"/>
  <c r="AQ318" i="23"/>
  <c r="AR318" i="23"/>
  <c r="AF319" i="23"/>
  <c r="AG319" i="23"/>
  <c r="AH319" i="23"/>
  <c r="AI319" i="23"/>
  <c r="AJ319" i="23"/>
  <c r="AK319" i="23"/>
  <c r="AL319" i="23"/>
  <c r="AM319" i="23"/>
  <c r="AN319" i="23"/>
  <c r="AO319" i="23"/>
  <c r="AP319" i="23"/>
  <c r="AQ319" i="23"/>
  <c r="AR319" i="23"/>
  <c r="AF320" i="23"/>
  <c r="AG320" i="23"/>
  <c r="AH320" i="23"/>
  <c r="AI320" i="23"/>
  <c r="AJ320" i="23"/>
  <c r="AK320" i="23"/>
  <c r="AL320" i="23"/>
  <c r="AM320" i="23"/>
  <c r="AN320" i="23"/>
  <c r="AO320" i="23"/>
  <c r="AP320" i="23"/>
  <c r="AQ320" i="23"/>
  <c r="AR320" i="23"/>
  <c r="AF321" i="23"/>
  <c r="AG321" i="23"/>
  <c r="AH321" i="23"/>
  <c r="AI321" i="23"/>
  <c r="AJ321" i="23"/>
  <c r="AK321" i="23"/>
  <c r="AL321" i="23"/>
  <c r="AM321" i="23"/>
  <c r="AN321" i="23"/>
  <c r="AO321" i="23"/>
  <c r="AP321" i="23"/>
  <c r="AQ321" i="23"/>
  <c r="AR321" i="23"/>
  <c r="AF322" i="23"/>
  <c r="AG322" i="23"/>
  <c r="AH322" i="23"/>
  <c r="AI322" i="23"/>
  <c r="AJ322" i="23"/>
  <c r="AK322" i="23"/>
  <c r="AL322" i="23"/>
  <c r="AM322" i="23"/>
  <c r="AN322" i="23"/>
  <c r="AO322" i="23"/>
  <c r="AP322" i="23"/>
  <c r="AQ322" i="23"/>
  <c r="AR322" i="23"/>
  <c r="AF323" i="23"/>
  <c r="AG323" i="23"/>
  <c r="AH323" i="23"/>
  <c r="AI323" i="23"/>
  <c r="AJ323" i="23"/>
  <c r="AK323" i="23"/>
  <c r="AL323" i="23"/>
  <c r="AM323" i="23"/>
  <c r="AN323" i="23"/>
  <c r="AO323" i="23"/>
  <c r="AP323" i="23"/>
  <c r="AQ323" i="23"/>
  <c r="AR323" i="23"/>
  <c r="AF324" i="23"/>
  <c r="AG324" i="23"/>
  <c r="AH324" i="23"/>
  <c r="AI324" i="23"/>
  <c r="AJ324" i="23"/>
  <c r="AK324" i="23"/>
  <c r="AL324" i="23"/>
  <c r="AM324" i="23"/>
  <c r="AN324" i="23"/>
  <c r="AO324" i="23"/>
  <c r="AP324" i="23"/>
  <c r="AQ324" i="23"/>
  <c r="AR324" i="23"/>
  <c r="AF325" i="23"/>
  <c r="AG325" i="23"/>
  <c r="AH325" i="23"/>
  <c r="AI325" i="23"/>
  <c r="AJ325" i="23"/>
  <c r="AK325" i="23"/>
  <c r="AL325" i="23"/>
  <c r="AM325" i="23"/>
  <c r="AN325" i="23"/>
  <c r="AO325" i="23"/>
  <c r="AP325" i="23"/>
  <c r="AQ325" i="23"/>
  <c r="AR325" i="23"/>
  <c r="AF326" i="23"/>
  <c r="AG326" i="23"/>
  <c r="AH326" i="23"/>
  <c r="AI326" i="23"/>
  <c r="AJ326" i="23"/>
  <c r="AK326" i="23"/>
  <c r="AL326" i="23"/>
  <c r="AM326" i="23"/>
  <c r="AN326" i="23"/>
  <c r="AO326" i="23"/>
  <c r="AP326" i="23"/>
  <c r="AQ326" i="23"/>
  <c r="AR326" i="23"/>
  <c r="AF327" i="23"/>
  <c r="AG327" i="23"/>
  <c r="AH327" i="23"/>
  <c r="AI327" i="23"/>
  <c r="AJ327" i="23"/>
  <c r="AK327" i="23"/>
  <c r="AL327" i="23"/>
  <c r="AM327" i="23"/>
  <c r="AN327" i="23"/>
  <c r="AO327" i="23"/>
  <c r="AP327" i="23"/>
  <c r="AQ327" i="23"/>
  <c r="AR327" i="23"/>
  <c r="AF328" i="23"/>
  <c r="AG328" i="23"/>
  <c r="AH328" i="23"/>
  <c r="AI328" i="23"/>
  <c r="AJ328" i="23"/>
  <c r="AK328" i="23"/>
  <c r="AL328" i="23"/>
  <c r="AM328" i="23"/>
  <c r="AN328" i="23"/>
  <c r="AO328" i="23"/>
  <c r="AP328" i="23"/>
  <c r="AQ328" i="23"/>
  <c r="AR328" i="23"/>
  <c r="AF329" i="23"/>
  <c r="AG329" i="23"/>
  <c r="AH329" i="23"/>
  <c r="AI329" i="23"/>
  <c r="AJ329" i="23"/>
  <c r="AK329" i="23"/>
  <c r="AL329" i="23"/>
  <c r="AM329" i="23"/>
  <c r="AN329" i="23"/>
  <c r="AO329" i="23"/>
  <c r="AP329" i="23"/>
  <c r="AQ329" i="23"/>
  <c r="AR329" i="23"/>
  <c r="AF330" i="23"/>
  <c r="AG330" i="23"/>
  <c r="AH330" i="23"/>
  <c r="AI330" i="23"/>
  <c r="AJ330" i="23"/>
  <c r="AK330" i="23"/>
  <c r="AL330" i="23"/>
  <c r="AM330" i="23"/>
  <c r="AN330" i="23"/>
  <c r="AO330" i="23"/>
  <c r="AP330" i="23"/>
  <c r="AQ330" i="23"/>
  <c r="AR330" i="23"/>
  <c r="AF331" i="23"/>
  <c r="AG331" i="23"/>
  <c r="AH331" i="23"/>
  <c r="AI331" i="23"/>
  <c r="AJ331" i="23"/>
  <c r="AK331" i="23"/>
  <c r="AL331" i="23"/>
  <c r="AM331" i="23"/>
  <c r="AN331" i="23"/>
  <c r="AO331" i="23"/>
  <c r="AP331" i="23"/>
  <c r="AQ331" i="23"/>
  <c r="AR331" i="23"/>
  <c r="AF332" i="23"/>
  <c r="AG332" i="23"/>
  <c r="AH332" i="23"/>
  <c r="AI332" i="23"/>
  <c r="AJ332" i="23"/>
  <c r="AK332" i="23"/>
  <c r="AL332" i="23"/>
  <c r="AM332" i="23"/>
  <c r="AN332" i="23"/>
  <c r="AO332" i="23"/>
  <c r="AP332" i="23"/>
  <c r="AQ332" i="23"/>
  <c r="AR332" i="23"/>
  <c r="AF333" i="23"/>
  <c r="AG333" i="23"/>
  <c r="AH333" i="23"/>
  <c r="AI333" i="23"/>
  <c r="AJ333" i="23"/>
  <c r="AK333" i="23"/>
  <c r="AL333" i="23"/>
  <c r="AM333" i="23"/>
  <c r="AN333" i="23"/>
  <c r="AO333" i="23"/>
  <c r="AP333" i="23"/>
  <c r="AQ333" i="23"/>
  <c r="AR333" i="23"/>
  <c r="AF334" i="23"/>
  <c r="AG334" i="23"/>
  <c r="AH334" i="23"/>
  <c r="AI334" i="23"/>
  <c r="AJ334" i="23"/>
  <c r="AK334" i="23"/>
  <c r="AL334" i="23"/>
  <c r="AM334" i="23"/>
  <c r="AN334" i="23"/>
  <c r="AO334" i="23"/>
  <c r="AP334" i="23"/>
  <c r="AQ334" i="23"/>
  <c r="AR334" i="23"/>
  <c r="AF335" i="23"/>
  <c r="AG335" i="23"/>
  <c r="AH335" i="23"/>
  <c r="AI335" i="23"/>
  <c r="AJ335" i="23"/>
  <c r="AK335" i="23"/>
  <c r="AL335" i="23"/>
  <c r="AM335" i="23"/>
  <c r="AN335" i="23"/>
  <c r="AO335" i="23"/>
  <c r="AP335" i="23"/>
  <c r="AQ335" i="23"/>
  <c r="AR335" i="23"/>
  <c r="AF336" i="23"/>
  <c r="AG336" i="23"/>
  <c r="AH336" i="23"/>
  <c r="AI336" i="23"/>
  <c r="AJ336" i="23"/>
  <c r="AK336" i="23"/>
  <c r="AL336" i="23"/>
  <c r="AM336" i="23"/>
  <c r="AN336" i="23"/>
  <c r="AO336" i="23"/>
  <c r="AP336" i="23"/>
  <c r="AQ336" i="23"/>
  <c r="AR336" i="23"/>
  <c r="AF337" i="23"/>
  <c r="AG337" i="23"/>
  <c r="AH337" i="23"/>
  <c r="AI337" i="23"/>
  <c r="AJ337" i="23"/>
  <c r="AK337" i="23"/>
  <c r="AL337" i="23"/>
  <c r="AM337" i="23"/>
  <c r="AN337" i="23"/>
  <c r="AO337" i="23"/>
  <c r="AP337" i="23"/>
  <c r="AQ337" i="23"/>
  <c r="AR337" i="23"/>
  <c r="AF338" i="23"/>
  <c r="AG338" i="23"/>
  <c r="AH338" i="23"/>
  <c r="AI338" i="23"/>
  <c r="AJ338" i="23"/>
  <c r="AK338" i="23"/>
  <c r="AL338" i="23"/>
  <c r="AM338" i="23"/>
  <c r="AN338" i="23"/>
  <c r="AO338" i="23"/>
  <c r="AP338" i="23"/>
  <c r="AQ338" i="23"/>
  <c r="AR338" i="23"/>
  <c r="AF339" i="23"/>
  <c r="AG339" i="23"/>
  <c r="AH339" i="23"/>
  <c r="AI339" i="23"/>
  <c r="AJ339" i="23"/>
  <c r="AK339" i="23"/>
  <c r="AL339" i="23"/>
  <c r="AM339" i="23"/>
  <c r="AN339" i="23"/>
  <c r="AO339" i="23"/>
  <c r="AP339" i="23"/>
  <c r="AQ339" i="23"/>
  <c r="AR339" i="23"/>
  <c r="AF340" i="23"/>
  <c r="AG340" i="23"/>
  <c r="AH340" i="23"/>
  <c r="AI340" i="23"/>
  <c r="AJ340" i="23"/>
  <c r="AK340" i="23"/>
  <c r="AL340" i="23"/>
  <c r="AM340" i="23"/>
  <c r="AN340" i="23"/>
  <c r="AO340" i="23"/>
  <c r="AP340" i="23"/>
  <c r="AQ340" i="23"/>
  <c r="AR340" i="23"/>
  <c r="AF341" i="23"/>
  <c r="AG341" i="23"/>
  <c r="AH341" i="23"/>
  <c r="AI341" i="23"/>
  <c r="AJ341" i="23"/>
  <c r="AK341" i="23"/>
  <c r="AL341" i="23"/>
  <c r="AM341" i="23"/>
  <c r="AN341" i="23"/>
  <c r="AO341" i="23"/>
  <c r="AP341" i="23"/>
  <c r="AQ341" i="23"/>
  <c r="AR341" i="23"/>
  <c r="AF342" i="23"/>
  <c r="AG342" i="23"/>
  <c r="AH342" i="23"/>
  <c r="AI342" i="23"/>
  <c r="AJ342" i="23"/>
  <c r="AK342" i="23"/>
  <c r="AL342" i="23"/>
  <c r="AM342" i="23"/>
  <c r="AN342" i="23"/>
  <c r="AO342" i="23"/>
  <c r="AP342" i="23"/>
  <c r="AQ342" i="23"/>
  <c r="AR342" i="23"/>
  <c r="AF343" i="23"/>
  <c r="AG343" i="23"/>
  <c r="AH343" i="23"/>
  <c r="AI343" i="23"/>
  <c r="AJ343" i="23"/>
  <c r="AK343" i="23"/>
  <c r="AL343" i="23"/>
  <c r="AM343" i="23"/>
  <c r="AN343" i="23"/>
  <c r="AO343" i="23"/>
  <c r="AP343" i="23"/>
  <c r="AQ343" i="23"/>
  <c r="AR343" i="23"/>
  <c r="AF344" i="23"/>
  <c r="AG344" i="23"/>
  <c r="AH344" i="23"/>
  <c r="AI344" i="23"/>
  <c r="AJ344" i="23"/>
  <c r="AK344" i="23"/>
  <c r="AL344" i="23"/>
  <c r="AM344" i="23"/>
  <c r="AN344" i="23"/>
  <c r="AO344" i="23"/>
  <c r="AP344" i="23"/>
  <c r="AQ344" i="23"/>
  <c r="AR344" i="23"/>
  <c r="AF345" i="23"/>
  <c r="AG345" i="23"/>
  <c r="AH345" i="23"/>
  <c r="AI345" i="23"/>
  <c r="AJ345" i="23"/>
  <c r="AK345" i="23"/>
  <c r="AL345" i="23"/>
  <c r="AM345" i="23"/>
  <c r="AN345" i="23"/>
  <c r="AO345" i="23"/>
  <c r="AP345" i="23"/>
  <c r="AQ345" i="23"/>
  <c r="AR345" i="23"/>
  <c r="AF346" i="23"/>
  <c r="AG346" i="23"/>
  <c r="AH346" i="23"/>
  <c r="AI346" i="23"/>
  <c r="AJ346" i="23"/>
  <c r="AK346" i="23"/>
  <c r="AL346" i="23"/>
  <c r="AM346" i="23"/>
  <c r="AN346" i="23"/>
  <c r="AO346" i="23"/>
  <c r="AP346" i="23"/>
  <c r="AQ346" i="23"/>
  <c r="AR346" i="23"/>
  <c r="AF347" i="23"/>
  <c r="AG347" i="23"/>
  <c r="AH347" i="23"/>
  <c r="AI347" i="23"/>
  <c r="AJ347" i="23"/>
  <c r="AK347" i="23"/>
  <c r="AL347" i="23"/>
  <c r="AM347" i="23"/>
  <c r="AN347" i="23"/>
  <c r="AO347" i="23"/>
  <c r="AP347" i="23"/>
  <c r="AQ347" i="23"/>
  <c r="AR347" i="23"/>
  <c r="AF348" i="23"/>
  <c r="AG348" i="23"/>
  <c r="AH348" i="23"/>
  <c r="AI348" i="23"/>
  <c r="AJ348" i="23"/>
  <c r="AK348" i="23"/>
  <c r="AL348" i="23"/>
  <c r="AM348" i="23"/>
  <c r="AN348" i="23"/>
  <c r="AO348" i="23"/>
  <c r="AP348" i="23"/>
  <c r="AQ348" i="23"/>
  <c r="AR348" i="23"/>
  <c r="AF349" i="23"/>
  <c r="AG349" i="23"/>
  <c r="AH349" i="23"/>
  <c r="AI349" i="23"/>
  <c r="AJ349" i="23"/>
  <c r="AK349" i="23"/>
  <c r="AL349" i="23"/>
  <c r="AM349" i="23"/>
  <c r="AN349" i="23"/>
  <c r="AO349" i="23"/>
  <c r="AP349" i="23"/>
  <c r="AQ349" i="23"/>
  <c r="AR349" i="23"/>
  <c r="AF350" i="23"/>
  <c r="AG350" i="23"/>
  <c r="AH350" i="23"/>
  <c r="AI350" i="23"/>
  <c r="AJ350" i="23"/>
  <c r="AK350" i="23"/>
  <c r="AL350" i="23"/>
  <c r="AM350" i="23"/>
  <c r="AN350" i="23"/>
  <c r="AO350" i="23"/>
  <c r="AP350" i="23"/>
  <c r="AQ350" i="23"/>
  <c r="AR350" i="23"/>
  <c r="AF351" i="23"/>
  <c r="AG351" i="23"/>
  <c r="AH351" i="23"/>
  <c r="AI351" i="23"/>
  <c r="AJ351" i="23"/>
  <c r="AK351" i="23"/>
  <c r="AL351" i="23"/>
  <c r="AM351" i="23"/>
  <c r="AN351" i="23"/>
  <c r="AO351" i="23"/>
  <c r="AP351" i="23"/>
  <c r="AQ351" i="23"/>
  <c r="AR351" i="23"/>
  <c r="AF352" i="23"/>
  <c r="AG352" i="23"/>
  <c r="AH352" i="23"/>
  <c r="AI352" i="23"/>
  <c r="AJ352" i="23"/>
  <c r="AK352" i="23"/>
  <c r="AL352" i="23"/>
  <c r="AM352" i="23"/>
  <c r="AN352" i="23"/>
  <c r="AO352" i="23"/>
  <c r="AP352" i="23"/>
  <c r="AQ352" i="23"/>
  <c r="AR352" i="23"/>
  <c r="AF353" i="23"/>
  <c r="AG353" i="23"/>
  <c r="AH353" i="23"/>
  <c r="AI353" i="23"/>
  <c r="AJ353" i="23"/>
  <c r="AK353" i="23"/>
  <c r="AL353" i="23"/>
  <c r="AM353" i="23"/>
  <c r="AN353" i="23"/>
  <c r="AO353" i="23"/>
  <c r="AP353" i="23"/>
  <c r="AQ353" i="23"/>
  <c r="AR353" i="23"/>
  <c r="AF354" i="23"/>
  <c r="AG354" i="23"/>
  <c r="AH354" i="23"/>
  <c r="AI354" i="23"/>
  <c r="AJ354" i="23"/>
  <c r="AK354" i="23"/>
  <c r="AL354" i="23"/>
  <c r="AM354" i="23"/>
  <c r="AN354" i="23"/>
  <c r="AO354" i="23"/>
  <c r="AP354" i="23"/>
  <c r="AQ354" i="23"/>
  <c r="AR354" i="23"/>
  <c r="AF355" i="23"/>
  <c r="AG355" i="23"/>
  <c r="AH355" i="23"/>
  <c r="AI355" i="23"/>
  <c r="AJ355" i="23"/>
  <c r="AK355" i="23"/>
  <c r="AL355" i="23"/>
  <c r="AM355" i="23"/>
  <c r="AN355" i="23"/>
  <c r="AO355" i="23"/>
  <c r="AP355" i="23"/>
  <c r="AQ355" i="23"/>
  <c r="AR355" i="23"/>
  <c r="AF356" i="23"/>
  <c r="AG356" i="23"/>
  <c r="AH356" i="23"/>
  <c r="AI356" i="23"/>
  <c r="AJ356" i="23"/>
  <c r="AK356" i="23"/>
  <c r="AL356" i="23"/>
  <c r="AM356" i="23"/>
  <c r="AN356" i="23"/>
  <c r="AO356" i="23"/>
  <c r="AP356" i="23"/>
  <c r="AQ356" i="23"/>
  <c r="AR356" i="23"/>
  <c r="AF357" i="23"/>
  <c r="AG357" i="23"/>
  <c r="AH357" i="23"/>
  <c r="AI357" i="23"/>
  <c r="AJ357" i="23"/>
  <c r="AK357" i="23"/>
  <c r="AL357" i="23"/>
  <c r="AM357" i="23"/>
  <c r="AN357" i="23"/>
  <c r="AO357" i="23"/>
  <c r="AP357" i="23"/>
  <c r="AQ357" i="23"/>
  <c r="AR357" i="23"/>
  <c r="AF358" i="23"/>
  <c r="AG358" i="23"/>
  <c r="AH358" i="23"/>
  <c r="AI358" i="23"/>
  <c r="AJ358" i="23"/>
  <c r="AK358" i="23"/>
  <c r="AL358" i="23"/>
  <c r="AM358" i="23"/>
  <c r="AN358" i="23"/>
  <c r="AO358" i="23"/>
  <c r="AP358" i="23"/>
  <c r="AQ358" i="23"/>
  <c r="AR358" i="23"/>
  <c r="AF359" i="23"/>
  <c r="AG359" i="23"/>
  <c r="AH359" i="23"/>
  <c r="AI359" i="23"/>
  <c r="AJ359" i="23"/>
  <c r="AK359" i="23"/>
  <c r="AL359" i="23"/>
  <c r="AM359" i="23"/>
  <c r="AN359" i="23"/>
  <c r="AO359" i="23"/>
  <c r="AP359" i="23"/>
  <c r="AQ359" i="23"/>
  <c r="AR359" i="23"/>
  <c r="AF360" i="23"/>
  <c r="AG360" i="23"/>
  <c r="AH360" i="23"/>
  <c r="AI360" i="23"/>
  <c r="AJ360" i="23"/>
  <c r="AK360" i="23"/>
  <c r="AL360" i="23"/>
  <c r="AM360" i="23"/>
  <c r="AN360" i="23"/>
  <c r="AO360" i="23"/>
  <c r="AP360" i="23"/>
  <c r="AQ360" i="23"/>
  <c r="AR360" i="23"/>
  <c r="AF361" i="23"/>
  <c r="AG361" i="23"/>
  <c r="AH361" i="23"/>
  <c r="AI361" i="23"/>
  <c r="AJ361" i="23"/>
  <c r="AK361" i="23"/>
  <c r="AL361" i="23"/>
  <c r="AM361" i="23"/>
  <c r="AN361" i="23"/>
  <c r="AO361" i="23"/>
  <c r="AP361" i="23"/>
  <c r="AQ361" i="23"/>
  <c r="AR361" i="23"/>
  <c r="AF362" i="23"/>
  <c r="AG362" i="23"/>
  <c r="AH362" i="23"/>
  <c r="AI362" i="23"/>
  <c r="AJ362" i="23"/>
  <c r="AK362" i="23"/>
  <c r="AL362" i="23"/>
  <c r="AM362" i="23"/>
  <c r="AN362" i="23"/>
  <c r="AO362" i="23"/>
  <c r="AP362" i="23"/>
  <c r="AQ362" i="23"/>
  <c r="AR362" i="23"/>
  <c r="AF363" i="23"/>
  <c r="AG363" i="23"/>
  <c r="AH363" i="23"/>
  <c r="AI363" i="23"/>
  <c r="AJ363" i="23"/>
  <c r="AK363" i="23"/>
  <c r="AL363" i="23"/>
  <c r="AM363" i="23"/>
  <c r="AN363" i="23"/>
  <c r="AO363" i="23"/>
  <c r="AP363" i="23"/>
  <c r="AQ363" i="23"/>
  <c r="AR363" i="23"/>
  <c r="AF364" i="23"/>
  <c r="AG364" i="23"/>
  <c r="AH364" i="23"/>
  <c r="AI364" i="23"/>
  <c r="AJ364" i="23"/>
  <c r="AK364" i="23"/>
  <c r="AL364" i="23"/>
  <c r="AM364" i="23"/>
  <c r="AN364" i="23"/>
  <c r="AO364" i="23"/>
  <c r="AP364" i="23"/>
  <c r="AQ364" i="23"/>
  <c r="AR364" i="23"/>
  <c r="AF365" i="23"/>
  <c r="AG365" i="23"/>
  <c r="AH365" i="23"/>
  <c r="AI365" i="23"/>
  <c r="AJ365" i="23"/>
  <c r="AK365" i="23"/>
  <c r="AL365" i="23"/>
  <c r="AM365" i="23"/>
  <c r="AN365" i="23"/>
  <c r="AO365" i="23"/>
  <c r="AP365" i="23"/>
  <c r="AQ365" i="23"/>
  <c r="AR365" i="23"/>
  <c r="AF366" i="23"/>
  <c r="AG366" i="23"/>
  <c r="AH366" i="23"/>
  <c r="AI366" i="23"/>
  <c r="AJ366" i="23"/>
  <c r="AK366" i="23"/>
  <c r="AL366" i="23"/>
  <c r="AM366" i="23"/>
  <c r="AN366" i="23"/>
  <c r="AO366" i="23"/>
  <c r="AP366" i="23"/>
  <c r="AQ366" i="23"/>
  <c r="AR366" i="23"/>
  <c r="AF367" i="23"/>
  <c r="AG367" i="23"/>
  <c r="AH367" i="23"/>
  <c r="AI367" i="23"/>
  <c r="AJ367" i="23"/>
  <c r="AK367" i="23"/>
  <c r="AL367" i="23"/>
  <c r="AM367" i="23"/>
  <c r="AN367" i="23"/>
  <c r="AO367" i="23"/>
  <c r="AP367" i="23"/>
  <c r="AQ367" i="23"/>
  <c r="AR367" i="23"/>
  <c r="AF368" i="23"/>
  <c r="AG368" i="23"/>
  <c r="AH368" i="23"/>
  <c r="AI368" i="23"/>
  <c r="AJ368" i="23"/>
  <c r="AK368" i="23"/>
  <c r="AL368" i="23"/>
  <c r="AM368" i="23"/>
  <c r="AN368" i="23"/>
  <c r="AO368" i="23"/>
  <c r="AP368" i="23"/>
  <c r="AQ368" i="23"/>
  <c r="AR368" i="23"/>
  <c r="AF369" i="23"/>
  <c r="AG369" i="23"/>
  <c r="AH369" i="23"/>
  <c r="AI369" i="23"/>
  <c r="AJ369" i="23"/>
  <c r="AK369" i="23"/>
  <c r="AL369" i="23"/>
  <c r="AM369" i="23"/>
  <c r="AN369" i="23"/>
  <c r="AO369" i="23"/>
  <c r="AP369" i="23"/>
  <c r="AQ369" i="23"/>
  <c r="AR369" i="23"/>
  <c r="AF370" i="23"/>
  <c r="AG370" i="23"/>
  <c r="AH370" i="23"/>
  <c r="AI370" i="23"/>
  <c r="AJ370" i="23"/>
  <c r="AK370" i="23"/>
  <c r="AL370" i="23"/>
  <c r="AM370" i="23"/>
  <c r="AN370" i="23"/>
  <c r="AO370" i="23"/>
  <c r="AP370" i="23"/>
  <c r="AQ370" i="23"/>
  <c r="AR370" i="23"/>
  <c r="AF371" i="23"/>
  <c r="AG371" i="23"/>
  <c r="AH371" i="23"/>
  <c r="AI371" i="23"/>
  <c r="AJ371" i="23"/>
  <c r="AK371" i="23"/>
  <c r="AL371" i="23"/>
  <c r="AM371" i="23"/>
  <c r="AN371" i="23"/>
  <c r="AO371" i="23"/>
  <c r="AP371" i="23"/>
  <c r="AQ371" i="23"/>
  <c r="AR371" i="23"/>
  <c r="AF372" i="23"/>
  <c r="AG372" i="23"/>
  <c r="AH372" i="23"/>
  <c r="AI372" i="23"/>
  <c r="AJ372" i="23"/>
  <c r="AK372" i="23"/>
  <c r="AL372" i="23"/>
  <c r="AM372" i="23"/>
  <c r="AN372" i="23"/>
  <c r="AO372" i="23"/>
  <c r="AP372" i="23"/>
  <c r="AQ372" i="23"/>
  <c r="AR372" i="23"/>
  <c r="AF373" i="23"/>
  <c r="AG373" i="23"/>
  <c r="AH373" i="23"/>
  <c r="AI373" i="23"/>
  <c r="AJ373" i="23"/>
  <c r="AK373" i="23"/>
  <c r="AL373" i="23"/>
  <c r="AM373" i="23"/>
  <c r="AN373" i="23"/>
  <c r="AO373" i="23"/>
  <c r="AP373" i="23"/>
  <c r="AQ373" i="23"/>
  <c r="AR373" i="23"/>
  <c r="AF374" i="23"/>
  <c r="AG374" i="23"/>
  <c r="AH374" i="23"/>
  <c r="AI374" i="23"/>
  <c r="AJ374" i="23"/>
  <c r="AK374" i="23"/>
  <c r="AL374" i="23"/>
  <c r="AM374" i="23"/>
  <c r="AN374" i="23"/>
  <c r="AO374" i="23"/>
  <c r="AP374" i="23"/>
  <c r="AQ374" i="23"/>
  <c r="AR374" i="23"/>
  <c r="AF375" i="23"/>
  <c r="AG375" i="23"/>
  <c r="AH375" i="23"/>
  <c r="AI375" i="23"/>
  <c r="AJ375" i="23"/>
  <c r="AK375" i="23"/>
  <c r="AL375" i="23"/>
  <c r="AM375" i="23"/>
  <c r="AN375" i="23"/>
  <c r="AO375" i="23"/>
  <c r="AP375" i="23"/>
  <c r="AQ375" i="23"/>
  <c r="AR375" i="23"/>
  <c r="AF376" i="23"/>
  <c r="AG376" i="23"/>
  <c r="AH376" i="23"/>
  <c r="AI376" i="23"/>
  <c r="AJ376" i="23"/>
  <c r="AK376" i="23"/>
  <c r="AL376" i="23"/>
  <c r="AM376" i="23"/>
  <c r="AN376" i="23"/>
  <c r="AO376" i="23"/>
  <c r="AP376" i="23"/>
  <c r="AQ376" i="23"/>
  <c r="AR376" i="23"/>
  <c r="AF377" i="23"/>
  <c r="AG377" i="23"/>
  <c r="AH377" i="23"/>
  <c r="AI377" i="23"/>
  <c r="AJ377" i="23"/>
  <c r="AK377" i="23"/>
  <c r="AL377" i="23"/>
  <c r="AM377" i="23"/>
  <c r="AN377" i="23"/>
  <c r="AO377" i="23"/>
  <c r="AP377" i="23"/>
  <c r="AQ377" i="23"/>
  <c r="AR377" i="23"/>
  <c r="AF378" i="23"/>
  <c r="AG378" i="23"/>
  <c r="AH378" i="23"/>
  <c r="AI378" i="23"/>
  <c r="AJ378" i="23"/>
  <c r="AK378" i="23"/>
  <c r="AL378" i="23"/>
  <c r="AM378" i="23"/>
  <c r="AN378" i="23"/>
  <c r="AO378" i="23"/>
  <c r="AP378" i="23"/>
  <c r="AQ378" i="23"/>
  <c r="AR378" i="23"/>
  <c r="AF379" i="23"/>
  <c r="AG379" i="23"/>
  <c r="AH379" i="23"/>
  <c r="AI379" i="23"/>
  <c r="AJ379" i="23"/>
  <c r="AK379" i="23"/>
  <c r="AL379" i="23"/>
  <c r="AM379" i="23"/>
  <c r="AN379" i="23"/>
  <c r="AO379" i="23"/>
  <c r="AP379" i="23"/>
  <c r="AQ379" i="23"/>
  <c r="AR379" i="23"/>
  <c r="AF380" i="23"/>
  <c r="AG380" i="23"/>
  <c r="AH380" i="23"/>
  <c r="AI380" i="23"/>
  <c r="AJ380" i="23"/>
  <c r="AK380" i="23"/>
  <c r="AL380" i="23"/>
  <c r="AM380" i="23"/>
  <c r="AN380" i="23"/>
  <c r="AO380" i="23"/>
  <c r="AP380" i="23"/>
  <c r="AQ380" i="23"/>
  <c r="AR380" i="23"/>
  <c r="AF381" i="23"/>
  <c r="AG381" i="23"/>
  <c r="AH381" i="23"/>
  <c r="AI381" i="23"/>
  <c r="AJ381" i="23"/>
  <c r="AK381" i="23"/>
  <c r="AL381" i="23"/>
  <c r="AM381" i="23"/>
  <c r="AN381" i="23"/>
  <c r="AO381" i="23"/>
  <c r="AP381" i="23"/>
  <c r="AQ381" i="23"/>
  <c r="AR381" i="23"/>
  <c r="AF382" i="23"/>
  <c r="AG382" i="23"/>
  <c r="AH382" i="23"/>
  <c r="AI382" i="23"/>
  <c r="AJ382" i="23"/>
  <c r="AK382" i="23"/>
  <c r="AL382" i="23"/>
  <c r="AM382" i="23"/>
  <c r="AN382" i="23"/>
  <c r="AO382" i="23"/>
  <c r="AP382" i="23"/>
  <c r="AQ382" i="23"/>
  <c r="AR382" i="23"/>
  <c r="AF383" i="23"/>
  <c r="AG383" i="23"/>
  <c r="AH383" i="23"/>
  <c r="AI383" i="23"/>
  <c r="AJ383" i="23"/>
  <c r="AK383" i="23"/>
  <c r="AL383" i="23"/>
  <c r="AM383" i="23"/>
  <c r="AN383" i="23"/>
  <c r="AO383" i="23"/>
  <c r="AP383" i="23"/>
  <c r="AQ383" i="23"/>
  <c r="AR383" i="23"/>
  <c r="AF384" i="23"/>
  <c r="AG384" i="23"/>
  <c r="AH384" i="23"/>
  <c r="AI384" i="23"/>
  <c r="AJ384" i="23"/>
  <c r="AK384" i="23"/>
  <c r="AL384" i="23"/>
  <c r="AM384" i="23"/>
  <c r="AN384" i="23"/>
  <c r="AO384" i="23"/>
  <c r="AP384" i="23"/>
  <c r="AQ384" i="23"/>
  <c r="AR384" i="23"/>
  <c r="AF385" i="23"/>
  <c r="AG385" i="23"/>
  <c r="AH385" i="23"/>
  <c r="AI385" i="23"/>
  <c r="AJ385" i="23"/>
  <c r="AK385" i="23"/>
  <c r="AL385" i="23"/>
  <c r="AM385" i="23"/>
  <c r="AN385" i="23"/>
  <c r="AO385" i="23"/>
  <c r="AP385" i="23"/>
  <c r="AQ385" i="23"/>
  <c r="AR385" i="23"/>
  <c r="AF386" i="23"/>
  <c r="AG386" i="23"/>
  <c r="AH386" i="23"/>
  <c r="AI386" i="23"/>
  <c r="AJ386" i="23"/>
  <c r="AK386" i="23"/>
  <c r="AL386" i="23"/>
  <c r="AM386" i="23"/>
  <c r="AN386" i="23"/>
  <c r="AO386" i="23"/>
  <c r="AP386" i="23"/>
  <c r="AQ386" i="23"/>
  <c r="AR386" i="23"/>
  <c r="AF387" i="23"/>
  <c r="AG387" i="23"/>
  <c r="AH387" i="23"/>
  <c r="AI387" i="23"/>
  <c r="AJ387" i="23"/>
  <c r="AK387" i="23"/>
  <c r="AL387" i="23"/>
  <c r="AM387" i="23"/>
  <c r="AN387" i="23"/>
  <c r="AO387" i="23"/>
  <c r="AP387" i="23"/>
  <c r="AQ387" i="23"/>
  <c r="AR387" i="23"/>
  <c r="AF388" i="23"/>
  <c r="AG388" i="23"/>
  <c r="AH388" i="23"/>
  <c r="AI388" i="23"/>
  <c r="AJ388" i="23"/>
  <c r="AK388" i="23"/>
  <c r="AL388" i="23"/>
  <c r="AM388" i="23"/>
  <c r="AN388" i="23"/>
  <c r="AO388" i="23"/>
  <c r="AP388" i="23"/>
  <c r="AQ388" i="23"/>
  <c r="AR388" i="23"/>
  <c r="AF389" i="23"/>
  <c r="AG389" i="23"/>
  <c r="AH389" i="23"/>
  <c r="AI389" i="23"/>
  <c r="AJ389" i="23"/>
  <c r="AK389" i="23"/>
  <c r="AL389" i="23"/>
  <c r="AM389" i="23"/>
  <c r="AN389" i="23"/>
  <c r="AO389" i="23"/>
  <c r="AP389" i="23"/>
  <c r="AQ389" i="23"/>
  <c r="AR389" i="23"/>
  <c r="AF390" i="23"/>
  <c r="AG390" i="23"/>
  <c r="AH390" i="23"/>
  <c r="AI390" i="23"/>
  <c r="AJ390" i="23"/>
  <c r="AK390" i="23"/>
  <c r="AL390" i="23"/>
  <c r="AM390" i="23"/>
  <c r="AN390" i="23"/>
  <c r="AO390" i="23"/>
  <c r="AP390" i="23"/>
  <c r="AQ390" i="23"/>
  <c r="AR390" i="23"/>
  <c r="AF391" i="23"/>
  <c r="AG391" i="23"/>
  <c r="AH391" i="23"/>
  <c r="AI391" i="23"/>
  <c r="AJ391" i="23"/>
  <c r="AK391" i="23"/>
  <c r="AL391" i="23"/>
  <c r="AM391" i="23"/>
  <c r="AN391" i="23"/>
  <c r="AO391" i="23"/>
  <c r="AP391" i="23"/>
  <c r="AQ391" i="23"/>
  <c r="AR391" i="23"/>
  <c r="AF392" i="23"/>
  <c r="AG392" i="23"/>
  <c r="AH392" i="23"/>
  <c r="AI392" i="23"/>
  <c r="AJ392" i="23"/>
  <c r="AK392" i="23"/>
  <c r="AL392" i="23"/>
  <c r="AM392" i="23"/>
  <c r="AN392" i="23"/>
  <c r="AO392" i="23"/>
  <c r="AP392" i="23"/>
  <c r="AQ392" i="23"/>
  <c r="AR392" i="23"/>
  <c r="AF393" i="23"/>
  <c r="AG393" i="23"/>
  <c r="AH393" i="23"/>
  <c r="AI393" i="23"/>
  <c r="AJ393" i="23"/>
  <c r="AK393" i="23"/>
  <c r="AL393" i="23"/>
  <c r="AM393" i="23"/>
  <c r="AN393" i="23"/>
  <c r="AO393" i="23"/>
  <c r="AP393" i="23"/>
  <c r="AQ393" i="23"/>
  <c r="AR393" i="23"/>
  <c r="AF394" i="23"/>
  <c r="AG394" i="23"/>
  <c r="AH394" i="23"/>
  <c r="AI394" i="23"/>
  <c r="AJ394" i="23"/>
  <c r="AK394" i="23"/>
  <c r="AL394" i="23"/>
  <c r="AM394" i="23"/>
  <c r="AN394" i="23"/>
  <c r="AO394" i="23"/>
  <c r="AP394" i="23"/>
  <c r="AQ394" i="23"/>
  <c r="AR394" i="23"/>
  <c r="AF395" i="23"/>
  <c r="AG395" i="23"/>
  <c r="AH395" i="23"/>
  <c r="AI395" i="23"/>
  <c r="AJ395" i="23"/>
  <c r="AK395" i="23"/>
  <c r="AL395" i="23"/>
  <c r="AM395" i="23"/>
  <c r="AN395" i="23"/>
  <c r="AO395" i="23"/>
  <c r="AP395" i="23"/>
  <c r="AQ395" i="23"/>
  <c r="AR395" i="23"/>
  <c r="AF396" i="23"/>
  <c r="AG396" i="23"/>
  <c r="AH396" i="23"/>
  <c r="AI396" i="23"/>
  <c r="AJ396" i="23"/>
  <c r="AK396" i="23"/>
  <c r="AL396" i="23"/>
  <c r="AM396" i="23"/>
  <c r="AN396" i="23"/>
  <c r="AO396" i="23"/>
  <c r="AP396" i="23"/>
  <c r="AQ396" i="23"/>
  <c r="AR396" i="23"/>
  <c r="AF397" i="23"/>
  <c r="AG397" i="23"/>
  <c r="AH397" i="23"/>
  <c r="AI397" i="23"/>
  <c r="AJ397" i="23"/>
  <c r="AK397" i="23"/>
  <c r="AL397" i="23"/>
  <c r="AM397" i="23"/>
  <c r="AN397" i="23"/>
  <c r="AO397" i="23"/>
  <c r="AP397" i="23"/>
  <c r="AQ397" i="23"/>
  <c r="AR397" i="23"/>
  <c r="AF398" i="23"/>
  <c r="AG398" i="23"/>
  <c r="AH398" i="23"/>
  <c r="AI398" i="23"/>
  <c r="AJ398" i="23"/>
  <c r="AK398" i="23"/>
  <c r="AL398" i="23"/>
  <c r="AM398" i="23"/>
  <c r="AN398" i="23"/>
  <c r="AO398" i="23"/>
  <c r="AP398" i="23"/>
  <c r="AQ398" i="23"/>
  <c r="AR398" i="23"/>
  <c r="AF399" i="23"/>
  <c r="AG399" i="23"/>
  <c r="AH399" i="23"/>
  <c r="AI399" i="23"/>
  <c r="AJ399" i="23"/>
  <c r="AK399" i="23"/>
  <c r="AL399" i="23"/>
  <c r="AM399" i="23"/>
  <c r="AN399" i="23"/>
  <c r="AO399" i="23"/>
  <c r="AP399" i="23"/>
  <c r="AQ399" i="23"/>
  <c r="AR399" i="23"/>
  <c r="AF400" i="23"/>
  <c r="AG400" i="23"/>
  <c r="AH400" i="23"/>
  <c r="AI400" i="23"/>
  <c r="AJ400" i="23"/>
  <c r="AK400" i="23"/>
  <c r="AL400" i="23"/>
  <c r="AM400" i="23"/>
  <c r="AN400" i="23"/>
  <c r="AO400" i="23"/>
  <c r="AP400" i="23"/>
  <c r="AQ400" i="23"/>
  <c r="AR400" i="23"/>
  <c r="AF401" i="23"/>
  <c r="AG401" i="23"/>
  <c r="AH401" i="23"/>
  <c r="AI401" i="23"/>
  <c r="AJ401" i="23"/>
  <c r="AK401" i="23"/>
  <c r="AL401" i="23"/>
  <c r="AM401" i="23"/>
  <c r="AN401" i="23"/>
  <c r="AO401" i="23"/>
  <c r="AP401" i="23"/>
  <c r="AQ401" i="23"/>
  <c r="AR401" i="23"/>
  <c r="AF402" i="23"/>
  <c r="AG402" i="23"/>
  <c r="AH402" i="23"/>
  <c r="AI402" i="23"/>
  <c r="AJ402" i="23"/>
  <c r="AK402" i="23"/>
  <c r="AL402" i="23"/>
  <c r="AM402" i="23"/>
  <c r="AN402" i="23"/>
  <c r="AO402" i="23"/>
  <c r="AP402" i="23"/>
  <c r="AQ402" i="23"/>
  <c r="AR402" i="23"/>
  <c r="AF403" i="23"/>
  <c r="AG403" i="23"/>
  <c r="AH403" i="23"/>
  <c r="AI403" i="23"/>
  <c r="AJ403" i="23"/>
  <c r="AK403" i="23"/>
  <c r="AL403" i="23"/>
  <c r="AM403" i="23"/>
  <c r="AN403" i="23"/>
  <c r="AO403" i="23"/>
  <c r="AP403" i="23"/>
  <c r="AQ403" i="23"/>
  <c r="AR403" i="23"/>
  <c r="AF404" i="23"/>
  <c r="AG404" i="23"/>
  <c r="AH404" i="23"/>
  <c r="AI404" i="23"/>
  <c r="AJ404" i="23"/>
  <c r="AK404" i="23"/>
  <c r="AL404" i="23"/>
  <c r="AM404" i="23"/>
  <c r="AN404" i="23"/>
  <c r="AO404" i="23"/>
  <c r="AP404" i="23"/>
  <c r="AQ404" i="23"/>
  <c r="AR404" i="23"/>
  <c r="AF405" i="23"/>
  <c r="AG405" i="23"/>
  <c r="AH405" i="23"/>
  <c r="AI405" i="23"/>
  <c r="AJ405" i="23"/>
  <c r="AK405" i="23"/>
  <c r="AL405" i="23"/>
  <c r="AM405" i="23"/>
  <c r="AN405" i="23"/>
  <c r="AO405" i="23"/>
  <c r="AP405" i="23"/>
  <c r="AQ405" i="23"/>
  <c r="AR405" i="23"/>
  <c r="AF406" i="23"/>
  <c r="AG406" i="23"/>
  <c r="AH406" i="23"/>
  <c r="AI406" i="23"/>
  <c r="AJ406" i="23"/>
  <c r="AK406" i="23"/>
  <c r="AL406" i="23"/>
  <c r="AM406" i="23"/>
  <c r="AN406" i="23"/>
  <c r="AO406" i="23"/>
  <c r="AP406" i="23"/>
  <c r="AQ406" i="23"/>
  <c r="AR406" i="23"/>
  <c r="AF407" i="23"/>
  <c r="AG407" i="23"/>
  <c r="AH407" i="23"/>
  <c r="AI407" i="23"/>
  <c r="AJ407" i="23"/>
  <c r="AK407" i="23"/>
  <c r="AL407" i="23"/>
  <c r="AM407" i="23"/>
  <c r="AN407" i="23"/>
  <c r="AO407" i="23"/>
  <c r="AP407" i="23"/>
  <c r="AQ407" i="23"/>
  <c r="AR407" i="23"/>
  <c r="AF408" i="23"/>
  <c r="AG408" i="23"/>
  <c r="AH408" i="23"/>
  <c r="AI408" i="23"/>
  <c r="AJ408" i="23"/>
  <c r="AK408" i="23"/>
  <c r="AL408" i="23"/>
  <c r="AM408" i="23"/>
  <c r="AN408" i="23"/>
  <c r="AO408" i="23"/>
  <c r="AP408" i="23"/>
  <c r="AQ408" i="23"/>
  <c r="AR408" i="23"/>
  <c r="AF409" i="23"/>
  <c r="AG409" i="23"/>
  <c r="AH409" i="23"/>
  <c r="AI409" i="23"/>
  <c r="AJ409" i="23"/>
  <c r="AK409" i="23"/>
  <c r="AL409" i="23"/>
  <c r="AM409" i="23"/>
  <c r="AN409" i="23"/>
  <c r="AO409" i="23"/>
  <c r="AP409" i="23"/>
  <c r="AQ409" i="23"/>
  <c r="AR409" i="23"/>
  <c r="AF410" i="23"/>
  <c r="AG410" i="23"/>
  <c r="AH410" i="23"/>
  <c r="AI410" i="23"/>
  <c r="AJ410" i="23"/>
  <c r="AK410" i="23"/>
  <c r="AL410" i="23"/>
  <c r="AM410" i="23"/>
  <c r="AN410" i="23"/>
  <c r="AO410" i="23"/>
  <c r="AP410" i="23"/>
  <c r="AQ410" i="23"/>
  <c r="AR410" i="23"/>
  <c r="AF411" i="23"/>
  <c r="AG411" i="23"/>
  <c r="AH411" i="23"/>
  <c r="AI411" i="23"/>
  <c r="AJ411" i="23"/>
  <c r="AK411" i="23"/>
  <c r="AL411" i="23"/>
  <c r="AM411" i="23"/>
  <c r="AN411" i="23"/>
  <c r="AO411" i="23"/>
  <c r="AP411" i="23"/>
  <c r="AQ411" i="23"/>
  <c r="AR411" i="23"/>
  <c r="AF412" i="23"/>
  <c r="AG412" i="23"/>
  <c r="AH412" i="23"/>
  <c r="AI412" i="23"/>
  <c r="AJ412" i="23"/>
  <c r="AK412" i="23"/>
  <c r="AL412" i="23"/>
  <c r="AM412" i="23"/>
  <c r="AN412" i="23"/>
  <c r="AO412" i="23"/>
  <c r="AP412" i="23"/>
  <c r="AQ412" i="23"/>
  <c r="AR412" i="23"/>
  <c r="AF413" i="23"/>
  <c r="AG413" i="23"/>
  <c r="AH413" i="23"/>
  <c r="AI413" i="23"/>
  <c r="AJ413" i="23"/>
  <c r="AK413" i="23"/>
  <c r="AL413" i="23"/>
  <c r="AM413" i="23"/>
  <c r="AN413" i="23"/>
  <c r="AO413" i="23"/>
  <c r="AP413" i="23"/>
  <c r="AQ413" i="23"/>
  <c r="AR413" i="23"/>
  <c r="AF414" i="23"/>
  <c r="AG414" i="23"/>
  <c r="AH414" i="23"/>
  <c r="AI414" i="23"/>
  <c r="AJ414" i="23"/>
  <c r="AK414" i="23"/>
  <c r="AL414" i="23"/>
  <c r="AM414" i="23"/>
  <c r="AN414" i="23"/>
  <c r="AO414" i="23"/>
  <c r="AP414" i="23"/>
  <c r="AQ414" i="23"/>
  <c r="AR414" i="23"/>
  <c r="AF415" i="23"/>
  <c r="AG415" i="23"/>
  <c r="AH415" i="23"/>
  <c r="AI415" i="23"/>
  <c r="AJ415" i="23"/>
  <c r="AK415" i="23"/>
  <c r="AL415" i="23"/>
  <c r="AM415" i="23"/>
  <c r="AN415" i="23"/>
  <c r="AO415" i="23"/>
  <c r="AP415" i="23"/>
  <c r="AQ415" i="23"/>
  <c r="AR415" i="23"/>
  <c r="AF416" i="23"/>
  <c r="AG416" i="23"/>
  <c r="AH416" i="23"/>
  <c r="AI416" i="23"/>
  <c r="AJ416" i="23"/>
  <c r="AK416" i="23"/>
  <c r="AL416" i="23"/>
  <c r="AM416" i="23"/>
  <c r="AN416" i="23"/>
  <c r="AO416" i="23"/>
  <c r="AP416" i="23"/>
  <c r="AQ416" i="23"/>
  <c r="AR416" i="23"/>
  <c r="AF417" i="23"/>
  <c r="AG417" i="23"/>
  <c r="AH417" i="23"/>
  <c r="AI417" i="23"/>
  <c r="AJ417" i="23"/>
  <c r="AK417" i="23"/>
  <c r="AL417" i="23"/>
  <c r="AM417" i="23"/>
  <c r="AN417" i="23"/>
  <c r="AO417" i="23"/>
  <c r="AP417" i="23"/>
  <c r="AQ417" i="23"/>
  <c r="AR417" i="23"/>
  <c r="AF418" i="23"/>
  <c r="AG418" i="23"/>
  <c r="AH418" i="23"/>
  <c r="AI418" i="23"/>
  <c r="AJ418" i="23"/>
  <c r="AK418" i="23"/>
  <c r="AL418" i="23"/>
  <c r="AM418" i="23"/>
  <c r="AN418" i="23"/>
  <c r="AO418" i="23"/>
  <c r="AP418" i="23"/>
  <c r="AQ418" i="23"/>
  <c r="AR418" i="23"/>
  <c r="AF419" i="23"/>
  <c r="AG419" i="23"/>
  <c r="AH419" i="23"/>
  <c r="AI419" i="23"/>
  <c r="AJ419" i="23"/>
  <c r="AK419" i="23"/>
  <c r="AL419" i="23"/>
  <c r="AM419" i="23"/>
  <c r="AN419" i="23"/>
  <c r="AO419" i="23"/>
  <c r="AP419" i="23"/>
  <c r="AQ419" i="23"/>
  <c r="AR419" i="23"/>
  <c r="AF420" i="23"/>
  <c r="AG420" i="23"/>
  <c r="AH420" i="23"/>
  <c r="AI420" i="23"/>
  <c r="AJ420" i="23"/>
  <c r="AK420" i="23"/>
  <c r="AL420" i="23"/>
  <c r="AM420" i="23"/>
  <c r="AN420" i="23"/>
  <c r="AO420" i="23"/>
  <c r="AP420" i="23"/>
  <c r="AQ420" i="23"/>
  <c r="AR420" i="23"/>
  <c r="AF421" i="23"/>
  <c r="AG421" i="23"/>
  <c r="AH421" i="23"/>
  <c r="AI421" i="23"/>
  <c r="AJ421" i="23"/>
  <c r="AK421" i="23"/>
  <c r="AL421" i="23"/>
  <c r="AM421" i="23"/>
  <c r="AN421" i="23"/>
  <c r="AO421" i="23"/>
  <c r="AP421" i="23"/>
  <c r="AQ421" i="23"/>
  <c r="AR421" i="23"/>
  <c r="AF422" i="23"/>
  <c r="AG422" i="23"/>
  <c r="AH422" i="23"/>
  <c r="AI422" i="23"/>
  <c r="AJ422" i="23"/>
  <c r="AK422" i="23"/>
  <c r="AL422" i="23"/>
  <c r="AM422" i="23"/>
  <c r="AN422" i="23"/>
  <c r="AO422" i="23"/>
  <c r="AP422" i="23"/>
  <c r="AQ422" i="23"/>
  <c r="AR422" i="23"/>
  <c r="AF423" i="23"/>
  <c r="AG423" i="23"/>
  <c r="AH423" i="23"/>
  <c r="AI423" i="23"/>
  <c r="AJ423" i="23"/>
  <c r="AK423" i="23"/>
  <c r="AL423" i="23"/>
  <c r="AM423" i="23"/>
  <c r="AN423" i="23"/>
  <c r="AO423" i="23"/>
  <c r="AP423" i="23"/>
  <c r="AQ423" i="23"/>
  <c r="AR423" i="23"/>
  <c r="AF424" i="23"/>
  <c r="AG424" i="23"/>
  <c r="AH424" i="23"/>
  <c r="AI424" i="23"/>
  <c r="AJ424" i="23"/>
  <c r="AK424" i="23"/>
  <c r="AL424" i="23"/>
  <c r="AM424" i="23"/>
  <c r="AN424" i="23"/>
  <c r="AO424" i="23"/>
  <c r="AP424" i="23"/>
  <c r="AQ424" i="23"/>
  <c r="AR424" i="23"/>
  <c r="AF425" i="23"/>
  <c r="AG425" i="23"/>
  <c r="AH425" i="23"/>
  <c r="AI425" i="23"/>
  <c r="AJ425" i="23"/>
  <c r="AK425" i="23"/>
  <c r="AL425" i="23"/>
  <c r="AM425" i="23"/>
  <c r="AN425" i="23"/>
  <c r="AO425" i="23"/>
  <c r="AP425" i="23"/>
  <c r="AQ425" i="23"/>
  <c r="AR425" i="23"/>
  <c r="AF426" i="23"/>
  <c r="AG426" i="23"/>
  <c r="AH426" i="23"/>
  <c r="AI426" i="23"/>
  <c r="AJ426" i="23"/>
  <c r="AK426" i="23"/>
  <c r="AL426" i="23"/>
  <c r="AM426" i="23"/>
  <c r="AN426" i="23"/>
  <c r="AO426" i="23"/>
  <c r="AP426" i="23"/>
  <c r="AQ426" i="23"/>
  <c r="AR426" i="23"/>
  <c r="AF427" i="23"/>
  <c r="AG427" i="23"/>
  <c r="AH427" i="23"/>
  <c r="AI427" i="23"/>
  <c r="AJ427" i="23"/>
  <c r="AK427" i="23"/>
  <c r="AL427" i="23"/>
  <c r="AM427" i="23"/>
  <c r="AN427" i="23"/>
  <c r="AO427" i="23"/>
  <c r="AP427" i="23"/>
  <c r="AQ427" i="23"/>
  <c r="AR427" i="23"/>
  <c r="AF428" i="23"/>
  <c r="AG428" i="23"/>
  <c r="AH428" i="23"/>
  <c r="AI428" i="23"/>
  <c r="AJ428" i="23"/>
  <c r="AK428" i="23"/>
  <c r="AL428" i="23"/>
  <c r="AM428" i="23"/>
  <c r="AN428" i="23"/>
  <c r="AO428" i="23"/>
  <c r="AP428" i="23"/>
  <c r="AQ428" i="23"/>
  <c r="AR428" i="23"/>
  <c r="AF429" i="23"/>
  <c r="AG429" i="23"/>
  <c r="AH429" i="23"/>
  <c r="AI429" i="23"/>
  <c r="AJ429" i="23"/>
  <c r="AK429" i="23"/>
  <c r="AL429" i="23"/>
  <c r="AM429" i="23"/>
  <c r="AN429" i="23"/>
  <c r="AO429" i="23"/>
  <c r="AP429" i="23"/>
  <c r="AQ429" i="23"/>
  <c r="AR429" i="23"/>
  <c r="AR2" i="23"/>
  <c r="AQ2" i="23"/>
  <c r="AP2" i="23"/>
  <c r="AO2" i="23"/>
  <c r="AN2" i="23"/>
  <c r="AM2" i="23"/>
  <c r="AL2" i="23"/>
  <c r="AK2" i="23"/>
  <c r="AJ2" i="23"/>
  <c r="AI2" i="23"/>
  <c r="AH2" i="23"/>
  <c r="AG2" i="23"/>
  <c r="AF2" i="23"/>
  <c r="AL347" i="3"/>
  <c r="AM347" i="3"/>
  <c r="AN347" i="3"/>
  <c r="AO347" i="3"/>
  <c r="AP347" i="3"/>
  <c r="AQ347" i="3"/>
  <c r="AR347" i="3"/>
  <c r="AS347" i="3"/>
  <c r="AT347" i="3"/>
  <c r="AU347" i="3"/>
  <c r="AV347" i="3"/>
  <c r="AW347" i="3"/>
  <c r="AX347" i="3"/>
  <c r="AL348" i="3"/>
  <c r="AM348" i="3"/>
  <c r="AN348" i="3"/>
  <c r="AO348" i="3"/>
  <c r="AP348" i="3"/>
  <c r="AQ348" i="3"/>
  <c r="AR348" i="3"/>
  <c r="AS348" i="3"/>
  <c r="AT348" i="3"/>
  <c r="AU348" i="3"/>
  <c r="AV348" i="3"/>
  <c r="AW348" i="3"/>
  <c r="AX348" i="3"/>
  <c r="AL349" i="3"/>
  <c r="AM349" i="3"/>
  <c r="AN349" i="3"/>
  <c r="AO349" i="3"/>
  <c r="AP349" i="3"/>
  <c r="AQ349" i="3"/>
  <c r="AR349" i="3"/>
  <c r="AS349" i="3"/>
  <c r="AT349" i="3"/>
  <c r="AU349" i="3"/>
  <c r="AV349" i="3"/>
  <c r="AW349" i="3"/>
  <c r="AX349" i="3"/>
  <c r="AL350" i="3"/>
  <c r="AM350" i="3"/>
  <c r="AN350" i="3"/>
  <c r="AO350" i="3"/>
  <c r="AP350" i="3"/>
  <c r="AQ350" i="3"/>
  <c r="AR350" i="3"/>
  <c r="AS350" i="3"/>
  <c r="AT350" i="3"/>
  <c r="AU350" i="3"/>
  <c r="AV350" i="3"/>
  <c r="AW350" i="3"/>
  <c r="AX350" i="3"/>
  <c r="AL351" i="3"/>
  <c r="AM351" i="3"/>
  <c r="AN351" i="3"/>
  <c r="AO351" i="3"/>
  <c r="AP351" i="3"/>
  <c r="AQ351" i="3"/>
  <c r="AR351" i="3"/>
  <c r="AS351" i="3"/>
  <c r="AT351" i="3"/>
  <c r="AU351" i="3"/>
  <c r="AV351" i="3"/>
  <c r="AW351" i="3"/>
  <c r="AX351" i="3"/>
  <c r="AL352" i="3"/>
  <c r="AM352" i="3"/>
  <c r="AN352" i="3"/>
  <c r="AO352" i="3"/>
  <c r="AP352" i="3"/>
  <c r="AQ352" i="3"/>
  <c r="AR352" i="3"/>
  <c r="AS352" i="3"/>
  <c r="AT352" i="3"/>
  <c r="AU352" i="3"/>
  <c r="AV352" i="3"/>
  <c r="AW352" i="3"/>
  <c r="AX352" i="3"/>
  <c r="AL353" i="3"/>
  <c r="AM353" i="3"/>
  <c r="AN353" i="3"/>
  <c r="AO353" i="3"/>
  <c r="AP353" i="3"/>
  <c r="AQ353" i="3"/>
  <c r="AR353" i="3"/>
  <c r="AS353" i="3"/>
  <c r="AT353" i="3"/>
  <c r="AU353" i="3"/>
  <c r="AV353" i="3"/>
  <c r="AW353" i="3"/>
  <c r="AX353" i="3"/>
  <c r="AL354" i="3"/>
  <c r="AM354" i="3"/>
  <c r="AN354" i="3"/>
  <c r="AO354" i="3"/>
  <c r="AP354" i="3"/>
  <c r="AQ354" i="3"/>
  <c r="AR354" i="3"/>
  <c r="AS354" i="3"/>
  <c r="AT354" i="3"/>
  <c r="AU354" i="3"/>
  <c r="AV354" i="3"/>
  <c r="AW354" i="3"/>
  <c r="AX354" i="3"/>
  <c r="AL355" i="3"/>
  <c r="AM355" i="3"/>
  <c r="AN355" i="3"/>
  <c r="AO355" i="3"/>
  <c r="AP355" i="3"/>
  <c r="AQ355" i="3"/>
  <c r="AR355" i="3"/>
  <c r="AS355" i="3"/>
  <c r="AT355" i="3"/>
  <c r="AU355" i="3"/>
  <c r="AV355" i="3"/>
  <c r="AW355" i="3"/>
  <c r="AX355" i="3"/>
  <c r="AL356" i="3"/>
  <c r="AM356" i="3"/>
  <c r="AN356" i="3"/>
  <c r="AO356" i="3"/>
  <c r="AP356" i="3"/>
  <c r="AQ356" i="3"/>
  <c r="AR356" i="3"/>
  <c r="AS356" i="3"/>
  <c r="AT356" i="3"/>
  <c r="AU356" i="3"/>
  <c r="AV356" i="3"/>
  <c r="AW356" i="3"/>
  <c r="AX356" i="3"/>
  <c r="AL357" i="3"/>
  <c r="AM357" i="3"/>
  <c r="AN357" i="3"/>
  <c r="AO357" i="3"/>
  <c r="AP357" i="3"/>
  <c r="AQ357" i="3"/>
  <c r="AR357" i="3"/>
  <c r="AS357" i="3"/>
  <c r="AT357" i="3"/>
  <c r="AU357" i="3"/>
  <c r="AV357" i="3"/>
  <c r="AW357" i="3"/>
  <c r="AX357" i="3"/>
  <c r="AL358" i="3"/>
  <c r="AM358" i="3"/>
  <c r="AN358" i="3"/>
  <c r="AO358" i="3"/>
  <c r="AP358" i="3"/>
  <c r="AQ358" i="3"/>
  <c r="AR358" i="3"/>
  <c r="AS358" i="3"/>
  <c r="AT358" i="3"/>
  <c r="AU358" i="3"/>
  <c r="AV358" i="3"/>
  <c r="AW358" i="3"/>
  <c r="AX358" i="3"/>
  <c r="AL359" i="3"/>
  <c r="AM359" i="3"/>
  <c r="AN359" i="3"/>
  <c r="AO359" i="3"/>
  <c r="AP359" i="3"/>
  <c r="AQ359" i="3"/>
  <c r="AR359" i="3"/>
  <c r="AS359" i="3"/>
  <c r="AT359" i="3"/>
  <c r="AU359" i="3"/>
  <c r="AV359" i="3"/>
  <c r="AW359" i="3"/>
  <c r="AX359" i="3"/>
  <c r="AL360" i="3"/>
  <c r="AM360" i="3"/>
  <c r="AN360" i="3"/>
  <c r="AO360" i="3"/>
  <c r="AP360" i="3"/>
  <c r="AQ360" i="3"/>
  <c r="AR360" i="3"/>
  <c r="AS360" i="3"/>
  <c r="AT360" i="3"/>
  <c r="AU360" i="3"/>
  <c r="AV360" i="3"/>
  <c r="AW360" i="3"/>
  <c r="AX360" i="3"/>
  <c r="AL361" i="3"/>
  <c r="AM361" i="3"/>
  <c r="AN361" i="3"/>
  <c r="AO361" i="3"/>
  <c r="AP361" i="3"/>
  <c r="AQ361" i="3"/>
  <c r="AR361" i="3"/>
  <c r="AS361" i="3"/>
  <c r="AT361" i="3"/>
  <c r="AU361" i="3"/>
  <c r="AV361" i="3"/>
  <c r="AW361" i="3"/>
  <c r="AX361" i="3"/>
  <c r="AL362" i="3"/>
  <c r="AM362" i="3"/>
  <c r="AN362" i="3"/>
  <c r="AO362" i="3"/>
  <c r="AP362" i="3"/>
  <c r="AQ362" i="3"/>
  <c r="AR362" i="3"/>
  <c r="AS362" i="3"/>
  <c r="AT362" i="3"/>
  <c r="AU362" i="3"/>
  <c r="AV362" i="3"/>
  <c r="AW362" i="3"/>
  <c r="AX362" i="3"/>
  <c r="AL363" i="3"/>
  <c r="AM363" i="3"/>
  <c r="AN363" i="3"/>
  <c r="AO363" i="3"/>
  <c r="AP363" i="3"/>
  <c r="AQ363" i="3"/>
  <c r="AR363" i="3"/>
  <c r="AS363" i="3"/>
  <c r="AT363" i="3"/>
  <c r="AU363" i="3"/>
  <c r="AV363" i="3"/>
  <c r="AW363" i="3"/>
  <c r="AX363" i="3"/>
  <c r="AL364" i="3"/>
  <c r="AM364" i="3"/>
  <c r="AN364" i="3"/>
  <c r="AO364" i="3"/>
  <c r="AP364" i="3"/>
  <c r="AQ364" i="3"/>
  <c r="AR364" i="3"/>
  <c r="AS364" i="3"/>
  <c r="AT364" i="3"/>
  <c r="AU364" i="3"/>
  <c r="AV364" i="3"/>
  <c r="AW364" i="3"/>
  <c r="AX364" i="3"/>
  <c r="AL365" i="3"/>
  <c r="AM365" i="3"/>
  <c r="AN365" i="3"/>
  <c r="AO365" i="3"/>
  <c r="AP365" i="3"/>
  <c r="AQ365" i="3"/>
  <c r="AR365" i="3"/>
  <c r="AS365" i="3"/>
  <c r="AT365" i="3"/>
  <c r="AU365" i="3"/>
  <c r="AV365" i="3"/>
  <c r="AW365" i="3"/>
  <c r="AX365" i="3"/>
  <c r="AL366" i="3"/>
  <c r="AM366" i="3"/>
  <c r="AN366" i="3"/>
  <c r="AO366" i="3"/>
  <c r="AP366" i="3"/>
  <c r="AQ366" i="3"/>
  <c r="AR366" i="3"/>
  <c r="AS366" i="3"/>
  <c r="AT366" i="3"/>
  <c r="AU366" i="3"/>
  <c r="AV366" i="3"/>
  <c r="AW366" i="3"/>
  <c r="AX366" i="3"/>
  <c r="AL367" i="3"/>
  <c r="AM367" i="3"/>
  <c r="AN367" i="3"/>
  <c r="AO367" i="3"/>
  <c r="AP367" i="3"/>
  <c r="AQ367" i="3"/>
  <c r="AR367" i="3"/>
  <c r="AS367" i="3"/>
  <c r="AT367" i="3"/>
  <c r="AU367" i="3"/>
  <c r="AV367" i="3"/>
  <c r="AW367" i="3"/>
  <c r="AX367" i="3"/>
  <c r="AL368" i="3"/>
  <c r="AM368" i="3"/>
  <c r="AN368" i="3"/>
  <c r="AO368" i="3"/>
  <c r="AP368" i="3"/>
  <c r="AQ368" i="3"/>
  <c r="AR368" i="3"/>
  <c r="AS368" i="3"/>
  <c r="AT368" i="3"/>
  <c r="AU368" i="3"/>
  <c r="AV368" i="3"/>
  <c r="AW368" i="3"/>
  <c r="AX368" i="3"/>
  <c r="AL369" i="3"/>
  <c r="AM369" i="3"/>
  <c r="AN369" i="3"/>
  <c r="AO369" i="3"/>
  <c r="AP369" i="3"/>
  <c r="AQ369" i="3"/>
  <c r="AR369" i="3"/>
  <c r="AS369" i="3"/>
  <c r="AT369" i="3"/>
  <c r="AU369" i="3"/>
  <c r="AV369" i="3"/>
  <c r="AW369" i="3"/>
  <c r="AX369" i="3"/>
  <c r="AL370" i="3"/>
  <c r="AM370" i="3"/>
  <c r="AN370" i="3"/>
  <c r="AO370" i="3"/>
  <c r="AP370" i="3"/>
  <c r="AQ370" i="3"/>
  <c r="AR370" i="3"/>
  <c r="AS370" i="3"/>
  <c r="AT370" i="3"/>
  <c r="AU370" i="3"/>
  <c r="AV370" i="3"/>
  <c r="AW370" i="3"/>
  <c r="AX370" i="3"/>
  <c r="AL371" i="3"/>
  <c r="AM371" i="3"/>
  <c r="AN371" i="3"/>
  <c r="AO371" i="3"/>
  <c r="AP371" i="3"/>
  <c r="AQ371" i="3"/>
  <c r="AR371" i="3"/>
  <c r="AS371" i="3"/>
  <c r="AT371" i="3"/>
  <c r="AU371" i="3"/>
  <c r="AV371" i="3"/>
  <c r="AW371" i="3"/>
  <c r="AX371" i="3"/>
  <c r="AL372" i="3"/>
  <c r="AM372" i="3"/>
  <c r="AN372" i="3"/>
  <c r="AO372" i="3"/>
  <c r="AP372" i="3"/>
  <c r="AQ372" i="3"/>
  <c r="AR372" i="3"/>
  <c r="AS372" i="3"/>
  <c r="AT372" i="3"/>
  <c r="AU372" i="3"/>
  <c r="AV372" i="3"/>
  <c r="AW372" i="3"/>
  <c r="AX372" i="3"/>
  <c r="AL373" i="3"/>
  <c r="AM373" i="3"/>
  <c r="AN373" i="3"/>
  <c r="AO373" i="3"/>
  <c r="AP373" i="3"/>
  <c r="AQ373" i="3"/>
  <c r="AR373" i="3"/>
  <c r="AS373" i="3"/>
  <c r="AT373" i="3"/>
  <c r="AU373" i="3"/>
  <c r="AV373" i="3"/>
  <c r="AW373" i="3"/>
  <c r="AX373" i="3"/>
  <c r="AL374" i="3"/>
  <c r="AM374" i="3"/>
  <c r="AN374" i="3"/>
  <c r="AO374" i="3"/>
  <c r="AP374" i="3"/>
  <c r="AQ374" i="3"/>
  <c r="AR374" i="3"/>
  <c r="AS374" i="3"/>
  <c r="AT374" i="3"/>
  <c r="AU374" i="3"/>
  <c r="AV374" i="3"/>
  <c r="AW374" i="3"/>
  <c r="AX374" i="3"/>
  <c r="AL375" i="3"/>
  <c r="AM375" i="3"/>
  <c r="AN375" i="3"/>
  <c r="AO375" i="3"/>
  <c r="AP375" i="3"/>
  <c r="AQ375" i="3"/>
  <c r="AR375" i="3"/>
  <c r="AS375" i="3"/>
  <c r="AT375" i="3"/>
  <c r="AU375" i="3"/>
  <c r="AV375" i="3"/>
  <c r="AW375" i="3"/>
  <c r="AX375" i="3"/>
  <c r="AL376" i="3"/>
  <c r="AM376" i="3"/>
  <c r="AN376" i="3"/>
  <c r="AO376" i="3"/>
  <c r="AP376" i="3"/>
  <c r="AQ376" i="3"/>
  <c r="AR376" i="3"/>
  <c r="AS376" i="3"/>
  <c r="AT376" i="3"/>
  <c r="AU376" i="3"/>
  <c r="AV376" i="3"/>
  <c r="AW376" i="3"/>
  <c r="AX376" i="3"/>
  <c r="AL377" i="3"/>
  <c r="AM377" i="3"/>
  <c r="AN377" i="3"/>
  <c r="AO377" i="3"/>
  <c r="AP377" i="3"/>
  <c r="AQ377" i="3"/>
  <c r="AR377" i="3"/>
  <c r="AS377" i="3"/>
  <c r="AT377" i="3"/>
  <c r="AU377" i="3"/>
  <c r="AV377" i="3"/>
  <c r="AW377" i="3"/>
  <c r="AX377" i="3"/>
  <c r="AL378" i="3"/>
  <c r="AM378" i="3"/>
  <c r="AN378" i="3"/>
  <c r="AO378" i="3"/>
  <c r="AP378" i="3"/>
  <c r="AQ378" i="3"/>
  <c r="AR378" i="3"/>
  <c r="AS378" i="3"/>
  <c r="AT378" i="3"/>
  <c r="AU378" i="3"/>
  <c r="AV378" i="3"/>
  <c r="AW378" i="3"/>
  <c r="AX378" i="3"/>
  <c r="AL379" i="3"/>
  <c r="AM379" i="3"/>
  <c r="AN379" i="3"/>
  <c r="AO379" i="3"/>
  <c r="AP379" i="3"/>
  <c r="AQ379" i="3"/>
  <c r="AR379" i="3"/>
  <c r="AS379" i="3"/>
  <c r="AT379" i="3"/>
  <c r="AU379" i="3"/>
  <c r="AV379" i="3"/>
  <c r="AW379" i="3"/>
  <c r="AX379" i="3"/>
  <c r="AL380" i="3"/>
  <c r="AM380" i="3"/>
  <c r="AN380" i="3"/>
  <c r="AO380" i="3"/>
  <c r="AP380" i="3"/>
  <c r="AQ380" i="3"/>
  <c r="AR380" i="3"/>
  <c r="AS380" i="3"/>
  <c r="AT380" i="3"/>
  <c r="AU380" i="3"/>
  <c r="AV380" i="3"/>
  <c r="AW380" i="3"/>
  <c r="AX380" i="3"/>
  <c r="AL381" i="3"/>
  <c r="AM381" i="3"/>
  <c r="AN381" i="3"/>
  <c r="AO381" i="3"/>
  <c r="AP381" i="3"/>
  <c r="AQ381" i="3"/>
  <c r="AR381" i="3"/>
  <c r="AS381" i="3"/>
  <c r="AT381" i="3"/>
  <c r="AU381" i="3"/>
  <c r="AV381" i="3"/>
  <c r="AW381" i="3"/>
  <c r="AX381" i="3"/>
  <c r="AL382" i="3"/>
  <c r="AM382" i="3"/>
  <c r="AN382" i="3"/>
  <c r="AO382" i="3"/>
  <c r="AP382" i="3"/>
  <c r="AQ382" i="3"/>
  <c r="AR382" i="3"/>
  <c r="AS382" i="3"/>
  <c r="AT382" i="3"/>
  <c r="AU382" i="3"/>
  <c r="AV382" i="3"/>
  <c r="AW382" i="3"/>
  <c r="AX382" i="3"/>
  <c r="AL383" i="3"/>
  <c r="AM383" i="3"/>
  <c r="AN383" i="3"/>
  <c r="AO383" i="3"/>
  <c r="AP383" i="3"/>
  <c r="AQ383" i="3"/>
  <c r="AR383" i="3"/>
  <c r="AS383" i="3"/>
  <c r="AT383" i="3"/>
  <c r="AU383" i="3"/>
  <c r="AV383" i="3"/>
  <c r="AW383" i="3"/>
  <c r="AX383" i="3"/>
  <c r="AL384" i="3"/>
  <c r="AM384" i="3"/>
  <c r="AN384" i="3"/>
  <c r="AO384" i="3"/>
  <c r="AP384" i="3"/>
  <c r="AQ384" i="3"/>
  <c r="AR384" i="3"/>
  <c r="AS384" i="3"/>
  <c r="AT384" i="3"/>
  <c r="AU384" i="3"/>
  <c r="AV384" i="3"/>
  <c r="AW384" i="3"/>
  <c r="AX384" i="3"/>
  <c r="AL385" i="3"/>
  <c r="AM385" i="3"/>
  <c r="AN385" i="3"/>
  <c r="AO385" i="3"/>
  <c r="AP385" i="3"/>
  <c r="AQ385" i="3"/>
  <c r="AR385" i="3"/>
  <c r="AS385" i="3"/>
  <c r="AT385" i="3"/>
  <c r="AU385" i="3"/>
  <c r="AV385" i="3"/>
  <c r="AW385" i="3"/>
  <c r="AX385" i="3"/>
  <c r="AL386" i="3"/>
  <c r="AM386" i="3"/>
  <c r="AN386" i="3"/>
  <c r="AO386" i="3"/>
  <c r="AP386" i="3"/>
  <c r="AQ386" i="3"/>
  <c r="AR386" i="3"/>
  <c r="AS386" i="3"/>
  <c r="AT386" i="3"/>
  <c r="AU386" i="3"/>
  <c r="AV386" i="3"/>
  <c r="AW386" i="3"/>
  <c r="AX386" i="3"/>
  <c r="AL387" i="3"/>
  <c r="AM387" i="3"/>
  <c r="AN387" i="3"/>
  <c r="AO387" i="3"/>
  <c r="AP387" i="3"/>
  <c r="AQ387" i="3"/>
  <c r="AR387" i="3"/>
  <c r="AS387" i="3"/>
  <c r="AT387" i="3"/>
  <c r="AU387" i="3"/>
  <c r="AV387" i="3"/>
  <c r="AW387" i="3"/>
  <c r="AX387" i="3"/>
  <c r="AL388" i="3"/>
  <c r="AM388" i="3"/>
  <c r="AN388" i="3"/>
  <c r="AO388" i="3"/>
  <c r="AP388" i="3"/>
  <c r="AQ388" i="3"/>
  <c r="AR388" i="3"/>
  <c r="AS388" i="3"/>
  <c r="AT388" i="3"/>
  <c r="AU388" i="3"/>
  <c r="AV388" i="3"/>
  <c r="AW388" i="3"/>
  <c r="AX388" i="3"/>
  <c r="AL389" i="3"/>
  <c r="AM389" i="3"/>
  <c r="AN389" i="3"/>
  <c r="AO389" i="3"/>
  <c r="AP389" i="3"/>
  <c r="AQ389" i="3"/>
  <c r="AR389" i="3"/>
  <c r="AS389" i="3"/>
  <c r="AT389" i="3"/>
  <c r="AU389" i="3"/>
  <c r="AV389" i="3"/>
  <c r="AW389" i="3"/>
  <c r="AX389" i="3"/>
  <c r="AL390" i="3"/>
  <c r="AM390" i="3"/>
  <c r="AN390" i="3"/>
  <c r="AO390" i="3"/>
  <c r="AP390" i="3"/>
  <c r="AQ390" i="3"/>
  <c r="AR390" i="3"/>
  <c r="AS390" i="3"/>
  <c r="AT390" i="3"/>
  <c r="AU390" i="3"/>
  <c r="AV390" i="3"/>
  <c r="AW390" i="3"/>
  <c r="AX390" i="3"/>
  <c r="AL391" i="3"/>
  <c r="AM391" i="3"/>
  <c r="AN391" i="3"/>
  <c r="AO391" i="3"/>
  <c r="AP391" i="3"/>
  <c r="AQ391" i="3"/>
  <c r="AR391" i="3"/>
  <c r="AS391" i="3"/>
  <c r="AT391" i="3"/>
  <c r="AU391" i="3"/>
  <c r="AV391" i="3"/>
  <c r="AW391" i="3"/>
  <c r="AX391" i="3"/>
  <c r="AL392" i="3"/>
  <c r="AM392" i="3"/>
  <c r="AN392" i="3"/>
  <c r="AO392" i="3"/>
  <c r="AP392" i="3"/>
  <c r="AQ392" i="3"/>
  <c r="AR392" i="3"/>
  <c r="AS392" i="3"/>
  <c r="AT392" i="3"/>
  <c r="AU392" i="3"/>
  <c r="AV392" i="3"/>
  <c r="AW392" i="3"/>
  <c r="AX392" i="3"/>
  <c r="AL393" i="3"/>
  <c r="AM393" i="3"/>
  <c r="AN393" i="3"/>
  <c r="AO393" i="3"/>
  <c r="AP393" i="3"/>
  <c r="AQ393" i="3"/>
  <c r="AR393" i="3"/>
  <c r="AS393" i="3"/>
  <c r="AT393" i="3"/>
  <c r="AU393" i="3"/>
  <c r="AV393" i="3"/>
  <c r="AW393" i="3"/>
  <c r="AX393" i="3"/>
  <c r="AL394" i="3"/>
  <c r="AM394" i="3"/>
  <c r="AN394" i="3"/>
  <c r="AO394" i="3"/>
  <c r="AP394" i="3"/>
  <c r="AQ394" i="3"/>
  <c r="AR394" i="3"/>
  <c r="AS394" i="3"/>
  <c r="AT394" i="3"/>
  <c r="AU394" i="3"/>
  <c r="AV394" i="3"/>
  <c r="AW394" i="3"/>
  <c r="AX394" i="3"/>
  <c r="AL395" i="3"/>
  <c r="AM395" i="3"/>
  <c r="AN395" i="3"/>
  <c r="AO395" i="3"/>
  <c r="AP395" i="3"/>
  <c r="AQ395" i="3"/>
  <c r="AR395" i="3"/>
  <c r="AS395" i="3"/>
  <c r="AT395" i="3"/>
  <c r="AU395" i="3"/>
  <c r="AV395" i="3"/>
  <c r="AW395" i="3"/>
  <c r="AX395" i="3"/>
  <c r="AL396" i="3"/>
  <c r="AM396" i="3"/>
  <c r="AN396" i="3"/>
  <c r="AO396" i="3"/>
  <c r="AP396" i="3"/>
  <c r="AQ396" i="3"/>
  <c r="AR396" i="3"/>
  <c r="AS396" i="3"/>
  <c r="AT396" i="3"/>
  <c r="AU396" i="3"/>
  <c r="AV396" i="3"/>
  <c r="AW396" i="3"/>
  <c r="AX396" i="3"/>
  <c r="AL397" i="3"/>
  <c r="AM397" i="3"/>
  <c r="AN397" i="3"/>
  <c r="AO397" i="3"/>
  <c r="AP397" i="3"/>
  <c r="AQ397" i="3"/>
  <c r="AR397" i="3"/>
  <c r="AS397" i="3"/>
  <c r="AT397" i="3"/>
  <c r="AU397" i="3"/>
  <c r="AV397" i="3"/>
  <c r="AW397" i="3"/>
  <c r="AX397" i="3"/>
  <c r="AL398" i="3"/>
  <c r="AM398" i="3"/>
  <c r="AN398" i="3"/>
  <c r="AO398" i="3"/>
  <c r="AP398" i="3"/>
  <c r="AQ398" i="3"/>
  <c r="AR398" i="3"/>
  <c r="AS398" i="3"/>
  <c r="AT398" i="3"/>
  <c r="AU398" i="3"/>
  <c r="AV398" i="3"/>
  <c r="AW398" i="3"/>
  <c r="AX398" i="3"/>
  <c r="AL399" i="3"/>
  <c r="AM399" i="3"/>
  <c r="AN399" i="3"/>
  <c r="AO399" i="3"/>
  <c r="AP399" i="3"/>
  <c r="AQ399" i="3"/>
  <c r="AR399" i="3"/>
  <c r="AS399" i="3"/>
  <c r="AT399" i="3"/>
  <c r="AU399" i="3"/>
  <c r="AV399" i="3"/>
  <c r="AW399" i="3"/>
  <c r="AX399" i="3"/>
  <c r="AL400" i="3"/>
  <c r="AM400" i="3"/>
  <c r="AN400" i="3"/>
  <c r="AO400" i="3"/>
  <c r="AP400" i="3"/>
  <c r="AQ400" i="3"/>
  <c r="AR400" i="3"/>
  <c r="AS400" i="3"/>
  <c r="AT400" i="3"/>
  <c r="AU400" i="3"/>
  <c r="AV400" i="3"/>
  <c r="AW400" i="3"/>
  <c r="AX400" i="3"/>
  <c r="AL401" i="3"/>
  <c r="AM401" i="3"/>
  <c r="AN401" i="3"/>
  <c r="AO401" i="3"/>
  <c r="AP401" i="3"/>
  <c r="AQ401" i="3"/>
  <c r="AR401" i="3"/>
  <c r="AS401" i="3"/>
  <c r="AT401" i="3"/>
  <c r="AU401" i="3"/>
  <c r="AV401" i="3"/>
  <c r="AW401" i="3"/>
  <c r="AX401" i="3"/>
  <c r="AL402" i="3"/>
  <c r="AM402" i="3"/>
  <c r="AN402" i="3"/>
  <c r="AO402" i="3"/>
  <c r="AP402" i="3"/>
  <c r="AQ402" i="3"/>
  <c r="AR402" i="3"/>
  <c r="AS402" i="3"/>
  <c r="AT402" i="3"/>
  <c r="AU402" i="3"/>
  <c r="AV402" i="3"/>
  <c r="AW402" i="3"/>
  <c r="AX402" i="3"/>
  <c r="AL403" i="3"/>
  <c r="AM403" i="3"/>
  <c r="AN403" i="3"/>
  <c r="AO403" i="3"/>
  <c r="AP403" i="3"/>
  <c r="AQ403" i="3"/>
  <c r="AR403" i="3"/>
  <c r="AS403" i="3"/>
  <c r="AT403" i="3"/>
  <c r="AU403" i="3"/>
  <c r="AV403" i="3"/>
  <c r="AW403" i="3"/>
  <c r="AX403" i="3"/>
  <c r="AL404" i="3"/>
  <c r="AM404" i="3"/>
  <c r="AN404" i="3"/>
  <c r="AO404" i="3"/>
  <c r="AP404" i="3"/>
  <c r="AQ404" i="3"/>
  <c r="AR404" i="3"/>
  <c r="AS404" i="3"/>
  <c r="AT404" i="3"/>
  <c r="AU404" i="3"/>
  <c r="AV404" i="3"/>
  <c r="AW404" i="3"/>
  <c r="AX404" i="3"/>
  <c r="AL405" i="3"/>
  <c r="AM405" i="3"/>
  <c r="AN405" i="3"/>
  <c r="AO405" i="3"/>
  <c r="AP405" i="3"/>
  <c r="AQ405" i="3"/>
  <c r="AR405" i="3"/>
  <c r="AS405" i="3"/>
  <c r="AT405" i="3"/>
  <c r="AU405" i="3"/>
  <c r="AV405" i="3"/>
  <c r="AW405" i="3"/>
  <c r="AX405" i="3"/>
  <c r="AL406" i="3"/>
  <c r="AM406" i="3"/>
  <c r="AN406" i="3"/>
  <c r="AO406" i="3"/>
  <c r="AP406" i="3"/>
  <c r="AQ406" i="3"/>
  <c r="AR406" i="3"/>
  <c r="AS406" i="3"/>
  <c r="AT406" i="3"/>
  <c r="AU406" i="3"/>
  <c r="AV406" i="3"/>
  <c r="AW406" i="3"/>
  <c r="AX406" i="3"/>
  <c r="AL407" i="3"/>
  <c r="AM407" i="3"/>
  <c r="AN407" i="3"/>
  <c r="AO407" i="3"/>
  <c r="AP407" i="3"/>
  <c r="AQ407" i="3"/>
  <c r="AR407" i="3"/>
  <c r="AS407" i="3"/>
  <c r="AT407" i="3"/>
  <c r="AU407" i="3"/>
  <c r="AV407" i="3"/>
  <c r="AW407" i="3"/>
  <c r="AX407" i="3"/>
  <c r="AL408" i="3"/>
  <c r="AM408" i="3"/>
  <c r="AN408" i="3"/>
  <c r="AO408" i="3"/>
  <c r="AP408" i="3"/>
  <c r="AQ408" i="3"/>
  <c r="AR408" i="3"/>
  <c r="AS408" i="3"/>
  <c r="AT408" i="3"/>
  <c r="AU408" i="3"/>
  <c r="AV408" i="3"/>
  <c r="AW408" i="3"/>
  <c r="AX408" i="3"/>
  <c r="AL409" i="3"/>
  <c r="AM409" i="3"/>
  <c r="AN409" i="3"/>
  <c r="AO409" i="3"/>
  <c r="AP409" i="3"/>
  <c r="AQ409" i="3"/>
  <c r="AR409" i="3"/>
  <c r="AS409" i="3"/>
  <c r="AT409" i="3"/>
  <c r="AU409" i="3"/>
  <c r="AV409" i="3"/>
  <c r="AW409" i="3"/>
  <c r="AX409" i="3"/>
  <c r="AL410" i="3"/>
  <c r="AM410" i="3"/>
  <c r="AN410" i="3"/>
  <c r="AO410" i="3"/>
  <c r="AP410" i="3"/>
  <c r="AQ410" i="3"/>
  <c r="AR410" i="3"/>
  <c r="AS410" i="3"/>
  <c r="AT410" i="3"/>
  <c r="AU410" i="3"/>
  <c r="AV410" i="3"/>
  <c r="AW410" i="3"/>
  <c r="AX410" i="3"/>
  <c r="AL411" i="3"/>
  <c r="AM411" i="3"/>
  <c r="AN411" i="3"/>
  <c r="AO411" i="3"/>
  <c r="AP411" i="3"/>
  <c r="AQ411" i="3"/>
  <c r="AR411" i="3"/>
  <c r="AS411" i="3"/>
  <c r="AT411" i="3"/>
  <c r="AU411" i="3"/>
  <c r="AV411" i="3"/>
  <c r="AW411" i="3"/>
  <c r="AX411" i="3"/>
  <c r="AL412" i="3"/>
  <c r="AM412" i="3"/>
  <c r="AN412" i="3"/>
  <c r="AO412" i="3"/>
  <c r="AP412" i="3"/>
  <c r="AQ412" i="3"/>
  <c r="AR412" i="3"/>
  <c r="AS412" i="3"/>
  <c r="AT412" i="3"/>
  <c r="AU412" i="3"/>
  <c r="AV412" i="3"/>
  <c r="AW412" i="3"/>
  <c r="AX412" i="3"/>
  <c r="AL413" i="3"/>
  <c r="AM413" i="3"/>
  <c r="AN413" i="3"/>
  <c r="AO413" i="3"/>
  <c r="AP413" i="3"/>
  <c r="AQ413" i="3"/>
  <c r="AR413" i="3"/>
  <c r="AS413" i="3"/>
  <c r="AT413" i="3"/>
  <c r="AU413" i="3"/>
  <c r="AV413" i="3"/>
  <c r="AW413" i="3"/>
  <c r="AX413" i="3"/>
  <c r="AL414" i="3"/>
  <c r="AM414" i="3"/>
  <c r="AN414" i="3"/>
  <c r="AO414" i="3"/>
  <c r="AP414" i="3"/>
  <c r="AQ414" i="3"/>
  <c r="AR414" i="3"/>
  <c r="AS414" i="3"/>
  <c r="AT414" i="3"/>
  <c r="AU414" i="3"/>
  <c r="AV414" i="3"/>
  <c r="AW414" i="3"/>
  <c r="AX414" i="3"/>
  <c r="AL415" i="3"/>
  <c r="AM415" i="3"/>
  <c r="AN415" i="3"/>
  <c r="AO415" i="3"/>
  <c r="AP415" i="3"/>
  <c r="AQ415" i="3"/>
  <c r="AR415" i="3"/>
  <c r="AS415" i="3"/>
  <c r="AT415" i="3"/>
  <c r="AU415" i="3"/>
  <c r="AV415" i="3"/>
  <c r="AW415" i="3"/>
  <c r="AX415" i="3"/>
  <c r="AL416" i="3"/>
  <c r="AM416" i="3"/>
  <c r="AN416" i="3"/>
  <c r="AO416" i="3"/>
  <c r="AP416" i="3"/>
  <c r="AQ416" i="3"/>
  <c r="AR416" i="3"/>
  <c r="AS416" i="3"/>
  <c r="AT416" i="3"/>
  <c r="AU416" i="3"/>
  <c r="AV416" i="3"/>
  <c r="AW416" i="3"/>
  <c r="AX416" i="3"/>
  <c r="AL417" i="3"/>
  <c r="AM417" i="3"/>
  <c r="AN417" i="3"/>
  <c r="AO417" i="3"/>
  <c r="AP417" i="3"/>
  <c r="AQ417" i="3"/>
  <c r="AR417" i="3"/>
  <c r="AS417" i="3"/>
  <c r="AT417" i="3"/>
  <c r="AU417" i="3"/>
  <c r="AV417" i="3"/>
  <c r="AW417" i="3"/>
  <c r="AX417" i="3"/>
  <c r="AL418" i="3"/>
  <c r="AM418" i="3"/>
  <c r="AN418" i="3"/>
  <c r="AO418" i="3"/>
  <c r="AP418" i="3"/>
  <c r="AQ418" i="3"/>
  <c r="AR418" i="3"/>
  <c r="AS418" i="3"/>
  <c r="AT418" i="3"/>
  <c r="AU418" i="3"/>
  <c r="AV418" i="3"/>
  <c r="AW418" i="3"/>
  <c r="AX418" i="3"/>
  <c r="AL419" i="3"/>
  <c r="AM419" i="3"/>
  <c r="AN419" i="3"/>
  <c r="AO419" i="3"/>
  <c r="AP419" i="3"/>
  <c r="AQ419" i="3"/>
  <c r="AR419" i="3"/>
  <c r="AS419" i="3"/>
  <c r="AT419" i="3"/>
  <c r="AU419" i="3"/>
  <c r="AV419" i="3"/>
  <c r="AW419" i="3"/>
  <c r="AX419" i="3"/>
  <c r="AL420" i="3"/>
  <c r="AM420" i="3"/>
  <c r="AN420" i="3"/>
  <c r="AO420" i="3"/>
  <c r="AP420" i="3"/>
  <c r="AQ420" i="3"/>
  <c r="AR420" i="3"/>
  <c r="AS420" i="3"/>
  <c r="AT420" i="3"/>
  <c r="AU420" i="3"/>
  <c r="AV420" i="3"/>
  <c r="AW420" i="3"/>
  <c r="AX420" i="3"/>
  <c r="AL421" i="3"/>
  <c r="AM421" i="3"/>
  <c r="AN421" i="3"/>
  <c r="AO421" i="3"/>
  <c r="AP421" i="3"/>
  <c r="AQ421" i="3"/>
  <c r="AR421" i="3"/>
  <c r="AS421" i="3"/>
  <c r="AT421" i="3"/>
  <c r="AU421" i="3"/>
  <c r="AV421" i="3"/>
  <c r="AW421" i="3"/>
  <c r="AX421" i="3"/>
  <c r="AL422" i="3"/>
  <c r="AM422" i="3"/>
  <c r="AN422" i="3"/>
  <c r="AO422" i="3"/>
  <c r="AP422" i="3"/>
  <c r="AQ422" i="3"/>
  <c r="AR422" i="3"/>
  <c r="AS422" i="3"/>
  <c r="AT422" i="3"/>
  <c r="AU422" i="3"/>
  <c r="AV422" i="3"/>
  <c r="AW422" i="3"/>
  <c r="AX422" i="3"/>
  <c r="AL423" i="3"/>
  <c r="AM423" i="3"/>
  <c r="AN423" i="3"/>
  <c r="AO423" i="3"/>
  <c r="AP423" i="3"/>
  <c r="AQ423" i="3"/>
  <c r="AR423" i="3"/>
  <c r="AS423" i="3"/>
  <c r="AT423" i="3"/>
  <c r="AU423" i="3"/>
  <c r="AV423" i="3"/>
  <c r="AW423" i="3"/>
  <c r="AX423" i="3"/>
  <c r="AL424" i="3"/>
  <c r="AM424" i="3"/>
  <c r="AN424" i="3"/>
  <c r="AO424" i="3"/>
  <c r="AP424" i="3"/>
  <c r="AQ424" i="3"/>
  <c r="AR424" i="3"/>
  <c r="AS424" i="3"/>
  <c r="AT424" i="3"/>
  <c r="AU424" i="3"/>
  <c r="AV424" i="3"/>
  <c r="AW424" i="3"/>
  <c r="AX424" i="3"/>
  <c r="AL425" i="3"/>
  <c r="AM425" i="3"/>
  <c r="AN425" i="3"/>
  <c r="AO425" i="3"/>
  <c r="AP425" i="3"/>
  <c r="AQ425" i="3"/>
  <c r="AR425" i="3"/>
  <c r="AS425" i="3"/>
  <c r="AT425" i="3"/>
  <c r="AU425" i="3"/>
  <c r="AV425" i="3"/>
  <c r="AW425" i="3"/>
  <c r="AX425" i="3"/>
  <c r="AL426" i="3"/>
  <c r="AM426" i="3"/>
  <c r="AN426" i="3"/>
  <c r="AO426" i="3"/>
  <c r="AP426" i="3"/>
  <c r="AQ426" i="3"/>
  <c r="AR426" i="3"/>
  <c r="AS426" i="3"/>
  <c r="AT426" i="3"/>
  <c r="AU426" i="3"/>
  <c r="AV426" i="3"/>
  <c r="AW426" i="3"/>
  <c r="AX426" i="3"/>
  <c r="AL427" i="3"/>
  <c r="AM427" i="3"/>
  <c r="AN427" i="3"/>
  <c r="AO427" i="3"/>
  <c r="AP427" i="3"/>
  <c r="AQ427" i="3"/>
  <c r="AR427" i="3"/>
  <c r="AS427" i="3"/>
  <c r="AT427" i="3"/>
  <c r="AU427" i="3"/>
  <c r="AV427" i="3"/>
  <c r="AW427" i="3"/>
  <c r="AX427" i="3"/>
  <c r="AL428" i="3"/>
  <c r="AM428" i="3"/>
  <c r="AN428" i="3"/>
  <c r="AO428" i="3"/>
  <c r="AP428" i="3"/>
  <c r="AQ428" i="3"/>
  <c r="AR428" i="3"/>
  <c r="AS428" i="3"/>
  <c r="AT428" i="3"/>
  <c r="AU428" i="3"/>
  <c r="AV428" i="3"/>
  <c r="AW428" i="3"/>
  <c r="AX428" i="3"/>
  <c r="AL429" i="3"/>
  <c r="AM429" i="3"/>
  <c r="AN429" i="3"/>
  <c r="AO429" i="3"/>
  <c r="AP429" i="3"/>
  <c r="AQ429" i="3"/>
  <c r="AR429" i="3"/>
  <c r="AS429" i="3"/>
  <c r="AT429" i="3"/>
  <c r="AU429" i="3"/>
  <c r="AV429" i="3"/>
  <c r="AW429" i="3"/>
  <c r="AX429" i="3"/>
  <c r="AL3" i="3"/>
  <c r="AM3" i="3"/>
  <c r="AN3" i="3"/>
  <c r="AO3" i="3"/>
  <c r="AP3" i="3"/>
  <c r="AQ3" i="3"/>
  <c r="AR3" i="3"/>
  <c r="AS3" i="3"/>
  <c r="AT3" i="3"/>
  <c r="AU3" i="3"/>
  <c r="AV3" i="3"/>
  <c r="AW3" i="3"/>
  <c r="AX3" i="3"/>
  <c r="AL4" i="3"/>
  <c r="AM4" i="3"/>
  <c r="AN4" i="3"/>
  <c r="AO4" i="3"/>
  <c r="AP4" i="3"/>
  <c r="AQ4" i="3"/>
  <c r="AR4" i="3"/>
  <c r="AS4" i="3"/>
  <c r="AT4" i="3"/>
  <c r="AU4" i="3"/>
  <c r="AV4" i="3"/>
  <c r="AW4" i="3"/>
  <c r="AX4" i="3"/>
  <c r="AL5" i="3"/>
  <c r="AM5" i="3"/>
  <c r="AN5" i="3"/>
  <c r="AO5" i="3"/>
  <c r="AP5" i="3"/>
  <c r="AQ5" i="3"/>
  <c r="AR5" i="3"/>
  <c r="AS5" i="3"/>
  <c r="AT5" i="3"/>
  <c r="AU5" i="3"/>
  <c r="AV5" i="3"/>
  <c r="AW5" i="3"/>
  <c r="AX5" i="3"/>
  <c r="AL6" i="3"/>
  <c r="AM6" i="3"/>
  <c r="AN6" i="3"/>
  <c r="AO6" i="3"/>
  <c r="AP6" i="3"/>
  <c r="AQ6" i="3"/>
  <c r="AR6" i="3"/>
  <c r="AS6" i="3"/>
  <c r="AT6" i="3"/>
  <c r="AU6" i="3"/>
  <c r="AV6" i="3"/>
  <c r="AW6" i="3"/>
  <c r="AX6" i="3"/>
  <c r="AL7" i="3"/>
  <c r="AM7" i="3"/>
  <c r="AN7" i="3"/>
  <c r="AO7" i="3"/>
  <c r="AP7" i="3"/>
  <c r="AQ7" i="3"/>
  <c r="AR7" i="3"/>
  <c r="AS7" i="3"/>
  <c r="AT7" i="3"/>
  <c r="AU7" i="3"/>
  <c r="AV7" i="3"/>
  <c r="AW7" i="3"/>
  <c r="AX7" i="3"/>
  <c r="AL8" i="3"/>
  <c r="AM8" i="3"/>
  <c r="AN8" i="3"/>
  <c r="AO8" i="3"/>
  <c r="AP8" i="3"/>
  <c r="AQ8" i="3"/>
  <c r="AR8" i="3"/>
  <c r="AS8" i="3"/>
  <c r="AT8" i="3"/>
  <c r="AU8" i="3"/>
  <c r="AV8" i="3"/>
  <c r="AW8" i="3"/>
  <c r="AX8" i="3"/>
  <c r="AL9" i="3"/>
  <c r="AM9" i="3"/>
  <c r="AN9" i="3"/>
  <c r="AO9" i="3"/>
  <c r="AP9" i="3"/>
  <c r="AQ9" i="3"/>
  <c r="AR9" i="3"/>
  <c r="AS9" i="3"/>
  <c r="AT9" i="3"/>
  <c r="AU9" i="3"/>
  <c r="AV9" i="3"/>
  <c r="AW9" i="3"/>
  <c r="AX9" i="3"/>
  <c r="AL10" i="3"/>
  <c r="AM10" i="3"/>
  <c r="AN10" i="3"/>
  <c r="AO10" i="3"/>
  <c r="AP10" i="3"/>
  <c r="AQ10" i="3"/>
  <c r="AR10" i="3"/>
  <c r="AS10" i="3"/>
  <c r="AT10" i="3"/>
  <c r="AU10" i="3"/>
  <c r="AV10" i="3"/>
  <c r="AW10" i="3"/>
  <c r="AX10" i="3"/>
  <c r="AL11" i="3"/>
  <c r="AM11" i="3"/>
  <c r="AN11" i="3"/>
  <c r="AO11" i="3"/>
  <c r="AP11" i="3"/>
  <c r="AQ11" i="3"/>
  <c r="AR11" i="3"/>
  <c r="AS11" i="3"/>
  <c r="AT11" i="3"/>
  <c r="AU11" i="3"/>
  <c r="AV11" i="3"/>
  <c r="AW11" i="3"/>
  <c r="AX11" i="3"/>
  <c r="AL12" i="3"/>
  <c r="AM12" i="3"/>
  <c r="AN12" i="3"/>
  <c r="AO12" i="3"/>
  <c r="AP12" i="3"/>
  <c r="AQ12" i="3"/>
  <c r="AR12" i="3"/>
  <c r="AS12" i="3"/>
  <c r="AT12" i="3"/>
  <c r="AU12" i="3"/>
  <c r="AV12" i="3"/>
  <c r="AW12" i="3"/>
  <c r="AX12" i="3"/>
  <c r="AL13" i="3"/>
  <c r="AM13" i="3"/>
  <c r="AN13" i="3"/>
  <c r="AO13" i="3"/>
  <c r="AP13" i="3"/>
  <c r="AQ13" i="3"/>
  <c r="AR13" i="3"/>
  <c r="AS13" i="3"/>
  <c r="AT13" i="3"/>
  <c r="AU13" i="3"/>
  <c r="AV13" i="3"/>
  <c r="AW13" i="3"/>
  <c r="AX13" i="3"/>
  <c r="AL14" i="3"/>
  <c r="AM14" i="3"/>
  <c r="AN14" i="3"/>
  <c r="AO14" i="3"/>
  <c r="AP14" i="3"/>
  <c r="AQ14" i="3"/>
  <c r="AR14" i="3"/>
  <c r="AS14" i="3"/>
  <c r="AT14" i="3"/>
  <c r="AU14" i="3"/>
  <c r="AV14" i="3"/>
  <c r="AW14" i="3"/>
  <c r="AX14" i="3"/>
  <c r="AL15" i="3"/>
  <c r="AM15" i="3"/>
  <c r="AN15" i="3"/>
  <c r="AO15" i="3"/>
  <c r="AP15" i="3"/>
  <c r="AQ15" i="3"/>
  <c r="AR15" i="3"/>
  <c r="AS15" i="3"/>
  <c r="AT15" i="3"/>
  <c r="AU15" i="3"/>
  <c r="AV15" i="3"/>
  <c r="AW15" i="3"/>
  <c r="AX15" i="3"/>
  <c r="AL16" i="3"/>
  <c r="AM16" i="3"/>
  <c r="AN16" i="3"/>
  <c r="AO16" i="3"/>
  <c r="AP16" i="3"/>
  <c r="AQ16" i="3"/>
  <c r="AR16" i="3"/>
  <c r="AS16" i="3"/>
  <c r="AT16" i="3"/>
  <c r="AU16" i="3"/>
  <c r="AV16" i="3"/>
  <c r="AW16" i="3"/>
  <c r="AX16" i="3"/>
  <c r="AL17" i="3"/>
  <c r="AM17" i="3"/>
  <c r="AN17" i="3"/>
  <c r="AO17" i="3"/>
  <c r="AP17" i="3"/>
  <c r="AQ17" i="3"/>
  <c r="AR17" i="3"/>
  <c r="AS17" i="3"/>
  <c r="AT17" i="3"/>
  <c r="AU17" i="3"/>
  <c r="AV17" i="3"/>
  <c r="AW17" i="3"/>
  <c r="AX17" i="3"/>
  <c r="AL18" i="3"/>
  <c r="AM18" i="3"/>
  <c r="AN18" i="3"/>
  <c r="AO18" i="3"/>
  <c r="AP18" i="3"/>
  <c r="AQ18" i="3"/>
  <c r="AR18" i="3"/>
  <c r="AS18" i="3"/>
  <c r="AT18" i="3"/>
  <c r="AU18" i="3"/>
  <c r="AV18" i="3"/>
  <c r="AW18" i="3"/>
  <c r="AX18" i="3"/>
  <c r="AL19" i="3"/>
  <c r="AM19" i="3"/>
  <c r="AN19" i="3"/>
  <c r="AO19" i="3"/>
  <c r="AP19" i="3"/>
  <c r="AQ19" i="3"/>
  <c r="AR19" i="3"/>
  <c r="AS19" i="3"/>
  <c r="AT19" i="3"/>
  <c r="AU19" i="3"/>
  <c r="AV19" i="3"/>
  <c r="AW19" i="3"/>
  <c r="AX19" i="3"/>
  <c r="AL20" i="3"/>
  <c r="AM20" i="3"/>
  <c r="AN20" i="3"/>
  <c r="AO20" i="3"/>
  <c r="AP20" i="3"/>
  <c r="AQ20" i="3"/>
  <c r="AR20" i="3"/>
  <c r="AS20" i="3"/>
  <c r="AT20" i="3"/>
  <c r="AU20" i="3"/>
  <c r="AV20" i="3"/>
  <c r="AW20" i="3"/>
  <c r="AX20" i="3"/>
  <c r="AL21" i="3"/>
  <c r="AM21" i="3"/>
  <c r="AN21" i="3"/>
  <c r="AO21" i="3"/>
  <c r="AP21" i="3"/>
  <c r="AQ21" i="3"/>
  <c r="AR21" i="3"/>
  <c r="AS21" i="3"/>
  <c r="AT21" i="3"/>
  <c r="AU21" i="3"/>
  <c r="AV21" i="3"/>
  <c r="AW21" i="3"/>
  <c r="AX21" i="3"/>
  <c r="AL22" i="3"/>
  <c r="AM22" i="3"/>
  <c r="AN22" i="3"/>
  <c r="AO22" i="3"/>
  <c r="AP22" i="3"/>
  <c r="AQ22" i="3"/>
  <c r="AR22" i="3"/>
  <c r="AS22" i="3"/>
  <c r="AT22" i="3"/>
  <c r="AU22" i="3"/>
  <c r="AV22" i="3"/>
  <c r="AW22" i="3"/>
  <c r="AX22" i="3"/>
  <c r="AL23" i="3"/>
  <c r="AM23" i="3"/>
  <c r="AN23" i="3"/>
  <c r="AO23" i="3"/>
  <c r="AP23" i="3"/>
  <c r="AQ23" i="3"/>
  <c r="AR23" i="3"/>
  <c r="AS23" i="3"/>
  <c r="AT23" i="3"/>
  <c r="AU23" i="3"/>
  <c r="AV23" i="3"/>
  <c r="AW23" i="3"/>
  <c r="AX23" i="3"/>
  <c r="AL24" i="3"/>
  <c r="AM24" i="3"/>
  <c r="AN24" i="3"/>
  <c r="AO24" i="3"/>
  <c r="AP24" i="3"/>
  <c r="AQ24" i="3"/>
  <c r="AR24" i="3"/>
  <c r="AS24" i="3"/>
  <c r="AT24" i="3"/>
  <c r="AU24" i="3"/>
  <c r="AV24" i="3"/>
  <c r="AW24" i="3"/>
  <c r="AX24" i="3"/>
  <c r="AL25" i="3"/>
  <c r="AM25" i="3"/>
  <c r="AN25" i="3"/>
  <c r="AO25" i="3"/>
  <c r="AP25" i="3"/>
  <c r="AQ25" i="3"/>
  <c r="AR25" i="3"/>
  <c r="AS25" i="3"/>
  <c r="AT25" i="3"/>
  <c r="AU25" i="3"/>
  <c r="AV25" i="3"/>
  <c r="AW25" i="3"/>
  <c r="AX25" i="3"/>
  <c r="AL26" i="3"/>
  <c r="AM26" i="3"/>
  <c r="AN26" i="3"/>
  <c r="AO26" i="3"/>
  <c r="AP26" i="3"/>
  <c r="AQ26" i="3"/>
  <c r="AR26" i="3"/>
  <c r="AS26" i="3"/>
  <c r="AT26" i="3"/>
  <c r="AU26" i="3"/>
  <c r="AV26" i="3"/>
  <c r="AW26" i="3"/>
  <c r="AX26" i="3"/>
  <c r="AL27" i="3"/>
  <c r="AM27" i="3"/>
  <c r="AN27" i="3"/>
  <c r="AO27" i="3"/>
  <c r="AP27" i="3"/>
  <c r="AQ27" i="3"/>
  <c r="AR27" i="3"/>
  <c r="AS27" i="3"/>
  <c r="AT27" i="3"/>
  <c r="AU27" i="3"/>
  <c r="AV27" i="3"/>
  <c r="AW27" i="3"/>
  <c r="AX27" i="3"/>
  <c r="AL28" i="3"/>
  <c r="AM28" i="3"/>
  <c r="AN28" i="3"/>
  <c r="AO28" i="3"/>
  <c r="AP28" i="3"/>
  <c r="AQ28" i="3"/>
  <c r="AR28" i="3"/>
  <c r="AS28" i="3"/>
  <c r="AT28" i="3"/>
  <c r="AU28" i="3"/>
  <c r="AV28" i="3"/>
  <c r="AW28" i="3"/>
  <c r="AX28" i="3"/>
  <c r="AL29" i="3"/>
  <c r="AM29" i="3"/>
  <c r="AN29" i="3"/>
  <c r="AO29" i="3"/>
  <c r="AP29" i="3"/>
  <c r="AQ29" i="3"/>
  <c r="AR29" i="3"/>
  <c r="AS29" i="3"/>
  <c r="AT29" i="3"/>
  <c r="AU29" i="3"/>
  <c r="AV29" i="3"/>
  <c r="AW29" i="3"/>
  <c r="AX29" i="3"/>
  <c r="AL30" i="3"/>
  <c r="AM30" i="3"/>
  <c r="AN30" i="3"/>
  <c r="AO30" i="3"/>
  <c r="AP30" i="3"/>
  <c r="AQ30" i="3"/>
  <c r="AR30" i="3"/>
  <c r="AS30" i="3"/>
  <c r="AT30" i="3"/>
  <c r="AU30" i="3"/>
  <c r="AV30" i="3"/>
  <c r="AW30" i="3"/>
  <c r="AX30" i="3"/>
  <c r="AL31" i="3"/>
  <c r="AM31" i="3"/>
  <c r="AN31" i="3"/>
  <c r="AO31" i="3"/>
  <c r="AP31" i="3"/>
  <c r="AQ31" i="3"/>
  <c r="AR31" i="3"/>
  <c r="AS31" i="3"/>
  <c r="AT31" i="3"/>
  <c r="AU31" i="3"/>
  <c r="AV31" i="3"/>
  <c r="AW31" i="3"/>
  <c r="AX31" i="3"/>
  <c r="AL32" i="3"/>
  <c r="AM32" i="3"/>
  <c r="AN32" i="3"/>
  <c r="AO32" i="3"/>
  <c r="AP32" i="3"/>
  <c r="AQ32" i="3"/>
  <c r="AR32" i="3"/>
  <c r="AS32" i="3"/>
  <c r="AT32" i="3"/>
  <c r="AU32" i="3"/>
  <c r="AV32" i="3"/>
  <c r="AW32" i="3"/>
  <c r="AX32" i="3"/>
  <c r="AL33" i="3"/>
  <c r="AM33" i="3"/>
  <c r="AN33" i="3"/>
  <c r="AO33" i="3"/>
  <c r="AP33" i="3"/>
  <c r="AQ33" i="3"/>
  <c r="AR33" i="3"/>
  <c r="AS33" i="3"/>
  <c r="AT33" i="3"/>
  <c r="AU33" i="3"/>
  <c r="AV33" i="3"/>
  <c r="AW33" i="3"/>
  <c r="AX33" i="3"/>
  <c r="AL34" i="3"/>
  <c r="AM34" i="3"/>
  <c r="AN34" i="3"/>
  <c r="AO34" i="3"/>
  <c r="AP34" i="3"/>
  <c r="AQ34" i="3"/>
  <c r="AR34" i="3"/>
  <c r="AS34" i="3"/>
  <c r="AT34" i="3"/>
  <c r="AU34" i="3"/>
  <c r="AV34" i="3"/>
  <c r="AW34" i="3"/>
  <c r="AX34" i="3"/>
  <c r="AL35" i="3"/>
  <c r="AM35" i="3"/>
  <c r="AN35" i="3"/>
  <c r="AO35" i="3"/>
  <c r="AP35" i="3"/>
  <c r="AQ35" i="3"/>
  <c r="AR35" i="3"/>
  <c r="AS35" i="3"/>
  <c r="AT35" i="3"/>
  <c r="AU35" i="3"/>
  <c r="AV35" i="3"/>
  <c r="AW35" i="3"/>
  <c r="AX35" i="3"/>
  <c r="AL36" i="3"/>
  <c r="AM36" i="3"/>
  <c r="AN36" i="3"/>
  <c r="AO36" i="3"/>
  <c r="AP36" i="3"/>
  <c r="AQ36" i="3"/>
  <c r="AR36" i="3"/>
  <c r="AS36" i="3"/>
  <c r="AT36" i="3"/>
  <c r="AU36" i="3"/>
  <c r="AV36" i="3"/>
  <c r="AW36" i="3"/>
  <c r="AX36" i="3"/>
  <c r="AL37" i="3"/>
  <c r="AM37" i="3"/>
  <c r="AN37" i="3"/>
  <c r="AO37" i="3"/>
  <c r="AP37" i="3"/>
  <c r="AQ37" i="3"/>
  <c r="AR37" i="3"/>
  <c r="AS37" i="3"/>
  <c r="AT37" i="3"/>
  <c r="AU37" i="3"/>
  <c r="AV37" i="3"/>
  <c r="AW37" i="3"/>
  <c r="AX37" i="3"/>
  <c r="AL38" i="3"/>
  <c r="AM38" i="3"/>
  <c r="AN38" i="3"/>
  <c r="AO38" i="3"/>
  <c r="AP38" i="3"/>
  <c r="AQ38" i="3"/>
  <c r="AR38" i="3"/>
  <c r="AS38" i="3"/>
  <c r="AT38" i="3"/>
  <c r="AU38" i="3"/>
  <c r="AV38" i="3"/>
  <c r="AW38" i="3"/>
  <c r="AX38" i="3"/>
  <c r="AL39" i="3"/>
  <c r="AM39" i="3"/>
  <c r="AN39" i="3"/>
  <c r="AO39" i="3"/>
  <c r="AP39" i="3"/>
  <c r="AQ39" i="3"/>
  <c r="AR39" i="3"/>
  <c r="AS39" i="3"/>
  <c r="AT39" i="3"/>
  <c r="AU39" i="3"/>
  <c r="AV39" i="3"/>
  <c r="AW39" i="3"/>
  <c r="AX39" i="3"/>
  <c r="AL40" i="3"/>
  <c r="AM40" i="3"/>
  <c r="AN40" i="3"/>
  <c r="AO40" i="3"/>
  <c r="AP40" i="3"/>
  <c r="AQ40" i="3"/>
  <c r="AR40" i="3"/>
  <c r="AS40" i="3"/>
  <c r="AT40" i="3"/>
  <c r="AU40" i="3"/>
  <c r="AV40" i="3"/>
  <c r="AW40" i="3"/>
  <c r="AX40" i="3"/>
  <c r="AL41" i="3"/>
  <c r="AM41" i="3"/>
  <c r="AN41" i="3"/>
  <c r="AO41" i="3"/>
  <c r="AP41" i="3"/>
  <c r="AQ41" i="3"/>
  <c r="AR41" i="3"/>
  <c r="AS41" i="3"/>
  <c r="AT41" i="3"/>
  <c r="AU41" i="3"/>
  <c r="AV41" i="3"/>
  <c r="AW41" i="3"/>
  <c r="AX41" i="3"/>
  <c r="AL42" i="3"/>
  <c r="AM42" i="3"/>
  <c r="AN42" i="3"/>
  <c r="AO42" i="3"/>
  <c r="AP42" i="3"/>
  <c r="AQ42" i="3"/>
  <c r="AR42" i="3"/>
  <c r="AS42" i="3"/>
  <c r="AT42" i="3"/>
  <c r="AU42" i="3"/>
  <c r="AV42" i="3"/>
  <c r="AW42" i="3"/>
  <c r="AX42" i="3"/>
  <c r="AL43" i="3"/>
  <c r="AM43" i="3"/>
  <c r="AN43" i="3"/>
  <c r="AO43" i="3"/>
  <c r="AP43" i="3"/>
  <c r="AQ43" i="3"/>
  <c r="AR43" i="3"/>
  <c r="AS43" i="3"/>
  <c r="AT43" i="3"/>
  <c r="AU43" i="3"/>
  <c r="AV43" i="3"/>
  <c r="AW43" i="3"/>
  <c r="AX43" i="3"/>
  <c r="AL44" i="3"/>
  <c r="AM44" i="3"/>
  <c r="AN44" i="3"/>
  <c r="AO44" i="3"/>
  <c r="AP44" i="3"/>
  <c r="AQ44" i="3"/>
  <c r="AR44" i="3"/>
  <c r="AS44" i="3"/>
  <c r="AT44" i="3"/>
  <c r="AU44" i="3"/>
  <c r="AV44" i="3"/>
  <c r="AW44" i="3"/>
  <c r="AX44" i="3"/>
  <c r="AL45" i="3"/>
  <c r="AM45" i="3"/>
  <c r="AN45" i="3"/>
  <c r="AO45" i="3"/>
  <c r="AP45" i="3"/>
  <c r="AQ45" i="3"/>
  <c r="AR45" i="3"/>
  <c r="AS45" i="3"/>
  <c r="AT45" i="3"/>
  <c r="AU45" i="3"/>
  <c r="AV45" i="3"/>
  <c r="AW45" i="3"/>
  <c r="AX45" i="3"/>
  <c r="AL46" i="3"/>
  <c r="AM46" i="3"/>
  <c r="AN46" i="3"/>
  <c r="AO46" i="3"/>
  <c r="AP46" i="3"/>
  <c r="AQ46" i="3"/>
  <c r="AR46" i="3"/>
  <c r="AS46" i="3"/>
  <c r="AT46" i="3"/>
  <c r="AU46" i="3"/>
  <c r="AV46" i="3"/>
  <c r="AW46" i="3"/>
  <c r="AX46" i="3"/>
  <c r="AL47" i="3"/>
  <c r="AM47" i="3"/>
  <c r="AN47" i="3"/>
  <c r="AO47" i="3"/>
  <c r="AP47" i="3"/>
  <c r="AQ47" i="3"/>
  <c r="AR47" i="3"/>
  <c r="AS47" i="3"/>
  <c r="AT47" i="3"/>
  <c r="AU47" i="3"/>
  <c r="AV47" i="3"/>
  <c r="AW47" i="3"/>
  <c r="AX47" i="3"/>
  <c r="AL48" i="3"/>
  <c r="AM48" i="3"/>
  <c r="AN48" i="3"/>
  <c r="AO48" i="3"/>
  <c r="AP48" i="3"/>
  <c r="AQ48" i="3"/>
  <c r="AR48" i="3"/>
  <c r="AS48" i="3"/>
  <c r="AT48" i="3"/>
  <c r="AU48" i="3"/>
  <c r="AV48" i="3"/>
  <c r="AW48" i="3"/>
  <c r="AX48" i="3"/>
  <c r="AL49" i="3"/>
  <c r="AM49" i="3"/>
  <c r="AN49" i="3"/>
  <c r="AO49" i="3"/>
  <c r="AP49" i="3"/>
  <c r="AQ49" i="3"/>
  <c r="AR49" i="3"/>
  <c r="AS49" i="3"/>
  <c r="AT49" i="3"/>
  <c r="AU49" i="3"/>
  <c r="AV49" i="3"/>
  <c r="AW49" i="3"/>
  <c r="AX49" i="3"/>
  <c r="AL50" i="3"/>
  <c r="AM50" i="3"/>
  <c r="AN50" i="3"/>
  <c r="AO50" i="3"/>
  <c r="AP50" i="3"/>
  <c r="AQ50" i="3"/>
  <c r="AR50" i="3"/>
  <c r="AS50" i="3"/>
  <c r="AT50" i="3"/>
  <c r="AU50" i="3"/>
  <c r="AV50" i="3"/>
  <c r="AW50" i="3"/>
  <c r="AX50" i="3"/>
  <c r="AL51" i="3"/>
  <c r="AM51" i="3"/>
  <c r="AN51" i="3"/>
  <c r="AO51" i="3"/>
  <c r="AP51" i="3"/>
  <c r="AQ51" i="3"/>
  <c r="AR51" i="3"/>
  <c r="AS51" i="3"/>
  <c r="AT51" i="3"/>
  <c r="AU51" i="3"/>
  <c r="AV51" i="3"/>
  <c r="AW51" i="3"/>
  <c r="AX51" i="3"/>
  <c r="AL52" i="3"/>
  <c r="AM52" i="3"/>
  <c r="AN52" i="3"/>
  <c r="AO52" i="3"/>
  <c r="AP52" i="3"/>
  <c r="AQ52" i="3"/>
  <c r="AR52" i="3"/>
  <c r="AS52" i="3"/>
  <c r="AT52" i="3"/>
  <c r="AU52" i="3"/>
  <c r="AV52" i="3"/>
  <c r="AW52" i="3"/>
  <c r="AX52" i="3"/>
  <c r="AL53" i="3"/>
  <c r="AM53" i="3"/>
  <c r="AN53" i="3"/>
  <c r="AO53" i="3"/>
  <c r="AP53" i="3"/>
  <c r="AQ53" i="3"/>
  <c r="AR53" i="3"/>
  <c r="AS53" i="3"/>
  <c r="AT53" i="3"/>
  <c r="AU53" i="3"/>
  <c r="AV53" i="3"/>
  <c r="AW53" i="3"/>
  <c r="AX53" i="3"/>
  <c r="AL54" i="3"/>
  <c r="AM54" i="3"/>
  <c r="AN54" i="3"/>
  <c r="AO54" i="3"/>
  <c r="AP54" i="3"/>
  <c r="AQ54" i="3"/>
  <c r="AR54" i="3"/>
  <c r="AS54" i="3"/>
  <c r="AT54" i="3"/>
  <c r="AU54" i="3"/>
  <c r="AV54" i="3"/>
  <c r="AW54" i="3"/>
  <c r="AX54" i="3"/>
  <c r="AL55" i="3"/>
  <c r="AM55" i="3"/>
  <c r="AN55" i="3"/>
  <c r="AO55" i="3"/>
  <c r="AP55" i="3"/>
  <c r="AQ55" i="3"/>
  <c r="AR55" i="3"/>
  <c r="AS55" i="3"/>
  <c r="AT55" i="3"/>
  <c r="AU55" i="3"/>
  <c r="AV55" i="3"/>
  <c r="AW55" i="3"/>
  <c r="AX55" i="3"/>
  <c r="AL56" i="3"/>
  <c r="AM56" i="3"/>
  <c r="AN56" i="3"/>
  <c r="AO56" i="3"/>
  <c r="AP56" i="3"/>
  <c r="AQ56" i="3"/>
  <c r="AR56" i="3"/>
  <c r="AS56" i="3"/>
  <c r="AT56" i="3"/>
  <c r="AU56" i="3"/>
  <c r="AV56" i="3"/>
  <c r="AW56" i="3"/>
  <c r="AX56" i="3"/>
  <c r="AL57" i="3"/>
  <c r="AM57" i="3"/>
  <c r="AN57" i="3"/>
  <c r="AO57" i="3"/>
  <c r="AP57" i="3"/>
  <c r="AQ57" i="3"/>
  <c r="AR57" i="3"/>
  <c r="AS57" i="3"/>
  <c r="AT57" i="3"/>
  <c r="AU57" i="3"/>
  <c r="AV57" i="3"/>
  <c r="AW57" i="3"/>
  <c r="AX57" i="3"/>
  <c r="AL58" i="3"/>
  <c r="AM58" i="3"/>
  <c r="AN58" i="3"/>
  <c r="AO58" i="3"/>
  <c r="AP58" i="3"/>
  <c r="AQ58" i="3"/>
  <c r="AR58" i="3"/>
  <c r="AS58" i="3"/>
  <c r="AT58" i="3"/>
  <c r="AU58" i="3"/>
  <c r="AV58" i="3"/>
  <c r="AW58" i="3"/>
  <c r="AX58" i="3"/>
  <c r="AL59" i="3"/>
  <c r="AM59" i="3"/>
  <c r="AN59" i="3"/>
  <c r="AO59" i="3"/>
  <c r="AP59" i="3"/>
  <c r="AQ59" i="3"/>
  <c r="AR59" i="3"/>
  <c r="AS59" i="3"/>
  <c r="AT59" i="3"/>
  <c r="AU59" i="3"/>
  <c r="AV59" i="3"/>
  <c r="AW59" i="3"/>
  <c r="AX59" i="3"/>
  <c r="AL60" i="3"/>
  <c r="AM60" i="3"/>
  <c r="AN60" i="3"/>
  <c r="AO60" i="3"/>
  <c r="AP60" i="3"/>
  <c r="AQ60" i="3"/>
  <c r="AR60" i="3"/>
  <c r="AS60" i="3"/>
  <c r="AT60" i="3"/>
  <c r="AU60" i="3"/>
  <c r="AV60" i="3"/>
  <c r="AW60" i="3"/>
  <c r="AX60" i="3"/>
  <c r="AL61" i="3"/>
  <c r="AM61" i="3"/>
  <c r="AN61" i="3"/>
  <c r="AO61" i="3"/>
  <c r="AP61" i="3"/>
  <c r="AQ61" i="3"/>
  <c r="AR61" i="3"/>
  <c r="AS61" i="3"/>
  <c r="AT61" i="3"/>
  <c r="AU61" i="3"/>
  <c r="AV61" i="3"/>
  <c r="AW61" i="3"/>
  <c r="AX61" i="3"/>
  <c r="AL62" i="3"/>
  <c r="AM62" i="3"/>
  <c r="AN62" i="3"/>
  <c r="AO62" i="3"/>
  <c r="AP62" i="3"/>
  <c r="AQ62" i="3"/>
  <c r="AR62" i="3"/>
  <c r="AS62" i="3"/>
  <c r="AT62" i="3"/>
  <c r="AU62" i="3"/>
  <c r="AV62" i="3"/>
  <c r="AW62" i="3"/>
  <c r="AX62" i="3"/>
  <c r="AL63" i="3"/>
  <c r="AM63" i="3"/>
  <c r="AN63" i="3"/>
  <c r="AO63" i="3"/>
  <c r="AP63" i="3"/>
  <c r="AQ63" i="3"/>
  <c r="AR63" i="3"/>
  <c r="AS63" i="3"/>
  <c r="AT63" i="3"/>
  <c r="AU63" i="3"/>
  <c r="AV63" i="3"/>
  <c r="AW63" i="3"/>
  <c r="AX63" i="3"/>
  <c r="AL64" i="3"/>
  <c r="AM64" i="3"/>
  <c r="AN64" i="3"/>
  <c r="AO64" i="3"/>
  <c r="AP64" i="3"/>
  <c r="AQ64" i="3"/>
  <c r="AR64" i="3"/>
  <c r="AS64" i="3"/>
  <c r="AT64" i="3"/>
  <c r="AU64" i="3"/>
  <c r="AV64" i="3"/>
  <c r="AW64" i="3"/>
  <c r="AX64" i="3"/>
  <c r="AL65" i="3"/>
  <c r="AM65" i="3"/>
  <c r="AN65" i="3"/>
  <c r="AO65" i="3"/>
  <c r="AP65" i="3"/>
  <c r="AQ65" i="3"/>
  <c r="AR65" i="3"/>
  <c r="AS65" i="3"/>
  <c r="AT65" i="3"/>
  <c r="AU65" i="3"/>
  <c r="AV65" i="3"/>
  <c r="AW65" i="3"/>
  <c r="AX65" i="3"/>
  <c r="AL66" i="3"/>
  <c r="AM66" i="3"/>
  <c r="AN66" i="3"/>
  <c r="AO66" i="3"/>
  <c r="AP66" i="3"/>
  <c r="AQ66" i="3"/>
  <c r="AR66" i="3"/>
  <c r="AS66" i="3"/>
  <c r="AT66" i="3"/>
  <c r="AU66" i="3"/>
  <c r="AV66" i="3"/>
  <c r="AW66" i="3"/>
  <c r="AX66" i="3"/>
  <c r="AL67" i="3"/>
  <c r="AM67" i="3"/>
  <c r="AN67" i="3"/>
  <c r="AO67" i="3"/>
  <c r="AP67" i="3"/>
  <c r="AQ67" i="3"/>
  <c r="AR67" i="3"/>
  <c r="AS67" i="3"/>
  <c r="AT67" i="3"/>
  <c r="AU67" i="3"/>
  <c r="AV67" i="3"/>
  <c r="AW67" i="3"/>
  <c r="AX67" i="3"/>
  <c r="AL68" i="3"/>
  <c r="AM68" i="3"/>
  <c r="AN68" i="3"/>
  <c r="AO68" i="3"/>
  <c r="AP68" i="3"/>
  <c r="AQ68" i="3"/>
  <c r="AR68" i="3"/>
  <c r="AS68" i="3"/>
  <c r="AT68" i="3"/>
  <c r="AU68" i="3"/>
  <c r="AV68" i="3"/>
  <c r="AW68" i="3"/>
  <c r="AX68" i="3"/>
  <c r="AL69" i="3"/>
  <c r="AM69" i="3"/>
  <c r="AN69" i="3"/>
  <c r="AO69" i="3"/>
  <c r="AP69" i="3"/>
  <c r="AQ69" i="3"/>
  <c r="AR69" i="3"/>
  <c r="AS69" i="3"/>
  <c r="AT69" i="3"/>
  <c r="AU69" i="3"/>
  <c r="AV69" i="3"/>
  <c r="AW69" i="3"/>
  <c r="AX69" i="3"/>
  <c r="AL70" i="3"/>
  <c r="AM70" i="3"/>
  <c r="AN70" i="3"/>
  <c r="AO70" i="3"/>
  <c r="AP70" i="3"/>
  <c r="AQ70" i="3"/>
  <c r="AR70" i="3"/>
  <c r="AS70" i="3"/>
  <c r="AT70" i="3"/>
  <c r="AU70" i="3"/>
  <c r="AV70" i="3"/>
  <c r="AW70" i="3"/>
  <c r="AX70" i="3"/>
  <c r="AL71" i="3"/>
  <c r="AM71" i="3"/>
  <c r="AN71" i="3"/>
  <c r="AO71" i="3"/>
  <c r="AP71" i="3"/>
  <c r="AQ71" i="3"/>
  <c r="AR71" i="3"/>
  <c r="AS71" i="3"/>
  <c r="AT71" i="3"/>
  <c r="AU71" i="3"/>
  <c r="AV71" i="3"/>
  <c r="AW71" i="3"/>
  <c r="AX71" i="3"/>
  <c r="AL72" i="3"/>
  <c r="AM72" i="3"/>
  <c r="AN72" i="3"/>
  <c r="AO72" i="3"/>
  <c r="AP72" i="3"/>
  <c r="AQ72" i="3"/>
  <c r="AR72" i="3"/>
  <c r="AS72" i="3"/>
  <c r="AT72" i="3"/>
  <c r="AU72" i="3"/>
  <c r="AV72" i="3"/>
  <c r="AW72" i="3"/>
  <c r="AX72" i="3"/>
  <c r="AL73" i="3"/>
  <c r="AM73" i="3"/>
  <c r="AN73" i="3"/>
  <c r="AO73" i="3"/>
  <c r="AP73" i="3"/>
  <c r="AQ73" i="3"/>
  <c r="AR73" i="3"/>
  <c r="AS73" i="3"/>
  <c r="AT73" i="3"/>
  <c r="AU73" i="3"/>
  <c r="AV73" i="3"/>
  <c r="AW73" i="3"/>
  <c r="AX73" i="3"/>
  <c r="AL74" i="3"/>
  <c r="AM74" i="3"/>
  <c r="AN74" i="3"/>
  <c r="AO74" i="3"/>
  <c r="AP74" i="3"/>
  <c r="AQ74" i="3"/>
  <c r="AR74" i="3"/>
  <c r="AS74" i="3"/>
  <c r="AT74" i="3"/>
  <c r="AU74" i="3"/>
  <c r="AV74" i="3"/>
  <c r="AW74" i="3"/>
  <c r="AX74" i="3"/>
  <c r="AL75" i="3"/>
  <c r="AM75" i="3"/>
  <c r="AN75" i="3"/>
  <c r="AO75" i="3"/>
  <c r="AP75" i="3"/>
  <c r="AQ75" i="3"/>
  <c r="AR75" i="3"/>
  <c r="AS75" i="3"/>
  <c r="AT75" i="3"/>
  <c r="AU75" i="3"/>
  <c r="AV75" i="3"/>
  <c r="AW75" i="3"/>
  <c r="AX75" i="3"/>
  <c r="AL76" i="3"/>
  <c r="AM76" i="3"/>
  <c r="AN76" i="3"/>
  <c r="AO76" i="3"/>
  <c r="AP76" i="3"/>
  <c r="AQ76" i="3"/>
  <c r="AR76" i="3"/>
  <c r="AS76" i="3"/>
  <c r="AT76" i="3"/>
  <c r="AU76" i="3"/>
  <c r="AV76" i="3"/>
  <c r="AW76" i="3"/>
  <c r="AX76" i="3"/>
  <c r="AL77" i="3"/>
  <c r="AM77" i="3"/>
  <c r="AN77" i="3"/>
  <c r="AO77" i="3"/>
  <c r="AP77" i="3"/>
  <c r="AQ77" i="3"/>
  <c r="AR77" i="3"/>
  <c r="AS77" i="3"/>
  <c r="AT77" i="3"/>
  <c r="AU77" i="3"/>
  <c r="AV77" i="3"/>
  <c r="AW77" i="3"/>
  <c r="AX77" i="3"/>
  <c r="AL78" i="3"/>
  <c r="AM78" i="3"/>
  <c r="AN78" i="3"/>
  <c r="AO78" i="3"/>
  <c r="AP78" i="3"/>
  <c r="AQ78" i="3"/>
  <c r="AR78" i="3"/>
  <c r="AS78" i="3"/>
  <c r="AT78" i="3"/>
  <c r="AU78" i="3"/>
  <c r="AV78" i="3"/>
  <c r="AW78" i="3"/>
  <c r="AX78" i="3"/>
  <c r="AL79" i="3"/>
  <c r="AM79" i="3"/>
  <c r="AN79" i="3"/>
  <c r="AO79" i="3"/>
  <c r="AP79" i="3"/>
  <c r="AQ79" i="3"/>
  <c r="AR79" i="3"/>
  <c r="AS79" i="3"/>
  <c r="AT79" i="3"/>
  <c r="AU79" i="3"/>
  <c r="AV79" i="3"/>
  <c r="AW79" i="3"/>
  <c r="AX79" i="3"/>
  <c r="AL80" i="3"/>
  <c r="AM80" i="3"/>
  <c r="AN80" i="3"/>
  <c r="AO80" i="3"/>
  <c r="AP80" i="3"/>
  <c r="AQ80" i="3"/>
  <c r="AR80" i="3"/>
  <c r="AS80" i="3"/>
  <c r="AT80" i="3"/>
  <c r="AU80" i="3"/>
  <c r="AV80" i="3"/>
  <c r="AW80" i="3"/>
  <c r="AX80" i="3"/>
  <c r="AL81" i="3"/>
  <c r="AM81" i="3"/>
  <c r="AN81" i="3"/>
  <c r="AO81" i="3"/>
  <c r="AP81" i="3"/>
  <c r="AQ81" i="3"/>
  <c r="AR81" i="3"/>
  <c r="AS81" i="3"/>
  <c r="AT81" i="3"/>
  <c r="AU81" i="3"/>
  <c r="AV81" i="3"/>
  <c r="AW81" i="3"/>
  <c r="AX81" i="3"/>
  <c r="AL82" i="3"/>
  <c r="AM82" i="3"/>
  <c r="AN82" i="3"/>
  <c r="AO82" i="3"/>
  <c r="AP82" i="3"/>
  <c r="AQ82" i="3"/>
  <c r="AR82" i="3"/>
  <c r="AS82" i="3"/>
  <c r="AT82" i="3"/>
  <c r="AU82" i="3"/>
  <c r="AV82" i="3"/>
  <c r="AW82" i="3"/>
  <c r="AX82" i="3"/>
  <c r="AL83" i="3"/>
  <c r="AM83" i="3"/>
  <c r="AN83" i="3"/>
  <c r="AO83" i="3"/>
  <c r="AP83" i="3"/>
  <c r="AQ83" i="3"/>
  <c r="AR83" i="3"/>
  <c r="AS83" i="3"/>
  <c r="AT83" i="3"/>
  <c r="AU83" i="3"/>
  <c r="AV83" i="3"/>
  <c r="AW83" i="3"/>
  <c r="AX83" i="3"/>
  <c r="AL84" i="3"/>
  <c r="AM84" i="3"/>
  <c r="AN84" i="3"/>
  <c r="AO84" i="3"/>
  <c r="AP84" i="3"/>
  <c r="AQ84" i="3"/>
  <c r="AR84" i="3"/>
  <c r="AS84" i="3"/>
  <c r="AT84" i="3"/>
  <c r="AU84" i="3"/>
  <c r="AV84" i="3"/>
  <c r="AW84" i="3"/>
  <c r="AX84" i="3"/>
  <c r="AL85" i="3"/>
  <c r="AM85" i="3"/>
  <c r="AN85" i="3"/>
  <c r="AO85" i="3"/>
  <c r="AP85" i="3"/>
  <c r="AQ85" i="3"/>
  <c r="AR85" i="3"/>
  <c r="AS85" i="3"/>
  <c r="AT85" i="3"/>
  <c r="AU85" i="3"/>
  <c r="AV85" i="3"/>
  <c r="AW85" i="3"/>
  <c r="AX85" i="3"/>
  <c r="AL86" i="3"/>
  <c r="AM86" i="3"/>
  <c r="AN86" i="3"/>
  <c r="AO86" i="3"/>
  <c r="AP86" i="3"/>
  <c r="AQ86" i="3"/>
  <c r="AR86" i="3"/>
  <c r="AS86" i="3"/>
  <c r="AT86" i="3"/>
  <c r="AU86" i="3"/>
  <c r="AV86" i="3"/>
  <c r="AW86" i="3"/>
  <c r="AX86" i="3"/>
  <c r="AL87" i="3"/>
  <c r="AM87" i="3"/>
  <c r="AN87" i="3"/>
  <c r="AO87" i="3"/>
  <c r="AP87" i="3"/>
  <c r="AQ87" i="3"/>
  <c r="AR87" i="3"/>
  <c r="AS87" i="3"/>
  <c r="AT87" i="3"/>
  <c r="AU87" i="3"/>
  <c r="AV87" i="3"/>
  <c r="AW87" i="3"/>
  <c r="AX87" i="3"/>
  <c r="AL88" i="3"/>
  <c r="AM88" i="3"/>
  <c r="AN88" i="3"/>
  <c r="AO88" i="3"/>
  <c r="AP88" i="3"/>
  <c r="AQ88" i="3"/>
  <c r="AR88" i="3"/>
  <c r="AS88" i="3"/>
  <c r="AT88" i="3"/>
  <c r="AU88" i="3"/>
  <c r="AV88" i="3"/>
  <c r="AW88" i="3"/>
  <c r="AX88" i="3"/>
  <c r="AL89" i="3"/>
  <c r="AM89" i="3"/>
  <c r="AN89" i="3"/>
  <c r="AO89" i="3"/>
  <c r="AP89" i="3"/>
  <c r="AQ89" i="3"/>
  <c r="AR89" i="3"/>
  <c r="AS89" i="3"/>
  <c r="AT89" i="3"/>
  <c r="AU89" i="3"/>
  <c r="AV89" i="3"/>
  <c r="AW89" i="3"/>
  <c r="AX89" i="3"/>
  <c r="AL90" i="3"/>
  <c r="AM90" i="3"/>
  <c r="AN90" i="3"/>
  <c r="AO90" i="3"/>
  <c r="AP90" i="3"/>
  <c r="AQ90" i="3"/>
  <c r="AR90" i="3"/>
  <c r="AS90" i="3"/>
  <c r="AT90" i="3"/>
  <c r="AU90" i="3"/>
  <c r="AV90" i="3"/>
  <c r="AW90" i="3"/>
  <c r="AX90" i="3"/>
  <c r="AL91" i="3"/>
  <c r="AM91" i="3"/>
  <c r="AN91" i="3"/>
  <c r="AO91" i="3"/>
  <c r="AP91" i="3"/>
  <c r="AQ91" i="3"/>
  <c r="AR91" i="3"/>
  <c r="AS91" i="3"/>
  <c r="AT91" i="3"/>
  <c r="AU91" i="3"/>
  <c r="AV91" i="3"/>
  <c r="AW91" i="3"/>
  <c r="AX91" i="3"/>
  <c r="AL92" i="3"/>
  <c r="AM92" i="3"/>
  <c r="AN92" i="3"/>
  <c r="AO92" i="3"/>
  <c r="AP92" i="3"/>
  <c r="AQ92" i="3"/>
  <c r="AR92" i="3"/>
  <c r="AS92" i="3"/>
  <c r="AT92" i="3"/>
  <c r="AU92" i="3"/>
  <c r="AV92" i="3"/>
  <c r="AW92" i="3"/>
  <c r="AX92" i="3"/>
  <c r="AL93" i="3"/>
  <c r="AM93" i="3"/>
  <c r="AN93" i="3"/>
  <c r="AO93" i="3"/>
  <c r="AP93" i="3"/>
  <c r="AQ93" i="3"/>
  <c r="AR93" i="3"/>
  <c r="AS93" i="3"/>
  <c r="AT93" i="3"/>
  <c r="AU93" i="3"/>
  <c r="AV93" i="3"/>
  <c r="AW93" i="3"/>
  <c r="AX93" i="3"/>
  <c r="AL94" i="3"/>
  <c r="AM94" i="3"/>
  <c r="AN94" i="3"/>
  <c r="AO94" i="3"/>
  <c r="AP94" i="3"/>
  <c r="AQ94" i="3"/>
  <c r="AR94" i="3"/>
  <c r="AS94" i="3"/>
  <c r="AT94" i="3"/>
  <c r="AU94" i="3"/>
  <c r="AV94" i="3"/>
  <c r="AW94" i="3"/>
  <c r="AX94" i="3"/>
  <c r="AL95" i="3"/>
  <c r="AM95" i="3"/>
  <c r="AN95" i="3"/>
  <c r="AO95" i="3"/>
  <c r="AP95" i="3"/>
  <c r="AQ95" i="3"/>
  <c r="AR95" i="3"/>
  <c r="AS95" i="3"/>
  <c r="AT95" i="3"/>
  <c r="AU95" i="3"/>
  <c r="AV95" i="3"/>
  <c r="AW95" i="3"/>
  <c r="AX95" i="3"/>
  <c r="AL96" i="3"/>
  <c r="AM96" i="3"/>
  <c r="AN96" i="3"/>
  <c r="AO96" i="3"/>
  <c r="AP96" i="3"/>
  <c r="AQ96" i="3"/>
  <c r="AR96" i="3"/>
  <c r="AS96" i="3"/>
  <c r="AT96" i="3"/>
  <c r="AU96" i="3"/>
  <c r="AV96" i="3"/>
  <c r="AW96" i="3"/>
  <c r="AX96" i="3"/>
  <c r="AL97" i="3"/>
  <c r="AM97" i="3"/>
  <c r="AN97" i="3"/>
  <c r="AO97" i="3"/>
  <c r="AP97" i="3"/>
  <c r="AQ97" i="3"/>
  <c r="AR97" i="3"/>
  <c r="AS97" i="3"/>
  <c r="AT97" i="3"/>
  <c r="AU97" i="3"/>
  <c r="AV97" i="3"/>
  <c r="AW97" i="3"/>
  <c r="AX97" i="3"/>
  <c r="AL98" i="3"/>
  <c r="AM98" i="3"/>
  <c r="AN98" i="3"/>
  <c r="AO98" i="3"/>
  <c r="AP98" i="3"/>
  <c r="AQ98" i="3"/>
  <c r="AR98" i="3"/>
  <c r="AS98" i="3"/>
  <c r="AT98" i="3"/>
  <c r="AU98" i="3"/>
  <c r="AV98" i="3"/>
  <c r="AW98" i="3"/>
  <c r="AX98" i="3"/>
  <c r="AL99" i="3"/>
  <c r="AM99" i="3"/>
  <c r="AN99" i="3"/>
  <c r="AO99" i="3"/>
  <c r="AP99" i="3"/>
  <c r="AQ99" i="3"/>
  <c r="AR99" i="3"/>
  <c r="AS99" i="3"/>
  <c r="AT99" i="3"/>
  <c r="AU99" i="3"/>
  <c r="AV99" i="3"/>
  <c r="AW99" i="3"/>
  <c r="AX99" i="3"/>
  <c r="AL100" i="3"/>
  <c r="AM100" i="3"/>
  <c r="AN100" i="3"/>
  <c r="AO100" i="3"/>
  <c r="AP100" i="3"/>
  <c r="AQ100" i="3"/>
  <c r="AR100" i="3"/>
  <c r="AS100" i="3"/>
  <c r="AT100" i="3"/>
  <c r="AU100" i="3"/>
  <c r="AV100" i="3"/>
  <c r="AW100" i="3"/>
  <c r="AX100" i="3"/>
  <c r="AL101" i="3"/>
  <c r="AM101" i="3"/>
  <c r="AN101" i="3"/>
  <c r="AO101" i="3"/>
  <c r="AP101" i="3"/>
  <c r="AQ101" i="3"/>
  <c r="AR101" i="3"/>
  <c r="AS101" i="3"/>
  <c r="AT101" i="3"/>
  <c r="AU101" i="3"/>
  <c r="AV101" i="3"/>
  <c r="AW101" i="3"/>
  <c r="AX101" i="3"/>
  <c r="AL102" i="3"/>
  <c r="AM102" i="3"/>
  <c r="AN102" i="3"/>
  <c r="AO102" i="3"/>
  <c r="AP102" i="3"/>
  <c r="AQ102" i="3"/>
  <c r="AR102" i="3"/>
  <c r="AS102" i="3"/>
  <c r="AT102" i="3"/>
  <c r="AU102" i="3"/>
  <c r="AV102" i="3"/>
  <c r="AW102" i="3"/>
  <c r="AX102" i="3"/>
  <c r="AL103" i="3"/>
  <c r="AM103" i="3"/>
  <c r="AN103" i="3"/>
  <c r="AO103" i="3"/>
  <c r="AP103" i="3"/>
  <c r="AQ103" i="3"/>
  <c r="AR103" i="3"/>
  <c r="AS103" i="3"/>
  <c r="AT103" i="3"/>
  <c r="AU103" i="3"/>
  <c r="AV103" i="3"/>
  <c r="AW103" i="3"/>
  <c r="AX103" i="3"/>
  <c r="AL104" i="3"/>
  <c r="AM104" i="3"/>
  <c r="AN104" i="3"/>
  <c r="AO104" i="3"/>
  <c r="AP104" i="3"/>
  <c r="AQ104" i="3"/>
  <c r="AR104" i="3"/>
  <c r="AS104" i="3"/>
  <c r="AT104" i="3"/>
  <c r="AU104" i="3"/>
  <c r="AV104" i="3"/>
  <c r="AW104" i="3"/>
  <c r="AX104" i="3"/>
  <c r="AL105" i="3"/>
  <c r="AM105" i="3"/>
  <c r="AN105" i="3"/>
  <c r="AO105" i="3"/>
  <c r="AP105" i="3"/>
  <c r="AQ105" i="3"/>
  <c r="AR105" i="3"/>
  <c r="AS105" i="3"/>
  <c r="AT105" i="3"/>
  <c r="AU105" i="3"/>
  <c r="AV105" i="3"/>
  <c r="AW105" i="3"/>
  <c r="AX105" i="3"/>
  <c r="AL106" i="3"/>
  <c r="AM106" i="3"/>
  <c r="AN106" i="3"/>
  <c r="AO106" i="3"/>
  <c r="AP106" i="3"/>
  <c r="AQ106" i="3"/>
  <c r="AR106" i="3"/>
  <c r="AS106" i="3"/>
  <c r="AT106" i="3"/>
  <c r="AU106" i="3"/>
  <c r="AV106" i="3"/>
  <c r="AW106" i="3"/>
  <c r="AX106" i="3"/>
  <c r="AL107" i="3"/>
  <c r="AM107" i="3"/>
  <c r="AN107" i="3"/>
  <c r="AO107" i="3"/>
  <c r="AP107" i="3"/>
  <c r="AQ107" i="3"/>
  <c r="AR107" i="3"/>
  <c r="AS107" i="3"/>
  <c r="AT107" i="3"/>
  <c r="AU107" i="3"/>
  <c r="AV107" i="3"/>
  <c r="AW107" i="3"/>
  <c r="AX107" i="3"/>
  <c r="AL108" i="3"/>
  <c r="AM108" i="3"/>
  <c r="AN108" i="3"/>
  <c r="AO108" i="3"/>
  <c r="AP108" i="3"/>
  <c r="AQ108" i="3"/>
  <c r="AR108" i="3"/>
  <c r="AS108" i="3"/>
  <c r="AT108" i="3"/>
  <c r="AU108" i="3"/>
  <c r="AV108" i="3"/>
  <c r="AW108" i="3"/>
  <c r="AX108" i="3"/>
  <c r="AL109" i="3"/>
  <c r="AM109" i="3"/>
  <c r="AN109" i="3"/>
  <c r="AO109" i="3"/>
  <c r="AP109" i="3"/>
  <c r="AQ109" i="3"/>
  <c r="AR109" i="3"/>
  <c r="AS109" i="3"/>
  <c r="AT109" i="3"/>
  <c r="AU109" i="3"/>
  <c r="AV109" i="3"/>
  <c r="AW109" i="3"/>
  <c r="AX109" i="3"/>
  <c r="AL110" i="3"/>
  <c r="AM110" i="3"/>
  <c r="AN110" i="3"/>
  <c r="AO110" i="3"/>
  <c r="AP110" i="3"/>
  <c r="AQ110" i="3"/>
  <c r="AR110" i="3"/>
  <c r="AS110" i="3"/>
  <c r="AT110" i="3"/>
  <c r="AU110" i="3"/>
  <c r="AV110" i="3"/>
  <c r="AW110" i="3"/>
  <c r="AX110" i="3"/>
  <c r="AL111" i="3"/>
  <c r="AM111" i="3"/>
  <c r="AN111" i="3"/>
  <c r="AO111" i="3"/>
  <c r="AP111" i="3"/>
  <c r="AQ111" i="3"/>
  <c r="AR111" i="3"/>
  <c r="AS111" i="3"/>
  <c r="AT111" i="3"/>
  <c r="AU111" i="3"/>
  <c r="AV111" i="3"/>
  <c r="AW111" i="3"/>
  <c r="AX111" i="3"/>
  <c r="AL112" i="3"/>
  <c r="AM112" i="3"/>
  <c r="AN112" i="3"/>
  <c r="AO112" i="3"/>
  <c r="AP112" i="3"/>
  <c r="AQ112" i="3"/>
  <c r="AR112" i="3"/>
  <c r="AS112" i="3"/>
  <c r="AT112" i="3"/>
  <c r="AU112" i="3"/>
  <c r="AV112" i="3"/>
  <c r="AW112" i="3"/>
  <c r="AX112" i="3"/>
  <c r="AL113" i="3"/>
  <c r="AM113" i="3"/>
  <c r="AN113" i="3"/>
  <c r="AO113" i="3"/>
  <c r="AP113" i="3"/>
  <c r="AQ113" i="3"/>
  <c r="AR113" i="3"/>
  <c r="AS113" i="3"/>
  <c r="AT113" i="3"/>
  <c r="AU113" i="3"/>
  <c r="AV113" i="3"/>
  <c r="AW113" i="3"/>
  <c r="AX113" i="3"/>
  <c r="AL114" i="3"/>
  <c r="AM114" i="3"/>
  <c r="AN114" i="3"/>
  <c r="AO114" i="3"/>
  <c r="AP114" i="3"/>
  <c r="AQ114" i="3"/>
  <c r="AR114" i="3"/>
  <c r="AS114" i="3"/>
  <c r="AT114" i="3"/>
  <c r="AU114" i="3"/>
  <c r="AV114" i="3"/>
  <c r="AW114" i="3"/>
  <c r="AX114" i="3"/>
  <c r="AL115" i="3"/>
  <c r="AM115" i="3"/>
  <c r="AN115" i="3"/>
  <c r="AO115" i="3"/>
  <c r="AP115" i="3"/>
  <c r="AQ115" i="3"/>
  <c r="AR115" i="3"/>
  <c r="AS115" i="3"/>
  <c r="AT115" i="3"/>
  <c r="AU115" i="3"/>
  <c r="AV115" i="3"/>
  <c r="AW115" i="3"/>
  <c r="AX115" i="3"/>
  <c r="AL116" i="3"/>
  <c r="AM116" i="3"/>
  <c r="AN116" i="3"/>
  <c r="AO116" i="3"/>
  <c r="AP116" i="3"/>
  <c r="AQ116" i="3"/>
  <c r="AR116" i="3"/>
  <c r="AS116" i="3"/>
  <c r="AT116" i="3"/>
  <c r="AU116" i="3"/>
  <c r="AV116" i="3"/>
  <c r="AW116" i="3"/>
  <c r="AX116" i="3"/>
  <c r="AL117" i="3"/>
  <c r="AM117" i="3"/>
  <c r="AN117" i="3"/>
  <c r="AO117" i="3"/>
  <c r="AP117" i="3"/>
  <c r="AQ117" i="3"/>
  <c r="AR117" i="3"/>
  <c r="AS117" i="3"/>
  <c r="AT117" i="3"/>
  <c r="AU117" i="3"/>
  <c r="AV117" i="3"/>
  <c r="AW117" i="3"/>
  <c r="AX117" i="3"/>
  <c r="AL118" i="3"/>
  <c r="AM118" i="3"/>
  <c r="AN118" i="3"/>
  <c r="AO118" i="3"/>
  <c r="AP118" i="3"/>
  <c r="AQ118" i="3"/>
  <c r="AR118" i="3"/>
  <c r="AS118" i="3"/>
  <c r="AT118" i="3"/>
  <c r="AU118" i="3"/>
  <c r="AV118" i="3"/>
  <c r="AW118" i="3"/>
  <c r="AX118" i="3"/>
  <c r="AL119" i="3"/>
  <c r="AM119" i="3"/>
  <c r="AN119" i="3"/>
  <c r="AO119" i="3"/>
  <c r="AP119" i="3"/>
  <c r="AQ119" i="3"/>
  <c r="AR119" i="3"/>
  <c r="AS119" i="3"/>
  <c r="AT119" i="3"/>
  <c r="AU119" i="3"/>
  <c r="AV119" i="3"/>
  <c r="AW119" i="3"/>
  <c r="AX119" i="3"/>
  <c r="AL120" i="3"/>
  <c r="AM120" i="3"/>
  <c r="AN120" i="3"/>
  <c r="AO120" i="3"/>
  <c r="AP120" i="3"/>
  <c r="AQ120" i="3"/>
  <c r="AR120" i="3"/>
  <c r="AS120" i="3"/>
  <c r="AT120" i="3"/>
  <c r="AU120" i="3"/>
  <c r="AV120" i="3"/>
  <c r="AW120" i="3"/>
  <c r="AX120" i="3"/>
  <c r="AL121" i="3"/>
  <c r="AM121" i="3"/>
  <c r="AN121" i="3"/>
  <c r="AO121" i="3"/>
  <c r="AP121" i="3"/>
  <c r="AQ121" i="3"/>
  <c r="AR121" i="3"/>
  <c r="AS121" i="3"/>
  <c r="AT121" i="3"/>
  <c r="AU121" i="3"/>
  <c r="AV121" i="3"/>
  <c r="AW121" i="3"/>
  <c r="AX121" i="3"/>
  <c r="AL122" i="3"/>
  <c r="AM122" i="3"/>
  <c r="AN122" i="3"/>
  <c r="AO122" i="3"/>
  <c r="AP122" i="3"/>
  <c r="AQ122" i="3"/>
  <c r="AR122" i="3"/>
  <c r="AS122" i="3"/>
  <c r="AT122" i="3"/>
  <c r="AU122" i="3"/>
  <c r="AV122" i="3"/>
  <c r="AW122" i="3"/>
  <c r="AX122" i="3"/>
  <c r="AL123" i="3"/>
  <c r="AM123" i="3"/>
  <c r="AN123" i="3"/>
  <c r="AO123" i="3"/>
  <c r="AP123" i="3"/>
  <c r="AQ123" i="3"/>
  <c r="AR123" i="3"/>
  <c r="AS123" i="3"/>
  <c r="AT123" i="3"/>
  <c r="AU123" i="3"/>
  <c r="AV123" i="3"/>
  <c r="AW123" i="3"/>
  <c r="AX123" i="3"/>
  <c r="AL124" i="3"/>
  <c r="AM124" i="3"/>
  <c r="AN124" i="3"/>
  <c r="AO124" i="3"/>
  <c r="AP124" i="3"/>
  <c r="AQ124" i="3"/>
  <c r="AR124" i="3"/>
  <c r="AS124" i="3"/>
  <c r="AT124" i="3"/>
  <c r="AU124" i="3"/>
  <c r="AV124" i="3"/>
  <c r="AW124" i="3"/>
  <c r="AX124" i="3"/>
  <c r="AL125" i="3"/>
  <c r="AM125" i="3"/>
  <c r="AN125" i="3"/>
  <c r="AO125" i="3"/>
  <c r="AP125" i="3"/>
  <c r="AQ125" i="3"/>
  <c r="AR125" i="3"/>
  <c r="AS125" i="3"/>
  <c r="AT125" i="3"/>
  <c r="AU125" i="3"/>
  <c r="AV125" i="3"/>
  <c r="AW125" i="3"/>
  <c r="AX125" i="3"/>
  <c r="AL126" i="3"/>
  <c r="AM126" i="3"/>
  <c r="AN126" i="3"/>
  <c r="AO126" i="3"/>
  <c r="AP126" i="3"/>
  <c r="AQ126" i="3"/>
  <c r="AR126" i="3"/>
  <c r="AS126" i="3"/>
  <c r="AT126" i="3"/>
  <c r="AU126" i="3"/>
  <c r="AV126" i="3"/>
  <c r="AW126" i="3"/>
  <c r="AX126" i="3"/>
  <c r="AL127" i="3"/>
  <c r="AM127" i="3"/>
  <c r="AN127" i="3"/>
  <c r="AO127" i="3"/>
  <c r="AP127" i="3"/>
  <c r="AQ127" i="3"/>
  <c r="AR127" i="3"/>
  <c r="AS127" i="3"/>
  <c r="AT127" i="3"/>
  <c r="AU127" i="3"/>
  <c r="AV127" i="3"/>
  <c r="AW127" i="3"/>
  <c r="AX127" i="3"/>
  <c r="AL128" i="3"/>
  <c r="AM128" i="3"/>
  <c r="AN128" i="3"/>
  <c r="AO128" i="3"/>
  <c r="AP128" i="3"/>
  <c r="AQ128" i="3"/>
  <c r="AR128" i="3"/>
  <c r="AS128" i="3"/>
  <c r="AT128" i="3"/>
  <c r="AU128" i="3"/>
  <c r="AV128" i="3"/>
  <c r="AW128" i="3"/>
  <c r="AX128" i="3"/>
  <c r="AL129" i="3"/>
  <c r="AM129" i="3"/>
  <c r="AN129" i="3"/>
  <c r="AO129" i="3"/>
  <c r="AP129" i="3"/>
  <c r="AQ129" i="3"/>
  <c r="AR129" i="3"/>
  <c r="AS129" i="3"/>
  <c r="AT129" i="3"/>
  <c r="AU129" i="3"/>
  <c r="AV129" i="3"/>
  <c r="AW129" i="3"/>
  <c r="AX129" i="3"/>
  <c r="AL130" i="3"/>
  <c r="AM130" i="3"/>
  <c r="AN130" i="3"/>
  <c r="AO130" i="3"/>
  <c r="AP130" i="3"/>
  <c r="AQ130" i="3"/>
  <c r="AR130" i="3"/>
  <c r="AS130" i="3"/>
  <c r="AT130" i="3"/>
  <c r="AU130" i="3"/>
  <c r="AV130" i="3"/>
  <c r="AW130" i="3"/>
  <c r="AX130" i="3"/>
  <c r="AL131" i="3"/>
  <c r="AM131" i="3"/>
  <c r="AN131" i="3"/>
  <c r="AO131" i="3"/>
  <c r="AP131" i="3"/>
  <c r="AQ131" i="3"/>
  <c r="AR131" i="3"/>
  <c r="AS131" i="3"/>
  <c r="AT131" i="3"/>
  <c r="AU131" i="3"/>
  <c r="AV131" i="3"/>
  <c r="AW131" i="3"/>
  <c r="AX131" i="3"/>
  <c r="AL132" i="3"/>
  <c r="AM132" i="3"/>
  <c r="AN132" i="3"/>
  <c r="AO132" i="3"/>
  <c r="AP132" i="3"/>
  <c r="AQ132" i="3"/>
  <c r="AR132" i="3"/>
  <c r="AS132" i="3"/>
  <c r="AT132" i="3"/>
  <c r="AU132" i="3"/>
  <c r="AV132" i="3"/>
  <c r="AW132" i="3"/>
  <c r="AX132" i="3"/>
  <c r="AL133" i="3"/>
  <c r="AM133" i="3"/>
  <c r="AN133" i="3"/>
  <c r="AO133" i="3"/>
  <c r="AP133" i="3"/>
  <c r="AQ133" i="3"/>
  <c r="AR133" i="3"/>
  <c r="AS133" i="3"/>
  <c r="AT133" i="3"/>
  <c r="AU133" i="3"/>
  <c r="AV133" i="3"/>
  <c r="AW133" i="3"/>
  <c r="AX133" i="3"/>
  <c r="AL134" i="3"/>
  <c r="AM134" i="3"/>
  <c r="AN134" i="3"/>
  <c r="AO134" i="3"/>
  <c r="AP134" i="3"/>
  <c r="AQ134" i="3"/>
  <c r="AR134" i="3"/>
  <c r="AS134" i="3"/>
  <c r="AT134" i="3"/>
  <c r="AU134" i="3"/>
  <c r="AV134" i="3"/>
  <c r="AW134" i="3"/>
  <c r="AX134" i="3"/>
  <c r="AL135" i="3"/>
  <c r="AM135" i="3"/>
  <c r="AN135" i="3"/>
  <c r="AO135" i="3"/>
  <c r="AP135" i="3"/>
  <c r="AQ135" i="3"/>
  <c r="AR135" i="3"/>
  <c r="AS135" i="3"/>
  <c r="AT135" i="3"/>
  <c r="AU135" i="3"/>
  <c r="AV135" i="3"/>
  <c r="AW135" i="3"/>
  <c r="AX135" i="3"/>
  <c r="AL136" i="3"/>
  <c r="AM136" i="3"/>
  <c r="AN136" i="3"/>
  <c r="AO136" i="3"/>
  <c r="AP136" i="3"/>
  <c r="AQ136" i="3"/>
  <c r="AR136" i="3"/>
  <c r="AS136" i="3"/>
  <c r="AT136" i="3"/>
  <c r="AU136" i="3"/>
  <c r="AV136" i="3"/>
  <c r="AW136" i="3"/>
  <c r="AX136" i="3"/>
  <c r="AL137" i="3"/>
  <c r="AM137" i="3"/>
  <c r="AN137" i="3"/>
  <c r="AO137" i="3"/>
  <c r="AP137" i="3"/>
  <c r="AQ137" i="3"/>
  <c r="AR137" i="3"/>
  <c r="AS137" i="3"/>
  <c r="AT137" i="3"/>
  <c r="AU137" i="3"/>
  <c r="AV137" i="3"/>
  <c r="AW137" i="3"/>
  <c r="AX137" i="3"/>
  <c r="AL138" i="3"/>
  <c r="AM138" i="3"/>
  <c r="AN138" i="3"/>
  <c r="AO138" i="3"/>
  <c r="AP138" i="3"/>
  <c r="AQ138" i="3"/>
  <c r="AR138" i="3"/>
  <c r="AS138" i="3"/>
  <c r="AT138" i="3"/>
  <c r="AU138" i="3"/>
  <c r="AV138" i="3"/>
  <c r="AW138" i="3"/>
  <c r="AX138" i="3"/>
  <c r="AL139" i="3"/>
  <c r="AM139" i="3"/>
  <c r="AN139" i="3"/>
  <c r="AO139" i="3"/>
  <c r="AP139" i="3"/>
  <c r="AQ139" i="3"/>
  <c r="AR139" i="3"/>
  <c r="AS139" i="3"/>
  <c r="AT139" i="3"/>
  <c r="AU139" i="3"/>
  <c r="AV139" i="3"/>
  <c r="AW139" i="3"/>
  <c r="AX139" i="3"/>
  <c r="AL140" i="3"/>
  <c r="AM140" i="3"/>
  <c r="AN140" i="3"/>
  <c r="AO140" i="3"/>
  <c r="AP140" i="3"/>
  <c r="AQ140" i="3"/>
  <c r="AR140" i="3"/>
  <c r="AS140" i="3"/>
  <c r="AT140" i="3"/>
  <c r="AU140" i="3"/>
  <c r="AV140" i="3"/>
  <c r="AW140" i="3"/>
  <c r="AX140" i="3"/>
  <c r="AL141" i="3"/>
  <c r="AM141" i="3"/>
  <c r="AN141" i="3"/>
  <c r="AO141" i="3"/>
  <c r="AP141" i="3"/>
  <c r="AQ141" i="3"/>
  <c r="AR141" i="3"/>
  <c r="AS141" i="3"/>
  <c r="AT141" i="3"/>
  <c r="AU141" i="3"/>
  <c r="AV141" i="3"/>
  <c r="AW141" i="3"/>
  <c r="AX141" i="3"/>
  <c r="AL142" i="3"/>
  <c r="AM142" i="3"/>
  <c r="AN142" i="3"/>
  <c r="AO142" i="3"/>
  <c r="AP142" i="3"/>
  <c r="AQ142" i="3"/>
  <c r="AR142" i="3"/>
  <c r="AS142" i="3"/>
  <c r="AT142" i="3"/>
  <c r="AU142" i="3"/>
  <c r="AV142" i="3"/>
  <c r="AW142" i="3"/>
  <c r="AX142" i="3"/>
  <c r="AL143" i="3"/>
  <c r="AM143" i="3"/>
  <c r="AN143" i="3"/>
  <c r="AO143" i="3"/>
  <c r="AP143" i="3"/>
  <c r="AQ143" i="3"/>
  <c r="AR143" i="3"/>
  <c r="AS143" i="3"/>
  <c r="AT143" i="3"/>
  <c r="AU143" i="3"/>
  <c r="AV143" i="3"/>
  <c r="AW143" i="3"/>
  <c r="AX143" i="3"/>
  <c r="AL144" i="3"/>
  <c r="AM144" i="3"/>
  <c r="AN144" i="3"/>
  <c r="AO144" i="3"/>
  <c r="AP144" i="3"/>
  <c r="AQ144" i="3"/>
  <c r="AR144" i="3"/>
  <c r="AS144" i="3"/>
  <c r="AT144" i="3"/>
  <c r="AU144" i="3"/>
  <c r="AV144" i="3"/>
  <c r="AW144" i="3"/>
  <c r="AX144" i="3"/>
  <c r="AL145" i="3"/>
  <c r="AM145" i="3"/>
  <c r="AN145" i="3"/>
  <c r="AO145" i="3"/>
  <c r="AP145" i="3"/>
  <c r="AQ145" i="3"/>
  <c r="AR145" i="3"/>
  <c r="AS145" i="3"/>
  <c r="AT145" i="3"/>
  <c r="AU145" i="3"/>
  <c r="AV145" i="3"/>
  <c r="AW145" i="3"/>
  <c r="AX145" i="3"/>
  <c r="AL146" i="3"/>
  <c r="AM146" i="3"/>
  <c r="AN146" i="3"/>
  <c r="AO146" i="3"/>
  <c r="AP146" i="3"/>
  <c r="AQ146" i="3"/>
  <c r="AR146" i="3"/>
  <c r="AS146" i="3"/>
  <c r="AT146" i="3"/>
  <c r="AU146" i="3"/>
  <c r="AV146" i="3"/>
  <c r="AW146" i="3"/>
  <c r="AX146" i="3"/>
  <c r="AL147" i="3"/>
  <c r="AM147" i="3"/>
  <c r="AN147" i="3"/>
  <c r="AO147" i="3"/>
  <c r="AP147" i="3"/>
  <c r="AQ147" i="3"/>
  <c r="AR147" i="3"/>
  <c r="AS147" i="3"/>
  <c r="AT147" i="3"/>
  <c r="AU147" i="3"/>
  <c r="AV147" i="3"/>
  <c r="AW147" i="3"/>
  <c r="AX147" i="3"/>
  <c r="AL148" i="3"/>
  <c r="AM148" i="3"/>
  <c r="AN148" i="3"/>
  <c r="AO148" i="3"/>
  <c r="AP148" i="3"/>
  <c r="AQ148" i="3"/>
  <c r="AR148" i="3"/>
  <c r="AS148" i="3"/>
  <c r="AT148" i="3"/>
  <c r="AU148" i="3"/>
  <c r="AV148" i="3"/>
  <c r="AW148" i="3"/>
  <c r="AX148" i="3"/>
  <c r="AL149" i="3"/>
  <c r="AM149" i="3"/>
  <c r="AN149" i="3"/>
  <c r="AO149" i="3"/>
  <c r="AP149" i="3"/>
  <c r="AQ149" i="3"/>
  <c r="AR149" i="3"/>
  <c r="AS149" i="3"/>
  <c r="AT149" i="3"/>
  <c r="AU149" i="3"/>
  <c r="AV149" i="3"/>
  <c r="AW149" i="3"/>
  <c r="AX149" i="3"/>
  <c r="AL150" i="3"/>
  <c r="AM150" i="3"/>
  <c r="AN150" i="3"/>
  <c r="AO150" i="3"/>
  <c r="AP150" i="3"/>
  <c r="AQ150" i="3"/>
  <c r="AR150" i="3"/>
  <c r="AS150" i="3"/>
  <c r="AT150" i="3"/>
  <c r="AU150" i="3"/>
  <c r="AV150" i="3"/>
  <c r="AW150" i="3"/>
  <c r="AX150" i="3"/>
  <c r="AL151" i="3"/>
  <c r="AM151" i="3"/>
  <c r="AN151" i="3"/>
  <c r="AO151" i="3"/>
  <c r="AP151" i="3"/>
  <c r="AQ151" i="3"/>
  <c r="AR151" i="3"/>
  <c r="AS151" i="3"/>
  <c r="AT151" i="3"/>
  <c r="AU151" i="3"/>
  <c r="AV151" i="3"/>
  <c r="AW151" i="3"/>
  <c r="AX151" i="3"/>
  <c r="AL152" i="3"/>
  <c r="AM152" i="3"/>
  <c r="AN152" i="3"/>
  <c r="AO152" i="3"/>
  <c r="AP152" i="3"/>
  <c r="AQ152" i="3"/>
  <c r="AR152" i="3"/>
  <c r="AS152" i="3"/>
  <c r="AT152" i="3"/>
  <c r="AU152" i="3"/>
  <c r="AV152" i="3"/>
  <c r="AW152" i="3"/>
  <c r="AX152" i="3"/>
  <c r="AL153" i="3"/>
  <c r="AM153" i="3"/>
  <c r="AN153" i="3"/>
  <c r="AO153" i="3"/>
  <c r="AP153" i="3"/>
  <c r="AQ153" i="3"/>
  <c r="AR153" i="3"/>
  <c r="AS153" i="3"/>
  <c r="AT153" i="3"/>
  <c r="AU153" i="3"/>
  <c r="AV153" i="3"/>
  <c r="AW153" i="3"/>
  <c r="AX153" i="3"/>
  <c r="AL154" i="3"/>
  <c r="AM154" i="3"/>
  <c r="AN154" i="3"/>
  <c r="AO154" i="3"/>
  <c r="AP154" i="3"/>
  <c r="AQ154" i="3"/>
  <c r="AR154" i="3"/>
  <c r="AS154" i="3"/>
  <c r="AT154" i="3"/>
  <c r="AU154" i="3"/>
  <c r="AV154" i="3"/>
  <c r="AW154" i="3"/>
  <c r="AX154" i="3"/>
  <c r="AL155" i="3"/>
  <c r="AM155" i="3"/>
  <c r="AN155" i="3"/>
  <c r="AO155" i="3"/>
  <c r="AP155" i="3"/>
  <c r="AQ155" i="3"/>
  <c r="AR155" i="3"/>
  <c r="AS155" i="3"/>
  <c r="AT155" i="3"/>
  <c r="AU155" i="3"/>
  <c r="AV155" i="3"/>
  <c r="AW155" i="3"/>
  <c r="AX155" i="3"/>
  <c r="AL156" i="3"/>
  <c r="AM156" i="3"/>
  <c r="AN156" i="3"/>
  <c r="AO156" i="3"/>
  <c r="AP156" i="3"/>
  <c r="AQ156" i="3"/>
  <c r="AR156" i="3"/>
  <c r="AS156" i="3"/>
  <c r="AT156" i="3"/>
  <c r="AU156" i="3"/>
  <c r="AV156" i="3"/>
  <c r="AW156" i="3"/>
  <c r="AX156" i="3"/>
  <c r="AL157" i="3"/>
  <c r="AM157" i="3"/>
  <c r="AN157" i="3"/>
  <c r="AO157" i="3"/>
  <c r="AP157" i="3"/>
  <c r="AQ157" i="3"/>
  <c r="AR157" i="3"/>
  <c r="AS157" i="3"/>
  <c r="AT157" i="3"/>
  <c r="AU157" i="3"/>
  <c r="AV157" i="3"/>
  <c r="AW157" i="3"/>
  <c r="AX157" i="3"/>
  <c r="AL158" i="3"/>
  <c r="AM158" i="3"/>
  <c r="AN158" i="3"/>
  <c r="AO158" i="3"/>
  <c r="AP158" i="3"/>
  <c r="AQ158" i="3"/>
  <c r="AR158" i="3"/>
  <c r="AS158" i="3"/>
  <c r="AT158" i="3"/>
  <c r="AU158" i="3"/>
  <c r="AV158" i="3"/>
  <c r="AW158" i="3"/>
  <c r="AX158" i="3"/>
  <c r="AL159" i="3"/>
  <c r="AM159" i="3"/>
  <c r="AN159" i="3"/>
  <c r="AO159" i="3"/>
  <c r="AP159" i="3"/>
  <c r="AQ159" i="3"/>
  <c r="AR159" i="3"/>
  <c r="AS159" i="3"/>
  <c r="AT159" i="3"/>
  <c r="AU159" i="3"/>
  <c r="AV159" i="3"/>
  <c r="AW159" i="3"/>
  <c r="AX159" i="3"/>
  <c r="AL160" i="3"/>
  <c r="AM160" i="3"/>
  <c r="AN160" i="3"/>
  <c r="AO160" i="3"/>
  <c r="AP160" i="3"/>
  <c r="AQ160" i="3"/>
  <c r="AR160" i="3"/>
  <c r="AS160" i="3"/>
  <c r="AT160" i="3"/>
  <c r="AU160" i="3"/>
  <c r="AV160" i="3"/>
  <c r="AW160" i="3"/>
  <c r="AX160" i="3"/>
  <c r="AL161" i="3"/>
  <c r="AM161" i="3"/>
  <c r="AN161" i="3"/>
  <c r="AO161" i="3"/>
  <c r="AP161" i="3"/>
  <c r="AQ161" i="3"/>
  <c r="AR161" i="3"/>
  <c r="AS161" i="3"/>
  <c r="AT161" i="3"/>
  <c r="AU161" i="3"/>
  <c r="AV161" i="3"/>
  <c r="AW161" i="3"/>
  <c r="AX161" i="3"/>
  <c r="AL162" i="3"/>
  <c r="AM162" i="3"/>
  <c r="AN162" i="3"/>
  <c r="AO162" i="3"/>
  <c r="AP162" i="3"/>
  <c r="AQ162" i="3"/>
  <c r="AR162" i="3"/>
  <c r="AS162" i="3"/>
  <c r="AT162" i="3"/>
  <c r="AU162" i="3"/>
  <c r="AV162" i="3"/>
  <c r="AW162" i="3"/>
  <c r="AX162" i="3"/>
  <c r="AL163" i="3"/>
  <c r="AM163" i="3"/>
  <c r="AN163" i="3"/>
  <c r="AO163" i="3"/>
  <c r="AP163" i="3"/>
  <c r="AQ163" i="3"/>
  <c r="AR163" i="3"/>
  <c r="AS163" i="3"/>
  <c r="AT163" i="3"/>
  <c r="AU163" i="3"/>
  <c r="AV163" i="3"/>
  <c r="AW163" i="3"/>
  <c r="AX163" i="3"/>
  <c r="AL164" i="3"/>
  <c r="AM164" i="3"/>
  <c r="AN164" i="3"/>
  <c r="AO164" i="3"/>
  <c r="AP164" i="3"/>
  <c r="AQ164" i="3"/>
  <c r="AR164" i="3"/>
  <c r="AS164" i="3"/>
  <c r="AT164" i="3"/>
  <c r="AU164" i="3"/>
  <c r="AV164" i="3"/>
  <c r="AW164" i="3"/>
  <c r="AX164" i="3"/>
  <c r="AL165" i="3"/>
  <c r="AM165" i="3"/>
  <c r="AN165" i="3"/>
  <c r="AO165" i="3"/>
  <c r="AP165" i="3"/>
  <c r="AQ165" i="3"/>
  <c r="AR165" i="3"/>
  <c r="AS165" i="3"/>
  <c r="AT165" i="3"/>
  <c r="AU165" i="3"/>
  <c r="AV165" i="3"/>
  <c r="AW165" i="3"/>
  <c r="AX165" i="3"/>
  <c r="AL166" i="3"/>
  <c r="AM166" i="3"/>
  <c r="AN166" i="3"/>
  <c r="AO166" i="3"/>
  <c r="AP166" i="3"/>
  <c r="AQ166" i="3"/>
  <c r="AR166" i="3"/>
  <c r="AS166" i="3"/>
  <c r="AT166" i="3"/>
  <c r="AU166" i="3"/>
  <c r="AV166" i="3"/>
  <c r="AW166" i="3"/>
  <c r="AX166" i="3"/>
  <c r="AL167" i="3"/>
  <c r="AM167" i="3"/>
  <c r="AN167" i="3"/>
  <c r="AO167" i="3"/>
  <c r="AP167" i="3"/>
  <c r="AQ167" i="3"/>
  <c r="AR167" i="3"/>
  <c r="AS167" i="3"/>
  <c r="AT167" i="3"/>
  <c r="AU167" i="3"/>
  <c r="AV167" i="3"/>
  <c r="AW167" i="3"/>
  <c r="AX167" i="3"/>
  <c r="AL168" i="3"/>
  <c r="AM168" i="3"/>
  <c r="AN168" i="3"/>
  <c r="AO168" i="3"/>
  <c r="AP168" i="3"/>
  <c r="AQ168" i="3"/>
  <c r="AR168" i="3"/>
  <c r="AS168" i="3"/>
  <c r="AT168" i="3"/>
  <c r="AU168" i="3"/>
  <c r="AV168" i="3"/>
  <c r="AW168" i="3"/>
  <c r="AX168" i="3"/>
  <c r="AL169" i="3"/>
  <c r="AM169" i="3"/>
  <c r="AN169" i="3"/>
  <c r="AO169" i="3"/>
  <c r="AP169" i="3"/>
  <c r="AQ169" i="3"/>
  <c r="AR169" i="3"/>
  <c r="AS169" i="3"/>
  <c r="AT169" i="3"/>
  <c r="AU169" i="3"/>
  <c r="AV169" i="3"/>
  <c r="AW169" i="3"/>
  <c r="AX169" i="3"/>
  <c r="AL170" i="3"/>
  <c r="AM170" i="3"/>
  <c r="AN170" i="3"/>
  <c r="AO170" i="3"/>
  <c r="AP170" i="3"/>
  <c r="AQ170" i="3"/>
  <c r="AR170" i="3"/>
  <c r="AS170" i="3"/>
  <c r="AT170" i="3"/>
  <c r="AU170" i="3"/>
  <c r="AV170" i="3"/>
  <c r="AW170" i="3"/>
  <c r="AX170" i="3"/>
  <c r="AL171" i="3"/>
  <c r="AM171" i="3"/>
  <c r="AN171" i="3"/>
  <c r="AO171" i="3"/>
  <c r="AP171" i="3"/>
  <c r="AQ171" i="3"/>
  <c r="AR171" i="3"/>
  <c r="AS171" i="3"/>
  <c r="AT171" i="3"/>
  <c r="AU171" i="3"/>
  <c r="AV171" i="3"/>
  <c r="AW171" i="3"/>
  <c r="AX171" i="3"/>
  <c r="AL172" i="3"/>
  <c r="AM172" i="3"/>
  <c r="AN172" i="3"/>
  <c r="AO172" i="3"/>
  <c r="AP172" i="3"/>
  <c r="AQ172" i="3"/>
  <c r="AR172" i="3"/>
  <c r="AS172" i="3"/>
  <c r="AT172" i="3"/>
  <c r="AU172" i="3"/>
  <c r="AV172" i="3"/>
  <c r="AW172" i="3"/>
  <c r="AX172" i="3"/>
  <c r="AL173" i="3"/>
  <c r="AM173" i="3"/>
  <c r="AN173" i="3"/>
  <c r="AO173" i="3"/>
  <c r="AP173" i="3"/>
  <c r="AQ173" i="3"/>
  <c r="AR173" i="3"/>
  <c r="AS173" i="3"/>
  <c r="AT173" i="3"/>
  <c r="AU173" i="3"/>
  <c r="AV173" i="3"/>
  <c r="AW173" i="3"/>
  <c r="AX173" i="3"/>
  <c r="AL174" i="3"/>
  <c r="AM174" i="3"/>
  <c r="AN174" i="3"/>
  <c r="AO174" i="3"/>
  <c r="AP174" i="3"/>
  <c r="AQ174" i="3"/>
  <c r="AR174" i="3"/>
  <c r="AS174" i="3"/>
  <c r="AT174" i="3"/>
  <c r="AU174" i="3"/>
  <c r="AV174" i="3"/>
  <c r="AW174" i="3"/>
  <c r="AX174" i="3"/>
  <c r="AL175" i="3"/>
  <c r="AM175" i="3"/>
  <c r="AN175" i="3"/>
  <c r="AO175" i="3"/>
  <c r="AP175" i="3"/>
  <c r="AQ175" i="3"/>
  <c r="AR175" i="3"/>
  <c r="AS175" i="3"/>
  <c r="AT175" i="3"/>
  <c r="AU175" i="3"/>
  <c r="AV175" i="3"/>
  <c r="AW175" i="3"/>
  <c r="AX175" i="3"/>
  <c r="AL176" i="3"/>
  <c r="AM176" i="3"/>
  <c r="AN176" i="3"/>
  <c r="AO176" i="3"/>
  <c r="AP176" i="3"/>
  <c r="AQ176" i="3"/>
  <c r="AR176" i="3"/>
  <c r="AS176" i="3"/>
  <c r="AT176" i="3"/>
  <c r="AU176" i="3"/>
  <c r="AV176" i="3"/>
  <c r="AW176" i="3"/>
  <c r="AX176" i="3"/>
  <c r="AL177" i="3"/>
  <c r="AM177" i="3"/>
  <c r="AN177" i="3"/>
  <c r="AO177" i="3"/>
  <c r="AP177" i="3"/>
  <c r="AQ177" i="3"/>
  <c r="AR177" i="3"/>
  <c r="AS177" i="3"/>
  <c r="AT177" i="3"/>
  <c r="AU177" i="3"/>
  <c r="AV177" i="3"/>
  <c r="AW177" i="3"/>
  <c r="AX177" i="3"/>
  <c r="AL178" i="3"/>
  <c r="AM178" i="3"/>
  <c r="AN178" i="3"/>
  <c r="AO178" i="3"/>
  <c r="AP178" i="3"/>
  <c r="AQ178" i="3"/>
  <c r="AR178" i="3"/>
  <c r="AS178" i="3"/>
  <c r="AT178" i="3"/>
  <c r="AU178" i="3"/>
  <c r="AV178" i="3"/>
  <c r="AW178" i="3"/>
  <c r="AX178" i="3"/>
  <c r="AL179" i="3"/>
  <c r="AM179" i="3"/>
  <c r="AN179" i="3"/>
  <c r="AO179" i="3"/>
  <c r="AP179" i="3"/>
  <c r="AQ179" i="3"/>
  <c r="AR179" i="3"/>
  <c r="AS179" i="3"/>
  <c r="AT179" i="3"/>
  <c r="AU179" i="3"/>
  <c r="AV179" i="3"/>
  <c r="AW179" i="3"/>
  <c r="AX179" i="3"/>
  <c r="AL180" i="3"/>
  <c r="AM180" i="3"/>
  <c r="AN180" i="3"/>
  <c r="AO180" i="3"/>
  <c r="AP180" i="3"/>
  <c r="AQ180" i="3"/>
  <c r="AR180" i="3"/>
  <c r="AS180" i="3"/>
  <c r="AT180" i="3"/>
  <c r="AU180" i="3"/>
  <c r="AV180" i="3"/>
  <c r="AW180" i="3"/>
  <c r="AX180" i="3"/>
  <c r="AL181" i="3"/>
  <c r="AM181" i="3"/>
  <c r="AN181" i="3"/>
  <c r="AO181" i="3"/>
  <c r="AP181" i="3"/>
  <c r="AQ181" i="3"/>
  <c r="AR181" i="3"/>
  <c r="AS181" i="3"/>
  <c r="AT181" i="3"/>
  <c r="AU181" i="3"/>
  <c r="AV181" i="3"/>
  <c r="AW181" i="3"/>
  <c r="AX181" i="3"/>
  <c r="AL182" i="3"/>
  <c r="AM182" i="3"/>
  <c r="AN182" i="3"/>
  <c r="AO182" i="3"/>
  <c r="AP182" i="3"/>
  <c r="AQ182" i="3"/>
  <c r="AR182" i="3"/>
  <c r="AS182" i="3"/>
  <c r="AT182" i="3"/>
  <c r="AU182" i="3"/>
  <c r="AV182" i="3"/>
  <c r="AW182" i="3"/>
  <c r="AX182" i="3"/>
  <c r="AL183" i="3"/>
  <c r="AM183" i="3"/>
  <c r="AN183" i="3"/>
  <c r="AO183" i="3"/>
  <c r="AP183" i="3"/>
  <c r="AQ183" i="3"/>
  <c r="AR183" i="3"/>
  <c r="AS183" i="3"/>
  <c r="AT183" i="3"/>
  <c r="AU183" i="3"/>
  <c r="AV183" i="3"/>
  <c r="AW183" i="3"/>
  <c r="AX183" i="3"/>
  <c r="AL184" i="3"/>
  <c r="AM184" i="3"/>
  <c r="AN184" i="3"/>
  <c r="AO184" i="3"/>
  <c r="AP184" i="3"/>
  <c r="AQ184" i="3"/>
  <c r="AR184" i="3"/>
  <c r="AS184" i="3"/>
  <c r="AT184" i="3"/>
  <c r="AU184" i="3"/>
  <c r="AV184" i="3"/>
  <c r="AW184" i="3"/>
  <c r="AX184" i="3"/>
  <c r="AL185" i="3"/>
  <c r="AM185" i="3"/>
  <c r="AN185" i="3"/>
  <c r="AO185" i="3"/>
  <c r="AP185" i="3"/>
  <c r="AQ185" i="3"/>
  <c r="AR185" i="3"/>
  <c r="AS185" i="3"/>
  <c r="AT185" i="3"/>
  <c r="AU185" i="3"/>
  <c r="AV185" i="3"/>
  <c r="AW185" i="3"/>
  <c r="AX185" i="3"/>
  <c r="AL186" i="3"/>
  <c r="AM186" i="3"/>
  <c r="AN186" i="3"/>
  <c r="AO186" i="3"/>
  <c r="AP186" i="3"/>
  <c r="AQ186" i="3"/>
  <c r="AR186" i="3"/>
  <c r="AS186" i="3"/>
  <c r="AT186" i="3"/>
  <c r="AU186" i="3"/>
  <c r="AV186" i="3"/>
  <c r="AW186" i="3"/>
  <c r="AX186" i="3"/>
  <c r="AL187" i="3"/>
  <c r="AM187" i="3"/>
  <c r="AN187" i="3"/>
  <c r="AO187" i="3"/>
  <c r="AP187" i="3"/>
  <c r="AQ187" i="3"/>
  <c r="AR187" i="3"/>
  <c r="AS187" i="3"/>
  <c r="AT187" i="3"/>
  <c r="AU187" i="3"/>
  <c r="AV187" i="3"/>
  <c r="AW187" i="3"/>
  <c r="AX187" i="3"/>
  <c r="AL188" i="3"/>
  <c r="AM188" i="3"/>
  <c r="AN188" i="3"/>
  <c r="AO188" i="3"/>
  <c r="AP188" i="3"/>
  <c r="AQ188" i="3"/>
  <c r="AR188" i="3"/>
  <c r="AS188" i="3"/>
  <c r="AT188" i="3"/>
  <c r="AU188" i="3"/>
  <c r="AV188" i="3"/>
  <c r="AW188" i="3"/>
  <c r="AX188" i="3"/>
  <c r="AL189" i="3"/>
  <c r="AM189" i="3"/>
  <c r="AN189" i="3"/>
  <c r="AO189" i="3"/>
  <c r="AP189" i="3"/>
  <c r="AQ189" i="3"/>
  <c r="AR189" i="3"/>
  <c r="AS189" i="3"/>
  <c r="AT189" i="3"/>
  <c r="AU189" i="3"/>
  <c r="AV189" i="3"/>
  <c r="AW189" i="3"/>
  <c r="AX189" i="3"/>
  <c r="AL190" i="3"/>
  <c r="AM190" i="3"/>
  <c r="AN190" i="3"/>
  <c r="AO190" i="3"/>
  <c r="AP190" i="3"/>
  <c r="AQ190" i="3"/>
  <c r="AR190" i="3"/>
  <c r="AS190" i="3"/>
  <c r="AT190" i="3"/>
  <c r="AU190" i="3"/>
  <c r="AV190" i="3"/>
  <c r="AW190" i="3"/>
  <c r="AX190" i="3"/>
  <c r="AL191" i="3"/>
  <c r="AM191" i="3"/>
  <c r="AN191" i="3"/>
  <c r="AO191" i="3"/>
  <c r="AP191" i="3"/>
  <c r="AQ191" i="3"/>
  <c r="AR191" i="3"/>
  <c r="AS191" i="3"/>
  <c r="AT191" i="3"/>
  <c r="AU191" i="3"/>
  <c r="AV191" i="3"/>
  <c r="AW191" i="3"/>
  <c r="AX191" i="3"/>
  <c r="AL192" i="3"/>
  <c r="AM192" i="3"/>
  <c r="AN192" i="3"/>
  <c r="AO192" i="3"/>
  <c r="AP192" i="3"/>
  <c r="AQ192" i="3"/>
  <c r="AR192" i="3"/>
  <c r="AS192" i="3"/>
  <c r="AT192" i="3"/>
  <c r="AU192" i="3"/>
  <c r="AV192" i="3"/>
  <c r="AW192" i="3"/>
  <c r="AX192" i="3"/>
  <c r="AL193" i="3"/>
  <c r="AM193" i="3"/>
  <c r="AN193" i="3"/>
  <c r="AO193" i="3"/>
  <c r="AP193" i="3"/>
  <c r="AQ193" i="3"/>
  <c r="AR193" i="3"/>
  <c r="AS193" i="3"/>
  <c r="AT193" i="3"/>
  <c r="AU193" i="3"/>
  <c r="AV193" i="3"/>
  <c r="AW193" i="3"/>
  <c r="AX193" i="3"/>
  <c r="AL194" i="3"/>
  <c r="AM194" i="3"/>
  <c r="AN194" i="3"/>
  <c r="AO194" i="3"/>
  <c r="AP194" i="3"/>
  <c r="AQ194" i="3"/>
  <c r="AR194" i="3"/>
  <c r="AS194" i="3"/>
  <c r="AT194" i="3"/>
  <c r="AU194" i="3"/>
  <c r="AV194" i="3"/>
  <c r="AW194" i="3"/>
  <c r="AX194" i="3"/>
  <c r="AL195" i="3"/>
  <c r="AM195" i="3"/>
  <c r="AN195" i="3"/>
  <c r="AO195" i="3"/>
  <c r="AP195" i="3"/>
  <c r="AQ195" i="3"/>
  <c r="AR195" i="3"/>
  <c r="AS195" i="3"/>
  <c r="AT195" i="3"/>
  <c r="AU195" i="3"/>
  <c r="AV195" i="3"/>
  <c r="AW195" i="3"/>
  <c r="AX195" i="3"/>
  <c r="AL196" i="3"/>
  <c r="AM196" i="3"/>
  <c r="AN196" i="3"/>
  <c r="AO196" i="3"/>
  <c r="AP196" i="3"/>
  <c r="AQ196" i="3"/>
  <c r="AR196" i="3"/>
  <c r="AS196" i="3"/>
  <c r="AT196" i="3"/>
  <c r="AU196" i="3"/>
  <c r="AV196" i="3"/>
  <c r="AW196" i="3"/>
  <c r="AX196" i="3"/>
  <c r="AL197" i="3"/>
  <c r="AM197" i="3"/>
  <c r="AN197" i="3"/>
  <c r="AO197" i="3"/>
  <c r="AP197" i="3"/>
  <c r="AQ197" i="3"/>
  <c r="AR197" i="3"/>
  <c r="AS197" i="3"/>
  <c r="AT197" i="3"/>
  <c r="AU197" i="3"/>
  <c r="AV197" i="3"/>
  <c r="AW197" i="3"/>
  <c r="AX197" i="3"/>
  <c r="AL198" i="3"/>
  <c r="AM198" i="3"/>
  <c r="AN198" i="3"/>
  <c r="AO198" i="3"/>
  <c r="AP198" i="3"/>
  <c r="AQ198" i="3"/>
  <c r="AR198" i="3"/>
  <c r="AS198" i="3"/>
  <c r="AT198" i="3"/>
  <c r="AU198" i="3"/>
  <c r="AV198" i="3"/>
  <c r="AW198" i="3"/>
  <c r="AX198" i="3"/>
  <c r="AL199" i="3"/>
  <c r="AM199" i="3"/>
  <c r="AN199" i="3"/>
  <c r="AO199" i="3"/>
  <c r="AP199" i="3"/>
  <c r="AQ199" i="3"/>
  <c r="AR199" i="3"/>
  <c r="AS199" i="3"/>
  <c r="AT199" i="3"/>
  <c r="AU199" i="3"/>
  <c r="AV199" i="3"/>
  <c r="AW199" i="3"/>
  <c r="AX199" i="3"/>
  <c r="AL200" i="3"/>
  <c r="AM200" i="3"/>
  <c r="AN200" i="3"/>
  <c r="AO200" i="3"/>
  <c r="AP200" i="3"/>
  <c r="AQ200" i="3"/>
  <c r="AR200" i="3"/>
  <c r="AS200" i="3"/>
  <c r="AT200" i="3"/>
  <c r="AU200" i="3"/>
  <c r="AV200" i="3"/>
  <c r="AW200" i="3"/>
  <c r="AX200" i="3"/>
  <c r="AL201" i="3"/>
  <c r="AM201" i="3"/>
  <c r="AN201" i="3"/>
  <c r="AO201" i="3"/>
  <c r="AP201" i="3"/>
  <c r="AQ201" i="3"/>
  <c r="AR201" i="3"/>
  <c r="AS201" i="3"/>
  <c r="AT201" i="3"/>
  <c r="AU201" i="3"/>
  <c r="AV201" i="3"/>
  <c r="AW201" i="3"/>
  <c r="AX201" i="3"/>
  <c r="AL202" i="3"/>
  <c r="AM202" i="3"/>
  <c r="AN202" i="3"/>
  <c r="AO202" i="3"/>
  <c r="AP202" i="3"/>
  <c r="AQ202" i="3"/>
  <c r="AR202" i="3"/>
  <c r="AS202" i="3"/>
  <c r="AT202" i="3"/>
  <c r="AU202" i="3"/>
  <c r="AV202" i="3"/>
  <c r="AW202" i="3"/>
  <c r="AX202" i="3"/>
  <c r="AL203" i="3"/>
  <c r="AM203" i="3"/>
  <c r="AN203" i="3"/>
  <c r="AO203" i="3"/>
  <c r="AP203" i="3"/>
  <c r="AQ203" i="3"/>
  <c r="AR203" i="3"/>
  <c r="AS203" i="3"/>
  <c r="AT203" i="3"/>
  <c r="AU203" i="3"/>
  <c r="AV203" i="3"/>
  <c r="AW203" i="3"/>
  <c r="AX203" i="3"/>
  <c r="AL204" i="3"/>
  <c r="AM204" i="3"/>
  <c r="AN204" i="3"/>
  <c r="AO204" i="3"/>
  <c r="AP204" i="3"/>
  <c r="AQ204" i="3"/>
  <c r="AR204" i="3"/>
  <c r="AS204" i="3"/>
  <c r="AT204" i="3"/>
  <c r="AU204" i="3"/>
  <c r="AV204" i="3"/>
  <c r="AW204" i="3"/>
  <c r="AX204" i="3"/>
  <c r="AL205" i="3"/>
  <c r="AM205" i="3"/>
  <c r="AN205" i="3"/>
  <c r="AO205" i="3"/>
  <c r="AP205" i="3"/>
  <c r="AQ205" i="3"/>
  <c r="AR205" i="3"/>
  <c r="AS205" i="3"/>
  <c r="AT205" i="3"/>
  <c r="AU205" i="3"/>
  <c r="AV205" i="3"/>
  <c r="AW205" i="3"/>
  <c r="AX205" i="3"/>
  <c r="AL206" i="3"/>
  <c r="AM206" i="3"/>
  <c r="AN206" i="3"/>
  <c r="AO206" i="3"/>
  <c r="AP206" i="3"/>
  <c r="AQ206" i="3"/>
  <c r="AR206" i="3"/>
  <c r="AS206" i="3"/>
  <c r="AT206" i="3"/>
  <c r="AU206" i="3"/>
  <c r="AV206" i="3"/>
  <c r="AW206" i="3"/>
  <c r="AX206" i="3"/>
  <c r="AL207" i="3"/>
  <c r="AM207" i="3"/>
  <c r="AN207" i="3"/>
  <c r="AO207" i="3"/>
  <c r="AP207" i="3"/>
  <c r="AQ207" i="3"/>
  <c r="AR207" i="3"/>
  <c r="AS207" i="3"/>
  <c r="AT207" i="3"/>
  <c r="AU207" i="3"/>
  <c r="AV207" i="3"/>
  <c r="AW207" i="3"/>
  <c r="AX207" i="3"/>
  <c r="AL208" i="3"/>
  <c r="AM208" i="3"/>
  <c r="AN208" i="3"/>
  <c r="AO208" i="3"/>
  <c r="AP208" i="3"/>
  <c r="AQ208" i="3"/>
  <c r="AR208" i="3"/>
  <c r="AS208" i="3"/>
  <c r="AT208" i="3"/>
  <c r="AU208" i="3"/>
  <c r="AV208" i="3"/>
  <c r="AW208" i="3"/>
  <c r="AX208" i="3"/>
  <c r="AL209" i="3"/>
  <c r="AM209" i="3"/>
  <c r="AN209" i="3"/>
  <c r="AO209" i="3"/>
  <c r="AP209" i="3"/>
  <c r="AQ209" i="3"/>
  <c r="AR209" i="3"/>
  <c r="AS209" i="3"/>
  <c r="AT209" i="3"/>
  <c r="AU209" i="3"/>
  <c r="AV209" i="3"/>
  <c r="AW209" i="3"/>
  <c r="AX209" i="3"/>
  <c r="AL210" i="3"/>
  <c r="AM210" i="3"/>
  <c r="AN210" i="3"/>
  <c r="AO210" i="3"/>
  <c r="AP210" i="3"/>
  <c r="AQ210" i="3"/>
  <c r="AR210" i="3"/>
  <c r="AS210" i="3"/>
  <c r="AT210" i="3"/>
  <c r="AU210" i="3"/>
  <c r="AV210" i="3"/>
  <c r="AW210" i="3"/>
  <c r="AX210" i="3"/>
  <c r="AL211" i="3"/>
  <c r="AM211" i="3"/>
  <c r="AN211" i="3"/>
  <c r="AO211" i="3"/>
  <c r="AP211" i="3"/>
  <c r="AQ211" i="3"/>
  <c r="AR211" i="3"/>
  <c r="AS211" i="3"/>
  <c r="AT211" i="3"/>
  <c r="AU211" i="3"/>
  <c r="AV211" i="3"/>
  <c r="AW211" i="3"/>
  <c r="AX211" i="3"/>
  <c r="AL212" i="3"/>
  <c r="AM212" i="3"/>
  <c r="AN212" i="3"/>
  <c r="AO212" i="3"/>
  <c r="AP212" i="3"/>
  <c r="AQ212" i="3"/>
  <c r="AR212" i="3"/>
  <c r="AS212" i="3"/>
  <c r="AT212" i="3"/>
  <c r="AU212" i="3"/>
  <c r="AV212" i="3"/>
  <c r="AW212" i="3"/>
  <c r="AX212" i="3"/>
  <c r="AL213" i="3"/>
  <c r="AM213" i="3"/>
  <c r="AN213" i="3"/>
  <c r="AO213" i="3"/>
  <c r="AP213" i="3"/>
  <c r="AQ213" i="3"/>
  <c r="AR213" i="3"/>
  <c r="AS213" i="3"/>
  <c r="AT213" i="3"/>
  <c r="AU213" i="3"/>
  <c r="AV213" i="3"/>
  <c r="AW213" i="3"/>
  <c r="AX213" i="3"/>
  <c r="AL214" i="3"/>
  <c r="AM214" i="3"/>
  <c r="AN214" i="3"/>
  <c r="AO214" i="3"/>
  <c r="AP214" i="3"/>
  <c r="AQ214" i="3"/>
  <c r="AR214" i="3"/>
  <c r="AS214" i="3"/>
  <c r="AT214" i="3"/>
  <c r="AU214" i="3"/>
  <c r="AV214" i="3"/>
  <c r="AW214" i="3"/>
  <c r="AX214" i="3"/>
  <c r="AL215" i="3"/>
  <c r="AM215" i="3"/>
  <c r="AN215" i="3"/>
  <c r="AO215" i="3"/>
  <c r="AP215" i="3"/>
  <c r="AQ215" i="3"/>
  <c r="AR215" i="3"/>
  <c r="AS215" i="3"/>
  <c r="AT215" i="3"/>
  <c r="AU215" i="3"/>
  <c r="AV215" i="3"/>
  <c r="AW215" i="3"/>
  <c r="AX215" i="3"/>
  <c r="AL216" i="3"/>
  <c r="AM216" i="3"/>
  <c r="AN216" i="3"/>
  <c r="AO216" i="3"/>
  <c r="AP216" i="3"/>
  <c r="AQ216" i="3"/>
  <c r="AR216" i="3"/>
  <c r="AS216" i="3"/>
  <c r="AT216" i="3"/>
  <c r="AU216" i="3"/>
  <c r="AV216" i="3"/>
  <c r="AW216" i="3"/>
  <c r="AX216" i="3"/>
  <c r="AL217" i="3"/>
  <c r="AM217" i="3"/>
  <c r="AN217" i="3"/>
  <c r="AO217" i="3"/>
  <c r="AP217" i="3"/>
  <c r="AQ217" i="3"/>
  <c r="AR217" i="3"/>
  <c r="AS217" i="3"/>
  <c r="AT217" i="3"/>
  <c r="AU217" i="3"/>
  <c r="AV217" i="3"/>
  <c r="AW217" i="3"/>
  <c r="AX217" i="3"/>
  <c r="AL218" i="3"/>
  <c r="AM218" i="3"/>
  <c r="AN218" i="3"/>
  <c r="AO218" i="3"/>
  <c r="AP218" i="3"/>
  <c r="AQ218" i="3"/>
  <c r="AR218" i="3"/>
  <c r="AS218" i="3"/>
  <c r="AT218" i="3"/>
  <c r="AU218" i="3"/>
  <c r="AV218" i="3"/>
  <c r="AW218" i="3"/>
  <c r="AX218" i="3"/>
  <c r="AL219" i="3"/>
  <c r="AM219" i="3"/>
  <c r="AN219" i="3"/>
  <c r="AO219" i="3"/>
  <c r="AP219" i="3"/>
  <c r="AQ219" i="3"/>
  <c r="AR219" i="3"/>
  <c r="AS219" i="3"/>
  <c r="AT219" i="3"/>
  <c r="AU219" i="3"/>
  <c r="AV219" i="3"/>
  <c r="AW219" i="3"/>
  <c r="AX219" i="3"/>
  <c r="AL220" i="3"/>
  <c r="AM220" i="3"/>
  <c r="AN220" i="3"/>
  <c r="AO220" i="3"/>
  <c r="AP220" i="3"/>
  <c r="AQ220" i="3"/>
  <c r="AR220" i="3"/>
  <c r="AS220" i="3"/>
  <c r="AT220" i="3"/>
  <c r="AU220" i="3"/>
  <c r="AV220" i="3"/>
  <c r="AW220" i="3"/>
  <c r="AX220" i="3"/>
  <c r="AL221" i="3"/>
  <c r="AM221" i="3"/>
  <c r="AN221" i="3"/>
  <c r="AO221" i="3"/>
  <c r="AP221" i="3"/>
  <c r="AQ221" i="3"/>
  <c r="AR221" i="3"/>
  <c r="AS221" i="3"/>
  <c r="AT221" i="3"/>
  <c r="AU221" i="3"/>
  <c r="AV221" i="3"/>
  <c r="AW221" i="3"/>
  <c r="AX221" i="3"/>
  <c r="AL222" i="3"/>
  <c r="AM222" i="3"/>
  <c r="AN222" i="3"/>
  <c r="AO222" i="3"/>
  <c r="AP222" i="3"/>
  <c r="AQ222" i="3"/>
  <c r="AR222" i="3"/>
  <c r="AS222" i="3"/>
  <c r="AT222" i="3"/>
  <c r="AU222" i="3"/>
  <c r="AV222" i="3"/>
  <c r="AW222" i="3"/>
  <c r="AX222" i="3"/>
  <c r="AL223" i="3"/>
  <c r="AM223" i="3"/>
  <c r="AN223" i="3"/>
  <c r="AO223" i="3"/>
  <c r="AP223" i="3"/>
  <c r="AQ223" i="3"/>
  <c r="AR223" i="3"/>
  <c r="AS223" i="3"/>
  <c r="AT223" i="3"/>
  <c r="AU223" i="3"/>
  <c r="AV223" i="3"/>
  <c r="AW223" i="3"/>
  <c r="AX223" i="3"/>
  <c r="AL224" i="3"/>
  <c r="AM224" i="3"/>
  <c r="AN224" i="3"/>
  <c r="AO224" i="3"/>
  <c r="AP224" i="3"/>
  <c r="AQ224" i="3"/>
  <c r="AR224" i="3"/>
  <c r="AS224" i="3"/>
  <c r="AT224" i="3"/>
  <c r="AU224" i="3"/>
  <c r="AV224" i="3"/>
  <c r="AW224" i="3"/>
  <c r="AX224" i="3"/>
  <c r="AL225" i="3"/>
  <c r="AM225" i="3"/>
  <c r="AN225" i="3"/>
  <c r="AO225" i="3"/>
  <c r="AP225" i="3"/>
  <c r="AQ225" i="3"/>
  <c r="AR225" i="3"/>
  <c r="AS225" i="3"/>
  <c r="AT225" i="3"/>
  <c r="AU225" i="3"/>
  <c r="AV225" i="3"/>
  <c r="AW225" i="3"/>
  <c r="AX225" i="3"/>
  <c r="AL226" i="3"/>
  <c r="AM226" i="3"/>
  <c r="AN226" i="3"/>
  <c r="AO226" i="3"/>
  <c r="AP226" i="3"/>
  <c r="AQ226" i="3"/>
  <c r="AR226" i="3"/>
  <c r="AS226" i="3"/>
  <c r="AT226" i="3"/>
  <c r="AU226" i="3"/>
  <c r="AV226" i="3"/>
  <c r="AW226" i="3"/>
  <c r="AX226" i="3"/>
  <c r="AL227" i="3"/>
  <c r="AM227" i="3"/>
  <c r="AN227" i="3"/>
  <c r="AO227" i="3"/>
  <c r="AP227" i="3"/>
  <c r="AQ227" i="3"/>
  <c r="AR227" i="3"/>
  <c r="AS227" i="3"/>
  <c r="AT227" i="3"/>
  <c r="AU227" i="3"/>
  <c r="AV227" i="3"/>
  <c r="AW227" i="3"/>
  <c r="AX227" i="3"/>
  <c r="AL228" i="3"/>
  <c r="AM228" i="3"/>
  <c r="AN228" i="3"/>
  <c r="AO228" i="3"/>
  <c r="AP228" i="3"/>
  <c r="AQ228" i="3"/>
  <c r="AR228" i="3"/>
  <c r="AS228" i="3"/>
  <c r="AT228" i="3"/>
  <c r="AU228" i="3"/>
  <c r="AV228" i="3"/>
  <c r="AW228" i="3"/>
  <c r="AX228" i="3"/>
  <c r="AL229" i="3"/>
  <c r="AM229" i="3"/>
  <c r="AN229" i="3"/>
  <c r="AO229" i="3"/>
  <c r="AP229" i="3"/>
  <c r="AQ229" i="3"/>
  <c r="AR229" i="3"/>
  <c r="AS229" i="3"/>
  <c r="AT229" i="3"/>
  <c r="AU229" i="3"/>
  <c r="AV229" i="3"/>
  <c r="AW229" i="3"/>
  <c r="AX229" i="3"/>
  <c r="AL230" i="3"/>
  <c r="AM230" i="3"/>
  <c r="AN230" i="3"/>
  <c r="AO230" i="3"/>
  <c r="AP230" i="3"/>
  <c r="AQ230" i="3"/>
  <c r="AR230" i="3"/>
  <c r="AS230" i="3"/>
  <c r="AT230" i="3"/>
  <c r="AU230" i="3"/>
  <c r="AV230" i="3"/>
  <c r="AW230" i="3"/>
  <c r="AX230" i="3"/>
  <c r="AL231" i="3"/>
  <c r="AM231" i="3"/>
  <c r="AN231" i="3"/>
  <c r="AO231" i="3"/>
  <c r="AP231" i="3"/>
  <c r="AQ231" i="3"/>
  <c r="AR231" i="3"/>
  <c r="AS231" i="3"/>
  <c r="AT231" i="3"/>
  <c r="AU231" i="3"/>
  <c r="AV231" i="3"/>
  <c r="AW231" i="3"/>
  <c r="AX231" i="3"/>
  <c r="AL232" i="3"/>
  <c r="AM232" i="3"/>
  <c r="AN232" i="3"/>
  <c r="AO232" i="3"/>
  <c r="AP232" i="3"/>
  <c r="AQ232" i="3"/>
  <c r="AR232" i="3"/>
  <c r="AS232" i="3"/>
  <c r="AT232" i="3"/>
  <c r="AU232" i="3"/>
  <c r="AV232" i="3"/>
  <c r="AW232" i="3"/>
  <c r="AX232" i="3"/>
  <c r="AL233" i="3"/>
  <c r="AM233" i="3"/>
  <c r="AN233" i="3"/>
  <c r="AO233" i="3"/>
  <c r="AP233" i="3"/>
  <c r="AQ233" i="3"/>
  <c r="AR233" i="3"/>
  <c r="AS233" i="3"/>
  <c r="AT233" i="3"/>
  <c r="AU233" i="3"/>
  <c r="AV233" i="3"/>
  <c r="AW233" i="3"/>
  <c r="AX233" i="3"/>
  <c r="AL234" i="3"/>
  <c r="AM234" i="3"/>
  <c r="AN234" i="3"/>
  <c r="AO234" i="3"/>
  <c r="AP234" i="3"/>
  <c r="AQ234" i="3"/>
  <c r="AR234" i="3"/>
  <c r="AS234" i="3"/>
  <c r="AT234" i="3"/>
  <c r="AU234" i="3"/>
  <c r="AV234" i="3"/>
  <c r="AW234" i="3"/>
  <c r="AX234" i="3"/>
  <c r="AL235" i="3"/>
  <c r="AM235" i="3"/>
  <c r="AN235" i="3"/>
  <c r="AO235" i="3"/>
  <c r="AP235" i="3"/>
  <c r="AQ235" i="3"/>
  <c r="AR235" i="3"/>
  <c r="AS235" i="3"/>
  <c r="AT235" i="3"/>
  <c r="AU235" i="3"/>
  <c r="AV235" i="3"/>
  <c r="AW235" i="3"/>
  <c r="AX235" i="3"/>
  <c r="AL236" i="3"/>
  <c r="AM236" i="3"/>
  <c r="AN236" i="3"/>
  <c r="AO236" i="3"/>
  <c r="AP236" i="3"/>
  <c r="AQ236" i="3"/>
  <c r="AR236" i="3"/>
  <c r="AS236" i="3"/>
  <c r="AT236" i="3"/>
  <c r="AU236" i="3"/>
  <c r="AV236" i="3"/>
  <c r="AW236" i="3"/>
  <c r="AX236" i="3"/>
  <c r="AL237" i="3"/>
  <c r="AM237" i="3"/>
  <c r="AN237" i="3"/>
  <c r="AO237" i="3"/>
  <c r="AP237" i="3"/>
  <c r="AQ237" i="3"/>
  <c r="AR237" i="3"/>
  <c r="AS237" i="3"/>
  <c r="AT237" i="3"/>
  <c r="AU237" i="3"/>
  <c r="AV237" i="3"/>
  <c r="AW237" i="3"/>
  <c r="AX237" i="3"/>
  <c r="AL238" i="3"/>
  <c r="AM238" i="3"/>
  <c r="AN238" i="3"/>
  <c r="AO238" i="3"/>
  <c r="AP238" i="3"/>
  <c r="AQ238" i="3"/>
  <c r="AR238" i="3"/>
  <c r="AS238" i="3"/>
  <c r="AT238" i="3"/>
  <c r="AU238" i="3"/>
  <c r="AV238" i="3"/>
  <c r="AW238" i="3"/>
  <c r="AX238" i="3"/>
  <c r="AL239" i="3"/>
  <c r="AM239" i="3"/>
  <c r="AN239" i="3"/>
  <c r="AO239" i="3"/>
  <c r="AP239" i="3"/>
  <c r="AQ239" i="3"/>
  <c r="AR239" i="3"/>
  <c r="AS239" i="3"/>
  <c r="AT239" i="3"/>
  <c r="AU239" i="3"/>
  <c r="AV239" i="3"/>
  <c r="AW239" i="3"/>
  <c r="AX239" i="3"/>
  <c r="AL240" i="3"/>
  <c r="AM240" i="3"/>
  <c r="AN240" i="3"/>
  <c r="AO240" i="3"/>
  <c r="AP240" i="3"/>
  <c r="AQ240" i="3"/>
  <c r="AR240" i="3"/>
  <c r="AS240" i="3"/>
  <c r="AT240" i="3"/>
  <c r="AU240" i="3"/>
  <c r="AV240" i="3"/>
  <c r="AW240" i="3"/>
  <c r="AX240" i="3"/>
  <c r="AL241" i="3"/>
  <c r="AM241" i="3"/>
  <c r="AN241" i="3"/>
  <c r="AO241" i="3"/>
  <c r="AP241" i="3"/>
  <c r="AQ241" i="3"/>
  <c r="AR241" i="3"/>
  <c r="AS241" i="3"/>
  <c r="AT241" i="3"/>
  <c r="AU241" i="3"/>
  <c r="AV241" i="3"/>
  <c r="AW241" i="3"/>
  <c r="AX241" i="3"/>
  <c r="AL242" i="3"/>
  <c r="AM242" i="3"/>
  <c r="AN242" i="3"/>
  <c r="AO242" i="3"/>
  <c r="AP242" i="3"/>
  <c r="AQ242" i="3"/>
  <c r="AR242" i="3"/>
  <c r="AS242" i="3"/>
  <c r="AT242" i="3"/>
  <c r="AU242" i="3"/>
  <c r="AV242" i="3"/>
  <c r="AW242" i="3"/>
  <c r="AX242" i="3"/>
  <c r="AL243" i="3"/>
  <c r="AM243" i="3"/>
  <c r="AN243" i="3"/>
  <c r="AO243" i="3"/>
  <c r="AP243" i="3"/>
  <c r="AQ243" i="3"/>
  <c r="AR243" i="3"/>
  <c r="AS243" i="3"/>
  <c r="AT243" i="3"/>
  <c r="AU243" i="3"/>
  <c r="AV243" i="3"/>
  <c r="AW243" i="3"/>
  <c r="AX243" i="3"/>
  <c r="AL244" i="3"/>
  <c r="AM244" i="3"/>
  <c r="AN244" i="3"/>
  <c r="AO244" i="3"/>
  <c r="AP244" i="3"/>
  <c r="AQ244" i="3"/>
  <c r="AR244" i="3"/>
  <c r="AS244" i="3"/>
  <c r="AT244" i="3"/>
  <c r="AU244" i="3"/>
  <c r="AV244" i="3"/>
  <c r="AW244" i="3"/>
  <c r="AX244" i="3"/>
  <c r="AL245" i="3"/>
  <c r="AM245" i="3"/>
  <c r="AN245" i="3"/>
  <c r="AO245" i="3"/>
  <c r="AP245" i="3"/>
  <c r="AQ245" i="3"/>
  <c r="AR245" i="3"/>
  <c r="AS245" i="3"/>
  <c r="AT245" i="3"/>
  <c r="AU245" i="3"/>
  <c r="AV245" i="3"/>
  <c r="AW245" i="3"/>
  <c r="AX245" i="3"/>
  <c r="AL246" i="3"/>
  <c r="AM246" i="3"/>
  <c r="AN246" i="3"/>
  <c r="AO246" i="3"/>
  <c r="AP246" i="3"/>
  <c r="AQ246" i="3"/>
  <c r="AR246" i="3"/>
  <c r="AS246" i="3"/>
  <c r="AT246" i="3"/>
  <c r="AU246" i="3"/>
  <c r="AV246" i="3"/>
  <c r="AW246" i="3"/>
  <c r="AX246" i="3"/>
  <c r="AL247" i="3"/>
  <c r="AM247" i="3"/>
  <c r="AN247" i="3"/>
  <c r="AO247" i="3"/>
  <c r="AP247" i="3"/>
  <c r="AQ247" i="3"/>
  <c r="AR247" i="3"/>
  <c r="AS247" i="3"/>
  <c r="AT247" i="3"/>
  <c r="AU247" i="3"/>
  <c r="AV247" i="3"/>
  <c r="AW247" i="3"/>
  <c r="AX247" i="3"/>
  <c r="AL248" i="3"/>
  <c r="AM248" i="3"/>
  <c r="AN248" i="3"/>
  <c r="AO248" i="3"/>
  <c r="AP248" i="3"/>
  <c r="AQ248" i="3"/>
  <c r="AR248" i="3"/>
  <c r="AS248" i="3"/>
  <c r="AT248" i="3"/>
  <c r="AU248" i="3"/>
  <c r="AV248" i="3"/>
  <c r="AW248" i="3"/>
  <c r="AX248" i="3"/>
  <c r="AL249" i="3"/>
  <c r="AM249" i="3"/>
  <c r="AN249" i="3"/>
  <c r="AO249" i="3"/>
  <c r="AP249" i="3"/>
  <c r="AQ249" i="3"/>
  <c r="AR249" i="3"/>
  <c r="AS249" i="3"/>
  <c r="AT249" i="3"/>
  <c r="AU249" i="3"/>
  <c r="AV249" i="3"/>
  <c r="AW249" i="3"/>
  <c r="AX249" i="3"/>
  <c r="AL250" i="3"/>
  <c r="AM250" i="3"/>
  <c r="AN250" i="3"/>
  <c r="AO250" i="3"/>
  <c r="AP250" i="3"/>
  <c r="AQ250" i="3"/>
  <c r="AR250" i="3"/>
  <c r="AS250" i="3"/>
  <c r="AT250" i="3"/>
  <c r="AU250" i="3"/>
  <c r="AV250" i="3"/>
  <c r="AW250" i="3"/>
  <c r="AX250" i="3"/>
  <c r="AL251" i="3"/>
  <c r="AM251" i="3"/>
  <c r="AN251" i="3"/>
  <c r="AO251" i="3"/>
  <c r="AP251" i="3"/>
  <c r="AQ251" i="3"/>
  <c r="AR251" i="3"/>
  <c r="AS251" i="3"/>
  <c r="AT251" i="3"/>
  <c r="AU251" i="3"/>
  <c r="AV251" i="3"/>
  <c r="AW251" i="3"/>
  <c r="AX251" i="3"/>
  <c r="AL252" i="3"/>
  <c r="AM252" i="3"/>
  <c r="AN252" i="3"/>
  <c r="AO252" i="3"/>
  <c r="AP252" i="3"/>
  <c r="AQ252" i="3"/>
  <c r="AR252" i="3"/>
  <c r="AS252" i="3"/>
  <c r="AT252" i="3"/>
  <c r="AU252" i="3"/>
  <c r="AV252" i="3"/>
  <c r="AW252" i="3"/>
  <c r="AX252" i="3"/>
  <c r="AL253" i="3"/>
  <c r="AM253" i="3"/>
  <c r="AN253" i="3"/>
  <c r="AO253" i="3"/>
  <c r="AP253" i="3"/>
  <c r="AQ253" i="3"/>
  <c r="AR253" i="3"/>
  <c r="AS253" i="3"/>
  <c r="AT253" i="3"/>
  <c r="AU253" i="3"/>
  <c r="AV253" i="3"/>
  <c r="AW253" i="3"/>
  <c r="AX253" i="3"/>
  <c r="AL254" i="3"/>
  <c r="AM254" i="3"/>
  <c r="AN254" i="3"/>
  <c r="AO254" i="3"/>
  <c r="AP254" i="3"/>
  <c r="AQ254" i="3"/>
  <c r="AR254" i="3"/>
  <c r="AS254" i="3"/>
  <c r="AT254" i="3"/>
  <c r="AU254" i="3"/>
  <c r="AV254" i="3"/>
  <c r="AW254" i="3"/>
  <c r="AX254" i="3"/>
  <c r="AL255" i="3"/>
  <c r="AM255" i="3"/>
  <c r="AN255" i="3"/>
  <c r="AO255" i="3"/>
  <c r="AP255" i="3"/>
  <c r="AQ255" i="3"/>
  <c r="AR255" i="3"/>
  <c r="AS255" i="3"/>
  <c r="AT255" i="3"/>
  <c r="AU255" i="3"/>
  <c r="AV255" i="3"/>
  <c r="AW255" i="3"/>
  <c r="AX255" i="3"/>
  <c r="AL256" i="3"/>
  <c r="AM256" i="3"/>
  <c r="AN256" i="3"/>
  <c r="AO256" i="3"/>
  <c r="AP256" i="3"/>
  <c r="AQ256" i="3"/>
  <c r="AR256" i="3"/>
  <c r="AS256" i="3"/>
  <c r="AT256" i="3"/>
  <c r="AU256" i="3"/>
  <c r="AV256" i="3"/>
  <c r="AW256" i="3"/>
  <c r="AX256" i="3"/>
  <c r="AL257" i="3"/>
  <c r="AM257" i="3"/>
  <c r="AN257" i="3"/>
  <c r="AO257" i="3"/>
  <c r="AP257" i="3"/>
  <c r="AQ257" i="3"/>
  <c r="AR257" i="3"/>
  <c r="AS257" i="3"/>
  <c r="AT257" i="3"/>
  <c r="AU257" i="3"/>
  <c r="AV257" i="3"/>
  <c r="AW257" i="3"/>
  <c r="AX257" i="3"/>
  <c r="AL258" i="3"/>
  <c r="AM258" i="3"/>
  <c r="AN258" i="3"/>
  <c r="AO258" i="3"/>
  <c r="AP258" i="3"/>
  <c r="AQ258" i="3"/>
  <c r="AR258" i="3"/>
  <c r="AS258" i="3"/>
  <c r="AT258" i="3"/>
  <c r="AU258" i="3"/>
  <c r="AV258" i="3"/>
  <c r="AW258" i="3"/>
  <c r="AX258" i="3"/>
  <c r="AL259" i="3"/>
  <c r="AM259" i="3"/>
  <c r="AN259" i="3"/>
  <c r="AO259" i="3"/>
  <c r="AP259" i="3"/>
  <c r="AQ259" i="3"/>
  <c r="AR259" i="3"/>
  <c r="AS259" i="3"/>
  <c r="AT259" i="3"/>
  <c r="AU259" i="3"/>
  <c r="AV259" i="3"/>
  <c r="AW259" i="3"/>
  <c r="AX259" i="3"/>
  <c r="AL260" i="3"/>
  <c r="AM260" i="3"/>
  <c r="AN260" i="3"/>
  <c r="AO260" i="3"/>
  <c r="AP260" i="3"/>
  <c r="AQ260" i="3"/>
  <c r="AR260" i="3"/>
  <c r="AS260" i="3"/>
  <c r="AT260" i="3"/>
  <c r="AU260" i="3"/>
  <c r="AV260" i="3"/>
  <c r="AW260" i="3"/>
  <c r="AX260" i="3"/>
  <c r="AL261" i="3"/>
  <c r="AM261" i="3"/>
  <c r="AN261" i="3"/>
  <c r="AO261" i="3"/>
  <c r="AP261" i="3"/>
  <c r="AQ261" i="3"/>
  <c r="AR261" i="3"/>
  <c r="AS261" i="3"/>
  <c r="AT261" i="3"/>
  <c r="AU261" i="3"/>
  <c r="AV261" i="3"/>
  <c r="AW261" i="3"/>
  <c r="AX261" i="3"/>
  <c r="AL262" i="3"/>
  <c r="AM262" i="3"/>
  <c r="AN262" i="3"/>
  <c r="AO262" i="3"/>
  <c r="AP262" i="3"/>
  <c r="AQ262" i="3"/>
  <c r="AR262" i="3"/>
  <c r="AS262" i="3"/>
  <c r="AT262" i="3"/>
  <c r="AU262" i="3"/>
  <c r="AV262" i="3"/>
  <c r="AW262" i="3"/>
  <c r="AX262" i="3"/>
  <c r="AL263" i="3"/>
  <c r="AM263" i="3"/>
  <c r="AN263" i="3"/>
  <c r="AO263" i="3"/>
  <c r="AP263" i="3"/>
  <c r="AQ263" i="3"/>
  <c r="AR263" i="3"/>
  <c r="AS263" i="3"/>
  <c r="AT263" i="3"/>
  <c r="AU263" i="3"/>
  <c r="AV263" i="3"/>
  <c r="AW263" i="3"/>
  <c r="AX263" i="3"/>
  <c r="AL264" i="3"/>
  <c r="AM264" i="3"/>
  <c r="AN264" i="3"/>
  <c r="AO264" i="3"/>
  <c r="AP264" i="3"/>
  <c r="AQ264" i="3"/>
  <c r="AR264" i="3"/>
  <c r="AS264" i="3"/>
  <c r="AT264" i="3"/>
  <c r="AU264" i="3"/>
  <c r="AV264" i="3"/>
  <c r="AW264" i="3"/>
  <c r="AX264" i="3"/>
  <c r="AL265" i="3"/>
  <c r="AM265" i="3"/>
  <c r="AN265" i="3"/>
  <c r="AO265" i="3"/>
  <c r="AP265" i="3"/>
  <c r="AQ265" i="3"/>
  <c r="AR265" i="3"/>
  <c r="AS265" i="3"/>
  <c r="AT265" i="3"/>
  <c r="AU265" i="3"/>
  <c r="AV265" i="3"/>
  <c r="AW265" i="3"/>
  <c r="AX265" i="3"/>
  <c r="AL266" i="3"/>
  <c r="AM266" i="3"/>
  <c r="AN266" i="3"/>
  <c r="AO266" i="3"/>
  <c r="AP266" i="3"/>
  <c r="AQ266" i="3"/>
  <c r="AR266" i="3"/>
  <c r="AS266" i="3"/>
  <c r="AT266" i="3"/>
  <c r="AU266" i="3"/>
  <c r="AV266" i="3"/>
  <c r="AW266" i="3"/>
  <c r="AX266" i="3"/>
  <c r="AL267" i="3"/>
  <c r="AM267" i="3"/>
  <c r="AN267" i="3"/>
  <c r="AO267" i="3"/>
  <c r="AP267" i="3"/>
  <c r="AQ267" i="3"/>
  <c r="AR267" i="3"/>
  <c r="AS267" i="3"/>
  <c r="AT267" i="3"/>
  <c r="AU267" i="3"/>
  <c r="AV267" i="3"/>
  <c r="AW267" i="3"/>
  <c r="AX267" i="3"/>
  <c r="AL268" i="3"/>
  <c r="AM268" i="3"/>
  <c r="AN268" i="3"/>
  <c r="AO268" i="3"/>
  <c r="AP268" i="3"/>
  <c r="AQ268" i="3"/>
  <c r="AR268" i="3"/>
  <c r="AS268" i="3"/>
  <c r="AT268" i="3"/>
  <c r="AU268" i="3"/>
  <c r="AV268" i="3"/>
  <c r="AW268" i="3"/>
  <c r="AX268" i="3"/>
  <c r="AL269" i="3"/>
  <c r="AM269" i="3"/>
  <c r="AN269" i="3"/>
  <c r="AO269" i="3"/>
  <c r="AP269" i="3"/>
  <c r="AQ269" i="3"/>
  <c r="AR269" i="3"/>
  <c r="AS269" i="3"/>
  <c r="AT269" i="3"/>
  <c r="AU269" i="3"/>
  <c r="AV269" i="3"/>
  <c r="AW269" i="3"/>
  <c r="AX269" i="3"/>
  <c r="AL270" i="3"/>
  <c r="AM270" i="3"/>
  <c r="AN270" i="3"/>
  <c r="AO270" i="3"/>
  <c r="AP270" i="3"/>
  <c r="AQ270" i="3"/>
  <c r="AR270" i="3"/>
  <c r="AS270" i="3"/>
  <c r="AT270" i="3"/>
  <c r="AU270" i="3"/>
  <c r="AV270" i="3"/>
  <c r="AW270" i="3"/>
  <c r="AX270" i="3"/>
  <c r="AL271" i="3"/>
  <c r="AM271" i="3"/>
  <c r="AN271" i="3"/>
  <c r="AO271" i="3"/>
  <c r="AP271" i="3"/>
  <c r="AQ271" i="3"/>
  <c r="AR271" i="3"/>
  <c r="AS271" i="3"/>
  <c r="AT271" i="3"/>
  <c r="AU271" i="3"/>
  <c r="AV271" i="3"/>
  <c r="AW271" i="3"/>
  <c r="AX271" i="3"/>
  <c r="AL272" i="3"/>
  <c r="AM272" i="3"/>
  <c r="AN272" i="3"/>
  <c r="AO272" i="3"/>
  <c r="AP272" i="3"/>
  <c r="AQ272" i="3"/>
  <c r="AR272" i="3"/>
  <c r="AS272" i="3"/>
  <c r="AT272" i="3"/>
  <c r="AU272" i="3"/>
  <c r="AV272" i="3"/>
  <c r="AW272" i="3"/>
  <c r="AX272" i="3"/>
  <c r="AL273" i="3"/>
  <c r="AM273" i="3"/>
  <c r="AN273" i="3"/>
  <c r="AO273" i="3"/>
  <c r="AP273" i="3"/>
  <c r="AQ273" i="3"/>
  <c r="AR273" i="3"/>
  <c r="AS273" i="3"/>
  <c r="AT273" i="3"/>
  <c r="AU273" i="3"/>
  <c r="AV273" i="3"/>
  <c r="AW273" i="3"/>
  <c r="AX273" i="3"/>
  <c r="AL274" i="3"/>
  <c r="AM274" i="3"/>
  <c r="AN274" i="3"/>
  <c r="AO274" i="3"/>
  <c r="AP274" i="3"/>
  <c r="AQ274" i="3"/>
  <c r="AR274" i="3"/>
  <c r="AS274" i="3"/>
  <c r="AT274" i="3"/>
  <c r="AU274" i="3"/>
  <c r="AV274" i="3"/>
  <c r="AW274" i="3"/>
  <c r="AX274" i="3"/>
  <c r="AL275" i="3"/>
  <c r="AM275" i="3"/>
  <c r="AN275" i="3"/>
  <c r="AO275" i="3"/>
  <c r="AP275" i="3"/>
  <c r="AQ275" i="3"/>
  <c r="AR275" i="3"/>
  <c r="AS275" i="3"/>
  <c r="AT275" i="3"/>
  <c r="AU275" i="3"/>
  <c r="AV275" i="3"/>
  <c r="AW275" i="3"/>
  <c r="AX275" i="3"/>
  <c r="AL276" i="3"/>
  <c r="AM276" i="3"/>
  <c r="AN276" i="3"/>
  <c r="AO276" i="3"/>
  <c r="AP276" i="3"/>
  <c r="AQ276" i="3"/>
  <c r="AR276" i="3"/>
  <c r="AS276" i="3"/>
  <c r="AT276" i="3"/>
  <c r="AU276" i="3"/>
  <c r="AV276" i="3"/>
  <c r="AW276" i="3"/>
  <c r="AX276" i="3"/>
  <c r="AL277" i="3"/>
  <c r="AM277" i="3"/>
  <c r="AN277" i="3"/>
  <c r="AO277" i="3"/>
  <c r="AP277" i="3"/>
  <c r="AQ277" i="3"/>
  <c r="AR277" i="3"/>
  <c r="AS277" i="3"/>
  <c r="AT277" i="3"/>
  <c r="AU277" i="3"/>
  <c r="AV277" i="3"/>
  <c r="AW277" i="3"/>
  <c r="AX277" i="3"/>
  <c r="AL278" i="3"/>
  <c r="AM278" i="3"/>
  <c r="AN278" i="3"/>
  <c r="AO278" i="3"/>
  <c r="AP278" i="3"/>
  <c r="AQ278" i="3"/>
  <c r="AR278" i="3"/>
  <c r="AS278" i="3"/>
  <c r="AT278" i="3"/>
  <c r="AU278" i="3"/>
  <c r="AV278" i="3"/>
  <c r="AW278" i="3"/>
  <c r="AX278" i="3"/>
  <c r="AL279" i="3"/>
  <c r="AM279" i="3"/>
  <c r="AN279" i="3"/>
  <c r="AO279" i="3"/>
  <c r="AP279" i="3"/>
  <c r="AQ279" i="3"/>
  <c r="AR279" i="3"/>
  <c r="AS279" i="3"/>
  <c r="AT279" i="3"/>
  <c r="AU279" i="3"/>
  <c r="AV279" i="3"/>
  <c r="AW279" i="3"/>
  <c r="AX279" i="3"/>
  <c r="AL280" i="3"/>
  <c r="AM280" i="3"/>
  <c r="AN280" i="3"/>
  <c r="AO280" i="3"/>
  <c r="AP280" i="3"/>
  <c r="AQ280" i="3"/>
  <c r="AR280" i="3"/>
  <c r="AS280" i="3"/>
  <c r="AT280" i="3"/>
  <c r="AU280" i="3"/>
  <c r="AV280" i="3"/>
  <c r="AW280" i="3"/>
  <c r="AX280" i="3"/>
  <c r="AL281" i="3"/>
  <c r="AM281" i="3"/>
  <c r="AN281" i="3"/>
  <c r="AO281" i="3"/>
  <c r="AP281" i="3"/>
  <c r="AQ281" i="3"/>
  <c r="AR281" i="3"/>
  <c r="AS281" i="3"/>
  <c r="AT281" i="3"/>
  <c r="AU281" i="3"/>
  <c r="AV281" i="3"/>
  <c r="AW281" i="3"/>
  <c r="AX281" i="3"/>
  <c r="AL282" i="3"/>
  <c r="AM282" i="3"/>
  <c r="AN282" i="3"/>
  <c r="AO282" i="3"/>
  <c r="AP282" i="3"/>
  <c r="AQ282" i="3"/>
  <c r="AR282" i="3"/>
  <c r="AS282" i="3"/>
  <c r="AT282" i="3"/>
  <c r="AU282" i="3"/>
  <c r="AV282" i="3"/>
  <c r="AW282" i="3"/>
  <c r="AX282" i="3"/>
  <c r="AL283" i="3"/>
  <c r="AM283" i="3"/>
  <c r="AN283" i="3"/>
  <c r="AO283" i="3"/>
  <c r="AP283" i="3"/>
  <c r="AQ283" i="3"/>
  <c r="AR283" i="3"/>
  <c r="AS283" i="3"/>
  <c r="AT283" i="3"/>
  <c r="AU283" i="3"/>
  <c r="AV283" i="3"/>
  <c r="AW283" i="3"/>
  <c r="AX283" i="3"/>
  <c r="AL284" i="3"/>
  <c r="AM284" i="3"/>
  <c r="AN284" i="3"/>
  <c r="AO284" i="3"/>
  <c r="AP284" i="3"/>
  <c r="AQ284" i="3"/>
  <c r="AR284" i="3"/>
  <c r="AS284" i="3"/>
  <c r="AT284" i="3"/>
  <c r="AU284" i="3"/>
  <c r="AV284" i="3"/>
  <c r="AW284" i="3"/>
  <c r="AX284" i="3"/>
  <c r="AL285" i="3"/>
  <c r="AM285" i="3"/>
  <c r="AN285" i="3"/>
  <c r="AO285" i="3"/>
  <c r="AP285" i="3"/>
  <c r="AQ285" i="3"/>
  <c r="AR285" i="3"/>
  <c r="AS285" i="3"/>
  <c r="AT285" i="3"/>
  <c r="AU285" i="3"/>
  <c r="AV285" i="3"/>
  <c r="AW285" i="3"/>
  <c r="AX285" i="3"/>
  <c r="AL286" i="3"/>
  <c r="AM286" i="3"/>
  <c r="AN286" i="3"/>
  <c r="AO286" i="3"/>
  <c r="AP286" i="3"/>
  <c r="AQ286" i="3"/>
  <c r="AR286" i="3"/>
  <c r="AS286" i="3"/>
  <c r="AT286" i="3"/>
  <c r="AU286" i="3"/>
  <c r="AV286" i="3"/>
  <c r="AW286" i="3"/>
  <c r="AX286" i="3"/>
  <c r="AL287" i="3"/>
  <c r="AM287" i="3"/>
  <c r="AN287" i="3"/>
  <c r="AO287" i="3"/>
  <c r="AP287" i="3"/>
  <c r="AQ287" i="3"/>
  <c r="AR287" i="3"/>
  <c r="AS287" i="3"/>
  <c r="AT287" i="3"/>
  <c r="AU287" i="3"/>
  <c r="AV287" i="3"/>
  <c r="AW287" i="3"/>
  <c r="AX287" i="3"/>
  <c r="AL288" i="3"/>
  <c r="AM288" i="3"/>
  <c r="AN288" i="3"/>
  <c r="AO288" i="3"/>
  <c r="AP288" i="3"/>
  <c r="AQ288" i="3"/>
  <c r="AR288" i="3"/>
  <c r="AS288" i="3"/>
  <c r="AT288" i="3"/>
  <c r="AU288" i="3"/>
  <c r="AV288" i="3"/>
  <c r="AW288" i="3"/>
  <c r="AX288" i="3"/>
  <c r="AL289" i="3"/>
  <c r="AM289" i="3"/>
  <c r="AN289" i="3"/>
  <c r="AO289" i="3"/>
  <c r="AP289" i="3"/>
  <c r="AQ289" i="3"/>
  <c r="AR289" i="3"/>
  <c r="AS289" i="3"/>
  <c r="AT289" i="3"/>
  <c r="AU289" i="3"/>
  <c r="AV289" i="3"/>
  <c r="AW289" i="3"/>
  <c r="AX289" i="3"/>
  <c r="AL290" i="3"/>
  <c r="AM290" i="3"/>
  <c r="AN290" i="3"/>
  <c r="AO290" i="3"/>
  <c r="AP290" i="3"/>
  <c r="AQ290" i="3"/>
  <c r="AR290" i="3"/>
  <c r="AS290" i="3"/>
  <c r="AT290" i="3"/>
  <c r="AU290" i="3"/>
  <c r="AV290" i="3"/>
  <c r="AW290" i="3"/>
  <c r="AX290" i="3"/>
  <c r="AL291" i="3"/>
  <c r="AM291" i="3"/>
  <c r="AN291" i="3"/>
  <c r="AO291" i="3"/>
  <c r="AP291" i="3"/>
  <c r="AQ291" i="3"/>
  <c r="AR291" i="3"/>
  <c r="AS291" i="3"/>
  <c r="AT291" i="3"/>
  <c r="AU291" i="3"/>
  <c r="AV291" i="3"/>
  <c r="AW291" i="3"/>
  <c r="AX291" i="3"/>
  <c r="AL292" i="3"/>
  <c r="AM292" i="3"/>
  <c r="AN292" i="3"/>
  <c r="AO292" i="3"/>
  <c r="AP292" i="3"/>
  <c r="AQ292" i="3"/>
  <c r="AR292" i="3"/>
  <c r="AS292" i="3"/>
  <c r="AT292" i="3"/>
  <c r="AU292" i="3"/>
  <c r="AV292" i="3"/>
  <c r="AW292" i="3"/>
  <c r="AX292" i="3"/>
  <c r="AL293" i="3"/>
  <c r="AM293" i="3"/>
  <c r="AN293" i="3"/>
  <c r="AO293" i="3"/>
  <c r="AP293" i="3"/>
  <c r="AQ293" i="3"/>
  <c r="AR293" i="3"/>
  <c r="AS293" i="3"/>
  <c r="AT293" i="3"/>
  <c r="AU293" i="3"/>
  <c r="AV293" i="3"/>
  <c r="AW293" i="3"/>
  <c r="AX293" i="3"/>
  <c r="AL294" i="3"/>
  <c r="AM294" i="3"/>
  <c r="AN294" i="3"/>
  <c r="AO294" i="3"/>
  <c r="AP294" i="3"/>
  <c r="AQ294" i="3"/>
  <c r="AR294" i="3"/>
  <c r="AS294" i="3"/>
  <c r="AT294" i="3"/>
  <c r="AU294" i="3"/>
  <c r="AV294" i="3"/>
  <c r="AW294" i="3"/>
  <c r="AX294" i="3"/>
  <c r="AL295" i="3"/>
  <c r="AM295" i="3"/>
  <c r="AN295" i="3"/>
  <c r="AO295" i="3"/>
  <c r="AP295" i="3"/>
  <c r="AQ295" i="3"/>
  <c r="AR295" i="3"/>
  <c r="AS295" i="3"/>
  <c r="AT295" i="3"/>
  <c r="AU295" i="3"/>
  <c r="AV295" i="3"/>
  <c r="AW295" i="3"/>
  <c r="AX295" i="3"/>
  <c r="AL296" i="3"/>
  <c r="AM296" i="3"/>
  <c r="AN296" i="3"/>
  <c r="AO296" i="3"/>
  <c r="AP296" i="3"/>
  <c r="AQ296" i="3"/>
  <c r="AR296" i="3"/>
  <c r="AS296" i="3"/>
  <c r="AT296" i="3"/>
  <c r="AU296" i="3"/>
  <c r="AV296" i="3"/>
  <c r="AW296" i="3"/>
  <c r="AX296" i="3"/>
  <c r="AL297" i="3"/>
  <c r="AM297" i="3"/>
  <c r="AN297" i="3"/>
  <c r="AO297" i="3"/>
  <c r="AP297" i="3"/>
  <c r="AQ297" i="3"/>
  <c r="AR297" i="3"/>
  <c r="AS297" i="3"/>
  <c r="AT297" i="3"/>
  <c r="AU297" i="3"/>
  <c r="AV297" i="3"/>
  <c r="AW297" i="3"/>
  <c r="AX297" i="3"/>
  <c r="AL298" i="3"/>
  <c r="AM298" i="3"/>
  <c r="AN298" i="3"/>
  <c r="AO298" i="3"/>
  <c r="AP298" i="3"/>
  <c r="AQ298" i="3"/>
  <c r="AR298" i="3"/>
  <c r="AS298" i="3"/>
  <c r="AT298" i="3"/>
  <c r="AU298" i="3"/>
  <c r="AV298" i="3"/>
  <c r="AW298" i="3"/>
  <c r="AX298" i="3"/>
  <c r="AL299" i="3"/>
  <c r="AM299" i="3"/>
  <c r="AN299" i="3"/>
  <c r="AO299" i="3"/>
  <c r="AP299" i="3"/>
  <c r="AQ299" i="3"/>
  <c r="AR299" i="3"/>
  <c r="AS299" i="3"/>
  <c r="AT299" i="3"/>
  <c r="AU299" i="3"/>
  <c r="AV299" i="3"/>
  <c r="AW299" i="3"/>
  <c r="AX299" i="3"/>
  <c r="AL300" i="3"/>
  <c r="AM300" i="3"/>
  <c r="AN300" i="3"/>
  <c r="AO300" i="3"/>
  <c r="AP300" i="3"/>
  <c r="AQ300" i="3"/>
  <c r="AR300" i="3"/>
  <c r="AS300" i="3"/>
  <c r="AT300" i="3"/>
  <c r="AU300" i="3"/>
  <c r="AV300" i="3"/>
  <c r="AW300" i="3"/>
  <c r="AX300" i="3"/>
  <c r="AL301" i="3"/>
  <c r="AM301" i="3"/>
  <c r="AN301" i="3"/>
  <c r="AO301" i="3"/>
  <c r="AP301" i="3"/>
  <c r="AQ301" i="3"/>
  <c r="AR301" i="3"/>
  <c r="AS301" i="3"/>
  <c r="AT301" i="3"/>
  <c r="AU301" i="3"/>
  <c r="AV301" i="3"/>
  <c r="AW301" i="3"/>
  <c r="AX301" i="3"/>
  <c r="AL302" i="3"/>
  <c r="AM302" i="3"/>
  <c r="AN302" i="3"/>
  <c r="AO302" i="3"/>
  <c r="AP302" i="3"/>
  <c r="AQ302" i="3"/>
  <c r="AR302" i="3"/>
  <c r="AS302" i="3"/>
  <c r="AT302" i="3"/>
  <c r="AU302" i="3"/>
  <c r="AV302" i="3"/>
  <c r="AW302" i="3"/>
  <c r="AX302" i="3"/>
  <c r="AL303" i="3"/>
  <c r="AM303" i="3"/>
  <c r="AN303" i="3"/>
  <c r="AO303" i="3"/>
  <c r="AP303" i="3"/>
  <c r="AQ303" i="3"/>
  <c r="AR303" i="3"/>
  <c r="AS303" i="3"/>
  <c r="AT303" i="3"/>
  <c r="AU303" i="3"/>
  <c r="AV303" i="3"/>
  <c r="AW303" i="3"/>
  <c r="AX303" i="3"/>
  <c r="AL304" i="3"/>
  <c r="AM304" i="3"/>
  <c r="AN304" i="3"/>
  <c r="AO304" i="3"/>
  <c r="AP304" i="3"/>
  <c r="AQ304" i="3"/>
  <c r="AR304" i="3"/>
  <c r="AS304" i="3"/>
  <c r="AT304" i="3"/>
  <c r="AU304" i="3"/>
  <c r="AV304" i="3"/>
  <c r="AW304" i="3"/>
  <c r="AX304" i="3"/>
  <c r="AL305" i="3"/>
  <c r="AM305" i="3"/>
  <c r="AN305" i="3"/>
  <c r="AO305" i="3"/>
  <c r="AP305" i="3"/>
  <c r="AQ305" i="3"/>
  <c r="AR305" i="3"/>
  <c r="AS305" i="3"/>
  <c r="AT305" i="3"/>
  <c r="AU305" i="3"/>
  <c r="AV305" i="3"/>
  <c r="AW305" i="3"/>
  <c r="AX305" i="3"/>
  <c r="AL306" i="3"/>
  <c r="AM306" i="3"/>
  <c r="AN306" i="3"/>
  <c r="AO306" i="3"/>
  <c r="AP306" i="3"/>
  <c r="AQ306" i="3"/>
  <c r="AR306" i="3"/>
  <c r="AS306" i="3"/>
  <c r="AT306" i="3"/>
  <c r="AU306" i="3"/>
  <c r="AV306" i="3"/>
  <c r="AW306" i="3"/>
  <c r="AX306" i="3"/>
  <c r="AL307" i="3"/>
  <c r="AM307" i="3"/>
  <c r="AN307" i="3"/>
  <c r="AO307" i="3"/>
  <c r="AP307" i="3"/>
  <c r="AQ307" i="3"/>
  <c r="AR307" i="3"/>
  <c r="AS307" i="3"/>
  <c r="AT307" i="3"/>
  <c r="AU307" i="3"/>
  <c r="AV307" i="3"/>
  <c r="AW307" i="3"/>
  <c r="AX307" i="3"/>
  <c r="AL308" i="3"/>
  <c r="AM308" i="3"/>
  <c r="AN308" i="3"/>
  <c r="AO308" i="3"/>
  <c r="AP308" i="3"/>
  <c r="AQ308" i="3"/>
  <c r="AR308" i="3"/>
  <c r="AS308" i="3"/>
  <c r="AT308" i="3"/>
  <c r="AU308" i="3"/>
  <c r="AV308" i="3"/>
  <c r="AW308" i="3"/>
  <c r="AX308" i="3"/>
  <c r="AL309" i="3"/>
  <c r="AM309" i="3"/>
  <c r="AN309" i="3"/>
  <c r="AO309" i="3"/>
  <c r="AP309" i="3"/>
  <c r="AQ309" i="3"/>
  <c r="AR309" i="3"/>
  <c r="AS309" i="3"/>
  <c r="AT309" i="3"/>
  <c r="AU309" i="3"/>
  <c r="AV309" i="3"/>
  <c r="AW309" i="3"/>
  <c r="AX309" i="3"/>
  <c r="AL310" i="3"/>
  <c r="AM310" i="3"/>
  <c r="AN310" i="3"/>
  <c r="AO310" i="3"/>
  <c r="AP310" i="3"/>
  <c r="AQ310" i="3"/>
  <c r="AR310" i="3"/>
  <c r="AS310" i="3"/>
  <c r="AT310" i="3"/>
  <c r="AU310" i="3"/>
  <c r="AV310" i="3"/>
  <c r="AW310" i="3"/>
  <c r="AX310" i="3"/>
  <c r="AL311" i="3"/>
  <c r="AM311" i="3"/>
  <c r="AN311" i="3"/>
  <c r="AO311" i="3"/>
  <c r="AP311" i="3"/>
  <c r="AQ311" i="3"/>
  <c r="AR311" i="3"/>
  <c r="AS311" i="3"/>
  <c r="AT311" i="3"/>
  <c r="AU311" i="3"/>
  <c r="AV311" i="3"/>
  <c r="AW311" i="3"/>
  <c r="AX311" i="3"/>
  <c r="AL312" i="3"/>
  <c r="AM312" i="3"/>
  <c r="AN312" i="3"/>
  <c r="AO312" i="3"/>
  <c r="AP312" i="3"/>
  <c r="AQ312" i="3"/>
  <c r="AR312" i="3"/>
  <c r="AS312" i="3"/>
  <c r="AT312" i="3"/>
  <c r="AU312" i="3"/>
  <c r="AV312" i="3"/>
  <c r="AW312" i="3"/>
  <c r="AX312" i="3"/>
  <c r="AL313" i="3"/>
  <c r="AM313" i="3"/>
  <c r="AN313" i="3"/>
  <c r="AO313" i="3"/>
  <c r="AP313" i="3"/>
  <c r="AQ313" i="3"/>
  <c r="AR313" i="3"/>
  <c r="AS313" i="3"/>
  <c r="AT313" i="3"/>
  <c r="AU313" i="3"/>
  <c r="AV313" i="3"/>
  <c r="AW313" i="3"/>
  <c r="AX313" i="3"/>
  <c r="AL314" i="3"/>
  <c r="AM314" i="3"/>
  <c r="AN314" i="3"/>
  <c r="AO314" i="3"/>
  <c r="AP314" i="3"/>
  <c r="AQ314" i="3"/>
  <c r="AR314" i="3"/>
  <c r="AS314" i="3"/>
  <c r="AT314" i="3"/>
  <c r="AU314" i="3"/>
  <c r="AV314" i="3"/>
  <c r="AW314" i="3"/>
  <c r="AX314" i="3"/>
  <c r="AL315" i="3"/>
  <c r="AM315" i="3"/>
  <c r="AN315" i="3"/>
  <c r="AO315" i="3"/>
  <c r="AP315" i="3"/>
  <c r="AQ315" i="3"/>
  <c r="AR315" i="3"/>
  <c r="AS315" i="3"/>
  <c r="AT315" i="3"/>
  <c r="AU315" i="3"/>
  <c r="AV315" i="3"/>
  <c r="AW315" i="3"/>
  <c r="AX315" i="3"/>
  <c r="AL316" i="3"/>
  <c r="AM316" i="3"/>
  <c r="AN316" i="3"/>
  <c r="AO316" i="3"/>
  <c r="AP316" i="3"/>
  <c r="AQ316" i="3"/>
  <c r="AR316" i="3"/>
  <c r="AS316" i="3"/>
  <c r="AT316" i="3"/>
  <c r="AU316" i="3"/>
  <c r="AV316" i="3"/>
  <c r="AW316" i="3"/>
  <c r="AX316" i="3"/>
  <c r="AL317" i="3"/>
  <c r="AM317" i="3"/>
  <c r="AN317" i="3"/>
  <c r="AO317" i="3"/>
  <c r="AP317" i="3"/>
  <c r="AQ317" i="3"/>
  <c r="AR317" i="3"/>
  <c r="AS317" i="3"/>
  <c r="AT317" i="3"/>
  <c r="AU317" i="3"/>
  <c r="AV317" i="3"/>
  <c r="AW317" i="3"/>
  <c r="AX317" i="3"/>
  <c r="AL318" i="3"/>
  <c r="AM318" i="3"/>
  <c r="AN318" i="3"/>
  <c r="AO318" i="3"/>
  <c r="AP318" i="3"/>
  <c r="AQ318" i="3"/>
  <c r="AR318" i="3"/>
  <c r="AS318" i="3"/>
  <c r="AT318" i="3"/>
  <c r="AU318" i="3"/>
  <c r="AV318" i="3"/>
  <c r="AW318" i="3"/>
  <c r="AX318" i="3"/>
  <c r="AL319" i="3"/>
  <c r="AM319" i="3"/>
  <c r="AN319" i="3"/>
  <c r="AO319" i="3"/>
  <c r="AP319" i="3"/>
  <c r="AQ319" i="3"/>
  <c r="AR319" i="3"/>
  <c r="AS319" i="3"/>
  <c r="AT319" i="3"/>
  <c r="AU319" i="3"/>
  <c r="AV319" i="3"/>
  <c r="AW319" i="3"/>
  <c r="AX319" i="3"/>
  <c r="AL320" i="3"/>
  <c r="AM320" i="3"/>
  <c r="AN320" i="3"/>
  <c r="AO320" i="3"/>
  <c r="AP320" i="3"/>
  <c r="AQ320" i="3"/>
  <c r="AR320" i="3"/>
  <c r="AS320" i="3"/>
  <c r="AT320" i="3"/>
  <c r="AU320" i="3"/>
  <c r="AV320" i="3"/>
  <c r="AW320" i="3"/>
  <c r="AX320" i="3"/>
  <c r="AL321" i="3"/>
  <c r="AM321" i="3"/>
  <c r="AN321" i="3"/>
  <c r="AO321" i="3"/>
  <c r="AP321" i="3"/>
  <c r="AQ321" i="3"/>
  <c r="AR321" i="3"/>
  <c r="AS321" i="3"/>
  <c r="AT321" i="3"/>
  <c r="AU321" i="3"/>
  <c r="AV321" i="3"/>
  <c r="AW321" i="3"/>
  <c r="AX321" i="3"/>
  <c r="AL322" i="3"/>
  <c r="AM322" i="3"/>
  <c r="AN322" i="3"/>
  <c r="AO322" i="3"/>
  <c r="AP322" i="3"/>
  <c r="AQ322" i="3"/>
  <c r="AR322" i="3"/>
  <c r="AS322" i="3"/>
  <c r="AT322" i="3"/>
  <c r="AU322" i="3"/>
  <c r="AV322" i="3"/>
  <c r="AW322" i="3"/>
  <c r="AX322" i="3"/>
  <c r="AL323" i="3"/>
  <c r="AM323" i="3"/>
  <c r="AN323" i="3"/>
  <c r="AO323" i="3"/>
  <c r="AP323" i="3"/>
  <c r="AQ323" i="3"/>
  <c r="AR323" i="3"/>
  <c r="AS323" i="3"/>
  <c r="AT323" i="3"/>
  <c r="AU323" i="3"/>
  <c r="AV323" i="3"/>
  <c r="AW323" i="3"/>
  <c r="AX323" i="3"/>
  <c r="AL324" i="3"/>
  <c r="AM324" i="3"/>
  <c r="AN324" i="3"/>
  <c r="AO324" i="3"/>
  <c r="AP324" i="3"/>
  <c r="AQ324" i="3"/>
  <c r="AR324" i="3"/>
  <c r="AS324" i="3"/>
  <c r="AT324" i="3"/>
  <c r="AU324" i="3"/>
  <c r="AV324" i="3"/>
  <c r="AW324" i="3"/>
  <c r="AX324" i="3"/>
  <c r="AL325" i="3"/>
  <c r="AM325" i="3"/>
  <c r="AN325" i="3"/>
  <c r="AO325" i="3"/>
  <c r="AP325" i="3"/>
  <c r="AQ325" i="3"/>
  <c r="AR325" i="3"/>
  <c r="AS325" i="3"/>
  <c r="AT325" i="3"/>
  <c r="AU325" i="3"/>
  <c r="AV325" i="3"/>
  <c r="AW325" i="3"/>
  <c r="AX325" i="3"/>
  <c r="AL326" i="3"/>
  <c r="AM326" i="3"/>
  <c r="AN326" i="3"/>
  <c r="AO326" i="3"/>
  <c r="AP326" i="3"/>
  <c r="AQ326" i="3"/>
  <c r="AR326" i="3"/>
  <c r="AS326" i="3"/>
  <c r="AT326" i="3"/>
  <c r="AU326" i="3"/>
  <c r="AV326" i="3"/>
  <c r="AW326" i="3"/>
  <c r="AX326" i="3"/>
  <c r="AL327" i="3"/>
  <c r="AM327" i="3"/>
  <c r="AN327" i="3"/>
  <c r="AO327" i="3"/>
  <c r="AP327" i="3"/>
  <c r="AQ327" i="3"/>
  <c r="AR327" i="3"/>
  <c r="AS327" i="3"/>
  <c r="AT327" i="3"/>
  <c r="AU327" i="3"/>
  <c r="AV327" i="3"/>
  <c r="AW327" i="3"/>
  <c r="AX327" i="3"/>
  <c r="AL328" i="3"/>
  <c r="AM328" i="3"/>
  <c r="AN328" i="3"/>
  <c r="AO328" i="3"/>
  <c r="AP328" i="3"/>
  <c r="AQ328" i="3"/>
  <c r="AR328" i="3"/>
  <c r="AS328" i="3"/>
  <c r="AT328" i="3"/>
  <c r="AU328" i="3"/>
  <c r="AV328" i="3"/>
  <c r="AW328" i="3"/>
  <c r="AX328" i="3"/>
  <c r="AL329" i="3"/>
  <c r="AM329" i="3"/>
  <c r="AN329" i="3"/>
  <c r="AO329" i="3"/>
  <c r="AP329" i="3"/>
  <c r="AQ329" i="3"/>
  <c r="AR329" i="3"/>
  <c r="AS329" i="3"/>
  <c r="AT329" i="3"/>
  <c r="AU329" i="3"/>
  <c r="AV329" i="3"/>
  <c r="AW329" i="3"/>
  <c r="AX329" i="3"/>
  <c r="AL330" i="3"/>
  <c r="AM330" i="3"/>
  <c r="AN330" i="3"/>
  <c r="AO330" i="3"/>
  <c r="AP330" i="3"/>
  <c r="AQ330" i="3"/>
  <c r="AR330" i="3"/>
  <c r="AS330" i="3"/>
  <c r="AT330" i="3"/>
  <c r="AU330" i="3"/>
  <c r="AV330" i="3"/>
  <c r="AW330" i="3"/>
  <c r="AX330" i="3"/>
  <c r="AL331" i="3"/>
  <c r="AM331" i="3"/>
  <c r="AN331" i="3"/>
  <c r="AO331" i="3"/>
  <c r="AP331" i="3"/>
  <c r="AQ331" i="3"/>
  <c r="AR331" i="3"/>
  <c r="AS331" i="3"/>
  <c r="AT331" i="3"/>
  <c r="AU331" i="3"/>
  <c r="AV331" i="3"/>
  <c r="AW331" i="3"/>
  <c r="AX331" i="3"/>
  <c r="AL332" i="3"/>
  <c r="AM332" i="3"/>
  <c r="AN332" i="3"/>
  <c r="AO332" i="3"/>
  <c r="AP332" i="3"/>
  <c r="AQ332" i="3"/>
  <c r="AR332" i="3"/>
  <c r="AS332" i="3"/>
  <c r="AT332" i="3"/>
  <c r="AU332" i="3"/>
  <c r="AV332" i="3"/>
  <c r="AW332" i="3"/>
  <c r="AX332" i="3"/>
  <c r="AL333" i="3"/>
  <c r="AM333" i="3"/>
  <c r="AN333" i="3"/>
  <c r="AO333" i="3"/>
  <c r="AP333" i="3"/>
  <c r="AQ333" i="3"/>
  <c r="AR333" i="3"/>
  <c r="AS333" i="3"/>
  <c r="AT333" i="3"/>
  <c r="AU333" i="3"/>
  <c r="AV333" i="3"/>
  <c r="AW333" i="3"/>
  <c r="AX333" i="3"/>
  <c r="AL334" i="3"/>
  <c r="AM334" i="3"/>
  <c r="AN334" i="3"/>
  <c r="AO334" i="3"/>
  <c r="AP334" i="3"/>
  <c r="AQ334" i="3"/>
  <c r="AR334" i="3"/>
  <c r="AS334" i="3"/>
  <c r="AT334" i="3"/>
  <c r="AU334" i="3"/>
  <c r="AV334" i="3"/>
  <c r="AW334" i="3"/>
  <c r="AX334" i="3"/>
  <c r="AL335" i="3"/>
  <c r="AM335" i="3"/>
  <c r="AN335" i="3"/>
  <c r="AO335" i="3"/>
  <c r="AP335" i="3"/>
  <c r="AQ335" i="3"/>
  <c r="AR335" i="3"/>
  <c r="AS335" i="3"/>
  <c r="AT335" i="3"/>
  <c r="AU335" i="3"/>
  <c r="AV335" i="3"/>
  <c r="AW335" i="3"/>
  <c r="AX335" i="3"/>
  <c r="AL336" i="3"/>
  <c r="AM336" i="3"/>
  <c r="AN336" i="3"/>
  <c r="AO336" i="3"/>
  <c r="AP336" i="3"/>
  <c r="AQ336" i="3"/>
  <c r="AR336" i="3"/>
  <c r="AS336" i="3"/>
  <c r="AT336" i="3"/>
  <c r="AU336" i="3"/>
  <c r="AV336" i="3"/>
  <c r="AW336" i="3"/>
  <c r="AX336" i="3"/>
  <c r="AL337" i="3"/>
  <c r="AM337" i="3"/>
  <c r="AN337" i="3"/>
  <c r="AO337" i="3"/>
  <c r="AP337" i="3"/>
  <c r="AQ337" i="3"/>
  <c r="AR337" i="3"/>
  <c r="AS337" i="3"/>
  <c r="AT337" i="3"/>
  <c r="AU337" i="3"/>
  <c r="AV337" i="3"/>
  <c r="AW337" i="3"/>
  <c r="AX337" i="3"/>
  <c r="AL338" i="3"/>
  <c r="AM338" i="3"/>
  <c r="AN338" i="3"/>
  <c r="AO338" i="3"/>
  <c r="AP338" i="3"/>
  <c r="AQ338" i="3"/>
  <c r="AR338" i="3"/>
  <c r="AS338" i="3"/>
  <c r="AT338" i="3"/>
  <c r="AU338" i="3"/>
  <c r="AV338" i="3"/>
  <c r="AW338" i="3"/>
  <c r="AX338" i="3"/>
  <c r="AL339" i="3"/>
  <c r="AM339" i="3"/>
  <c r="AN339" i="3"/>
  <c r="AO339" i="3"/>
  <c r="AP339" i="3"/>
  <c r="AQ339" i="3"/>
  <c r="AR339" i="3"/>
  <c r="AS339" i="3"/>
  <c r="AT339" i="3"/>
  <c r="AU339" i="3"/>
  <c r="AV339" i="3"/>
  <c r="AW339" i="3"/>
  <c r="AX339" i="3"/>
  <c r="AL340" i="3"/>
  <c r="AM340" i="3"/>
  <c r="AN340" i="3"/>
  <c r="AO340" i="3"/>
  <c r="AP340" i="3"/>
  <c r="AQ340" i="3"/>
  <c r="AR340" i="3"/>
  <c r="AS340" i="3"/>
  <c r="AT340" i="3"/>
  <c r="AU340" i="3"/>
  <c r="AV340" i="3"/>
  <c r="AW340" i="3"/>
  <c r="AX340" i="3"/>
  <c r="AL341" i="3"/>
  <c r="AM341" i="3"/>
  <c r="AN341" i="3"/>
  <c r="AO341" i="3"/>
  <c r="AP341" i="3"/>
  <c r="AQ341" i="3"/>
  <c r="AR341" i="3"/>
  <c r="AS341" i="3"/>
  <c r="AT341" i="3"/>
  <c r="AU341" i="3"/>
  <c r="AV341" i="3"/>
  <c r="AW341" i="3"/>
  <c r="AX341" i="3"/>
  <c r="AL342" i="3"/>
  <c r="AM342" i="3"/>
  <c r="AN342" i="3"/>
  <c r="AO342" i="3"/>
  <c r="AP342" i="3"/>
  <c r="AQ342" i="3"/>
  <c r="AR342" i="3"/>
  <c r="AS342" i="3"/>
  <c r="AT342" i="3"/>
  <c r="AU342" i="3"/>
  <c r="AV342" i="3"/>
  <c r="AW342" i="3"/>
  <c r="AX342" i="3"/>
  <c r="AL343" i="3"/>
  <c r="AM343" i="3"/>
  <c r="AN343" i="3"/>
  <c r="AO343" i="3"/>
  <c r="AP343" i="3"/>
  <c r="AQ343" i="3"/>
  <c r="AR343" i="3"/>
  <c r="AS343" i="3"/>
  <c r="AT343" i="3"/>
  <c r="AU343" i="3"/>
  <c r="AV343" i="3"/>
  <c r="AW343" i="3"/>
  <c r="AX343" i="3"/>
  <c r="AL344" i="3"/>
  <c r="AM344" i="3"/>
  <c r="AN344" i="3"/>
  <c r="AO344" i="3"/>
  <c r="AP344" i="3"/>
  <c r="AQ344" i="3"/>
  <c r="AR344" i="3"/>
  <c r="AS344" i="3"/>
  <c r="AT344" i="3"/>
  <c r="AU344" i="3"/>
  <c r="AV344" i="3"/>
  <c r="AW344" i="3"/>
  <c r="AX344" i="3"/>
  <c r="AL345" i="3"/>
  <c r="AM345" i="3"/>
  <c r="AN345" i="3"/>
  <c r="AO345" i="3"/>
  <c r="AP345" i="3"/>
  <c r="AQ345" i="3"/>
  <c r="AR345" i="3"/>
  <c r="AS345" i="3"/>
  <c r="AT345" i="3"/>
  <c r="AU345" i="3"/>
  <c r="AV345" i="3"/>
  <c r="AW345" i="3"/>
  <c r="AX345" i="3"/>
  <c r="AL346" i="3"/>
  <c r="AM346" i="3"/>
  <c r="AN346" i="3"/>
  <c r="AO346" i="3"/>
  <c r="AP346" i="3"/>
  <c r="AQ346" i="3"/>
  <c r="AR346" i="3"/>
  <c r="AS346" i="3"/>
  <c r="AT346" i="3"/>
  <c r="AU346" i="3"/>
  <c r="AV346" i="3"/>
  <c r="AW346" i="3"/>
  <c r="AX346" i="3"/>
  <c r="AX2" i="3"/>
  <c r="AW2" i="3"/>
  <c r="AV2" i="3"/>
  <c r="AU2" i="3"/>
  <c r="AT2" i="3"/>
  <c r="AS2" i="3"/>
  <c r="AR2" i="3"/>
  <c r="AQ2" i="3"/>
  <c r="AP2" i="3"/>
  <c r="AO2" i="3"/>
  <c r="AN2" i="3"/>
  <c r="AM2" i="3"/>
  <c r="AL2" i="3"/>
  <c r="AS3" i="2"/>
  <c r="AT3" i="2"/>
  <c r="AU3" i="2"/>
  <c r="AV3" i="2"/>
  <c r="AW3" i="2"/>
  <c r="AX3" i="2"/>
  <c r="AS4" i="2"/>
  <c r="AT4" i="2"/>
  <c r="AU4" i="2"/>
  <c r="AV4" i="2"/>
  <c r="AW4" i="2"/>
  <c r="AX4" i="2"/>
  <c r="AS5" i="2"/>
  <c r="AT5" i="2"/>
  <c r="AU5" i="2"/>
  <c r="AV5" i="2"/>
  <c r="AW5" i="2"/>
  <c r="AX5" i="2"/>
  <c r="AS6" i="2"/>
  <c r="AT6" i="2"/>
  <c r="AU6" i="2"/>
  <c r="AV6" i="2"/>
  <c r="AW6" i="2"/>
  <c r="AX6" i="2"/>
  <c r="AS7" i="2"/>
  <c r="AT7" i="2"/>
  <c r="AU7" i="2"/>
  <c r="AV7" i="2"/>
  <c r="AW7" i="2"/>
  <c r="AX7" i="2"/>
  <c r="AS8" i="2"/>
  <c r="AT8" i="2"/>
  <c r="AU8" i="2"/>
  <c r="AV8" i="2"/>
  <c r="AW8" i="2"/>
  <c r="AX8" i="2"/>
  <c r="AS9" i="2"/>
  <c r="AT9" i="2"/>
  <c r="AU9" i="2"/>
  <c r="AV9" i="2"/>
  <c r="AW9" i="2"/>
  <c r="AX9" i="2"/>
  <c r="AS10" i="2"/>
  <c r="AT10" i="2"/>
  <c r="AU10" i="2"/>
  <c r="AV10" i="2"/>
  <c r="AW10" i="2"/>
  <c r="AX10" i="2"/>
  <c r="AS11" i="2"/>
  <c r="AT11" i="2"/>
  <c r="AU11" i="2"/>
  <c r="AV11" i="2"/>
  <c r="AW11" i="2"/>
  <c r="AX11" i="2"/>
  <c r="AS12" i="2"/>
  <c r="AT12" i="2"/>
  <c r="AU12" i="2"/>
  <c r="AV12" i="2"/>
  <c r="AW12" i="2"/>
  <c r="AX12" i="2"/>
  <c r="AS13" i="2"/>
  <c r="AT13" i="2"/>
  <c r="AU13" i="2"/>
  <c r="AV13" i="2"/>
  <c r="AW13" i="2"/>
  <c r="AX13" i="2"/>
  <c r="AS14" i="2"/>
  <c r="AT14" i="2"/>
  <c r="AU14" i="2"/>
  <c r="AV14" i="2"/>
  <c r="AW14" i="2"/>
  <c r="AX14" i="2"/>
  <c r="AS15" i="2"/>
  <c r="AT15" i="2"/>
  <c r="AU15" i="2"/>
  <c r="AV15" i="2"/>
  <c r="AW15" i="2"/>
  <c r="AX15" i="2"/>
  <c r="AS16" i="2"/>
  <c r="AT16" i="2"/>
  <c r="AU16" i="2"/>
  <c r="AV16" i="2"/>
  <c r="AW16" i="2"/>
  <c r="AX16" i="2"/>
  <c r="AS17" i="2"/>
  <c r="AT17" i="2"/>
  <c r="AU17" i="2"/>
  <c r="AV17" i="2"/>
  <c r="AW17" i="2"/>
  <c r="AX17" i="2"/>
  <c r="AS18" i="2"/>
  <c r="AT18" i="2"/>
  <c r="AU18" i="2"/>
  <c r="AV18" i="2"/>
  <c r="AW18" i="2"/>
  <c r="AX18" i="2"/>
  <c r="AS19" i="2"/>
  <c r="AT19" i="2"/>
  <c r="AU19" i="2"/>
  <c r="AV19" i="2"/>
  <c r="AW19" i="2"/>
  <c r="AX19" i="2"/>
  <c r="AS20" i="2"/>
  <c r="AT20" i="2"/>
  <c r="AU20" i="2"/>
  <c r="AV20" i="2"/>
  <c r="AW20" i="2"/>
  <c r="AX20" i="2"/>
  <c r="AS21" i="2"/>
  <c r="AT21" i="2"/>
  <c r="AU21" i="2"/>
  <c r="AV21" i="2"/>
  <c r="AW21" i="2"/>
  <c r="AX21" i="2"/>
  <c r="AS22" i="2"/>
  <c r="AT22" i="2"/>
  <c r="AU22" i="2"/>
  <c r="AV22" i="2"/>
  <c r="AW22" i="2"/>
  <c r="AX22" i="2"/>
  <c r="AS23" i="2"/>
  <c r="AT23" i="2"/>
  <c r="AU23" i="2"/>
  <c r="AV23" i="2"/>
  <c r="AW23" i="2"/>
  <c r="AX23" i="2"/>
  <c r="AS24" i="2"/>
  <c r="AT24" i="2"/>
  <c r="AU24" i="2"/>
  <c r="AV24" i="2"/>
  <c r="AW24" i="2"/>
  <c r="AX24" i="2"/>
  <c r="AS25" i="2"/>
  <c r="AT25" i="2"/>
  <c r="AU25" i="2"/>
  <c r="AV25" i="2"/>
  <c r="AW25" i="2"/>
  <c r="AX25" i="2"/>
  <c r="AS26" i="2"/>
  <c r="AT26" i="2"/>
  <c r="AU26" i="2"/>
  <c r="AV26" i="2"/>
  <c r="AW26" i="2"/>
  <c r="AX26" i="2"/>
  <c r="AS27" i="2"/>
  <c r="AT27" i="2"/>
  <c r="AU27" i="2"/>
  <c r="AV27" i="2"/>
  <c r="AW27" i="2"/>
  <c r="AX27" i="2"/>
  <c r="AS28" i="2"/>
  <c r="AT28" i="2"/>
  <c r="AU28" i="2"/>
  <c r="AV28" i="2"/>
  <c r="AW28" i="2"/>
  <c r="AX28" i="2"/>
  <c r="AS29" i="2"/>
  <c r="AT29" i="2"/>
  <c r="AU29" i="2"/>
  <c r="AV29" i="2"/>
  <c r="AW29" i="2"/>
  <c r="AX29" i="2"/>
  <c r="AS30" i="2"/>
  <c r="AT30" i="2"/>
  <c r="AU30" i="2"/>
  <c r="AV30" i="2"/>
  <c r="AW30" i="2"/>
  <c r="AX30" i="2"/>
  <c r="AS31" i="2"/>
  <c r="AT31" i="2"/>
  <c r="AU31" i="2"/>
  <c r="AV31" i="2"/>
  <c r="AW31" i="2"/>
  <c r="AX31" i="2"/>
  <c r="AS32" i="2"/>
  <c r="AT32" i="2"/>
  <c r="AU32" i="2"/>
  <c r="AV32" i="2"/>
  <c r="AW32" i="2"/>
  <c r="AX32" i="2"/>
  <c r="AS33" i="2"/>
  <c r="AT33" i="2"/>
  <c r="AU33" i="2"/>
  <c r="AV33" i="2"/>
  <c r="AW33" i="2"/>
  <c r="AX33" i="2"/>
  <c r="AS34" i="2"/>
  <c r="AT34" i="2"/>
  <c r="AU34" i="2"/>
  <c r="AV34" i="2"/>
  <c r="AW34" i="2"/>
  <c r="AX34" i="2"/>
  <c r="AS35" i="2"/>
  <c r="AT35" i="2"/>
  <c r="AU35" i="2"/>
  <c r="AV35" i="2"/>
  <c r="AW35" i="2"/>
  <c r="AX35" i="2"/>
  <c r="AS36" i="2"/>
  <c r="AT36" i="2"/>
  <c r="AU36" i="2"/>
  <c r="AV36" i="2"/>
  <c r="AW36" i="2"/>
  <c r="AX36" i="2"/>
  <c r="AS37" i="2"/>
  <c r="AT37" i="2"/>
  <c r="AU37" i="2"/>
  <c r="AV37" i="2"/>
  <c r="AW37" i="2"/>
  <c r="AX37" i="2"/>
  <c r="AS38" i="2"/>
  <c r="AT38" i="2"/>
  <c r="AU38" i="2"/>
  <c r="AV38" i="2"/>
  <c r="AW38" i="2"/>
  <c r="AX38" i="2"/>
  <c r="AS39" i="2"/>
  <c r="AT39" i="2"/>
  <c r="AU39" i="2"/>
  <c r="AV39" i="2"/>
  <c r="AW39" i="2"/>
  <c r="AX39" i="2"/>
  <c r="AS40" i="2"/>
  <c r="AT40" i="2"/>
  <c r="AU40" i="2"/>
  <c r="AV40" i="2"/>
  <c r="AW40" i="2"/>
  <c r="AX40" i="2"/>
  <c r="AS41" i="2"/>
  <c r="AT41" i="2"/>
  <c r="AU41" i="2"/>
  <c r="AV41" i="2"/>
  <c r="AW41" i="2"/>
  <c r="AX41" i="2"/>
  <c r="AS42" i="2"/>
  <c r="AT42" i="2"/>
  <c r="AU42" i="2"/>
  <c r="AV42" i="2"/>
  <c r="AW42" i="2"/>
  <c r="AX42" i="2"/>
  <c r="AS43" i="2"/>
  <c r="AT43" i="2"/>
  <c r="AU43" i="2"/>
  <c r="AV43" i="2"/>
  <c r="AW43" i="2"/>
  <c r="AX43" i="2"/>
  <c r="AS44" i="2"/>
  <c r="AT44" i="2"/>
  <c r="AU44" i="2"/>
  <c r="AV44" i="2"/>
  <c r="AW44" i="2"/>
  <c r="AX44" i="2"/>
  <c r="AS45" i="2"/>
  <c r="AT45" i="2"/>
  <c r="AU45" i="2"/>
  <c r="AV45" i="2"/>
  <c r="AW45" i="2"/>
  <c r="AX45" i="2"/>
  <c r="AS46" i="2"/>
  <c r="AT46" i="2"/>
  <c r="AU46" i="2"/>
  <c r="AV46" i="2"/>
  <c r="AW46" i="2"/>
  <c r="AX46" i="2"/>
  <c r="AS47" i="2"/>
  <c r="AT47" i="2"/>
  <c r="AU47" i="2"/>
  <c r="AV47" i="2"/>
  <c r="AW47" i="2"/>
  <c r="AX47" i="2"/>
  <c r="AS48" i="2"/>
  <c r="AT48" i="2"/>
  <c r="AU48" i="2"/>
  <c r="AV48" i="2"/>
  <c r="AW48" i="2"/>
  <c r="AX48" i="2"/>
  <c r="AS49" i="2"/>
  <c r="AT49" i="2"/>
  <c r="AU49" i="2"/>
  <c r="AV49" i="2"/>
  <c r="AW49" i="2"/>
  <c r="AX49" i="2"/>
  <c r="AS50" i="2"/>
  <c r="AT50" i="2"/>
  <c r="AU50" i="2"/>
  <c r="AV50" i="2"/>
  <c r="AW50" i="2"/>
  <c r="AX50" i="2"/>
  <c r="AS51" i="2"/>
  <c r="AT51" i="2"/>
  <c r="AU51" i="2"/>
  <c r="AV51" i="2"/>
  <c r="AW51" i="2"/>
  <c r="AX51" i="2"/>
  <c r="AS52" i="2"/>
  <c r="AT52" i="2"/>
  <c r="AU52" i="2"/>
  <c r="AV52" i="2"/>
  <c r="AW52" i="2"/>
  <c r="AX52" i="2"/>
  <c r="AS53" i="2"/>
  <c r="AT53" i="2"/>
  <c r="AU53" i="2"/>
  <c r="AV53" i="2"/>
  <c r="AW53" i="2"/>
  <c r="AX53" i="2"/>
  <c r="AS54" i="2"/>
  <c r="AT54" i="2"/>
  <c r="AU54" i="2"/>
  <c r="AV54" i="2"/>
  <c r="AW54" i="2"/>
  <c r="AX54" i="2"/>
  <c r="AS55" i="2"/>
  <c r="AT55" i="2"/>
  <c r="AU55" i="2"/>
  <c r="AV55" i="2"/>
  <c r="AW55" i="2"/>
  <c r="AX55" i="2"/>
  <c r="AS56" i="2"/>
  <c r="AT56" i="2"/>
  <c r="AU56" i="2"/>
  <c r="AV56" i="2"/>
  <c r="AW56" i="2"/>
  <c r="AX56" i="2"/>
  <c r="AS57" i="2"/>
  <c r="AT57" i="2"/>
  <c r="AU57" i="2"/>
  <c r="AV57" i="2"/>
  <c r="AW57" i="2"/>
  <c r="AX57" i="2"/>
  <c r="AS58" i="2"/>
  <c r="AT58" i="2"/>
  <c r="AU58" i="2"/>
  <c r="AV58" i="2"/>
  <c r="AW58" i="2"/>
  <c r="AX58" i="2"/>
  <c r="AS59" i="2"/>
  <c r="AT59" i="2"/>
  <c r="AU59" i="2"/>
  <c r="AV59" i="2"/>
  <c r="AW59" i="2"/>
  <c r="AX59" i="2"/>
  <c r="AS60" i="2"/>
  <c r="AT60" i="2"/>
  <c r="AU60" i="2"/>
  <c r="AV60" i="2"/>
  <c r="AW60" i="2"/>
  <c r="AX60" i="2"/>
  <c r="AS61" i="2"/>
  <c r="AT61" i="2"/>
  <c r="AU61" i="2"/>
  <c r="AV61" i="2"/>
  <c r="AW61" i="2"/>
  <c r="AX61" i="2"/>
  <c r="AS62" i="2"/>
  <c r="AT62" i="2"/>
  <c r="AU62" i="2"/>
  <c r="AV62" i="2"/>
  <c r="AW62" i="2"/>
  <c r="AX62" i="2"/>
  <c r="AS63" i="2"/>
  <c r="AT63" i="2"/>
  <c r="AU63" i="2"/>
  <c r="AV63" i="2"/>
  <c r="AW63" i="2"/>
  <c r="AX63" i="2"/>
  <c r="AS64" i="2"/>
  <c r="AT64" i="2"/>
  <c r="AU64" i="2"/>
  <c r="AV64" i="2"/>
  <c r="AW64" i="2"/>
  <c r="AX64" i="2"/>
  <c r="AS65" i="2"/>
  <c r="AT65" i="2"/>
  <c r="AU65" i="2"/>
  <c r="AV65" i="2"/>
  <c r="AW65" i="2"/>
  <c r="AX65" i="2"/>
  <c r="AS66" i="2"/>
  <c r="AT66" i="2"/>
  <c r="AU66" i="2"/>
  <c r="AV66" i="2"/>
  <c r="AW66" i="2"/>
  <c r="AX66" i="2"/>
  <c r="AS67" i="2"/>
  <c r="AT67" i="2"/>
  <c r="AU67" i="2"/>
  <c r="AV67" i="2"/>
  <c r="AW67" i="2"/>
  <c r="AX67" i="2"/>
  <c r="AS68" i="2"/>
  <c r="AT68" i="2"/>
  <c r="AU68" i="2"/>
  <c r="AV68" i="2"/>
  <c r="AW68" i="2"/>
  <c r="AX68" i="2"/>
  <c r="AS69" i="2"/>
  <c r="AT69" i="2"/>
  <c r="AU69" i="2"/>
  <c r="AV69" i="2"/>
  <c r="AW69" i="2"/>
  <c r="AX69" i="2"/>
  <c r="AS70" i="2"/>
  <c r="AT70" i="2"/>
  <c r="AU70" i="2"/>
  <c r="AV70" i="2"/>
  <c r="AW70" i="2"/>
  <c r="AX70" i="2"/>
  <c r="AS71" i="2"/>
  <c r="AT71" i="2"/>
  <c r="AU71" i="2"/>
  <c r="AV71" i="2"/>
  <c r="AW71" i="2"/>
  <c r="AX71" i="2"/>
  <c r="AS72" i="2"/>
  <c r="AT72" i="2"/>
  <c r="AU72" i="2"/>
  <c r="AV72" i="2"/>
  <c r="AW72" i="2"/>
  <c r="AX72" i="2"/>
  <c r="AS73" i="2"/>
  <c r="AT73" i="2"/>
  <c r="AU73" i="2"/>
  <c r="AV73" i="2"/>
  <c r="AW73" i="2"/>
  <c r="AX73" i="2"/>
  <c r="AS74" i="2"/>
  <c r="AT74" i="2"/>
  <c r="AU74" i="2"/>
  <c r="AV74" i="2"/>
  <c r="AW74" i="2"/>
  <c r="AX74" i="2"/>
  <c r="AS75" i="2"/>
  <c r="AT75" i="2"/>
  <c r="AU75" i="2"/>
  <c r="AV75" i="2"/>
  <c r="AW75" i="2"/>
  <c r="AX75" i="2"/>
  <c r="AS76" i="2"/>
  <c r="AT76" i="2"/>
  <c r="AU76" i="2"/>
  <c r="AV76" i="2"/>
  <c r="AW76" i="2"/>
  <c r="AX76" i="2"/>
  <c r="AS77" i="2"/>
  <c r="AT77" i="2"/>
  <c r="AU77" i="2"/>
  <c r="AV77" i="2"/>
  <c r="AW77" i="2"/>
  <c r="AX77" i="2"/>
  <c r="AS78" i="2"/>
  <c r="AT78" i="2"/>
  <c r="AU78" i="2"/>
  <c r="AV78" i="2"/>
  <c r="AW78" i="2"/>
  <c r="AX78" i="2"/>
  <c r="AS79" i="2"/>
  <c r="AT79" i="2"/>
  <c r="AU79" i="2"/>
  <c r="AV79" i="2"/>
  <c r="AW79" i="2"/>
  <c r="AX79" i="2"/>
  <c r="AS80" i="2"/>
  <c r="AT80" i="2"/>
  <c r="AU80" i="2"/>
  <c r="AV80" i="2"/>
  <c r="AW80" i="2"/>
  <c r="AX80" i="2"/>
  <c r="AS81" i="2"/>
  <c r="AT81" i="2"/>
  <c r="AU81" i="2"/>
  <c r="AV81" i="2"/>
  <c r="AW81" i="2"/>
  <c r="AX81" i="2"/>
  <c r="AS82" i="2"/>
  <c r="AT82" i="2"/>
  <c r="AU82" i="2"/>
  <c r="AV82" i="2"/>
  <c r="AW82" i="2"/>
  <c r="AX82" i="2"/>
  <c r="AS83" i="2"/>
  <c r="AT83" i="2"/>
  <c r="AU83" i="2"/>
  <c r="AV83" i="2"/>
  <c r="AW83" i="2"/>
  <c r="AX83" i="2"/>
  <c r="AS84" i="2"/>
  <c r="AT84" i="2"/>
  <c r="AU84" i="2"/>
  <c r="AV84" i="2"/>
  <c r="AW84" i="2"/>
  <c r="AX84" i="2"/>
  <c r="AS85" i="2"/>
  <c r="AT85" i="2"/>
  <c r="AU85" i="2"/>
  <c r="AV85" i="2"/>
  <c r="AW85" i="2"/>
  <c r="AX85" i="2"/>
  <c r="AS86" i="2"/>
  <c r="AT86" i="2"/>
  <c r="AU86" i="2"/>
  <c r="AV86" i="2"/>
  <c r="AW86" i="2"/>
  <c r="AX86" i="2"/>
  <c r="AS87" i="2"/>
  <c r="AT87" i="2"/>
  <c r="AU87" i="2"/>
  <c r="AV87" i="2"/>
  <c r="AW87" i="2"/>
  <c r="AX87" i="2"/>
  <c r="AS88" i="2"/>
  <c r="AT88" i="2"/>
  <c r="AU88" i="2"/>
  <c r="AV88" i="2"/>
  <c r="AW88" i="2"/>
  <c r="AX88" i="2"/>
  <c r="AS89" i="2"/>
  <c r="AT89" i="2"/>
  <c r="AU89" i="2"/>
  <c r="AV89" i="2"/>
  <c r="AW89" i="2"/>
  <c r="AX89" i="2"/>
  <c r="AS90" i="2"/>
  <c r="AT90" i="2"/>
  <c r="AU90" i="2"/>
  <c r="AV90" i="2"/>
  <c r="AW90" i="2"/>
  <c r="AX90" i="2"/>
  <c r="AS91" i="2"/>
  <c r="AT91" i="2"/>
  <c r="AU91" i="2"/>
  <c r="AV91" i="2"/>
  <c r="AW91" i="2"/>
  <c r="AX91" i="2"/>
  <c r="AS92" i="2"/>
  <c r="AT92" i="2"/>
  <c r="AU92" i="2"/>
  <c r="AV92" i="2"/>
  <c r="AW92" i="2"/>
  <c r="AX92" i="2"/>
  <c r="AS93" i="2"/>
  <c r="AT93" i="2"/>
  <c r="AU93" i="2"/>
  <c r="AV93" i="2"/>
  <c r="AW93" i="2"/>
  <c r="AX93" i="2"/>
  <c r="AS94" i="2"/>
  <c r="AT94" i="2"/>
  <c r="AU94" i="2"/>
  <c r="AV94" i="2"/>
  <c r="AW94" i="2"/>
  <c r="AX94" i="2"/>
  <c r="AS95" i="2"/>
  <c r="AT95" i="2"/>
  <c r="AU95" i="2"/>
  <c r="AV95" i="2"/>
  <c r="AW95" i="2"/>
  <c r="AX95" i="2"/>
  <c r="AS96" i="2"/>
  <c r="AT96" i="2"/>
  <c r="AU96" i="2"/>
  <c r="AV96" i="2"/>
  <c r="AW96" i="2"/>
  <c r="AX96" i="2"/>
  <c r="AS97" i="2"/>
  <c r="AT97" i="2"/>
  <c r="AU97" i="2"/>
  <c r="AV97" i="2"/>
  <c r="AW97" i="2"/>
  <c r="AX97" i="2"/>
  <c r="AS98" i="2"/>
  <c r="AT98" i="2"/>
  <c r="AU98" i="2"/>
  <c r="AV98" i="2"/>
  <c r="AW98" i="2"/>
  <c r="AX98" i="2"/>
  <c r="AS99" i="2"/>
  <c r="AT99" i="2"/>
  <c r="AU99" i="2"/>
  <c r="AV99" i="2"/>
  <c r="AW99" i="2"/>
  <c r="AX99" i="2"/>
  <c r="AS100" i="2"/>
  <c r="AT100" i="2"/>
  <c r="AU100" i="2"/>
  <c r="AV100" i="2"/>
  <c r="AW100" i="2"/>
  <c r="AX100" i="2"/>
  <c r="AS101" i="2"/>
  <c r="AT101" i="2"/>
  <c r="AU101" i="2"/>
  <c r="AV101" i="2"/>
  <c r="AW101" i="2"/>
  <c r="AX101" i="2"/>
  <c r="AS102" i="2"/>
  <c r="AT102" i="2"/>
  <c r="AU102" i="2"/>
  <c r="AV102" i="2"/>
  <c r="AW102" i="2"/>
  <c r="AX102" i="2"/>
  <c r="AS103" i="2"/>
  <c r="AT103" i="2"/>
  <c r="AU103" i="2"/>
  <c r="AV103" i="2"/>
  <c r="AW103" i="2"/>
  <c r="AX103" i="2"/>
  <c r="AS104" i="2"/>
  <c r="AT104" i="2"/>
  <c r="AU104" i="2"/>
  <c r="AV104" i="2"/>
  <c r="AW104" i="2"/>
  <c r="AX104" i="2"/>
  <c r="AS105" i="2"/>
  <c r="AT105" i="2"/>
  <c r="AU105" i="2"/>
  <c r="AV105" i="2"/>
  <c r="AW105" i="2"/>
  <c r="AX105" i="2"/>
  <c r="AS106" i="2"/>
  <c r="AT106" i="2"/>
  <c r="AU106" i="2"/>
  <c r="AV106" i="2"/>
  <c r="AW106" i="2"/>
  <c r="AX106" i="2"/>
  <c r="AS107" i="2"/>
  <c r="AT107" i="2"/>
  <c r="AU107" i="2"/>
  <c r="AV107" i="2"/>
  <c r="AW107" i="2"/>
  <c r="AX107" i="2"/>
  <c r="AS108" i="2"/>
  <c r="AT108" i="2"/>
  <c r="AU108" i="2"/>
  <c r="AV108" i="2"/>
  <c r="AW108" i="2"/>
  <c r="AX108" i="2"/>
  <c r="AS109" i="2"/>
  <c r="AT109" i="2"/>
  <c r="AU109" i="2"/>
  <c r="AV109" i="2"/>
  <c r="AW109" i="2"/>
  <c r="AX109" i="2"/>
  <c r="AS110" i="2"/>
  <c r="AT110" i="2"/>
  <c r="AU110" i="2"/>
  <c r="AV110" i="2"/>
  <c r="AW110" i="2"/>
  <c r="AX110" i="2"/>
  <c r="AS111" i="2"/>
  <c r="AT111" i="2"/>
  <c r="AU111" i="2"/>
  <c r="AV111" i="2"/>
  <c r="AW111" i="2"/>
  <c r="AX111" i="2"/>
  <c r="AS112" i="2"/>
  <c r="AT112" i="2"/>
  <c r="AU112" i="2"/>
  <c r="AV112" i="2"/>
  <c r="AW112" i="2"/>
  <c r="AX112" i="2"/>
  <c r="AS113" i="2"/>
  <c r="AT113" i="2"/>
  <c r="AU113" i="2"/>
  <c r="AV113" i="2"/>
  <c r="AW113" i="2"/>
  <c r="AX113" i="2"/>
  <c r="AS114" i="2"/>
  <c r="AT114" i="2"/>
  <c r="AU114" i="2"/>
  <c r="AV114" i="2"/>
  <c r="AW114" i="2"/>
  <c r="AX114" i="2"/>
  <c r="AS115" i="2"/>
  <c r="AT115" i="2"/>
  <c r="AU115" i="2"/>
  <c r="AV115" i="2"/>
  <c r="AW115" i="2"/>
  <c r="AX115" i="2"/>
  <c r="AS116" i="2"/>
  <c r="AT116" i="2"/>
  <c r="AU116" i="2"/>
  <c r="AV116" i="2"/>
  <c r="AW116" i="2"/>
  <c r="AX116" i="2"/>
  <c r="AS117" i="2"/>
  <c r="AT117" i="2"/>
  <c r="AU117" i="2"/>
  <c r="AV117" i="2"/>
  <c r="AW117" i="2"/>
  <c r="AX117" i="2"/>
  <c r="AS118" i="2"/>
  <c r="AT118" i="2"/>
  <c r="AU118" i="2"/>
  <c r="AV118" i="2"/>
  <c r="AW118" i="2"/>
  <c r="AX118" i="2"/>
  <c r="AS119" i="2"/>
  <c r="AT119" i="2"/>
  <c r="AU119" i="2"/>
  <c r="AV119" i="2"/>
  <c r="AW119" i="2"/>
  <c r="AX119" i="2"/>
  <c r="AS120" i="2"/>
  <c r="AT120" i="2"/>
  <c r="AU120" i="2"/>
  <c r="AV120" i="2"/>
  <c r="AW120" i="2"/>
  <c r="AX120" i="2"/>
  <c r="AS121" i="2"/>
  <c r="AT121" i="2"/>
  <c r="AU121" i="2"/>
  <c r="AV121" i="2"/>
  <c r="AW121" i="2"/>
  <c r="AX121" i="2"/>
  <c r="AS122" i="2"/>
  <c r="AT122" i="2"/>
  <c r="AU122" i="2"/>
  <c r="AV122" i="2"/>
  <c r="AW122" i="2"/>
  <c r="AX122" i="2"/>
  <c r="AS123" i="2"/>
  <c r="AT123" i="2"/>
  <c r="AU123" i="2"/>
  <c r="AV123" i="2"/>
  <c r="AW123" i="2"/>
  <c r="AX123" i="2"/>
  <c r="AS124" i="2"/>
  <c r="AT124" i="2"/>
  <c r="AU124" i="2"/>
  <c r="AV124" i="2"/>
  <c r="AW124" i="2"/>
  <c r="AX124" i="2"/>
  <c r="AS125" i="2"/>
  <c r="AT125" i="2"/>
  <c r="AU125" i="2"/>
  <c r="AV125" i="2"/>
  <c r="AW125" i="2"/>
  <c r="AX125" i="2"/>
  <c r="AS126" i="2"/>
  <c r="AT126" i="2"/>
  <c r="AU126" i="2"/>
  <c r="AV126" i="2"/>
  <c r="AW126" i="2"/>
  <c r="AX126" i="2"/>
  <c r="AS127" i="2"/>
  <c r="AT127" i="2"/>
  <c r="AU127" i="2"/>
  <c r="AV127" i="2"/>
  <c r="AW127" i="2"/>
  <c r="AX127" i="2"/>
  <c r="AS128" i="2"/>
  <c r="AT128" i="2"/>
  <c r="AU128" i="2"/>
  <c r="AV128" i="2"/>
  <c r="AW128" i="2"/>
  <c r="AX128" i="2"/>
  <c r="AS129" i="2"/>
  <c r="AT129" i="2"/>
  <c r="AU129" i="2"/>
  <c r="AV129" i="2"/>
  <c r="AW129" i="2"/>
  <c r="AX129" i="2"/>
  <c r="AS130" i="2"/>
  <c r="AT130" i="2"/>
  <c r="AU130" i="2"/>
  <c r="AV130" i="2"/>
  <c r="AW130" i="2"/>
  <c r="AX130" i="2"/>
  <c r="AS131" i="2"/>
  <c r="AT131" i="2"/>
  <c r="AU131" i="2"/>
  <c r="AV131" i="2"/>
  <c r="AW131" i="2"/>
  <c r="AX131" i="2"/>
  <c r="AS132" i="2"/>
  <c r="AT132" i="2"/>
  <c r="AU132" i="2"/>
  <c r="AV132" i="2"/>
  <c r="AW132" i="2"/>
  <c r="AX132" i="2"/>
  <c r="AS133" i="2"/>
  <c r="AT133" i="2"/>
  <c r="AU133" i="2"/>
  <c r="AV133" i="2"/>
  <c r="AW133" i="2"/>
  <c r="AX133" i="2"/>
  <c r="AS134" i="2"/>
  <c r="AT134" i="2"/>
  <c r="AU134" i="2"/>
  <c r="AV134" i="2"/>
  <c r="AW134" i="2"/>
  <c r="AX134" i="2"/>
  <c r="AS135" i="2"/>
  <c r="AT135" i="2"/>
  <c r="AU135" i="2"/>
  <c r="AV135" i="2"/>
  <c r="AW135" i="2"/>
  <c r="AX135" i="2"/>
  <c r="AS136" i="2"/>
  <c r="AT136" i="2"/>
  <c r="AU136" i="2"/>
  <c r="AV136" i="2"/>
  <c r="AW136" i="2"/>
  <c r="AX136" i="2"/>
  <c r="AS137" i="2"/>
  <c r="AT137" i="2"/>
  <c r="AU137" i="2"/>
  <c r="AV137" i="2"/>
  <c r="AW137" i="2"/>
  <c r="AX137" i="2"/>
  <c r="AS138" i="2"/>
  <c r="AT138" i="2"/>
  <c r="AU138" i="2"/>
  <c r="AV138" i="2"/>
  <c r="AW138" i="2"/>
  <c r="AX138" i="2"/>
  <c r="AS139" i="2"/>
  <c r="AT139" i="2"/>
  <c r="AU139" i="2"/>
  <c r="AV139" i="2"/>
  <c r="AW139" i="2"/>
  <c r="AX139" i="2"/>
  <c r="AS140" i="2"/>
  <c r="AT140" i="2"/>
  <c r="AU140" i="2"/>
  <c r="AV140" i="2"/>
  <c r="AW140" i="2"/>
  <c r="AX140" i="2"/>
  <c r="AS141" i="2"/>
  <c r="AT141" i="2"/>
  <c r="AU141" i="2"/>
  <c r="AV141" i="2"/>
  <c r="AW141" i="2"/>
  <c r="AX141" i="2"/>
  <c r="AS142" i="2"/>
  <c r="AT142" i="2"/>
  <c r="AU142" i="2"/>
  <c r="AV142" i="2"/>
  <c r="AW142" i="2"/>
  <c r="AX142" i="2"/>
  <c r="AS143" i="2"/>
  <c r="AT143" i="2"/>
  <c r="AU143" i="2"/>
  <c r="AV143" i="2"/>
  <c r="AW143" i="2"/>
  <c r="AX143" i="2"/>
  <c r="AS144" i="2"/>
  <c r="AT144" i="2"/>
  <c r="AU144" i="2"/>
  <c r="AV144" i="2"/>
  <c r="AW144" i="2"/>
  <c r="AX144" i="2"/>
  <c r="AS145" i="2"/>
  <c r="AT145" i="2"/>
  <c r="AU145" i="2"/>
  <c r="AV145" i="2"/>
  <c r="AW145" i="2"/>
  <c r="AX145" i="2"/>
  <c r="AS146" i="2"/>
  <c r="AT146" i="2"/>
  <c r="AU146" i="2"/>
  <c r="AV146" i="2"/>
  <c r="AW146" i="2"/>
  <c r="AX146" i="2"/>
  <c r="AS147" i="2"/>
  <c r="AT147" i="2"/>
  <c r="AU147" i="2"/>
  <c r="AV147" i="2"/>
  <c r="AW147" i="2"/>
  <c r="AX147" i="2"/>
  <c r="AS148" i="2"/>
  <c r="AT148" i="2"/>
  <c r="AU148" i="2"/>
  <c r="AV148" i="2"/>
  <c r="AW148" i="2"/>
  <c r="AX148" i="2"/>
  <c r="AS149" i="2"/>
  <c r="AT149" i="2"/>
  <c r="AU149" i="2"/>
  <c r="AV149" i="2"/>
  <c r="AW149" i="2"/>
  <c r="AX149" i="2"/>
  <c r="AS150" i="2"/>
  <c r="AT150" i="2"/>
  <c r="AU150" i="2"/>
  <c r="AV150" i="2"/>
  <c r="AW150" i="2"/>
  <c r="AX150" i="2"/>
  <c r="AS151" i="2"/>
  <c r="AT151" i="2"/>
  <c r="AU151" i="2"/>
  <c r="AV151" i="2"/>
  <c r="AW151" i="2"/>
  <c r="AX151" i="2"/>
  <c r="AS152" i="2"/>
  <c r="AT152" i="2"/>
  <c r="AU152" i="2"/>
  <c r="AV152" i="2"/>
  <c r="AW152" i="2"/>
  <c r="AX152" i="2"/>
  <c r="AS153" i="2"/>
  <c r="AT153" i="2"/>
  <c r="AU153" i="2"/>
  <c r="AV153" i="2"/>
  <c r="AW153" i="2"/>
  <c r="AX153" i="2"/>
  <c r="AS154" i="2"/>
  <c r="AT154" i="2"/>
  <c r="AU154" i="2"/>
  <c r="AV154" i="2"/>
  <c r="AW154" i="2"/>
  <c r="AX154" i="2"/>
  <c r="AS155" i="2"/>
  <c r="AT155" i="2"/>
  <c r="AU155" i="2"/>
  <c r="AV155" i="2"/>
  <c r="AW155" i="2"/>
  <c r="AX155" i="2"/>
  <c r="AS156" i="2"/>
  <c r="AT156" i="2"/>
  <c r="AU156" i="2"/>
  <c r="AV156" i="2"/>
  <c r="AW156" i="2"/>
  <c r="AX156" i="2"/>
  <c r="AS157" i="2"/>
  <c r="AT157" i="2"/>
  <c r="AU157" i="2"/>
  <c r="AV157" i="2"/>
  <c r="AW157" i="2"/>
  <c r="AX157" i="2"/>
  <c r="AS158" i="2"/>
  <c r="AT158" i="2"/>
  <c r="AU158" i="2"/>
  <c r="AV158" i="2"/>
  <c r="AW158" i="2"/>
  <c r="AX158" i="2"/>
  <c r="AS159" i="2"/>
  <c r="AT159" i="2"/>
  <c r="AU159" i="2"/>
  <c r="AV159" i="2"/>
  <c r="AW159" i="2"/>
  <c r="AX159" i="2"/>
  <c r="AS160" i="2"/>
  <c r="AT160" i="2"/>
  <c r="AU160" i="2"/>
  <c r="AV160" i="2"/>
  <c r="AW160" i="2"/>
  <c r="AX160" i="2"/>
  <c r="AS161" i="2"/>
  <c r="AT161" i="2"/>
  <c r="AU161" i="2"/>
  <c r="AV161" i="2"/>
  <c r="AW161" i="2"/>
  <c r="AX161" i="2"/>
  <c r="AS162" i="2"/>
  <c r="AT162" i="2"/>
  <c r="AU162" i="2"/>
  <c r="AV162" i="2"/>
  <c r="AW162" i="2"/>
  <c r="AX162" i="2"/>
  <c r="AS163" i="2"/>
  <c r="AT163" i="2"/>
  <c r="AU163" i="2"/>
  <c r="AV163" i="2"/>
  <c r="AW163" i="2"/>
  <c r="AX163" i="2"/>
  <c r="AS164" i="2"/>
  <c r="AT164" i="2"/>
  <c r="AU164" i="2"/>
  <c r="AV164" i="2"/>
  <c r="AW164" i="2"/>
  <c r="AX164" i="2"/>
  <c r="AS165" i="2"/>
  <c r="AT165" i="2"/>
  <c r="AU165" i="2"/>
  <c r="AV165" i="2"/>
  <c r="AW165" i="2"/>
  <c r="AX165" i="2"/>
  <c r="AS166" i="2"/>
  <c r="AT166" i="2"/>
  <c r="AU166" i="2"/>
  <c r="AV166" i="2"/>
  <c r="AW166" i="2"/>
  <c r="AX166" i="2"/>
  <c r="AS167" i="2"/>
  <c r="AT167" i="2"/>
  <c r="AU167" i="2"/>
  <c r="AV167" i="2"/>
  <c r="AW167" i="2"/>
  <c r="AX167" i="2"/>
  <c r="AS168" i="2"/>
  <c r="AT168" i="2"/>
  <c r="AU168" i="2"/>
  <c r="AV168" i="2"/>
  <c r="AW168" i="2"/>
  <c r="AX168" i="2"/>
  <c r="AS169" i="2"/>
  <c r="AT169" i="2"/>
  <c r="AU169" i="2"/>
  <c r="AV169" i="2"/>
  <c r="AW169" i="2"/>
  <c r="AX169" i="2"/>
  <c r="AS170" i="2"/>
  <c r="AT170" i="2"/>
  <c r="AU170" i="2"/>
  <c r="AV170" i="2"/>
  <c r="AW170" i="2"/>
  <c r="AX170" i="2"/>
  <c r="AS171" i="2"/>
  <c r="AT171" i="2"/>
  <c r="AU171" i="2"/>
  <c r="AV171" i="2"/>
  <c r="AW171" i="2"/>
  <c r="AX171" i="2"/>
  <c r="AS172" i="2"/>
  <c r="AT172" i="2"/>
  <c r="AU172" i="2"/>
  <c r="AV172" i="2"/>
  <c r="AW172" i="2"/>
  <c r="AX172" i="2"/>
  <c r="AS173" i="2"/>
  <c r="AT173" i="2"/>
  <c r="AU173" i="2"/>
  <c r="AV173" i="2"/>
  <c r="AW173" i="2"/>
  <c r="AX173" i="2"/>
  <c r="AS174" i="2"/>
  <c r="AT174" i="2"/>
  <c r="AU174" i="2"/>
  <c r="AV174" i="2"/>
  <c r="AW174" i="2"/>
  <c r="AX174" i="2"/>
  <c r="AS175" i="2"/>
  <c r="AT175" i="2"/>
  <c r="AU175" i="2"/>
  <c r="AV175" i="2"/>
  <c r="AW175" i="2"/>
  <c r="AX175" i="2"/>
  <c r="AS176" i="2"/>
  <c r="AT176" i="2"/>
  <c r="AU176" i="2"/>
  <c r="AV176" i="2"/>
  <c r="AW176" i="2"/>
  <c r="AX176" i="2"/>
  <c r="AS177" i="2"/>
  <c r="AT177" i="2"/>
  <c r="AU177" i="2"/>
  <c r="AV177" i="2"/>
  <c r="AW177" i="2"/>
  <c r="AX177" i="2"/>
  <c r="AS178" i="2"/>
  <c r="AT178" i="2"/>
  <c r="AU178" i="2"/>
  <c r="AV178" i="2"/>
  <c r="AW178" i="2"/>
  <c r="AX178" i="2"/>
  <c r="AS179" i="2"/>
  <c r="AT179" i="2"/>
  <c r="AU179" i="2"/>
  <c r="AV179" i="2"/>
  <c r="AW179" i="2"/>
  <c r="AX179" i="2"/>
  <c r="AS180" i="2"/>
  <c r="AT180" i="2"/>
  <c r="AU180" i="2"/>
  <c r="AV180" i="2"/>
  <c r="AW180" i="2"/>
  <c r="AX180" i="2"/>
  <c r="AS181" i="2"/>
  <c r="AT181" i="2"/>
  <c r="AU181" i="2"/>
  <c r="AV181" i="2"/>
  <c r="AW181" i="2"/>
  <c r="AX181" i="2"/>
  <c r="AS182" i="2"/>
  <c r="AT182" i="2"/>
  <c r="AU182" i="2"/>
  <c r="AV182" i="2"/>
  <c r="AW182" i="2"/>
  <c r="AX182" i="2"/>
  <c r="AS183" i="2"/>
  <c r="AT183" i="2"/>
  <c r="AU183" i="2"/>
  <c r="AV183" i="2"/>
  <c r="AW183" i="2"/>
  <c r="AX183" i="2"/>
  <c r="AS184" i="2"/>
  <c r="AT184" i="2"/>
  <c r="AU184" i="2"/>
  <c r="AV184" i="2"/>
  <c r="AW184" i="2"/>
  <c r="AX184" i="2"/>
  <c r="AS185" i="2"/>
  <c r="AT185" i="2"/>
  <c r="AU185" i="2"/>
  <c r="AV185" i="2"/>
  <c r="AW185" i="2"/>
  <c r="AX185" i="2"/>
  <c r="AS186" i="2"/>
  <c r="AT186" i="2"/>
  <c r="AU186" i="2"/>
  <c r="AV186" i="2"/>
  <c r="AW186" i="2"/>
  <c r="AX186" i="2"/>
  <c r="AS187" i="2"/>
  <c r="AT187" i="2"/>
  <c r="AU187" i="2"/>
  <c r="AV187" i="2"/>
  <c r="AW187" i="2"/>
  <c r="AX187" i="2"/>
  <c r="AS188" i="2"/>
  <c r="AT188" i="2"/>
  <c r="AU188" i="2"/>
  <c r="AV188" i="2"/>
  <c r="AW188" i="2"/>
  <c r="AX188" i="2"/>
  <c r="AS189" i="2"/>
  <c r="AT189" i="2"/>
  <c r="AU189" i="2"/>
  <c r="AV189" i="2"/>
  <c r="AW189" i="2"/>
  <c r="AX189" i="2"/>
  <c r="AS190" i="2"/>
  <c r="AT190" i="2"/>
  <c r="AU190" i="2"/>
  <c r="AV190" i="2"/>
  <c r="AW190" i="2"/>
  <c r="AX190" i="2"/>
  <c r="AS191" i="2"/>
  <c r="AT191" i="2"/>
  <c r="AU191" i="2"/>
  <c r="AV191" i="2"/>
  <c r="AW191" i="2"/>
  <c r="AX191" i="2"/>
  <c r="AS192" i="2"/>
  <c r="AT192" i="2"/>
  <c r="AU192" i="2"/>
  <c r="AV192" i="2"/>
  <c r="AW192" i="2"/>
  <c r="AX192" i="2"/>
  <c r="AS193" i="2"/>
  <c r="AT193" i="2"/>
  <c r="AU193" i="2"/>
  <c r="AV193" i="2"/>
  <c r="AW193" i="2"/>
  <c r="AX193" i="2"/>
  <c r="AS194" i="2"/>
  <c r="AT194" i="2"/>
  <c r="AU194" i="2"/>
  <c r="AV194" i="2"/>
  <c r="AW194" i="2"/>
  <c r="AX194" i="2"/>
  <c r="AS195" i="2"/>
  <c r="AT195" i="2"/>
  <c r="AU195" i="2"/>
  <c r="AV195" i="2"/>
  <c r="AW195" i="2"/>
  <c r="AX195" i="2"/>
  <c r="AS196" i="2"/>
  <c r="AT196" i="2"/>
  <c r="AU196" i="2"/>
  <c r="AV196" i="2"/>
  <c r="AW196" i="2"/>
  <c r="AX196" i="2"/>
  <c r="AS197" i="2"/>
  <c r="AT197" i="2"/>
  <c r="AU197" i="2"/>
  <c r="AV197" i="2"/>
  <c r="AW197" i="2"/>
  <c r="AX197" i="2"/>
  <c r="AS198" i="2"/>
  <c r="AT198" i="2"/>
  <c r="AU198" i="2"/>
  <c r="AV198" i="2"/>
  <c r="AW198" i="2"/>
  <c r="AX198" i="2"/>
  <c r="AS199" i="2"/>
  <c r="AT199" i="2"/>
  <c r="AU199" i="2"/>
  <c r="AV199" i="2"/>
  <c r="AW199" i="2"/>
  <c r="AX199" i="2"/>
  <c r="AS200" i="2"/>
  <c r="AT200" i="2"/>
  <c r="AU200" i="2"/>
  <c r="AV200" i="2"/>
  <c r="AW200" i="2"/>
  <c r="AX200" i="2"/>
  <c r="AS201" i="2"/>
  <c r="AT201" i="2"/>
  <c r="AU201" i="2"/>
  <c r="AV201" i="2"/>
  <c r="AW201" i="2"/>
  <c r="AX201" i="2"/>
  <c r="AS202" i="2"/>
  <c r="AT202" i="2"/>
  <c r="AU202" i="2"/>
  <c r="AV202" i="2"/>
  <c r="AW202" i="2"/>
  <c r="AX202" i="2"/>
  <c r="AS203" i="2"/>
  <c r="AT203" i="2"/>
  <c r="AU203" i="2"/>
  <c r="AV203" i="2"/>
  <c r="AW203" i="2"/>
  <c r="AX203" i="2"/>
  <c r="AS204" i="2"/>
  <c r="AT204" i="2"/>
  <c r="AU204" i="2"/>
  <c r="AV204" i="2"/>
  <c r="AW204" i="2"/>
  <c r="AX204" i="2"/>
  <c r="AS205" i="2"/>
  <c r="AT205" i="2"/>
  <c r="AU205" i="2"/>
  <c r="AV205" i="2"/>
  <c r="AW205" i="2"/>
  <c r="AX205" i="2"/>
  <c r="AS206" i="2"/>
  <c r="AT206" i="2"/>
  <c r="AU206" i="2"/>
  <c r="AV206" i="2"/>
  <c r="AW206" i="2"/>
  <c r="AX206" i="2"/>
  <c r="AS207" i="2"/>
  <c r="AT207" i="2"/>
  <c r="AU207" i="2"/>
  <c r="AV207" i="2"/>
  <c r="AW207" i="2"/>
  <c r="AX207" i="2"/>
  <c r="AS208" i="2"/>
  <c r="AT208" i="2"/>
  <c r="AU208" i="2"/>
  <c r="AV208" i="2"/>
  <c r="AW208" i="2"/>
  <c r="AX208" i="2"/>
  <c r="AS209" i="2"/>
  <c r="AT209" i="2"/>
  <c r="AU209" i="2"/>
  <c r="AV209" i="2"/>
  <c r="AW209" i="2"/>
  <c r="AX209" i="2"/>
  <c r="AS210" i="2"/>
  <c r="AT210" i="2"/>
  <c r="AU210" i="2"/>
  <c r="AV210" i="2"/>
  <c r="AW210" i="2"/>
  <c r="AX210" i="2"/>
  <c r="AS211" i="2"/>
  <c r="AT211" i="2"/>
  <c r="AU211" i="2"/>
  <c r="AV211" i="2"/>
  <c r="AW211" i="2"/>
  <c r="AX211" i="2"/>
  <c r="AS212" i="2"/>
  <c r="AT212" i="2"/>
  <c r="AU212" i="2"/>
  <c r="AV212" i="2"/>
  <c r="AW212" i="2"/>
  <c r="AX212" i="2"/>
  <c r="AS213" i="2"/>
  <c r="AT213" i="2"/>
  <c r="AU213" i="2"/>
  <c r="AV213" i="2"/>
  <c r="AW213" i="2"/>
  <c r="AX213" i="2"/>
  <c r="AS214" i="2"/>
  <c r="AT214" i="2"/>
  <c r="AU214" i="2"/>
  <c r="AV214" i="2"/>
  <c r="AW214" i="2"/>
  <c r="AX214" i="2"/>
  <c r="AS215" i="2"/>
  <c r="AT215" i="2"/>
  <c r="AU215" i="2"/>
  <c r="AV215" i="2"/>
  <c r="AW215" i="2"/>
  <c r="AX215" i="2"/>
  <c r="AS216" i="2"/>
  <c r="AT216" i="2"/>
  <c r="AU216" i="2"/>
  <c r="AV216" i="2"/>
  <c r="AW216" i="2"/>
  <c r="AX216" i="2"/>
  <c r="AS217" i="2"/>
  <c r="AT217" i="2"/>
  <c r="AU217" i="2"/>
  <c r="AV217" i="2"/>
  <c r="AW217" i="2"/>
  <c r="AX217" i="2"/>
  <c r="AS218" i="2"/>
  <c r="AT218" i="2"/>
  <c r="AU218" i="2"/>
  <c r="AV218" i="2"/>
  <c r="AW218" i="2"/>
  <c r="AX218" i="2"/>
  <c r="AS219" i="2"/>
  <c r="AT219" i="2"/>
  <c r="AU219" i="2"/>
  <c r="AV219" i="2"/>
  <c r="AW219" i="2"/>
  <c r="AX219" i="2"/>
  <c r="AS220" i="2"/>
  <c r="AT220" i="2"/>
  <c r="AU220" i="2"/>
  <c r="AV220" i="2"/>
  <c r="AW220" i="2"/>
  <c r="AX220" i="2"/>
  <c r="AS221" i="2"/>
  <c r="AT221" i="2"/>
  <c r="AU221" i="2"/>
  <c r="AV221" i="2"/>
  <c r="AW221" i="2"/>
  <c r="AX221" i="2"/>
  <c r="AS222" i="2"/>
  <c r="AT222" i="2"/>
  <c r="AU222" i="2"/>
  <c r="AV222" i="2"/>
  <c r="AW222" i="2"/>
  <c r="AX222" i="2"/>
  <c r="AS223" i="2"/>
  <c r="AT223" i="2"/>
  <c r="AU223" i="2"/>
  <c r="AV223" i="2"/>
  <c r="AW223" i="2"/>
  <c r="AX223" i="2"/>
  <c r="AS224" i="2"/>
  <c r="AT224" i="2"/>
  <c r="AU224" i="2"/>
  <c r="AV224" i="2"/>
  <c r="AW224" i="2"/>
  <c r="AX224" i="2"/>
  <c r="AS225" i="2"/>
  <c r="AT225" i="2"/>
  <c r="AU225" i="2"/>
  <c r="AV225" i="2"/>
  <c r="AW225" i="2"/>
  <c r="AX225" i="2"/>
  <c r="AS226" i="2"/>
  <c r="AT226" i="2"/>
  <c r="AU226" i="2"/>
  <c r="AV226" i="2"/>
  <c r="AW226" i="2"/>
  <c r="AX226" i="2"/>
  <c r="AS227" i="2"/>
  <c r="AT227" i="2"/>
  <c r="AU227" i="2"/>
  <c r="AV227" i="2"/>
  <c r="AW227" i="2"/>
  <c r="AX227" i="2"/>
  <c r="AS228" i="2"/>
  <c r="AT228" i="2"/>
  <c r="AU228" i="2"/>
  <c r="AV228" i="2"/>
  <c r="AW228" i="2"/>
  <c r="AX228" i="2"/>
  <c r="AS229" i="2"/>
  <c r="AT229" i="2"/>
  <c r="AU229" i="2"/>
  <c r="AV229" i="2"/>
  <c r="AW229" i="2"/>
  <c r="AX229" i="2"/>
  <c r="AS230" i="2"/>
  <c r="AT230" i="2"/>
  <c r="AU230" i="2"/>
  <c r="AV230" i="2"/>
  <c r="AW230" i="2"/>
  <c r="AX230" i="2"/>
  <c r="AS231" i="2"/>
  <c r="AT231" i="2"/>
  <c r="AU231" i="2"/>
  <c r="AV231" i="2"/>
  <c r="AW231" i="2"/>
  <c r="AX231" i="2"/>
  <c r="AS232" i="2"/>
  <c r="AT232" i="2"/>
  <c r="AU232" i="2"/>
  <c r="AV232" i="2"/>
  <c r="AW232" i="2"/>
  <c r="AX232" i="2"/>
  <c r="AS233" i="2"/>
  <c r="AT233" i="2"/>
  <c r="AU233" i="2"/>
  <c r="AV233" i="2"/>
  <c r="AW233" i="2"/>
  <c r="AX233" i="2"/>
  <c r="AS234" i="2"/>
  <c r="AT234" i="2"/>
  <c r="AU234" i="2"/>
  <c r="AV234" i="2"/>
  <c r="AW234" i="2"/>
  <c r="AX234" i="2"/>
  <c r="AS235" i="2"/>
  <c r="AT235" i="2"/>
  <c r="AU235" i="2"/>
  <c r="AV235" i="2"/>
  <c r="AW235" i="2"/>
  <c r="AX235" i="2"/>
  <c r="AS236" i="2"/>
  <c r="AT236" i="2"/>
  <c r="AU236" i="2"/>
  <c r="AV236" i="2"/>
  <c r="AW236" i="2"/>
  <c r="AX236" i="2"/>
  <c r="AS237" i="2"/>
  <c r="AT237" i="2"/>
  <c r="AU237" i="2"/>
  <c r="AV237" i="2"/>
  <c r="AW237" i="2"/>
  <c r="AX237" i="2"/>
  <c r="AS238" i="2"/>
  <c r="AT238" i="2"/>
  <c r="AU238" i="2"/>
  <c r="AV238" i="2"/>
  <c r="AW238" i="2"/>
  <c r="AX238" i="2"/>
  <c r="AS239" i="2"/>
  <c r="AT239" i="2"/>
  <c r="AU239" i="2"/>
  <c r="AV239" i="2"/>
  <c r="AW239" i="2"/>
  <c r="AX239" i="2"/>
  <c r="AS240" i="2"/>
  <c r="AT240" i="2"/>
  <c r="AU240" i="2"/>
  <c r="AV240" i="2"/>
  <c r="AW240" i="2"/>
  <c r="AX240" i="2"/>
  <c r="AS241" i="2"/>
  <c r="AT241" i="2"/>
  <c r="AU241" i="2"/>
  <c r="AV241" i="2"/>
  <c r="AW241" i="2"/>
  <c r="AX241" i="2"/>
  <c r="AS242" i="2"/>
  <c r="AT242" i="2"/>
  <c r="AU242" i="2"/>
  <c r="AV242" i="2"/>
  <c r="AW242" i="2"/>
  <c r="AX242" i="2"/>
  <c r="AS243" i="2"/>
  <c r="AT243" i="2"/>
  <c r="AU243" i="2"/>
  <c r="AV243" i="2"/>
  <c r="AW243" i="2"/>
  <c r="AX243" i="2"/>
  <c r="AS244" i="2"/>
  <c r="AT244" i="2"/>
  <c r="AU244" i="2"/>
  <c r="AV244" i="2"/>
  <c r="AW244" i="2"/>
  <c r="AX244" i="2"/>
  <c r="AS245" i="2"/>
  <c r="AT245" i="2"/>
  <c r="AU245" i="2"/>
  <c r="AV245" i="2"/>
  <c r="AW245" i="2"/>
  <c r="AX245" i="2"/>
  <c r="AS246" i="2"/>
  <c r="AT246" i="2"/>
  <c r="AU246" i="2"/>
  <c r="AV246" i="2"/>
  <c r="AW246" i="2"/>
  <c r="AX246" i="2"/>
  <c r="AS247" i="2"/>
  <c r="AT247" i="2"/>
  <c r="AU247" i="2"/>
  <c r="AV247" i="2"/>
  <c r="AW247" i="2"/>
  <c r="AX247" i="2"/>
  <c r="AS248" i="2"/>
  <c r="AT248" i="2"/>
  <c r="AU248" i="2"/>
  <c r="AV248" i="2"/>
  <c r="AW248" i="2"/>
  <c r="AX248" i="2"/>
  <c r="AS249" i="2"/>
  <c r="AT249" i="2"/>
  <c r="AU249" i="2"/>
  <c r="AV249" i="2"/>
  <c r="AW249" i="2"/>
  <c r="AX249" i="2"/>
  <c r="AS250" i="2"/>
  <c r="AT250" i="2"/>
  <c r="AU250" i="2"/>
  <c r="AV250" i="2"/>
  <c r="AW250" i="2"/>
  <c r="AX250" i="2"/>
  <c r="AS251" i="2"/>
  <c r="AT251" i="2"/>
  <c r="AU251" i="2"/>
  <c r="AV251" i="2"/>
  <c r="AW251" i="2"/>
  <c r="AX251" i="2"/>
  <c r="AS252" i="2"/>
  <c r="AT252" i="2"/>
  <c r="AU252" i="2"/>
  <c r="AV252" i="2"/>
  <c r="AW252" i="2"/>
  <c r="AX252" i="2"/>
  <c r="AS253" i="2"/>
  <c r="AT253" i="2"/>
  <c r="AU253" i="2"/>
  <c r="AV253" i="2"/>
  <c r="AW253" i="2"/>
  <c r="AX253" i="2"/>
  <c r="AS254" i="2"/>
  <c r="AT254" i="2"/>
  <c r="AU254" i="2"/>
  <c r="AV254" i="2"/>
  <c r="AW254" i="2"/>
  <c r="AX254" i="2"/>
  <c r="AS255" i="2"/>
  <c r="AT255" i="2"/>
  <c r="AU255" i="2"/>
  <c r="AV255" i="2"/>
  <c r="AW255" i="2"/>
  <c r="AX255" i="2"/>
  <c r="AS256" i="2"/>
  <c r="AT256" i="2"/>
  <c r="AU256" i="2"/>
  <c r="AV256" i="2"/>
  <c r="AW256" i="2"/>
  <c r="AX256" i="2"/>
  <c r="AS257" i="2"/>
  <c r="AT257" i="2"/>
  <c r="AU257" i="2"/>
  <c r="AV257" i="2"/>
  <c r="AW257" i="2"/>
  <c r="AX257" i="2"/>
  <c r="AS258" i="2"/>
  <c r="AT258" i="2"/>
  <c r="AU258" i="2"/>
  <c r="AV258" i="2"/>
  <c r="AW258" i="2"/>
  <c r="AX258" i="2"/>
  <c r="AS259" i="2"/>
  <c r="AT259" i="2"/>
  <c r="AU259" i="2"/>
  <c r="AV259" i="2"/>
  <c r="AW259" i="2"/>
  <c r="AX259" i="2"/>
  <c r="AS260" i="2"/>
  <c r="AT260" i="2"/>
  <c r="AU260" i="2"/>
  <c r="AV260" i="2"/>
  <c r="AW260" i="2"/>
  <c r="AX260" i="2"/>
  <c r="AS261" i="2"/>
  <c r="AT261" i="2"/>
  <c r="AU261" i="2"/>
  <c r="AV261" i="2"/>
  <c r="AW261" i="2"/>
  <c r="AX261" i="2"/>
  <c r="AS262" i="2"/>
  <c r="AT262" i="2"/>
  <c r="AU262" i="2"/>
  <c r="AV262" i="2"/>
  <c r="AW262" i="2"/>
  <c r="AX262" i="2"/>
  <c r="AS263" i="2"/>
  <c r="AT263" i="2"/>
  <c r="AU263" i="2"/>
  <c r="AV263" i="2"/>
  <c r="AW263" i="2"/>
  <c r="AX263" i="2"/>
  <c r="AS264" i="2"/>
  <c r="AT264" i="2"/>
  <c r="AU264" i="2"/>
  <c r="AV264" i="2"/>
  <c r="AW264" i="2"/>
  <c r="AX264" i="2"/>
  <c r="AS265" i="2"/>
  <c r="AT265" i="2"/>
  <c r="AU265" i="2"/>
  <c r="AV265" i="2"/>
  <c r="AW265" i="2"/>
  <c r="AX265" i="2"/>
  <c r="AS266" i="2"/>
  <c r="AT266" i="2"/>
  <c r="AU266" i="2"/>
  <c r="AV266" i="2"/>
  <c r="AW266" i="2"/>
  <c r="AX266" i="2"/>
  <c r="AS267" i="2"/>
  <c r="AT267" i="2"/>
  <c r="AU267" i="2"/>
  <c r="AV267" i="2"/>
  <c r="AW267" i="2"/>
  <c r="AX267" i="2"/>
  <c r="AS268" i="2"/>
  <c r="AT268" i="2"/>
  <c r="AU268" i="2"/>
  <c r="AV268" i="2"/>
  <c r="AW268" i="2"/>
  <c r="AX268" i="2"/>
  <c r="AS269" i="2"/>
  <c r="AT269" i="2"/>
  <c r="AU269" i="2"/>
  <c r="AV269" i="2"/>
  <c r="AW269" i="2"/>
  <c r="AX269" i="2"/>
  <c r="AS270" i="2"/>
  <c r="AT270" i="2"/>
  <c r="AU270" i="2"/>
  <c r="AV270" i="2"/>
  <c r="AW270" i="2"/>
  <c r="AX270" i="2"/>
  <c r="AS271" i="2"/>
  <c r="AT271" i="2"/>
  <c r="AU271" i="2"/>
  <c r="AV271" i="2"/>
  <c r="AW271" i="2"/>
  <c r="AX271" i="2"/>
  <c r="AS272" i="2"/>
  <c r="AT272" i="2"/>
  <c r="AU272" i="2"/>
  <c r="AV272" i="2"/>
  <c r="AW272" i="2"/>
  <c r="AX272" i="2"/>
  <c r="AS273" i="2"/>
  <c r="AT273" i="2"/>
  <c r="AU273" i="2"/>
  <c r="AV273" i="2"/>
  <c r="AW273" i="2"/>
  <c r="AX273" i="2"/>
  <c r="AS274" i="2"/>
  <c r="AT274" i="2"/>
  <c r="AU274" i="2"/>
  <c r="AV274" i="2"/>
  <c r="AW274" i="2"/>
  <c r="AX274" i="2"/>
  <c r="AS275" i="2"/>
  <c r="AT275" i="2"/>
  <c r="AU275" i="2"/>
  <c r="AV275" i="2"/>
  <c r="AW275" i="2"/>
  <c r="AX275" i="2"/>
  <c r="AS276" i="2"/>
  <c r="AT276" i="2"/>
  <c r="AU276" i="2"/>
  <c r="AV276" i="2"/>
  <c r="AW276" i="2"/>
  <c r="AX276" i="2"/>
  <c r="AS277" i="2"/>
  <c r="AT277" i="2"/>
  <c r="AU277" i="2"/>
  <c r="AV277" i="2"/>
  <c r="AW277" i="2"/>
  <c r="AX277" i="2"/>
  <c r="AS278" i="2"/>
  <c r="AT278" i="2"/>
  <c r="AU278" i="2"/>
  <c r="AV278" i="2"/>
  <c r="AW278" i="2"/>
  <c r="AX278" i="2"/>
  <c r="AS279" i="2"/>
  <c r="AT279" i="2"/>
  <c r="AU279" i="2"/>
  <c r="AV279" i="2"/>
  <c r="AW279" i="2"/>
  <c r="AX279" i="2"/>
  <c r="AS280" i="2"/>
  <c r="AT280" i="2"/>
  <c r="AU280" i="2"/>
  <c r="AV280" i="2"/>
  <c r="AW280" i="2"/>
  <c r="AX280" i="2"/>
  <c r="AS281" i="2"/>
  <c r="AT281" i="2"/>
  <c r="AU281" i="2"/>
  <c r="AV281" i="2"/>
  <c r="AW281" i="2"/>
  <c r="AX281" i="2"/>
  <c r="AS282" i="2"/>
  <c r="AT282" i="2"/>
  <c r="AU282" i="2"/>
  <c r="AV282" i="2"/>
  <c r="AW282" i="2"/>
  <c r="AX282" i="2"/>
  <c r="AS283" i="2"/>
  <c r="AT283" i="2"/>
  <c r="AU283" i="2"/>
  <c r="AV283" i="2"/>
  <c r="AW283" i="2"/>
  <c r="AX283" i="2"/>
  <c r="AS284" i="2"/>
  <c r="AT284" i="2"/>
  <c r="AU284" i="2"/>
  <c r="AV284" i="2"/>
  <c r="AW284" i="2"/>
  <c r="AX284" i="2"/>
  <c r="AS285" i="2"/>
  <c r="AT285" i="2"/>
  <c r="AU285" i="2"/>
  <c r="AV285" i="2"/>
  <c r="AW285" i="2"/>
  <c r="AX285" i="2"/>
  <c r="AS286" i="2"/>
  <c r="AT286" i="2"/>
  <c r="AU286" i="2"/>
  <c r="AV286" i="2"/>
  <c r="AW286" i="2"/>
  <c r="AX286" i="2"/>
  <c r="AS287" i="2"/>
  <c r="AT287" i="2"/>
  <c r="AU287" i="2"/>
  <c r="AV287" i="2"/>
  <c r="AW287" i="2"/>
  <c r="AX287" i="2"/>
  <c r="AS288" i="2"/>
  <c r="AT288" i="2"/>
  <c r="AU288" i="2"/>
  <c r="AV288" i="2"/>
  <c r="AW288" i="2"/>
  <c r="AX288" i="2"/>
  <c r="AS289" i="2"/>
  <c r="AT289" i="2"/>
  <c r="AU289" i="2"/>
  <c r="AV289" i="2"/>
  <c r="AW289" i="2"/>
  <c r="AX289" i="2"/>
  <c r="AS290" i="2"/>
  <c r="AT290" i="2"/>
  <c r="AU290" i="2"/>
  <c r="AV290" i="2"/>
  <c r="AW290" i="2"/>
  <c r="AX290" i="2"/>
  <c r="AS291" i="2"/>
  <c r="AT291" i="2"/>
  <c r="AU291" i="2"/>
  <c r="AV291" i="2"/>
  <c r="AW291" i="2"/>
  <c r="AX291" i="2"/>
  <c r="AS292" i="2"/>
  <c r="AT292" i="2"/>
  <c r="AU292" i="2"/>
  <c r="AV292" i="2"/>
  <c r="AW292" i="2"/>
  <c r="AX292" i="2"/>
  <c r="AS293" i="2"/>
  <c r="AT293" i="2"/>
  <c r="AU293" i="2"/>
  <c r="AV293" i="2"/>
  <c r="AW293" i="2"/>
  <c r="AX293" i="2"/>
  <c r="AS294" i="2"/>
  <c r="AT294" i="2"/>
  <c r="AU294" i="2"/>
  <c r="AV294" i="2"/>
  <c r="AW294" i="2"/>
  <c r="AX294" i="2"/>
  <c r="AS295" i="2"/>
  <c r="AT295" i="2"/>
  <c r="AU295" i="2"/>
  <c r="AV295" i="2"/>
  <c r="AW295" i="2"/>
  <c r="AX295" i="2"/>
  <c r="AS296" i="2"/>
  <c r="AT296" i="2"/>
  <c r="AU296" i="2"/>
  <c r="AV296" i="2"/>
  <c r="AW296" i="2"/>
  <c r="AX296" i="2"/>
  <c r="AS297" i="2"/>
  <c r="AT297" i="2"/>
  <c r="AU297" i="2"/>
  <c r="AV297" i="2"/>
  <c r="AW297" i="2"/>
  <c r="AX297" i="2"/>
  <c r="AS298" i="2"/>
  <c r="AT298" i="2"/>
  <c r="AU298" i="2"/>
  <c r="AV298" i="2"/>
  <c r="AW298" i="2"/>
  <c r="AX298" i="2"/>
  <c r="AS299" i="2"/>
  <c r="AT299" i="2"/>
  <c r="AU299" i="2"/>
  <c r="AV299" i="2"/>
  <c r="AW299" i="2"/>
  <c r="AX299" i="2"/>
  <c r="AS300" i="2"/>
  <c r="AT300" i="2"/>
  <c r="AU300" i="2"/>
  <c r="AV300" i="2"/>
  <c r="AW300" i="2"/>
  <c r="AX300" i="2"/>
  <c r="AS301" i="2"/>
  <c r="AT301" i="2"/>
  <c r="AU301" i="2"/>
  <c r="AV301" i="2"/>
  <c r="AW301" i="2"/>
  <c r="AX301" i="2"/>
  <c r="AS302" i="2"/>
  <c r="AT302" i="2"/>
  <c r="AU302" i="2"/>
  <c r="AV302" i="2"/>
  <c r="AW302" i="2"/>
  <c r="AX302" i="2"/>
  <c r="AS303" i="2"/>
  <c r="AT303" i="2"/>
  <c r="AU303" i="2"/>
  <c r="AV303" i="2"/>
  <c r="AW303" i="2"/>
  <c r="AX303" i="2"/>
  <c r="AS304" i="2"/>
  <c r="AT304" i="2"/>
  <c r="AU304" i="2"/>
  <c r="AV304" i="2"/>
  <c r="AW304" i="2"/>
  <c r="AX304" i="2"/>
  <c r="AS305" i="2"/>
  <c r="AT305" i="2"/>
  <c r="AU305" i="2"/>
  <c r="AV305" i="2"/>
  <c r="AW305" i="2"/>
  <c r="AX305" i="2"/>
  <c r="AS306" i="2"/>
  <c r="AT306" i="2"/>
  <c r="AU306" i="2"/>
  <c r="AV306" i="2"/>
  <c r="AW306" i="2"/>
  <c r="AX306" i="2"/>
  <c r="AS307" i="2"/>
  <c r="AT307" i="2"/>
  <c r="AU307" i="2"/>
  <c r="AV307" i="2"/>
  <c r="AW307" i="2"/>
  <c r="AX307" i="2"/>
  <c r="AS308" i="2"/>
  <c r="AT308" i="2"/>
  <c r="AU308" i="2"/>
  <c r="AV308" i="2"/>
  <c r="AW308" i="2"/>
  <c r="AX308" i="2"/>
  <c r="AS309" i="2"/>
  <c r="AT309" i="2"/>
  <c r="AU309" i="2"/>
  <c r="AV309" i="2"/>
  <c r="AW309" i="2"/>
  <c r="AX309" i="2"/>
  <c r="AS310" i="2"/>
  <c r="AT310" i="2"/>
  <c r="AU310" i="2"/>
  <c r="AV310" i="2"/>
  <c r="AW310" i="2"/>
  <c r="AX310" i="2"/>
  <c r="AS311" i="2"/>
  <c r="AT311" i="2"/>
  <c r="AU311" i="2"/>
  <c r="AV311" i="2"/>
  <c r="AW311" i="2"/>
  <c r="AX311" i="2"/>
  <c r="AS312" i="2"/>
  <c r="AT312" i="2"/>
  <c r="AU312" i="2"/>
  <c r="AV312" i="2"/>
  <c r="AW312" i="2"/>
  <c r="AX312" i="2"/>
  <c r="AS313" i="2"/>
  <c r="AT313" i="2"/>
  <c r="AU313" i="2"/>
  <c r="AV313" i="2"/>
  <c r="AW313" i="2"/>
  <c r="AX313" i="2"/>
  <c r="AS314" i="2"/>
  <c r="AT314" i="2"/>
  <c r="AU314" i="2"/>
  <c r="AV314" i="2"/>
  <c r="AW314" i="2"/>
  <c r="AX314" i="2"/>
  <c r="AS315" i="2"/>
  <c r="AT315" i="2"/>
  <c r="AU315" i="2"/>
  <c r="AV315" i="2"/>
  <c r="AW315" i="2"/>
  <c r="AX315" i="2"/>
  <c r="AS316" i="2"/>
  <c r="AT316" i="2"/>
  <c r="AU316" i="2"/>
  <c r="AV316" i="2"/>
  <c r="AW316" i="2"/>
  <c r="AX316" i="2"/>
  <c r="AS317" i="2"/>
  <c r="AT317" i="2"/>
  <c r="AU317" i="2"/>
  <c r="AV317" i="2"/>
  <c r="AW317" i="2"/>
  <c r="AX317" i="2"/>
  <c r="AS318" i="2"/>
  <c r="AT318" i="2"/>
  <c r="AU318" i="2"/>
  <c r="AV318" i="2"/>
  <c r="AW318" i="2"/>
  <c r="AX318" i="2"/>
  <c r="AS319" i="2"/>
  <c r="AT319" i="2"/>
  <c r="AU319" i="2"/>
  <c r="AV319" i="2"/>
  <c r="AW319" i="2"/>
  <c r="AX319" i="2"/>
  <c r="AS320" i="2"/>
  <c r="AT320" i="2"/>
  <c r="AU320" i="2"/>
  <c r="AV320" i="2"/>
  <c r="AW320" i="2"/>
  <c r="AX320" i="2"/>
  <c r="AS321" i="2"/>
  <c r="AT321" i="2"/>
  <c r="AU321" i="2"/>
  <c r="AV321" i="2"/>
  <c r="AW321" i="2"/>
  <c r="AX321" i="2"/>
  <c r="AS322" i="2"/>
  <c r="AT322" i="2"/>
  <c r="AU322" i="2"/>
  <c r="AV322" i="2"/>
  <c r="AW322" i="2"/>
  <c r="AX322" i="2"/>
  <c r="AS323" i="2"/>
  <c r="AT323" i="2"/>
  <c r="AU323" i="2"/>
  <c r="AV323" i="2"/>
  <c r="AW323" i="2"/>
  <c r="AX323" i="2"/>
  <c r="AS324" i="2"/>
  <c r="AT324" i="2"/>
  <c r="AU324" i="2"/>
  <c r="AV324" i="2"/>
  <c r="AW324" i="2"/>
  <c r="AX324" i="2"/>
  <c r="AS325" i="2"/>
  <c r="AT325" i="2"/>
  <c r="AU325" i="2"/>
  <c r="AV325" i="2"/>
  <c r="AW325" i="2"/>
  <c r="AX325" i="2"/>
  <c r="AS326" i="2"/>
  <c r="AT326" i="2"/>
  <c r="AU326" i="2"/>
  <c r="AV326" i="2"/>
  <c r="AW326" i="2"/>
  <c r="AX326" i="2"/>
  <c r="AS327" i="2"/>
  <c r="AT327" i="2"/>
  <c r="AU327" i="2"/>
  <c r="AV327" i="2"/>
  <c r="AW327" i="2"/>
  <c r="AX327" i="2"/>
  <c r="AS328" i="2"/>
  <c r="AT328" i="2"/>
  <c r="AU328" i="2"/>
  <c r="AV328" i="2"/>
  <c r="AW328" i="2"/>
  <c r="AX328" i="2"/>
  <c r="AS329" i="2"/>
  <c r="AT329" i="2"/>
  <c r="AU329" i="2"/>
  <c r="AV329" i="2"/>
  <c r="AW329" i="2"/>
  <c r="AX329" i="2"/>
  <c r="AS330" i="2"/>
  <c r="AT330" i="2"/>
  <c r="AU330" i="2"/>
  <c r="AV330" i="2"/>
  <c r="AW330" i="2"/>
  <c r="AX330" i="2"/>
  <c r="AS331" i="2"/>
  <c r="AT331" i="2"/>
  <c r="AU331" i="2"/>
  <c r="AV331" i="2"/>
  <c r="AW331" i="2"/>
  <c r="AX331" i="2"/>
  <c r="AS332" i="2"/>
  <c r="AT332" i="2"/>
  <c r="AU332" i="2"/>
  <c r="AV332" i="2"/>
  <c r="AW332" i="2"/>
  <c r="AX332" i="2"/>
  <c r="AS333" i="2"/>
  <c r="AT333" i="2"/>
  <c r="AU333" i="2"/>
  <c r="AV333" i="2"/>
  <c r="AW333" i="2"/>
  <c r="AX333" i="2"/>
  <c r="AS334" i="2"/>
  <c r="AT334" i="2"/>
  <c r="AU334" i="2"/>
  <c r="AV334" i="2"/>
  <c r="AW334" i="2"/>
  <c r="AX334" i="2"/>
  <c r="AS335" i="2"/>
  <c r="AT335" i="2"/>
  <c r="AU335" i="2"/>
  <c r="AV335" i="2"/>
  <c r="AW335" i="2"/>
  <c r="AX335" i="2"/>
  <c r="AS336" i="2"/>
  <c r="AT336" i="2"/>
  <c r="AU336" i="2"/>
  <c r="AV336" i="2"/>
  <c r="AW336" i="2"/>
  <c r="AX336" i="2"/>
  <c r="AS337" i="2"/>
  <c r="AT337" i="2"/>
  <c r="AU337" i="2"/>
  <c r="AV337" i="2"/>
  <c r="AW337" i="2"/>
  <c r="AX337" i="2"/>
  <c r="AS338" i="2"/>
  <c r="AT338" i="2"/>
  <c r="AU338" i="2"/>
  <c r="AV338" i="2"/>
  <c r="AW338" i="2"/>
  <c r="AX338" i="2"/>
  <c r="AS339" i="2"/>
  <c r="AT339" i="2"/>
  <c r="AU339" i="2"/>
  <c r="AV339" i="2"/>
  <c r="AW339" i="2"/>
  <c r="AX339" i="2"/>
  <c r="AS340" i="2"/>
  <c r="AT340" i="2"/>
  <c r="AU340" i="2"/>
  <c r="AV340" i="2"/>
  <c r="AW340" i="2"/>
  <c r="AX340" i="2"/>
  <c r="AS341" i="2"/>
  <c r="AT341" i="2"/>
  <c r="AU341" i="2"/>
  <c r="AV341" i="2"/>
  <c r="AW341" i="2"/>
  <c r="AX341" i="2"/>
  <c r="AS342" i="2"/>
  <c r="AT342" i="2"/>
  <c r="AU342" i="2"/>
  <c r="AV342" i="2"/>
  <c r="AW342" i="2"/>
  <c r="AX342" i="2"/>
  <c r="AS343" i="2"/>
  <c r="AT343" i="2"/>
  <c r="AU343" i="2"/>
  <c r="AV343" i="2"/>
  <c r="AW343" i="2"/>
  <c r="AX343" i="2"/>
  <c r="AS344" i="2"/>
  <c r="AT344" i="2"/>
  <c r="AU344" i="2"/>
  <c r="AV344" i="2"/>
  <c r="AW344" i="2"/>
  <c r="AX344" i="2"/>
  <c r="AS345" i="2"/>
  <c r="AT345" i="2"/>
  <c r="AU345" i="2"/>
  <c r="AV345" i="2"/>
  <c r="AW345" i="2"/>
  <c r="AX345" i="2"/>
  <c r="AS346" i="2"/>
  <c r="AT346" i="2"/>
  <c r="AU346" i="2"/>
  <c r="AV346" i="2"/>
  <c r="AW346" i="2"/>
  <c r="AX346" i="2"/>
  <c r="AS347" i="2"/>
  <c r="AT347" i="2"/>
  <c r="AU347" i="2"/>
  <c r="AV347" i="2"/>
  <c r="AW347" i="2"/>
  <c r="AX347" i="2"/>
  <c r="AS348" i="2"/>
  <c r="AT348" i="2"/>
  <c r="AU348" i="2"/>
  <c r="AV348" i="2"/>
  <c r="AW348" i="2"/>
  <c r="AX348" i="2"/>
  <c r="AS349" i="2"/>
  <c r="AT349" i="2"/>
  <c r="AU349" i="2"/>
  <c r="AV349" i="2"/>
  <c r="AW349" i="2"/>
  <c r="AX349" i="2"/>
  <c r="AS350" i="2"/>
  <c r="AT350" i="2"/>
  <c r="AU350" i="2"/>
  <c r="AV350" i="2"/>
  <c r="AW350" i="2"/>
  <c r="AX350" i="2"/>
  <c r="AS351" i="2"/>
  <c r="AT351" i="2"/>
  <c r="AU351" i="2"/>
  <c r="AV351" i="2"/>
  <c r="AW351" i="2"/>
  <c r="AX351" i="2"/>
  <c r="AS352" i="2"/>
  <c r="AT352" i="2"/>
  <c r="AU352" i="2"/>
  <c r="AV352" i="2"/>
  <c r="AW352" i="2"/>
  <c r="AX352" i="2"/>
  <c r="AS353" i="2"/>
  <c r="AT353" i="2"/>
  <c r="AU353" i="2"/>
  <c r="AV353" i="2"/>
  <c r="AW353" i="2"/>
  <c r="AX353" i="2"/>
  <c r="AS354" i="2"/>
  <c r="AT354" i="2"/>
  <c r="AU354" i="2"/>
  <c r="AV354" i="2"/>
  <c r="AW354" i="2"/>
  <c r="AX354" i="2"/>
  <c r="AS355" i="2"/>
  <c r="AT355" i="2"/>
  <c r="AU355" i="2"/>
  <c r="AV355" i="2"/>
  <c r="AW355" i="2"/>
  <c r="AX355" i="2"/>
  <c r="AS356" i="2"/>
  <c r="AT356" i="2"/>
  <c r="AU356" i="2"/>
  <c r="AV356" i="2"/>
  <c r="AW356" i="2"/>
  <c r="AX356" i="2"/>
  <c r="AS357" i="2"/>
  <c r="AT357" i="2"/>
  <c r="AU357" i="2"/>
  <c r="AV357" i="2"/>
  <c r="AW357" i="2"/>
  <c r="AX357" i="2"/>
  <c r="AS358" i="2"/>
  <c r="AT358" i="2"/>
  <c r="AU358" i="2"/>
  <c r="AV358" i="2"/>
  <c r="AW358" i="2"/>
  <c r="AX358" i="2"/>
  <c r="AS359" i="2"/>
  <c r="AT359" i="2"/>
  <c r="AU359" i="2"/>
  <c r="AV359" i="2"/>
  <c r="AW359" i="2"/>
  <c r="AX359" i="2"/>
  <c r="AS360" i="2"/>
  <c r="AT360" i="2"/>
  <c r="AU360" i="2"/>
  <c r="AV360" i="2"/>
  <c r="AW360" i="2"/>
  <c r="AX360" i="2"/>
  <c r="AS361" i="2"/>
  <c r="AT361" i="2"/>
  <c r="AU361" i="2"/>
  <c r="AV361" i="2"/>
  <c r="AW361" i="2"/>
  <c r="AX361" i="2"/>
  <c r="AS362" i="2"/>
  <c r="AT362" i="2"/>
  <c r="AU362" i="2"/>
  <c r="AV362" i="2"/>
  <c r="AW362" i="2"/>
  <c r="AX362" i="2"/>
  <c r="AS363" i="2"/>
  <c r="AT363" i="2"/>
  <c r="AU363" i="2"/>
  <c r="AV363" i="2"/>
  <c r="AW363" i="2"/>
  <c r="AX363" i="2"/>
  <c r="AS364" i="2"/>
  <c r="AT364" i="2"/>
  <c r="AU364" i="2"/>
  <c r="AV364" i="2"/>
  <c r="AW364" i="2"/>
  <c r="AX364" i="2"/>
  <c r="AS365" i="2"/>
  <c r="AT365" i="2"/>
  <c r="AU365" i="2"/>
  <c r="AV365" i="2"/>
  <c r="AW365" i="2"/>
  <c r="AX365" i="2"/>
  <c r="AS366" i="2"/>
  <c r="AT366" i="2"/>
  <c r="AU366" i="2"/>
  <c r="AV366" i="2"/>
  <c r="AW366" i="2"/>
  <c r="AX366" i="2"/>
  <c r="AS367" i="2"/>
  <c r="AT367" i="2"/>
  <c r="AU367" i="2"/>
  <c r="AV367" i="2"/>
  <c r="AW367" i="2"/>
  <c r="AX367" i="2"/>
  <c r="AS368" i="2"/>
  <c r="AT368" i="2"/>
  <c r="AU368" i="2"/>
  <c r="AV368" i="2"/>
  <c r="AW368" i="2"/>
  <c r="AX368" i="2"/>
  <c r="AS369" i="2"/>
  <c r="AT369" i="2"/>
  <c r="AU369" i="2"/>
  <c r="AV369" i="2"/>
  <c r="AW369" i="2"/>
  <c r="AX369" i="2"/>
  <c r="AS370" i="2"/>
  <c r="AT370" i="2"/>
  <c r="AU370" i="2"/>
  <c r="AV370" i="2"/>
  <c r="AW370" i="2"/>
  <c r="AX370" i="2"/>
  <c r="AS371" i="2"/>
  <c r="AT371" i="2"/>
  <c r="AU371" i="2"/>
  <c r="AV371" i="2"/>
  <c r="AW371" i="2"/>
  <c r="AX371" i="2"/>
  <c r="AS372" i="2"/>
  <c r="AT372" i="2"/>
  <c r="AU372" i="2"/>
  <c r="AV372" i="2"/>
  <c r="AW372" i="2"/>
  <c r="AX372" i="2"/>
  <c r="AS373" i="2"/>
  <c r="AT373" i="2"/>
  <c r="AU373" i="2"/>
  <c r="AV373" i="2"/>
  <c r="AW373" i="2"/>
  <c r="AX373" i="2"/>
  <c r="AS374" i="2"/>
  <c r="AT374" i="2"/>
  <c r="AU374" i="2"/>
  <c r="AV374" i="2"/>
  <c r="AW374" i="2"/>
  <c r="AX374" i="2"/>
  <c r="AS375" i="2"/>
  <c r="AT375" i="2"/>
  <c r="AU375" i="2"/>
  <c r="AV375" i="2"/>
  <c r="AW375" i="2"/>
  <c r="AX375" i="2"/>
  <c r="AS376" i="2"/>
  <c r="AT376" i="2"/>
  <c r="AU376" i="2"/>
  <c r="AV376" i="2"/>
  <c r="AW376" i="2"/>
  <c r="AX376" i="2"/>
  <c r="AS377" i="2"/>
  <c r="AT377" i="2"/>
  <c r="AU377" i="2"/>
  <c r="AV377" i="2"/>
  <c r="AW377" i="2"/>
  <c r="AX377" i="2"/>
  <c r="AS378" i="2"/>
  <c r="AT378" i="2"/>
  <c r="AU378" i="2"/>
  <c r="AV378" i="2"/>
  <c r="AW378" i="2"/>
  <c r="AX378" i="2"/>
  <c r="AS379" i="2"/>
  <c r="AT379" i="2"/>
  <c r="AU379" i="2"/>
  <c r="AV379" i="2"/>
  <c r="AW379" i="2"/>
  <c r="AX379" i="2"/>
  <c r="AS380" i="2"/>
  <c r="AT380" i="2"/>
  <c r="AU380" i="2"/>
  <c r="AV380" i="2"/>
  <c r="AW380" i="2"/>
  <c r="AX380" i="2"/>
  <c r="AS381" i="2"/>
  <c r="AT381" i="2"/>
  <c r="AU381" i="2"/>
  <c r="AV381" i="2"/>
  <c r="AW381" i="2"/>
  <c r="AX381" i="2"/>
  <c r="AS382" i="2"/>
  <c r="AT382" i="2"/>
  <c r="AU382" i="2"/>
  <c r="AV382" i="2"/>
  <c r="AW382" i="2"/>
  <c r="AX382" i="2"/>
  <c r="AS383" i="2"/>
  <c r="AT383" i="2"/>
  <c r="AU383" i="2"/>
  <c r="AV383" i="2"/>
  <c r="AW383" i="2"/>
  <c r="AX383" i="2"/>
  <c r="AS384" i="2"/>
  <c r="AT384" i="2"/>
  <c r="AU384" i="2"/>
  <c r="AV384" i="2"/>
  <c r="AW384" i="2"/>
  <c r="AX384" i="2"/>
  <c r="AS385" i="2"/>
  <c r="AT385" i="2"/>
  <c r="AU385" i="2"/>
  <c r="AV385" i="2"/>
  <c r="AW385" i="2"/>
  <c r="AX385" i="2"/>
  <c r="AS386" i="2"/>
  <c r="AT386" i="2"/>
  <c r="AU386" i="2"/>
  <c r="AV386" i="2"/>
  <c r="AW386" i="2"/>
  <c r="AX386" i="2"/>
  <c r="AS387" i="2"/>
  <c r="AT387" i="2"/>
  <c r="AU387" i="2"/>
  <c r="AV387" i="2"/>
  <c r="AW387" i="2"/>
  <c r="AX387" i="2"/>
  <c r="AS388" i="2"/>
  <c r="AT388" i="2"/>
  <c r="AU388" i="2"/>
  <c r="AV388" i="2"/>
  <c r="AW388" i="2"/>
  <c r="AX388" i="2"/>
  <c r="AS389" i="2"/>
  <c r="AT389" i="2"/>
  <c r="AU389" i="2"/>
  <c r="AV389" i="2"/>
  <c r="AW389" i="2"/>
  <c r="AX389" i="2"/>
  <c r="AS390" i="2"/>
  <c r="AT390" i="2"/>
  <c r="AU390" i="2"/>
  <c r="AV390" i="2"/>
  <c r="AW390" i="2"/>
  <c r="AX390" i="2"/>
  <c r="AS391" i="2"/>
  <c r="AT391" i="2"/>
  <c r="AU391" i="2"/>
  <c r="AV391" i="2"/>
  <c r="AW391" i="2"/>
  <c r="AX391" i="2"/>
  <c r="AS392" i="2"/>
  <c r="AT392" i="2"/>
  <c r="AU392" i="2"/>
  <c r="AV392" i="2"/>
  <c r="AW392" i="2"/>
  <c r="AX392" i="2"/>
  <c r="AS393" i="2"/>
  <c r="AT393" i="2"/>
  <c r="AU393" i="2"/>
  <c r="AV393" i="2"/>
  <c r="AW393" i="2"/>
  <c r="AX393" i="2"/>
  <c r="AS394" i="2"/>
  <c r="AT394" i="2"/>
  <c r="AU394" i="2"/>
  <c r="AV394" i="2"/>
  <c r="AW394" i="2"/>
  <c r="AX394" i="2"/>
  <c r="AS395" i="2"/>
  <c r="AT395" i="2"/>
  <c r="AU395" i="2"/>
  <c r="AV395" i="2"/>
  <c r="AW395" i="2"/>
  <c r="AX395" i="2"/>
  <c r="AS396" i="2"/>
  <c r="AT396" i="2"/>
  <c r="AU396" i="2"/>
  <c r="AV396" i="2"/>
  <c r="AW396" i="2"/>
  <c r="AX396" i="2"/>
  <c r="AS397" i="2"/>
  <c r="AT397" i="2"/>
  <c r="AU397" i="2"/>
  <c r="AV397" i="2"/>
  <c r="AW397" i="2"/>
  <c r="AX397" i="2"/>
  <c r="AS398" i="2"/>
  <c r="AT398" i="2"/>
  <c r="AU398" i="2"/>
  <c r="AV398" i="2"/>
  <c r="AW398" i="2"/>
  <c r="AX398" i="2"/>
  <c r="AS399" i="2"/>
  <c r="AT399" i="2"/>
  <c r="AU399" i="2"/>
  <c r="AV399" i="2"/>
  <c r="AW399" i="2"/>
  <c r="AX399" i="2"/>
  <c r="AS400" i="2"/>
  <c r="AT400" i="2"/>
  <c r="AU400" i="2"/>
  <c r="AV400" i="2"/>
  <c r="AW400" i="2"/>
  <c r="AX400" i="2"/>
  <c r="AS401" i="2"/>
  <c r="AT401" i="2"/>
  <c r="AU401" i="2"/>
  <c r="AV401" i="2"/>
  <c r="AW401" i="2"/>
  <c r="AX401" i="2"/>
  <c r="AS402" i="2"/>
  <c r="AT402" i="2"/>
  <c r="AU402" i="2"/>
  <c r="AV402" i="2"/>
  <c r="AW402" i="2"/>
  <c r="AX402" i="2"/>
  <c r="AS403" i="2"/>
  <c r="AT403" i="2"/>
  <c r="AU403" i="2"/>
  <c r="AV403" i="2"/>
  <c r="AW403" i="2"/>
  <c r="AX403" i="2"/>
  <c r="AS404" i="2"/>
  <c r="AT404" i="2"/>
  <c r="AU404" i="2"/>
  <c r="AV404" i="2"/>
  <c r="AW404" i="2"/>
  <c r="AX404" i="2"/>
  <c r="AS405" i="2"/>
  <c r="AT405" i="2"/>
  <c r="AU405" i="2"/>
  <c r="AV405" i="2"/>
  <c r="AW405" i="2"/>
  <c r="AX405" i="2"/>
  <c r="AS406" i="2"/>
  <c r="AT406" i="2"/>
  <c r="AU406" i="2"/>
  <c r="AV406" i="2"/>
  <c r="AW406" i="2"/>
  <c r="AX406" i="2"/>
  <c r="AS407" i="2"/>
  <c r="AT407" i="2"/>
  <c r="AU407" i="2"/>
  <c r="AV407" i="2"/>
  <c r="AW407" i="2"/>
  <c r="AX407" i="2"/>
  <c r="AS408" i="2"/>
  <c r="AT408" i="2"/>
  <c r="AU408" i="2"/>
  <c r="AV408" i="2"/>
  <c r="AW408" i="2"/>
  <c r="AX408" i="2"/>
  <c r="AS409" i="2"/>
  <c r="AT409" i="2"/>
  <c r="AU409" i="2"/>
  <c r="AV409" i="2"/>
  <c r="AW409" i="2"/>
  <c r="AX409" i="2"/>
  <c r="AS410" i="2"/>
  <c r="AT410" i="2"/>
  <c r="AU410" i="2"/>
  <c r="AV410" i="2"/>
  <c r="AW410" i="2"/>
  <c r="AX410" i="2"/>
  <c r="AS411" i="2"/>
  <c r="AT411" i="2"/>
  <c r="AU411" i="2"/>
  <c r="AV411" i="2"/>
  <c r="AW411" i="2"/>
  <c r="AX411" i="2"/>
  <c r="AS412" i="2"/>
  <c r="AT412" i="2"/>
  <c r="AU412" i="2"/>
  <c r="AV412" i="2"/>
  <c r="AW412" i="2"/>
  <c r="AX412" i="2"/>
  <c r="AS413" i="2"/>
  <c r="AT413" i="2"/>
  <c r="AU413" i="2"/>
  <c r="AV413" i="2"/>
  <c r="AW413" i="2"/>
  <c r="AX413" i="2"/>
  <c r="AS414" i="2"/>
  <c r="AT414" i="2"/>
  <c r="AU414" i="2"/>
  <c r="AV414" i="2"/>
  <c r="AW414" i="2"/>
  <c r="AX414" i="2"/>
  <c r="AS415" i="2"/>
  <c r="AT415" i="2"/>
  <c r="AU415" i="2"/>
  <c r="AV415" i="2"/>
  <c r="AW415" i="2"/>
  <c r="AX415" i="2"/>
  <c r="AS416" i="2"/>
  <c r="AT416" i="2"/>
  <c r="AU416" i="2"/>
  <c r="AV416" i="2"/>
  <c r="AW416" i="2"/>
  <c r="AX416" i="2"/>
  <c r="AS417" i="2"/>
  <c r="AT417" i="2"/>
  <c r="AU417" i="2"/>
  <c r="AV417" i="2"/>
  <c r="AW417" i="2"/>
  <c r="AX417" i="2"/>
  <c r="AS418" i="2"/>
  <c r="AT418" i="2"/>
  <c r="AU418" i="2"/>
  <c r="AV418" i="2"/>
  <c r="AW418" i="2"/>
  <c r="AX418" i="2"/>
  <c r="AS419" i="2"/>
  <c r="AT419" i="2"/>
  <c r="AU419" i="2"/>
  <c r="AV419" i="2"/>
  <c r="AW419" i="2"/>
  <c r="AX419" i="2"/>
  <c r="AS420" i="2"/>
  <c r="AT420" i="2"/>
  <c r="AU420" i="2"/>
  <c r="AV420" i="2"/>
  <c r="AW420" i="2"/>
  <c r="AX420" i="2"/>
  <c r="AS421" i="2"/>
  <c r="AT421" i="2"/>
  <c r="AU421" i="2"/>
  <c r="AV421" i="2"/>
  <c r="AW421" i="2"/>
  <c r="AX421" i="2"/>
  <c r="AS422" i="2"/>
  <c r="AT422" i="2"/>
  <c r="AU422" i="2"/>
  <c r="AV422" i="2"/>
  <c r="AW422" i="2"/>
  <c r="AX422" i="2"/>
  <c r="AS423" i="2"/>
  <c r="AT423" i="2"/>
  <c r="AU423" i="2"/>
  <c r="AV423" i="2"/>
  <c r="AW423" i="2"/>
  <c r="AX423" i="2"/>
  <c r="AS424" i="2"/>
  <c r="AT424" i="2"/>
  <c r="AU424" i="2"/>
  <c r="AV424" i="2"/>
  <c r="AW424" i="2"/>
  <c r="AX424" i="2"/>
  <c r="AS425" i="2"/>
  <c r="AT425" i="2"/>
  <c r="AU425" i="2"/>
  <c r="AV425" i="2"/>
  <c r="AW425" i="2"/>
  <c r="AX425" i="2"/>
  <c r="AS426" i="2"/>
  <c r="AT426" i="2"/>
  <c r="AU426" i="2"/>
  <c r="AV426" i="2"/>
  <c r="AW426" i="2"/>
  <c r="AX426" i="2"/>
  <c r="AS427" i="2"/>
  <c r="AT427" i="2"/>
  <c r="AU427" i="2"/>
  <c r="AV427" i="2"/>
  <c r="AW427" i="2"/>
  <c r="AX427" i="2"/>
  <c r="AS428" i="2"/>
  <c r="AT428" i="2"/>
  <c r="AU428" i="2"/>
  <c r="AV428" i="2"/>
  <c r="AW428" i="2"/>
  <c r="AX428" i="2"/>
  <c r="AS429" i="2"/>
  <c r="AT429" i="2"/>
  <c r="AU429" i="2"/>
  <c r="AV429" i="2"/>
  <c r="AW429" i="2"/>
  <c r="AX429" i="2"/>
  <c r="AX2" i="2"/>
  <c r="AW2" i="2"/>
  <c r="AV2" i="2"/>
  <c r="AU2" i="2"/>
  <c r="AT2" i="2"/>
  <c r="AS2" i="2"/>
  <c r="AR2" i="2"/>
  <c r="AR3" i="2"/>
  <c r="AR4" i="2"/>
  <c r="AR5" i="2"/>
  <c r="AR6" i="2"/>
  <c r="AR7" i="2"/>
  <c r="AR8" i="2"/>
  <c r="AR9" i="2"/>
  <c r="AR10" i="2"/>
  <c r="AR11" i="2"/>
  <c r="AR12" i="2"/>
  <c r="AR13" i="2"/>
  <c r="AR14" i="2"/>
  <c r="AR15" i="2"/>
  <c r="AR16" i="2"/>
  <c r="AR17" i="2"/>
  <c r="AR18" i="2"/>
  <c r="AR19" i="2"/>
  <c r="AR20" i="2"/>
  <c r="AR21" i="2"/>
  <c r="AR22" i="2"/>
  <c r="AR23" i="2"/>
  <c r="AR24" i="2"/>
  <c r="AR25" i="2"/>
  <c r="AR26" i="2"/>
  <c r="AR27" i="2"/>
  <c r="AR28" i="2"/>
  <c r="AR29" i="2"/>
  <c r="AR30" i="2"/>
  <c r="AR31" i="2"/>
  <c r="AR32" i="2"/>
  <c r="AR33" i="2"/>
  <c r="AR34" i="2"/>
  <c r="AR35" i="2"/>
  <c r="AR36" i="2"/>
  <c r="AR37" i="2"/>
  <c r="AR38" i="2"/>
  <c r="AR39" i="2"/>
  <c r="AR40" i="2"/>
  <c r="AR41" i="2"/>
  <c r="AR42" i="2"/>
  <c r="AR43" i="2"/>
  <c r="AR44" i="2"/>
  <c r="AR45" i="2"/>
  <c r="AR46" i="2"/>
  <c r="AR47" i="2"/>
  <c r="AR48" i="2"/>
  <c r="AR49" i="2"/>
  <c r="AR50" i="2"/>
  <c r="AR51" i="2"/>
  <c r="AR52" i="2"/>
  <c r="AR53" i="2"/>
  <c r="AR54" i="2"/>
  <c r="AR55" i="2"/>
  <c r="AR56" i="2"/>
  <c r="AR57" i="2"/>
  <c r="AR58" i="2"/>
  <c r="AR59" i="2"/>
  <c r="AR60" i="2"/>
  <c r="AR61" i="2"/>
  <c r="AR62" i="2"/>
  <c r="AR63" i="2"/>
  <c r="AR64" i="2"/>
  <c r="AR65" i="2"/>
  <c r="AR66" i="2"/>
  <c r="AR67" i="2"/>
  <c r="AR68" i="2"/>
  <c r="AR69" i="2"/>
  <c r="AR70" i="2"/>
  <c r="AR71" i="2"/>
  <c r="AR72" i="2"/>
  <c r="AR73" i="2"/>
  <c r="AR74" i="2"/>
  <c r="AR75" i="2"/>
  <c r="AR76" i="2"/>
  <c r="AR77" i="2"/>
  <c r="AR78" i="2"/>
  <c r="AR79" i="2"/>
  <c r="AR80" i="2"/>
  <c r="AR81" i="2"/>
  <c r="AR82" i="2"/>
  <c r="AR83" i="2"/>
  <c r="AR84" i="2"/>
  <c r="AR85" i="2"/>
  <c r="AR86" i="2"/>
  <c r="AR87" i="2"/>
  <c r="AR88" i="2"/>
  <c r="AR89" i="2"/>
  <c r="AR90" i="2"/>
  <c r="AR91" i="2"/>
  <c r="AR92" i="2"/>
  <c r="AR93" i="2"/>
  <c r="AR94" i="2"/>
  <c r="AR95" i="2"/>
  <c r="AR96" i="2"/>
  <c r="AR97" i="2"/>
  <c r="AR98" i="2"/>
  <c r="AR99" i="2"/>
  <c r="AR100" i="2"/>
  <c r="AR101" i="2"/>
  <c r="AR102" i="2"/>
  <c r="AR103" i="2"/>
  <c r="AR104" i="2"/>
  <c r="AR105" i="2"/>
  <c r="AR106" i="2"/>
  <c r="AR107" i="2"/>
  <c r="AR108" i="2"/>
  <c r="AR109" i="2"/>
  <c r="AR110" i="2"/>
  <c r="AR111" i="2"/>
  <c r="AR112" i="2"/>
  <c r="AR113" i="2"/>
  <c r="AR114" i="2"/>
  <c r="AR115" i="2"/>
  <c r="AR116" i="2"/>
  <c r="AR117" i="2"/>
  <c r="AR118" i="2"/>
  <c r="AR119" i="2"/>
  <c r="AR120" i="2"/>
  <c r="AR121" i="2"/>
  <c r="AR122" i="2"/>
  <c r="AR123" i="2"/>
  <c r="AR124" i="2"/>
  <c r="AR125" i="2"/>
  <c r="AR126" i="2"/>
  <c r="AR127" i="2"/>
  <c r="AR128" i="2"/>
  <c r="AR129" i="2"/>
  <c r="AR130" i="2"/>
  <c r="AR131" i="2"/>
  <c r="AR132" i="2"/>
  <c r="AR133" i="2"/>
  <c r="AR134" i="2"/>
  <c r="AR135" i="2"/>
  <c r="AR136" i="2"/>
  <c r="AR137" i="2"/>
  <c r="AR138" i="2"/>
  <c r="AR139" i="2"/>
  <c r="AR140" i="2"/>
  <c r="AR141" i="2"/>
  <c r="AR142" i="2"/>
  <c r="AR143" i="2"/>
  <c r="AR144" i="2"/>
  <c r="AR145" i="2"/>
  <c r="AR146" i="2"/>
  <c r="AR147" i="2"/>
  <c r="AR148" i="2"/>
  <c r="AR149" i="2"/>
  <c r="AR150" i="2"/>
  <c r="AR151" i="2"/>
  <c r="AR152" i="2"/>
  <c r="AR153" i="2"/>
  <c r="AR154" i="2"/>
  <c r="AR155" i="2"/>
  <c r="AR156" i="2"/>
  <c r="AR157" i="2"/>
  <c r="AR158" i="2"/>
  <c r="AR159" i="2"/>
  <c r="AR160" i="2"/>
  <c r="AR161" i="2"/>
  <c r="AR162" i="2"/>
  <c r="AR163" i="2"/>
  <c r="AR164" i="2"/>
  <c r="AR165" i="2"/>
  <c r="AR166" i="2"/>
  <c r="AR167" i="2"/>
  <c r="AR168" i="2"/>
  <c r="AR169" i="2"/>
  <c r="AR170" i="2"/>
  <c r="AR171" i="2"/>
  <c r="AR172" i="2"/>
  <c r="AR173" i="2"/>
  <c r="AR174" i="2"/>
  <c r="AR175" i="2"/>
  <c r="AR176" i="2"/>
  <c r="AR177" i="2"/>
  <c r="AR178" i="2"/>
  <c r="AR179" i="2"/>
  <c r="AR180" i="2"/>
  <c r="AR181" i="2"/>
  <c r="AR182" i="2"/>
  <c r="AR183" i="2"/>
  <c r="AR184" i="2"/>
  <c r="AR185" i="2"/>
  <c r="AR186" i="2"/>
  <c r="AR187" i="2"/>
  <c r="AR188" i="2"/>
  <c r="AR189" i="2"/>
  <c r="AR190" i="2"/>
  <c r="AR191" i="2"/>
  <c r="AR192" i="2"/>
  <c r="AR193" i="2"/>
  <c r="AR194" i="2"/>
  <c r="AR195" i="2"/>
  <c r="AR196" i="2"/>
  <c r="AR197" i="2"/>
  <c r="AR198" i="2"/>
  <c r="AR199" i="2"/>
  <c r="AR200" i="2"/>
  <c r="AR201" i="2"/>
  <c r="AR202" i="2"/>
  <c r="AR203" i="2"/>
  <c r="AR204" i="2"/>
  <c r="AR205" i="2"/>
  <c r="AR206" i="2"/>
  <c r="AR207" i="2"/>
  <c r="AR208" i="2"/>
  <c r="AR209" i="2"/>
  <c r="AR210" i="2"/>
  <c r="AR211" i="2"/>
  <c r="AR212" i="2"/>
  <c r="AR213" i="2"/>
  <c r="AR214" i="2"/>
  <c r="AR215" i="2"/>
  <c r="AR216" i="2"/>
  <c r="AR217" i="2"/>
  <c r="AR218" i="2"/>
  <c r="AR219" i="2"/>
  <c r="AR220" i="2"/>
  <c r="AR221" i="2"/>
  <c r="AR222" i="2"/>
  <c r="AR223" i="2"/>
  <c r="AR224" i="2"/>
  <c r="AR225" i="2"/>
  <c r="AR226" i="2"/>
  <c r="AR227" i="2"/>
  <c r="AR228" i="2"/>
  <c r="AR229" i="2"/>
  <c r="AR230" i="2"/>
  <c r="AR231" i="2"/>
  <c r="AR232" i="2"/>
  <c r="AR233" i="2"/>
  <c r="AR234" i="2"/>
  <c r="AR235" i="2"/>
  <c r="AR236" i="2"/>
  <c r="AR237" i="2"/>
  <c r="AR238" i="2"/>
  <c r="AR239" i="2"/>
  <c r="AR240" i="2"/>
  <c r="AR241" i="2"/>
  <c r="AR242" i="2"/>
  <c r="AR243" i="2"/>
  <c r="AR244" i="2"/>
  <c r="AR245" i="2"/>
  <c r="AR246" i="2"/>
  <c r="AR247" i="2"/>
  <c r="AR248" i="2"/>
  <c r="AR249" i="2"/>
  <c r="AR250" i="2"/>
  <c r="AR251" i="2"/>
  <c r="AR252" i="2"/>
  <c r="AR253" i="2"/>
  <c r="AR254" i="2"/>
  <c r="AR255" i="2"/>
  <c r="AR256" i="2"/>
  <c r="AR257" i="2"/>
  <c r="AR258" i="2"/>
  <c r="AR259" i="2"/>
  <c r="AR260" i="2"/>
  <c r="AR261" i="2"/>
  <c r="AR262" i="2"/>
  <c r="AR263" i="2"/>
  <c r="AR264" i="2"/>
  <c r="AR265" i="2"/>
  <c r="AR266" i="2"/>
  <c r="AR267" i="2"/>
  <c r="AR268" i="2"/>
  <c r="AR269" i="2"/>
  <c r="AR270" i="2"/>
  <c r="AR271" i="2"/>
  <c r="AR272" i="2"/>
  <c r="AR273" i="2"/>
  <c r="AR274" i="2"/>
  <c r="AR275" i="2"/>
  <c r="AR276" i="2"/>
  <c r="AR277" i="2"/>
  <c r="AR278" i="2"/>
  <c r="AR279" i="2"/>
  <c r="AR280" i="2"/>
  <c r="AR281" i="2"/>
  <c r="AR282" i="2"/>
  <c r="AR283" i="2"/>
  <c r="AR284" i="2"/>
  <c r="AR285" i="2"/>
  <c r="AR286" i="2"/>
  <c r="AR287" i="2"/>
  <c r="AR288" i="2"/>
  <c r="AR289" i="2"/>
  <c r="AR290" i="2"/>
  <c r="AR291" i="2"/>
  <c r="AR292" i="2"/>
  <c r="AR293" i="2"/>
  <c r="AR294" i="2"/>
  <c r="AR295" i="2"/>
  <c r="AR296" i="2"/>
  <c r="AR297" i="2"/>
  <c r="AR298" i="2"/>
  <c r="AR299" i="2"/>
  <c r="AR300" i="2"/>
  <c r="AR301" i="2"/>
  <c r="AR302" i="2"/>
  <c r="AR303" i="2"/>
  <c r="AR304" i="2"/>
  <c r="AR305" i="2"/>
  <c r="AR306" i="2"/>
  <c r="AR307" i="2"/>
  <c r="AR308" i="2"/>
  <c r="AR309" i="2"/>
  <c r="AR310" i="2"/>
  <c r="AR311" i="2"/>
  <c r="AR312" i="2"/>
  <c r="AR313" i="2"/>
  <c r="AR314" i="2"/>
  <c r="AR315" i="2"/>
  <c r="AR316" i="2"/>
  <c r="AR317" i="2"/>
  <c r="AR318" i="2"/>
  <c r="AR319" i="2"/>
  <c r="AR320" i="2"/>
  <c r="AR321" i="2"/>
  <c r="AR322" i="2"/>
  <c r="AR323" i="2"/>
  <c r="AR324" i="2"/>
  <c r="AR325" i="2"/>
  <c r="AR326" i="2"/>
  <c r="AR327" i="2"/>
  <c r="AR328" i="2"/>
  <c r="AR329" i="2"/>
  <c r="AR330" i="2"/>
  <c r="AR331" i="2"/>
  <c r="AR332" i="2"/>
  <c r="AR333" i="2"/>
  <c r="AR334" i="2"/>
  <c r="AR335" i="2"/>
  <c r="AR336" i="2"/>
  <c r="AR337" i="2"/>
  <c r="AR338" i="2"/>
  <c r="AR339" i="2"/>
  <c r="AR340" i="2"/>
  <c r="AR341" i="2"/>
  <c r="AR342" i="2"/>
  <c r="AR343" i="2"/>
  <c r="AR344" i="2"/>
  <c r="AR345" i="2"/>
  <c r="AR346" i="2"/>
  <c r="AR347" i="2"/>
  <c r="AR348" i="2"/>
  <c r="AR349" i="2"/>
  <c r="AR350" i="2"/>
  <c r="AR351" i="2"/>
  <c r="AR352" i="2"/>
  <c r="AR353" i="2"/>
  <c r="AR354" i="2"/>
  <c r="AR355" i="2"/>
  <c r="AR356" i="2"/>
  <c r="AR357" i="2"/>
  <c r="AR358" i="2"/>
  <c r="AR359" i="2"/>
  <c r="AR360" i="2"/>
  <c r="AR361" i="2"/>
  <c r="AR362" i="2"/>
  <c r="AR363" i="2"/>
  <c r="AR364" i="2"/>
  <c r="AR365" i="2"/>
  <c r="AR366" i="2"/>
  <c r="AR367" i="2"/>
  <c r="AR368" i="2"/>
  <c r="AR369" i="2"/>
  <c r="AR370" i="2"/>
  <c r="AR371" i="2"/>
  <c r="AR372" i="2"/>
  <c r="AR373" i="2"/>
  <c r="AR374" i="2"/>
  <c r="AR375" i="2"/>
  <c r="AR376" i="2"/>
  <c r="AR377" i="2"/>
  <c r="AR378" i="2"/>
  <c r="AR379" i="2"/>
  <c r="AR380" i="2"/>
  <c r="AR381" i="2"/>
  <c r="AR382" i="2"/>
  <c r="AR383" i="2"/>
  <c r="AR384" i="2"/>
  <c r="AR385" i="2"/>
  <c r="AR386" i="2"/>
  <c r="AR387" i="2"/>
  <c r="AR388" i="2"/>
  <c r="AR389" i="2"/>
  <c r="AR390" i="2"/>
  <c r="AR391" i="2"/>
  <c r="AR392" i="2"/>
  <c r="AR393" i="2"/>
  <c r="AR394" i="2"/>
  <c r="AR395" i="2"/>
  <c r="AR396" i="2"/>
  <c r="AR397" i="2"/>
  <c r="AR398" i="2"/>
  <c r="AR399" i="2"/>
  <c r="AR400" i="2"/>
  <c r="AR401" i="2"/>
  <c r="AR402" i="2"/>
  <c r="AR403" i="2"/>
  <c r="AR404" i="2"/>
  <c r="AR405" i="2"/>
  <c r="AR406" i="2"/>
  <c r="AR407" i="2"/>
  <c r="AR408" i="2"/>
  <c r="AR409" i="2"/>
  <c r="AR410" i="2"/>
  <c r="AR411" i="2"/>
  <c r="AR412" i="2"/>
  <c r="AR413" i="2"/>
  <c r="AR414" i="2"/>
  <c r="AR415" i="2"/>
  <c r="AR416" i="2"/>
  <c r="AR417" i="2"/>
  <c r="AR418" i="2"/>
  <c r="AR419" i="2"/>
  <c r="AR420" i="2"/>
  <c r="AR421" i="2"/>
  <c r="AR422" i="2"/>
  <c r="AR423" i="2"/>
  <c r="AR424" i="2"/>
  <c r="AR425" i="2"/>
  <c r="AR426" i="2"/>
  <c r="AR427" i="2"/>
  <c r="AR428" i="2"/>
  <c r="AR429" i="2"/>
  <c r="AM3" i="2"/>
  <c r="AN3" i="2"/>
  <c r="AO3" i="2"/>
  <c r="AP3" i="2"/>
  <c r="AQ3" i="2"/>
  <c r="AM4" i="2"/>
  <c r="AN4" i="2"/>
  <c r="AO4" i="2"/>
  <c r="AP4" i="2"/>
  <c r="AQ4" i="2"/>
  <c r="AM5" i="2"/>
  <c r="AN5" i="2"/>
  <c r="AO5" i="2"/>
  <c r="AP5" i="2"/>
  <c r="AQ5" i="2"/>
  <c r="AM6" i="2"/>
  <c r="AN6" i="2"/>
  <c r="AO6" i="2"/>
  <c r="AP6" i="2"/>
  <c r="AQ6" i="2"/>
  <c r="AM7" i="2"/>
  <c r="AN7" i="2"/>
  <c r="AO7" i="2"/>
  <c r="AP7" i="2"/>
  <c r="AQ7" i="2"/>
  <c r="AM8" i="2"/>
  <c r="AN8" i="2"/>
  <c r="AO8" i="2"/>
  <c r="AP8" i="2"/>
  <c r="AQ8" i="2"/>
  <c r="AM9" i="2"/>
  <c r="AN9" i="2"/>
  <c r="AO9" i="2"/>
  <c r="AP9" i="2"/>
  <c r="AQ9" i="2"/>
  <c r="AM10" i="2"/>
  <c r="AN10" i="2"/>
  <c r="AO10" i="2"/>
  <c r="AP10" i="2"/>
  <c r="AQ10" i="2"/>
  <c r="AM11" i="2"/>
  <c r="AN11" i="2"/>
  <c r="AO11" i="2"/>
  <c r="AP11" i="2"/>
  <c r="AQ11" i="2"/>
  <c r="AM12" i="2"/>
  <c r="AN12" i="2"/>
  <c r="AO12" i="2"/>
  <c r="AP12" i="2"/>
  <c r="AQ12" i="2"/>
  <c r="AM13" i="2"/>
  <c r="AN13" i="2"/>
  <c r="AO13" i="2"/>
  <c r="AP13" i="2"/>
  <c r="AQ13" i="2"/>
  <c r="AM14" i="2"/>
  <c r="AN14" i="2"/>
  <c r="AO14" i="2"/>
  <c r="AP14" i="2"/>
  <c r="AQ14" i="2"/>
  <c r="AM15" i="2"/>
  <c r="AN15" i="2"/>
  <c r="AO15" i="2"/>
  <c r="AP15" i="2"/>
  <c r="AQ15" i="2"/>
  <c r="AM16" i="2"/>
  <c r="AN16" i="2"/>
  <c r="AO16" i="2"/>
  <c r="AP16" i="2"/>
  <c r="AQ16" i="2"/>
  <c r="AM17" i="2"/>
  <c r="AN17" i="2"/>
  <c r="AO17" i="2"/>
  <c r="AP17" i="2"/>
  <c r="AQ17" i="2"/>
  <c r="AM18" i="2"/>
  <c r="AN18" i="2"/>
  <c r="AO18" i="2"/>
  <c r="AP18" i="2"/>
  <c r="AQ18" i="2"/>
  <c r="AM19" i="2"/>
  <c r="AN19" i="2"/>
  <c r="AO19" i="2"/>
  <c r="AP19" i="2"/>
  <c r="AQ19" i="2"/>
  <c r="AM20" i="2"/>
  <c r="AN20" i="2"/>
  <c r="AO20" i="2"/>
  <c r="AP20" i="2"/>
  <c r="AQ20" i="2"/>
  <c r="AM21" i="2"/>
  <c r="AN21" i="2"/>
  <c r="AO21" i="2"/>
  <c r="AP21" i="2"/>
  <c r="AQ21" i="2"/>
  <c r="AM22" i="2"/>
  <c r="AN22" i="2"/>
  <c r="AO22" i="2"/>
  <c r="AP22" i="2"/>
  <c r="AQ22" i="2"/>
  <c r="AM23" i="2"/>
  <c r="AN23" i="2"/>
  <c r="AO23" i="2"/>
  <c r="AP23" i="2"/>
  <c r="AQ23" i="2"/>
  <c r="AM24" i="2"/>
  <c r="AN24" i="2"/>
  <c r="AO24" i="2"/>
  <c r="AP24" i="2"/>
  <c r="AQ24" i="2"/>
  <c r="AM25" i="2"/>
  <c r="AN25" i="2"/>
  <c r="AO25" i="2"/>
  <c r="AP25" i="2"/>
  <c r="AQ25" i="2"/>
  <c r="AM26" i="2"/>
  <c r="AN26" i="2"/>
  <c r="AO26" i="2"/>
  <c r="AP26" i="2"/>
  <c r="AQ26" i="2"/>
  <c r="AM27" i="2"/>
  <c r="AN27" i="2"/>
  <c r="AO27" i="2"/>
  <c r="AP27" i="2"/>
  <c r="AQ27" i="2"/>
  <c r="AM28" i="2"/>
  <c r="AN28" i="2"/>
  <c r="AO28" i="2"/>
  <c r="AP28" i="2"/>
  <c r="AQ28" i="2"/>
  <c r="AM29" i="2"/>
  <c r="AN29" i="2"/>
  <c r="AO29" i="2"/>
  <c r="AP29" i="2"/>
  <c r="AQ29" i="2"/>
  <c r="AM30" i="2"/>
  <c r="AN30" i="2"/>
  <c r="AO30" i="2"/>
  <c r="AP30" i="2"/>
  <c r="AQ30" i="2"/>
  <c r="AM31" i="2"/>
  <c r="AN31" i="2"/>
  <c r="AO31" i="2"/>
  <c r="AP31" i="2"/>
  <c r="AQ31" i="2"/>
  <c r="AM32" i="2"/>
  <c r="AN32" i="2"/>
  <c r="AO32" i="2"/>
  <c r="AP32" i="2"/>
  <c r="AQ32" i="2"/>
  <c r="AM33" i="2"/>
  <c r="AN33" i="2"/>
  <c r="AO33" i="2"/>
  <c r="AP33" i="2"/>
  <c r="AQ33" i="2"/>
  <c r="AM34" i="2"/>
  <c r="AN34" i="2"/>
  <c r="AO34" i="2"/>
  <c r="AP34" i="2"/>
  <c r="AQ34" i="2"/>
  <c r="AM35" i="2"/>
  <c r="AN35" i="2"/>
  <c r="AO35" i="2"/>
  <c r="AP35" i="2"/>
  <c r="AQ35" i="2"/>
  <c r="AM36" i="2"/>
  <c r="AN36" i="2"/>
  <c r="AO36" i="2"/>
  <c r="AP36" i="2"/>
  <c r="AQ36" i="2"/>
  <c r="AM37" i="2"/>
  <c r="AN37" i="2"/>
  <c r="AO37" i="2"/>
  <c r="AP37" i="2"/>
  <c r="AQ37" i="2"/>
  <c r="AM38" i="2"/>
  <c r="AN38" i="2"/>
  <c r="AO38" i="2"/>
  <c r="AP38" i="2"/>
  <c r="AQ38" i="2"/>
  <c r="AM39" i="2"/>
  <c r="AN39" i="2"/>
  <c r="AO39" i="2"/>
  <c r="AP39" i="2"/>
  <c r="AQ39" i="2"/>
  <c r="AM40" i="2"/>
  <c r="AN40" i="2"/>
  <c r="AO40" i="2"/>
  <c r="AP40" i="2"/>
  <c r="AQ40" i="2"/>
  <c r="AM41" i="2"/>
  <c r="AN41" i="2"/>
  <c r="AO41" i="2"/>
  <c r="AP41" i="2"/>
  <c r="AQ41" i="2"/>
  <c r="AM42" i="2"/>
  <c r="AN42" i="2"/>
  <c r="AO42" i="2"/>
  <c r="AP42" i="2"/>
  <c r="AQ42" i="2"/>
  <c r="AM43" i="2"/>
  <c r="AN43" i="2"/>
  <c r="AO43" i="2"/>
  <c r="AP43" i="2"/>
  <c r="AQ43" i="2"/>
  <c r="AM44" i="2"/>
  <c r="AN44" i="2"/>
  <c r="AO44" i="2"/>
  <c r="AP44" i="2"/>
  <c r="AQ44" i="2"/>
  <c r="AM45" i="2"/>
  <c r="AN45" i="2"/>
  <c r="AO45" i="2"/>
  <c r="AP45" i="2"/>
  <c r="AQ45" i="2"/>
  <c r="AM46" i="2"/>
  <c r="AN46" i="2"/>
  <c r="AO46" i="2"/>
  <c r="AP46" i="2"/>
  <c r="AQ46" i="2"/>
  <c r="AM47" i="2"/>
  <c r="AN47" i="2"/>
  <c r="AO47" i="2"/>
  <c r="AP47" i="2"/>
  <c r="AQ47" i="2"/>
  <c r="AM48" i="2"/>
  <c r="AN48" i="2"/>
  <c r="AO48" i="2"/>
  <c r="AP48" i="2"/>
  <c r="AQ48" i="2"/>
  <c r="AM49" i="2"/>
  <c r="AN49" i="2"/>
  <c r="AO49" i="2"/>
  <c r="AP49" i="2"/>
  <c r="AQ49" i="2"/>
  <c r="AM50" i="2"/>
  <c r="AN50" i="2"/>
  <c r="AO50" i="2"/>
  <c r="AP50" i="2"/>
  <c r="AQ50" i="2"/>
  <c r="AM51" i="2"/>
  <c r="AN51" i="2"/>
  <c r="AO51" i="2"/>
  <c r="AP51" i="2"/>
  <c r="AQ51" i="2"/>
  <c r="AM52" i="2"/>
  <c r="AN52" i="2"/>
  <c r="AO52" i="2"/>
  <c r="AP52" i="2"/>
  <c r="AQ52" i="2"/>
  <c r="AM53" i="2"/>
  <c r="AN53" i="2"/>
  <c r="AO53" i="2"/>
  <c r="AP53" i="2"/>
  <c r="AQ53" i="2"/>
  <c r="AM54" i="2"/>
  <c r="AN54" i="2"/>
  <c r="AO54" i="2"/>
  <c r="AP54" i="2"/>
  <c r="AQ54" i="2"/>
  <c r="AM55" i="2"/>
  <c r="AN55" i="2"/>
  <c r="AO55" i="2"/>
  <c r="AP55" i="2"/>
  <c r="AQ55" i="2"/>
  <c r="AM56" i="2"/>
  <c r="AN56" i="2"/>
  <c r="AO56" i="2"/>
  <c r="AP56" i="2"/>
  <c r="AQ56" i="2"/>
  <c r="AM57" i="2"/>
  <c r="AN57" i="2"/>
  <c r="AO57" i="2"/>
  <c r="AP57" i="2"/>
  <c r="AQ57" i="2"/>
  <c r="AM58" i="2"/>
  <c r="AN58" i="2"/>
  <c r="AO58" i="2"/>
  <c r="AP58" i="2"/>
  <c r="AQ58" i="2"/>
  <c r="AM59" i="2"/>
  <c r="AN59" i="2"/>
  <c r="AO59" i="2"/>
  <c r="AP59" i="2"/>
  <c r="AQ59" i="2"/>
  <c r="AM60" i="2"/>
  <c r="AN60" i="2"/>
  <c r="AO60" i="2"/>
  <c r="AP60" i="2"/>
  <c r="AQ60" i="2"/>
  <c r="AM61" i="2"/>
  <c r="AN61" i="2"/>
  <c r="AO61" i="2"/>
  <c r="AP61" i="2"/>
  <c r="AQ61" i="2"/>
  <c r="AM62" i="2"/>
  <c r="AN62" i="2"/>
  <c r="AO62" i="2"/>
  <c r="AP62" i="2"/>
  <c r="AQ62" i="2"/>
  <c r="AM63" i="2"/>
  <c r="AN63" i="2"/>
  <c r="AO63" i="2"/>
  <c r="AP63" i="2"/>
  <c r="AQ63" i="2"/>
  <c r="AM64" i="2"/>
  <c r="AN64" i="2"/>
  <c r="AO64" i="2"/>
  <c r="AP64" i="2"/>
  <c r="AQ64" i="2"/>
  <c r="AM65" i="2"/>
  <c r="AN65" i="2"/>
  <c r="AO65" i="2"/>
  <c r="AP65" i="2"/>
  <c r="AQ65" i="2"/>
  <c r="AM66" i="2"/>
  <c r="AN66" i="2"/>
  <c r="AO66" i="2"/>
  <c r="AP66" i="2"/>
  <c r="AQ66" i="2"/>
  <c r="AM67" i="2"/>
  <c r="AN67" i="2"/>
  <c r="AO67" i="2"/>
  <c r="AP67" i="2"/>
  <c r="AQ67" i="2"/>
  <c r="AM68" i="2"/>
  <c r="AN68" i="2"/>
  <c r="AO68" i="2"/>
  <c r="AP68" i="2"/>
  <c r="AQ68" i="2"/>
  <c r="AM69" i="2"/>
  <c r="AN69" i="2"/>
  <c r="AO69" i="2"/>
  <c r="AP69" i="2"/>
  <c r="AQ69" i="2"/>
  <c r="AM70" i="2"/>
  <c r="AN70" i="2"/>
  <c r="AO70" i="2"/>
  <c r="AP70" i="2"/>
  <c r="AQ70" i="2"/>
  <c r="AM71" i="2"/>
  <c r="AN71" i="2"/>
  <c r="AO71" i="2"/>
  <c r="AP71" i="2"/>
  <c r="AQ71" i="2"/>
  <c r="AM72" i="2"/>
  <c r="AN72" i="2"/>
  <c r="AO72" i="2"/>
  <c r="AP72" i="2"/>
  <c r="AQ72" i="2"/>
  <c r="AM73" i="2"/>
  <c r="AN73" i="2"/>
  <c r="AO73" i="2"/>
  <c r="AP73" i="2"/>
  <c r="AQ73" i="2"/>
  <c r="AM74" i="2"/>
  <c r="AN74" i="2"/>
  <c r="AO74" i="2"/>
  <c r="AP74" i="2"/>
  <c r="AQ74" i="2"/>
  <c r="AM75" i="2"/>
  <c r="AN75" i="2"/>
  <c r="AO75" i="2"/>
  <c r="AP75" i="2"/>
  <c r="AQ75" i="2"/>
  <c r="AM76" i="2"/>
  <c r="AN76" i="2"/>
  <c r="AO76" i="2"/>
  <c r="AP76" i="2"/>
  <c r="AQ76" i="2"/>
  <c r="AM77" i="2"/>
  <c r="AN77" i="2"/>
  <c r="AO77" i="2"/>
  <c r="AP77" i="2"/>
  <c r="AQ77" i="2"/>
  <c r="AM78" i="2"/>
  <c r="AN78" i="2"/>
  <c r="AO78" i="2"/>
  <c r="AP78" i="2"/>
  <c r="AQ78" i="2"/>
  <c r="AM79" i="2"/>
  <c r="AN79" i="2"/>
  <c r="AO79" i="2"/>
  <c r="AP79" i="2"/>
  <c r="AQ79" i="2"/>
  <c r="AM80" i="2"/>
  <c r="AN80" i="2"/>
  <c r="AO80" i="2"/>
  <c r="AP80" i="2"/>
  <c r="AQ80" i="2"/>
  <c r="AM81" i="2"/>
  <c r="AN81" i="2"/>
  <c r="AO81" i="2"/>
  <c r="AP81" i="2"/>
  <c r="AQ81" i="2"/>
  <c r="AM82" i="2"/>
  <c r="AN82" i="2"/>
  <c r="AO82" i="2"/>
  <c r="AP82" i="2"/>
  <c r="AQ82" i="2"/>
  <c r="AM83" i="2"/>
  <c r="AN83" i="2"/>
  <c r="AO83" i="2"/>
  <c r="AP83" i="2"/>
  <c r="AQ83" i="2"/>
  <c r="AM84" i="2"/>
  <c r="AN84" i="2"/>
  <c r="AO84" i="2"/>
  <c r="AP84" i="2"/>
  <c r="AQ84" i="2"/>
  <c r="AM85" i="2"/>
  <c r="AN85" i="2"/>
  <c r="AO85" i="2"/>
  <c r="AP85" i="2"/>
  <c r="AQ85" i="2"/>
  <c r="AM86" i="2"/>
  <c r="AN86" i="2"/>
  <c r="AO86" i="2"/>
  <c r="AP86" i="2"/>
  <c r="AQ86" i="2"/>
  <c r="AM87" i="2"/>
  <c r="AN87" i="2"/>
  <c r="AO87" i="2"/>
  <c r="AP87" i="2"/>
  <c r="AQ87" i="2"/>
  <c r="AM88" i="2"/>
  <c r="AN88" i="2"/>
  <c r="AO88" i="2"/>
  <c r="AP88" i="2"/>
  <c r="AQ88" i="2"/>
  <c r="AM89" i="2"/>
  <c r="AN89" i="2"/>
  <c r="AO89" i="2"/>
  <c r="AP89" i="2"/>
  <c r="AQ89" i="2"/>
  <c r="AM90" i="2"/>
  <c r="AN90" i="2"/>
  <c r="AO90" i="2"/>
  <c r="AP90" i="2"/>
  <c r="AQ90" i="2"/>
  <c r="AM91" i="2"/>
  <c r="AN91" i="2"/>
  <c r="AO91" i="2"/>
  <c r="AP91" i="2"/>
  <c r="AQ91" i="2"/>
  <c r="AM92" i="2"/>
  <c r="AN92" i="2"/>
  <c r="AO92" i="2"/>
  <c r="AP92" i="2"/>
  <c r="AQ92" i="2"/>
  <c r="AM93" i="2"/>
  <c r="AN93" i="2"/>
  <c r="AO93" i="2"/>
  <c r="AP93" i="2"/>
  <c r="AQ93" i="2"/>
  <c r="AM94" i="2"/>
  <c r="AN94" i="2"/>
  <c r="AO94" i="2"/>
  <c r="AP94" i="2"/>
  <c r="AQ94" i="2"/>
  <c r="AM95" i="2"/>
  <c r="AN95" i="2"/>
  <c r="AO95" i="2"/>
  <c r="AP95" i="2"/>
  <c r="AQ95" i="2"/>
  <c r="AM96" i="2"/>
  <c r="AN96" i="2"/>
  <c r="AO96" i="2"/>
  <c r="AP96" i="2"/>
  <c r="AQ96" i="2"/>
  <c r="AM97" i="2"/>
  <c r="AN97" i="2"/>
  <c r="AO97" i="2"/>
  <c r="AP97" i="2"/>
  <c r="AQ97" i="2"/>
  <c r="AM98" i="2"/>
  <c r="AN98" i="2"/>
  <c r="AO98" i="2"/>
  <c r="AP98" i="2"/>
  <c r="AQ98" i="2"/>
  <c r="AM99" i="2"/>
  <c r="AN99" i="2"/>
  <c r="AO99" i="2"/>
  <c r="AP99" i="2"/>
  <c r="AQ99" i="2"/>
  <c r="AM100" i="2"/>
  <c r="AN100" i="2"/>
  <c r="AO100" i="2"/>
  <c r="AP100" i="2"/>
  <c r="AQ100" i="2"/>
  <c r="AM101" i="2"/>
  <c r="AN101" i="2"/>
  <c r="AO101" i="2"/>
  <c r="AP101" i="2"/>
  <c r="AQ101" i="2"/>
  <c r="AM102" i="2"/>
  <c r="AN102" i="2"/>
  <c r="AO102" i="2"/>
  <c r="AP102" i="2"/>
  <c r="AQ102" i="2"/>
  <c r="AM103" i="2"/>
  <c r="AN103" i="2"/>
  <c r="AO103" i="2"/>
  <c r="AP103" i="2"/>
  <c r="AQ103" i="2"/>
  <c r="AM104" i="2"/>
  <c r="AN104" i="2"/>
  <c r="AO104" i="2"/>
  <c r="AP104" i="2"/>
  <c r="AQ104" i="2"/>
  <c r="AM105" i="2"/>
  <c r="AN105" i="2"/>
  <c r="AO105" i="2"/>
  <c r="AP105" i="2"/>
  <c r="AQ105" i="2"/>
  <c r="AM106" i="2"/>
  <c r="AN106" i="2"/>
  <c r="AO106" i="2"/>
  <c r="AP106" i="2"/>
  <c r="AQ106" i="2"/>
  <c r="AM107" i="2"/>
  <c r="AN107" i="2"/>
  <c r="AO107" i="2"/>
  <c r="AP107" i="2"/>
  <c r="AQ107" i="2"/>
  <c r="AM108" i="2"/>
  <c r="AN108" i="2"/>
  <c r="AO108" i="2"/>
  <c r="AP108" i="2"/>
  <c r="AQ108" i="2"/>
  <c r="AM109" i="2"/>
  <c r="AN109" i="2"/>
  <c r="AO109" i="2"/>
  <c r="AP109" i="2"/>
  <c r="AQ109" i="2"/>
  <c r="AM110" i="2"/>
  <c r="AN110" i="2"/>
  <c r="AO110" i="2"/>
  <c r="AP110" i="2"/>
  <c r="AQ110" i="2"/>
  <c r="AM111" i="2"/>
  <c r="AN111" i="2"/>
  <c r="AO111" i="2"/>
  <c r="AP111" i="2"/>
  <c r="AQ111" i="2"/>
  <c r="AM112" i="2"/>
  <c r="AN112" i="2"/>
  <c r="AO112" i="2"/>
  <c r="AP112" i="2"/>
  <c r="AQ112" i="2"/>
  <c r="AM113" i="2"/>
  <c r="AN113" i="2"/>
  <c r="AO113" i="2"/>
  <c r="AP113" i="2"/>
  <c r="AQ113" i="2"/>
  <c r="AM114" i="2"/>
  <c r="AN114" i="2"/>
  <c r="AO114" i="2"/>
  <c r="AP114" i="2"/>
  <c r="AQ114" i="2"/>
  <c r="AM115" i="2"/>
  <c r="AN115" i="2"/>
  <c r="AO115" i="2"/>
  <c r="AP115" i="2"/>
  <c r="AQ115" i="2"/>
  <c r="AM116" i="2"/>
  <c r="AN116" i="2"/>
  <c r="AO116" i="2"/>
  <c r="AP116" i="2"/>
  <c r="AQ116" i="2"/>
  <c r="AM117" i="2"/>
  <c r="AN117" i="2"/>
  <c r="AO117" i="2"/>
  <c r="AP117" i="2"/>
  <c r="AQ117" i="2"/>
  <c r="AM118" i="2"/>
  <c r="AN118" i="2"/>
  <c r="AO118" i="2"/>
  <c r="AP118" i="2"/>
  <c r="AQ118" i="2"/>
  <c r="AM119" i="2"/>
  <c r="AN119" i="2"/>
  <c r="AO119" i="2"/>
  <c r="AP119" i="2"/>
  <c r="AQ119" i="2"/>
  <c r="AM120" i="2"/>
  <c r="AN120" i="2"/>
  <c r="AO120" i="2"/>
  <c r="AP120" i="2"/>
  <c r="AQ120" i="2"/>
  <c r="AM121" i="2"/>
  <c r="AN121" i="2"/>
  <c r="AO121" i="2"/>
  <c r="AP121" i="2"/>
  <c r="AQ121" i="2"/>
  <c r="AM122" i="2"/>
  <c r="AN122" i="2"/>
  <c r="AO122" i="2"/>
  <c r="AP122" i="2"/>
  <c r="AQ122" i="2"/>
  <c r="AM123" i="2"/>
  <c r="AN123" i="2"/>
  <c r="AO123" i="2"/>
  <c r="AP123" i="2"/>
  <c r="AQ123" i="2"/>
  <c r="AM124" i="2"/>
  <c r="AN124" i="2"/>
  <c r="AO124" i="2"/>
  <c r="AP124" i="2"/>
  <c r="AQ124" i="2"/>
  <c r="AM125" i="2"/>
  <c r="AN125" i="2"/>
  <c r="AO125" i="2"/>
  <c r="AP125" i="2"/>
  <c r="AQ125" i="2"/>
  <c r="AM126" i="2"/>
  <c r="AN126" i="2"/>
  <c r="AO126" i="2"/>
  <c r="AP126" i="2"/>
  <c r="AQ126" i="2"/>
  <c r="AM127" i="2"/>
  <c r="AN127" i="2"/>
  <c r="AO127" i="2"/>
  <c r="AP127" i="2"/>
  <c r="AQ127" i="2"/>
  <c r="AM128" i="2"/>
  <c r="AN128" i="2"/>
  <c r="AO128" i="2"/>
  <c r="AP128" i="2"/>
  <c r="AQ128" i="2"/>
  <c r="AM129" i="2"/>
  <c r="AN129" i="2"/>
  <c r="AO129" i="2"/>
  <c r="AP129" i="2"/>
  <c r="AQ129" i="2"/>
  <c r="AM130" i="2"/>
  <c r="AN130" i="2"/>
  <c r="AO130" i="2"/>
  <c r="AP130" i="2"/>
  <c r="AQ130" i="2"/>
  <c r="AM131" i="2"/>
  <c r="AN131" i="2"/>
  <c r="AO131" i="2"/>
  <c r="AP131" i="2"/>
  <c r="AQ131" i="2"/>
  <c r="AM132" i="2"/>
  <c r="AN132" i="2"/>
  <c r="AO132" i="2"/>
  <c r="AP132" i="2"/>
  <c r="AQ132" i="2"/>
  <c r="AM133" i="2"/>
  <c r="AN133" i="2"/>
  <c r="AO133" i="2"/>
  <c r="AP133" i="2"/>
  <c r="AQ133" i="2"/>
  <c r="AM134" i="2"/>
  <c r="AN134" i="2"/>
  <c r="AO134" i="2"/>
  <c r="AP134" i="2"/>
  <c r="AQ134" i="2"/>
  <c r="AM135" i="2"/>
  <c r="AN135" i="2"/>
  <c r="AO135" i="2"/>
  <c r="AP135" i="2"/>
  <c r="AQ135" i="2"/>
  <c r="AM136" i="2"/>
  <c r="AN136" i="2"/>
  <c r="AO136" i="2"/>
  <c r="AP136" i="2"/>
  <c r="AQ136" i="2"/>
  <c r="AM137" i="2"/>
  <c r="AN137" i="2"/>
  <c r="AO137" i="2"/>
  <c r="AP137" i="2"/>
  <c r="AQ137" i="2"/>
  <c r="AM138" i="2"/>
  <c r="AN138" i="2"/>
  <c r="AO138" i="2"/>
  <c r="AP138" i="2"/>
  <c r="AQ138" i="2"/>
  <c r="AM139" i="2"/>
  <c r="AN139" i="2"/>
  <c r="AO139" i="2"/>
  <c r="AP139" i="2"/>
  <c r="AQ139" i="2"/>
  <c r="AM140" i="2"/>
  <c r="AN140" i="2"/>
  <c r="AO140" i="2"/>
  <c r="AP140" i="2"/>
  <c r="AQ140" i="2"/>
  <c r="AM141" i="2"/>
  <c r="AN141" i="2"/>
  <c r="AO141" i="2"/>
  <c r="AP141" i="2"/>
  <c r="AQ141" i="2"/>
  <c r="AM142" i="2"/>
  <c r="AN142" i="2"/>
  <c r="AO142" i="2"/>
  <c r="AP142" i="2"/>
  <c r="AQ142" i="2"/>
  <c r="AM143" i="2"/>
  <c r="AN143" i="2"/>
  <c r="AO143" i="2"/>
  <c r="AP143" i="2"/>
  <c r="AQ143" i="2"/>
  <c r="AM144" i="2"/>
  <c r="AN144" i="2"/>
  <c r="AO144" i="2"/>
  <c r="AP144" i="2"/>
  <c r="AQ144" i="2"/>
  <c r="AM145" i="2"/>
  <c r="AN145" i="2"/>
  <c r="AO145" i="2"/>
  <c r="AP145" i="2"/>
  <c r="AQ145" i="2"/>
  <c r="AM146" i="2"/>
  <c r="AN146" i="2"/>
  <c r="AO146" i="2"/>
  <c r="AP146" i="2"/>
  <c r="AQ146" i="2"/>
  <c r="AM147" i="2"/>
  <c r="AN147" i="2"/>
  <c r="AO147" i="2"/>
  <c r="AP147" i="2"/>
  <c r="AQ147" i="2"/>
  <c r="AM148" i="2"/>
  <c r="AN148" i="2"/>
  <c r="AO148" i="2"/>
  <c r="AP148" i="2"/>
  <c r="AQ148" i="2"/>
  <c r="AM149" i="2"/>
  <c r="AN149" i="2"/>
  <c r="AO149" i="2"/>
  <c r="AP149" i="2"/>
  <c r="AQ149" i="2"/>
  <c r="AM150" i="2"/>
  <c r="AN150" i="2"/>
  <c r="AO150" i="2"/>
  <c r="AP150" i="2"/>
  <c r="AQ150" i="2"/>
  <c r="AM151" i="2"/>
  <c r="AN151" i="2"/>
  <c r="AO151" i="2"/>
  <c r="AP151" i="2"/>
  <c r="AQ151" i="2"/>
  <c r="AM152" i="2"/>
  <c r="AN152" i="2"/>
  <c r="AO152" i="2"/>
  <c r="AP152" i="2"/>
  <c r="AQ152" i="2"/>
  <c r="AM153" i="2"/>
  <c r="AN153" i="2"/>
  <c r="AO153" i="2"/>
  <c r="AP153" i="2"/>
  <c r="AQ153" i="2"/>
  <c r="AM154" i="2"/>
  <c r="AN154" i="2"/>
  <c r="AO154" i="2"/>
  <c r="AP154" i="2"/>
  <c r="AQ154" i="2"/>
  <c r="AM155" i="2"/>
  <c r="AN155" i="2"/>
  <c r="AO155" i="2"/>
  <c r="AP155" i="2"/>
  <c r="AQ155" i="2"/>
  <c r="AM156" i="2"/>
  <c r="AN156" i="2"/>
  <c r="AO156" i="2"/>
  <c r="AP156" i="2"/>
  <c r="AQ156" i="2"/>
  <c r="AM157" i="2"/>
  <c r="AN157" i="2"/>
  <c r="AO157" i="2"/>
  <c r="AP157" i="2"/>
  <c r="AQ157" i="2"/>
  <c r="AM158" i="2"/>
  <c r="AN158" i="2"/>
  <c r="AO158" i="2"/>
  <c r="AP158" i="2"/>
  <c r="AQ158" i="2"/>
  <c r="AM159" i="2"/>
  <c r="AN159" i="2"/>
  <c r="AO159" i="2"/>
  <c r="AP159" i="2"/>
  <c r="AQ159" i="2"/>
  <c r="AM160" i="2"/>
  <c r="AN160" i="2"/>
  <c r="AO160" i="2"/>
  <c r="AP160" i="2"/>
  <c r="AQ160" i="2"/>
  <c r="AM161" i="2"/>
  <c r="AN161" i="2"/>
  <c r="AO161" i="2"/>
  <c r="AP161" i="2"/>
  <c r="AQ161" i="2"/>
  <c r="AM162" i="2"/>
  <c r="AN162" i="2"/>
  <c r="AO162" i="2"/>
  <c r="AP162" i="2"/>
  <c r="AQ162" i="2"/>
  <c r="AM163" i="2"/>
  <c r="AN163" i="2"/>
  <c r="AO163" i="2"/>
  <c r="AP163" i="2"/>
  <c r="AQ163" i="2"/>
  <c r="AM164" i="2"/>
  <c r="AN164" i="2"/>
  <c r="AO164" i="2"/>
  <c r="AP164" i="2"/>
  <c r="AQ164" i="2"/>
  <c r="AM165" i="2"/>
  <c r="AN165" i="2"/>
  <c r="AO165" i="2"/>
  <c r="AP165" i="2"/>
  <c r="AQ165" i="2"/>
  <c r="AM166" i="2"/>
  <c r="AN166" i="2"/>
  <c r="AO166" i="2"/>
  <c r="AP166" i="2"/>
  <c r="AQ166" i="2"/>
  <c r="AM167" i="2"/>
  <c r="AN167" i="2"/>
  <c r="AO167" i="2"/>
  <c r="AP167" i="2"/>
  <c r="AQ167" i="2"/>
  <c r="AM168" i="2"/>
  <c r="AN168" i="2"/>
  <c r="AO168" i="2"/>
  <c r="AP168" i="2"/>
  <c r="AQ168" i="2"/>
  <c r="AM169" i="2"/>
  <c r="AN169" i="2"/>
  <c r="AO169" i="2"/>
  <c r="AP169" i="2"/>
  <c r="AQ169" i="2"/>
  <c r="AM170" i="2"/>
  <c r="AN170" i="2"/>
  <c r="AO170" i="2"/>
  <c r="AP170" i="2"/>
  <c r="AQ170" i="2"/>
  <c r="AM171" i="2"/>
  <c r="AN171" i="2"/>
  <c r="AO171" i="2"/>
  <c r="AP171" i="2"/>
  <c r="AQ171" i="2"/>
  <c r="AM172" i="2"/>
  <c r="AN172" i="2"/>
  <c r="AO172" i="2"/>
  <c r="AP172" i="2"/>
  <c r="AQ172" i="2"/>
  <c r="AM173" i="2"/>
  <c r="AN173" i="2"/>
  <c r="AO173" i="2"/>
  <c r="AP173" i="2"/>
  <c r="AQ173" i="2"/>
  <c r="AM174" i="2"/>
  <c r="AN174" i="2"/>
  <c r="AO174" i="2"/>
  <c r="AP174" i="2"/>
  <c r="AQ174" i="2"/>
  <c r="AM175" i="2"/>
  <c r="AN175" i="2"/>
  <c r="AO175" i="2"/>
  <c r="AP175" i="2"/>
  <c r="AQ175" i="2"/>
  <c r="AM176" i="2"/>
  <c r="AN176" i="2"/>
  <c r="AO176" i="2"/>
  <c r="AP176" i="2"/>
  <c r="AQ176" i="2"/>
  <c r="AM177" i="2"/>
  <c r="AN177" i="2"/>
  <c r="AO177" i="2"/>
  <c r="AP177" i="2"/>
  <c r="AQ177" i="2"/>
  <c r="AM178" i="2"/>
  <c r="AN178" i="2"/>
  <c r="AO178" i="2"/>
  <c r="AP178" i="2"/>
  <c r="AQ178" i="2"/>
  <c r="AM179" i="2"/>
  <c r="AN179" i="2"/>
  <c r="AO179" i="2"/>
  <c r="AP179" i="2"/>
  <c r="AQ179" i="2"/>
  <c r="AM180" i="2"/>
  <c r="AN180" i="2"/>
  <c r="AO180" i="2"/>
  <c r="AP180" i="2"/>
  <c r="AQ180" i="2"/>
  <c r="AM181" i="2"/>
  <c r="AN181" i="2"/>
  <c r="AO181" i="2"/>
  <c r="AP181" i="2"/>
  <c r="AQ181" i="2"/>
  <c r="AM182" i="2"/>
  <c r="AN182" i="2"/>
  <c r="AO182" i="2"/>
  <c r="AP182" i="2"/>
  <c r="AQ182" i="2"/>
  <c r="AM183" i="2"/>
  <c r="AN183" i="2"/>
  <c r="AO183" i="2"/>
  <c r="AP183" i="2"/>
  <c r="AQ183" i="2"/>
  <c r="AM184" i="2"/>
  <c r="AN184" i="2"/>
  <c r="AO184" i="2"/>
  <c r="AP184" i="2"/>
  <c r="AQ184" i="2"/>
  <c r="AM185" i="2"/>
  <c r="AN185" i="2"/>
  <c r="AO185" i="2"/>
  <c r="AP185" i="2"/>
  <c r="AQ185" i="2"/>
  <c r="AM186" i="2"/>
  <c r="AN186" i="2"/>
  <c r="AO186" i="2"/>
  <c r="AP186" i="2"/>
  <c r="AQ186" i="2"/>
  <c r="AM187" i="2"/>
  <c r="AN187" i="2"/>
  <c r="AO187" i="2"/>
  <c r="AP187" i="2"/>
  <c r="AQ187" i="2"/>
  <c r="AM188" i="2"/>
  <c r="AN188" i="2"/>
  <c r="AO188" i="2"/>
  <c r="AP188" i="2"/>
  <c r="AQ188" i="2"/>
  <c r="AM189" i="2"/>
  <c r="AN189" i="2"/>
  <c r="AO189" i="2"/>
  <c r="AP189" i="2"/>
  <c r="AQ189" i="2"/>
  <c r="AM190" i="2"/>
  <c r="AN190" i="2"/>
  <c r="AO190" i="2"/>
  <c r="AP190" i="2"/>
  <c r="AQ190" i="2"/>
  <c r="AM191" i="2"/>
  <c r="AN191" i="2"/>
  <c r="AO191" i="2"/>
  <c r="AP191" i="2"/>
  <c r="AQ191" i="2"/>
  <c r="AM192" i="2"/>
  <c r="AN192" i="2"/>
  <c r="AO192" i="2"/>
  <c r="AP192" i="2"/>
  <c r="AQ192" i="2"/>
  <c r="AM193" i="2"/>
  <c r="AN193" i="2"/>
  <c r="AO193" i="2"/>
  <c r="AP193" i="2"/>
  <c r="AQ193" i="2"/>
  <c r="AM194" i="2"/>
  <c r="AN194" i="2"/>
  <c r="AO194" i="2"/>
  <c r="AP194" i="2"/>
  <c r="AQ194" i="2"/>
  <c r="AM195" i="2"/>
  <c r="AN195" i="2"/>
  <c r="AO195" i="2"/>
  <c r="AP195" i="2"/>
  <c r="AQ195" i="2"/>
  <c r="AM196" i="2"/>
  <c r="AN196" i="2"/>
  <c r="AO196" i="2"/>
  <c r="AP196" i="2"/>
  <c r="AQ196" i="2"/>
  <c r="AM197" i="2"/>
  <c r="AN197" i="2"/>
  <c r="AO197" i="2"/>
  <c r="AP197" i="2"/>
  <c r="AQ197" i="2"/>
  <c r="AM198" i="2"/>
  <c r="AN198" i="2"/>
  <c r="AO198" i="2"/>
  <c r="AP198" i="2"/>
  <c r="AQ198" i="2"/>
  <c r="AM199" i="2"/>
  <c r="AN199" i="2"/>
  <c r="AO199" i="2"/>
  <c r="AP199" i="2"/>
  <c r="AQ199" i="2"/>
  <c r="AM200" i="2"/>
  <c r="AN200" i="2"/>
  <c r="AO200" i="2"/>
  <c r="AP200" i="2"/>
  <c r="AQ200" i="2"/>
  <c r="AM201" i="2"/>
  <c r="AN201" i="2"/>
  <c r="AO201" i="2"/>
  <c r="AP201" i="2"/>
  <c r="AQ201" i="2"/>
  <c r="AM202" i="2"/>
  <c r="AN202" i="2"/>
  <c r="AO202" i="2"/>
  <c r="AP202" i="2"/>
  <c r="AQ202" i="2"/>
  <c r="AM203" i="2"/>
  <c r="AN203" i="2"/>
  <c r="AO203" i="2"/>
  <c r="AP203" i="2"/>
  <c r="AQ203" i="2"/>
  <c r="AM204" i="2"/>
  <c r="AN204" i="2"/>
  <c r="AO204" i="2"/>
  <c r="AP204" i="2"/>
  <c r="AQ204" i="2"/>
  <c r="AM205" i="2"/>
  <c r="AN205" i="2"/>
  <c r="AO205" i="2"/>
  <c r="AP205" i="2"/>
  <c r="AQ205" i="2"/>
  <c r="AM206" i="2"/>
  <c r="AN206" i="2"/>
  <c r="AO206" i="2"/>
  <c r="AP206" i="2"/>
  <c r="AQ206" i="2"/>
  <c r="AM207" i="2"/>
  <c r="AN207" i="2"/>
  <c r="AO207" i="2"/>
  <c r="AP207" i="2"/>
  <c r="AQ207" i="2"/>
  <c r="AM208" i="2"/>
  <c r="AN208" i="2"/>
  <c r="AO208" i="2"/>
  <c r="AP208" i="2"/>
  <c r="AQ208" i="2"/>
  <c r="AM209" i="2"/>
  <c r="AN209" i="2"/>
  <c r="AO209" i="2"/>
  <c r="AP209" i="2"/>
  <c r="AQ209" i="2"/>
  <c r="AM210" i="2"/>
  <c r="AN210" i="2"/>
  <c r="AO210" i="2"/>
  <c r="AP210" i="2"/>
  <c r="AQ210" i="2"/>
  <c r="AM211" i="2"/>
  <c r="AN211" i="2"/>
  <c r="AO211" i="2"/>
  <c r="AP211" i="2"/>
  <c r="AQ211" i="2"/>
  <c r="AM212" i="2"/>
  <c r="AN212" i="2"/>
  <c r="AO212" i="2"/>
  <c r="AP212" i="2"/>
  <c r="AQ212" i="2"/>
  <c r="AM213" i="2"/>
  <c r="AN213" i="2"/>
  <c r="AO213" i="2"/>
  <c r="AP213" i="2"/>
  <c r="AQ213" i="2"/>
  <c r="AM214" i="2"/>
  <c r="AN214" i="2"/>
  <c r="AO214" i="2"/>
  <c r="AP214" i="2"/>
  <c r="AQ214" i="2"/>
  <c r="AM215" i="2"/>
  <c r="AN215" i="2"/>
  <c r="AO215" i="2"/>
  <c r="AP215" i="2"/>
  <c r="AQ215" i="2"/>
  <c r="AM216" i="2"/>
  <c r="AN216" i="2"/>
  <c r="AO216" i="2"/>
  <c r="AP216" i="2"/>
  <c r="AQ216" i="2"/>
  <c r="AM217" i="2"/>
  <c r="AN217" i="2"/>
  <c r="AO217" i="2"/>
  <c r="AP217" i="2"/>
  <c r="AQ217" i="2"/>
  <c r="AM218" i="2"/>
  <c r="AN218" i="2"/>
  <c r="AO218" i="2"/>
  <c r="AP218" i="2"/>
  <c r="AQ218" i="2"/>
  <c r="AM219" i="2"/>
  <c r="AN219" i="2"/>
  <c r="AO219" i="2"/>
  <c r="AP219" i="2"/>
  <c r="AQ219" i="2"/>
  <c r="AM220" i="2"/>
  <c r="AN220" i="2"/>
  <c r="AO220" i="2"/>
  <c r="AP220" i="2"/>
  <c r="AQ220" i="2"/>
  <c r="AM221" i="2"/>
  <c r="AN221" i="2"/>
  <c r="AO221" i="2"/>
  <c r="AP221" i="2"/>
  <c r="AQ221" i="2"/>
  <c r="AM222" i="2"/>
  <c r="AN222" i="2"/>
  <c r="AO222" i="2"/>
  <c r="AP222" i="2"/>
  <c r="AQ222" i="2"/>
  <c r="AM223" i="2"/>
  <c r="AN223" i="2"/>
  <c r="AO223" i="2"/>
  <c r="AP223" i="2"/>
  <c r="AQ223" i="2"/>
  <c r="AM224" i="2"/>
  <c r="AN224" i="2"/>
  <c r="AO224" i="2"/>
  <c r="AP224" i="2"/>
  <c r="AQ224" i="2"/>
  <c r="AM225" i="2"/>
  <c r="AN225" i="2"/>
  <c r="AO225" i="2"/>
  <c r="AP225" i="2"/>
  <c r="AQ225" i="2"/>
  <c r="AM226" i="2"/>
  <c r="AN226" i="2"/>
  <c r="AO226" i="2"/>
  <c r="AP226" i="2"/>
  <c r="AQ226" i="2"/>
  <c r="AM227" i="2"/>
  <c r="AN227" i="2"/>
  <c r="AO227" i="2"/>
  <c r="AP227" i="2"/>
  <c r="AQ227" i="2"/>
  <c r="AM228" i="2"/>
  <c r="AN228" i="2"/>
  <c r="AO228" i="2"/>
  <c r="AP228" i="2"/>
  <c r="AQ228" i="2"/>
  <c r="AM229" i="2"/>
  <c r="AN229" i="2"/>
  <c r="AO229" i="2"/>
  <c r="AP229" i="2"/>
  <c r="AQ229" i="2"/>
  <c r="AM230" i="2"/>
  <c r="AN230" i="2"/>
  <c r="AO230" i="2"/>
  <c r="AP230" i="2"/>
  <c r="AQ230" i="2"/>
  <c r="AM231" i="2"/>
  <c r="AN231" i="2"/>
  <c r="AO231" i="2"/>
  <c r="AP231" i="2"/>
  <c r="AQ231" i="2"/>
  <c r="AM232" i="2"/>
  <c r="AN232" i="2"/>
  <c r="AO232" i="2"/>
  <c r="AP232" i="2"/>
  <c r="AQ232" i="2"/>
  <c r="AM233" i="2"/>
  <c r="AN233" i="2"/>
  <c r="AO233" i="2"/>
  <c r="AP233" i="2"/>
  <c r="AQ233" i="2"/>
  <c r="AM234" i="2"/>
  <c r="AN234" i="2"/>
  <c r="AO234" i="2"/>
  <c r="AP234" i="2"/>
  <c r="AQ234" i="2"/>
  <c r="AM235" i="2"/>
  <c r="AN235" i="2"/>
  <c r="AO235" i="2"/>
  <c r="AP235" i="2"/>
  <c r="AQ235" i="2"/>
  <c r="AM236" i="2"/>
  <c r="AN236" i="2"/>
  <c r="AO236" i="2"/>
  <c r="AP236" i="2"/>
  <c r="AQ236" i="2"/>
  <c r="AM237" i="2"/>
  <c r="AN237" i="2"/>
  <c r="AO237" i="2"/>
  <c r="AP237" i="2"/>
  <c r="AQ237" i="2"/>
  <c r="AM238" i="2"/>
  <c r="AN238" i="2"/>
  <c r="AO238" i="2"/>
  <c r="AP238" i="2"/>
  <c r="AQ238" i="2"/>
  <c r="AM239" i="2"/>
  <c r="AN239" i="2"/>
  <c r="AO239" i="2"/>
  <c r="AP239" i="2"/>
  <c r="AQ239" i="2"/>
  <c r="AM240" i="2"/>
  <c r="AN240" i="2"/>
  <c r="AO240" i="2"/>
  <c r="AP240" i="2"/>
  <c r="AQ240" i="2"/>
  <c r="AM241" i="2"/>
  <c r="AN241" i="2"/>
  <c r="AO241" i="2"/>
  <c r="AP241" i="2"/>
  <c r="AQ241" i="2"/>
  <c r="AM242" i="2"/>
  <c r="AN242" i="2"/>
  <c r="AO242" i="2"/>
  <c r="AP242" i="2"/>
  <c r="AQ242" i="2"/>
  <c r="AM243" i="2"/>
  <c r="AN243" i="2"/>
  <c r="AO243" i="2"/>
  <c r="AP243" i="2"/>
  <c r="AQ243" i="2"/>
  <c r="AM244" i="2"/>
  <c r="AN244" i="2"/>
  <c r="AO244" i="2"/>
  <c r="AP244" i="2"/>
  <c r="AQ244" i="2"/>
  <c r="AM245" i="2"/>
  <c r="AN245" i="2"/>
  <c r="AO245" i="2"/>
  <c r="AP245" i="2"/>
  <c r="AQ245" i="2"/>
  <c r="AM246" i="2"/>
  <c r="AN246" i="2"/>
  <c r="AO246" i="2"/>
  <c r="AP246" i="2"/>
  <c r="AQ246" i="2"/>
  <c r="AM247" i="2"/>
  <c r="AN247" i="2"/>
  <c r="AO247" i="2"/>
  <c r="AP247" i="2"/>
  <c r="AQ247" i="2"/>
  <c r="AM248" i="2"/>
  <c r="AN248" i="2"/>
  <c r="AO248" i="2"/>
  <c r="AP248" i="2"/>
  <c r="AQ248" i="2"/>
  <c r="AM249" i="2"/>
  <c r="AN249" i="2"/>
  <c r="AO249" i="2"/>
  <c r="AP249" i="2"/>
  <c r="AQ249" i="2"/>
  <c r="AM250" i="2"/>
  <c r="AN250" i="2"/>
  <c r="AO250" i="2"/>
  <c r="AP250" i="2"/>
  <c r="AQ250" i="2"/>
  <c r="AM251" i="2"/>
  <c r="AN251" i="2"/>
  <c r="AO251" i="2"/>
  <c r="AP251" i="2"/>
  <c r="AQ251" i="2"/>
  <c r="AM252" i="2"/>
  <c r="AN252" i="2"/>
  <c r="AO252" i="2"/>
  <c r="AP252" i="2"/>
  <c r="AQ252" i="2"/>
  <c r="AM253" i="2"/>
  <c r="AN253" i="2"/>
  <c r="AO253" i="2"/>
  <c r="AP253" i="2"/>
  <c r="AQ253" i="2"/>
  <c r="AM254" i="2"/>
  <c r="AN254" i="2"/>
  <c r="AO254" i="2"/>
  <c r="AP254" i="2"/>
  <c r="AQ254" i="2"/>
  <c r="AM255" i="2"/>
  <c r="AN255" i="2"/>
  <c r="AO255" i="2"/>
  <c r="AP255" i="2"/>
  <c r="AQ255" i="2"/>
  <c r="AM256" i="2"/>
  <c r="AN256" i="2"/>
  <c r="AO256" i="2"/>
  <c r="AP256" i="2"/>
  <c r="AQ256" i="2"/>
  <c r="AM257" i="2"/>
  <c r="AN257" i="2"/>
  <c r="AO257" i="2"/>
  <c r="AP257" i="2"/>
  <c r="AQ257" i="2"/>
  <c r="AM258" i="2"/>
  <c r="AN258" i="2"/>
  <c r="AO258" i="2"/>
  <c r="AP258" i="2"/>
  <c r="AQ258" i="2"/>
  <c r="AM259" i="2"/>
  <c r="AN259" i="2"/>
  <c r="AO259" i="2"/>
  <c r="AP259" i="2"/>
  <c r="AQ259" i="2"/>
  <c r="AM260" i="2"/>
  <c r="AN260" i="2"/>
  <c r="AO260" i="2"/>
  <c r="AP260" i="2"/>
  <c r="AQ260" i="2"/>
  <c r="AM261" i="2"/>
  <c r="AN261" i="2"/>
  <c r="AO261" i="2"/>
  <c r="AP261" i="2"/>
  <c r="AQ261" i="2"/>
  <c r="AM262" i="2"/>
  <c r="AN262" i="2"/>
  <c r="AO262" i="2"/>
  <c r="AP262" i="2"/>
  <c r="AQ262" i="2"/>
  <c r="AM263" i="2"/>
  <c r="AN263" i="2"/>
  <c r="AO263" i="2"/>
  <c r="AP263" i="2"/>
  <c r="AQ263" i="2"/>
  <c r="AM264" i="2"/>
  <c r="AN264" i="2"/>
  <c r="AO264" i="2"/>
  <c r="AP264" i="2"/>
  <c r="AQ264" i="2"/>
  <c r="AM265" i="2"/>
  <c r="AN265" i="2"/>
  <c r="AO265" i="2"/>
  <c r="AP265" i="2"/>
  <c r="AQ265" i="2"/>
  <c r="AM266" i="2"/>
  <c r="AN266" i="2"/>
  <c r="AO266" i="2"/>
  <c r="AP266" i="2"/>
  <c r="AQ266" i="2"/>
  <c r="AM267" i="2"/>
  <c r="AN267" i="2"/>
  <c r="AO267" i="2"/>
  <c r="AP267" i="2"/>
  <c r="AQ267" i="2"/>
  <c r="AM268" i="2"/>
  <c r="AN268" i="2"/>
  <c r="AO268" i="2"/>
  <c r="AP268" i="2"/>
  <c r="AQ268" i="2"/>
  <c r="AM269" i="2"/>
  <c r="AN269" i="2"/>
  <c r="AO269" i="2"/>
  <c r="AP269" i="2"/>
  <c r="AQ269" i="2"/>
  <c r="AM270" i="2"/>
  <c r="AN270" i="2"/>
  <c r="AO270" i="2"/>
  <c r="AP270" i="2"/>
  <c r="AQ270" i="2"/>
  <c r="AM271" i="2"/>
  <c r="AN271" i="2"/>
  <c r="AO271" i="2"/>
  <c r="AP271" i="2"/>
  <c r="AQ271" i="2"/>
  <c r="AM272" i="2"/>
  <c r="AN272" i="2"/>
  <c r="AO272" i="2"/>
  <c r="AP272" i="2"/>
  <c r="AQ272" i="2"/>
  <c r="AM273" i="2"/>
  <c r="AN273" i="2"/>
  <c r="AO273" i="2"/>
  <c r="AP273" i="2"/>
  <c r="AQ273" i="2"/>
  <c r="AM274" i="2"/>
  <c r="AN274" i="2"/>
  <c r="AO274" i="2"/>
  <c r="AP274" i="2"/>
  <c r="AQ274" i="2"/>
  <c r="AM275" i="2"/>
  <c r="AN275" i="2"/>
  <c r="AO275" i="2"/>
  <c r="AP275" i="2"/>
  <c r="AQ275" i="2"/>
  <c r="AM276" i="2"/>
  <c r="AN276" i="2"/>
  <c r="AO276" i="2"/>
  <c r="AP276" i="2"/>
  <c r="AQ276" i="2"/>
  <c r="AM277" i="2"/>
  <c r="AN277" i="2"/>
  <c r="AO277" i="2"/>
  <c r="AP277" i="2"/>
  <c r="AQ277" i="2"/>
  <c r="AM278" i="2"/>
  <c r="AN278" i="2"/>
  <c r="AO278" i="2"/>
  <c r="AP278" i="2"/>
  <c r="AQ278" i="2"/>
  <c r="AM279" i="2"/>
  <c r="AN279" i="2"/>
  <c r="AO279" i="2"/>
  <c r="AP279" i="2"/>
  <c r="AQ279" i="2"/>
  <c r="AM280" i="2"/>
  <c r="AN280" i="2"/>
  <c r="AO280" i="2"/>
  <c r="AP280" i="2"/>
  <c r="AQ280" i="2"/>
  <c r="AM281" i="2"/>
  <c r="AN281" i="2"/>
  <c r="AO281" i="2"/>
  <c r="AP281" i="2"/>
  <c r="AQ281" i="2"/>
  <c r="AM282" i="2"/>
  <c r="AN282" i="2"/>
  <c r="AO282" i="2"/>
  <c r="AP282" i="2"/>
  <c r="AQ282" i="2"/>
  <c r="AM283" i="2"/>
  <c r="AN283" i="2"/>
  <c r="AO283" i="2"/>
  <c r="AP283" i="2"/>
  <c r="AQ283" i="2"/>
  <c r="AM284" i="2"/>
  <c r="AN284" i="2"/>
  <c r="AO284" i="2"/>
  <c r="AP284" i="2"/>
  <c r="AQ284" i="2"/>
  <c r="AM285" i="2"/>
  <c r="AN285" i="2"/>
  <c r="AO285" i="2"/>
  <c r="AP285" i="2"/>
  <c r="AQ285" i="2"/>
  <c r="AM286" i="2"/>
  <c r="AN286" i="2"/>
  <c r="AO286" i="2"/>
  <c r="AP286" i="2"/>
  <c r="AQ286" i="2"/>
  <c r="AM287" i="2"/>
  <c r="AN287" i="2"/>
  <c r="AO287" i="2"/>
  <c r="AP287" i="2"/>
  <c r="AQ287" i="2"/>
  <c r="AM288" i="2"/>
  <c r="AN288" i="2"/>
  <c r="AO288" i="2"/>
  <c r="AP288" i="2"/>
  <c r="AQ288" i="2"/>
  <c r="AM289" i="2"/>
  <c r="AN289" i="2"/>
  <c r="AO289" i="2"/>
  <c r="AP289" i="2"/>
  <c r="AQ289" i="2"/>
  <c r="AM290" i="2"/>
  <c r="AN290" i="2"/>
  <c r="AO290" i="2"/>
  <c r="AP290" i="2"/>
  <c r="AQ290" i="2"/>
  <c r="AM291" i="2"/>
  <c r="AN291" i="2"/>
  <c r="AO291" i="2"/>
  <c r="AP291" i="2"/>
  <c r="AQ291" i="2"/>
  <c r="AM292" i="2"/>
  <c r="AN292" i="2"/>
  <c r="AO292" i="2"/>
  <c r="AP292" i="2"/>
  <c r="AQ292" i="2"/>
  <c r="AM293" i="2"/>
  <c r="AN293" i="2"/>
  <c r="AO293" i="2"/>
  <c r="AP293" i="2"/>
  <c r="AQ293" i="2"/>
  <c r="AM294" i="2"/>
  <c r="AN294" i="2"/>
  <c r="AO294" i="2"/>
  <c r="AP294" i="2"/>
  <c r="AQ294" i="2"/>
  <c r="AM295" i="2"/>
  <c r="AN295" i="2"/>
  <c r="AO295" i="2"/>
  <c r="AP295" i="2"/>
  <c r="AQ295" i="2"/>
  <c r="AM296" i="2"/>
  <c r="AN296" i="2"/>
  <c r="AO296" i="2"/>
  <c r="AP296" i="2"/>
  <c r="AQ296" i="2"/>
  <c r="AM297" i="2"/>
  <c r="AN297" i="2"/>
  <c r="AO297" i="2"/>
  <c r="AP297" i="2"/>
  <c r="AQ297" i="2"/>
  <c r="AM298" i="2"/>
  <c r="AN298" i="2"/>
  <c r="AO298" i="2"/>
  <c r="AP298" i="2"/>
  <c r="AQ298" i="2"/>
  <c r="AM299" i="2"/>
  <c r="AN299" i="2"/>
  <c r="AO299" i="2"/>
  <c r="AP299" i="2"/>
  <c r="AQ299" i="2"/>
  <c r="AM300" i="2"/>
  <c r="AN300" i="2"/>
  <c r="AO300" i="2"/>
  <c r="AP300" i="2"/>
  <c r="AQ300" i="2"/>
  <c r="AM301" i="2"/>
  <c r="AN301" i="2"/>
  <c r="AO301" i="2"/>
  <c r="AP301" i="2"/>
  <c r="AQ301" i="2"/>
  <c r="AM302" i="2"/>
  <c r="AN302" i="2"/>
  <c r="AO302" i="2"/>
  <c r="AP302" i="2"/>
  <c r="AQ302" i="2"/>
  <c r="AM303" i="2"/>
  <c r="AN303" i="2"/>
  <c r="AO303" i="2"/>
  <c r="AP303" i="2"/>
  <c r="AQ303" i="2"/>
  <c r="AM304" i="2"/>
  <c r="AN304" i="2"/>
  <c r="AO304" i="2"/>
  <c r="AP304" i="2"/>
  <c r="AQ304" i="2"/>
  <c r="AM305" i="2"/>
  <c r="AN305" i="2"/>
  <c r="AO305" i="2"/>
  <c r="AP305" i="2"/>
  <c r="AQ305" i="2"/>
  <c r="AM306" i="2"/>
  <c r="AN306" i="2"/>
  <c r="AO306" i="2"/>
  <c r="AP306" i="2"/>
  <c r="AQ306" i="2"/>
  <c r="AM307" i="2"/>
  <c r="AN307" i="2"/>
  <c r="AO307" i="2"/>
  <c r="AP307" i="2"/>
  <c r="AQ307" i="2"/>
  <c r="AM308" i="2"/>
  <c r="AN308" i="2"/>
  <c r="AO308" i="2"/>
  <c r="AP308" i="2"/>
  <c r="AQ308" i="2"/>
  <c r="AM309" i="2"/>
  <c r="AN309" i="2"/>
  <c r="AO309" i="2"/>
  <c r="AP309" i="2"/>
  <c r="AQ309" i="2"/>
  <c r="AM310" i="2"/>
  <c r="AN310" i="2"/>
  <c r="AO310" i="2"/>
  <c r="AP310" i="2"/>
  <c r="AQ310" i="2"/>
  <c r="AM311" i="2"/>
  <c r="AN311" i="2"/>
  <c r="AO311" i="2"/>
  <c r="AP311" i="2"/>
  <c r="AQ311" i="2"/>
  <c r="AM312" i="2"/>
  <c r="AN312" i="2"/>
  <c r="AO312" i="2"/>
  <c r="AP312" i="2"/>
  <c r="AQ312" i="2"/>
  <c r="AM313" i="2"/>
  <c r="AN313" i="2"/>
  <c r="AO313" i="2"/>
  <c r="AP313" i="2"/>
  <c r="AQ313" i="2"/>
  <c r="AM314" i="2"/>
  <c r="AN314" i="2"/>
  <c r="AO314" i="2"/>
  <c r="AP314" i="2"/>
  <c r="AQ314" i="2"/>
  <c r="AM315" i="2"/>
  <c r="AN315" i="2"/>
  <c r="AO315" i="2"/>
  <c r="AP315" i="2"/>
  <c r="AQ315" i="2"/>
  <c r="AM316" i="2"/>
  <c r="AN316" i="2"/>
  <c r="AO316" i="2"/>
  <c r="AP316" i="2"/>
  <c r="AQ316" i="2"/>
  <c r="AM317" i="2"/>
  <c r="AN317" i="2"/>
  <c r="AO317" i="2"/>
  <c r="AP317" i="2"/>
  <c r="AQ317" i="2"/>
  <c r="AM318" i="2"/>
  <c r="AN318" i="2"/>
  <c r="AO318" i="2"/>
  <c r="AP318" i="2"/>
  <c r="AQ318" i="2"/>
  <c r="AM319" i="2"/>
  <c r="AN319" i="2"/>
  <c r="AO319" i="2"/>
  <c r="AP319" i="2"/>
  <c r="AQ319" i="2"/>
  <c r="AM320" i="2"/>
  <c r="AN320" i="2"/>
  <c r="AO320" i="2"/>
  <c r="AP320" i="2"/>
  <c r="AQ320" i="2"/>
  <c r="AM321" i="2"/>
  <c r="AN321" i="2"/>
  <c r="AO321" i="2"/>
  <c r="AP321" i="2"/>
  <c r="AQ321" i="2"/>
  <c r="AM322" i="2"/>
  <c r="AN322" i="2"/>
  <c r="AO322" i="2"/>
  <c r="AP322" i="2"/>
  <c r="AQ322" i="2"/>
  <c r="AM323" i="2"/>
  <c r="AN323" i="2"/>
  <c r="AO323" i="2"/>
  <c r="AP323" i="2"/>
  <c r="AQ323" i="2"/>
  <c r="AM324" i="2"/>
  <c r="AN324" i="2"/>
  <c r="AO324" i="2"/>
  <c r="AP324" i="2"/>
  <c r="AQ324" i="2"/>
  <c r="AM325" i="2"/>
  <c r="AN325" i="2"/>
  <c r="AO325" i="2"/>
  <c r="AP325" i="2"/>
  <c r="AQ325" i="2"/>
  <c r="AM326" i="2"/>
  <c r="AN326" i="2"/>
  <c r="AO326" i="2"/>
  <c r="AP326" i="2"/>
  <c r="AQ326" i="2"/>
  <c r="AM327" i="2"/>
  <c r="AN327" i="2"/>
  <c r="AO327" i="2"/>
  <c r="AP327" i="2"/>
  <c r="AQ327" i="2"/>
  <c r="AM328" i="2"/>
  <c r="AN328" i="2"/>
  <c r="AO328" i="2"/>
  <c r="AP328" i="2"/>
  <c r="AQ328" i="2"/>
  <c r="AM329" i="2"/>
  <c r="AN329" i="2"/>
  <c r="AO329" i="2"/>
  <c r="AP329" i="2"/>
  <c r="AQ329" i="2"/>
  <c r="AM330" i="2"/>
  <c r="AN330" i="2"/>
  <c r="AO330" i="2"/>
  <c r="AP330" i="2"/>
  <c r="AQ330" i="2"/>
  <c r="AM331" i="2"/>
  <c r="AN331" i="2"/>
  <c r="AO331" i="2"/>
  <c r="AP331" i="2"/>
  <c r="AQ331" i="2"/>
  <c r="AM332" i="2"/>
  <c r="AN332" i="2"/>
  <c r="AO332" i="2"/>
  <c r="AP332" i="2"/>
  <c r="AQ332" i="2"/>
  <c r="AM333" i="2"/>
  <c r="AN333" i="2"/>
  <c r="AO333" i="2"/>
  <c r="AP333" i="2"/>
  <c r="AQ333" i="2"/>
  <c r="AM334" i="2"/>
  <c r="AN334" i="2"/>
  <c r="AO334" i="2"/>
  <c r="AP334" i="2"/>
  <c r="AQ334" i="2"/>
  <c r="AM335" i="2"/>
  <c r="AN335" i="2"/>
  <c r="AO335" i="2"/>
  <c r="AP335" i="2"/>
  <c r="AQ335" i="2"/>
  <c r="AM336" i="2"/>
  <c r="AN336" i="2"/>
  <c r="AO336" i="2"/>
  <c r="AP336" i="2"/>
  <c r="AQ336" i="2"/>
  <c r="AM337" i="2"/>
  <c r="AN337" i="2"/>
  <c r="AO337" i="2"/>
  <c r="AP337" i="2"/>
  <c r="AQ337" i="2"/>
  <c r="AM338" i="2"/>
  <c r="AN338" i="2"/>
  <c r="AO338" i="2"/>
  <c r="AP338" i="2"/>
  <c r="AQ338" i="2"/>
  <c r="AM339" i="2"/>
  <c r="AN339" i="2"/>
  <c r="AO339" i="2"/>
  <c r="AP339" i="2"/>
  <c r="AQ339" i="2"/>
  <c r="AM340" i="2"/>
  <c r="AN340" i="2"/>
  <c r="AO340" i="2"/>
  <c r="AP340" i="2"/>
  <c r="AQ340" i="2"/>
  <c r="AM341" i="2"/>
  <c r="AN341" i="2"/>
  <c r="AO341" i="2"/>
  <c r="AP341" i="2"/>
  <c r="AQ341" i="2"/>
  <c r="AM342" i="2"/>
  <c r="AN342" i="2"/>
  <c r="AO342" i="2"/>
  <c r="AP342" i="2"/>
  <c r="AQ342" i="2"/>
  <c r="AM343" i="2"/>
  <c r="AN343" i="2"/>
  <c r="AO343" i="2"/>
  <c r="AP343" i="2"/>
  <c r="AQ343" i="2"/>
  <c r="AM344" i="2"/>
  <c r="AN344" i="2"/>
  <c r="AO344" i="2"/>
  <c r="AP344" i="2"/>
  <c r="AQ344" i="2"/>
  <c r="AM345" i="2"/>
  <c r="AN345" i="2"/>
  <c r="AO345" i="2"/>
  <c r="AP345" i="2"/>
  <c r="AQ345" i="2"/>
  <c r="AM346" i="2"/>
  <c r="AN346" i="2"/>
  <c r="AO346" i="2"/>
  <c r="AP346" i="2"/>
  <c r="AQ346" i="2"/>
  <c r="AM347" i="2"/>
  <c r="AN347" i="2"/>
  <c r="AO347" i="2"/>
  <c r="AP347" i="2"/>
  <c r="AQ347" i="2"/>
  <c r="AM348" i="2"/>
  <c r="AN348" i="2"/>
  <c r="AO348" i="2"/>
  <c r="AP348" i="2"/>
  <c r="AQ348" i="2"/>
  <c r="AM349" i="2"/>
  <c r="AN349" i="2"/>
  <c r="AO349" i="2"/>
  <c r="AP349" i="2"/>
  <c r="AQ349" i="2"/>
  <c r="AM350" i="2"/>
  <c r="AN350" i="2"/>
  <c r="AO350" i="2"/>
  <c r="AP350" i="2"/>
  <c r="AQ350" i="2"/>
  <c r="AM351" i="2"/>
  <c r="AN351" i="2"/>
  <c r="AO351" i="2"/>
  <c r="AP351" i="2"/>
  <c r="AQ351" i="2"/>
  <c r="AM352" i="2"/>
  <c r="AN352" i="2"/>
  <c r="AO352" i="2"/>
  <c r="AP352" i="2"/>
  <c r="AQ352" i="2"/>
  <c r="AM353" i="2"/>
  <c r="AN353" i="2"/>
  <c r="AO353" i="2"/>
  <c r="AP353" i="2"/>
  <c r="AQ353" i="2"/>
  <c r="AM354" i="2"/>
  <c r="AN354" i="2"/>
  <c r="AO354" i="2"/>
  <c r="AP354" i="2"/>
  <c r="AQ354" i="2"/>
  <c r="AM355" i="2"/>
  <c r="AN355" i="2"/>
  <c r="AO355" i="2"/>
  <c r="AP355" i="2"/>
  <c r="AQ355" i="2"/>
  <c r="AM356" i="2"/>
  <c r="AN356" i="2"/>
  <c r="AO356" i="2"/>
  <c r="AP356" i="2"/>
  <c r="AQ356" i="2"/>
  <c r="AM357" i="2"/>
  <c r="AN357" i="2"/>
  <c r="AO357" i="2"/>
  <c r="AP357" i="2"/>
  <c r="AQ357" i="2"/>
  <c r="AM358" i="2"/>
  <c r="AN358" i="2"/>
  <c r="AO358" i="2"/>
  <c r="AP358" i="2"/>
  <c r="AQ358" i="2"/>
  <c r="AM359" i="2"/>
  <c r="AN359" i="2"/>
  <c r="AO359" i="2"/>
  <c r="AP359" i="2"/>
  <c r="AQ359" i="2"/>
  <c r="AM360" i="2"/>
  <c r="AN360" i="2"/>
  <c r="AO360" i="2"/>
  <c r="AP360" i="2"/>
  <c r="AQ360" i="2"/>
  <c r="AM361" i="2"/>
  <c r="AN361" i="2"/>
  <c r="AO361" i="2"/>
  <c r="AP361" i="2"/>
  <c r="AQ361" i="2"/>
  <c r="AM362" i="2"/>
  <c r="AN362" i="2"/>
  <c r="AO362" i="2"/>
  <c r="AP362" i="2"/>
  <c r="AQ362" i="2"/>
  <c r="AM363" i="2"/>
  <c r="AN363" i="2"/>
  <c r="AO363" i="2"/>
  <c r="AP363" i="2"/>
  <c r="AQ363" i="2"/>
  <c r="AM364" i="2"/>
  <c r="AN364" i="2"/>
  <c r="AO364" i="2"/>
  <c r="AP364" i="2"/>
  <c r="AQ364" i="2"/>
  <c r="AM365" i="2"/>
  <c r="AN365" i="2"/>
  <c r="AO365" i="2"/>
  <c r="AP365" i="2"/>
  <c r="AQ365" i="2"/>
  <c r="AM366" i="2"/>
  <c r="AN366" i="2"/>
  <c r="AO366" i="2"/>
  <c r="AP366" i="2"/>
  <c r="AQ366" i="2"/>
  <c r="AM367" i="2"/>
  <c r="AN367" i="2"/>
  <c r="AO367" i="2"/>
  <c r="AP367" i="2"/>
  <c r="AQ367" i="2"/>
  <c r="AM368" i="2"/>
  <c r="AN368" i="2"/>
  <c r="AO368" i="2"/>
  <c r="AP368" i="2"/>
  <c r="AQ368" i="2"/>
  <c r="AM369" i="2"/>
  <c r="AN369" i="2"/>
  <c r="AO369" i="2"/>
  <c r="AP369" i="2"/>
  <c r="AQ369" i="2"/>
  <c r="AM370" i="2"/>
  <c r="AN370" i="2"/>
  <c r="AO370" i="2"/>
  <c r="AP370" i="2"/>
  <c r="AQ370" i="2"/>
  <c r="AM371" i="2"/>
  <c r="AN371" i="2"/>
  <c r="AO371" i="2"/>
  <c r="AP371" i="2"/>
  <c r="AQ371" i="2"/>
  <c r="AM372" i="2"/>
  <c r="AN372" i="2"/>
  <c r="AO372" i="2"/>
  <c r="AP372" i="2"/>
  <c r="AQ372" i="2"/>
  <c r="AM373" i="2"/>
  <c r="AN373" i="2"/>
  <c r="AO373" i="2"/>
  <c r="AP373" i="2"/>
  <c r="AQ373" i="2"/>
  <c r="AM374" i="2"/>
  <c r="AN374" i="2"/>
  <c r="AO374" i="2"/>
  <c r="AP374" i="2"/>
  <c r="AQ374" i="2"/>
  <c r="AM375" i="2"/>
  <c r="AN375" i="2"/>
  <c r="AO375" i="2"/>
  <c r="AP375" i="2"/>
  <c r="AQ375" i="2"/>
  <c r="AM376" i="2"/>
  <c r="AN376" i="2"/>
  <c r="AO376" i="2"/>
  <c r="AP376" i="2"/>
  <c r="AQ376" i="2"/>
  <c r="AM377" i="2"/>
  <c r="AN377" i="2"/>
  <c r="AO377" i="2"/>
  <c r="AP377" i="2"/>
  <c r="AQ377" i="2"/>
  <c r="AM378" i="2"/>
  <c r="AN378" i="2"/>
  <c r="AO378" i="2"/>
  <c r="AP378" i="2"/>
  <c r="AQ378" i="2"/>
  <c r="AM379" i="2"/>
  <c r="AN379" i="2"/>
  <c r="AO379" i="2"/>
  <c r="AP379" i="2"/>
  <c r="AQ379" i="2"/>
  <c r="AM380" i="2"/>
  <c r="AN380" i="2"/>
  <c r="AO380" i="2"/>
  <c r="AP380" i="2"/>
  <c r="AQ380" i="2"/>
  <c r="AM381" i="2"/>
  <c r="AN381" i="2"/>
  <c r="AO381" i="2"/>
  <c r="AP381" i="2"/>
  <c r="AQ381" i="2"/>
  <c r="AM382" i="2"/>
  <c r="AN382" i="2"/>
  <c r="AO382" i="2"/>
  <c r="AP382" i="2"/>
  <c r="AQ382" i="2"/>
  <c r="AM383" i="2"/>
  <c r="AN383" i="2"/>
  <c r="AO383" i="2"/>
  <c r="AP383" i="2"/>
  <c r="AQ383" i="2"/>
  <c r="AM384" i="2"/>
  <c r="AN384" i="2"/>
  <c r="AO384" i="2"/>
  <c r="AP384" i="2"/>
  <c r="AQ384" i="2"/>
  <c r="AM385" i="2"/>
  <c r="AN385" i="2"/>
  <c r="AO385" i="2"/>
  <c r="AP385" i="2"/>
  <c r="AQ385" i="2"/>
  <c r="AM386" i="2"/>
  <c r="AN386" i="2"/>
  <c r="AO386" i="2"/>
  <c r="AP386" i="2"/>
  <c r="AQ386" i="2"/>
  <c r="AM387" i="2"/>
  <c r="AN387" i="2"/>
  <c r="AO387" i="2"/>
  <c r="AP387" i="2"/>
  <c r="AQ387" i="2"/>
  <c r="AM388" i="2"/>
  <c r="AN388" i="2"/>
  <c r="AO388" i="2"/>
  <c r="AP388" i="2"/>
  <c r="AQ388" i="2"/>
  <c r="AM389" i="2"/>
  <c r="AN389" i="2"/>
  <c r="AO389" i="2"/>
  <c r="AP389" i="2"/>
  <c r="AQ389" i="2"/>
  <c r="AM390" i="2"/>
  <c r="AN390" i="2"/>
  <c r="AO390" i="2"/>
  <c r="AP390" i="2"/>
  <c r="AQ390" i="2"/>
  <c r="AM391" i="2"/>
  <c r="AN391" i="2"/>
  <c r="AO391" i="2"/>
  <c r="AP391" i="2"/>
  <c r="AQ391" i="2"/>
  <c r="AM392" i="2"/>
  <c r="AN392" i="2"/>
  <c r="AO392" i="2"/>
  <c r="AP392" i="2"/>
  <c r="AQ392" i="2"/>
  <c r="AM393" i="2"/>
  <c r="AN393" i="2"/>
  <c r="AO393" i="2"/>
  <c r="AP393" i="2"/>
  <c r="AQ393" i="2"/>
  <c r="AM394" i="2"/>
  <c r="AN394" i="2"/>
  <c r="AO394" i="2"/>
  <c r="AP394" i="2"/>
  <c r="AQ394" i="2"/>
  <c r="AM395" i="2"/>
  <c r="AN395" i="2"/>
  <c r="AO395" i="2"/>
  <c r="AP395" i="2"/>
  <c r="AQ395" i="2"/>
  <c r="AM396" i="2"/>
  <c r="AN396" i="2"/>
  <c r="AO396" i="2"/>
  <c r="AP396" i="2"/>
  <c r="AQ396" i="2"/>
  <c r="AM397" i="2"/>
  <c r="AN397" i="2"/>
  <c r="AO397" i="2"/>
  <c r="AP397" i="2"/>
  <c r="AQ397" i="2"/>
  <c r="AM398" i="2"/>
  <c r="AN398" i="2"/>
  <c r="AO398" i="2"/>
  <c r="AP398" i="2"/>
  <c r="AQ398" i="2"/>
  <c r="AM399" i="2"/>
  <c r="AN399" i="2"/>
  <c r="AO399" i="2"/>
  <c r="AP399" i="2"/>
  <c r="AQ399" i="2"/>
  <c r="AM400" i="2"/>
  <c r="AN400" i="2"/>
  <c r="AO400" i="2"/>
  <c r="AP400" i="2"/>
  <c r="AQ400" i="2"/>
  <c r="AM401" i="2"/>
  <c r="AN401" i="2"/>
  <c r="AO401" i="2"/>
  <c r="AP401" i="2"/>
  <c r="AQ401" i="2"/>
  <c r="AM402" i="2"/>
  <c r="AN402" i="2"/>
  <c r="AO402" i="2"/>
  <c r="AP402" i="2"/>
  <c r="AQ402" i="2"/>
  <c r="AM403" i="2"/>
  <c r="AN403" i="2"/>
  <c r="AO403" i="2"/>
  <c r="AP403" i="2"/>
  <c r="AQ403" i="2"/>
  <c r="AM404" i="2"/>
  <c r="AN404" i="2"/>
  <c r="AO404" i="2"/>
  <c r="AP404" i="2"/>
  <c r="AQ404" i="2"/>
  <c r="AM405" i="2"/>
  <c r="AN405" i="2"/>
  <c r="AO405" i="2"/>
  <c r="AP405" i="2"/>
  <c r="AQ405" i="2"/>
  <c r="AM406" i="2"/>
  <c r="AN406" i="2"/>
  <c r="AO406" i="2"/>
  <c r="AP406" i="2"/>
  <c r="AQ406" i="2"/>
  <c r="AM407" i="2"/>
  <c r="AN407" i="2"/>
  <c r="AO407" i="2"/>
  <c r="AP407" i="2"/>
  <c r="AQ407" i="2"/>
  <c r="AM408" i="2"/>
  <c r="AN408" i="2"/>
  <c r="AO408" i="2"/>
  <c r="AP408" i="2"/>
  <c r="AQ408" i="2"/>
  <c r="AM409" i="2"/>
  <c r="AN409" i="2"/>
  <c r="AO409" i="2"/>
  <c r="AP409" i="2"/>
  <c r="AQ409" i="2"/>
  <c r="AM410" i="2"/>
  <c r="AN410" i="2"/>
  <c r="AO410" i="2"/>
  <c r="AP410" i="2"/>
  <c r="AQ410" i="2"/>
  <c r="AM411" i="2"/>
  <c r="AN411" i="2"/>
  <c r="AO411" i="2"/>
  <c r="AP411" i="2"/>
  <c r="AQ411" i="2"/>
  <c r="AM412" i="2"/>
  <c r="AN412" i="2"/>
  <c r="AO412" i="2"/>
  <c r="AP412" i="2"/>
  <c r="AQ412" i="2"/>
  <c r="AM413" i="2"/>
  <c r="AN413" i="2"/>
  <c r="AO413" i="2"/>
  <c r="AP413" i="2"/>
  <c r="AQ413" i="2"/>
  <c r="AM414" i="2"/>
  <c r="AN414" i="2"/>
  <c r="AO414" i="2"/>
  <c r="AP414" i="2"/>
  <c r="AQ414" i="2"/>
  <c r="AM415" i="2"/>
  <c r="AN415" i="2"/>
  <c r="AO415" i="2"/>
  <c r="AP415" i="2"/>
  <c r="AQ415" i="2"/>
  <c r="AM416" i="2"/>
  <c r="AN416" i="2"/>
  <c r="AO416" i="2"/>
  <c r="AP416" i="2"/>
  <c r="AQ416" i="2"/>
  <c r="AM417" i="2"/>
  <c r="AN417" i="2"/>
  <c r="AO417" i="2"/>
  <c r="AP417" i="2"/>
  <c r="AQ417" i="2"/>
  <c r="AM418" i="2"/>
  <c r="AN418" i="2"/>
  <c r="AO418" i="2"/>
  <c r="AP418" i="2"/>
  <c r="AQ418" i="2"/>
  <c r="AM419" i="2"/>
  <c r="AN419" i="2"/>
  <c r="AO419" i="2"/>
  <c r="AP419" i="2"/>
  <c r="AQ419" i="2"/>
  <c r="AM420" i="2"/>
  <c r="AN420" i="2"/>
  <c r="AO420" i="2"/>
  <c r="AP420" i="2"/>
  <c r="AQ420" i="2"/>
  <c r="AM421" i="2"/>
  <c r="AN421" i="2"/>
  <c r="AO421" i="2"/>
  <c r="AP421" i="2"/>
  <c r="AQ421" i="2"/>
  <c r="AM422" i="2"/>
  <c r="AN422" i="2"/>
  <c r="AO422" i="2"/>
  <c r="AP422" i="2"/>
  <c r="AQ422" i="2"/>
  <c r="AM423" i="2"/>
  <c r="AN423" i="2"/>
  <c r="AO423" i="2"/>
  <c r="AP423" i="2"/>
  <c r="AQ423" i="2"/>
  <c r="AM424" i="2"/>
  <c r="AN424" i="2"/>
  <c r="AO424" i="2"/>
  <c r="AP424" i="2"/>
  <c r="AQ424" i="2"/>
  <c r="AM425" i="2"/>
  <c r="AN425" i="2"/>
  <c r="AO425" i="2"/>
  <c r="AP425" i="2"/>
  <c r="AQ425" i="2"/>
  <c r="AM426" i="2"/>
  <c r="AN426" i="2"/>
  <c r="AO426" i="2"/>
  <c r="AP426" i="2"/>
  <c r="AQ426" i="2"/>
  <c r="AM427" i="2"/>
  <c r="AN427" i="2"/>
  <c r="AO427" i="2"/>
  <c r="AP427" i="2"/>
  <c r="AQ427" i="2"/>
  <c r="AM428" i="2"/>
  <c r="AN428" i="2"/>
  <c r="AO428" i="2"/>
  <c r="AP428" i="2"/>
  <c r="AQ428" i="2"/>
  <c r="AM429" i="2"/>
  <c r="AN429" i="2"/>
  <c r="AO429" i="2"/>
  <c r="AP429" i="2"/>
  <c r="AQ429" i="2"/>
  <c r="AQ2" i="2"/>
  <c r="AP2" i="2"/>
  <c r="AO2" i="2"/>
  <c r="AN2" i="2"/>
  <c r="AM2" i="2"/>
  <c r="AL2" i="2"/>
  <c r="AL3" i="2"/>
  <c r="AL4" i="2"/>
  <c r="AL5" i="2"/>
  <c r="AL6" i="2"/>
  <c r="AL7" i="2"/>
  <c r="AL8"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8" i="2"/>
  <c r="AL59" i="2"/>
  <c r="AL60" i="2"/>
  <c r="AL61" i="2"/>
  <c r="AL62" i="2"/>
  <c r="AL63" i="2"/>
  <c r="AL64"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L90" i="2"/>
  <c r="AL91" i="2"/>
  <c r="AL92" i="2"/>
  <c r="AL93" i="2"/>
  <c r="AL94" i="2"/>
  <c r="AL95" i="2"/>
  <c r="AL96" i="2"/>
  <c r="AL97" i="2"/>
  <c r="AL98" i="2"/>
  <c r="AL99" i="2"/>
  <c r="AL100" i="2"/>
  <c r="AL101" i="2"/>
  <c r="AL102" i="2"/>
  <c r="AL103" i="2"/>
  <c r="AL104" i="2"/>
  <c r="AL105" i="2"/>
  <c r="AL106" i="2"/>
  <c r="AL107" i="2"/>
  <c r="AL108" i="2"/>
  <c r="AL109" i="2"/>
  <c r="AL110" i="2"/>
  <c r="AL111" i="2"/>
  <c r="AL112" i="2"/>
  <c r="AL113" i="2"/>
  <c r="AL114" i="2"/>
  <c r="AL115" i="2"/>
  <c r="AL116" i="2"/>
  <c r="AL117" i="2"/>
  <c r="AL118" i="2"/>
  <c r="AL119" i="2"/>
  <c r="AL120" i="2"/>
  <c r="AL121" i="2"/>
  <c r="AL122" i="2"/>
  <c r="AL123" i="2"/>
  <c r="AL124" i="2"/>
  <c r="AL125" i="2"/>
  <c r="AL126" i="2"/>
  <c r="AL127" i="2"/>
  <c r="AL128" i="2"/>
  <c r="AL129" i="2"/>
  <c r="AL130" i="2"/>
  <c r="AL131" i="2"/>
  <c r="AL132" i="2"/>
  <c r="AL133" i="2"/>
  <c r="AL134" i="2"/>
  <c r="AL135" i="2"/>
  <c r="AL136" i="2"/>
  <c r="AL137" i="2"/>
  <c r="AL138" i="2"/>
  <c r="AL139" i="2"/>
  <c r="AL140" i="2"/>
  <c r="AL141" i="2"/>
  <c r="AL142" i="2"/>
  <c r="AL143" i="2"/>
  <c r="AL144" i="2"/>
  <c r="AL145" i="2"/>
  <c r="AL146" i="2"/>
  <c r="AL147" i="2"/>
  <c r="AL148" i="2"/>
  <c r="AL149" i="2"/>
  <c r="AL150" i="2"/>
  <c r="AL151" i="2"/>
  <c r="AL152" i="2"/>
  <c r="AL153" i="2"/>
  <c r="AL154" i="2"/>
  <c r="AL155" i="2"/>
  <c r="AL156" i="2"/>
  <c r="AL157" i="2"/>
  <c r="AL158" i="2"/>
  <c r="AL159" i="2"/>
  <c r="AL160" i="2"/>
  <c r="AL161" i="2"/>
  <c r="AL162" i="2"/>
  <c r="AL163" i="2"/>
  <c r="AL164" i="2"/>
  <c r="AL165" i="2"/>
  <c r="AL166" i="2"/>
  <c r="AL167" i="2"/>
  <c r="AL168" i="2"/>
  <c r="AL169" i="2"/>
  <c r="AL170" i="2"/>
  <c r="AL171" i="2"/>
  <c r="AL172" i="2"/>
  <c r="AL173" i="2"/>
  <c r="AL174" i="2"/>
  <c r="AL175" i="2"/>
  <c r="AL176" i="2"/>
  <c r="AL177" i="2"/>
  <c r="AL178" i="2"/>
  <c r="AL179" i="2"/>
  <c r="AL180" i="2"/>
  <c r="AL181" i="2"/>
  <c r="AL182" i="2"/>
  <c r="AL183" i="2"/>
  <c r="AL184" i="2"/>
  <c r="AL185" i="2"/>
  <c r="AL186" i="2"/>
  <c r="AL187" i="2"/>
  <c r="AL188" i="2"/>
  <c r="AL189" i="2"/>
  <c r="AL190" i="2"/>
  <c r="AL191" i="2"/>
  <c r="AL192" i="2"/>
  <c r="AL193" i="2"/>
  <c r="AL194" i="2"/>
  <c r="AL195" i="2"/>
  <c r="AL196" i="2"/>
  <c r="AL197" i="2"/>
  <c r="AL198" i="2"/>
  <c r="AL199" i="2"/>
  <c r="AL200" i="2"/>
  <c r="AL201" i="2"/>
  <c r="AL202" i="2"/>
  <c r="AL203" i="2"/>
  <c r="AL204" i="2"/>
  <c r="AL205" i="2"/>
  <c r="AL206" i="2"/>
  <c r="AL207" i="2"/>
  <c r="AL208" i="2"/>
  <c r="AL209" i="2"/>
  <c r="AL210" i="2"/>
  <c r="AL211" i="2"/>
  <c r="AL212" i="2"/>
  <c r="AL213" i="2"/>
  <c r="AL214" i="2"/>
  <c r="AL215" i="2"/>
  <c r="AL216" i="2"/>
  <c r="AL217" i="2"/>
  <c r="AL218" i="2"/>
  <c r="AL219" i="2"/>
  <c r="AL220" i="2"/>
  <c r="AL221" i="2"/>
  <c r="AL222" i="2"/>
  <c r="AL223" i="2"/>
  <c r="AL224" i="2"/>
  <c r="AL225" i="2"/>
  <c r="AL226" i="2"/>
  <c r="AL227" i="2"/>
  <c r="AL228" i="2"/>
  <c r="AL229" i="2"/>
  <c r="AL230" i="2"/>
  <c r="AL231" i="2"/>
  <c r="AL232" i="2"/>
  <c r="AL233" i="2"/>
  <c r="AL234" i="2"/>
  <c r="AL235" i="2"/>
  <c r="AL236" i="2"/>
  <c r="AL237" i="2"/>
  <c r="AL238" i="2"/>
  <c r="AL239" i="2"/>
  <c r="AL240" i="2"/>
  <c r="AL241" i="2"/>
  <c r="AL242" i="2"/>
  <c r="AL243" i="2"/>
  <c r="AL244" i="2"/>
  <c r="AL245" i="2"/>
  <c r="AL246" i="2"/>
  <c r="AL247" i="2"/>
  <c r="AL248" i="2"/>
  <c r="AL249" i="2"/>
  <c r="AL250" i="2"/>
  <c r="AL251" i="2"/>
  <c r="AL252" i="2"/>
  <c r="AL253" i="2"/>
  <c r="AL254" i="2"/>
  <c r="AL255" i="2"/>
  <c r="AL256" i="2"/>
  <c r="AL257" i="2"/>
  <c r="AL258" i="2"/>
  <c r="AL259" i="2"/>
  <c r="AL260" i="2"/>
  <c r="AL261" i="2"/>
  <c r="AL262" i="2"/>
  <c r="AL263" i="2"/>
  <c r="AL264" i="2"/>
  <c r="AL265" i="2"/>
  <c r="AL266" i="2"/>
  <c r="AL267" i="2"/>
  <c r="AL268" i="2"/>
  <c r="AL269" i="2"/>
  <c r="AL270" i="2"/>
  <c r="AL271" i="2"/>
  <c r="AL272" i="2"/>
  <c r="AL273" i="2"/>
  <c r="AL274" i="2"/>
  <c r="AL275" i="2"/>
  <c r="AL276" i="2"/>
  <c r="AL277" i="2"/>
  <c r="AL278" i="2"/>
  <c r="AL279" i="2"/>
  <c r="AL280" i="2"/>
  <c r="AL281" i="2"/>
  <c r="AL282" i="2"/>
  <c r="AL283" i="2"/>
  <c r="AL284" i="2"/>
  <c r="AL285" i="2"/>
  <c r="AL286" i="2"/>
  <c r="AL287" i="2"/>
  <c r="AL288" i="2"/>
  <c r="AL289" i="2"/>
  <c r="AL290" i="2"/>
  <c r="AL291" i="2"/>
  <c r="AL292" i="2"/>
  <c r="AL293" i="2"/>
  <c r="AL294" i="2"/>
  <c r="AL295" i="2"/>
  <c r="AL296" i="2"/>
  <c r="AL297" i="2"/>
  <c r="AL298" i="2"/>
  <c r="AL299" i="2"/>
  <c r="AL300" i="2"/>
  <c r="AL301" i="2"/>
  <c r="AL302" i="2"/>
  <c r="AL303" i="2"/>
  <c r="AL304" i="2"/>
  <c r="AL305" i="2"/>
  <c r="AL306" i="2"/>
  <c r="AL307" i="2"/>
  <c r="AL308" i="2"/>
  <c r="AL309" i="2"/>
  <c r="AL310" i="2"/>
  <c r="AL311" i="2"/>
  <c r="AL312" i="2"/>
  <c r="AL313" i="2"/>
  <c r="AL314" i="2"/>
  <c r="AL315" i="2"/>
  <c r="AL316" i="2"/>
  <c r="AL317" i="2"/>
  <c r="AL318" i="2"/>
  <c r="AL319" i="2"/>
  <c r="AL320" i="2"/>
  <c r="AL321" i="2"/>
  <c r="AL322" i="2"/>
  <c r="AL323" i="2"/>
  <c r="AL324" i="2"/>
  <c r="AL325" i="2"/>
  <c r="AL326" i="2"/>
  <c r="AL327" i="2"/>
  <c r="AL328" i="2"/>
  <c r="AL329" i="2"/>
  <c r="AL330" i="2"/>
  <c r="AL331" i="2"/>
  <c r="AL332" i="2"/>
  <c r="AL333" i="2"/>
  <c r="AL334" i="2"/>
  <c r="AL335" i="2"/>
  <c r="AL336" i="2"/>
  <c r="AL337" i="2"/>
  <c r="AL338" i="2"/>
  <c r="AL339" i="2"/>
  <c r="AL340" i="2"/>
  <c r="AL341" i="2"/>
  <c r="AL342" i="2"/>
  <c r="AL343" i="2"/>
  <c r="AL344" i="2"/>
  <c r="AL345" i="2"/>
  <c r="AL346" i="2"/>
  <c r="AL347" i="2"/>
  <c r="AL348" i="2"/>
  <c r="AL349" i="2"/>
  <c r="AL350" i="2"/>
  <c r="AL351" i="2"/>
  <c r="AL352" i="2"/>
  <c r="AL353" i="2"/>
  <c r="AL354" i="2"/>
  <c r="AL355" i="2"/>
  <c r="AL356" i="2"/>
  <c r="AL357" i="2"/>
  <c r="AL358" i="2"/>
  <c r="AL359" i="2"/>
  <c r="AL360" i="2"/>
  <c r="AL361" i="2"/>
  <c r="AL362" i="2"/>
  <c r="AL363" i="2"/>
  <c r="AL364" i="2"/>
  <c r="AL365" i="2"/>
  <c r="AL366" i="2"/>
  <c r="AL367" i="2"/>
  <c r="AL368" i="2"/>
  <c r="AL369" i="2"/>
  <c r="AL370" i="2"/>
  <c r="AL371" i="2"/>
  <c r="AL372" i="2"/>
  <c r="AL373" i="2"/>
  <c r="AL374" i="2"/>
  <c r="AL375" i="2"/>
  <c r="AL376" i="2"/>
  <c r="AL377" i="2"/>
  <c r="AL378" i="2"/>
  <c r="AL379" i="2"/>
  <c r="AL380" i="2"/>
  <c r="AL381" i="2"/>
  <c r="AL382" i="2"/>
  <c r="AL383" i="2"/>
  <c r="AL384" i="2"/>
  <c r="AL385" i="2"/>
  <c r="AL386" i="2"/>
  <c r="AL387" i="2"/>
  <c r="AL388" i="2"/>
  <c r="AL389" i="2"/>
  <c r="AL390" i="2"/>
  <c r="AL391" i="2"/>
  <c r="AL392" i="2"/>
  <c r="AL393" i="2"/>
  <c r="AL394" i="2"/>
  <c r="AL395" i="2"/>
  <c r="AL396" i="2"/>
  <c r="AL397" i="2"/>
  <c r="AL398" i="2"/>
  <c r="AL399" i="2"/>
  <c r="AL400" i="2"/>
  <c r="AL401" i="2"/>
  <c r="AL402" i="2"/>
  <c r="AL403" i="2"/>
  <c r="AL404" i="2"/>
  <c r="AL405" i="2"/>
  <c r="AL406" i="2"/>
  <c r="AL407" i="2"/>
  <c r="AL408" i="2"/>
  <c r="AL409" i="2"/>
  <c r="AL410" i="2"/>
  <c r="AL411" i="2"/>
  <c r="AL412" i="2"/>
  <c r="AL413" i="2"/>
  <c r="AL414" i="2"/>
  <c r="AL415" i="2"/>
  <c r="AL416" i="2"/>
  <c r="AL417" i="2"/>
  <c r="AL418" i="2"/>
  <c r="AL419" i="2"/>
  <c r="AL420" i="2"/>
  <c r="AL421" i="2"/>
  <c r="AL422" i="2"/>
  <c r="AL423" i="2"/>
  <c r="AL424" i="2"/>
  <c r="AL425" i="2"/>
  <c r="AL426" i="2"/>
  <c r="AL427" i="2"/>
  <c r="AL428" i="2"/>
  <c r="AL429" i="2"/>
  <c r="AH477" i="2" l="1"/>
  <c r="AJ477" i="2" s="1"/>
  <c r="V463" i="2"/>
  <c r="AH454" i="2"/>
  <c r="AJ454" i="2" s="1"/>
  <c r="AH498" i="2"/>
  <c r="AJ498" i="2" s="1"/>
  <c r="V496" i="2"/>
  <c r="T465" i="2"/>
  <c r="AH465" i="2" s="1"/>
  <c r="AJ465" i="2" s="1"/>
  <c r="AC465" i="2"/>
  <c r="AH530" i="2"/>
  <c r="AJ530" i="2" s="1"/>
  <c r="U496" i="2"/>
  <c r="AH526" i="2"/>
  <c r="AJ526" i="2" s="1"/>
  <c r="AC436" i="2"/>
  <c r="AH517" i="2"/>
  <c r="AJ517" i="2" s="1"/>
  <c r="AA443" i="2"/>
  <c r="U443" i="2"/>
  <c r="AA519" i="2"/>
  <c r="AB434" i="2"/>
  <c r="AH434" i="2" s="1"/>
  <c r="AJ434" i="2" s="1"/>
  <c r="AH514" i="2"/>
  <c r="AJ514" i="2" s="1"/>
  <c r="AH497" i="2"/>
  <c r="AJ497" i="2" s="1"/>
  <c r="AE464" i="2"/>
  <c r="U466" i="2"/>
  <c r="AH466" i="2" s="1"/>
  <c r="AJ466" i="2" s="1"/>
  <c r="AA466" i="2"/>
  <c r="AB472" i="2"/>
  <c r="AH472" i="2" s="1"/>
  <c r="AJ472" i="2" s="1"/>
  <c r="AB433" i="2"/>
  <c r="AH433" i="2" s="1"/>
  <c r="AJ433" i="2" s="1"/>
  <c r="T519" i="2"/>
  <c r="AH482" i="2"/>
  <c r="AJ482" i="2" s="1"/>
  <c r="AD472" i="2"/>
  <c r="AE463" i="2"/>
  <c r="Z476" i="2"/>
  <c r="AH445" i="2"/>
  <c r="AJ445" i="2" s="1"/>
  <c r="Z506" i="2"/>
  <c r="AH506" i="2" s="1"/>
  <c r="AJ506" i="2" s="1"/>
  <c r="AE506" i="2"/>
  <c r="AD496" i="2"/>
  <c r="T496" i="2"/>
  <c r="AE496" i="2"/>
  <c r="AH529" i="2"/>
  <c r="AJ529" i="2" s="1"/>
  <c r="AB464" i="2"/>
  <c r="AH464" i="2" s="1"/>
  <c r="AJ464" i="2" s="1"/>
  <c r="AH481" i="2"/>
  <c r="AJ481" i="2" s="1"/>
  <c r="AE508" i="2"/>
  <c r="X463" i="2"/>
  <c r="AH440" i="2"/>
  <c r="AJ440" i="2" s="1"/>
  <c r="AE457" i="2"/>
  <c r="AD463" i="2"/>
  <c r="AH463" i="2" s="1"/>
  <c r="AJ463" i="2" s="1"/>
  <c r="AH512" i="2"/>
  <c r="AJ512" i="2" s="1"/>
  <c r="Z496" i="2"/>
  <c r="AC457" i="2"/>
  <c r="AE472" i="2"/>
  <c r="AH493" i="2"/>
  <c r="AJ493" i="2" s="1"/>
  <c r="AD468" i="2"/>
  <c r="U507" i="2"/>
  <c r="AH511" i="2"/>
  <c r="AJ511" i="2" s="1"/>
  <c r="Y444" i="2"/>
  <c r="V508" i="2"/>
  <c r="AE492" i="2"/>
  <c r="S492" i="2"/>
  <c r="S507" i="2"/>
  <c r="T499" i="2"/>
  <c r="AH431" i="2"/>
  <c r="AJ431" i="2" s="1"/>
  <c r="AC444" i="2"/>
  <c r="AH495" i="2"/>
  <c r="AJ495" i="2" s="1"/>
  <c r="T507" i="2"/>
  <c r="AH453" i="2"/>
  <c r="AJ453" i="2" s="1"/>
  <c r="AH486" i="2"/>
  <c r="AJ486" i="2" s="1"/>
  <c r="AH509" i="2"/>
  <c r="AJ509" i="2" s="1"/>
  <c r="AH455" i="2"/>
  <c r="AJ455" i="2" s="1"/>
  <c r="U28" i="11"/>
  <c r="U28" i="10"/>
  <c r="U28" i="8"/>
  <c r="AH470" i="6"/>
  <c r="AJ470" i="6"/>
  <c r="Y448" i="6"/>
  <c r="AO448" i="6"/>
  <c r="AR451" i="6"/>
  <c r="AT451" i="6" s="1"/>
  <c r="AR443" i="6"/>
  <c r="AT443" i="6" s="1"/>
  <c r="AO438" i="6"/>
  <c r="AN438" i="6"/>
  <c r="AB446" i="6"/>
  <c r="AM446" i="6"/>
  <c r="AN446" i="6"/>
  <c r="X444" i="6"/>
  <c r="Z430" i="6"/>
  <c r="AR430" i="6" s="1"/>
  <c r="AT430" i="6" s="1"/>
  <c r="AR515" i="6"/>
  <c r="AT515" i="6" s="1"/>
  <c r="AR507" i="6"/>
  <c r="AT507" i="6" s="1"/>
  <c r="AA528" i="6"/>
  <c r="AH460" i="6"/>
  <c r="AB462" i="6"/>
  <c r="Z518" i="6"/>
  <c r="AR518" i="6" s="1"/>
  <c r="AT518" i="6" s="1"/>
  <c r="AR479" i="6"/>
  <c r="AT479" i="6" s="1"/>
  <c r="AG504" i="6"/>
  <c r="AL504" i="6"/>
  <c r="X512" i="6"/>
  <c r="AR512" i="6" s="1"/>
  <c r="AT512" i="6" s="1"/>
  <c r="AR497" i="6"/>
  <c r="AT497" i="6" s="1"/>
  <c r="AR510" i="6"/>
  <c r="AT510" i="6" s="1"/>
  <c r="AO436" i="6"/>
  <c r="AJ452" i="6"/>
  <c r="AA470" i="6"/>
  <c r="AR459" i="6"/>
  <c r="AT459" i="6" s="1"/>
  <c r="AD507" i="6"/>
  <c r="Z467" i="6"/>
  <c r="AR467" i="6" s="1"/>
  <c r="AT467" i="6" s="1"/>
  <c r="AE430" i="6"/>
  <c r="AR526" i="6"/>
  <c r="AT526" i="6" s="1"/>
  <c r="AC446" i="6"/>
  <c r="AO480" i="6"/>
  <c r="AD480" i="6"/>
  <c r="X488" i="6"/>
  <c r="AD452" i="6"/>
  <c r="X460" i="6"/>
  <c r="AH436" i="6"/>
  <c r="Z436" i="6"/>
  <c r="AR436" i="6" s="1"/>
  <c r="AT436" i="6" s="1"/>
  <c r="AA492" i="6"/>
  <c r="AE467" i="6"/>
  <c r="AA518" i="6"/>
  <c r="AC507" i="6"/>
  <c r="AR499" i="6"/>
  <c r="AT499" i="6" s="1"/>
  <c r="AC483" i="6"/>
  <c r="AR435" i="6"/>
  <c r="AT435" i="6" s="1"/>
  <c r="AG438" i="6"/>
  <c r="AR438" i="6" s="1"/>
  <c r="AT438" i="6" s="1"/>
  <c r="AJ520" i="6"/>
  <c r="AR520" i="6" s="1"/>
  <c r="AT520" i="6" s="1"/>
  <c r="AL520" i="6"/>
  <c r="AD520" i="6"/>
  <c r="Y528" i="6"/>
  <c r="AD460" i="6"/>
  <c r="AB436" i="6"/>
  <c r="AR492" i="6"/>
  <c r="AT492" i="6" s="1"/>
  <c r="AH524" i="6"/>
  <c r="AR524" i="6" s="1"/>
  <c r="AT524" i="6" s="1"/>
  <c r="AR475" i="6"/>
  <c r="AT475" i="6" s="1"/>
  <c r="AC454" i="6"/>
  <c r="AN454" i="6"/>
  <c r="AR470" i="6"/>
  <c r="AT470" i="6" s="1"/>
  <c r="AD494" i="6"/>
  <c r="AC494" i="6"/>
  <c r="AA526" i="6"/>
  <c r="AJ526" i="6"/>
  <c r="AH526" i="6"/>
  <c r="AC526" i="6"/>
  <c r="AH496" i="6"/>
  <c r="AB496" i="6"/>
  <c r="AL496" i="6"/>
  <c r="AM496" i="6"/>
  <c r="X504" i="6"/>
  <c r="AR483" i="6"/>
  <c r="AT483" i="6" s="1"/>
  <c r="AN451" i="6"/>
  <c r="AO451" i="6"/>
  <c r="AM440" i="6"/>
  <c r="Z440" i="6"/>
  <c r="AR440" i="6" s="1"/>
  <c r="AT440" i="6" s="1"/>
  <c r="AN440" i="6"/>
  <c r="Z454" i="6"/>
  <c r="Z494" i="6"/>
  <c r="AR494" i="6" s="1"/>
  <c r="AT494" i="6" s="1"/>
  <c r="AR447" i="6"/>
  <c r="AT447" i="6" s="1"/>
  <c r="AR511" i="6"/>
  <c r="AT511" i="6" s="1"/>
  <c r="Z448" i="6"/>
  <c r="AR448" i="6" s="1"/>
  <c r="AT448" i="6" s="1"/>
  <c r="AD472" i="6"/>
  <c r="AR472" i="6" s="1"/>
  <c r="AT472" i="6" s="1"/>
  <c r="AJ472" i="6"/>
  <c r="AR465" i="6"/>
  <c r="AT465" i="6" s="1"/>
  <c r="AR529" i="6"/>
  <c r="AT529" i="6" s="1"/>
  <c r="X523" i="6"/>
  <c r="AR523" i="6" s="1"/>
  <c r="AT523" i="6" s="1"/>
  <c r="AJ523" i="6"/>
  <c r="V455" i="4"/>
  <c r="AF455" i="4" s="1"/>
  <c r="AH455" i="4" s="1"/>
  <c r="W455" i="4"/>
  <c r="Y519" i="4"/>
  <c r="AF519" i="4" s="1"/>
  <c r="AH519" i="4" s="1"/>
  <c r="Z519" i="4"/>
  <c r="X519" i="4"/>
  <c r="AF498" i="4"/>
  <c r="AH498" i="4" s="1"/>
  <c r="AF482" i="4"/>
  <c r="AH482" i="4" s="1"/>
  <c r="AF474" i="4"/>
  <c r="AH474" i="4" s="1"/>
  <c r="V463" i="4"/>
  <c r="Z463" i="4"/>
  <c r="Z527" i="4"/>
  <c r="AF527" i="4" s="1"/>
  <c r="AH527" i="4" s="1"/>
  <c r="AA527" i="4"/>
  <c r="X527" i="4"/>
  <c r="S463" i="4"/>
  <c r="AF463" i="4" s="1"/>
  <c r="AH463" i="4" s="1"/>
  <c r="U498" i="4"/>
  <c r="R453" i="4"/>
  <c r="R517" i="4"/>
  <c r="T479" i="4"/>
  <c r="AF479" i="4" s="1"/>
  <c r="AH479" i="4" s="1"/>
  <c r="AF461" i="4"/>
  <c r="AH461" i="4" s="1"/>
  <c r="AF465" i="4"/>
  <c r="AH465" i="4" s="1"/>
  <c r="AF529" i="4"/>
  <c r="AH529" i="4" s="1"/>
  <c r="AC498" i="4"/>
  <c r="S466" i="4"/>
  <c r="AF466" i="4" s="1"/>
  <c r="AH466" i="4" s="1"/>
  <c r="V487" i="4"/>
  <c r="AF487" i="4" s="1"/>
  <c r="AH487" i="4" s="1"/>
  <c r="W487" i="4"/>
  <c r="AA487" i="4"/>
  <c r="AF490" i="4"/>
  <c r="AH490" i="4" s="1"/>
  <c r="AB493" i="4"/>
  <c r="AF481" i="4"/>
  <c r="AH481" i="4" s="1"/>
  <c r="AF439" i="4"/>
  <c r="AH439" i="4" s="1"/>
  <c r="AF503" i="4"/>
  <c r="AH503" i="4" s="1"/>
  <c r="AA431" i="4"/>
  <c r="X431" i="4"/>
  <c r="AA495" i="4"/>
  <c r="Y495" i="4"/>
  <c r="Z495" i="4"/>
  <c r="X495" i="4"/>
  <c r="AF495" i="4" s="1"/>
  <c r="AH495" i="4" s="1"/>
  <c r="AB495" i="4"/>
  <c r="AA493" i="4"/>
  <c r="AF493" i="4" s="1"/>
  <c r="AH493" i="4" s="1"/>
  <c r="Z466" i="4"/>
  <c r="V477" i="4"/>
  <c r="V503" i="4"/>
  <c r="R503" i="4"/>
  <c r="X503" i="4"/>
  <c r="R450" i="4"/>
  <c r="AF450" i="4" s="1"/>
  <c r="AH450" i="4" s="1"/>
  <c r="AF447" i="4"/>
  <c r="AH447" i="4" s="1"/>
  <c r="AF434" i="4"/>
  <c r="AH434" i="4" s="1"/>
  <c r="X514" i="4"/>
  <c r="AF514" i="4" s="1"/>
  <c r="AH514" i="4" s="1"/>
  <c r="S431" i="4"/>
  <c r="AF431" i="4" s="1"/>
  <c r="AH431" i="4" s="1"/>
  <c r="AB436" i="23"/>
  <c r="AD436" i="23" s="1"/>
  <c r="AB500" i="23"/>
  <c r="AD500" i="23" s="1"/>
  <c r="AB520" i="23"/>
  <c r="AD520" i="23" s="1"/>
  <c r="AB444" i="23"/>
  <c r="AD444" i="23" s="1"/>
  <c r="AB508" i="23"/>
  <c r="AD508" i="23" s="1"/>
  <c r="AB452" i="23"/>
  <c r="AD452" i="23" s="1"/>
  <c r="AB516" i="23"/>
  <c r="AD516" i="23" s="1"/>
  <c r="AB488" i="23"/>
  <c r="AD488" i="23" s="1"/>
  <c r="AB472" i="23"/>
  <c r="AD472" i="23" s="1"/>
  <c r="S496" i="23"/>
  <c r="AB496" i="23" s="1"/>
  <c r="AD496" i="23" s="1"/>
  <c r="AB464" i="23"/>
  <c r="AD464" i="23" s="1"/>
  <c r="X512" i="23"/>
  <c r="AB512" i="23" s="1"/>
  <c r="AD512" i="23" s="1"/>
  <c r="AB476" i="23"/>
  <c r="AD476" i="23" s="1"/>
  <c r="W496" i="23"/>
  <c r="AB528" i="23"/>
  <c r="AD528" i="23" s="1"/>
  <c r="AB484" i="23"/>
  <c r="AD484" i="23" s="1"/>
  <c r="AB456" i="23"/>
  <c r="AD456" i="23" s="1"/>
  <c r="AB448" i="23"/>
  <c r="AD448" i="23" s="1"/>
  <c r="AB524" i="23"/>
  <c r="AD524" i="23" s="1"/>
  <c r="AB492" i="23"/>
  <c r="AD492" i="23" s="1"/>
  <c r="X454" i="3"/>
  <c r="AE454" i="3"/>
  <c r="T526" i="3"/>
  <c r="AH447" i="3"/>
  <c r="AJ447" i="3" s="1"/>
  <c r="AH511" i="3"/>
  <c r="AJ511" i="3" s="1"/>
  <c r="AE516" i="3"/>
  <c r="Z516" i="3"/>
  <c r="S436" i="3"/>
  <c r="S452" i="3"/>
  <c r="AH514" i="3"/>
  <c r="AJ514" i="3" s="1"/>
  <c r="AD526" i="3"/>
  <c r="AB526" i="3"/>
  <c r="AA526" i="3"/>
  <c r="U512" i="3"/>
  <c r="AE512" i="3"/>
  <c r="AH432" i="3"/>
  <c r="AJ432" i="3" s="1"/>
  <c r="T520" i="3"/>
  <c r="AD520" i="3"/>
  <c r="W520" i="3"/>
  <c r="Y520" i="3"/>
  <c r="AB520" i="3"/>
  <c r="AC520" i="3"/>
  <c r="AE520" i="3"/>
  <c r="U520" i="3"/>
  <c r="AH495" i="3"/>
  <c r="AJ495" i="3" s="1"/>
  <c r="AH434" i="3"/>
  <c r="AJ434" i="3" s="1"/>
  <c r="Z478" i="3"/>
  <c r="AH478" i="3" s="1"/>
  <c r="AJ478" i="3" s="1"/>
  <c r="AE478" i="3"/>
  <c r="AH440" i="3"/>
  <c r="AJ440" i="3" s="1"/>
  <c r="AH504" i="3"/>
  <c r="AJ504" i="3" s="1"/>
  <c r="Z512" i="3"/>
  <c r="AH455" i="3"/>
  <c r="AJ455" i="3" s="1"/>
  <c r="AH479" i="3"/>
  <c r="AJ479" i="3" s="1"/>
  <c r="AH466" i="3"/>
  <c r="AJ466" i="3" s="1"/>
  <c r="V486" i="3"/>
  <c r="X486" i="3"/>
  <c r="AH448" i="3"/>
  <c r="AJ448" i="3" s="1"/>
  <c r="T472" i="3"/>
  <c r="U472" i="3"/>
  <c r="AH498" i="3"/>
  <c r="AJ498" i="3" s="1"/>
  <c r="U454" i="3"/>
  <c r="Z506" i="3"/>
  <c r="AE506" i="3"/>
  <c r="X474" i="3"/>
  <c r="AA524" i="3"/>
  <c r="AE524" i="3"/>
  <c r="Z524" i="3"/>
  <c r="AA472" i="3"/>
  <c r="AH472" i="3" s="1"/>
  <c r="AJ472" i="3" s="1"/>
  <c r="AD430" i="3"/>
  <c r="AH430" i="3" s="1"/>
  <c r="AJ430" i="3" s="1"/>
  <c r="X430" i="3"/>
  <c r="X520" i="3"/>
  <c r="AC480" i="3"/>
  <c r="V480" i="3"/>
  <c r="AH502" i="3"/>
  <c r="AJ502" i="3" s="1"/>
  <c r="AH503" i="3"/>
  <c r="AJ503" i="3" s="1"/>
  <c r="AA457" i="3"/>
  <c r="V452" i="3"/>
  <c r="AH530" i="3"/>
  <c r="AJ530" i="3" s="1"/>
  <c r="U470" i="3"/>
  <c r="AH470" i="3" s="1"/>
  <c r="AJ470" i="3" s="1"/>
  <c r="AH490" i="3"/>
  <c r="AJ490" i="3" s="1"/>
  <c r="AH480" i="3"/>
  <c r="AJ480" i="3" s="1"/>
  <c r="X438" i="3"/>
  <c r="AH438" i="3" s="1"/>
  <c r="AJ438" i="3" s="1"/>
  <c r="Y438" i="3"/>
  <c r="AB438" i="3"/>
  <c r="X502" i="3"/>
  <c r="V502" i="3"/>
  <c r="Z502" i="3"/>
  <c r="AH464" i="3"/>
  <c r="AJ464" i="3" s="1"/>
  <c r="AH528" i="3"/>
  <c r="AJ528" i="3" s="1"/>
  <c r="AD488" i="3"/>
  <c r="T488" i="3"/>
  <c r="AH488" i="3" s="1"/>
  <c r="AJ488" i="3" s="1"/>
  <c r="U488" i="3"/>
  <c r="T510" i="3"/>
  <c r="AE436" i="3"/>
  <c r="AB436" i="3"/>
  <c r="Z436" i="3"/>
  <c r="AH487" i="3"/>
  <c r="AJ487" i="3" s="1"/>
  <c r="AH527" i="3"/>
  <c r="AJ527" i="3" s="1"/>
  <c r="AH482" i="3"/>
  <c r="AJ482" i="3" s="1"/>
  <c r="U486" i="3"/>
  <c r="AH486" i="3" s="1"/>
  <c r="AJ486" i="3" s="1"/>
  <c r="AH450" i="3"/>
  <c r="AJ450" i="3" s="1"/>
  <c r="U442" i="3"/>
  <c r="U496" i="3"/>
  <c r="AD496" i="3"/>
  <c r="T496" i="3"/>
  <c r="AE496" i="3"/>
  <c r="V496" i="3"/>
  <c r="AH454" i="3"/>
  <c r="AJ454" i="3" s="1"/>
  <c r="AD457" i="3"/>
  <c r="AH458" i="3"/>
  <c r="AJ458" i="3" s="1"/>
  <c r="AA506" i="3"/>
  <c r="U510" i="3"/>
  <c r="T474" i="3"/>
  <c r="AH474" i="3" s="1"/>
  <c r="AJ474" i="3" s="1"/>
  <c r="AA522" i="3"/>
  <c r="AH522" i="3" s="1"/>
  <c r="AJ522" i="3" s="1"/>
  <c r="T442" i="3"/>
  <c r="AH442" i="3" s="1"/>
  <c r="AJ442" i="3" s="1"/>
  <c r="AR473" i="6"/>
  <c r="AT473" i="6" s="1"/>
  <c r="AR478" i="6"/>
  <c r="AT478" i="6" s="1"/>
  <c r="AR508" i="6"/>
  <c r="AT508" i="6" s="1"/>
  <c r="AR454" i="6"/>
  <c r="AT454" i="6" s="1"/>
  <c r="AR439" i="6"/>
  <c r="AT439" i="6" s="1"/>
  <c r="AR503" i="6"/>
  <c r="AT503" i="6" s="1"/>
  <c r="AR488" i="6"/>
  <c r="AT488" i="6" s="1"/>
  <c r="AR441" i="6"/>
  <c r="AT441" i="6" s="1"/>
  <c r="AR457" i="6"/>
  <c r="AT457" i="6" s="1"/>
  <c r="AR521" i="6"/>
  <c r="AT521" i="6" s="1"/>
  <c r="AR452" i="6"/>
  <c r="AT452" i="6" s="1"/>
  <c r="AR468" i="6"/>
  <c r="AT468" i="6" s="1"/>
  <c r="AR476" i="6"/>
  <c r="AT476" i="6" s="1"/>
  <c r="AR463" i="6"/>
  <c r="AT463" i="6" s="1"/>
  <c r="AR527" i="6"/>
  <c r="AT527" i="6" s="1"/>
  <c r="AR464" i="6"/>
  <c r="AT464" i="6" s="1"/>
  <c r="AR528" i="6"/>
  <c r="AT528" i="6" s="1"/>
  <c r="AR481" i="6"/>
  <c r="AT481" i="6" s="1"/>
  <c r="AR504" i="6"/>
  <c r="AT504" i="6" s="1"/>
  <c r="AR505" i="6"/>
  <c r="AT505" i="6" s="1"/>
  <c r="AR480" i="6"/>
  <c r="AT480" i="6" s="1"/>
  <c r="AR444" i="6"/>
  <c r="AT444" i="6" s="1"/>
  <c r="AR516" i="6"/>
  <c r="AT516" i="6" s="1"/>
  <c r="AR486" i="6"/>
  <c r="AT486" i="6" s="1"/>
  <c r="AR471" i="6"/>
  <c r="AT471" i="6" s="1"/>
  <c r="AR456" i="6"/>
  <c r="AT456" i="6" s="1"/>
  <c r="AR433" i="6"/>
  <c r="AT433" i="6" s="1"/>
  <c r="AR449" i="6"/>
  <c r="AT449" i="6" s="1"/>
  <c r="AR489" i="6"/>
  <c r="AT489" i="6" s="1"/>
  <c r="AR484" i="6"/>
  <c r="AT484" i="6" s="1"/>
  <c r="AR500" i="6"/>
  <c r="AT500" i="6" s="1"/>
  <c r="AR462" i="6"/>
  <c r="AT462" i="6" s="1"/>
  <c r="AR431" i="6"/>
  <c r="AT431" i="6" s="1"/>
  <c r="AR495" i="6"/>
  <c r="AT495" i="6" s="1"/>
  <c r="AR496" i="6"/>
  <c r="AT496" i="6" s="1"/>
  <c r="AR513" i="6"/>
  <c r="AT513" i="6" s="1"/>
  <c r="AR446" i="6"/>
  <c r="AT446" i="6" s="1"/>
  <c r="AR460" i="6"/>
  <c r="AT460" i="6" s="1"/>
  <c r="AF433" i="4"/>
  <c r="AH433" i="4" s="1"/>
  <c r="AF497" i="4"/>
  <c r="AH497" i="4" s="1"/>
  <c r="AF445" i="4"/>
  <c r="AH445" i="4" s="1"/>
  <c r="AF509" i="4"/>
  <c r="AH509" i="4" s="1"/>
  <c r="AF449" i="4"/>
  <c r="AH449" i="4" s="1"/>
  <c r="AF513" i="4"/>
  <c r="AH513" i="4" s="1"/>
  <c r="AF453" i="4"/>
  <c r="AH453" i="4" s="1"/>
  <c r="AF517" i="4"/>
  <c r="AH517" i="4" s="1"/>
  <c r="AF457" i="4"/>
  <c r="AH457" i="4" s="1"/>
  <c r="AF521" i="4"/>
  <c r="AH521" i="4" s="1"/>
  <c r="AF469" i="4"/>
  <c r="AH469" i="4" s="1"/>
  <c r="AF473" i="4"/>
  <c r="AH473" i="4" s="1"/>
  <c r="AF477" i="4"/>
  <c r="AH477" i="4" s="1"/>
  <c r="AF485" i="4"/>
  <c r="AH485" i="4" s="1"/>
  <c r="AF489" i="4"/>
  <c r="AH489" i="4" s="1"/>
  <c r="AH529" i="3"/>
  <c r="AJ529" i="3" s="1"/>
  <c r="AH449" i="3"/>
  <c r="AJ449" i="3" s="1"/>
  <c r="AH481" i="3"/>
  <c r="AJ481" i="3" s="1"/>
  <c r="AH505" i="3"/>
  <c r="AJ505" i="3" s="1"/>
  <c r="AH436" i="3"/>
  <c r="AJ436" i="3" s="1"/>
  <c r="AH452" i="3"/>
  <c r="AJ452" i="3" s="1"/>
  <c r="AH468" i="3"/>
  <c r="AJ468" i="3" s="1"/>
  <c r="AH484" i="3"/>
  <c r="AJ484" i="3" s="1"/>
  <c r="AH508" i="3"/>
  <c r="AJ508" i="3" s="1"/>
  <c r="AH463" i="3"/>
  <c r="AJ463" i="3" s="1"/>
  <c r="AH471" i="3"/>
  <c r="AJ471" i="3" s="1"/>
  <c r="AH492" i="3"/>
  <c r="AJ492" i="3" s="1"/>
  <c r="AH496" i="3"/>
  <c r="AJ496" i="3" s="1"/>
  <c r="AH500" i="3"/>
  <c r="AJ500" i="3" s="1"/>
  <c r="AH524" i="3"/>
  <c r="AJ524" i="3" s="1"/>
  <c r="AH441" i="3"/>
  <c r="AJ441" i="3" s="1"/>
  <c r="AH473" i="3"/>
  <c r="AJ473" i="3" s="1"/>
  <c r="AH521" i="3"/>
  <c r="AJ521" i="3" s="1"/>
  <c r="AH497" i="3"/>
  <c r="AJ497" i="3" s="1"/>
  <c r="AH431" i="3"/>
  <c r="AJ431" i="3" s="1"/>
  <c r="AH433" i="3"/>
  <c r="AJ433" i="3" s="1"/>
  <c r="AH465" i="3"/>
  <c r="AJ465" i="3" s="1"/>
  <c r="AH516" i="3"/>
  <c r="AJ516" i="3" s="1"/>
  <c r="AH444" i="3"/>
  <c r="AJ444" i="3" s="1"/>
  <c r="AH460" i="3"/>
  <c r="AJ460" i="3" s="1"/>
  <c r="AH476" i="3"/>
  <c r="AJ476" i="3" s="1"/>
  <c r="AH456" i="3"/>
  <c r="AJ456" i="3" s="1"/>
  <c r="AH520" i="3"/>
  <c r="AJ520" i="3" s="1"/>
  <c r="AH439" i="3"/>
  <c r="AJ439" i="3" s="1"/>
  <c r="AH513" i="3"/>
  <c r="AJ513" i="3" s="1"/>
  <c r="AH457" i="3"/>
  <c r="AJ457" i="3" s="1"/>
  <c r="AH489" i="3"/>
  <c r="AJ489" i="3" s="1"/>
  <c r="V451" i="2"/>
  <c r="AD451" i="2"/>
  <c r="AH443" i="2"/>
  <c r="AJ443" i="2" s="1"/>
  <c r="AH507" i="2"/>
  <c r="AJ507" i="2" s="1"/>
  <c r="AH508" i="2"/>
  <c r="AJ508" i="2" s="1"/>
  <c r="AH492" i="2"/>
  <c r="AJ492" i="2" s="1"/>
  <c r="AH439" i="2"/>
  <c r="AJ439" i="2" s="1"/>
  <c r="AA515" i="2"/>
  <c r="AH452" i="2"/>
  <c r="AJ452" i="2" s="1"/>
  <c r="AH476" i="2"/>
  <c r="AJ476" i="2" s="1"/>
  <c r="AH483" i="2"/>
  <c r="AJ483" i="2" s="1"/>
  <c r="AH438" i="2"/>
  <c r="AJ438" i="2" s="1"/>
  <c r="AH527" i="2"/>
  <c r="AJ527" i="2" s="1"/>
  <c r="X516" i="2"/>
  <c r="AH518" i="2"/>
  <c r="AJ518" i="2" s="1"/>
  <c r="AH468" i="2"/>
  <c r="AJ468" i="2" s="1"/>
  <c r="AB451" i="2"/>
  <c r="AH451" i="2" s="1"/>
  <c r="AJ451" i="2" s="1"/>
  <c r="AB515" i="2"/>
  <c r="AH515" i="2" s="1"/>
  <c r="AJ515" i="2" s="1"/>
  <c r="AA523" i="2"/>
  <c r="U523" i="2"/>
  <c r="AH523" i="2" s="1"/>
  <c r="AJ523" i="2" s="1"/>
  <c r="AH494" i="2"/>
  <c r="AJ494" i="2" s="1"/>
  <c r="AH500" i="2"/>
  <c r="AJ500" i="2" s="1"/>
  <c r="U524" i="2"/>
  <c r="AH524" i="2" s="1"/>
  <c r="AJ524" i="2" s="1"/>
  <c r="AH459" i="2"/>
  <c r="AJ459" i="2" s="1"/>
  <c r="AC467" i="2"/>
  <c r="AH491" i="2"/>
  <c r="AJ491" i="2" s="1"/>
  <c r="AH471" i="2"/>
  <c r="AJ471" i="2" s="1"/>
  <c r="AE516" i="2"/>
  <c r="AH446" i="2"/>
  <c r="AJ446" i="2" s="1"/>
  <c r="AH435" i="2"/>
  <c r="AJ435" i="2" s="1"/>
  <c r="AA467" i="2"/>
  <c r="AD475" i="2"/>
  <c r="V475" i="2"/>
  <c r="AH475" i="2" s="1"/>
  <c r="AJ475" i="2" s="1"/>
  <c r="AH430" i="2"/>
  <c r="AJ430" i="2" s="1"/>
  <c r="AH444" i="2"/>
  <c r="AJ444" i="2" s="1"/>
  <c r="AB436" i="2"/>
  <c r="T436" i="2"/>
  <c r="AH436" i="2" s="1"/>
  <c r="AJ436" i="2" s="1"/>
  <c r="AH484" i="2"/>
  <c r="AJ484" i="2" s="1"/>
  <c r="X499" i="2"/>
  <c r="AH499" i="2" s="1"/>
  <c r="AJ499" i="2" s="1"/>
  <c r="AH519" i="2"/>
  <c r="AJ519" i="2" s="1"/>
  <c r="AH460" i="2"/>
  <c r="AJ460" i="2" s="1"/>
  <c r="V24" i="11"/>
  <c r="L5" i="8"/>
  <c r="B4" i="10"/>
  <c r="V23" i="10"/>
  <c r="B5" i="10"/>
  <c r="V24" i="10"/>
  <c r="V3" i="10"/>
  <c r="V19" i="11"/>
  <c r="V5" i="10"/>
  <c r="V20" i="11"/>
  <c r="B3" i="11"/>
  <c r="V19" i="10"/>
  <c r="V21" i="11"/>
  <c r="B4" i="11"/>
  <c r="V20" i="10"/>
  <c r="V22" i="11"/>
  <c r="B5" i="11"/>
  <c r="V21" i="10"/>
  <c r="V23" i="11"/>
  <c r="B3" i="10"/>
  <c r="V22" i="10"/>
  <c r="V19" i="8"/>
  <c r="L4" i="8"/>
  <c r="L3" i="8"/>
  <c r="P429" i="3"/>
  <c r="P428" i="3"/>
  <c r="AB428" i="3" s="1"/>
  <c r="AE427" i="3"/>
  <c r="V427" i="3"/>
  <c r="U427" i="3"/>
  <c r="T427" i="3"/>
  <c r="S427" i="3"/>
  <c r="P427" i="3"/>
  <c r="Z427" i="3" s="1"/>
  <c r="P426" i="3"/>
  <c r="P425" i="3"/>
  <c r="AE425" i="3" s="1"/>
  <c r="AE424" i="3"/>
  <c r="AD424" i="3"/>
  <c r="AC424" i="3"/>
  <c r="X424" i="3"/>
  <c r="W424" i="3"/>
  <c r="P424" i="3"/>
  <c r="AB424" i="3" s="1"/>
  <c r="P423" i="3"/>
  <c r="Z423" i="3" s="1"/>
  <c r="AI422" i="3"/>
  <c r="Q422" i="3"/>
  <c r="P422" i="3"/>
  <c r="P421" i="3"/>
  <c r="AE421" i="3" s="1"/>
  <c r="AE420" i="3"/>
  <c r="AD420" i="3"/>
  <c r="AC420" i="3"/>
  <c r="W420" i="3"/>
  <c r="P420" i="3"/>
  <c r="AB420" i="3" s="1"/>
  <c r="AC419" i="3"/>
  <c r="AA419" i="3"/>
  <c r="W419" i="3"/>
  <c r="V419" i="3"/>
  <c r="U419" i="3"/>
  <c r="P419" i="3"/>
  <c r="Z419" i="3" s="1"/>
  <c r="P418" i="3"/>
  <c r="AI418" i="3" s="1"/>
  <c r="AE417" i="3"/>
  <c r="Z417" i="3"/>
  <c r="P417" i="3"/>
  <c r="P416" i="3"/>
  <c r="AB416" i="3" s="1"/>
  <c r="AE415" i="3"/>
  <c r="U415" i="3"/>
  <c r="T415" i="3"/>
  <c r="P415" i="3"/>
  <c r="Z415" i="3" s="1"/>
  <c r="AI414" i="3"/>
  <c r="P414" i="3"/>
  <c r="P413" i="3"/>
  <c r="AE413" i="3" s="1"/>
  <c r="AE412" i="3"/>
  <c r="P412" i="3"/>
  <c r="AB412" i="3" s="1"/>
  <c r="AE411" i="3"/>
  <c r="U411" i="3"/>
  <c r="T411" i="3"/>
  <c r="P411" i="3"/>
  <c r="Z411" i="3" s="1"/>
  <c r="P410" i="3"/>
  <c r="AI410" i="3" s="1"/>
  <c r="P409" i="3"/>
  <c r="AE409" i="3" s="1"/>
  <c r="AE408" i="3"/>
  <c r="AC408" i="3"/>
  <c r="P408" i="3"/>
  <c r="AB408" i="3" s="1"/>
  <c r="P407" i="3"/>
  <c r="Z407" i="3" s="1"/>
  <c r="AI406" i="3"/>
  <c r="AB406" i="3"/>
  <c r="P406" i="3"/>
  <c r="P405" i="3"/>
  <c r="Z405" i="3" s="1"/>
  <c r="AE404" i="3"/>
  <c r="AD404" i="3"/>
  <c r="AC404" i="3"/>
  <c r="X404" i="3"/>
  <c r="W404" i="3"/>
  <c r="V404" i="3"/>
  <c r="P404" i="3"/>
  <c r="AB404" i="3" s="1"/>
  <c r="AE403" i="3"/>
  <c r="AC403" i="3"/>
  <c r="AB403" i="3"/>
  <c r="AA403" i="3"/>
  <c r="U403" i="3"/>
  <c r="P403" i="3"/>
  <c r="Z403" i="3" s="1"/>
  <c r="P402" i="3"/>
  <c r="P401" i="3"/>
  <c r="AE401" i="3" s="1"/>
  <c r="P400" i="3"/>
  <c r="AB400" i="3" s="1"/>
  <c r="V399" i="3"/>
  <c r="U399" i="3"/>
  <c r="P399" i="3"/>
  <c r="Z399" i="3" s="1"/>
  <c r="P398" i="3"/>
  <c r="AI398" i="3" s="1"/>
  <c r="P397" i="3"/>
  <c r="AE397" i="3" s="1"/>
  <c r="X396" i="3"/>
  <c r="P396" i="3"/>
  <c r="AB396" i="3" s="1"/>
  <c r="AE395" i="3"/>
  <c r="AD395" i="3"/>
  <c r="AA395" i="3"/>
  <c r="U395" i="3"/>
  <c r="T395" i="3"/>
  <c r="S395" i="3"/>
  <c r="P395" i="3"/>
  <c r="Z395" i="3" s="1"/>
  <c r="AC394" i="3"/>
  <c r="U394" i="3"/>
  <c r="T394" i="3"/>
  <c r="S394" i="3"/>
  <c r="Q394" i="3"/>
  <c r="P394" i="3"/>
  <c r="AA394" i="3" s="1"/>
  <c r="P393" i="3"/>
  <c r="W392" i="3"/>
  <c r="U392" i="3"/>
  <c r="P392" i="3"/>
  <c r="T392" i="3" s="1"/>
  <c r="AD391" i="3"/>
  <c r="X391" i="3"/>
  <c r="U391" i="3"/>
  <c r="P391" i="3"/>
  <c r="AI391" i="3" s="1"/>
  <c r="AI390" i="3"/>
  <c r="Z390" i="3"/>
  <c r="Q390" i="3"/>
  <c r="P390" i="3"/>
  <c r="Y390" i="3" s="1"/>
  <c r="W389" i="3"/>
  <c r="V389" i="3"/>
  <c r="P389" i="3"/>
  <c r="AC389" i="3" s="1"/>
  <c r="AC388" i="3"/>
  <c r="V388" i="3"/>
  <c r="U388" i="3"/>
  <c r="S388" i="3"/>
  <c r="P388" i="3"/>
  <c r="AA388" i="3" s="1"/>
  <c r="AD387" i="3"/>
  <c r="Z387" i="3"/>
  <c r="V387" i="3"/>
  <c r="S387" i="3"/>
  <c r="P387" i="3"/>
  <c r="AI387" i="3" s="1"/>
  <c r="Y386" i="3"/>
  <c r="X386" i="3"/>
  <c r="Q386" i="3"/>
  <c r="P386" i="3"/>
  <c r="AI386" i="3" s="1"/>
  <c r="P385" i="3"/>
  <c r="AC385" i="3" s="1"/>
  <c r="AE384" i="3"/>
  <c r="AB384" i="3"/>
  <c r="U384" i="3"/>
  <c r="T384" i="3"/>
  <c r="P384" i="3"/>
  <c r="AA384" i="3" s="1"/>
  <c r="AC383" i="3"/>
  <c r="V383" i="3"/>
  <c r="U383" i="3"/>
  <c r="T383" i="3"/>
  <c r="Q383" i="3"/>
  <c r="P383" i="3"/>
  <c r="AI383" i="3" s="1"/>
  <c r="P382" i="3"/>
  <c r="Q382" i="3" s="1"/>
  <c r="AE381" i="3"/>
  <c r="AD381" i="3"/>
  <c r="V381" i="3"/>
  <c r="P381" i="3"/>
  <c r="AC381" i="3" s="1"/>
  <c r="AB380" i="3"/>
  <c r="X380" i="3"/>
  <c r="U380" i="3"/>
  <c r="P380" i="3"/>
  <c r="AA380" i="3" s="1"/>
  <c r="AB379" i="3"/>
  <c r="U379" i="3"/>
  <c r="T379" i="3"/>
  <c r="P379" i="3"/>
  <c r="AI379" i="3" s="1"/>
  <c r="Y378" i="3"/>
  <c r="X378" i="3"/>
  <c r="P378" i="3"/>
  <c r="AI378" i="3" s="1"/>
  <c r="X377" i="3"/>
  <c r="W377" i="3"/>
  <c r="P377" i="3"/>
  <c r="AC377" i="3" s="1"/>
  <c r="AD376" i="3"/>
  <c r="AC376" i="3"/>
  <c r="W376" i="3"/>
  <c r="T376" i="3"/>
  <c r="P376" i="3"/>
  <c r="Z376" i="3" s="1"/>
  <c r="AC375" i="3"/>
  <c r="AB375" i="3"/>
  <c r="S375" i="3"/>
  <c r="Q375" i="3"/>
  <c r="P375" i="3"/>
  <c r="AI375" i="3" s="1"/>
  <c r="P374" i="3"/>
  <c r="AI374" i="3" s="1"/>
  <c r="X373" i="3"/>
  <c r="W373" i="3"/>
  <c r="P373" i="3"/>
  <c r="AC373" i="3" s="1"/>
  <c r="AD372" i="3"/>
  <c r="P372" i="3"/>
  <c r="AA372" i="3" s="1"/>
  <c r="AC371" i="3"/>
  <c r="Z371" i="3"/>
  <c r="V371" i="3"/>
  <c r="S371" i="3"/>
  <c r="Q371" i="3"/>
  <c r="P371" i="3"/>
  <c r="AI371" i="3" s="1"/>
  <c r="P370" i="3"/>
  <c r="X370" i="3" s="1"/>
  <c r="P369" i="3"/>
  <c r="AD369" i="3" s="1"/>
  <c r="P368" i="3"/>
  <c r="AD368" i="3" s="1"/>
  <c r="U367" i="3"/>
  <c r="T367" i="3"/>
  <c r="P367" i="3"/>
  <c r="AI367" i="3" s="1"/>
  <c r="AI366" i="3"/>
  <c r="P366" i="3"/>
  <c r="S366" i="3" s="1"/>
  <c r="AE365" i="3"/>
  <c r="AD365" i="3"/>
  <c r="W365" i="3"/>
  <c r="P365" i="3"/>
  <c r="Y365" i="3" s="1"/>
  <c r="AC364" i="3"/>
  <c r="AB364" i="3"/>
  <c r="U364" i="3"/>
  <c r="T364" i="3"/>
  <c r="P364" i="3"/>
  <c r="AA364" i="3" s="1"/>
  <c r="AC363" i="3"/>
  <c r="AA363" i="3"/>
  <c r="T363" i="3"/>
  <c r="S363" i="3"/>
  <c r="Q363" i="3"/>
  <c r="P363" i="3"/>
  <c r="AI363" i="3" s="1"/>
  <c r="AI362" i="3"/>
  <c r="AD362" i="3"/>
  <c r="V362" i="3"/>
  <c r="U362" i="3"/>
  <c r="P362" i="3"/>
  <c r="X362" i="3" s="1"/>
  <c r="AC361" i="3"/>
  <c r="AB361" i="3"/>
  <c r="V361" i="3"/>
  <c r="S361" i="3"/>
  <c r="P361" i="3"/>
  <c r="Z361" i="3" s="1"/>
  <c r="AA360" i="3"/>
  <c r="Z360" i="3"/>
  <c r="Q360" i="3"/>
  <c r="P360" i="3"/>
  <c r="AI360" i="3" s="1"/>
  <c r="P359" i="3"/>
  <c r="AE359" i="3" s="1"/>
  <c r="P358" i="3"/>
  <c r="AB358" i="3" s="1"/>
  <c r="P357" i="3"/>
  <c r="Z357" i="3" s="1"/>
  <c r="P356" i="3"/>
  <c r="AI356" i="3" s="1"/>
  <c r="X355" i="3"/>
  <c r="V355" i="3"/>
  <c r="P355" i="3"/>
  <c r="AE355" i="3" s="1"/>
  <c r="AD354" i="3"/>
  <c r="P354" i="3"/>
  <c r="AC354" i="3" s="1"/>
  <c r="P353" i="3"/>
  <c r="AA353" i="3" s="1"/>
  <c r="P352" i="3"/>
  <c r="AI352" i="3" s="1"/>
  <c r="X351" i="3"/>
  <c r="V351" i="3"/>
  <c r="P351" i="3"/>
  <c r="AE351" i="3" s="1"/>
  <c r="AE350" i="3"/>
  <c r="AD350" i="3"/>
  <c r="W350" i="3"/>
  <c r="T350" i="3"/>
  <c r="P350" i="3"/>
  <c r="AB350" i="3" s="1"/>
  <c r="AD349" i="3"/>
  <c r="AC349" i="3"/>
  <c r="U349" i="3"/>
  <c r="T349" i="3"/>
  <c r="P349" i="3"/>
  <c r="AA349" i="3" s="1"/>
  <c r="AB348" i="3"/>
  <c r="Z348" i="3"/>
  <c r="Q348" i="3"/>
  <c r="P348" i="3"/>
  <c r="AI348" i="3" s="1"/>
  <c r="X347" i="3"/>
  <c r="V347" i="3"/>
  <c r="P347" i="3"/>
  <c r="AE347" i="3" s="1"/>
  <c r="AI346" i="3"/>
  <c r="W346" i="3"/>
  <c r="P346" i="3"/>
  <c r="U346" i="3" s="1"/>
  <c r="AE345" i="3"/>
  <c r="AD345" i="3"/>
  <c r="X345" i="3"/>
  <c r="W345" i="3"/>
  <c r="P345" i="3"/>
  <c r="AA345" i="3" s="1"/>
  <c r="AC344" i="3"/>
  <c r="P344" i="3"/>
  <c r="AB344" i="3" s="1"/>
  <c r="AE343" i="3"/>
  <c r="U343" i="3"/>
  <c r="T343" i="3"/>
  <c r="P343" i="3"/>
  <c r="AA343" i="3" s="1"/>
  <c r="AI342" i="3"/>
  <c r="Y342" i="3"/>
  <c r="U342" i="3"/>
  <c r="P342" i="3"/>
  <c r="AC342" i="3" s="1"/>
  <c r="U341" i="3"/>
  <c r="T341" i="3"/>
  <c r="P341" i="3"/>
  <c r="AI341" i="3" s="1"/>
  <c r="Y340" i="3"/>
  <c r="P340" i="3"/>
  <c r="W340" i="3" s="1"/>
  <c r="AD339" i="3"/>
  <c r="Z339" i="3"/>
  <c r="Q339" i="3"/>
  <c r="P339" i="3"/>
  <c r="AE339" i="3" s="1"/>
  <c r="Y338" i="3"/>
  <c r="U338" i="3"/>
  <c r="P338" i="3"/>
  <c r="AE338" i="3" s="1"/>
  <c r="U337" i="3"/>
  <c r="P337" i="3"/>
  <c r="T337" i="3" s="1"/>
  <c r="AE336" i="3"/>
  <c r="U336" i="3"/>
  <c r="S336" i="3"/>
  <c r="P336" i="3"/>
  <c r="AB336" i="3" s="1"/>
  <c r="AD335" i="3"/>
  <c r="AB335" i="3"/>
  <c r="V335" i="3"/>
  <c r="T335" i="3"/>
  <c r="Q335" i="3"/>
  <c r="P335" i="3"/>
  <c r="AA335" i="3" s="1"/>
  <c r="P334" i="3"/>
  <c r="AC334" i="3" s="1"/>
  <c r="P333" i="3"/>
  <c r="AI333" i="3" s="1"/>
  <c r="P332" i="3"/>
  <c r="P331" i="3"/>
  <c r="AD331" i="3" s="1"/>
  <c r="AI330" i="3"/>
  <c r="U330" i="3"/>
  <c r="P330" i="3"/>
  <c r="AE330" i="3" s="1"/>
  <c r="P329" i="3"/>
  <c r="Z329" i="3" s="1"/>
  <c r="P328" i="3"/>
  <c r="AC327" i="3"/>
  <c r="U327" i="3"/>
  <c r="Q327" i="3"/>
  <c r="P327" i="3"/>
  <c r="AB327" i="3" s="1"/>
  <c r="P326" i="3"/>
  <c r="AA326" i="3" s="1"/>
  <c r="AD325" i="3"/>
  <c r="P325" i="3"/>
  <c r="Z325" i="3" s="1"/>
  <c r="AC324" i="3"/>
  <c r="P324" i="3"/>
  <c r="AI324" i="3" s="1"/>
  <c r="AA323" i="3"/>
  <c r="P323" i="3"/>
  <c r="X323" i="3" s="1"/>
  <c r="U322" i="3"/>
  <c r="S322" i="3"/>
  <c r="P322" i="3"/>
  <c r="AC322" i="3" s="1"/>
  <c r="AI321" i="3"/>
  <c r="P321" i="3"/>
  <c r="Y321" i="3" s="1"/>
  <c r="P320" i="3"/>
  <c r="X319" i="3"/>
  <c r="W319" i="3"/>
  <c r="P319" i="3"/>
  <c r="AE318" i="3"/>
  <c r="AD318" i="3"/>
  <c r="P318" i="3"/>
  <c r="AA318" i="3" s="1"/>
  <c r="X317" i="3"/>
  <c r="U317" i="3"/>
  <c r="S317" i="3"/>
  <c r="P317" i="3"/>
  <c r="Z317" i="3" s="1"/>
  <c r="AC316" i="3"/>
  <c r="U316" i="3"/>
  <c r="T316" i="3"/>
  <c r="P316" i="3"/>
  <c r="AI316" i="3" s="1"/>
  <c r="P315" i="3"/>
  <c r="X315" i="3" s="1"/>
  <c r="AC314" i="3"/>
  <c r="U314" i="3"/>
  <c r="S314" i="3"/>
  <c r="Q314" i="3"/>
  <c r="P314" i="3"/>
  <c r="AE314" i="3" s="1"/>
  <c r="AI313" i="3"/>
  <c r="Y313" i="3"/>
  <c r="Q313" i="3"/>
  <c r="Z313" i="3" s="1"/>
  <c r="P313" i="3"/>
  <c r="Y312" i="3"/>
  <c r="P312" i="3"/>
  <c r="AI312" i="3" s="1"/>
  <c r="W311" i="3"/>
  <c r="P311" i="3"/>
  <c r="AB311" i="3" s="1"/>
  <c r="W310" i="3"/>
  <c r="V310" i="3"/>
  <c r="P310" i="3"/>
  <c r="AA310" i="3" s="1"/>
  <c r="AD309" i="3"/>
  <c r="V309" i="3"/>
  <c r="U309" i="3"/>
  <c r="P309" i="3"/>
  <c r="Z309" i="3" s="1"/>
  <c r="AC308" i="3"/>
  <c r="T308" i="3"/>
  <c r="Q308" i="3"/>
  <c r="P308" i="3"/>
  <c r="AI308" i="3" s="1"/>
  <c r="AB307" i="3"/>
  <c r="AA307" i="3"/>
  <c r="P307" i="3"/>
  <c r="X307" i="3" s="1"/>
  <c r="Z306" i="3"/>
  <c r="X306" i="3"/>
  <c r="P306" i="3"/>
  <c r="AE306" i="3" s="1"/>
  <c r="P305" i="3"/>
  <c r="AI304" i="3"/>
  <c r="P304" i="3"/>
  <c r="X304" i="3" s="1"/>
  <c r="P303" i="3"/>
  <c r="AD302" i="3"/>
  <c r="W302" i="3"/>
  <c r="V302" i="3"/>
  <c r="P302" i="3"/>
  <c r="AA302" i="3" s="1"/>
  <c r="AC301" i="3"/>
  <c r="AA301" i="3"/>
  <c r="U301" i="3"/>
  <c r="S301" i="3"/>
  <c r="P301" i="3"/>
  <c r="Z301" i="3" s="1"/>
  <c r="Z300" i="3"/>
  <c r="U300" i="3"/>
  <c r="P300" i="3"/>
  <c r="P299" i="3"/>
  <c r="S298" i="3"/>
  <c r="P298" i="3"/>
  <c r="AE298" i="3" s="1"/>
  <c r="Y297" i="3"/>
  <c r="P297" i="3"/>
  <c r="AI297" i="3" s="1"/>
  <c r="AA296" i="3"/>
  <c r="Z296" i="3"/>
  <c r="U296" i="3"/>
  <c r="S296" i="3"/>
  <c r="P296" i="3"/>
  <c r="AI296" i="3" s="1"/>
  <c r="AI295" i="3"/>
  <c r="Y295" i="3"/>
  <c r="P295" i="3"/>
  <c r="Y294" i="3"/>
  <c r="P294" i="3"/>
  <c r="AI294" i="3" s="1"/>
  <c r="X293" i="3"/>
  <c r="W293" i="3"/>
  <c r="S293" i="3"/>
  <c r="P293" i="3"/>
  <c r="AD293" i="3" s="1"/>
  <c r="AB292" i="3"/>
  <c r="T292" i="3"/>
  <c r="P292" i="3"/>
  <c r="AA291" i="3"/>
  <c r="W291" i="3"/>
  <c r="P291" i="3"/>
  <c r="AB291" i="3" s="1"/>
  <c r="AB290" i="3"/>
  <c r="U290" i="3"/>
  <c r="P290" i="3"/>
  <c r="AA290" i="3" s="1"/>
  <c r="AA289" i="3"/>
  <c r="P289" i="3"/>
  <c r="Z289" i="3" s="1"/>
  <c r="P288" i="3"/>
  <c r="AI288" i="3" s="1"/>
  <c r="P287" i="3"/>
  <c r="Q287" i="3" s="1"/>
  <c r="P286" i="3"/>
  <c r="Y286" i="3" s="1"/>
  <c r="X285" i="3"/>
  <c r="W285" i="3"/>
  <c r="P285" i="3"/>
  <c r="AD285" i="3" s="1"/>
  <c r="AD284" i="3"/>
  <c r="V284" i="3"/>
  <c r="P284" i="3"/>
  <c r="AC284" i="3" s="1"/>
  <c r="U283" i="3"/>
  <c r="P283" i="3"/>
  <c r="AB283" i="3" s="1"/>
  <c r="P282" i="3"/>
  <c r="AB282" i="3" s="1"/>
  <c r="P281" i="3"/>
  <c r="AB281" i="3" s="1"/>
  <c r="AE280" i="3"/>
  <c r="V280" i="3"/>
  <c r="U280" i="3"/>
  <c r="Q280" i="3"/>
  <c r="P280" i="3"/>
  <c r="AI280" i="3" s="1"/>
  <c r="P279" i="3"/>
  <c r="AI279" i="3" s="1"/>
  <c r="P278" i="3"/>
  <c r="AE277" i="3"/>
  <c r="X277" i="3"/>
  <c r="P277" i="3"/>
  <c r="AD277" i="3" s="1"/>
  <c r="P276" i="3"/>
  <c r="AC276" i="3" s="1"/>
  <c r="AD275" i="3"/>
  <c r="AA275" i="3"/>
  <c r="V275" i="3"/>
  <c r="U275" i="3"/>
  <c r="S275" i="3"/>
  <c r="P275" i="3"/>
  <c r="AB275" i="3" s="1"/>
  <c r="AC274" i="3"/>
  <c r="AB274" i="3"/>
  <c r="U274" i="3"/>
  <c r="T274" i="3"/>
  <c r="P274" i="3"/>
  <c r="AA274" i="3" s="1"/>
  <c r="AA273" i="3"/>
  <c r="P273" i="3"/>
  <c r="Z273" i="3" s="1"/>
  <c r="X272" i="3"/>
  <c r="W272" i="3"/>
  <c r="S272" i="3"/>
  <c r="Q272" i="3"/>
  <c r="P272" i="3"/>
  <c r="AI272" i="3" s="1"/>
  <c r="P271" i="3"/>
  <c r="AI271" i="3" s="1"/>
  <c r="P270" i="3"/>
  <c r="P269" i="3"/>
  <c r="AD269" i="3" s="1"/>
  <c r="AE268" i="3"/>
  <c r="AA268" i="3"/>
  <c r="P268" i="3"/>
  <c r="AC268" i="3" s="1"/>
  <c r="AD267" i="3"/>
  <c r="AC267" i="3"/>
  <c r="V267" i="3"/>
  <c r="P267" i="3"/>
  <c r="AB267" i="3" s="1"/>
  <c r="Y266" i="3"/>
  <c r="P266" i="3"/>
  <c r="AI266" i="3" s="1"/>
  <c r="P265" i="3"/>
  <c r="Z265" i="3" s="1"/>
  <c r="AE264" i="3"/>
  <c r="AA264" i="3"/>
  <c r="Z264" i="3"/>
  <c r="S264" i="3"/>
  <c r="Q264" i="3"/>
  <c r="P264" i="3"/>
  <c r="AI264" i="3" s="1"/>
  <c r="P263" i="3"/>
  <c r="AD263" i="3" s="1"/>
  <c r="P262" i="3"/>
  <c r="AI262" i="3" s="1"/>
  <c r="P261" i="3"/>
  <c r="W261" i="3" s="1"/>
  <c r="AA260" i="3"/>
  <c r="T260" i="3"/>
  <c r="P260" i="3"/>
  <c r="Z260" i="3" s="1"/>
  <c r="P259" i="3"/>
  <c r="AI259" i="3" s="1"/>
  <c r="P258" i="3"/>
  <c r="X257" i="3"/>
  <c r="P257" i="3"/>
  <c r="AE257" i="3" s="1"/>
  <c r="P256" i="3"/>
  <c r="AD256" i="3" s="1"/>
  <c r="AA255" i="3"/>
  <c r="P255" i="3"/>
  <c r="AC255" i="3" s="1"/>
  <c r="P254" i="3"/>
  <c r="AB254" i="3" s="1"/>
  <c r="P253" i="3"/>
  <c r="AB253" i="3" s="1"/>
  <c r="AA252" i="3"/>
  <c r="S252" i="3"/>
  <c r="P252" i="3"/>
  <c r="Z252" i="3" s="1"/>
  <c r="Z251" i="3"/>
  <c r="P251" i="3"/>
  <c r="AI251" i="3" s="1"/>
  <c r="P250" i="3"/>
  <c r="AI250" i="3" s="1"/>
  <c r="X249" i="3"/>
  <c r="P249" i="3"/>
  <c r="AE249" i="3" s="1"/>
  <c r="W248" i="3"/>
  <c r="P248" i="3"/>
  <c r="AD248" i="3" s="1"/>
  <c r="AA247" i="3"/>
  <c r="V247" i="3"/>
  <c r="Q247" i="3"/>
  <c r="T247" i="3" s="1"/>
  <c r="P247" i="3"/>
  <c r="AC247" i="3" s="1"/>
  <c r="P246" i="3"/>
  <c r="AB246" i="3" s="1"/>
  <c r="P245" i="3"/>
  <c r="AI245" i="3" s="1"/>
  <c r="AA244" i="3"/>
  <c r="X244" i="3"/>
  <c r="S244" i="3"/>
  <c r="P244" i="3"/>
  <c r="Z244" i="3" s="1"/>
  <c r="AA243" i="3"/>
  <c r="X243" i="3"/>
  <c r="W243" i="3"/>
  <c r="U243" i="3"/>
  <c r="Q243" i="3"/>
  <c r="AB243" i="3" s="1"/>
  <c r="P243" i="3"/>
  <c r="AI243" i="3" s="1"/>
  <c r="P242" i="3"/>
  <c r="AI242" i="3" s="1"/>
  <c r="P241" i="3"/>
  <c r="AE241" i="3" s="1"/>
  <c r="AE240" i="3"/>
  <c r="AC240" i="3"/>
  <c r="W240" i="3"/>
  <c r="T240" i="3"/>
  <c r="S240" i="3"/>
  <c r="P240" i="3"/>
  <c r="AD240" i="3" s="1"/>
  <c r="AD239" i="3"/>
  <c r="AA239" i="3"/>
  <c r="Z239" i="3"/>
  <c r="V239" i="3"/>
  <c r="S239" i="3"/>
  <c r="Q239" i="3"/>
  <c r="AB239" i="3" s="1"/>
  <c r="P239" i="3"/>
  <c r="AC239" i="3" s="1"/>
  <c r="AA238" i="3"/>
  <c r="U238" i="3"/>
  <c r="S238" i="3"/>
  <c r="Q238" i="3"/>
  <c r="P238" i="3"/>
  <c r="AB238" i="3" s="1"/>
  <c r="AI237" i="3"/>
  <c r="AB237" i="3"/>
  <c r="P237" i="3"/>
  <c r="AA236" i="3"/>
  <c r="P236" i="3"/>
  <c r="Z236" i="3" s="1"/>
  <c r="AD235" i="3"/>
  <c r="AC235" i="3"/>
  <c r="W235" i="3"/>
  <c r="T235" i="3"/>
  <c r="S235" i="3"/>
  <c r="Q235" i="3"/>
  <c r="P235" i="3"/>
  <c r="AI235" i="3" s="1"/>
  <c r="AD234" i="3"/>
  <c r="P234" i="3"/>
  <c r="AC233" i="3"/>
  <c r="W233" i="3"/>
  <c r="T233" i="3"/>
  <c r="P233" i="3"/>
  <c r="AE233" i="3" s="1"/>
  <c r="AB232" i="3"/>
  <c r="AA232" i="3"/>
  <c r="W232" i="3"/>
  <c r="T232" i="3"/>
  <c r="S232" i="3"/>
  <c r="Q232" i="3"/>
  <c r="P232" i="3"/>
  <c r="Z232" i="3" s="1"/>
  <c r="S231" i="3"/>
  <c r="P231" i="3"/>
  <c r="AC231" i="3" s="1"/>
  <c r="AC230" i="3"/>
  <c r="Z230" i="3"/>
  <c r="U230" i="3"/>
  <c r="Q230" i="3"/>
  <c r="P230" i="3"/>
  <c r="P229" i="3"/>
  <c r="AA228" i="3"/>
  <c r="X228" i="3"/>
  <c r="S228" i="3"/>
  <c r="P228" i="3"/>
  <c r="Z228" i="3" s="1"/>
  <c r="AE227" i="3"/>
  <c r="X227" i="3"/>
  <c r="V227" i="3"/>
  <c r="U227" i="3"/>
  <c r="Q227" i="3"/>
  <c r="AD227" i="3" s="1"/>
  <c r="P227" i="3"/>
  <c r="AI227" i="3" s="1"/>
  <c r="AD226" i="3"/>
  <c r="P226" i="3"/>
  <c r="AI226" i="3" s="1"/>
  <c r="P225" i="3"/>
  <c r="U225" i="3" s="1"/>
  <c r="P224" i="3"/>
  <c r="Z224" i="3" s="1"/>
  <c r="P223" i="3"/>
  <c r="AI223" i="3" s="1"/>
  <c r="P222" i="3"/>
  <c r="AI222" i="3" s="1"/>
  <c r="P221" i="3"/>
  <c r="AC221" i="3" s="1"/>
  <c r="AE220" i="3"/>
  <c r="X220" i="3"/>
  <c r="W220" i="3"/>
  <c r="U220" i="3"/>
  <c r="T220" i="3"/>
  <c r="P220" i="3"/>
  <c r="AC220" i="3" s="1"/>
  <c r="P219" i="3"/>
  <c r="Z219" i="3" s="1"/>
  <c r="AA218" i="3"/>
  <c r="V218" i="3"/>
  <c r="U218" i="3"/>
  <c r="Q218" i="3"/>
  <c r="AB218" i="3" s="1"/>
  <c r="P218" i="3"/>
  <c r="AI218" i="3" s="1"/>
  <c r="T217" i="3"/>
  <c r="P217" i="3"/>
  <c r="AA217" i="3" s="1"/>
  <c r="AA216" i="3"/>
  <c r="X216" i="3"/>
  <c r="S216" i="3"/>
  <c r="P216" i="3"/>
  <c r="Z216" i="3" s="1"/>
  <c r="T215" i="3"/>
  <c r="P215" i="3"/>
  <c r="AI215" i="3" s="1"/>
  <c r="P214" i="3"/>
  <c r="AI214" i="3" s="1"/>
  <c r="AC213" i="3"/>
  <c r="X213" i="3"/>
  <c r="U213" i="3"/>
  <c r="P213" i="3"/>
  <c r="AD213" i="3" s="1"/>
  <c r="AB212" i="3"/>
  <c r="AA212" i="3"/>
  <c r="U212" i="3"/>
  <c r="S212" i="3"/>
  <c r="P212" i="3"/>
  <c r="AD212" i="3" s="1"/>
  <c r="AE211" i="3"/>
  <c r="AC211" i="3"/>
  <c r="AB211" i="3"/>
  <c r="Z211" i="3"/>
  <c r="V211" i="3"/>
  <c r="U211" i="3"/>
  <c r="T211" i="3"/>
  <c r="S211" i="3"/>
  <c r="Q211" i="3"/>
  <c r="AD211" i="3" s="1"/>
  <c r="P211" i="3"/>
  <c r="AI211" i="3" s="1"/>
  <c r="AC210" i="3"/>
  <c r="AA210" i="3"/>
  <c r="V210" i="3"/>
  <c r="U210" i="3"/>
  <c r="S210" i="3"/>
  <c r="Q210" i="3"/>
  <c r="AB210" i="3" s="1"/>
  <c r="P210" i="3"/>
  <c r="AI210" i="3" s="1"/>
  <c r="AB209" i="3"/>
  <c r="T209" i="3"/>
  <c r="P209" i="3"/>
  <c r="AA209" i="3" s="1"/>
  <c r="X208" i="3"/>
  <c r="P208" i="3"/>
  <c r="Z208" i="3" s="1"/>
  <c r="Z207" i="3"/>
  <c r="S207" i="3"/>
  <c r="P207" i="3"/>
  <c r="AI207" i="3" s="1"/>
  <c r="P206" i="3"/>
  <c r="AI206" i="3" s="1"/>
  <c r="V205" i="3"/>
  <c r="P205" i="3"/>
  <c r="AE205" i="3" s="1"/>
  <c r="AE204" i="3"/>
  <c r="AC204" i="3"/>
  <c r="X204" i="3"/>
  <c r="V204" i="3"/>
  <c r="U204" i="3"/>
  <c r="S204" i="3"/>
  <c r="P204" i="3"/>
  <c r="Z204" i="3" s="1"/>
  <c r="AD203" i="3"/>
  <c r="W203" i="3"/>
  <c r="T203" i="3"/>
  <c r="P203" i="3"/>
  <c r="AI203" i="3" s="1"/>
  <c r="AC202" i="3"/>
  <c r="Z202" i="3"/>
  <c r="U202" i="3"/>
  <c r="T202" i="3"/>
  <c r="Q202" i="3"/>
  <c r="P202" i="3"/>
  <c r="AI202" i="3" s="1"/>
  <c r="P201" i="3"/>
  <c r="AA201" i="3" s="1"/>
  <c r="AA200" i="3"/>
  <c r="X200" i="3"/>
  <c r="S200" i="3"/>
  <c r="P200" i="3"/>
  <c r="Z200" i="3" s="1"/>
  <c r="Z199" i="3"/>
  <c r="S199" i="3"/>
  <c r="P199" i="3"/>
  <c r="AI199" i="3" s="1"/>
  <c r="P198" i="3"/>
  <c r="AC197" i="3"/>
  <c r="U197" i="3"/>
  <c r="P197" i="3"/>
  <c r="AE197" i="3" s="1"/>
  <c r="AB196" i="3"/>
  <c r="V196" i="3"/>
  <c r="P196" i="3"/>
  <c r="Z196" i="3" s="1"/>
  <c r="P195" i="3"/>
  <c r="AI195" i="3" s="1"/>
  <c r="P194" i="3"/>
  <c r="AB194" i="3" s="1"/>
  <c r="P193" i="3"/>
  <c r="AB193" i="3" s="1"/>
  <c r="S192" i="3"/>
  <c r="P192" i="3"/>
  <c r="Z192" i="3" s="1"/>
  <c r="P191" i="3"/>
  <c r="AI191" i="3" s="1"/>
  <c r="P190" i="3"/>
  <c r="AI190" i="3" s="1"/>
  <c r="X189" i="3"/>
  <c r="T189" i="3"/>
  <c r="P189" i="3"/>
  <c r="AE189" i="3" s="1"/>
  <c r="AE188" i="3"/>
  <c r="W188" i="3"/>
  <c r="T188" i="3"/>
  <c r="P188" i="3"/>
  <c r="AD188" i="3" s="1"/>
  <c r="AD187" i="3"/>
  <c r="AA187" i="3"/>
  <c r="W187" i="3"/>
  <c r="V187" i="3"/>
  <c r="U187" i="3"/>
  <c r="T187" i="3"/>
  <c r="S187" i="3"/>
  <c r="Q187" i="3"/>
  <c r="AB187" i="3" s="1"/>
  <c r="P187" i="3"/>
  <c r="AI187" i="3" s="1"/>
  <c r="AC186" i="3"/>
  <c r="Q186" i="3"/>
  <c r="AA186" i="3" s="1"/>
  <c r="P186" i="3"/>
  <c r="AB186" i="3" s="1"/>
  <c r="AB185" i="3"/>
  <c r="T185" i="3"/>
  <c r="P185" i="3"/>
  <c r="AA185" i="3" s="1"/>
  <c r="AA184" i="3"/>
  <c r="S184" i="3"/>
  <c r="P184" i="3"/>
  <c r="Z184" i="3" s="1"/>
  <c r="P183" i="3"/>
  <c r="V182" i="3"/>
  <c r="P182" i="3"/>
  <c r="AI182" i="3" s="1"/>
  <c r="AC181" i="3"/>
  <c r="X181" i="3"/>
  <c r="T181" i="3"/>
  <c r="P181" i="3"/>
  <c r="U181" i="3" s="1"/>
  <c r="AC180" i="3"/>
  <c r="AB180" i="3"/>
  <c r="AA180" i="3"/>
  <c r="W180" i="3"/>
  <c r="T180" i="3"/>
  <c r="S180" i="3"/>
  <c r="P180" i="3"/>
  <c r="AD180" i="3" s="1"/>
  <c r="AE179" i="3"/>
  <c r="AD179" i="3"/>
  <c r="AC179" i="3"/>
  <c r="AB179" i="3"/>
  <c r="Z179" i="3"/>
  <c r="W179" i="3"/>
  <c r="U179" i="3"/>
  <c r="T179" i="3"/>
  <c r="S179" i="3"/>
  <c r="Q179" i="3"/>
  <c r="P179" i="3"/>
  <c r="AI179" i="3" s="1"/>
  <c r="AC178" i="3"/>
  <c r="U178" i="3"/>
  <c r="P178" i="3"/>
  <c r="AB178" i="3" s="1"/>
  <c r="P177" i="3"/>
  <c r="AA176" i="3"/>
  <c r="X176" i="3"/>
  <c r="S176" i="3"/>
  <c r="P176" i="3"/>
  <c r="Z176" i="3" s="1"/>
  <c r="AE175" i="3"/>
  <c r="AB175" i="3"/>
  <c r="V175" i="3"/>
  <c r="S175" i="3"/>
  <c r="P175" i="3"/>
  <c r="AI175" i="3" s="1"/>
  <c r="P174" i="3"/>
  <c r="P173" i="3"/>
  <c r="AA173" i="3" s="1"/>
  <c r="W172" i="3"/>
  <c r="S172" i="3"/>
  <c r="P172" i="3"/>
  <c r="AD172" i="3" s="1"/>
  <c r="P171" i="3"/>
  <c r="P170" i="3"/>
  <c r="AB170" i="3" s="1"/>
  <c r="T169" i="3"/>
  <c r="P169" i="3"/>
  <c r="AA169" i="3" s="1"/>
  <c r="P168" i="3"/>
  <c r="AA168" i="3" s="1"/>
  <c r="P167" i="3"/>
  <c r="P166" i="3"/>
  <c r="Y166" i="3" s="1"/>
  <c r="AC165" i="3"/>
  <c r="Z165" i="3"/>
  <c r="W165" i="3"/>
  <c r="T165" i="3"/>
  <c r="Q165" i="3"/>
  <c r="P165" i="3"/>
  <c r="AA165" i="3" s="1"/>
  <c r="AD164" i="3"/>
  <c r="W164" i="3"/>
  <c r="U164" i="3"/>
  <c r="T164" i="3"/>
  <c r="P164" i="3"/>
  <c r="AA164" i="3" s="1"/>
  <c r="AD163" i="3"/>
  <c r="AA163" i="3"/>
  <c r="V163" i="3"/>
  <c r="T163" i="3"/>
  <c r="P163" i="3"/>
  <c r="AC162" i="3"/>
  <c r="AA162" i="3"/>
  <c r="W162" i="3"/>
  <c r="Q162" i="3"/>
  <c r="AB162" i="3" s="1"/>
  <c r="P162" i="3"/>
  <c r="AI162" i="3" s="1"/>
  <c r="P161" i="3"/>
  <c r="AB161" i="3" s="1"/>
  <c r="X160" i="3"/>
  <c r="U160" i="3"/>
  <c r="S160" i="3"/>
  <c r="Q160" i="3"/>
  <c r="P160" i="3"/>
  <c r="AA160" i="3" s="1"/>
  <c r="P159" i="3"/>
  <c r="AI159" i="3" s="1"/>
  <c r="P158" i="3"/>
  <c r="AI158" i="3" s="1"/>
  <c r="P157" i="3"/>
  <c r="AD157" i="3" s="1"/>
  <c r="AD156" i="3"/>
  <c r="AB156" i="3"/>
  <c r="AA156" i="3"/>
  <c r="T156" i="3"/>
  <c r="S156" i="3"/>
  <c r="P156" i="3"/>
  <c r="AC156" i="3" s="1"/>
  <c r="P155" i="3"/>
  <c r="AB155" i="3" s="1"/>
  <c r="P154" i="3"/>
  <c r="AA154" i="3" s="1"/>
  <c r="P153" i="3"/>
  <c r="AA153" i="3" s="1"/>
  <c r="AE152" i="3"/>
  <c r="AD152" i="3"/>
  <c r="AC152" i="3"/>
  <c r="Z152" i="3"/>
  <c r="X152" i="3"/>
  <c r="V152" i="3"/>
  <c r="U152" i="3"/>
  <c r="S152" i="3"/>
  <c r="Q152" i="3"/>
  <c r="P152" i="3"/>
  <c r="AI152" i="3" s="1"/>
  <c r="AE151" i="3"/>
  <c r="Q151" i="3"/>
  <c r="P151" i="3"/>
  <c r="AI151" i="3" s="1"/>
  <c r="P150" i="3"/>
  <c r="AE149" i="3"/>
  <c r="AA149" i="3"/>
  <c r="Z149" i="3"/>
  <c r="W149" i="3"/>
  <c r="U149" i="3"/>
  <c r="S149" i="3"/>
  <c r="Q149" i="3"/>
  <c r="P149" i="3"/>
  <c r="AD149" i="3" s="1"/>
  <c r="AE148" i="3"/>
  <c r="AA148" i="3"/>
  <c r="V148" i="3"/>
  <c r="U148" i="3"/>
  <c r="S148" i="3"/>
  <c r="P148" i="3"/>
  <c r="W148" i="3" s="1"/>
  <c r="AC147" i="3"/>
  <c r="AB147" i="3"/>
  <c r="AA147" i="3"/>
  <c r="V147" i="3"/>
  <c r="T147" i="3"/>
  <c r="S147" i="3"/>
  <c r="P147" i="3"/>
  <c r="Z147" i="3" s="1"/>
  <c r="AC146" i="3"/>
  <c r="V146" i="3"/>
  <c r="U146" i="3"/>
  <c r="Q146" i="3"/>
  <c r="AB146" i="3" s="1"/>
  <c r="P146" i="3"/>
  <c r="AI146" i="3" s="1"/>
  <c r="P145" i="3"/>
  <c r="AA145" i="3" s="1"/>
  <c r="P144" i="3"/>
  <c r="AI144" i="3" s="1"/>
  <c r="P143" i="3"/>
  <c r="AI143" i="3" s="1"/>
  <c r="Y142" i="3"/>
  <c r="P142" i="3"/>
  <c r="P141" i="3"/>
  <c r="AE141" i="3" s="1"/>
  <c r="AA140" i="3"/>
  <c r="U140" i="3"/>
  <c r="P140" i="3"/>
  <c r="Z140" i="3" s="1"/>
  <c r="AC139" i="3"/>
  <c r="Z139" i="3"/>
  <c r="T139" i="3"/>
  <c r="Q139" i="3"/>
  <c r="P139" i="3"/>
  <c r="AI139" i="3" s="1"/>
  <c r="AB138" i="3"/>
  <c r="T138" i="3"/>
  <c r="Q138" i="3"/>
  <c r="AA138" i="3" s="1"/>
  <c r="P138" i="3"/>
  <c r="AI138" i="3" s="1"/>
  <c r="P137" i="3"/>
  <c r="AB137" i="3" s="1"/>
  <c r="P136" i="3"/>
  <c r="AI136" i="3" s="1"/>
  <c r="Q135" i="3"/>
  <c r="AB135" i="3" s="1"/>
  <c r="P135" i="3"/>
  <c r="AI135" i="3" s="1"/>
  <c r="P134" i="3"/>
  <c r="Y134" i="3" s="1"/>
  <c r="P133" i="3"/>
  <c r="AE133" i="3" s="1"/>
  <c r="AE132" i="3"/>
  <c r="W132" i="3"/>
  <c r="P132" i="3"/>
  <c r="AD132" i="3" s="1"/>
  <c r="AD131" i="3"/>
  <c r="AA131" i="3"/>
  <c r="T131" i="3"/>
  <c r="S131" i="3"/>
  <c r="P131" i="3"/>
  <c r="AC131" i="3" s="1"/>
  <c r="AE130" i="3"/>
  <c r="AC130" i="3"/>
  <c r="AA130" i="3"/>
  <c r="W130" i="3"/>
  <c r="S130" i="3"/>
  <c r="Q130" i="3"/>
  <c r="Z130" i="3" s="1"/>
  <c r="P130" i="3"/>
  <c r="P129" i="3"/>
  <c r="AA129" i="3" s="1"/>
  <c r="P128" i="3"/>
  <c r="Z128" i="3" s="1"/>
  <c r="AE127" i="3"/>
  <c r="AA127" i="3"/>
  <c r="Z127" i="3"/>
  <c r="U127" i="3"/>
  <c r="T127" i="3"/>
  <c r="S127" i="3"/>
  <c r="Q127" i="3"/>
  <c r="P127" i="3"/>
  <c r="AI127" i="3" s="1"/>
  <c r="AI126" i="3"/>
  <c r="Y126" i="3"/>
  <c r="P126" i="3"/>
  <c r="P125" i="3"/>
  <c r="AI125" i="3" s="1"/>
  <c r="AB124" i="3"/>
  <c r="Q124" i="3"/>
  <c r="P124" i="3"/>
  <c r="AD124" i="3" s="1"/>
  <c r="AA123" i="3"/>
  <c r="P123" i="3"/>
  <c r="AC123" i="3" s="1"/>
  <c r="P122" i="3"/>
  <c r="AI122" i="3" s="1"/>
  <c r="P121" i="3"/>
  <c r="AA121" i="3" s="1"/>
  <c r="S120" i="3"/>
  <c r="P120" i="3"/>
  <c r="AD120" i="3" s="1"/>
  <c r="AD119" i="3"/>
  <c r="W119" i="3"/>
  <c r="V119" i="3"/>
  <c r="T119" i="3"/>
  <c r="P119" i="3"/>
  <c r="AI119" i="3" s="1"/>
  <c r="P118" i="3"/>
  <c r="AD117" i="3"/>
  <c r="Z117" i="3"/>
  <c r="Q117" i="3"/>
  <c r="P117" i="3"/>
  <c r="AE117" i="3" s="1"/>
  <c r="P116" i="3"/>
  <c r="AD116" i="3" s="1"/>
  <c r="Z115" i="3"/>
  <c r="V115" i="3"/>
  <c r="T115" i="3"/>
  <c r="P115" i="3"/>
  <c r="AI115" i="3" s="1"/>
  <c r="AB114" i="3"/>
  <c r="AA114" i="3"/>
  <c r="U114" i="3"/>
  <c r="T114" i="3"/>
  <c r="S114" i="3"/>
  <c r="Q114" i="3"/>
  <c r="P114" i="3"/>
  <c r="AI114" i="3" s="1"/>
  <c r="AB113" i="3"/>
  <c r="T113" i="3"/>
  <c r="P113" i="3"/>
  <c r="AA113" i="3" s="1"/>
  <c r="AA112" i="3"/>
  <c r="Q112" i="3"/>
  <c r="P112" i="3"/>
  <c r="AI112" i="3" s="1"/>
  <c r="T111" i="3"/>
  <c r="P111" i="3"/>
  <c r="AI111" i="3" s="1"/>
  <c r="Y110" i="3"/>
  <c r="P110" i="3"/>
  <c r="AC109" i="3"/>
  <c r="AB109" i="3"/>
  <c r="Z109" i="3"/>
  <c r="X109" i="3"/>
  <c r="W109" i="3"/>
  <c r="U109" i="3"/>
  <c r="S109" i="3"/>
  <c r="Q109" i="3"/>
  <c r="P109" i="3"/>
  <c r="AE109" i="3" s="1"/>
  <c r="P108" i="3"/>
  <c r="AD108" i="3" s="1"/>
  <c r="AA107" i="3"/>
  <c r="S107" i="3"/>
  <c r="P107" i="3"/>
  <c r="AC107" i="3" s="1"/>
  <c r="T106" i="3"/>
  <c r="P106" i="3"/>
  <c r="AI106" i="3" s="1"/>
  <c r="P105" i="3"/>
  <c r="AA105" i="3" s="1"/>
  <c r="X104" i="3"/>
  <c r="S104" i="3"/>
  <c r="P104" i="3"/>
  <c r="Z104" i="3" s="1"/>
  <c r="AE103" i="3"/>
  <c r="Q103" i="3"/>
  <c r="P103" i="3"/>
  <c r="AI103" i="3" s="1"/>
  <c r="P102" i="3"/>
  <c r="AC101" i="3"/>
  <c r="U101" i="3"/>
  <c r="Q101" i="3"/>
  <c r="T101" i="3" s="1"/>
  <c r="P101" i="3"/>
  <c r="AE101" i="3" s="1"/>
  <c r="AB100" i="3"/>
  <c r="W100" i="3"/>
  <c r="Q100" i="3"/>
  <c r="P100" i="3"/>
  <c r="AI100" i="3" s="1"/>
  <c r="AA99" i="3"/>
  <c r="V99" i="3"/>
  <c r="P99" i="3"/>
  <c r="AC99" i="3" s="1"/>
  <c r="P98" i="3"/>
  <c r="AA98" i="3" s="1"/>
  <c r="AB97" i="3"/>
  <c r="S97" i="3"/>
  <c r="P97" i="3"/>
  <c r="Z97" i="3" s="1"/>
  <c r="AB96" i="3"/>
  <c r="AA96" i="3"/>
  <c r="Z96" i="3"/>
  <c r="V96" i="3"/>
  <c r="S96" i="3"/>
  <c r="Q96" i="3"/>
  <c r="P96" i="3"/>
  <c r="AI96" i="3" s="1"/>
  <c r="AC95" i="3"/>
  <c r="Q95" i="3"/>
  <c r="P95" i="3"/>
  <c r="AI95" i="3" s="1"/>
  <c r="Y94" i="3"/>
  <c r="P94" i="3"/>
  <c r="AI94" i="3" s="1"/>
  <c r="P93" i="3"/>
  <c r="AE93" i="3" s="1"/>
  <c r="AA92" i="3"/>
  <c r="Q92" i="3"/>
  <c r="U92" i="3" s="1"/>
  <c r="P92" i="3"/>
  <c r="AC92" i="3" s="1"/>
  <c r="V91" i="3"/>
  <c r="P91" i="3"/>
  <c r="AC91" i="3" s="1"/>
  <c r="U90" i="3"/>
  <c r="P90" i="3"/>
  <c r="Z90" i="3" s="1"/>
  <c r="U89" i="3"/>
  <c r="T89" i="3"/>
  <c r="Q89" i="3"/>
  <c r="P89" i="3"/>
  <c r="Z89" i="3" s="1"/>
  <c r="Z88" i="3"/>
  <c r="V88" i="3"/>
  <c r="T88" i="3"/>
  <c r="S88" i="3"/>
  <c r="P88" i="3"/>
  <c r="AI88" i="3" s="1"/>
  <c r="AB87" i="3"/>
  <c r="AA87" i="3"/>
  <c r="S87" i="3"/>
  <c r="Q87" i="3"/>
  <c r="T87" i="3" s="1"/>
  <c r="P87" i="3"/>
  <c r="AI87" i="3" s="1"/>
  <c r="P86" i="3"/>
  <c r="AI86" i="3" s="1"/>
  <c r="AD85" i="3"/>
  <c r="X85" i="3"/>
  <c r="V85" i="3"/>
  <c r="P85" i="3"/>
  <c r="AE85" i="3" s="1"/>
  <c r="AD84" i="3"/>
  <c r="X84" i="3"/>
  <c r="Q84" i="3"/>
  <c r="Z84" i="3" s="1"/>
  <c r="P84" i="3"/>
  <c r="AI84" i="3" s="1"/>
  <c r="S83" i="3"/>
  <c r="P83" i="3"/>
  <c r="X83" i="3" s="1"/>
  <c r="Z82" i="3"/>
  <c r="X82" i="3"/>
  <c r="T82" i="3"/>
  <c r="S82" i="3"/>
  <c r="P82" i="3"/>
  <c r="AE82" i="3" s="1"/>
  <c r="P81" i="3"/>
  <c r="AD81" i="3" s="1"/>
  <c r="AD80" i="3"/>
  <c r="AA80" i="3"/>
  <c r="V80" i="3"/>
  <c r="S80" i="3"/>
  <c r="P80" i="3"/>
  <c r="AC80" i="3" s="1"/>
  <c r="Z79" i="3"/>
  <c r="X79" i="3"/>
  <c r="U79" i="3"/>
  <c r="Q79" i="3"/>
  <c r="P79" i="3"/>
  <c r="AB79" i="3" s="1"/>
  <c r="AD78" i="3"/>
  <c r="V78" i="3"/>
  <c r="T78" i="3"/>
  <c r="P78" i="3"/>
  <c r="AA78" i="3" s="1"/>
  <c r="AE77" i="3"/>
  <c r="AD77" i="3"/>
  <c r="X77" i="3"/>
  <c r="W77" i="3"/>
  <c r="U77" i="3"/>
  <c r="T77" i="3"/>
  <c r="P77" i="3"/>
  <c r="Z77" i="3" s="1"/>
  <c r="P76" i="3"/>
  <c r="AI76" i="3" s="1"/>
  <c r="AA75" i="3"/>
  <c r="P75" i="3"/>
  <c r="X75" i="3" s="1"/>
  <c r="P74" i="3"/>
  <c r="AE74" i="3" s="1"/>
  <c r="P73" i="3"/>
  <c r="AD73" i="3" s="1"/>
  <c r="X72" i="3"/>
  <c r="S72" i="3"/>
  <c r="P72" i="3"/>
  <c r="AC72" i="3" s="1"/>
  <c r="Z71" i="3"/>
  <c r="X71" i="3"/>
  <c r="U71" i="3"/>
  <c r="Q71" i="3"/>
  <c r="P71" i="3"/>
  <c r="AB71" i="3" s="1"/>
  <c r="AD70" i="3"/>
  <c r="V70" i="3"/>
  <c r="T70" i="3"/>
  <c r="P70" i="3"/>
  <c r="AA70" i="3" s="1"/>
  <c r="W69" i="3"/>
  <c r="P69" i="3"/>
  <c r="AE69" i="3" s="1"/>
  <c r="P68" i="3"/>
  <c r="AI68" i="3" s="1"/>
  <c r="P67" i="3"/>
  <c r="X67" i="3" s="1"/>
  <c r="P66" i="3"/>
  <c r="AE66" i="3" s="1"/>
  <c r="P65" i="3"/>
  <c r="AD65" i="3" s="1"/>
  <c r="AD64" i="3"/>
  <c r="AA64" i="3"/>
  <c r="V64" i="3"/>
  <c r="S64" i="3"/>
  <c r="P64" i="3"/>
  <c r="AC64" i="3" s="1"/>
  <c r="AE63" i="3"/>
  <c r="Q63" i="3"/>
  <c r="Z63" i="3" s="1"/>
  <c r="P63" i="3"/>
  <c r="AB63" i="3" s="1"/>
  <c r="AB62" i="3"/>
  <c r="V62" i="3"/>
  <c r="P62" i="3"/>
  <c r="AA62" i="3" s="1"/>
  <c r="AC61" i="3"/>
  <c r="AA61" i="3"/>
  <c r="W61" i="3"/>
  <c r="U61" i="3"/>
  <c r="P61" i="3"/>
  <c r="Z61" i="3" s="1"/>
  <c r="P60" i="3"/>
  <c r="AD60" i="3" s="1"/>
  <c r="AA59" i="3"/>
  <c r="P59" i="3"/>
  <c r="X59" i="3" s="1"/>
  <c r="AA58" i="3"/>
  <c r="Z58" i="3"/>
  <c r="U58" i="3"/>
  <c r="T58" i="3"/>
  <c r="P58" i="3"/>
  <c r="AE58" i="3" s="1"/>
  <c r="P57" i="3"/>
  <c r="Y57" i="3" s="1"/>
  <c r="P56" i="3"/>
  <c r="P55" i="3"/>
  <c r="P54" i="3"/>
  <c r="AD53" i="3"/>
  <c r="AB53" i="3"/>
  <c r="X53" i="3"/>
  <c r="V53" i="3"/>
  <c r="T53" i="3"/>
  <c r="S53" i="3"/>
  <c r="P53" i="3"/>
  <c r="Z53" i="3" s="1"/>
  <c r="AB52" i="3"/>
  <c r="W52" i="3"/>
  <c r="Q52" i="3"/>
  <c r="P52" i="3"/>
  <c r="AI52" i="3" s="1"/>
  <c r="P51" i="3"/>
  <c r="X51" i="3" s="1"/>
  <c r="AC50" i="3"/>
  <c r="U50" i="3"/>
  <c r="T50" i="3"/>
  <c r="Q50" i="3"/>
  <c r="P50" i="3"/>
  <c r="AE50" i="3" s="1"/>
  <c r="AI49" i="3"/>
  <c r="Y49" i="3"/>
  <c r="P49" i="3"/>
  <c r="AA48" i="3"/>
  <c r="U48" i="3"/>
  <c r="P48" i="3"/>
  <c r="X48" i="3" s="1"/>
  <c r="X47" i="3"/>
  <c r="W47" i="3"/>
  <c r="T47" i="3"/>
  <c r="Q47" i="3"/>
  <c r="Z47" i="3" s="1"/>
  <c r="P47" i="3"/>
  <c r="AA47" i="3" s="1"/>
  <c r="AD46" i="3"/>
  <c r="V46" i="3"/>
  <c r="T46" i="3"/>
  <c r="P46" i="3"/>
  <c r="AA46" i="3" s="1"/>
  <c r="V45" i="3"/>
  <c r="P45" i="3"/>
  <c r="AE44" i="3"/>
  <c r="AC44" i="3"/>
  <c r="AB44" i="3"/>
  <c r="V44" i="3"/>
  <c r="U44" i="3"/>
  <c r="S44" i="3"/>
  <c r="Q44" i="3"/>
  <c r="P44" i="3"/>
  <c r="AI44" i="3" s="1"/>
  <c r="P43" i="3"/>
  <c r="AC42" i="3"/>
  <c r="X42" i="3"/>
  <c r="S42" i="3"/>
  <c r="P42" i="3"/>
  <c r="AE42" i="3" s="1"/>
  <c r="P41" i="3"/>
  <c r="Y41" i="3" s="1"/>
  <c r="P40" i="3"/>
  <c r="AD40" i="3" s="1"/>
  <c r="AE39" i="3"/>
  <c r="Z39" i="3"/>
  <c r="W39" i="3"/>
  <c r="U39" i="3"/>
  <c r="Q39" i="3"/>
  <c r="P39" i="3"/>
  <c r="AB39" i="3" s="1"/>
  <c r="AD38" i="3"/>
  <c r="V38" i="3"/>
  <c r="P38" i="3"/>
  <c r="AA38" i="3" s="1"/>
  <c r="P37" i="3"/>
  <c r="AE37" i="3" s="1"/>
  <c r="U36" i="3"/>
  <c r="P36" i="3"/>
  <c r="AA35" i="3"/>
  <c r="P35" i="3"/>
  <c r="X35" i="3" s="1"/>
  <c r="U34" i="3"/>
  <c r="P34" i="3"/>
  <c r="AI33" i="3"/>
  <c r="P33" i="3"/>
  <c r="Y33" i="3" s="1"/>
  <c r="AD32" i="3"/>
  <c r="V32" i="3"/>
  <c r="S32" i="3"/>
  <c r="P32" i="3"/>
  <c r="AE31" i="3"/>
  <c r="AC31" i="3"/>
  <c r="Z31" i="3"/>
  <c r="Q31" i="3"/>
  <c r="U31" i="3" s="1"/>
  <c r="P31" i="3"/>
  <c r="AB31" i="3" s="1"/>
  <c r="AD30" i="3"/>
  <c r="AB30" i="3"/>
  <c r="V30" i="3"/>
  <c r="T30" i="3"/>
  <c r="P30" i="3"/>
  <c r="AA30" i="3" s="1"/>
  <c r="X29" i="3"/>
  <c r="Q29" i="3"/>
  <c r="P29" i="3"/>
  <c r="AA29" i="3" s="1"/>
  <c r="AE28" i="3"/>
  <c r="AA28" i="3"/>
  <c r="Z28" i="3"/>
  <c r="U28" i="3"/>
  <c r="T28" i="3"/>
  <c r="S28" i="3"/>
  <c r="Q28" i="3"/>
  <c r="AD28" i="3" s="1"/>
  <c r="P28" i="3"/>
  <c r="AI28" i="3" s="1"/>
  <c r="AA27" i="3"/>
  <c r="S27" i="3"/>
  <c r="P27" i="3"/>
  <c r="X27" i="3" s="1"/>
  <c r="AC26" i="3"/>
  <c r="AB26" i="3"/>
  <c r="AA26" i="3"/>
  <c r="Z26" i="3"/>
  <c r="T26" i="3"/>
  <c r="S26" i="3"/>
  <c r="P26" i="3"/>
  <c r="AI25" i="3"/>
  <c r="AE25" i="3"/>
  <c r="Y25" i="3"/>
  <c r="P25" i="3"/>
  <c r="W25" i="3" s="1"/>
  <c r="AD24" i="3"/>
  <c r="S24" i="3"/>
  <c r="P24" i="3"/>
  <c r="AE23" i="3"/>
  <c r="Z23" i="3"/>
  <c r="W23" i="3"/>
  <c r="U23" i="3"/>
  <c r="Q23" i="3"/>
  <c r="P23" i="3"/>
  <c r="AC23" i="3" s="1"/>
  <c r="AI22" i="3"/>
  <c r="V22" i="3"/>
  <c r="P22" i="3"/>
  <c r="T22" i="3" s="1"/>
  <c r="AD21" i="3"/>
  <c r="X21" i="3"/>
  <c r="T21" i="3"/>
  <c r="P21" i="3"/>
  <c r="Z21" i="3" s="1"/>
  <c r="AE20" i="3"/>
  <c r="AD20" i="3"/>
  <c r="AC20" i="3"/>
  <c r="AB20" i="3"/>
  <c r="Z20" i="3"/>
  <c r="W20" i="3"/>
  <c r="V20" i="3"/>
  <c r="U20" i="3"/>
  <c r="T20" i="3"/>
  <c r="S20" i="3"/>
  <c r="Q20" i="3"/>
  <c r="P20" i="3"/>
  <c r="AI20" i="3" s="1"/>
  <c r="AI19" i="3"/>
  <c r="S19" i="3"/>
  <c r="P19" i="3"/>
  <c r="AD19" i="3" s="1"/>
  <c r="AC18" i="3"/>
  <c r="AA18" i="3"/>
  <c r="Z18" i="3"/>
  <c r="X18" i="3"/>
  <c r="U18" i="3"/>
  <c r="T18" i="3"/>
  <c r="S18" i="3"/>
  <c r="Q18" i="3"/>
  <c r="P18" i="3"/>
  <c r="AE18" i="3" s="1"/>
  <c r="P17" i="3"/>
  <c r="AI17" i="3" s="1"/>
  <c r="V16" i="3"/>
  <c r="P16" i="3"/>
  <c r="AC16" i="3" s="1"/>
  <c r="AC15" i="3"/>
  <c r="AA15" i="3"/>
  <c r="Z15" i="3"/>
  <c r="W15" i="3"/>
  <c r="U15" i="3"/>
  <c r="S15" i="3"/>
  <c r="Q15" i="3"/>
  <c r="P15" i="3"/>
  <c r="AB15" i="3" s="1"/>
  <c r="Y14" i="3"/>
  <c r="P14" i="3"/>
  <c r="AI14" i="3" s="1"/>
  <c r="P13" i="3"/>
  <c r="AA13" i="3" s="1"/>
  <c r="Z12" i="3"/>
  <c r="S12" i="3"/>
  <c r="P12" i="3"/>
  <c r="AI12" i="3" s="1"/>
  <c r="P11" i="3"/>
  <c r="AD11" i="3" s="1"/>
  <c r="AC10" i="3"/>
  <c r="AB10" i="3"/>
  <c r="Z10" i="3"/>
  <c r="X10" i="3"/>
  <c r="V10" i="3"/>
  <c r="T10" i="3"/>
  <c r="S10" i="3"/>
  <c r="Q10" i="3"/>
  <c r="P10" i="3"/>
  <c r="AE10" i="3" s="1"/>
  <c r="P9" i="3"/>
  <c r="AI9" i="3" s="1"/>
  <c r="Q8" i="3"/>
  <c r="P8" i="3"/>
  <c r="X8" i="3" s="1"/>
  <c r="P7" i="3"/>
  <c r="AE7" i="3" s="1"/>
  <c r="AB6" i="3"/>
  <c r="W6" i="3"/>
  <c r="S6" i="3"/>
  <c r="P6" i="3"/>
  <c r="AI6" i="3" s="1"/>
  <c r="AD5" i="3"/>
  <c r="W5" i="3"/>
  <c r="V5" i="3"/>
  <c r="T5" i="3"/>
  <c r="Q5" i="3"/>
  <c r="P5" i="3"/>
  <c r="AC5" i="3" s="1"/>
  <c r="AA4" i="3"/>
  <c r="Z4" i="3"/>
  <c r="V4" i="3"/>
  <c r="S4" i="3"/>
  <c r="Q4" i="3"/>
  <c r="P4" i="3"/>
  <c r="AB4" i="3" s="1"/>
  <c r="P3" i="3"/>
  <c r="AA3" i="3" s="1"/>
  <c r="AE2" i="3"/>
  <c r="AB2" i="3"/>
  <c r="AA2" i="3"/>
  <c r="W2" i="3"/>
  <c r="T2" i="3"/>
  <c r="S2" i="3"/>
  <c r="P2" i="3"/>
  <c r="Z2" i="3" s="1"/>
  <c r="M429" i="23"/>
  <c r="T429" i="23" s="1"/>
  <c r="M428" i="23"/>
  <c r="M427" i="23"/>
  <c r="V427" i="23" s="1"/>
  <c r="M426" i="23"/>
  <c r="W426" i="23" s="1"/>
  <c r="Y425" i="23"/>
  <c r="M425" i="23"/>
  <c r="X425" i="23" s="1"/>
  <c r="R424" i="23"/>
  <c r="P424" i="23"/>
  <c r="M424" i="23"/>
  <c r="Y424" i="23" s="1"/>
  <c r="S423" i="23"/>
  <c r="M423" i="23"/>
  <c r="AC423" i="23" s="1"/>
  <c r="AD423" i="23" s="1"/>
  <c r="AC422" i="23"/>
  <c r="AD422" i="23" s="1"/>
  <c r="X422" i="23"/>
  <c r="P422" i="23"/>
  <c r="M422" i="23"/>
  <c r="S422" i="23" s="1"/>
  <c r="Y421" i="23"/>
  <c r="X421" i="23"/>
  <c r="U421" i="23"/>
  <c r="P421" i="23"/>
  <c r="M421" i="23"/>
  <c r="T421" i="23" s="1"/>
  <c r="M420" i="23"/>
  <c r="V420" i="23" s="1"/>
  <c r="M419" i="23"/>
  <c r="V419" i="23" s="1"/>
  <c r="X418" i="23"/>
  <c r="P418" i="23"/>
  <c r="M418" i="23"/>
  <c r="W418" i="23" s="1"/>
  <c r="W417" i="23"/>
  <c r="U417" i="23"/>
  <c r="T417" i="23"/>
  <c r="Q417" i="23"/>
  <c r="N417" i="23"/>
  <c r="M417" i="23"/>
  <c r="X417" i="23" s="1"/>
  <c r="M416" i="23"/>
  <c r="Y416" i="23" s="1"/>
  <c r="S415" i="23"/>
  <c r="M415" i="23"/>
  <c r="AC415" i="23" s="1"/>
  <c r="AD415" i="23" s="1"/>
  <c r="M414" i="23"/>
  <c r="S414" i="23" s="1"/>
  <c r="Y413" i="23"/>
  <c r="M413" i="23"/>
  <c r="T413" i="23" s="1"/>
  <c r="V412" i="23"/>
  <c r="M412" i="23"/>
  <c r="M411" i="23"/>
  <c r="V411" i="23" s="1"/>
  <c r="X410" i="23"/>
  <c r="M410" i="23"/>
  <c r="W410" i="23" s="1"/>
  <c r="Q409" i="23"/>
  <c r="N409" i="23"/>
  <c r="M409" i="23"/>
  <c r="X409" i="23" s="1"/>
  <c r="M408" i="23"/>
  <c r="Y408" i="23" s="1"/>
  <c r="AD407" i="23"/>
  <c r="Y407" i="23"/>
  <c r="M407" i="23"/>
  <c r="AC407" i="23" s="1"/>
  <c r="X406" i="23"/>
  <c r="W406" i="23"/>
  <c r="T406" i="23"/>
  <c r="M406" i="23"/>
  <c r="S406" i="23" s="1"/>
  <c r="AC405" i="23"/>
  <c r="AD405" i="23" s="1"/>
  <c r="R405" i="23"/>
  <c r="P405" i="23"/>
  <c r="M405" i="23"/>
  <c r="W405" i="23" s="1"/>
  <c r="M404" i="23"/>
  <c r="V404" i="23" s="1"/>
  <c r="W403" i="23"/>
  <c r="T403" i="23"/>
  <c r="S403" i="23"/>
  <c r="M403" i="23"/>
  <c r="V403" i="23" s="1"/>
  <c r="P402" i="23"/>
  <c r="M402" i="23"/>
  <c r="W402" i="23" s="1"/>
  <c r="Y401" i="23"/>
  <c r="W401" i="23"/>
  <c r="M401" i="23"/>
  <c r="X401" i="23" s="1"/>
  <c r="X400" i="23"/>
  <c r="P400" i="23"/>
  <c r="M400" i="23"/>
  <c r="Y400" i="23" s="1"/>
  <c r="Q399" i="23"/>
  <c r="N399" i="23"/>
  <c r="M399" i="23"/>
  <c r="AC399" i="23" s="1"/>
  <c r="AD399" i="23" s="1"/>
  <c r="X398" i="23"/>
  <c r="T398" i="23"/>
  <c r="Q398" i="23"/>
  <c r="P398" i="23"/>
  <c r="M398" i="23"/>
  <c r="S398" i="23" s="1"/>
  <c r="Y397" i="23"/>
  <c r="U397" i="23"/>
  <c r="S397" i="23"/>
  <c r="P397" i="23"/>
  <c r="M397" i="23"/>
  <c r="T397" i="23" s="1"/>
  <c r="V396" i="23"/>
  <c r="M396" i="23"/>
  <c r="AC395" i="23"/>
  <c r="AD395" i="23" s="1"/>
  <c r="T395" i="23"/>
  <c r="S395" i="23"/>
  <c r="N395" i="23"/>
  <c r="R395" i="23" s="1"/>
  <c r="M395" i="23"/>
  <c r="V395" i="23" s="1"/>
  <c r="X394" i="23"/>
  <c r="P394" i="23"/>
  <c r="M394" i="23"/>
  <c r="W394" i="23" s="1"/>
  <c r="N393" i="23"/>
  <c r="M393" i="23"/>
  <c r="X393" i="23" s="1"/>
  <c r="AC392" i="23"/>
  <c r="AD392" i="23" s="1"/>
  <c r="X392" i="23"/>
  <c r="M392" i="23"/>
  <c r="Y392" i="23" s="1"/>
  <c r="X391" i="23"/>
  <c r="S391" i="23"/>
  <c r="Q391" i="23"/>
  <c r="M391" i="23"/>
  <c r="AC391" i="23" s="1"/>
  <c r="AD391" i="23" s="1"/>
  <c r="M390" i="23"/>
  <c r="S390" i="23" s="1"/>
  <c r="Q389" i="23"/>
  <c r="M389" i="23"/>
  <c r="T389" i="23" s="1"/>
  <c r="M388" i="23"/>
  <c r="U387" i="23"/>
  <c r="S387" i="23"/>
  <c r="N387" i="23"/>
  <c r="M387" i="23"/>
  <c r="V387" i="23" s="1"/>
  <c r="M386" i="23"/>
  <c r="W386" i="23" s="1"/>
  <c r="W385" i="23"/>
  <c r="N385" i="23"/>
  <c r="M385" i="23"/>
  <c r="X385" i="23" s="1"/>
  <c r="W384" i="23"/>
  <c r="P384" i="23"/>
  <c r="M384" i="23"/>
  <c r="Y384" i="23" s="1"/>
  <c r="M383" i="23"/>
  <c r="AC383" i="23" s="1"/>
  <c r="AD383" i="23" s="1"/>
  <c r="R382" i="23"/>
  <c r="P382" i="23"/>
  <c r="M382" i="23"/>
  <c r="S382" i="23" s="1"/>
  <c r="X381" i="23"/>
  <c r="S381" i="23"/>
  <c r="Q381" i="23"/>
  <c r="M381" i="23"/>
  <c r="T381" i="23" s="1"/>
  <c r="V380" i="23"/>
  <c r="Q380" i="23"/>
  <c r="M380" i="23"/>
  <c r="Y380" i="23" s="1"/>
  <c r="T379" i="23"/>
  <c r="R379" i="23"/>
  <c r="N379" i="23"/>
  <c r="M379" i="23"/>
  <c r="V379" i="23" s="1"/>
  <c r="T378" i="23"/>
  <c r="R378" i="23"/>
  <c r="M378" i="23"/>
  <c r="U378" i="23" s="1"/>
  <c r="M377" i="23"/>
  <c r="W377" i="23" s="1"/>
  <c r="AC376" i="23"/>
  <c r="AD376" i="23" s="1"/>
  <c r="S376" i="23"/>
  <c r="Q376" i="23"/>
  <c r="M376" i="23"/>
  <c r="V376" i="23" s="1"/>
  <c r="M375" i="23"/>
  <c r="Y375" i="23" s="1"/>
  <c r="W374" i="23"/>
  <c r="Q374" i="23"/>
  <c r="M374" i="23"/>
  <c r="AC374" i="23" s="1"/>
  <c r="AD374" i="23" s="1"/>
  <c r="AC373" i="23"/>
  <c r="AD373" i="23" s="1"/>
  <c r="T373" i="23"/>
  <c r="M373" i="23"/>
  <c r="S373" i="23" s="1"/>
  <c r="W372" i="23"/>
  <c r="U372" i="23"/>
  <c r="Q372" i="23"/>
  <c r="M372" i="23"/>
  <c r="T372" i="23" s="1"/>
  <c r="M371" i="23"/>
  <c r="AC370" i="23"/>
  <c r="AD370" i="23" s="1"/>
  <c r="Y370" i="23"/>
  <c r="W370" i="23"/>
  <c r="R370" i="23"/>
  <c r="P370" i="23"/>
  <c r="N370" i="23"/>
  <c r="M370" i="23"/>
  <c r="V370" i="23" s="1"/>
  <c r="X369" i="23"/>
  <c r="M369" i="23"/>
  <c r="W369" i="23" s="1"/>
  <c r="M368" i="23"/>
  <c r="X368" i="23" s="1"/>
  <c r="R367" i="23"/>
  <c r="M367" i="23"/>
  <c r="Y367" i="23" s="1"/>
  <c r="Y366" i="23"/>
  <c r="U366" i="23"/>
  <c r="S366" i="23"/>
  <c r="N366" i="23"/>
  <c r="M366" i="23"/>
  <c r="AC366" i="23" s="1"/>
  <c r="AD366" i="23" s="1"/>
  <c r="M365" i="23"/>
  <c r="AC365" i="23" s="1"/>
  <c r="AD365" i="23" s="1"/>
  <c r="W364" i="23"/>
  <c r="M364" i="23"/>
  <c r="T364" i="23" s="1"/>
  <c r="V363" i="23"/>
  <c r="M363" i="23"/>
  <c r="U362" i="23"/>
  <c r="S362" i="23"/>
  <c r="Q362" i="23"/>
  <c r="M362" i="23"/>
  <c r="V362" i="23" s="1"/>
  <c r="T361" i="23"/>
  <c r="P361" i="23"/>
  <c r="M361" i="23"/>
  <c r="W361" i="23" s="1"/>
  <c r="T360" i="23"/>
  <c r="S360" i="23"/>
  <c r="Q360" i="23"/>
  <c r="M360" i="23"/>
  <c r="X360" i="23" s="1"/>
  <c r="M359" i="23"/>
  <c r="Y359" i="23" s="1"/>
  <c r="Y358" i="23"/>
  <c r="U358" i="23"/>
  <c r="N358" i="23"/>
  <c r="M358" i="23"/>
  <c r="AC358" i="23" s="1"/>
  <c r="AD358" i="23" s="1"/>
  <c r="AC357" i="23"/>
  <c r="AD357" i="23" s="1"/>
  <c r="X357" i="23"/>
  <c r="R357" i="23"/>
  <c r="M357" i="23"/>
  <c r="S357" i="23" s="1"/>
  <c r="Y356" i="23"/>
  <c r="W356" i="23"/>
  <c r="U356" i="23"/>
  <c r="S356" i="23"/>
  <c r="N356" i="23"/>
  <c r="M356" i="23"/>
  <c r="T356" i="23" s="1"/>
  <c r="M355" i="23"/>
  <c r="M354" i="23"/>
  <c r="V354" i="23" s="1"/>
  <c r="V353" i="23"/>
  <c r="M353" i="23"/>
  <c r="X353" i="23" s="1"/>
  <c r="Y352" i="23"/>
  <c r="N352" i="23"/>
  <c r="R352" i="23" s="1"/>
  <c r="M352" i="23"/>
  <c r="X352" i="23" s="1"/>
  <c r="AC351" i="23"/>
  <c r="AD351" i="23" s="1"/>
  <c r="V351" i="23"/>
  <c r="M351" i="23"/>
  <c r="X351" i="23" s="1"/>
  <c r="W350" i="23"/>
  <c r="U350" i="23"/>
  <c r="S350" i="23"/>
  <c r="N350" i="23"/>
  <c r="M350" i="23"/>
  <c r="AC350" i="23" s="1"/>
  <c r="AD350" i="23" s="1"/>
  <c r="P349" i="23"/>
  <c r="M349" i="23"/>
  <c r="S349" i="23" s="1"/>
  <c r="M348" i="23"/>
  <c r="AC347" i="23"/>
  <c r="AD347" i="23" s="1"/>
  <c r="T347" i="23"/>
  <c r="M347" i="23"/>
  <c r="V347" i="23" s="1"/>
  <c r="M346" i="23"/>
  <c r="X346" i="23" s="1"/>
  <c r="X345" i="23"/>
  <c r="V345" i="23"/>
  <c r="M345" i="23"/>
  <c r="R345" i="23" s="1"/>
  <c r="M344" i="23"/>
  <c r="AC344" i="23" s="1"/>
  <c r="V343" i="23"/>
  <c r="R343" i="23"/>
  <c r="M343" i="23"/>
  <c r="M342" i="23"/>
  <c r="M341" i="23"/>
  <c r="X341" i="23" s="1"/>
  <c r="X340" i="23"/>
  <c r="T340" i="23"/>
  <c r="R340" i="23"/>
  <c r="M340" i="23"/>
  <c r="AC340" i="23" s="1"/>
  <c r="M339" i="23"/>
  <c r="V339" i="23" s="1"/>
  <c r="M338" i="23"/>
  <c r="T337" i="23"/>
  <c r="P337" i="23"/>
  <c r="M337" i="23"/>
  <c r="X337" i="23" s="1"/>
  <c r="N336" i="23"/>
  <c r="M336" i="23"/>
  <c r="W336" i="23" s="1"/>
  <c r="V335" i="23"/>
  <c r="M335" i="23"/>
  <c r="W335" i="23" s="1"/>
  <c r="S334" i="23"/>
  <c r="Q334" i="23"/>
  <c r="M334" i="23"/>
  <c r="P334" i="23" s="1"/>
  <c r="M333" i="23"/>
  <c r="V333" i="23" s="1"/>
  <c r="M332" i="23"/>
  <c r="V332" i="23" s="1"/>
  <c r="M331" i="23"/>
  <c r="X330" i="23"/>
  <c r="T330" i="23"/>
  <c r="M330" i="23"/>
  <c r="R330" i="23" s="1"/>
  <c r="M329" i="23"/>
  <c r="V329" i="23" s="1"/>
  <c r="N328" i="23"/>
  <c r="X328" i="23" s="1"/>
  <c r="M328" i="23"/>
  <c r="V328" i="23" s="1"/>
  <c r="Q327" i="23"/>
  <c r="N327" i="23"/>
  <c r="M327" i="23"/>
  <c r="X327" i="23" s="1"/>
  <c r="S326" i="23"/>
  <c r="M326" i="23"/>
  <c r="R326" i="23" s="1"/>
  <c r="N325" i="23"/>
  <c r="M325" i="23"/>
  <c r="V325" i="23" s="1"/>
  <c r="R324" i="23"/>
  <c r="Q324" i="23"/>
  <c r="M324" i="23"/>
  <c r="V324" i="23" s="1"/>
  <c r="U323" i="23"/>
  <c r="S323" i="23"/>
  <c r="N323" i="23"/>
  <c r="M323" i="23"/>
  <c r="X323" i="23" s="1"/>
  <c r="W322" i="23"/>
  <c r="U322" i="23"/>
  <c r="N322" i="23"/>
  <c r="M322" i="23"/>
  <c r="R322" i="23" s="1"/>
  <c r="W321" i="23"/>
  <c r="U321" i="23"/>
  <c r="M321" i="23"/>
  <c r="V321" i="23" s="1"/>
  <c r="W320" i="23"/>
  <c r="U320" i="23"/>
  <c r="M320" i="23"/>
  <c r="V320" i="23" s="1"/>
  <c r="Y319" i="23"/>
  <c r="W319" i="23"/>
  <c r="R319" i="23"/>
  <c r="N319" i="23"/>
  <c r="M319" i="23"/>
  <c r="X319" i="23" s="1"/>
  <c r="AC318" i="23"/>
  <c r="Y318" i="23"/>
  <c r="S318" i="23"/>
  <c r="Q318" i="23"/>
  <c r="P318" i="23"/>
  <c r="N318" i="23"/>
  <c r="M318" i="23"/>
  <c r="R318" i="23" s="1"/>
  <c r="Q317" i="23"/>
  <c r="N317" i="23"/>
  <c r="M317" i="23"/>
  <c r="V317" i="23" s="1"/>
  <c r="W316" i="23"/>
  <c r="U316" i="23"/>
  <c r="T316" i="23"/>
  <c r="S316" i="23"/>
  <c r="Q316" i="23"/>
  <c r="M316" i="23"/>
  <c r="V316" i="23" s="1"/>
  <c r="W315" i="23"/>
  <c r="U315" i="23"/>
  <c r="M315" i="23"/>
  <c r="X315" i="23" s="1"/>
  <c r="M314" i="23"/>
  <c r="R314" i="23" s="1"/>
  <c r="AC313" i="23"/>
  <c r="M313" i="23"/>
  <c r="S312" i="23"/>
  <c r="Q312" i="23"/>
  <c r="M312" i="23"/>
  <c r="V312" i="23" s="1"/>
  <c r="W311" i="23"/>
  <c r="S311" i="23"/>
  <c r="R311" i="23"/>
  <c r="M311" i="23"/>
  <c r="X311" i="23" s="1"/>
  <c r="M310" i="23"/>
  <c r="V310" i="23" s="1"/>
  <c r="M309" i="23"/>
  <c r="Y309" i="23" s="1"/>
  <c r="M308" i="23"/>
  <c r="V308" i="23" s="1"/>
  <c r="N307" i="23"/>
  <c r="M307" i="23"/>
  <c r="X307" i="23" s="1"/>
  <c r="S306" i="23"/>
  <c r="M306" i="23"/>
  <c r="R306" i="23" s="1"/>
  <c r="M305" i="23"/>
  <c r="W305" i="23" s="1"/>
  <c r="P304" i="23"/>
  <c r="M304" i="23"/>
  <c r="V304" i="23" s="1"/>
  <c r="R303" i="23"/>
  <c r="M303" i="23"/>
  <c r="X303" i="23" s="1"/>
  <c r="U302" i="23"/>
  <c r="M302" i="23"/>
  <c r="T302" i="23" s="1"/>
  <c r="W301" i="23"/>
  <c r="M301" i="23"/>
  <c r="V301" i="23" s="1"/>
  <c r="Y300" i="23"/>
  <c r="N300" i="23"/>
  <c r="M300" i="23"/>
  <c r="V300" i="23" s="1"/>
  <c r="M299" i="23"/>
  <c r="X298" i="23"/>
  <c r="Q298" i="23"/>
  <c r="M298" i="23"/>
  <c r="Y298" i="23" s="1"/>
  <c r="M297" i="23"/>
  <c r="AC296" i="23"/>
  <c r="Y296" i="23"/>
  <c r="X296" i="23"/>
  <c r="U296" i="23"/>
  <c r="T296" i="23"/>
  <c r="S296" i="23"/>
  <c r="R296" i="23"/>
  <c r="Q296" i="23"/>
  <c r="P296" i="23"/>
  <c r="N296" i="23"/>
  <c r="M296" i="23"/>
  <c r="V296" i="23" s="1"/>
  <c r="M295" i="23"/>
  <c r="W294" i="23"/>
  <c r="Q294" i="23"/>
  <c r="M294" i="23"/>
  <c r="R294" i="23" s="1"/>
  <c r="Y293" i="23"/>
  <c r="N293" i="23"/>
  <c r="M293" i="23"/>
  <c r="W293" i="23" s="1"/>
  <c r="M292" i="23"/>
  <c r="R291" i="23"/>
  <c r="M291" i="23"/>
  <c r="U291" i="23" s="1"/>
  <c r="M290" i="23"/>
  <c r="AC290" i="23" s="1"/>
  <c r="V289" i="23"/>
  <c r="M289" i="23"/>
  <c r="M288" i="23"/>
  <c r="R287" i="23"/>
  <c r="M287" i="23"/>
  <c r="X287" i="23" s="1"/>
  <c r="M286" i="23"/>
  <c r="M285" i="23"/>
  <c r="M284" i="23"/>
  <c r="M283" i="23"/>
  <c r="M282" i="23"/>
  <c r="AC282" i="23" s="1"/>
  <c r="M281" i="23"/>
  <c r="AC280" i="23"/>
  <c r="R280" i="23"/>
  <c r="M280" i="23"/>
  <c r="V280" i="23" s="1"/>
  <c r="Y279" i="23"/>
  <c r="Q279" i="23"/>
  <c r="M279" i="23"/>
  <c r="X279" i="23" s="1"/>
  <c r="AC278" i="23"/>
  <c r="T278" i="23"/>
  <c r="S278" i="23"/>
  <c r="M278" i="23"/>
  <c r="R278" i="23" s="1"/>
  <c r="V277" i="23"/>
  <c r="M277" i="23"/>
  <c r="AC276" i="23"/>
  <c r="X276" i="23"/>
  <c r="W276" i="23"/>
  <c r="S276" i="23"/>
  <c r="R276" i="23"/>
  <c r="N276" i="23"/>
  <c r="M276" i="23"/>
  <c r="V276" i="23" s="1"/>
  <c r="M275" i="23"/>
  <c r="M274" i="23"/>
  <c r="M273" i="23"/>
  <c r="AC272" i="23"/>
  <c r="W272" i="23"/>
  <c r="S272" i="23"/>
  <c r="R272" i="23"/>
  <c r="P272" i="23"/>
  <c r="N272" i="23"/>
  <c r="M272" i="23"/>
  <c r="V272" i="23" s="1"/>
  <c r="W271" i="23"/>
  <c r="Q271" i="23"/>
  <c r="M271" i="23"/>
  <c r="V271" i="23" s="1"/>
  <c r="AC270" i="23"/>
  <c r="M270" i="23"/>
  <c r="R270" i="23" s="1"/>
  <c r="V269" i="23"/>
  <c r="M269" i="23"/>
  <c r="W268" i="23"/>
  <c r="N268" i="23"/>
  <c r="M268" i="23"/>
  <c r="V268" i="23" s="1"/>
  <c r="W267" i="23"/>
  <c r="M267" i="23"/>
  <c r="M266" i="23"/>
  <c r="M265" i="23"/>
  <c r="V265" i="23" s="1"/>
  <c r="Y264" i="23"/>
  <c r="S264" i="23"/>
  <c r="N264" i="23"/>
  <c r="M264" i="23"/>
  <c r="V264" i="23" s="1"/>
  <c r="M263" i="23"/>
  <c r="M262" i="23"/>
  <c r="M261" i="23"/>
  <c r="M260" i="23"/>
  <c r="T259" i="23"/>
  <c r="N259" i="23"/>
  <c r="W259" i="23" s="1"/>
  <c r="M259" i="23"/>
  <c r="X259" i="23" s="1"/>
  <c r="S258" i="23"/>
  <c r="M258" i="23"/>
  <c r="AC258" i="23" s="1"/>
  <c r="P257" i="23"/>
  <c r="M257" i="23"/>
  <c r="X257" i="23" s="1"/>
  <c r="X256" i="23"/>
  <c r="P256" i="23"/>
  <c r="M256" i="23"/>
  <c r="W256" i="23" s="1"/>
  <c r="M255" i="23"/>
  <c r="M254" i="23"/>
  <c r="AC254" i="23" s="1"/>
  <c r="P253" i="23"/>
  <c r="M253" i="23"/>
  <c r="X253" i="23" s="1"/>
  <c r="W252" i="23"/>
  <c r="P252" i="23"/>
  <c r="N252" i="23"/>
  <c r="M252" i="23"/>
  <c r="V252" i="23" s="1"/>
  <c r="Y251" i="23"/>
  <c r="N251" i="23"/>
  <c r="Q251" i="23" s="1"/>
  <c r="M251" i="23"/>
  <c r="X251" i="23" s="1"/>
  <c r="U250" i="23"/>
  <c r="N250" i="23"/>
  <c r="V250" i="23" s="1"/>
  <c r="M250" i="23"/>
  <c r="AC250" i="23" s="1"/>
  <c r="M249" i="23"/>
  <c r="M248" i="23"/>
  <c r="W247" i="23"/>
  <c r="N247" i="23"/>
  <c r="M247" i="23"/>
  <c r="X247" i="23" s="1"/>
  <c r="M246" i="23"/>
  <c r="M245" i="23"/>
  <c r="M244" i="23"/>
  <c r="M243" i="23"/>
  <c r="Y242" i="23"/>
  <c r="Q242" i="23"/>
  <c r="M242" i="23"/>
  <c r="R242" i="23" s="1"/>
  <c r="U241" i="23"/>
  <c r="M241" i="23"/>
  <c r="T241" i="23" s="1"/>
  <c r="X240" i="23"/>
  <c r="Q240" i="23"/>
  <c r="M240" i="23"/>
  <c r="Y239" i="23"/>
  <c r="N239" i="23"/>
  <c r="M239" i="23"/>
  <c r="X239" i="23" s="1"/>
  <c r="Y238" i="23"/>
  <c r="X238" i="23"/>
  <c r="P238" i="23"/>
  <c r="M238" i="23"/>
  <c r="R238" i="23" s="1"/>
  <c r="U237" i="23"/>
  <c r="S237" i="23"/>
  <c r="M237" i="23"/>
  <c r="T237" i="23" s="1"/>
  <c r="W236" i="23"/>
  <c r="U236" i="23"/>
  <c r="Q236" i="23"/>
  <c r="P236" i="23"/>
  <c r="M236" i="23"/>
  <c r="V236" i="23" s="1"/>
  <c r="M235" i="23"/>
  <c r="S234" i="23"/>
  <c r="M234" i="23"/>
  <c r="AC234" i="23" s="1"/>
  <c r="AC233" i="23"/>
  <c r="M233" i="23"/>
  <c r="U233" i="23" s="1"/>
  <c r="AC232" i="23"/>
  <c r="T232" i="23"/>
  <c r="M232" i="23"/>
  <c r="N231" i="23"/>
  <c r="R231" i="23" s="1"/>
  <c r="M231" i="23"/>
  <c r="X231" i="23" s="1"/>
  <c r="X230" i="23"/>
  <c r="M230" i="23"/>
  <c r="R230" i="23" s="1"/>
  <c r="AC229" i="23"/>
  <c r="M229" i="23"/>
  <c r="T229" i="23" s="1"/>
  <c r="AC228" i="23"/>
  <c r="M228" i="23"/>
  <c r="Q227" i="23"/>
  <c r="M227" i="23"/>
  <c r="X227" i="23" s="1"/>
  <c r="Y226" i="23"/>
  <c r="T226" i="23"/>
  <c r="N226" i="23"/>
  <c r="M226" i="23"/>
  <c r="W226" i="23" s="1"/>
  <c r="S225" i="23"/>
  <c r="M225" i="23"/>
  <c r="AC225" i="23" s="1"/>
  <c r="Q224" i="23"/>
  <c r="M224" i="23"/>
  <c r="V224" i="23" s="1"/>
  <c r="Y223" i="23"/>
  <c r="N223" i="23"/>
  <c r="M223" i="23"/>
  <c r="X223" i="23" s="1"/>
  <c r="U222" i="23"/>
  <c r="N222" i="23"/>
  <c r="X222" i="23" s="1"/>
  <c r="M222" i="23"/>
  <c r="R222" i="23" s="1"/>
  <c r="S221" i="23"/>
  <c r="M221" i="23"/>
  <c r="AC221" i="23" s="1"/>
  <c r="X220" i="23"/>
  <c r="S220" i="23"/>
  <c r="N220" i="23"/>
  <c r="M220" i="23"/>
  <c r="V220" i="23" s="1"/>
  <c r="U219" i="23"/>
  <c r="M219" i="23"/>
  <c r="U218" i="23"/>
  <c r="P218" i="23"/>
  <c r="M218" i="23"/>
  <c r="X218" i="23" s="1"/>
  <c r="W217" i="23"/>
  <c r="N217" i="23"/>
  <c r="M217" i="23"/>
  <c r="T217" i="23" s="1"/>
  <c r="AC216" i="23"/>
  <c r="X216" i="23"/>
  <c r="S216" i="23"/>
  <c r="Q216" i="23"/>
  <c r="N216" i="23"/>
  <c r="M216" i="23"/>
  <c r="V216" i="23" s="1"/>
  <c r="W215" i="23"/>
  <c r="S215" i="23"/>
  <c r="Q215" i="23"/>
  <c r="M215" i="23"/>
  <c r="X215" i="23" s="1"/>
  <c r="Y214" i="23"/>
  <c r="T214" i="23"/>
  <c r="N214" i="23"/>
  <c r="M214" i="23"/>
  <c r="R214" i="23" s="1"/>
  <c r="W213" i="23"/>
  <c r="N213" i="23"/>
  <c r="M213" i="23"/>
  <c r="T213" i="23" s="1"/>
  <c r="X212" i="23"/>
  <c r="S212" i="23"/>
  <c r="R212" i="23"/>
  <c r="N212" i="23"/>
  <c r="M212" i="23"/>
  <c r="V212" i="23" s="1"/>
  <c r="S211" i="23"/>
  <c r="R211" i="23"/>
  <c r="M211" i="23"/>
  <c r="X211" i="23" s="1"/>
  <c r="AC210" i="23"/>
  <c r="U210" i="23"/>
  <c r="P210" i="23"/>
  <c r="M210" i="23"/>
  <c r="R210" i="23" s="1"/>
  <c r="Y209" i="23"/>
  <c r="Q209" i="23"/>
  <c r="M209" i="23"/>
  <c r="T209" i="23" s="1"/>
  <c r="Y208" i="23"/>
  <c r="T208" i="23"/>
  <c r="R208" i="23"/>
  <c r="P208" i="23"/>
  <c r="M208" i="23"/>
  <c r="V208" i="23" s="1"/>
  <c r="Y207" i="23"/>
  <c r="U207" i="23"/>
  <c r="R207" i="23"/>
  <c r="N207" i="23"/>
  <c r="M207" i="23"/>
  <c r="X207" i="23" s="1"/>
  <c r="AC206" i="23"/>
  <c r="M206" i="23"/>
  <c r="Y206" i="23" s="1"/>
  <c r="AC205" i="23"/>
  <c r="S205" i="23"/>
  <c r="M205" i="23"/>
  <c r="T205" i="23" s="1"/>
  <c r="AC204" i="23"/>
  <c r="U204" i="23"/>
  <c r="R204" i="23"/>
  <c r="Q204" i="23"/>
  <c r="M204" i="23"/>
  <c r="V204" i="23" s="1"/>
  <c r="AC203" i="23"/>
  <c r="U203" i="23"/>
  <c r="T203" i="23"/>
  <c r="Q203" i="23"/>
  <c r="N203" i="23"/>
  <c r="M203" i="23"/>
  <c r="X203" i="23" s="1"/>
  <c r="Y202" i="23"/>
  <c r="W202" i="23"/>
  <c r="Q202" i="23"/>
  <c r="M202" i="23"/>
  <c r="R202" i="23" s="1"/>
  <c r="M201" i="23"/>
  <c r="R200" i="23"/>
  <c r="M200" i="23"/>
  <c r="M199" i="23"/>
  <c r="U198" i="23"/>
  <c r="P198" i="23"/>
  <c r="M198" i="23"/>
  <c r="R198" i="23" s="1"/>
  <c r="M197" i="23"/>
  <c r="T197" i="23" s="1"/>
  <c r="X196" i="23"/>
  <c r="N196" i="23"/>
  <c r="P196" i="23" s="1"/>
  <c r="M196" i="23"/>
  <c r="W196" i="23" s="1"/>
  <c r="M195" i="23"/>
  <c r="W194" i="23"/>
  <c r="M194" i="23"/>
  <c r="M193" i="23"/>
  <c r="T193" i="23" s="1"/>
  <c r="X192" i="23"/>
  <c r="Q192" i="23"/>
  <c r="M192" i="23"/>
  <c r="V192" i="23" s="1"/>
  <c r="M191" i="23"/>
  <c r="X190" i="23"/>
  <c r="U190" i="23"/>
  <c r="P190" i="23"/>
  <c r="M190" i="23"/>
  <c r="V190" i="23" s="1"/>
  <c r="AC189" i="23"/>
  <c r="U189" i="23"/>
  <c r="M189" i="23"/>
  <c r="S189" i="23" s="1"/>
  <c r="X188" i="23"/>
  <c r="Q188" i="23"/>
  <c r="M188" i="23"/>
  <c r="V188" i="23" s="1"/>
  <c r="Y187" i="23"/>
  <c r="M187" i="23"/>
  <c r="X187" i="23" s="1"/>
  <c r="AC186" i="23"/>
  <c r="T186" i="23"/>
  <c r="N186" i="23"/>
  <c r="M186" i="23"/>
  <c r="V186" i="23" s="1"/>
  <c r="S185" i="23"/>
  <c r="M185" i="23"/>
  <c r="T185" i="23" s="1"/>
  <c r="Y184" i="23"/>
  <c r="P184" i="23"/>
  <c r="M184" i="23"/>
  <c r="V184" i="23" s="1"/>
  <c r="W183" i="23"/>
  <c r="M183" i="23"/>
  <c r="X183" i="23" s="1"/>
  <c r="AC182" i="23"/>
  <c r="U182" i="23"/>
  <c r="P182" i="23"/>
  <c r="M182" i="23"/>
  <c r="W182" i="23" s="1"/>
  <c r="Y181" i="23"/>
  <c r="R181" i="23"/>
  <c r="N181" i="23"/>
  <c r="M181" i="23"/>
  <c r="X181" i="23" s="1"/>
  <c r="M180" i="23"/>
  <c r="V180" i="23" s="1"/>
  <c r="Y179" i="23"/>
  <c r="P179" i="23"/>
  <c r="M179" i="23"/>
  <c r="X179" i="23" s="1"/>
  <c r="Y178" i="23"/>
  <c r="R178" i="23"/>
  <c r="P178" i="23"/>
  <c r="M178" i="23"/>
  <c r="T178" i="23" s="1"/>
  <c r="M177" i="23"/>
  <c r="AC176" i="23"/>
  <c r="U176" i="23"/>
  <c r="S176" i="23"/>
  <c r="M176" i="23"/>
  <c r="V176" i="23" s="1"/>
  <c r="W175" i="23"/>
  <c r="M175" i="23"/>
  <c r="W174" i="23"/>
  <c r="U174" i="23"/>
  <c r="R174" i="23"/>
  <c r="Q174" i="23"/>
  <c r="M174" i="23"/>
  <c r="V174" i="23" s="1"/>
  <c r="AC173" i="23"/>
  <c r="U173" i="23"/>
  <c r="Q173" i="23"/>
  <c r="M173" i="23"/>
  <c r="V173" i="23" s="1"/>
  <c r="AC172" i="23"/>
  <c r="M172" i="23"/>
  <c r="M171" i="23"/>
  <c r="U171" i="23" s="1"/>
  <c r="W170" i="23"/>
  <c r="U170" i="23"/>
  <c r="R170" i="23"/>
  <c r="Q170" i="23"/>
  <c r="M170" i="23"/>
  <c r="V170" i="23" s="1"/>
  <c r="AC169" i="23"/>
  <c r="U169" i="23"/>
  <c r="Q169" i="23"/>
  <c r="M169" i="23"/>
  <c r="V169" i="23" s="1"/>
  <c r="AC168" i="23"/>
  <c r="S168" i="23"/>
  <c r="M168" i="23"/>
  <c r="V168" i="23" s="1"/>
  <c r="AC167" i="23"/>
  <c r="S167" i="23"/>
  <c r="M167" i="23"/>
  <c r="X167" i="23" s="1"/>
  <c r="AC166" i="23"/>
  <c r="U166" i="23"/>
  <c r="S166" i="23"/>
  <c r="R166" i="23"/>
  <c r="P166" i="23"/>
  <c r="N166" i="23"/>
  <c r="W166" i="23" s="1"/>
  <c r="M166" i="23"/>
  <c r="V166" i="23" s="1"/>
  <c r="X165" i="23"/>
  <c r="T165" i="23"/>
  <c r="S165" i="23"/>
  <c r="N165" i="23"/>
  <c r="M165" i="23"/>
  <c r="V165" i="23" s="1"/>
  <c r="Y164" i="23"/>
  <c r="U164" i="23"/>
  <c r="N164" i="23"/>
  <c r="W164" i="23" s="1"/>
  <c r="M164" i="23"/>
  <c r="AC164" i="23" s="1"/>
  <c r="Y163" i="23"/>
  <c r="W163" i="23"/>
  <c r="N163" i="23"/>
  <c r="M163" i="23"/>
  <c r="X163" i="23" s="1"/>
  <c r="X162" i="23"/>
  <c r="Q162" i="23"/>
  <c r="M162" i="23"/>
  <c r="AC161" i="23"/>
  <c r="U161" i="23"/>
  <c r="T161" i="23"/>
  <c r="R161" i="23"/>
  <c r="Q161" i="23"/>
  <c r="M161" i="23"/>
  <c r="V161" i="23" s="1"/>
  <c r="AC160" i="23"/>
  <c r="U160" i="23"/>
  <c r="Q160" i="23"/>
  <c r="N160" i="23"/>
  <c r="Y160" i="23" s="1"/>
  <c r="M160" i="23"/>
  <c r="V160" i="23" s="1"/>
  <c r="W159" i="23"/>
  <c r="M159" i="23"/>
  <c r="U158" i="23"/>
  <c r="S158" i="23"/>
  <c r="Q158" i="23"/>
  <c r="N158" i="23"/>
  <c r="P158" i="23" s="1"/>
  <c r="M158" i="23"/>
  <c r="Y158" i="23" s="1"/>
  <c r="X157" i="23"/>
  <c r="T157" i="23"/>
  <c r="S157" i="23"/>
  <c r="N157" i="23"/>
  <c r="M157" i="23"/>
  <c r="V157" i="23" s="1"/>
  <c r="Y156" i="23"/>
  <c r="W156" i="23"/>
  <c r="Q156" i="23"/>
  <c r="N156" i="23"/>
  <c r="M156" i="23"/>
  <c r="V156" i="23" s="1"/>
  <c r="AC155" i="23"/>
  <c r="Y155" i="23"/>
  <c r="Q155" i="23"/>
  <c r="N155" i="23"/>
  <c r="M155" i="23"/>
  <c r="X155" i="23" s="1"/>
  <c r="AC154" i="23"/>
  <c r="Y154" i="23"/>
  <c r="S154" i="23"/>
  <c r="R154" i="23"/>
  <c r="Q154" i="23"/>
  <c r="P154" i="23"/>
  <c r="N154" i="23"/>
  <c r="M154" i="23"/>
  <c r="V154" i="23" s="1"/>
  <c r="X153" i="23"/>
  <c r="T153" i="23"/>
  <c r="S153" i="23"/>
  <c r="N153" i="23"/>
  <c r="M153" i="23"/>
  <c r="V153" i="23" s="1"/>
  <c r="Y152" i="23"/>
  <c r="W152" i="23"/>
  <c r="Q152" i="23"/>
  <c r="N152" i="23"/>
  <c r="M152" i="23"/>
  <c r="V152" i="23" s="1"/>
  <c r="AC151" i="23"/>
  <c r="Y151" i="23"/>
  <c r="Q151" i="23"/>
  <c r="N151" i="23"/>
  <c r="M151" i="23"/>
  <c r="X151" i="23" s="1"/>
  <c r="AC150" i="23"/>
  <c r="Y150" i="23"/>
  <c r="S150" i="23"/>
  <c r="R150" i="23"/>
  <c r="Q150" i="23"/>
  <c r="P150" i="23"/>
  <c r="N150" i="23"/>
  <c r="M150" i="23"/>
  <c r="V150" i="23" s="1"/>
  <c r="X149" i="23"/>
  <c r="S149" i="23"/>
  <c r="N149" i="23"/>
  <c r="M149" i="23"/>
  <c r="V149" i="23" s="1"/>
  <c r="W148" i="23"/>
  <c r="V148" i="23"/>
  <c r="Q148" i="23"/>
  <c r="N148" i="23"/>
  <c r="M148" i="23"/>
  <c r="U148" i="23" s="1"/>
  <c r="AC147" i="23"/>
  <c r="Y147" i="23"/>
  <c r="T147" i="23"/>
  <c r="S147" i="23"/>
  <c r="P147" i="23"/>
  <c r="N147" i="23"/>
  <c r="M147" i="23"/>
  <c r="R147" i="23" s="1"/>
  <c r="M146" i="23"/>
  <c r="X146" i="23" s="1"/>
  <c r="X145" i="23"/>
  <c r="M145" i="23"/>
  <c r="Y145" i="23" s="1"/>
  <c r="M144" i="23"/>
  <c r="M143" i="23"/>
  <c r="U143" i="23" s="1"/>
  <c r="M142" i="23"/>
  <c r="M141" i="23"/>
  <c r="U140" i="23"/>
  <c r="T140" i="23"/>
  <c r="Q140" i="23"/>
  <c r="P140" i="23"/>
  <c r="M140" i="23"/>
  <c r="AC140" i="23" s="1"/>
  <c r="M139" i="23"/>
  <c r="U139" i="23" s="1"/>
  <c r="X138" i="23"/>
  <c r="P138" i="23"/>
  <c r="M138" i="23"/>
  <c r="W138" i="23" s="1"/>
  <c r="X137" i="23"/>
  <c r="R137" i="23"/>
  <c r="M137" i="23"/>
  <c r="P137" i="23" s="1"/>
  <c r="X136" i="23"/>
  <c r="M136" i="23"/>
  <c r="M135" i="23"/>
  <c r="U135" i="23" s="1"/>
  <c r="M134" i="23"/>
  <c r="M133" i="23"/>
  <c r="Y132" i="23"/>
  <c r="W132" i="23"/>
  <c r="U132" i="23"/>
  <c r="P132" i="23"/>
  <c r="N132" i="23"/>
  <c r="M132" i="23"/>
  <c r="AC132" i="23" s="1"/>
  <c r="M131" i="23"/>
  <c r="U131" i="23" s="1"/>
  <c r="X130" i="23"/>
  <c r="M130" i="23"/>
  <c r="W130" i="23" s="1"/>
  <c r="R129" i="23"/>
  <c r="M129" i="23"/>
  <c r="X129" i="23" s="1"/>
  <c r="U128" i="23"/>
  <c r="T128" i="23"/>
  <c r="N128" i="23"/>
  <c r="X128" i="23" s="1"/>
  <c r="M128" i="23"/>
  <c r="AC128" i="23" s="1"/>
  <c r="M127" i="23"/>
  <c r="U127" i="23" s="1"/>
  <c r="X126" i="23"/>
  <c r="P126" i="23"/>
  <c r="M126" i="23"/>
  <c r="W126" i="23" s="1"/>
  <c r="M125" i="23"/>
  <c r="Y125" i="23" s="1"/>
  <c r="AC124" i="23"/>
  <c r="U124" i="23"/>
  <c r="T124" i="23"/>
  <c r="R124" i="23"/>
  <c r="Q124" i="23"/>
  <c r="M124" i="23"/>
  <c r="V124" i="23" s="1"/>
  <c r="M123" i="23"/>
  <c r="U123" i="23" s="1"/>
  <c r="M122" i="23"/>
  <c r="W122" i="23" s="1"/>
  <c r="AC121" i="23"/>
  <c r="S121" i="23"/>
  <c r="M121" i="23"/>
  <c r="U120" i="23"/>
  <c r="T120" i="23"/>
  <c r="R120" i="23"/>
  <c r="P120" i="23"/>
  <c r="M120" i="23"/>
  <c r="X120" i="23" s="1"/>
  <c r="M119" i="23"/>
  <c r="X118" i="23"/>
  <c r="P118" i="23"/>
  <c r="M118" i="23"/>
  <c r="AC117" i="23"/>
  <c r="Y117" i="23"/>
  <c r="W117" i="23"/>
  <c r="S117" i="23"/>
  <c r="R117" i="23"/>
  <c r="P117" i="23"/>
  <c r="N117" i="23"/>
  <c r="M117" i="23"/>
  <c r="V117" i="23" s="1"/>
  <c r="X116" i="23"/>
  <c r="S116" i="23"/>
  <c r="N116" i="23"/>
  <c r="M116" i="23"/>
  <c r="V116" i="23" s="1"/>
  <c r="M115" i="23"/>
  <c r="V115" i="23" s="1"/>
  <c r="X114" i="23"/>
  <c r="M114" i="23"/>
  <c r="W114" i="23" s="1"/>
  <c r="Y113" i="23"/>
  <c r="S113" i="23"/>
  <c r="N113" i="23"/>
  <c r="M113" i="23"/>
  <c r="V113" i="23" s="1"/>
  <c r="W112" i="23"/>
  <c r="R112" i="23"/>
  <c r="Q112" i="23"/>
  <c r="M112" i="23"/>
  <c r="V111" i="23"/>
  <c r="M111" i="23"/>
  <c r="S110" i="23"/>
  <c r="M110" i="23"/>
  <c r="W110" i="23" s="1"/>
  <c r="M109" i="23"/>
  <c r="X109" i="23" s="1"/>
  <c r="U108" i="23"/>
  <c r="T108" i="23"/>
  <c r="Q108" i="23"/>
  <c r="P108" i="23"/>
  <c r="M108" i="23"/>
  <c r="W108" i="23" s="1"/>
  <c r="M107" i="23"/>
  <c r="AC106" i="23"/>
  <c r="M106" i="23"/>
  <c r="X106" i="23" s="1"/>
  <c r="AC105" i="23"/>
  <c r="U105" i="23"/>
  <c r="S105" i="23"/>
  <c r="Q105" i="23"/>
  <c r="P105" i="23"/>
  <c r="M105" i="23"/>
  <c r="V105" i="23" s="1"/>
  <c r="Y104" i="23"/>
  <c r="X104" i="23"/>
  <c r="U104" i="23"/>
  <c r="T104" i="23"/>
  <c r="R104" i="23"/>
  <c r="P104" i="23"/>
  <c r="N104" i="23"/>
  <c r="M104" i="23"/>
  <c r="V104" i="23" s="1"/>
  <c r="M103" i="23"/>
  <c r="V103" i="23" s="1"/>
  <c r="AC102" i="23"/>
  <c r="M102" i="23"/>
  <c r="S101" i="23"/>
  <c r="M101" i="23"/>
  <c r="U100" i="23"/>
  <c r="N100" i="23"/>
  <c r="R100" i="23" s="1"/>
  <c r="M100" i="23"/>
  <c r="X100" i="23" s="1"/>
  <c r="M99" i="23"/>
  <c r="V99" i="23" s="1"/>
  <c r="AC98" i="23"/>
  <c r="M98" i="23"/>
  <c r="S97" i="23"/>
  <c r="N97" i="23"/>
  <c r="Y97" i="23" s="1"/>
  <c r="M97" i="23"/>
  <c r="V97" i="23" s="1"/>
  <c r="Y96" i="23"/>
  <c r="X96" i="23"/>
  <c r="S96" i="23"/>
  <c r="R96" i="23"/>
  <c r="P96" i="23"/>
  <c r="N96" i="23"/>
  <c r="M96" i="23"/>
  <c r="V96" i="23" s="1"/>
  <c r="M95" i="23"/>
  <c r="V95" i="23" s="1"/>
  <c r="M94" i="23"/>
  <c r="U93" i="23"/>
  <c r="S93" i="23"/>
  <c r="Q93" i="23"/>
  <c r="P93" i="23"/>
  <c r="M93" i="23"/>
  <c r="X93" i="23" s="1"/>
  <c r="Y92" i="23"/>
  <c r="X92" i="23"/>
  <c r="U92" i="23"/>
  <c r="T92" i="23"/>
  <c r="R92" i="23"/>
  <c r="P92" i="23"/>
  <c r="N92" i="23"/>
  <c r="M92" i="23"/>
  <c r="V92" i="23" s="1"/>
  <c r="M91" i="23"/>
  <c r="AC90" i="23"/>
  <c r="S90" i="23"/>
  <c r="M90" i="23"/>
  <c r="V90" i="23" s="1"/>
  <c r="AC89" i="23"/>
  <c r="S89" i="23"/>
  <c r="M89" i="23"/>
  <c r="T88" i="23"/>
  <c r="S88" i="23"/>
  <c r="P88" i="23"/>
  <c r="N88" i="23"/>
  <c r="R88" i="23" s="1"/>
  <c r="M88" i="23"/>
  <c r="X88" i="23" s="1"/>
  <c r="M87" i="23"/>
  <c r="X86" i="23"/>
  <c r="W86" i="23"/>
  <c r="S86" i="23"/>
  <c r="P86" i="23"/>
  <c r="M86" i="23"/>
  <c r="V86" i="23" s="1"/>
  <c r="Y85" i="23"/>
  <c r="S85" i="23"/>
  <c r="N85" i="23"/>
  <c r="M85" i="23"/>
  <c r="V85" i="23" s="1"/>
  <c r="R84" i="23"/>
  <c r="M84" i="23"/>
  <c r="M83" i="23"/>
  <c r="U82" i="23"/>
  <c r="S82" i="23"/>
  <c r="N82" i="23"/>
  <c r="M82" i="23"/>
  <c r="U81" i="23"/>
  <c r="P81" i="23"/>
  <c r="N81" i="23"/>
  <c r="Y81" i="23" s="1"/>
  <c r="M81" i="23"/>
  <c r="R81" i="23" s="1"/>
  <c r="AC80" i="23"/>
  <c r="W80" i="23"/>
  <c r="U80" i="23"/>
  <c r="T80" i="23"/>
  <c r="S80" i="23"/>
  <c r="R80" i="23"/>
  <c r="Q80" i="23"/>
  <c r="N80" i="23"/>
  <c r="M80" i="23"/>
  <c r="X80" i="23" s="1"/>
  <c r="M79" i="23"/>
  <c r="M78" i="23"/>
  <c r="V78" i="23" s="1"/>
  <c r="Y77" i="23"/>
  <c r="X77" i="23"/>
  <c r="S77" i="23"/>
  <c r="Q77" i="23"/>
  <c r="P77" i="23"/>
  <c r="N77" i="23"/>
  <c r="M77" i="23"/>
  <c r="V77" i="23" s="1"/>
  <c r="W76" i="23"/>
  <c r="U76" i="23"/>
  <c r="T76" i="23"/>
  <c r="S76" i="23"/>
  <c r="R76" i="23"/>
  <c r="Q76" i="23"/>
  <c r="M76" i="23"/>
  <c r="X76" i="23" s="1"/>
  <c r="M75" i="23"/>
  <c r="M74" i="23"/>
  <c r="V74" i="23" s="1"/>
  <c r="W73" i="23"/>
  <c r="P73" i="23"/>
  <c r="M73" i="23"/>
  <c r="V73" i="23" s="1"/>
  <c r="S72" i="23"/>
  <c r="M72" i="23"/>
  <c r="X72" i="23" s="1"/>
  <c r="U71" i="23"/>
  <c r="S71" i="23"/>
  <c r="Q71" i="23"/>
  <c r="N71" i="23"/>
  <c r="M71" i="23"/>
  <c r="AC71" i="23" s="1"/>
  <c r="S70" i="23"/>
  <c r="M70" i="23"/>
  <c r="V70" i="23" s="1"/>
  <c r="M69" i="23"/>
  <c r="V69" i="23" s="1"/>
  <c r="AC68" i="23"/>
  <c r="W68" i="23"/>
  <c r="U68" i="23"/>
  <c r="S68" i="23"/>
  <c r="P68" i="23"/>
  <c r="M68" i="23"/>
  <c r="V68" i="23" s="1"/>
  <c r="M67" i="23"/>
  <c r="S67" i="23" s="1"/>
  <c r="M66" i="23"/>
  <c r="AC66" i="23" s="1"/>
  <c r="P65" i="23"/>
  <c r="M65" i="23"/>
  <c r="Y65" i="23" s="1"/>
  <c r="M64" i="23"/>
  <c r="X63" i="23"/>
  <c r="Q63" i="23"/>
  <c r="P63" i="23"/>
  <c r="N63" i="23"/>
  <c r="W63" i="23" s="1"/>
  <c r="M63" i="23"/>
  <c r="AC63" i="23" s="1"/>
  <c r="AC62" i="23"/>
  <c r="S62" i="23"/>
  <c r="M62" i="23"/>
  <c r="R62" i="23" s="1"/>
  <c r="X61" i="23"/>
  <c r="T61" i="23"/>
  <c r="M61" i="23"/>
  <c r="U61" i="23" s="1"/>
  <c r="V60" i="23"/>
  <c r="M60" i="23"/>
  <c r="U59" i="23"/>
  <c r="R59" i="23"/>
  <c r="P59" i="23"/>
  <c r="M59" i="23"/>
  <c r="AC59" i="23" s="1"/>
  <c r="S58" i="23"/>
  <c r="M58" i="23"/>
  <c r="AC58" i="23" s="1"/>
  <c r="M57" i="23"/>
  <c r="Y57" i="23" s="1"/>
  <c r="M56" i="23"/>
  <c r="V56" i="23" s="1"/>
  <c r="Q55" i="23"/>
  <c r="M55" i="23"/>
  <c r="AC55" i="23" s="1"/>
  <c r="AC54" i="23"/>
  <c r="M54" i="23"/>
  <c r="S54" i="23" s="1"/>
  <c r="U53" i="23"/>
  <c r="M53" i="23"/>
  <c r="T53" i="23" s="1"/>
  <c r="M52" i="23"/>
  <c r="Y51" i="23"/>
  <c r="T51" i="23"/>
  <c r="P51" i="23"/>
  <c r="M51" i="23"/>
  <c r="AC51" i="23" s="1"/>
  <c r="S50" i="23"/>
  <c r="M50" i="23"/>
  <c r="R50" i="23" s="1"/>
  <c r="U49" i="23"/>
  <c r="M49" i="23"/>
  <c r="Y49" i="23" s="1"/>
  <c r="V48" i="23"/>
  <c r="M48" i="23"/>
  <c r="U47" i="23"/>
  <c r="P47" i="23"/>
  <c r="M47" i="23"/>
  <c r="AC47" i="23" s="1"/>
  <c r="S46" i="23"/>
  <c r="M46" i="23"/>
  <c r="W46" i="23" s="1"/>
  <c r="U45" i="23"/>
  <c r="M45" i="23"/>
  <c r="Y45" i="23" s="1"/>
  <c r="M44" i="23"/>
  <c r="T43" i="23"/>
  <c r="N43" i="23"/>
  <c r="W43" i="23" s="1"/>
  <c r="M43" i="23"/>
  <c r="AC43" i="23" s="1"/>
  <c r="R42" i="23"/>
  <c r="M42" i="23"/>
  <c r="W42" i="23" s="1"/>
  <c r="M41" i="23"/>
  <c r="Y41" i="23" s="1"/>
  <c r="M40" i="23"/>
  <c r="W39" i="23"/>
  <c r="Q39" i="23"/>
  <c r="M39" i="23"/>
  <c r="AC39" i="23" s="1"/>
  <c r="AC38" i="23"/>
  <c r="M38" i="23"/>
  <c r="W38" i="23" s="1"/>
  <c r="X37" i="23"/>
  <c r="Q37" i="23"/>
  <c r="M37" i="23"/>
  <c r="W37" i="23" s="1"/>
  <c r="M36" i="23"/>
  <c r="W36" i="23" s="1"/>
  <c r="M35" i="23"/>
  <c r="AC35" i="23" s="1"/>
  <c r="M34" i="23"/>
  <c r="W34" i="23" s="1"/>
  <c r="U33" i="23"/>
  <c r="P33" i="23"/>
  <c r="M33" i="23"/>
  <c r="W33" i="23" s="1"/>
  <c r="M32" i="23"/>
  <c r="W32" i="23" s="1"/>
  <c r="M31" i="23"/>
  <c r="AC31" i="23" s="1"/>
  <c r="R30" i="23"/>
  <c r="M30" i="23"/>
  <c r="AC30" i="23" s="1"/>
  <c r="Y29" i="23"/>
  <c r="S29" i="23"/>
  <c r="M29" i="23"/>
  <c r="W29" i="23" s="1"/>
  <c r="M28" i="23"/>
  <c r="AC28" i="23" s="1"/>
  <c r="M27" i="23"/>
  <c r="V27" i="23" s="1"/>
  <c r="M26" i="23"/>
  <c r="T26" i="23" s="1"/>
  <c r="U25" i="23"/>
  <c r="P25" i="23"/>
  <c r="M25" i="23"/>
  <c r="V25" i="23" s="1"/>
  <c r="Y24" i="23"/>
  <c r="R24" i="23"/>
  <c r="M24" i="23"/>
  <c r="X24" i="23" s="1"/>
  <c r="M23" i="23"/>
  <c r="R23" i="23" s="1"/>
  <c r="M22" i="23"/>
  <c r="T22" i="23" s="1"/>
  <c r="Y21" i="23"/>
  <c r="T21" i="23"/>
  <c r="P21" i="23"/>
  <c r="M21" i="23"/>
  <c r="V21" i="23" s="1"/>
  <c r="Y20" i="23"/>
  <c r="R20" i="23"/>
  <c r="M20" i="23"/>
  <c r="X20" i="23" s="1"/>
  <c r="M19" i="23"/>
  <c r="R19" i="23" s="1"/>
  <c r="N18" i="23"/>
  <c r="M18" i="23"/>
  <c r="T18" i="23" s="1"/>
  <c r="U17" i="23"/>
  <c r="P17" i="23"/>
  <c r="N17" i="23"/>
  <c r="S17" i="23" s="1"/>
  <c r="M17" i="23"/>
  <c r="V17" i="23" s="1"/>
  <c r="Y16" i="23"/>
  <c r="R16" i="23"/>
  <c r="Q16" i="23"/>
  <c r="M16" i="23"/>
  <c r="X16" i="23" s="1"/>
  <c r="M15" i="23"/>
  <c r="R15" i="23" s="1"/>
  <c r="S14" i="23"/>
  <c r="P14" i="23"/>
  <c r="M14" i="23"/>
  <c r="T14" i="23" s="1"/>
  <c r="AC13" i="23"/>
  <c r="T13" i="23"/>
  <c r="S13" i="23"/>
  <c r="P13" i="23"/>
  <c r="N13" i="23"/>
  <c r="R13" i="23" s="1"/>
  <c r="M13" i="23"/>
  <c r="V13" i="23" s="1"/>
  <c r="M12" i="23"/>
  <c r="X12" i="23" s="1"/>
  <c r="M11" i="23"/>
  <c r="R11" i="23" s="1"/>
  <c r="AC10" i="23"/>
  <c r="S10" i="23"/>
  <c r="M10" i="23"/>
  <c r="T10" i="23" s="1"/>
  <c r="AC9" i="23"/>
  <c r="U9" i="23"/>
  <c r="Q9" i="23"/>
  <c r="M9" i="23"/>
  <c r="V9" i="23" s="1"/>
  <c r="M8" i="23"/>
  <c r="X8" i="23" s="1"/>
  <c r="S7" i="23"/>
  <c r="M7" i="23"/>
  <c r="R7" i="23" s="1"/>
  <c r="X6" i="23"/>
  <c r="P6" i="23"/>
  <c r="M6" i="23"/>
  <c r="T6" i="23" s="1"/>
  <c r="Y5" i="23"/>
  <c r="T5" i="23"/>
  <c r="R5" i="23"/>
  <c r="P5" i="23"/>
  <c r="M5" i="23"/>
  <c r="V5" i="23" s="1"/>
  <c r="Y4" i="23"/>
  <c r="T4" i="23"/>
  <c r="R4" i="23"/>
  <c r="N4" i="23"/>
  <c r="M4" i="23"/>
  <c r="X4" i="23" s="1"/>
  <c r="AC3" i="23"/>
  <c r="U3" i="23"/>
  <c r="Q3" i="23"/>
  <c r="M3" i="23"/>
  <c r="R3" i="23" s="1"/>
  <c r="W2" i="23"/>
  <c r="S2" i="23"/>
  <c r="N2" i="23"/>
  <c r="M2" i="23"/>
  <c r="T2" i="23" s="1"/>
  <c r="AG429" i="4"/>
  <c r="O429" i="4"/>
  <c r="X429" i="4" s="1"/>
  <c r="W428" i="4"/>
  <c r="O428" i="4"/>
  <c r="X428" i="4" s="1"/>
  <c r="AC427" i="4"/>
  <c r="U427" i="4"/>
  <c r="O427" i="4"/>
  <c r="AB427" i="4" s="1"/>
  <c r="O426" i="4"/>
  <c r="V425" i="4"/>
  <c r="U425" i="4"/>
  <c r="O425" i="4"/>
  <c r="X425" i="4" s="1"/>
  <c r="AG424" i="4"/>
  <c r="O424" i="4"/>
  <c r="W424" i="4" s="1"/>
  <c r="AC423" i="4"/>
  <c r="AB423" i="4"/>
  <c r="U423" i="4"/>
  <c r="T423" i="4"/>
  <c r="O423" i="4"/>
  <c r="X423" i="4" s="1"/>
  <c r="O422" i="4"/>
  <c r="O421" i="4"/>
  <c r="X421" i="4" s="1"/>
  <c r="AB420" i="4"/>
  <c r="W420" i="4"/>
  <c r="T420" i="4"/>
  <c r="O420" i="4"/>
  <c r="AG420" i="4" s="1"/>
  <c r="AC419" i="4"/>
  <c r="AB419" i="4"/>
  <c r="T419" i="4"/>
  <c r="S419" i="4"/>
  <c r="O419" i="4"/>
  <c r="X419" i="4" s="1"/>
  <c r="V418" i="4"/>
  <c r="O418" i="4"/>
  <c r="X418" i="4" s="1"/>
  <c r="AG417" i="4"/>
  <c r="AC417" i="4"/>
  <c r="W417" i="4"/>
  <c r="U417" i="4"/>
  <c r="T417" i="4"/>
  <c r="O417" i="4"/>
  <c r="X417" i="4" s="1"/>
  <c r="AB416" i="4"/>
  <c r="S416" i="4"/>
  <c r="O416" i="4"/>
  <c r="V416" i="4" s="1"/>
  <c r="X415" i="4"/>
  <c r="O415" i="4"/>
  <c r="AC415" i="4" s="1"/>
  <c r="V414" i="4"/>
  <c r="T414" i="4"/>
  <c r="O414" i="4"/>
  <c r="AG414" i="4" s="1"/>
  <c r="AG413" i="4"/>
  <c r="O413" i="4"/>
  <c r="V413" i="4" s="1"/>
  <c r="AG412" i="4"/>
  <c r="AB412" i="4"/>
  <c r="W412" i="4"/>
  <c r="V412" i="4"/>
  <c r="T412" i="4"/>
  <c r="O412" i="4"/>
  <c r="AB411" i="4"/>
  <c r="X411" i="4"/>
  <c r="T411" i="4"/>
  <c r="O411" i="4"/>
  <c r="AC411" i="4" s="1"/>
  <c r="X410" i="4"/>
  <c r="W410" i="4"/>
  <c r="U410" i="4"/>
  <c r="O410" i="4"/>
  <c r="AG410" i="4" s="1"/>
  <c r="X409" i="4"/>
  <c r="W409" i="4"/>
  <c r="T409" i="4"/>
  <c r="O409" i="4"/>
  <c r="AG409" i="4" s="1"/>
  <c r="T408" i="4"/>
  <c r="O408" i="4"/>
  <c r="AB408" i="4" s="1"/>
  <c r="AB407" i="4"/>
  <c r="S407" i="4"/>
  <c r="O407" i="4"/>
  <c r="U407" i="4" s="1"/>
  <c r="O406" i="4"/>
  <c r="Y405" i="4"/>
  <c r="O405" i="4"/>
  <c r="AC405" i="4" s="1"/>
  <c r="O404" i="4"/>
  <c r="T404" i="4" s="1"/>
  <c r="V403" i="4"/>
  <c r="O403" i="4"/>
  <c r="AB403" i="4" s="1"/>
  <c r="O402" i="4"/>
  <c r="O401" i="4"/>
  <c r="O400" i="4"/>
  <c r="AG400" i="4" s="1"/>
  <c r="O399" i="4"/>
  <c r="O398" i="4"/>
  <c r="V397" i="4"/>
  <c r="O397" i="4"/>
  <c r="AC397" i="4" s="1"/>
  <c r="O396" i="4"/>
  <c r="Y395" i="4"/>
  <c r="O395" i="4"/>
  <c r="O394" i="4"/>
  <c r="W393" i="4"/>
  <c r="O393" i="4"/>
  <c r="AC393" i="4" s="1"/>
  <c r="T392" i="4"/>
  <c r="O392" i="4"/>
  <c r="AG392" i="4" s="1"/>
  <c r="O391" i="4"/>
  <c r="AB391" i="4" s="1"/>
  <c r="AC390" i="4"/>
  <c r="O390" i="4"/>
  <c r="X389" i="4"/>
  <c r="O389" i="4"/>
  <c r="AC389" i="4" s="1"/>
  <c r="O388" i="4"/>
  <c r="O387" i="4"/>
  <c r="O386" i="4"/>
  <c r="Y386" i="4" s="1"/>
  <c r="Y385" i="4"/>
  <c r="O385" i="4"/>
  <c r="AA384" i="4"/>
  <c r="V384" i="4"/>
  <c r="O384" i="4"/>
  <c r="X384" i="4" s="1"/>
  <c r="AG383" i="4"/>
  <c r="V383" i="4"/>
  <c r="O383" i="4"/>
  <c r="Y383" i="4" s="1"/>
  <c r="X382" i="4"/>
  <c r="V382" i="4"/>
  <c r="O382" i="4"/>
  <c r="Y382" i="4" s="1"/>
  <c r="Y381" i="4"/>
  <c r="O381" i="4"/>
  <c r="AG381" i="4" s="1"/>
  <c r="AC380" i="4"/>
  <c r="Z380" i="4"/>
  <c r="T380" i="4"/>
  <c r="P380" i="4"/>
  <c r="O380" i="4"/>
  <c r="X380" i="4" s="1"/>
  <c r="V379" i="4"/>
  <c r="O379" i="4"/>
  <c r="Y379" i="4" s="1"/>
  <c r="Y378" i="4"/>
  <c r="O378" i="4"/>
  <c r="AG378" i="4" s="1"/>
  <c r="O377" i="4"/>
  <c r="Z376" i="4"/>
  <c r="V376" i="4"/>
  <c r="P376" i="4"/>
  <c r="O376" i="4"/>
  <c r="W376" i="4" s="1"/>
  <c r="Y375" i="4"/>
  <c r="O375" i="4"/>
  <c r="AG375" i="4" s="1"/>
  <c r="W374" i="4"/>
  <c r="P374" i="4"/>
  <c r="O374" i="4"/>
  <c r="Z374" i="4" s="1"/>
  <c r="AB373" i="4"/>
  <c r="R373" i="4"/>
  <c r="P373" i="4"/>
  <c r="S373" i="4" s="1"/>
  <c r="O373" i="4"/>
  <c r="X373" i="4" s="1"/>
  <c r="AC372" i="4"/>
  <c r="U372" i="4"/>
  <c r="T372" i="4"/>
  <c r="P372" i="4"/>
  <c r="O372" i="4"/>
  <c r="Z372" i="4" s="1"/>
  <c r="O371" i="4"/>
  <c r="AC371" i="4" s="1"/>
  <c r="O370" i="4"/>
  <c r="Y369" i="4"/>
  <c r="O369" i="4"/>
  <c r="O368" i="4"/>
  <c r="O367" i="4"/>
  <c r="W367" i="4" s="1"/>
  <c r="AG366" i="4"/>
  <c r="P366" i="4"/>
  <c r="O366" i="4"/>
  <c r="Y366" i="4" s="1"/>
  <c r="Y365" i="4"/>
  <c r="T365" i="4"/>
  <c r="R365" i="4"/>
  <c r="O365" i="4"/>
  <c r="X365" i="4" s="1"/>
  <c r="AA364" i="4"/>
  <c r="Y364" i="4"/>
  <c r="U364" i="4"/>
  <c r="S364" i="4"/>
  <c r="O364" i="4"/>
  <c r="Z364" i="4" s="1"/>
  <c r="O363" i="4"/>
  <c r="P362" i="4"/>
  <c r="W362" i="4" s="1"/>
  <c r="O362" i="4"/>
  <c r="Z362" i="4" s="1"/>
  <c r="AA361" i="4"/>
  <c r="R361" i="4"/>
  <c r="P361" i="4"/>
  <c r="O361" i="4"/>
  <c r="X361" i="4" s="1"/>
  <c r="AC360" i="4"/>
  <c r="T360" i="4"/>
  <c r="P360" i="4"/>
  <c r="U360" i="4" s="1"/>
  <c r="O360" i="4"/>
  <c r="Z360" i="4" s="1"/>
  <c r="O359" i="4"/>
  <c r="AG359" i="4" s="1"/>
  <c r="X358" i="4"/>
  <c r="O358" i="4"/>
  <c r="R358" i="4" s="1"/>
  <c r="AG357" i="4"/>
  <c r="R357" i="4"/>
  <c r="O357" i="4"/>
  <c r="AB357" i="4" s="1"/>
  <c r="V356" i="4"/>
  <c r="P356" i="4"/>
  <c r="O356" i="4"/>
  <c r="Y356" i="4" s="1"/>
  <c r="O355" i="4"/>
  <c r="AA355" i="4" s="1"/>
  <c r="X354" i="4"/>
  <c r="O354" i="4"/>
  <c r="T354" i="4" s="1"/>
  <c r="T353" i="4"/>
  <c r="O353" i="4"/>
  <c r="AG353" i="4" s="1"/>
  <c r="V352" i="4"/>
  <c r="P352" i="4"/>
  <c r="O352" i="4"/>
  <c r="Y352" i="4" s="1"/>
  <c r="O351" i="4"/>
  <c r="AA351" i="4" s="1"/>
  <c r="X350" i="4"/>
  <c r="O350" i="4"/>
  <c r="AB350" i="4" s="1"/>
  <c r="O349" i="4"/>
  <c r="O348" i="4"/>
  <c r="O347" i="4"/>
  <c r="AA347" i="4" s="1"/>
  <c r="AB346" i="4"/>
  <c r="V346" i="4"/>
  <c r="O346" i="4"/>
  <c r="Z346" i="4" s="1"/>
  <c r="O345" i="4"/>
  <c r="O344" i="4"/>
  <c r="T343" i="4"/>
  <c r="O343" i="4"/>
  <c r="AA343" i="4" s="1"/>
  <c r="V342" i="4"/>
  <c r="R342" i="4"/>
  <c r="O342" i="4"/>
  <c r="Z342" i="4" s="1"/>
  <c r="R341" i="4"/>
  <c r="O341" i="4"/>
  <c r="AB341" i="4" s="1"/>
  <c r="Y340" i="4"/>
  <c r="P340" i="4"/>
  <c r="O340" i="4"/>
  <c r="T340" i="4" s="1"/>
  <c r="S339" i="4"/>
  <c r="O339" i="4"/>
  <c r="AA339" i="4" s="1"/>
  <c r="O338" i="4"/>
  <c r="O337" i="4"/>
  <c r="AB337" i="4" s="1"/>
  <c r="Z336" i="4"/>
  <c r="V336" i="4"/>
  <c r="O336" i="4"/>
  <c r="P336" i="4" s="1"/>
  <c r="AA335" i="4"/>
  <c r="R335" i="4"/>
  <c r="O335" i="4"/>
  <c r="Z335" i="4" s="1"/>
  <c r="V334" i="4"/>
  <c r="R334" i="4"/>
  <c r="O334" i="4"/>
  <c r="Z334" i="4" s="1"/>
  <c r="P333" i="4"/>
  <c r="O333" i="4"/>
  <c r="X333" i="4" s="1"/>
  <c r="O332" i="4"/>
  <c r="P332" i="4" s="1"/>
  <c r="O331" i="4"/>
  <c r="AG330" i="4"/>
  <c r="V330" i="4"/>
  <c r="O330" i="4"/>
  <c r="R330" i="4" s="1"/>
  <c r="W329" i="4"/>
  <c r="O329" i="4"/>
  <c r="X329" i="4" s="1"/>
  <c r="Y328" i="4"/>
  <c r="O328" i="4"/>
  <c r="X328" i="4" s="1"/>
  <c r="AB327" i="4"/>
  <c r="O327" i="4"/>
  <c r="Z327" i="4" s="1"/>
  <c r="AG326" i="4"/>
  <c r="U326" i="4"/>
  <c r="O326" i="4"/>
  <c r="W326" i="4" s="1"/>
  <c r="AG325" i="4"/>
  <c r="T325" i="4"/>
  <c r="O325" i="4"/>
  <c r="X325" i="4" s="1"/>
  <c r="AB324" i="4"/>
  <c r="O324" i="4"/>
  <c r="Y324" i="4" s="1"/>
  <c r="O323" i="4"/>
  <c r="AC322" i="4"/>
  <c r="T322" i="4"/>
  <c r="O322" i="4"/>
  <c r="V322" i="4" s="1"/>
  <c r="AG321" i="4"/>
  <c r="R321" i="4"/>
  <c r="O321" i="4"/>
  <c r="AB320" i="4"/>
  <c r="P320" i="4"/>
  <c r="O320" i="4"/>
  <c r="S320" i="4" s="1"/>
  <c r="AB319" i="4"/>
  <c r="Z319" i="4"/>
  <c r="O319" i="4"/>
  <c r="R319" i="4" s="1"/>
  <c r="Z318" i="4"/>
  <c r="V318" i="4"/>
  <c r="T318" i="4"/>
  <c r="O318" i="4"/>
  <c r="AG318" i="4" s="1"/>
  <c r="O317" i="4"/>
  <c r="R317" i="4" s="1"/>
  <c r="O316" i="4"/>
  <c r="AB316" i="4" s="1"/>
  <c r="AB315" i="4"/>
  <c r="T315" i="4"/>
  <c r="R315" i="4"/>
  <c r="P315" i="4"/>
  <c r="O315" i="4"/>
  <c r="X315" i="4" s="1"/>
  <c r="O314" i="4"/>
  <c r="AB314" i="4" s="1"/>
  <c r="O313" i="4"/>
  <c r="T312" i="4"/>
  <c r="O312" i="4"/>
  <c r="Z312" i="4" s="1"/>
  <c r="O311" i="4"/>
  <c r="O310" i="4"/>
  <c r="U310" i="4" s="1"/>
  <c r="Z309" i="4"/>
  <c r="O309" i="4"/>
  <c r="AC309" i="4" s="1"/>
  <c r="O308" i="4"/>
  <c r="U307" i="4"/>
  <c r="P307" i="4"/>
  <c r="O307" i="4"/>
  <c r="Z307" i="4" s="1"/>
  <c r="V306" i="4"/>
  <c r="O306" i="4"/>
  <c r="AB306" i="4" s="1"/>
  <c r="O305" i="4"/>
  <c r="Y305" i="4" s="1"/>
  <c r="AG304" i="4"/>
  <c r="W304" i="4"/>
  <c r="S304" i="4"/>
  <c r="O304" i="4"/>
  <c r="Z304" i="4" s="1"/>
  <c r="AC303" i="4"/>
  <c r="W303" i="4"/>
  <c r="O303" i="4"/>
  <c r="P303" i="4" s="1"/>
  <c r="AG302" i="4"/>
  <c r="Y302" i="4"/>
  <c r="P302" i="4"/>
  <c r="Z302" i="4" s="1"/>
  <c r="O302" i="4"/>
  <c r="AA302" i="4" s="1"/>
  <c r="AC301" i="4"/>
  <c r="O301" i="4"/>
  <c r="P301" i="4" s="1"/>
  <c r="O300" i="4"/>
  <c r="P299" i="4"/>
  <c r="O299" i="4"/>
  <c r="Z299" i="4" s="1"/>
  <c r="V298" i="4"/>
  <c r="U298" i="4"/>
  <c r="O298" i="4"/>
  <c r="AB298" i="4" s="1"/>
  <c r="S297" i="4"/>
  <c r="O297" i="4"/>
  <c r="Y297" i="4" s="1"/>
  <c r="W296" i="4"/>
  <c r="V296" i="4"/>
  <c r="O296" i="4"/>
  <c r="X296" i="4" s="1"/>
  <c r="AG295" i="4"/>
  <c r="P295" i="4"/>
  <c r="AC295" i="4" s="1"/>
  <c r="O295" i="4"/>
  <c r="Z295" i="4" s="1"/>
  <c r="V294" i="4"/>
  <c r="U294" i="4"/>
  <c r="O294" i="4"/>
  <c r="AB294" i="4" s="1"/>
  <c r="O293" i="4"/>
  <c r="AC292" i="4"/>
  <c r="AB292" i="4"/>
  <c r="T292" i="4"/>
  <c r="S292" i="4"/>
  <c r="P292" i="4"/>
  <c r="O292" i="4"/>
  <c r="X292" i="4" s="1"/>
  <c r="AG291" i="4"/>
  <c r="AA291" i="4"/>
  <c r="Y291" i="4"/>
  <c r="P291" i="4"/>
  <c r="U291" i="4" s="1"/>
  <c r="O291" i="4"/>
  <c r="AG290" i="4"/>
  <c r="AC290" i="4"/>
  <c r="V290" i="4"/>
  <c r="S290" i="4"/>
  <c r="R290" i="4"/>
  <c r="O290" i="4"/>
  <c r="AB290" i="4" s="1"/>
  <c r="Y289" i="4"/>
  <c r="W289" i="4"/>
  <c r="U289" i="4"/>
  <c r="P289" i="4"/>
  <c r="O289" i="4"/>
  <c r="S289" i="4" s="1"/>
  <c r="Y288" i="4"/>
  <c r="O288" i="4"/>
  <c r="AG287" i="4"/>
  <c r="W287" i="4"/>
  <c r="T287" i="4"/>
  <c r="O287" i="4"/>
  <c r="Z287" i="4" s="1"/>
  <c r="AA286" i="4"/>
  <c r="Y286" i="4"/>
  <c r="W286" i="4"/>
  <c r="U286" i="4"/>
  <c r="P286" i="4"/>
  <c r="O286" i="4"/>
  <c r="AB286" i="4" s="1"/>
  <c r="O285" i="4"/>
  <c r="T285" i="4" s="1"/>
  <c r="V284" i="4"/>
  <c r="O284" i="4"/>
  <c r="X284" i="4" s="1"/>
  <c r="AB283" i="4"/>
  <c r="AA283" i="4"/>
  <c r="W283" i="4"/>
  <c r="P283" i="4"/>
  <c r="O283" i="4"/>
  <c r="X283" i="4" s="1"/>
  <c r="AA282" i="4"/>
  <c r="O282" i="4"/>
  <c r="AG282" i="4" s="1"/>
  <c r="O281" i="4"/>
  <c r="V281" i="4" s="1"/>
  <c r="AB280" i="4"/>
  <c r="T280" i="4"/>
  <c r="O280" i="4"/>
  <c r="X280" i="4" s="1"/>
  <c r="AB279" i="4"/>
  <c r="O279" i="4"/>
  <c r="V278" i="4"/>
  <c r="O278" i="4"/>
  <c r="AB278" i="4" s="1"/>
  <c r="O277" i="4"/>
  <c r="Y276" i="4"/>
  <c r="V276" i="4"/>
  <c r="T276" i="4"/>
  <c r="O276" i="4"/>
  <c r="AG276" i="4" s="1"/>
  <c r="AA275" i="4"/>
  <c r="O275" i="4"/>
  <c r="AB275" i="4" s="1"/>
  <c r="AC274" i="4"/>
  <c r="O274" i="4"/>
  <c r="AB274" i="4" s="1"/>
  <c r="O273" i="4"/>
  <c r="AG273" i="4" s="1"/>
  <c r="AG272" i="4"/>
  <c r="W272" i="4"/>
  <c r="T272" i="4"/>
  <c r="R272" i="4"/>
  <c r="O272" i="4"/>
  <c r="AB272" i="4" s="1"/>
  <c r="T271" i="4"/>
  <c r="O271" i="4"/>
  <c r="AB271" i="4" s="1"/>
  <c r="AC270" i="4"/>
  <c r="Z270" i="4"/>
  <c r="O270" i="4"/>
  <c r="V270" i="4" s="1"/>
  <c r="X269" i="4"/>
  <c r="O269" i="4"/>
  <c r="AG268" i="4"/>
  <c r="AA268" i="4"/>
  <c r="T268" i="4"/>
  <c r="P268" i="4"/>
  <c r="O268" i="4"/>
  <c r="X268" i="4" s="1"/>
  <c r="O267" i="4"/>
  <c r="AA267" i="4" s="1"/>
  <c r="AA266" i="4"/>
  <c r="S266" i="4"/>
  <c r="O266" i="4"/>
  <c r="AB266" i="4" s="1"/>
  <c r="AG265" i="4"/>
  <c r="O265" i="4"/>
  <c r="AB265" i="4" s="1"/>
  <c r="Z264" i="4"/>
  <c r="W264" i="4"/>
  <c r="V264" i="4"/>
  <c r="O264" i="4"/>
  <c r="X264" i="4" s="1"/>
  <c r="O263" i="4"/>
  <c r="AB263" i="4" s="1"/>
  <c r="AG262" i="4"/>
  <c r="O262" i="4"/>
  <c r="Z262" i="4" s="1"/>
  <c r="O261" i="4"/>
  <c r="Z260" i="4"/>
  <c r="O260" i="4"/>
  <c r="AB259" i="4"/>
  <c r="O259" i="4"/>
  <c r="AA259" i="4" s="1"/>
  <c r="AG258" i="4"/>
  <c r="AA258" i="4"/>
  <c r="Z258" i="4"/>
  <c r="R258" i="4"/>
  <c r="O258" i="4"/>
  <c r="AB258" i="4" s="1"/>
  <c r="O257" i="4"/>
  <c r="AG257" i="4" s="1"/>
  <c r="Y256" i="4"/>
  <c r="V256" i="4"/>
  <c r="R256" i="4"/>
  <c r="O256" i="4"/>
  <c r="AG256" i="4" s="1"/>
  <c r="O255" i="4"/>
  <c r="AB255" i="4" s="1"/>
  <c r="AG254" i="4"/>
  <c r="AA254" i="4"/>
  <c r="Z254" i="4"/>
  <c r="O254" i="4"/>
  <c r="AB254" i="4" s="1"/>
  <c r="AC253" i="4"/>
  <c r="X253" i="4"/>
  <c r="W253" i="4"/>
  <c r="O253" i="4"/>
  <c r="AG253" i="4" s="1"/>
  <c r="AA252" i="4"/>
  <c r="Y252" i="4"/>
  <c r="W252" i="4"/>
  <c r="O252" i="4"/>
  <c r="T252" i="4" s="1"/>
  <c r="O251" i="4"/>
  <c r="AA251" i="4" s="1"/>
  <c r="AG250" i="4"/>
  <c r="O250" i="4"/>
  <c r="AB250" i="4" s="1"/>
  <c r="Y249" i="4"/>
  <c r="O249" i="4"/>
  <c r="AB249" i="4" s="1"/>
  <c r="W248" i="4"/>
  <c r="V248" i="4"/>
  <c r="O248" i="4"/>
  <c r="X248" i="4" s="1"/>
  <c r="AA247" i="4"/>
  <c r="Y247" i="4"/>
  <c r="O247" i="4"/>
  <c r="AC246" i="4"/>
  <c r="W246" i="4"/>
  <c r="U246" i="4"/>
  <c r="O246" i="4"/>
  <c r="AB246" i="4" s="1"/>
  <c r="Y245" i="4"/>
  <c r="W245" i="4"/>
  <c r="P245" i="4"/>
  <c r="O245" i="4"/>
  <c r="AG245" i="4" s="1"/>
  <c r="W244" i="4"/>
  <c r="V244" i="4"/>
  <c r="O244" i="4"/>
  <c r="X244" i="4" s="1"/>
  <c r="O243" i="4"/>
  <c r="AC243" i="4" s="1"/>
  <c r="AG242" i="4"/>
  <c r="O242" i="4"/>
  <c r="AC242" i="4" s="1"/>
  <c r="P241" i="4"/>
  <c r="O241" i="4"/>
  <c r="W240" i="4"/>
  <c r="O240" i="4"/>
  <c r="X240" i="4" s="1"/>
  <c r="AC239" i="4"/>
  <c r="O239" i="4"/>
  <c r="W238" i="4"/>
  <c r="U238" i="4"/>
  <c r="S238" i="4"/>
  <c r="O238" i="4"/>
  <c r="AB238" i="4" s="1"/>
  <c r="Y237" i="4"/>
  <c r="W237" i="4"/>
  <c r="U237" i="4"/>
  <c r="P237" i="4"/>
  <c r="O237" i="4"/>
  <c r="T237" i="4" s="1"/>
  <c r="W236" i="4"/>
  <c r="O236" i="4"/>
  <c r="X236" i="4" s="1"/>
  <c r="O235" i="4"/>
  <c r="W234" i="4"/>
  <c r="S234" i="4"/>
  <c r="R234" i="4"/>
  <c r="O234" i="4"/>
  <c r="AB234" i="4" s="1"/>
  <c r="O233" i="4"/>
  <c r="Y233" i="4" s="1"/>
  <c r="O232" i="4"/>
  <c r="O231" i="4"/>
  <c r="U231" i="4" s="1"/>
  <c r="Z230" i="4"/>
  <c r="W230" i="4"/>
  <c r="P230" i="4"/>
  <c r="Y230" i="4" s="1"/>
  <c r="O230" i="4"/>
  <c r="AB230" i="4" s="1"/>
  <c r="O229" i="4"/>
  <c r="AC229" i="4" s="1"/>
  <c r="Y228" i="4"/>
  <c r="U228" i="4"/>
  <c r="T228" i="4"/>
  <c r="O228" i="4"/>
  <c r="X228" i="4" s="1"/>
  <c r="O227" i="4"/>
  <c r="AB227" i="4" s="1"/>
  <c r="AG226" i="4"/>
  <c r="O226" i="4"/>
  <c r="O225" i="4"/>
  <c r="S225" i="4" s="1"/>
  <c r="AA224" i="4"/>
  <c r="W224" i="4"/>
  <c r="V224" i="4"/>
  <c r="P224" i="4"/>
  <c r="AC224" i="4" s="1"/>
  <c r="O224" i="4"/>
  <c r="U224" i="4" s="1"/>
  <c r="AC223" i="4"/>
  <c r="Y223" i="4"/>
  <c r="O223" i="4"/>
  <c r="X223" i="4" s="1"/>
  <c r="AA222" i="4"/>
  <c r="Y222" i="4"/>
  <c r="W222" i="4"/>
  <c r="P222" i="4"/>
  <c r="AC222" i="4" s="1"/>
  <c r="O222" i="4"/>
  <c r="AC221" i="4"/>
  <c r="O221" i="4"/>
  <c r="Z220" i="4"/>
  <c r="Y220" i="4"/>
  <c r="W220" i="4"/>
  <c r="V220" i="4"/>
  <c r="O220" i="4"/>
  <c r="X220" i="4" s="1"/>
  <c r="U219" i="4"/>
  <c r="O219" i="4"/>
  <c r="AG218" i="4"/>
  <c r="AC218" i="4"/>
  <c r="S218" i="4"/>
  <c r="R218" i="4"/>
  <c r="O218" i="4"/>
  <c r="AB218" i="4" s="1"/>
  <c r="O217" i="4"/>
  <c r="AC216" i="4"/>
  <c r="AA216" i="4"/>
  <c r="Z216" i="4"/>
  <c r="T216" i="4"/>
  <c r="R216" i="4"/>
  <c r="P216" i="4"/>
  <c r="O216" i="4"/>
  <c r="X216" i="4" s="1"/>
  <c r="W215" i="4"/>
  <c r="T215" i="4"/>
  <c r="S215" i="4"/>
  <c r="O215" i="4"/>
  <c r="P215" i="4" s="1"/>
  <c r="Y215" i="4" s="1"/>
  <c r="AA214" i="4"/>
  <c r="W214" i="4"/>
  <c r="V214" i="4"/>
  <c r="O214" i="4"/>
  <c r="AB214" i="4" s="1"/>
  <c r="O213" i="4"/>
  <c r="AG212" i="4"/>
  <c r="AB212" i="4"/>
  <c r="U212" i="4"/>
  <c r="R212" i="4"/>
  <c r="P212" i="4"/>
  <c r="S212" i="4" s="1"/>
  <c r="O212" i="4"/>
  <c r="X212" i="4" s="1"/>
  <c r="O211" i="4"/>
  <c r="AG211" i="4" s="1"/>
  <c r="AA210" i="4"/>
  <c r="O210" i="4"/>
  <c r="AG210" i="4" s="1"/>
  <c r="O209" i="4"/>
  <c r="W208" i="4"/>
  <c r="V208" i="4"/>
  <c r="O208" i="4"/>
  <c r="Y208" i="4" s="1"/>
  <c r="Y207" i="4"/>
  <c r="O207" i="4"/>
  <c r="X207" i="4" s="1"/>
  <c r="O206" i="4"/>
  <c r="O205" i="4"/>
  <c r="Y204" i="4"/>
  <c r="O204" i="4"/>
  <c r="AA204" i="4" s="1"/>
  <c r="Z203" i="4"/>
  <c r="X203" i="4"/>
  <c r="U203" i="4"/>
  <c r="O203" i="4"/>
  <c r="S203" i="4" s="1"/>
  <c r="AC202" i="4"/>
  <c r="Z202" i="4"/>
  <c r="W202" i="4"/>
  <c r="R202" i="4"/>
  <c r="O202" i="4"/>
  <c r="Y202" i="4" s="1"/>
  <c r="AG201" i="4"/>
  <c r="Y201" i="4"/>
  <c r="W201" i="4"/>
  <c r="P201" i="4"/>
  <c r="O201" i="4"/>
  <c r="AA201" i="4" s="1"/>
  <c r="O200" i="4"/>
  <c r="R199" i="4"/>
  <c r="O199" i="4"/>
  <c r="AG198" i="4"/>
  <c r="T198" i="4"/>
  <c r="R198" i="4"/>
  <c r="O198" i="4"/>
  <c r="O197" i="4"/>
  <c r="AG196" i="4"/>
  <c r="P196" i="4"/>
  <c r="X196" i="4" s="1"/>
  <c r="O196" i="4"/>
  <c r="W196" i="4" s="1"/>
  <c r="O195" i="4"/>
  <c r="O194" i="4"/>
  <c r="W193" i="4"/>
  <c r="O193" i="4"/>
  <c r="O192" i="4"/>
  <c r="AC191" i="4"/>
  <c r="U191" i="4"/>
  <c r="S191" i="4"/>
  <c r="R191" i="4"/>
  <c r="O191" i="4"/>
  <c r="AB191" i="4" s="1"/>
  <c r="Y190" i="4"/>
  <c r="O190" i="4"/>
  <c r="O189" i="4"/>
  <c r="W189" i="4" s="1"/>
  <c r="W188" i="4"/>
  <c r="O188" i="4"/>
  <c r="O187" i="4"/>
  <c r="AC186" i="4"/>
  <c r="AB186" i="4"/>
  <c r="V186" i="4"/>
  <c r="T186" i="4"/>
  <c r="S186" i="4"/>
  <c r="P186" i="4"/>
  <c r="O186" i="4"/>
  <c r="X186" i="4" s="1"/>
  <c r="AC185" i="4"/>
  <c r="T185" i="4"/>
  <c r="P185" i="4"/>
  <c r="X185" i="4" s="1"/>
  <c r="O185" i="4"/>
  <c r="W185" i="4" s="1"/>
  <c r="Z184" i="4"/>
  <c r="W184" i="4"/>
  <c r="O184" i="4"/>
  <c r="O183" i="4"/>
  <c r="Y183" i="4" s="1"/>
  <c r="AG182" i="4"/>
  <c r="AB182" i="4"/>
  <c r="AA182" i="4"/>
  <c r="W182" i="4"/>
  <c r="V182" i="4"/>
  <c r="U182" i="4"/>
  <c r="S182" i="4"/>
  <c r="O182" i="4"/>
  <c r="X182" i="4" s="1"/>
  <c r="AG181" i="4"/>
  <c r="AC181" i="4"/>
  <c r="Y181" i="4"/>
  <c r="X181" i="4"/>
  <c r="V181" i="4"/>
  <c r="U181" i="4"/>
  <c r="O181" i="4"/>
  <c r="W181" i="4" s="1"/>
  <c r="AA180" i="4"/>
  <c r="X180" i="4"/>
  <c r="V180" i="4"/>
  <c r="S180" i="4"/>
  <c r="O180" i="4"/>
  <c r="Z179" i="4"/>
  <c r="O179" i="4"/>
  <c r="Y179" i="4" s="1"/>
  <c r="AG178" i="4"/>
  <c r="Z178" i="4"/>
  <c r="U178" i="4"/>
  <c r="P178" i="4"/>
  <c r="O178" i="4"/>
  <c r="X178" i="4" s="1"/>
  <c r="O177" i="4"/>
  <c r="Y177" i="4" s="1"/>
  <c r="AG176" i="4"/>
  <c r="V176" i="4"/>
  <c r="O176" i="4"/>
  <c r="W176" i="4" s="1"/>
  <c r="AC175" i="4"/>
  <c r="X175" i="4"/>
  <c r="P175" i="4"/>
  <c r="R175" i="4" s="1"/>
  <c r="O175" i="4"/>
  <c r="AB175" i="4" s="1"/>
  <c r="AB174" i="4"/>
  <c r="W174" i="4"/>
  <c r="S174" i="4"/>
  <c r="O174" i="4"/>
  <c r="X174" i="4" s="1"/>
  <c r="AB173" i="4"/>
  <c r="O173" i="4"/>
  <c r="Y173" i="4" s="1"/>
  <c r="AA172" i="4"/>
  <c r="P172" i="4"/>
  <c r="S172" i="4" s="1"/>
  <c r="O172" i="4"/>
  <c r="Y172" i="4" s="1"/>
  <c r="O171" i="4"/>
  <c r="U171" i="4" s="1"/>
  <c r="AA170" i="4"/>
  <c r="V170" i="4"/>
  <c r="R170" i="4"/>
  <c r="O170" i="4"/>
  <c r="X170" i="4" s="1"/>
  <c r="AG169" i="4"/>
  <c r="AC169" i="4"/>
  <c r="T169" i="4"/>
  <c r="O169" i="4"/>
  <c r="Y169" i="4" s="1"/>
  <c r="O168" i="4"/>
  <c r="Z168" i="4" s="1"/>
  <c r="U167" i="4"/>
  <c r="O167" i="4"/>
  <c r="Y167" i="4" s="1"/>
  <c r="AG166" i="4"/>
  <c r="T166" i="4"/>
  <c r="O166" i="4"/>
  <c r="X166" i="4" s="1"/>
  <c r="O165" i="4"/>
  <c r="X165" i="4" s="1"/>
  <c r="V164" i="4"/>
  <c r="O164" i="4"/>
  <c r="X164" i="4" s="1"/>
  <c r="W163" i="4"/>
  <c r="O163" i="4"/>
  <c r="V163" i="4" s="1"/>
  <c r="O162" i="4"/>
  <c r="Y162" i="4" s="1"/>
  <c r="O161" i="4"/>
  <c r="AG161" i="4" s="1"/>
  <c r="X160" i="4"/>
  <c r="P160" i="4"/>
  <c r="O160" i="4"/>
  <c r="AG160" i="4" s="1"/>
  <c r="Z159" i="4"/>
  <c r="O159" i="4"/>
  <c r="P159" i="4" s="1"/>
  <c r="S159" i="4" s="1"/>
  <c r="AC158" i="4"/>
  <c r="W158" i="4"/>
  <c r="O158" i="4"/>
  <c r="X158" i="4" s="1"/>
  <c r="AG157" i="4"/>
  <c r="V157" i="4"/>
  <c r="O157" i="4"/>
  <c r="AC157" i="4" s="1"/>
  <c r="U156" i="4"/>
  <c r="O156" i="4"/>
  <c r="AA155" i="4"/>
  <c r="U155" i="4"/>
  <c r="P155" i="4"/>
  <c r="O155" i="4"/>
  <c r="Y155" i="4" s="1"/>
  <c r="AA154" i="4"/>
  <c r="T154" i="4"/>
  <c r="P154" i="4"/>
  <c r="O154" i="4"/>
  <c r="Z154" i="4" s="1"/>
  <c r="O153" i="4"/>
  <c r="AB153" i="4" s="1"/>
  <c r="O152" i="4"/>
  <c r="AG152" i="4" s="1"/>
  <c r="AA151" i="4"/>
  <c r="T151" i="4"/>
  <c r="R151" i="4"/>
  <c r="O151" i="4"/>
  <c r="X151" i="4" s="1"/>
  <c r="AG150" i="4"/>
  <c r="Y150" i="4"/>
  <c r="U150" i="4"/>
  <c r="S150" i="4"/>
  <c r="P150" i="4"/>
  <c r="O150" i="4"/>
  <c r="Z150" i="4" s="1"/>
  <c r="AA149" i="4"/>
  <c r="V149" i="4"/>
  <c r="U149" i="4"/>
  <c r="O149" i="4"/>
  <c r="AB149" i="4" s="1"/>
  <c r="W148" i="4"/>
  <c r="O148" i="4"/>
  <c r="AG148" i="4" s="1"/>
  <c r="AC147" i="4"/>
  <c r="W147" i="4"/>
  <c r="P147" i="4"/>
  <c r="O147" i="4"/>
  <c r="AB147" i="4" s="1"/>
  <c r="AB146" i="4"/>
  <c r="U146" i="4"/>
  <c r="O146" i="4"/>
  <c r="Z146" i="4" s="1"/>
  <c r="AG145" i="4"/>
  <c r="W145" i="4"/>
  <c r="P145" i="4"/>
  <c r="O145" i="4"/>
  <c r="AB145" i="4" s="1"/>
  <c r="P144" i="4"/>
  <c r="O144" i="4"/>
  <c r="AC144" i="4" s="1"/>
  <c r="V143" i="4"/>
  <c r="O143" i="4"/>
  <c r="X143" i="4" s="1"/>
  <c r="O142" i="4"/>
  <c r="Z142" i="4" s="1"/>
  <c r="W141" i="4"/>
  <c r="P141" i="4"/>
  <c r="Y141" i="4" s="1"/>
  <c r="O141" i="4"/>
  <c r="AC141" i="4" s="1"/>
  <c r="O140" i="4"/>
  <c r="U140" i="4" s="1"/>
  <c r="AG139" i="4"/>
  <c r="W139" i="4"/>
  <c r="V139" i="4"/>
  <c r="P139" i="4"/>
  <c r="Y139" i="4" s="1"/>
  <c r="O139" i="4"/>
  <c r="U139" i="4" s="1"/>
  <c r="O138" i="4"/>
  <c r="Z138" i="4" s="1"/>
  <c r="W137" i="4"/>
  <c r="O137" i="4"/>
  <c r="O136" i="4"/>
  <c r="AA136" i="4" s="1"/>
  <c r="AA135" i="4"/>
  <c r="V135" i="4"/>
  <c r="T135" i="4"/>
  <c r="O135" i="4"/>
  <c r="X135" i="4" s="1"/>
  <c r="AG134" i="4"/>
  <c r="Y134" i="4"/>
  <c r="W134" i="4"/>
  <c r="T134" i="4"/>
  <c r="S134" i="4"/>
  <c r="O134" i="4"/>
  <c r="Z134" i="4" s="1"/>
  <c r="O133" i="4"/>
  <c r="AB133" i="4" s="1"/>
  <c r="Y132" i="4"/>
  <c r="P132" i="4"/>
  <c r="O132" i="4"/>
  <c r="AG132" i="4" s="1"/>
  <c r="AB131" i="4"/>
  <c r="P131" i="4"/>
  <c r="S131" i="4" s="1"/>
  <c r="O131" i="4"/>
  <c r="Y131" i="4" s="1"/>
  <c r="V130" i="4"/>
  <c r="U130" i="4"/>
  <c r="O130" i="4"/>
  <c r="Z130" i="4" s="1"/>
  <c r="Y129" i="4"/>
  <c r="O129" i="4"/>
  <c r="AB129" i="4" s="1"/>
  <c r="O128" i="4"/>
  <c r="AA128" i="4" s="1"/>
  <c r="T127" i="4"/>
  <c r="O127" i="4"/>
  <c r="X127" i="4" s="1"/>
  <c r="O126" i="4"/>
  <c r="Z126" i="4" s="1"/>
  <c r="S125" i="4"/>
  <c r="O125" i="4"/>
  <c r="AB125" i="4" s="1"/>
  <c r="X124" i="4"/>
  <c r="O124" i="4"/>
  <c r="AC124" i="4" s="1"/>
  <c r="AB123" i="4"/>
  <c r="Z123" i="4"/>
  <c r="W123" i="4"/>
  <c r="S123" i="4"/>
  <c r="P123" i="4"/>
  <c r="O123" i="4"/>
  <c r="X123" i="4" s="1"/>
  <c r="AG122" i="4"/>
  <c r="Y122" i="4"/>
  <c r="V122" i="4"/>
  <c r="U122" i="4"/>
  <c r="T122" i="4"/>
  <c r="O122" i="4"/>
  <c r="Z122" i="4" s="1"/>
  <c r="AG121" i="4"/>
  <c r="AA121" i="4"/>
  <c r="W121" i="4"/>
  <c r="P121" i="4"/>
  <c r="O121" i="4"/>
  <c r="AB121" i="4" s="1"/>
  <c r="AG120" i="4"/>
  <c r="Y120" i="4"/>
  <c r="O120" i="4"/>
  <c r="AA120" i="4" s="1"/>
  <c r="AG119" i="4"/>
  <c r="Z119" i="4"/>
  <c r="U119" i="4"/>
  <c r="T119" i="4"/>
  <c r="P119" i="4"/>
  <c r="S119" i="4" s="1"/>
  <c r="O119" i="4"/>
  <c r="W119" i="4" s="1"/>
  <c r="AA118" i="4"/>
  <c r="W118" i="4"/>
  <c r="T118" i="4"/>
  <c r="O118" i="4"/>
  <c r="Z118" i="4" s="1"/>
  <c r="AG117" i="4"/>
  <c r="W117" i="4"/>
  <c r="P117" i="4"/>
  <c r="O117" i="4"/>
  <c r="AB117" i="4" s="1"/>
  <c r="AA116" i="4"/>
  <c r="O116" i="4"/>
  <c r="Z115" i="4"/>
  <c r="P115" i="4"/>
  <c r="O115" i="4"/>
  <c r="X115" i="4" s="1"/>
  <c r="V114" i="4"/>
  <c r="O114" i="4"/>
  <c r="Z114" i="4" s="1"/>
  <c r="X113" i="4"/>
  <c r="O113" i="4"/>
  <c r="Y113" i="4" s="1"/>
  <c r="AA112" i="4"/>
  <c r="O112" i="4"/>
  <c r="X112" i="4" s="1"/>
  <c r="O111" i="4"/>
  <c r="U110" i="4"/>
  <c r="O110" i="4"/>
  <c r="AG110" i="4" s="1"/>
  <c r="W109" i="4"/>
  <c r="O109" i="4"/>
  <c r="V109" i="4" s="1"/>
  <c r="O108" i="4"/>
  <c r="AG108" i="4" s="1"/>
  <c r="V107" i="4"/>
  <c r="O107" i="4"/>
  <c r="X107" i="4" s="1"/>
  <c r="AC106" i="4"/>
  <c r="S106" i="4"/>
  <c r="O106" i="4"/>
  <c r="Z106" i="4" s="1"/>
  <c r="W105" i="4"/>
  <c r="V105" i="4"/>
  <c r="O105" i="4"/>
  <c r="W104" i="4"/>
  <c r="U104" i="4"/>
  <c r="T104" i="4"/>
  <c r="O104" i="4"/>
  <c r="V104" i="4" s="1"/>
  <c r="O103" i="4"/>
  <c r="X103" i="4" s="1"/>
  <c r="O102" i="4"/>
  <c r="AG102" i="4" s="1"/>
  <c r="AG101" i="4"/>
  <c r="AC101" i="4"/>
  <c r="O101" i="4"/>
  <c r="X101" i="4" s="1"/>
  <c r="AB100" i="4"/>
  <c r="W100" i="4"/>
  <c r="U100" i="4"/>
  <c r="O100" i="4"/>
  <c r="V100" i="4" s="1"/>
  <c r="AB99" i="4"/>
  <c r="AA99" i="4"/>
  <c r="Z99" i="4"/>
  <c r="R99" i="4"/>
  <c r="P99" i="4"/>
  <c r="V99" i="4" s="1"/>
  <c r="O99" i="4"/>
  <c r="W99" i="4" s="1"/>
  <c r="O98" i="4"/>
  <c r="X98" i="4" s="1"/>
  <c r="Y97" i="4"/>
  <c r="U97" i="4"/>
  <c r="T97" i="4"/>
  <c r="P97" i="4"/>
  <c r="O97" i="4"/>
  <c r="AB97" i="4" s="1"/>
  <c r="O96" i="4"/>
  <c r="Y96" i="4" s="1"/>
  <c r="AA95" i="4"/>
  <c r="X95" i="4"/>
  <c r="O95" i="4"/>
  <c r="W94" i="4"/>
  <c r="O94" i="4"/>
  <c r="X94" i="4" s="1"/>
  <c r="AG93" i="4"/>
  <c r="T93" i="4"/>
  <c r="P93" i="4"/>
  <c r="O93" i="4"/>
  <c r="AA93" i="4" s="1"/>
  <c r="O92" i="4"/>
  <c r="V92" i="4" s="1"/>
  <c r="O91" i="4"/>
  <c r="AA91" i="4" s="1"/>
  <c r="AG90" i="4"/>
  <c r="U90" i="4"/>
  <c r="O90" i="4"/>
  <c r="X90" i="4" s="1"/>
  <c r="AB89" i="4"/>
  <c r="P89" i="4"/>
  <c r="Y89" i="4" s="1"/>
  <c r="O89" i="4"/>
  <c r="AA89" i="4" s="1"/>
  <c r="Y88" i="4"/>
  <c r="O88" i="4"/>
  <c r="X88" i="4" s="1"/>
  <c r="O87" i="4"/>
  <c r="AG86" i="4"/>
  <c r="AA86" i="4"/>
  <c r="U86" i="4"/>
  <c r="R86" i="4"/>
  <c r="O86" i="4"/>
  <c r="X86" i="4" s="1"/>
  <c r="AB85" i="4"/>
  <c r="V85" i="4"/>
  <c r="T85" i="4"/>
  <c r="O85" i="4"/>
  <c r="AA85" i="4" s="1"/>
  <c r="X84" i="4"/>
  <c r="O84" i="4"/>
  <c r="AG84" i="4" s="1"/>
  <c r="Z83" i="4"/>
  <c r="X83" i="4"/>
  <c r="R83" i="4"/>
  <c r="O83" i="4"/>
  <c r="Y83" i="4" s="1"/>
  <c r="AG82" i="4"/>
  <c r="U82" i="4"/>
  <c r="O82" i="4"/>
  <c r="X82" i="4" s="1"/>
  <c r="O81" i="4"/>
  <c r="AA81" i="4" s="1"/>
  <c r="O80" i="4"/>
  <c r="O79" i="4"/>
  <c r="Z79" i="4" s="1"/>
  <c r="Y78" i="4"/>
  <c r="O78" i="4"/>
  <c r="T77" i="4"/>
  <c r="O77" i="4"/>
  <c r="AA77" i="4" s="1"/>
  <c r="O76" i="4"/>
  <c r="O75" i="4"/>
  <c r="Y75" i="4" s="1"/>
  <c r="AG74" i="4"/>
  <c r="V74" i="4"/>
  <c r="U74" i="4"/>
  <c r="O74" i="4"/>
  <c r="X74" i="4" s="1"/>
  <c r="AB73" i="4"/>
  <c r="O73" i="4"/>
  <c r="AG72" i="4"/>
  <c r="O72" i="4"/>
  <c r="AA72" i="4" s="1"/>
  <c r="Y71" i="4"/>
  <c r="X71" i="4"/>
  <c r="O71" i="4"/>
  <c r="Z71" i="4" s="1"/>
  <c r="Y70" i="4"/>
  <c r="O70" i="4"/>
  <c r="O69" i="4"/>
  <c r="AA69" i="4" s="1"/>
  <c r="O68" i="4"/>
  <c r="O67" i="4"/>
  <c r="W66" i="4"/>
  <c r="O66" i="4"/>
  <c r="AG65" i="4"/>
  <c r="P65" i="4"/>
  <c r="O65" i="4"/>
  <c r="AA65" i="4" s="1"/>
  <c r="O64" i="4"/>
  <c r="AA64" i="4" s="1"/>
  <c r="O63" i="4"/>
  <c r="Z63" i="4" s="1"/>
  <c r="AA62" i="4"/>
  <c r="P62" i="4"/>
  <c r="O62" i="4"/>
  <c r="Y62" i="4" s="1"/>
  <c r="U61" i="4"/>
  <c r="T61" i="4"/>
  <c r="O61" i="4"/>
  <c r="AB61" i="4" s="1"/>
  <c r="O60" i="4"/>
  <c r="O59" i="4"/>
  <c r="Z59" i="4" s="1"/>
  <c r="Z58" i="4"/>
  <c r="V58" i="4"/>
  <c r="P58" i="4"/>
  <c r="O58" i="4"/>
  <c r="W58" i="4" s="1"/>
  <c r="P57" i="4"/>
  <c r="W57" i="4" s="1"/>
  <c r="O57" i="4"/>
  <c r="AA57" i="4" s="1"/>
  <c r="O56" i="4"/>
  <c r="O55" i="4"/>
  <c r="X55" i="4" s="1"/>
  <c r="W54" i="4"/>
  <c r="V54" i="4"/>
  <c r="O54" i="4"/>
  <c r="X54" i="4" s="1"/>
  <c r="AG53" i="4"/>
  <c r="O53" i="4"/>
  <c r="AA52" i="4"/>
  <c r="O52" i="4"/>
  <c r="O51" i="4"/>
  <c r="Z51" i="4" s="1"/>
  <c r="AC50" i="4"/>
  <c r="O50" i="4"/>
  <c r="Y50" i="4" s="1"/>
  <c r="W49" i="4"/>
  <c r="V49" i="4"/>
  <c r="T49" i="4"/>
  <c r="O49" i="4"/>
  <c r="AA49" i="4" s="1"/>
  <c r="W48" i="4"/>
  <c r="O48" i="4"/>
  <c r="AG48" i="4" s="1"/>
  <c r="O47" i="4"/>
  <c r="Z47" i="4" s="1"/>
  <c r="AB46" i="4"/>
  <c r="O46" i="4"/>
  <c r="X46" i="4" s="1"/>
  <c r="W45" i="4"/>
  <c r="O45" i="4"/>
  <c r="AA45" i="4" s="1"/>
  <c r="Y44" i="4"/>
  <c r="O44" i="4"/>
  <c r="X44" i="4" s="1"/>
  <c r="O43" i="4"/>
  <c r="R43" i="4" s="1"/>
  <c r="AC42" i="4"/>
  <c r="O42" i="4"/>
  <c r="X42" i="4" s="1"/>
  <c r="Y41" i="4"/>
  <c r="O41" i="4"/>
  <c r="AA41" i="4" s="1"/>
  <c r="O40" i="4"/>
  <c r="AA40" i="4" s="1"/>
  <c r="O39" i="4"/>
  <c r="Z39" i="4" s="1"/>
  <c r="AA38" i="4"/>
  <c r="V38" i="4"/>
  <c r="R38" i="4"/>
  <c r="O38" i="4"/>
  <c r="X38" i="4" s="1"/>
  <c r="V37" i="4"/>
  <c r="O37" i="4"/>
  <c r="AA37" i="4" s="1"/>
  <c r="W36" i="4"/>
  <c r="O36" i="4"/>
  <c r="Y36" i="4" s="1"/>
  <c r="P35" i="4"/>
  <c r="S35" i="4" s="1"/>
  <c r="O35" i="4"/>
  <c r="AC35" i="4" s="1"/>
  <c r="AB34" i="4"/>
  <c r="R34" i="4"/>
  <c r="O34" i="4"/>
  <c r="W34" i="4" s="1"/>
  <c r="AC33" i="4"/>
  <c r="V33" i="4"/>
  <c r="P33" i="4"/>
  <c r="T33" i="4" s="1"/>
  <c r="O33" i="4"/>
  <c r="AG32" i="4"/>
  <c r="P32" i="4"/>
  <c r="V32" i="4" s="1"/>
  <c r="O32" i="4"/>
  <c r="AA32" i="4" s="1"/>
  <c r="AC31" i="4"/>
  <c r="S31" i="4"/>
  <c r="P31" i="4"/>
  <c r="R31" i="4" s="1"/>
  <c r="O31" i="4"/>
  <c r="AA31" i="4" s="1"/>
  <c r="Z30" i="4"/>
  <c r="W30" i="4"/>
  <c r="V30" i="4"/>
  <c r="O30" i="4"/>
  <c r="Y30" i="4" s="1"/>
  <c r="AG29" i="4"/>
  <c r="AC29" i="4"/>
  <c r="Y29" i="4"/>
  <c r="O29" i="4"/>
  <c r="X29" i="4" s="1"/>
  <c r="Y28" i="4"/>
  <c r="O28" i="4"/>
  <c r="X28" i="4" s="1"/>
  <c r="AC27" i="4"/>
  <c r="S27" i="4"/>
  <c r="R27" i="4"/>
  <c r="P27" i="4"/>
  <c r="O27" i="4"/>
  <c r="X27" i="4" s="1"/>
  <c r="W26" i="4"/>
  <c r="O26" i="4"/>
  <c r="X26" i="4" s="1"/>
  <c r="O25" i="4"/>
  <c r="W25" i="4" s="1"/>
  <c r="O24" i="4"/>
  <c r="AG24" i="4" s="1"/>
  <c r="O23" i="4"/>
  <c r="O22" i="4"/>
  <c r="W22" i="4" s="1"/>
  <c r="AC21" i="4"/>
  <c r="P21" i="4"/>
  <c r="O21" i="4"/>
  <c r="X21" i="4" s="1"/>
  <c r="O20" i="4"/>
  <c r="AA20" i="4" s="1"/>
  <c r="O19" i="4"/>
  <c r="AC19" i="4" s="1"/>
  <c r="AG18" i="4"/>
  <c r="T18" i="4"/>
  <c r="O18" i="4"/>
  <c r="Y18" i="4" s="1"/>
  <c r="U17" i="4"/>
  <c r="O17" i="4"/>
  <c r="Y17" i="4" s="1"/>
  <c r="P16" i="4"/>
  <c r="X16" i="4" s="1"/>
  <c r="O16" i="4"/>
  <c r="Y16" i="4" s="1"/>
  <c r="O15" i="4"/>
  <c r="AC14" i="4"/>
  <c r="O14" i="4"/>
  <c r="X14" i="4" s="1"/>
  <c r="X13" i="4"/>
  <c r="O13" i="4"/>
  <c r="Y13" i="4" s="1"/>
  <c r="AG12" i="4"/>
  <c r="O12" i="4"/>
  <c r="Y12" i="4" s="1"/>
  <c r="O11" i="4"/>
  <c r="U10" i="4"/>
  <c r="O10" i="4"/>
  <c r="X9" i="4"/>
  <c r="O9" i="4"/>
  <c r="Y9" i="4" s="1"/>
  <c r="X8" i="4"/>
  <c r="O8" i="4"/>
  <c r="Y8" i="4" s="1"/>
  <c r="O7" i="4"/>
  <c r="Y7" i="4" s="1"/>
  <c r="AA6" i="4"/>
  <c r="T6" i="4"/>
  <c r="O6" i="4"/>
  <c r="Z6" i="4" s="1"/>
  <c r="V5" i="4"/>
  <c r="O5" i="4"/>
  <c r="AB5" i="4" s="1"/>
  <c r="AG4" i="4"/>
  <c r="W4" i="4"/>
  <c r="O4" i="4"/>
  <c r="V4" i="4" s="1"/>
  <c r="Z3" i="4"/>
  <c r="V3" i="4"/>
  <c r="S3" i="4"/>
  <c r="O3" i="4"/>
  <c r="X3" i="4" s="1"/>
  <c r="AB2" i="4"/>
  <c r="V2" i="4"/>
  <c r="T2" i="4"/>
  <c r="S2" i="4"/>
  <c r="O2" i="4"/>
  <c r="Z2" i="4" s="1"/>
  <c r="U429" i="6"/>
  <c r="AN429" i="6" s="1"/>
  <c r="AK428" i="6"/>
  <c r="AI428" i="6"/>
  <c r="V428" i="6"/>
  <c r="U428" i="6"/>
  <c r="AL428" i="6" s="1"/>
  <c r="U427" i="6"/>
  <c r="AS426" i="6"/>
  <c r="AO426" i="6"/>
  <c r="AI426" i="6"/>
  <c r="AE426" i="6"/>
  <c r="AC426" i="6"/>
  <c r="Y426" i="6"/>
  <c r="V426" i="6"/>
  <c r="AH426" i="6" s="1"/>
  <c r="U426" i="6"/>
  <c r="AN426" i="6" s="1"/>
  <c r="AS425" i="6"/>
  <c r="AJ425" i="6"/>
  <c r="U425" i="6"/>
  <c r="AS424" i="6"/>
  <c r="AK424" i="6"/>
  <c r="AJ424" i="6"/>
  <c r="AG424" i="6"/>
  <c r="AF424" i="6"/>
  <c r="Y424" i="6"/>
  <c r="V424" i="6"/>
  <c r="AI424" i="6" s="1"/>
  <c r="U424" i="6"/>
  <c r="AL424" i="6" s="1"/>
  <c r="AN423" i="6"/>
  <c r="AM423" i="6"/>
  <c r="U423" i="6"/>
  <c r="AO422" i="6"/>
  <c r="AG422" i="6"/>
  <c r="AE422" i="6"/>
  <c r="Y422" i="6"/>
  <c r="X422" i="6"/>
  <c r="U422" i="6"/>
  <c r="AI422" i="6" s="1"/>
  <c r="U421" i="6"/>
  <c r="U420" i="6"/>
  <c r="U419" i="6"/>
  <c r="AG418" i="6"/>
  <c r="U418" i="6"/>
  <c r="AO417" i="6"/>
  <c r="AB417" i="6"/>
  <c r="Y417" i="6"/>
  <c r="U417" i="6"/>
  <c r="AF417" i="6" s="1"/>
  <c r="AS416" i="6"/>
  <c r="AO416" i="6"/>
  <c r="AJ416" i="6"/>
  <c r="AI416" i="6"/>
  <c r="AG416" i="6"/>
  <c r="AF416" i="6"/>
  <c r="AA416" i="6"/>
  <c r="Z416" i="6"/>
  <c r="X416" i="6"/>
  <c r="V416" i="6"/>
  <c r="U416" i="6"/>
  <c r="AL416" i="6" s="1"/>
  <c r="U415" i="6"/>
  <c r="AL415" i="6" s="1"/>
  <c r="V414" i="6"/>
  <c r="U414" i="6"/>
  <c r="AC413" i="6"/>
  <c r="U413" i="6"/>
  <c r="AL413" i="6" s="1"/>
  <c r="AM412" i="6"/>
  <c r="AL412" i="6"/>
  <c r="Y412" i="6"/>
  <c r="X412" i="6"/>
  <c r="U412" i="6"/>
  <c r="AJ412" i="6" s="1"/>
  <c r="U411" i="6"/>
  <c r="AG410" i="6"/>
  <c r="V410" i="6"/>
  <c r="U410" i="6"/>
  <c r="AG409" i="6"/>
  <c r="AD409" i="6"/>
  <c r="U409" i="6"/>
  <c r="AL409" i="6" s="1"/>
  <c r="AO408" i="6"/>
  <c r="U408" i="6"/>
  <c r="U407" i="6"/>
  <c r="AM407" i="6" s="1"/>
  <c r="AK406" i="6"/>
  <c r="AF406" i="6"/>
  <c r="U406" i="6"/>
  <c r="AM406" i="6" s="1"/>
  <c r="U405" i="6"/>
  <c r="U404" i="6"/>
  <c r="AM404" i="6" s="1"/>
  <c r="AK403" i="6"/>
  <c r="AF403" i="6"/>
  <c r="U403" i="6"/>
  <c r="AM403" i="6" s="1"/>
  <c r="V402" i="6"/>
  <c r="U402" i="6"/>
  <c r="U401" i="6"/>
  <c r="AF401" i="6" s="1"/>
  <c r="AK400" i="6"/>
  <c r="AJ400" i="6"/>
  <c r="AG400" i="6"/>
  <c r="Y400" i="6"/>
  <c r="X400" i="6"/>
  <c r="U400" i="6"/>
  <c r="AL400" i="6" s="1"/>
  <c r="AG399" i="6"/>
  <c r="V399" i="6"/>
  <c r="AO399" i="6" s="1"/>
  <c r="U399" i="6"/>
  <c r="U398" i="6"/>
  <c r="AS397" i="6"/>
  <c r="AM397" i="6"/>
  <c r="U397" i="6"/>
  <c r="AI397" i="6" s="1"/>
  <c r="U396" i="6"/>
  <c r="AS395" i="6"/>
  <c r="AE395" i="6"/>
  <c r="AC395" i="6"/>
  <c r="U395" i="6"/>
  <c r="AN395" i="6" s="1"/>
  <c r="AS394" i="6"/>
  <c r="AA394" i="6"/>
  <c r="X394" i="6"/>
  <c r="U394" i="6"/>
  <c r="AH394" i="6" s="1"/>
  <c r="U393" i="6"/>
  <c r="AI393" i="6" s="1"/>
  <c r="AH392" i="6"/>
  <c r="AD392" i="6"/>
  <c r="AC392" i="6"/>
  <c r="U392" i="6"/>
  <c r="AF392" i="6" s="1"/>
  <c r="U391" i="6"/>
  <c r="U390" i="6"/>
  <c r="AH389" i="6"/>
  <c r="AC389" i="6"/>
  <c r="U389" i="6"/>
  <c r="AE389" i="6" s="1"/>
  <c r="U388" i="6"/>
  <c r="U387" i="6"/>
  <c r="X386" i="6"/>
  <c r="V386" i="6"/>
  <c r="AM386" i="6" s="1"/>
  <c r="U386" i="6"/>
  <c r="AS386" i="6" s="1"/>
  <c r="AB385" i="6"/>
  <c r="AA385" i="6"/>
  <c r="U385" i="6"/>
  <c r="AH385" i="6" s="1"/>
  <c r="AH384" i="6"/>
  <c r="U384" i="6"/>
  <c r="AI384" i="6" s="1"/>
  <c r="AO383" i="6"/>
  <c r="AN383" i="6"/>
  <c r="AC383" i="6"/>
  <c r="AB383" i="6"/>
  <c r="U383" i="6"/>
  <c r="AM383" i="6" s="1"/>
  <c r="AO382" i="6"/>
  <c r="AN382" i="6"/>
  <c r="AE382" i="6"/>
  <c r="AB382" i="6"/>
  <c r="U382" i="6"/>
  <c r="AL382" i="6" s="1"/>
  <c r="AS381" i="6"/>
  <c r="AO381" i="6"/>
  <c r="AF381" i="6"/>
  <c r="AE381" i="6"/>
  <c r="AA381" i="6"/>
  <c r="U381" i="6"/>
  <c r="AN381" i="6" s="1"/>
  <c r="U380" i="6"/>
  <c r="AD380" i="6" s="1"/>
  <c r="AD379" i="6"/>
  <c r="U379" i="6"/>
  <c r="AB378" i="6"/>
  <c r="X378" i="6"/>
  <c r="U378" i="6"/>
  <c r="AS378" i="6" s="1"/>
  <c r="AE377" i="6"/>
  <c r="AB377" i="6"/>
  <c r="U377" i="6"/>
  <c r="AH377" i="6" s="1"/>
  <c r="U376" i="6"/>
  <c r="AI376" i="6" s="1"/>
  <c r="AK375" i="6"/>
  <c r="AJ375" i="6"/>
  <c r="Y375" i="6"/>
  <c r="X375" i="6"/>
  <c r="U375" i="6"/>
  <c r="AF375" i="6" s="1"/>
  <c r="AI374" i="6"/>
  <c r="AG374" i="6"/>
  <c r="X374" i="6"/>
  <c r="V374" i="6"/>
  <c r="AH374" i="6" s="1"/>
  <c r="U374" i="6"/>
  <c r="AL374" i="6" s="1"/>
  <c r="AE373" i="6"/>
  <c r="AA373" i="6"/>
  <c r="U373" i="6"/>
  <c r="AL373" i="6" s="1"/>
  <c r="AG372" i="6"/>
  <c r="AE372" i="6"/>
  <c r="U372" i="6"/>
  <c r="AO372" i="6" s="1"/>
  <c r="U371" i="6"/>
  <c r="V370" i="6"/>
  <c r="X370" i="6" s="1"/>
  <c r="U370" i="6"/>
  <c r="U369" i="6"/>
  <c r="AD369" i="6" s="1"/>
  <c r="U368" i="6"/>
  <c r="AA368" i="6" s="1"/>
  <c r="AS367" i="6"/>
  <c r="AF367" i="6"/>
  <c r="AC367" i="6"/>
  <c r="U367" i="6"/>
  <c r="AM367" i="6" s="1"/>
  <c r="AN366" i="6"/>
  <c r="AM366" i="6"/>
  <c r="Z366" i="6"/>
  <c r="Y366" i="6"/>
  <c r="U366" i="6"/>
  <c r="AL366" i="6" s="1"/>
  <c r="AH365" i="6"/>
  <c r="AE365" i="6"/>
  <c r="U365" i="6"/>
  <c r="X365" i="6" s="1"/>
  <c r="V364" i="6"/>
  <c r="U364" i="6"/>
  <c r="U363" i="6"/>
  <c r="Y363" i="6" s="1"/>
  <c r="AK362" i="6"/>
  <c r="AG362" i="6"/>
  <c r="U362" i="6"/>
  <c r="AS362" i="6" s="1"/>
  <c r="U361" i="6"/>
  <c r="AL360" i="6"/>
  <c r="U360" i="6"/>
  <c r="Z360" i="6" s="1"/>
  <c r="Y359" i="6"/>
  <c r="U359" i="6"/>
  <c r="Y358" i="6"/>
  <c r="X358" i="6"/>
  <c r="U358" i="6"/>
  <c r="AM358" i="6" s="1"/>
  <c r="AJ357" i="6"/>
  <c r="AI357" i="6"/>
  <c r="Y357" i="6"/>
  <c r="X357" i="6"/>
  <c r="U357" i="6"/>
  <c r="AL357" i="6" s="1"/>
  <c r="U356" i="6"/>
  <c r="AG355" i="6"/>
  <c r="U355" i="6"/>
  <c r="AK355" i="6" s="1"/>
  <c r="AJ354" i="6"/>
  <c r="AG354" i="6"/>
  <c r="U354" i="6"/>
  <c r="AS354" i="6" s="1"/>
  <c r="AS353" i="6"/>
  <c r="AO353" i="6"/>
  <c r="AE353" i="6"/>
  <c r="AC353" i="6"/>
  <c r="U353" i="6"/>
  <c r="AH353" i="6" s="1"/>
  <c r="AI352" i="6"/>
  <c r="AD352" i="6"/>
  <c r="U352" i="6"/>
  <c r="Z352" i="6" s="1"/>
  <c r="Y351" i="6"/>
  <c r="U351" i="6"/>
  <c r="U350" i="6"/>
  <c r="U349" i="6"/>
  <c r="U348" i="6"/>
  <c r="AE348" i="6" s="1"/>
  <c r="AI347" i="6"/>
  <c r="AH347" i="6"/>
  <c r="U347" i="6"/>
  <c r="Y347" i="6" s="1"/>
  <c r="U346" i="6"/>
  <c r="AM345" i="6"/>
  <c r="AF345" i="6"/>
  <c r="AB345" i="6"/>
  <c r="U345" i="6"/>
  <c r="U344" i="6"/>
  <c r="AI344" i="6" s="1"/>
  <c r="AM343" i="6"/>
  <c r="AC343" i="6"/>
  <c r="U343" i="6"/>
  <c r="AE343" i="6" s="1"/>
  <c r="AH342" i="6"/>
  <c r="Z342" i="6"/>
  <c r="U342" i="6"/>
  <c r="AF341" i="6"/>
  <c r="AA341" i="6"/>
  <c r="U341" i="6"/>
  <c r="AK341" i="6" s="1"/>
  <c r="U340" i="6"/>
  <c r="AL340" i="6" s="1"/>
  <c r="AN339" i="6"/>
  <c r="AI339" i="6"/>
  <c r="AF339" i="6"/>
  <c r="X339" i="6"/>
  <c r="U339" i="6"/>
  <c r="AJ339" i="6" s="1"/>
  <c r="U338" i="6"/>
  <c r="U337" i="6"/>
  <c r="U336" i="6"/>
  <c r="AJ335" i="6"/>
  <c r="AG335" i="6"/>
  <c r="AE335" i="6"/>
  <c r="Y335" i="6"/>
  <c r="U335" i="6"/>
  <c r="AN335" i="6" s="1"/>
  <c r="AS334" i="6"/>
  <c r="AN334" i="6"/>
  <c r="AA334" i="6"/>
  <c r="U334" i="6"/>
  <c r="AI334" i="6" s="1"/>
  <c r="AO333" i="6"/>
  <c r="AM333" i="6"/>
  <c r="AG333" i="6"/>
  <c r="AF333" i="6"/>
  <c r="AE333" i="6"/>
  <c r="AC333" i="6"/>
  <c r="Z333" i="6"/>
  <c r="Y333" i="6"/>
  <c r="U333" i="6"/>
  <c r="AL333" i="6" s="1"/>
  <c r="U332" i="6"/>
  <c r="U331" i="6"/>
  <c r="AM330" i="6"/>
  <c r="AJ330" i="6"/>
  <c r="AB330" i="6"/>
  <c r="V330" i="6"/>
  <c r="AE330" i="6" s="1"/>
  <c r="U330" i="6"/>
  <c r="AS330" i="6" s="1"/>
  <c r="U329" i="6"/>
  <c r="AS329" i="6" s="1"/>
  <c r="U328" i="6"/>
  <c r="AS327" i="6"/>
  <c r="U327" i="6"/>
  <c r="U326" i="6"/>
  <c r="U325" i="6"/>
  <c r="AL324" i="6"/>
  <c r="U324" i="6"/>
  <c r="AF324" i="6" s="1"/>
  <c r="AM323" i="6"/>
  <c r="AK323" i="6"/>
  <c r="AF323" i="6"/>
  <c r="AC323" i="6"/>
  <c r="U323" i="6"/>
  <c r="AJ323" i="6" s="1"/>
  <c r="U322" i="6"/>
  <c r="U321" i="6"/>
  <c r="U320" i="6"/>
  <c r="AS319" i="6"/>
  <c r="AJ319" i="6"/>
  <c r="AF319" i="6"/>
  <c r="AE319" i="6"/>
  <c r="AC319" i="6"/>
  <c r="V319" i="6"/>
  <c r="U319" i="6"/>
  <c r="AL319" i="6" s="1"/>
  <c r="U318" i="6"/>
  <c r="AL318" i="6" s="1"/>
  <c r="AO317" i="6"/>
  <c r="AK317" i="6"/>
  <c r="AG317" i="6"/>
  <c r="AE317" i="6"/>
  <c r="AC317" i="6"/>
  <c r="AA317" i="6"/>
  <c r="Y317" i="6"/>
  <c r="V317" i="6"/>
  <c r="U317" i="6"/>
  <c r="AJ317" i="6" s="1"/>
  <c r="AF316" i="6"/>
  <c r="U316" i="6"/>
  <c r="AS315" i="6"/>
  <c r="AK315" i="6"/>
  <c r="AF315" i="6"/>
  <c r="AC315" i="6"/>
  <c r="V315" i="6"/>
  <c r="Y315" i="6" s="1"/>
  <c r="U315" i="6"/>
  <c r="AH315" i="6" s="1"/>
  <c r="U314" i="6"/>
  <c r="AS313" i="6"/>
  <c r="AI313" i="6"/>
  <c r="AE313" i="6"/>
  <c r="AC313" i="6"/>
  <c r="AA313" i="6"/>
  <c r="U313" i="6"/>
  <c r="AJ312" i="6"/>
  <c r="U312" i="6"/>
  <c r="AE311" i="6"/>
  <c r="U311" i="6"/>
  <c r="AJ311" i="6" s="1"/>
  <c r="AL310" i="6"/>
  <c r="AD310" i="6"/>
  <c r="U310" i="6"/>
  <c r="AM309" i="6"/>
  <c r="AK309" i="6"/>
  <c r="AI309" i="6"/>
  <c r="AG309" i="6"/>
  <c r="AE309" i="6"/>
  <c r="U309" i="6"/>
  <c r="AJ308" i="6"/>
  <c r="AF308" i="6"/>
  <c r="U308" i="6"/>
  <c r="AN308" i="6" s="1"/>
  <c r="AN307" i="6"/>
  <c r="U307" i="6"/>
  <c r="AC307" i="6" s="1"/>
  <c r="U306" i="6"/>
  <c r="AO306" i="6" s="1"/>
  <c r="AS305" i="6"/>
  <c r="AA305" i="6"/>
  <c r="Y305" i="6"/>
  <c r="V305" i="6"/>
  <c r="AM305" i="6" s="1"/>
  <c r="U305" i="6"/>
  <c r="U304" i="6"/>
  <c r="AS303" i="6"/>
  <c r="AO303" i="6"/>
  <c r="AM303" i="6"/>
  <c r="AI303" i="6"/>
  <c r="AG303" i="6"/>
  <c r="AE303" i="6"/>
  <c r="AC303" i="6"/>
  <c r="AA303" i="6"/>
  <c r="Y303" i="6"/>
  <c r="V303" i="6"/>
  <c r="U303" i="6"/>
  <c r="AL303" i="6" s="1"/>
  <c r="U302" i="6"/>
  <c r="AS301" i="6"/>
  <c r="AC301" i="6"/>
  <c r="AA301" i="6"/>
  <c r="Y301" i="6"/>
  <c r="U301" i="6"/>
  <c r="U300" i="6"/>
  <c r="AS299" i="6"/>
  <c r="AC299" i="6"/>
  <c r="AA299" i="6"/>
  <c r="Y299" i="6"/>
  <c r="U299" i="6"/>
  <c r="U298" i="6"/>
  <c r="AM297" i="6"/>
  <c r="AK297" i="6"/>
  <c r="AI297" i="6"/>
  <c r="AG297" i="6"/>
  <c r="AE297" i="6"/>
  <c r="U297" i="6"/>
  <c r="AN296" i="6"/>
  <c r="AJ296" i="6"/>
  <c r="AF296" i="6"/>
  <c r="U296" i="6"/>
  <c r="AM296" i="6" s="1"/>
  <c r="U295" i="6"/>
  <c r="AJ294" i="6"/>
  <c r="U294" i="6"/>
  <c r="Y293" i="6"/>
  <c r="V293" i="6"/>
  <c r="AM293" i="6" s="1"/>
  <c r="U293" i="6"/>
  <c r="U292" i="6"/>
  <c r="AJ292" i="6" s="1"/>
  <c r="U291" i="6"/>
  <c r="AS290" i="6"/>
  <c r="Y290" i="6"/>
  <c r="X290" i="6"/>
  <c r="U290" i="6"/>
  <c r="U289" i="6"/>
  <c r="U288" i="6"/>
  <c r="U287" i="6"/>
  <c r="U286" i="6"/>
  <c r="AS285" i="6"/>
  <c r="AJ285" i="6"/>
  <c r="AB285" i="6"/>
  <c r="U285" i="6"/>
  <c r="AH285" i="6" s="1"/>
  <c r="U284" i="6"/>
  <c r="AO283" i="6"/>
  <c r="Z283" i="6"/>
  <c r="V283" i="6"/>
  <c r="AA283" i="6" s="1"/>
  <c r="U283" i="6"/>
  <c r="AS282" i="6"/>
  <c r="AO282" i="6"/>
  <c r="AN282" i="6"/>
  <c r="AM282" i="6"/>
  <c r="AG282" i="6"/>
  <c r="AF282" i="6"/>
  <c r="AE282" i="6"/>
  <c r="AA282" i="6"/>
  <c r="X282" i="6"/>
  <c r="V282" i="6"/>
  <c r="Y282" i="6" s="1"/>
  <c r="U282" i="6"/>
  <c r="AL282" i="6" s="1"/>
  <c r="AM281" i="6"/>
  <c r="AF281" i="6"/>
  <c r="AE281" i="6"/>
  <c r="X281" i="6"/>
  <c r="U281" i="6"/>
  <c r="AN281" i="6" s="1"/>
  <c r="U280" i="6"/>
  <c r="AC279" i="6"/>
  <c r="U279" i="6"/>
  <c r="U278" i="6"/>
  <c r="AS277" i="6"/>
  <c r="U277" i="6"/>
  <c r="U276" i="6"/>
  <c r="AN275" i="6"/>
  <c r="Y275" i="6"/>
  <c r="X275" i="6"/>
  <c r="U275" i="6"/>
  <c r="U274" i="6"/>
  <c r="AF273" i="6"/>
  <c r="U273" i="6"/>
  <c r="AL272" i="6"/>
  <c r="U272" i="6"/>
  <c r="U271" i="6"/>
  <c r="AM270" i="6"/>
  <c r="AK270" i="6"/>
  <c r="AJ270" i="6"/>
  <c r="AC270" i="6"/>
  <c r="AB270" i="6"/>
  <c r="AA270" i="6"/>
  <c r="V270" i="6"/>
  <c r="U270" i="6"/>
  <c r="U269" i="6"/>
  <c r="AS268" i="6"/>
  <c r="AO268" i="6"/>
  <c r="AK268" i="6"/>
  <c r="U268" i="6"/>
  <c r="AJ267" i="6"/>
  <c r="AH267" i="6"/>
  <c r="AG267" i="6"/>
  <c r="Y267" i="6"/>
  <c r="X267" i="6"/>
  <c r="U267" i="6"/>
  <c r="AS266" i="6"/>
  <c r="AO266" i="6"/>
  <c r="AN266" i="6"/>
  <c r="AG266" i="6"/>
  <c r="AF266" i="6"/>
  <c r="AE266" i="6"/>
  <c r="AA266" i="6"/>
  <c r="Y266" i="6"/>
  <c r="X266" i="6"/>
  <c r="U266" i="6"/>
  <c r="AL266" i="6" s="1"/>
  <c r="AN265" i="6"/>
  <c r="AM265" i="6"/>
  <c r="AF265" i="6"/>
  <c r="AE265" i="6"/>
  <c r="X265" i="6"/>
  <c r="V265" i="6"/>
  <c r="U265" i="6"/>
  <c r="AL265" i="6" s="1"/>
  <c r="U264" i="6"/>
  <c r="U263" i="6"/>
  <c r="AK262" i="6"/>
  <c r="U262" i="6"/>
  <c r="U261" i="6"/>
  <c r="AS261" i="6" s="1"/>
  <c r="U260" i="6"/>
  <c r="AF259" i="6"/>
  <c r="AA259" i="6"/>
  <c r="Z259" i="6"/>
  <c r="Y259" i="6"/>
  <c r="X259" i="6"/>
  <c r="U259" i="6"/>
  <c r="AG259" i="6" s="1"/>
  <c r="AB258" i="6"/>
  <c r="X258" i="6"/>
  <c r="U258" i="6"/>
  <c r="AF258" i="6" s="1"/>
  <c r="AK257" i="6"/>
  <c r="AI257" i="6"/>
  <c r="AG257" i="6"/>
  <c r="AE257" i="6"/>
  <c r="AC257" i="6"/>
  <c r="Y257" i="6"/>
  <c r="V257" i="6"/>
  <c r="U257" i="6"/>
  <c r="U256" i="6"/>
  <c r="AO256" i="6" s="1"/>
  <c r="AO255" i="6"/>
  <c r="AM255" i="6"/>
  <c r="AI255" i="6"/>
  <c r="AG255" i="6"/>
  <c r="AC255" i="6"/>
  <c r="U255" i="6"/>
  <c r="AN254" i="6"/>
  <c r="U254" i="6"/>
  <c r="AF254" i="6" s="1"/>
  <c r="AS253" i="6"/>
  <c r="AM253" i="6"/>
  <c r="AI253" i="6"/>
  <c r="AE253" i="6"/>
  <c r="AA253" i="6"/>
  <c r="V253" i="6"/>
  <c r="U253" i="6"/>
  <c r="AL253" i="6" s="1"/>
  <c r="U252" i="6"/>
  <c r="AL252" i="6" s="1"/>
  <c r="AK251" i="6"/>
  <c r="AG251" i="6"/>
  <c r="AC251" i="6"/>
  <c r="Y251" i="6"/>
  <c r="U251" i="6"/>
  <c r="U250" i="6"/>
  <c r="AS250" i="6" s="1"/>
  <c r="U249" i="6"/>
  <c r="AH248" i="6"/>
  <c r="Z248" i="6"/>
  <c r="U248" i="6"/>
  <c r="AO248" i="6" s="1"/>
  <c r="U247" i="6"/>
  <c r="AN246" i="6"/>
  <c r="AJ246" i="6"/>
  <c r="U246" i="6"/>
  <c r="AS245" i="6"/>
  <c r="AM245" i="6"/>
  <c r="AI245" i="6"/>
  <c r="AE245" i="6"/>
  <c r="V245" i="6"/>
  <c r="AA245" i="6" s="1"/>
  <c r="U245" i="6"/>
  <c r="AL245" i="6" s="1"/>
  <c r="U244" i="6"/>
  <c r="AL244" i="6" s="1"/>
  <c r="U243" i="6"/>
  <c r="AJ242" i="6"/>
  <c r="AF242" i="6"/>
  <c r="AB242" i="6"/>
  <c r="X242" i="6"/>
  <c r="U242" i="6"/>
  <c r="AS242" i="6" s="1"/>
  <c r="AI241" i="6"/>
  <c r="AA241" i="6"/>
  <c r="V241" i="6"/>
  <c r="AE241" i="6" s="1"/>
  <c r="U241" i="6"/>
  <c r="AH240" i="6"/>
  <c r="U240" i="6"/>
  <c r="AG239" i="6"/>
  <c r="AC239" i="6"/>
  <c r="U239" i="6"/>
  <c r="AN238" i="6"/>
  <c r="AJ238" i="6"/>
  <c r="U238" i="6"/>
  <c r="AM238" i="6" s="1"/>
  <c r="AS237" i="6"/>
  <c r="AM237" i="6"/>
  <c r="AE237" i="6"/>
  <c r="AA237" i="6"/>
  <c r="V237" i="6"/>
  <c r="AI237" i="6" s="1"/>
  <c r="U237" i="6"/>
  <c r="AL237" i="6" s="1"/>
  <c r="U236" i="6"/>
  <c r="AL236" i="6" s="1"/>
  <c r="U235" i="6"/>
  <c r="AK235" i="6" s="1"/>
  <c r="X234" i="6"/>
  <c r="U234" i="6"/>
  <c r="AB234" i="6" s="1"/>
  <c r="U233" i="6"/>
  <c r="AH232" i="6"/>
  <c r="U232" i="6"/>
  <c r="AO232" i="6" s="1"/>
  <c r="AO231" i="6"/>
  <c r="U231" i="6"/>
  <c r="AN230" i="6"/>
  <c r="AJ230" i="6"/>
  <c r="AF230" i="6"/>
  <c r="X230" i="6"/>
  <c r="U230" i="6"/>
  <c r="AM230" i="6" s="1"/>
  <c r="AI229" i="6"/>
  <c r="AE229" i="6"/>
  <c r="AA229" i="6"/>
  <c r="U229" i="6"/>
  <c r="U228" i="6"/>
  <c r="U227" i="6"/>
  <c r="AN226" i="6"/>
  <c r="U226" i="6"/>
  <c r="AS225" i="6"/>
  <c r="AM225" i="6"/>
  <c r="AI225" i="6"/>
  <c r="AA225" i="6"/>
  <c r="U225" i="6"/>
  <c r="AH225" i="6" s="1"/>
  <c r="Z224" i="6"/>
  <c r="U224" i="6"/>
  <c r="AO223" i="6"/>
  <c r="AG223" i="6"/>
  <c r="AC223" i="6"/>
  <c r="U223" i="6"/>
  <c r="AN223" i="6" s="1"/>
  <c r="AJ222" i="6"/>
  <c r="AB222" i="6"/>
  <c r="U222" i="6"/>
  <c r="AF222" i="6" s="1"/>
  <c r="U221" i="6"/>
  <c r="AL220" i="6"/>
  <c r="U220" i="6"/>
  <c r="Y219" i="6"/>
  <c r="U219" i="6"/>
  <c r="AJ218" i="6"/>
  <c r="AF218" i="6"/>
  <c r="AB218" i="6"/>
  <c r="U218" i="6"/>
  <c r="AS218" i="6" s="1"/>
  <c r="AS217" i="6"/>
  <c r="AM217" i="6"/>
  <c r="AI217" i="6"/>
  <c r="AE217" i="6"/>
  <c r="AA217" i="6"/>
  <c r="V217" i="6"/>
  <c r="U217" i="6"/>
  <c r="AH217" i="6" s="1"/>
  <c r="AH216" i="6"/>
  <c r="U216" i="6"/>
  <c r="AO216" i="6" s="1"/>
  <c r="AO215" i="6"/>
  <c r="AK215" i="6"/>
  <c r="AC215" i="6"/>
  <c r="U215" i="6"/>
  <c r="Y215" i="6" s="1"/>
  <c r="U214" i="6"/>
  <c r="AS213" i="6"/>
  <c r="AM213" i="6"/>
  <c r="V213" i="6"/>
  <c r="U213" i="6"/>
  <c r="U212" i="6"/>
  <c r="AH212" i="6" s="1"/>
  <c r="U211" i="6"/>
  <c r="AN210" i="6"/>
  <c r="AJ210" i="6"/>
  <c r="AF210" i="6"/>
  <c r="AB210" i="6"/>
  <c r="U210" i="6"/>
  <c r="AS210" i="6" s="1"/>
  <c r="AS209" i="6"/>
  <c r="AM209" i="6"/>
  <c r="AI209" i="6"/>
  <c r="AE209" i="6"/>
  <c r="AA209" i="6"/>
  <c r="V209" i="6"/>
  <c r="U209" i="6"/>
  <c r="AH209" i="6" s="1"/>
  <c r="U208" i="6"/>
  <c r="AO207" i="6"/>
  <c r="AK207" i="6"/>
  <c r="AG207" i="6"/>
  <c r="AC207" i="6"/>
  <c r="U207" i="6"/>
  <c r="AN207" i="6" s="1"/>
  <c r="AJ206" i="6"/>
  <c r="U206" i="6"/>
  <c r="AA205" i="6"/>
  <c r="U205" i="6"/>
  <c r="U204" i="6"/>
  <c r="U203" i="6"/>
  <c r="AN202" i="6"/>
  <c r="AJ202" i="6"/>
  <c r="AF202" i="6"/>
  <c r="U202" i="6"/>
  <c r="AS202" i="6" s="1"/>
  <c r="AS201" i="6"/>
  <c r="AM201" i="6"/>
  <c r="AI201" i="6"/>
  <c r="AE201" i="6"/>
  <c r="AA201" i="6"/>
  <c r="U201" i="6"/>
  <c r="AH201" i="6" s="1"/>
  <c r="AF200" i="6"/>
  <c r="Z200" i="6"/>
  <c r="X200" i="6"/>
  <c r="U200" i="6"/>
  <c r="AO199" i="6"/>
  <c r="AF199" i="6"/>
  <c r="AE199" i="6"/>
  <c r="AC199" i="6"/>
  <c r="Y199" i="6"/>
  <c r="X199" i="6"/>
  <c r="U199" i="6"/>
  <c r="AL199" i="6" s="1"/>
  <c r="U198" i="6"/>
  <c r="AM197" i="6"/>
  <c r="AK197" i="6"/>
  <c r="AI197" i="6"/>
  <c r="AE197" i="6"/>
  <c r="U197" i="6"/>
  <c r="AJ197" i="6" s="1"/>
  <c r="AB196" i="6"/>
  <c r="U196" i="6"/>
  <c r="AS196" i="6" s="1"/>
  <c r="U195" i="6"/>
  <c r="AN194" i="6"/>
  <c r="AH194" i="6"/>
  <c r="AF194" i="6"/>
  <c r="U194" i="6"/>
  <c r="U193" i="6"/>
  <c r="AN192" i="6"/>
  <c r="AH192" i="6"/>
  <c r="AF192" i="6"/>
  <c r="U192" i="6"/>
  <c r="X192" i="6" s="1"/>
  <c r="AM191" i="6"/>
  <c r="AK191" i="6"/>
  <c r="AG191" i="6"/>
  <c r="AE191" i="6"/>
  <c r="AC191" i="6"/>
  <c r="U191" i="6"/>
  <c r="AL191" i="6" s="1"/>
  <c r="U190" i="6"/>
  <c r="AM189" i="6"/>
  <c r="AK189" i="6"/>
  <c r="AE189" i="6"/>
  <c r="U189" i="6"/>
  <c r="AJ189" i="6" s="1"/>
  <c r="AB188" i="6"/>
  <c r="U188" i="6"/>
  <c r="AS187" i="6"/>
  <c r="AK187" i="6"/>
  <c r="AI187" i="6"/>
  <c r="U187" i="6"/>
  <c r="AH187" i="6" s="1"/>
  <c r="Z186" i="6"/>
  <c r="U186" i="6"/>
  <c r="AB186" i="6" s="1"/>
  <c r="U185" i="6"/>
  <c r="AN184" i="6"/>
  <c r="AH184" i="6"/>
  <c r="AF184" i="6"/>
  <c r="U184" i="6"/>
  <c r="AM184" i="6" s="1"/>
  <c r="AM183" i="6"/>
  <c r="AG183" i="6"/>
  <c r="AE183" i="6"/>
  <c r="Y183" i="6"/>
  <c r="V183" i="6"/>
  <c r="U183" i="6"/>
  <c r="AO183" i="6" s="1"/>
  <c r="AD182" i="6"/>
  <c r="U182" i="6"/>
  <c r="U181" i="6"/>
  <c r="AJ180" i="6"/>
  <c r="U180" i="6"/>
  <c r="AS180" i="6" s="1"/>
  <c r="AS179" i="6"/>
  <c r="AK179" i="6"/>
  <c r="AI179" i="6"/>
  <c r="AC179" i="6"/>
  <c r="AA179" i="6"/>
  <c r="U179" i="6"/>
  <c r="AH179" i="6" s="1"/>
  <c r="Z178" i="6"/>
  <c r="U178" i="6"/>
  <c r="AB178" i="6" s="1"/>
  <c r="U177" i="6"/>
  <c r="AN176" i="6"/>
  <c r="AH176" i="6"/>
  <c r="AF176" i="6"/>
  <c r="U176" i="6"/>
  <c r="AM176" i="6" s="1"/>
  <c r="AM175" i="6"/>
  <c r="AG175" i="6"/>
  <c r="AE175" i="6"/>
  <c r="Y175" i="6"/>
  <c r="V175" i="6"/>
  <c r="U175" i="6"/>
  <c r="AO175" i="6" s="1"/>
  <c r="U174" i="6"/>
  <c r="U173" i="6"/>
  <c r="U172" i="6"/>
  <c r="AS172" i="6" s="1"/>
  <c r="AS171" i="6"/>
  <c r="AK171" i="6"/>
  <c r="AI171" i="6"/>
  <c r="U171" i="6"/>
  <c r="AH171" i="6" s="1"/>
  <c r="U170" i="6"/>
  <c r="AS169" i="6"/>
  <c r="AI169" i="6"/>
  <c r="U169" i="6"/>
  <c r="AO169" i="6" s="1"/>
  <c r="AN168" i="6"/>
  <c r="AF168" i="6"/>
  <c r="Z168" i="6"/>
  <c r="X168" i="6"/>
  <c r="U168" i="6"/>
  <c r="AM168" i="6" s="1"/>
  <c r="AG167" i="6"/>
  <c r="AE167" i="6"/>
  <c r="Y167" i="6"/>
  <c r="U167" i="6"/>
  <c r="U166" i="6"/>
  <c r="U165" i="6"/>
  <c r="AJ164" i="6"/>
  <c r="U164" i="6"/>
  <c r="AS164" i="6" s="1"/>
  <c r="AC163" i="6"/>
  <c r="AA163" i="6"/>
  <c r="U163" i="6"/>
  <c r="Z162" i="6"/>
  <c r="U162" i="6"/>
  <c r="AS161" i="6"/>
  <c r="AO161" i="6"/>
  <c r="AI161" i="6"/>
  <c r="U161" i="6"/>
  <c r="AN161" i="6" s="1"/>
  <c r="AN160" i="6"/>
  <c r="AH160" i="6"/>
  <c r="AF160" i="6"/>
  <c r="Z160" i="6"/>
  <c r="U160" i="6"/>
  <c r="AM160" i="6" s="1"/>
  <c r="U159" i="6"/>
  <c r="AL158" i="6"/>
  <c r="AD158" i="6"/>
  <c r="U158" i="6"/>
  <c r="AE157" i="6"/>
  <c r="U157" i="6"/>
  <c r="AJ156" i="6"/>
  <c r="U156" i="6"/>
  <c r="AS156" i="6" s="1"/>
  <c r="AK155" i="6"/>
  <c r="AI155" i="6"/>
  <c r="AA155" i="6"/>
  <c r="U155" i="6"/>
  <c r="AJ154" i="6"/>
  <c r="U154" i="6"/>
  <c r="AO154" i="6" s="1"/>
  <c r="U153" i="6"/>
  <c r="AN152" i="6"/>
  <c r="U152" i="6"/>
  <c r="AO151" i="6"/>
  <c r="AM151" i="6"/>
  <c r="AG151" i="6"/>
  <c r="AE151" i="6"/>
  <c r="U151" i="6"/>
  <c r="Y151" i="6" s="1"/>
  <c r="AN150" i="6"/>
  <c r="X150" i="6"/>
  <c r="U150" i="6"/>
  <c r="AL150" i="6" s="1"/>
  <c r="U149" i="6"/>
  <c r="AB148" i="6"/>
  <c r="U148" i="6"/>
  <c r="AS147" i="6"/>
  <c r="U147" i="6"/>
  <c r="AH147" i="6" s="1"/>
  <c r="AJ146" i="6"/>
  <c r="AH146" i="6"/>
  <c r="AB146" i="6"/>
  <c r="Z146" i="6"/>
  <c r="U146" i="6"/>
  <c r="AI145" i="6"/>
  <c r="AG145" i="6"/>
  <c r="Y145" i="6"/>
  <c r="U145" i="6"/>
  <c r="AS145" i="6" s="1"/>
  <c r="U144" i="6"/>
  <c r="AM143" i="6"/>
  <c r="U143" i="6"/>
  <c r="AL143" i="6" s="1"/>
  <c r="AF142" i="6"/>
  <c r="U142" i="6"/>
  <c r="Z142" i="6" s="1"/>
  <c r="AS141" i="6"/>
  <c r="AA141" i="6"/>
  <c r="V141" i="6"/>
  <c r="AO141" i="6" s="1"/>
  <c r="U141" i="6"/>
  <c r="AH141" i="6" s="1"/>
  <c r="AH140" i="6"/>
  <c r="U140" i="6"/>
  <c r="AO140" i="6" s="1"/>
  <c r="AG139" i="6"/>
  <c r="V139" i="6"/>
  <c r="AE139" i="6" s="1"/>
  <c r="U139" i="6"/>
  <c r="AN139" i="6" s="1"/>
  <c r="U138" i="6"/>
  <c r="AF138" i="6" s="1"/>
  <c r="AS137" i="6"/>
  <c r="AE137" i="6"/>
  <c r="AC137" i="6"/>
  <c r="U137" i="6"/>
  <c r="AL137" i="6" s="1"/>
  <c r="U136" i="6"/>
  <c r="AD136" i="6" s="1"/>
  <c r="AG135" i="6"/>
  <c r="AC135" i="6"/>
  <c r="U135" i="6"/>
  <c r="AJ135" i="6" s="1"/>
  <c r="AF134" i="6"/>
  <c r="X134" i="6"/>
  <c r="U134" i="6"/>
  <c r="AS134" i="6" s="1"/>
  <c r="AS133" i="6"/>
  <c r="U133" i="6"/>
  <c r="Z132" i="6"/>
  <c r="U132" i="6"/>
  <c r="AO132" i="6" s="1"/>
  <c r="U131" i="6"/>
  <c r="AN131" i="6" s="1"/>
  <c r="AN130" i="6"/>
  <c r="AF130" i="6"/>
  <c r="X130" i="6"/>
  <c r="U130" i="6"/>
  <c r="AM130" i="6" s="1"/>
  <c r="U129" i="6"/>
  <c r="U128" i="6"/>
  <c r="U127" i="6"/>
  <c r="AJ127" i="6" s="1"/>
  <c r="AN126" i="6"/>
  <c r="AF126" i="6"/>
  <c r="AB126" i="6"/>
  <c r="X126" i="6"/>
  <c r="U126" i="6"/>
  <c r="AS126" i="6" s="1"/>
  <c r="AM125" i="6"/>
  <c r="AI125" i="6"/>
  <c r="AA125" i="6"/>
  <c r="V125" i="6"/>
  <c r="U125" i="6"/>
  <c r="AH125" i="6" s="1"/>
  <c r="U124" i="6"/>
  <c r="AO124" i="6" s="1"/>
  <c r="AO123" i="6"/>
  <c r="AK123" i="6"/>
  <c r="AC123" i="6"/>
  <c r="Y123" i="6"/>
  <c r="U123" i="6"/>
  <c r="AN123" i="6" s="1"/>
  <c r="U122" i="6"/>
  <c r="AM121" i="6"/>
  <c r="U121" i="6"/>
  <c r="AL121" i="6" s="1"/>
  <c r="U120" i="6"/>
  <c r="AK119" i="6"/>
  <c r="AG119" i="6"/>
  <c r="U119" i="6"/>
  <c r="AJ119" i="6" s="1"/>
  <c r="AF118" i="6"/>
  <c r="U118" i="6"/>
  <c r="AS117" i="6"/>
  <c r="V117" i="6"/>
  <c r="AA117" i="6" s="1"/>
  <c r="U117" i="6"/>
  <c r="AH117" i="6" s="1"/>
  <c r="AH116" i="6"/>
  <c r="Z116" i="6"/>
  <c r="U116" i="6"/>
  <c r="AO116" i="6" s="1"/>
  <c r="AC115" i="6"/>
  <c r="U115" i="6"/>
  <c r="U114" i="6"/>
  <c r="AM113" i="6"/>
  <c r="AI113" i="6"/>
  <c r="U113" i="6"/>
  <c r="AS113" i="6" s="1"/>
  <c r="AL112" i="6"/>
  <c r="AD112" i="6"/>
  <c r="U112" i="6"/>
  <c r="AO111" i="6"/>
  <c r="AK111" i="6"/>
  <c r="U111" i="6"/>
  <c r="AJ111" i="6" s="1"/>
  <c r="AJ110" i="6"/>
  <c r="AB110" i="6"/>
  <c r="U110" i="6"/>
  <c r="AS110" i="6" s="1"/>
  <c r="AA109" i="6"/>
  <c r="V109" i="6"/>
  <c r="AE109" i="6" s="1"/>
  <c r="U109" i="6"/>
  <c r="AH109" i="6" s="1"/>
  <c r="AH108" i="6"/>
  <c r="U108" i="6"/>
  <c r="AC107" i="6"/>
  <c r="Y107" i="6"/>
  <c r="U107" i="6"/>
  <c r="AN107" i="6" s="1"/>
  <c r="AN106" i="6"/>
  <c r="U106" i="6"/>
  <c r="AM106" i="6" s="1"/>
  <c r="AS105" i="6"/>
  <c r="AI105" i="6"/>
  <c r="U105" i="6"/>
  <c r="AL105" i="6" s="1"/>
  <c r="U104" i="6"/>
  <c r="AO103" i="6"/>
  <c r="AC103" i="6"/>
  <c r="U103" i="6"/>
  <c r="AJ103" i="6" s="1"/>
  <c r="X102" i="6"/>
  <c r="U102" i="6"/>
  <c r="AS102" i="6" s="1"/>
  <c r="U101" i="6"/>
  <c r="U100" i="6"/>
  <c r="AH100" i="6" s="1"/>
  <c r="U99" i="6"/>
  <c r="AJ98" i="6"/>
  <c r="U98" i="6"/>
  <c r="AM98" i="6" s="1"/>
  <c r="AM97" i="6"/>
  <c r="AE97" i="6"/>
  <c r="U97" i="6"/>
  <c r="AL97" i="6" s="1"/>
  <c r="U96" i="6"/>
  <c r="AG95" i="6"/>
  <c r="Y95" i="6"/>
  <c r="U95" i="6"/>
  <c r="AJ95" i="6" s="1"/>
  <c r="X94" i="6"/>
  <c r="U94" i="6"/>
  <c r="AS94" i="6" s="1"/>
  <c r="AS93" i="6"/>
  <c r="U93" i="6"/>
  <c r="U92" i="6"/>
  <c r="AO91" i="6"/>
  <c r="U91" i="6"/>
  <c r="AN91" i="6" s="1"/>
  <c r="AN90" i="6"/>
  <c r="AF90" i="6"/>
  <c r="U90" i="6"/>
  <c r="AM90" i="6" s="1"/>
  <c r="AA89" i="6"/>
  <c r="U89" i="6"/>
  <c r="AL89" i="6" s="1"/>
  <c r="U88" i="6"/>
  <c r="AH88" i="6" s="1"/>
  <c r="AK87" i="6"/>
  <c r="Y87" i="6"/>
  <c r="U87" i="6"/>
  <c r="AJ87" i="6" s="1"/>
  <c r="U86" i="6"/>
  <c r="AM85" i="6"/>
  <c r="U85" i="6"/>
  <c r="AH85" i="6" s="1"/>
  <c r="AL84" i="6"/>
  <c r="U84" i="6"/>
  <c r="U83" i="6"/>
  <c r="AK83" i="6" s="1"/>
  <c r="AG82" i="6"/>
  <c r="U82" i="6"/>
  <c r="AO82" i="6" s="1"/>
  <c r="AF81" i="6"/>
  <c r="Y81" i="6"/>
  <c r="U81" i="6"/>
  <c r="AM81" i="6" s="1"/>
  <c r="AE80" i="6"/>
  <c r="AB80" i="6"/>
  <c r="U80" i="6"/>
  <c r="AL80" i="6" s="1"/>
  <c r="V79" i="6"/>
  <c r="U79" i="6"/>
  <c r="AL79" i="6" s="1"/>
  <c r="U78" i="6"/>
  <c r="AE77" i="6"/>
  <c r="AB77" i="6"/>
  <c r="U77" i="6"/>
  <c r="AS77" i="6" s="1"/>
  <c r="U76" i="6"/>
  <c r="AN75" i="6"/>
  <c r="U75" i="6"/>
  <c r="AJ74" i="6"/>
  <c r="U74" i="6"/>
  <c r="AO73" i="6"/>
  <c r="X73" i="6"/>
  <c r="U73" i="6"/>
  <c r="AM73" i="6" s="1"/>
  <c r="AN72" i="6"/>
  <c r="AE72" i="6"/>
  <c r="AB72" i="6"/>
  <c r="U72" i="6"/>
  <c r="AL72" i="6" s="1"/>
  <c r="U71" i="6"/>
  <c r="U70" i="6"/>
  <c r="AL70" i="6" s="1"/>
  <c r="AJ69" i="6"/>
  <c r="AG69" i="6"/>
  <c r="AC69" i="6"/>
  <c r="U69" i="6"/>
  <c r="AS69" i="6" s="1"/>
  <c r="AJ68" i="6"/>
  <c r="U68" i="6"/>
  <c r="U67" i="6"/>
  <c r="AH67" i="6" s="1"/>
  <c r="AJ66" i="6"/>
  <c r="U66" i="6"/>
  <c r="AH66" i="6" s="1"/>
  <c r="AS65" i="6"/>
  <c r="AN65" i="6"/>
  <c r="U65" i="6"/>
  <c r="AM64" i="6"/>
  <c r="AB64" i="6"/>
  <c r="X64" i="6"/>
  <c r="U64" i="6"/>
  <c r="AF64" i="6" s="1"/>
  <c r="U63" i="6"/>
  <c r="U62" i="6"/>
  <c r="AM61" i="6"/>
  <c r="AJ61" i="6"/>
  <c r="AB61" i="6"/>
  <c r="V61" i="6"/>
  <c r="Z61" i="6" s="1"/>
  <c r="U61" i="6"/>
  <c r="AS61" i="6" s="1"/>
  <c r="AJ60" i="6"/>
  <c r="U60" i="6"/>
  <c r="AS60" i="6" s="1"/>
  <c r="AK59" i="6"/>
  <c r="AH59" i="6"/>
  <c r="AC59" i="6"/>
  <c r="U59" i="6"/>
  <c r="AO59" i="6" s="1"/>
  <c r="AO58" i="6"/>
  <c r="AH58" i="6"/>
  <c r="AG58" i="6"/>
  <c r="AB58" i="6"/>
  <c r="Y58" i="6"/>
  <c r="U58" i="6"/>
  <c r="AJ58" i="6" s="1"/>
  <c r="AG57" i="6"/>
  <c r="AF57" i="6"/>
  <c r="U57" i="6"/>
  <c r="AM57" i="6" s="1"/>
  <c r="AH56" i="6"/>
  <c r="AF56" i="6"/>
  <c r="U56" i="6"/>
  <c r="AL56" i="6" s="1"/>
  <c r="U55" i="6"/>
  <c r="AL55" i="6" s="1"/>
  <c r="U54" i="6"/>
  <c r="AD54" i="6" s="1"/>
  <c r="U53" i="6"/>
  <c r="AS53" i="6" s="1"/>
  <c r="U52" i="6"/>
  <c r="AS52" i="6" s="1"/>
  <c r="AK51" i="6"/>
  <c r="AH51" i="6"/>
  <c r="AC51" i="6"/>
  <c r="AA51" i="6"/>
  <c r="U51" i="6"/>
  <c r="AO51" i="6" s="1"/>
  <c r="AJ50" i="6"/>
  <c r="AG50" i="6"/>
  <c r="AB50" i="6"/>
  <c r="Z50" i="6"/>
  <c r="U50" i="6"/>
  <c r="AN50" i="6" s="1"/>
  <c r="AO49" i="6"/>
  <c r="AF49" i="6"/>
  <c r="AA49" i="6"/>
  <c r="U49" i="6"/>
  <c r="AM49" i="6" s="1"/>
  <c r="AM48" i="6"/>
  <c r="AE48" i="6"/>
  <c r="X48" i="6"/>
  <c r="U48" i="6"/>
  <c r="AL48" i="6" s="1"/>
  <c r="AE47" i="6"/>
  <c r="U47" i="6"/>
  <c r="AL47" i="6" s="1"/>
  <c r="U46" i="6"/>
  <c r="AM45" i="6"/>
  <c r="AB45" i="6"/>
  <c r="U45" i="6"/>
  <c r="AS45" i="6" s="1"/>
  <c r="AJ44" i="6"/>
  <c r="AB44" i="6"/>
  <c r="U44" i="6"/>
  <c r="AS44" i="6" s="1"/>
  <c r="U43" i="6"/>
  <c r="AO43" i="6" s="1"/>
  <c r="AO42" i="6"/>
  <c r="Z42" i="6"/>
  <c r="U42" i="6"/>
  <c r="AH42" i="6" s="1"/>
  <c r="AO41" i="6"/>
  <c r="AG41" i="6"/>
  <c r="U41" i="6"/>
  <c r="Y41" i="6" s="1"/>
  <c r="AF40" i="6"/>
  <c r="U40" i="6"/>
  <c r="AN40" i="6" s="1"/>
  <c r="AE39" i="6"/>
  <c r="V39" i="6"/>
  <c r="U39" i="6"/>
  <c r="AL39" i="6" s="1"/>
  <c r="U38" i="6"/>
  <c r="AL38" i="6" s="1"/>
  <c r="U37" i="6"/>
  <c r="AJ37" i="6" s="1"/>
  <c r="AJ36" i="6"/>
  <c r="U36" i="6"/>
  <c r="AS36" i="6" s="1"/>
  <c r="AI35" i="6"/>
  <c r="U35" i="6"/>
  <c r="AS35" i="6" s="1"/>
  <c r="AH34" i="6"/>
  <c r="Z34" i="6"/>
  <c r="U34" i="6"/>
  <c r="AO34" i="6" s="1"/>
  <c r="U33" i="6"/>
  <c r="AN33" i="6" s="1"/>
  <c r="U32" i="6"/>
  <c r="AM32" i="6" s="1"/>
  <c r="AM31" i="6"/>
  <c r="AE31" i="6"/>
  <c r="U31" i="6"/>
  <c r="AL31" i="6" s="1"/>
  <c r="U30" i="6"/>
  <c r="AK29" i="6"/>
  <c r="U29" i="6"/>
  <c r="AJ29" i="6" s="1"/>
  <c r="AJ28" i="6"/>
  <c r="AB28" i="6"/>
  <c r="U28" i="6"/>
  <c r="AS28" i="6" s="1"/>
  <c r="U27" i="6"/>
  <c r="AH27" i="6" s="1"/>
  <c r="U26" i="6"/>
  <c r="AO26" i="6" s="1"/>
  <c r="AO25" i="6"/>
  <c r="U25" i="6"/>
  <c r="AN25" i="6" s="1"/>
  <c r="AF24" i="6"/>
  <c r="U24" i="6"/>
  <c r="AM24" i="6" s="1"/>
  <c r="AM23" i="6"/>
  <c r="AE23" i="6"/>
  <c r="U23" i="6"/>
  <c r="AL23" i="6" s="1"/>
  <c r="U22" i="6"/>
  <c r="AO21" i="6"/>
  <c r="AK21" i="6"/>
  <c r="AJ21" i="6"/>
  <c r="AE21" i="6"/>
  <c r="Z21" i="6"/>
  <c r="Y21" i="6"/>
  <c r="U21" i="6"/>
  <c r="AS21" i="6" s="1"/>
  <c r="AJ20" i="6"/>
  <c r="U20" i="6"/>
  <c r="AS20" i="6" s="1"/>
  <c r="AS19" i="6"/>
  <c r="AK19" i="6"/>
  <c r="U19" i="6"/>
  <c r="AH19" i="6" s="1"/>
  <c r="AB18" i="6"/>
  <c r="Z18" i="6"/>
  <c r="U18" i="6"/>
  <c r="AO18" i="6" s="1"/>
  <c r="U17" i="6"/>
  <c r="AN17" i="6" s="1"/>
  <c r="V16" i="6"/>
  <c r="AC16" i="6" s="1"/>
  <c r="U16" i="6"/>
  <c r="AM16" i="6" s="1"/>
  <c r="U15" i="6"/>
  <c r="AL15" i="6" s="1"/>
  <c r="U14" i="6"/>
  <c r="AK14" i="6" s="1"/>
  <c r="AC13" i="6"/>
  <c r="U13" i="6"/>
  <c r="AJ13" i="6" s="1"/>
  <c r="AJ12" i="6"/>
  <c r="AB12" i="6"/>
  <c r="U12" i="6"/>
  <c r="AS12" i="6" s="1"/>
  <c r="AI11" i="6"/>
  <c r="U11" i="6"/>
  <c r="AH11" i="6" s="1"/>
  <c r="AJ10" i="6"/>
  <c r="AH10" i="6"/>
  <c r="U10" i="6"/>
  <c r="AB10" i="6" s="1"/>
  <c r="AA9" i="6"/>
  <c r="Y9" i="6"/>
  <c r="U9" i="6"/>
  <c r="AN9" i="6" s="1"/>
  <c r="U8" i="6"/>
  <c r="AM8" i="6" s="1"/>
  <c r="AO7" i="6"/>
  <c r="U7" i="6"/>
  <c r="AL7" i="6" s="1"/>
  <c r="U6" i="6"/>
  <c r="AK6" i="6" s="1"/>
  <c r="AM5" i="6"/>
  <c r="U5" i="6"/>
  <c r="AJ5" i="6" s="1"/>
  <c r="AB4" i="6"/>
  <c r="U4" i="6"/>
  <c r="AS4" i="6" s="1"/>
  <c r="U3" i="6"/>
  <c r="AH3" i="6" s="1"/>
  <c r="AJ2" i="6"/>
  <c r="AH2" i="6"/>
  <c r="U2" i="6"/>
  <c r="AO2" i="6" s="1"/>
  <c r="P429" i="2"/>
  <c r="AD429" i="2" s="1"/>
  <c r="P428" i="2"/>
  <c r="AI428" i="2" s="1"/>
  <c r="P427" i="2"/>
  <c r="AI427" i="2" s="1"/>
  <c r="P426" i="2"/>
  <c r="P425" i="2"/>
  <c r="AA425" i="2" s="1"/>
  <c r="P424" i="2"/>
  <c r="P423" i="2"/>
  <c r="AI423" i="2" s="1"/>
  <c r="S422" i="2"/>
  <c r="P422" i="2"/>
  <c r="Z422" i="2" s="1"/>
  <c r="P421" i="2"/>
  <c r="P420" i="2"/>
  <c r="AI420" i="2" s="1"/>
  <c r="P419" i="2"/>
  <c r="AI419" i="2" s="1"/>
  <c r="P418" i="2"/>
  <c r="AC418" i="2" s="1"/>
  <c r="P417" i="2"/>
  <c r="V417" i="2" s="1"/>
  <c r="P416" i="2"/>
  <c r="X416" i="2" s="1"/>
  <c r="P415" i="2"/>
  <c r="P414" i="2"/>
  <c r="P413" i="2"/>
  <c r="T413" i="2" s="1"/>
  <c r="AC412" i="2"/>
  <c r="Q412" i="2"/>
  <c r="U412" i="2" s="1"/>
  <c r="P412" i="2"/>
  <c r="V412" i="2" s="1"/>
  <c r="P411" i="2"/>
  <c r="AE410" i="2"/>
  <c r="AA410" i="2"/>
  <c r="W410" i="2"/>
  <c r="P410" i="2"/>
  <c r="X410" i="2" s="1"/>
  <c r="X409" i="2"/>
  <c r="P409" i="2"/>
  <c r="V409" i="2" s="1"/>
  <c r="P408" i="2"/>
  <c r="AD408" i="2" s="1"/>
  <c r="Z407" i="2"/>
  <c r="P407" i="2"/>
  <c r="AI407" i="2" s="1"/>
  <c r="X406" i="2"/>
  <c r="P406" i="2"/>
  <c r="AD406" i="2" s="1"/>
  <c r="P405" i="2"/>
  <c r="V405" i="2" s="1"/>
  <c r="P404" i="2"/>
  <c r="P403" i="2"/>
  <c r="AI403" i="2" s="1"/>
  <c r="AB402" i="2"/>
  <c r="Z402" i="2"/>
  <c r="X402" i="2"/>
  <c r="W402" i="2"/>
  <c r="V402" i="2"/>
  <c r="S402" i="2"/>
  <c r="P402" i="2"/>
  <c r="AC402" i="2" s="1"/>
  <c r="P401" i="2"/>
  <c r="V401" i="2" s="1"/>
  <c r="P400" i="2"/>
  <c r="P399" i="2"/>
  <c r="P398" i="2"/>
  <c r="V398" i="2" s="1"/>
  <c r="P397" i="2"/>
  <c r="P396" i="2"/>
  <c r="P395" i="2"/>
  <c r="P394" i="2"/>
  <c r="W394" i="2" s="1"/>
  <c r="P393" i="2"/>
  <c r="W393" i="2" s="1"/>
  <c r="AE392" i="2"/>
  <c r="P392" i="2"/>
  <c r="U392" i="2" s="1"/>
  <c r="P391" i="2"/>
  <c r="AD391" i="2" s="1"/>
  <c r="P390" i="2"/>
  <c r="AA390" i="2" s="1"/>
  <c r="P389" i="2"/>
  <c r="Q389" i="2" s="1"/>
  <c r="W388" i="2"/>
  <c r="P388" i="2"/>
  <c r="AI388" i="2" s="1"/>
  <c r="P387" i="2"/>
  <c r="P386" i="2"/>
  <c r="P385" i="2"/>
  <c r="P384" i="2"/>
  <c r="P383" i="2"/>
  <c r="P382" i="2"/>
  <c r="P381" i="2"/>
  <c r="AB381" i="2" s="1"/>
  <c r="P380" i="2"/>
  <c r="Z380" i="2" s="1"/>
  <c r="P379" i="2"/>
  <c r="AI379" i="2" s="1"/>
  <c r="P378" i="2"/>
  <c r="AI378" i="2" s="1"/>
  <c r="P377" i="2"/>
  <c r="P376" i="2"/>
  <c r="Z376" i="2" s="1"/>
  <c r="Q375" i="2"/>
  <c r="P375" i="2"/>
  <c r="P374" i="2"/>
  <c r="AI374" i="2" s="1"/>
  <c r="P373" i="2"/>
  <c r="AB373" i="2" s="1"/>
  <c r="P372" i="2"/>
  <c r="P371" i="2"/>
  <c r="Y370" i="2"/>
  <c r="P370" i="2"/>
  <c r="AE370" i="2" s="1"/>
  <c r="P369" i="2"/>
  <c r="W369" i="2" s="1"/>
  <c r="AC368" i="2"/>
  <c r="AA368" i="2"/>
  <c r="P368" i="2"/>
  <c r="S368" i="2" s="1"/>
  <c r="P367" i="2"/>
  <c r="AI367" i="2" s="1"/>
  <c r="P366" i="2"/>
  <c r="AI366" i="2" s="1"/>
  <c r="P365" i="2"/>
  <c r="P364" i="2"/>
  <c r="Z364" i="2" s="1"/>
  <c r="P363" i="2"/>
  <c r="AA363" i="2" s="1"/>
  <c r="W362" i="2"/>
  <c r="P362" i="2"/>
  <c r="AI362" i="2" s="1"/>
  <c r="P361" i="2"/>
  <c r="AB361" i="2" s="1"/>
  <c r="P360" i="2"/>
  <c r="P359" i="2"/>
  <c r="S359" i="2" s="1"/>
  <c r="P358" i="2"/>
  <c r="P357" i="2"/>
  <c r="Y357" i="2" s="1"/>
  <c r="P356" i="2"/>
  <c r="W356" i="2" s="1"/>
  <c r="P355" i="2"/>
  <c r="AD355" i="2" s="1"/>
  <c r="P354" i="2"/>
  <c r="Y354" i="2" s="1"/>
  <c r="P353" i="2"/>
  <c r="Y353" i="2" s="1"/>
  <c r="P352" i="2"/>
  <c r="AI352" i="2" s="1"/>
  <c r="P351" i="2"/>
  <c r="Z351" i="2" s="1"/>
  <c r="P350" i="2"/>
  <c r="U350" i="2" s="1"/>
  <c r="V349" i="2"/>
  <c r="P349" i="2"/>
  <c r="Z349" i="2" s="1"/>
  <c r="P348" i="2"/>
  <c r="AI348" i="2" s="1"/>
  <c r="P347" i="2"/>
  <c r="P346" i="2"/>
  <c r="AA346" i="2" s="1"/>
  <c r="V345" i="2"/>
  <c r="P345" i="2"/>
  <c r="Z345" i="2" s="1"/>
  <c r="P344" i="2"/>
  <c r="AI344" i="2" s="1"/>
  <c r="AE343" i="2"/>
  <c r="AA343" i="2"/>
  <c r="W343" i="2"/>
  <c r="Q343" i="2"/>
  <c r="AB343" i="2" s="1"/>
  <c r="P343" i="2"/>
  <c r="AD343" i="2" s="1"/>
  <c r="P342" i="2"/>
  <c r="AB342" i="2" s="1"/>
  <c r="P341" i="2"/>
  <c r="Y341" i="2" s="1"/>
  <c r="P340" i="2"/>
  <c r="AI340" i="2" s="1"/>
  <c r="U339" i="2"/>
  <c r="P339" i="2"/>
  <c r="AD339" i="2" s="1"/>
  <c r="P338" i="2"/>
  <c r="AB338" i="2" s="1"/>
  <c r="P337" i="2"/>
  <c r="P336" i="2"/>
  <c r="AI336" i="2" s="1"/>
  <c r="P335" i="2"/>
  <c r="AD335" i="2" s="1"/>
  <c r="P334" i="2"/>
  <c r="Y333" i="2"/>
  <c r="P333" i="2"/>
  <c r="AI333" i="2" s="1"/>
  <c r="P332" i="2"/>
  <c r="AI332" i="2" s="1"/>
  <c r="Z331" i="2"/>
  <c r="P331" i="2"/>
  <c r="AB331" i="2" s="1"/>
  <c r="P330" i="2"/>
  <c r="AB330" i="2" s="1"/>
  <c r="P329" i="2"/>
  <c r="AI329" i="2" s="1"/>
  <c r="P328" i="2"/>
  <c r="W328" i="2" s="1"/>
  <c r="P327" i="2"/>
  <c r="X327" i="2" s="1"/>
  <c r="P326" i="2"/>
  <c r="AI326" i="2" s="1"/>
  <c r="T325" i="2"/>
  <c r="P325" i="2"/>
  <c r="AD325" i="2" s="1"/>
  <c r="P324" i="2"/>
  <c r="AD324" i="2" s="1"/>
  <c r="P323" i="2"/>
  <c r="P322" i="2"/>
  <c r="AI322" i="2" s="1"/>
  <c r="P321" i="2"/>
  <c r="AE321" i="2" s="1"/>
  <c r="P320" i="2"/>
  <c r="AD320" i="2" s="1"/>
  <c r="P319" i="2"/>
  <c r="AI319" i="2" s="1"/>
  <c r="P318" i="2"/>
  <c r="P317" i="2"/>
  <c r="AE317" i="2" s="1"/>
  <c r="P316" i="2"/>
  <c r="AD316" i="2" s="1"/>
  <c r="P315" i="2"/>
  <c r="AI315" i="2" s="1"/>
  <c r="P314" i="2"/>
  <c r="P313" i="2"/>
  <c r="P312" i="2"/>
  <c r="AD312" i="2" s="1"/>
  <c r="P311" i="2"/>
  <c r="AI311" i="2" s="1"/>
  <c r="P310" i="2"/>
  <c r="AC310" i="2" s="1"/>
  <c r="P309" i="2"/>
  <c r="AE309" i="2" s="1"/>
  <c r="P308" i="2"/>
  <c r="AD308" i="2" s="1"/>
  <c r="P307" i="2"/>
  <c r="AI307" i="2" s="1"/>
  <c r="P306" i="2"/>
  <c r="P305" i="2"/>
  <c r="Z305" i="2" s="1"/>
  <c r="P304" i="2"/>
  <c r="AI304" i="2" s="1"/>
  <c r="P303" i="2"/>
  <c r="P302" i="2"/>
  <c r="AB302" i="2" s="1"/>
  <c r="AD301" i="2"/>
  <c r="X301" i="2"/>
  <c r="S301" i="2"/>
  <c r="P301" i="2"/>
  <c r="Q301" i="2" s="1"/>
  <c r="P300" i="2"/>
  <c r="AD300" i="2" s="1"/>
  <c r="P299" i="2"/>
  <c r="AE299" i="2" s="1"/>
  <c r="P298" i="2"/>
  <c r="S298" i="2" s="1"/>
  <c r="V297" i="2"/>
  <c r="P297" i="2"/>
  <c r="AE297" i="2" s="1"/>
  <c r="P296" i="2"/>
  <c r="AI296" i="2" s="1"/>
  <c r="AC295" i="2"/>
  <c r="T295" i="2"/>
  <c r="P295" i="2"/>
  <c r="S295" i="2" s="1"/>
  <c r="AD294" i="2"/>
  <c r="P294" i="2"/>
  <c r="P293" i="2"/>
  <c r="AD293" i="2" s="1"/>
  <c r="AD292" i="2"/>
  <c r="Z292" i="2"/>
  <c r="T292" i="2"/>
  <c r="P292" i="2"/>
  <c r="Q292" i="2" s="1"/>
  <c r="P291" i="2"/>
  <c r="AE291" i="2" s="1"/>
  <c r="P290" i="2"/>
  <c r="AB290" i="2" s="1"/>
  <c r="P289" i="2"/>
  <c r="AI289" i="2" s="1"/>
  <c r="U288" i="2"/>
  <c r="P288" i="2"/>
  <c r="AC288" i="2" s="1"/>
  <c r="Z287" i="2"/>
  <c r="P287" i="2"/>
  <c r="P286" i="2"/>
  <c r="AE286" i="2" s="1"/>
  <c r="P285" i="2"/>
  <c r="X285" i="2" s="1"/>
  <c r="AA284" i="2"/>
  <c r="P284" i="2"/>
  <c r="AC284" i="2" s="1"/>
  <c r="P283" i="2"/>
  <c r="Q283" i="2" s="1"/>
  <c r="U283" i="2" s="1"/>
  <c r="W282" i="2"/>
  <c r="T282" i="2"/>
  <c r="Q282" i="2"/>
  <c r="P282" i="2"/>
  <c r="AE282" i="2" s="1"/>
  <c r="P281" i="2"/>
  <c r="AI281" i="2" s="1"/>
  <c r="P280" i="2"/>
  <c r="AA280" i="2" s="1"/>
  <c r="P279" i="2"/>
  <c r="AD279" i="2" s="1"/>
  <c r="P278" i="2"/>
  <c r="V277" i="2"/>
  <c r="P277" i="2"/>
  <c r="X277" i="2" s="1"/>
  <c r="P276" i="2"/>
  <c r="AA276" i="2" s="1"/>
  <c r="Q275" i="2"/>
  <c r="AC275" i="2" s="1"/>
  <c r="P275" i="2"/>
  <c r="P274" i="2"/>
  <c r="AA274" i="2" s="1"/>
  <c r="P273" i="2"/>
  <c r="AI273" i="2" s="1"/>
  <c r="AD272" i="2"/>
  <c r="P272" i="2"/>
  <c r="X272" i="2" s="1"/>
  <c r="P271" i="2"/>
  <c r="P270" i="2"/>
  <c r="Z270" i="2" s="1"/>
  <c r="AD269" i="2"/>
  <c r="V269" i="2"/>
  <c r="P269" i="2"/>
  <c r="Q269" i="2" s="1"/>
  <c r="P268" i="2"/>
  <c r="AD268" i="2" s="1"/>
  <c r="AC267" i="2"/>
  <c r="AB267" i="2"/>
  <c r="P267" i="2"/>
  <c r="Q266" i="2"/>
  <c r="P266" i="2"/>
  <c r="AE266" i="2" s="1"/>
  <c r="P265" i="2"/>
  <c r="X265" i="2" s="1"/>
  <c r="P264" i="2"/>
  <c r="AC264" i="2" s="1"/>
  <c r="P263" i="2"/>
  <c r="P262" i="2"/>
  <c r="AE262" i="2" s="1"/>
  <c r="P261" i="2"/>
  <c r="AD261" i="2" s="1"/>
  <c r="P260" i="2"/>
  <c r="P259" i="2"/>
  <c r="P258" i="2"/>
  <c r="AE258" i="2" s="1"/>
  <c r="P257" i="2"/>
  <c r="AC257" i="2" s="1"/>
  <c r="P256" i="2"/>
  <c r="P255" i="2"/>
  <c r="P254" i="2"/>
  <c r="AB254" i="2" s="1"/>
  <c r="P253" i="2"/>
  <c r="AC253" i="2" s="1"/>
  <c r="P252" i="2"/>
  <c r="AB252" i="2" s="1"/>
  <c r="P251" i="2"/>
  <c r="AE250" i="2"/>
  <c r="P250" i="2"/>
  <c r="Y250" i="2" s="1"/>
  <c r="P249" i="2"/>
  <c r="P248" i="2"/>
  <c r="AC248" i="2" s="1"/>
  <c r="P247" i="2"/>
  <c r="P246" i="2"/>
  <c r="P245" i="2"/>
  <c r="S245" i="2" s="1"/>
  <c r="P244" i="2"/>
  <c r="P243" i="2"/>
  <c r="AB243" i="2" s="1"/>
  <c r="AA242" i="2"/>
  <c r="S242" i="2"/>
  <c r="Q242" i="2"/>
  <c r="P242" i="2"/>
  <c r="AE242" i="2" s="1"/>
  <c r="P241" i="2"/>
  <c r="AC241" i="2" s="1"/>
  <c r="P240" i="2"/>
  <c r="P239" i="2"/>
  <c r="W239" i="2" s="1"/>
  <c r="P238" i="2"/>
  <c r="P237" i="2"/>
  <c r="AB237" i="2" s="1"/>
  <c r="P236" i="2"/>
  <c r="P235" i="2"/>
  <c r="P234" i="2"/>
  <c r="AD234" i="2" s="1"/>
  <c r="P233" i="2"/>
  <c r="AC233" i="2" s="1"/>
  <c r="P232" i="2"/>
  <c r="P231" i="2"/>
  <c r="X231" i="2" s="1"/>
  <c r="U230" i="2"/>
  <c r="P230" i="2"/>
  <c r="Z230" i="2" s="1"/>
  <c r="P229" i="2"/>
  <c r="P228" i="2"/>
  <c r="Z228" i="2" s="1"/>
  <c r="X227" i="2"/>
  <c r="P227" i="2"/>
  <c r="S226" i="2"/>
  <c r="P226" i="2"/>
  <c r="AE226" i="2" s="1"/>
  <c r="P225" i="2"/>
  <c r="AB225" i="2" s="1"/>
  <c r="P224" i="2"/>
  <c r="P223" i="2"/>
  <c r="P222" i="2"/>
  <c r="AD222" i="2" s="1"/>
  <c r="P221" i="2"/>
  <c r="AC221" i="2" s="1"/>
  <c r="P220" i="2"/>
  <c r="AI220" i="2" s="1"/>
  <c r="P219" i="2"/>
  <c r="P218" i="2"/>
  <c r="P217" i="2"/>
  <c r="AI217" i="2" s="1"/>
  <c r="P216" i="2"/>
  <c r="Q216" i="2" s="1"/>
  <c r="Z216" i="2" s="1"/>
  <c r="P215" i="2"/>
  <c r="U215" i="2" s="1"/>
  <c r="P214" i="2"/>
  <c r="U214" i="2" s="1"/>
  <c r="P213" i="2"/>
  <c r="P212" i="2"/>
  <c r="P211" i="2"/>
  <c r="W211" i="2" s="1"/>
  <c r="V210" i="2"/>
  <c r="S210" i="2"/>
  <c r="P210" i="2"/>
  <c r="Z210" i="2" s="1"/>
  <c r="P209" i="2"/>
  <c r="AI209" i="2" s="1"/>
  <c r="W208" i="2"/>
  <c r="P208" i="2"/>
  <c r="Z208" i="2" s="1"/>
  <c r="P207" i="2"/>
  <c r="AC207" i="2" s="1"/>
  <c r="P206" i="2"/>
  <c r="AD206" i="2" s="1"/>
  <c r="P205" i="2"/>
  <c r="P204" i="2"/>
  <c r="AC204" i="2" s="1"/>
  <c r="P203" i="2"/>
  <c r="AE203" i="2" s="1"/>
  <c r="P202" i="2"/>
  <c r="AA202" i="2" s="1"/>
  <c r="P201" i="2"/>
  <c r="AI201" i="2" s="1"/>
  <c r="P200" i="2"/>
  <c r="AE200" i="2" s="1"/>
  <c r="P199" i="2"/>
  <c r="AB199" i="2" s="1"/>
  <c r="V198" i="2"/>
  <c r="S198" i="2"/>
  <c r="P198" i="2"/>
  <c r="Z198" i="2" s="1"/>
  <c r="P197" i="2"/>
  <c r="AC196" i="2"/>
  <c r="P196" i="2"/>
  <c r="AE195" i="2"/>
  <c r="AB195" i="2"/>
  <c r="AA195" i="2"/>
  <c r="W195" i="2"/>
  <c r="P195" i="2"/>
  <c r="Z195" i="2" s="1"/>
  <c r="P194" i="2"/>
  <c r="AD194" i="2" s="1"/>
  <c r="P193" i="2"/>
  <c r="AE192" i="2"/>
  <c r="Z192" i="2"/>
  <c r="U192" i="2"/>
  <c r="P192" i="2"/>
  <c r="Q192" i="2" s="1"/>
  <c r="AC192" i="2" s="1"/>
  <c r="P191" i="2"/>
  <c r="X191" i="2" s="1"/>
  <c r="P190" i="2"/>
  <c r="AD190" i="2" s="1"/>
  <c r="P189" i="2"/>
  <c r="P188" i="2"/>
  <c r="AE188" i="2" s="1"/>
  <c r="T187" i="2"/>
  <c r="S187" i="2"/>
  <c r="P187" i="2"/>
  <c r="W187" i="2" s="1"/>
  <c r="P186" i="2"/>
  <c r="AA186" i="2" s="1"/>
  <c r="Y185" i="2"/>
  <c r="P185" i="2"/>
  <c r="AI185" i="2" s="1"/>
  <c r="P184" i="2"/>
  <c r="AE184" i="2" s="1"/>
  <c r="P183" i="2"/>
  <c r="AE183" i="2" s="1"/>
  <c r="P182" i="2"/>
  <c r="AD182" i="2" s="1"/>
  <c r="P181" i="2"/>
  <c r="P180" i="2"/>
  <c r="P179" i="2"/>
  <c r="AB179" i="2" s="1"/>
  <c r="P178" i="2"/>
  <c r="P177" i="2"/>
  <c r="P176" i="2"/>
  <c r="AI176" i="2" s="1"/>
  <c r="AA175" i="2"/>
  <c r="P175" i="2"/>
  <c r="AE175" i="2" s="1"/>
  <c r="P174" i="2"/>
  <c r="AI174" i="2" s="1"/>
  <c r="P173" i="2"/>
  <c r="AB173" i="2" s="1"/>
  <c r="P172" i="2"/>
  <c r="AE172" i="2" s="1"/>
  <c r="P171" i="2"/>
  <c r="T171" i="2" s="1"/>
  <c r="P170" i="2"/>
  <c r="X170" i="2" s="1"/>
  <c r="P169" i="2"/>
  <c r="U169" i="2" s="1"/>
  <c r="P168" i="2"/>
  <c r="P167" i="2"/>
  <c r="T166" i="2"/>
  <c r="P166" i="2"/>
  <c r="U166" i="2" s="1"/>
  <c r="AC165" i="2"/>
  <c r="AB165" i="2"/>
  <c r="AA165" i="2"/>
  <c r="T165" i="2"/>
  <c r="P165" i="2"/>
  <c r="S165" i="2" s="1"/>
  <c r="AD164" i="2"/>
  <c r="P164" i="2"/>
  <c r="AA164" i="2" s="1"/>
  <c r="P163" i="2"/>
  <c r="T163" i="2" s="1"/>
  <c r="P162" i="2"/>
  <c r="P161" i="2"/>
  <c r="T161" i="2" s="1"/>
  <c r="V160" i="2"/>
  <c r="P160" i="2"/>
  <c r="AD160" i="2" s="1"/>
  <c r="P159" i="2"/>
  <c r="AB159" i="2" s="1"/>
  <c r="P158" i="2"/>
  <c r="P157" i="2"/>
  <c r="AC157" i="2" s="1"/>
  <c r="P156" i="2"/>
  <c r="AD156" i="2" s="1"/>
  <c r="P155" i="2"/>
  <c r="P154" i="2"/>
  <c r="P153" i="2"/>
  <c r="P152" i="2"/>
  <c r="Q152" i="2" s="1"/>
  <c r="S152" i="2" s="1"/>
  <c r="P151" i="2"/>
  <c r="P150" i="2"/>
  <c r="Q150" i="2" s="1"/>
  <c r="AC150" i="2" s="1"/>
  <c r="P149" i="2"/>
  <c r="T149" i="2" s="1"/>
  <c r="P148" i="2"/>
  <c r="AE148" i="2" s="1"/>
  <c r="P147" i="2"/>
  <c r="P146" i="2"/>
  <c r="P145" i="2"/>
  <c r="AI145" i="2" s="1"/>
  <c r="P144" i="2"/>
  <c r="Q144" i="2" s="1"/>
  <c r="P143" i="2"/>
  <c r="P142" i="2"/>
  <c r="V142" i="2" s="1"/>
  <c r="P141" i="2"/>
  <c r="P140" i="2"/>
  <c r="AE140" i="2" s="1"/>
  <c r="P139" i="2"/>
  <c r="P138" i="2"/>
  <c r="AE138" i="2" s="1"/>
  <c r="P137" i="2"/>
  <c r="AI137" i="2" s="1"/>
  <c r="P136" i="2"/>
  <c r="P135" i="2"/>
  <c r="Y135" i="2" s="1"/>
  <c r="P134" i="2"/>
  <c r="AD134" i="2" s="1"/>
  <c r="U133" i="2"/>
  <c r="T133" i="2"/>
  <c r="P133" i="2"/>
  <c r="AC133" i="2" s="1"/>
  <c r="P132" i="2"/>
  <c r="P131" i="2"/>
  <c r="P130" i="2"/>
  <c r="P129" i="2"/>
  <c r="P128" i="2"/>
  <c r="AI128" i="2" s="1"/>
  <c r="P127" i="2"/>
  <c r="P126" i="2"/>
  <c r="AA126" i="2" s="1"/>
  <c r="P125" i="2"/>
  <c r="AD125" i="2" s="1"/>
  <c r="P124" i="2"/>
  <c r="AI124" i="2" s="1"/>
  <c r="P123" i="2"/>
  <c r="AD123" i="2" s="1"/>
  <c r="P122" i="2"/>
  <c r="P121" i="2"/>
  <c r="U121" i="2" s="1"/>
  <c r="P120" i="2"/>
  <c r="AI120" i="2" s="1"/>
  <c r="P119" i="2"/>
  <c r="AE119" i="2" s="1"/>
  <c r="W118" i="2"/>
  <c r="P118" i="2"/>
  <c r="AE118" i="2" s="1"/>
  <c r="S117" i="2"/>
  <c r="P117" i="2"/>
  <c r="AI117" i="2" s="1"/>
  <c r="P116" i="2"/>
  <c r="AI116" i="2" s="1"/>
  <c r="P115" i="2"/>
  <c r="P114" i="2"/>
  <c r="AD114" i="2" s="1"/>
  <c r="W113" i="2"/>
  <c r="P113" i="2"/>
  <c r="AI113" i="2" s="1"/>
  <c r="P112" i="2"/>
  <c r="AI112" i="2" s="1"/>
  <c r="P111" i="2"/>
  <c r="AD111" i="2" s="1"/>
  <c r="W110" i="2"/>
  <c r="P110" i="2"/>
  <c r="AB110" i="2" s="1"/>
  <c r="P109" i="2"/>
  <c r="AC109" i="2" s="1"/>
  <c r="P108" i="2"/>
  <c r="P107" i="2"/>
  <c r="P106" i="2"/>
  <c r="AA106" i="2" s="1"/>
  <c r="Z105" i="2"/>
  <c r="W105" i="2"/>
  <c r="P105" i="2"/>
  <c r="AI105" i="2" s="1"/>
  <c r="P104" i="2"/>
  <c r="AI104" i="2" s="1"/>
  <c r="P103" i="2"/>
  <c r="AD103" i="2" s="1"/>
  <c r="P102" i="2"/>
  <c r="W101" i="2"/>
  <c r="P101" i="2"/>
  <c r="AB101" i="2" s="1"/>
  <c r="P100" i="2"/>
  <c r="AI100" i="2" s="1"/>
  <c r="P99" i="2"/>
  <c r="P98" i="2"/>
  <c r="W98" i="2" s="1"/>
  <c r="AE97" i="2"/>
  <c r="Z97" i="2"/>
  <c r="P97" i="2"/>
  <c r="Q97" i="2" s="1"/>
  <c r="V97" i="2" s="1"/>
  <c r="P96" i="2"/>
  <c r="AI96" i="2" s="1"/>
  <c r="P95" i="2"/>
  <c r="AD95" i="2" s="1"/>
  <c r="P94" i="2"/>
  <c r="P93" i="2"/>
  <c r="P92" i="2"/>
  <c r="P91" i="2"/>
  <c r="P90" i="2"/>
  <c r="W90" i="2" s="1"/>
  <c r="P89" i="2"/>
  <c r="AI89" i="2" s="1"/>
  <c r="P88" i="2"/>
  <c r="Y88" i="2" s="1"/>
  <c r="P87" i="2"/>
  <c r="AE87" i="2" s="1"/>
  <c r="P86" i="2"/>
  <c r="AA86" i="2" s="1"/>
  <c r="P85" i="2"/>
  <c r="W85" i="2" s="1"/>
  <c r="P84" i="2"/>
  <c r="P83" i="2"/>
  <c r="AD83" i="2" s="1"/>
  <c r="P82" i="2"/>
  <c r="T82" i="2" s="1"/>
  <c r="P81" i="2"/>
  <c r="P80" i="2"/>
  <c r="AI80" i="2" s="1"/>
  <c r="P79" i="2"/>
  <c r="AD79" i="2" s="1"/>
  <c r="P78" i="2"/>
  <c r="AE78" i="2" s="1"/>
  <c r="P77" i="2"/>
  <c r="AD77" i="2" s="1"/>
  <c r="P76" i="2"/>
  <c r="P75" i="2"/>
  <c r="AI75" i="2" s="1"/>
  <c r="P74" i="2"/>
  <c r="AA74" i="2" s="1"/>
  <c r="P73" i="2"/>
  <c r="AC73" i="2" s="1"/>
  <c r="P72" i="2"/>
  <c r="P71" i="2"/>
  <c r="AI71" i="2" s="1"/>
  <c r="AA70" i="2"/>
  <c r="P70" i="2"/>
  <c r="W70" i="2" s="1"/>
  <c r="P69" i="2"/>
  <c r="P68" i="2"/>
  <c r="Y68" i="2" s="1"/>
  <c r="P67" i="2"/>
  <c r="AE67" i="2" s="1"/>
  <c r="P66" i="2"/>
  <c r="P65" i="2"/>
  <c r="AC65" i="2" s="1"/>
  <c r="S64" i="2"/>
  <c r="P64" i="2"/>
  <c r="Y64" i="2" s="1"/>
  <c r="P63" i="2"/>
  <c r="P62" i="2"/>
  <c r="W62" i="2" s="1"/>
  <c r="P61" i="2"/>
  <c r="P60" i="2"/>
  <c r="W59" i="2"/>
  <c r="P59" i="2"/>
  <c r="X59" i="2" s="1"/>
  <c r="P58" i="2"/>
  <c r="P57" i="2"/>
  <c r="Z57" i="2" s="1"/>
  <c r="P56" i="2"/>
  <c r="Y56" i="2" s="1"/>
  <c r="P55" i="2"/>
  <c r="AE55" i="2" s="1"/>
  <c r="P54" i="2"/>
  <c r="AC54" i="2" s="1"/>
  <c r="P53" i="2"/>
  <c r="AE53" i="2" s="1"/>
  <c r="P52" i="2"/>
  <c r="AI52" i="2" s="1"/>
  <c r="P51" i="2"/>
  <c r="P50" i="2"/>
  <c r="AB50" i="2" s="1"/>
  <c r="P49" i="2"/>
  <c r="AA49" i="2" s="1"/>
  <c r="P48" i="2"/>
  <c r="AI48" i="2" s="1"/>
  <c r="X47" i="2"/>
  <c r="P47" i="2"/>
  <c r="P46" i="2"/>
  <c r="U46" i="2" s="1"/>
  <c r="X45" i="2"/>
  <c r="P45" i="2"/>
  <c r="AD45" i="2" s="1"/>
  <c r="P44" i="2"/>
  <c r="AI44" i="2" s="1"/>
  <c r="P43" i="2"/>
  <c r="Z43" i="2" s="1"/>
  <c r="P42" i="2"/>
  <c r="AB42" i="2" s="1"/>
  <c r="P41" i="2"/>
  <c r="U41" i="2" s="1"/>
  <c r="P40" i="2"/>
  <c r="AI40" i="2" s="1"/>
  <c r="AB39" i="2"/>
  <c r="Z39" i="2"/>
  <c r="X39" i="2"/>
  <c r="V39" i="2"/>
  <c r="S39" i="2"/>
  <c r="P39" i="2"/>
  <c r="AC39" i="2" s="1"/>
  <c r="P38" i="2"/>
  <c r="U38" i="2" s="1"/>
  <c r="P37" i="2"/>
  <c r="AI37" i="2" s="1"/>
  <c r="P36" i="2"/>
  <c r="AI36" i="2" s="1"/>
  <c r="AE35" i="2"/>
  <c r="P35" i="2"/>
  <c r="AC35" i="2" s="1"/>
  <c r="P34" i="2"/>
  <c r="AB34" i="2" s="1"/>
  <c r="P33" i="2"/>
  <c r="AI33" i="2" s="1"/>
  <c r="P32" i="2"/>
  <c r="AI32" i="2" s="1"/>
  <c r="P31" i="2"/>
  <c r="AB31" i="2" s="1"/>
  <c r="AC30" i="2"/>
  <c r="P30" i="2"/>
  <c r="U30" i="2" s="1"/>
  <c r="AE29" i="2"/>
  <c r="AD29" i="2"/>
  <c r="Z29" i="2"/>
  <c r="W29" i="2"/>
  <c r="V29" i="2"/>
  <c r="Q29" i="2"/>
  <c r="AB29" i="2" s="1"/>
  <c r="P29" i="2"/>
  <c r="AI29" i="2" s="1"/>
  <c r="P28" i="2"/>
  <c r="AI28" i="2" s="1"/>
  <c r="P27" i="2"/>
  <c r="AE27" i="2" s="1"/>
  <c r="P26" i="2"/>
  <c r="AC26" i="2" s="1"/>
  <c r="P25" i="2"/>
  <c r="AA24" i="2"/>
  <c r="P24" i="2"/>
  <c r="AI24" i="2" s="1"/>
  <c r="P23" i="2"/>
  <c r="AE23" i="2" s="1"/>
  <c r="AC22" i="2"/>
  <c r="P22" i="2"/>
  <c r="AD21" i="2"/>
  <c r="AA21" i="2"/>
  <c r="Z21" i="2"/>
  <c r="U21" i="2"/>
  <c r="P21" i="2"/>
  <c r="X21" i="2" s="1"/>
  <c r="P20" i="2"/>
  <c r="AI20" i="2" s="1"/>
  <c r="P19" i="2"/>
  <c r="AE19" i="2" s="1"/>
  <c r="P18" i="2"/>
  <c r="U18" i="2" s="1"/>
  <c r="P17" i="2"/>
  <c r="Z17" i="2" s="1"/>
  <c r="P16" i="2"/>
  <c r="AA16" i="2" s="1"/>
  <c r="P15" i="2"/>
  <c r="W15" i="2" s="1"/>
  <c r="P14" i="2"/>
  <c r="W14" i="2" s="1"/>
  <c r="P13" i="2"/>
  <c r="P12" i="2"/>
  <c r="AI12" i="2" s="1"/>
  <c r="P11" i="2"/>
  <c r="AD11" i="2" s="1"/>
  <c r="P10" i="2"/>
  <c r="U10" i="2" s="1"/>
  <c r="AD9" i="2"/>
  <c r="AA9" i="2"/>
  <c r="P9" i="2"/>
  <c r="AI9" i="2" s="1"/>
  <c r="AA8" i="2"/>
  <c r="P8" i="2"/>
  <c r="AI8" i="2" s="1"/>
  <c r="P7" i="2"/>
  <c r="AD7" i="2" s="1"/>
  <c r="P6" i="2"/>
  <c r="AC6" i="2" s="1"/>
  <c r="P5" i="2"/>
  <c r="V5" i="2" s="1"/>
  <c r="P4" i="2"/>
  <c r="P3" i="2"/>
  <c r="AE3" i="2" s="1"/>
  <c r="T2" i="2"/>
  <c r="P2" i="2"/>
  <c r="AE2" i="2" s="1"/>
  <c r="AE238" i="2" l="1"/>
  <c r="U238" i="2"/>
  <c r="Z360" i="2"/>
  <c r="AC360" i="2"/>
  <c r="Z372" i="2"/>
  <c r="AC372" i="2"/>
  <c r="AI323" i="2"/>
  <c r="Z323" i="2"/>
  <c r="U323" i="2"/>
  <c r="V404" i="2"/>
  <c r="U404" i="2"/>
  <c r="Z25" i="2"/>
  <c r="U25" i="2"/>
  <c r="AC42" i="2"/>
  <c r="U34" i="2"/>
  <c r="W347" i="2"/>
  <c r="U347" i="2"/>
  <c r="AI58" i="2"/>
  <c r="AC58" i="2"/>
  <c r="U58" i="2"/>
  <c r="W58" i="2"/>
  <c r="AE382" i="2"/>
  <c r="W382" i="2"/>
  <c r="AE158" i="2"/>
  <c r="V158" i="2"/>
  <c r="AI167" i="2"/>
  <c r="AD167" i="2"/>
  <c r="S129" i="2"/>
  <c r="AE129" i="2"/>
  <c r="U129" i="2"/>
  <c r="Z129" i="2"/>
  <c r="Z81" i="2"/>
  <c r="T81" i="2"/>
  <c r="AD115" i="2"/>
  <c r="AE115" i="2"/>
  <c r="W115" i="2"/>
  <c r="AE365" i="2"/>
  <c r="AD365" i="2"/>
  <c r="AC365" i="2"/>
  <c r="U47" i="2"/>
  <c r="AA47" i="2"/>
  <c r="AC61" i="2"/>
  <c r="Z61" i="2"/>
  <c r="AA122" i="2"/>
  <c r="U122" i="2"/>
  <c r="T122" i="2"/>
  <c r="Z136" i="2"/>
  <c r="AA136" i="2"/>
  <c r="W119" i="2"/>
  <c r="S142" i="2"/>
  <c r="S276" i="2"/>
  <c r="AB307" i="2"/>
  <c r="S329" i="2"/>
  <c r="AC376" i="2"/>
  <c r="X413" i="2"/>
  <c r="AE9" i="2"/>
  <c r="S85" i="2"/>
  <c r="U89" i="2"/>
  <c r="AE111" i="2"/>
  <c r="T126" i="2"/>
  <c r="W173" i="2"/>
  <c r="W176" i="2"/>
  <c r="T207" i="2"/>
  <c r="AI228" i="2"/>
  <c r="Q273" i="2"/>
  <c r="U280" i="2"/>
  <c r="Q319" i="2"/>
  <c r="V319" i="2" s="1"/>
  <c r="Q363" i="2"/>
  <c r="Q408" i="2"/>
  <c r="Z408" i="2" s="1"/>
  <c r="S203" i="2"/>
  <c r="Z5" i="2"/>
  <c r="S9" i="2"/>
  <c r="T17" i="2"/>
  <c r="AA20" i="2"/>
  <c r="AE26" i="2"/>
  <c r="Q33" i="2"/>
  <c r="T33" i="2" s="1"/>
  <c r="S35" i="2"/>
  <c r="Z37" i="2"/>
  <c r="X62" i="2"/>
  <c r="S73" i="2"/>
  <c r="W78" i="2"/>
  <c r="AD82" i="2"/>
  <c r="AB85" i="2"/>
  <c r="AD89" i="2"/>
  <c r="W95" i="2"/>
  <c r="AE98" i="2"/>
  <c r="AE103" i="2"/>
  <c r="W123" i="2"/>
  <c r="W126" i="2"/>
  <c r="W134" i="2"/>
  <c r="W138" i="2"/>
  <c r="AC142" i="2"/>
  <c r="Q148" i="2"/>
  <c r="Z150" i="2"/>
  <c r="AE169" i="2"/>
  <c r="S174" i="2"/>
  <c r="W200" i="2"/>
  <c r="W203" i="2"/>
  <c r="AE211" i="2"/>
  <c r="S234" i="2"/>
  <c r="AI248" i="2"/>
  <c r="AE252" i="2"/>
  <c r="AA268" i="2"/>
  <c r="AE270" i="2"/>
  <c r="X273" i="2"/>
  <c r="AD280" i="2"/>
  <c r="AC290" i="2"/>
  <c r="X299" i="2"/>
  <c r="X315" i="2"/>
  <c r="W354" i="2"/>
  <c r="Q359" i="2"/>
  <c r="AC359" i="2" s="1"/>
  <c r="V361" i="2"/>
  <c r="Y363" i="2"/>
  <c r="AC373" i="2"/>
  <c r="V391" i="2"/>
  <c r="Q394" i="2"/>
  <c r="U420" i="2"/>
  <c r="W5" i="2"/>
  <c r="Q9" i="2"/>
  <c r="S17" i="2"/>
  <c r="S20" i="2"/>
  <c r="Q35" i="2"/>
  <c r="AB35" i="2" s="1"/>
  <c r="U62" i="2"/>
  <c r="W103" i="2"/>
  <c r="V126" i="2"/>
  <c r="Q134" i="2"/>
  <c r="T134" i="2" s="1"/>
  <c r="W207" i="2"/>
  <c r="Q234" i="2"/>
  <c r="W248" i="2"/>
  <c r="W258" i="2"/>
  <c r="V280" i="2"/>
  <c r="Y296" i="2"/>
  <c r="Q299" i="2"/>
  <c r="AA299" i="2" s="1"/>
  <c r="S363" i="2"/>
  <c r="AE369" i="2"/>
  <c r="AD5" i="2"/>
  <c r="U17" i="2"/>
  <c r="AD73" i="2"/>
  <c r="AD126" i="2"/>
  <c r="Z134" i="2"/>
  <c r="AA203" i="2"/>
  <c r="AC268" i="2"/>
  <c r="Z273" i="2"/>
  <c r="U359" i="2"/>
  <c r="W361" i="2"/>
  <c r="Z363" i="2"/>
  <c r="AE373" i="2"/>
  <c r="T394" i="2"/>
  <c r="AC420" i="2"/>
  <c r="AH496" i="2"/>
  <c r="AJ496" i="2" s="1"/>
  <c r="X37" i="2"/>
  <c r="Z85" i="2"/>
  <c r="AA89" i="2"/>
  <c r="W106" i="2"/>
  <c r="AD119" i="2"/>
  <c r="AI163" i="2"/>
  <c r="Y176" i="2"/>
  <c r="W252" i="2"/>
  <c r="V265" i="2"/>
  <c r="V268" i="2"/>
  <c r="V273" i="2"/>
  <c r="AE276" i="2"/>
  <c r="AC335" i="2"/>
  <c r="U361" i="2"/>
  <c r="W373" i="2"/>
  <c r="U408" i="2"/>
  <c r="U9" i="2"/>
  <c r="V35" i="2"/>
  <c r="AE123" i="2"/>
  <c r="AB138" i="2"/>
  <c r="S148" i="2"/>
  <c r="V174" i="2"/>
  <c r="W2" i="2"/>
  <c r="W9" i="2"/>
  <c r="AA17" i="2"/>
  <c r="Q21" i="2"/>
  <c r="W33" i="2"/>
  <c r="Z35" i="2"/>
  <c r="AC50" i="2"/>
  <c r="Z59" i="2"/>
  <c r="W83" i="2"/>
  <c r="V86" i="2"/>
  <c r="AE90" i="2"/>
  <c r="W117" i="2"/>
  <c r="Q121" i="2"/>
  <c r="AC121" i="2" s="1"/>
  <c r="AA148" i="2"/>
  <c r="U157" i="2"/>
  <c r="Z160" i="2"/>
  <c r="AA166" i="2"/>
  <c r="Y174" i="2"/>
  <c r="S195" i="2"/>
  <c r="Y201" i="2"/>
  <c r="W226" i="2"/>
  <c r="W230" i="2"/>
  <c r="U241" i="2"/>
  <c r="S266" i="2"/>
  <c r="X281" i="2"/>
  <c r="Q284" i="2"/>
  <c r="Z297" i="2"/>
  <c r="S322" i="2"/>
  <c r="S343" i="2"/>
  <c r="AD345" i="2"/>
  <c r="AA355" i="2"/>
  <c r="Y359" i="2"/>
  <c r="AE361" i="2"/>
  <c r="AI363" i="2"/>
  <c r="AI370" i="2"/>
  <c r="X412" i="2"/>
  <c r="W416" i="2"/>
  <c r="AB2" i="2"/>
  <c r="X9" i="2"/>
  <c r="AD17" i="2"/>
  <c r="T21" i="2"/>
  <c r="Z33" i="2"/>
  <c r="AA35" i="2"/>
  <c r="Q39" i="2"/>
  <c r="Q41" i="2"/>
  <c r="X41" i="2" s="1"/>
  <c r="AI57" i="2"/>
  <c r="Q64" i="2"/>
  <c r="X64" i="2" s="1"/>
  <c r="V70" i="2"/>
  <c r="AE83" i="2"/>
  <c r="S105" i="2"/>
  <c r="V114" i="2"/>
  <c r="AA160" i="2"/>
  <c r="AI166" i="2"/>
  <c r="T195" i="2"/>
  <c r="U245" i="2"/>
  <c r="W250" i="2"/>
  <c r="S284" i="2"/>
  <c r="T288" i="2"/>
  <c r="AA297" i="2"/>
  <c r="S317" i="2"/>
  <c r="AA322" i="2"/>
  <c r="U343" i="2"/>
  <c r="AA359" i="2"/>
  <c r="W368" i="2"/>
  <c r="Q402" i="2"/>
  <c r="X403" i="2"/>
  <c r="X407" i="2"/>
  <c r="S410" i="2"/>
  <c r="Z412" i="2"/>
  <c r="AH457" i="2"/>
  <c r="AJ457" i="2" s="1"/>
  <c r="AA53" i="2"/>
  <c r="AD53" i="2"/>
  <c r="X53" i="2"/>
  <c r="W53" i="2"/>
  <c r="AD235" i="2"/>
  <c r="AE235" i="2"/>
  <c r="X235" i="2"/>
  <c r="Q298" i="2"/>
  <c r="AB298" i="2"/>
  <c r="AE387" i="2"/>
  <c r="AA387" i="2"/>
  <c r="S387" i="2"/>
  <c r="AI51" i="2"/>
  <c r="AE51" i="2"/>
  <c r="AD51" i="2"/>
  <c r="AA51" i="2"/>
  <c r="X51" i="2"/>
  <c r="W51" i="2"/>
  <c r="AI236" i="2"/>
  <c r="Q236" i="2"/>
  <c r="Z306" i="2"/>
  <c r="U306" i="2"/>
  <c r="S306" i="2"/>
  <c r="Q306" i="2"/>
  <c r="AA5" i="2"/>
  <c r="AB9" i="2"/>
  <c r="U14" i="2"/>
  <c r="V25" i="2"/>
  <c r="V33" i="2"/>
  <c r="AD37" i="2"/>
  <c r="W39" i="2"/>
  <c r="S41" i="2"/>
  <c r="T43" i="2"/>
  <c r="AD47" i="2"/>
  <c r="Q51" i="2"/>
  <c r="AA66" i="2"/>
  <c r="W66" i="2"/>
  <c r="AI97" i="2"/>
  <c r="AD97" i="2"/>
  <c r="AA97" i="2"/>
  <c r="W97" i="2"/>
  <c r="U97" i="2"/>
  <c r="S97" i="2"/>
  <c r="AI139" i="2"/>
  <c r="X139" i="2"/>
  <c r="AE144" i="2"/>
  <c r="W144" i="2"/>
  <c r="AD152" i="2"/>
  <c r="AE152" i="2"/>
  <c r="AA152" i="2"/>
  <c r="W152" i="2"/>
  <c r="V152" i="2"/>
  <c r="AI177" i="2"/>
  <c r="X177" i="2"/>
  <c r="Y177" i="2"/>
  <c r="AA183" i="2"/>
  <c r="Z236" i="2"/>
  <c r="AC249" i="2"/>
  <c r="Y249" i="2"/>
  <c r="AD290" i="2"/>
  <c r="V290" i="2"/>
  <c r="Q290" i="2"/>
  <c r="AI290" i="2"/>
  <c r="X306" i="2"/>
  <c r="AI318" i="2"/>
  <c r="U318" i="2"/>
  <c r="AI395" i="2"/>
  <c r="T395" i="2"/>
  <c r="Y395" i="2"/>
  <c r="U395" i="2"/>
  <c r="AI400" i="2"/>
  <c r="AA400" i="2"/>
  <c r="Q400" i="2"/>
  <c r="AI424" i="2"/>
  <c r="T424" i="2"/>
  <c r="X424" i="2"/>
  <c r="S424" i="2"/>
  <c r="X25" i="2"/>
  <c r="AB334" i="2"/>
  <c r="AC334" i="2"/>
  <c r="AI396" i="2"/>
  <c r="AA396" i="2"/>
  <c r="Q37" i="2"/>
  <c r="AB37" i="2" s="1"/>
  <c r="AA41" i="2"/>
  <c r="W55" i="2"/>
  <c r="Q77" i="2"/>
  <c r="AC141" i="2"/>
  <c r="AI141" i="2"/>
  <c r="X153" i="2"/>
  <c r="AB153" i="2"/>
  <c r="AI246" i="2"/>
  <c r="AE246" i="2"/>
  <c r="Z260" i="2"/>
  <c r="AD260" i="2"/>
  <c r="AC260" i="2"/>
  <c r="U260" i="2"/>
  <c r="T260" i="2"/>
  <c r="S260" i="2"/>
  <c r="AC303" i="2"/>
  <c r="AB303" i="2"/>
  <c r="X303" i="2"/>
  <c r="U303" i="2"/>
  <c r="Q396" i="2"/>
  <c r="Z414" i="2"/>
  <c r="V414" i="2"/>
  <c r="T414" i="2"/>
  <c r="AI389" i="2"/>
  <c r="V389" i="2"/>
  <c r="AD389" i="2"/>
  <c r="AB389" i="2"/>
  <c r="W389" i="2"/>
  <c r="AE5" i="2"/>
  <c r="W43" i="2"/>
  <c r="AA33" i="2"/>
  <c r="AA43" i="2"/>
  <c r="Q47" i="2"/>
  <c r="AC47" i="2" s="1"/>
  <c r="V49" i="2"/>
  <c r="V51" i="2"/>
  <c r="X63" i="2"/>
  <c r="AE63" i="2"/>
  <c r="V69" i="2"/>
  <c r="U69" i="2"/>
  <c r="T69" i="2"/>
  <c r="S69" i="2"/>
  <c r="Z77" i="2"/>
  <c r="AC162" i="2"/>
  <c r="W162" i="2"/>
  <c r="AI162" i="2"/>
  <c r="W179" i="2"/>
  <c r="U229" i="2"/>
  <c r="AA229" i="2"/>
  <c r="AB229" i="2"/>
  <c r="T229" i="2"/>
  <c r="S229" i="2"/>
  <c r="Q246" i="2"/>
  <c r="AD256" i="2"/>
  <c r="U256" i="2"/>
  <c r="T256" i="2"/>
  <c r="V260" i="2"/>
  <c r="T303" i="2"/>
  <c r="AC377" i="2"/>
  <c r="AE377" i="2"/>
  <c r="Z426" i="2"/>
  <c r="Q426" i="2"/>
  <c r="S426" i="2" s="1"/>
  <c r="AE215" i="2"/>
  <c r="W215" i="2"/>
  <c r="AI244" i="2"/>
  <c r="Z244" i="2"/>
  <c r="Q244" i="2"/>
  <c r="T244" i="2" s="1"/>
  <c r="AI223" i="2"/>
  <c r="W223" i="2"/>
  <c r="AA401" i="2"/>
  <c r="AD401" i="2"/>
  <c r="AA25" i="2"/>
  <c r="U51" i="2"/>
  <c r="Q5" i="2"/>
  <c r="S37" i="2"/>
  <c r="AB41" i="2"/>
  <c r="T5" i="2"/>
  <c r="V9" i="2"/>
  <c r="S24" i="2"/>
  <c r="X29" i="2"/>
  <c r="AD33" i="2"/>
  <c r="W35" i="2"/>
  <c r="T37" i="2"/>
  <c r="AD39" i="2"/>
  <c r="AC41" i="2"/>
  <c r="AD43" i="2"/>
  <c r="S47" i="2"/>
  <c r="AB49" i="2"/>
  <c r="AB51" i="2"/>
  <c r="AA69" i="2"/>
  <c r="AB82" i="2"/>
  <c r="AE82" i="2"/>
  <c r="AC82" i="2"/>
  <c r="W82" i="2"/>
  <c r="V82" i="2"/>
  <c r="AD94" i="2"/>
  <c r="V94" i="2"/>
  <c r="AA98" i="2"/>
  <c r="AC98" i="2"/>
  <c r="AB98" i="2"/>
  <c r="V98" i="2"/>
  <c r="U98" i="2"/>
  <c r="T98" i="2"/>
  <c r="AI150" i="2"/>
  <c r="AA150" i="2"/>
  <c r="AE150" i="2"/>
  <c r="W150" i="2"/>
  <c r="V150" i="2"/>
  <c r="S150" i="2"/>
  <c r="U162" i="2"/>
  <c r="Y172" i="2"/>
  <c r="S191" i="2"/>
  <c r="AD212" i="2"/>
  <c r="AE212" i="2"/>
  <c r="W212" i="2"/>
  <c r="Q212" i="2"/>
  <c r="AC229" i="2"/>
  <c r="AC251" i="2"/>
  <c r="Q251" i="2"/>
  <c r="T251" i="2" s="1"/>
  <c r="AB251" i="2"/>
  <c r="Y251" i="2"/>
  <c r="AA256" i="2"/>
  <c r="AE272" i="2"/>
  <c r="W272" i="2"/>
  <c r="U272" i="2"/>
  <c r="AD385" i="2"/>
  <c r="AE385" i="2"/>
  <c r="U385" i="2"/>
  <c r="T398" i="2"/>
  <c r="Q398" i="2"/>
  <c r="W398" i="2" s="1"/>
  <c r="T412" i="2"/>
  <c r="AI416" i="2"/>
  <c r="T416" i="2"/>
  <c r="S416" i="2"/>
  <c r="AD416" i="2"/>
  <c r="AE37" i="2"/>
  <c r="V43" i="2"/>
  <c r="S51" i="2"/>
  <c r="AI77" i="2"/>
  <c r="AC77" i="2"/>
  <c r="AA77" i="2"/>
  <c r="V77" i="2"/>
  <c r="U77" i="2"/>
  <c r="S77" i="2"/>
  <c r="AI411" i="2"/>
  <c r="Z411" i="2"/>
  <c r="X411" i="2"/>
  <c r="U5" i="2"/>
  <c r="AE33" i="2"/>
  <c r="V37" i="2"/>
  <c r="Z74" i="2"/>
  <c r="U74" i="2"/>
  <c r="T74" i="2"/>
  <c r="AA78" i="2"/>
  <c r="AC78" i="2"/>
  <c r="AB78" i="2"/>
  <c r="V78" i="2"/>
  <c r="U78" i="2"/>
  <c r="T78" i="2"/>
  <c r="AC156" i="2"/>
  <c r="W156" i="2"/>
  <c r="AE156" i="2"/>
  <c r="AA156" i="2"/>
  <c r="S156" i="2"/>
  <c r="Q156" i="2"/>
  <c r="Z156" i="2" s="1"/>
  <c r="W181" i="2"/>
  <c r="AI181" i="2"/>
  <c r="AI219" i="2"/>
  <c r="AD219" i="2"/>
  <c r="AB219" i="2"/>
  <c r="U219" i="2"/>
  <c r="S219" i="2"/>
  <c r="AE256" i="2"/>
  <c r="U267" i="2"/>
  <c r="T267" i="2"/>
  <c r="AD267" i="2"/>
  <c r="U275" i="2"/>
  <c r="Z275" i="2"/>
  <c r="V275" i="2"/>
  <c r="Z301" i="2"/>
  <c r="AB301" i="2"/>
  <c r="AI404" i="2"/>
  <c r="W404" i="2"/>
  <c r="S404" i="2"/>
  <c r="Q404" i="2"/>
  <c r="AA404" i="2" s="1"/>
  <c r="AD404" i="2"/>
  <c r="AC404" i="2"/>
  <c r="X404" i="2"/>
  <c r="X58" i="2"/>
  <c r="AD59" i="2"/>
  <c r="Z62" i="2"/>
  <c r="AA64" i="2"/>
  <c r="AE85" i="2"/>
  <c r="AE89" i="2"/>
  <c r="AD105" i="2"/>
  <c r="Z117" i="2"/>
  <c r="W122" i="2"/>
  <c r="AI130" i="2"/>
  <c r="AC130" i="2"/>
  <c r="AB133" i="2"/>
  <c r="AC134" i="2"/>
  <c r="W142" i="2"/>
  <c r="AI158" i="2"/>
  <c r="Q158" i="2"/>
  <c r="U158" i="2" s="1"/>
  <c r="Z176" i="2"/>
  <c r="U187" i="2"/>
  <c r="AD196" i="2"/>
  <c r="Q196" i="2"/>
  <c r="AE196" i="2" s="1"/>
  <c r="X207" i="2"/>
  <c r="AA226" i="2"/>
  <c r="W234" i="2"/>
  <c r="U242" i="2"/>
  <c r="X266" i="2"/>
  <c r="AD271" i="2"/>
  <c r="U271" i="2"/>
  <c r="AE280" i="2"/>
  <c r="AA282" i="2"/>
  <c r="V284" i="2"/>
  <c r="AC287" i="2"/>
  <c r="V287" i="2"/>
  <c r="AA288" i="2"/>
  <c r="AA294" i="2"/>
  <c r="V294" i="2"/>
  <c r="U295" i="2"/>
  <c r="AI314" i="2"/>
  <c r="AD314" i="2"/>
  <c r="AD322" i="2"/>
  <c r="AI337" i="2"/>
  <c r="AA337" i="2"/>
  <c r="AB384" i="2"/>
  <c r="AA384" i="2"/>
  <c r="AI392" i="2"/>
  <c r="AA392" i="2"/>
  <c r="AI393" i="2"/>
  <c r="AE393" i="2"/>
  <c r="X394" i="2"/>
  <c r="AC408" i="2"/>
  <c r="AD420" i="2"/>
  <c r="AA58" i="2"/>
  <c r="AA62" i="2"/>
  <c r="Y80" i="2"/>
  <c r="Q89" i="2"/>
  <c r="AB89" i="2" s="1"/>
  <c r="S113" i="2"/>
  <c r="AA117" i="2"/>
  <c r="AA121" i="2"/>
  <c r="Z121" i="2"/>
  <c r="AD122" i="2"/>
  <c r="Z125" i="2"/>
  <c r="V130" i="2"/>
  <c r="AI133" i="2"/>
  <c r="Q138" i="2"/>
  <c r="Z142" i="2"/>
  <c r="S158" i="2"/>
  <c r="Z171" i="2"/>
  <c r="AE171" i="2"/>
  <c r="AC176" i="2"/>
  <c r="AC180" i="2"/>
  <c r="AI180" i="2"/>
  <c r="U196" i="2"/>
  <c r="Z211" i="2"/>
  <c r="AC211" i="2"/>
  <c r="AC234" i="2"/>
  <c r="X237" i="2"/>
  <c r="V242" i="2"/>
  <c r="X247" i="2"/>
  <c r="Q247" i="2"/>
  <c r="AA247" i="2" s="1"/>
  <c r="AA264" i="2"/>
  <c r="AA266" i="2"/>
  <c r="Z268" i="2"/>
  <c r="S268" i="2"/>
  <c r="V271" i="2"/>
  <c r="W284" i="2"/>
  <c r="Q287" i="2"/>
  <c r="T287" i="2" s="1"/>
  <c r="S294" i="2"/>
  <c r="X295" i="2"/>
  <c r="Q297" i="2"/>
  <c r="T297" i="2" s="1"/>
  <c r="T309" i="2"/>
  <c r="Q314" i="2"/>
  <c r="X314" i="2" s="1"/>
  <c r="U356" i="2"/>
  <c r="U369" i="2"/>
  <c r="U372" i="2"/>
  <c r="W374" i="2"/>
  <c r="W384" i="2"/>
  <c r="Q392" i="2"/>
  <c r="Q393" i="2"/>
  <c r="Y394" i="2"/>
  <c r="AA397" i="2"/>
  <c r="AD397" i="2"/>
  <c r="AI399" i="2"/>
  <c r="Q399" i="2"/>
  <c r="AA421" i="2"/>
  <c r="V421" i="2"/>
  <c r="U57" i="2"/>
  <c r="AD62" i="2"/>
  <c r="U65" i="2"/>
  <c r="Q85" i="2"/>
  <c r="V85" i="2" s="1"/>
  <c r="U86" i="2"/>
  <c r="S89" i="2"/>
  <c r="V101" i="2"/>
  <c r="Q105" i="2"/>
  <c r="AE105" i="2" s="1"/>
  <c r="V106" i="2"/>
  <c r="V110" i="2"/>
  <c r="V113" i="2"/>
  <c r="AE122" i="2"/>
  <c r="AA125" i="2"/>
  <c r="AD130" i="2"/>
  <c r="AI134" i="2"/>
  <c r="AA134" i="2"/>
  <c r="T138" i="2"/>
  <c r="AB142" i="2"/>
  <c r="X149" i="2"/>
  <c r="AB149" i="2"/>
  <c r="T158" i="2"/>
  <c r="U167" i="2"/>
  <c r="S171" i="2"/>
  <c r="S173" i="2"/>
  <c r="W175" i="2"/>
  <c r="Q180" i="2"/>
  <c r="Z196" i="2"/>
  <c r="U200" i="2"/>
  <c r="Z203" i="2"/>
  <c r="AB203" i="2"/>
  <c r="U211" i="2"/>
  <c r="AD216" i="2"/>
  <c r="W216" i="2"/>
  <c r="AE231" i="2"/>
  <c r="S241" i="2"/>
  <c r="Z242" i="2"/>
  <c r="Q250" i="2"/>
  <c r="U250" i="2" s="1"/>
  <c r="Q258" i="2"/>
  <c r="T258" i="2" s="1"/>
  <c r="AB266" i="2"/>
  <c r="T268" i="2"/>
  <c r="Z271" i="2"/>
  <c r="Q281" i="2"/>
  <c r="Z281" i="2" s="1"/>
  <c r="AA283" i="2"/>
  <c r="V283" i="2"/>
  <c r="Z284" i="2"/>
  <c r="AC294" i="2"/>
  <c r="AI310" i="2"/>
  <c r="Q310" i="2"/>
  <c r="T310" i="2" s="1"/>
  <c r="S349" i="2"/>
  <c r="AD356" i="2"/>
  <c r="X366" i="2"/>
  <c r="AD369" i="2"/>
  <c r="W372" i="2"/>
  <c r="AA375" i="2"/>
  <c r="Z375" i="2"/>
  <c r="AE384" i="2"/>
  <c r="U388" i="2"/>
  <c r="S392" i="2"/>
  <c r="U393" i="2"/>
  <c r="AD394" i="2"/>
  <c r="V397" i="2"/>
  <c r="X399" i="2"/>
  <c r="AI408" i="2"/>
  <c r="W408" i="2"/>
  <c r="AI415" i="2"/>
  <c r="Q415" i="2"/>
  <c r="X415" i="2" s="1"/>
  <c r="AD58" i="2"/>
  <c r="T73" i="2"/>
  <c r="V81" i="2"/>
  <c r="T85" i="2"/>
  <c r="X86" i="2"/>
  <c r="V89" i="2"/>
  <c r="AE95" i="2"/>
  <c r="U105" i="2"/>
  <c r="AC106" i="2"/>
  <c r="Z113" i="2"/>
  <c r="AC118" i="2"/>
  <c r="AD121" i="2"/>
  <c r="W129" i="2"/>
  <c r="S134" i="2"/>
  <c r="Z138" i="2"/>
  <c r="U149" i="2"/>
  <c r="Z158" i="2"/>
  <c r="U171" i="2"/>
  <c r="Y173" i="2"/>
  <c r="V176" i="2"/>
  <c r="Q176" i="2"/>
  <c r="T203" i="2"/>
  <c r="AA211" i="2"/>
  <c r="AE216" i="2"/>
  <c r="AA230" i="2"/>
  <c r="AE230" i="2"/>
  <c r="W238" i="2"/>
  <c r="AA241" i="2"/>
  <c r="AB245" i="2"/>
  <c r="X248" i="2"/>
  <c r="X250" i="2"/>
  <c r="AA252" i="2"/>
  <c r="Z258" i="2"/>
  <c r="AD265" i="2"/>
  <c r="W268" i="2"/>
  <c r="W276" i="2"/>
  <c r="AI282" i="2"/>
  <c r="S282" i="2"/>
  <c r="T283" i="2"/>
  <c r="AE284" i="2"/>
  <c r="AD287" i="2"/>
  <c r="AI295" i="2"/>
  <c r="W295" i="2"/>
  <c r="AD295" i="2"/>
  <c r="Q305" i="2"/>
  <c r="AA305" i="2" s="1"/>
  <c r="AC347" i="2"/>
  <c r="AA347" i="2"/>
  <c r="AD349" i="2"/>
  <c r="X355" i="2"/>
  <c r="U355" i="2"/>
  <c r="AE360" i="2"/>
  <c r="AE362" i="2"/>
  <c r="AB365" i="2"/>
  <c r="U365" i="2"/>
  <c r="AD388" i="2"/>
  <c r="AI391" i="2"/>
  <c r="AC391" i="2"/>
  <c r="W392" i="2"/>
  <c r="AB393" i="2"/>
  <c r="S408" i="2"/>
  <c r="AB409" i="2"/>
  <c r="V422" i="2"/>
  <c r="Q58" i="2"/>
  <c r="T58" i="2" s="1"/>
  <c r="Q62" i="2"/>
  <c r="T62" i="2" s="1"/>
  <c r="S70" i="2"/>
  <c r="AD81" i="2"/>
  <c r="AC86" i="2"/>
  <c r="Z89" i="2"/>
  <c r="V105" i="2"/>
  <c r="AD106" i="2"/>
  <c r="AC113" i="2"/>
  <c r="X129" i="2"/>
  <c r="V134" i="2"/>
  <c r="AA138" i="2"/>
  <c r="AI142" i="2"/>
  <c r="Q142" i="2"/>
  <c r="U142" i="2" s="1"/>
  <c r="AC149" i="2"/>
  <c r="AD158" i="2"/>
  <c r="AC161" i="2"/>
  <c r="AA171" i="2"/>
  <c r="U176" i="2"/>
  <c r="Z187" i="2"/>
  <c r="AC187" i="2"/>
  <c r="S190" i="2"/>
  <c r="U203" i="2"/>
  <c r="AB207" i="2"/>
  <c r="U207" i="2"/>
  <c r="AB211" i="2"/>
  <c r="AA214" i="2"/>
  <c r="S230" i="2"/>
  <c r="AA234" i="2"/>
  <c r="V234" i="2"/>
  <c r="AD238" i="2"/>
  <c r="W242" i="2"/>
  <c r="AD242" i="2"/>
  <c r="AC245" i="2"/>
  <c r="AC250" i="2"/>
  <c r="AA258" i="2"/>
  <c r="X268" i="2"/>
  <c r="Q295" i="2"/>
  <c r="Z295" i="2" s="1"/>
  <c r="AD297" i="2"/>
  <c r="T302" i="2"/>
  <c r="V305" i="2"/>
  <c r="S307" i="2"/>
  <c r="W311" i="2"/>
  <c r="U330" i="2"/>
  <c r="AE340" i="2"/>
  <c r="Q347" i="2"/>
  <c r="AB347" i="2" s="1"/>
  <c r="AI350" i="2"/>
  <c r="AB350" i="2"/>
  <c r="Q355" i="2"/>
  <c r="V365" i="2"/>
  <c r="W376" i="2"/>
  <c r="AE388" i="2"/>
  <c r="Q391" i="2"/>
  <c r="X392" i="2"/>
  <c r="W406" i="2"/>
  <c r="T408" i="2"/>
  <c r="Z410" i="2"/>
  <c r="Q410" i="2"/>
  <c r="AI412" i="2"/>
  <c r="AE412" i="2"/>
  <c r="U413" i="2"/>
  <c r="T420" i="2"/>
  <c r="AA422" i="2"/>
  <c r="AD402" i="2"/>
  <c r="AH516" i="2"/>
  <c r="AJ516" i="2" s="1"/>
  <c r="AH467" i="2"/>
  <c r="AJ467" i="2" s="1"/>
  <c r="AH526" i="3"/>
  <c r="AJ526" i="3" s="1"/>
  <c r="AH512" i="3"/>
  <c r="AJ512" i="3" s="1"/>
  <c r="AH510" i="3"/>
  <c r="AJ510" i="3" s="1"/>
  <c r="AH506" i="3"/>
  <c r="AJ506" i="3" s="1"/>
  <c r="V25" i="11"/>
  <c r="V26" i="11" s="1"/>
  <c r="AJ4" i="6"/>
  <c r="X8" i="6"/>
  <c r="AG9" i="6"/>
  <c r="V15" i="6"/>
  <c r="X16" i="6"/>
  <c r="Y17" i="6"/>
  <c r="AH18" i="6"/>
  <c r="AB21" i="6"/>
  <c r="AM21" i="6"/>
  <c r="Z26" i="6"/>
  <c r="AC37" i="6"/>
  <c r="AM39" i="6"/>
  <c r="AA43" i="6"/>
  <c r="AF48" i="6"/>
  <c r="AG49" i="6"/>
  <c r="AB53" i="6"/>
  <c r="AE55" i="6"/>
  <c r="AM56" i="6"/>
  <c r="AI57" i="6"/>
  <c r="AL71" i="6"/>
  <c r="AM71" i="6"/>
  <c r="V71" i="6"/>
  <c r="AE83" i="6"/>
  <c r="AL129" i="6"/>
  <c r="AS129" i="6"/>
  <c r="AM129" i="6"/>
  <c r="AI129" i="6"/>
  <c r="V129" i="6"/>
  <c r="AA129" i="6" s="1"/>
  <c r="AJ227" i="6"/>
  <c r="AO227" i="6"/>
  <c r="AK227" i="6"/>
  <c r="AG227" i="6"/>
  <c r="Y227" i="6"/>
  <c r="AK263" i="6"/>
  <c r="AD263" i="6"/>
  <c r="AC263" i="6"/>
  <c r="AA3" i="6"/>
  <c r="V7" i="6"/>
  <c r="Z8" i="6"/>
  <c r="AI9" i="6"/>
  <c r="AA11" i="6"/>
  <c r="V13" i="6"/>
  <c r="Y15" i="6"/>
  <c r="Z16" i="6"/>
  <c r="AA17" i="6"/>
  <c r="AJ18" i="6"/>
  <c r="AB20" i="6"/>
  <c r="AC21" i="6"/>
  <c r="AN21" i="6"/>
  <c r="X24" i="6"/>
  <c r="AH26" i="6"/>
  <c r="AC29" i="6"/>
  <c r="AF32" i="6"/>
  <c r="AA35" i="6"/>
  <c r="AK37" i="6"/>
  <c r="Y42" i="6"/>
  <c r="AC43" i="6"/>
  <c r="V45" i="6"/>
  <c r="AE45" i="6" s="1"/>
  <c r="V47" i="6"/>
  <c r="AH48" i="6"/>
  <c r="AI49" i="6"/>
  <c r="AH50" i="6"/>
  <c r="AI51" i="6"/>
  <c r="AC53" i="6"/>
  <c r="AM55" i="6"/>
  <c r="AN57" i="6"/>
  <c r="AI59" i="6"/>
  <c r="AM65" i="6"/>
  <c r="AI65" i="6"/>
  <c r="AG65" i="6"/>
  <c r="AF65" i="6"/>
  <c r="AA65" i="6"/>
  <c r="Y65" i="6"/>
  <c r="AO65" i="6"/>
  <c r="AS68" i="6"/>
  <c r="AB68" i="6"/>
  <c r="AE71" i="6"/>
  <c r="AN74" i="6"/>
  <c r="AH74" i="6"/>
  <c r="AG74" i="6"/>
  <c r="AB74" i="6"/>
  <c r="Z74" i="6"/>
  <c r="Y74" i="6"/>
  <c r="AO74" i="6"/>
  <c r="AN99" i="6"/>
  <c r="AO99" i="6"/>
  <c r="AK99" i="6"/>
  <c r="AG99" i="6"/>
  <c r="AC99" i="6"/>
  <c r="Y99" i="6"/>
  <c r="AE129" i="6"/>
  <c r="AH133" i="6"/>
  <c r="AM133" i="6"/>
  <c r="AI133" i="6"/>
  <c r="AE133" i="6"/>
  <c r="AA133" i="6"/>
  <c r="V133" i="6"/>
  <c r="AC139" i="6"/>
  <c r="AM214" i="6"/>
  <c r="AN214" i="6"/>
  <c r="AJ214" i="6"/>
  <c r="AF214" i="6"/>
  <c r="AB214" i="6"/>
  <c r="X214" i="6"/>
  <c r="AC227" i="6"/>
  <c r="AK287" i="6"/>
  <c r="AC287" i="6"/>
  <c r="AC3" i="6"/>
  <c r="V5" i="6"/>
  <c r="Y7" i="6"/>
  <c r="AF8" i="6"/>
  <c r="AO9" i="6"/>
  <c r="AE15" i="6"/>
  <c r="AA16" i="6"/>
  <c r="AG17" i="6"/>
  <c r="AH43" i="6"/>
  <c r="AK53" i="6"/>
  <c r="AO57" i="6"/>
  <c r="AJ181" i="6"/>
  <c r="AM181" i="6"/>
  <c r="AK181" i="6"/>
  <c r="AC181" i="6"/>
  <c r="V181" i="6"/>
  <c r="AE181" i="6" s="1"/>
  <c r="AI3" i="6"/>
  <c r="AC5" i="6"/>
  <c r="AE7" i="6"/>
  <c r="AH8" i="6"/>
  <c r="AS9" i="6"/>
  <c r="AK11" i="6"/>
  <c r="AE13" i="6"/>
  <c r="AG15" i="6"/>
  <c r="AE16" i="6"/>
  <c r="AO17" i="6"/>
  <c r="AA19" i="6"/>
  <c r="AF21" i="6"/>
  <c r="AA27" i="6"/>
  <c r="Y33" i="6"/>
  <c r="AD38" i="6"/>
  <c r="AB42" i="6"/>
  <c r="AK43" i="6"/>
  <c r="AC45" i="6"/>
  <c r="AM47" i="6"/>
  <c r="AS49" i="6"/>
  <c r="AO50" i="6"/>
  <c r="AS51" i="6"/>
  <c r="AM53" i="6"/>
  <c r="V56" i="6"/>
  <c r="Z56" i="6" s="1"/>
  <c r="X57" i="6"/>
  <c r="AS57" i="6"/>
  <c r="AS59" i="6"/>
  <c r="AL75" i="6"/>
  <c r="AM75" i="6"/>
  <c r="AB75" i="6"/>
  <c r="AK75" i="6"/>
  <c r="AA75" i="6"/>
  <c r="AJ75" i="6"/>
  <c r="Z75" i="6"/>
  <c r="AI75" i="6"/>
  <c r="Y75" i="6"/>
  <c r="AH75" i="6"/>
  <c r="V75" i="6"/>
  <c r="AO75" i="6" s="1"/>
  <c r="AS75" i="6"/>
  <c r="AF75" i="6"/>
  <c r="AH101" i="6"/>
  <c r="AM101" i="6"/>
  <c r="AI101" i="6"/>
  <c r="AE101" i="6"/>
  <c r="V101" i="6"/>
  <c r="AA101" i="6" s="1"/>
  <c r="AJ211" i="6"/>
  <c r="AK211" i="6"/>
  <c r="AG211" i="6"/>
  <c r="AC211" i="6"/>
  <c r="AH249" i="6"/>
  <c r="AE249" i="6"/>
  <c r="AS249" i="6"/>
  <c r="AM249" i="6"/>
  <c r="AI249" i="6"/>
  <c r="V249" i="6"/>
  <c r="AA249" i="6" s="1"/>
  <c r="AL274" i="6"/>
  <c r="AM274" i="6"/>
  <c r="AI274" i="6"/>
  <c r="AN274" i="6"/>
  <c r="AG274" i="6"/>
  <c r="AF274" i="6"/>
  <c r="AS274" i="6"/>
  <c r="AO274" i="6"/>
  <c r="Y274" i="6"/>
  <c r="X274" i="6"/>
  <c r="V274" i="6"/>
  <c r="AE274" i="6" s="1"/>
  <c r="AH278" i="6"/>
  <c r="AI278" i="6"/>
  <c r="AE278" i="6"/>
  <c r="AJ278" i="6"/>
  <c r="AC278" i="6"/>
  <c r="AB278" i="6"/>
  <c r="AS278" i="6"/>
  <c r="AM278" i="6"/>
  <c r="AK278" i="6"/>
  <c r="AA278" i="6"/>
  <c r="V278" i="6"/>
  <c r="Z2" i="6"/>
  <c r="AK3" i="6"/>
  <c r="AE5" i="6"/>
  <c r="AG7" i="6"/>
  <c r="AN8" i="6"/>
  <c r="AS11" i="6"/>
  <c r="AK13" i="6"/>
  <c r="AM15" i="6"/>
  <c r="AF16" i="6"/>
  <c r="AS17" i="6"/>
  <c r="AC19" i="6"/>
  <c r="V21" i="6"/>
  <c r="AG21" i="6"/>
  <c r="Y25" i="6"/>
  <c r="AS27" i="6"/>
  <c r="AG33" i="6"/>
  <c r="AG42" i="6"/>
  <c r="AS43" i="6"/>
  <c r="AJ45" i="6"/>
  <c r="X56" i="6"/>
  <c r="Y57" i="6"/>
  <c r="V59" i="6"/>
  <c r="AA59" i="6" s="1"/>
  <c r="AL63" i="6"/>
  <c r="AM63" i="6"/>
  <c r="AE63" i="6"/>
  <c r="V63" i="6"/>
  <c r="AC75" i="6"/>
  <c r="AH93" i="6"/>
  <c r="AM93" i="6"/>
  <c r="AI93" i="6"/>
  <c r="AE93" i="6"/>
  <c r="AA93" i="6"/>
  <c r="V93" i="6"/>
  <c r="AS101" i="6"/>
  <c r="AM114" i="6"/>
  <c r="AN114" i="6"/>
  <c r="AJ114" i="6"/>
  <c r="AF114" i="6"/>
  <c r="AB114" i="6"/>
  <c r="X114" i="6"/>
  <c r="AB2" i="6"/>
  <c r="AS3" i="6"/>
  <c r="AK5" i="6"/>
  <c r="AM7" i="6"/>
  <c r="AM13" i="6"/>
  <c r="AO15" i="6"/>
  <c r="AH16" i="6"/>
  <c r="AI19" i="6"/>
  <c r="X21" i="6"/>
  <c r="AH21" i="6"/>
  <c r="V23" i="6"/>
  <c r="Y23" i="6" s="1"/>
  <c r="AG25" i="6"/>
  <c r="V31" i="6"/>
  <c r="AB36" i="6"/>
  <c r="AK45" i="6"/>
  <c r="V48" i="6"/>
  <c r="Z48" i="6" s="1"/>
  <c r="Y49" i="6"/>
  <c r="Y50" i="6"/>
  <c r="Z51" i="6"/>
  <c r="AB52" i="6"/>
  <c r="AE56" i="6"/>
  <c r="AA57" i="6"/>
  <c r="Z59" i="6"/>
  <c r="AG75" i="6"/>
  <c r="AN115" i="6"/>
  <c r="AO115" i="6"/>
  <c r="AK115" i="6"/>
  <c r="AG115" i="6"/>
  <c r="Y115" i="6"/>
  <c r="AS118" i="6"/>
  <c r="AN118" i="6"/>
  <c r="AJ118" i="6"/>
  <c r="AB118" i="6"/>
  <c r="AM122" i="6"/>
  <c r="AJ122" i="6"/>
  <c r="AF122" i="6"/>
  <c r="X122" i="6"/>
  <c r="AM144" i="6"/>
  <c r="AN144" i="6"/>
  <c r="AH144" i="6"/>
  <c r="AF144" i="6"/>
  <c r="X144" i="6"/>
  <c r="AH195" i="6"/>
  <c r="AG195" i="6"/>
  <c r="AC195" i="6"/>
  <c r="AA195" i="6"/>
  <c r="AS195" i="6"/>
  <c r="AK195" i="6"/>
  <c r="AI195" i="6"/>
  <c r="Y195" i="6"/>
  <c r="AL205" i="6"/>
  <c r="AM205" i="6"/>
  <c r="AI205" i="6"/>
  <c r="AE205" i="6"/>
  <c r="AS205" i="6"/>
  <c r="V205" i="6"/>
  <c r="AH269" i="6"/>
  <c r="AJ269" i="6"/>
  <c r="AI269" i="6"/>
  <c r="AS269" i="6"/>
  <c r="AB269" i="6"/>
  <c r="AA269" i="6"/>
  <c r="AN16" i="6"/>
  <c r="AO67" i="6"/>
  <c r="AS67" i="6"/>
  <c r="AC67" i="6"/>
  <c r="AN67" i="6"/>
  <c r="AA67" i="6"/>
  <c r="AM67" i="6"/>
  <c r="Z67" i="6"/>
  <c r="AK67" i="6"/>
  <c r="X67" i="6"/>
  <c r="AI67" i="6"/>
  <c r="V67" i="6"/>
  <c r="AF67" i="6"/>
  <c r="AJ83" i="6"/>
  <c r="AA83" i="6"/>
  <c r="AI83" i="6"/>
  <c r="Z83" i="6"/>
  <c r="AH83" i="6"/>
  <c r="Y83" i="6"/>
  <c r="AG83" i="6"/>
  <c r="X83" i="6"/>
  <c r="AR83" i="6" s="1"/>
  <c r="AT83" i="6" s="1"/>
  <c r="AF83" i="6"/>
  <c r="V83" i="6"/>
  <c r="AC83" i="6"/>
  <c r="AS86" i="6"/>
  <c r="AN86" i="6"/>
  <c r="AF86" i="6"/>
  <c r="AB86" i="6"/>
  <c r="X86" i="6"/>
  <c r="AN153" i="6"/>
  <c r="AS153" i="6"/>
  <c r="AI153" i="6"/>
  <c r="Y153" i="6"/>
  <c r="AJ165" i="6"/>
  <c r="AM165" i="6"/>
  <c r="AK165" i="6"/>
  <c r="AE165" i="6"/>
  <c r="V165" i="6"/>
  <c r="V53" i="6"/>
  <c r="AJ53" i="6" s="1"/>
  <c r="V55" i="6"/>
  <c r="AE67" i="6"/>
  <c r="AS76" i="6"/>
  <c r="AB76" i="6"/>
  <c r="AB83" i="6"/>
  <c r="AG153" i="6"/>
  <c r="AC165" i="6"/>
  <c r="AN193" i="6"/>
  <c r="AE193" i="6"/>
  <c r="AA193" i="6"/>
  <c r="Y193" i="6"/>
  <c r="AS193" i="6"/>
  <c r="AO193" i="6"/>
  <c r="AI193" i="6"/>
  <c r="V193" i="6"/>
  <c r="AG193" i="6" s="1"/>
  <c r="AC295" i="6"/>
  <c r="AA295" i="6"/>
  <c r="V295" i="6"/>
  <c r="AM295" i="6" s="1"/>
  <c r="AI295" i="6"/>
  <c r="AG295" i="6"/>
  <c r="AE295" i="6"/>
  <c r="AS295" i="6"/>
  <c r="AK295" i="6"/>
  <c r="Y61" i="6"/>
  <c r="Z64" i="6"/>
  <c r="AN64" i="6"/>
  <c r="AO66" i="6"/>
  <c r="AH69" i="6"/>
  <c r="AC72" i="6"/>
  <c r="AS73" i="6"/>
  <c r="AC77" i="6"/>
  <c r="AC80" i="6"/>
  <c r="AA81" i="6"/>
  <c r="AH82" i="6"/>
  <c r="AS85" i="6"/>
  <c r="AG87" i="6"/>
  <c r="AE89" i="6"/>
  <c r="AJ90" i="6"/>
  <c r="AC95" i="6"/>
  <c r="AI97" i="6"/>
  <c r="AN98" i="6"/>
  <c r="AG103" i="6"/>
  <c r="AM105" i="6"/>
  <c r="AF110" i="6"/>
  <c r="AO119" i="6"/>
  <c r="AS121" i="6"/>
  <c r="AG123" i="6"/>
  <c r="AE125" i="6"/>
  <c r="AJ126" i="6"/>
  <c r="AJ130" i="6"/>
  <c r="AH132" i="6"/>
  <c r="AK135" i="6"/>
  <c r="AI137" i="6"/>
  <c r="Y139" i="6"/>
  <c r="AA145" i="6"/>
  <c r="AH163" i="6"/>
  <c r="AS163" i="6"/>
  <c r="AN239" i="6"/>
  <c r="AO239" i="6"/>
  <c r="AK239" i="6"/>
  <c r="Z258" i="6"/>
  <c r="AL283" i="6"/>
  <c r="AJ283" i="6"/>
  <c r="Y283" i="6"/>
  <c r="AI283" i="6"/>
  <c r="X283" i="6"/>
  <c r="AH283" i="6"/>
  <c r="AG283" i="6"/>
  <c r="AF283" i="6"/>
  <c r="AS283" i="6"/>
  <c r="AJ293" i="6"/>
  <c r="AK293" i="6"/>
  <c r="AI293" i="6"/>
  <c r="AG293" i="6"/>
  <c r="AC293" i="6"/>
  <c r="AA293" i="6"/>
  <c r="AO314" i="6"/>
  <c r="AH314" i="6"/>
  <c r="AN247" i="6"/>
  <c r="AK247" i="6"/>
  <c r="AO247" i="6"/>
  <c r="AG247" i="6"/>
  <c r="AS260" i="6"/>
  <c r="AI260" i="6"/>
  <c r="AJ271" i="6"/>
  <c r="AK271" i="6"/>
  <c r="AN276" i="6"/>
  <c r="AC276" i="6"/>
  <c r="Z276" i="6"/>
  <c r="AS276" i="6"/>
  <c r="AO276" i="6"/>
  <c r="AI276" i="6"/>
  <c r="AM284" i="6"/>
  <c r="AB284" i="6"/>
  <c r="AS284" i="6"/>
  <c r="AA284" i="6"/>
  <c r="AF284" i="6"/>
  <c r="AC284" i="6"/>
  <c r="X284" i="6"/>
  <c r="AM289" i="6"/>
  <c r="AH289" i="6"/>
  <c r="AN289" i="6"/>
  <c r="AF289" i="6"/>
  <c r="Z289" i="6"/>
  <c r="AC61" i="6"/>
  <c r="AC64" i="6"/>
  <c r="AK69" i="6"/>
  <c r="AF72" i="6"/>
  <c r="Y73" i="6"/>
  <c r="AG77" i="6"/>
  <c r="AE79" i="6"/>
  <c r="AF80" i="6"/>
  <c r="AG81" i="6"/>
  <c r="AM89" i="6"/>
  <c r="AB94" i="6"/>
  <c r="AK95" i="6"/>
  <c r="AS97" i="6"/>
  <c r="AB102" i="6"/>
  <c r="AN110" i="6"/>
  <c r="AJ149" i="6"/>
  <c r="AE149" i="6"/>
  <c r="AC149" i="6"/>
  <c r="V149" i="6"/>
  <c r="AL159" i="6"/>
  <c r="AO159" i="6"/>
  <c r="AM159" i="6"/>
  <c r="AO170" i="6"/>
  <c r="AJ170" i="6"/>
  <c r="AH170" i="6"/>
  <c r="AB170" i="6"/>
  <c r="AJ173" i="6"/>
  <c r="AM173" i="6"/>
  <c r="AN177" i="6"/>
  <c r="AI177" i="6"/>
  <c r="AG177" i="6"/>
  <c r="AA177" i="6"/>
  <c r="AN185" i="6"/>
  <c r="AI185" i="6"/>
  <c r="AG185" i="6"/>
  <c r="AA185" i="6"/>
  <c r="AL221" i="6"/>
  <c r="AM221" i="6"/>
  <c r="AI221" i="6"/>
  <c r="AE221" i="6"/>
  <c r="AH233" i="6"/>
  <c r="AI233" i="6"/>
  <c r="AE233" i="6"/>
  <c r="AA233" i="6"/>
  <c r="Y235" i="6"/>
  <c r="Y247" i="6"/>
  <c r="Z260" i="6"/>
  <c r="AC271" i="6"/>
  <c r="Y276" i="6"/>
  <c r="AG284" i="6"/>
  <c r="AH286" i="6"/>
  <c r="AE286" i="6"/>
  <c r="AC286" i="6"/>
  <c r="AS286" i="6"/>
  <c r="AM286" i="6"/>
  <c r="AK286" i="6"/>
  <c r="V289" i="6"/>
  <c r="AE289" i="6" s="1"/>
  <c r="AH291" i="6"/>
  <c r="AA291" i="6"/>
  <c r="Y291" i="6"/>
  <c r="AM291" i="6"/>
  <c r="AK291" i="6"/>
  <c r="AI291" i="6"/>
  <c r="AL302" i="6"/>
  <c r="AH302" i="6"/>
  <c r="AD302" i="6"/>
  <c r="AE61" i="6"/>
  <c r="AE64" i="6"/>
  <c r="Y66" i="6"/>
  <c r="V69" i="6"/>
  <c r="AB69" i="6" s="1"/>
  <c r="AM69" i="6"/>
  <c r="AH72" i="6"/>
  <c r="AA73" i="6"/>
  <c r="AH77" i="6"/>
  <c r="AM79" i="6"/>
  <c r="AH80" i="6"/>
  <c r="AN81" i="6"/>
  <c r="V85" i="6"/>
  <c r="AD88" i="6"/>
  <c r="AS89" i="6"/>
  <c r="Y91" i="6"/>
  <c r="AF94" i="6"/>
  <c r="AF102" i="6"/>
  <c r="X106" i="6"/>
  <c r="AG107" i="6"/>
  <c r="AI109" i="6"/>
  <c r="AE117" i="6"/>
  <c r="V121" i="6"/>
  <c r="AS125" i="6"/>
  <c r="AG127" i="6"/>
  <c r="AG131" i="6"/>
  <c r="AJ134" i="6"/>
  <c r="X138" i="6"/>
  <c r="AK139" i="6"/>
  <c r="AG141" i="6"/>
  <c r="V143" i="6"/>
  <c r="AO143" i="6" s="1"/>
  <c r="AO145" i="6"/>
  <c r="AA147" i="6"/>
  <c r="AK149" i="6"/>
  <c r="AJ157" i="6"/>
  <c r="AM157" i="6"/>
  <c r="AK157" i="6"/>
  <c r="V159" i="6"/>
  <c r="AG159" i="6" s="1"/>
  <c r="AI163" i="6"/>
  <c r="Z170" i="6"/>
  <c r="V173" i="6"/>
  <c r="Y177" i="6"/>
  <c r="Y185" i="6"/>
  <c r="AJ203" i="6"/>
  <c r="AK203" i="6"/>
  <c r="AG203" i="6"/>
  <c r="AC203" i="6"/>
  <c r="AM206" i="6"/>
  <c r="AN206" i="6"/>
  <c r="AD212" i="6"/>
  <c r="V221" i="6"/>
  <c r="V233" i="6"/>
  <c r="AC235" i="6"/>
  <c r="AC247" i="6"/>
  <c r="AB250" i="6"/>
  <c r="AG276" i="6"/>
  <c r="AB283" i="6"/>
  <c r="AH284" i="6"/>
  <c r="V286" i="6"/>
  <c r="AA286" i="6" s="1"/>
  <c r="X289" i="6"/>
  <c r="V291" i="6"/>
  <c r="AO291" i="6" s="1"/>
  <c r="AO293" i="6"/>
  <c r="AC305" i="6"/>
  <c r="AO336" i="6"/>
  <c r="AN336" i="6"/>
  <c r="AJ336" i="6"/>
  <c r="AH336" i="6"/>
  <c r="AC336" i="6"/>
  <c r="AB336" i="6"/>
  <c r="AF336" i="6"/>
  <c r="X336" i="6"/>
  <c r="AG61" i="6"/>
  <c r="AB66" i="6"/>
  <c r="Y69" i="6"/>
  <c r="AO69" i="6"/>
  <c r="V72" i="6"/>
  <c r="AJ72" i="6"/>
  <c r="AF73" i="6"/>
  <c r="V77" i="6"/>
  <c r="AJ77" i="6"/>
  <c r="AN80" i="6"/>
  <c r="AO81" i="6"/>
  <c r="AA85" i="6"/>
  <c r="AL88" i="6"/>
  <c r="AC91" i="6"/>
  <c r="AJ94" i="6"/>
  <c r="X98" i="6"/>
  <c r="AJ102" i="6"/>
  <c r="V105" i="6"/>
  <c r="AB106" i="6"/>
  <c r="AK107" i="6"/>
  <c r="AM109" i="6"/>
  <c r="Y111" i="6"/>
  <c r="V113" i="6"/>
  <c r="AA113" i="6" s="1"/>
  <c r="AI117" i="6"/>
  <c r="AA121" i="6"/>
  <c r="AH124" i="6"/>
  <c r="AK127" i="6"/>
  <c r="AK131" i="6"/>
  <c r="AN134" i="6"/>
  <c r="V137" i="6"/>
  <c r="AM137" i="6" s="1"/>
  <c r="AB138" i="6"/>
  <c r="AM139" i="6"/>
  <c r="AI141" i="6"/>
  <c r="Y143" i="6"/>
  <c r="AC147" i="6"/>
  <c r="AM149" i="6"/>
  <c r="V157" i="6"/>
  <c r="Y159" i="6"/>
  <c r="AK163" i="6"/>
  <c r="AO167" i="6"/>
  <c r="AM167" i="6"/>
  <c r="AC173" i="6"/>
  <c r="AO177" i="6"/>
  <c r="AO185" i="6"/>
  <c r="Y203" i="6"/>
  <c r="AB206" i="6"/>
  <c r="AL208" i="6"/>
  <c r="AD208" i="6"/>
  <c r="AL212" i="6"/>
  <c r="AA221" i="6"/>
  <c r="AL229" i="6"/>
  <c r="AS229" i="6"/>
  <c r="AM229" i="6"/>
  <c r="AM233" i="6"/>
  <c r="AG235" i="6"/>
  <c r="AF250" i="6"/>
  <c r="AD252" i="6"/>
  <c r="AH276" i="6"/>
  <c r="AE283" i="6"/>
  <c r="AJ284" i="6"/>
  <c r="AB286" i="6"/>
  <c r="AM290" i="6"/>
  <c r="AG290" i="6"/>
  <c r="AF290" i="6"/>
  <c r="AO290" i="6"/>
  <c r="AN290" i="6"/>
  <c r="AI290" i="6"/>
  <c r="AC291" i="6"/>
  <c r="AS293" i="6"/>
  <c r="AJ301" i="6"/>
  <c r="AI301" i="6"/>
  <c r="AG301" i="6"/>
  <c r="AE301" i="6"/>
  <c r="AO301" i="6"/>
  <c r="AM301" i="6"/>
  <c r="AK301" i="6"/>
  <c r="AL325" i="6"/>
  <c r="AO325" i="6"/>
  <c r="AM325" i="6"/>
  <c r="AH325" i="6"/>
  <c r="Y325" i="6"/>
  <c r="V325" i="6"/>
  <c r="AE325" i="6" s="1"/>
  <c r="AG325" i="6"/>
  <c r="AL64" i="6"/>
  <c r="AH64" i="6"/>
  <c r="AG66" i="6"/>
  <c r="X72" i="6"/>
  <c r="AK72" i="6"/>
  <c r="AG73" i="6"/>
  <c r="Y77" i="6"/>
  <c r="AK77" i="6"/>
  <c r="V80" i="6"/>
  <c r="AM80" i="6" s="1"/>
  <c r="AE85" i="6"/>
  <c r="X90" i="6"/>
  <c r="AG91" i="6"/>
  <c r="AN94" i="6"/>
  <c r="V97" i="6"/>
  <c r="AB98" i="6"/>
  <c r="AA105" i="6"/>
  <c r="AF106" i="6"/>
  <c r="AO107" i="6"/>
  <c r="AS109" i="6"/>
  <c r="AG111" i="6"/>
  <c r="AE113" i="6"/>
  <c r="AM117" i="6"/>
  <c r="AC119" i="6"/>
  <c r="AE121" i="6"/>
  <c r="AO127" i="6"/>
  <c r="AO131" i="6"/>
  <c r="AA137" i="6"/>
  <c r="AO139" i="6"/>
  <c r="AM141" i="6"/>
  <c r="AE143" i="6"/>
  <c r="AI147" i="6"/>
  <c r="AM152" i="6"/>
  <c r="AH152" i="6"/>
  <c r="AF152" i="6"/>
  <c r="X152" i="6"/>
  <c r="AH155" i="6"/>
  <c r="AS155" i="6"/>
  <c r="AC157" i="6"/>
  <c r="V167" i="6"/>
  <c r="AA171" i="6"/>
  <c r="AE173" i="6"/>
  <c r="AS177" i="6"/>
  <c r="AS185" i="6"/>
  <c r="AS188" i="6"/>
  <c r="AJ188" i="6"/>
  <c r="AO194" i="6"/>
  <c r="AB194" i="6"/>
  <c r="Z194" i="6"/>
  <c r="X194" i="6"/>
  <c r="AL198" i="6"/>
  <c r="AD198" i="6"/>
  <c r="AC200" i="6"/>
  <c r="AH200" i="6"/>
  <c r="AO203" i="6"/>
  <c r="AF206" i="6"/>
  <c r="AL213" i="6"/>
  <c r="AI213" i="6"/>
  <c r="AE213" i="6"/>
  <c r="AA213" i="6"/>
  <c r="AS221" i="6"/>
  <c r="AS226" i="6"/>
  <c r="AJ226" i="6"/>
  <c r="AB226" i="6"/>
  <c r="X226" i="6"/>
  <c r="V229" i="6"/>
  <c r="AS233" i="6"/>
  <c r="AH241" i="6"/>
  <c r="AS241" i="6"/>
  <c r="AM241" i="6"/>
  <c r="AN250" i="6"/>
  <c r="AS262" i="6"/>
  <c r="AJ262" i="6"/>
  <c r="AB262" i="6"/>
  <c r="AA262" i="6"/>
  <c r="V262" i="6"/>
  <c r="AC262" i="6" s="1"/>
  <c r="AL273" i="6"/>
  <c r="AN273" i="6"/>
  <c r="AM273" i="6"/>
  <c r="AE273" i="6"/>
  <c r="X273" i="6"/>
  <c r="V273" i="6"/>
  <c r="AM275" i="6"/>
  <c r="AF275" i="6"/>
  <c r="AB275" i="6"/>
  <c r="AJ275" i="6"/>
  <c r="AH275" i="6"/>
  <c r="AG275" i="6"/>
  <c r="AH277" i="6"/>
  <c r="AJ277" i="6"/>
  <c r="AB277" i="6"/>
  <c r="AJ279" i="6"/>
  <c r="AK279" i="6"/>
  <c r="AM283" i="6"/>
  <c r="AN284" i="6"/>
  <c r="AI286" i="6"/>
  <c r="V290" i="6"/>
  <c r="AA290" i="6" s="1"/>
  <c r="AG291" i="6"/>
  <c r="V301" i="6"/>
  <c r="AK61" i="6"/>
  <c r="V64" i="6"/>
  <c r="AK64" i="6" s="1"/>
  <c r="AJ64" i="6"/>
  <c r="AE69" i="6"/>
  <c r="AD70" i="6"/>
  <c r="Z72" i="6"/>
  <c r="AM72" i="6"/>
  <c r="AN73" i="6"/>
  <c r="Z77" i="6"/>
  <c r="AM77" i="6"/>
  <c r="X80" i="6"/>
  <c r="X81" i="6"/>
  <c r="AB82" i="6"/>
  <c r="AI85" i="6"/>
  <c r="V89" i="6"/>
  <c r="AI89" i="6" s="1"/>
  <c r="AB90" i="6"/>
  <c r="AK91" i="6"/>
  <c r="AA97" i="6"/>
  <c r="AF98" i="6"/>
  <c r="Y103" i="6"/>
  <c r="AE105" i="6"/>
  <c r="AJ106" i="6"/>
  <c r="AI121" i="6"/>
  <c r="AG143" i="6"/>
  <c r="AK147" i="6"/>
  <c r="AO162" i="6"/>
  <c r="AJ162" i="6"/>
  <c r="AH162" i="6"/>
  <c r="AB162" i="6"/>
  <c r="AN169" i="6"/>
  <c r="AG169" i="6"/>
  <c r="AA169" i="6"/>
  <c r="Y169" i="6"/>
  <c r="AK173" i="6"/>
  <c r="AO178" i="6"/>
  <c r="AJ178" i="6"/>
  <c r="AH178" i="6"/>
  <c r="AO186" i="6"/>
  <c r="AH186" i="6"/>
  <c r="AJ219" i="6"/>
  <c r="AO219" i="6"/>
  <c r="AK219" i="6"/>
  <c r="AG219" i="6"/>
  <c r="AM222" i="6"/>
  <c r="AN222" i="6"/>
  <c r="AO224" i="6"/>
  <c r="AH224" i="6"/>
  <c r="AN231" i="6"/>
  <c r="AG231" i="6"/>
  <c r="AC231" i="6"/>
  <c r="Y231" i="6"/>
  <c r="AS234" i="6"/>
  <c r="AN234" i="6"/>
  <c r="AJ234" i="6"/>
  <c r="AF234" i="6"/>
  <c r="AS258" i="6"/>
  <c r="AN258" i="6"/>
  <c r="AJ258" i="6"/>
  <c r="AH258" i="6"/>
  <c r="AN283" i="6"/>
  <c r="AJ286" i="6"/>
  <c r="AS291" i="6"/>
  <c r="AH307" i="6"/>
  <c r="AJ307" i="6"/>
  <c r="Y307" i="6"/>
  <c r="AI307" i="6"/>
  <c r="X307" i="6"/>
  <c r="AG307" i="6"/>
  <c r="V307" i="6"/>
  <c r="AB307" i="6"/>
  <c r="AS307" i="6"/>
  <c r="AM307" i="6"/>
  <c r="AK307" i="6"/>
  <c r="AF307" i="6"/>
  <c r="AE307" i="6"/>
  <c r="AF311" i="6"/>
  <c r="AO328" i="6"/>
  <c r="AK328" i="6"/>
  <c r="AB328" i="6"/>
  <c r="Z328" i="6"/>
  <c r="AJ331" i="6"/>
  <c r="X331" i="6"/>
  <c r="V331" i="6"/>
  <c r="AC331" i="6" s="1"/>
  <c r="AM331" i="6"/>
  <c r="AK331" i="6"/>
  <c r="AO191" i="6"/>
  <c r="AG199" i="6"/>
  <c r="AM246" i="6"/>
  <c r="AB246" i="6"/>
  <c r="AN255" i="6"/>
  <c r="AK255" i="6"/>
  <c r="AM264" i="6"/>
  <c r="AD264" i="6"/>
  <c r="AN268" i="6"/>
  <c r="AI268" i="6"/>
  <c r="AH268" i="6"/>
  <c r="AS300" i="6"/>
  <c r="AN300" i="6"/>
  <c r="AF300" i="6"/>
  <c r="AB300" i="6"/>
  <c r="AM304" i="6"/>
  <c r="AN304" i="6"/>
  <c r="AF304" i="6"/>
  <c r="AB304" i="6"/>
  <c r="AG311" i="6"/>
  <c r="AM320" i="6"/>
  <c r="AN320" i="6"/>
  <c r="AB320" i="6"/>
  <c r="X320" i="6"/>
  <c r="AM326" i="6"/>
  <c r="AS326" i="6"/>
  <c r="AN326" i="6"/>
  <c r="AI326" i="6"/>
  <c r="AA326" i="6"/>
  <c r="Z326" i="6"/>
  <c r="AH328" i="6"/>
  <c r="AE331" i="6"/>
  <c r="AG341" i="6"/>
  <c r="V151" i="6"/>
  <c r="Y161" i="6"/>
  <c r="AB172" i="6"/>
  <c r="AB180" i="6"/>
  <c r="V191" i="6"/>
  <c r="V197" i="6"/>
  <c r="AA197" i="6" s="1"/>
  <c r="AK199" i="6"/>
  <c r="X202" i="6"/>
  <c r="X238" i="6"/>
  <c r="X246" i="6"/>
  <c r="V255" i="6"/>
  <c r="AE255" i="6" s="1"/>
  <c r="Z256" i="6"/>
  <c r="AE259" i="6"/>
  <c r="AC259" i="6"/>
  <c r="AI259" i="6"/>
  <c r="AA268" i="6"/>
  <c r="AN297" i="6"/>
  <c r="AC297" i="6"/>
  <c r="AS297" i="6"/>
  <c r="AA297" i="6"/>
  <c r="Y297" i="6"/>
  <c r="AH299" i="6"/>
  <c r="AK299" i="6"/>
  <c r="AI299" i="6"/>
  <c r="AE299" i="6"/>
  <c r="X300" i="6"/>
  <c r="X304" i="6"/>
  <c r="Z306" i="6"/>
  <c r="AJ309" i="6"/>
  <c r="AC309" i="6"/>
  <c r="AS309" i="6"/>
  <c r="AA309" i="6"/>
  <c r="AO309" i="6"/>
  <c r="Y309" i="6"/>
  <c r="AI311" i="6"/>
  <c r="AF320" i="6"/>
  <c r="X326" i="6"/>
  <c r="AF331" i="6"/>
  <c r="AS337" i="6"/>
  <c r="AI337" i="6"/>
  <c r="AH345" i="6"/>
  <c r="AK345" i="6"/>
  <c r="Y345" i="6"/>
  <c r="AJ345" i="6"/>
  <c r="X345" i="6"/>
  <c r="AI345" i="6"/>
  <c r="V345" i="6"/>
  <c r="AA345" i="6" s="1"/>
  <c r="AS345" i="6"/>
  <c r="AE345" i="6"/>
  <c r="AO345" i="6"/>
  <c r="AC345" i="6"/>
  <c r="AS419" i="6"/>
  <c r="AJ419" i="6"/>
  <c r="AI419" i="6"/>
  <c r="AD419" i="6"/>
  <c r="AB419" i="6"/>
  <c r="AN419" i="6"/>
  <c r="AL419" i="6"/>
  <c r="X419" i="6"/>
  <c r="AB154" i="6"/>
  <c r="AB156" i="6"/>
  <c r="AG161" i="6"/>
  <c r="AB164" i="6"/>
  <c r="AJ172" i="6"/>
  <c r="AL175" i="6"/>
  <c r="Z176" i="6"/>
  <c r="AL183" i="6"/>
  <c r="Z184" i="6"/>
  <c r="AA187" i="6"/>
  <c r="V189" i="6"/>
  <c r="AC189" i="6" s="1"/>
  <c r="Y191" i="6"/>
  <c r="AC197" i="6"/>
  <c r="V199" i="6"/>
  <c r="AN199" i="6" s="1"/>
  <c r="AM199" i="6"/>
  <c r="V201" i="6"/>
  <c r="AB202" i="6"/>
  <c r="Y207" i="6"/>
  <c r="X210" i="6"/>
  <c r="X218" i="6"/>
  <c r="Y223" i="6"/>
  <c r="V225" i="6"/>
  <c r="AE225" i="6" s="1"/>
  <c r="AB238" i="6"/>
  <c r="AO240" i="6"/>
  <c r="Z240" i="6"/>
  <c r="AF246" i="6"/>
  <c r="Y255" i="6"/>
  <c r="AH257" i="6"/>
  <c r="AS257" i="6"/>
  <c r="AA257" i="6"/>
  <c r="AO257" i="6"/>
  <c r="AM257" i="6"/>
  <c r="V259" i="6"/>
  <c r="AM259" i="6"/>
  <c r="AM267" i="6"/>
  <c r="AF267" i="6"/>
  <c r="AB267" i="6"/>
  <c r="AG268" i="6"/>
  <c r="AH270" i="6"/>
  <c r="AI270" i="6"/>
  <c r="AE270" i="6"/>
  <c r="AS270" i="6"/>
  <c r="V281" i="6"/>
  <c r="V297" i="6"/>
  <c r="AO297" i="6" s="1"/>
  <c r="V299" i="6"/>
  <c r="AM299" i="6" s="1"/>
  <c r="Z300" i="6"/>
  <c r="AN305" i="6"/>
  <c r="AO305" i="6"/>
  <c r="AK305" i="6"/>
  <c r="AG305" i="6"/>
  <c r="AH306" i="6"/>
  <c r="V309" i="6"/>
  <c r="AF326" i="6"/>
  <c r="AN331" i="6"/>
  <c r="AD337" i="6"/>
  <c r="AK342" i="6"/>
  <c r="AO342" i="6"/>
  <c r="AI342" i="6"/>
  <c r="AF342" i="6"/>
  <c r="AA342" i="6"/>
  <c r="AL311" i="6"/>
  <c r="AO311" i="6"/>
  <c r="AC311" i="6"/>
  <c r="AM311" i="6"/>
  <c r="AB311" i="6"/>
  <c r="AK311" i="6"/>
  <c r="AA311" i="6"/>
  <c r="AS311" i="6"/>
  <c r="AN327" i="6"/>
  <c r="AO327" i="6"/>
  <c r="AJ327" i="6"/>
  <c r="AI327" i="6"/>
  <c r="AB327" i="6"/>
  <c r="AA327" i="6"/>
  <c r="AS338" i="6"/>
  <c r="AE338" i="6"/>
  <c r="AB338" i="6"/>
  <c r="V338" i="6"/>
  <c r="V311" i="6"/>
  <c r="AM312" i="6"/>
  <c r="X312" i="6"/>
  <c r="Y327" i="6"/>
  <c r="AJ338" i="6"/>
  <c r="AL341" i="6"/>
  <c r="AS341" i="6"/>
  <c r="AE341" i="6"/>
  <c r="AO341" i="6"/>
  <c r="AC341" i="6"/>
  <c r="AM341" i="6"/>
  <c r="AB341" i="6"/>
  <c r="AJ341" i="6"/>
  <c r="Y341" i="6"/>
  <c r="AH341" i="6"/>
  <c r="X341" i="6"/>
  <c r="AL349" i="6"/>
  <c r="AN349" i="6"/>
  <c r="AB349" i="6"/>
  <c r="AM349" i="6"/>
  <c r="AA349" i="6"/>
  <c r="AK349" i="6"/>
  <c r="Y349" i="6"/>
  <c r="AJ349" i="6"/>
  <c r="X349" i="6"/>
  <c r="AS349" i="6"/>
  <c r="AF349" i="6"/>
  <c r="AO349" i="6"/>
  <c r="AE349" i="6"/>
  <c r="AI349" i="6"/>
  <c r="AG349" i="6"/>
  <c r="V349" i="6"/>
  <c r="AC349" i="6" s="1"/>
  <c r="AS411" i="6"/>
  <c r="AC411" i="6"/>
  <c r="AM411" i="6"/>
  <c r="AL411" i="6"/>
  <c r="Z411" i="6"/>
  <c r="AK411" i="6"/>
  <c r="AF411" i="6"/>
  <c r="AD411" i="6"/>
  <c r="AH411" i="6"/>
  <c r="AS308" i="6"/>
  <c r="AB308" i="6"/>
  <c r="Z308" i="6"/>
  <c r="X308" i="6"/>
  <c r="Y311" i="6"/>
  <c r="AF312" i="6"/>
  <c r="AS316" i="6"/>
  <c r="AN316" i="6"/>
  <c r="AJ316" i="6"/>
  <c r="AB316" i="6"/>
  <c r="X316" i="6"/>
  <c r="AG327" i="6"/>
  <c r="AM338" i="6"/>
  <c r="V341" i="6"/>
  <c r="V411" i="6"/>
  <c r="AB411" i="6" s="1"/>
  <c r="AG315" i="6"/>
  <c r="AH335" i="6"/>
  <c r="AK339" i="6"/>
  <c r="AE390" i="6"/>
  <c r="AH390" i="6"/>
  <c r="AB390" i="6"/>
  <c r="AA390" i="6"/>
  <c r="X390" i="6"/>
  <c r="AJ390" i="6"/>
  <c r="AI390" i="6"/>
  <c r="AI315" i="6"/>
  <c r="AI319" i="6"/>
  <c r="Z334" i="6"/>
  <c r="V335" i="6"/>
  <c r="AI335" i="6"/>
  <c r="V339" i="6"/>
  <c r="AM339" i="6"/>
  <c r="AH361" i="6"/>
  <c r="AK361" i="6"/>
  <c r="AA361" i="6"/>
  <c r="AJ361" i="6"/>
  <c r="Y361" i="6"/>
  <c r="AI361" i="6"/>
  <c r="X361" i="6"/>
  <c r="AG361" i="6"/>
  <c r="V361" i="6"/>
  <c r="AN361" i="6"/>
  <c r="AC361" i="6"/>
  <c r="AM361" i="6"/>
  <c r="AB361" i="6"/>
  <c r="AC388" i="6"/>
  <c r="AB388" i="6"/>
  <c r="Z388" i="6"/>
  <c r="AO388" i="6"/>
  <c r="Y388" i="6"/>
  <c r="AK388" i="6"/>
  <c r="AF388" i="6"/>
  <c r="V390" i="6"/>
  <c r="Z390" i="6" s="1"/>
  <c r="AL408" i="6"/>
  <c r="AA408" i="6"/>
  <c r="AI408" i="6"/>
  <c r="Z408" i="6"/>
  <c r="AH408" i="6"/>
  <c r="Y408" i="6"/>
  <c r="AS408" i="6"/>
  <c r="AG408" i="6"/>
  <c r="X408" i="6"/>
  <c r="AM408" i="6"/>
  <c r="AK408" i="6"/>
  <c r="AB408" i="6"/>
  <c r="AS420" i="6"/>
  <c r="AM420" i="6"/>
  <c r="AI420" i="6"/>
  <c r="AC420" i="6"/>
  <c r="AE361" i="6"/>
  <c r="AK364" i="6"/>
  <c r="Z364" i="6"/>
  <c r="AS370" i="6"/>
  <c r="AF370" i="6"/>
  <c r="AE370" i="6"/>
  <c r="AC370" i="6"/>
  <c r="AB370" i="6"/>
  <c r="AM370" i="6"/>
  <c r="AK370" i="6"/>
  <c r="AL388" i="6"/>
  <c r="AL390" i="6"/>
  <c r="AI399" i="6"/>
  <c r="AS399" i="6"/>
  <c r="AB399" i="6"/>
  <c r="AM399" i="6"/>
  <c r="AA399" i="6"/>
  <c r="AL399" i="6"/>
  <c r="Y399" i="6"/>
  <c r="AJ399" i="6"/>
  <c r="X399" i="6"/>
  <c r="AF399" i="6"/>
  <c r="AD399" i="6"/>
  <c r="V408" i="6"/>
  <c r="AJ408" i="6" s="1"/>
  <c r="AL410" i="6"/>
  <c r="AB410" i="6"/>
  <c r="AK410" i="6"/>
  <c r="AA410" i="6"/>
  <c r="AJ410" i="6"/>
  <c r="Z410" i="6"/>
  <c r="AI410" i="6"/>
  <c r="Y410" i="6"/>
  <c r="AS410" i="6"/>
  <c r="AD410" i="6"/>
  <c r="AM410" i="6"/>
  <c r="AC410" i="6"/>
  <c r="AO414" i="6"/>
  <c r="AM414" i="6"/>
  <c r="AG414" i="6"/>
  <c r="AC414" i="6"/>
  <c r="V420" i="6"/>
  <c r="AO423" i="6"/>
  <c r="AD423" i="6"/>
  <c r="AB423" i="6"/>
  <c r="X423" i="6"/>
  <c r="V423" i="6"/>
  <c r="AH423" i="6"/>
  <c r="AG423" i="6"/>
  <c r="AK313" i="6"/>
  <c r="X315" i="6"/>
  <c r="AM315" i="6"/>
  <c r="X319" i="6"/>
  <c r="AK319" i="6"/>
  <c r="AF334" i="6"/>
  <c r="Z335" i="6"/>
  <c r="AM335" i="6"/>
  <c r="AA339" i="6"/>
  <c r="AS339" i="6"/>
  <c r="AM350" i="6"/>
  <c r="AG350" i="6"/>
  <c r="AF350" i="6"/>
  <c r="AC350" i="6"/>
  <c r="Y350" i="6"/>
  <c r="AO350" i="6"/>
  <c r="AJ350" i="6"/>
  <c r="AF361" i="6"/>
  <c r="AN388" i="6"/>
  <c r="AS391" i="6"/>
  <c r="AB391" i="6"/>
  <c r="AO391" i="6"/>
  <c r="Y391" i="6"/>
  <c r="AK391" i="6"/>
  <c r="X391" i="6"/>
  <c r="V391" i="6"/>
  <c r="AN391" i="6" s="1"/>
  <c r="AF391" i="6"/>
  <c r="AE391" i="6"/>
  <c r="AM405" i="6"/>
  <c r="AO405" i="6"/>
  <c r="AK405" i="6"/>
  <c r="AF405" i="6"/>
  <c r="AB405" i="6"/>
  <c r="AE408" i="6"/>
  <c r="AI266" i="6"/>
  <c r="X296" i="6"/>
  <c r="V313" i="6"/>
  <c r="AG313" i="6" s="1"/>
  <c r="AM313" i="6"/>
  <c r="AA315" i="6"/>
  <c r="AN315" i="6"/>
  <c r="AA319" i="6"/>
  <c r="AM319" i="6"/>
  <c r="V323" i="6"/>
  <c r="Z323" i="6" s="1"/>
  <c r="Y324" i="6"/>
  <c r="AH333" i="6"/>
  <c r="AH334" i="6"/>
  <c r="AA335" i="6"/>
  <c r="AO335" i="6"/>
  <c r="AC339" i="6"/>
  <c r="X350" i="6"/>
  <c r="AM356" i="6"/>
  <c r="AI356" i="6"/>
  <c r="Z356" i="6"/>
  <c r="V356" i="6"/>
  <c r="AO361" i="6"/>
  <c r="AN370" i="6"/>
  <c r="AG391" i="6"/>
  <c r="V405" i="6"/>
  <c r="AF408" i="6"/>
  <c r="AN418" i="6"/>
  <c r="AM418" i="6"/>
  <c r="AA418" i="6"/>
  <c r="AK418" i="6"/>
  <c r="AJ418" i="6"/>
  <c r="Y418" i="6"/>
  <c r="AI418" i="6"/>
  <c r="V418" i="6"/>
  <c r="AH418" i="6" s="1"/>
  <c r="AS418" i="6"/>
  <c r="AC418" i="6"/>
  <c r="AO418" i="6"/>
  <c r="AB418" i="6"/>
  <c r="V266" i="6"/>
  <c r="AM266" i="6"/>
  <c r="AI282" i="6"/>
  <c r="AB296" i="6"/>
  <c r="AK303" i="6"/>
  <c r="Y313" i="6"/>
  <c r="AO313" i="6"/>
  <c r="AB315" i="6"/>
  <c r="AO315" i="6"/>
  <c r="AM317" i="6"/>
  <c r="AB319" i="6"/>
  <c r="AN319" i="6"/>
  <c r="V321" i="6"/>
  <c r="AJ321" i="6" s="1"/>
  <c r="X323" i="6"/>
  <c r="V333" i="6"/>
  <c r="AK333" i="6"/>
  <c r="AB335" i="6"/>
  <c r="AS335" i="6"/>
  <c r="AE339" i="6"/>
  <c r="AO351" i="6"/>
  <c r="AK351" i="6"/>
  <c r="AG351" i="6"/>
  <c r="Z351" i="6"/>
  <c r="AN359" i="6"/>
  <c r="AK359" i="6"/>
  <c r="AH359" i="6"/>
  <c r="AG359" i="6"/>
  <c r="AC359" i="6"/>
  <c r="AS361" i="6"/>
  <c r="AN371" i="6"/>
  <c r="AL371" i="6"/>
  <c r="X371" i="6"/>
  <c r="AI391" i="6"/>
  <c r="AH399" i="6"/>
  <c r="AM402" i="6"/>
  <c r="AK402" i="6"/>
  <c r="AG402" i="6"/>
  <c r="AB402" i="6"/>
  <c r="AN408" i="6"/>
  <c r="AH410" i="6"/>
  <c r="AE418" i="6"/>
  <c r="AM425" i="6"/>
  <c r="AB425" i="6"/>
  <c r="AA425" i="6"/>
  <c r="Z425" i="6"/>
  <c r="X425" i="6"/>
  <c r="AH425" i="6"/>
  <c r="AG425" i="6"/>
  <c r="AC347" i="6"/>
  <c r="AH348" i="6"/>
  <c r="AA353" i="6"/>
  <c r="AK353" i="6"/>
  <c r="AC354" i="6"/>
  <c r="Z355" i="6"/>
  <c r="AF357" i="6"/>
  <c r="AS357" i="6"/>
  <c r="AN358" i="6"/>
  <c r="AC362" i="6"/>
  <c r="AC363" i="6"/>
  <c r="Y365" i="6"/>
  <c r="V366" i="6"/>
  <c r="AH366" i="6" s="1"/>
  <c r="AI366" i="6"/>
  <c r="Y367" i="6"/>
  <c r="AN367" i="6"/>
  <c r="AL369" i="6"/>
  <c r="V372" i="6"/>
  <c r="Z372" i="6" s="1"/>
  <c r="V373" i="6"/>
  <c r="Z373" i="6" s="1"/>
  <c r="AS373" i="6"/>
  <c r="AE374" i="6"/>
  <c r="AS374" i="6"/>
  <c r="AG375" i="6"/>
  <c r="AN378" i="6"/>
  <c r="Y381" i="6"/>
  <c r="Z382" i="6"/>
  <c r="AJ382" i="6"/>
  <c r="Z383" i="6"/>
  <c r="AJ383" i="6"/>
  <c r="AS385" i="6"/>
  <c r="AK386" i="6"/>
  <c r="Z389" i="6"/>
  <c r="AM389" i="6"/>
  <c r="AJ394" i="6"/>
  <c r="AA395" i="6"/>
  <c r="AK395" i="6"/>
  <c r="AD397" i="6"/>
  <c r="AM398" i="6"/>
  <c r="AH400" i="6"/>
  <c r="V403" i="6"/>
  <c r="AK404" i="6"/>
  <c r="AJ407" i="6"/>
  <c r="Z409" i="6"/>
  <c r="AN409" i="6"/>
  <c r="AI412" i="6"/>
  <c r="X413" i="6"/>
  <c r="AM413" i="6"/>
  <c r="AC416" i="6"/>
  <c r="AM416" i="6"/>
  <c r="AI417" i="6"/>
  <c r="AK422" i="6"/>
  <c r="AB424" i="6"/>
  <c r="AN424" i="6"/>
  <c r="AA426" i="6"/>
  <c r="AK426" i="6"/>
  <c r="AC428" i="6"/>
  <c r="AE347" i="6"/>
  <c r="AN348" i="6"/>
  <c r="AB353" i="6"/>
  <c r="AM353" i="6"/>
  <c r="AF354" i="6"/>
  <c r="AD355" i="6"/>
  <c r="V357" i="6"/>
  <c r="AG357" i="6"/>
  <c r="AO358" i="6"/>
  <c r="AF362" i="6"/>
  <c r="AO363" i="6"/>
  <c r="AD365" i="6"/>
  <c r="X366" i="6"/>
  <c r="AJ366" i="6"/>
  <c r="Z367" i="6"/>
  <c r="AO367" i="6"/>
  <c r="AM369" i="6"/>
  <c r="Y372" i="6"/>
  <c r="X373" i="6"/>
  <c r="AF374" i="6"/>
  <c r="AH375" i="6"/>
  <c r="V377" i="6"/>
  <c r="AA377" i="6" s="1"/>
  <c r="V378" i="6"/>
  <c r="AM378" i="6" s="1"/>
  <c r="Z381" i="6"/>
  <c r="AA382" i="6"/>
  <c r="AM382" i="6"/>
  <c r="AA383" i="6"/>
  <c r="AK383" i="6"/>
  <c r="V385" i="6"/>
  <c r="AN386" i="6"/>
  <c r="AO389" i="6"/>
  <c r="X392" i="6"/>
  <c r="V394" i="6"/>
  <c r="AO394" i="6" s="1"/>
  <c r="AM394" i="6"/>
  <c r="AE397" i="6"/>
  <c r="AS398" i="6"/>
  <c r="V400" i="6"/>
  <c r="AI400" i="6"/>
  <c r="AB403" i="6"/>
  <c r="AO404" i="6"/>
  <c r="V406" i="6"/>
  <c r="AO406" i="6" s="1"/>
  <c r="AO407" i="6"/>
  <c r="AC409" i="6"/>
  <c r="AS409" i="6"/>
  <c r="V412" i="6"/>
  <c r="AB412" i="6" s="1"/>
  <c r="AK412" i="6"/>
  <c r="Y413" i="6"/>
  <c r="AN413" i="6"/>
  <c r="AE416" i="6"/>
  <c r="AN416" i="6"/>
  <c r="AN417" i="6"/>
  <c r="V422" i="6"/>
  <c r="AN422" i="6"/>
  <c r="AC424" i="6"/>
  <c r="AO424" i="6"/>
  <c r="AB426" i="6"/>
  <c r="AM426" i="6"/>
  <c r="AE428" i="6"/>
  <c r="AM347" i="6"/>
  <c r="AF353" i="6"/>
  <c r="AK354" i="6"/>
  <c r="AA357" i="6"/>
  <c r="AK357" i="6"/>
  <c r="AB358" i="6"/>
  <c r="AN362" i="6"/>
  <c r="AI365" i="6"/>
  <c r="AO366" i="6"/>
  <c r="AG367" i="6"/>
  <c r="AH372" i="6"/>
  <c r="AF373" i="6"/>
  <c r="Y374" i="6"/>
  <c r="AJ374" i="6"/>
  <c r="AA375" i="6"/>
  <c r="AO375" i="6"/>
  <c r="AI377" i="6"/>
  <c r="AC378" i="6"/>
  <c r="AF382" i="6"/>
  <c r="AS382" i="6"/>
  <c r="AF383" i="6"/>
  <c r="AS383" i="6"/>
  <c r="AE385" i="6"/>
  <c r="AB386" i="6"/>
  <c r="AF395" i="6"/>
  <c r="AA400" i="6"/>
  <c r="AM400" i="6"/>
  <c r="AH409" i="6"/>
  <c r="AC412" i="6"/>
  <c r="AO412" i="6"/>
  <c r="AF413" i="6"/>
  <c r="Y416" i="6"/>
  <c r="AH416" i="6"/>
  <c r="AD422" i="6"/>
  <c r="AH424" i="6"/>
  <c r="AG426" i="6"/>
  <c r="AM428" i="6"/>
  <c r="V353" i="6"/>
  <c r="AN353" i="6" s="1"/>
  <c r="AG353" i="6"/>
  <c r="X354" i="6"/>
  <c r="AN354" i="6"/>
  <c r="AB357" i="6"/>
  <c r="AM357" i="6"/>
  <c r="AF358" i="6"/>
  <c r="X362" i="6"/>
  <c r="AO362" i="6"/>
  <c r="AN365" i="6"/>
  <c r="AB366" i="6"/>
  <c r="AS366" i="6"/>
  <c r="AI367" i="6"/>
  <c r="AM372" i="6"/>
  <c r="AH373" i="6"/>
  <c r="Z374" i="6"/>
  <c r="AM374" i="6"/>
  <c r="AB375" i="6"/>
  <c r="AS375" i="6"/>
  <c r="AJ377" i="6"/>
  <c r="AF378" i="6"/>
  <c r="AG381" i="6"/>
  <c r="V382" i="6"/>
  <c r="AG382" i="6"/>
  <c r="AG383" i="6"/>
  <c r="AI385" i="6"/>
  <c r="AC386" i="6"/>
  <c r="AI389" i="6"/>
  <c r="V395" i="6"/>
  <c r="Z395" i="6" s="1"/>
  <c r="V398" i="6"/>
  <c r="AF398" i="6" s="1"/>
  <c r="AB400" i="6"/>
  <c r="AN400" i="6"/>
  <c r="V404" i="6"/>
  <c r="V407" i="6"/>
  <c r="AI409" i="6"/>
  <c r="AD412" i="6"/>
  <c r="AS412" i="6"/>
  <c r="AH413" i="6"/>
  <c r="AS428" i="6"/>
  <c r="V347" i="6"/>
  <c r="V348" i="6"/>
  <c r="X353" i="6"/>
  <c r="AI353" i="6"/>
  <c r="Y354" i="6"/>
  <c r="AO354" i="6"/>
  <c r="AC357" i="6"/>
  <c r="AN357" i="6"/>
  <c r="AG358" i="6"/>
  <c r="Y362" i="6"/>
  <c r="AO365" i="6"/>
  <c r="AF366" i="6"/>
  <c r="AJ367" i="6"/>
  <c r="V369" i="6"/>
  <c r="AI373" i="6"/>
  <c r="AA374" i="6"/>
  <c r="AN374" i="6"/>
  <c r="AC375" i="6"/>
  <c r="AM377" i="6"/>
  <c r="AJ378" i="6"/>
  <c r="V381" i="6"/>
  <c r="AM381" i="6" s="1"/>
  <c r="AH381" i="6"/>
  <c r="X382" i="6"/>
  <c r="AH382" i="6"/>
  <c r="X383" i="6"/>
  <c r="AH383" i="6"/>
  <c r="AJ385" i="6"/>
  <c r="AF386" i="6"/>
  <c r="V389" i="6"/>
  <c r="AD389" i="6" s="1"/>
  <c r="AK389" i="6"/>
  <c r="AH393" i="6"/>
  <c r="AF394" i="6"/>
  <c r="AI395" i="6"/>
  <c r="V397" i="6"/>
  <c r="Z397" i="6" s="1"/>
  <c r="AE398" i="6"/>
  <c r="AF400" i="6"/>
  <c r="AO400" i="6"/>
  <c r="AB404" i="6"/>
  <c r="AA407" i="6"/>
  <c r="X409" i="6"/>
  <c r="AK409" i="6"/>
  <c r="AF412" i="6"/>
  <c r="AJ413" i="6"/>
  <c r="AD348" i="6"/>
  <c r="Y353" i="6"/>
  <c r="AJ353" i="6"/>
  <c r="AB354" i="6"/>
  <c r="AE357" i="6"/>
  <c r="AO357" i="6"/>
  <c r="AK358" i="6"/>
  <c r="AB362" i="6"/>
  <c r="AG366" i="6"/>
  <c r="X367" i="6"/>
  <c r="AK367" i="6"/>
  <c r="AM373" i="6"/>
  <c r="AB374" i="6"/>
  <c r="AO374" i="6"/>
  <c r="AS377" i="6"/>
  <c r="AK378" i="6"/>
  <c r="X381" i="6"/>
  <c r="AI381" i="6"/>
  <c r="Y382" i="6"/>
  <c r="AI382" i="6"/>
  <c r="Y383" i="6"/>
  <c r="AI383" i="6"/>
  <c r="AM385" i="6"/>
  <c r="AJ386" i="6"/>
  <c r="Y389" i="6"/>
  <c r="AL389" i="6"/>
  <c r="AI394" i="6"/>
  <c r="Y395" i="6"/>
  <c r="AA397" i="6"/>
  <c r="AS400" i="6"/>
  <c r="AF404" i="6"/>
  <c r="AF407" i="6"/>
  <c r="Y409" i="6"/>
  <c r="AG412" i="6"/>
  <c r="V413" i="6"/>
  <c r="AB416" i="6"/>
  <c r="AK416" i="6"/>
  <c r="AH417" i="6"/>
  <c r="AA424" i="6"/>
  <c r="AM424" i="6"/>
  <c r="Z426" i="6"/>
  <c r="AJ426" i="6"/>
  <c r="AA428" i="6"/>
  <c r="AF429" i="6"/>
  <c r="AA2" i="4"/>
  <c r="Y3" i="4"/>
  <c r="U5" i="4"/>
  <c r="AB6" i="4"/>
  <c r="AB7" i="4"/>
  <c r="W9" i="4"/>
  <c r="AA53" i="4"/>
  <c r="AC53" i="4"/>
  <c r="Y53" i="4"/>
  <c r="W53" i="4"/>
  <c r="V53" i="4"/>
  <c r="U53" i="4"/>
  <c r="T53" i="4"/>
  <c r="P53" i="4"/>
  <c r="AB53" i="4" s="1"/>
  <c r="X70" i="4"/>
  <c r="W70" i="4"/>
  <c r="V70" i="4"/>
  <c r="AG70" i="4"/>
  <c r="U70" i="4"/>
  <c r="AC70" i="4"/>
  <c r="T70" i="4"/>
  <c r="AB70" i="4"/>
  <c r="S70" i="4"/>
  <c r="AA70" i="4"/>
  <c r="R70" i="4"/>
  <c r="Z70" i="4"/>
  <c r="P70" i="4"/>
  <c r="AC7" i="4"/>
  <c r="X78" i="4"/>
  <c r="W78" i="4"/>
  <c r="V78" i="4"/>
  <c r="AG78" i="4"/>
  <c r="U78" i="4"/>
  <c r="AC78" i="4"/>
  <c r="T78" i="4"/>
  <c r="AB78" i="4"/>
  <c r="S78" i="4"/>
  <c r="AA78" i="4"/>
  <c r="R78" i="4"/>
  <c r="Z78" i="4"/>
  <c r="P78" i="4"/>
  <c r="AA3" i="4"/>
  <c r="AC5" i="4"/>
  <c r="P7" i="4"/>
  <c r="Y10" i="4"/>
  <c r="AG10" i="4"/>
  <c r="T10" i="4"/>
  <c r="AC10" i="4"/>
  <c r="AA10" i="4"/>
  <c r="Z10" i="4"/>
  <c r="W10" i="4"/>
  <c r="V10" i="4"/>
  <c r="P3" i="4"/>
  <c r="AB3" i="4"/>
  <c r="R7" i="4"/>
  <c r="S8" i="4"/>
  <c r="R10" i="4"/>
  <c r="R3" i="4"/>
  <c r="S6" i="4"/>
  <c r="S7" i="4"/>
  <c r="V8" i="4"/>
  <c r="S10" i="4"/>
  <c r="AA80" i="4"/>
  <c r="W80" i="4"/>
  <c r="V80" i="4"/>
  <c r="T7" i="4"/>
  <c r="AA68" i="4"/>
  <c r="Y68" i="4"/>
  <c r="X68" i="4"/>
  <c r="W68" i="4"/>
  <c r="V68" i="4"/>
  <c r="S68" i="4"/>
  <c r="P68" i="4"/>
  <c r="T3" i="4"/>
  <c r="V6" i="4"/>
  <c r="X7" i="4"/>
  <c r="AG8" i="4"/>
  <c r="AB10" i="4"/>
  <c r="AB23" i="4"/>
  <c r="Y23" i="4"/>
  <c r="X23" i="4"/>
  <c r="U23" i="4"/>
  <c r="T23" i="4"/>
  <c r="R23" i="4"/>
  <c r="P23" i="4"/>
  <c r="S23" i="4" s="1"/>
  <c r="AG56" i="4"/>
  <c r="AA56" i="4"/>
  <c r="X56" i="4"/>
  <c r="W56" i="4"/>
  <c r="V56" i="4"/>
  <c r="P56" i="4"/>
  <c r="S56" i="4" s="1"/>
  <c r="AA60" i="4"/>
  <c r="AG60" i="4"/>
  <c r="Y60" i="4"/>
  <c r="V60" i="4"/>
  <c r="P60" i="4"/>
  <c r="W60" i="4" s="1"/>
  <c r="AG68" i="4"/>
  <c r="AG76" i="4"/>
  <c r="AA76" i="4"/>
  <c r="Y76" i="4"/>
  <c r="P76" i="4"/>
  <c r="X76" i="4" s="1"/>
  <c r="AA7" i="4"/>
  <c r="Y11" i="4"/>
  <c r="T11" i="4"/>
  <c r="R11" i="4"/>
  <c r="P11" i="4"/>
  <c r="X11" i="4" s="1"/>
  <c r="AC23" i="4"/>
  <c r="Y103" i="4"/>
  <c r="U14" i="4"/>
  <c r="AG14" i="4"/>
  <c r="V17" i="4"/>
  <c r="U18" i="4"/>
  <c r="AG21" i="4"/>
  <c r="Y26" i="4"/>
  <c r="AA28" i="4"/>
  <c r="AA33" i="4"/>
  <c r="AG33" i="4"/>
  <c r="Y35" i="4"/>
  <c r="X36" i="4"/>
  <c r="W37" i="4"/>
  <c r="AB38" i="4"/>
  <c r="AB41" i="4"/>
  <c r="U42" i="4"/>
  <c r="AG42" i="4"/>
  <c r="AA44" i="4"/>
  <c r="Y45" i="4"/>
  <c r="T46" i="4"/>
  <c r="AC46" i="4"/>
  <c r="Y48" i="4"/>
  <c r="Y49" i="4"/>
  <c r="T50" i="4"/>
  <c r="AG50" i="4"/>
  <c r="Y54" i="4"/>
  <c r="T57" i="4"/>
  <c r="R58" i="4"/>
  <c r="AA58" i="4"/>
  <c r="V61" i="4"/>
  <c r="R62" i="4"/>
  <c r="AB62" i="4"/>
  <c r="T65" i="4"/>
  <c r="Y66" i="4"/>
  <c r="AA73" i="4"/>
  <c r="AC73" i="4"/>
  <c r="U77" i="4"/>
  <c r="AC81" i="4"/>
  <c r="V82" i="4"/>
  <c r="W85" i="4"/>
  <c r="S86" i="4"/>
  <c r="AB86" i="4"/>
  <c r="Z87" i="4"/>
  <c r="AG88" i="4"/>
  <c r="AC89" i="4"/>
  <c r="V90" i="4"/>
  <c r="Y94" i="4"/>
  <c r="T98" i="4"/>
  <c r="P103" i="4"/>
  <c r="Z103" i="4"/>
  <c r="W13" i="4"/>
  <c r="V14" i="4"/>
  <c r="X17" i="4"/>
  <c r="V18" i="4"/>
  <c r="P19" i="4"/>
  <c r="U19" i="4" s="1"/>
  <c r="Y22" i="4"/>
  <c r="P24" i="4"/>
  <c r="W24" i="4" s="1"/>
  <c r="P26" i="4"/>
  <c r="Z26" i="4"/>
  <c r="P28" i="4"/>
  <c r="AG28" i="4"/>
  <c r="Y34" i="4"/>
  <c r="Z35" i="4"/>
  <c r="AA36" i="4"/>
  <c r="Y37" i="4"/>
  <c r="AC38" i="4"/>
  <c r="AC41" i="4"/>
  <c r="V42" i="4"/>
  <c r="AG44" i="4"/>
  <c r="AB45" i="4"/>
  <c r="AG46" i="4"/>
  <c r="AB49" i="4"/>
  <c r="U50" i="4"/>
  <c r="P54" i="4"/>
  <c r="Z54" i="4"/>
  <c r="V57" i="4"/>
  <c r="S58" i="4"/>
  <c r="AB58" i="4"/>
  <c r="W61" i="4"/>
  <c r="S62" i="4"/>
  <c r="AC62" i="4"/>
  <c r="U65" i="4"/>
  <c r="P66" i="4"/>
  <c r="Z66" i="4" s="1"/>
  <c r="P69" i="4"/>
  <c r="AB69" i="4" s="1"/>
  <c r="P73" i="4"/>
  <c r="AG73" i="4"/>
  <c r="W74" i="4"/>
  <c r="P75" i="4"/>
  <c r="U75" i="4" s="1"/>
  <c r="V77" i="4"/>
  <c r="AG81" i="4"/>
  <c r="W82" i="4"/>
  <c r="P83" i="4"/>
  <c r="P84" i="4"/>
  <c r="V84" i="4" s="1"/>
  <c r="Y85" i="4"/>
  <c r="T86" i="4"/>
  <c r="AC86" i="4"/>
  <c r="AA87" i="4"/>
  <c r="AG89" i="4"/>
  <c r="W90" i="4"/>
  <c r="P91" i="4"/>
  <c r="U93" i="4"/>
  <c r="P94" i="4"/>
  <c r="Z94" i="4"/>
  <c r="U98" i="4"/>
  <c r="S99" i="4"/>
  <c r="R103" i="4"/>
  <c r="AA103" i="4"/>
  <c r="AG17" i="4"/>
  <c r="W18" i="4"/>
  <c r="S19" i="4"/>
  <c r="T21" i="4"/>
  <c r="P22" i="4"/>
  <c r="V22" i="4" s="1"/>
  <c r="Z22" i="4"/>
  <c r="S24" i="4"/>
  <c r="R26" i="4"/>
  <c r="AA26" i="4"/>
  <c r="T27" i="4"/>
  <c r="R28" i="4"/>
  <c r="AA30" i="4"/>
  <c r="T31" i="4"/>
  <c r="S32" i="4"/>
  <c r="U33" i="4"/>
  <c r="P34" i="4"/>
  <c r="V34" i="4" s="1"/>
  <c r="AA34" i="4"/>
  <c r="AG36" i="4"/>
  <c r="AB37" i="4"/>
  <c r="AG38" i="4"/>
  <c r="P41" i="4"/>
  <c r="AG41" i="4"/>
  <c r="AC45" i="4"/>
  <c r="V46" i="4"/>
  <c r="AC49" i="4"/>
  <c r="S51" i="4"/>
  <c r="R54" i="4"/>
  <c r="AA54" i="4"/>
  <c r="Y57" i="4"/>
  <c r="T58" i="4"/>
  <c r="AC58" i="4"/>
  <c r="Y61" i="4"/>
  <c r="T62" i="4"/>
  <c r="AG62" i="4"/>
  <c r="V65" i="4"/>
  <c r="R66" i="4"/>
  <c r="AA66" i="4"/>
  <c r="T69" i="4"/>
  <c r="P72" i="4"/>
  <c r="T73" i="4"/>
  <c r="Y74" i="4"/>
  <c r="R75" i="4"/>
  <c r="W77" i="4"/>
  <c r="Y82" i="4"/>
  <c r="Y90" i="4"/>
  <c r="S91" i="4"/>
  <c r="V93" i="4"/>
  <c r="R94" i="4"/>
  <c r="AA94" i="4"/>
  <c r="P96" i="4"/>
  <c r="V97" i="4"/>
  <c r="V98" i="4"/>
  <c r="T99" i="4"/>
  <c r="AC99" i="4"/>
  <c r="AC100" i="4"/>
  <c r="U102" i="4"/>
  <c r="S103" i="4"/>
  <c r="AB103" i="4"/>
  <c r="AB104" i="4"/>
  <c r="Y14" i="4"/>
  <c r="Z18" i="4"/>
  <c r="U21" i="4"/>
  <c r="AA22" i="4"/>
  <c r="X24" i="4"/>
  <c r="S26" i="4"/>
  <c r="AB26" i="4"/>
  <c r="U27" i="4"/>
  <c r="S28" i="4"/>
  <c r="P29" i="4"/>
  <c r="R30" i="4"/>
  <c r="AB30" i="4"/>
  <c r="U31" i="4"/>
  <c r="W32" i="4"/>
  <c r="AC37" i="4"/>
  <c r="T41" i="4"/>
  <c r="Y42" i="4"/>
  <c r="P44" i="4"/>
  <c r="S44" i="4" s="1"/>
  <c r="P45" i="4"/>
  <c r="AG45" i="4"/>
  <c r="W46" i="4"/>
  <c r="X47" i="4"/>
  <c r="P49" i="4"/>
  <c r="AG49" i="4"/>
  <c r="W50" i="4"/>
  <c r="U51" i="4"/>
  <c r="S54" i="4"/>
  <c r="AB54" i="4"/>
  <c r="AB57" i="4"/>
  <c r="U58" i="4"/>
  <c r="AG58" i="4"/>
  <c r="U62" i="4"/>
  <c r="W65" i="4"/>
  <c r="AB66" i="4"/>
  <c r="V69" i="4"/>
  <c r="S72" i="4"/>
  <c r="U73" i="4"/>
  <c r="P74" i="4"/>
  <c r="Z74" i="4"/>
  <c r="S75" i="4"/>
  <c r="Y77" i="4"/>
  <c r="P81" i="4"/>
  <c r="P82" i="4"/>
  <c r="Z82" i="4"/>
  <c r="S83" i="4"/>
  <c r="AC85" i="4"/>
  <c r="V86" i="4"/>
  <c r="P88" i="4"/>
  <c r="T89" i="4"/>
  <c r="P90" i="4"/>
  <c r="Z90" i="4"/>
  <c r="W93" i="4"/>
  <c r="S94" i="4"/>
  <c r="AB94" i="4"/>
  <c r="V96" i="4"/>
  <c r="W97" i="4"/>
  <c r="W98" i="4"/>
  <c r="U99" i="4"/>
  <c r="AG99" i="4"/>
  <c r="AG100" i="4"/>
  <c r="V102" i="4"/>
  <c r="T103" i="4"/>
  <c r="AC103" i="4"/>
  <c r="AC104" i="4"/>
  <c r="P14" i="4"/>
  <c r="T14" i="4" s="1"/>
  <c r="Z14" i="4"/>
  <c r="V16" i="4"/>
  <c r="P18" i="4"/>
  <c r="AA18" i="4"/>
  <c r="Y19" i="4"/>
  <c r="V21" i="4"/>
  <c r="S22" i="4"/>
  <c r="AB22" i="4"/>
  <c r="Y24" i="4"/>
  <c r="T26" i="4"/>
  <c r="AC26" i="4"/>
  <c r="Y27" i="4"/>
  <c r="V28" i="4"/>
  <c r="U29" i="4"/>
  <c r="S30" i="4"/>
  <c r="AC30" i="4"/>
  <c r="Y31" i="4"/>
  <c r="X32" i="4"/>
  <c r="W33" i="4"/>
  <c r="S34" i="4"/>
  <c r="AC34" i="4"/>
  <c r="P36" i="4"/>
  <c r="P37" i="4"/>
  <c r="AG37" i="4"/>
  <c r="W38" i="4"/>
  <c r="S39" i="4"/>
  <c r="U41" i="4"/>
  <c r="P42" i="4"/>
  <c r="T42" i="4" s="1"/>
  <c r="Z42" i="4"/>
  <c r="V44" i="4"/>
  <c r="T45" i="4"/>
  <c r="Y46" i="4"/>
  <c r="Y47" i="4"/>
  <c r="Z50" i="4"/>
  <c r="Y51" i="4"/>
  <c r="T54" i="4"/>
  <c r="AC54" i="4"/>
  <c r="AC57" i="4"/>
  <c r="AC61" i="4"/>
  <c r="V62" i="4"/>
  <c r="Y65" i="4"/>
  <c r="T66" i="4"/>
  <c r="AC66" i="4"/>
  <c r="Y69" i="4"/>
  <c r="V72" i="4"/>
  <c r="V73" i="4"/>
  <c r="R74" i="4"/>
  <c r="AA74" i="4"/>
  <c r="X75" i="4"/>
  <c r="AB77" i="4"/>
  <c r="T81" i="4"/>
  <c r="R82" i="4"/>
  <c r="AA82" i="4"/>
  <c r="U83" i="4"/>
  <c r="P85" i="4"/>
  <c r="AG85" i="4"/>
  <c r="W86" i="4"/>
  <c r="P87" i="4"/>
  <c r="V88" i="4"/>
  <c r="U89" i="4"/>
  <c r="R90" i="4"/>
  <c r="AA90" i="4"/>
  <c r="Y93" i="4"/>
  <c r="T94" i="4"/>
  <c r="AC94" i="4"/>
  <c r="X96" i="4"/>
  <c r="AC98" i="4"/>
  <c r="W102" i="4"/>
  <c r="U103" i="4"/>
  <c r="AG103" i="4"/>
  <c r="AG104" i="4"/>
  <c r="V12" i="4"/>
  <c r="R14" i="4"/>
  <c r="AA14" i="4"/>
  <c r="AA16" i="4"/>
  <c r="R18" i="4"/>
  <c r="AB18" i="4"/>
  <c r="AA19" i="4"/>
  <c r="W21" i="4"/>
  <c r="T22" i="4"/>
  <c r="AC22" i="4"/>
  <c r="AA24" i="4"/>
  <c r="U26" i="4"/>
  <c r="AG26" i="4"/>
  <c r="AA27" i="4"/>
  <c r="W28" i="4"/>
  <c r="W29" i="4"/>
  <c r="T30" i="4"/>
  <c r="AG30" i="4"/>
  <c r="Y32" i="4"/>
  <c r="Y33" i="4"/>
  <c r="T34" i="4"/>
  <c r="AG34" i="4"/>
  <c r="S36" i="4"/>
  <c r="T37" i="4"/>
  <c r="Y38" i="4"/>
  <c r="U39" i="4"/>
  <c r="V41" i="4"/>
  <c r="R42" i="4"/>
  <c r="AA42" i="4"/>
  <c r="W44" i="4"/>
  <c r="U45" i="4"/>
  <c r="P46" i="4"/>
  <c r="S46" i="4" s="1"/>
  <c r="Z46" i="4"/>
  <c r="AA48" i="4"/>
  <c r="U49" i="4"/>
  <c r="P50" i="4"/>
  <c r="S50" i="4" s="1"/>
  <c r="AA50" i="4"/>
  <c r="U54" i="4"/>
  <c r="AG54" i="4"/>
  <c r="AG57" i="4"/>
  <c r="R59" i="4"/>
  <c r="P61" i="4"/>
  <c r="AA61" i="4" s="1"/>
  <c r="AG61" i="4"/>
  <c r="W62" i="4"/>
  <c r="AB65" i="4"/>
  <c r="U66" i="4"/>
  <c r="AG66" i="4"/>
  <c r="AC69" i="4"/>
  <c r="W72" i="4"/>
  <c r="W73" i="4"/>
  <c r="S74" i="4"/>
  <c r="AB74" i="4"/>
  <c r="Z75" i="4"/>
  <c r="AC77" i="4"/>
  <c r="V81" i="4"/>
  <c r="S82" i="4"/>
  <c r="AB82" i="4"/>
  <c r="Y86" i="4"/>
  <c r="R87" i="4"/>
  <c r="W88" i="4"/>
  <c r="V89" i="4"/>
  <c r="S90" i="4"/>
  <c r="AB90" i="4"/>
  <c r="AB93" i="4"/>
  <c r="U94" i="4"/>
  <c r="AG94" i="4"/>
  <c r="AC97" i="4"/>
  <c r="AG98" i="4"/>
  <c r="S100" i="4"/>
  <c r="V101" i="4"/>
  <c r="AC102" i="4"/>
  <c r="V103" i="4"/>
  <c r="Y105" i="4"/>
  <c r="AG105" i="4"/>
  <c r="X105" i="4"/>
  <c r="X12" i="4"/>
  <c r="S14" i="4"/>
  <c r="AB14" i="4"/>
  <c r="S18" i="4"/>
  <c r="AC18" i="4"/>
  <c r="Y21" i="4"/>
  <c r="U22" i="4"/>
  <c r="AG22" i="4"/>
  <c r="V26" i="4"/>
  <c r="AB27" i="4"/>
  <c r="U30" i="4"/>
  <c r="X31" i="4"/>
  <c r="AB31" i="4"/>
  <c r="AB33" i="4"/>
  <c r="U34" i="4"/>
  <c r="V36" i="4"/>
  <c r="U37" i="4"/>
  <c r="P38" i="4"/>
  <c r="S38" i="4" s="1"/>
  <c r="Z38" i="4"/>
  <c r="Y39" i="4"/>
  <c r="W41" i="4"/>
  <c r="S42" i="4"/>
  <c r="AB42" i="4"/>
  <c r="V45" i="4"/>
  <c r="AA46" i="4"/>
  <c r="P48" i="4"/>
  <c r="V48" i="4" s="1"/>
  <c r="R50" i="4"/>
  <c r="AB50" i="4"/>
  <c r="X58" i="4"/>
  <c r="Y58" i="4"/>
  <c r="Y59" i="4"/>
  <c r="Z62" i="4"/>
  <c r="AC65" i="4"/>
  <c r="V66" i="4"/>
  <c r="AG69" i="4"/>
  <c r="R71" i="4"/>
  <c r="Y72" i="4"/>
  <c r="Y73" i="4"/>
  <c r="T74" i="4"/>
  <c r="AC74" i="4"/>
  <c r="AC75" i="4"/>
  <c r="P77" i="4"/>
  <c r="AG77" i="4"/>
  <c r="Y81" i="4"/>
  <c r="T82" i="4"/>
  <c r="AC82" i="4"/>
  <c r="U85" i="4"/>
  <c r="P86" i="4"/>
  <c r="Z86" i="4"/>
  <c r="W89" i="4"/>
  <c r="T90" i="4"/>
  <c r="AC90" i="4"/>
  <c r="AC93" i="4"/>
  <c r="V94" i="4"/>
  <c r="AG97" i="4"/>
  <c r="X99" i="4"/>
  <c r="Y99" i="4"/>
  <c r="T100" i="4"/>
  <c r="W101" i="4"/>
  <c r="W103" i="4"/>
  <c r="S104" i="4"/>
  <c r="U105" i="4"/>
  <c r="X111" i="4"/>
  <c r="Z111" i="4"/>
  <c r="AA126" i="4"/>
  <c r="AC133" i="4"/>
  <c r="AG136" i="4"/>
  <c r="AB138" i="4"/>
  <c r="AA142" i="4"/>
  <c r="AC153" i="4"/>
  <c r="Z162" i="4"/>
  <c r="X194" i="4"/>
  <c r="AC194" i="4"/>
  <c r="T194" i="4"/>
  <c r="AB194" i="4"/>
  <c r="S194" i="4"/>
  <c r="AA194" i="4"/>
  <c r="R194" i="4"/>
  <c r="Z194" i="4"/>
  <c r="P194" i="4"/>
  <c r="W194" i="4"/>
  <c r="X232" i="4"/>
  <c r="Y232" i="4"/>
  <c r="W232" i="4"/>
  <c r="V232" i="4"/>
  <c r="T232" i="4"/>
  <c r="AG232" i="4"/>
  <c r="S232" i="4"/>
  <c r="AB232" i="4"/>
  <c r="R232" i="4"/>
  <c r="AA232" i="4"/>
  <c r="P232" i="4"/>
  <c r="X422" i="4"/>
  <c r="AG422" i="4"/>
  <c r="AC422" i="4"/>
  <c r="W422" i="4"/>
  <c r="V422" i="4"/>
  <c r="T422" i="4"/>
  <c r="T106" i="4"/>
  <c r="AG106" i="4"/>
  <c r="W107" i="4"/>
  <c r="R108" i="4"/>
  <c r="X109" i="4"/>
  <c r="P111" i="4"/>
  <c r="AB111" i="4"/>
  <c r="AC112" i="4"/>
  <c r="AC113" i="4"/>
  <c r="W114" i="4"/>
  <c r="R115" i="4"/>
  <c r="AA115" i="4"/>
  <c r="S117" i="4"/>
  <c r="AC118" i="4"/>
  <c r="V119" i="4"/>
  <c r="S121" i="4"/>
  <c r="AA122" i="4"/>
  <c r="T123" i="4"/>
  <c r="AC123" i="4"/>
  <c r="U125" i="4"/>
  <c r="P126" i="4"/>
  <c r="AB126" i="4"/>
  <c r="V127" i="4"/>
  <c r="W128" i="4"/>
  <c r="AC129" i="4"/>
  <c r="W130" i="4"/>
  <c r="R131" i="4"/>
  <c r="AC131" i="4"/>
  <c r="P133" i="4"/>
  <c r="AG133" i="4"/>
  <c r="P136" i="4"/>
  <c r="P138" i="4"/>
  <c r="V138" i="4" s="1"/>
  <c r="AC138" i="4"/>
  <c r="Z139" i="4"/>
  <c r="S141" i="4"/>
  <c r="P142" i="4"/>
  <c r="AB142" i="4"/>
  <c r="Y143" i="4"/>
  <c r="U144" i="4"/>
  <c r="Y145" i="4"/>
  <c r="V146" i="4"/>
  <c r="S147" i="4"/>
  <c r="AG147" i="4"/>
  <c r="AB151" i="4"/>
  <c r="P153" i="4"/>
  <c r="AG153" i="4"/>
  <c r="AC154" i="4"/>
  <c r="W155" i="4"/>
  <c r="Z158" i="4"/>
  <c r="U159" i="4"/>
  <c r="S160" i="4"/>
  <c r="P161" i="4"/>
  <c r="AA161" i="4" s="1"/>
  <c r="P162" i="4"/>
  <c r="AA162" i="4" s="1"/>
  <c r="AB162" i="4"/>
  <c r="X163" i="4"/>
  <c r="W164" i="4"/>
  <c r="AA165" i="4"/>
  <c r="P171" i="4"/>
  <c r="S171" i="4" s="1"/>
  <c r="Y174" i="4"/>
  <c r="S175" i="4"/>
  <c r="P177" i="4"/>
  <c r="R178" i="4"/>
  <c r="AA178" i="4"/>
  <c r="AG180" i="4"/>
  <c r="U183" i="4"/>
  <c r="U185" i="4"/>
  <c r="W190" i="4"/>
  <c r="V190" i="4"/>
  <c r="AG190" i="4"/>
  <c r="U190" i="4"/>
  <c r="AC190" i="4"/>
  <c r="T190" i="4"/>
  <c r="AA190" i="4"/>
  <c r="U194" i="4"/>
  <c r="Y197" i="4"/>
  <c r="AG197" i="4"/>
  <c r="X197" i="4"/>
  <c r="V197" i="4"/>
  <c r="P197" i="4"/>
  <c r="AC197" i="4" s="1"/>
  <c r="AA200" i="4"/>
  <c r="X200" i="4"/>
  <c r="Z232" i="4"/>
  <c r="Z308" i="4"/>
  <c r="T308" i="4"/>
  <c r="U106" i="4"/>
  <c r="Y107" i="4"/>
  <c r="Z108" i="4"/>
  <c r="Y109" i="4"/>
  <c r="W110" i="4"/>
  <c r="R111" i="4"/>
  <c r="AC111" i="4"/>
  <c r="AG113" i="4"/>
  <c r="Y114" i="4"/>
  <c r="S115" i="4"/>
  <c r="AB115" i="4"/>
  <c r="U117" i="4"/>
  <c r="P118" i="4"/>
  <c r="V118" i="4" s="1"/>
  <c r="AG118" i="4"/>
  <c r="P120" i="4"/>
  <c r="U121" i="4"/>
  <c r="P122" i="4"/>
  <c r="AB122" i="4"/>
  <c r="U123" i="4"/>
  <c r="AG123" i="4"/>
  <c r="V125" i="4"/>
  <c r="S126" i="4"/>
  <c r="AC126" i="4"/>
  <c r="W127" i="4"/>
  <c r="X128" i="4"/>
  <c r="AG129" i="4"/>
  <c r="Y130" i="4"/>
  <c r="T131" i="4"/>
  <c r="AG131" i="4"/>
  <c r="S133" i="4"/>
  <c r="AA134" i="4"/>
  <c r="W135" i="4"/>
  <c r="S136" i="4"/>
  <c r="P137" i="4"/>
  <c r="AB137" i="4" s="1"/>
  <c r="S138" i="4"/>
  <c r="AG138" i="4"/>
  <c r="AA139" i="4"/>
  <c r="U141" i="4"/>
  <c r="S142" i="4"/>
  <c r="AC142" i="4"/>
  <c r="Z143" i="4"/>
  <c r="AG144" i="4"/>
  <c r="AA145" i="4"/>
  <c r="W146" i="4"/>
  <c r="T147" i="4"/>
  <c r="W149" i="4"/>
  <c r="T150" i="4"/>
  <c r="P151" i="4"/>
  <c r="Y151" i="4" s="1"/>
  <c r="AC151" i="4"/>
  <c r="S153" i="4"/>
  <c r="AG154" i="4"/>
  <c r="P157" i="4"/>
  <c r="AA157" i="4" s="1"/>
  <c r="P158" i="4"/>
  <c r="AA158" i="4"/>
  <c r="W159" i="4"/>
  <c r="V160" i="4"/>
  <c r="T161" i="4"/>
  <c r="S162" i="4"/>
  <c r="AC162" i="4"/>
  <c r="Z163" i="4"/>
  <c r="AC164" i="4"/>
  <c r="AC165" i="4"/>
  <c r="P167" i="4"/>
  <c r="Y170" i="4"/>
  <c r="T171" i="4"/>
  <c r="W172" i="4"/>
  <c r="P174" i="4"/>
  <c r="Z174" i="4"/>
  <c r="T175" i="4"/>
  <c r="P176" i="4"/>
  <c r="Y176" i="4" s="1"/>
  <c r="U177" i="4"/>
  <c r="S178" i="4"/>
  <c r="AB178" i="4"/>
  <c r="P180" i="4"/>
  <c r="W180" i="4" s="1"/>
  <c r="Y182" i="4"/>
  <c r="AC183" i="4"/>
  <c r="V185" i="4"/>
  <c r="P190" i="4"/>
  <c r="X190" i="4" s="1"/>
  <c r="V194" i="4"/>
  <c r="U197" i="4"/>
  <c r="V200" i="4"/>
  <c r="V106" i="4"/>
  <c r="P107" i="4"/>
  <c r="Z107" i="4"/>
  <c r="AG109" i="4"/>
  <c r="Y110" i="4"/>
  <c r="S111" i="4"/>
  <c r="AG111" i="4"/>
  <c r="P113" i="4"/>
  <c r="AA114" i="4"/>
  <c r="T115" i="4"/>
  <c r="AC115" i="4"/>
  <c r="V117" i="4"/>
  <c r="S118" i="4"/>
  <c r="X119" i="4"/>
  <c r="Y119" i="4"/>
  <c r="U120" i="4"/>
  <c r="V121" i="4"/>
  <c r="S122" i="4"/>
  <c r="AC122" i="4"/>
  <c r="V123" i="4"/>
  <c r="W125" i="4"/>
  <c r="T126" i="4"/>
  <c r="AG126" i="4"/>
  <c r="AA130" i="4"/>
  <c r="U131" i="4"/>
  <c r="U133" i="4"/>
  <c r="P134" i="4"/>
  <c r="AC134" i="4" s="1"/>
  <c r="AB134" i="4"/>
  <c r="Z135" i="4"/>
  <c r="U136" i="4"/>
  <c r="V137" i="4"/>
  <c r="T138" i="4"/>
  <c r="AC139" i="4"/>
  <c r="V141" i="4"/>
  <c r="T142" i="4"/>
  <c r="AG142" i="4"/>
  <c r="AA143" i="4"/>
  <c r="AC145" i="4"/>
  <c r="Y146" i="4"/>
  <c r="V147" i="4"/>
  <c r="U148" i="4"/>
  <c r="Y149" i="4"/>
  <c r="AG151" i="4"/>
  <c r="U153" i="4"/>
  <c r="X155" i="4"/>
  <c r="Z155" i="4"/>
  <c r="T157" i="4"/>
  <c r="R158" i="4"/>
  <c r="AB158" i="4"/>
  <c r="X159" i="4"/>
  <c r="W160" i="4"/>
  <c r="V161" i="4"/>
  <c r="T162" i="4"/>
  <c r="AG162" i="4"/>
  <c r="AB163" i="4"/>
  <c r="AG164" i="4"/>
  <c r="AG165" i="4"/>
  <c r="Y166" i="4"/>
  <c r="S167" i="4"/>
  <c r="P169" i="4"/>
  <c r="P170" i="4"/>
  <c r="W170" i="4" s="1"/>
  <c r="Z170" i="4"/>
  <c r="X171" i="4"/>
  <c r="X172" i="4"/>
  <c r="R174" i="4"/>
  <c r="AA174" i="4"/>
  <c r="U175" i="4"/>
  <c r="S176" i="4"/>
  <c r="W177" i="4"/>
  <c r="T178" i="4"/>
  <c r="AF178" i="4" s="1"/>
  <c r="AH178" i="4" s="1"/>
  <c r="AC178" i="4"/>
  <c r="R180" i="4"/>
  <c r="P181" i="4"/>
  <c r="P182" i="4"/>
  <c r="Z182" i="4"/>
  <c r="S190" i="4"/>
  <c r="Y194" i="4"/>
  <c r="Y198" i="4"/>
  <c r="AC198" i="4"/>
  <c r="AB198" i="4"/>
  <c r="AA198" i="4"/>
  <c r="U198" i="4"/>
  <c r="S198" i="4"/>
  <c r="Y200" i="4"/>
  <c r="AG209" i="4"/>
  <c r="AA209" i="4"/>
  <c r="Y209" i="4"/>
  <c r="W209" i="4"/>
  <c r="AA212" i="4"/>
  <c r="AB221" i="4"/>
  <c r="W221" i="4"/>
  <c r="U221" i="4"/>
  <c r="T221" i="4"/>
  <c r="S221" i="4"/>
  <c r="AG221" i="4"/>
  <c r="P221" i="4"/>
  <c r="Y221" i="4" s="1"/>
  <c r="AB226" i="4"/>
  <c r="AC226" i="4"/>
  <c r="Y226" i="4"/>
  <c r="W226" i="4"/>
  <c r="U226" i="4"/>
  <c r="S226" i="4"/>
  <c r="R226" i="4"/>
  <c r="P226" i="4"/>
  <c r="AA239" i="4"/>
  <c r="X239" i="4"/>
  <c r="U239" i="4"/>
  <c r="T239" i="4"/>
  <c r="S239" i="4"/>
  <c r="P239" i="4"/>
  <c r="Y239" i="4" s="1"/>
  <c r="W106" i="4"/>
  <c r="R107" i="4"/>
  <c r="AA107" i="4"/>
  <c r="AA110" i="4"/>
  <c r="T111" i="4"/>
  <c r="S113" i="4"/>
  <c r="P114" i="4"/>
  <c r="AB114" i="4"/>
  <c r="U115" i="4"/>
  <c r="AG115" i="4"/>
  <c r="Y125" i="4"/>
  <c r="U126" i="4"/>
  <c r="Z127" i="4"/>
  <c r="P130" i="4"/>
  <c r="S130" i="4" s="1"/>
  <c r="AB130" i="4"/>
  <c r="V131" i="4"/>
  <c r="V133" i="4"/>
  <c r="W136" i="4"/>
  <c r="U138" i="4"/>
  <c r="U142" i="4"/>
  <c r="AB143" i="4"/>
  <c r="V153" i="4"/>
  <c r="W161" i="4"/>
  <c r="U162" i="4"/>
  <c r="AG163" i="4"/>
  <c r="Z166" i="4"/>
  <c r="Y171" i="4"/>
  <c r="X177" i="4"/>
  <c r="U187" i="4"/>
  <c r="AA187" i="4"/>
  <c r="T187" i="4"/>
  <c r="P187" i="4"/>
  <c r="S187" i="4" s="1"/>
  <c r="Y192" i="4"/>
  <c r="AG192" i="4"/>
  <c r="AA192" i="4"/>
  <c r="X192" i="4"/>
  <c r="V192" i="4"/>
  <c r="P192" i="4"/>
  <c r="AG194" i="4"/>
  <c r="AB268" i="4"/>
  <c r="R268" i="4"/>
  <c r="Y106" i="4"/>
  <c r="S107" i="4"/>
  <c r="AB107" i="4"/>
  <c r="S109" i="4"/>
  <c r="P110" i="4"/>
  <c r="V110" i="4" s="1"/>
  <c r="AB110" i="4"/>
  <c r="V111" i="4"/>
  <c r="P112" i="4"/>
  <c r="U113" i="4"/>
  <c r="S114" i="4"/>
  <c r="AC114" i="4"/>
  <c r="V115" i="4"/>
  <c r="Y117" i="4"/>
  <c r="U118" i="4"/>
  <c r="R119" i="4"/>
  <c r="AA119" i="4"/>
  <c r="Y121" i="4"/>
  <c r="Y123" i="4"/>
  <c r="AA124" i="4"/>
  <c r="AA125" i="4"/>
  <c r="V126" i="4"/>
  <c r="P127" i="4"/>
  <c r="AB127" i="4" s="1"/>
  <c r="AA127" i="4"/>
  <c r="P129" i="4"/>
  <c r="AC130" i="4"/>
  <c r="W131" i="4"/>
  <c r="W133" i="4"/>
  <c r="AB135" i="4"/>
  <c r="X136" i="4"/>
  <c r="Y137" i="4"/>
  <c r="W138" i="4"/>
  <c r="T139" i="4"/>
  <c r="AA141" i="4"/>
  <c r="V142" i="4"/>
  <c r="P143" i="4"/>
  <c r="AC143" i="4"/>
  <c r="S145" i="4"/>
  <c r="AC146" i="4"/>
  <c r="Y147" i="4"/>
  <c r="AC149" i="4"/>
  <c r="AA150" i="4"/>
  <c r="V151" i="4"/>
  <c r="X152" i="4"/>
  <c r="W153" i="4"/>
  <c r="V154" i="4"/>
  <c r="R155" i="4"/>
  <c r="AC155" i="4"/>
  <c r="W157" i="4"/>
  <c r="T158" i="4"/>
  <c r="AG158" i="4"/>
  <c r="AB159" i="4"/>
  <c r="Z160" i="4"/>
  <c r="X161" i="4"/>
  <c r="V162" i="4"/>
  <c r="P163" i="4"/>
  <c r="P165" i="4"/>
  <c r="W165" i="4" s="1"/>
  <c r="P166" i="4"/>
  <c r="W166" i="4" s="1"/>
  <c r="AA166" i="4"/>
  <c r="X167" i="4"/>
  <c r="V169" i="4"/>
  <c r="S170" i="4"/>
  <c r="AB170" i="4"/>
  <c r="AA171" i="4"/>
  <c r="AG172" i="4"/>
  <c r="T174" i="4"/>
  <c r="AC174" i="4"/>
  <c r="Y175" i="4"/>
  <c r="X176" i="4"/>
  <c r="AC177" i="4"/>
  <c r="V178" i="4"/>
  <c r="AC187" i="4"/>
  <c r="Z190" i="4"/>
  <c r="S192" i="4"/>
  <c r="AA106" i="4"/>
  <c r="T107" i="4"/>
  <c r="AC107" i="4"/>
  <c r="U109" i="4"/>
  <c r="S110" i="4"/>
  <c r="AC110" i="4"/>
  <c r="W111" i="4"/>
  <c r="R112" i="4"/>
  <c r="V113" i="4"/>
  <c r="T114" i="4"/>
  <c r="AG114" i="4"/>
  <c r="W115" i="4"/>
  <c r="AA117" i="4"/>
  <c r="AB119" i="4"/>
  <c r="AC125" i="4"/>
  <c r="W126" i="4"/>
  <c r="R127" i="4"/>
  <c r="AC127" i="4"/>
  <c r="V129" i="4"/>
  <c r="T130" i="4"/>
  <c r="AG130" i="4"/>
  <c r="AC132" i="4"/>
  <c r="Y133" i="4"/>
  <c r="U134" i="4"/>
  <c r="P135" i="4"/>
  <c r="AC135" i="4"/>
  <c r="Y136" i="4"/>
  <c r="AC137" i="4"/>
  <c r="Y138" i="4"/>
  <c r="W142" i="4"/>
  <c r="T143" i="4"/>
  <c r="AG143" i="4"/>
  <c r="U145" i="4"/>
  <c r="P146" i="4"/>
  <c r="AG146" i="4"/>
  <c r="Z147" i="4"/>
  <c r="P149" i="4"/>
  <c r="AG149" i="4"/>
  <c r="AB150" i="4"/>
  <c r="W151" i="4"/>
  <c r="AC152" i="4"/>
  <c r="Y153" i="4"/>
  <c r="W154" i="4"/>
  <c r="S155" i="4"/>
  <c r="AG155" i="4"/>
  <c r="X157" i="4"/>
  <c r="U158" i="4"/>
  <c r="AG159" i="4"/>
  <c r="AC160" i="4"/>
  <c r="AC161" i="4"/>
  <c r="W162" i="4"/>
  <c r="S163" i="4"/>
  <c r="P164" i="4"/>
  <c r="Z164" i="4" s="1"/>
  <c r="T165" i="4"/>
  <c r="R166" i="4"/>
  <c r="AB166" i="4"/>
  <c r="AA167" i="4"/>
  <c r="W169" i="4"/>
  <c r="T170" i="4"/>
  <c r="AC170" i="4"/>
  <c r="AC171" i="4"/>
  <c r="U174" i="4"/>
  <c r="AG174" i="4"/>
  <c r="AA175" i="4"/>
  <c r="AA176" i="4"/>
  <c r="AG177" i="4"/>
  <c r="W178" i="4"/>
  <c r="U179" i="4"/>
  <c r="AG185" i="4"/>
  <c r="Y185" i="4"/>
  <c r="Y188" i="4"/>
  <c r="AG188" i="4"/>
  <c r="X188" i="4"/>
  <c r="S188" i="4"/>
  <c r="AB190" i="4"/>
  <c r="Y193" i="4"/>
  <c r="AG193" i="4"/>
  <c r="P106" i="4"/>
  <c r="AB106" i="4"/>
  <c r="U107" i="4"/>
  <c r="AG107" i="4"/>
  <c r="T110" i="4"/>
  <c r="Y111" i="4"/>
  <c r="Y112" i="4"/>
  <c r="W113" i="4"/>
  <c r="U114" i="4"/>
  <c r="Y115" i="4"/>
  <c r="AC117" i="4"/>
  <c r="Y118" i="4"/>
  <c r="AC119" i="4"/>
  <c r="AC121" i="4"/>
  <c r="W122" i="4"/>
  <c r="R123" i="4"/>
  <c r="AA123" i="4"/>
  <c r="P125" i="4"/>
  <c r="AG125" i="4"/>
  <c r="Y126" i="4"/>
  <c r="S127" i="4"/>
  <c r="AG127" i="4"/>
  <c r="W129" i="4"/>
  <c r="X131" i="4"/>
  <c r="AA131" i="4"/>
  <c r="AA133" i="4"/>
  <c r="V134" i="4"/>
  <c r="R135" i="4"/>
  <c r="AG135" i="4"/>
  <c r="AG137" i="4"/>
  <c r="AA138" i="4"/>
  <c r="AB141" i="4"/>
  <c r="AG141" i="4"/>
  <c r="Y142" i="4"/>
  <c r="U143" i="4"/>
  <c r="V145" i="4"/>
  <c r="T146" i="4"/>
  <c r="S149" i="4"/>
  <c r="AC150" i="4"/>
  <c r="Z151" i="4"/>
  <c r="AA153" i="4"/>
  <c r="Y154" i="4"/>
  <c r="T155" i="4"/>
  <c r="V158" i="4"/>
  <c r="U163" i="4"/>
  <c r="S164" i="4"/>
  <c r="V165" i="4"/>
  <c r="S166" i="4"/>
  <c r="AC166" i="4"/>
  <c r="AC167" i="4"/>
  <c r="U170" i="4"/>
  <c r="AG170" i="4"/>
  <c r="V174" i="4"/>
  <c r="Y178" i="4"/>
  <c r="Z199" i="4"/>
  <c r="X199" i="4"/>
  <c r="U199" i="4"/>
  <c r="S199" i="4"/>
  <c r="P199" i="4"/>
  <c r="Y199" i="4" s="1"/>
  <c r="AB207" i="4"/>
  <c r="Z236" i="4"/>
  <c r="Y240" i="4"/>
  <c r="AA260" i="4"/>
  <c r="AC266" i="4"/>
  <c r="AC280" i="4"/>
  <c r="AB281" i="4"/>
  <c r="AC282" i="4"/>
  <c r="W284" i="4"/>
  <c r="Z288" i="4"/>
  <c r="Z338" i="4"/>
  <c r="V338" i="4"/>
  <c r="U338" i="4"/>
  <c r="T338" i="4"/>
  <c r="R338" i="4"/>
  <c r="AG377" i="4"/>
  <c r="Y377" i="4"/>
  <c r="X377" i="4"/>
  <c r="U377" i="4"/>
  <c r="U186" i="4"/>
  <c r="AG186" i="4"/>
  <c r="T191" i="4"/>
  <c r="AC201" i="4"/>
  <c r="AA202" i="4"/>
  <c r="Y203" i="4"/>
  <c r="AG207" i="4"/>
  <c r="S211" i="4"/>
  <c r="T212" i="4"/>
  <c r="AF212" i="4" s="1"/>
  <c r="AH212" i="4" s="1"/>
  <c r="AC212" i="4"/>
  <c r="Y214" i="4"/>
  <c r="U215" i="4"/>
  <c r="S216" i="4"/>
  <c r="AB216" i="4"/>
  <c r="U218" i="4"/>
  <c r="AB222" i="4"/>
  <c r="Z222" i="4"/>
  <c r="Y224" i="4"/>
  <c r="U227" i="4"/>
  <c r="W228" i="4"/>
  <c r="AA230" i="4"/>
  <c r="V234" i="4"/>
  <c r="P236" i="4"/>
  <c r="AA236" i="4"/>
  <c r="X237" i="4"/>
  <c r="V238" i="4"/>
  <c r="P240" i="4"/>
  <c r="Z240" i="4"/>
  <c r="R242" i="4"/>
  <c r="Y244" i="4"/>
  <c r="X245" i="4"/>
  <c r="AA246" i="4"/>
  <c r="AC247" i="4"/>
  <c r="Y248" i="4"/>
  <c r="R250" i="4"/>
  <c r="T251" i="4"/>
  <c r="Z252" i="4"/>
  <c r="AB253" i="4"/>
  <c r="AC254" i="4"/>
  <c r="W256" i="4"/>
  <c r="AC258" i="4"/>
  <c r="P260" i="4"/>
  <c r="S260" i="4" s="1"/>
  <c r="AB260" i="4"/>
  <c r="T263" i="4"/>
  <c r="Y264" i="4"/>
  <c r="R266" i="4"/>
  <c r="AG266" i="4"/>
  <c r="S268" i="4"/>
  <c r="V272" i="4"/>
  <c r="T275" i="4"/>
  <c r="W276" i="4"/>
  <c r="R278" i="4"/>
  <c r="P280" i="4"/>
  <c r="S280" i="4" s="1"/>
  <c r="AG280" i="4"/>
  <c r="AC281" i="4"/>
  <c r="AG283" i="4"/>
  <c r="Y284" i="4"/>
  <c r="Z286" i="4"/>
  <c r="U287" i="4"/>
  <c r="P288" i="4"/>
  <c r="AA288" i="4" s="1"/>
  <c r="AB288" i="4"/>
  <c r="X289" i="4"/>
  <c r="U290" i="4"/>
  <c r="Z291" i="4"/>
  <c r="AB291" i="4"/>
  <c r="AC291" i="4"/>
  <c r="AC368" i="4"/>
  <c r="AA368" i="4"/>
  <c r="U368" i="4"/>
  <c r="T368" i="4"/>
  <c r="S368" i="4"/>
  <c r="Z208" i="4"/>
  <c r="V211" i="4"/>
  <c r="Y227" i="4"/>
  <c r="AC230" i="4"/>
  <c r="R236" i="4"/>
  <c r="AB236" i="4"/>
  <c r="R240" i="4"/>
  <c r="AA240" i="4"/>
  <c r="V242" i="4"/>
  <c r="Z244" i="4"/>
  <c r="Z248" i="4"/>
  <c r="V250" i="4"/>
  <c r="Y251" i="4"/>
  <c r="R260" i="4"/>
  <c r="AG260" i="4"/>
  <c r="Y263" i="4"/>
  <c r="Z284" i="4"/>
  <c r="S288" i="4"/>
  <c r="AC288" i="4"/>
  <c r="V300" i="4"/>
  <c r="T300" i="4"/>
  <c r="AG300" i="4"/>
  <c r="S300" i="4"/>
  <c r="AC300" i="4"/>
  <c r="R300" i="4"/>
  <c r="AB300" i="4"/>
  <c r="P300" i="4"/>
  <c r="U300" i="4" s="1"/>
  <c r="Y300" i="4"/>
  <c r="W300" i="4"/>
  <c r="AB399" i="4"/>
  <c r="Y399" i="4"/>
  <c r="X399" i="4"/>
  <c r="V399" i="4"/>
  <c r="U399" i="4"/>
  <c r="X426" i="4"/>
  <c r="AG426" i="4"/>
  <c r="AC426" i="4"/>
  <c r="V426" i="4"/>
  <c r="U426" i="4"/>
  <c r="T426" i="4"/>
  <c r="W186" i="4"/>
  <c r="X191" i="4"/>
  <c r="R196" i="4"/>
  <c r="AG202" i="4"/>
  <c r="AC203" i="4"/>
  <c r="S207" i="4"/>
  <c r="P208" i="4"/>
  <c r="S208" i="4" s="1"/>
  <c r="AA208" i="4"/>
  <c r="X211" i="4"/>
  <c r="V212" i="4"/>
  <c r="AC214" i="4"/>
  <c r="AB215" i="4"/>
  <c r="U216" i="4"/>
  <c r="AG216" i="4"/>
  <c r="W218" i="4"/>
  <c r="AA220" i="4"/>
  <c r="R222" i="4"/>
  <c r="AG222" i="4"/>
  <c r="R224" i="4"/>
  <c r="AB224" i="4"/>
  <c r="Z228" i="4"/>
  <c r="R230" i="4"/>
  <c r="AG230" i="4"/>
  <c r="Z234" i="4"/>
  <c r="S236" i="4"/>
  <c r="AG236" i="4"/>
  <c r="AB237" i="4"/>
  <c r="Z238" i="4"/>
  <c r="S240" i="4"/>
  <c r="AB240" i="4"/>
  <c r="W242" i="4"/>
  <c r="P244" i="4"/>
  <c r="AA244" i="4"/>
  <c r="AB245" i="4"/>
  <c r="AG246" i="4"/>
  <c r="P248" i="4"/>
  <c r="AB248" i="4" s="1"/>
  <c r="AG248" i="4"/>
  <c r="W250" i="4"/>
  <c r="AB252" i="4"/>
  <c r="Z256" i="4"/>
  <c r="S258" i="4"/>
  <c r="T260" i="4"/>
  <c r="AA263" i="4"/>
  <c r="AB264" i="4"/>
  <c r="U266" i="4"/>
  <c r="P267" i="4"/>
  <c r="S267" i="4" s="1"/>
  <c r="V268" i="4"/>
  <c r="AA271" i="4"/>
  <c r="Y272" i="4"/>
  <c r="R274" i="4"/>
  <c r="Z276" i="4"/>
  <c r="Z278" i="4"/>
  <c r="V280" i="4"/>
  <c r="P281" i="4"/>
  <c r="P282" i="4"/>
  <c r="S283" i="4"/>
  <c r="P284" i="4"/>
  <c r="T284" i="4" s="1"/>
  <c r="AA284" i="4"/>
  <c r="R286" i="4"/>
  <c r="AC286" i="4"/>
  <c r="Y287" i="4"/>
  <c r="T288" i="4"/>
  <c r="AG288" i="4"/>
  <c r="AA289" i="4"/>
  <c r="W290" i="4"/>
  <c r="S291" i="4"/>
  <c r="Z300" i="4"/>
  <c r="X311" i="4"/>
  <c r="V311" i="4"/>
  <c r="T311" i="4"/>
  <c r="S311" i="4"/>
  <c r="R311" i="4"/>
  <c r="AB311" i="4"/>
  <c r="P311" i="4"/>
  <c r="Z311" i="4"/>
  <c r="Y311" i="4"/>
  <c r="V348" i="4"/>
  <c r="T348" i="4"/>
  <c r="R348" i="4"/>
  <c r="P348" i="4"/>
  <c r="X348" i="4" s="1"/>
  <c r="Z348" i="4"/>
  <c r="Y348" i="4"/>
  <c r="AG363" i="4"/>
  <c r="AC363" i="4"/>
  <c r="U363" i="4"/>
  <c r="Y186" i="4"/>
  <c r="Y191" i="4"/>
  <c r="S196" i="4"/>
  <c r="V207" i="4"/>
  <c r="R208" i="4"/>
  <c r="AB208" i="4"/>
  <c r="R210" i="4"/>
  <c r="AB211" i="4"/>
  <c r="W212" i="4"/>
  <c r="AG214" i="4"/>
  <c r="AC215" i="4"/>
  <c r="V216" i="4"/>
  <c r="Y218" i="4"/>
  <c r="P220" i="4"/>
  <c r="AB220" i="4"/>
  <c r="S222" i="4"/>
  <c r="S224" i="4"/>
  <c r="AG224" i="4"/>
  <c r="AA228" i="4"/>
  <c r="S230" i="4"/>
  <c r="T233" i="4"/>
  <c r="AA234" i="4"/>
  <c r="T236" i="4"/>
  <c r="AG237" i="4"/>
  <c r="AA238" i="4"/>
  <c r="T240" i="4"/>
  <c r="AC240" i="4"/>
  <c r="Z242" i="4"/>
  <c r="R244" i="4"/>
  <c r="AB244" i="4"/>
  <c r="R248" i="4"/>
  <c r="Z250" i="4"/>
  <c r="P252" i="4"/>
  <c r="AG252" i="4"/>
  <c r="R254" i="4"/>
  <c r="AA255" i="4"/>
  <c r="AA256" i="4"/>
  <c r="U258" i="4"/>
  <c r="P259" i="4"/>
  <c r="V260" i="4"/>
  <c r="AG264" i="4"/>
  <c r="V266" i="4"/>
  <c r="X267" i="4"/>
  <c r="W268" i="4"/>
  <c r="R270" i="4"/>
  <c r="Z272" i="4"/>
  <c r="V274" i="4"/>
  <c r="AA276" i="4"/>
  <c r="AA278" i="4"/>
  <c r="W280" i="4"/>
  <c r="R281" i="4"/>
  <c r="R282" i="4"/>
  <c r="T283" i="4"/>
  <c r="R284" i="4"/>
  <c r="AB284" i="4"/>
  <c r="S286" i="4"/>
  <c r="AG286" i="4"/>
  <c r="AA287" i="4"/>
  <c r="U288" i="4"/>
  <c r="AG289" i="4"/>
  <c r="Y290" i="4"/>
  <c r="T291" i="4"/>
  <c r="AA311" i="4"/>
  <c r="AG349" i="4"/>
  <c r="V349" i="4"/>
  <c r="T349" i="4"/>
  <c r="R349" i="4"/>
  <c r="AC401" i="4"/>
  <c r="Y401" i="4"/>
  <c r="X401" i="4"/>
  <c r="W401" i="4"/>
  <c r="V401" i="4"/>
  <c r="Z186" i="4"/>
  <c r="AA191" i="4"/>
  <c r="V196" i="4"/>
  <c r="T201" i="4"/>
  <c r="T202" i="4"/>
  <c r="P203" i="4"/>
  <c r="V204" i="4"/>
  <c r="W207" i="4"/>
  <c r="T208" i="4"/>
  <c r="AC208" i="4"/>
  <c r="W210" i="4"/>
  <c r="Y212" i="4"/>
  <c r="P214" i="4"/>
  <c r="AG215" i="4"/>
  <c r="W216" i="4"/>
  <c r="R220" i="4"/>
  <c r="AC220" i="4"/>
  <c r="U222" i="4"/>
  <c r="S223" i="4"/>
  <c r="T224" i="4"/>
  <c r="P228" i="4"/>
  <c r="AB228" i="4"/>
  <c r="U230" i="4"/>
  <c r="S231" i="4"/>
  <c r="AC234" i="4"/>
  <c r="U236" i="4"/>
  <c r="AC238" i="4"/>
  <c r="U240" i="4"/>
  <c r="AG240" i="4"/>
  <c r="AA242" i="4"/>
  <c r="S244" i="4"/>
  <c r="AG244" i="4"/>
  <c r="P247" i="4"/>
  <c r="X247" i="4" s="1"/>
  <c r="S248" i="4"/>
  <c r="U249" i="4"/>
  <c r="AA250" i="4"/>
  <c r="R252" i="4"/>
  <c r="V254" i="4"/>
  <c r="AB256" i="4"/>
  <c r="V258" i="4"/>
  <c r="S259" i="4"/>
  <c r="W260" i="4"/>
  <c r="R262" i="4"/>
  <c r="P264" i="4"/>
  <c r="W266" i="4"/>
  <c r="AB267" i="4"/>
  <c r="Y268" i="4"/>
  <c r="U270" i="4"/>
  <c r="AA272" i="4"/>
  <c r="Z274" i="4"/>
  <c r="P276" i="4"/>
  <c r="S276" i="4" s="1"/>
  <c r="AB276" i="4"/>
  <c r="AC278" i="4"/>
  <c r="Z280" i="4"/>
  <c r="T281" i="4"/>
  <c r="W282" i="4"/>
  <c r="AC284" i="4"/>
  <c r="AB287" i="4"/>
  <c r="V288" i="4"/>
  <c r="Z290" i="4"/>
  <c r="AB333" i="4"/>
  <c r="V333" i="4"/>
  <c r="X344" i="4"/>
  <c r="R186" i="4"/>
  <c r="AA186" i="4"/>
  <c r="P191" i="4"/>
  <c r="U201" i="4"/>
  <c r="U202" i="4"/>
  <c r="R203" i="4"/>
  <c r="X204" i="4"/>
  <c r="U208" i="4"/>
  <c r="AG208" i="4"/>
  <c r="X210" i="4"/>
  <c r="Z212" i="4"/>
  <c r="R214" i="4"/>
  <c r="Y216" i="4"/>
  <c r="P218" i="4"/>
  <c r="V218" i="4" s="1"/>
  <c r="AA218" i="4"/>
  <c r="T220" i="4"/>
  <c r="AG220" i="4"/>
  <c r="V222" i="4"/>
  <c r="W223" i="4"/>
  <c r="S228" i="4"/>
  <c r="AG228" i="4"/>
  <c r="V230" i="4"/>
  <c r="AG234" i="4"/>
  <c r="V236" i="4"/>
  <c r="R238" i="4"/>
  <c r="AG238" i="4"/>
  <c r="V240" i="4"/>
  <c r="T244" i="4"/>
  <c r="R246" i="4"/>
  <c r="T248" i="4"/>
  <c r="X249" i="4"/>
  <c r="AC250" i="4"/>
  <c r="T253" i="4"/>
  <c r="W254" i="4"/>
  <c r="P256" i="4"/>
  <c r="W258" i="4"/>
  <c r="X259" i="4"/>
  <c r="Y260" i="4"/>
  <c r="T264" i="4"/>
  <c r="Z266" i="4"/>
  <c r="Z268" i="4"/>
  <c r="P272" i="4"/>
  <c r="S272" i="4" s="1"/>
  <c r="AA274" i="4"/>
  <c r="R276" i="4"/>
  <c r="AA280" i="4"/>
  <c r="W281" i="4"/>
  <c r="Z282" i="4"/>
  <c r="AG284" i="4"/>
  <c r="V286" i="4"/>
  <c r="P287" i="4"/>
  <c r="S287" i="4" s="1"/>
  <c r="AC287" i="4"/>
  <c r="W288" i="4"/>
  <c r="P290" i="4"/>
  <c r="AA290" i="4"/>
  <c r="W291" i="4"/>
  <c r="AB345" i="4"/>
  <c r="AG345" i="4"/>
  <c r="V345" i="4"/>
  <c r="T345" i="4"/>
  <c r="R345" i="4"/>
  <c r="R292" i="4"/>
  <c r="AA292" i="4"/>
  <c r="S294" i="4"/>
  <c r="AG294" i="4"/>
  <c r="AA295" i="4"/>
  <c r="U296" i="4"/>
  <c r="AG296" i="4"/>
  <c r="S298" i="4"/>
  <c r="AG298" i="4"/>
  <c r="AC299" i="4"/>
  <c r="W301" i="4"/>
  <c r="V302" i="4"/>
  <c r="T303" i="4"/>
  <c r="P304" i="4"/>
  <c r="AA304" i="4"/>
  <c r="S306" i="4"/>
  <c r="AG306" i="4"/>
  <c r="AB307" i="4"/>
  <c r="T310" i="4"/>
  <c r="T314" i="4"/>
  <c r="Z315" i="4"/>
  <c r="V320" i="4"/>
  <c r="W321" i="4"/>
  <c r="W322" i="4"/>
  <c r="V324" i="4"/>
  <c r="Y325" i="4"/>
  <c r="Z326" i="4"/>
  <c r="T329" i="4"/>
  <c r="T330" i="4"/>
  <c r="AG333" i="4"/>
  <c r="AB334" i="4"/>
  <c r="R336" i="4"/>
  <c r="V337" i="4"/>
  <c r="V340" i="4"/>
  <c r="AG341" i="4"/>
  <c r="AB342" i="4"/>
  <c r="R346" i="4"/>
  <c r="S347" i="4"/>
  <c r="R350" i="4"/>
  <c r="T351" i="4"/>
  <c r="Z352" i="4"/>
  <c r="U354" i="4"/>
  <c r="T355" i="4"/>
  <c r="Z356" i="4"/>
  <c r="T358" i="4"/>
  <c r="W359" i="4"/>
  <c r="AA360" i="4"/>
  <c r="Y361" i="4"/>
  <c r="Y362" i="4"/>
  <c r="AB365" i="4"/>
  <c r="AC367" i="4"/>
  <c r="AG371" i="4"/>
  <c r="AA372" i="4"/>
  <c r="Z373" i="4"/>
  <c r="AG374" i="4"/>
  <c r="T376" i="4"/>
  <c r="AC376" i="4"/>
  <c r="V378" i="4"/>
  <c r="AG379" i="4"/>
  <c r="W380" i="4"/>
  <c r="U381" i="4"/>
  <c r="AG382" i="4"/>
  <c r="R384" i="4"/>
  <c r="AG384" i="4"/>
  <c r="V389" i="4"/>
  <c r="V391" i="4"/>
  <c r="Y397" i="4"/>
  <c r="T400" i="4"/>
  <c r="V405" i="4"/>
  <c r="V407" i="4"/>
  <c r="AG408" i="4"/>
  <c r="W413" i="4"/>
  <c r="W416" i="4"/>
  <c r="AG418" i="4"/>
  <c r="AC421" i="4"/>
  <c r="T424" i="4"/>
  <c r="AC425" i="4"/>
  <c r="T428" i="4"/>
  <c r="W429" i="4"/>
  <c r="AB295" i="4"/>
  <c r="AG299" i="4"/>
  <c r="X301" i="4"/>
  <c r="W302" i="4"/>
  <c r="U303" i="4"/>
  <c r="R304" i="4"/>
  <c r="AC304" i="4"/>
  <c r="U306" i="4"/>
  <c r="AC307" i="4"/>
  <c r="AA315" i="4"/>
  <c r="R318" i="4"/>
  <c r="AA320" i="4"/>
  <c r="Z322" i="4"/>
  <c r="AA324" i="4"/>
  <c r="AB325" i="4"/>
  <c r="AC326" i="4"/>
  <c r="S328" i="4"/>
  <c r="V329" i="4"/>
  <c r="U330" i="4"/>
  <c r="T336" i="4"/>
  <c r="AG337" i="4"/>
  <c r="R339" i="4"/>
  <c r="X340" i="4"/>
  <c r="Z344" i="4"/>
  <c r="T346" i="4"/>
  <c r="T347" i="4"/>
  <c r="U350" i="4"/>
  <c r="V354" i="4"/>
  <c r="V358" i="4"/>
  <c r="AB360" i="4"/>
  <c r="Z361" i="4"/>
  <c r="AG362" i="4"/>
  <c r="T364" i="4"/>
  <c r="P365" i="4"/>
  <c r="AG367" i="4"/>
  <c r="P369" i="4"/>
  <c r="AA369" i="4" s="1"/>
  <c r="AB372" i="4"/>
  <c r="AA373" i="4"/>
  <c r="U376" i="4"/>
  <c r="AG376" i="4"/>
  <c r="X378" i="4"/>
  <c r="Y380" i="4"/>
  <c r="X381" i="4"/>
  <c r="U384" i="4"/>
  <c r="W389" i="4"/>
  <c r="U403" i="4"/>
  <c r="W405" i="4"/>
  <c r="X407" i="4"/>
  <c r="T410" i="4"/>
  <c r="S411" i="4"/>
  <c r="AC413" i="4"/>
  <c r="V415" i="4"/>
  <c r="X416" i="4"/>
  <c r="V420" i="4"/>
  <c r="AG421" i="4"/>
  <c r="S423" i="4"/>
  <c r="AG425" i="4"/>
  <c r="T427" i="4"/>
  <c r="V428" i="4"/>
  <c r="AC429" i="4"/>
  <c r="U292" i="4"/>
  <c r="AG292" i="4"/>
  <c r="W294" i="4"/>
  <c r="S295" i="4"/>
  <c r="Y296" i="4"/>
  <c r="X297" i="4"/>
  <c r="W298" i="4"/>
  <c r="S299" i="4"/>
  <c r="AG301" i="4"/>
  <c r="Y303" i="4"/>
  <c r="T304" i="4"/>
  <c r="W306" i="4"/>
  <c r="S307" i="4"/>
  <c r="X321" i="4"/>
  <c r="AG322" i="4"/>
  <c r="AA328" i="4"/>
  <c r="Y329" i="4"/>
  <c r="W330" i="4"/>
  <c r="R333" i="4"/>
  <c r="T334" i="4"/>
  <c r="S335" i="4"/>
  <c r="X336" i="4"/>
  <c r="T339" i="4"/>
  <c r="Z340" i="4"/>
  <c r="T342" i="4"/>
  <c r="X346" i="4"/>
  <c r="Z350" i="4"/>
  <c r="R352" i="4"/>
  <c r="V353" i="4"/>
  <c r="Z354" i="4"/>
  <c r="R356" i="4"/>
  <c r="T357" i="4"/>
  <c r="Z358" i="4"/>
  <c r="S360" i="4"/>
  <c r="AB361" i="4"/>
  <c r="V364" i="4"/>
  <c r="S365" i="4"/>
  <c r="S372" i="4"/>
  <c r="R380" i="4"/>
  <c r="AA380" i="4"/>
  <c r="X383" i="4"/>
  <c r="Y389" i="4"/>
  <c r="X403" i="4"/>
  <c r="AC407" i="4"/>
  <c r="V409" i="4"/>
  <c r="V410" i="4"/>
  <c r="U411" i="4"/>
  <c r="AG416" i="4"/>
  <c r="V427" i="4"/>
  <c r="AB428" i="4"/>
  <c r="V292" i="4"/>
  <c r="Y294" i="4"/>
  <c r="T295" i="4"/>
  <c r="P296" i="4"/>
  <c r="Z296" i="4"/>
  <c r="AA297" i="4"/>
  <c r="T299" i="4"/>
  <c r="AB302" i="4"/>
  <c r="AC302" i="4"/>
  <c r="AB303" i="4"/>
  <c r="U304" i="4"/>
  <c r="Y306" i="4"/>
  <c r="T307" i="4"/>
  <c r="S315" i="4"/>
  <c r="R316" i="4"/>
  <c r="W318" i="4"/>
  <c r="P321" i="4"/>
  <c r="AB321" i="4" s="1"/>
  <c r="R322" i="4"/>
  <c r="P325" i="4"/>
  <c r="R325" i="4" s="1"/>
  <c r="T326" i="4"/>
  <c r="AB329" i="4"/>
  <c r="AC330" i="4"/>
  <c r="T333" i="4"/>
  <c r="U334" i="4"/>
  <c r="T335" i="4"/>
  <c r="Y336" i="4"/>
  <c r="U342" i="4"/>
  <c r="P344" i="4"/>
  <c r="T352" i="4"/>
  <c r="AB354" i="4"/>
  <c r="T356" i="4"/>
  <c r="V357" i="4"/>
  <c r="AB358" i="4"/>
  <c r="X376" i="4"/>
  <c r="Y376" i="4"/>
  <c r="S380" i="4"/>
  <c r="AB380" i="4"/>
  <c r="Y384" i="4"/>
  <c r="Y403" i="4"/>
  <c r="T418" i="4"/>
  <c r="U419" i="4"/>
  <c r="V423" i="4"/>
  <c r="T425" i="4"/>
  <c r="AG428" i="4"/>
  <c r="W292" i="4"/>
  <c r="Z294" i="4"/>
  <c r="U295" i="4"/>
  <c r="R296" i="4"/>
  <c r="AA296" i="4"/>
  <c r="Z298" i="4"/>
  <c r="W299" i="4"/>
  <c r="Z306" i="4"/>
  <c r="T316" i="4"/>
  <c r="AG329" i="4"/>
  <c r="Y292" i="4"/>
  <c r="P294" i="4"/>
  <c r="AA294" i="4"/>
  <c r="W295" i="4"/>
  <c r="S296" i="4"/>
  <c r="AB296" i="4"/>
  <c r="P298" i="4"/>
  <c r="Y298" i="4" s="1"/>
  <c r="AA298" i="4"/>
  <c r="Y299" i="4"/>
  <c r="S302" i="4"/>
  <c r="AG303" i="4"/>
  <c r="Y304" i="4"/>
  <c r="P306" i="4"/>
  <c r="AA306" i="4"/>
  <c r="Y307" i="4"/>
  <c r="V315" i="4"/>
  <c r="AC318" i="4"/>
  <c r="R320" i="4"/>
  <c r="T321" i="4"/>
  <c r="U322" i="4"/>
  <c r="P324" i="4"/>
  <c r="S324" i="4" s="1"/>
  <c r="V325" i="4"/>
  <c r="V326" i="4"/>
  <c r="P329" i="4"/>
  <c r="W333" i="4"/>
  <c r="X334" i="4"/>
  <c r="R340" i="4"/>
  <c r="T341" i="4"/>
  <c r="X342" i="4"/>
  <c r="V344" i="4"/>
  <c r="R351" i="4"/>
  <c r="X352" i="4"/>
  <c r="R354" i="4"/>
  <c r="R355" i="4"/>
  <c r="X356" i="4"/>
  <c r="U359" i="4"/>
  <c r="V360" i="4"/>
  <c r="S361" i="4"/>
  <c r="R362" i="4"/>
  <c r="AB364" i="4"/>
  <c r="Z365" i="4"/>
  <c r="U367" i="4"/>
  <c r="W371" i="4"/>
  <c r="V372" i="4"/>
  <c r="T373" i="4"/>
  <c r="Y374" i="4"/>
  <c r="R376" i="4"/>
  <c r="AA376" i="4"/>
  <c r="X379" i="4"/>
  <c r="U380" i="4"/>
  <c r="AG380" i="4"/>
  <c r="AB384" i="4"/>
  <c r="X393" i="4"/>
  <c r="W397" i="4"/>
  <c r="T407" i="4"/>
  <c r="V408" i="4"/>
  <c r="AC409" i="4"/>
  <c r="AC410" i="4"/>
  <c r="T413" i="4"/>
  <c r="W414" i="4"/>
  <c r="T416" i="4"/>
  <c r="W418" i="4"/>
  <c r="T421" i="4"/>
  <c r="T429" i="4"/>
  <c r="Z292" i="4"/>
  <c r="R294" i="4"/>
  <c r="AC294" i="4"/>
  <c r="Y295" i="4"/>
  <c r="T296" i="4"/>
  <c r="AC296" i="4"/>
  <c r="R298" i="4"/>
  <c r="AC298" i="4"/>
  <c r="AB299" i="4"/>
  <c r="U302" i="4"/>
  <c r="R306" i="4"/>
  <c r="AC306" i="4"/>
  <c r="AA307" i="4"/>
  <c r="Y315" i="4"/>
  <c r="V321" i="4"/>
  <c r="W325" i="4"/>
  <c r="P328" i="4"/>
  <c r="AB328" i="4" s="1"/>
  <c r="R329" i="4"/>
  <c r="Y333" i="4"/>
  <c r="T337" i="4"/>
  <c r="V341" i="4"/>
  <c r="R347" i="4"/>
  <c r="S351" i="4"/>
  <c r="S355" i="4"/>
  <c r="V359" i="4"/>
  <c r="Y360" i="4"/>
  <c r="T361" i="4"/>
  <c r="X362" i="4"/>
  <c r="P364" i="4"/>
  <c r="AC364" i="4"/>
  <c r="AA365" i="4"/>
  <c r="Y372" i="4"/>
  <c r="Y373" i="4"/>
  <c r="S376" i="4"/>
  <c r="AB376" i="4"/>
  <c r="V380" i="4"/>
  <c r="P384" i="4"/>
  <c r="T384" i="4" s="1"/>
  <c r="AC384" i="4"/>
  <c r="U391" i="4"/>
  <c r="Y393" i="4"/>
  <c r="X397" i="4"/>
  <c r="V417" i="4"/>
  <c r="AC418" i="4"/>
  <c r="U421" i="4"/>
  <c r="W425" i="4"/>
  <c r="S428" i="4"/>
  <c r="V429" i="4"/>
  <c r="P2" i="23"/>
  <c r="S3" i="23"/>
  <c r="S4" i="23"/>
  <c r="Q5" i="23"/>
  <c r="AC5" i="23"/>
  <c r="AC6" i="23"/>
  <c r="N8" i="23"/>
  <c r="W9" i="23"/>
  <c r="U10" i="23"/>
  <c r="N12" i="23"/>
  <c r="W12" i="23" s="1"/>
  <c r="AC16" i="23"/>
  <c r="X17" i="23"/>
  <c r="AC20" i="23"/>
  <c r="U21" i="23"/>
  <c r="AC24" i="23"/>
  <c r="W25" i="23"/>
  <c r="N28" i="23"/>
  <c r="AC29" i="23"/>
  <c r="N31" i="23"/>
  <c r="Y31" i="23"/>
  <c r="X33" i="23"/>
  <c r="N35" i="23"/>
  <c r="W35" i="23" s="1"/>
  <c r="AC37" i="23"/>
  <c r="R39" i="23"/>
  <c r="P41" i="23"/>
  <c r="S42" i="23"/>
  <c r="U43" i="23"/>
  <c r="X45" i="23"/>
  <c r="Q47" i="23"/>
  <c r="AC50" i="23"/>
  <c r="U51" i="23"/>
  <c r="X53" i="23"/>
  <c r="R55" i="23"/>
  <c r="P57" i="23"/>
  <c r="Q59" i="23"/>
  <c r="Y63" i="23"/>
  <c r="R66" i="23"/>
  <c r="U67" i="23"/>
  <c r="N69" i="23"/>
  <c r="AC69" i="23"/>
  <c r="N72" i="23"/>
  <c r="AC72" i="23"/>
  <c r="X73" i="23"/>
  <c r="W74" i="23"/>
  <c r="W78" i="23"/>
  <c r="R109" i="23"/>
  <c r="Y141" i="23"/>
  <c r="X141" i="23"/>
  <c r="R141" i="23"/>
  <c r="P141" i="23"/>
  <c r="R262" i="23"/>
  <c r="AC262" i="23"/>
  <c r="T262" i="23"/>
  <c r="S262" i="23"/>
  <c r="Q8" i="23"/>
  <c r="N9" i="23"/>
  <c r="X9" i="23"/>
  <c r="W10" i="23"/>
  <c r="S12" i="23"/>
  <c r="Q13" i="23"/>
  <c r="N14" i="23"/>
  <c r="W14" i="23" s="1"/>
  <c r="N16" i="23"/>
  <c r="Y17" i="23"/>
  <c r="N20" i="23"/>
  <c r="W21" i="23"/>
  <c r="N24" i="23"/>
  <c r="X25" i="23"/>
  <c r="P28" i="23"/>
  <c r="P29" i="23"/>
  <c r="P31" i="23"/>
  <c r="Y33" i="23"/>
  <c r="P35" i="23"/>
  <c r="T39" i="23"/>
  <c r="S41" i="23"/>
  <c r="AC42" i="23"/>
  <c r="X43" i="23"/>
  <c r="R47" i="23"/>
  <c r="P49" i="23"/>
  <c r="W51" i="23"/>
  <c r="U57" i="23"/>
  <c r="S66" i="23"/>
  <c r="V67" i="23"/>
  <c r="P69" i="23"/>
  <c r="Q72" i="23"/>
  <c r="X74" i="23"/>
  <c r="X78" i="23"/>
  <c r="Q81" i="23"/>
  <c r="X84" i="23"/>
  <c r="U84" i="23"/>
  <c r="T84" i="23"/>
  <c r="S84" i="23"/>
  <c r="AC84" i="23"/>
  <c r="N84" i="23"/>
  <c r="AC94" i="23"/>
  <c r="U94" i="23"/>
  <c r="S94" i="23"/>
  <c r="P94" i="23"/>
  <c r="AC136" i="23"/>
  <c r="Q136" i="23"/>
  <c r="P136" i="23"/>
  <c r="Y136" i="23"/>
  <c r="N136" i="23"/>
  <c r="W136" i="23"/>
  <c r="U136" i="23"/>
  <c r="T136" i="23"/>
  <c r="W142" i="23"/>
  <c r="X142" i="23"/>
  <c r="P142" i="23"/>
  <c r="V172" i="23"/>
  <c r="Y172" i="23"/>
  <c r="W172" i="23"/>
  <c r="U172" i="23"/>
  <c r="S172" i="23"/>
  <c r="Q172" i="23"/>
  <c r="N172" i="23"/>
  <c r="V288" i="23"/>
  <c r="W288" i="23"/>
  <c r="T288" i="23"/>
  <c r="S288" i="23"/>
  <c r="Q288" i="23"/>
  <c r="AC288" i="23"/>
  <c r="P288" i="23"/>
  <c r="Y288" i="23"/>
  <c r="N288" i="23"/>
  <c r="X288" i="23"/>
  <c r="R288" i="23"/>
  <c r="U2" i="23"/>
  <c r="Y3" i="23"/>
  <c r="W4" i="23"/>
  <c r="S5" i="23"/>
  <c r="N6" i="23"/>
  <c r="Q7" i="23"/>
  <c r="R8" i="23"/>
  <c r="P9" i="23"/>
  <c r="Y9" i="23"/>
  <c r="X10" i="23"/>
  <c r="T12" i="23"/>
  <c r="Q20" i="23"/>
  <c r="N21" i="23"/>
  <c r="X21" i="23"/>
  <c r="Q24" i="23"/>
  <c r="N25" i="23"/>
  <c r="Y25" i="23"/>
  <c r="R28" i="23"/>
  <c r="Q29" i="23"/>
  <c r="Q30" i="23"/>
  <c r="Q31" i="23"/>
  <c r="AC33" i="23"/>
  <c r="Q35" i="23"/>
  <c r="P37" i="23"/>
  <c r="S38" i="23"/>
  <c r="U39" i="23"/>
  <c r="T41" i="23"/>
  <c r="Y43" i="23"/>
  <c r="R46" i="23"/>
  <c r="T47" i="23"/>
  <c r="T49" i="23"/>
  <c r="N51" i="23"/>
  <c r="X51" i="23"/>
  <c r="U55" i="23"/>
  <c r="T59" i="23"/>
  <c r="Y67" i="23"/>
  <c r="Q69" i="23"/>
  <c r="Q70" i="23"/>
  <c r="T71" i="23"/>
  <c r="R72" i="23"/>
  <c r="N73" i="23"/>
  <c r="R73" i="23" s="1"/>
  <c r="AC73" i="23"/>
  <c r="AC74" i="23"/>
  <c r="R77" i="23"/>
  <c r="AB77" i="23" s="1"/>
  <c r="AD77" i="23" s="1"/>
  <c r="AC77" i="23"/>
  <c r="AC78" i="23"/>
  <c r="Q84" i="23"/>
  <c r="X94" i="23"/>
  <c r="R136" i="23"/>
  <c r="T172" i="23"/>
  <c r="S8" i="23"/>
  <c r="U12" i="23"/>
  <c r="S28" i="23"/>
  <c r="R31" i="23"/>
  <c r="R35" i="23"/>
  <c r="U41" i="23"/>
  <c r="AC67" i="23"/>
  <c r="AC144" i="23"/>
  <c r="X144" i="23"/>
  <c r="W144" i="23"/>
  <c r="U144" i="23"/>
  <c r="P144" i="23"/>
  <c r="N144" i="23"/>
  <c r="Q144" i="23" s="1"/>
  <c r="X177" i="23"/>
  <c r="R177" i="23"/>
  <c r="Q177" i="23"/>
  <c r="AC177" i="23"/>
  <c r="N177" i="23"/>
  <c r="W177" i="23"/>
  <c r="U177" i="23"/>
  <c r="T177" i="23"/>
  <c r="Y283" i="23"/>
  <c r="T283" i="23"/>
  <c r="R283" i="23"/>
  <c r="X2" i="23"/>
  <c r="AC4" i="23"/>
  <c r="U5" i="23"/>
  <c r="S6" i="23"/>
  <c r="U7" i="23"/>
  <c r="T8" i="23"/>
  <c r="R9" i="23"/>
  <c r="Y12" i="23"/>
  <c r="U13" i="23"/>
  <c r="U14" i="23"/>
  <c r="S16" i="23"/>
  <c r="Q17" i="23"/>
  <c r="P18" i="23"/>
  <c r="S20" i="23"/>
  <c r="Q21" i="23"/>
  <c r="S24" i="23"/>
  <c r="Q25" i="23"/>
  <c r="P26" i="23"/>
  <c r="U28" i="23"/>
  <c r="T29" i="23"/>
  <c r="S30" i="23"/>
  <c r="T31" i="23"/>
  <c r="Q33" i="23"/>
  <c r="R34" i="23"/>
  <c r="T35" i="23"/>
  <c r="S37" i="23"/>
  <c r="X39" i="23"/>
  <c r="X41" i="23"/>
  <c r="P43" i="23"/>
  <c r="AC46" i="23"/>
  <c r="X49" i="23"/>
  <c r="Q51" i="23"/>
  <c r="Y55" i="23"/>
  <c r="X59" i="23"/>
  <c r="R63" i="23"/>
  <c r="T65" i="23"/>
  <c r="N67" i="23"/>
  <c r="X68" i="23"/>
  <c r="S69" i="23"/>
  <c r="U70" i="23"/>
  <c r="V71" i="23"/>
  <c r="T72" i="23"/>
  <c r="Q73" i="23"/>
  <c r="N74" i="23"/>
  <c r="Y76" i="23"/>
  <c r="T77" i="23"/>
  <c r="N78" i="23"/>
  <c r="Y80" i="23"/>
  <c r="V82" i="23"/>
  <c r="AC82" i="23"/>
  <c r="X82" i="23"/>
  <c r="W82" i="23"/>
  <c r="P82" i="23"/>
  <c r="W84" i="23"/>
  <c r="V101" i="23"/>
  <c r="R101" i="23"/>
  <c r="Q101" i="23"/>
  <c r="N101" i="23"/>
  <c r="Y101" i="23" s="1"/>
  <c r="AC101" i="23"/>
  <c r="X101" i="23"/>
  <c r="U101" i="23"/>
  <c r="T144" i="23"/>
  <c r="AC159" i="23"/>
  <c r="Y159" i="23"/>
  <c r="U159" i="23"/>
  <c r="Q159" i="23"/>
  <c r="N159" i="23"/>
  <c r="S159" i="23" s="1"/>
  <c r="S177" i="23"/>
  <c r="AC2" i="23"/>
  <c r="W5" i="23"/>
  <c r="U6" i="23"/>
  <c r="Y7" i="23"/>
  <c r="W8" i="23"/>
  <c r="S9" i="23"/>
  <c r="N10" i="23"/>
  <c r="Q11" i="23"/>
  <c r="AC12" i="23"/>
  <c r="X13" i="23"/>
  <c r="X14" i="23"/>
  <c r="T16" i="23"/>
  <c r="R17" i="23"/>
  <c r="W18" i="23"/>
  <c r="T20" i="23"/>
  <c r="R21" i="23"/>
  <c r="P22" i="23"/>
  <c r="T24" i="23"/>
  <c r="R25" i="23"/>
  <c r="X26" i="23"/>
  <c r="V28" i="23"/>
  <c r="U29" i="23"/>
  <c r="V30" i="23"/>
  <c r="U31" i="23"/>
  <c r="S33" i="23"/>
  <c r="S34" i="23"/>
  <c r="U35" i="23"/>
  <c r="T37" i="23"/>
  <c r="N39" i="23"/>
  <c r="Y39" i="23"/>
  <c r="AC41" i="23"/>
  <c r="Q43" i="23"/>
  <c r="P45" i="23"/>
  <c r="Y47" i="23"/>
  <c r="R51" i="23"/>
  <c r="N55" i="23"/>
  <c r="T63" i="23"/>
  <c r="U65" i="23"/>
  <c r="Q67" i="23"/>
  <c r="N68" i="23"/>
  <c r="Y68" i="23"/>
  <c r="U69" i="23"/>
  <c r="W70" i="23"/>
  <c r="W71" i="23"/>
  <c r="U72" i="23"/>
  <c r="S73" i="23"/>
  <c r="P74" i="23"/>
  <c r="N76" i="23"/>
  <c r="AC76" i="23"/>
  <c r="U77" i="23"/>
  <c r="P78" i="23"/>
  <c r="Y84" i="23"/>
  <c r="V89" i="23"/>
  <c r="X89" i="23"/>
  <c r="W89" i="23"/>
  <c r="U89" i="23"/>
  <c r="P89" i="23"/>
  <c r="N89" i="23"/>
  <c r="Y89" i="23" s="1"/>
  <c r="Y144" i="23"/>
  <c r="X175" i="23"/>
  <c r="Y175" i="23"/>
  <c r="U175" i="23"/>
  <c r="Q175" i="23"/>
  <c r="N175" i="23"/>
  <c r="Y177" i="23"/>
  <c r="V244" i="23"/>
  <c r="U244" i="23"/>
  <c r="T244" i="23"/>
  <c r="S244" i="23"/>
  <c r="AC244" i="23"/>
  <c r="Q244" i="23"/>
  <c r="Y244" i="23"/>
  <c r="P244" i="23"/>
  <c r="X244" i="23"/>
  <c r="N244" i="23"/>
  <c r="W244" i="23"/>
  <c r="R244" i="23"/>
  <c r="X275" i="23"/>
  <c r="W275" i="23"/>
  <c r="U275" i="23"/>
  <c r="T275" i="23"/>
  <c r="Q275" i="23"/>
  <c r="P275" i="23"/>
  <c r="N275" i="23"/>
  <c r="Y275" i="23"/>
  <c r="R275" i="23"/>
  <c r="Q4" i="23"/>
  <c r="N5" i="23"/>
  <c r="X5" i="23"/>
  <c r="W6" i="23"/>
  <c r="AC7" i="23"/>
  <c r="Y8" i="23"/>
  <c r="T9" i="23"/>
  <c r="P10" i="23"/>
  <c r="U11" i="23"/>
  <c r="Y13" i="23"/>
  <c r="AC14" i="23"/>
  <c r="W16" i="23"/>
  <c r="T17" i="23"/>
  <c r="X18" i="23"/>
  <c r="W20" i="23"/>
  <c r="S21" i="23"/>
  <c r="X22" i="23"/>
  <c r="W24" i="23"/>
  <c r="T25" i="23"/>
  <c r="W28" i="23"/>
  <c r="X29" i="23"/>
  <c r="W31" i="23"/>
  <c r="T33" i="23"/>
  <c r="AC34" i="23"/>
  <c r="X35" i="23"/>
  <c r="U37" i="23"/>
  <c r="P39" i="23"/>
  <c r="R43" i="23"/>
  <c r="T45" i="23"/>
  <c r="N47" i="23"/>
  <c r="W47" i="23" s="1"/>
  <c r="S51" i="23"/>
  <c r="P55" i="23"/>
  <c r="N59" i="23"/>
  <c r="W59" i="23" s="1"/>
  <c r="U63" i="23"/>
  <c r="X65" i="23"/>
  <c r="R67" i="23"/>
  <c r="W69" i="23"/>
  <c r="W72" i="23"/>
  <c r="U73" i="23"/>
  <c r="S74" i="23"/>
  <c r="W77" i="23"/>
  <c r="S78" i="23"/>
  <c r="V81" i="23"/>
  <c r="AC81" i="23"/>
  <c r="X81" i="23"/>
  <c r="W98" i="23"/>
  <c r="X98" i="23"/>
  <c r="S98" i="23"/>
  <c r="P98" i="23"/>
  <c r="W102" i="23"/>
  <c r="X102" i="23"/>
  <c r="S102" i="23"/>
  <c r="P102" i="23"/>
  <c r="Y121" i="23"/>
  <c r="X121" i="23"/>
  <c r="W121" i="23"/>
  <c r="U121" i="23"/>
  <c r="R121" i="23"/>
  <c r="P121" i="23"/>
  <c r="N121" i="23"/>
  <c r="Y133" i="23"/>
  <c r="X133" i="23"/>
  <c r="R133" i="23"/>
  <c r="P133" i="23"/>
  <c r="X191" i="23"/>
  <c r="W191" i="23"/>
  <c r="Q191" i="23"/>
  <c r="N191" i="23"/>
  <c r="Y191" i="23"/>
  <c r="V260" i="23"/>
  <c r="Q260" i="23"/>
  <c r="AC260" i="23"/>
  <c r="P260" i="23"/>
  <c r="Y260" i="23"/>
  <c r="N260" i="23"/>
  <c r="W260" i="23"/>
  <c r="U260" i="23"/>
  <c r="S260" i="23"/>
  <c r="X260" i="23"/>
  <c r="R260" i="23"/>
  <c r="AC8" i="23"/>
  <c r="X31" i="23"/>
  <c r="Y35" i="23"/>
  <c r="X69" i="23"/>
  <c r="Y72" i="23"/>
  <c r="U74" i="23"/>
  <c r="U78" i="23"/>
  <c r="V109" i="23"/>
  <c r="W109" i="23"/>
  <c r="U109" i="23"/>
  <c r="S109" i="23"/>
  <c r="Q109" i="23"/>
  <c r="AC109" i="23"/>
  <c r="P109" i="23"/>
  <c r="Y109" i="23"/>
  <c r="N109" i="23"/>
  <c r="X134" i="23"/>
  <c r="P134" i="23"/>
  <c r="X171" i="23"/>
  <c r="AC171" i="23"/>
  <c r="Y171" i="23"/>
  <c r="W171" i="23"/>
  <c r="S171" i="23"/>
  <c r="Q171" i="23"/>
  <c r="N171" i="23"/>
  <c r="AC246" i="23"/>
  <c r="X246" i="23"/>
  <c r="S246" i="23"/>
  <c r="Q246" i="23"/>
  <c r="P246" i="23"/>
  <c r="T246" i="23"/>
  <c r="V292" i="23"/>
  <c r="Q292" i="23"/>
  <c r="AC292" i="23"/>
  <c r="P292" i="23"/>
  <c r="Y292" i="23"/>
  <c r="N292" i="23"/>
  <c r="W292" i="23"/>
  <c r="U292" i="23"/>
  <c r="T292" i="23"/>
  <c r="X292" i="23"/>
  <c r="S292" i="23"/>
  <c r="U85" i="23"/>
  <c r="U97" i="23"/>
  <c r="W100" i="23"/>
  <c r="V112" i="23"/>
  <c r="X112" i="23"/>
  <c r="U113" i="23"/>
  <c r="T116" i="23"/>
  <c r="T149" i="23"/>
  <c r="W169" i="23"/>
  <c r="W173" i="23"/>
  <c r="R186" i="23"/>
  <c r="P186" i="23"/>
  <c r="X195" i="23"/>
  <c r="Y195" i="23"/>
  <c r="Q195" i="23"/>
  <c r="S199" i="23"/>
  <c r="R199" i="23"/>
  <c r="Q199" i="23"/>
  <c r="AC199" i="23"/>
  <c r="V199" i="23"/>
  <c r="U199" i="23"/>
  <c r="V248" i="23"/>
  <c r="AC248" i="23"/>
  <c r="Q248" i="23"/>
  <c r="Y248" i="23"/>
  <c r="P248" i="23"/>
  <c r="X248" i="23"/>
  <c r="N248" i="23"/>
  <c r="U248" i="23"/>
  <c r="T248" i="23"/>
  <c r="S248" i="23"/>
  <c r="AC286" i="23"/>
  <c r="T286" i="23"/>
  <c r="W85" i="23"/>
  <c r="U86" i="23"/>
  <c r="Q88" i="23"/>
  <c r="N90" i="23"/>
  <c r="W92" i="23"/>
  <c r="R93" i="23"/>
  <c r="Q96" i="23"/>
  <c r="AC96" i="23"/>
  <c r="X97" i="23"/>
  <c r="W104" i="23"/>
  <c r="R105" i="23"/>
  <c r="P106" i="23"/>
  <c r="S108" i="23"/>
  <c r="N112" i="23"/>
  <c r="Y112" i="23" s="1"/>
  <c r="AC112" i="23"/>
  <c r="W113" i="23"/>
  <c r="U116" i="23"/>
  <c r="Q117" i="23"/>
  <c r="S120" i="23"/>
  <c r="P122" i="23"/>
  <c r="S124" i="23"/>
  <c r="N125" i="23"/>
  <c r="Y128" i="23"/>
  <c r="X132" i="23"/>
  <c r="R140" i="23"/>
  <c r="P145" i="23"/>
  <c r="Q147" i="23"/>
  <c r="AC148" i="23"/>
  <c r="U149" i="23"/>
  <c r="AC152" i="23"/>
  <c r="U153" i="23"/>
  <c r="AC156" i="23"/>
  <c r="U157" i="23"/>
  <c r="R158" i="23"/>
  <c r="S160" i="23"/>
  <c r="S161" i="23"/>
  <c r="N162" i="23"/>
  <c r="U162" i="23" s="1"/>
  <c r="AC162" i="23"/>
  <c r="AC163" i="23"/>
  <c r="U165" i="23"/>
  <c r="Q166" i="23"/>
  <c r="N167" i="23"/>
  <c r="N168" i="23"/>
  <c r="Y168" i="23" s="1"/>
  <c r="N169" i="23"/>
  <c r="X169" i="23"/>
  <c r="S170" i="23"/>
  <c r="N173" i="23"/>
  <c r="X173" i="23"/>
  <c r="S174" i="23"/>
  <c r="W176" i="23"/>
  <c r="T199" i="23"/>
  <c r="R248" i="23"/>
  <c r="S251" i="23"/>
  <c r="X85" i="23"/>
  <c r="P90" i="23"/>
  <c r="AC97" i="23"/>
  <c r="V100" i="23"/>
  <c r="AC100" i="23"/>
  <c r="X113" i="23"/>
  <c r="W116" i="23"/>
  <c r="X122" i="23"/>
  <c r="P125" i="23"/>
  <c r="R145" i="23"/>
  <c r="W149" i="23"/>
  <c r="W153" i="23"/>
  <c r="W157" i="23"/>
  <c r="P162" i="23"/>
  <c r="V164" i="23"/>
  <c r="W165" i="23"/>
  <c r="Q167" i="23"/>
  <c r="Q168" i="23"/>
  <c r="P169" i="23"/>
  <c r="Y169" i="23"/>
  <c r="P173" i="23"/>
  <c r="AB173" i="23" s="1"/>
  <c r="AD173" i="23" s="1"/>
  <c r="Y173" i="23"/>
  <c r="V200" i="23"/>
  <c r="AC200" i="23"/>
  <c r="Q200" i="23"/>
  <c r="Y200" i="23"/>
  <c r="P200" i="23"/>
  <c r="X200" i="23"/>
  <c r="N200" i="23"/>
  <c r="U200" i="23"/>
  <c r="T200" i="23"/>
  <c r="S200" i="23"/>
  <c r="T245" i="23"/>
  <c r="AC245" i="23"/>
  <c r="U245" i="23"/>
  <c r="S245" i="23"/>
  <c r="W248" i="23"/>
  <c r="X255" i="23"/>
  <c r="W255" i="23"/>
  <c r="U255" i="23"/>
  <c r="T255" i="23"/>
  <c r="R255" i="23"/>
  <c r="Q255" i="23"/>
  <c r="AC255" i="23"/>
  <c r="N255" i="23"/>
  <c r="S255" i="23" s="1"/>
  <c r="R274" i="23"/>
  <c r="AC274" i="23"/>
  <c r="T274" i="23"/>
  <c r="S274" i="23"/>
  <c r="P85" i="23"/>
  <c r="AC85" i="23"/>
  <c r="AC86" i="23"/>
  <c r="U88" i="23"/>
  <c r="U90" i="23"/>
  <c r="Q92" i="23"/>
  <c r="AC92" i="23"/>
  <c r="T96" i="23"/>
  <c r="P97" i="23"/>
  <c r="P100" i="23"/>
  <c r="Q104" i="23"/>
  <c r="AC104" i="23"/>
  <c r="W105" i="23"/>
  <c r="X110" i="23"/>
  <c r="S112" i="23"/>
  <c r="P113" i="23"/>
  <c r="AC113" i="23"/>
  <c r="P116" i="23"/>
  <c r="Y116" i="23"/>
  <c r="U117" i="23"/>
  <c r="W124" i="23"/>
  <c r="U125" i="23"/>
  <c r="P128" i="23"/>
  <c r="Q132" i="23"/>
  <c r="W140" i="23"/>
  <c r="U147" i="23"/>
  <c r="S148" i="23"/>
  <c r="P149" i="23"/>
  <c r="Y149" i="23"/>
  <c r="U150" i="23"/>
  <c r="S151" i="23"/>
  <c r="S152" i="23"/>
  <c r="P153" i="23"/>
  <c r="Y153" i="23"/>
  <c r="U154" i="23"/>
  <c r="S155" i="23"/>
  <c r="S156" i="23"/>
  <c r="P157" i="23"/>
  <c r="Y157" i="23"/>
  <c r="X158" i="23"/>
  <c r="W161" i="23"/>
  <c r="R162" i="23"/>
  <c r="Q163" i="23"/>
  <c r="Q164" i="23"/>
  <c r="P165" i="23"/>
  <c r="Y165" i="23"/>
  <c r="U167" i="23"/>
  <c r="T168" i="23"/>
  <c r="R169" i="23"/>
  <c r="X170" i="23"/>
  <c r="R173" i="23"/>
  <c r="X174" i="23"/>
  <c r="W200" i="23"/>
  <c r="Y219" i="23"/>
  <c r="W219" i="23"/>
  <c r="R219" i="23"/>
  <c r="N219" i="23"/>
  <c r="S219" i="23" s="1"/>
  <c r="Y255" i="23"/>
  <c r="X263" i="23"/>
  <c r="Q263" i="23"/>
  <c r="AC263" i="23"/>
  <c r="P263" i="23"/>
  <c r="Y263" i="23"/>
  <c r="N263" i="23"/>
  <c r="U263" i="23"/>
  <c r="T263" i="23"/>
  <c r="S263" i="23"/>
  <c r="R266" i="23"/>
  <c r="AC266" i="23"/>
  <c r="T266" i="23"/>
  <c r="S266" i="23"/>
  <c r="V284" i="23"/>
  <c r="Q284" i="23"/>
  <c r="AC284" i="23"/>
  <c r="P284" i="23"/>
  <c r="Y284" i="23"/>
  <c r="N284" i="23"/>
  <c r="W284" i="23"/>
  <c r="T284" i="23"/>
  <c r="S284" i="23"/>
  <c r="X295" i="23"/>
  <c r="Y295" i="23"/>
  <c r="U295" i="23"/>
  <c r="R295" i="23"/>
  <c r="Q295" i="23"/>
  <c r="N295" i="23"/>
  <c r="W295" i="23" s="1"/>
  <c r="Q85" i="23"/>
  <c r="W88" i="23"/>
  <c r="W90" i="23"/>
  <c r="Y93" i="23"/>
  <c r="U96" i="23"/>
  <c r="Q97" i="23"/>
  <c r="S100" i="23"/>
  <c r="X105" i="23"/>
  <c r="X108" i="23"/>
  <c r="AC110" i="23"/>
  <c r="T112" i="23"/>
  <c r="Q113" i="23"/>
  <c r="Q116" i="23"/>
  <c r="AC116" i="23"/>
  <c r="Y120" i="23"/>
  <c r="N124" i="23"/>
  <c r="X124" i="23"/>
  <c r="X125" i="23"/>
  <c r="Q128" i="23"/>
  <c r="R132" i="23"/>
  <c r="X140" i="23"/>
  <c r="V147" i="23"/>
  <c r="T148" i="23"/>
  <c r="Q149" i="23"/>
  <c r="AC149" i="23"/>
  <c r="W150" i="23"/>
  <c r="U151" i="23"/>
  <c r="T152" i="23"/>
  <c r="Q153" i="23"/>
  <c r="AC153" i="23"/>
  <c r="W154" i="23"/>
  <c r="U155" i="23"/>
  <c r="T156" i="23"/>
  <c r="Q157" i="23"/>
  <c r="AC157" i="23"/>
  <c r="N161" i="23"/>
  <c r="X161" i="23"/>
  <c r="S162" i="23"/>
  <c r="S163" i="23"/>
  <c r="S164" i="23"/>
  <c r="Q165" i="23"/>
  <c r="AC165" i="23"/>
  <c r="X166" i="23"/>
  <c r="W167" i="23"/>
  <c r="U168" i="23"/>
  <c r="S169" i="23"/>
  <c r="N170" i="23"/>
  <c r="Y170" i="23"/>
  <c r="S173" i="23"/>
  <c r="N174" i="23"/>
  <c r="Y174" i="23"/>
  <c r="V178" i="23"/>
  <c r="S178" i="23"/>
  <c r="AC178" i="23"/>
  <c r="Q178" i="23"/>
  <c r="X178" i="23"/>
  <c r="W178" i="23"/>
  <c r="U178" i="23"/>
  <c r="V194" i="23"/>
  <c r="AC194" i="23"/>
  <c r="Q194" i="23"/>
  <c r="Y194" i="23"/>
  <c r="P194" i="23"/>
  <c r="X194" i="23"/>
  <c r="N194" i="23"/>
  <c r="S194" i="23" s="1"/>
  <c r="U194" i="23"/>
  <c r="T194" i="23"/>
  <c r="Y201" i="23"/>
  <c r="V201" i="23"/>
  <c r="U201" i="23"/>
  <c r="S201" i="23"/>
  <c r="V228" i="23"/>
  <c r="S228" i="23"/>
  <c r="R228" i="23"/>
  <c r="N228" i="23"/>
  <c r="X228" i="23"/>
  <c r="W228" i="23"/>
  <c r="U228" i="23"/>
  <c r="Y235" i="23"/>
  <c r="R235" i="23"/>
  <c r="Q235" i="23"/>
  <c r="N235" i="23"/>
  <c r="X235" i="23" s="1"/>
  <c r="R263" i="23"/>
  <c r="V267" i="23"/>
  <c r="U267" i="23"/>
  <c r="T267" i="23"/>
  <c r="S267" i="23"/>
  <c r="Q267" i="23"/>
  <c r="Y267" i="23"/>
  <c r="P267" i="23"/>
  <c r="X267" i="23"/>
  <c r="N267" i="23"/>
  <c r="R284" i="23"/>
  <c r="S295" i="23"/>
  <c r="R85" i="23"/>
  <c r="N86" i="23"/>
  <c r="AC88" i="23"/>
  <c r="X90" i="23"/>
  <c r="S92" i="23"/>
  <c r="N93" i="23"/>
  <c r="W93" i="23" s="1"/>
  <c r="AC93" i="23"/>
  <c r="W96" i="23"/>
  <c r="R97" i="23"/>
  <c r="T100" i="23"/>
  <c r="S104" i="23"/>
  <c r="N105" i="23"/>
  <c r="Y105" i="23"/>
  <c r="N108" i="23"/>
  <c r="R108" i="23" s="1"/>
  <c r="AC108" i="23"/>
  <c r="U112" i="23"/>
  <c r="R113" i="23"/>
  <c r="P114" i="23"/>
  <c r="R116" i="23"/>
  <c r="X117" i="23"/>
  <c r="N120" i="23"/>
  <c r="Q120" i="23" s="1"/>
  <c r="AC120" i="23"/>
  <c r="P124" i="23"/>
  <c r="Y124" i="23"/>
  <c r="R128" i="23"/>
  <c r="P130" i="23"/>
  <c r="T132" i="23"/>
  <c r="N140" i="23"/>
  <c r="Y140" i="23"/>
  <c r="X147" i="23"/>
  <c r="R149" i="23"/>
  <c r="X150" i="23"/>
  <c r="W151" i="23"/>
  <c r="U152" i="23"/>
  <c r="R153" i="23"/>
  <c r="X154" i="23"/>
  <c r="W155" i="23"/>
  <c r="U156" i="23"/>
  <c r="R157" i="23"/>
  <c r="V158" i="23"/>
  <c r="AC158" i="23"/>
  <c r="P161" i="23"/>
  <c r="Y161" i="23"/>
  <c r="W162" i="23"/>
  <c r="U163" i="23"/>
  <c r="T164" i="23"/>
  <c r="R165" i="23"/>
  <c r="Y166" i="23"/>
  <c r="Y167" i="23"/>
  <c r="W168" i="23"/>
  <c r="T169" i="23"/>
  <c r="P170" i="23"/>
  <c r="AC170" i="23"/>
  <c r="T173" i="23"/>
  <c r="P174" i="23"/>
  <c r="AC174" i="23"/>
  <c r="N176" i="23"/>
  <c r="N178" i="23"/>
  <c r="R194" i="23"/>
  <c r="W201" i="23"/>
  <c r="T228" i="23"/>
  <c r="V232" i="23"/>
  <c r="S232" i="23"/>
  <c r="Q232" i="23"/>
  <c r="N232" i="23"/>
  <c r="X232" i="23"/>
  <c r="W232" i="23"/>
  <c r="U232" i="23"/>
  <c r="W235" i="23"/>
  <c r="X243" i="23"/>
  <c r="Y243" i="23"/>
  <c r="Q243" i="23"/>
  <c r="N243" i="23"/>
  <c r="W243" i="23" s="1"/>
  <c r="W263" i="23"/>
  <c r="R267" i="23"/>
  <c r="AB267" i="23" s="1"/>
  <c r="X284" i="23"/>
  <c r="AC295" i="23"/>
  <c r="Q179" i="23"/>
  <c r="AC181" i="23"/>
  <c r="Y183" i="23"/>
  <c r="T188" i="23"/>
  <c r="V198" i="23"/>
  <c r="S202" i="23"/>
  <c r="W204" i="23"/>
  <c r="U205" i="23"/>
  <c r="T206" i="23"/>
  <c r="S207" i="23"/>
  <c r="Q208" i="23"/>
  <c r="AC208" i="23"/>
  <c r="AC209" i="23"/>
  <c r="W210" i="23"/>
  <c r="Y211" i="23"/>
  <c r="T212" i="23"/>
  <c r="Q213" i="23"/>
  <c r="P214" i="23"/>
  <c r="AC214" i="23"/>
  <c r="T216" i="23"/>
  <c r="Q217" i="23"/>
  <c r="Q218" i="23"/>
  <c r="P220" i="23"/>
  <c r="Y220" i="23"/>
  <c r="Q222" i="23"/>
  <c r="Q223" i="23"/>
  <c r="R224" i="23"/>
  <c r="U225" i="23"/>
  <c r="U226" i="23"/>
  <c r="R227" i="23"/>
  <c r="Q231" i="23"/>
  <c r="Y240" i="23"/>
  <c r="S242" i="23"/>
  <c r="Q247" i="23"/>
  <c r="P251" i="23"/>
  <c r="AC251" i="23"/>
  <c r="X252" i="23"/>
  <c r="Y256" i="23"/>
  <c r="V258" i="23"/>
  <c r="U259" i="23"/>
  <c r="P264" i="23"/>
  <c r="AC264" i="23"/>
  <c r="X268" i="23"/>
  <c r="X271" i="23"/>
  <c r="X272" i="23"/>
  <c r="R279" i="23"/>
  <c r="S280" i="23"/>
  <c r="S291" i="23"/>
  <c r="Q293" i="23"/>
  <c r="S294" i="23"/>
  <c r="W296" i="23"/>
  <c r="S298" i="23"/>
  <c r="U179" i="23"/>
  <c r="V182" i="23"/>
  <c r="X182" i="23"/>
  <c r="N185" i="23"/>
  <c r="Q186" i="23"/>
  <c r="N187" i="23"/>
  <c r="W187" i="23" s="1"/>
  <c r="U188" i="23"/>
  <c r="Y190" i="23"/>
  <c r="N192" i="23"/>
  <c r="R193" i="23"/>
  <c r="U197" i="23"/>
  <c r="Y198" i="23"/>
  <c r="T202" i="23"/>
  <c r="R203" i="23"/>
  <c r="N204" i="23"/>
  <c r="X204" i="23"/>
  <c r="W205" i="23"/>
  <c r="U206" i="23"/>
  <c r="X210" i="23"/>
  <c r="AC211" i="23"/>
  <c r="U212" i="23"/>
  <c r="S213" i="23"/>
  <c r="Q214" i="23"/>
  <c r="AC215" i="23"/>
  <c r="U216" i="23"/>
  <c r="S217" i="23"/>
  <c r="S218" i="23"/>
  <c r="Q220" i="23"/>
  <c r="AC220" i="23"/>
  <c r="S222" i="23"/>
  <c r="R223" i="23"/>
  <c r="T224" i="23"/>
  <c r="W227" i="23"/>
  <c r="P230" i="23"/>
  <c r="W231" i="23"/>
  <c r="P234" i="23"/>
  <c r="T236" i="23"/>
  <c r="AC237" i="23"/>
  <c r="AC238" i="23"/>
  <c r="N240" i="23"/>
  <c r="V240" i="23" s="1"/>
  <c r="AC240" i="23"/>
  <c r="AC252" i="23"/>
  <c r="AC256" i="23"/>
  <c r="Y259" i="23"/>
  <c r="Q264" i="23"/>
  <c r="AC268" i="23"/>
  <c r="N271" i="23"/>
  <c r="Y271" i="23"/>
  <c r="T279" i="23"/>
  <c r="W280" i="23"/>
  <c r="V291" i="23"/>
  <c r="S293" i="23"/>
  <c r="T294" i="23"/>
  <c r="W179" i="23"/>
  <c r="Q181" i="23"/>
  <c r="N182" i="23"/>
  <c r="R182" i="23" s="1"/>
  <c r="Y182" i="23"/>
  <c r="N184" i="23"/>
  <c r="X184" i="23" s="1"/>
  <c r="R185" i="23"/>
  <c r="S186" i="23"/>
  <c r="Q187" i="23"/>
  <c r="W188" i="23"/>
  <c r="N190" i="23"/>
  <c r="R190" i="23" s="1"/>
  <c r="AC190" i="23"/>
  <c r="P192" i="23"/>
  <c r="U193" i="23"/>
  <c r="AC198" i="23"/>
  <c r="U202" i="23"/>
  <c r="S203" i="23"/>
  <c r="P204" i="23"/>
  <c r="Y204" i="23"/>
  <c r="Y205" i="23"/>
  <c r="W207" i="23"/>
  <c r="S208" i="23"/>
  <c r="N209" i="23"/>
  <c r="N210" i="23"/>
  <c r="Y210" i="23"/>
  <c r="W212" i="23"/>
  <c r="U213" i="23"/>
  <c r="S214" i="23"/>
  <c r="N215" i="23"/>
  <c r="Y215" i="23" s="1"/>
  <c r="W216" i="23"/>
  <c r="U217" i="23"/>
  <c r="T218" i="23"/>
  <c r="R220" i="23"/>
  <c r="T222" i="23"/>
  <c r="W223" i="23"/>
  <c r="U224" i="23"/>
  <c r="R226" i="23"/>
  <c r="X226" i="23"/>
  <c r="S230" i="23"/>
  <c r="Y231" i="23"/>
  <c r="Q234" i="23"/>
  <c r="P240" i="23"/>
  <c r="AC242" i="23"/>
  <c r="Y247" i="23"/>
  <c r="S250" i="23"/>
  <c r="R251" i="23"/>
  <c r="N256" i="23"/>
  <c r="AC259" i="23"/>
  <c r="R264" i="23"/>
  <c r="P271" i="23"/>
  <c r="P276" i="23"/>
  <c r="U279" i="23"/>
  <c r="X280" i="23"/>
  <c r="Q287" i="23"/>
  <c r="W291" i="23"/>
  <c r="U294" i="23"/>
  <c r="U298" i="23"/>
  <c r="S181" i="23"/>
  <c r="Q182" i="23"/>
  <c r="Q184" i="23"/>
  <c r="U185" i="23"/>
  <c r="U186" i="23"/>
  <c r="Y188" i="23"/>
  <c r="Q190" i="23"/>
  <c r="T192" i="23"/>
  <c r="T196" i="23"/>
  <c r="Q198" i="23"/>
  <c r="AC207" i="23"/>
  <c r="U208" i="23"/>
  <c r="S209" i="23"/>
  <c r="Q210" i="23"/>
  <c r="P212" i="23"/>
  <c r="Y212" i="23"/>
  <c r="Y213" i="23"/>
  <c r="U214" i="23"/>
  <c r="R215" i="23"/>
  <c r="P216" i="23"/>
  <c r="Y216" i="23"/>
  <c r="AC217" i="23"/>
  <c r="T220" i="23"/>
  <c r="U221" i="23"/>
  <c r="Y222" i="23"/>
  <c r="X224" i="23"/>
  <c r="P226" i="23"/>
  <c r="AC226" i="23"/>
  <c r="Y230" i="23"/>
  <c r="T234" i="23"/>
  <c r="X236" i="23"/>
  <c r="Q238" i="23"/>
  <c r="Q239" i="23"/>
  <c r="R240" i="23"/>
  <c r="AC241" i="23"/>
  <c r="W250" i="23"/>
  <c r="T251" i="23"/>
  <c r="Q252" i="23"/>
  <c r="V253" i="23"/>
  <c r="R256" i="23"/>
  <c r="V257" i="23"/>
  <c r="Q259" i="23"/>
  <c r="U264" i="23"/>
  <c r="P268" i="23"/>
  <c r="R271" i="23"/>
  <c r="T287" i="23"/>
  <c r="X294" i="23"/>
  <c r="N180" i="23"/>
  <c r="W180" i="23" s="1"/>
  <c r="T181" i="23"/>
  <c r="S182" i="23"/>
  <c r="N183" i="23"/>
  <c r="T184" i="23"/>
  <c r="AC185" i="23"/>
  <c r="X186" i="23"/>
  <c r="N188" i="23"/>
  <c r="S190" i="23"/>
  <c r="U192" i="23"/>
  <c r="U196" i="23"/>
  <c r="S198" i="23"/>
  <c r="AC202" i="23"/>
  <c r="W203" i="23"/>
  <c r="S204" i="23"/>
  <c r="N205" i="23"/>
  <c r="N206" i="23"/>
  <c r="R206" i="23" s="1"/>
  <c r="W208" i="23"/>
  <c r="U209" i="23"/>
  <c r="S210" i="23"/>
  <c r="N211" i="23"/>
  <c r="U211" i="23" s="1"/>
  <c r="Q212" i="23"/>
  <c r="AC212" i="23"/>
  <c r="AC213" i="23"/>
  <c r="W214" i="23"/>
  <c r="Y218" i="23"/>
  <c r="U220" i="23"/>
  <c r="AC222" i="23"/>
  <c r="N224" i="23"/>
  <c r="W224" i="23" s="1"/>
  <c r="AC224" i="23"/>
  <c r="Q226" i="23"/>
  <c r="S229" i="23"/>
  <c r="AC230" i="23"/>
  <c r="S233" i="23"/>
  <c r="Y234" i="23"/>
  <c r="AC236" i="23"/>
  <c r="S238" i="23"/>
  <c r="R239" i="23"/>
  <c r="S240" i="23"/>
  <c r="U251" i="23"/>
  <c r="R252" i="23"/>
  <c r="U256" i="23"/>
  <c r="R259" i="23"/>
  <c r="W264" i="23"/>
  <c r="R268" i="23"/>
  <c r="S270" i="23"/>
  <c r="T271" i="23"/>
  <c r="N280" i="23"/>
  <c r="U287" i="23"/>
  <c r="T290" i="23"/>
  <c r="N294" i="23"/>
  <c r="Y294" i="23"/>
  <c r="R298" i="23"/>
  <c r="AC298" i="23"/>
  <c r="W298" i="23"/>
  <c r="X299" i="23"/>
  <c r="AC299" i="23"/>
  <c r="Y299" i="23"/>
  <c r="W299" i="23"/>
  <c r="U299" i="23"/>
  <c r="R299" i="23"/>
  <c r="Q299" i="23"/>
  <c r="N179" i="23"/>
  <c r="U180" i="23"/>
  <c r="U181" i="23"/>
  <c r="T182" i="23"/>
  <c r="Q183" i="23"/>
  <c r="U184" i="23"/>
  <c r="Y186" i="23"/>
  <c r="P188" i="23"/>
  <c r="T190" i="23"/>
  <c r="W192" i="23"/>
  <c r="T198" i="23"/>
  <c r="N202" i="23"/>
  <c r="Y203" i="23"/>
  <c r="T204" i="23"/>
  <c r="Q205" i="23"/>
  <c r="Q206" i="23"/>
  <c r="Q207" i="23"/>
  <c r="N208" i="23"/>
  <c r="X208" i="23"/>
  <c r="W209" i="23"/>
  <c r="T210" i="23"/>
  <c r="X214" i="23"/>
  <c r="U215" i="23"/>
  <c r="R216" i="23"/>
  <c r="N218" i="23"/>
  <c r="W218" i="23" s="1"/>
  <c r="AC218" i="23"/>
  <c r="W220" i="23"/>
  <c r="P224" i="23"/>
  <c r="S226" i="23"/>
  <c r="N227" i="23"/>
  <c r="Y227" i="23" s="1"/>
  <c r="U229" i="23"/>
  <c r="N236" i="23"/>
  <c r="T238" i="23"/>
  <c r="W239" i="23"/>
  <c r="W240" i="23"/>
  <c r="P242" i="23"/>
  <c r="W251" i="23"/>
  <c r="U252" i="23"/>
  <c r="S259" i="23"/>
  <c r="X264" i="23"/>
  <c r="S268" i="23"/>
  <c r="T270" i="23"/>
  <c r="U271" i="23"/>
  <c r="P280" i="23"/>
  <c r="T282" i="23"/>
  <c r="Y287" i="23"/>
  <c r="P294" i="23"/>
  <c r="AC294" i="23"/>
  <c r="N298" i="23"/>
  <c r="P298" i="23" s="1"/>
  <c r="N299" i="23"/>
  <c r="S299" i="23" s="1"/>
  <c r="X308" i="23"/>
  <c r="W310" i="23"/>
  <c r="X354" i="23"/>
  <c r="Y368" i="23"/>
  <c r="Q383" i="23"/>
  <c r="S389" i="23"/>
  <c r="P390" i="23"/>
  <c r="W393" i="23"/>
  <c r="W399" i="23"/>
  <c r="T405" i="23"/>
  <c r="P406" i="23"/>
  <c r="X408" i="23"/>
  <c r="Y409" i="23"/>
  <c r="U411" i="23"/>
  <c r="S413" i="23"/>
  <c r="T414" i="23"/>
  <c r="AC416" i="23"/>
  <c r="AD416" i="23" s="1"/>
  <c r="W419" i="23"/>
  <c r="S421" i="23"/>
  <c r="T422" i="23"/>
  <c r="Q425" i="23"/>
  <c r="W427" i="23"/>
  <c r="P300" i="23"/>
  <c r="AC300" i="23"/>
  <c r="S303" i="23"/>
  <c r="U305" i="23"/>
  <c r="T306" i="23"/>
  <c r="Q307" i="23"/>
  <c r="N308" i="23"/>
  <c r="Y308" i="23"/>
  <c r="N310" i="23"/>
  <c r="X310" i="23"/>
  <c r="U311" i="23"/>
  <c r="T312" i="23"/>
  <c r="N314" i="23"/>
  <c r="P314" i="23" s="1"/>
  <c r="AC314" i="23"/>
  <c r="Y315" i="23"/>
  <c r="S317" i="23"/>
  <c r="AC319" i="23"/>
  <c r="X320" i="23"/>
  <c r="Y321" i="23"/>
  <c r="Y322" i="23"/>
  <c r="W323" i="23"/>
  <c r="S324" i="23"/>
  <c r="Q325" i="23"/>
  <c r="T326" i="23"/>
  <c r="R327" i="23"/>
  <c r="P328" i="23"/>
  <c r="N329" i="23"/>
  <c r="Q329" i="23" s="1"/>
  <c r="V330" i="23"/>
  <c r="R333" i="23"/>
  <c r="R334" i="23"/>
  <c r="AC352" i="23"/>
  <c r="AD352" i="23" s="1"/>
  <c r="N354" i="23"/>
  <c r="Y354" i="23"/>
  <c r="P365" i="23"/>
  <c r="N368" i="23"/>
  <c r="AC368" i="23"/>
  <c r="AD368" i="23" s="1"/>
  <c r="R375" i="23"/>
  <c r="T376" i="23"/>
  <c r="P377" i="23"/>
  <c r="V378" i="23"/>
  <c r="U379" i="23"/>
  <c r="AC380" i="23"/>
  <c r="AD380" i="23" s="1"/>
  <c r="Y381" i="23"/>
  <c r="T382" i="23"/>
  <c r="S383" i="23"/>
  <c r="X384" i="23"/>
  <c r="P386" i="23"/>
  <c r="W387" i="23"/>
  <c r="U389" i="23"/>
  <c r="Q390" i="23"/>
  <c r="N391" i="23"/>
  <c r="P392" i="23"/>
  <c r="Y393" i="23"/>
  <c r="U395" i="23"/>
  <c r="Q397" i="23"/>
  <c r="Y398" i="23"/>
  <c r="X399" i="23"/>
  <c r="N401" i="23"/>
  <c r="N403" i="23"/>
  <c r="U405" i="23"/>
  <c r="Q406" i="23"/>
  <c r="Q407" i="23"/>
  <c r="AC408" i="23"/>
  <c r="AD408" i="23" s="1"/>
  <c r="W411" i="23"/>
  <c r="U413" i="23"/>
  <c r="W414" i="23"/>
  <c r="AC419" i="23"/>
  <c r="AD419" i="23" s="1"/>
  <c r="W422" i="23"/>
  <c r="W425" i="23"/>
  <c r="Q300" i="23"/>
  <c r="X302" i="23"/>
  <c r="U303" i="23"/>
  <c r="S304" i="23"/>
  <c r="V305" i="23"/>
  <c r="U306" i="23"/>
  <c r="R307" i="23"/>
  <c r="P308" i="23"/>
  <c r="AC308" i="23"/>
  <c r="P310" i="23"/>
  <c r="Y310" i="23"/>
  <c r="Q314" i="23"/>
  <c r="AC315" i="23"/>
  <c r="U317" i="23"/>
  <c r="Y320" i="23"/>
  <c r="AC322" i="23"/>
  <c r="Y323" i="23"/>
  <c r="U324" i="23"/>
  <c r="U325" i="23"/>
  <c r="U326" i="23"/>
  <c r="S327" i="23"/>
  <c r="Q328" i="23"/>
  <c r="U329" i="23"/>
  <c r="S333" i="23"/>
  <c r="P354" i="23"/>
  <c r="AC354" i="23"/>
  <c r="AD354" i="23" s="1"/>
  <c r="R359" i="23"/>
  <c r="U360" i="23"/>
  <c r="X361" i="23"/>
  <c r="W362" i="23"/>
  <c r="N364" i="23"/>
  <c r="R365" i="23"/>
  <c r="W366" i="23"/>
  <c r="Q368" i="23"/>
  <c r="Q370" i="23"/>
  <c r="Y372" i="23"/>
  <c r="N374" i="23"/>
  <c r="AC375" i="23"/>
  <c r="AD375" i="23" s="1"/>
  <c r="U376" i="23"/>
  <c r="X377" i="23"/>
  <c r="Y378" i="23"/>
  <c r="W379" i="23"/>
  <c r="AC381" i="23"/>
  <c r="AD381" i="23" s="1"/>
  <c r="W382" i="23"/>
  <c r="X383" i="23"/>
  <c r="AC384" i="23"/>
  <c r="AD384" i="23" s="1"/>
  <c r="X386" i="23"/>
  <c r="AC387" i="23"/>
  <c r="AD387" i="23" s="1"/>
  <c r="X389" i="23"/>
  <c r="R390" i="23"/>
  <c r="P391" i="23"/>
  <c r="R392" i="23"/>
  <c r="W395" i="23"/>
  <c r="R397" i="23"/>
  <c r="N398" i="23"/>
  <c r="AC398" i="23"/>
  <c r="AD398" i="23" s="1"/>
  <c r="Y399" i="23"/>
  <c r="Q401" i="23"/>
  <c r="R403" i="23"/>
  <c r="X405" i="23"/>
  <c r="R406" i="23"/>
  <c r="S407" i="23"/>
  <c r="P410" i="23"/>
  <c r="AC411" i="23"/>
  <c r="AD411" i="23" s="1"/>
  <c r="X413" i="23"/>
  <c r="X414" i="23"/>
  <c r="S300" i="23"/>
  <c r="N301" i="23"/>
  <c r="Y301" i="23" s="1"/>
  <c r="N302" i="23"/>
  <c r="W302" i="23" s="1"/>
  <c r="Y302" i="23"/>
  <c r="W303" i="23"/>
  <c r="T304" i="23"/>
  <c r="Y305" i="23"/>
  <c r="W306" i="23"/>
  <c r="S307" i="23"/>
  <c r="Q308" i="23"/>
  <c r="Q310" i="23"/>
  <c r="AC310" i="23"/>
  <c r="Y311" i="23"/>
  <c r="W312" i="23"/>
  <c r="S314" i="23"/>
  <c r="N315" i="23"/>
  <c r="X316" i="23"/>
  <c r="W317" i="23"/>
  <c r="T318" i="23"/>
  <c r="Q319" i="23"/>
  <c r="N320" i="23"/>
  <c r="AC320" i="23"/>
  <c r="AC323" i="23"/>
  <c r="W324" i="23"/>
  <c r="W325" i="23"/>
  <c r="W326" i="23"/>
  <c r="U327" i="23"/>
  <c r="R328" i="23"/>
  <c r="W329" i="23"/>
  <c r="U333" i="23"/>
  <c r="T334" i="23"/>
  <c r="R336" i="23"/>
  <c r="P344" i="23"/>
  <c r="P346" i="23"/>
  <c r="N348" i="23"/>
  <c r="Y348" i="23" s="1"/>
  <c r="R349" i="23"/>
  <c r="Y350" i="23"/>
  <c r="Q352" i="23"/>
  <c r="Q354" i="23"/>
  <c r="AC359" i="23"/>
  <c r="AD359" i="23" s="1"/>
  <c r="W360" i="23"/>
  <c r="X362" i="23"/>
  <c r="Q364" i="23"/>
  <c r="X365" i="23"/>
  <c r="R368" i="23"/>
  <c r="W376" i="23"/>
  <c r="X379" i="23"/>
  <c r="P381" i="23"/>
  <c r="X382" i="23"/>
  <c r="Y383" i="23"/>
  <c r="Y389" i="23"/>
  <c r="T390" i="23"/>
  <c r="Y405" i="23"/>
  <c r="AC414" i="23"/>
  <c r="AD414" i="23" s="1"/>
  <c r="U429" i="23"/>
  <c r="T300" i="23"/>
  <c r="Q301" i="23"/>
  <c r="P302" i="23"/>
  <c r="AC302" i="23"/>
  <c r="Y303" i="23"/>
  <c r="X306" i="23"/>
  <c r="U307" i="23"/>
  <c r="S308" i="23"/>
  <c r="N309" i="23"/>
  <c r="R310" i="23"/>
  <c r="AC311" i="23"/>
  <c r="X312" i="23"/>
  <c r="T314" i="23"/>
  <c r="Q315" i="23"/>
  <c r="N316" i="23"/>
  <c r="Y316" i="23"/>
  <c r="Y317" i="23"/>
  <c r="U318" i="23"/>
  <c r="P320" i="23"/>
  <c r="Q322" i="23"/>
  <c r="X324" i="23"/>
  <c r="Y325" i="23"/>
  <c r="Y326" i="23"/>
  <c r="W327" i="23"/>
  <c r="S328" i="23"/>
  <c r="Y329" i="23"/>
  <c r="X333" i="23"/>
  <c r="V334" i="23"/>
  <c r="U336" i="23"/>
  <c r="T339" i="23"/>
  <c r="P341" i="23"/>
  <c r="R344" i="23"/>
  <c r="T346" i="23"/>
  <c r="Q348" i="23"/>
  <c r="AC349" i="23"/>
  <c r="AD349" i="23" s="1"/>
  <c r="S352" i="23"/>
  <c r="P353" i="23"/>
  <c r="R354" i="23"/>
  <c r="Q358" i="23"/>
  <c r="Y360" i="23"/>
  <c r="N362" i="23"/>
  <c r="Y362" i="23"/>
  <c r="S364" i="23"/>
  <c r="S368" i="23"/>
  <c r="P369" i="23"/>
  <c r="S370" i="23"/>
  <c r="P373" i="23"/>
  <c r="S374" i="23"/>
  <c r="N376" i="23"/>
  <c r="X376" i="23"/>
  <c r="P378" i="23"/>
  <c r="AC379" i="23"/>
  <c r="AD379" i="23" s="1"/>
  <c r="Y382" i="23"/>
  <c r="AC389" i="23"/>
  <c r="AD389" i="23" s="1"/>
  <c r="W390" i="23"/>
  <c r="N419" i="23"/>
  <c r="X424" i="23"/>
  <c r="P426" i="23"/>
  <c r="U300" i="23"/>
  <c r="S301" i="23"/>
  <c r="Q302" i="23"/>
  <c r="AC303" i="23"/>
  <c r="W304" i="23"/>
  <c r="N306" i="23"/>
  <c r="Y306" i="23"/>
  <c r="W307" i="23"/>
  <c r="T308" i="23"/>
  <c r="Q309" i="23"/>
  <c r="S310" i="23"/>
  <c r="N311" i="23"/>
  <c r="AC312" i="23"/>
  <c r="U314" i="23"/>
  <c r="R315" i="23"/>
  <c r="P316" i="23"/>
  <c r="AC316" i="23"/>
  <c r="AC317" i="23"/>
  <c r="W318" i="23"/>
  <c r="S319" i="23"/>
  <c r="Q320" i="23"/>
  <c r="N321" i="23"/>
  <c r="S322" i="23"/>
  <c r="Q323" i="23"/>
  <c r="N324" i="23"/>
  <c r="Y324" i="23"/>
  <c r="AC326" i="23"/>
  <c r="Y327" i="23"/>
  <c r="U328" i="23"/>
  <c r="N332" i="23"/>
  <c r="AC333" i="23"/>
  <c r="X334" i="23"/>
  <c r="V336" i="23"/>
  <c r="V341" i="23"/>
  <c r="T344" i="23"/>
  <c r="V346" i="23"/>
  <c r="S348" i="23"/>
  <c r="P351" i="23"/>
  <c r="T352" i="23"/>
  <c r="T353" i="23"/>
  <c r="S354" i="23"/>
  <c r="P357" i="23"/>
  <c r="S358" i="23"/>
  <c r="N360" i="23"/>
  <c r="AC360" i="23"/>
  <c r="AD360" i="23" s="1"/>
  <c r="P362" i="23"/>
  <c r="AC362" i="23"/>
  <c r="AD362" i="23" s="1"/>
  <c r="U364" i="23"/>
  <c r="T368" i="23"/>
  <c r="T369" i="23"/>
  <c r="U370" i="23"/>
  <c r="N372" i="23"/>
  <c r="R373" i="23"/>
  <c r="U374" i="23"/>
  <c r="P376" i="23"/>
  <c r="Y376" i="23"/>
  <c r="Q378" i="23"/>
  <c r="P379" i="23"/>
  <c r="R381" i="23"/>
  <c r="N382" i="23"/>
  <c r="AC382" i="23"/>
  <c r="AD382" i="23" s="1"/>
  <c r="N384" i="23"/>
  <c r="Q385" i="23"/>
  <c r="R387" i="23"/>
  <c r="P389" i="23"/>
  <c r="X390" i="23"/>
  <c r="W391" i="23"/>
  <c r="X397" i="23"/>
  <c r="R398" i="23"/>
  <c r="P399" i="23"/>
  <c r="R400" i="23"/>
  <c r="U403" i="23"/>
  <c r="Q405" i="23"/>
  <c r="T409" i="23"/>
  <c r="N411" i="23"/>
  <c r="N414" i="23"/>
  <c r="R419" i="23"/>
  <c r="N422" i="23"/>
  <c r="Q423" i="23"/>
  <c r="AC424" i="23"/>
  <c r="AD424" i="23" s="1"/>
  <c r="X426" i="23"/>
  <c r="W300" i="23"/>
  <c r="U301" i="23"/>
  <c r="S302" i="23"/>
  <c r="N303" i="23"/>
  <c r="X304" i="23"/>
  <c r="P306" i="23"/>
  <c r="AC306" i="23"/>
  <c r="Y307" i="23"/>
  <c r="U308" i="23"/>
  <c r="W309" i="23"/>
  <c r="T310" i="23"/>
  <c r="Q311" i="23"/>
  <c r="N312" i="23"/>
  <c r="W314" i="23"/>
  <c r="S315" i="23"/>
  <c r="X318" i="23"/>
  <c r="U319" i="23"/>
  <c r="S320" i="23"/>
  <c r="Q321" i="23"/>
  <c r="T322" i="23"/>
  <c r="R323" i="23"/>
  <c r="P324" i="23"/>
  <c r="AC324" i="23"/>
  <c r="N326" i="23"/>
  <c r="AC327" i="23"/>
  <c r="Y328" i="23"/>
  <c r="P330" i="23"/>
  <c r="R332" i="23"/>
  <c r="AC334" i="23"/>
  <c r="U348" i="23"/>
  <c r="U352" i="23"/>
  <c r="U354" i="23"/>
  <c r="U368" i="23"/>
  <c r="Y390" i="23"/>
  <c r="Y406" i="23"/>
  <c r="P408" i="23"/>
  <c r="U409" i="23"/>
  <c r="R411" i="23"/>
  <c r="P413" i="23"/>
  <c r="P414" i="23"/>
  <c r="S419" i="23"/>
  <c r="X300" i="23"/>
  <c r="Q303" i="23"/>
  <c r="N304" i="23"/>
  <c r="Y304" i="23" s="1"/>
  <c r="AC304" i="23"/>
  <c r="Q306" i="23"/>
  <c r="AC307" i="23"/>
  <c r="W308" i="23"/>
  <c r="U310" i="23"/>
  <c r="X314" i="23"/>
  <c r="Q326" i="23"/>
  <c r="AC328" i="23"/>
  <c r="W332" i="23"/>
  <c r="P340" i="23"/>
  <c r="W348" i="23"/>
  <c r="Q350" i="23"/>
  <c r="W352" i="23"/>
  <c r="W354" i="23"/>
  <c r="Q356" i="23"/>
  <c r="T357" i="23"/>
  <c r="W358" i="23"/>
  <c r="R360" i="23"/>
  <c r="R362" i="23"/>
  <c r="Y364" i="23"/>
  <c r="Q366" i="23"/>
  <c r="AC367" i="23"/>
  <c r="AD367" i="23" s="1"/>
  <c r="W368" i="23"/>
  <c r="X370" i="23"/>
  <c r="S372" i="23"/>
  <c r="X373" i="23"/>
  <c r="Y374" i="23"/>
  <c r="R376" i="23"/>
  <c r="S378" i="23"/>
  <c r="S379" i="23"/>
  <c r="S380" i="23"/>
  <c r="U381" i="23"/>
  <c r="Q382" i="23"/>
  <c r="P383" i="23"/>
  <c r="R384" i="23"/>
  <c r="Y385" i="23"/>
  <c r="T387" i="23"/>
  <c r="R389" i="23"/>
  <c r="N390" i="23"/>
  <c r="AC390" i="23"/>
  <c r="AD390" i="23" s="1"/>
  <c r="Y391" i="23"/>
  <c r="Q393" i="23"/>
  <c r="AC397" i="23"/>
  <c r="AD397" i="23" s="1"/>
  <c r="W398" i="23"/>
  <c r="S399" i="23"/>
  <c r="AC400" i="23"/>
  <c r="AD400" i="23" s="1"/>
  <c r="X402" i="23"/>
  <c r="AC403" i="23"/>
  <c r="AD403" i="23" s="1"/>
  <c r="S405" i="23"/>
  <c r="N406" i="23"/>
  <c r="AC406" i="23"/>
  <c r="AD406" i="23" s="1"/>
  <c r="R408" i="23"/>
  <c r="W409" i="23"/>
  <c r="S411" i="23"/>
  <c r="Q413" i="23"/>
  <c r="R414" i="23"/>
  <c r="R416" i="23"/>
  <c r="Y417" i="23"/>
  <c r="U419" i="23"/>
  <c r="Q421" i="23"/>
  <c r="R422" i="23"/>
  <c r="Y423" i="23"/>
  <c r="N425" i="23"/>
  <c r="N427" i="23"/>
  <c r="X2" i="3"/>
  <c r="U4" i="3"/>
  <c r="S5" i="3"/>
  <c r="AE5" i="3"/>
  <c r="X6" i="3"/>
  <c r="U7" i="3"/>
  <c r="Q9" i="3"/>
  <c r="AA10" i="3"/>
  <c r="AI11" i="3"/>
  <c r="AA12" i="3"/>
  <c r="AC13" i="3"/>
  <c r="X16" i="3"/>
  <c r="V19" i="3"/>
  <c r="AA21" i="3"/>
  <c r="Y22" i="3"/>
  <c r="S29" i="3"/>
  <c r="AE29" i="3"/>
  <c r="U37" i="3"/>
  <c r="X43" i="3"/>
  <c r="AA43" i="3"/>
  <c r="S43" i="3"/>
  <c r="AA54" i="3"/>
  <c r="AD54" i="3"/>
  <c r="T54" i="3"/>
  <c r="Z6" i="3"/>
  <c r="AC7" i="3"/>
  <c r="S9" i="3"/>
  <c r="AD12" i="3"/>
  <c r="AD13" i="3"/>
  <c r="AA16" i="3"/>
  <c r="Y19" i="3"/>
  <c r="AB21" i="3"/>
  <c r="AB22" i="3"/>
  <c r="U29" i="3"/>
  <c r="AI36" i="3"/>
  <c r="Z36" i="3"/>
  <c r="W36" i="3"/>
  <c r="V36" i="3"/>
  <c r="AD36" i="3"/>
  <c r="Q36" i="3"/>
  <c r="AA36" i="3" s="1"/>
  <c r="V37" i="3"/>
  <c r="Z40" i="3"/>
  <c r="AI45" i="3"/>
  <c r="AC45" i="3"/>
  <c r="T45" i="3"/>
  <c r="AB45" i="3"/>
  <c r="S45" i="3"/>
  <c r="AA45" i="3"/>
  <c r="Q45" i="3"/>
  <c r="W45" i="3"/>
  <c r="AB55" i="3"/>
  <c r="W55" i="3"/>
  <c r="U55" i="3"/>
  <c r="S55" i="3"/>
  <c r="Q55" i="3"/>
  <c r="AE55" i="3"/>
  <c r="AC55" i="3"/>
  <c r="Q6" i="3"/>
  <c r="AA6" i="3"/>
  <c r="U9" i="3"/>
  <c r="Q12" i="3"/>
  <c r="AE12" i="3"/>
  <c r="AD16" i="3"/>
  <c r="S21" i="3"/>
  <c r="AC21" i="3"/>
  <c r="AD22" i="3"/>
  <c r="AC24" i="3"/>
  <c r="Q24" i="3"/>
  <c r="AA24" i="3"/>
  <c r="V29" i="3"/>
  <c r="AE34" i="3"/>
  <c r="T34" i="3"/>
  <c r="S34" i="3"/>
  <c r="AC34" i="3"/>
  <c r="Q34" i="3"/>
  <c r="Z34" i="3"/>
  <c r="T36" i="3"/>
  <c r="X37" i="3"/>
  <c r="U45" i="3"/>
  <c r="Z55" i="3"/>
  <c r="W9" i="3"/>
  <c r="Z37" i="3"/>
  <c r="AC56" i="3"/>
  <c r="X56" i="3"/>
  <c r="V56" i="3"/>
  <c r="S56" i="3"/>
  <c r="Q56" i="3"/>
  <c r="AD56" i="3"/>
  <c r="AA56" i="3"/>
  <c r="AC4" i="3"/>
  <c r="Z5" i="3"/>
  <c r="T6" i="3"/>
  <c r="AC6" i="3"/>
  <c r="V8" i="3"/>
  <c r="Y9" i="3"/>
  <c r="U10" i="3"/>
  <c r="S11" i="3"/>
  <c r="T12" i="3"/>
  <c r="U13" i="3"/>
  <c r="AE15" i="3"/>
  <c r="AB18" i="3"/>
  <c r="AA20" i="3"/>
  <c r="U21" i="3"/>
  <c r="AE21" i="3"/>
  <c r="V24" i="3"/>
  <c r="AE26" i="3"/>
  <c r="U26" i="3"/>
  <c r="Q26" i="3"/>
  <c r="X26" i="3" s="1"/>
  <c r="Z29" i="3"/>
  <c r="AC32" i="3"/>
  <c r="AA32" i="3"/>
  <c r="Z32" i="3"/>
  <c r="X32" i="3"/>
  <c r="Q32" i="3"/>
  <c r="X34" i="3"/>
  <c r="AB36" i="3"/>
  <c r="AD37" i="3"/>
  <c r="X45" i="3"/>
  <c r="Z56" i="3"/>
  <c r="AD4" i="3"/>
  <c r="AA5" i="3"/>
  <c r="U6" i="3"/>
  <c r="AD6" i="3"/>
  <c r="Z8" i="3"/>
  <c r="Z9" i="3"/>
  <c r="V11" i="3"/>
  <c r="U12" i="3"/>
  <c r="V13" i="3"/>
  <c r="V21" i="3"/>
  <c r="X24" i="3"/>
  <c r="AA34" i="3"/>
  <c r="AC36" i="3"/>
  <c r="Z45" i="3"/>
  <c r="AI60" i="3"/>
  <c r="Z60" i="3"/>
  <c r="W60" i="3"/>
  <c r="V60" i="3"/>
  <c r="AE60" i="3"/>
  <c r="U60" i="3"/>
  <c r="AC60" i="3"/>
  <c r="S60" i="3"/>
  <c r="AB60" i="3"/>
  <c r="Q60" i="3"/>
  <c r="AB5" i="3"/>
  <c r="V6" i="3"/>
  <c r="AE6" i="3"/>
  <c r="AD8" i="3"/>
  <c r="AB9" i="3"/>
  <c r="Y11" i="3"/>
  <c r="W12" i="3"/>
  <c r="X13" i="3"/>
  <c r="S16" i="3"/>
  <c r="W21" i="3"/>
  <c r="Z24" i="3"/>
  <c r="AI29" i="3"/>
  <c r="W29" i="3"/>
  <c r="AC29" i="3"/>
  <c r="T29" i="3"/>
  <c r="AB29" i="3"/>
  <c r="AB34" i="3"/>
  <c r="AE36" i="3"/>
  <c r="AD45" i="3"/>
  <c r="T60" i="3"/>
  <c r="AE9" i="3"/>
  <c r="AD29" i="3"/>
  <c r="AI37" i="3"/>
  <c r="AC37" i="3"/>
  <c r="T37" i="3"/>
  <c r="AB37" i="3"/>
  <c r="S37" i="3"/>
  <c r="AA37" i="3"/>
  <c r="Q37" i="3"/>
  <c r="W37" i="3"/>
  <c r="AC40" i="3"/>
  <c r="V40" i="3"/>
  <c r="Q40" i="3"/>
  <c r="S40" i="3" s="1"/>
  <c r="AA40" i="3"/>
  <c r="AE45" i="3"/>
  <c r="AA60" i="3"/>
  <c r="W28" i="3"/>
  <c r="AC39" i="3"/>
  <c r="Z42" i="3"/>
  <c r="T44" i="3"/>
  <c r="AD44" i="3"/>
  <c r="U47" i="3"/>
  <c r="V48" i="3"/>
  <c r="S50" i="3"/>
  <c r="Z52" i="3"/>
  <c r="U53" i="3"/>
  <c r="X58" i="3"/>
  <c r="X61" i="3"/>
  <c r="AD62" i="3"/>
  <c r="Q66" i="3"/>
  <c r="AB66" i="3" s="1"/>
  <c r="S67" i="3"/>
  <c r="W68" i="3"/>
  <c r="S69" i="3"/>
  <c r="W71" i="3"/>
  <c r="AA72" i="3"/>
  <c r="Z74" i="3"/>
  <c r="Q76" i="3"/>
  <c r="AB76" i="3"/>
  <c r="V77" i="3"/>
  <c r="W79" i="3"/>
  <c r="X80" i="3"/>
  <c r="U82" i="3"/>
  <c r="AA83" i="3"/>
  <c r="AA84" i="3"/>
  <c r="AA85" i="3"/>
  <c r="U87" i="3"/>
  <c r="U88" i="3"/>
  <c r="S89" i="3"/>
  <c r="S90" i="3"/>
  <c r="AD91" i="3"/>
  <c r="AD92" i="3"/>
  <c r="AD96" i="3"/>
  <c r="AC97" i="3"/>
  <c r="Z98" i="3"/>
  <c r="AD99" i="3"/>
  <c r="Z100" i="3"/>
  <c r="S101" i="3"/>
  <c r="Q106" i="3"/>
  <c r="AC106" i="3"/>
  <c r="AB107" i="3"/>
  <c r="AA109" i="3"/>
  <c r="W111" i="3"/>
  <c r="Z114" i="3"/>
  <c r="U115" i="3"/>
  <c r="Q116" i="3"/>
  <c r="AE116" i="3"/>
  <c r="AA117" i="3"/>
  <c r="U119" i="3"/>
  <c r="AE119" i="3"/>
  <c r="T121" i="3"/>
  <c r="X122" i="3"/>
  <c r="AD123" i="3"/>
  <c r="AC124" i="3"/>
  <c r="W125" i="3"/>
  <c r="W127" i="3"/>
  <c r="AB130" i="3"/>
  <c r="AB132" i="3"/>
  <c r="W133" i="3"/>
  <c r="Q136" i="3"/>
  <c r="AC138" i="3"/>
  <c r="AA139" i="3"/>
  <c r="V140" i="3"/>
  <c r="S141" i="3"/>
  <c r="Q144" i="3"/>
  <c r="T145" i="3"/>
  <c r="AD147" i="3"/>
  <c r="AC148" i="3"/>
  <c r="X149" i="3"/>
  <c r="W151" i="3"/>
  <c r="W152" i="3"/>
  <c r="T153" i="3"/>
  <c r="Q155" i="3"/>
  <c r="Z155" i="3" s="1"/>
  <c r="Q157" i="3"/>
  <c r="AA157" i="3"/>
  <c r="Q159" i="3"/>
  <c r="AE159" i="3" s="1"/>
  <c r="AI163" i="3"/>
  <c r="Z163" i="3"/>
  <c r="U163" i="3"/>
  <c r="AC163" i="3"/>
  <c r="S163" i="3"/>
  <c r="AB163" i="3"/>
  <c r="Q163" i="3"/>
  <c r="X168" i="3"/>
  <c r="T173" i="3"/>
  <c r="AA52" i="3"/>
  <c r="S66" i="3"/>
  <c r="AA67" i="3"/>
  <c r="Z68" i="3"/>
  <c r="V69" i="3"/>
  <c r="AA74" i="3"/>
  <c r="S76" i="3"/>
  <c r="AC76" i="3"/>
  <c r="AC84" i="3"/>
  <c r="T90" i="3"/>
  <c r="AE92" i="3"/>
  <c r="AE97" i="3"/>
  <c r="AB98" i="3"/>
  <c r="AA100" i="3"/>
  <c r="S106" i="3"/>
  <c r="AD107" i="3"/>
  <c r="S116" i="3"/>
  <c r="AC117" i="3"/>
  <c r="AB121" i="3"/>
  <c r="Z122" i="3"/>
  <c r="AE124" i="3"/>
  <c r="X125" i="3"/>
  <c r="X133" i="3"/>
  <c r="S136" i="3"/>
  <c r="AB139" i="3"/>
  <c r="W140" i="3"/>
  <c r="U141" i="3"/>
  <c r="S144" i="3"/>
  <c r="AD148" i="3"/>
  <c r="Z151" i="3"/>
  <c r="AB153" i="3"/>
  <c r="S155" i="3"/>
  <c r="S157" i="3"/>
  <c r="AB157" i="3"/>
  <c r="W159" i="3"/>
  <c r="AA171" i="3"/>
  <c r="Q171" i="3"/>
  <c r="AI171" i="3"/>
  <c r="AB171" i="3"/>
  <c r="V171" i="3"/>
  <c r="T171" i="3"/>
  <c r="AI183" i="3"/>
  <c r="AD183" i="3"/>
  <c r="U183" i="3"/>
  <c r="AC183" i="3"/>
  <c r="T183" i="3"/>
  <c r="AB183" i="3"/>
  <c r="S183" i="3"/>
  <c r="AA183" i="3"/>
  <c r="Q183" i="3"/>
  <c r="X183" i="3"/>
  <c r="W183" i="3"/>
  <c r="T66" i="3"/>
  <c r="AA68" i="3"/>
  <c r="AB74" i="3"/>
  <c r="T76" i="3"/>
  <c r="AD76" i="3"/>
  <c r="AC98" i="3"/>
  <c r="T116" i="3"/>
  <c r="AA122" i="3"/>
  <c r="Z125" i="3"/>
  <c r="Z133" i="3"/>
  <c r="U136" i="3"/>
  <c r="W141" i="3"/>
  <c r="U144" i="3"/>
  <c r="T155" i="3"/>
  <c r="T157" i="3"/>
  <c r="AC157" i="3"/>
  <c r="Z159" i="3"/>
  <c r="S171" i="3"/>
  <c r="AI174" i="3"/>
  <c r="AD174" i="3"/>
  <c r="V183" i="3"/>
  <c r="AB28" i="3"/>
  <c r="W31" i="3"/>
  <c r="W44" i="3"/>
  <c r="AB46" i="3"/>
  <c r="AB47" i="3"/>
  <c r="X50" i="3"/>
  <c r="S52" i="3"/>
  <c r="AC52" i="3"/>
  <c r="AA53" i="3"/>
  <c r="AC58" i="3"/>
  <c r="AE61" i="3"/>
  <c r="U63" i="3"/>
  <c r="X64" i="3"/>
  <c r="U66" i="3"/>
  <c r="Q68" i="3"/>
  <c r="AB68" i="3"/>
  <c r="X69" i="3"/>
  <c r="AB70" i="3"/>
  <c r="AC71" i="3"/>
  <c r="Q74" i="3"/>
  <c r="AC74" i="3"/>
  <c r="U76" i="3"/>
  <c r="AE76" i="3"/>
  <c r="AA77" i="3"/>
  <c r="AB78" i="3"/>
  <c r="AC79" i="3"/>
  <c r="AA82" i="3"/>
  <c r="T84" i="3"/>
  <c r="AE84" i="3"/>
  <c r="Y86" i="3"/>
  <c r="AC87" i="3"/>
  <c r="V89" i="3"/>
  <c r="X90" i="3"/>
  <c r="V92" i="3"/>
  <c r="S93" i="3"/>
  <c r="S95" i="3"/>
  <c r="T96" i="3"/>
  <c r="T97" i="3"/>
  <c r="Q98" i="3"/>
  <c r="AD98" i="3"/>
  <c r="S100" i="3"/>
  <c r="AC100" i="3"/>
  <c r="V101" i="3"/>
  <c r="S103" i="3"/>
  <c r="AA104" i="3"/>
  <c r="U106" i="3"/>
  <c r="T107" i="3"/>
  <c r="Q108" i="3"/>
  <c r="T109" i="3"/>
  <c r="S112" i="3"/>
  <c r="AC114" i="3"/>
  <c r="AA115" i="3"/>
  <c r="U116" i="3"/>
  <c r="S117" i="3"/>
  <c r="X119" i="3"/>
  <c r="V120" i="3"/>
  <c r="Q122" i="3"/>
  <c r="AB122" i="3" s="1"/>
  <c r="AC122" i="3"/>
  <c r="T124" i="3"/>
  <c r="Q125" i="3"/>
  <c r="AA125" i="3"/>
  <c r="AC127" i="3"/>
  <c r="U130" i="3"/>
  <c r="V131" i="3"/>
  <c r="Q133" i="3"/>
  <c r="AA133" i="3"/>
  <c r="T135" i="3"/>
  <c r="X136" i="3"/>
  <c r="S138" i="3"/>
  <c r="S139" i="3"/>
  <c r="AD139" i="3"/>
  <c r="AB140" i="3"/>
  <c r="X141" i="3"/>
  <c r="Q143" i="3"/>
  <c r="X144" i="3"/>
  <c r="T146" i="3"/>
  <c r="U147" i="3"/>
  <c r="T148" i="3"/>
  <c r="AC149" i="3"/>
  <c r="AA152" i="3"/>
  <c r="Q154" i="3"/>
  <c r="T154" i="3" s="1"/>
  <c r="U155" i="3"/>
  <c r="W156" i="3"/>
  <c r="U157" i="3"/>
  <c r="AE157" i="3"/>
  <c r="AI160" i="3"/>
  <c r="AC160" i="3"/>
  <c r="Z160" i="3"/>
  <c r="X163" i="3"/>
  <c r="AI165" i="3"/>
  <c r="AB165" i="3"/>
  <c r="S165" i="3"/>
  <c r="X165" i="3"/>
  <c r="AE165" i="3"/>
  <c r="V165" i="3"/>
  <c r="AD165" i="3"/>
  <c r="U165" i="3"/>
  <c r="AI166" i="3"/>
  <c r="Y171" i="3"/>
  <c r="Z183" i="3"/>
  <c r="Z44" i="3"/>
  <c r="AC47" i="3"/>
  <c r="Z50" i="3"/>
  <c r="T52" i="3"/>
  <c r="AE52" i="3"/>
  <c r="W63" i="3"/>
  <c r="Z66" i="3"/>
  <c r="S68" i="3"/>
  <c r="AC68" i="3"/>
  <c r="AA69" i="3"/>
  <c r="AE71" i="3"/>
  <c r="S74" i="3"/>
  <c r="V76" i="3"/>
  <c r="AB77" i="3"/>
  <c r="AE79" i="3"/>
  <c r="AB82" i="3"/>
  <c r="U84" i="3"/>
  <c r="AC88" i="3"/>
  <c r="AA89" i="3"/>
  <c r="AA90" i="3"/>
  <c r="W92" i="3"/>
  <c r="X93" i="3"/>
  <c r="U95" i="3"/>
  <c r="U97" i="3"/>
  <c r="T98" i="3"/>
  <c r="T100" i="3"/>
  <c r="AD100" i="3"/>
  <c r="X101" i="3"/>
  <c r="W103" i="3"/>
  <c r="W106" i="3"/>
  <c r="U107" i="3"/>
  <c r="T108" i="3"/>
  <c r="U112" i="3"/>
  <c r="AB115" i="3"/>
  <c r="W116" i="3"/>
  <c r="U117" i="3"/>
  <c r="X120" i="3"/>
  <c r="S122" i="3"/>
  <c r="U124" i="3"/>
  <c r="S125" i="3"/>
  <c r="AB125" i="3"/>
  <c r="S133" i="3"/>
  <c r="AB133" i="3"/>
  <c r="W135" i="3"/>
  <c r="Z136" i="3"/>
  <c r="AC140" i="3"/>
  <c r="AA141" i="3"/>
  <c r="W143" i="3"/>
  <c r="Z144" i="3"/>
  <c r="U154" i="3"/>
  <c r="V155" i="3"/>
  <c r="V157" i="3"/>
  <c r="AI167" i="3"/>
  <c r="Q167" i="3"/>
  <c r="AE167" i="3"/>
  <c r="Z167" i="3"/>
  <c r="AI170" i="3"/>
  <c r="U170" i="3"/>
  <c r="AE170" i="3"/>
  <c r="AC170" i="3"/>
  <c r="Q170" i="3"/>
  <c r="AA170" i="3"/>
  <c r="Z170" i="3"/>
  <c r="AI177" i="3"/>
  <c r="Y177" i="3"/>
  <c r="T177" i="3"/>
  <c r="AE183" i="3"/>
  <c r="S35" i="3"/>
  <c r="Q42" i="3"/>
  <c r="U42" i="3" s="1"/>
  <c r="AA44" i="3"/>
  <c r="AE47" i="3"/>
  <c r="AA50" i="3"/>
  <c r="U52" i="3"/>
  <c r="AC53" i="3"/>
  <c r="Q58" i="3"/>
  <c r="S59" i="3"/>
  <c r="T61" i="3"/>
  <c r="T62" i="3"/>
  <c r="X63" i="3"/>
  <c r="AA66" i="3"/>
  <c r="T68" i="3"/>
  <c r="AD68" i="3"/>
  <c r="AC69" i="3"/>
  <c r="T74" i="3"/>
  <c r="S75" i="3"/>
  <c r="W76" i="3"/>
  <c r="S77" i="3"/>
  <c r="AC77" i="3"/>
  <c r="Q82" i="3"/>
  <c r="AC82" i="3"/>
  <c r="V84" i="3"/>
  <c r="S85" i="3"/>
  <c r="Q88" i="3"/>
  <c r="AB88" i="3" s="1"/>
  <c r="AD88" i="3"/>
  <c r="AB89" i="3"/>
  <c r="AC90" i="3"/>
  <c r="X92" i="3"/>
  <c r="AA93" i="3"/>
  <c r="Z95" i="3"/>
  <c r="W97" i="3"/>
  <c r="U98" i="3"/>
  <c r="S99" i="3"/>
  <c r="U100" i="3"/>
  <c r="AE100" i="3"/>
  <c r="AA101" i="3"/>
  <c r="Z103" i="3"/>
  <c r="T105" i="3"/>
  <c r="Z106" i="3"/>
  <c r="V107" i="3"/>
  <c r="W108" i="3"/>
  <c r="X112" i="3"/>
  <c r="Q115" i="3"/>
  <c r="AC115" i="3"/>
  <c r="AA116" i="3"/>
  <c r="V117" i="3"/>
  <c r="Q119" i="3"/>
  <c r="AB119" i="3" s="1"/>
  <c r="AA119" i="3"/>
  <c r="AB120" i="3"/>
  <c r="T122" i="3"/>
  <c r="S123" i="3"/>
  <c r="W124" i="3"/>
  <c r="T125" i="3"/>
  <c r="AC125" i="3"/>
  <c r="T133" i="3"/>
  <c r="AC133" i="3"/>
  <c r="Z135" i="3"/>
  <c r="AA136" i="3"/>
  <c r="U138" i="3"/>
  <c r="U139" i="3"/>
  <c r="S140" i="3"/>
  <c r="AD140" i="3"/>
  <c r="AC141" i="3"/>
  <c r="Z143" i="3"/>
  <c r="AA144" i="3"/>
  <c r="AB154" i="3"/>
  <c r="AA155" i="3"/>
  <c r="W157" i="3"/>
  <c r="Y158" i="3"/>
  <c r="W167" i="3"/>
  <c r="S170" i="3"/>
  <c r="AB177" i="3"/>
  <c r="AB50" i="3"/>
  <c r="V52" i="3"/>
  <c r="AC63" i="3"/>
  <c r="AC66" i="3"/>
  <c r="U68" i="3"/>
  <c r="AE68" i="3"/>
  <c r="AD69" i="3"/>
  <c r="U74" i="3"/>
  <c r="Z76" i="3"/>
  <c r="W84" i="3"/>
  <c r="AD89" i="3"/>
  <c r="Z92" i="3"/>
  <c r="AA95" i="3"/>
  <c r="AA97" i="3"/>
  <c r="V98" i="3"/>
  <c r="V100" i="3"/>
  <c r="AB101" i="3"/>
  <c r="AC103" i="3"/>
  <c r="AB105" i="3"/>
  <c r="AA106" i="3"/>
  <c r="X107" i="3"/>
  <c r="AB108" i="3"/>
  <c r="Q111" i="3"/>
  <c r="Z112" i="3"/>
  <c r="S115" i="3"/>
  <c r="AD115" i="3"/>
  <c r="AB116" i="3"/>
  <c r="X117" i="3"/>
  <c r="S119" i="3"/>
  <c r="AC119" i="3"/>
  <c r="U122" i="3"/>
  <c r="V123" i="3"/>
  <c r="Z124" i="3"/>
  <c r="U125" i="3"/>
  <c r="AD125" i="3"/>
  <c r="X128" i="3"/>
  <c r="U133" i="3"/>
  <c r="AD133" i="3"/>
  <c r="AE135" i="3"/>
  <c r="AC136" i="3"/>
  <c r="V138" i="3"/>
  <c r="V139" i="3"/>
  <c r="T140" i="3"/>
  <c r="AE140" i="3"/>
  <c r="AD141" i="3"/>
  <c r="AE143" i="3"/>
  <c r="AC144" i="3"/>
  <c r="AA146" i="3"/>
  <c r="AC154" i="3"/>
  <c r="AC155" i="3"/>
  <c r="X157" i="3"/>
  <c r="AI168" i="3"/>
  <c r="Z168" i="3"/>
  <c r="Q168" i="3"/>
  <c r="T170" i="3"/>
  <c r="V68" i="3"/>
  <c r="X74" i="3"/>
  <c r="AA76" i="3"/>
  <c r="X98" i="3"/>
  <c r="AB106" i="3"/>
  <c r="AE108" i="3"/>
  <c r="AC116" i="3"/>
  <c r="V122" i="3"/>
  <c r="V125" i="3"/>
  <c r="AE125" i="3"/>
  <c r="V133" i="3"/>
  <c r="AD155" i="3"/>
  <c r="Z157" i="3"/>
  <c r="S168" i="3"/>
  <c r="W170" i="3"/>
  <c r="AE173" i="3"/>
  <c r="Z173" i="3"/>
  <c r="X173" i="3"/>
  <c r="V173" i="3"/>
  <c r="U173" i="3"/>
  <c r="AD173" i="3"/>
  <c r="S173" i="3"/>
  <c r="AC173" i="3"/>
  <c r="Q173" i="3"/>
  <c r="S162" i="3"/>
  <c r="AB164" i="3"/>
  <c r="T172" i="3"/>
  <c r="T175" i="3"/>
  <c r="AC175" i="3"/>
  <c r="Z178" i="3"/>
  <c r="V179" i="3"/>
  <c r="AE180" i="3"/>
  <c r="AD182" i="3"/>
  <c r="S186" i="3"/>
  <c r="U188" i="3"/>
  <c r="Q191" i="3"/>
  <c r="AE191" i="3"/>
  <c r="Q194" i="3"/>
  <c r="S194" i="3" s="1"/>
  <c r="Q195" i="3"/>
  <c r="AB195" i="3"/>
  <c r="W196" i="3"/>
  <c r="V197" i="3"/>
  <c r="W199" i="3"/>
  <c r="T201" i="3"/>
  <c r="AA202" i="3"/>
  <c r="U203" i="3"/>
  <c r="AE203" i="3"/>
  <c r="AA204" i="3"/>
  <c r="X205" i="3"/>
  <c r="W207" i="3"/>
  <c r="Z210" i="3"/>
  <c r="V213" i="3"/>
  <c r="Q215" i="3"/>
  <c r="AE215" i="3"/>
  <c r="AB217" i="3"/>
  <c r="AC218" i="3"/>
  <c r="X219" i="3"/>
  <c r="Q223" i="3"/>
  <c r="AB223" i="3" s="1"/>
  <c r="S224" i="3"/>
  <c r="Z227" i="3"/>
  <c r="AB230" i="3"/>
  <c r="V231" i="3"/>
  <c r="AD233" i="3"/>
  <c r="Z235" i="3"/>
  <c r="Q241" i="3"/>
  <c r="AC241" i="3"/>
  <c r="S243" i="3"/>
  <c r="AC243" i="3"/>
  <c r="Y245" i="3"/>
  <c r="AC246" i="3"/>
  <c r="AB247" i="3"/>
  <c r="Z248" i="3"/>
  <c r="AB249" i="3"/>
  <c r="AE251" i="3"/>
  <c r="Q254" i="3"/>
  <c r="AD255" i="3"/>
  <c r="Q259" i="3"/>
  <c r="U260" i="3"/>
  <c r="X262" i="3"/>
  <c r="S265" i="3"/>
  <c r="W267" i="3"/>
  <c r="AD268" i="3"/>
  <c r="AE269" i="3"/>
  <c r="U272" i="3"/>
  <c r="S273" i="3"/>
  <c r="Z274" i="3"/>
  <c r="AC275" i="3"/>
  <c r="W277" i="3"/>
  <c r="S280" i="3"/>
  <c r="AD280" i="3"/>
  <c r="Z287" i="3"/>
  <c r="S289" i="3"/>
  <c r="AC292" i="3"/>
  <c r="AE292" i="3"/>
  <c r="W292" i="3"/>
  <c r="V292" i="3"/>
  <c r="AI300" i="3"/>
  <c r="T300" i="3"/>
  <c r="Q300" i="3"/>
  <c r="AC300" i="3"/>
  <c r="AB300" i="3"/>
  <c r="U162" i="3"/>
  <c r="AC164" i="3"/>
  <c r="U172" i="3"/>
  <c r="U175" i="3"/>
  <c r="AD175" i="3"/>
  <c r="AA178" i="3"/>
  <c r="U186" i="3"/>
  <c r="V188" i="3"/>
  <c r="S191" i="3"/>
  <c r="U194" i="3"/>
  <c r="S195" i="3"/>
  <c r="AC195" i="3"/>
  <c r="X196" i="3"/>
  <c r="X197" i="3"/>
  <c r="X199" i="3"/>
  <c r="AB202" i="3"/>
  <c r="V203" i="3"/>
  <c r="AB204" i="3"/>
  <c r="AC205" i="3"/>
  <c r="X207" i="3"/>
  <c r="W211" i="3"/>
  <c r="S215" i="3"/>
  <c r="AD218" i="3"/>
  <c r="AA219" i="3"/>
  <c r="S223" i="3"/>
  <c r="T224" i="3"/>
  <c r="AA227" i="3"/>
  <c r="AA231" i="3"/>
  <c r="V233" i="3"/>
  <c r="S241" i="3"/>
  <c r="AD241" i="3"/>
  <c r="T243" i="3"/>
  <c r="AD243" i="3"/>
  <c r="AB245" i="3"/>
  <c r="AD247" i="3"/>
  <c r="AC249" i="3"/>
  <c r="U254" i="3"/>
  <c r="AE255" i="3"/>
  <c r="W259" i="3"/>
  <c r="X260" i="3"/>
  <c r="X265" i="3"/>
  <c r="T273" i="3"/>
  <c r="AI287" i="3"/>
  <c r="V191" i="3"/>
  <c r="V194" i="3"/>
  <c r="T195" i="3"/>
  <c r="AD195" i="3"/>
  <c r="AC219" i="3"/>
  <c r="T223" i="3"/>
  <c r="X224" i="3"/>
  <c r="AE243" i="3"/>
  <c r="AB248" i="3"/>
  <c r="Z254" i="3"/>
  <c r="AA259" i="3"/>
  <c r="AA265" i="3"/>
  <c r="Z162" i="3"/>
  <c r="AE164" i="3"/>
  <c r="Z172" i="3"/>
  <c r="W175" i="3"/>
  <c r="AA179" i="3"/>
  <c r="U180" i="3"/>
  <c r="AC187" i="3"/>
  <c r="X188" i="3"/>
  <c r="AC189" i="3"/>
  <c r="W191" i="3"/>
  <c r="AA192" i="3"/>
  <c r="Z194" i="3"/>
  <c r="U195" i="3"/>
  <c r="AE195" i="3"/>
  <c r="AC196" i="3"/>
  <c r="AD197" i="3"/>
  <c r="S202" i="3"/>
  <c r="AD202" i="3"/>
  <c r="Z203" i="3"/>
  <c r="T204" i="3"/>
  <c r="AD204" i="3"/>
  <c r="Y206" i="3"/>
  <c r="AA207" i="3"/>
  <c r="AA211" i="3"/>
  <c r="X212" i="3"/>
  <c r="W215" i="3"/>
  <c r="T216" i="3"/>
  <c r="T218" i="3"/>
  <c r="S219" i="3"/>
  <c r="W223" i="3"/>
  <c r="AA224" i="3"/>
  <c r="S227" i="3"/>
  <c r="AD232" i="3"/>
  <c r="AE232" i="3"/>
  <c r="AE235" i="3"/>
  <c r="T239" i="3"/>
  <c r="U240" i="3"/>
  <c r="U241" i="3"/>
  <c r="V242" i="3"/>
  <c r="V243" i="3"/>
  <c r="Q246" i="3"/>
  <c r="S247" i="3"/>
  <c r="Q248" i="3"/>
  <c r="AA248" i="3" s="1"/>
  <c r="AC248" i="3"/>
  <c r="X252" i="3"/>
  <c r="AC254" i="3"/>
  <c r="W256" i="3"/>
  <c r="AB259" i="3"/>
  <c r="AB260" i="3"/>
  <c r="Q263" i="3"/>
  <c r="W264" i="3"/>
  <c r="AE267" i="3"/>
  <c r="S269" i="3"/>
  <c r="Y271" i="3"/>
  <c r="Z272" i="3"/>
  <c r="AB273" i="3"/>
  <c r="V276" i="3"/>
  <c r="W280" i="3"/>
  <c r="S281" i="3"/>
  <c r="AC283" i="3"/>
  <c r="AB285" i="3"/>
  <c r="Q288" i="3"/>
  <c r="AD292" i="3"/>
  <c r="AB172" i="3"/>
  <c r="X175" i="3"/>
  <c r="AA188" i="3"/>
  <c r="X191" i="3"/>
  <c r="AA194" i="3"/>
  <c r="V195" i="3"/>
  <c r="AD196" i="3"/>
  <c r="AA203" i="3"/>
  <c r="AE207" i="3"/>
  <c r="Z215" i="3"/>
  <c r="T219" i="3"/>
  <c r="X223" i="3"/>
  <c r="Z233" i="3"/>
  <c r="V241" i="3"/>
  <c r="Y242" i="3"/>
  <c r="S246" i="3"/>
  <c r="S248" i="3"/>
  <c r="AE248" i="3"/>
  <c r="AE259" i="3"/>
  <c r="AC260" i="3"/>
  <c r="V263" i="3"/>
  <c r="T269" i="3"/>
  <c r="Z271" i="3"/>
  <c r="AA272" i="3"/>
  <c r="W276" i="3"/>
  <c r="X280" i="3"/>
  <c r="T281" i="3"/>
  <c r="AD283" i="3"/>
  <c r="S288" i="3"/>
  <c r="AB303" i="3"/>
  <c r="AC303" i="3"/>
  <c r="X303" i="3"/>
  <c r="W303" i="3"/>
  <c r="U303" i="3"/>
  <c r="AC172" i="3"/>
  <c r="Z175" i="3"/>
  <c r="Q178" i="3"/>
  <c r="AB188" i="3"/>
  <c r="Y190" i="3"/>
  <c r="Z191" i="3"/>
  <c r="T193" i="3"/>
  <c r="AC194" i="3"/>
  <c r="W195" i="3"/>
  <c r="S196" i="3"/>
  <c r="AE196" i="3"/>
  <c r="Q203" i="3"/>
  <c r="AB203" i="3"/>
  <c r="Y214" i="3"/>
  <c r="AA215" i="3"/>
  <c r="U219" i="3"/>
  <c r="Y222" i="3"/>
  <c r="AA223" i="3"/>
  <c r="Q233" i="3"/>
  <c r="X233" i="3" s="1"/>
  <c r="AA233" i="3"/>
  <c r="S236" i="3"/>
  <c r="X241" i="3"/>
  <c r="AD242" i="3"/>
  <c r="U246" i="3"/>
  <c r="T248" i="3"/>
  <c r="Q251" i="3"/>
  <c r="S255" i="3"/>
  <c r="Y263" i="3"/>
  <c r="S268" i="3"/>
  <c r="W269" i="3"/>
  <c r="AC272" i="3"/>
  <c r="Q274" i="3"/>
  <c r="AD276" i="3"/>
  <c r="Z280" i="3"/>
  <c r="W281" i="3"/>
  <c r="Z288" i="3"/>
  <c r="AE162" i="3"/>
  <c r="V164" i="3"/>
  <c r="Q172" i="3"/>
  <c r="AE172" i="3"/>
  <c r="Q175" i="3"/>
  <c r="AA175" i="3"/>
  <c r="S178" i="3"/>
  <c r="S188" i="3"/>
  <c r="AC188" i="3"/>
  <c r="AA191" i="3"/>
  <c r="AD194" i="3"/>
  <c r="Z195" i="3"/>
  <c r="U196" i="3"/>
  <c r="Q199" i="3"/>
  <c r="V202" i="3"/>
  <c r="S203" i="3"/>
  <c r="AC203" i="3"/>
  <c r="W204" i="3"/>
  <c r="U205" i="3"/>
  <c r="Q207" i="3"/>
  <c r="S208" i="3"/>
  <c r="AC215" i="3"/>
  <c r="Z218" i="3"/>
  <c r="V219" i="3"/>
  <c r="AE223" i="3"/>
  <c r="W227" i="3"/>
  <c r="Q231" i="3"/>
  <c r="AD231" i="3" s="1"/>
  <c r="S233" i="3"/>
  <c r="AB233" i="3"/>
  <c r="X236" i="3"/>
  <c r="Z241" i="3"/>
  <c r="Z243" i="3"/>
  <c r="Z246" i="3"/>
  <c r="Z247" i="3"/>
  <c r="U248" i="3"/>
  <c r="V249" i="3"/>
  <c r="W251" i="3"/>
  <c r="W255" i="3"/>
  <c r="S260" i="3"/>
  <c r="Z263" i="3"/>
  <c r="Q267" i="3"/>
  <c r="Z267" i="3" s="1"/>
  <c r="W268" i="3"/>
  <c r="X269" i="3"/>
  <c r="AE272" i="3"/>
  <c r="AE276" i="3"/>
  <c r="AA280" i="3"/>
  <c r="AA288" i="3"/>
  <c r="AD191" i="3"/>
  <c r="AA195" i="3"/>
  <c r="AD215" i="3"/>
  <c r="W219" i="3"/>
  <c r="AA241" i="3"/>
  <c r="AA246" i="3"/>
  <c r="AI263" i="3"/>
  <c r="AB269" i="3"/>
  <c r="AC280" i="3"/>
  <c r="Z305" i="3"/>
  <c r="AI305" i="3"/>
  <c r="Y305" i="3"/>
  <c r="Q305" i="3"/>
  <c r="AB333" i="3"/>
  <c r="AD353" i="3"/>
  <c r="AD357" i="3"/>
  <c r="AC407" i="3"/>
  <c r="AC423" i="3"/>
  <c r="Y329" i="3"/>
  <c r="Q333" i="3"/>
  <c r="AC333" i="3" s="1"/>
  <c r="V337" i="3"/>
  <c r="AD344" i="3"/>
  <c r="Q352" i="3"/>
  <c r="Q353" i="3"/>
  <c r="AE354" i="3"/>
  <c r="Q356" i="3"/>
  <c r="S357" i="3"/>
  <c r="Q359" i="3"/>
  <c r="T368" i="3"/>
  <c r="W369" i="3"/>
  <c r="AE372" i="3"/>
  <c r="X374" i="3"/>
  <c r="Z397" i="3"/>
  <c r="U400" i="3"/>
  <c r="Z401" i="3"/>
  <c r="S407" i="3"/>
  <c r="AD407" i="3"/>
  <c r="S423" i="3"/>
  <c r="AD423" i="3"/>
  <c r="AC296" i="3"/>
  <c r="Z298" i="3"/>
  <c r="AD301" i="3"/>
  <c r="AA306" i="3"/>
  <c r="U308" i="3"/>
  <c r="X309" i="3"/>
  <c r="AB310" i="3"/>
  <c r="AC311" i="3"/>
  <c r="S315" i="3"/>
  <c r="W316" i="3"/>
  <c r="X322" i="3"/>
  <c r="Q324" i="3"/>
  <c r="AE324" i="3" s="1"/>
  <c r="S325" i="3"/>
  <c r="V326" i="3"/>
  <c r="W327" i="3"/>
  <c r="Q331" i="3"/>
  <c r="S331" i="3" s="1"/>
  <c r="S333" i="3"/>
  <c r="S334" i="3"/>
  <c r="W335" i="3"/>
  <c r="W336" i="3"/>
  <c r="W337" i="3"/>
  <c r="AC338" i="3"/>
  <c r="X341" i="3"/>
  <c r="AA342" i="3"/>
  <c r="V343" i="3"/>
  <c r="S344" i="3"/>
  <c r="AE344" i="3"/>
  <c r="Z347" i="3"/>
  <c r="S352" i="3"/>
  <c r="T353" i="3"/>
  <c r="S354" i="3"/>
  <c r="S356" i="3"/>
  <c r="T357" i="3"/>
  <c r="V358" i="3"/>
  <c r="X359" i="3"/>
  <c r="AB360" i="3"/>
  <c r="AE361" i="3"/>
  <c r="AD363" i="3"/>
  <c r="AD364" i="3"/>
  <c r="V367" i="3"/>
  <c r="U368" i="3"/>
  <c r="X369" i="3"/>
  <c r="T371" i="3"/>
  <c r="T372" i="3"/>
  <c r="AC379" i="3"/>
  <c r="AC380" i="3"/>
  <c r="Z383" i="3"/>
  <c r="V384" i="3"/>
  <c r="W385" i="3"/>
  <c r="Z386" i="3"/>
  <c r="AA387" i="3"/>
  <c r="W388" i="3"/>
  <c r="X389" i="3"/>
  <c r="AA391" i="3"/>
  <c r="X392" i="3"/>
  <c r="W399" i="3"/>
  <c r="V400" i="3"/>
  <c r="T407" i="3"/>
  <c r="AE407" i="3"/>
  <c r="V411" i="3"/>
  <c r="U412" i="3"/>
  <c r="Z413" i="3"/>
  <c r="V415" i="3"/>
  <c r="U416" i="3"/>
  <c r="T423" i="3"/>
  <c r="AE423" i="3"/>
  <c r="W428" i="3"/>
  <c r="U291" i="3"/>
  <c r="AE293" i="3"/>
  <c r="Q296" i="3"/>
  <c r="AE296" i="3"/>
  <c r="AA298" i="3"/>
  <c r="Z308" i="3"/>
  <c r="AA309" i="3"/>
  <c r="AD310" i="3"/>
  <c r="AE311" i="3"/>
  <c r="T315" i="3"/>
  <c r="Z316" i="3"/>
  <c r="AC317" i="3"/>
  <c r="Q319" i="3"/>
  <c r="AB319" i="3" s="1"/>
  <c r="Z322" i="3"/>
  <c r="T324" i="3"/>
  <c r="U325" i="3"/>
  <c r="W326" i="3"/>
  <c r="X327" i="3"/>
  <c r="V331" i="3"/>
  <c r="T333" i="3"/>
  <c r="Y334" i="3"/>
  <c r="Z335" i="3"/>
  <c r="AA336" i="3"/>
  <c r="X337" i="3"/>
  <c r="AI338" i="3"/>
  <c r="Z341" i="3"/>
  <c r="W343" i="3"/>
  <c r="T344" i="3"/>
  <c r="Q349" i="3"/>
  <c r="AB349" i="3" s="1"/>
  <c r="S350" i="3"/>
  <c r="Q351" i="3"/>
  <c r="T352" i="3"/>
  <c r="U353" i="3"/>
  <c r="T354" i="3"/>
  <c r="Q355" i="3"/>
  <c r="T356" i="3"/>
  <c r="U357" i="3"/>
  <c r="W358" i="3"/>
  <c r="Z359" i="3"/>
  <c r="AE364" i="3"/>
  <c r="Z367" i="3"/>
  <c r="V368" i="3"/>
  <c r="Y369" i="3"/>
  <c r="U371" i="3"/>
  <c r="U372" i="3"/>
  <c r="V373" i="3"/>
  <c r="S376" i="3"/>
  <c r="V377" i="3"/>
  <c r="Q379" i="3"/>
  <c r="AD379" i="3"/>
  <c r="AD380" i="3"/>
  <c r="AA383" i="3"/>
  <c r="W384" i="3"/>
  <c r="X385" i="3"/>
  <c r="AB387" i="3"/>
  <c r="X388" i="3"/>
  <c r="AD389" i="3"/>
  <c r="Q391" i="3"/>
  <c r="AB391" i="3"/>
  <c r="AE392" i="3"/>
  <c r="Y394" i="3"/>
  <c r="V395" i="3"/>
  <c r="V396" i="3"/>
  <c r="AA399" i="3"/>
  <c r="W400" i="3"/>
  <c r="U407" i="3"/>
  <c r="W411" i="3"/>
  <c r="V412" i="3"/>
  <c r="W415" i="3"/>
  <c r="V416" i="3"/>
  <c r="AB418" i="3"/>
  <c r="U423" i="3"/>
  <c r="W427" i="3"/>
  <c r="X428" i="3"/>
  <c r="T302" i="3"/>
  <c r="S307" i="3"/>
  <c r="AB308" i="3"/>
  <c r="AC309" i="3"/>
  <c r="AE310" i="3"/>
  <c r="AA315" i="3"/>
  <c r="AB316" i="3"/>
  <c r="AD317" i="3"/>
  <c r="U319" i="3"/>
  <c r="U324" i="3"/>
  <c r="V325" i="3"/>
  <c r="AB326" i="3"/>
  <c r="Z327" i="3"/>
  <c r="S330" i="3"/>
  <c r="X331" i="3"/>
  <c r="U333" i="3"/>
  <c r="AA334" i="3"/>
  <c r="AA337" i="3"/>
  <c r="AA341" i="3"/>
  <c r="Z343" i="3"/>
  <c r="U344" i="3"/>
  <c r="X352" i="3"/>
  <c r="V353" i="3"/>
  <c r="V354" i="3"/>
  <c r="X356" i="3"/>
  <c r="V357" i="3"/>
  <c r="X358" i="3"/>
  <c r="AA367" i="3"/>
  <c r="W368" i="3"/>
  <c r="V372" i="3"/>
  <c r="AB383" i="3"/>
  <c r="X384" i="3"/>
  <c r="AD385" i="3"/>
  <c r="Q387" i="3"/>
  <c r="AC387" i="3"/>
  <c r="AB388" i="3"/>
  <c r="S391" i="3"/>
  <c r="AC391" i="3"/>
  <c r="AI392" i="3"/>
  <c r="Z394" i="3"/>
  <c r="W395" i="3"/>
  <c r="W396" i="3"/>
  <c r="AB398" i="3"/>
  <c r="AB399" i="3"/>
  <c r="X400" i="3"/>
  <c r="V407" i="3"/>
  <c r="U408" i="3"/>
  <c r="AB410" i="3"/>
  <c r="AA411" i="3"/>
  <c r="W412" i="3"/>
  <c r="AA415" i="3"/>
  <c r="W416" i="3"/>
  <c r="U420" i="3"/>
  <c r="V423" i="3"/>
  <c r="U424" i="3"/>
  <c r="AA427" i="3"/>
  <c r="AC428" i="3"/>
  <c r="AB315" i="3"/>
  <c r="W324" i="3"/>
  <c r="X325" i="3"/>
  <c r="AD326" i="3"/>
  <c r="Z331" i="3"/>
  <c r="W333" i="3"/>
  <c r="AI334" i="3"/>
  <c r="AC337" i="3"/>
  <c r="AB341" i="3"/>
  <c r="AB343" i="3"/>
  <c r="V344" i="3"/>
  <c r="Z352" i="3"/>
  <c r="Z353" i="3"/>
  <c r="W354" i="3"/>
  <c r="Z356" i="3"/>
  <c r="AA357" i="3"/>
  <c r="AC358" i="3"/>
  <c r="AB367" i="3"/>
  <c r="AB368" i="3"/>
  <c r="W372" i="3"/>
  <c r="AE385" i="3"/>
  <c r="AC399" i="3"/>
  <c r="AC400" i="3"/>
  <c r="S403" i="3"/>
  <c r="W407" i="3"/>
  <c r="W408" i="3"/>
  <c r="AB411" i="3"/>
  <c r="X412" i="3"/>
  <c r="AB415" i="3"/>
  <c r="AC416" i="3"/>
  <c r="V420" i="3"/>
  <c r="W423" i="3"/>
  <c r="V424" i="3"/>
  <c r="AB427" i="3"/>
  <c r="AD428" i="3"/>
  <c r="AC291" i="3"/>
  <c r="W296" i="3"/>
  <c r="Q306" i="3"/>
  <c r="Q311" i="3"/>
  <c r="AE316" i="3"/>
  <c r="T318" i="3"/>
  <c r="S323" i="3"/>
  <c r="Z324" i="3"/>
  <c r="AA325" i="3"/>
  <c r="AE326" i="3"/>
  <c r="AE327" i="3"/>
  <c r="Y330" i="3"/>
  <c r="X333" i="3"/>
  <c r="AE335" i="3"/>
  <c r="S337" i="3"/>
  <c r="AD337" i="3"/>
  <c r="V339" i="3"/>
  <c r="Q341" i="3"/>
  <c r="AC341" i="3"/>
  <c r="Q343" i="3"/>
  <c r="AC343" i="3"/>
  <c r="W344" i="3"/>
  <c r="AB345" i="3"/>
  <c r="S348" i="3"/>
  <c r="V349" i="3"/>
  <c r="X350" i="3"/>
  <c r="Z351" i="3"/>
  <c r="AA352" i="3"/>
  <c r="AB353" i="3"/>
  <c r="X354" i="3"/>
  <c r="Z355" i="3"/>
  <c r="AA356" i="3"/>
  <c r="AB357" i="3"/>
  <c r="AD358" i="3"/>
  <c r="S360" i="3"/>
  <c r="W361" i="3"/>
  <c r="W362" i="3"/>
  <c r="U363" i="3"/>
  <c r="V364" i="3"/>
  <c r="X365" i="3"/>
  <c r="Q367" i="3"/>
  <c r="AC367" i="3"/>
  <c r="AC368" i="3"/>
  <c r="AA371" i="3"/>
  <c r="AB372" i="3"/>
  <c r="AD373" i="3"/>
  <c r="T375" i="3"/>
  <c r="AA376" i="3"/>
  <c r="AE377" i="3"/>
  <c r="V379" i="3"/>
  <c r="V380" i="3"/>
  <c r="W381" i="3"/>
  <c r="S383" i="3"/>
  <c r="AD383" i="3"/>
  <c r="AC384" i="3"/>
  <c r="T387" i="3"/>
  <c r="AE388" i="3"/>
  <c r="X390" i="3"/>
  <c r="V391" i="3"/>
  <c r="AI394" i="3"/>
  <c r="AB395" i="3"/>
  <c r="AC396" i="3"/>
  <c r="S399" i="3"/>
  <c r="AD399" i="3"/>
  <c r="AD400" i="3"/>
  <c r="AA407" i="3"/>
  <c r="AC411" i="3"/>
  <c r="AC412" i="3"/>
  <c r="AC415" i="3"/>
  <c r="AD416" i="3"/>
  <c r="AA423" i="3"/>
  <c r="AC427" i="3"/>
  <c r="AE428" i="3"/>
  <c r="AE291" i="3"/>
  <c r="X296" i="3"/>
  <c r="Q298" i="3"/>
  <c r="X298" i="3" s="1"/>
  <c r="V301" i="3"/>
  <c r="AB302" i="3"/>
  <c r="S306" i="3"/>
  <c r="S309" i="3"/>
  <c r="T310" i="3"/>
  <c r="U311" i="3"/>
  <c r="AA314" i="3"/>
  <c r="Q316" i="3"/>
  <c r="W318" i="3"/>
  <c r="Z319" i="3"/>
  <c r="Q322" i="3"/>
  <c r="AA322" i="3" s="1"/>
  <c r="T323" i="3"/>
  <c r="AB324" i="3"/>
  <c r="AC325" i="3"/>
  <c r="Z333" i="3"/>
  <c r="X339" i="3"/>
  <c r="S341" i="3"/>
  <c r="S343" i="3"/>
  <c r="AD343" i="3"/>
  <c r="AA344" i="3"/>
  <c r="AC345" i="3"/>
  <c r="Q347" i="3"/>
  <c r="AD347" i="3" s="1"/>
  <c r="X348" i="3"/>
  <c r="Z349" i="3"/>
  <c r="AD351" i="3"/>
  <c r="AB352" i="3"/>
  <c r="AC353" i="3"/>
  <c r="AB354" i="3"/>
  <c r="AD355" i="3"/>
  <c r="AB356" i="3"/>
  <c r="AC357" i="3"/>
  <c r="AE358" i="3"/>
  <c r="T360" i="3"/>
  <c r="AA361" i="3"/>
  <c r="Z363" i="3"/>
  <c r="W364" i="3"/>
  <c r="S367" i="3"/>
  <c r="AD367" i="3"/>
  <c r="AB371" i="3"/>
  <c r="AC372" i="3"/>
  <c r="AE373" i="3"/>
  <c r="AA375" i="3"/>
  <c r="AB376" i="3"/>
  <c r="Z379" i="3"/>
  <c r="W380" i="3"/>
  <c r="X381" i="3"/>
  <c r="AD384" i="3"/>
  <c r="U387" i="3"/>
  <c r="W391" i="3"/>
  <c r="AC395" i="3"/>
  <c r="AD396" i="3"/>
  <c r="T399" i="3"/>
  <c r="AE399" i="3"/>
  <c r="AE400" i="3"/>
  <c r="W403" i="3"/>
  <c r="AB407" i="3"/>
  <c r="AD408" i="3"/>
  <c r="S411" i="3"/>
  <c r="AD411" i="3"/>
  <c r="AD412" i="3"/>
  <c r="S415" i="3"/>
  <c r="AD415" i="3"/>
  <c r="X420" i="3"/>
  <c r="AB423" i="3"/>
  <c r="AD427" i="3"/>
  <c r="W13" i="2"/>
  <c r="X13" i="2"/>
  <c r="Q31" i="2"/>
  <c r="AE31" i="2" s="1"/>
  <c r="S45" i="2"/>
  <c r="W49" i="2"/>
  <c r="Q55" i="2"/>
  <c r="AC55" i="2" s="1"/>
  <c r="Q66" i="2"/>
  <c r="AD66" i="2"/>
  <c r="AI72" i="2"/>
  <c r="S72" i="2"/>
  <c r="AB6" i="2"/>
  <c r="AE6" i="2"/>
  <c r="U6" i="2"/>
  <c r="S12" i="2"/>
  <c r="Z13" i="2"/>
  <c r="Y23" i="2"/>
  <c r="T31" i="2"/>
  <c r="T45" i="2"/>
  <c r="X49" i="2"/>
  <c r="Z53" i="2"/>
  <c r="S55" i="2"/>
  <c r="S61" i="2"/>
  <c r="W63" i="2"/>
  <c r="Q65" i="2"/>
  <c r="AB65" i="2" s="1"/>
  <c r="T66" i="2"/>
  <c r="AI73" i="2"/>
  <c r="AA73" i="2"/>
  <c r="U73" i="2"/>
  <c r="AI74" i="2"/>
  <c r="AE74" i="2"/>
  <c r="V74" i="2"/>
  <c r="AB74" i="2"/>
  <c r="S74" i="2"/>
  <c r="AC74" i="2"/>
  <c r="W79" i="2"/>
  <c r="AD91" i="2"/>
  <c r="AE91" i="2"/>
  <c r="AA94" i="2"/>
  <c r="AE94" i="2"/>
  <c r="X94" i="2"/>
  <c r="W94" i="2"/>
  <c r="AD107" i="2"/>
  <c r="W107" i="2"/>
  <c r="AA114" i="2"/>
  <c r="AE114" i="2"/>
  <c r="AB114" i="2"/>
  <c r="W114" i="2"/>
  <c r="U125" i="2"/>
  <c r="W6" i="2"/>
  <c r="AA12" i="2"/>
  <c r="AC13" i="2"/>
  <c r="AI17" i="2"/>
  <c r="AC17" i="2"/>
  <c r="Q17" i="2"/>
  <c r="V17" i="2" s="1"/>
  <c r="X17" i="2"/>
  <c r="AE17" i="2"/>
  <c r="AI21" i="2"/>
  <c r="AE21" i="2"/>
  <c r="V21" i="2"/>
  <c r="AB21" i="2"/>
  <c r="S21" i="2"/>
  <c r="AC21" i="2"/>
  <c r="V31" i="2"/>
  <c r="AI41" i="2"/>
  <c r="Z41" i="2"/>
  <c r="T41" i="2"/>
  <c r="AE41" i="2"/>
  <c r="W45" i="2"/>
  <c r="AI47" i="2"/>
  <c r="W47" i="2"/>
  <c r="T47" i="2"/>
  <c r="AE47" i="2"/>
  <c r="V55" i="2"/>
  <c r="AI59" i="2"/>
  <c r="U61" i="2"/>
  <c r="S65" i="2"/>
  <c r="U66" i="2"/>
  <c r="Y67" i="2"/>
  <c r="Q73" i="2"/>
  <c r="AB73" i="2" s="1"/>
  <c r="Q74" i="2"/>
  <c r="AD74" i="2"/>
  <c r="AE79" i="2"/>
  <c r="AI85" i="2"/>
  <c r="AA85" i="2"/>
  <c r="U85" i="2"/>
  <c r="AD85" i="2"/>
  <c r="W87" i="2"/>
  <c r="W91" i="2"/>
  <c r="U94" i="2"/>
  <c r="AC105" i="2"/>
  <c r="AA110" i="2"/>
  <c r="U110" i="2"/>
  <c r="T110" i="2"/>
  <c r="AD110" i="2"/>
  <c r="AC110" i="2"/>
  <c r="U114" i="2"/>
  <c r="X125" i="2"/>
  <c r="X31" i="2"/>
  <c r="AA60" i="2"/>
  <c r="S60" i="2"/>
  <c r="AD99" i="2"/>
  <c r="AE99" i="2"/>
  <c r="AA102" i="2"/>
  <c r="AE102" i="2"/>
  <c r="AC102" i="2"/>
  <c r="W102" i="2"/>
  <c r="AI109" i="2"/>
  <c r="AD109" i="2"/>
  <c r="Z109" i="2"/>
  <c r="W109" i="2"/>
  <c r="AE109" i="2"/>
  <c r="U109" i="2"/>
  <c r="T109" i="2"/>
  <c r="AD127" i="2"/>
  <c r="AE127" i="2"/>
  <c r="W127" i="2"/>
  <c r="Y132" i="2"/>
  <c r="V132" i="2"/>
  <c r="W132" i="2"/>
  <c r="Q132" i="2"/>
  <c r="AI146" i="2"/>
  <c r="V146" i="2"/>
  <c r="AE146" i="2"/>
  <c r="S146" i="2"/>
  <c r="AA146" i="2"/>
  <c r="W146" i="2"/>
  <c r="T146" i="2"/>
  <c r="Q146" i="2"/>
  <c r="Z146" i="2" s="1"/>
  <c r="AI154" i="2"/>
  <c r="Z154" i="2"/>
  <c r="U154" i="2"/>
  <c r="S154" i="2"/>
  <c r="Q154" i="2"/>
  <c r="AC154" i="2" s="1"/>
  <c r="AD154" i="2"/>
  <c r="AA154" i="2"/>
  <c r="W154" i="2"/>
  <c r="V154" i="2"/>
  <c r="Z31" i="2"/>
  <c r="AI49" i="2"/>
  <c r="AD49" i="2"/>
  <c r="S49" i="2"/>
  <c r="Z49" i="2"/>
  <c r="W99" i="2"/>
  <c r="T102" i="2"/>
  <c r="Q109" i="2"/>
  <c r="X132" i="2"/>
  <c r="U146" i="2"/>
  <c r="AE154" i="2"/>
  <c r="AB10" i="2"/>
  <c r="W10" i="2"/>
  <c r="AD55" i="2"/>
  <c r="AI13" i="2"/>
  <c r="U13" i="2"/>
  <c r="AA13" i="2"/>
  <c r="Q13" i="2"/>
  <c r="AD13" i="2" s="1"/>
  <c r="AB18" i="2"/>
  <c r="W18" i="2"/>
  <c r="AI4" i="2"/>
  <c r="AA4" i="2"/>
  <c r="S13" i="2"/>
  <c r="AB22" i="2"/>
  <c r="AE22" i="2"/>
  <c r="Z45" i="2"/>
  <c r="AE49" i="2"/>
  <c r="AI53" i="2"/>
  <c r="V53" i="2"/>
  <c r="AB53" i="2"/>
  <c r="Q53" i="2"/>
  <c r="AA55" i="2"/>
  <c r="T60" i="2"/>
  <c r="Z65" i="2"/>
  <c r="X66" i="2"/>
  <c r="X68" i="2"/>
  <c r="W75" i="2"/>
  <c r="AI93" i="2"/>
  <c r="AD93" i="2"/>
  <c r="S93" i="2"/>
  <c r="AB93" i="2"/>
  <c r="Q93" i="2"/>
  <c r="AE93" i="2" s="1"/>
  <c r="Z93" i="2"/>
  <c r="W93" i="2"/>
  <c r="S4" i="2"/>
  <c r="AC10" i="2"/>
  <c r="T13" i="2"/>
  <c r="AE18" i="2"/>
  <c r="U22" i="2"/>
  <c r="AI25" i="2"/>
  <c r="W25" i="2"/>
  <c r="AD25" i="2"/>
  <c r="S25" i="2"/>
  <c r="AE25" i="2"/>
  <c r="S29" i="2"/>
  <c r="AA31" i="2"/>
  <c r="AC43" i="2"/>
  <c r="AB43" i="2"/>
  <c r="Q43" i="2"/>
  <c r="X43" i="2"/>
  <c r="AE43" i="2"/>
  <c r="AA45" i="2"/>
  <c r="Q49" i="2"/>
  <c r="S53" i="2"/>
  <c r="S58" i="2"/>
  <c r="X60" i="2"/>
  <c r="Z66" i="2"/>
  <c r="AI68" i="2"/>
  <c r="AI70" i="2"/>
  <c r="X70" i="2"/>
  <c r="AE70" i="2"/>
  <c r="U70" i="2"/>
  <c r="AC70" i="2"/>
  <c r="V73" i="2"/>
  <c r="W74" i="2"/>
  <c r="AI81" i="2"/>
  <c r="AC81" i="2"/>
  <c r="Q81" i="2"/>
  <c r="W81" i="2"/>
  <c r="AE81" i="2"/>
  <c r="T93" i="2"/>
  <c r="V102" i="2"/>
  <c r="S109" i="2"/>
  <c r="Y128" i="2"/>
  <c r="AA132" i="2"/>
  <c r="AC146" i="2"/>
  <c r="AA2" i="2"/>
  <c r="AC2" i="2"/>
  <c r="U2" i="2"/>
  <c r="AI5" i="2"/>
  <c r="AB5" i="2"/>
  <c r="S5" i="2"/>
  <c r="X5" i="2"/>
  <c r="AC5" i="2"/>
  <c r="S8" i="2"/>
  <c r="AE10" i="2"/>
  <c r="V13" i="2"/>
  <c r="W17" i="2"/>
  <c r="W21" i="2"/>
  <c r="W22" i="2"/>
  <c r="Q25" i="2"/>
  <c r="AB26" i="2"/>
  <c r="U26" i="2"/>
  <c r="W41" i="2"/>
  <c r="S43" i="2"/>
  <c r="V47" i="2"/>
  <c r="T49" i="2"/>
  <c r="U50" i="2"/>
  <c r="T53" i="2"/>
  <c r="AI60" i="2"/>
  <c r="AI62" i="2"/>
  <c r="AE62" i="2"/>
  <c r="S62" i="2"/>
  <c r="AC62" i="2"/>
  <c r="AI69" i="2"/>
  <c r="AD69" i="2"/>
  <c r="Q69" i="2"/>
  <c r="Z69" i="2"/>
  <c r="Q70" i="2"/>
  <c r="AD70" i="2"/>
  <c r="Z73" i="2"/>
  <c r="X74" i="2"/>
  <c r="S81" i="2"/>
  <c r="AA82" i="2"/>
  <c r="X82" i="2"/>
  <c r="U82" i="2"/>
  <c r="AA90" i="2"/>
  <c r="AB90" i="2"/>
  <c r="X90" i="2"/>
  <c r="V90" i="2"/>
  <c r="U90" i="2"/>
  <c r="AI101" i="2"/>
  <c r="AE101" i="2"/>
  <c r="S101" i="2"/>
  <c r="AC101" i="2"/>
  <c r="Q101" i="2"/>
  <c r="AA101" i="2"/>
  <c r="Z101" i="2"/>
  <c r="AD102" i="2"/>
  <c r="V109" i="2"/>
  <c r="AE110" i="2"/>
  <c r="AA118" i="2"/>
  <c r="U118" i="2"/>
  <c r="T118" i="2"/>
  <c r="AI121" i="2"/>
  <c r="AE121" i="2"/>
  <c r="W121" i="2"/>
  <c r="V121" i="2"/>
  <c r="T121" i="2"/>
  <c r="S121" i="2"/>
  <c r="AI132" i="2"/>
  <c r="AD146" i="2"/>
  <c r="AC31" i="2"/>
  <c r="W31" i="2"/>
  <c r="AD31" i="2"/>
  <c r="S31" i="2"/>
  <c r="AI45" i="2"/>
  <c r="V45" i="2"/>
  <c r="AB45" i="2"/>
  <c r="Q45" i="2"/>
  <c r="AE45" i="2"/>
  <c r="AI55" i="2"/>
  <c r="X55" i="2"/>
  <c r="T55" i="2"/>
  <c r="AI61" i="2"/>
  <c r="AA61" i="2"/>
  <c r="AI66" i="2"/>
  <c r="AE66" i="2"/>
  <c r="V66" i="2"/>
  <c r="AB66" i="2"/>
  <c r="S66" i="2"/>
  <c r="AC66" i="2"/>
  <c r="V93" i="2"/>
  <c r="AA109" i="2"/>
  <c r="AI125" i="2"/>
  <c r="W125" i="2"/>
  <c r="AE125" i="2"/>
  <c r="V125" i="2"/>
  <c r="AC125" i="2"/>
  <c r="T125" i="2"/>
  <c r="AB125" i="2"/>
  <c r="S125" i="2"/>
  <c r="AD140" i="2"/>
  <c r="AA140" i="2"/>
  <c r="S140" i="2"/>
  <c r="Z140" i="2"/>
  <c r="W140" i="2"/>
  <c r="AI147" i="2"/>
  <c r="Y147" i="2"/>
  <c r="AI16" i="2"/>
  <c r="S16" i="2"/>
  <c r="Q61" i="2"/>
  <c r="AB61" i="2" s="1"/>
  <c r="AI65" i="2"/>
  <c r="AA65" i="2"/>
  <c r="T65" i="2"/>
  <c r="AA93" i="2"/>
  <c r="AB109" i="2"/>
  <c r="Q125" i="2"/>
  <c r="Q140" i="2"/>
  <c r="AA113" i="2"/>
  <c r="AD117" i="2"/>
  <c r="AI129" i="2"/>
  <c r="AD129" i="2"/>
  <c r="Z133" i="2"/>
  <c r="X133" i="2"/>
  <c r="S133" i="2"/>
  <c r="AB162" i="2"/>
  <c r="S164" i="2"/>
  <c r="AI164" i="2"/>
  <c r="X166" i="2"/>
  <c r="S166" i="2"/>
  <c r="Y166" i="2"/>
  <c r="AD166" i="2"/>
  <c r="AD174" i="2"/>
  <c r="AA182" i="2"/>
  <c r="Q184" i="2"/>
  <c r="T184" i="2" s="1"/>
  <c r="U188" i="2"/>
  <c r="S199" i="2"/>
  <c r="Z204" i="2"/>
  <c r="Y209" i="2"/>
  <c r="AE220" i="2"/>
  <c r="Z225" i="2"/>
  <c r="AC225" i="2"/>
  <c r="X225" i="2"/>
  <c r="AA225" i="2"/>
  <c r="S233" i="2"/>
  <c r="W246" i="2"/>
  <c r="X262" i="2"/>
  <c r="S264" i="2"/>
  <c r="U279" i="2"/>
  <c r="Z9" i="2"/>
  <c r="AA29" i="2"/>
  <c r="X33" i="2"/>
  <c r="AD35" i="2"/>
  <c r="W37" i="2"/>
  <c r="AA39" i="2"/>
  <c r="Z51" i="2"/>
  <c r="V58" i="2"/>
  <c r="AE58" i="2"/>
  <c r="AB77" i="2"/>
  <c r="X78" i="2"/>
  <c r="W89" i="2"/>
  <c r="AC97" i="2"/>
  <c r="X98" i="2"/>
  <c r="AA105" i="2"/>
  <c r="AE106" i="2"/>
  <c r="Q113" i="2"/>
  <c r="AB113" i="2"/>
  <c r="Q117" i="2"/>
  <c r="AC117" i="2" s="1"/>
  <c r="AE117" i="2"/>
  <c r="V119" i="2"/>
  <c r="V123" i="2"/>
  <c r="AE126" i="2"/>
  <c r="Q129" i="2"/>
  <c r="AB129" i="2" s="1"/>
  <c r="AC129" i="2"/>
  <c r="Q133" i="2"/>
  <c r="AI138" i="2"/>
  <c r="V138" i="2"/>
  <c r="AC138" i="2"/>
  <c r="S138" i="2"/>
  <c r="AD138" i="2"/>
  <c r="AD144" i="2"/>
  <c r="AA144" i="2"/>
  <c r="S144" i="2"/>
  <c r="AD148" i="2"/>
  <c r="Z148" i="2"/>
  <c r="U164" i="2"/>
  <c r="X165" i="2"/>
  <c r="AI165" i="2"/>
  <c r="Q165" i="2"/>
  <c r="Q166" i="2"/>
  <c r="AC166" i="2" s="1"/>
  <c r="AE166" i="2"/>
  <c r="W184" i="2"/>
  <c r="W188" i="2"/>
  <c r="Z191" i="2"/>
  <c r="AA191" i="2"/>
  <c r="U191" i="2"/>
  <c r="W191" i="2"/>
  <c r="W199" i="2"/>
  <c r="Z222" i="2"/>
  <c r="T225" i="2"/>
  <c r="AI227" i="2"/>
  <c r="AE227" i="2"/>
  <c r="X233" i="2"/>
  <c r="U237" i="2"/>
  <c r="AD239" i="2"/>
  <c r="X239" i="2"/>
  <c r="AE239" i="2"/>
  <c r="AA246" i="2"/>
  <c r="T250" i="2"/>
  <c r="V264" i="2"/>
  <c r="W274" i="2"/>
  <c r="Z276" i="2"/>
  <c r="U276" i="2"/>
  <c r="AD276" i="2"/>
  <c r="V276" i="2"/>
  <c r="Z279" i="2"/>
  <c r="AB283" i="2"/>
  <c r="Z286" i="2"/>
  <c r="AI288" i="2"/>
  <c r="AB288" i="2"/>
  <c r="S288" i="2"/>
  <c r="AD288" i="2"/>
  <c r="Q288" i="2"/>
  <c r="X288" i="2" s="1"/>
  <c r="Z288" i="2"/>
  <c r="Q289" i="2"/>
  <c r="V293" i="2"/>
  <c r="AI298" i="2"/>
  <c r="Z298" i="2"/>
  <c r="T298" i="2"/>
  <c r="AC298" i="2"/>
  <c r="U298" i="2"/>
  <c r="U299" i="2"/>
  <c r="AA302" i="2"/>
  <c r="V164" i="2"/>
  <c r="AC172" i="2"/>
  <c r="Q172" i="2"/>
  <c r="Z175" i="2"/>
  <c r="X175" i="2"/>
  <c r="T175" i="2"/>
  <c r="S177" i="2"/>
  <c r="AA177" i="2"/>
  <c r="Z179" i="2"/>
  <c r="X179" i="2"/>
  <c r="Z183" i="2"/>
  <c r="X183" i="2"/>
  <c r="S183" i="2"/>
  <c r="Z184" i="2"/>
  <c r="Z188" i="2"/>
  <c r="Z221" i="2"/>
  <c r="AA221" i="2"/>
  <c r="T221" i="2"/>
  <c r="AB221" i="2"/>
  <c r="S221" i="2"/>
  <c r="AB222" i="2"/>
  <c r="AI254" i="2"/>
  <c r="W254" i="2"/>
  <c r="X254" i="2"/>
  <c r="AA263" i="2"/>
  <c r="AB263" i="2"/>
  <c r="U263" i="2"/>
  <c r="AC263" i="2"/>
  <c r="T263" i="2"/>
  <c r="AI270" i="2"/>
  <c r="Q270" i="2"/>
  <c r="AA270" i="2"/>
  <c r="X270" i="2"/>
  <c r="Z274" i="2"/>
  <c r="AI278" i="2"/>
  <c r="X278" i="2"/>
  <c r="Q278" i="2"/>
  <c r="AB278" i="2" s="1"/>
  <c r="AA278" i="2"/>
  <c r="AC283" i="2"/>
  <c r="X289" i="2"/>
  <c r="AI291" i="2"/>
  <c r="AD291" i="2"/>
  <c r="U291" i="2"/>
  <c r="AA291" i="2"/>
  <c r="Q291" i="2"/>
  <c r="AC291" i="2" s="1"/>
  <c r="X291" i="2"/>
  <c r="T291" i="2"/>
  <c r="X293" i="2"/>
  <c r="Z194" i="2"/>
  <c r="V194" i="2"/>
  <c r="Z215" i="2"/>
  <c r="X215" i="2"/>
  <c r="AA215" i="2"/>
  <c r="Z289" i="2"/>
  <c r="S291" i="2"/>
  <c r="AB293" i="2"/>
  <c r="Z299" i="2"/>
  <c r="T113" i="2"/>
  <c r="AD113" i="2"/>
  <c r="U117" i="2"/>
  <c r="X130" i="2"/>
  <c r="AE130" i="2"/>
  <c r="W130" i="2"/>
  <c r="AE136" i="2"/>
  <c r="V136" i="2"/>
  <c r="AC160" i="2"/>
  <c r="W160" i="2"/>
  <c r="Q160" i="2"/>
  <c r="AE160" i="2" s="1"/>
  <c r="X162" i="2"/>
  <c r="AE162" i="2"/>
  <c r="Q162" i="2"/>
  <c r="AA162" i="2"/>
  <c r="Y163" i="2"/>
  <c r="X163" i="2"/>
  <c r="W164" i="2"/>
  <c r="Y167" i="2"/>
  <c r="S167" i="2"/>
  <c r="V172" i="2"/>
  <c r="AA174" i="2"/>
  <c r="Z174" i="2"/>
  <c r="U174" i="2"/>
  <c r="S175" i="2"/>
  <c r="T177" i="2"/>
  <c r="S179" i="2"/>
  <c r="U183" i="2"/>
  <c r="AD200" i="2"/>
  <c r="Z200" i="2"/>
  <c r="AC200" i="2"/>
  <c r="Z202" i="2"/>
  <c r="V202" i="2"/>
  <c r="AD202" i="2"/>
  <c r="Z206" i="2"/>
  <c r="AA206" i="2"/>
  <c r="S206" i="2"/>
  <c r="U221" i="2"/>
  <c r="AB226" i="2"/>
  <c r="V226" i="2"/>
  <c r="U226" i="2"/>
  <c r="AA228" i="2"/>
  <c r="Q228" i="2"/>
  <c r="V228" i="2" s="1"/>
  <c r="AI240" i="2"/>
  <c r="Q240" i="2"/>
  <c r="T240" i="2" s="1"/>
  <c r="W243" i="2"/>
  <c r="X243" i="2"/>
  <c r="W249" i="2"/>
  <c r="Q249" i="2"/>
  <c r="AA249" i="2" s="1"/>
  <c r="AI249" i="2"/>
  <c r="X249" i="2"/>
  <c r="Z252" i="2"/>
  <c r="AD252" i="2"/>
  <c r="X252" i="2"/>
  <c r="V252" i="2"/>
  <c r="Q254" i="2"/>
  <c r="T254" i="2" s="1"/>
  <c r="Q263" i="2"/>
  <c r="S270" i="2"/>
  <c r="S278" i="2"/>
  <c r="T9" i="2"/>
  <c r="AC9" i="2"/>
  <c r="T29" i="2"/>
  <c r="AB33" i="2"/>
  <c r="T35" i="2"/>
  <c r="AA37" i="2"/>
  <c r="T39" i="2"/>
  <c r="AE39" i="2"/>
  <c r="T51" i="2"/>
  <c r="AC51" i="2"/>
  <c r="Z58" i="2"/>
  <c r="Z64" i="2"/>
  <c r="T77" i="2"/>
  <c r="AD78" i="2"/>
  <c r="W86" i="2"/>
  <c r="AC89" i="2"/>
  <c r="T97" i="2"/>
  <c r="AD98" i="2"/>
  <c r="T105" i="2"/>
  <c r="W111" i="2"/>
  <c r="U113" i="2"/>
  <c r="AE113" i="2"/>
  <c r="V117" i="2"/>
  <c r="V122" i="2"/>
  <c r="V129" i="2"/>
  <c r="U130" i="2"/>
  <c r="Y133" i="2"/>
  <c r="Q136" i="2"/>
  <c r="U138" i="2"/>
  <c r="Y141" i="2"/>
  <c r="Z144" i="2"/>
  <c r="W148" i="2"/>
  <c r="S160" i="2"/>
  <c r="S162" i="2"/>
  <c r="S163" i="2"/>
  <c r="Y165" i="2"/>
  <c r="V166" i="2"/>
  <c r="T167" i="2"/>
  <c r="W172" i="2"/>
  <c r="Q174" i="2"/>
  <c r="U175" i="2"/>
  <c r="W177" i="2"/>
  <c r="U179" i="2"/>
  <c r="T181" i="2"/>
  <c r="W183" i="2"/>
  <c r="AC191" i="2"/>
  <c r="S194" i="2"/>
  <c r="Q200" i="2"/>
  <c r="S202" i="2"/>
  <c r="V206" i="2"/>
  <c r="AD208" i="2"/>
  <c r="AE208" i="2"/>
  <c r="Q208" i="2"/>
  <c r="AC208" i="2" s="1"/>
  <c r="T215" i="2"/>
  <c r="X221" i="2"/>
  <c r="AE223" i="2"/>
  <c r="X223" i="2"/>
  <c r="Q226" i="2"/>
  <c r="Z226" i="2" s="1"/>
  <c r="Y228" i="2"/>
  <c r="AC238" i="2"/>
  <c r="V238" i="2"/>
  <c r="Z238" i="2"/>
  <c r="Q238" i="2"/>
  <c r="AA238" i="2" s="1"/>
  <c r="Z240" i="2"/>
  <c r="T243" i="2"/>
  <c r="S249" i="2"/>
  <c r="S252" i="2"/>
  <c r="Z254" i="2"/>
  <c r="V263" i="2"/>
  <c r="AI265" i="2"/>
  <c r="Z265" i="2"/>
  <c r="Q265" i="2"/>
  <c r="T265" i="2" s="1"/>
  <c r="W270" i="2"/>
  <c r="Z272" i="2"/>
  <c r="S272" i="2"/>
  <c r="AA272" i="2"/>
  <c r="V272" i="2"/>
  <c r="AB275" i="2"/>
  <c r="X276" i="2"/>
  <c r="W278" i="2"/>
  <c r="W288" i="2"/>
  <c r="S297" i="2"/>
  <c r="V298" i="2"/>
  <c r="AD299" i="2"/>
  <c r="AI303" i="2"/>
  <c r="AD303" i="2"/>
  <c r="S303" i="2"/>
  <c r="AA303" i="2"/>
  <c r="W303" i="2"/>
  <c r="Q303" i="2"/>
  <c r="V303" i="2" s="1"/>
  <c r="AE305" i="2"/>
  <c r="X305" i="2"/>
  <c r="S305" i="2"/>
  <c r="T305" i="2"/>
  <c r="AD305" i="2"/>
  <c r="Z190" i="2"/>
  <c r="V190" i="2"/>
  <c r="Z218" i="2"/>
  <c r="V218" i="2"/>
  <c r="U218" i="2"/>
  <c r="AA220" i="2"/>
  <c r="S220" i="2"/>
  <c r="W220" i="2"/>
  <c r="Z263" i="2"/>
  <c r="Z278" i="2"/>
  <c r="W291" i="2"/>
  <c r="AI294" i="2"/>
  <c r="U294" i="2"/>
  <c r="AB294" i="2"/>
  <c r="Q294" i="2"/>
  <c r="Z294" i="2"/>
  <c r="T294" i="2"/>
  <c r="AD313" i="2"/>
  <c r="AB313" i="2"/>
  <c r="AA313" i="2"/>
  <c r="X313" i="2"/>
  <c r="V313" i="2"/>
  <c r="S313" i="2"/>
  <c r="Z182" i="2"/>
  <c r="S182" i="2"/>
  <c r="Z186" i="2"/>
  <c r="S186" i="2"/>
  <c r="AD204" i="2"/>
  <c r="AE204" i="2"/>
  <c r="W204" i="2"/>
  <c r="U204" i="2"/>
  <c r="AA218" i="2"/>
  <c r="Q220" i="2"/>
  <c r="Z220" i="2" s="1"/>
  <c r="AI222" i="2"/>
  <c r="W222" i="2"/>
  <c r="AE222" i="2"/>
  <c r="T222" i="2"/>
  <c r="V222" i="2"/>
  <c r="Y246" i="2"/>
  <c r="X246" i="2"/>
  <c r="S246" i="2"/>
  <c r="AB246" i="2"/>
  <c r="U246" i="2"/>
  <c r="AE254" i="2"/>
  <c r="AI262" i="2"/>
  <c r="AA262" i="2"/>
  <c r="T262" i="2"/>
  <c r="W262" i="2"/>
  <c r="AD263" i="2"/>
  <c r="AE278" i="2"/>
  <c r="AI286" i="2"/>
  <c r="AA286" i="2"/>
  <c r="W286" i="2"/>
  <c r="X286" i="2"/>
  <c r="Z291" i="2"/>
  <c r="AI299" i="2"/>
  <c r="V299" i="2"/>
  <c r="AC299" i="2"/>
  <c r="S299" i="2"/>
  <c r="AB299" i="2"/>
  <c r="W299" i="2"/>
  <c r="AI302" i="2"/>
  <c r="V302" i="2"/>
  <c r="AD302" i="2"/>
  <c r="S302" i="2"/>
  <c r="Z302" i="2"/>
  <c r="Q302" i="2"/>
  <c r="X302" i="2" s="1"/>
  <c r="AA158" i="2"/>
  <c r="AC164" i="2"/>
  <c r="Q164" i="2"/>
  <c r="Y164" i="2" s="1"/>
  <c r="X164" i="2"/>
  <c r="AE164" i="2"/>
  <c r="AB175" i="2"/>
  <c r="AB177" i="2"/>
  <c r="AE179" i="2"/>
  <c r="V182" i="2"/>
  <c r="AD184" i="2"/>
  <c r="AC184" i="2"/>
  <c r="U184" i="2"/>
  <c r="V186" i="2"/>
  <c r="AD188" i="2"/>
  <c r="Q188" i="2"/>
  <c r="AC188" i="2" s="1"/>
  <c r="AA190" i="2"/>
  <c r="Z199" i="2"/>
  <c r="AE199" i="2"/>
  <c r="X199" i="2"/>
  <c r="AC199" i="2"/>
  <c r="U199" i="2"/>
  <c r="Q204" i="2"/>
  <c r="AD218" i="2"/>
  <c r="Y220" i="2"/>
  <c r="Q222" i="2"/>
  <c r="AA222" i="2" s="1"/>
  <c r="Z233" i="2"/>
  <c r="AA233" i="2"/>
  <c r="T233" i="2"/>
  <c r="U233" i="2"/>
  <c r="Q262" i="2"/>
  <c r="S262" i="2" s="1"/>
  <c r="Z264" i="2"/>
  <c r="X264" i="2"/>
  <c r="U264" i="2"/>
  <c r="AD264" i="2"/>
  <c r="W264" i="2"/>
  <c r="AI274" i="2"/>
  <c r="S274" i="2"/>
  <c r="AE274" i="2"/>
  <c r="X274" i="2"/>
  <c r="AA279" i="2"/>
  <c r="V279" i="2"/>
  <c r="Q279" i="2"/>
  <c r="AC279" i="2" s="1"/>
  <c r="Q286" i="2"/>
  <c r="AE293" i="2"/>
  <c r="Z293" i="2"/>
  <c r="T293" i="2"/>
  <c r="AA293" i="2"/>
  <c r="S293" i="2"/>
  <c r="AC175" i="2"/>
  <c r="U222" i="2"/>
  <c r="Z237" i="2"/>
  <c r="AA237" i="2"/>
  <c r="T237" i="2"/>
  <c r="S237" i="2"/>
  <c r="S251" i="2"/>
  <c r="Q274" i="2"/>
  <c r="AB274" i="2" s="1"/>
  <c r="S286" i="2"/>
  <c r="Q293" i="2"/>
  <c r="X294" i="2"/>
  <c r="T299" i="2"/>
  <c r="U302" i="2"/>
  <c r="AB134" i="2"/>
  <c r="AA142" i="2"/>
  <c r="AD150" i="2"/>
  <c r="Z152" i="2"/>
  <c r="W158" i="2"/>
  <c r="AC171" i="2"/>
  <c r="AE176" i="2"/>
  <c r="AA187" i="2"/>
  <c r="AD214" i="2"/>
  <c r="V214" i="2"/>
  <c r="Z245" i="2"/>
  <c r="AA245" i="2"/>
  <c r="T245" i="2"/>
  <c r="Y248" i="2"/>
  <c r="V248" i="2"/>
  <c r="AE248" i="2"/>
  <c r="Z256" i="2"/>
  <c r="V256" i="2"/>
  <c r="S256" i="2"/>
  <c r="AI258" i="2"/>
  <c r="S258" i="2"/>
  <c r="AB258" i="2"/>
  <c r="AI266" i="2"/>
  <c r="Z266" i="2"/>
  <c r="T266" i="2"/>
  <c r="AA267" i="2"/>
  <c r="V267" i="2"/>
  <c r="Q267" i="2"/>
  <c r="AI269" i="2"/>
  <c r="Z269" i="2"/>
  <c r="AI277" i="2"/>
  <c r="Q277" i="2"/>
  <c r="Z280" i="2"/>
  <c r="W280" i="2"/>
  <c r="S280" i="2"/>
  <c r="AI284" i="2"/>
  <c r="X284" i="2"/>
  <c r="AD284" i="2"/>
  <c r="U284" i="2"/>
  <c r="AB284" i="2"/>
  <c r="AB292" i="2"/>
  <c r="V292" i="2"/>
  <c r="AE301" i="2"/>
  <c r="AA301" i="2"/>
  <c r="T301" i="2"/>
  <c r="U134" i="2"/>
  <c r="AE134" i="2"/>
  <c r="T142" i="2"/>
  <c r="AD142" i="2"/>
  <c r="T150" i="2"/>
  <c r="V156" i="2"/>
  <c r="AC158" i="2"/>
  <c r="X173" i="2"/>
  <c r="AD192" i="2"/>
  <c r="W192" i="2"/>
  <c r="Z207" i="2"/>
  <c r="AE207" i="2"/>
  <c r="S207" i="2"/>
  <c r="AA207" i="2"/>
  <c r="AA210" i="2"/>
  <c r="AC214" i="2"/>
  <c r="AA219" i="2"/>
  <c r="AC219" i="2"/>
  <c r="T219" i="2"/>
  <c r="V230" i="2"/>
  <c r="Q230" i="2"/>
  <c r="AC230" i="2" s="1"/>
  <c r="AB234" i="2"/>
  <c r="Z234" i="2"/>
  <c r="U234" i="2"/>
  <c r="AE234" i="2"/>
  <c r="Z241" i="2"/>
  <c r="X241" i="2"/>
  <c r="X245" i="2"/>
  <c r="AB248" i="2"/>
  <c r="AI250" i="2"/>
  <c r="S250" i="2"/>
  <c r="AB250" i="2"/>
  <c r="V251" i="2"/>
  <c r="AD251" i="2"/>
  <c r="Z251" i="2"/>
  <c r="W256" i="2"/>
  <c r="X258" i="2"/>
  <c r="W266" i="2"/>
  <c r="Z267" i="2"/>
  <c r="X269" i="2"/>
  <c r="AA271" i="2"/>
  <c r="Q271" i="2"/>
  <c r="AB271" i="2" s="1"/>
  <c r="AA275" i="2"/>
  <c r="T275" i="2"/>
  <c r="AD275" i="2"/>
  <c r="Z277" i="2"/>
  <c r="X280" i="2"/>
  <c r="T284" i="2"/>
  <c r="AI285" i="2"/>
  <c r="Q285" i="2"/>
  <c r="Z285" i="2" s="1"/>
  <c r="U287" i="2"/>
  <c r="Y292" i="2"/>
  <c r="V301" i="2"/>
  <c r="X203" i="2"/>
  <c r="AA260" i="2"/>
  <c r="AB268" i="2"/>
  <c r="AD273" i="2"/>
  <c r="Z282" i="2"/>
  <c r="Z283" i="2"/>
  <c r="V295" i="2"/>
  <c r="X297" i="2"/>
  <c r="AI306" i="2"/>
  <c r="AD306" i="2"/>
  <c r="AC306" i="2"/>
  <c r="AB306" i="2"/>
  <c r="AA306" i="2"/>
  <c r="V306" i="2"/>
  <c r="U195" i="2"/>
  <c r="W196" i="2"/>
  <c r="AD198" i="2"/>
  <c r="AC203" i="2"/>
  <c r="X211" i="2"/>
  <c r="Z212" i="2"/>
  <c r="AB242" i="2"/>
  <c r="AC242" i="2"/>
  <c r="AE260" i="2"/>
  <c r="U268" i="2"/>
  <c r="AE268" i="2"/>
  <c r="AD283" i="2"/>
  <c r="X290" i="2"/>
  <c r="AA295" i="2"/>
  <c r="AB297" i="2"/>
  <c r="T306" i="2"/>
  <c r="Q307" i="2"/>
  <c r="AA307" i="2"/>
  <c r="S309" i="2"/>
  <c r="AB310" i="2"/>
  <c r="AC314" i="2"/>
  <c r="W315" i="2"/>
  <c r="S318" i="2"/>
  <c r="AA319" i="2"/>
  <c r="Q322" i="2"/>
  <c r="T322" i="2" s="1"/>
  <c r="X323" i="2"/>
  <c r="S325" i="2"/>
  <c r="S326" i="2"/>
  <c r="AD326" i="2"/>
  <c r="Y327" i="2"/>
  <c r="S330" i="2"/>
  <c r="W331" i="2"/>
  <c r="S333" i="2"/>
  <c r="AA334" i="2"/>
  <c r="AA335" i="2"/>
  <c r="S339" i="2"/>
  <c r="AE352" i="2"/>
  <c r="AD377" i="2"/>
  <c r="AE380" i="2"/>
  <c r="AD390" i="2"/>
  <c r="Z396" i="2"/>
  <c r="Z400" i="2"/>
  <c r="AE418" i="2"/>
  <c r="AE426" i="2"/>
  <c r="U428" i="2"/>
  <c r="AB319" i="2"/>
  <c r="AA327" i="2"/>
  <c r="AI390" i="2"/>
  <c r="Q418" i="2"/>
  <c r="AA418" i="2" s="1"/>
  <c r="Q423" i="2"/>
  <c r="T425" i="2"/>
  <c r="Z428" i="2"/>
  <c r="T307" i="2"/>
  <c r="AC307" i="2"/>
  <c r="V309" i="2"/>
  <c r="S310" i="2"/>
  <c r="AD310" i="2"/>
  <c r="Z311" i="2"/>
  <c r="S314" i="2"/>
  <c r="Z315" i="2"/>
  <c r="T317" i="2"/>
  <c r="V318" i="2"/>
  <c r="S319" i="2"/>
  <c r="AD319" i="2"/>
  <c r="U322" i="2"/>
  <c r="AA323" i="2"/>
  <c r="X325" i="2"/>
  <c r="V326" i="2"/>
  <c r="Q327" i="2"/>
  <c r="AC327" i="2"/>
  <c r="V329" i="2"/>
  <c r="AA330" i="2"/>
  <c r="AC331" i="2"/>
  <c r="AA333" i="2"/>
  <c r="AE335" i="2"/>
  <c r="W339" i="2"/>
  <c r="T343" i="2"/>
  <c r="Y344" i="2"/>
  <c r="U346" i="2"/>
  <c r="Z347" i="2"/>
  <c r="AA349" i="2"/>
  <c r="Q353" i="2"/>
  <c r="AA353" i="2" s="1"/>
  <c r="Y355" i="2"/>
  <c r="S357" i="2"/>
  <c r="Z359" i="2"/>
  <c r="S364" i="2"/>
  <c r="W365" i="2"/>
  <c r="S367" i="2"/>
  <c r="AB368" i="2"/>
  <c r="AA372" i="2"/>
  <c r="AD373" i="2"/>
  <c r="S375" i="2"/>
  <c r="AE376" i="2"/>
  <c r="S380" i="2"/>
  <c r="U381" i="2"/>
  <c r="Y382" i="2"/>
  <c r="AC384" i="2"/>
  <c r="V388" i="2"/>
  <c r="Q390" i="2"/>
  <c r="T390" i="2" s="1"/>
  <c r="T392" i="2"/>
  <c r="AD392" i="2"/>
  <c r="AD393" i="2"/>
  <c r="AA394" i="2"/>
  <c r="V395" i="2"/>
  <c r="S396" i="2"/>
  <c r="AB396" i="2"/>
  <c r="AC398" i="2"/>
  <c r="AD398" i="2"/>
  <c r="S400" i="2"/>
  <c r="AB400" i="2"/>
  <c r="T402" i="2"/>
  <c r="AE402" i="2"/>
  <c r="AE404" i="2"/>
  <c r="Z406" i="2"/>
  <c r="AB408" i="2"/>
  <c r="AC409" i="2"/>
  <c r="AA412" i="2"/>
  <c r="AB413" i="2"/>
  <c r="W414" i="2"/>
  <c r="Z415" i="2"/>
  <c r="Z416" i="2"/>
  <c r="S418" i="2"/>
  <c r="Q419" i="2"/>
  <c r="AB419" i="2" s="1"/>
  <c r="V420" i="2"/>
  <c r="AE420" i="2"/>
  <c r="W422" i="2"/>
  <c r="T423" i="2"/>
  <c r="U424" i="2"/>
  <c r="U425" i="2"/>
  <c r="V426" i="2"/>
  <c r="Q427" i="2"/>
  <c r="T427" i="2" s="1"/>
  <c r="AA428" i="2"/>
  <c r="U307" i="2"/>
  <c r="AD307" i="2"/>
  <c r="X309" i="2"/>
  <c r="U310" i="2"/>
  <c r="AA311" i="2"/>
  <c r="T314" i="2"/>
  <c r="Q315" i="2"/>
  <c r="AC315" i="2" s="1"/>
  <c r="AA315" i="2"/>
  <c r="X317" i="2"/>
  <c r="Z318" i="2"/>
  <c r="T319" i="2"/>
  <c r="AE319" i="2"/>
  <c r="V322" i="2"/>
  <c r="Q323" i="2"/>
  <c r="V323" i="2" s="1"/>
  <c r="AA325" i="2"/>
  <c r="X326" i="2"/>
  <c r="S327" i="2"/>
  <c r="AD327" i="2"/>
  <c r="Y329" i="2"/>
  <c r="AC330" i="2"/>
  <c r="AD331" i="2"/>
  <c r="Q335" i="2"/>
  <c r="S338" i="2"/>
  <c r="Z339" i="2"/>
  <c r="X346" i="2"/>
  <c r="V353" i="2"/>
  <c r="AD357" i="2"/>
  <c r="U364" i="2"/>
  <c r="Z367" i="2"/>
  <c r="T380" i="2"/>
  <c r="V381" i="2"/>
  <c r="T396" i="2"/>
  <c r="AC396" i="2"/>
  <c r="T400" i="2"/>
  <c r="AD400" i="2"/>
  <c r="AA406" i="2"/>
  <c r="AD409" i="2"/>
  <c r="AC413" i="2"/>
  <c r="AB416" i="2"/>
  <c r="V418" i="2"/>
  <c r="X419" i="2"/>
  <c r="W420" i="2"/>
  <c r="X422" i="2"/>
  <c r="X423" i="2"/>
  <c r="V424" i="2"/>
  <c r="V425" i="2"/>
  <c r="W426" i="2"/>
  <c r="X427" i="2"/>
  <c r="AB428" i="2"/>
  <c r="V307" i="2"/>
  <c r="AE307" i="2"/>
  <c r="Z309" i="2"/>
  <c r="V310" i="2"/>
  <c r="Q311" i="2"/>
  <c r="AB311" i="2" s="1"/>
  <c r="U314" i="2"/>
  <c r="S315" i="2"/>
  <c r="AB315" i="2"/>
  <c r="AA317" i="2"/>
  <c r="AA318" i="2"/>
  <c r="U319" i="2"/>
  <c r="X322" i="2"/>
  <c r="S323" i="2"/>
  <c r="AD323" i="2"/>
  <c r="AB325" i="2"/>
  <c r="Z326" i="2"/>
  <c r="U327" i="2"/>
  <c r="AE327" i="2"/>
  <c r="AA329" i="2"/>
  <c r="AE331" i="2"/>
  <c r="S335" i="2"/>
  <c r="W336" i="2"/>
  <c r="X338" i="2"/>
  <c r="AA339" i="2"/>
  <c r="S342" i="2"/>
  <c r="V352" i="2"/>
  <c r="AE353" i="2"/>
  <c r="W364" i="2"/>
  <c r="AA367" i="2"/>
  <c r="AE368" i="2"/>
  <c r="AE372" i="2"/>
  <c r="AI375" i="2"/>
  <c r="U377" i="2"/>
  <c r="Q379" i="2"/>
  <c r="Z379" i="2" s="1"/>
  <c r="U380" i="2"/>
  <c r="W381" i="2"/>
  <c r="W390" i="2"/>
  <c r="V392" i="2"/>
  <c r="AI394" i="2"/>
  <c r="AA395" i="2"/>
  <c r="U396" i="2"/>
  <c r="AD396" i="2"/>
  <c r="U400" i="2"/>
  <c r="Q403" i="2"/>
  <c r="AC410" i="2"/>
  <c r="AD410" i="2"/>
  <c r="S412" i="2"/>
  <c r="AD412" i="2"/>
  <c r="AD413" i="2"/>
  <c r="Q416" i="2"/>
  <c r="AC416" i="2"/>
  <c r="W418" i="2"/>
  <c r="Z419" i="2"/>
  <c r="X420" i="2"/>
  <c r="U421" i="2"/>
  <c r="Z423" i="2"/>
  <c r="W424" i="2"/>
  <c r="X425" i="2"/>
  <c r="X426" i="2"/>
  <c r="Z427" i="2"/>
  <c r="AD428" i="2"/>
  <c r="W307" i="2"/>
  <c r="AA309" i="2"/>
  <c r="X310" i="2"/>
  <c r="S311" i="2"/>
  <c r="AC311" i="2"/>
  <c r="V314" i="2"/>
  <c r="AD315" i="2"/>
  <c r="AD317" i="2"/>
  <c r="AB318" i="2"/>
  <c r="W319" i="2"/>
  <c r="Z322" i="2"/>
  <c r="T323" i="2"/>
  <c r="AE323" i="2"/>
  <c r="AA326" i="2"/>
  <c r="V327" i="2"/>
  <c r="AI327" i="2"/>
  <c r="AD329" i="2"/>
  <c r="Q331" i="2"/>
  <c r="AA331" i="2" s="1"/>
  <c r="S334" i="2"/>
  <c r="U335" i="2"/>
  <c r="Y336" i="2"/>
  <c r="AC338" i="2"/>
  <c r="AC339" i="2"/>
  <c r="U342" i="2"/>
  <c r="Z343" i="2"/>
  <c r="S345" i="2"/>
  <c r="AD347" i="2"/>
  <c r="AE347" i="2"/>
  <c r="S350" i="2"/>
  <c r="Y352" i="2"/>
  <c r="S360" i="2"/>
  <c r="AA364" i="2"/>
  <c r="V377" i="2"/>
  <c r="S379" i="2"/>
  <c r="W380" i="2"/>
  <c r="AC381" i="2"/>
  <c r="Z388" i="2"/>
  <c r="X390" i="2"/>
  <c r="AB395" i="2"/>
  <c r="V396" i="2"/>
  <c r="AE396" i="2"/>
  <c r="V400" i="2"/>
  <c r="AE406" i="2"/>
  <c r="AD414" i="2"/>
  <c r="X418" i="2"/>
  <c r="Z420" i="2"/>
  <c r="AB423" i="2"/>
  <c r="AB425" i="2"/>
  <c r="X307" i="2"/>
  <c r="AB309" i="2"/>
  <c r="Z310" i="2"/>
  <c r="T311" i="2"/>
  <c r="AD311" i="2"/>
  <c r="Z314" i="2"/>
  <c r="U315" i="2"/>
  <c r="X319" i="2"/>
  <c r="S321" i="2"/>
  <c r="AB326" i="2"/>
  <c r="W327" i="2"/>
  <c r="U331" i="2"/>
  <c r="AE332" i="2"/>
  <c r="U334" i="2"/>
  <c r="W335" i="2"/>
  <c r="AE336" i="2"/>
  <c r="AE339" i="2"/>
  <c r="X342" i="2"/>
  <c r="AC352" i="2"/>
  <c r="AA360" i="2"/>
  <c r="AE364" i="2"/>
  <c r="U373" i="2"/>
  <c r="Y374" i="2"/>
  <c r="S376" i="2"/>
  <c r="W377" i="2"/>
  <c r="Y379" i="2"/>
  <c r="AA380" i="2"/>
  <c r="AD381" i="2"/>
  <c r="S384" i="2"/>
  <c r="W385" i="2"/>
  <c r="Q388" i="2"/>
  <c r="X388" i="2" s="1"/>
  <c r="AA388" i="2"/>
  <c r="Y390" i="2"/>
  <c r="Q395" i="2"/>
  <c r="AC395" i="2"/>
  <c r="W396" i="2"/>
  <c r="W400" i="2"/>
  <c r="Z403" i="2"/>
  <c r="Q406" i="2"/>
  <c r="T406" i="2" s="1"/>
  <c r="T409" i="2"/>
  <c r="Q414" i="2"/>
  <c r="AB414" i="2" s="1"/>
  <c r="AE414" i="2"/>
  <c r="Z418" i="2"/>
  <c r="Q420" i="2"/>
  <c r="AA420" i="2"/>
  <c r="AD422" i="2"/>
  <c r="AA424" i="2"/>
  <c r="AC425" i="2"/>
  <c r="AA426" i="2"/>
  <c r="Q428" i="2"/>
  <c r="V429" i="2"/>
  <c r="Z307" i="2"/>
  <c r="Q309" i="2"/>
  <c r="AD309" i="2"/>
  <c r="AA310" i="2"/>
  <c r="U311" i="2"/>
  <c r="AE311" i="2"/>
  <c r="AA314" i="2"/>
  <c r="V315" i="2"/>
  <c r="Q318" i="2"/>
  <c r="X318" i="2" s="1"/>
  <c r="AD318" i="2"/>
  <c r="Z319" i="2"/>
  <c r="AB322" i="2"/>
  <c r="W323" i="2"/>
  <c r="Q326" i="2"/>
  <c r="AC326" i="2" s="1"/>
  <c r="V331" i="2"/>
  <c r="X334" i="2"/>
  <c r="Z335" i="2"/>
  <c r="Q339" i="2"/>
  <c r="AC343" i="2"/>
  <c r="AA345" i="2"/>
  <c r="S347" i="2"/>
  <c r="Y350" i="2"/>
  <c r="AD352" i="2"/>
  <c r="AB360" i="2"/>
  <c r="W366" i="2"/>
  <c r="S372" i="2"/>
  <c r="V373" i="2"/>
  <c r="AE374" i="2"/>
  <c r="U376" i="2"/>
  <c r="AA379" i="2"/>
  <c r="AB380" i="2"/>
  <c r="AE381" i="2"/>
  <c r="U384" i="2"/>
  <c r="AC385" i="2"/>
  <c r="S388" i="2"/>
  <c r="AC388" i="2"/>
  <c r="AC389" i="2"/>
  <c r="Z392" i="2"/>
  <c r="V393" i="2"/>
  <c r="S395" i="2"/>
  <c r="AD395" i="2"/>
  <c r="X396" i="2"/>
  <c r="U397" i="2"/>
  <c r="Z399" i="2"/>
  <c r="X400" i="2"/>
  <c r="AA402" i="2"/>
  <c r="Z404" i="2"/>
  <c r="V406" i="2"/>
  <c r="Q407" i="2"/>
  <c r="V408" i="2"/>
  <c r="V410" i="2"/>
  <c r="Q411" i="2"/>
  <c r="W412" i="2"/>
  <c r="S414" i="2"/>
  <c r="V416" i="2"/>
  <c r="AD418" i="2"/>
  <c r="S420" i="2"/>
  <c r="AB420" i="2"/>
  <c r="Q422" i="2"/>
  <c r="AC422" i="2" s="1"/>
  <c r="AE422" i="2"/>
  <c r="Q424" i="2"/>
  <c r="Z424" i="2" s="1"/>
  <c r="AD424" i="2"/>
  <c r="AD425" i="2"/>
  <c r="AD426" i="2"/>
  <c r="S428" i="2"/>
  <c r="T3" i="3"/>
  <c r="AB3" i="3"/>
  <c r="X7" i="3"/>
  <c r="Y8" i="3"/>
  <c r="AI8" i="3"/>
  <c r="V12" i="3"/>
  <c r="AC12" i="3"/>
  <c r="Y17" i="3"/>
  <c r="AD41" i="3"/>
  <c r="AC41" i="3"/>
  <c r="U41" i="3"/>
  <c r="T41" i="3"/>
  <c r="AA41" i="3"/>
  <c r="S41" i="3"/>
  <c r="Z41" i="3"/>
  <c r="Q41" i="3"/>
  <c r="V41" i="3" s="1"/>
  <c r="X41" i="3"/>
  <c r="AE41" i="3"/>
  <c r="W41" i="3"/>
  <c r="AD57" i="3"/>
  <c r="V57" i="3"/>
  <c r="AB57" i="3"/>
  <c r="T57" i="3"/>
  <c r="S57" i="3"/>
  <c r="Z57" i="3"/>
  <c r="Q57" i="3"/>
  <c r="U57" i="3" s="1"/>
  <c r="X57" i="3"/>
  <c r="AE57" i="3"/>
  <c r="W57" i="3"/>
  <c r="U3" i="3"/>
  <c r="AC3" i="3"/>
  <c r="Y7" i="3"/>
  <c r="AI7" i="3"/>
  <c r="AB58" i="3"/>
  <c r="S58" i="3"/>
  <c r="U2" i="3"/>
  <c r="AC2" i="3"/>
  <c r="V3" i="3"/>
  <c r="AD3" i="3"/>
  <c r="W4" i="3"/>
  <c r="AE4" i="3"/>
  <c r="X5" i="3"/>
  <c r="Y6" i="3"/>
  <c r="AH6" i="3" s="1"/>
  <c r="AJ6" i="3" s="1"/>
  <c r="Q7" i="3"/>
  <c r="Z7" i="3"/>
  <c r="S8" i="3"/>
  <c r="AA8" i="3"/>
  <c r="T9" i="3"/>
  <c r="AB14" i="3"/>
  <c r="X19" i="3"/>
  <c r="AE19" i="3"/>
  <c r="W19" i="3"/>
  <c r="AC19" i="3"/>
  <c r="U19" i="3"/>
  <c r="T19" i="3"/>
  <c r="Q19" i="3"/>
  <c r="AA19" i="3" s="1"/>
  <c r="AD25" i="3"/>
  <c r="AC25" i="3"/>
  <c r="U25" i="3"/>
  <c r="AA25" i="3"/>
  <c r="S25" i="3"/>
  <c r="Z25" i="3"/>
  <c r="Q25" i="3"/>
  <c r="X25" i="3"/>
  <c r="AI41" i="3"/>
  <c r="AI57" i="3"/>
  <c r="V2" i="3"/>
  <c r="AD2" i="3"/>
  <c r="W3" i="3"/>
  <c r="AE3" i="3"/>
  <c r="X4" i="3"/>
  <c r="Y5" i="3"/>
  <c r="AI5" i="3"/>
  <c r="S7" i="3"/>
  <c r="AA7" i="3"/>
  <c r="T8" i="3"/>
  <c r="AB8" i="3"/>
  <c r="X11" i="3"/>
  <c r="AE11" i="3"/>
  <c r="W11" i="3"/>
  <c r="AC11" i="3"/>
  <c r="U11" i="3"/>
  <c r="AB11" i="3"/>
  <c r="T11" i="3"/>
  <c r="Z11" i="3"/>
  <c r="Q11" i="3"/>
  <c r="AA22" i="3"/>
  <c r="S22" i="3"/>
  <c r="Z22" i="3"/>
  <c r="Q22" i="3"/>
  <c r="X22" i="3"/>
  <c r="AE22" i="3"/>
  <c r="W22" i="3"/>
  <c r="AC22" i="3"/>
  <c r="U22" i="3"/>
  <c r="AD33" i="3"/>
  <c r="V33" i="3"/>
  <c r="AC33" i="3"/>
  <c r="U33" i="3"/>
  <c r="AB33" i="3"/>
  <c r="T33" i="3"/>
  <c r="AA33" i="3"/>
  <c r="S33" i="3"/>
  <c r="Z33" i="3"/>
  <c r="Q33" i="3"/>
  <c r="X33" i="3"/>
  <c r="AE33" i="3"/>
  <c r="W33" i="3"/>
  <c r="X3" i="3"/>
  <c r="Y4" i="3"/>
  <c r="AI4" i="3"/>
  <c r="T7" i="3"/>
  <c r="AB7" i="3"/>
  <c r="U8" i="3"/>
  <c r="AC8" i="3"/>
  <c r="AD49" i="3"/>
  <c r="V49" i="3"/>
  <c r="AC49" i="3"/>
  <c r="U49" i="3"/>
  <c r="AB49" i="3"/>
  <c r="T49" i="3"/>
  <c r="AA49" i="3"/>
  <c r="S49" i="3"/>
  <c r="Z49" i="3"/>
  <c r="Q49" i="3"/>
  <c r="X49" i="3"/>
  <c r="AE49" i="3"/>
  <c r="W49" i="3"/>
  <c r="Y3" i="3"/>
  <c r="AI3" i="3"/>
  <c r="AD17" i="3"/>
  <c r="V17" i="3"/>
  <c r="AC17" i="3"/>
  <c r="U17" i="3"/>
  <c r="AA17" i="3"/>
  <c r="S17" i="3"/>
  <c r="Z17" i="3"/>
  <c r="Q17" i="3"/>
  <c r="AB17" i="3" s="1"/>
  <c r="X17" i="3"/>
  <c r="Y2" i="3"/>
  <c r="AI2" i="3"/>
  <c r="Q3" i="3"/>
  <c r="Z3" i="3"/>
  <c r="V7" i="3"/>
  <c r="AD7" i="3"/>
  <c r="W8" i="3"/>
  <c r="AE8" i="3"/>
  <c r="AA14" i="3"/>
  <c r="S14" i="3"/>
  <c r="Z14" i="3"/>
  <c r="Q14" i="3"/>
  <c r="V14" i="3" s="1"/>
  <c r="X14" i="3"/>
  <c r="AE14" i="3"/>
  <c r="W14" i="3"/>
  <c r="AC14" i="3"/>
  <c r="U14" i="3"/>
  <c r="T17" i="3"/>
  <c r="Q2" i="3"/>
  <c r="S3" i="3"/>
  <c r="AH3" i="3" s="1"/>
  <c r="AJ3" i="3" s="1"/>
  <c r="T4" i="3"/>
  <c r="AH4" i="3" s="1"/>
  <c r="AJ4" i="3" s="1"/>
  <c r="U5" i="3"/>
  <c r="AH5" i="3" s="1"/>
  <c r="AJ5" i="3" s="1"/>
  <c r="W7" i="3"/>
  <c r="AD9" i="3"/>
  <c r="V9" i="3"/>
  <c r="AC9" i="3"/>
  <c r="X9" i="3"/>
  <c r="AA9" i="3"/>
  <c r="AA11" i="3"/>
  <c r="AB12" i="3"/>
  <c r="T14" i="3"/>
  <c r="W17" i="3"/>
  <c r="AB23" i="3"/>
  <c r="Y27" i="3"/>
  <c r="AI27" i="3"/>
  <c r="Y35" i="3"/>
  <c r="AI35" i="3"/>
  <c r="Y43" i="3"/>
  <c r="AI43" i="3"/>
  <c r="AI51" i="3"/>
  <c r="Y59" i="3"/>
  <c r="AI59" i="3"/>
  <c r="W65" i="3"/>
  <c r="AE65" i="3"/>
  <c r="X66" i="3"/>
  <c r="Y67" i="3"/>
  <c r="AI67" i="3"/>
  <c r="W73" i="3"/>
  <c r="AE73" i="3"/>
  <c r="Y75" i="3"/>
  <c r="AI75" i="3"/>
  <c r="W81" i="3"/>
  <c r="AE81" i="3"/>
  <c r="Y83" i="3"/>
  <c r="AI83" i="3"/>
  <c r="Y10" i="3"/>
  <c r="AI10" i="3"/>
  <c r="T13" i="3"/>
  <c r="AB13" i="3"/>
  <c r="V15" i="3"/>
  <c r="AD15" i="3"/>
  <c r="W16" i="3"/>
  <c r="AE16" i="3"/>
  <c r="Y18" i="3"/>
  <c r="AI18" i="3"/>
  <c r="V23" i="3"/>
  <c r="AD23" i="3"/>
  <c r="W24" i="3"/>
  <c r="AE24" i="3"/>
  <c r="Y26" i="3"/>
  <c r="AI26" i="3"/>
  <c r="Q27" i="3"/>
  <c r="Z27" i="3"/>
  <c r="U30" i="3"/>
  <c r="AC30" i="3"/>
  <c r="V31" i="3"/>
  <c r="AD31" i="3"/>
  <c r="W32" i="3"/>
  <c r="AE32" i="3"/>
  <c r="Y34" i="3"/>
  <c r="AI34" i="3"/>
  <c r="Q35" i="3"/>
  <c r="Z35" i="3"/>
  <c r="S36" i="3"/>
  <c r="U38" i="3"/>
  <c r="V39" i="3"/>
  <c r="AD39" i="3"/>
  <c r="W40" i="3"/>
  <c r="AE40" i="3"/>
  <c r="Y42" i="3"/>
  <c r="AI42" i="3"/>
  <c r="Q43" i="3"/>
  <c r="Z43" i="3"/>
  <c r="U46" i="3"/>
  <c r="AC46" i="3"/>
  <c r="V47" i="3"/>
  <c r="AD47" i="3"/>
  <c r="AE48" i="3"/>
  <c r="Y50" i="3"/>
  <c r="AI50" i="3"/>
  <c r="Q51" i="3"/>
  <c r="Y51" i="3" s="1"/>
  <c r="Z51" i="3"/>
  <c r="U54" i="3"/>
  <c r="AC54" i="3"/>
  <c r="V55" i="3"/>
  <c r="AD55" i="3"/>
  <c r="W56" i="3"/>
  <c r="AE56" i="3"/>
  <c r="Y58" i="3"/>
  <c r="AI58" i="3"/>
  <c r="Q59" i="3"/>
  <c r="Z59" i="3" s="1"/>
  <c r="AC62" i="3"/>
  <c r="V63" i="3"/>
  <c r="AD63" i="3"/>
  <c r="W64" i="3"/>
  <c r="AE64" i="3"/>
  <c r="X65" i="3"/>
  <c r="Y66" i="3"/>
  <c r="AI66" i="3"/>
  <c r="Q67" i="3"/>
  <c r="Z67" i="3"/>
  <c r="AB69" i="3"/>
  <c r="U70" i="3"/>
  <c r="AC70" i="3"/>
  <c r="V71" i="3"/>
  <c r="AD71" i="3"/>
  <c r="W72" i="3"/>
  <c r="AE72" i="3"/>
  <c r="X73" i="3"/>
  <c r="Y74" i="3"/>
  <c r="AI74" i="3"/>
  <c r="Q75" i="3"/>
  <c r="Z75" i="3"/>
  <c r="U78" i="3"/>
  <c r="AC78" i="3"/>
  <c r="V79" i="3"/>
  <c r="AD79" i="3"/>
  <c r="W80" i="3"/>
  <c r="AE80" i="3"/>
  <c r="Y82" i="3"/>
  <c r="AI82" i="3"/>
  <c r="Q83" i="3"/>
  <c r="Z83" i="3"/>
  <c r="S84" i="3"/>
  <c r="AB84" i="3"/>
  <c r="X110" i="3"/>
  <c r="AE110" i="3"/>
  <c r="W110" i="3"/>
  <c r="AD110" i="3"/>
  <c r="V110" i="3"/>
  <c r="AC110" i="3"/>
  <c r="U110" i="3"/>
  <c r="AB110" i="3"/>
  <c r="T110" i="3"/>
  <c r="AA110" i="3"/>
  <c r="S110" i="3"/>
  <c r="Z110" i="3"/>
  <c r="Q110" i="3"/>
  <c r="X142" i="3"/>
  <c r="AE142" i="3"/>
  <c r="W142" i="3"/>
  <c r="AD142" i="3"/>
  <c r="V142" i="3"/>
  <c r="AC142" i="3"/>
  <c r="U142" i="3"/>
  <c r="AB142" i="3"/>
  <c r="T142" i="3"/>
  <c r="AA142" i="3"/>
  <c r="S142" i="3"/>
  <c r="Z142" i="3"/>
  <c r="Q142" i="3"/>
  <c r="Y65" i="3"/>
  <c r="AI65" i="3"/>
  <c r="Y73" i="3"/>
  <c r="AI73" i="3"/>
  <c r="Y81" i="3"/>
  <c r="AI81" i="3"/>
  <c r="X102" i="3"/>
  <c r="AE102" i="3"/>
  <c r="W102" i="3"/>
  <c r="AD102" i="3"/>
  <c r="V102" i="3"/>
  <c r="AC102" i="3"/>
  <c r="AA102" i="3"/>
  <c r="S102" i="3"/>
  <c r="Z102" i="3"/>
  <c r="Q102" i="3"/>
  <c r="U102" i="3" s="1"/>
  <c r="AE111" i="3"/>
  <c r="AB111" i="3"/>
  <c r="X150" i="3"/>
  <c r="AE150" i="3"/>
  <c r="W150" i="3"/>
  <c r="AD150" i="3"/>
  <c r="V150" i="3"/>
  <c r="AC150" i="3"/>
  <c r="U150" i="3"/>
  <c r="AB150" i="3"/>
  <c r="T150" i="3"/>
  <c r="AA150" i="3"/>
  <c r="S150" i="3"/>
  <c r="Z150" i="3"/>
  <c r="Q150" i="3"/>
  <c r="X15" i="3"/>
  <c r="Y16" i="3"/>
  <c r="AI16" i="3"/>
  <c r="X23" i="3"/>
  <c r="Y24" i="3"/>
  <c r="AI24" i="3"/>
  <c r="T27" i="3"/>
  <c r="AB27" i="3"/>
  <c r="AC28" i="3"/>
  <c r="W30" i="3"/>
  <c r="X31" i="3"/>
  <c r="Y32" i="3"/>
  <c r="AI32" i="3"/>
  <c r="T35" i="3"/>
  <c r="AB35" i="3"/>
  <c r="W38" i="3"/>
  <c r="AE38" i="3"/>
  <c r="X39" i="3"/>
  <c r="Y40" i="3"/>
  <c r="AI40" i="3"/>
  <c r="AA42" i="3"/>
  <c r="T43" i="3"/>
  <c r="AB43" i="3"/>
  <c r="W46" i="3"/>
  <c r="AE46" i="3"/>
  <c r="Y48" i="3"/>
  <c r="AI48" i="3"/>
  <c r="T51" i="3"/>
  <c r="AB51" i="3"/>
  <c r="W54" i="3"/>
  <c r="AE54" i="3"/>
  <c r="X55" i="3"/>
  <c r="Y56" i="3"/>
  <c r="AI56" i="3"/>
  <c r="T59" i="3"/>
  <c r="AB59" i="3"/>
  <c r="W62" i="3"/>
  <c r="AE62" i="3"/>
  <c r="Y64" i="3"/>
  <c r="AI64" i="3"/>
  <c r="Q65" i="3"/>
  <c r="Z65" i="3"/>
  <c r="T67" i="3"/>
  <c r="AB67" i="3"/>
  <c r="W70" i="3"/>
  <c r="AE70" i="3"/>
  <c r="Y72" i="3"/>
  <c r="AI72" i="3"/>
  <c r="Q73" i="3"/>
  <c r="Z73" i="3"/>
  <c r="T75" i="3"/>
  <c r="AB75" i="3"/>
  <c r="W78" i="3"/>
  <c r="AE78" i="3"/>
  <c r="Y80" i="3"/>
  <c r="AI80" i="3"/>
  <c r="Q81" i="3"/>
  <c r="X81" i="3" s="1"/>
  <c r="Z81" i="3"/>
  <c r="T83" i="3"/>
  <c r="AB83" i="3"/>
  <c r="Z87" i="3"/>
  <c r="Y102" i="3"/>
  <c r="U103" i="3"/>
  <c r="AA103" i="3"/>
  <c r="AI110" i="3"/>
  <c r="AI142" i="3"/>
  <c r="Y150" i="3"/>
  <c r="W13" i="3"/>
  <c r="Y15" i="3"/>
  <c r="AI15" i="3"/>
  <c r="Q16" i="3"/>
  <c r="Z16" i="3"/>
  <c r="Y23" i="3"/>
  <c r="AI23" i="3"/>
  <c r="U27" i="3"/>
  <c r="AC27" i="3"/>
  <c r="V28" i="3"/>
  <c r="X30" i="3"/>
  <c r="Y31" i="3"/>
  <c r="AI31" i="3"/>
  <c r="U35" i="3"/>
  <c r="AC35" i="3"/>
  <c r="X38" i="3"/>
  <c r="Y39" i="3"/>
  <c r="AI39" i="3"/>
  <c r="T42" i="3"/>
  <c r="AB42" i="3"/>
  <c r="U43" i="3"/>
  <c r="AC43" i="3"/>
  <c r="X46" i="3"/>
  <c r="Y47" i="3"/>
  <c r="AI47" i="3"/>
  <c r="Q48" i="3"/>
  <c r="W48" i="3" s="1"/>
  <c r="Z48" i="3"/>
  <c r="U51" i="3"/>
  <c r="AC51" i="3"/>
  <c r="AD52" i="3"/>
  <c r="W53" i="3"/>
  <c r="AE53" i="3"/>
  <c r="X54" i="3"/>
  <c r="Y55" i="3"/>
  <c r="AI55" i="3"/>
  <c r="U59" i="3"/>
  <c r="AC59" i="3"/>
  <c r="X62" i="3"/>
  <c r="Y63" i="3"/>
  <c r="AI63" i="3"/>
  <c r="Q64" i="3"/>
  <c r="Z64" i="3"/>
  <c r="S65" i="3"/>
  <c r="AA65" i="3"/>
  <c r="U67" i="3"/>
  <c r="AC67" i="3"/>
  <c r="X70" i="3"/>
  <c r="Y71" i="3"/>
  <c r="AI71" i="3"/>
  <c r="Q72" i="3"/>
  <c r="Z72" i="3"/>
  <c r="S73" i="3"/>
  <c r="AA73" i="3"/>
  <c r="U75" i="3"/>
  <c r="AC75" i="3"/>
  <c r="X78" i="3"/>
  <c r="Y79" i="3"/>
  <c r="AI79" i="3"/>
  <c r="Q80" i="3"/>
  <c r="Z80" i="3"/>
  <c r="S81" i="3"/>
  <c r="AA81" i="3"/>
  <c r="U83" i="3"/>
  <c r="AC83" i="3"/>
  <c r="AI102" i="3"/>
  <c r="X134" i="3"/>
  <c r="AE134" i="3"/>
  <c r="W134" i="3"/>
  <c r="AD134" i="3"/>
  <c r="V134" i="3"/>
  <c r="AC134" i="3"/>
  <c r="AB134" i="3"/>
  <c r="AA134" i="3"/>
  <c r="S134" i="3"/>
  <c r="Z134" i="3"/>
  <c r="Q134" i="3"/>
  <c r="U134" i="3" s="1"/>
  <c r="AI150" i="3"/>
  <c r="V27" i="3"/>
  <c r="AD27" i="3"/>
  <c r="AI30" i="3"/>
  <c r="V35" i="3"/>
  <c r="AD35" i="3"/>
  <c r="Y38" i="3"/>
  <c r="AI38" i="3"/>
  <c r="V43" i="3"/>
  <c r="AD43" i="3"/>
  <c r="Y46" i="3"/>
  <c r="AI46" i="3"/>
  <c r="V51" i="3"/>
  <c r="AD51" i="3"/>
  <c r="Y54" i="3"/>
  <c r="AI54" i="3"/>
  <c r="V59" i="3"/>
  <c r="AD59" i="3"/>
  <c r="Y62" i="3"/>
  <c r="AI62" i="3"/>
  <c r="T65" i="3"/>
  <c r="AB65" i="3"/>
  <c r="V67" i="3"/>
  <c r="AD67" i="3"/>
  <c r="Y70" i="3"/>
  <c r="AI70" i="3"/>
  <c r="T73" i="3"/>
  <c r="AB73" i="3"/>
  <c r="V75" i="3"/>
  <c r="AD75" i="3"/>
  <c r="Y78" i="3"/>
  <c r="AI78" i="3"/>
  <c r="T81" i="3"/>
  <c r="AB81" i="3"/>
  <c r="V83" i="3"/>
  <c r="AD83" i="3"/>
  <c r="Z111" i="3"/>
  <c r="X118" i="3"/>
  <c r="AE118" i="3"/>
  <c r="W118" i="3"/>
  <c r="AD118" i="3"/>
  <c r="V118" i="3"/>
  <c r="AC118" i="3"/>
  <c r="U118" i="3"/>
  <c r="AB118" i="3"/>
  <c r="T118" i="3"/>
  <c r="AA118" i="3"/>
  <c r="S118" i="3"/>
  <c r="Z118" i="3"/>
  <c r="Q118" i="3"/>
  <c r="AD10" i="3"/>
  <c r="X12" i="3"/>
  <c r="Y13" i="3"/>
  <c r="AI13" i="3"/>
  <c r="T16" i="3"/>
  <c r="AB16" i="3"/>
  <c r="V18" i="3"/>
  <c r="AD18" i="3"/>
  <c r="X20" i="3"/>
  <c r="Y21" i="3"/>
  <c r="AH21" i="3" s="1"/>
  <c r="AJ21" i="3" s="1"/>
  <c r="AI21" i="3"/>
  <c r="S23" i="3"/>
  <c r="AA23" i="3"/>
  <c r="T24" i="3"/>
  <c r="AB24" i="3"/>
  <c r="V26" i="3"/>
  <c r="AD26" i="3"/>
  <c r="W27" i="3"/>
  <c r="AE27" i="3"/>
  <c r="X28" i="3"/>
  <c r="Y29" i="3"/>
  <c r="AH29" i="3" s="1"/>
  <c r="AJ29" i="3" s="1"/>
  <c r="Q30" i="3"/>
  <c r="Y30" i="3" s="1"/>
  <c r="S31" i="3"/>
  <c r="AA31" i="3"/>
  <c r="T32" i="3"/>
  <c r="AB32" i="3"/>
  <c r="V34" i="3"/>
  <c r="AD34" i="3"/>
  <c r="W35" i="3"/>
  <c r="AE35" i="3"/>
  <c r="X36" i="3"/>
  <c r="Y37" i="3"/>
  <c r="AH37" i="3" s="1"/>
  <c r="AJ37" i="3" s="1"/>
  <c r="Q38" i="3"/>
  <c r="AC38" i="3" s="1"/>
  <c r="Z38" i="3"/>
  <c r="S39" i="3"/>
  <c r="AA39" i="3"/>
  <c r="T40" i="3"/>
  <c r="AB40" i="3"/>
  <c r="V42" i="3"/>
  <c r="AD42" i="3"/>
  <c r="W43" i="3"/>
  <c r="AE43" i="3"/>
  <c r="X44" i="3"/>
  <c r="Y45" i="3"/>
  <c r="AH45" i="3" s="1"/>
  <c r="AJ45" i="3" s="1"/>
  <c r="Q46" i="3"/>
  <c r="Z46" i="3"/>
  <c r="S47" i="3"/>
  <c r="AH47" i="3" s="1"/>
  <c r="AJ47" i="3" s="1"/>
  <c r="T48" i="3"/>
  <c r="V50" i="3"/>
  <c r="AD50" i="3"/>
  <c r="W51" i="3"/>
  <c r="AE51" i="3"/>
  <c r="X52" i="3"/>
  <c r="Y53" i="3"/>
  <c r="AI53" i="3"/>
  <c r="Q54" i="3"/>
  <c r="Z54" i="3"/>
  <c r="AA55" i="3"/>
  <c r="T56" i="3"/>
  <c r="AB56" i="3"/>
  <c r="V58" i="3"/>
  <c r="AD58" i="3"/>
  <c r="W59" i="3"/>
  <c r="AE59" i="3"/>
  <c r="X60" i="3"/>
  <c r="Y61" i="3"/>
  <c r="AI61" i="3"/>
  <c r="Q62" i="3"/>
  <c r="Z62" i="3" s="1"/>
  <c r="S63" i="3"/>
  <c r="AA63" i="3"/>
  <c r="T64" i="3"/>
  <c r="AB64" i="3"/>
  <c r="U65" i="3"/>
  <c r="AC65" i="3"/>
  <c r="V66" i="3"/>
  <c r="AD66" i="3"/>
  <c r="W67" i="3"/>
  <c r="AE67" i="3"/>
  <c r="X68" i="3"/>
  <c r="Y69" i="3"/>
  <c r="AI69" i="3"/>
  <c r="Q70" i="3"/>
  <c r="Z70" i="3"/>
  <c r="S71" i="3"/>
  <c r="AA71" i="3"/>
  <c r="T72" i="3"/>
  <c r="AB72" i="3"/>
  <c r="U73" i="3"/>
  <c r="AC73" i="3"/>
  <c r="V74" i="3"/>
  <c r="AD74" i="3"/>
  <c r="W75" i="3"/>
  <c r="AE75" i="3"/>
  <c r="X76" i="3"/>
  <c r="Y77" i="3"/>
  <c r="AH77" i="3" s="1"/>
  <c r="AJ77" i="3" s="1"/>
  <c r="AI77" i="3"/>
  <c r="Q78" i="3"/>
  <c r="Z78" i="3"/>
  <c r="S79" i="3"/>
  <c r="AA79" i="3"/>
  <c r="T80" i="3"/>
  <c r="AB80" i="3"/>
  <c r="U81" i="3"/>
  <c r="AC81" i="3"/>
  <c r="V82" i="3"/>
  <c r="AD82" i="3"/>
  <c r="W83" i="3"/>
  <c r="AE83" i="3"/>
  <c r="X94" i="3"/>
  <c r="AE94" i="3"/>
  <c r="W94" i="3"/>
  <c r="AD94" i="3"/>
  <c r="AC94" i="3"/>
  <c r="U94" i="3"/>
  <c r="AB94" i="3"/>
  <c r="S94" i="3"/>
  <c r="Z94" i="3"/>
  <c r="Q94" i="3"/>
  <c r="V94" i="3" s="1"/>
  <c r="Y118" i="3"/>
  <c r="AI134" i="3"/>
  <c r="X158" i="3"/>
  <c r="AE158" i="3"/>
  <c r="W158" i="3"/>
  <c r="AD158" i="3"/>
  <c r="V158" i="3"/>
  <c r="AC158" i="3"/>
  <c r="U158" i="3"/>
  <c r="AB158" i="3"/>
  <c r="T158" i="3"/>
  <c r="AA158" i="3"/>
  <c r="S158" i="3"/>
  <c r="Z158" i="3"/>
  <c r="Q158" i="3"/>
  <c r="X166" i="3"/>
  <c r="AE166" i="3"/>
  <c r="W166" i="3"/>
  <c r="V166" i="3"/>
  <c r="U166" i="3"/>
  <c r="T166" i="3"/>
  <c r="AA166" i="3"/>
  <c r="S166" i="3"/>
  <c r="Z166" i="3"/>
  <c r="Q166" i="3"/>
  <c r="AD166" i="3" s="1"/>
  <c r="W10" i="3"/>
  <c r="AH10" i="3" s="1"/>
  <c r="AJ10" i="3" s="1"/>
  <c r="Y12" i="3"/>
  <c r="Q13" i="3"/>
  <c r="S13" i="3" s="1"/>
  <c r="T15" i="3"/>
  <c r="AH15" i="3" s="1"/>
  <c r="AJ15" i="3" s="1"/>
  <c r="U16" i="3"/>
  <c r="W18" i="3"/>
  <c r="Y20" i="3"/>
  <c r="Q21" i="3"/>
  <c r="T23" i="3"/>
  <c r="U24" i="3"/>
  <c r="W26" i="3"/>
  <c r="Y28" i="3"/>
  <c r="S30" i="3"/>
  <c r="T31" i="3"/>
  <c r="U32" i="3"/>
  <c r="W34" i="3"/>
  <c r="Y36" i="3"/>
  <c r="S38" i="3"/>
  <c r="T39" i="3"/>
  <c r="U40" i="3"/>
  <c r="W42" i="3"/>
  <c r="Y44" i="3"/>
  <c r="S46" i="3"/>
  <c r="AH46" i="3" s="1"/>
  <c r="AJ46" i="3" s="1"/>
  <c r="W50" i="3"/>
  <c r="Y52" i="3"/>
  <c r="Q53" i="3"/>
  <c r="S54" i="3"/>
  <c r="T55" i="3"/>
  <c r="AH55" i="3" s="1"/>
  <c r="AJ55" i="3" s="1"/>
  <c r="U56" i="3"/>
  <c r="W58" i="3"/>
  <c r="Y60" i="3"/>
  <c r="Q61" i="3"/>
  <c r="S62" i="3"/>
  <c r="T63" i="3"/>
  <c r="U64" i="3"/>
  <c r="V65" i="3"/>
  <c r="W66" i="3"/>
  <c r="Y68" i="3"/>
  <c r="Q69" i="3"/>
  <c r="U69" i="3" s="1"/>
  <c r="S70" i="3"/>
  <c r="AH70" i="3" s="1"/>
  <c r="AJ70" i="3" s="1"/>
  <c r="T71" i="3"/>
  <c r="U72" i="3"/>
  <c r="V73" i="3"/>
  <c r="W74" i="3"/>
  <c r="Y76" i="3"/>
  <c r="Q77" i="3"/>
  <c r="S78" i="3"/>
  <c r="AH78" i="3" s="1"/>
  <c r="AJ78" i="3" s="1"/>
  <c r="T79" i="3"/>
  <c r="U80" i="3"/>
  <c r="V81" i="3"/>
  <c r="W82" i="3"/>
  <c r="X86" i="3"/>
  <c r="AE86" i="3"/>
  <c r="W86" i="3"/>
  <c r="AD86" i="3"/>
  <c r="V86" i="3"/>
  <c r="AC86" i="3"/>
  <c r="U86" i="3"/>
  <c r="AB86" i="3"/>
  <c r="T86" i="3"/>
  <c r="AA86" i="3"/>
  <c r="S86" i="3"/>
  <c r="Z86" i="3"/>
  <c r="Q86" i="3"/>
  <c r="AI118" i="3"/>
  <c r="X126" i="3"/>
  <c r="AE126" i="3"/>
  <c r="W126" i="3"/>
  <c r="AD126" i="3"/>
  <c r="V126" i="3"/>
  <c r="AC126" i="3"/>
  <c r="U126" i="3"/>
  <c r="AB126" i="3"/>
  <c r="T126" i="3"/>
  <c r="AA126" i="3"/>
  <c r="S126" i="3"/>
  <c r="Z126" i="3"/>
  <c r="Q126" i="3"/>
  <c r="X198" i="3"/>
  <c r="W198" i="3"/>
  <c r="V198" i="3"/>
  <c r="AC198" i="3"/>
  <c r="U198" i="3"/>
  <c r="AB198" i="3"/>
  <c r="T198" i="3"/>
  <c r="AA198" i="3"/>
  <c r="S198" i="3"/>
  <c r="Z198" i="3"/>
  <c r="Q198" i="3"/>
  <c r="AE198" i="3" s="1"/>
  <c r="Y85" i="3"/>
  <c r="AI85" i="3"/>
  <c r="AC89" i="3"/>
  <c r="AD90" i="3"/>
  <c r="W91" i="3"/>
  <c r="AE91" i="3"/>
  <c r="Y93" i="3"/>
  <c r="AI93" i="3"/>
  <c r="W99" i="3"/>
  <c r="X100" i="3"/>
  <c r="Y101" i="3"/>
  <c r="AI101" i="3"/>
  <c r="T104" i="3"/>
  <c r="AB104" i="3"/>
  <c r="U105" i="3"/>
  <c r="AC105" i="3"/>
  <c r="V106" i="3"/>
  <c r="AD106" i="3"/>
  <c r="W107" i="3"/>
  <c r="AE107" i="3"/>
  <c r="X108" i="3"/>
  <c r="Y109" i="3"/>
  <c r="AI109" i="3"/>
  <c r="S111" i="3"/>
  <c r="AA111" i="3"/>
  <c r="T112" i="3"/>
  <c r="AB112" i="3"/>
  <c r="U113" i="3"/>
  <c r="AC113" i="3"/>
  <c r="V114" i="3"/>
  <c r="AD114" i="3"/>
  <c r="W115" i="3"/>
  <c r="AE115" i="3"/>
  <c r="X116" i="3"/>
  <c r="Y117" i="3"/>
  <c r="AI117" i="3"/>
  <c r="U121" i="3"/>
  <c r="AC121" i="3"/>
  <c r="AD122" i="3"/>
  <c r="W123" i="3"/>
  <c r="AE123" i="3"/>
  <c r="X124" i="3"/>
  <c r="Y125" i="3"/>
  <c r="AH125" i="3" s="1"/>
  <c r="AJ125" i="3" s="1"/>
  <c r="T128" i="3"/>
  <c r="U129" i="3"/>
  <c r="V130" i="3"/>
  <c r="AD130" i="3"/>
  <c r="W131" i="3"/>
  <c r="X132" i="3"/>
  <c r="Y133" i="3"/>
  <c r="AH133" i="3" s="1"/>
  <c r="AI133" i="3"/>
  <c r="S135" i="3"/>
  <c r="AA135" i="3"/>
  <c r="T136" i="3"/>
  <c r="AB136" i="3"/>
  <c r="U137" i="3"/>
  <c r="AD138" i="3"/>
  <c r="W139" i="3"/>
  <c r="AE139" i="3"/>
  <c r="X140" i="3"/>
  <c r="Y141" i="3"/>
  <c r="AI141" i="3"/>
  <c r="S143" i="3"/>
  <c r="AA143" i="3"/>
  <c r="T144" i="3"/>
  <c r="AB144" i="3"/>
  <c r="U145" i="3"/>
  <c r="AC145" i="3"/>
  <c r="AD146" i="3"/>
  <c r="W147" i="3"/>
  <c r="AE147" i="3"/>
  <c r="X148" i="3"/>
  <c r="Y149" i="3"/>
  <c r="AI149" i="3"/>
  <c r="S151" i="3"/>
  <c r="AA151" i="3"/>
  <c r="T152" i="3"/>
  <c r="AB152" i="3"/>
  <c r="AC153" i="3"/>
  <c r="V154" i="3"/>
  <c r="AD154" i="3"/>
  <c r="W155" i="3"/>
  <c r="AE155" i="3"/>
  <c r="X156" i="3"/>
  <c r="Y157" i="3"/>
  <c r="AH157" i="3" s="1"/>
  <c r="AI157" i="3"/>
  <c r="S159" i="3"/>
  <c r="AA159" i="3"/>
  <c r="T160" i="3"/>
  <c r="AB160" i="3"/>
  <c r="AC161" i="3"/>
  <c r="V162" i="3"/>
  <c r="AD162" i="3"/>
  <c r="W163" i="3"/>
  <c r="AE163" i="3"/>
  <c r="X164" i="3"/>
  <c r="Y165" i="3"/>
  <c r="AH165" i="3" s="1"/>
  <c r="AJ165" i="3" s="1"/>
  <c r="S167" i="3"/>
  <c r="AA167" i="3"/>
  <c r="T168" i="3"/>
  <c r="AB168" i="3"/>
  <c r="V170" i="3"/>
  <c r="AD170" i="3"/>
  <c r="Y198" i="3"/>
  <c r="AE199" i="3"/>
  <c r="AA199" i="3"/>
  <c r="AC238" i="3"/>
  <c r="Z238" i="3"/>
  <c r="X258" i="3"/>
  <c r="AE258" i="3"/>
  <c r="W258" i="3"/>
  <c r="AD258" i="3"/>
  <c r="V258" i="3"/>
  <c r="AC258" i="3"/>
  <c r="U258" i="3"/>
  <c r="AB258" i="3"/>
  <c r="T258" i="3"/>
  <c r="AA258" i="3"/>
  <c r="S258" i="3"/>
  <c r="Z258" i="3"/>
  <c r="Q258" i="3"/>
  <c r="AI258" i="3"/>
  <c r="Y258" i="3"/>
  <c r="Y84" i="3"/>
  <c r="Q85" i="3"/>
  <c r="Z85" i="3"/>
  <c r="W90" i="3"/>
  <c r="X91" i="3"/>
  <c r="Y92" i="3"/>
  <c r="AI92" i="3"/>
  <c r="Q93" i="3"/>
  <c r="Z93" i="3"/>
  <c r="T95" i="3"/>
  <c r="AB95" i="3"/>
  <c r="U96" i="3"/>
  <c r="AC96" i="3"/>
  <c r="V97" i="3"/>
  <c r="AD97" i="3"/>
  <c r="W98" i="3"/>
  <c r="AE98" i="3"/>
  <c r="Y100" i="3"/>
  <c r="Z101" i="3"/>
  <c r="T103" i="3"/>
  <c r="AB103" i="3"/>
  <c r="U104" i="3"/>
  <c r="AC104" i="3"/>
  <c r="V105" i="3"/>
  <c r="AD105" i="3"/>
  <c r="AE106" i="3"/>
  <c r="Y108" i="3"/>
  <c r="AI108" i="3"/>
  <c r="AC112" i="3"/>
  <c r="V113" i="3"/>
  <c r="AD113" i="3"/>
  <c r="W114" i="3"/>
  <c r="AE114" i="3"/>
  <c r="X115" i="3"/>
  <c r="Y116" i="3"/>
  <c r="AI116" i="3"/>
  <c r="U120" i="3"/>
  <c r="AC120" i="3"/>
  <c r="AD121" i="3"/>
  <c r="W122" i="3"/>
  <c r="AE122" i="3"/>
  <c r="X123" i="3"/>
  <c r="Y124" i="3"/>
  <c r="AI124" i="3"/>
  <c r="AB127" i="3"/>
  <c r="U128" i="3"/>
  <c r="AC128" i="3"/>
  <c r="V129" i="3"/>
  <c r="AD129" i="3"/>
  <c r="X131" i="3"/>
  <c r="Y132" i="3"/>
  <c r="AI132" i="3"/>
  <c r="V137" i="3"/>
  <c r="AD137" i="3"/>
  <c r="W138" i="3"/>
  <c r="AE138" i="3"/>
  <c r="X139" i="3"/>
  <c r="Y140" i="3"/>
  <c r="AI140" i="3"/>
  <c r="Q141" i="3"/>
  <c r="V141" i="3" s="1"/>
  <c r="Z141" i="3"/>
  <c r="T143" i="3"/>
  <c r="AB143" i="3"/>
  <c r="V145" i="3"/>
  <c r="W146" i="3"/>
  <c r="AE146" i="3"/>
  <c r="X147" i="3"/>
  <c r="AI148" i="3"/>
  <c r="T151" i="3"/>
  <c r="AB151" i="3"/>
  <c r="V153" i="3"/>
  <c r="AD153" i="3"/>
  <c r="W154" i="3"/>
  <c r="AE154" i="3"/>
  <c r="X155" i="3"/>
  <c r="Y156" i="3"/>
  <c r="AI156" i="3"/>
  <c r="T159" i="3"/>
  <c r="AB159" i="3"/>
  <c r="V161" i="3"/>
  <c r="AD161" i="3"/>
  <c r="Y164" i="3"/>
  <c r="AI164" i="3"/>
  <c r="T167" i="3"/>
  <c r="AB167" i="3"/>
  <c r="U168" i="3"/>
  <c r="AC168" i="3"/>
  <c r="V169" i="3"/>
  <c r="AD169" i="3"/>
  <c r="X174" i="3"/>
  <c r="AE174" i="3"/>
  <c r="W174" i="3"/>
  <c r="AC174" i="3"/>
  <c r="U174" i="3"/>
  <c r="AB174" i="3"/>
  <c r="T174" i="3"/>
  <c r="AA174" i="3"/>
  <c r="S174" i="3"/>
  <c r="Z174" i="3"/>
  <c r="Q174" i="3"/>
  <c r="AA177" i="3"/>
  <c r="S177" i="3"/>
  <c r="Z177" i="3"/>
  <c r="Q177" i="3"/>
  <c r="X177" i="3"/>
  <c r="AE177" i="3"/>
  <c r="W177" i="3"/>
  <c r="AD177" i="3"/>
  <c r="V177" i="3"/>
  <c r="AC177" i="3"/>
  <c r="U177" i="3"/>
  <c r="AI198" i="3"/>
  <c r="X214" i="3"/>
  <c r="AE214" i="3"/>
  <c r="W214" i="3"/>
  <c r="AD214" i="3"/>
  <c r="V214" i="3"/>
  <c r="AC214" i="3"/>
  <c r="U214" i="3"/>
  <c r="AB214" i="3"/>
  <c r="AA214" i="3"/>
  <c r="S214" i="3"/>
  <c r="Z214" i="3"/>
  <c r="Q214" i="3"/>
  <c r="T214" i="3" s="1"/>
  <c r="W89" i="3"/>
  <c r="AE89" i="3"/>
  <c r="Y91" i="3"/>
  <c r="AI91" i="3"/>
  <c r="Y99" i="3"/>
  <c r="AI99" i="3"/>
  <c r="V104" i="3"/>
  <c r="AD104" i="3"/>
  <c r="W105" i="3"/>
  <c r="AE105" i="3"/>
  <c r="X106" i="3"/>
  <c r="Y107" i="3"/>
  <c r="AI107" i="3"/>
  <c r="Z108" i="3"/>
  <c r="U111" i="3"/>
  <c r="AC111" i="3"/>
  <c r="V112" i="3"/>
  <c r="AD112" i="3"/>
  <c r="W113" i="3"/>
  <c r="AE113" i="3"/>
  <c r="X114" i="3"/>
  <c r="Y115" i="3"/>
  <c r="Z116" i="3"/>
  <c r="W121" i="3"/>
  <c r="AE121" i="3"/>
  <c r="Y123" i="3"/>
  <c r="AI123" i="3"/>
  <c r="V128" i="3"/>
  <c r="AD128" i="3"/>
  <c r="W129" i="3"/>
  <c r="AE129" i="3"/>
  <c r="X130" i="3"/>
  <c r="Y131" i="3"/>
  <c r="AI131" i="3"/>
  <c r="Q132" i="3"/>
  <c r="Z132" i="3"/>
  <c r="U135" i="3"/>
  <c r="AC135" i="3"/>
  <c r="V136" i="3"/>
  <c r="AD136" i="3"/>
  <c r="W137" i="3"/>
  <c r="AE137" i="3"/>
  <c r="X138" i="3"/>
  <c r="Y139" i="3"/>
  <c r="Q140" i="3"/>
  <c r="U143" i="3"/>
  <c r="AC143" i="3"/>
  <c r="V144" i="3"/>
  <c r="AD144" i="3"/>
  <c r="W145" i="3"/>
  <c r="X146" i="3"/>
  <c r="Y147" i="3"/>
  <c r="AI147" i="3"/>
  <c r="Q148" i="3"/>
  <c r="AB148" i="3" s="1"/>
  <c r="U151" i="3"/>
  <c r="AC151" i="3"/>
  <c r="W153" i="3"/>
  <c r="X154" i="3"/>
  <c r="Y155" i="3"/>
  <c r="AI155" i="3"/>
  <c r="Q156" i="3"/>
  <c r="Z156" i="3" s="1"/>
  <c r="U159" i="3"/>
  <c r="AC159" i="3"/>
  <c r="V160" i="3"/>
  <c r="AD160" i="3"/>
  <c r="W161" i="3"/>
  <c r="AE161" i="3"/>
  <c r="X162" i="3"/>
  <c r="Y163" i="3"/>
  <c r="Q164" i="3"/>
  <c r="Z164" i="3"/>
  <c r="U167" i="3"/>
  <c r="AC167" i="3"/>
  <c r="V168" i="3"/>
  <c r="AD168" i="3"/>
  <c r="W169" i="3"/>
  <c r="AE169" i="3"/>
  <c r="X170" i="3"/>
  <c r="AC171" i="3"/>
  <c r="U171" i="3"/>
  <c r="Z171" i="3"/>
  <c r="X171" i="3"/>
  <c r="AE171" i="3"/>
  <c r="W171" i="3"/>
  <c r="AD171" i="3"/>
  <c r="V174" i="3"/>
  <c r="X206" i="3"/>
  <c r="AE206" i="3"/>
  <c r="W206" i="3"/>
  <c r="AD206" i="3"/>
  <c r="V206" i="3"/>
  <c r="AC206" i="3"/>
  <c r="U206" i="3"/>
  <c r="AB206" i="3"/>
  <c r="T206" i="3"/>
  <c r="AA206" i="3"/>
  <c r="S206" i="3"/>
  <c r="Z206" i="3"/>
  <c r="Q206" i="3"/>
  <c r="X215" i="3"/>
  <c r="V215" i="3"/>
  <c r="U215" i="3"/>
  <c r="T85" i="3"/>
  <c r="AB85" i="3"/>
  <c r="V87" i="3"/>
  <c r="AD87" i="3"/>
  <c r="W88" i="3"/>
  <c r="AE88" i="3"/>
  <c r="X89" i="3"/>
  <c r="Y90" i="3"/>
  <c r="AI90" i="3"/>
  <c r="Q91" i="3"/>
  <c r="Z91" i="3"/>
  <c r="S92" i="3"/>
  <c r="T93" i="3"/>
  <c r="AB93" i="3"/>
  <c r="V95" i="3"/>
  <c r="AD95" i="3"/>
  <c r="W96" i="3"/>
  <c r="AE96" i="3"/>
  <c r="X97" i="3"/>
  <c r="Y98" i="3"/>
  <c r="AI98" i="3"/>
  <c r="Q99" i="3"/>
  <c r="AE99" i="3" s="1"/>
  <c r="Z99" i="3"/>
  <c r="V103" i="3"/>
  <c r="AD103" i="3"/>
  <c r="W104" i="3"/>
  <c r="AE104" i="3"/>
  <c r="X105" i="3"/>
  <c r="Y106" i="3"/>
  <c r="Q107" i="3"/>
  <c r="Z107" i="3"/>
  <c r="S108" i="3"/>
  <c r="AA108" i="3"/>
  <c r="V111" i="3"/>
  <c r="AD111" i="3"/>
  <c r="W112" i="3"/>
  <c r="AE112" i="3"/>
  <c r="X113" i="3"/>
  <c r="Y114" i="3"/>
  <c r="T117" i="3"/>
  <c r="AB117" i="3"/>
  <c r="W120" i="3"/>
  <c r="AE120" i="3"/>
  <c r="X121" i="3"/>
  <c r="Y122" i="3"/>
  <c r="Q123" i="3"/>
  <c r="Z123" i="3"/>
  <c r="S124" i="3"/>
  <c r="AA124" i="3"/>
  <c r="V127" i="3"/>
  <c r="AD127" i="3"/>
  <c r="W128" i="3"/>
  <c r="AE128" i="3"/>
  <c r="X129" i="3"/>
  <c r="Y130" i="3"/>
  <c r="AI130" i="3"/>
  <c r="Q131" i="3"/>
  <c r="AB131" i="3" s="1"/>
  <c r="Z131" i="3"/>
  <c r="S132" i="3"/>
  <c r="AA132" i="3"/>
  <c r="V135" i="3"/>
  <c r="AD135" i="3"/>
  <c r="W136" i="3"/>
  <c r="AE136" i="3"/>
  <c r="X137" i="3"/>
  <c r="Y138" i="3"/>
  <c r="T141" i="3"/>
  <c r="V143" i="3"/>
  <c r="AD143" i="3"/>
  <c r="W144" i="3"/>
  <c r="AE144" i="3"/>
  <c r="X145" i="3"/>
  <c r="Y146" i="3"/>
  <c r="Q147" i="3"/>
  <c r="T149" i="3"/>
  <c r="AB149" i="3"/>
  <c r="V151" i="3"/>
  <c r="AD151" i="3"/>
  <c r="X153" i="3"/>
  <c r="Y154" i="3"/>
  <c r="AI154" i="3"/>
  <c r="V159" i="3"/>
  <c r="AD159" i="3"/>
  <c r="W160" i="3"/>
  <c r="AE160" i="3"/>
  <c r="X161" i="3"/>
  <c r="Y162" i="3"/>
  <c r="S164" i="3"/>
  <c r="AH164" i="3" s="1"/>
  <c r="AJ164" i="3" s="1"/>
  <c r="V167" i="3"/>
  <c r="AD167" i="3"/>
  <c r="W168" i="3"/>
  <c r="AE168" i="3"/>
  <c r="X169" i="3"/>
  <c r="Y170" i="3"/>
  <c r="Y174" i="3"/>
  <c r="AE182" i="3"/>
  <c r="W182" i="3"/>
  <c r="AC182" i="3"/>
  <c r="U182" i="3"/>
  <c r="AB182" i="3"/>
  <c r="T182" i="3"/>
  <c r="AA182" i="3"/>
  <c r="S182" i="3"/>
  <c r="Z182" i="3"/>
  <c r="Q182" i="3"/>
  <c r="X182" i="3" s="1"/>
  <c r="Z223" i="3"/>
  <c r="U85" i="3"/>
  <c r="AC85" i="3"/>
  <c r="W87" i="3"/>
  <c r="AE87" i="3"/>
  <c r="X88" i="3"/>
  <c r="Y89" i="3"/>
  <c r="AI89" i="3"/>
  <c r="Q90" i="3"/>
  <c r="AE90" i="3" s="1"/>
  <c r="S91" i="3"/>
  <c r="AA91" i="3"/>
  <c r="T92" i="3"/>
  <c r="AB92" i="3"/>
  <c r="U93" i="3"/>
  <c r="AC93" i="3"/>
  <c r="W95" i="3"/>
  <c r="AE95" i="3"/>
  <c r="X96" i="3"/>
  <c r="Y97" i="3"/>
  <c r="AI97" i="3"/>
  <c r="Y105" i="3"/>
  <c r="AI105" i="3"/>
  <c r="Y113" i="3"/>
  <c r="AI113" i="3"/>
  <c r="AI121" i="3"/>
  <c r="Y129" i="3"/>
  <c r="AI129" i="3"/>
  <c r="Y137" i="3"/>
  <c r="AI137" i="3"/>
  <c r="Z138" i="3"/>
  <c r="Y145" i="3"/>
  <c r="AI145" i="3"/>
  <c r="Z146" i="3"/>
  <c r="Y153" i="3"/>
  <c r="AI153" i="3"/>
  <c r="Z154" i="3"/>
  <c r="Y161" i="3"/>
  <c r="AI161" i="3"/>
  <c r="Y169" i="3"/>
  <c r="AI169" i="3"/>
  <c r="AH171" i="3"/>
  <c r="AJ171" i="3" s="1"/>
  <c r="X87" i="3"/>
  <c r="Y88" i="3"/>
  <c r="T91" i="3"/>
  <c r="AB91" i="3"/>
  <c r="V93" i="3"/>
  <c r="AD93" i="3"/>
  <c r="X95" i="3"/>
  <c r="Y96" i="3"/>
  <c r="Q97" i="3"/>
  <c r="S98" i="3"/>
  <c r="AH98" i="3" s="1"/>
  <c r="AJ98" i="3" s="1"/>
  <c r="T99" i="3"/>
  <c r="AB99" i="3"/>
  <c r="AD101" i="3"/>
  <c r="X103" i="3"/>
  <c r="Y104" i="3"/>
  <c r="AI104" i="3"/>
  <c r="Q105" i="3"/>
  <c r="Z105" i="3"/>
  <c r="U108" i="3"/>
  <c r="AC108" i="3"/>
  <c r="V109" i="3"/>
  <c r="AD109" i="3"/>
  <c r="X111" i="3"/>
  <c r="Y112" i="3"/>
  <c r="Q113" i="3"/>
  <c r="Z113" i="3"/>
  <c r="Y120" i="3"/>
  <c r="AI120" i="3"/>
  <c r="Q121" i="3"/>
  <c r="V121" i="3" s="1"/>
  <c r="T123" i="3"/>
  <c r="AB123" i="3"/>
  <c r="X127" i="3"/>
  <c r="Y128" i="3"/>
  <c r="AI128" i="3"/>
  <c r="Q129" i="3"/>
  <c r="AC129" i="3" s="1"/>
  <c r="Z129" i="3"/>
  <c r="AC132" i="3"/>
  <c r="X135" i="3"/>
  <c r="Y136" i="3"/>
  <c r="Q137" i="3"/>
  <c r="T137" i="3" s="1"/>
  <c r="Z137" i="3"/>
  <c r="X143" i="3"/>
  <c r="Y144" i="3"/>
  <c r="Q145" i="3"/>
  <c r="AB145" i="3" s="1"/>
  <c r="Z145" i="3"/>
  <c r="S146" i="3"/>
  <c r="V149" i="3"/>
  <c r="X151" i="3"/>
  <c r="Y152" i="3"/>
  <c r="Q153" i="3"/>
  <c r="U153" i="3" s="1"/>
  <c r="Z153" i="3"/>
  <c r="S154" i="3"/>
  <c r="AH154" i="3" s="1"/>
  <c r="AJ154" i="3" s="1"/>
  <c r="U156" i="3"/>
  <c r="X159" i="3"/>
  <c r="Y160" i="3"/>
  <c r="Q161" i="3"/>
  <c r="T161" i="3" s="1"/>
  <c r="Z161" i="3"/>
  <c r="X167" i="3"/>
  <c r="Y168" i="3"/>
  <c r="Q169" i="3"/>
  <c r="AB169" i="3" s="1"/>
  <c r="Z169" i="3"/>
  <c r="Y182" i="3"/>
  <c r="X190" i="3"/>
  <c r="W190" i="3"/>
  <c r="AD190" i="3"/>
  <c r="V190" i="3"/>
  <c r="AC190" i="3"/>
  <c r="T190" i="3"/>
  <c r="AA190" i="3"/>
  <c r="S190" i="3"/>
  <c r="Z190" i="3"/>
  <c r="Q190" i="3"/>
  <c r="AB190" i="3" s="1"/>
  <c r="X222" i="3"/>
  <c r="W222" i="3"/>
  <c r="AD222" i="3"/>
  <c r="AC222" i="3"/>
  <c r="U222" i="3"/>
  <c r="T222" i="3"/>
  <c r="AA222" i="3"/>
  <c r="S222" i="3"/>
  <c r="Z222" i="3"/>
  <c r="Q222" i="3"/>
  <c r="AB222" i="3" s="1"/>
  <c r="W85" i="3"/>
  <c r="Y87" i="3"/>
  <c r="U91" i="3"/>
  <c r="W93" i="3"/>
  <c r="Y95" i="3"/>
  <c r="U99" i="3"/>
  <c r="W101" i="3"/>
  <c r="Y103" i="3"/>
  <c r="Q104" i="3"/>
  <c r="S105" i="3"/>
  <c r="AH105" i="3" s="1"/>
  <c r="AJ105" i="3" s="1"/>
  <c r="V108" i="3"/>
  <c r="Y111" i="3"/>
  <c r="S113" i="3"/>
  <c r="AH113" i="3" s="1"/>
  <c r="AJ113" i="3" s="1"/>
  <c r="V116" i="3"/>
  <c r="AH116" i="3" s="1"/>
  <c r="AJ116" i="3" s="1"/>
  <c r="W117" i="3"/>
  <c r="Y119" i="3"/>
  <c r="Q120" i="3"/>
  <c r="S121" i="3"/>
  <c r="U123" i="3"/>
  <c r="V124" i="3"/>
  <c r="Y127" i="3"/>
  <c r="Q128" i="3"/>
  <c r="S129" i="3"/>
  <c r="T130" i="3"/>
  <c r="AH130" i="3" s="1"/>
  <c r="AJ130" i="3" s="1"/>
  <c r="U131" i="3"/>
  <c r="V132" i="3"/>
  <c r="Y135" i="3"/>
  <c r="S137" i="3"/>
  <c r="Y143" i="3"/>
  <c r="S145" i="3"/>
  <c r="Y151" i="3"/>
  <c r="S153" i="3"/>
  <c r="Y159" i="3"/>
  <c r="S161" i="3"/>
  <c r="T162" i="3"/>
  <c r="AH162" i="3" s="1"/>
  <c r="AJ162" i="3" s="1"/>
  <c r="Y167" i="3"/>
  <c r="S169" i="3"/>
  <c r="X172" i="3"/>
  <c r="Y173" i="3"/>
  <c r="AI173" i="3"/>
  <c r="T176" i="3"/>
  <c r="AB176" i="3"/>
  <c r="V178" i="3"/>
  <c r="AD178" i="3"/>
  <c r="Y181" i="3"/>
  <c r="AI181" i="3"/>
  <c r="AB184" i="3"/>
  <c r="AC185" i="3"/>
  <c r="V186" i="3"/>
  <c r="AD186" i="3"/>
  <c r="AE187" i="3"/>
  <c r="Y189" i="3"/>
  <c r="AI189" i="3"/>
  <c r="T192" i="3"/>
  <c r="AB192" i="3"/>
  <c r="U193" i="3"/>
  <c r="AC193" i="3"/>
  <c r="Y197" i="3"/>
  <c r="AI197" i="3"/>
  <c r="T200" i="3"/>
  <c r="AB200" i="3"/>
  <c r="U201" i="3"/>
  <c r="AC201" i="3"/>
  <c r="AI205" i="3"/>
  <c r="AB208" i="3"/>
  <c r="U209" i="3"/>
  <c r="AC209" i="3"/>
  <c r="AD210" i="3"/>
  <c r="Y213" i="3"/>
  <c r="AI213" i="3"/>
  <c r="AB216" i="3"/>
  <c r="U217" i="3"/>
  <c r="AC217" i="3"/>
  <c r="Y221" i="3"/>
  <c r="AI221" i="3"/>
  <c r="AA229" i="3"/>
  <c r="S229" i="3"/>
  <c r="Z229" i="3"/>
  <c r="Q229" i="3"/>
  <c r="X229" i="3" s="1"/>
  <c r="AE229" i="3"/>
  <c r="W229" i="3"/>
  <c r="AD229" i="3"/>
  <c r="V229" i="3"/>
  <c r="AC229" i="3"/>
  <c r="U229" i="3"/>
  <c r="T259" i="3"/>
  <c r="S259" i="3"/>
  <c r="Y172" i="3"/>
  <c r="AI172" i="3"/>
  <c r="U176" i="3"/>
  <c r="AC176" i="3"/>
  <c r="W178" i="3"/>
  <c r="AE178" i="3"/>
  <c r="X179" i="3"/>
  <c r="Y180" i="3"/>
  <c r="AI180" i="3"/>
  <c r="Q181" i="3"/>
  <c r="AE181" i="3" s="1"/>
  <c r="Z181" i="3"/>
  <c r="U184" i="3"/>
  <c r="AC184" i="3"/>
  <c r="AD185" i="3"/>
  <c r="W186" i="3"/>
  <c r="AE186" i="3"/>
  <c r="X187" i="3"/>
  <c r="Y188" i="3"/>
  <c r="AI188" i="3"/>
  <c r="Q189" i="3"/>
  <c r="Z189" i="3"/>
  <c r="T191" i="3"/>
  <c r="AB191" i="3"/>
  <c r="U192" i="3"/>
  <c r="AC192" i="3"/>
  <c r="V193" i="3"/>
  <c r="AD193" i="3"/>
  <c r="W194" i="3"/>
  <c r="AE194" i="3"/>
  <c r="X195" i="3"/>
  <c r="AH195" i="3" s="1"/>
  <c r="AJ195" i="3" s="1"/>
  <c r="AI196" i="3"/>
  <c r="Q197" i="3"/>
  <c r="Z197" i="3"/>
  <c r="T199" i="3"/>
  <c r="AB199" i="3"/>
  <c r="U200" i="3"/>
  <c r="AC200" i="3"/>
  <c r="V201" i="3"/>
  <c r="AD201" i="3"/>
  <c r="W202" i="3"/>
  <c r="AE202" i="3"/>
  <c r="X203" i="3"/>
  <c r="Y204" i="3"/>
  <c r="AH204" i="3" s="1"/>
  <c r="AJ204" i="3" s="1"/>
  <c r="AI204" i="3"/>
  <c r="Q205" i="3"/>
  <c r="AD205" i="3" s="1"/>
  <c r="Z205" i="3"/>
  <c r="T207" i="3"/>
  <c r="AB207" i="3"/>
  <c r="AC208" i="3"/>
  <c r="V209" i="3"/>
  <c r="AD209" i="3"/>
  <c r="W210" i="3"/>
  <c r="AE210" i="3"/>
  <c r="X211" i="3"/>
  <c r="AH211" i="3" s="1"/>
  <c r="AJ211" i="3" s="1"/>
  <c r="Y212" i="3"/>
  <c r="AI212" i="3"/>
  <c r="Q213" i="3"/>
  <c r="AE213" i="3" s="1"/>
  <c r="AB215" i="3"/>
  <c r="U216" i="3"/>
  <c r="AC216" i="3"/>
  <c r="V217" i="3"/>
  <c r="AD217" i="3"/>
  <c r="W218" i="3"/>
  <c r="AE218" i="3"/>
  <c r="Y220" i="3"/>
  <c r="AI220" i="3"/>
  <c r="Q221" i="3"/>
  <c r="AE221" i="3" s="1"/>
  <c r="Z221" i="3"/>
  <c r="U224" i="3"/>
  <c r="X225" i="3"/>
  <c r="T229" i="3"/>
  <c r="X234" i="3"/>
  <c r="W234" i="3"/>
  <c r="AC234" i="3"/>
  <c r="U234" i="3"/>
  <c r="T234" i="3"/>
  <c r="AA234" i="3"/>
  <c r="S234" i="3"/>
  <c r="Z234" i="3"/>
  <c r="Q234" i="3"/>
  <c r="AE234" i="3" s="1"/>
  <c r="V176" i="3"/>
  <c r="AD176" i="3"/>
  <c r="X178" i="3"/>
  <c r="Y179" i="3"/>
  <c r="Q180" i="3"/>
  <c r="X180" i="3" s="1"/>
  <c r="S181" i="3"/>
  <c r="AA181" i="3"/>
  <c r="AD184" i="3"/>
  <c r="W185" i="3"/>
  <c r="X186" i="3"/>
  <c r="Y187" i="3"/>
  <c r="Q188" i="3"/>
  <c r="Z188" i="3"/>
  <c r="S189" i="3"/>
  <c r="AA189" i="3"/>
  <c r="U191" i="3"/>
  <c r="AC191" i="3"/>
  <c r="AD192" i="3"/>
  <c r="W193" i="3"/>
  <c r="AE193" i="3"/>
  <c r="X194" i="3"/>
  <c r="Y195" i="3"/>
  <c r="Q196" i="3"/>
  <c r="S197" i="3"/>
  <c r="AA197" i="3"/>
  <c r="U199" i="3"/>
  <c r="AC199" i="3"/>
  <c r="V200" i="3"/>
  <c r="AD200" i="3"/>
  <c r="X202" i="3"/>
  <c r="Y203" i="3"/>
  <c r="Q204" i="3"/>
  <c r="S205" i="3"/>
  <c r="AA205" i="3"/>
  <c r="U207" i="3"/>
  <c r="AC207" i="3"/>
  <c r="V208" i="3"/>
  <c r="AD208" i="3"/>
  <c r="W209" i="3"/>
  <c r="AE209" i="3"/>
  <c r="X210" i="3"/>
  <c r="Y211" i="3"/>
  <c r="Q212" i="3"/>
  <c r="Z212" i="3"/>
  <c r="S213" i="3"/>
  <c r="AA213" i="3"/>
  <c r="V216" i="3"/>
  <c r="AD216" i="3"/>
  <c r="W217" i="3"/>
  <c r="AE217" i="3"/>
  <c r="X218" i="3"/>
  <c r="Y219" i="3"/>
  <c r="AI219" i="3"/>
  <c r="Q220" i="3"/>
  <c r="AB220" i="3" s="1"/>
  <c r="Z220" i="3"/>
  <c r="S221" i="3"/>
  <c r="AA221" i="3"/>
  <c r="U223" i="3"/>
  <c r="AC223" i="3"/>
  <c r="V224" i="3"/>
  <c r="AD224" i="3"/>
  <c r="Y229" i="3"/>
  <c r="V234" i="3"/>
  <c r="Z259" i="3"/>
  <c r="AA172" i="3"/>
  <c r="AB173" i="3"/>
  <c r="W176" i="3"/>
  <c r="AE176" i="3"/>
  <c r="Y178" i="3"/>
  <c r="AI178" i="3"/>
  <c r="AB181" i="3"/>
  <c r="W184" i="3"/>
  <c r="AE184" i="3"/>
  <c r="X185" i="3"/>
  <c r="Y186" i="3"/>
  <c r="AI186" i="3"/>
  <c r="Z187" i="3"/>
  <c r="W192" i="3"/>
  <c r="X193" i="3"/>
  <c r="Y194" i="3"/>
  <c r="AI194" i="3"/>
  <c r="T197" i="3"/>
  <c r="AB197" i="3"/>
  <c r="V199" i="3"/>
  <c r="AD199" i="3"/>
  <c r="W200" i="3"/>
  <c r="AE200" i="3"/>
  <c r="X201" i="3"/>
  <c r="Y202" i="3"/>
  <c r="T205" i="3"/>
  <c r="AB205" i="3"/>
  <c r="V207" i="3"/>
  <c r="AD207" i="3"/>
  <c r="W208" i="3"/>
  <c r="AE208" i="3"/>
  <c r="X209" i="3"/>
  <c r="Y210" i="3"/>
  <c r="T213" i="3"/>
  <c r="AB213" i="3"/>
  <c r="W216" i="3"/>
  <c r="AE216" i="3"/>
  <c r="X217" i="3"/>
  <c r="Y218" i="3"/>
  <c r="Q219" i="3"/>
  <c r="S220" i="3"/>
  <c r="AA220" i="3"/>
  <c r="T221" i="3"/>
  <c r="AB221" i="3"/>
  <c r="V223" i="3"/>
  <c r="AD223" i="3"/>
  <c r="AE224" i="3"/>
  <c r="AB229" i="3"/>
  <c r="Y234" i="3"/>
  <c r="Y185" i="3"/>
  <c r="AI185" i="3"/>
  <c r="Z186" i="3"/>
  <c r="AI193" i="3"/>
  <c r="Y201" i="3"/>
  <c r="AI201" i="3"/>
  <c r="Y209" i="3"/>
  <c r="AI209" i="3"/>
  <c r="Y217" i="3"/>
  <c r="AI217" i="3"/>
  <c r="AE225" i="3"/>
  <c r="W225" i="3"/>
  <c r="Z225" i="3"/>
  <c r="Q225" i="3"/>
  <c r="AB225" i="3" s="1"/>
  <c r="AI225" i="3"/>
  <c r="Y225" i="3"/>
  <c r="AC225" i="3"/>
  <c r="X226" i="3"/>
  <c r="AE226" i="3"/>
  <c r="AC226" i="3"/>
  <c r="U226" i="3"/>
  <c r="T226" i="3"/>
  <c r="AA226" i="3"/>
  <c r="S226" i="3"/>
  <c r="Z226" i="3"/>
  <c r="Q226" i="3"/>
  <c r="W226" i="3" s="1"/>
  <c r="AI229" i="3"/>
  <c r="V235" i="3"/>
  <c r="U235" i="3"/>
  <c r="AB235" i="3"/>
  <c r="AA237" i="3"/>
  <c r="S237" i="3"/>
  <c r="Z237" i="3"/>
  <c r="Q237" i="3"/>
  <c r="T237" i="3" s="1"/>
  <c r="X237" i="3"/>
  <c r="AE237" i="3"/>
  <c r="W237" i="3"/>
  <c r="AD237" i="3"/>
  <c r="V237" i="3"/>
  <c r="AC237" i="3"/>
  <c r="Y176" i="3"/>
  <c r="AI176" i="3"/>
  <c r="V181" i="3"/>
  <c r="AD181" i="3"/>
  <c r="Y184" i="3"/>
  <c r="AI184" i="3"/>
  <c r="Q185" i="3"/>
  <c r="V185" i="3" s="1"/>
  <c r="Z185" i="3"/>
  <c r="AD189" i="3"/>
  <c r="Y192" i="3"/>
  <c r="AI192" i="3"/>
  <c r="Q193" i="3"/>
  <c r="Y193" i="3" s="1"/>
  <c r="Z193" i="3"/>
  <c r="Y200" i="3"/>
  <c r="AI200" i="3"/>
  <c r="Q201" i="3"/>
  <c r="AB201" i="3" s="1"/>
  <c r="Z201" i="3"/>
  <c r="Y208" i="3"/>
  <c r="AI208" i="3"/>
  <c r="Q209" i="3"/>
  <c r="Z209" i="3"/>
  <c r="Y216" i="3"/>
  <c r="AI216" i="3"/>
  <c r="Q217" i="3"/>
  <c r="Z217" i="3"/>
  <c r="S218" i="3"/>
  <c r="AH218" i="3" s="1"/>
  <c r="AJ218" i="3" s="1"/>
  <c r="V221" i="3"/>
  <c r="AD221" i="3"/>
  <c r="Y224" i="3"/>
  <c r="AI224" i="3"/>
  <c r="S225" i="3"/>
  <c r="AD225" i="3"/>
  <c r="V226" i="3"/>
  <c r="AI234" i="3"/>
  <c r="AA245" i="3"/>
  <c r="S245" i="3"/>
  <c r="Z245" i="3"/>
  <c r="Q245" i="3"/>
  <c r="X245" i="3"/>
  <c r="AE245" i="3"/>
  <c r="W245" i="3"/>
  <c r="AD245" i="3"/>
  <c r="V245" i="3"/>
  <c r="AC245" i="3"/>
  <c r="U245" i="3"/>
  <c r="X250" i="3"/>
  <c r="AE250" i="3"/>
  <c r="W250" i="3"/>
  <c r="AD250" i="3"/>
  <c r="V250" i="3"/>
  <c r="AC250" i="3"/>
  <c r="U250" i="3"/>
  <c r="AB250" i="3"/>
  <c r="T250" i="3"/>
  <c r="AA250" i="3"/>
  <c r="S250" i="3"/>
  <c r="Z250" i="3"/>
  <c r="Q250" i="3"/>
  <c r="AE278" i="3"/>
  <c r="W278" i="3"/>
  <c r="AD278" i="3"/>
  <c r="V278" i="3"/>
  <c r="AC278" i="3"/>
  <c r="U278" i="3"/>
  <c r="AB278" i="3"/>
  <c r="T278" i="3"/>
  <c r="AA278" i="3"/>
  <c r="S278" i="3"/>
  <c r="Z278" i="3"/>
  <c r="Q278" i="3"/>
  <c r="AI278" i="3"/>
  <c r="Y278" i="3"/>
  <c r="X278" i="3"/>
  <c r="AC320" i="3"/>
  <c r="U320" i="3"/>
  <c r="AB320" i="3"/>
  <c r="T320" i="3"/>
  <c r="AA320" i="3"/>
  <c r="S320" i="3"/>
  <c r="Z320" i="3"/>
  <c r="Q320" i="3"/>
  <c r="AE320" i="3"/>
  <c r="W320" i="3"/>
  <c r="AD320" i="3"/>
  <c r="V320" i="3"/>
  <c r="AI320" i="3"/>
  <c r="Y320" i="3"/>
  <c r="X320" i="3"/>
  <c r="V172" i="3"/>
  <c r="AH172" i="3" s="1"/>
  <c r="AJ172" i="3" s="1"/>
  <c r="W173" i="3"/>
  <c r="AH173" i="3" s="1"/>
  <c r="AJ173" i="3" s="1"/>
  <c r="Y175" i="3"/>
  <c r="AH175" i="3" s="1"/>
  <c r="AJ175" i="3" s="1"/>
  <c r="Q176" i="3"/>
  <c r="T178" i="3"/>
  <c r="AH178" i="3" s="1"/>
  <c r="AJ178" i="3" s="1"/>
  <c r="V180" i="3"/>
  <c r="W181" i="3"/>
  <c r="Y183" i="3"/>
  <c r="AH183" i="3" s="1"/>
  <c r="AJ183" i="3" s="1"/>
  <c r="Q184" i="3"/>
  <c r="X184" i="3" s="1"/>
  <c r="S185" i="3"/>
  <c r="T186" i="3"/>
  <c r="W189" i="3"/>
  <c r="Y191" i="3"/>
  <c r="Q192" i="3"/>
  <c r="X192" i="3" s="1"/>
  <c r="S193" i="3"/>
  <c r="T194" i="3"/>
  <c r="AH194" i="3" s="1"/>
  <c r="AJ194" i="3" s="1"/>
  <c r="W197" i="3"/>
  <c r="Y199" i="3"/>
  <c r="Q200" i="3"/>
  <c r="S201" i="3"/>
  <c r="W205" i="3"/>
  <c r="Y207" i="3"/>
  <c r="Q208" i="3"/>
  <c r="AA208" i="3" s="1"/>
  <c r="S209" i="3"/>
  <c r="AH209" i="3" s="1"/>
  <c r="AJ209" i="3" s="1"/>
  <c r="T210" i="3"/>
  <c r="AH210" i="3" s="1"/>
  <c r="AJ210" i="3" s="1"/>
  <c r="W213" i="3"/>
  <c r="Y215" i="3"/>
  <c r="AH215" i="3" s="1"/>
  <c r="AJ215" i="3" s="1"/>
  <c r="Q216" i="3"/>
  <c r="S217" i="3"/>
  <c r="AH217" i="3" s="1"/>
  <c r="AJ217" i="3" s="1"/>
  <c r="V220" i="3"/>
  <c r="W221" i="3"/>
  <c r="Y223" i="3"/>
  <c r="Q224" i="3"/>
  <c r="AB224" i="3" s="1"/>
  <c r="T225" i="3"/>
  <c r="Y226" i="3"/>
  <c r="Y237" i="3"/>
  <c r="X242" i="3"/>
  <c r="AE242" i="3"/>
  <c r="W242" i="3"/>
  <c r="AC242" i="3"/>
  <c r="U242" i="3"/>
  <c r="AB242" i="3"/>
  <c r="T242" i="3"/>
  <c r="AA242" i="3"/>
  <c r="S242" i="3"/>
  <c r="Z242" i="3"/>
  <c r="Q242" i="3"/>
  <c r="T245" i="3"/>
  <c r="Y250" i="3"/>
  <c r="V230" i="3"/>
  <c r="AD230" i="3"/>
  <c r="W231" i="3"/>
  <c r="AE231" i="3"/>
  <c r="X232" i="3"/>
  <c r="Y233" i="3"/>
  <c r="AI233" i="3"/>
  <c r="AA235" i="3"/>
  <c r="T236" i="3"/>
  <c r="V238" i="3"/>
  <c r="AD238" i="3"/>
  <c r="W239" i="3"/>
  <c r="AE239" i="3"/>
  <c r="X240" i="3"/>
  <c r="Y241" i="3"/>
  <c r="AI241" i="3"/>
  <c r="T244" i="3"/>
  <c r="AB244" i="3"/>
  <c r="V246" i="3"/>
  <c r="AD246" i="3"/>
  <c r="W247" i="3"/>
  <c r="AE247" i="3"/>
  <c r="X248" i="3"/>
  <c r="Y249" i="3"/>
  <c r="AI249" i="3"/>
  <c r="S251" i="3"/>
  <c r="AA251" i="3"/>
  <c r="T252" i="3"/>
  <c r="AB252" i="3"/>
  <c r="AC253" i="3"/>
  <c r="V254" i="3"/>
  <c r="AD254" i="3"/>
  <c r="X256" i="3"/>
  <c r="Y257" i="3"/>
  <c r="AI257" i="3"/>
  <c r="X261" i="3"/>
  <c r="AB266" i="3"/>
  <c r="AE270" i="3"/>
  <c r="W270" i="3"/>
  <c r="AD270" i="3"/>
  <c r="V270" i="3"/>
  <c r="AB270" i="3"/>
  <c r="T270" i="3"/>
  <c r="AA270" i="3"/>
  <c r="S270" i="3"/>
  <c r="Z270" i="3"/>
  <c r="Q270" i="3"/>
  <c r="AD393" i="3"/>
  <c r="V393" i="3"/>
  <c r="AC393" i="3"/>
  <c r="U393" i="3"/>
  <c r="AB393" i="3"/>
  <c r="T393" i="3"/>
  <c r="AA393" i="3"/>
  <c r="Z393" i="3"/>
  <c r="Y393" i="3"/>
  <c r="X393" i="3"/>
  <c r="W393" i="3"/>
  <c r="AI393" i="3"/>
  <c r="AE393" i="3"/>
  <c r="Q393" i="3"/>
  <c r="S393" i="3"/>
  <c r="T227" i="3"/>
  <c r="AB227" i="3"/>
  <c r="U228" i="3"/>
  <c r="AC228" i="3"/>
  <c r="W230" i="3"/>
  <c r="AE230" i="3"/>
  <c r="X231" i="3"/>
  <c r="Y232" i="3"/>
  <c r="AI232" i="3"/>
  <c r="AC236" i="3"/>
  <c r="W238" i="3"/>
  <c r="AE238" i="3"/>
  <c r="X239" i="3"/>
  <c r="Y240" i="3"/>
  <c r="AI240" i="3"/>
  <c r="U244" i="3"/>
  <c r="AC244" i="3"/>
  <c r="W246" i="3"/>
  <c r="AE246" i="3"/>
  <c r="X247" i="3"/>
  <c r="Y248" i="3"/>
  <c r="AI248" i="3"/>
  <c r="Q249" i="3"/>
  <c r="Z249" i="3"/>
  <c r="T251" i="3"/>
  <c r="AB251" i="3"/>
  <c r="U252" i="3"/>
  <c r="AC252" i="3"/>
  <c r="V253" i="3"/>
  <c r="AD253" i="3"/>
  <c r="W254" i="3"/>
  <c r="AE254" i="3"/>
  <c r="X255" i="3"/>
  <c r="Y256" i="3"/>
  <c r="AI256" i="3"/>
  <c r="Q257" i="3"/>
  <c r="Z257" i="3"/>
  <c r="Y261" i="3"/>
  <c r="AC266" i="3"/>
  <c r="U270" i="3"/>
  <c r="AD271" i="3"/>
  <c r="X279" i="3"/>
  <c r="AE279" i="3"/>
  <c r="W279" i="3"/>
  <c r="AD279" i="3"/>
  <c r="V279" i="3"/>
  <c r="AC279" i="3"/>
  <c r="U279" i="3"/>
  <c r="AB279" i="3"/>
  <c r="T279" i="3"/>
  <c r="AA279" i="3"/>
  <c r="S279" i="3"/>
  <c r="AC227" i="3"/>
  <c r="V228" i="3"/>
  <c r="AD228" i="3"/>
  <c r="X230" i="3"/>
  <c r="Y231" i="3"/>
  <c r="AI231" i="3"/>
  <c r="V236" i="3"/>
  <c r="AD236" i="3"/>
  <c r="X238" i="3"/>
  <c r="Y239" i="3"/>
  <c r="AI239" i="3"/>
  <c r="Q240" i="3"/>
  <c r="Z240" i="3"/>
  <c r="V244" i="3"/>
  <c r="AD244" i="3"/>
  <c r="X246" i="3"/>
  <c r="Y247" i="3"/>
  <c r="AI247" i="3"/>
  <c r="U251" i="3"/>
  <c r="AC251" i="3"/>
  <c r="V252" i="3"/>
  <c r="AD252" i="3"/>
  <c r="W253" i="3"/>
  <c r="AE253" i="3"/>
  <c r="X254" i="3"/>
  <c r="Y255" i="3"/>
  <c r="AI255" i="3"/>
  <c r="Q256" i="3"/>
  <c r="AE256" i="3" s="1"/>
  <c r="Z256" i="3"/>
  <c r="S257" i="3"/>
  <c r="AA257" i="3"/>
  <c r="U259" i="3"/>
  <c r="AC259" i="3"/>
  <c r="V260" i="3"/>
  <c r="AD260" i="3"/>
  <c r="AE262" i="3"/>
  <c r="W262" i="3"/>
  <c r="AD262" i="3"/>
  <c r="V262" i="3"/>
  <c r="T262" i="3"/>
  <c r="AA262" i="3"/>
  <c r="S262" i="3"/>
  <c r="Q262" i="3"/>
  <c r="Y262" i="3" s="1"/>
  <c r="U267" i="3"/>
  <c r="X270" i="3"/>
  <c r="Q279" i="3"/>
  <c r="AE286" i="3"/>
  <c r="W286" i="3"/>
  <c r="AD286" i="3"/>
  <c r="V286" i="3"/>
  <c r="AC286" i="3"/>
  <c r="U286" i="3"/>
  <c r="AB286" i="3"/>
  <c r="T286" i="3"/>
  <c r="AA286" i="3"/>
  <c r="S286" i="3"/>
  <c r="Z286" i="3"/>
  <c r="Q286" i="3"/>
  <c r="AE294" i="3"/>
  <c r="W294" i="3"/>
  <c r="AD294" i="3"/>
  <c r="V294" i="3"/>
  <c r="AC294" i="3"/>
  <c r="U294" i="3"/>
  <c r="AB294" i="3"/>
  <c r="T294" i="3"/>
  <c r="AA294" i="3"/>
  <c r="S294" i="3"/>
  <c r="Z294" i="3"/>
  <c r="Q294" i="3"/>
  <c r="AE228" i="3"/>
  <c r="Y230" i="3"/>
  <c r="AI230" i="3"/>
  <c r="Z231" i="3"/>
  <c r="W236" i="3"/>
  <c r="Y238" i="3"/>
  <c r="AI238" i="3"/>
  <c r="W244" i="3"/>
  <c r="AE244" i="3"/>
  <c r="Y246" i="3"/>
  <c r="AI246" i="3"/>
  <c r="V251" i="3"/>
  <c r="AD251" i="3"/>
  <c r="W252" i="3"/>
  <c r="AE252" i="3"/>
  <c r="X253" i="3"/>
  <c r="Y254" i="3"/>
  <c r="AI254" i="3"/>
  <c r="Q255" i="3"/>
  <c r="V255" i="3" s="1"/>
  <c r="Z255" i="3"/>
  <c r="S256" i="3"/>
  <c r="AA256" i="3"/>
  <c r="T257" i="3"/>
  <c r="AB257" i="3"/>
  <c r="V259" i="3"/>
  <c r="AD259" i="3"/>
  <c r="W260" i="3"/>
  <c r="AE260" i="3"/>
  <c r="U262" i="3"/>
  <c r="Y270" i="3"/>
  <c r="Y279" i="3"/>
  <c r="X286" i="3"/>
  <c r="X294" i="3"/>
  <c r="X299" i="3"/>
  <c r="AE299" i="3"/>
  <c r="W299" i="3"/>
  <c r="AD299" i="3"/>
  <c r="V299" i="3"/>
  <c r="AC299" i="3"/>
  <c r="U299" i="3"/>
  <c r="Z299" i="3"/>
  <c r="Q299" i="3"/>
  <c r="S299" i="3" s="1"/>
  <c r="AI299" i="3"/>
  <c r="AB299" i="3"/>
  <c r="Y299" i="3"/>
  <c r="T299" i="3"/>
  <c r="X314" i="3"/>
  <c r="Z314" i="3"/>
  <c r="Y253" i="3"/>
  <c r="AI253" i="3"/>
  <c r="T256" i="3"/>
  <c r="AB256" i="3"/>
  <c r="U257" i="3"/>
  <c r="AC257" i="3"/>
  <c r="AD261" i="3"/>
  <c r="AA261" i="3"/>
  <c r="AI261" i="3"/>
  <c r="AA266" i="3"/>
  <c r="S266" i="3"/>
  <c r="Z266" i="3"/>
  <c r="Q266" i="3"/>
  <c r="X266" i="3"/>
  <c r="AE266" i="3"/>
  <c r="W266" i="3"/>
  <c r="AD266" i="3"/>
  <c r="V266" i="3"/>
  <c r="AC270" i="3"/>
  <c r="X271" i="3"/>
  <c r="AE271" i="3"/>
  <c r="W271" i="3"/>
  <c r="AC271" i="3"/>
  <c r="U271" i="3"/>
  <c r="AB271" i="3"/>
  <c r="T271" i="3"/>
  <c r="AA271" i="3"/>
  <c r="S271" i="3"/>
  <c r="Z279" i="3"/>
  <c r="X287" i="3"/>
  <c r="AE287" i="3"/>
  <c r="W287" i="3"/>
  <c r="AD287" i="3"/>
  <c r="V287" i="3"/>
  <c r="AC287" i="3"/>
  <c r="U287" i="3"/>
  <c r="AB287" i="3"/>
  <c r="T287" i="3"/>
  <c r="AA287" i="3"/>
  <c r="S287" i="3"/>
  <c r="X295" i="3"/>
  <c r="AE295" i="3"/>
  <c r="W295" i="3"/>
  <c r="AD295" i="3"/>
  <c r="V295" i="3"/>
  <c r="U295" i="3"/>
  <c r="T295" i="3"/>
  <c r="AA295" i="3"/>
  <c r="S295" i="3"/>
  <c r="Y228" i="3"/>
  <c r="AI228" i="3"/>
  <c r="S230" i="3"/>
  <c r="AA230" i="3"/>
  <c r="T231" i="3"/>
  <c r="AH231" i="3" s="1"/>
  <c r="AJ231" i="3" s="1"/>
  <c r="AB231" i="3"/>
  <c r="U232" i="3"/>
  <c r="AC232" i="3"/>
  <c r="X235" i="3"/>
  <c r="AH235" i="3" s="1"/>
  <c r="AJ235" i="3" s="1"/>
  <c r="Y236" i="3"/>
  <c r="AI236" i="3"/>
  <c r="Y244" i="3"/>
  <c r="AI244" i="3"/>
  <c r="AD249" i="3"/>
  <c r="X251" i="3"/>
  <c r="Y252" i="3"/>
  <c r="AI252" i="3"/>
  <c r="Q253" i="3"/>
  <c r="T253" i="3" s="1"/>
  <c r="Z253" i="3"/>
  <c r="S254" i="3"/>
  <c r="AA254" i="3"/>
  <c r="AB255" i="3"/>
  <c r="U256" i="3"/>
  <c r="AC256" i="3"/>
  <c r="V257" i="3"/>
  <c r="AD257" i="3"/>
  <c r="X259" i="3"/>
  <c r="Y260" i="3"/>
  <c r="AI260" i="3"/>
  <c r="Q261" i="3"/>
  <c r="AE261" i="3" s="1"/>
  <c r="T266" i="3"/>
  <c r="Q271" i="3"/>
  <c r="Q295" i="3"/>
  <c r="Z295" i="3" s="1"/>
  <c r="Y227" i="3"/>
  <c r="Q228" i="3"/>
  <c r="T228" i="3" s="1"/>
  <c r="T230" i="3"/>
  <c r="U231" i="3"/>
  <c r="V232" i="3"/>
  <c r="Y235" i="3"/>
  <c r="Q236" i="3"/>
  <c r="AB236" i="3" s="1"/>
  <c r="T238" i="3"/>
  <c r="U239" i="3"/>
  <c r="AH239" i="3" s="1"/>
  <c r="AJ239" i="3" s="1"/>
  <c r="V240" i="3"/>
  <c r="W241" i="3"/>
  <c r="Y243" i="3"/>
  <c r="AH243" i="3" s="1"/>
  <c r="AJ243" i="3" s="1"/>
  <c r="Q244" i="3"/>
  <c r="T246" i="3"/>
  <c r="AH246" i="3" s="1"/>
  <c r="AJ246" i="3" s="1"/>
  <c r="U247" i="3"/>
  <c r="AH247" i="3" s="1"/>
  <c r="AJ247" i="3" s="1"/>
  <c r="V248" i="3"/>
  <c r="W249" i="3"/>
  <c r="Y251" i="3"/>
  <c r="Q252" i="3"/>
  <c r="S253" i="3"/>
  <c r="T254" i="3"/>
  <c r="U255" i="3"/>
  <c r="V256" i="3"/>
  <c r="W257" i="3"/>
  <c r="Y259" i="3"/>
  <c r="Q260" i="3"/>
  <c r="T261" i="3"/>
  <c r="AC262" i="3"/>
  <c r="X263" i="3"/>
  <c r="AE263" i="3"/>
  <c r="W263" i="3"/>
  <c r="AC263" i="3"/>
  <c r="U263" i="3"/>
  <c r="AB263" i="3"/>
  <c r="T263" i="3"/>
  <c r="AA263" i="3"/>
  <c r="S263" i="3"/>
  <c r="U266" i="3"/>
  <c r="AI270" i="3"/>
  <c r="V271" i="3"/>
  <c r="AI286" i="3"/>
  <c r="Y287" i="3"/>
  <c r="AC328" i="3"/>
  <c r="U328" i="3"/>
  <c r="AB328" i="3"/>
  <c r="T328" i="3"/>
  <c r="AA328" i="3"/>
  <c r="S328" i="3"/>
  <c r="Z328" i="3"/>
  <c r="Q328" i="3"/>
  <c r="X328" i="3" s="1"/>
  <c r="W328" i="3"/>
  <c r="AD328" i="3"/>
  <c r="AI328" i="3"/>
  <c r="Y328" i="3"/>
  <c r="T264" i="3"/>
  <c r="AB264" i="3"/>
  <c r="AC265" i="3"/>
  <c r="X268" i="3"/>
  <c r="Y269" i="3"/>
  <c r="AI269" i="3"/>
  <c r="T272" i="3"/>
  <c r="AB272" i="3"/>
  <c r="U273" i="3"/>
  <c r="AC273" i="3"/>
  <c r="V274" i="3"/>
  <c r="AD274" i="3"/>
  <c r="W275" i="3"/>
  <c r="AE275" i="3"/>
  <c r="X276" i="3"/>
  <c r="Y277" i="3"/>
  <c r="AI277" i="3"/>
  <c r="T280" i="3"/>
  <c r="AB280" i="3"/>
  <c r="U281" i="3"/>
  <c r="AC281" i="3"/>
  <c r="V282" i="3"/>
  <c r="AD282" i="3"/>
  <c r="AE283" i="3"/>
  <c r="X284" i="3"/>
  <c r="Y285" i="3"/>
  <c r="AI285" i="3"/>
  <c r="T288" i="3"/>
  <c r="AB288" i="3"/>
  <c r="U289" i="3"/>
  <c r="AC289" i="3"/>
  <c r="V290" i="3"/>
  <c r="AD290" i="3"/>
  <c r="X292" i="3"/>
  <c r="Y293" i="3"/>
  <c r="AI293" i="3"/>
  <c r="T296" i="3"/>
  <c r="AB296" i="3"/>
  <c r="Z297" i="3"/>
  <c r="AC312" i="3"/>
  <c r="U312" i="3"/>
  <c r="T312" i="3"/>
  <c r="AA312" i="3"/>
  <c r="S312" i="3"/>
  <c r="Z312" i="3"/>
  <c r="Q312" i="3"/>
  <c r="AE312" i="3" s="1"/>
  <c r="W312" i="3"/>
  <c r="AD312" i="3"/>
  <c r="U264" i="3"/>
  <c r="AC264" i="3"/>
  <c r="V265" i="3"/>
  <c r="AD265" i="3"/>
  <c r="X267" i="3"/>
  <c r="AI268" i="3"/>
  <c r="Q269" i="3"/>
  <c r="Z269" i="3"/>
  <c r="V273" i="3"/>
  <c r="AD273" i="3"/>
  <c r="W274" i="3"/>
  <c r="AE274" i="3"/>
  <c r="X275" i="3"/>
  <c r="Y276" i="3"/>
  <c r="AI276" i="3"/>
  <c r="Q277" i="3"/>
  <c r="Z277" i="3"/>
  <c r="V281" i="3"/>
  <c r="AD281" i="3"/>
  <c r="W282" i="3"/>
  <c r="AE282" i="3"/>
  <c r="X283" i="3"/>
  <c r="Y284" i="3"/>
  <c r="AI284" i="3"/>
  <c r="Q285" i="3"/>
  <c r="Z285" i="3" s="1"/>
  <c r="U288" i="3"/>
  <c r="AC288" i="3"/>
  <c r="AD289" i="3"/>
  <c r="W290" i="3"/>
  <c r="AE290" i="3"/>
  <c r="X291" i="3"/>
  <c r="Y292" i="3"/>
  <c r="AI292" i="3"/>
  <c r="Q293" i="3"/>
  <c r="Z293" i="3"/>
  <c r="AE297" i="3"/>
  <c r="X312" i="3"/>
  <c r="AC321" i="3"/>
  <c r="U321" i="3"/>
  <c r="T321" i="3"/>
  <c r="AA321" i="3"/>
  <c r="S321" i="3"/>
  <c r="X321" i="3"/>
  <c r="AE321" i="3"/>
  <c r="W321" i="3"/>
  <c r="AD329" i="3"/>
  <c r="V329" i="3"/>
  <c r="AC329" i="3"/>
  <c r="U329" i="3"/>
  <c r="AB329" i="3"/>
  <c r="T329" i="3"/>
  <c r="AA329" i="3"/>
  <c r="S329" i="3"/>
  <c r="X329" i="3"/>
  <c r="AE329" i="3"/>
  <c r="W329" i="3"/>
  <c r="U375" i="3"/>
  <c r="Z375" i="3"/>
  <c r="V264" i="3"/>
  <c r="AD264" i="3"/>
  <c r="W265" i="3"/>
  <c r="AE265" i="3"/>
  <c r="Y267" i="3"/>
  <c r="AI267" i="3"/>
  <c r="Q268" i="3"/>
  <c r="V268" i="3" s="1"/>
  <c r="Z268" i="3"/>
  <c r="AA269" i="3"/>
  <c r="V272" i="3"/>
  <c r="AD272" i="3"/>
  <c r="W273" i="3"/>
  <c r="AE273" i="3"/>
  <c r="X274" i="3"/>
  <c r="Y275" i="3"/>
  <c r="AI275" i="3"/>
  <c r="Q276" i="3"/>
  <c r="Z276" i="3"/>
  <c r="S277" i="3"/>
  <c r="AA277" i="3"/>
  <c r="AE281" i="3"/>
  <c r="X282" i="3"/>
  <c r="Y283" i="3"/>
  <c r="AI283" i="3"/>
  <c r="Q284" i="3"/>
  <c r="Z284" i="3" s="1"/>
  <c r="S285" i="3"/>
  <c r="AA285" i="3"/>
  <c r="V288" i="3"/>
  <c r="AD288" i="3"/>
  <c r="W289" i="3"/>
  <c r="AE289" i="3"/>
  <c r="X290" i="3"/>
  <c r="Y291" i="3"/>
  <c r="AI291" i="3"/>
  <c r="Q292" i="3"/>
  <c r="Z292" i="3"/>
  <c r="AA293" i="3"/>
  <c r="V296" i="3"/>
  <c r="AD296" i="3"/>
  <c r="AD313" i="3"/>
  <c r="V313" i="3"/>
  <c r="AC313" i="3"/>
  <c r="U313" i="3"/>
  <c r="AB313" i="3"/>
  <c r="T313" i="3"/>
  <c r="AA313" i="3"/>
  <c r="S313" i="3"/>
  <c r="X313" i="3"/>
  <c r="AE313" i="3"/>
  <c r="W313" i="3"/>
  <c r="Q321" i="3"/>
  <c r="Z321" i="3" s="1"/>
  <c r="Q329" i="3"/>
  <c r="X332" i="3"/>
  <c r="AD332" i="3"/>
  <c r="V332" i="3"/>
  <c r="AC332" i="3"/>
  <c r="U332" i="3"/>
  <c r="AB332" i="3"/>
  <c r="T332" i="3"/>
  <c r="Z332" i="3"/>
  <c r="Q332" i="3"/>
  <c r="AA332" i="3"/>
  <c r="Y332" i="3"/>
  <c r="W332" i="3"/>
  <c r="S332" i="3"/>
  <c r="AI332" i="3"/>
  <c r="AE332" i="3"/>
  <c r="X426" i="3"/>
  <c r="AE426" i="3"/>
  <c r="W426" i="3"/>
  <c r="AD426" i="3"/>
  <c r="V426" i="3"/>
  <c r="AC426" i="3"/>
  <c r="AB426" i="3"/>
  <c r="AA426" i="3"/>
  <c r="Z426" i="3"/>
  <c r="Y426" i="3"/>
  <c r="T426" i="3"/>
  <c r="S426" i="3"/>
  <c r="Q426" i="3"/>
  <c r="U426" i="3" s="1"/>
  <c r="AI426" i="3"/>
  <c r="X273" i="3"/>
  <c r="Y274" i="3"/>
  <c r="AI274" i="3"/>
  <c r="Q275" i="3"/>
  <c r="Z275" i="3"/>
  <c r="S276" i="3"/>
  <c r="AA276" i="3"/>
  <c r="T277" i="3"/>
  <c r="AB277" i="3"/>
  <c r="Y282" i="3"/>
  <c r="AI282" i="3"/>
  <c r="Q283" i="3"/>
  <c r="V283" i="3" s="1"/>
  <c r="Z283" i="3"/>
  <c r="S284" i="3"/>
  <c r="AA284" i="3"/>
  <c r="W288" i="3"/>
  <c r="AE288" i="3"/>
  <c r="X289" i="3"/>
  <c r="AI290" i="3"/>
  <c r="Q291" i="3"/>
  <c r="Z291" i="3"/>
  <c r="S292" i="3"/>
  <c r="AA292" i="3"/>
  <c r="T293" i="3"/>
  <c r="AB293" i="3"/>
  <c r="U304" i="3"/>
  <c r="AB304" i="3"/>
  <c r="T304" i="3"/>
  <c r="AA304" i="3"/>
  <c r="S304" i="3"/>
  <c r="Z304" i="3"/>
  <c r="Q304" i="3"/>
  <c r="Y304" i="3" s="1"/>
  <c r="AE304" i="3"/>
  <c r="AD304" i="3"/>
  <c r="V304" i="3"/>
  <c r="AA348" i="3"/>
  <c r="T348" i="3"/>
  <c r="X264" i="3"/>
  <c r="Y265" i="3"/>
  <c r="AI265" i="3"/>
  <c r="S267" i="3"/>
  <c r="AA267" i="3"/>
  <c r="T268" i="3"/>
  <c r="AB268" i="3"/>
  <c r="U269" i="3"/>
  <c r="AC269" i="3"/>
  <c r="Y273" i="3"/>
  <c r="AI273" i="3"/>
  <c r="T276" i="3"/>
  <c r="AB276" i="3"/>
  <c r="U277" i="3"/>
  <c r="AC277" i="3"/>
  <c r="Y281" i="3"/>
  <c r="AI281" i="3"/>
  <c r="Q282" i="3"/>
  <c r="Z282" i="3"/>
  <c r="S283" i="3"/>
  <c r="T284" i="3"/>
  <c r="AB284" i="3"/>
  <c r="U285" i="3"/>
  <c r="AC285" i="3"/>
  <c r="X288" i="3"/>
  <c r="Y289" i="3"/>
  <c r="AI289" i="3"/>
  <c r="Q290" i="3"/>
  <c r="Z290" i="3" s="1"/>
  <c r="U293" i="3"/>
  <c r="AC293" i="3"/>
  <c r="AD297" i="3"/>
  <c r="V297" i="3"/>
  <c r="AC297" i="3"/>
  <c r="U297" i="3"/>
  <c r="AB297" i="3"/>
  <c r="S297" i="3"/>
  <c r="X297" i="3"/>
  <c r="Y264" i="3"/>
  <c r="Q265" i="3"/>
  <c r="T267" i="3"/>
  <c r="U268" i="3"/>
  <c r="V269" i="3"/>
  <c r="Y272" i="3"/>
  <c r="Q273" i="3"/>
  <c r="S274" i="3"/>
  <c r="T275" i="3"/>
  <c r="AH275" i="3" s="1"/>
  <c r="AJ275" i="3" s="1"/>
  <c r="U276" i="3"/>
  <c r="V277" i="3"/>
  <c r="Y280" i="3"/>
  <c r="Q281" i="3"/>
  <c r="AA281" i="3" s="1"/>
  <c r="S282" i="3"/>
  <c r="T283" i="3"/>
  <c r="U284" i="3"/>
  <c r="V285" i="3"/>
  <c r="Y288" i="3"/>
  <c r="Q289" i="3"/>
  <c r="S290" i="3"/>
  <c r="T291" i="3"/>
  <c r="U292" i="3"/>
  <c r="V293" i="3"/>
  <c r="Y296" i="3"/>
  <c r="Q297" i="3"/>
  <c r="W297" i="3" s="1"/>
  <c r="AD305" i="3"/>
  <c r="V305" i="3"/>
  <c r="AC305" i="3"/>
  <c r="U305" i="3"/>
  <c r="AB305" i="3"/>
  <c r="T305" i="3"/>
  <c r="AA305" i="3"/>
  <c r="S305" i="3"/>
  <c r="X305" i="3"/>
  <c r="AE305" i="3"/>
  <c r="W305" i="3"/>
  <c r="AI329" i="3"/>
  <c r="Y307" i="3"/>
  <c r="AI307" i="3"/>
  <c r="Y315" i="3"/>
  <c r="AI315" i="3"/>
  <c r="AI323" i="3"/>
  <c r="X340" i="3"/>
  <c r="AD340" i="3"/>
  <c r="V340" i="3"/>
  <c r="AC340" i="3"/>
  <c r="U340" i="3"/>
  <c r="AB340" i="3"/>
  <c r="T340" i="3"/>
  <c r="Z340" i="3"/>
  <c r="Q340" i="3"/>
  <c r="Y298" i="3"/>
  <c r="AI298" i="3"/>
  <c r="S300" i="3"/>
  <c r="AA300" i="3"/>
  <c r="T301" i="3"/>
  <c r="AB301" i="3"/>
  <c r="U302" i="3"/>
  <c r="V303" i="3"/>
  <c r="AD303" i="3"/>
  <c r="Y306" i="3"/>
  <c r="AI306" i="3"/>
  <c r="Q307" i="3"/>
  <c r="T307" i="3" s="1"/>
  <c r="Z307" i="3"/>
  <c r="S308" i="3"/>
  <c r="AA308" i="3"/>
  <c r="T309" i="3"/>
  <c r="AB309" i="3"/>
  <c r="U310" i="3"/>
  <c r="AC310" i="3"/>
  <c r="V311" i="3"/>
  <c r="AD311" i="3"/>
  <c r="Y314" i="3"/>
  <c r="AI314" i="3"/>
  <c r="Q315" i="3"/>
  <c r="Z315" i="3"/>
  <c r="S316" i="3"/>
  <c r="AA316" i="3"/>
  <c r="T317" i="3"/>
  <c r="U318" i="3"/>
  <c r="AC318" i="3"/>
  <c r="V319" i="3"/>
  <c r="AD319" i="3"/>
  <c r="Y322" i="3"/>
  <c r="AI322" i="3"/>
  <c r="Q323" i="3"/>
  <c r="AB323" i="3" s="1"/>
  <c r="Z323" i="3"/>
  <c r="S324" i="3"/>
  <c r="AA324" i="3"/>
  <c r="T325" i="3"/>
  <c r="AB325" i="3"/>
  <c r="V327" i="3"/>
  <c r="AD327" i="3"/>
  <c r="AD330" i="3"/>
  <c r="V330" i="3"/>
  <c r="T330" i="3"/>
  <c r="AA330" i="3"/>
  <c r="Q330" i="3"/>
  <c r="Z330" i="3" s="1"/>
  <c r="U334" i="3"/>
  <c r="W338" i="3"/>
  <c r="S340" i="3"/>
  <c r="AD346" i="3"/>
  <c r="V346" i="3"/>
  <c r="T346" i="3"/>
  <c r="AA346" i="3"/>
  <c r="S346" i="3"/>
  <c r="Z346" i="3"/>
  <c r="Q346" i="3"/>
  <c r="AB346" i="3" s="1"/>
  <c r="X346" i="3"/>
  <c r="W366" i="3"/>
  <c r="AD366" i="3"/>
  <c r="V366" i="3"/>
  <c r="AC366" i="3"/>
  <c r="AB366" i="3"/>
  <c r="AA366" i="3"/>
  <c r="Z366" i="3"/>
  <c r="Y366" i="3"/>
  <c r="X366" i="3"/>
  <c r="Q366" i="3"/>
  <c r="U366" i="3" s="1"/>
  <c r="X414" i="3"/>
  <c r="AE414" i="3"/>
  <c r="W414" i="3"/>
  <c r="AD414" i="3"/>
  <c r="V414" i="3"/>
  <c r="AC414" i="3"/>
  <c r="Y414" i="3"/>
  <c r="T414" i="3"/>
  <c r="S414" i="3"/>
  <c r="Q414" i="3"/>
  <c r="U414" i="3" s="1"/>
  <c r="AB414" i="3"/>
  <c r="T298" i="3"/>
  <c r="AB298" i="3"/>
  <c r="V300" i="3"/>
  <c r="AD300" i="3"/>
  <c r="W301" i="3"/>
  <c r="AE301" i="3"/>
  <c r="X302" i="3"/>
  <c r="Y303" i="3"/>
  <c r="AI303" i="3"/>
  <c r="T306" i="3"/>
  <c r="AB306" i="3"/>
  <c r="U307" i="3"/>
  <c r="AC307" i="3"/>
  <c r="V308" i="3"/>
  <c r="AD308" i="3"/>
  <c r="W309" i="3"/>
  <c r="AE309" i="3"/>
  <c r="X310" i="3"/>
  <c r="Y311" i="3"/>
  <c r="AI311" i="3"/>
  <c r="T314" i="3"/>
  <c r="AB314" i="3"/>
  <c r="U315" i="3"/>
  <c r="AC315" i="3"/>
  <c r="V316" i="3"/>
  <c r="AD316" i="3"/>
  <c r="W317" i="3"/>
  <c r="AE317" i="3"/>
  <c r="Y319" i="3"/>
  <c r="AI319" i="3"/>
  <c r="T322" i="3"/>
  <c r="AB322" i="3"/>
  <c r="U323" i="3"/>
  <c r="AC323" i="3"/>
  <c r="V324" i="3"/>
  <c r="AD324" i="3"/>
  <c r="W325" i="3"/>
  <c r="AE325" i="3"/>
  <c r="X326" i="3"/>
  <c r="Y327" i="3"/>
  <c r="AI327" i="3"/>
  <c r="W330" i="3"/>
  <c r="AA340" i="3"/>
  <c r="Y346" i="3"/>
  <c r="U298" i="3"/>
  <c r="AC298" i="3"/>
  <c r="W300" i="3"/>
  <c r="AE300" i="3"/>
  <c r="X301" i="3"/>
  <c r="Y302" i="3"/>
  <c r="AI302" i="3"/>
  <c r="Q303" i="3"/>
  <c r="AE303" i="3" s="1"/>
  <c r="U306" i="3"/>
  <c r="AC306" i="3"/>
  <c r="V307" i="3"/>
  <c r="AD307" i="3"/>
  <c r="W308" i="3"/>
  <c r="AE308" i="3"/>
  <c r="Y310" i="3"/>
  <c r="AI310" i="3"/>
  <c r="V315" i="3"/>
  <c r="AD315" i="3"/>
  <c r="Y318" i="3"/>
  <c r="AI318" i="3"/>
  <c r="V323" i="3"/>
  <c r="AD323" i="3"/>
  <c r="Y326" i="3"/>
  <c r="AI326" i="3"/>
  <c r="AE340" i="3"/>
  <c r="Z342" i="3"/>
  <c r="Q342" i="3"/>
  <c r="X342" i="3"/>
  <c r="AE342" i="3"/>
  <c r="W342" i="3"/>
  <c r="AD342" i="3"/>
  <c r="V342" i="3"/>
  <c r="AB342" i="3"/>
  <c r="T342" i="3"/>
  <c r="V363" i="3"/>
  <c r="AB363" i="3"/>
  <c r="AE370" i="3"/>
  <c r="W370" i="3"/>
  <c r="AD370" i="3"/>
  <c r="V370" i="3"/>
  <c r="AC370" i="3"/>
  <c r="AB370" i="3"/>
  <c r="AA370" i="3"/>
  <c r="S370" i="3"/>
  <c r="AI370" i="3"/>
  <c r="Z370" i="3"/>
  <c r="Y370" i="3"/>
  <c r="Q370" i="3"/>
  <c r="U370" i="3" s="1"/>
  <c r="V298" i="3"/>
  <c r="AD298" i="3"/>
  <c r="X300" i="3"/>
  <c r="Y301" i="3"/>
  <c r="AI301" i="3"/>
  <c r="Q302" i="3"/>
  <c r="AE302" i="3" s="1"/>
  <c r="Z302" i="3"/>
  <c r="AA303" i="3"/>
  <c r="V306" i="3"/>
  <c r="AD306" i="3"/>
  <c r="W307" i="3"/>
  <c r="AE307" i="3"/>
  <c r="X308" i="3"/>
  <c r="Y309" i="3"/>
  <c r="AI309" i="3"/>
  <c r="Q310" i="3"/>
  <c r="Z310" i="3"/>
  <c r="S311" i="3"/>
  <c r="AA311" i="3"/>
  <c r="V314" i="3"/>
  <c r="AD314" i="3"/>
  <c r="W315" i="3"/>
  <c r="AE315" i="3"/>
  <c r="X316" i="3"/>
  <c r="Y317" i="3"/>
  <c r="AI317" i="3"/>
  <c r="Q318" i="3"/>
  <c r="X318" i="3" s="1"/>
  <c r="Z318" i="3"/>
  <c r="S319" i="3"/>
  <c r="AA319" i="3"/>
  <c r="V322" i="3"/>
  <c r="AD322" i="3"/>
  <c r="W323" i="3"/>
  <c r="AE323" i="3"/>
  <c r="X324" i="3"/>
  <c r="Y325" i="3"/>
  <c r="AI325" i="3"/>
  <c r="Q326" i="3"/>
  <c r="T326" i="3" s="1"/>
  <c r="Z326" i="3"/>
  <c r="S327" i="3"/>
  <c r="AA327" i="3"/>
  <c r="AC330" i="3"/>
  <c r="AE331" i="3"/>
  <c r="AI340" i="3"/>
  <c r="S342" i="3"/>
  <c r="X402" i="3"/>
  <c r="AE402" i="3"/>
  <c r="W402" i="3"/>
  <c r="AD402" i="3"/>
  <c r="V402" i="3"/>
  <c r="AC402" i="3"/>
  <c r="U402" i="3"/>
  <c r="AA402" i="3"/>
  <c r="Z402" i="3"/>
  <c r="Y402" i="3"/>
  <c r="T402" i="3"/>
  <c r="S402" i="3"/>
  <c r="Q402" i="3"/>
  <c r="AB402" i="3"/>
  <c r="W298" i="3"/>
  <c r="Y300" i="3"/>
  <c r="Q301" i="3"/>
  <c r="S302" i="3"/>
  <c r="T303" i="3"/>
  <c r="W306" i="3"/>
  <c r="Y308" i="3"/>
  <c r="Q309" i="3"/>
  <c r="S310" i="3"/>
  <c r="AH310" i="3" s="1"/>
  <c r="AJ310" i="3" s="1"/>
  <c r="T311" i="3"/>
  <c r="W314" i="3"/>
  <c r="Y316" i="3"/>
  <c r="Q317" i="3"/>
  <c r="AB317" i="3" s="1"/>
  <c r="S318" i="3"/>
  <c r="T319" i="3"/>
  <c r="W322" i="3"/>
  <c r="Y324" i="3"/>
  <c r="Q325" i="3"/>
  <c r="S326" i="3"/>
  <c r="T327" i="3"/>
  <c r="Z334" i="3"/>
  <c r="Q334" i="3"/>
  <c r="X334" i="3"/>
  <c r="AE334" i="3"/>
  <c r="W334" i="3"/>
  <c r="AD334" i="3"/>
  <c r="V334" i="3"/>
  <c r="AB334" i="3"/>
  <c r="T334" i="3"/>
  <c r="AD338" i="3"/>
  <c r="V338" i="3"/>
  <c r="AB338" i="3"/>
  <c r="S338" i="3"/>
  <c r="Q338" i="3"/>
  <c r="AA338" i="3" s="1"/>
  <c r="X338" i="3"/>
  <c r="AI402" i="3"/>
  <c r="Y331" i="3"/>
  <c r="AI331" i="3"/>
  <c r="AA333" i="3"/>
  <c r="U335" i="3"/>
  <c r="AC335" i="3"/>
  <c r="V336" i="3"/>
  <c r="AD336" i="3"/>
  <c r="Y339" i="3"/>
  <c r="AI339" i="3"/>
  <c r="Y347" i="3"/>
  <c r="AI347" i="3"/>
  <c r="Y351" i="3"/>
  <c r="AI351" i="3"/>
  <c r="Y355" i="3"/>
  <c r="AI355" i="3"/>
  <c r="Y359" i="3"/>
  <c r="AI359" i="3"/>
  <c r="AE382" i="3"/>
  <c r="W382" i="3"/>
  <c r="AD382" i="3"/>
  <c r="V382" i="3"/>
  <c r="AC382" i="3"/>
  <c r="U382" i="3"/>
  <c r="AB382" i="3"/>
  <c r="T382" i="3"/>
  <c r="AA382" i="3"/>
  <c r="S382" i="3"/>
  <c r="AA331" i="3"/>
  <c r="X336" i="3"/>
  <c r="Y337" i="3"/>
  <c r="AI337" i="3"/>
  <c r="S339" i="3"/>
  <c r="AA339" i="3"/>
  <c r="X344" i="3"/>
  <c r="Y345" i="3"/>
  <c r="AI345" i="3"/>
  <c r="S347" i="3"/>
  <c r="AA347" i="3"/>
  <c r="U348" i="3"/>
  <c r="AC348" i="3"/>
  <c r="W349" i="3"/>
  <c r="AE349" i="3"/>
  <c r="Y350" i="3"/>
  <c r="AI350" i="3"/>
  <c r="S351" i="3"/>
  <c r="AA351" i="3"/>
  <c r="U352" i="3"/>
  <c r="AC352" i="3"/>
  <c r="W353" i="3"/>
  <c r="AE353" i="3"/>
  <c r="Y354" i="3"/>
  <c r="AI354" i="3"/>
  <c r="S355" i="3"/>
  <c r="AA355" i="3"/>
  <c r="U356" i="3"/>
  <c r="AC356" i="3"/>
  <c r="W357" i="3"/>
  <c r="AE357" i="3"/>
  <c r="AI358" i="3"/>
  <c r="S359" i="3"/>
  <c r="AA359" i="3"/>
  <c r="U360" i="3"/>
  <c r="AC360" i="3"/>
  <c r="AE362" i="3"/>
  <c r="AC362" i="3"/>
  <c r="Y362" i="3"/>
  <c r="AC365" i="3"/>
  <c r="U365" i="3"/>
  <c r="AB365" i="3"/>
  <c r="T365" i="3"/>
  <c r="AA365" i="3"/>
  <c r="S365" i="3"/>
  <c r="Z365" i="3"/>
  <c r="Q365" i="3"/>
  <c r="AI365" i="3"/>
  <c r="AC369" i="3"/>
  <c r="U369" i="3"/>
  <c r="AB369" i="3"/>
  <c r="T369" i="3"/>
  <c r="AA369" i="3"/>
  <c r="Z369" i="3"/>
  <c r="Q369" i="3"/>
  <c r="AE369" i="3" s="1"/>
  <c r="AI369" i="3"/>
  <c r="AE374" i="3"/>
  <c r="W374" i="3"/>
  <c r="AD374" i="3"/>
  <c r="V374" i="3"/>
  <c r="AC374" i="3"/>
  <c r="AB374" i="3"/>
  <c r="T374" i="3"/>
  <c r="AA374" i="3"/>
  <c r="S374" i="3"/>
  <c r="X382" i="3"/>
  <c r="T391" i="3"/>
  <c r="T331" i="3"/>
  <c r="AB331" i="3"/>
  <c r="V333" i="3"/>
  <c r="AH333" i="3" s="1"/>
  <c r="AJ333" i="3" s="1"/>
  <c r="AD333" i="3"/>
  <c r="X335" i="3"/>
  <c r="Y336" i="3"/>
  <c r="AI336" i="3"/>
  <c r="Q337" i="3"/>
  <c r="AB337" i="3" s="1"/>
  <c r="T339" i="3"/>
  <c r="AB339" i="3"/>
  <c r="V341" i="3"/>
  <c r="AH341" i="3" s="1"/>
  <c r="AJ341" i="3" s="1"/>
  <c r="AD341" i="3"/>
  <c r="X343" i="3"/>
  <c r="Y344" i="3"/>
  <c r="AI344" i="3"/>
  <c r="Q345" i="3"/>
  <c r="Z345" i="3" s="1"/>
  <c r="T347" i="3"/>
  <c r="AB347" i="3"/>
  <c r="V348" i="3"/>
  <c r="AD348" i="3"/>
  <c r="X349" i="3"/>
  <c r="Q350" i="3"/>
  <c r="V350" i="3" s="1"/>
  <c r="Z350" i="3"/>
  <c r="T351" i="3"/>
  <c r="AB351" i="3"/>
  <c r="V352" i="3"/>
  <c r="AD352" i="3"/>
  <c r="X353" i="3"/>
  <c r="Q354" i="3"/>
  <c r="Z354" i="3"/>
  <c r="T355" i="3"/>
  <c r="AB355" i="3"/>
  <c r="V356" i="3"/>
  <c r="AD356" i="3"/>
  <c r="X357" i="3"/>
  <c r="Q358" i="3"/>
  <c r="U358" i="3" s="1"/>
  <c r="Z358" i="3"/>
  <c r="T359" i="3"/>
  <c r="AB359" i="3"/>
  <c r="V360" i="3"/>
  <c r="AD360" i="3"/>
  <c r="X361" i="3"/>
  <c r="Q362" i="3"/>
  <c r="Z362" i="3"/>
  <c r="V365" i="3"/>
  <c r="V369" i="3"/>
  <c r="Q374" i="3"/>
  <c r="U374" i="3" s="1"/>
  <c r="Y382" i="3"/>
  <c r="AE390" i="3"/>
  <c r="W390" i="3"/>
  <c r="AD390" i="3"/>
  <c r="V390" i="3"/>
  <c r="AC390" i="3"/>
  <c r="U390" i="3"/>
  <c r="AB390" i="3"/>
  <c r="T390" i="3"/>
  <c r="AA390" i="3"/>
  <c r="S390" i="3"/>
  <c r="AH390" i="3" s="1"/>
  <c r="AJ390" i="3" s="1"/>
  <c r="U331" i="3"/>
  <c r="AC331" i="3"/>
  <c r="AE333" i="3"/>
  <c r="Y335" i="3"/>
  <c r="AI335" i="3"/>
  <c r="Q336" i="3"/>
  <c r="AC336" i="3" s="1"/>
  <c r="Z336" i="3"/>
  <c r="U339" i="3"/>
  <c r="AC339" i="3"/>
  <c r="W341" i="3"/>
  <c r="AE341" i="3"/>
  <c r="Y343" i="3"/>
  <c r="AI343" i="3"/>
  <c r="Q344" i="3"/>
  <c r="Z344" i="3"/>
  <c r="S345" i="3"/>
  <c r="U347" i="3"/>
  <c r="AC347" i="3"/>
  <c r="W348" i="3"/>
  <c r="AE348" i="3"/>
  <c r="Y349" i="3"/>
  <c r="AI349" i="3"/>
  <c r="U351" i="3"/>
  <c r="AC351" i="3"/>
  <c r="W352" i="3"/>
  <c r="AE352" i="3"/>
  <c r="Y353" i="3"/>
  <c r="AI353" i="3"/>
  <c r="AA354" i="3"/>
  <c r="U355" i="3"/>
  <c r="AC355" i="3"/>
  <c r="W356" i="3"/>
  <c r="AE356" i="3"/>
  <c r="Y357" i="3"/>
  <c r="AI357" i="3"/>
  <c r="S358" i="3"/>
  <c r="AA358" i="3"/>
  <c r="U359" i="3"/>
  <c r="AC359" i="3"/>
  <c r="W360" i="3"/>
  <c r="AE360" i="3"/>
  <c r="Y361" i="3"/>
  <c r="AI361" i="3"/>
  <c r="S362" i="3"/>
  <c r="AA362" i="3"/>
  <c r="AE378" i="3"/>
  <c r="W378" i="3"/>
  <c r="AD378" i="3"/>
  <c r="V378" i="3"/>
  <c r="AC378" i="3"/>
  <c r="AB378" i="3"/>
  <c r="AA378" i="3"/>
  <c r="S378" i="3"/>
  <c r="Z382" i="3"/>
  <c r="Q357" i="3"/>
  <c r="T358" i="3"/>
  <c r="V359" i="3"/>
  <c r="AD359" i="3"/>
  <c r="X360" i="3"/>
  <c r="Q361" i="3"/>
  <c r="T362" i="3"/>
  <c r="AB362" i="3"/>
  <c r="Q378" i="3"/>
  <c r="Z378" i="3" s="1"/>
  <c r="AE386" i="3"/>
  <c r="W386" i="3"/>
  <c r="AD386" i="3"/>
  <c r="V386" i="3"/>
  <c r="AC386" i="3"/>
  <c r="U386" i="3"/>
  <c r="AB386" i="3"/>
  <c r="T386" i="3"/>
  <c r="AA386" i="3"/>
  <c r="S386" i="3"/>
  <c r="X422" i="3"/>
  <c r="AE422" i="3"/>
  <c r="W422" i="3"/>
  <c r="AD422" i="3"/>
  <c r="V422" i="3"/>
  <c r="AC422" i="3"/>
  <c r="U422" i="3"/>
  <c r="AB422" i="3"/>
  <c r="AA422" i="3"/>
  <c r="Z422" i="3"/>
  <c r="Y422" i="3"/>
  <c r="T422" i="3"/>
  <c r="S422" i="3"/>
  <c r="W331" i="3"/>
  <c r="Y333" i="3"/>
  <c r="S335" i="3"/>
  <c r="T336" i="3"/>
  <c r="AH336" i="3" s="1"/>
  <c r="AJ336" i="3" s="1"/>
  <c r="W339" i="3"/>
  <c r="Y341" i="3"/>
  <c r="W347" i="3"/>
  <c r="Y348" i="3"/>
  <c r="S349" i="3"/>
  <c r="AH349" i="3" s="1"/>
  <c r="AJ349" i="3" s="1"/>
  <c r="U350" i="3"/>
  <c r="W351" i="3"/>
  <c r="Y352" i="3"/>
  <c r="S353" i="3"/>
  <c r="U354" i="3"/>
  <c r="W355" i="3"/>
  <c r="Y356" i="3"/>
  <c r="W359" i="3"/>
  <c r="Y360" i="3"/>
  <c r="AI382" i="3"/>
  <c r="X398" i="3"/>
  <c r="AE398" i="3"/>
  <c r="W398" i="3"/>
  <c r="AD398" i="3"/>
  <c r="V398" i="3"/>
  <c r="AC398" i="3"/>
  <c r="U398" i="3"/>
  <c r="AA398" i="3"/>
  <c r="Z398" i="3"/>
  <c r="Y398" i="3"/>
  <c r="T398" i="3"/>
  <c r="S398" i="3"/>
  <c r="Q398" i="3"/>
  <c r="X406" i="3"/>
  <c r="AE406" i="3"/>
  <c r="W406" i="3"/>
  <c r="AD406" i="3"/>
  <c r="V406" i="3"/>
  <c r="AC406" i="3"/>
  <c r="U406" i="3"/>
  <c r="AA406" i="3"/>
  <c r="Z406" i="3"/>
  <c r="Y406" i="3"/>
  <c r="T406" i="3"/>
  <c r="S406" i="3"/>
  <c r="Q406" i="3"/>
  <c r="AE410" i="3"/>
  <c r="W410" i="3"/>
  <c r="AD410" i="3"/>
  <c r="AC410" i="3"/>
  <c r="AA410" i="3"/>
  <c r="Z410" i="3"/>
  <c r="Y410" i="3"/>
  <c r="T410" i="3"/>
  <c r="S410" i="3"/>
  <c r="Q410" i="3"/>
  <c r="U410" i="3" s="1"/>
  <c r="X418" i="3"/>
  <c r="AE418" i="3"/>
  <c r="W418" i="3"/>
  <c r="AD418" i="3"/>
  <c r="V418" i="3"/>
  <c r="AC418" i="3"/>
  <c r="Y418" i="3"/>
  <c r="T418" i="3"/>
  <c r="S418" i="3"/>
  <c r="Q418" i="3"/>
  <c r="AA418" i="3" s="1"/>
  <c r="Y373" i="3"/>
  <c r="AI373" i="3"/>
  <c r="Y377" i="3"/>
  <c r="AI377" i="3"/>
  <c r="Y381" i="3"/>
  <c r="AI381" i="3"/>
  <c r="Y385" i="3"/>
  <c r="AI385" i="3"/>
  <c r="Y389" i="3"/>
  <c r="AI389" i="3"/>
  <c r="AD421" i="3"/>
  <c r="V421" i="3"/>
  <c r="AC421" i="3"/>
  <c r="U421" i="3"/>
  <c r="AB421" i="3"/>
  <c r="T421" i="3"/>
  <c r="AA421" i="3"/>
  <c r="S421" i="3"/>
  <c r="AI421" i="3"/>
  <c r="AD425" i="3"/>
  <c r="V425" i="3"/>
  <c r="AC425" i="3"/>
  <c r="U425" i="3"/>
  <c r="AB425" i="3"/>
  <c r="T425" i="3"/>
  <c r="AA425" i="3"/>
  <c r="S425" i="3"/>
  <c r="AI425" i="3"/>
  <c r="AD429" i="3"/>
  <c r="V429" i="3"/>
  <c r="AC429" i="3"/>
  <c r="AB429" i="3"/>
  <c r="T429" i="3"/>
  <c r="AA429" i="3"/>
  <c r="S429" i="3"/>
  <c r="AI429" i="3"/>
  <c r="X364" i="3"/>
  <c r="X368" i="3"/>
  <c r="AD371" i="3"/>
  <c r="X372" i="3"/>
  <c r="Q373" i="3"/>
  <c r="Z373" i="3"/>
  <c r="V375" i="3"/>
  <c r="AH375" i="3" s="1"/>
  <c r="AJ375" i="3" s="1"/>
  <c r="AD375" i="3"/>
  <c r="X376" i="3"/>
  <c r="Q377" i="3"/>
  <c r="AD377" i="3" s="1"/>
  <c r="Z377" i="3"/>
  <c r="Q381" i="3"/>
  <c r="Z381" i="3"/>
  <c r="Q385" i="3"/>
  <c r="V385" i="3" s="1"/>
  <c r="Z385" i="3"/>
  <c r="Q389" i="3"/>
  <c r="AE389" i="3" s="1"/>
  <c r="AD397" i="3"/>
  <c r="U397" i="3"/>
  <c r="AB397" i="3"/>
  <c r="AA397" i="3"/>
  <c r="S397" i="3"/>
  <c r="AI397" i="3"/>
  <c r="AD401" i="3"/>
  <c r="V401" i="3"/>
  <c r="AC401" i="3"/>
  <c r="U401" i="3"/>
  <c r="AB401" i="3"/>
  <c r="T401" i="3"/>
  <c r="AA401" i="3"/>
  <c r="S401" i="3"/>
  <c r="AI401" i="3"/>
  <c r="AI405" i="3"/>
  <c r="AD409" i="3"/>
  <c r="V409" i="3"/>
  <c r="AC409" i="3"/>
  <c r="AB409" i="3"/>
  <c r="AA409" i="3"/>
  <c r="S409" i="3"/>
  <c r="AI409" i="3"/>
  <c r="AD413" i="3"/>
  <c r="AC413" i="3"/>
  <c r="AB413" i="3"/>
  <c r="AA413" i="3"/>
  <c r="AI413" i="3"/>
  <c r="AD417" i="3"/>
  <c r="V417" i="3"/>
  <c r="AC417" i="3"/>
  <c r="U417" i="3"/>
  <c r="AB417" i="3"/>
  <c r="T417" i="3"/>
  <c r="AA417" i="3"/>
  <c r="S417" i="3"/>
  <c r="AI417" i="3"/>
  <c r="Q421" i="3"/>
  <c r="Q425" i="3"/>
  <c r="Q429" i="3"/>
  <c r="AE429" i="3" s="1"/>
  <c r="W363" i="3"/>
  <c r="AE363" i="3"/>
  <c r="Y364" i="3"/>
  <c r="AI364" i="3"/>
  <c r="W367" i="3"/>
  <c r="AE367" i="3"/>
  <c r="Y368" i="3"/>
  <c r="AI368" i="3"/>
  <c r="W371" i="3"/>
  <c r="AE371" i="3"/>
  <c r="Y372" i="3"/>
  <c r="AI372" i="3"/>
  <c r="S373" i="3"/>
  <c r="AA373" i="3"/>
  <c r="W375" i="3"/>
  <c r="AE375" i="3"/>
  <c r="Y376" i="3"/>
  <c r="AI376" i="3"/>
  <c r="S377" i="3"/>
  <c r="AA377" i="3"/>
  <c r="W379" i="3"/>
  <c r="AE379" i="3"/>
  <c r="Y380" i="3"/>
  <c r="AI380" i="3"/>
  <c r="S381" i="3"/>
  <c r="AA381" i="3"/>
  <c r="W383" i="3"/>
  <c r="AE383" i="3"/>
  <c r="Y384" i="3"/>
  <c r="AI384" i="3"/>
  <c r="S385" i="3"/>
  <c r="AA385" i="3"/>
  <c r="W387" i="3"/>
  <c r="AE387" i="3"/>
  <c r="Y388" i="3"/>
  <c r="AI388" i="3"/>
  <c r="S389" i="3"/>
  <c r="AA389" i="3"/>
  <c r="Z392" i="3"/>
  <c r="Y392" i="3"/>
  <c r="Q397" i="3"/>
  <c r="T397" i="3" s="1"/>
  <c r="Q401" i="3"/>
  <c r="Q405" i="3"/>
  <c r="AE405" i="3" s="1"/>
  <c r="Q409" i="3"/>
  <c r="Z409" i="3" s="1"/>
  <c r="Q413" i="3"/>
  <c r="V413" i="3" s="1"/>
  <c r="Q417" i="3"/>
  <c r="W421" i="3"/>
  <c r="W425" i="3"/>
  <c r="W429" i="3"/>
  <c r="X363" i="3"/>
  <c r="Q364" i="3"/>
  <c r="Z364" i="3"/>
  <c r="X367" i="3"/>
  <c r="Q368" i="3"/>
  <c r="AE368" i="3" s="1"/>
  <c r="Z368" i="3"/>
  <c r="X371" i="3"/>
  <c r="Q372" i="3"/>
  <c r="Z372" i="3"/>
  <c r="T373" i="3"/>
  <c r="AB373" i="3"/>
  <c r="X375" i="3"/>
  <c r="Q376" i="3"/>
  <c r="T377" i="3"/>
  <c r="AB377" i="3"/>
  <c r="X379" i="3"/>
  <c r="Q380" i="3"/>
  <c r="Z380" i="3" s="1"/>
  <c r="T381" i="3"/>
  <c r="AB381" i="3"/>
  <c r="X383" i="3"/>
  <c r="Q384" i="3"/>
  <c r="Z384" i="3"/>
  <c r="T385" i="3"/>
  <c r="AB385" i="3"/>
  <c r="X387" i="3"/>
  <c r="Q388" i="3"/>
  <c r="Z388" i="3" s="1"/>
  <c r="T389" i="3"/>
  <c r="AB389" i="3"/>
  <c r="Q392" i="3"/>
  <c r="AA392" i="3"/>
  <c r="W397" i="3"/>
  <c r="W401" i="3"/>
  <c r="W405" i="3"/>
  <c r="W409" i="3"/>
  <c r="W413" i="3"/>
  <c r="W417" i="3"/>
  <c r="X421" i="3"/>
  <c r="X425" i="3"/>
  <c r="X429" i="3"/>
  <c r="Y363" i="3"/>
  <c r="S364" i="3"/>
  <c r="AH364" i="3" s="1"/>
  <c r="AJ364" i="3" s="1"/>
  <c r="Y367" i="3"/>
  <c r="Y371" i="3"/>
  <c r="S372" i="3"/>
  <c r="U373" i="3"/>
  <c r="Y375" i="3"/>
  <c r="U377" i="3"/>
  <c r="Y379" i="3"/>
  <c r="S380" i="3"/>
  <c r="U381" i="3"/>
  <c r="Y383" i="3"/>
  <c r="S384" i="3"/>
  <c r="AH384" i="3" s="1"/>
  <c r="U385" i="3"/>
  <c r="Y387" i="3"/>
  <c r="U389" i="3"/>
  <c r="Y391" i="3"/>
  <c r="S392" i="3"/>
  <c r="AC392" i="3"/>
  <c r="X397" i="3"/>
  <c r="X401" i="3"/>
  <c r="X405" i="3"/>
  <c r="X409" i="3"/>
  <c r="X413" i="3"/>
  <c r="X417" i="3"/>
  <c r="Y421" i="3"/>
  <c r="Y425" i="3"/>
  <c r="Y429" i="3"/>
  <c r="X394" i="3"/>
  <c r="AE394" i="3"/>
  <c r="W394" i="3"/>
  <c r="AD394" i="3"/>
  <c r="V394" i="3"/>
  <c r="AB394" i="3"/>
  <c r="Y397" i="3"/>
  <c r="Y401" i="3"/>
  <c r="Y405" i="3"/>
  <c r="Y409" i="3"/>
  <c r="Y413" i="3"/>
  <c r="Y417" i="3"/>
  <c r="Z421" i="3"/>
  <c r="Z425" i="3"/>
  <c r="Z429" i="3"/>
  <c r="Y396" i="3"/>
  <c r="AI396" i="3"/>
  <c r="Y400" i="3"/>
  <c r="AI400" i="3"/>
  <c r="Y404" i="3"/>
  <c r="AI404" i="3"/>
  <c r="Y408" i="3"/>
  <c r="AI408" i="3"/>
  <c r="Y412" i="3"/>
  <c r="AI412" i="3"/>
  <c r="Y416" i="3"/>
  <c r="AI416" i="3"/>
  <c r="Y420" i="3"/>
  <c r="AI420" i="3"/>
  <c r="Y424" i="3"/>
  <c r="AI424" i="3"/>
  <c r="Y428" i="3"/>
  <c r="AI428" i="3"/>
  <c r="X395" i="3"/>
  <c r="Q396" i="3"/>
  <c r="Z396" i="3" s="1"/>
  <c r="X399" i="3"/>
  <c r="Q400" i="3"/>
  <c r="Z400" i="3"/>
  <c r="X403" i="3"/>
  <c r="Q404" i="3"/>
  <c r="U404" i="3" s="1"/>
  <c r="Z404" i="3"/>
  <c r="X407" i="3"/>
  <c r="Q408" i="3"/>
  <c r="Z408" i="3"/>
  <c r="X411" i="3"/>
  <c r="Q412" i="3"/>
  <c r="Z412" i="3"/>
  <c r="X415" i="3"/>
  <c r="Q416" i="3"/>
  <c r="Z416" i="3" s="1"/>
  <c r="X419" i="3"/>
  <c r="Q420" i="3"/>
  <c r="Z420" i="3"/>
  <c r="X423" i="3"/>
  <c r="Q424" i="3"/>
  <c r="Z424" i="3"/>
  <c r="X427" i="3"/>
  <c r="Q428" i="3"/>
  <c r="Z428" i="3"/>
  <c r="Y395" i="3"/>
  <c r="AI395" i="3"/>
  <c r="S396" i="3"/>
  <c r="AA396" i="3"/>
  <c r="Y399" i="3"/>
  <c r="AI399" i="3"/>
  <c r="S400" i="3"/>
  <c r="AA400" i="3"/>
  <c r="Y403" i="3"/>
  <c r="AI403" i="3"/>
  <c r="S404" i="3"/>
  <c r="Y407" i="3"/>
  <c r="AI407" i="3"/>
  <c r="S408" i="3"/>
  <c r="AA408" i="3"/>
  <c r="Y411" i="3"/>
  <c r="AI411" i="3"/>
  <c r="S412" i="3"/>
  <c r="AA412" i="3"/>
  <c r="Y415" i="3"/>
  <c r="AI415" i="3"/>
  <c r="S416" i="3"/>
  <c r="AA416" i="3"/>
  <c r="Y419" i="3"/>
  <c r="AI419" i="3"/>
  <c r="S420" i="3"/>
  <c r="AA420" i="3"/>
  <c r="Y423" i="3"/>
  <c r="AI423" i="3"/>
  <c r="S424" i="3"/>
  <c r="AA424" i="3"/>
  <c r="Y427" i="3"/>
  <c r="AI427" i="3"/>
  <c r="S428" i="3"/>
  <c r="AA428" i="3"/>
  <c r="Q395" i="3"/>
  <c r="T396" i="3"/>
  <c r="Q399" i="3"/>
  <c r="T400" i="3"/>
  <c r="Q403" i="3"/>
  <c r="Q407" i="3"/>
  <c r="T408" i="3"/>
  <c r="Q411" i="3"/>
  <c r="T412" i="3"/>
  <c r="Q415" i="3"/>
  <c r="T416" i="3"/>
  <c r="Q419" i="3"/>
  <c r="T420" i="3"/>
  <c r="Q423" i="3"/>
  <c r="T424" i="3"/>
  <c r="Q427" i="3"/>
  <c r="T428" i="3"/>
  <c r="AB9" i="23"/>
  <c r="AD9" i="23" s="1"/>
  <c r="S11" i="23"/>
  <c r="AC11" i="23"/>
  <c r="Q12" i="23"/>
  <c r="W13" i="23"/>
  <c r="AB13" i="23" s="1"/>
  <c r="AD13" i="23" s="1"/>
  <c r="S15" i="23"/>
  <c r="AC15" i="23"/>
  <c r="W17" i="23"/>
  <c r="AB17" i="23" s="1"/>
  <c r="U18" i="23"/>
  <c r="AC19" i="23"/>
  <c r="S23" i="23"/>
  <c r="AC23" i="23"/>
  <c r="U26" i="23"/>
  <c r="S27" i="23"/>
  <c r="V32" i="23"/>
  <c r="V36" i="23"/>
  <c r="AC52" i="23"/>
  <c r="S52" i="23"/>
  <c r="Q52" i="23"/>
  <c r="X52" i="23"/>
  <c r="W52" i="23"/>
  <c r="N52" i="23"/>
  <c r="R52" i="23" s="1"/>
  <c r="U52" i="23"/>
  <c r="T52" i="23"/>
  <c r="V2" i="23"/>
  <c r="T3" i="23"/>
  <c r="V6" i="23"/>
  <c r="T7" i="23"/>
  <c r="V10" i="23"/>
  <c r="T11" i="23"/>
  <c r="R12" i="23"/>
  <c r="V14" i="23"/>
  <c r="T15" i="23"/>
  <c r="V18" i="23"/>
  <c r="T19" i="23"/>
  <c r="V22" i="23"/>
  <c r="T23" i="23"/>
  <c r="T27" i="23"/>
  <c r="V52" i="23"/>
  <c r="AC56" i="23"/>
  <c r="S56" i="23"/>
  <c r="Y56" i="23"/>
  <c r="Q56" i="23"/>
  <c r="P56" i="23"/>
  <c r="N56" i="23"/>
  <c r="X56" i="23" s="1"/>
  <c r="U56" i="23"/>
  <c r="T56" i="23"/>
  <c r="U15" i="23"/>
  <c r="U19" i="23"/>
  <c r="N22" i="23"/>
  <c r="U22" i="23" s="1"/>
  <c r="W22" i="23"/>
  <c r="U23" i="23"/>
  <c r="N26" i="23"/>
  <c r="V26" i="23" s="1"/>
  <c r="U27" i="23"/>
  <c r="AC44" i="23"/>
  <c r="R44" i="23"/>
  <c r="Y44" i="23"/>
  <c r="Q44" i="23"/>
  <c r="X44" i="23"/>
  <c r="W44" i="23"/>
  <c r="N44" i="23"/>
  <c r="P44" i="23" s="1"/>
  <c r="U44" i="23"/>
  <c r="AC60" i="23"/>
  <c r="S60" i="23"/>
  <c r="Q60" i="23"/>
  <c r="X60" i="23"/>
  <c r="P60" i="23"/>
  <c r="W60" i="23"/>
  <c r="N60" i="23"/>
  <c r="R60" i="23" s="1"/>
  <c r="U60" i="23"/>
  <c r="T60" i="23"/>
  <c r="V3" i="23"/>
  <c r="V7" i="23"/>
  <c r="V11" i="23"/>
  <c r="V15" i="23"/>
  <c r="V19" i="23"/>
  <c r="V23" i="23"/>
  <c r="W27" i="23"/>
  <c r="V44" i="23"/>
  <c r="AC64" i="23"/>
  <c r="S64" i="23"/>
  <c r="R64" i="23"/>
  <c r="Y64" i="23"/>
  <c r="Q64" i="23"/>
  <c r="X64" i="23"/>
  <c r="P64" i="23"/>
  <c r="W64" i="23"/>
  <c r="N64" i="23"/>
  <c r="U64" i="23"/>
  <c r="T64" i="23"/>
  <c r="Q2" i="23"/>
  <c r="Y2" i="23"/>
  <c r="N3" i="23"/>
  <c r="W3" i="23"/>
  <c r="U4" i="23"/>
  <c r="Q6" i="23"/>
  <c r="Y6" i="23"/>
  <c r="N7" i="23"/>
  <c r="W7" i="23"/>
  <c r="U8" i="23"/>
  <c r="Q10" i="23"/>
  <c r="Y10" i="23"/>
  <c r="N11" i="23"/>
  <c r="W11" i="23"/>
  <c r="Q14" i="23"/>
  <c r="Y14" i="23"/>
  <c r="N15" i="23"/>
  <c r="W15" i="23"/>
  <c r="U16" i="23"/>
  <c r="AC17" i="23"/>
  <c r="Q18" i="23"/>
  <c r="Y18" i="23"/>
  <c r="N19" i="23"/>
  <c r="S19" i="23" s="1"/>
  <c r="W19" i="23"/>
  <c r="U20" i="23"/>
  <c r="AC21" i="23"/>
  <c r="Q22" i="23"/>
  <c r="Y22" i="23"/>
  <c r="N23" i="23"/>
  <c r="W23" i="23" s="1"/>
  <c r="U24" i="23"/>
  <c r="S25" i="23"/>
  <c r="AB25" i="23" s="1"/>
  <c r="AC25" i="23"/>
  <c r="Q26" i="23"/>
  <c r="Y26" i="23"/>
  <c r="N27" i="23"/>
  <c r="X27" i="23"/>
  <c r="Y28" i="23"/>
  <c r="Q28" i="23"/>
  <c r="T28" i="23"/>
  <c r="X28" i="23"/>
  <c r="AC48" i="23"/>
  <c r="S48" i="23"/>
  <c r="R48" i="23"/>
  <c r="Y48" i="23"/>
  <c r="Q48" i="23"/>
  <c r="X48" i="23"/>
  <c r="P48" i="23"/>
  <c r="W48" i="23"/>
  <c r="N48" i="23"/>
  <c r="U48" i="23"/>
  <c r="T48" i="23"/>
  <c r="V64" i="23"/>
  <c r="R2" i="23"/>
  <c r="P3" i="23"/>
  <c r="X3" i="23"/>
  <c r="V4" i="23"/>
  <c r="R6" i="23"/>
  <c r="P7" i="23"/>
  <c r="X7" i="23"/>
  <c r="V8" i="23"/>
  <c r="R10" i="23"/>
  <c r="P11" i="23"/>
  <c r="X11" i="23"/>
  <c r="V12" i="23"/>
  <c r="R14" i="23"/>
  <c r="P15" i="23"/>
  <c r="X15" i="23"/>
  <c r="V16" i="23"/>
  <c r="R18" i="23"/>
  <c r="P19" i="23"/>
  <c r="X19" i="23"/>
  <c r="V20" i="23"/>
  <c r="R22" i="23"/>
  <c r="P23" i="23"/>
  <c r="X23" i="23"/>
  <c r="V24" i="23"/>
  <c r="R26" i="23"/>
  <c r="P27" i="23"/>
  <c r="Y27" i="23"/>
  <c r="U107" i="23"/>
  <c r="T107" i="23"/>
  <c r="AC107" i="23"/>
  <c r="S107" i="23"/>
  <c r="Q107" i="23"/>
  <c r="X107" i="23"/>
  <c r="P107" i="23"/>
  <c r="W107" i="23"/>
  <c r="N107" i="23"/>
  <c r="Y107" i="23" s="1"/>
  <c r="V107" i="23"/>
  <c r="Y11" i="23"/>
  <c r="Q15" i="23"/>
  <c r="Y15" i="23"/>
  <c r="S18" i="23"/>
  <c r="AC18" i="23"/>
  <c r="Q19" i="23"/>
  <c r="Y19" i="23"/>
  <c r="S22" i="23"/>
  <c r="AC22" i="23"/>
  <c r="Q23" i="23"/>
  <c r="Y23" i="23"/>
  <c r="S26" i="23"/>
  <c r="AC26" i="23"/>
  <c r="Q27" i="23"/>
  <c r="AC32" i="23"/>
  <c r="S32" i="23"/>
  <c r="R32" i="23"/>
  <c r="Y32" i="23"/>
  <c r="Q32" i="23"/>
  <c r="X32" i="23"/>
  <c r="P32" i="23"/>
  <c r="U32" i="23"/>
  <c r="T32" i="23"/>
  <c r="AC36" i="23"/>
  <c r="S36" i="23"/>
  <c r="R36" i="23"/>
  <c r="Y36" i="23"/>
  <c r="Q36" i="23"/>
  <c r="X36" i="23"/>
  <c r="P36" i="23"/>
  <c r="U36" i="23"/>
  <c r="T36" i="23"/>
  <c r="AC40" i="23"/>
  <c r="S40" i="23"/>
  <c r="R40" i="23"/>
  <c r="Q40" i="23"/>
  <c r="X40" i="23"/>
  <c r="P40" i="23"/>
  <c r="W40" i="23"/>
  <c r="N40" i="23"/>
  <c r="Y40" i="23" s="1"/>
  <c r="U40" i="23"/>
  <c r="T40" i="23"/>
  <c r="P4" i="23"/>
  <c r="AB4" i="23" s="1"/>
  <c r="AD4" i="23" s="1"/>
  <c r="P8" i="23"/>
  <c r="AB8" i="23" s="1"/>
  <c r="AD8" i="23" s="1"/>
  <c r="P12" i="23"/>
  <c r="P16" i="23"/>
  <c r="AB16" i="23" s="1"/>
  <c r="AD16" i="23" s="1"/>
  <c r="P20" i="23"/>
  <c r="AB20" i="23" s="1"/>
  <c r="AD20" i="23" s="1"/>
  <c r="P24" i="23"/>
  <c r="AB24" i="23" s="1"/>
  <c r="AD24" i="23" s="1"/>
  <c r="R27" i="23"/>
  <c r="AC27" i="23"/>
  <c r="W30" i="23"/>
  <c r="N30" i="23"/>
  <c r="U30" i="23"/>
  <c r="T30" i="23"/>
  <c r="Y30" i="23"/>
  <c r="X30" i="23"/>
  <c r="P30" i="23"/>
  <c r="N32" i="23"/>
  <c r="N36" i="23"/>
  <c r="V40" i="23"/>
  <c r="U79" i="23"/>
  <c r="T79" i="23"/>
  <c r="AC79" i="23"/>
  <c r="S79" i="23"/>
  <c r="R79" i="23"/>
  <c r="Y79" i="23"/>
  <c r="Q79" i="23"/>
  <c r="X79" i="23"/>
  <c r="P79" i="23"/>
  <c r="W79" i="23"/>
  <c r="N79" i="23"/>
  <c r="V79" i="23"/>
  <c r="R29" i="23"/>
  <c r="V31" i="23"/>
  <c r="R33" i="23"/>
  <c r="P34" i="23"/>
  <c r="X34" i="23"/>
  <c r="V35" i="23"/>
  <c r="P38" i="23"/>
  <c r="X38" i="23"/>
  <c r="V39" i="23"/>
  <c r="R41" i="23"/>
  <c r="P42" i="23"/>
  <c r="X42" i="23"/>
  <c r="V43" i="23"/>
  <c r="R45" i="23"/>
  <c r="P46" i="23"/>
  <c r="X46" i="23"/>
  <c r="V47" i="23"/>
  <c r="R49" i="23"/>
  <c r="X50" i="23"/>
  <c r="V51" i="23"/>
  <c r="AB51" i="23" s="1"/>
  <c r="AD51" i="23" s="1"/>
  <c r="P54" i="23"/>
  <c r="X54" i="23"/>
  <c r="V55" i="23"/>
  <c r="R57" i="23"/>
  <c r="P58" i="23"/>
  <c r="X58" i="23"/>
  <c r="V59" i="23"/>
  <c r="P62" i="23"/>
  <c r="V63" i="23"/>
  <c r="R65" i="23"/>
  <c r="X66" i="23"/>
  <c r="X67" i="23"/>
  <c r="P67" i="23"/>
  <c r="W67" i="23"/>
  <c r="N70" i="23"/>
  <c r="Y70" i="23"/>
  <c r="AB104" i="23"/>
  <c r="AD104" i="23" s="1"/>
  <c r="Q34" i="23"/>
  <c r="Y34" i="23"/>
  <c r="Q38" i="23"/>
  <c r="Q42" i="23"/>
  <c r="Y42" i="23"/>
  <c r="S45" i="23"/>
  <c r="AC45" i="23"/>
  <c r="Q46" i="23"/>
  <c r="Y46" i="23"/>
  <c r="S49" i="23"/>
  <c r="AC49" i="23"/>
  <c r="Q50" i="23"/>
  <c r="Y50" i="23"/>
  <c r="S53" i="23"/>
  <c r="AC53" i="23"/>
  <c r="Q54" i="23"/>
  <c r="Y54" i="23"/>
  <c r="S57" i="23"/>
  <c r="AC57" i="23"/>
  <c r="Q58" i="23"/>
  <c r="S61" i="23"/>
  <c r="AC61" i="23"/>
  <c r="Q62" i="23"/>
  <c r="Y62" i="23"/>
  <c r="S65" i="23"/>
  <c r="AC65" i="23"/>
  <c r="Q66" i="23"/>
  <c r="Y66" i="23"/>
  <c r="P70" i="23"/>
  <c r="AC70" i="23"/>
  <c r="U87" i="23"/>
  <c r="T87" i="23"/>
  <c r="AC87" i="23"/>
  <c r="S87" i="23"/>
  <c r="R87" i="23"/>
  <c r="Q87" i="23"/>
  <c r="X87" i="23"/>
  <c r="P87" i="23"/>
  <c r="W87" i="23"/>
  <c r="N87" i="23"/>
  <c r="V87" i="23" s="1"/>
  <c r="U99" i="23"/>
  <c r="T99" i="23"/>
  <c r="AC99" i="23"/>
  <c r="S99" i="23"/>
  <c r="R99" i="23"/>
  <c r="Y99" i="23"/>
  <c r="Q99" i="23"/>
  <c r="X99" i="23"/>
  <c r="P99" i="23"/>
  <c r="W99" i="23"/>
  <c r="N99" i="23"/>
  <c r="U75" i="23"/>
  <c r="T75" i="23"/>
  <c r="AC75" i="23"/>
  <c r="Y75" i="23"/>
  <c r="Q75" i="23"/>
  <c r="X75" i="23"/>
  <c r="P75" i="23"/>
  <c r="N75" i="23"/>
  <c r="R75" i="23" s="1"/>
  <c r="U91" i="23"/>
  <c r="T91" i="23"/>
  <c r="AC91" i="23"/>
  <c r="S91" i="23"/>
  <c r="R91" i="23"/>
  <c r="Y91" i="23"/>
  <c r="Q91" i="23"/>
  <c r="X91" i="23"/>
  <c r="P91" i="23"/>
  <c r="W91" i="23"/>
  <c r="N91" i="23"/>
  <c r="V29" i="23"/>
  <c r="V33" i="23"/>
  <c r="T34" i="23"/>
  <c r="V41" i="23"/>
  <c r="T42" i="23"/>
  <c r="V45" i="23"/>
  <c r="T46" i="23"/>
  <c r="V49" i="23"/>
  <c r="V53" i="23"/>
  <c r="T54" i="23"/>
  <c r="V57" i="23"/>
  <c r="T58" i="23"/>
  <c r="V61" i="23"/>
  <c r="V65" i="23"/>
  <c r="S75" i="23"/>
  <c r="U83" i="23"/>
  <c r="T83" i="23"/>
  <c r="AC83" i="23"/>
  <c r="S83" i="23"/>
  <c r="Q83" i="23"/>
  <c r="X83" i="23"/>
  <c r="P83" i="23"/>
  <c r="W83" i="23"/>
  <c r="N83" i="23"/>
  <c r="R83" i="23" s="1"/>
  <c r="V91" i="23"/>
  <c r="U111" i="23"/>
  <c r="T111" i="23"/>
  <c r="AC111" i="23"/>
  <c r="S111" i="23"/>
  <c r="Q111" i="23"/>
  <c r="X111" i="23"/>
  <c r="P111" i="23"/>
  <c r="W111" i="23"/>
  <c r="N111" i="23"/>
  <c r="Y111" i="23" s="1"/>
  <c r="U115" i="23"/>
  <c r="T115" i="23"/>
  <c r="AC115" i="23"/>
  <c r="S115" i="23"/>
  <c r="R115" i="23"/>
  <c r="Y115" i="23"/>
  <c r="Q115" i="23"/>
  <c r="X115" i="23"/>
  <c r="P115" i="23"/>
  <c r="W115" i="23"/>
  <c r="N115" i="23"/>
  <c r="AB124" i="23"/>
  <c r="AD124" i="23" s="1"/>
  <c r="N29" i="23"/>
  <c r="S31" i="23"/>
  <c r="AB31" i="23" s="1"/>
  <c r="AD31" i="23" s="1"/>
  <c r="N33" i="23"/>
  <c r="U34" i="23"/>
  <c r="S35" i="23"/>
  <c r="AB35" i="23" s="1"/>
  <c r="AD35" i="23" s="1"/>
  <c r="N37" i="23"/>
  <c r="Y37" i="23" s="1"/>
  <c r="U38" i="23"/>
  <c r="S39" i="23"/>
  <c r="AB39" i="23" s="1"/>
  <c r="AD39" i="23" s="1"/>
  <c r="N41" i="23"/>
  <c r="W41" i="23"/>
  <c r="U42" i="23"/>
  <c r="S43" i="23"/>
  <c r="AB43" i="23" s="1"/>
  <c r="AD43" i="23" s="1"/>
  <c r="N45" i="23"/>
  <c r="W45" i="23"/>
  <c r="U46" i="23"/>
  <c r="S47" i="23"/>
  <c r="N49" i="23"/>
  <c r="W49" i="23"/>
  <c r="U50" i="23"/>
  <c r="N53" i="23"/>
  <c r="P53" i="23" s="1"/>
  <c r="W53" i="23"/>
  <c r="U54" i="23"/>
  <c r="S55" i="23"/>
  <c r="N57" i="23"/>
  <c r="W57" i="23" s="1"/>
  <c r="U58" i="23"/>
  <c r="S59" i="23"/>
  <c r="N61" i="23"/>
  <c r="P61" i="23" s="1"/>
  <c r="W61" i="23"/>
  <c r="U62" i="23"/>
  <c r="S63" i="23"/>
  <c r="AB63" i="23" s="1"/>
  <c r="AD63" i="23" s="1"/>
  <c r="N65" i="23"/>
  <c r="W65" i="23"/>
  <c r="U66" i="23"/>
  <c r="T67" i="23"/>
  <c r="R71" i="23"/>
  <c r="X71" i="23"/>
  <c r="P71" i="23"/>
  <c r="Y71" i="23"/>
  <c r="V75" i="23"/>
  <c r="V83" i="23"/>
  <c r="AB116" i="23"/>
  <c r="AD116" i="23" s="1"/>
  <c r="V34" i="23"/>
  <c r="V38" i="23"/>
  <c r="V42" i="23"/>
  <c r="V46" i="23"/>
  <c r="V50" i="23"/>
  <c r="V58" i="23"/>
  <c r="V62" i="23"/>
  <c r="U119" i="23"/>
  <c r="T119" i="23"/>
  <c r="AC119" i="23"/>
  <c r="S119" i="23"/>
  <c r="R119" i="23"/>
  <c r="Q119" i="23"/>
  <c r="X119" i="23"/>
  <c r="P119" i="23"/>
  <c r="W119" i="23"/>
  <c r="N119" i="23"/>
  <c r="Y119" i="23" s="1"/>
  <c r="N34" i="23"/>
  <c r="N38" i="23"/>
  <c r="R38" i="23" s="1"/>
  <c r="Q41" i="23"/>
  <c r="AB41" i="23" s="1"/>
  <c r="AD41" i="23" s="1"/>
  <c r="N42" i="23"/>
  <c r="Q45" i="23"/>
  <c r="AB45" i="23" s="1"/>
  <c r="AD45" i="23" s="1"/>
  <c r="N46" i="23"/>
  <c r="Q49" i="23"/>
  <c r="AB49" i="23" s="1"/>
  <c r="AD49" i="23" s="1"/>
  <c r="N50" i="23"/>
  <c r="W50" i="23" s="1"/>
  <c r="Q53" i="23"/>
  <c r="N54" i="23"/>
  <c r="R54" i="23" s="1"/>
  <c r="Q57" i="23"/>
  <c r="N58" i="23"/>
  <c r="R58" i="23" s="1"/>
  <c r="Q61" i="23"/>
  <c r="N62" i="23"/>
  <c r="T62" i="23" s="1"/>
  <c r="Q65" i="23"/>
  <c r="AB65" i="23" s="1"/>
  <c r="AD65" i="23" s="1"/>
  <c r="N66" i="23"/>
  <c r="W66" i="23" s="1"/>
  <c r="T70" i="23"/>
  <c r="R70" i="23"/>
  <c r="X70" i="23"/>
  <c r="U95" i="23"/>
  <c r="T95" i="23"/>
  <c r="AC95" i="23"/>
  <c r="S95" i="23"/>
  <c r="X95" i="23"/>
  <c r="P95" i="23"/>
  <c r="W95" i="23"/>
  <c r="N95" i="23"/>
  <c r="R95" i="23" s="1"/>
  <c r="AB96" i="23"/>
  <c r="AD96" i="23" s="1"/>
  <c r="U103" i="23"/>
  <c r="T103" i="23"/>
  <c r="AC103" i="23"/>
  <c r="S103" i="23"/>
  <c r="Y103" i="23"/>
  <c r="Q103" i="23"/>
  <c r="P103" i="23"/>
  <c r="N103" i="23"/>
  <c r="R103" i="23" s="1"/>
  <c r="V119" i="23"/>
  <c r="V123" i="23"/>
  <c r="V127" i="23"/>
  <c r="V135" i="23"/>
  <c r="V139" i="23"/>
  <c r="V143" i="23"/>
  <c r="Q74" i="23"/>
  <c r="Y74" i="23"/>
  <c r="Q78" i="23"/>
  <c r="Y78" i="23"/>
  <c r="S81" i="23"/>
  <c r="Q82" i="23"/>
  <c r="Y82" i="23"/>
  <c r="Q86" i="23"/>
  <c r="Y86" i="23"/>
  <c r="Q90" i="23"/>
  <c r="Y90" i="23"/>
  <c r="Q94" i="23"/>
  <c r="Q98" i="23"/>
  <c r="Y98" i="23"/>
  <c r="Q102" i="23"/>
  <c r="Y102" i="23"/>
  <c r="Q106" i="23"/>
  <c r="Q110" i="23"/>
  <c r="Q114" i="23"/>
  <c r="Y114" i="23"/>
  <c r="Q118" i="23"/>
  <c r="N123" i="23"/>
  <c r="W123" i="23"/>
  <c r="S125" i="23"/>
  <c r="AC125" i="23"/>
  <c r="Q126" i="23"/>
  <c r="Y126" i="23"/>
  <c r="N127" i="23"/>
  <c r="W127" i="23"/>
  <c r="S129" i="23"/>
  <c r="AC129" i="23"/>
  <c r="Q130" i="23"/>
  <c r="Y130" i="23"/>
  <c r="N131" i="23"/>
  <c r="W131" i="23" s="1"/>
  <c r="S133" i="23"/>
  <c r="AC133" i="23"/>
  <c r="Q134" i="23"/>
  <c r="N135" i="23"/>
  <c r="W135" i="23"/>
  <c r="S137" i="23"/>
  <c r="AC137" i="23"/>
  <c r="Q138" i="23"/>
  <c r="Y138" i="23"/>
  <c r="N139" i="23"/>
  <c r="W139" i="23"/>
  <c r="S141" i="23"/>
  <c r="AC141" i="23"/>
  <c r="Q142" i="23"/>
  <c r="Y142" i="23"/>
  <c r="N143" i="23"/>
  <c r="W143" i="23" s="1"/>
  <c r="S145" i="23"/>
  <c r="AC145" i="23"/>
  <c r="Q146" i="23"/>
  <c r="Y146" i="23"/>
  <c r="W184" i="23"/>
  <c r="V196" i="23"/>
  <c r="T69" i="23"/>
  <c r="V72" i="23"/>
  <c r="T73" i="23"/>
  <c r="R74" i="23"/>
  <c r="V76" i="23"/>
  <c r="R78" i="23"/>
  <c r="V80" i="23"/>
  <c r="T81" i="23"/>
  <c r="R82" i="23"/>
  <c r="V84" i="23"/>
  <c r="T85" i="23"/>
  <c r="AB85" i="23" s="1"/>
  <c r="AD85" i="23" s="1"/>
  <c r="R86" i="23"/>
  <c r="V88" i="23"/>
  <c r="T89" i="23"/>
  <c r="R90" i="23"/>
  <c r="T93" i="23"/>
  <c r="T97" i="23"/>
  <c r="R98" i="23"/>
  <c r="T101" i="23"/>
  <c r="R102" i="23"/>
  <c r="T105" i="23"/>
  <c r="AB105" i="23" s="1"/>
  <c r="AD105" i="23" s="1"/>
  <c r="R106" i="23"/>
  <c r="T109" i="23"/>
  <c r="AB109" i="23" s="1"/>
  <c r="AD109" i="23" s="1"/>
  <c r="R110" i="23"/>
  <c r="T113" i="23"/>
  <c r="AB113" i="23" s="1"/>
  <c r="AD113" i="23" s="1"/>
  <c r="R114" i="23"/>
  <c r="T117" i="23"/>
  <c r="AB117" i="23" s="1"/>
  <c r="AD117" i="23" s="1"/>
  <c r="T121" i="23"/>
  <c r="R122" i="23"/>
  <c r="P123" i="23"/>
  <c r="X123" i="23"/>
  <c r="T125" i="23"/>
  <c r="R126" i="23"/>
  <c r="P127" i="23"/>
  <c r="X127" i="23"/>
  <c r="V128" i="23"/>
  <c r="T129" i="23"/>
  <c r="R130" i="23"/>
  <c r="P131" i="23"/>
  <c r="X131" i="23"/>
  <c r="V132" i="23"/>
  <c r="T133" i="23"/>
  <c r="R134" i="23"/>
  <c r="P135" i="23"/>
  <c r="X135" i="23"/>
  <c r="V136" i="23"/>
  <c r="T137" i="23"/>
  <c r="R138" i="23"/>
  <c r="P139" i="23"/>
  <c r="X139" i="23"/>
  <c r="V140" i="23"/>
  <c r="T141" i="23"/>
  <c r="R142" i="23"/>
  <c r="P143" i="23"/>
  <c r="X143" i="23"/>
  <c r="V144" i="23"/>
  <c r="T145" i="23"/>
  <c r="AB165" i="23"/>
  <c r="AD165" i="23" s="1"/>
  <c r="S114" i="23"/>
  <c r="AC114" i="23"/>
  <c r="S118" i="23"/>
  <c r="AC118" i="23"/>
  <c r="W120" i="23"/>
  <c r="AC122" i="23"/>
  <c r="Q123" i="23"/>
  <c r="Y123" i="23"/>
  <c r="S126" i="23"/>
  <c r="AC126" i="23"/>
  <c r="Q127" i="23"/>
  <c r="Y127" i="23"/>
  <c r="W128" i="23"/>
  <c r="U129" i="23"/>
  <c r="S130" i="23"/>
  <c r="AC130" i="23"/>
  <c r="Q131" i="23"/>
  <c r="Y131" i="23"/>
  <c r="U133" i="23"/>
  <c r="S134" i="23"/>
  <c r="AC134" i="23"/>
  <c r="Q135" i="23"/>
  <c r="Y135" i="23"/>
  <c r="U137" i="23"/>
  <c r="S138" i="23"/>
  <c r="AC138" i="23"/>
  <c r="Q139" i="23"/>
  <c r="Y139" i="23"/>
  <c r="U141" i="23"/>
  <c r="S142" i="23"/>
  <c r="AC142" i="23"/>
  <c r="Q143" i="23"/>
  <c r="Y143" i="23"/>
  <c r="U145" i="23"/>
  <c r="S146" i="23"/>
  <c r="AC146" i="23"/>
  <c r="AB178" i="23"/>
  <c r="AD178" i="23" s="1"/>
  <c r="P72" i="23"/>
  <c r="AB72" i="23" s="1"/>
  <c r="AD72" i="23" s="1"/>
  <c r="T74" i="23"/>
  <c r="P76" i="23"/>
  <c r="AB76" i="23" s="1"/>
  <c r="AD76" i="23" s="1"/>
  <c r="T78" i="23"/>
  <c r="P80" i="23"/>
  <c r="AB80" i="23" s="1"/>
  <c r="AD80" i="23" s="1"/>
  <c r="T82" i="23"/>
  <c r="P84" i="23"/>
  <c r="AB84" i="23" s="1"/>
  <c r="AD84" i="23" s="1"/>
  <c r="T86" i="23"/>
  <c r="T90" i="23"/>
  <c r="T94" i="23"/>
  <c r="T98" i="23"/>
  <c r="T102" i="23"/>
  <c r="T106" i="23"/>
  <c r="T110" i="23"/>
  <c r="P112" i="23"/>
  <c r="AB112" i="23" s="1"/>
  <c r="AD112" i="23" s="1"/>
  <c r="T114" i="23"/>
  <c r="T118" i="23"/>
  <c r="V121" i="23"/>
  <c r="T122" i="23"/>
  <c r="R123" i="23"/>
  <c r="V125" i="23"/>
  <c r="T126" i="23"/>
  <c r="R127" i="23"/>
  <c r="T130" i="23"/>
  <c r="R131" i="23"/>
  <c r="V133" i="23"/>
  <c r="T134" i="23"/>
  <c r="R135" i="23"/>
  <c r="T138" i="23"/>
  <c r="R139" i="23"/>
  <c r="V141" i="23"/>
  <c r="T142" i="23"/>
  <c r="R143" i="23"/>
  <c r="V145" i="23"/>
  <c r="T146" i="23"/>
  <c r="AB153" i="23"/>
  <c r="AD153" i="23" s="1"/>
  <c r="AB169" i="23"/>
  <c r="AD169" i="23" s="1"/>
  <c r="W81" i="23"/>
  <c r="Y88" i="23"/>
  <c r="W97" i="23"/>
  <c r="U98" i="23"/>
  <c r="Q100" i="23"/>
  <c r="Y100" i="23"/>
  <c r="W101" i="23"/>
  <c r="U102" i="23"/>
  <c r="U106" i="23"/>
  <c r="Y108" i="23"/>
  <c r="U110" i="23"/>
  <c r="U114" i="23"/>
  <c r="U118" i="23"/>
  <c r="U122" i="23"/>
  <c r="S123" i="23"/>
  <c r="AC123" i="23"/>
  <c r="U126" i="23"/>
  <c r="S127" i="23"/>
  <c r="AC127" i="23"/>
  <c r="N129" i="23"/>
  <c r="P129" i="23" s="1"/>
  <c r="W129" i="23"/>
  <c r="U130" i="23"/>
  <c r="S131" i="23"/>
  <c r="AC131" i="23"/>
  <c r="N133" i="23"/>
  <c r="W133" i="23"/>
  <c r="S135" i="23"/>
  <c r="AC135" i="23"/>
  <c r="N137" i="23"/>
  <c r="Y137" i="23" s="1"/>
  <c r="U138" i="23"/>
  <c r="S139" i="23"/>
  <c r="AC139" i="23"/>
  <c r="N141" i="23"/>
  <c r="W141" i="23"/>
  <c r="U142" i="23"/>
  <c r="S143" i="23"/>
  <c r="AC143" i="23"/>
  <c r="N145" i="23"/>
  <c r="W145" i="23"/>
  <c r="U146" i="23"/>
  <c r="V94" i="23"/>
  <c r="V98" i="23"/>
  <c r="P101" i="23"/>
  <c r="AB101" i="23" s="1"/>
  <c r="AD101" i="23" s="1"/>
  <c r="V102" i="23"/>
  <c r="V106" i="23"/>
  <c r="V114" i="23"/>
  <c r="V118" i="23"/>
  <c r="V122" i="23"/>
  <c r="T123" i="23"/>
  <c r="V126" i="23"/>
  <c r="T127" i="23"/>
  <c r="V130" i="23"/>
  <c r="T131" i="23"/>
  <c r="V134" i="23"/>
  <c r="T135" i="23"/>
  <c r="V138" i="23"/>
  <c r="T139" i="23"/>
  <c r="V142" i="23"/>
  <c r="T143" i="23"/>
  <c r="V146" i="23"/>
  <c r="Q89" i="23"/>
  <c r="N94" i="23"/>
  <c r="Y94" i="23" s="1"/>
  <c r="N98" i="23"/>
  <c r="N102" i="23"/>
  <c r="N106" i="23"/>
  <c r="S106" i="23" s="1"/>
  <c r="N110" i="23"/>
  <c r="P110" i="23" s="1"/>
  <c r="N114" i="23"/>
  <c r="N118" i="23"/>
  <c r="W118" i="23" s="1"/>
  <c r="Q121" i="23"/>
  <c r="AB121" i="23" s="1"/>
  <c r="AD121" i="23" s="1"/>
  <c r="N122" i="23"/>
  <c r="Q122" i="23" s="1"/>
  <c r="Q125" i="23"/>
  <c r="N126" i="23"/>
  <c r="S128" i="23"/>
  <c r="AB128" i="23" s="1"/>
  <c r="AD128" i="23" s="1"/>
  <c r="Q129" i="23"/>
  <c r="N130" i="23"/>
  <c r="S132" i="23"/>
  <c r="AB132" i="23" s="1"/>
  <c r="AD132" i="23" s="1"/>
  <c r="Q133" i="23"/>
  <c r="AB133" i="23" s="1"/>
  <c r="AD133" i="23" s="1"/>
  <c r="N134" i="23"/>
  <c r="W134" i="23" s="1"/>
  <c r="S136" i="23"/>
  <c r="AB136" i="23" s="1"/>
  <c r="AD136" i="23" s="1"/>
  <c r="Q137" i="23"/>
  <c r="N138" i="23"/>
  <c r="S140" i="23"/>
  <c r="AB140" i="23" s="1"/>
  <c r="AD140" i="23" s="1"/>
  <c r="Q141" i="23"/>
  <c r="N142" i="23"/>
  <c r="S144" i="23"/>
  <c r="Q145" i="23"/>
  <c r="N146" i="23"/>
  <c r="P146" i="23" s="1"/>
  <c r="W147" i="23"/>
  <c r="AB147" i="23" s="1"/>
  <c r="AD147" i="23" s="1"/>
  <c r="R148" i="23"/>
  <c r="X148" i="23"/>
  <c r="P148" i="23"/>
  <c r="Y148" i="23"/>
  <c r="W160" i="23"/>
  <c r="AB161" i="23"/>
  <c r="AD161" i="23" s="1"/>
  <c r="AB182" i="23"/>
  <c r="AD182" i="23" s="1"/>
  <c r="T150" i="23"/>
  <c r="AB150" i="23" s="1"/>
  <c r="AD150" i="23" s="1"/>
  <c r="R151" i="23"/>
  <c r="P152" i="23"/>
  <c r="X152" i="23"/>
  <c r="T154" i="23"/>
  <c r="AB154" i="23" s="1"/>
  <c r="AD154" i="23" s="1"/>
  <c r="R155" i="23"/>
  <c r="P156" i="23"/>
  <c r="X156" i="23"/>
  <c r="T158" i="23"/>
  <c r="R159" i="23"/>
  <c r="P160" i="23"/>
  <c r="X160" i="23"/>
  <c r="T162" i="23"/>
  <c r="R163" i="23"/>
  <c r="P164" i="23"/>
  <c r="X164" i="23"/>
  <c r="T166" i="23"/>
  <c r="AB166" i="23" s="1"/>
  <c r="AD166" i="23" s="1"/>
  <c r="R167" i="23"/>
  <c r="P168" i="23"/>
  <c r="X168" i="23"/>
  <c r="T170" i="23"/>
  <c r="AB170" i="23" s="1"/>
  <c r="AD170" i="23" s="1"/>
  <c r="R171" i="23"/>
  <c r="P172" i="23"/>
  <c r="X172" i="23"/>
  <c r="T174" i="23"/>
  <c r="AB174" i="23" s="1"/>
  <c r="AD174" i="23" s="1"/>
  <c r="R175" i="23"/>
  <c r="P176" i="23"/>
  <c r="X176" i="23"/>
  <c r="V177" i="23"/>
  <c r="R179" i="23"/>
  <c r="P180" i="23"/>
  <c r="X180" i="23"/>
  <c r="V181" i="23"/>
  <c r="R183" i="23"/>
  <c r="V185" i="23"/>
  <c r="R187" i="23"/>
  <c r="V189" i="23"/>
  <c r="R191" i="23"/>
  <c r="V193" i="23"/>
  <c r="R195" i="23"/>
  <c r="V197" i="23"/>
  <c r="AB204" i="23"/>
  <c r="AD204" i="23" s="1"/>
  <c r="R232" i="23"/>
  <c r="Y232" i="23"/>
  <c r="P232" i="23"/>
  <c r="AB232" i="23" s="1"/>
  <c r="AD232" i="23" s="1"/>
  <c r="S175" i="23"/>
  <c r="AC175" i="23"/>
  <c r="Q176" i="23"/>
  <c r="Y176" i="23"/>
  <c r="S179" i="23"/>
  <c r="AC179" i="23"/>
  <c r="Q180" i="23"/>
  <c r="Y180" i="23"/>
  <c r="W181" i="23"/>
  <c r="S183" i="23"/>
  <c r="AC183" i="23"/>
  <c r="W185" i="23"/>
  <c r="S187" i="23"/>
  <c r="AC187" i="23"/>
  <c r="N189" i="23"/>
  <c r="T189" i="23" s="1"/>
  <c r="S191" i="23"/>
  <c r="AC191" i="23"/>
  <c r="Y192" i="23"/>
  <c r="N193" i="23"/>
  <c r="S193" i="23" s="1"/>
  <c r="W193" i="23"/>
  <c r="S195" i="23"/>
  <c r="AC195" i="23"/>
  <c r="Q196" i="23"/>
  <c r="Y196" i="23"/>
  <c r="N197" i="23"/>
  <c r="W197" i="23"/>
  <c r="T201" i="23"/>
  <c r="R201" i="23"/>
  <c r="X201" i="23"/>
  <c r="P201" i="23"/>
  <c r="AC201" i="23"/>
  <c r="AB208" i="23"/>
  <c r="AD208" i="23" s="1"/>
  <c r="Q211" i="23"/>
  <c r="S224" i="23"/>
  <c r="Y224" i="23"/>
  <c r="AB244" i="23"/>
  <c r="AD244" i="23" s="1"/>
  <c r="AB248" i="23"/>
  <c r="AD248" i="23" s="1"/>
  <c r="T151" i="23"/>
  <c r="R152" i="23"/>
  <c r="T155" i="23"/>
  <c r="R156" i="23"/>
  <c r="T159" i="23"/>
  <c r="R160" i="23"/>
  <c r="T163" i="23"/>
  <c r="R164" i="23"/>
  <c r="T167" i="23"/>
  <c r="R168" i="23"/>
  <c r="T171" i="23"/>
  <c r="R172" i="23"/>
  <c r="T175" i="23"/>
  <c r="R176" i="23"/>
  <c r="P177" i="23"/>
  <c r="T179" i="23"/>
  <c r="R180" i="23"/>
  <c r="P181" i="23"/>
  <c r="T183" i="23"/>
  <c r="R184" i="23"/>
  <c r="P185" i="23"/>
  <c r="X185" i="23"/>
  <c r="T187" i="23"/>
  <c r="R188" i="23"/>
  <c r="AB188" i="23" s="1"/>
  <c r="P189" i="23"/>
  <c r="X189" i="23"/>
  <c r="T191" i="23"/>
  <c r="R192" i="23"/>
  <c r="P193" i="23"/>
  <c r="X193" i="23"/>
  <c r="T195" i="23"/>
  <c r="R196" i="23"/>
  <c r="P197" i="23"/>
  <c r="X197" i="23"/>
  <c r="W198" i="23"/>
  <c r="AB198" i="23" s="1"/>
  <c r="AD198" i="23" s="1"/>
  <c r="X199" i="23"/>
  <c r="P199" i="23"/>
  <c r="W199" i="23"/>
  <c r="N201" i="23"/>
  <c r="W158" i="23"/>
  <c r="S180" i="23"/>
  <c r="AC180" i="23"/>
  <c r="U183" i="23"/>
  <c r="S184" i="23"/>
  <c r="AC184" i="23"/>
  <c r="Q185" i="23"/>
  <c r="Y185" i="23"/>
  <c r="W186" i="23"/>
  <c r="AB186" i="23" s="1"/>
  <c r="AD186" i="23" s="1"/>
  <c r="U187" i="23"/>
  <c r="S188" i="23"/>
  <c r="AC188" i="23"/>
  <c r="Q189" i="23"/>
  <c r="Y189" i="23"/>
  <c r="W190" i="23"/>
  <c r="AB190" i="23" s="1"/>
  <c r="AD190" i="23" s="1"/>
  <c r="U191" i="23"/>
  <c r="S192" i="23"/>
  <c r="AC192" i="23"/>
  <c r="Q193" i="23"/>
  <c r="Y193" i="23"/>
  <c r="U195" i="23"/>
  <c r="S196" i="23"/>
  <c r="AC196" i="23"/>
  <c r="Q197" i="23"/>
  <c r="Y197" i="23"/>
  <c r="N198" i="23"/>
  <c r="X198" i="23"/>
  <c r="N199" i="23"/>
  <c r="Y199" i="23"/>
  <c r="Q201" i="23"/>
  <c r="V151" i="23"/>
  <c r="V155" i="23"/>
  <c r="V159" i="23"/>
  <c r="T160" i="23"/>
  <c r="V163" i="23"/>
  <c r="V167" i="23"/>
  <c r="V171" i="23"/>
  <c r="V175" i="23"/>
  <c r="T176" i="23"/>
  <c r="V179" i="23"/>
  <c r="T180" i="23"/>
  <c r="V183" i="23"/>
  <c r="V187" i="23"/>
  <c r="R189" i="23"/>
  <c r="V191" i="23"/>
  <c r="V195" i="23"/>
  <c r="R197" i="23"/>
  <c r="AB200" i="23"/>
  <c r="AD200" i="23" s="1"/>
  <c r="W211" i="23"/>
  <c r="Y228" i="23"/>
  <c r="Q228" i="23"/>
  <c r="P228" i="23"/>
  <c r="T261" i="23"/>
  <c r="AC261" i="23"/>
  <c r="S261" i="23"/>
  <c r="R261" i="23"/>
  <c r="Y261" i="23"/>
  <c r="Q261" i="23"/>
  <c r="W261" i="23"/>
  <c r="N261" i="23"/>
  <c r="X261" i="23"/>
  <c r="V261" i="23"/>
  <c r="U261" i="23"/>
  <c r="P261" i="23"/>
  <c r="AC193" i="23"/>
  <c r="N195" i="23"/>
  <c r="W195" i="23"/>
  <c r="S197" i="23"/>
  <c r="AC197" i="23"/>
  <c r="U240" i="23"/>
  <c r="T240" i="23"/>
  <c r="P151" i="23"/>
  <c r="AB151" i="23" s="1"/>
  <c r="AD151" i="23" s="1"/>
  <c r="P155" i="23"/>
  <c r="P159" i="23"/>
  <c r="P163" i="23"/>
  <c r="P167" i="23"/>
  <c r="P171" i="23"/>
  <c r="P175" i="23"/>
  <c r="P183" i="23"/>
  <c r="P187" i="23"/>
  <c r="P191" i="23"/>
  <c r="P195" i="23"/>
  <c r="S236" i="23"/>
  <c r="R236" i="23"/>
  <c r="Y236" i="23"/>
  <c r="T249" i="23"/>
  <c r="AC249" i="23"/>
  <c r="R249" i="23"/>
  <c r="X249" i="23"/>
  <c r="W249" i="23"/>
  <c r="V249" i="23"/>
  <c r="U249" i="23"/>
  <c r="P249" i="23"/>
  <c r="N249" i="23"/>
  <c r="Y249" i="23" s="1"/>
  <c r="V205" i="23"/>
  <c r="V209" i="23"/>
  <c r="V213" i="23"/>
  <c r="V217" i="23"/>
  <c r="V225" i="23"/>
  <c r="V229" i="23"/>
  <c r="V233" i="23"/>
  <c r="V237" i="23"/>
  <c r="V241" i="23"/>
  <c r="R243" i="23"/>
  <c r="R247" i="23"/>
  <c r="S252" i="23"/>
  <c r="Y252" i="23"/>
  <c r="U281" i="23"/>
  <c r="T281" i="23"/>
  <c r="AC281" i="23"/>
  <c r="S281" i="23"/>
  <c r="R281" i="23"/>
  <c r="Y281" i="23"/>
  <c r="Q281" i="23"/>
  <c r="X281" i="23"/>
  <c r="P281" i="23"/>
  <c r="W281" i="23"/>
  <c r="N281" i="23"/>
  <c r="T297" i="23"/>
  <c r="R297" i="23"/>
  <c r="X297" i="23"/>
  <c r="Y297" i="23"/>
  <c r="W297" i="23"/>
  <c r="U297" i="23"/>
  <c r="Q297" i="23"/>
  <c r="N297" i="23"/>
  <c r="P297" i="23" s="1"/>
  <c r="AC219" i="23"/>
  <c r="N221" i="23"/>
  <c r="V221" i="23" s="1"/>
  <c r="W221" i="23"/>
  <c r="S223" i="23"/>
  <c r="AC223" i="23"/>
  <c r="N225" i="23"/>
  <c r="T225" i="23" s="1"/>
  <c r="W225" i="23"/>
  <c r="S227" i="23"/>
  <c r="AC227" i="23"/>
  <c r="N229" i="23"/>
  <c r="W229" i="23" s="1"/>
  <c r="U230" i="23"/>
  <c r="S231" i="23"/>
  <c r="AC231" i="23"/>
  <c r="N233" i="23"/>
  <c r="T233" i="23" s="1"/>
  <c r="W233" i="23"/>
  <c r="U234" i="23"/>
  <c r="S235" i="23"/>
  <c r="AC235" i="23"/>
  <c r="N237" i="23"/>
  <c r="W237" i="23" s="1"/>
  <c r="U238" i="23"/>
  <c r="S239" i="23"/>
  <c r="AC239" i="23"/>
  <c r="N241" i="23"/>
  <c r="S241" i="23" s="1"/>
  <c r="U242" i="23"/>
  <c r="S243" i="23"/>
  <c r="AC243" i="23"/>
  <c r="N245" i="23"/>
  <c r="V245" i="23" s="1"/>
  <c r="W245" i="23"/>
  <c r="U246" i="23"/>
  <c r="S247" i="23"/>
  <c r="AC247" i="23"/>
  <c r="AC257" i="23"/>
  <c r="S257" i="23"/>
  <c r="Y257" i="23"/>
  <c r="Q257" i="23"/>
  <c r="N257" i="23"/>
  <c r="W257" i="23" s="1"/>
  <c r="R258" i="23"/>
  <c r="Y258" i="23"/>
  <c r="Q258" i="23"/>
  <c r="X258" i="23"/>
  <c r="P258" i="23"/>
  <c r="W258" i="23"/>
  <c r="N258" i="23"/>
  <c r="U258" i="23"/>
  <c r="U273" i="23"/>
  <c r="T273" i="23"/>
  <c r="AC273" i="23"/>
  <c r="S273" i="23"/>
  <c r="R273" i="23"/>
  <c r="Y273" i="23"/>
  <c r="Q273" i="23"/>
  <c r="X273" i="23"/>
  <c r="P273" i="23"/>
  <c r="W273" i="23"/>
  <c r="N273" i="23"/>
  <c r="V281" i="23"/>
  <c r="U285" i="23"/>
  <c r="T285" i="23"/>
  <c r="AC285" i="23"/>
  <c r="S285" i="23"/>
  <c r="R285" i="23"/>
  <c r="Y285" i="23"/>
  <c r="Q285" i="23"/>
  <c r="X285" i="23"/>
  <c r="P285" i="23"/>
  <c r="W285" i="23"/>
  <c r="N285" i="23"/>
  <c r="AC297" i="23"/>
  <c r="V202" i="23"/>
  <c r="P205" i="23"/>
  <c r="X205" i="23"/>
  <c r="V206" i="23"/>
  <c r="T207" i="23"/>
  <c r="P209" i="23"/>
  <c r="X209" i="23"/>
  <c r="V210" i="23"/>
  <c r="AB210" i="23" s="1"/>
  <c r="AD210" i="23" s="1"/>
  <c r="T211" i="23"/>
  <c r="P213" i="23"/>
  <c r="X213" i="23"/>
  <c r="V214" i="23"/>
  <c r="AB214" i="23" s="1"/>
  <c r="AD214" i="23" s="1"/>
  <c r="T215" i="23"/>
  <c r="P217" i="23"/>
  <c r="X217" i="23"/>
  <c r="V218" i="23"/>
  <c r="T219" i="23"/>
  <c r="P221" i="23"/>
  <c r="V222" i="23"/>
  <c r="T223" i="23"/>
  <c r="P225" i="23"/>
  <c r="X225" i="23"/>
  <c r="V226" i="23"/>
  <c r="AB226" i="23" s="1"/>
  <c r="AD226" i="23" s="1"/>
  <c r="T227" i="23"/>
  <c r="P229" i="23"/>
  <c r="T231" i="23"/>
  <c r="P233" i="23"/>
  <c r="X233" i="23"/>
  <c r="T235" i="23"/>
  <c r="P237" i="23"/>
  <c r="X237" i="23"/>
  <c r="V238" i="23"/>
  <c r="T239" i="23"/>
  <c r="P241" i="23"/>
  <c r="X241" i="23"/>
  <c r="V242" i="23"/>
  <c r="T243" i="23"/>
  <c r="P245" i="23"/>
  <c r="X245" i="23"/>
  <c r="V246" i="23"/>
  <c r="T247" i="23"/>
  <c r="V273" i="23"/>
  <c r="V285" i="23"/>
  <c r="Y217" i="23"/>
  <c r="Q221" i="23"/>
  <c r="Y221" i="23"/>
  <c r="W222" i="23"/>
  <c r="U223" i="23"/>
  <c r="Q225" i="23"/>
  <c r="Y225" i="23"/>
  <c r="U227" i="23"/>
  <c r="Y229" i="23"/>
  <c r="N230" i="23"/>
  <c r="W230" i="23"/>
  <c r="U231" i="23"/>
  <c r="Q233" i="23"/>
  <c r="Y233" i="23"/>
  <c r="N234" i="23"/>
  <c r="X234" i="23" s="1"/>
  <c r="W234" i="23"/>
  <c r="U235" i="23"/>
  <c r="Q237" i="23"/>
  <c r="Y237" i="23"/>
  <c r="N238" i="23"/>
  <c r="W238" i="23"/>
  <c r="U239" i="23"/>
  <c r="Q241" i="23"/>
  <c r="N242" i="23"/>
  <c r="W242" i="23"/>
  <c r="U243" i="23"/>
  <c r="Q245" i="23"/>
  <c r="Y245" i="23"/>
  <c r="N246" i="23"/>
  <c r="Y246" i="23" s="1"/>
  <c r="W246" i="23"/>
  <c r="U247" i="23"/>
  <c r="R250" i="23"/>
  <c r="Y250" i="23"/>
  <c r="Q250" i="23"/>
  <c r="X250" i="23"/>
  <c r="P250" i="23"/>
  <c r="U257" i="23"/>
  <c r="T258" i="23"/>
  <c r="U269" i="23"/>
  <c r="T269" i="23"/>
  <c r="AC269" i="23"/>
  <c r="R269" i="23"/>
  <c r="X269" i="23"/>
  <c r="P269" i="23"/>
  <c r="W269" i="23"/>
  <c r="N269" i="23"/>
  <c r="S269" i="23" s="1"/>
  <c r="P202" i="23"/>
  <c r="X202" i="23"/>
  <c r="V203" i="23"/>
  <c r="R205" i="23"/>
  <c r="P206" i="23"/>
  <c r="X206" i="23"/>
  <c r="V207" i="23"/>
  <c r="R209" i="23"/>
  <c r="V211" i="23"/>
  <c r="R213" i="23"/>
  <c r="V215" i="23"/>
  <c r="R217" i="23"/>
  <c r="V219" i="23"/>
  <c r="R221" i="23"/>
  <c r="P222" i="23"/>
  <c r="V223" i="23"/>
  <c r="R225" i="23"/>
  <c r="V227" i="23"/>
  <c r="R229" i="23"/>
  <c r="V231" i="23"/>
  <c r="R233" i="23"/>
  <c r="V235" i="23"/>
  <c r="R237" i="23"/>
  <c r="V239" i="23"/>
  <c r="R241" i="23"/>
  <c r="V243" i="23"/>
  <c r="R245" i="23"/>
  <c r="V247" i="23"/>
  <c r="T253" i="23"/>
  <c r="AC253" i="23"/>
  <c r="R253" i="23"/>
  <c r="Y253" i="23"/>
  <c r="W253" i="23"/>
  <c r="N253" i="23"/>
  <c r="S253" i="23" s="1"/>
  <c r="R254" i="23"/>
  <c r="Y254" i="23"/>
  <c r="X254" i="23"/>
  <c r="P254" i="23"/>
  <c r="W254" i="23"/>
  <c r="N254" i="23"/>
  <c r="Q254" i="23" s="1"/>
  <c r="U254" i="23"/>
  <c r="V256" i="23"/>
  <c r="U265" i="23"/>
  <c r="T265" i="23"/>
  <c r="AC265" i="23"/>
  <c r="S265" i="23"/>
  <c r="R265" i="23"/>
  <c r="Y265" i="23"/>
  <c r="Q265" i="23"/>
  <c r="X265" i="23"/>
  <c r="P265" i="23"/>
  <c r="W265" i="23"/>
  <c r="N265" i="23"/>
  <c r="U289" i="23"/>
  <c r="T289" i="23"/>
  <c r="AC289" i="23"/>
  <c r="S289" i="23"/>
  <c r="R289" i="23"/>
  <c r="Y289" i="23"/>
  <c r="Q289" i="23"/>
  <c r="X289" i="23"/>
  <c r="P289" i="23"/>
  <c r="W289" i="23"/>
  <c r="N289" i="23"/>
  <c r="T313" i="23"/>
  <c r="R313" i="23"/>
  <c r="X313" i="23"/>
  <c r="P313" i="23"/>
  <c r="Y313" i="23"/>
  <c r="W313" i="23"/>
  <c r="V313" i="23"/>
  <c r="U313" i="23"/>
  <c r="S313" i="23"/>
  <c r="Q313" i="23"/>
  <c r="N313" i="23"/>
  <c r="S256" i="23"/>
  <c r="Q256" i="23"/>
  <c r="P203" i="23"/>
  <c r="AB203" i="23" s="1"/>
  <c r="AD203" i="23" s="1"/>
  <c r="P207" i="23"/>
  <c r="P211" i="23"/>
  <c r="AB211" i="23" s="1"/>
  <c r="AD211" i="23" s="1"/>
  <c r="P215" i="23"/>
  <c r="P219" i="23"/>
  <c r="P223" i="23"/>
  <c r="P227" i="23"/>
  <c r="P231" i="23"/>
  <c r="P235" i="23"/>
  <c r="P239" i="23"/>
  <c r="P243" i="23"/>
  <c r="AB243" i="23" s="1"/>
  <c r="AD243" i="23" s="1"/>
  <c r="P247" i="23"/>
  <c r="T250" i="23"/>
  <c r="U253" i="23"/>
  <c r="T254" i="23"/>
  <c r="U277" i="23"/>
  <c r="T277" i="23"/>
  <c r="AC277" i="23"/>
  <c r="S277" i="23"/>
  <c r="R277" i="23"/>
  <c r="Y277" i="23"/>
  <c r="Q277" i="23"/>
  <c r="X277" i="23"/>
  <c r="P277" i="23"/>
  <c r="W277" i="23"/>
  <c r="N277" i="23"/>
  <c r="U262" i="23"/>
  <c r="U266" i="23"/>
  <c r="AC267" i="23"/>
  <c r="AD267" i="23" s="1"/>
  <c r="Q268" i="23"/>
  <c r="Y268" i="23"/>
  <c r="U270" i="23"/>
  <c r="S271" i="23"/>
  <c r="AB271" i="23" s="1"/>
  <c r="AD271" i="23" s="1"/>
  <c r="AC271" i="23"/>
  <c r="Q272" i="23"/>
  <c r="Y272" i="23"/>
  <c r="U274" i="23"/>
  <c r="S275" i="23"/>
  <c r="AC275" i="23"/>
  <c r="Q276" i="23"/>
  <c r="Y276" i="23"/>
  <c r="U278" i="23"/>
  <c r="S279" i="23"/>
  <c r="AC279" i="23"/>
  <c r="Q280" i="23"/>
  <c r="Y280" i="23"/>
  <c r="U282" i="23"/>
  <c r="S283" i="23"/>
  <c r="AC283" i="23"/>
  <c r="U286" i="23"/>
  <c r="S287" i="23"/>
  <c r="AC287" i="23"/>
  <c r="U290" i="23"/>
  <c r="T293" i="23"/>
  <c r="R293" i="23"/>
  <c r="X293" i="23"/>
  <c r="P293" i="23"/>
  <c r="AC293" i="23"/>
  <c r="R302" i="23"/>
  <c r="T309" i="23"/>
  <c r="R309" i="23"/>
  <c r="X309" i="23"/>
  <c r="P309" i="23"/>
  <c r="AC309" i="23"/>
  <c r="V262" i="23"/>
  <c r="V266" i="23"/>
  <c r="V270" i="23"/>
  <c r="V274" i="23"/>
  <c r="V278" i="23"/>
  <c r="V282" i="23"/>
  <c r="V286" i="23"/>
  <c r="V290" i="23"/>
  <c r="N262" i="23"/>
  <c r="W262" i="23"/>
  <c r="N266" i="23"/>
  <c r="W266" i="23"/>
  <c r="N270" i="23"/>
  <c r="W270" i="23"/>
  <c r="N274" i="23"/>
  <c r="W274" i="23"/>
  <c r="N278" i="23"/>
  <c r="W278" i="23"/>
  <c r="N282" i="23"/>
  <c r="W282" i="23"/>
  <c r="N286" i="23"/>
  <c r="W286" i="23"/>
  <c r="N290" i="23"/>
  <c r="W290" i="23"/>
  <c r="AB296" i="23"/>
  <c r="AD296" i="23" s="1"/>
  <c r="T305" i="23"/>
  <c r="R305" i="23"/>
  <c r="X305" i="23"/>
  <c r="P305" i="23"/>
  <c r="AC305" i="23"/>
  <c r="Y312" i="23"/>
  <c r="U331" i="23"/>
  <c r="AC331" i="23"/>
  <c r="S331" i="23"/>
  <c r="W331" i="23"/>
  <c r="V331" i="23"/>
  <c r="T331" i="23"/>
  <c r="R331" i="23"/>
  <c r="Q331" i="23"/>
  <c r="P331" i="23"/>
  <c r="Y331" i="23"/>
  <c r="N331" i="23"/>
  <c r="W342" i="23"/>
  <c r="N342" i="23"/>
  <c r="U342" i="23"/>
  <c r="AC342" i="23"/>
  <c r="S342" i="23"/>
  <c r="R342" i="23"/>
  <c r="Y342" i="23"/>
  <c r="Q342" i="23"/>
  <c r="X342" i="23"/>
  <c r="V342" i="23"/>
  <c r="T342" i="23"/>
  <c r="P342" i="23"/>
  <c r="V251" i="23"/>
  <c r="AB251" i="23" s="1"/>
  <c r="AD251" i="23" s="1"/>
  <c r="T252" i="23"/>
  <c r="V255" i="23"/>
  <c r="T256" i="23"/>
  <c r="V259" i="23"/>
  <c r="T260" i="23"/>
  <c r="AB260" i="23" s="1"/>
  <c r="AD260" i="23" s="1"/>
  <c r="P262" i="23"/>
  <c r="X262" i="23"/>
  <c r="V263" i="23"/>
  <c r="AB263" i="23" s="1"/>
  <c r="AD263" i="23" s="1"/>
  <c r="T264" i="23"/>
  <c r="AB264" i="23" s="1"/>
  <c r="AD264" i="23" s="1"/>
  <c r="P266" i="23"/>
  <c r="X266" i="23"/>
  <c r="T268" i="23"/>
  <c r="P270" i="23"/>
  <c r="X270" i="23"/>
  <c r="T272" i="23"/>
  <c r="P274" i="23"/>
  <c r="X274" i="23"/>
  <c r="V275" i="23"/>
  <c r="T276" i="23"/>
  <c r="P278" i="23"/>
  <c r="X278" i="23"/>
  <c r="V279" i="23"/>
  <c r="T280" i="23"/>
  <c r="P282" i="23"/>
  <c r="X282" i="23"/>
  <c r="V283" i="23"/>
  <c r="P286" i="23"/>
  <c r="X286" i="23"/>
  <c r="V287" i="23"/>
  <c r="P290" i="23"/>
  <c r="X290" i="23"/>
  <c r="X291" i="23"/>
  <c r="P291" i="23"/>
  <c r="T291" i="23"/>
  <c r="Y291" i="23"/>
  <c r="N305" i="23"/>
  <c r="S309" i="23"/>
  <c r="X331" i="23"/>
  <c r="Q262" i="23"/>
  <c r="Y262" i="23"/>
  <c r="Q266" i="23"/>
  <c r="Y266" i="23"/>
  <c r="U268" i="23"/>
  <c r="Q270" i="23"/>
  <c r="Y270" i="23"/>
  <c r="U272" i="23"/>
  <c r="Q274" i="23"/>
  <c r="Y274" i="23"/>
  <c r="U276" i="23"/>
  <c r="Q278" i="23"/>
  <c r="Y278" i="23"/>
  <c r="N279" i="23"/>
  <c r="W279" i="23"/>
  <c r="U280" i="23"/>
  <c r="Q282" i="23"/>
  <c r="Y282" i="23"/>
  <c r="N283" i="23"/>
  <c r="W283" i="23"/>
  <c r="U284" i="23"/>
  <c r="AB284" i="23" s="1"/>
  <c r="AD284" i="23" s="1"/>
  <c r="Q286" i="23"/>
  <c r="Y286" i="23"/>
  <c r="N287" i="23"/>
  <c r="W287" i="23"/>
  <c r="U288" i="23"/>
  <c r="AB288" i="23" s="1"/>
  <c r="AD288" i="23" s="1"/>
  <c r="Q290" i="23"/>
  <c r="Y290" i="23"/>
  <c r="N291" i="23"/>
  <c r="U293" i="23"/>
  <c r="T301" i="23"/>
  <c r="R301" i="23"/>
  <c r="X301" i="23"/>
  <c r="P301" i="23"/>
  <c r="AC301" i="23"/>
  <c r="Q305" i="23"/>
  <c r="U309" i="23"/>
  <c r="P255" i="23"/>
  <c r="AB255" i="23" s="1"/>
  <c r="AD255" i="23" s="1"/>
  <c r="P259" i="23"/>
  <c r="P279" i="23"/>
  <c r="AB279" i="23" s="1"/>
  <c r="AD279" i="23" s="1"/>
  <c r="R282" i="23"/>
  <c r="P283" i="23"/>
  <c r="R286" i="23"/>
  <c r="P287" i="23"/>
  <c r="R290" i="23"/>
  <c r="Q291" i="23"/>
  <c r="AC291" i="23"/>
  <c r="V293" i="23"/>
  <c r="S305" i="23"/>
  <c r="V309" i="23"/>
  <c r="S282" i="23"/>
  <c r="S286" i="23"/>
  <c r="S290" i="23"/>
  <c r="AB294" i="23"/>
  <c r="AD294" i="23" s="1"/>
  <c r="AB310" i="23"/>
  <c r="AD310" i="23" s="1"/>
  <c r="R292" i="23"/>
  <c r="AB292" i="23" s="1"/>
  <c r="AD292" i="23" s="1"/>
  <c r="V294" i="23"/>
  <c r="T295" i="23"/>
  <c r="V298" i="23"/>
  <c r="T299" i="23"/>
  <c r="R300" i="23"/>
  <c r="AB300" i="23" s="1"/>
  <c r="AD300" i="23" s="1"/>
  <c r="V302" i="23"/>
  <c r="T303" i="23"/>
  <c r="R304" i="23"/>
  <c r="V306" i="23"/>
  <c r="AB306" i="23" s="1"/>
  <c r="AD306" i="23" s="1"/>
  <c r="T307" i="23"/>
  <c r="R308" i="23"/>
  <c r="AB308" i="23" s="1"/>
  <c r="AD308" i="23" s="1"/>
  <c r="T311" i="23"/>
  <c r="R312" i="23"/>
  <c r="V314" i="23"/>
  <c r="T315" i="23"/>
  <c r="R316" i="23"/>
  <c r="AB316" i="23" s="1"/>
  <c r="AD316" i="23" s="1"/>
  <c r="P317" i="23"/>
  <c r="X317" i="23"/>
  <c r="V318" i="23"/>
  <c r="AB318" i="23" s="1"/>
  <c r="AD318" i="23" s="1"/>
  <c r="T319" i="23"/>
  <c r="R320" i="23"/>
  <c r="P321" i="23"/>
  <c r="X321" i="23"/>
  <c r="V322" i="23"/>
  <c r="T323" i="23"/>
  <c r="P325" i="23"/>
  <c r="X325" i="23"/>
  <c r="V326" i="23"/>
  <c r="T327" i="23"/>
  <c r="P329" i="23"/>
  <c r="X329" i="23"/>
  <c r="N330" i="23"/>
  <c r="W330" i="23" s="1"/>
  <c r="Y330" i="23"/>
  <c r="P332" i="23"/>
  <c r="T333" i="23"/>
  <c r="AC336" i="23"/>
  <c r="S336" i="23"/>
  <c r="Y336" i="23"/>
  <c r="Q336" i="23"/>
  <c r="X336" i="23"/>
  <c r="R337" i="23"/>
  <c r="R341" i="23"/>
  <c r="U343" i="23"/>
  <c r="AC343" i="23"/>
  <c r="S343" i="23"/>
  <c r="Y343" i="23"/>
  <c r="Q343" i="23"/>
  <c r="X343" i="23"/>
  <c r="P343" i="23"/>
  <c r="W343" i="23"/>
  <c r="N343" i="23"/>
  <c r="U363" i="23"/>
  <c r="T363" i="23"/>
  <c r="S363" i="23"/>
  <c r="AC363" i="23"/>
  <c r="AD363" i="23" s="1"/>
  <c r="R363" i="23"/>
  <c r="Y363" i="23"/>
  <c r="Q363" i="23"/>
  <c r="X363" i="23"/>
  <c r="P363" i="23"/>
  <c r="W363" i="23"/>
  <c r="N363" i="23"/>
  <c r="U428" i="23"/>
  <c r="T428" i="23"/>
  <c r="S428" i="23"/>
  <c r="AC428" i="23"/>
  <c r="AD428" i="23" s="1"/>
  <c r="R428" i="23"/>
  <c r="Y428" i="23"/>
  <c r="Q428" i="23"/>
  <c r="X428" i="23"/>
  <c r="P428" i="23"/>
  <c r="W428" i="23"/>
  <c r="N428" i="23"/>
  <c r="V428" i="23"/>
  <c r="U335" i="23"/>
  <c r="AC335" i="23"/>
  <c r="S335" i="23"/>
  <c r="X335" i="23"/>
  <c r="W338" i="23"/>
  <c r="N338" i="23"/>
  <c r="U338" i="23"/>
  <c r="AC338" i="23"/>
  <c r="S338" i="23"/>
  <c r="Y338" i="23"/>
  <c r="Q338" i="23"/>
  <c r="U355" i="23"/>
  <c r="T355" i="23"/>
  <c r="S355" i="23"/>
  <c r="Y355" i="23"/>
  <c r="Q355" i="23"/>
  <c r="X355" i="23"/>
  <c r="P355" i="23"/>
  <c r="W355" i="23"/>
  <c r="N355" i="23"/>
  <c r="V295" i="23"/>
  <c r="V299" i="23"/>
  <c r="V303" i="23"/>
  <c r="V307" i="23"/>
  <c r="V311" i="23"/>
  <c r="V315" i="23"/>
  <c r="R317" i="23"/>
  <c r="V319" i="23"/>
  <c r="T320" i="23"/>
  <c r="R321" i="23"/>
  <c r="P322" i="23"/>
  <c r="X322" i="23"/>
  <c r="V323" i="23"/>
  <c r="T324" i="23"/>
  <c r="AB324" i="23" s="1"/>
  <c r="AD324" i="23" s="1"/>
  <c r="R325" i="23"/>
  <c r="P326" i="23"/>
  <c r="X326" i="23"/>
  <c r="V327" i="23"/>
  <c r="T328" i="23"/>
  <c r="R329" i="23"/>
  <c r="Q330" i="23"/>
  <c r="AC330" i="23"/>
  <c r="T332" i="23"/>
  <c r="W334" i="23"/>
  <c r="N334" i="23"/>
  <c r="U334" i="23"/>
  <c r="Y334" i="23"/>
  <c r="N335" i="23"/>
  <c r="Y335" i="23"/>
  <c r="P336" i="23"/>
  <c r="V337" i="23"/>
  <c r="P338" i="23"/>
  <c r="T343" i="23"/>
  <c r="W353" i="23"/>
  <c r="N353" i="23"/>
  <c r="U353" i="23" s="1"/>
  <c r="S353" i="23"/>
  <c r="AC353" i="23"/>
  <c r="AD353" i="23" s="1"/>
  <c r="R353" i="23"/>
  <c r="Y353" i="23"/>
  <c r="Q353" i="23"/>
  <c r="R355" i="23"/>
  <c r="S321" i="23"/>
  <c r="AC321" i="23"/>
  <c r="S325" i="23"/>
  <c r="AC325" i="23"/>
  <c r="S329" i="23"/>
  <c r="AC329" i="23"/>
  <c r="U332" i="23"/>
  <c r="P335" i="23"/>
  <c r="R338" i="23"/>
  <c r="U339" i="23"/>
  <c r="AC339" i="23"/>
  <c r="S339" i="23"/>
  <c r="Y339" i="23"/>
  <c r="Q339" i="23"/>
  <c r="X339" i="23"/>
  <c r="P339" i="23"/>
  <c r="W339" i="23"/>
  <c r="N339" i="23"/>
  <c r="Y345" i="23"/>
  <c r="Q345" i="23"/>
  <c r="W345" i="23"/>
  <c r="N345" i="23"/>
  <c r="U345" i="23"/>
  <c r="T345" i="23"/>
  <c r="AC345" i="23"/>
  <c r="S345" i="23"/>
  <c r="V355" i="23"/>
  <c r="P295" i="23"/>
  <c r="P299" i="23"/>
  <c r="AB299" i="23" s="1"/>
  <c r="AD299" i="23" s="1"/>
  <c r="P303" i="23"/>
  <c r="AB303" i="23" s="1"/>
  <c r="AD303" i="23" s="1"/>
  <c r="P307" i="23"/>
  <c r="AB307" i="23" s="1"/>
  <c r="AD307" i="23" s="1"/>
  <c r="P311" i="23"/>
  <c r="AB311" i="23" s="1"/>
  <c r="AD311" i="23" s="1"/>
  <c r="P315" i="23"/>
  <c r="T317" i="23"/>
  <c r="P319" i="23"/>
  <c r="T321" i="23"/>
  <c r="P323" i="23"/>
  <c r="T325" i="23"/>
  <c r="P327" i="23"/>
  <c r="AB327" i="23" s="1"/>
  <c r="AD327" i="23" s="1"/>
  <c r="T329" i="23"/>
  <c r="S330" i="23"/>
  <c r="W333" i="23"/>
  <c r="N333" i="23"/>
  <c r="P333" i="23" s="1"/>
  <c r="Q335" i="23"/>
  <c r="T336" i="23"/>
  <c r="T338" i="23"/>
  <c r="R339" i="23"/>
  <c r="P345" i="23"/>
  <c r="W346" i="23"/>
  <c r="N346" i="23"/>
  <c r="U346" i="23"/>
  <c r="AC346" i="23"/>
  <c r="S346" i="23"/>
  <c r="R346" i="23"/>
  <c r="Y346" i="23"/>
  <c r="Q346" i="23"/>
  <c r="AB346" i="23" s="1"/>
  <c r="AD346" i="23" s="1"/>
  <c r="Y351" i="23"/>
  <c r="Q351" i="23"/>
  <c r="N351" i="23"/>
  <c r="R351" i="23" s="1"/>
  <c r="U351" i="23"/>
  <c r="S351" i="23"/>
  <c r="AC355" i="23"/>
  <c r="AD355" i="23" s="1"/>
  <c r="W328" i="23"/>
  <c r="R335" i="23"/>
  <c r="V338" i="23"/>
  <c r="U347" i="23"/>
  <c r="S347" i="23"/>
  <c r="Y347" i="23"/>
  <c r="Q347" i="23"/>
  <c r="X347" i="23"/>
  <c r="P347" i="23"/>
  <c r="W347" i="23"/>
  <c r="N347" i="23"/>
  <c r="U371" i="23"/>
  <c r="T371" i="23"/>
  <c r="S371" i="23"/>
  <c r="AC371" i="23"/>
  <c r="AD371" i="23" s="1"/>
  <c r="R371" i="23"/>
  <c r="Y371" i="23"/>
  <c r="Q371" i="23"/>
  <c r="X371" i="23"/>
  <c r="P371" i="23"/>
  <c r="W371" i="23"/>
  <c r="N371" i="23"/>
  <c r="AC332" i="23"/>
  <c r="S332" i="23"/>
  <c r="Y332" i="23"/>
  <c r="Q332" i="23"/>
  <c r="X332" i="23"/>
  <c r="T335" i="23"/>
  <c r="Y337" i="23"/>
  <c r="Q337" i="23"/>
  <c r="W337" i="23"/>
  <c r="N337" i="23"/>
  <c r="U337" i="23"/>
  <c r="AC337" i="23"/>
  <c r="S337" i="23"/>
  <c r="X338" i="23"/>
  <c r="Y341" i="23"/>
  <c r="Q341" i="23"/>
  <c r="W341" i="23"/>
  <c r="N341" i="23"/>
  <c r="U341" i="23"/>
  <c r="T341" i="23"/>
  <c r="AC341" i="23"/>
  <c r="S341" i="23"/>
  <c r="R347" i="23"/>
  <c r="V371" i="23"/>
  <c r="U340" i="23"/>
  <c r="U344" i="23"/>
  <c r="V348" i="23"/>
  <c r="U349" i="23"/>
  <c r="T350" i="23"/>
  <c r="V356" i="23"/>
  <c r="U357" i="23"/>
  <c r="T358" i="23"/>
  <c r="S359" i="23"/>
  <c r="Q361" i="23"/>
  <c r="Y361" i="23"/>
  <c r="V364" i="23"/>
  <c r="U365" i="23"/>
  <c r="T366" i="23"/>
  <c r="S367" i="23"/>
  <c r="Q369" i="23"/>
  <c r="Y369" i="23"/>
  <c r="V372" i="23"/>
  <c r="U373" i="23"/>
  <c r="T374" i="23"/>
  <c r="S375" i="23"/>
  <c r="Q377" i="23"/>
  <c r="Y377" i="23"/>
  <c r="U412" i="23"/>
  <c r="T412" i="23"/>
  <c r="S412" i="23"/>
  <c r="AC412" i="23"/>
  <c r="AD412" i="23" s="1"/>
  <c r="R412" i="23"/>
  <c r="Y412" i="23"/>
  <c r="Q412" i="23"/>
  <c r="X412" i="23"/>
  <c r="P412" i="23"/>
  <c r="W412" i="23"/>
  <c r="N412" i="23"/>
  <c r="V340" i="23"/>
  <c r="V344" i="23"/>
  <c r="V349" i="23"/>
  <c r="V357" i="23"/>
  <c r="T359" i="23"/>
  <c r="R361" i="23"/>
  <c r="AC361" i="23"/>
  <c r="AD361" i="23" s="1"/>
  <c r="V365" i="23"/>
  <c r="T367" i="23"/>
  <c r="R369" i="23"/>
  <c r="AC369" i="23"/>
  <c r="AD369" i="23" s="1"/>
  <c r="V373" i="23"/>
  <c r="T375" i="23"/>
  <c r="R377" i="23"/>
  <c r="AC377" i="23"/>
  <c r="AD377" i="23" s="1"/>
  <c r="U396" i="23"/>
  <c r="T396" i="23"/>
  <c r="S396" i="23"/>
  <c r="AC396" i="23"/>
  <c r="AD396" i="23" s="1"/>
  <c r="R396" i="23"/>
  <c r="Y396" i="23"/>
  <c r="Q396" i="23"/>
  <c r="X396" i="23"/>
  <c r="P396" i="23"/>
  <c r="W396" i="23"/>
  <c r="N396" i="23"/>
  <c r="U420" i="23"/>
  <c r="T420" i="23"/>
  <c r="S420" i="23"/>
  <c r="AC420" i="23"/>
  <c r="AD420" i="23" s="1"/>
  <c r="R420" i="23"/>
  <c r="Y420" i="23"/>
  <c r="Q420" i="23"/>
  <c r="X420" i="23"/>
  <c r="P420" i="23"/>
  <c r="W420" i="23"/>
  <c r="N420" i="23"/>
  <c r="N340" i="23"/>
  <c r="W340" i="23"/>
  <c r="N344" i="23"/>
  <c r="X344" i="23" s="1"/>
  <c r="W344" i="23"/>
  <c r="P348" i="23"/>
  <c r="X348" i="23"/>
  <c r="N349" i="23"/>
  <c r="W349" i="23"/>
  <c r="V350" i="23"/>
  <c r="P356" i="23"/>
  <c r="X356" i="23"/>
  <c r="N357" i="23"/>
  <c r="W357" i="23"/>
  <c r="V358" i="23"/>
  <c r="U359" i="23"/>
  <c r="S361" i="23"/>
  <c r="P364" i="23"/>
  <c r="X364" i="23"/>
  <c r="N365" i="23"/>
  <c r="T365" i="23" s="1"/>
  <c r="W365" i="23"/>
  <c r="V366" i="23"/>
  <c r="U367" i="23"/>
  <c r="S369" i="23"/>
  <c r="P372" i="23"/>
  <c r="X372" i="23"/>
  <c r="N373" i="23"/>
  <c r="W373" i="23"/>
  <c r="V374" i="23"/>
  <c r="U375" i="23"/>
  <c r="S377" i="23"/>
  <c r="U380" i="23"/>
  <c r="X380" i="23"/>
  <c r="P380" i="23"/>
  <c r="W380" i="23"/>
  <c r="N380" i="23"/>
  <c r="V359" i="23"/>
  <c r="V367" i="23"/>
  <c r="V375" i="23"/>
  <c r="T377" i="23"/>
  <c r="Q340" i="23"/>
  <c r="Y340" i="23"/>
  <c r="Q344" i="23"/>
  <c r="Y344" i="23"/>
  <c r="R348" i="23"/>
  <c r="AC348" i="23"/>
  <c r="AD348" i="23" s="1"/>
  <c r="Q349" i="23"/>
  <c r="Y349" i="23"/>
  <c r="P350" i="23"/>
  <c r="X350" i="23"/>
  <c r="V352" i="23"/>
  <c r="T354" i="23"/>
  <c r="R356" i="23"/>
  <c r="AC356" i="23"/>
  <c r="AD356" i="23" s="1"/>
  <c r="Q357" i="23"/>
  <c r="Y357" i="23"/>
  <c r="P358" i="23"/>
  <c r="X358" i="23"/>
  <c r="N359" i="23"/>
  <c r="W359" i="23"/>
  <c r="V360" i="23"/>
  <c r="U361" i="23"/>
  <c r="T362" i="23"/>
  <c r="R364" i="23"/>
  <c r="AC364" i="23"/>
  <c r="AD364" i="23" s="1"/>
  <c r="Q365" i="23"/>
  <c r="Y365" i="23"/>
  <c r="P366" i="23"/>
  <c r="X366" i="23"/>
  <c r="N367" i="23"/>
  <c r="W367" i="23"/>
  <c r="V368" i="23"/>
  <c r="U369" i="23"/>
  <c r="T370" i="23"/>
  <c r="R372" i="23"/>
  <c r="AC372" i="23"/>
  <c r="AD372" i="23" s="1"/>
  <c r="Q373" i="23"/>
  <c r="Y373" i="23"/>
  <c r="P374" i="23"/>
  <c r="X374" i="23"/>
  <c r="N375" i="23"/>
  <c r="W375" i="23"/>
  <c r="U377" i="23"/>
  <c r="R380" i="23"/>
  <c r="P359" i="23"/>
  <c r="X359" i="23"/>
  <c r="V361" i="23"/>
  <c r="P367" i="23"/>
  <c r="X367" i="23"/>
  <c r="V369" i="23"/>
  <c r="P375" i="23"/>
  <c r="X375" i="23"/>
  <c r="V377" i="23"/>
  <c r="U388" i="23"/>
  <c r="T388" i="23"/>
  <c r="S388" i="23"/>
  <c r="AC388" i="23"/>
  <c r="AD388" i="23" s="1"/>
  <c r="R388" i="23"/>
  <c r="Y388" i="23"/>
  <c r="Q388" i="23"/>
  <c r="X388" i="23"/>
  <c r="P388" i="23"/>
  <c r="W388" i="23"/>
  <c r="N388" i="23"/>
  <c r="S340" i="23"/>
  <c r="S344" i="23"/>
  <c r="R350" i="23"/>
  <c r="P352" i="23"/>
  <c r="R358" i="23"/>
  <c r="Q359" i="23"/>
  <c r="P360" i="23"/>
  <c r="N361" i="23"/>
  <c r="R366" i="23"/>
  <c r="Q367" i="23"/>
  <c r="P368" i="23"/>
  <c r="N369" i="23"/>
  <c r="R374" i="23"/>
  <c r="Q375" i="23"/>
  <c r="N377" i="23"/>
  <c r="W378" i="23"/>
  <c r="N378" i="23"/>
  <c r="AC378" i="23"/>
  <c r="AD378" i="23" s="1"/>
  <c r="X378" i="23"/>
  <c r="T380" i="23"/>
  <c r="V388" i="23"/>
  <c r="U404" i="23"/>
  <c r="T404" i="23"/>
  <c r="S404" i="23"/>
  <c r="AC404" i="23"/>
  <c r="AD404" i="23" s="1"/>
  <c r="R404" i="23"/>
  <c r="Y404" i="23"/>
  <c r="Q404" i="23"/>
  <c r="X404" i="23"/>
  <c r="P404" i="23"/>
  <c r="W404" i="23"/>
  <c r="N404" i="23"/>
  <c r="V381" i="23"/>
  <c r="U382" i="23"/>
  <c r="T383" i="23"/>
  <c r="S384" i="23"/>
  <c r="R385" i="23"/>
  <c r="AC385" i="23"/>
  <c r="AD385" i="23" s="1"/>
  <c r="Q386" i="23"/>
  <c r="Y386" i="23"/>
  <c r="P387" i="23"/>
  <c r="X387" i="23"/>
  <c r="V389" i="23"/>
  <c r="U390" i="23"/>
  <c r="T391" i="23"/>
  <c r="S392" i="23"/>
  <c r="R393" i="23"/>
  <c r="AC393" i="23"/>
  <c r="AD393" i="23" s="1"/>
  <c r="Q394" i="23"/>
  <c r="Y394" i="23"/>
  <c r="P395" i="23"/>
  <c r="X395" i="23"/>
  <c r="V397" i="23"/>
  <c r="U398" i="23"/>
  <c r="T399" i="23"/>
  <c r="S400" i="23"/>
  <c r="R401" i="23"/>
  <c r="AC401" i="23"/>
  <c r="AD401" i="23" s="1"/>
  <c r="Q402" i="23"/>
  <c r="Y402" i="23"/>
  <c r="P403" i="23"/>
  <c r="X403" i="23"/>
  <c r="V405" i="23"/>
  <c r="U406" i="23"/>
  <c r="T407" i="23"/>
  <c r="S408" i="23"/>
  <c r="R409" i="23"/>
  <c r="AC409" i="23"/>
  <c r="AD409" i="23" s="1"/>
  <c r="Q410" i="23"/>
  <c r="Y410" i="23"/>
  <c r="P411" i="23"/>
  <c r="X411" i="23"/>
  <c r="V413" i="23"/>
  <c r="U414" i="23"/>
  <c r="T415" i="23"/>
  <c r="S416" i="23"/>
  <c r="R417" i="23"/>
  <c r="AC417" i="23"/>
  <c r="AD417" i="23" s="1"/>
  <c r="Q418" i="23"/>
  <c r="Y418" i="23"/>
  <c r="P419" i="23"/>
  <c r="X419" i="23"/>
  <c r="V421" i="23"/>
  <c r="U422" i="23"/>
  <c r="T423" i="23"/>
  <c r="S424" i="23"/>
  <c r="R425" i="23"/>
  <c r="AC425" i="23"/>
  <c r="AD425" i="23" s="1"/>
  <c r="Q426" i="23"/>
  <c r="Y426" i="23"/>
  <c r="P427" i="23"/>
  <c r="X427" i="23"/>
  <c r="V429" i="23"/>
  <c r="Q379" i="23"/>
  <c r="Y379" i="23"/>
  <c r="N381" i="23"/>
  <c r="W381" i="23"/>
  <c r="V382" i="23"/>
  <c r="U383" i="23"/>
  <c r="T384" i="23"/>
  <c r="S385" i="23"/>
  <c r="R386" i="23"/>
  <c r="AC386" i="23"/>
  <c r="AD386" i="23" s="1"/>
  <c r="Q387" i="23"/>
  <c r="Y387" i="23"/>
  <c r="N389" i="23"/>
  <c r="W389" i="23"/>
  <c r="V390" i="23"/>
  <c r="U391" i="23"/>
  <c r="T392" i="23"/>
  <c r="S393" i="23"/>
  <c r="R394" i="23"/>
  <c r="AC394" i="23"/>
  <c r="AD394" i="23" s="1"/>
  <c r="Q395" i="23"/>
  <c r="Y395" i="23"/>
  <c r="N397" i="23"/>
  <c r="W397" i="23"/>
  <c r="V398" i="23"/>
  <c r="U399" i="23"/>
  <c r="T400" i="23"/>
  <c r="S401" i="23"/>
  <c r="R402" i="23"/>
  <c r="AC402" i="23"/>
  <c r="AD402" i="23" s="1"/>
  <c r="Q403" i="23"/>
  <c r="Y403" i="23"/>
  <c r="N405" i="23"/>
  <c r="V406" i="23"/>
  <c r="U407" i="23"/>
  <c r="T408" i="23"/>
  <c r="S409" i="23"/>
  <c r="R410" i="23"/>
  <c r="AC410" i="23"/>
  <c r="AD410" i="23" s="1"/>
  <c r="Q411" i="23"/>
  <c r="Y411" i="23"/>
  <c r="N413" i="23"/>
  <c r="W413" i="23"/>
  <c r="V414" i="23"/>
  <c r="U415" i="23"/>
  <c r="T416" i="23"/>
  <c r="S417" i="23"/>
  <c r="R418" i="23"/>
  <c r="AC418" i="23"/>
  <c r="AD418" i="23" s="1"/>
  <c r="Q419" i="23"/>
  <c r="Y419" i="23"/>
  <c r="N421" i="23"/>
  <c r="W421" i="23"/>
  <c r="V422" i="23"/>
  <c r="U423" i="23"/>
  <c r="T424" i="23"/>
  <c r="S425" i="23"/>
  <c r="R426" i="23"/>
  <c r="AC426" i="23"/>
  <c r="AD426" i="23" s="1"/>
  <c r="Q427" i="23"/>
  <c r="Y427" i="23"/>
  <c r="N429" i="23"/>
  <c r="W429" i="23"/>
  <c r="V383" i="23"/>
  <c r="U384" i="23"/>
  <c r="T385" i="23"/>
  <c r="S386" i="23"/>
  <c r="V391" i="23"/>
  <c r="U392" i="23"/>
  <c r="T393" i="23"/>
  <c r="S394" i="23"/>
  <c r="V399" i="23"/>
  <c r="U400" i="23"/>
  <c r="T401" i="23"/>
  <c r="S402" i="23"/>
  <c r="V407" i="23"/>
  <c r="U408" i="23"/>
  <c r="S410" i="23"/>
  <c r="V415" i="23"/>
  <c r="U416" i="23"/>
  <c r="S418" i="23"/>
  <c r="V423" i="23"/>
  <c r="U424" i="23"/>
  <c r="T425" i="23"/>
  <c r="S426" i="23"/>
  <c r="R427" i="23"/>
  <c r="AC427" i="23"/>
  <c r="AD427" i="23" s="1"/>
  <c r="P429" i="23"/>
  <c r="X429" i="23"/>
  <c r="N383" i="23"/>
  <c r="W383" i="23"/>
  <c r="V384" i="23"/>
  <c r="U385" i="23"/>
  <c r="T386" i="23"/>
  <c r="V392" i="23"/>
  <c r="U393" i="23"/>
  <c r="T394" i="23"/>
  <c r="V400" i="23"/>
  <c r="U401" i="23"/>
  <c r="T402" i="23"/>
  <c r="N407" i="23"/>
  <c r="W407" i="23"/>
  <c r="V408" i="23"/>
  <c r="T410" i="23"/>
  <c r="N415" i="23"/>
  <c r="W415" i="23"/>
  <c r="V416" i="23"/>
  <c r="T418" i="23"/>
  <c r="N423" i="23"/>
  <c r="W423" i="23"/>
  <c r="V424" i="23"/>
  <c r="U425" i="23"/>
  <c r="T426" i="23"/>
  <c r="S427" i="23"/>
  <c r="Q429" i="23"/>
  <c r="Y429" i="23"/>
  <c r="V385" i="23"/>
  <c r="U386" i="23"/>
  <c r="N392" i="23"/>
  <c r="W392" i="23"/>
  <c r="V393" i="23"/>
  <c r="U394" i="23"/>
  <c r="N400" i="23"/>
  <c r="W400" i="23"/>
  <c r="V401" i="23"/>
  <c r="U402" i="23"/>
  <c r="P407" i="23"/>
  <c r="X407" i="23"/>
  <c r="N408" i="23"/>
  <c r="W408" i="23"/>
  <c r="V409" i="23"/>
  <c r="U410" i="23"/>
  <c r="T411" i="23"/>
  <c r="R413" i="23"/>
  <c r="AC413" i="23"/>
  <c r="AD413" i="23" s="1"/>
  <c r="Q414" i="23"/>
  <c r="Y414" i="23"/>
  <c r="P415" i="23"/>
  <c r="X415" i="23"/>
  <c r="N416" i="23"/>
  <c r="W416" i="23"/>
  <c r="V417" i="23"/>
  <c r="U418" i="23"/>
  <c r="T419" i="23"/>
  <c r="R421" i="23"/>
  <c r="AC421" i="23"/>
  <c r="AD421" i="23" s="1"/>
  <c r="Q422" i="23"/>
  <c r="Y422" i="23"/>
  <c r="P423" i="23"/>
  <c r="X423" i="23"/>
  <c r="N424" i="23"/>
  <c r="W424" i="23"/>
  <c r="V425" i="23"/>
  <c r="U426" i="23"/>
  <c r="T427" i="23"/>
  <c r="R429" i="23"/>
  <c r="AC429" i="23"/>
  <c r="AD429" i="23" s="1"/>
  <c r="V386" i="23"/>
  <c r="V394" i="23"/>
  <c r="V402" i="23"/>
  <c r="V410" i="23"/>
  <c r="Q415" i="23"/>
  <c r="Y415" i="23"/>
  <c r="P416" i="23"/>
  <c r="X416" i="23"/>
  <c r="V418" i="23"/>
  <c r="V426" i="23"/>
  <c r="U427" i="23"/>
  <c r="S429" i="23"/>
  <c r="R383" i="23"/>
  <c r="Q384" i="23"/>
  <c r="P385" i="23"/>
  <c r="N386" i="23"/>
  <c r="R391" i="23"/>
  <c r="Q392" i="23"/>
  <c r="P393" i="23"/>
  <c r="N394" i="23"/>
  <c r="R399" i="23"/>
  <c r="Q400" i="23"/>
  <c r="P401" i="23"/>
  <c r="N402" i="23"/>
  <c r="R407" i="23"/>
  <c r="Q408" i="23"/>
  <c r="P409" i="23"/>
  <c r="N410" i="23"/>
  <c r="R415" i="23"/>
  <c r="Q416" i="23"/>
  <c r="P417" i="23"/>
  <c r="N418" i="23"/>
  <c r="R423" i="23"/>
  <c r="Q424" i="23"/>
  <c r="P425" i="23"/>
  <c r="N426" i="23"/>
  <c r="W143" i="4"/>
  <c r="S143" i="4"/>
  <c r="R143" i="4"/>
  <c r="AF143" i="4" s="1"/>
  <c r="AH143" i="4" s="1"/>
  <c r="S214" i="4"/>
  <c r="Z214" i="4"/>
  <c r="U214" i="4"/>
  <c r="X4" i="4"/>
  <c r="AB11" i="4"/>
  <c r="AG15" i="4"/>
  <c r="W15" i="4"/>
  <c r="V15" i="4"/>
  <c r="Z15" i="4"/>
  <c r="R16" i="4"/>
  <c r="P20" i="4"/>
  <c r="P25" i="4"/>
  <c r="AC25" i="4"/>
  <c r="AC40" i="4"/>
  <c r="U40" i="4"/>
  <c r="T40" i="4"/>
  <c r="Z40" i="4"/>
  <c r="R40" i="4"/>
  <c r="P43" i="4"/>
  <c r="S43" i="4" s="1"/>
  <c r="AC43" i="4"/>
  <c r="S48" i="4"/>
  <c r="AC52" i="4"/>
  <c r="U52" i="4"/>
  <c r="T52" i="4"/>
  <c r="Z52" i="4"/>
  <c r="R52" i="4"/>
  <c r="P55" i="4"/>
  <c r="AC55" i="4"/>
  <c r="S60" i="4"/>
  <c r="AC64" i="4"/>
  <c r="U64" i="4"/>
  <c r="AB64" i="4"/>
  <c r="T64" i="4"/>
  <c r="R64" i="4"/>
  <c r="P67" i="4"/>
  <c r="U67" i="4" s="1"/>
  <c r="AC67" i="4"/>
  <c r="AF74" i="4"/>
  <c r="AH74" i="4" s="1"/>
  <c r="AG79" i="4"/>
  <c r="W79" i="4"/>
  <c r="V79" i="4"/>
  <c r="AB79" i="4"/>
  <c r="T79" i="4"/>
  <c r="AA79" i="4"/>
  <c r="AF94" i="4"/>
  <c r="AH94" i="4" s="1"/>
  <c r="S120" i="4"/>
  <c r="X120" i="4"/>
  <c r="AB206" i="4"/>
  <c r="U206" i="4"/>
  <c r="AC206" i="4"/>
  <c r="Z206" i="4"/>
  <c r="P206" i="4"/>
  <c r="AG206" i="4"/>
  <c r="Y206" i="4"/>
  <c r="X206" i="4"/>
  <c r="W206" i="4"/>
  <c r="V206" i="4"/>
  <c r="R206" i="4"/>
  <c r="AC20" i="4"/>
  <c r="U20" i="4"/>
  <c r="AB20" i="4"/>
  <c r="T20" i="4"/>
  <c r="Z226" i="4"/>
  <c r="V226" i="4"/>
  <c r="AA226" i="4"/>
  <c r="AG195" i="4"/>
  <c r="V195" i="4"/>
  <c r="X195" i="4"/>
  <c r="T195" i="4"/>
  <c r="AC195" i="4"/>
  <c r="AB195" i="4"/>
  <c r="R195" i="4"/>
  <c r="AA195" i="4"/>
  <c r="P195" i="4"/>
  <c r="S195" i="4" s="1"/>
  <c r="Z195" i="4"/>
  <c r="Y195" i="4"/>
  <c r="U195" i="4"/>
  <c r="U2" i="4"/>
  <c r="AC2" i="4"/>
  <c r="P4" i="4"/>
  <c r="Y4" i="4"/>
  <c r="W5" i="4"/>
  <c r="AG5" i="4"/>
  <c r="U6" i="4"/>
  <c r="AC6" i="4"/>
  <c r="W8" i="4"/>
  <c r="S11" i="4"/>
  <c r="AC11" i="4"/>
  <c r="W12" i="4"/>
  <c r="P15" i="4"/>
  <c r="Y15" i="4" s="1"/>
  <c r="AA15" i="4"/>
  <c r="S16" i="4"/>
  <c r="AG16" i="4"/>
  <c r="AG19" i="4"/>
  <c r="W19" i="4"/>
  <c r="V19" i="4"/>
  <c r="Z19" i="4"/>
  <c r="R20" i="4"/>
  <c r="AC24" i="4"/>
  <c r="U24" i="4"/>
  <c r="AB24" i="4"/>
  <c r="T24" i="4"/>
  <c r="Z24" i="4"/>
  <c r="T25" i="4"/>
  <c r="AA29" i="4"/>
  <c r="S29" i="4"/>
  <c r="Z29" i="4"/>
  <c r="R29" i="4"/>
  <c r="AB29" i="4"/>
  <c r="AG35" i="4"/>
  <c r="W35" i="4"/>
  <c r="V35" i="4"/>
  <c r="AB35" i="4"/>
  <c r="T35" i="4"/>
  <c r="AA35" i="4"/>
  <c r="X39" i="4"/>
  <c r="P40" i="4"/>
  <c r="AB40" i="4" s="1"/>
  <c r="AG40" i="4"/>
  <c r="X51" i="4"/>
  <c r="P52" i="4"/>
  <c r="AG52" i="4"/>
  <c r="R55" i="4"/>
  <c r="Y56" i="4"/>
  <c r="P64" i="4"/>
  <c r="Z64" i="4" s="1"/>
  <c r="AG64" i="4"/>
  <c r="R67" i="4"/>
  <c r="AC76" i="4"/>
  <c r="U76" i="4"/>
  <c r="AB76" i="4"/>
  <c r="T76" i="4"/>
  <c r="Z76" i="4"/>
  <c r="R76" i="4"/>
  <c r="P79" i="4"/>
  <c r="AC79" i="4"/>
  <c r="X80" i="4"/>
  <c r="W84" i="4"/>
  <c r="Y91" i="4"/>
  <c r="AG91" i="4"/>
  <c r="W91" i="4"/>
  <c r="V91" i="4"/>
  <c r="AC91" i="4"/>
  <c r="U91" i="4"/>
  <c r="AB91" i="4"/>
  <c r="T91" i="4"/>
  <c r="V108" i="4"/>
  <c r="AB108" i="4"/>
  <c r="AA108" i="4"/>
  <c r="P108" i="4"/>
  <c r="T108" i="4" s="1"/>
  <c r="Y108" i="4"/>
  <c r="X108" i="4"/>
  <c r="W108" i="4"/>
  <c r="U111" i="4"/>
  <c r="AA111" i="4"/>
  <c r="AA129" i="4"/>
  <c r="U129" i="4"/>
  <c r="S129" i="4"/>
  <c r="Y135" i="4"/>
  <c r="U135" i="4"/>
  <c r="AA137" i="4"/>
  <c r="U137" i="4"/>
  <c r="S137" i="4"/>
  <c r="V140" i="4"/>
  <c r="AB140" i="4"/>
  <c r="T140" i="4"/>
  <c r="AA140" i="4"/>
  <c r="S140" i="4"/>
  <c r="Z140" i="4"/>
  <c r="R140" i="4"/>
  <c r="P140" i="4"/>
  <c r="AG140" i="4"/>
  <c r="AC140" i="4"/>
  <c r="Y140" i="4"/>
  <c r="X140" i="4"/>
  <c r="T156" i="4"/>
  <c r="AA156" i="4"/>
  <c r="Z156" i="4"/>
  <c r="R156" i="4"/>
  <c r="Y156" i="4"/>
  <c r="P156" i="4"/>
  <c r="V156" i="4" s="1"/>
  <c r="AG156" i="4"/>
  <c r="AC156" i="4"/>
  <c r="X156" i="4"/>
  <c r="W156" i="4"/>
  <c r="AA206" i="4"/>
  <c r="AG43" i="4"/>
  <c r="W43" i="4"/>
  <c r="V43" i="4"/>
  <c r="AB43" i="4"/>
  <c r="T43" i="4"/>
  <c r="R4" i="4"/>
  <c r="Z4" i="4"/>
  <c r="X5" i="4"/>
  <c r="AA9" i="4"/>
  <c r="S9" i="4"/>
  <c r="Z9" i="4"/>
  <c r="R9" i="4"/>
  <c r="AB9" i="4"/>
  <c r="AA13" i="4"/>
  <c r="S13" i="4"/>
  <c r="Z13" i="4"/>
  <c r="R13" i="4"/>
  <c r="AB13" i="4"/>
  <c r="AB15" i="4"/>
  <c r="S20" i="4"/>
  <c r="AG20" i="4"/>
  <c r="U25" i="4"/>
  <c r="AG25" i="4"/>
  <c r="S40" i="4"/>
  <c r="AG47" i="4"/>
  <c r="W47" i="4"/>
  <c r="V47" i="4"/>
  <c r="T47" i="4"/>
  <c r="AA47" i="4"/>
  <c r="AF54" i="4"/>
  <c r="AH54" i="4" s="1"/>
  <c r="S55" i="4"/>
  <c r="U57" i="4"/>
  <c r="AG59" i="4"/>
  <c r="W59" i="4"/>
  <c r="V59" i="4"/>
  <c r="T59" i="4"/>
  <c r="AA59" i="4"/>
  <c r="Y63" i="4"/>
  <c r="S64" i="4"/>
  <c r="S67" i="4"/>
  <c r="U69" i="4"/>
  <c r="AG71" i="4"/>
  <c r="W71" i="4"/>
  <c r="V71" i="4"/>
  <c r="AB71" i="4"/>
  <c r="T71" i="4"/>
  <c r="AA71" i="4"/>
  <c r="R79" i="4"/>
  <c r="Y80" i="4"/>
  <c r="AG92" i="4"/>
  <c r="W92" i="4"/>
  <c r="AC92" i="4"/>
  <c r="AB92" i="4"/>
  <c r="T92" i="4"/>
  <c r="AA92" i="4"/>
  <c r="Z92" i="4"/>
  <c r="AF119" i="4"/>
  <c r="AH119" i="4" s="1"/>
  <c r="W120" i="4"/>
  <c r="U154" i="4"/>
  <c r="AB154" i="4"/>
  <c r="Z235" i="4"/>
  <c r="R235" i="4"/>
  <c r="AG235" i="4"/>
  <c r="W235" i="4"/>
  <c r="U235" i="4"/>
  <c r="AC235" i="4"/>
  <c r="P235" i="4"/>
  <c r="T235" i="4" s="1"/>
  <c r="AA235" i="4"/>
  <c r="Y235" i="4"/>
  <c r="X235" i="4"/>
  <c r="S235" i="4"/>
  <c r="AB235" i="4"/>
  <c r="W2" i="4"/>
  <c r="AG2" i="4"/>
  <c r="U3" i="4"/>
  <c r="AC3" i="4"/>
  <c r="S4" i="4"/>
  <c r="AA4" i="4"/>
  <c r="P5" i="4"/>
  <c r="Y5" i="4"/>
  <c r="W6" i="4"/>
  <c r="AG6" i="4"/>
  <c r="U7" i="4"/>
  <c r="AF7" i="4" s="1"/>
  <c r="AH7" i="4" s="1"/>
  <c r="P9" i="4"/>
  <c r="AC9" i="4"/>
  <c r="U11" i="4"/>
  <c r="P13" i="4"/>
  <c r="AC13" i="4"/>
  <c r="S15" i="4"/>
  <c r="AC15" i="4"/>
  <c r="W16" i="4"/>
  <c r="R19" i="4"/>
  <c r="AB19" i="4"/>
  <c r="V20" i="4"/>
  <c r="AG23" i="4"/>
  <c r="W23" i="4"/>
  <c r="V23" i="4"/>
  <c r="Z23" i="4"/>
  <c r="R24" i="4"/>
  <c r="V25" i="4"/>
  <c r="AC28" i="4"/>
  <c r="U28" i="4"/>
  <c r="AB28" i="4"/>
  <c r="T28" i="4"/>
  <c r="Z28" i="4"/>
  <c r="T29" i="4"/>
  <c r="AC32" i="4"/>
  <c r="U32" i="4"/>
  <c r="AB32" i="4"/>
  <c r="T32" i="4"/>
  <c r="Z32" i="4"/>
  <c r="R32" i="4"/>
  <c r="R35" i="4"/>
  <c r="V40" i="4"/>
  <c r="U43" i="4"/>
  <c r="AC44" i="4"/>
  <c r="U44" i="4"/>
  <c r="AB44" i="4"/>
  <c r="T44" i="4"/>
  <c r="Z44" i="4"/>
  <c r="R44" i="4"/>
  <c r="P47" i="4"/>
  <c r="AB47" i="4" s="1"/>
  <c r="AC47" i="4"/>
  <c r="X48" i="4"/>
  <c r="V52" i="4"/>
  <c r="U55" i="4"/>
  <c r="AC56" i="4"/>
  <c r="U56" i="4"/>
  <c r="AB56" i="4"/>
  <c r="T56" i="4"/>
  <c r="Z56" i="4"/>
  <c r="R56" i="4"/>
  <c r="P59" i="4"/>
  <c r="X59" i="4" s="1"/>
  <c r="AC59" i="4"/>
  <c r="X60" i="4"/>
  <c r="V64" i="4"/>
  <c r="AC68" i="4"/>
  <c r="U68" i="4"/>
  <c r="AB68" i="4"/>
  <c r="T68" i="4"/>
  <c r="Z68" i="4"/>
  <c r="R68" i="4"/>
  <c r="P71" i="4"/>
  <c r="AC71" i="4"/>
  <c r="X72" i="4"/>
  <c r="S76" i="4"/>
  <c r="AF78" i="4"/>
  <c r="AH78" i="4" s="1"/>
  <c r="S79" i="4"/>
  <c r="U81" i="4"/>
  <c r="AG83" i="4"/>
  <c r="W83" i="4"/>
  <c r="V83" i="4"/>
  <c r="AC83" i="4"/>
  <c r="AB83" i="4"/>
  <c r="T83" i="4"/>
  <c r="AA83" i="4"/>
  <c r="Y84" i="4"/>
  <c r="AG87" i="4"/>
  <c r="W87" i="4"/>
  <c r="V87" i="4"/>
  <c r="AC87" i="4"/>
  <c r="U87" i="4"/>
  <c r="AB87" i="4"/>
  <c r="T87" i="4"/>
  <c r="R91" i="4"/>
  <c r="P92" i="4"/>
  <c r="S92" i="4" s="1"/>
  <c r="S108" i="4"/>
  <c r="V132" i="4"/>
  <c r="AB132" i="4"/>
  <c r="T132" i="4"/>
  <c r="Z132" i="4"/>
  <c r="R132" i="4"/>
  <c r="AA132" i="4"/>
  <c r="X132" i="4"/>
  <c r="W132" i="4"/>
  <c r="U132" i="4"/>
  <c r="S132" i="4"/>
  <c r="S135" i="4"/>
  <c r="W140" i="4"/>
  <c r="S146" i="4"/>
  <c r="AA146" i="4"/>
  <c r="S154" i="4"/>
  <c r="AF186" i="4"/>
  <c r="AH186" i="4" s="1"/>
  <c r="AA43" i="4"/>
  <c r="AA55" i="4"/>
  <c r="AG67" i="4"/>
  <c r="W67" i="4"/>
  <c r="V67" i="4"/>
  <c r="AB67" i="4"/>
  <c r="T67" i="4"/>
  <c r="X2" i="4"/>
  <c r="T4" i="4"/>
  <c r="AB4" i="4"/>
  <c r="R5" i="4"/>
  <c r="Z5" i="4"/>
  <c r="X6" i="4"/>
  <c r="AC8" i="4"/>
  <c r="U8" i="4"/>
  <c r="AB8" i="4"/>
  <c r="T8" i="4"/>
  <c r="Z8" i="4"/>
  <c r="T9" i="4"/>
  <c r="AB12" i="4"/>
  <c r="T12" i="4"/>
  <c r="Z12" i="4"/>
  <c r="T13" i="4"/>
  <c r="T15" i="4"/>
  <c r="S17" i="4"/>
  <c r="Z17" i="4"/>
  <c r="R17" i="4"/>
  <c r="AB17" i="4"/>
  <c r="W20" i="4"/>
  <c r="AA23" i="4"/>
  <c r="AG39" i="4"/>
  <c r="W39" i="4"/>
  <c r="V39" i="4"/>
  <c r="AB39" i="4"/>
  <c r="T39" i="4"/>
  <c r="AA39" i="4"/>
  <c r="W40" i="4"/>
  <c r="X43" i="4"/>
  <c r="R47" i="4"/>
  <c r="AG51" i="4"/>
  <c r="W51" i="4"/>
  <c r="V51" i="4"/>
  <c r="AB51" i="4"/>
  <c r="T51" i="4"/>
  <c r="AA51" i="4"/>
  <c r="W52" i="4"/>
  <c r="AG63" i="4"/>
  <c r="W63" i="4"/>
  <c r="V63" i="4"/>
  <c r="AB63" i="4"/>
  <c r="T63" i="4"/>
  <c r="AA63" i="4"/>
  <c r="W64" i="4"/>
  <c r="X67" i="4"/>
  <c r="W69" i="4"/>
  <c r="U79" i="4"/>
  <c r="AC80" i="4"/>
  <c r="AB80" i="4"/>
  <c r="T80" i="4"/>
  <c r="R80" i="4"/>
  <c r="AF90" i="4"/>
  <c r="AH90" i="4" s="1"/>
  <c r="V116" i="4"/>
  <c r="AB116" i="4"/>
  <c r="T116" i="4"/>
  <c r="Y116" i="4"/>
  <c r="W116" i="4"/>
  <c r="AG116" i="4"/>
  <c r="AC116" i="4"/>
  <c r="R116" i="4"/>
  <c r="AA25" i="4"/>
  <c r="S25" i="4"/>
  <c r="Z25" i="4"/>
  <c r="R25" i="4"/>
  <c r="AG55" i="4"/>
  <c r="W55" i="4"/>
  <c r="V55" i="4"/>
  <c r="AB55" i="4"/>
  <c r="T55" i="4"/>
  <c r="P2" i="4"/>
  <c r="Y2" i="4"/>
  <c r="W3" i="4"/>
  <c r="AG3" i="4"/>
  <c r="U4" i="4"/>
  <c r="AC4" i="4"/>
  <c r="S5" i="4"/>
  <c r="AA5" i="4"/>
  <c r="P6" i="4"/>
  <c r="Y6" i="4"/>
  <c r="P8" i="4"/>
  <c r="AA8" i="4"/>
  <c r="U9" i="4"/>
  <c r="AG9" i="4"/>
  <c r="P12" i="4"/>
  <c r="S12" i="4" s="1"/>
  <c r="AA12" i="4"/>
  <c r="U13" i="4"/>
  <c r="AG13" i="4"/>
  <c r="U15" i="4"/>
  <c r="P17" i="4"/>
  <c r="T19" i="4"/>
  <c r="X20" i="4"/>
  <c r="AA21" i="4"/>
  <c r="S21" i="4"/>
  <c r="Z21" i="4"/>
  <c r="R21" i="4"/>
  <c r="AB21" i="4"/>
  <c r="V24" i="4"/>
  <c r="X25" i="4"/>
  <c r="AG27" i="4"/>
  <c r="W27" i="4"/>
  <c r="V27" i="4"/>
  <c r="AF27" i="4" s="1"/>
  <c r="AH27" i="4" s="1"/>
  <c r="Z27" i="4"/>
  <c r="V29" i="4"/>
  <c r="AG31" i="4"/>
  <c r="W31" i="4"/>
  <c r="V31" i="4"/>
  <c r="AF31" i="4" s="1"/>
  <c r="AH31" i="4" s="1"/>
  <c r="Z31" i="4"/>
  <c r="U35" i="4"/>
  <c r="AC36" i="4"/>
  <c r="U36" i="4"/>
  <c r="AB36" i="4"/>
  <c r="T36" i="4"/>
  <c r="Z36" i="4"/>
  <c r="R36" i="4"/>
  <c r="P39" i="4"/>
  <c r="AC39" i="4"/>
  <c r="X40" i="4"/>
  <c r="Y43" i="4"/>
  <c r="S47" i="4"/>
  <c r="P51" i="4"/>
  <c r="AC51" i="4"/>
  <c r="Y55" i="4"/>
  <c r="AF58" i="4"/>
  <c r="AH58" i="4" s="1"/>
  <c r="S59" i="4"/>
  <c r="P63" i="4"/>
  <c r="X63" i="4" s="1"/>
  <c r="AC63" i="4"/>
  <c r="X64" i="4"/>
  <c r="Y67" i="4"/>
  <c r="AF70" i="4"/>
  <c r="AH70" i="4" s="1"/>
  <c r="S71" i="4"/>
  <c r="AG75" i="4"/>
  <c r="W75" i="4"/>
  <c r="V75" i="4"/>
  <c r="AB75" i="4"/>
  <c r="T75" i="4"/>
  <c r="AA75" i="4"/>
  <c r="W76" i="4"/>
  <c r="X79" i="4"/>
  <c r="P80" i="4"/>
  <c r="Z80" i="4" s="1"/>
  <c r="AG80" i="4"/>
  <c r="AC88" i="4"/>
  <c r="U88" i="4"/>
  <c r="AB88" i="4"/>
  <c r="T88" i="4"/>
  <c r="AA88" i="4"/>
  <c r="S88" i="4"/>
  <c r="Z88" i="4"/>
  <c r="R88" i="4"/>
  <c r="X91" i="4"/>
  <c r="X92" i="4"/>
  <c r="Y95" i="4"/>
  <c r="P95" i="4"/>
  <c r="AG95" i="4"/>
  <c r="W95" i="4"/>
  <c r="V95" i="4"/>
  <c r="AC95" i="4"/>
  <c r="U95" i="4"/>
  <c r="AB95" i="4"/>
  <c r="T95" i="4"/>
  <c r="AG96" i="4"/>
  <c r="W96" i="4"/>
  <c r="AC96" i="4"/>
  <c r="U96" i="4"/>
  <c r="AB96" i="4"/>
  <c r="T96" i="4"/>
  <c r="AA96" i="4"/>
  <c r="S96" i="4"/>
  <c r="Z96" i="4"/>
  <c r="R96" i="4"/>
  <c r="AC108" i="4"/>
  <c r="P116" i="4"/>
  <c r="Z116" i="4" s="1"/>
  <c r="X139" i="4"/>
  <c r="Z20" i="4"/>
  <c r="AB25" i="4"/>
  <c r="AA67" i="4"/>
  <c r="R2" i="4"/>
  <c r="AF2" i="4" s="1"/>
  <c r="AH2" i="4" s="1"/>
  <c r="T5" i="4"/>
  <c r="R6" i="4"/>
  <c r="AG7" i="4"/>
  <c r="W7" i="4"/>
  <c r="V7" i="4"/>
  <c r="Z7" i="4"/>
  <c r="R8" i="4"/>
  <c r="V9" i="4"/>
  <c r="AG11" i="4"/>
  <c r="W11" i="4"/>
  <c r="V11" i="4"/>
  <c r="Z11" i="4"/>
  <c r="R12" i="4"/>
  <c r="V13" i="4"/>
  <c r="X15" i="4"/>
  <c r="AC16" i="4"/>
  <c r="U16" i="4"/>
  <c r="AB16" i="4"/>
  <c r="T16" i="4"/>
  <c r="Z16" i="4"/>
  <c r="T17" i="4"/>
  <c r="Y20" i="4"/>
  <c r="Y25" i="4"/>
  <c r="X35" i="4"/>
  <c r="R39" i="4"/>
  <c r="Y40" i="4"/>
  <c r="Z43" i="4"/>
  <c r="U47" i="4"/>
  <c r="AC48" i="4"/>
  <c r="U48" i="4"/>
  <c r="AB48" i="4"/>
  <c r="T48" i="4"/>
  <c r="Z48" i="4"/>
  <c r="R48" i="4"/>
  <c r="R51" i="4"/>
  <c r="Y52" i="4"/>
  <c r="Z55" i="4"/>
  <c r="U59" i="4"/>
  <c r="AC60" i="4"/>
  <c r="U60" i="4"/>
  <c r="AB60" i="4"/>
  <c r="T60" i="4"/>
  <c r="Z60" i="4"/>
  <c r="R60" i="4"/>
  <c r="R63" i="4"/>
  <c r="Y64" i="4"/>
  <c r="Z67" i="4"/>
  <c r="U71" i="4"/>
  <c r="AC72" i="4"/>
  <c r="U72" i="4"/>
  <c r="AB72" i="4"/>
  <c r="T72" i="4"/>
  <c r="Z72" i="4"/>
  <c r="R72" i="4"/>
  <c r="Y79" i="4"/>
  <c r="S80" i="4"/>
  <c r="AF82" i="4"/>
  <c r="AH82" i="4" s="1"/>
  <c r="AC84" i="4"/>
  <c r="U84" i="4"/>
  <c r="AB84" i="4"/>
  <c r="T84" i="4"/>
  <c r="AA84" i="4"/>
  <c r="S84" i="4"/>
  <c r="Z84" i="4"/>
  <c r="R84" i="4"/>
  <c r="AF86" i="4"/>
  <c r="AH86" i="4" s="1"/>
  <c r="Z91" i="4"/>
  <c r="Y92" i="4"/>
  <c r="X116" i="4"/>
  <c r="V124" i="4"/>
  <c r="AB124" i="4"/>
  <c r="T124" i="4"/>
  <c r="Z124" i="4"/>
  <c r="R124" i="4"/>
  <c r="Y124" i="4"/>
  <c r="W124" i="4"/>
  <c r="U124" i="4"/>
  <c r="S124" i="4"/>
  <c r="AG124" i="4"/>
  <c r="P124" i="4"/>
  <c r="AB139" i="4"/>
  <c r="S139" i="4"/>
  <c r="R139" i="4"/>
  <c r="V201" i="4"/>
  <c r="AB201" i="4"/>
  <c r="V205" i="4"/>
  <c r="AC205" i="4"/>
  <c r="T205" i="4"/>
  <c r="AB205" i="4"/>
  <c r="S205" i="4"/>
  <c r="Z205" i="4"/>
  <c r="P205" i="4"/>
  <c r="AA205" i="4" s="1"/>
  <c r="R205" i="4"/>
  <c r="AG205" i="4"/>
  <c r="Y205" i="4"/>
  <c r="X205" i="4"/>
  <c r="W205" i="4"/>
  <c r="U205" i="4"/>
  <c r="T256" i="4"/>
  <c r="S256" i="4"/>
  <c r="X33" i="4"/>
  <c r="X37" i="4"/>
  <c r="X41" i="4"/>
  <c r="X45" i="4"/>
  <c r="X49" i="4"/>
  <c r="X53" i="4"/>
  <c r="X57" i="4"/>
  <c r="X61" i="4"/>
  <c r="X65" i="4"/>
  <c r="X69" i="4"/>
  <c r="X73" i="4"/>
  <c r="X77" i="4"/>
  <c r="X81" i="4"/>
  <c r="X85" i="4"/>
  <c r="X89" i="4"/>
  <c r="X93" i="4"/>
  <c r="X97" i="4"/>
  <c r="X100" i="4"/>
  <c r="X104" i="4"/>
  <c r="Z110" i="4"/>
  <c r="S112" i="4"/>
  <c r="AG112" i="4"/>
  <c r="AB118" i="4"/>
  <c r="Z131" i="4"/>
  <c r="W144" i="4"/>
  <c r="X147" i="4"/>
  <c r="X169" i="4"/>
  <c r="U169" i="4"/>
  <c r="AA189" i="4"/>
  <c r="S189" i="4"/>
  <c r="R189" i="4"/>
  <c r="X189" i="4"/>
  <c r="V189" i="4"/>
  <c r="AG189" i="4"/>
  <c r="U189" i="4"/>
  <c r="T189" i="4"/>
  <c r="AC189" i="4"/>
  <c r="P189" i="4"/>
  <c r="Z189" i="4" s="1"/>
  <c r="U220" i="4"/>
  <c r="S220" i="4"/>
  <c r="Z225" i="4"/>
  <c r="X225" i="4"/>
  <c r="W225" i="4"/>
  <c r="AG225" i="4"/>
  <c r="T225" i="4"/>
  <c r="P225" i="4"/>
  <c r="V225" i="4" s="1"/>
  <c r="AC225" i="4"/>
  <c r="AB225" i="4"/>
  <c r="AA225" i="4"/>
  <c r="R243" i="4"/>
  <c r="AG243" i="4"/>
  <c r="W243" i="4"/>
  <c r="AA243" i="4"/>
  <c r="U243" i="4"/>
  <c r="T243" i="4"/>
  <c r="P243" i="4"/>
  <c r="V243" i="4" s="1"/>
  <c r="Z98" i="4"/>
  <c r="R98" i="4"/>
  <c r="Y98" i="4"/>
  <c r="Y100" i="4"/>
  <c r="AB101" i="4"/>
  <c r="T101" i="4"/>
  <c r="Y101" i="4"/>
  <c r="Z102" i="4"/>
  <c r="R102" i="4"/>
  <c r="Y104" i="4"/>
  <c r="AB105" i="4"/>
  <c r="T105" i="4"/>
  <c r="Z105" i="4"/>
  <c r="R105" i="4"/>
  <c r="AA105" i="4"/>
  <c r="U112" i="4"/>
  <c r="AF115" i="4"/>
  <c r="AH115" i="4" s="1"/>
  <c r="U127" i="4"/>
  <c r="AF131" i="4"/>
  <c r="AH131" i="4" s="1"/>
  <c r="X144" i="4"/>
  <c r="U147" i="4"/>
  <c r="AA147" i="4"/>
  <c r="AC148" i="4"/>
  <c r="V152" i="4"/>
  <c r="AB152" i="4"/>
  <c r="T152" i="4"/>
  <c r="AA152" i="4"/>
  <c r="S152" i="4"/>
  <c r="Z152" i="4"/>
  <c r="R152" i="4"/>
  <c r="Y152" i="4"/>
  <c r="P152" i="4"/>
  <c r="AF174" i="4"/>
  <c r="AH174" i="4" s="1"/>
  <c r="V213" i="4"/>
  <c r="Z213" i="4"/>
  <c r="R213" i="4"/>
  <c r="U213" i="4"/>
  <c r="AG213" i="4"/>
  <c r="T213" i="4"/>
  <c r="AB213" i="4"/>
  <c r="P213" i="4"/>
  <c r="AA213" i="4"/>
  <c r="Y213" i="4"/>
  <c r="X213" i="4"/>
  <c r="W213" i="4"/>
  <c r="V217" i="4"/>
  <c r="Z217" i="4"/>
  <c r="R217" i="4"/>
  <c r="AC217" i="4"/>
  <c r="S217" i="4"/>
  <c r="AB217" i="4"/>
  <c r="P217" i="4"/>
  <c r="Y217" i="4"/>
  <c r="AA217" i="4"/>
  <c r="X217" i="4"/>
  <c r="W217" i="4"/>
  <c r="U217" i="4"/>
  <c r="X10" i="4"/>
  <c r="AF10" i="4" s="1"/>
  <c r="AH10" i="4" s="1"/>
  <c r="X18" i="4"/>
  <c r="AF18" i="4" s="1"/>
  <c r="AH18" i="4" s="1"/>
  <c r="X30" i="4"/>
  <c r="AF30" i="4" s="1"/>
  <c r="AH30" i="4" s="1"/>
  <c r="R33" i="4"/>
  <c r="Z33" i="4"/>
  <c r="X34" i="4"/>
  <c r="R37" i="4"/>
  <c r="Z37" i="4"/>
  <c r="R41" i="4"/>
  <c r="Z41" i="4"/>
  <c r="R45" i="4"/>
  <c r="Z45" i="4"/>
  <c r="R49" i="4"/>
  <c r="Z49" i="4"/>
  <c r="X50" i="4"/>
  <c r="R53" i="4"/>
  <c r="Z53" i="4"/>
  <c r="R57" i="4"/>
  <c r="Z57" i="4"/>
  <c r="R61" i="4"/>
  <c r="Z61" i="4"/>
  <c r="X62" i="4"/>
  <c r="AF62" i="4" s="1"/>
  <c r="AH62" i="4" s="1"/>
  <c r="R65" i="4"/>
  <c r="Z65" i="4"/>
  <c r="R69" i="4"/>
  <c r="Z69" i="4"/>
  <c r="R73" i="4"/>
  <c r="Z73" i="4"/>
  <c r="R77" i="4"/>
  <c r="Z77" i="4"/>
  <c r="R81" i="4"/>
  <c r="Z81" i="4"/>
  <c r="R85" i="4"/>
  <c r="Z85" i="4"/>
  <c r="R89" i="4"/>
  <c r="Z89" i="4"/>
  <c r="R93" i="4"/>
  <c r="Z93" i="4"/>
  <c r="R97" i="4"/>
  <c r="Z97" i="4"/>
  <c r="P98" i="4"/>
  <c r="AA98" i="4"/>
  <c r="P100" i="4"/>
  <c r="Z100" i="4"/>
  <c r="P101" i="4"/>
  <c r="Z101" i="4"/>
  <c r="P102" i="4"/>
  <c r="T102" i="4" s="1"/>
  <c r="AA102" i="4"/>
  <c r="P104" i="4"/>
  <c r="Z104" i="4"/>
  <c r="P105" i="4"/>
  <c r="AC105" i="4"/>
  <c r="AB109" i="4"/>
  <c r="T109" i="4"/>
  <c r="Z109" i="4"/>
  <c r="R109" i="4"/>
  <c r="AA109" i="4"/>
  <c r="W112" i="4"/>
  <c r="AF123" i="4"/>
  <c r="AH123" i="4" s="1"/>
  <c r="V128" i="4"/>
  <c r="AB128" i="4"/>
  <c r="T128" i="4"/>
  <c r="Z128" i="4"/>
  <c r="R128" i="4"/>
  <c r="AC128" i="4"/>
  <c r="V136" i="4"/>
  <c r="AB136" i="4"/>
  <c r="T136" i="4"/>
  <c r="Z136" i="4"/>
  <c r="R136" i="4"/>
  <c r="AC136" i="4"/>
  <c r="Y144" i="4"/>
  <c r="R147" i="4"/>
  <c r="AF147" i="4" s="1"/>
  <c r="AH147" i="4" s="1"/>
  <c r="W150" i="4"/>
  <c r="V150" i="4"/>
  <c r="U152" i="4"/>
  <c r="V155" i="4"/>
  <c r="AB155" i="4"/>
  <c r="AC168" i="4"/>
  <c r="U168" i="4"/>
  <c r="T168" i="4"/>
  <c r="X168" i="4"/>
  <c r="V168" i="4"/>
  <c r="AG168" i="4"/>
  <c r="S168" i="4"/>
  <c r="R168" i="4"/>
  <c r="P168" i="4"/>
  <c r="Y168" i="4" s="1"/>
  <c r="AA173" i="4"/>
  <c r="S173" i="4"/>
  <c r="Z173" i="4"/>
  <c r="R173" i="4"/>
  <c r="X173" i="4"/>
  <c r="V173" i="4"/>
  <c r="AG173" i="4"/>
  <c r="U173" i="4"/>
  <c r="T173" i="4"/>
  <c r="AC173" i="4"/>
  <c r="P173" i="4"/>
  <c r="Y189" i="4"/>
  <c r="Y196" i="4"/>
  <c r="S213" i="4"/>
  <c r="T217" i="4"/>
  <c r="Z219" i="4"/>
  <c r="R219" i="4"/>
  <c r="V219" i="4"/>
  <c r="X219" i="4"/>
  <c r="W219" i="4"/>
  <c r="AG219" i="4"/>
  <c r="T219" i="4"/>
  <c r="P219" i="4"/>
  <c r="S219" i="4" s="1"/>
  <c r="AC219" i="4"/>
  <c r="AB219" i="4"/>
  <c r="Y219" i="4"/>
  <c r="U225" i="4"/>
  <c r="AA229" i="4"/>
  <c r="S229" i="4"/>
  <c r="Z229" i="4"/>
  <c r="R229" i="4"/>
  <c r="Y229" i="4"/>
  <c r="W229" i="4"/>
  <c r="AG229" i="4"/>
  <c r="X229" i="4"/>
  <c r="U229" i="4"/>
  <c r="P229" i="4"/>
  <c r="Z231" i="4"/>
  <c r="R231" i="4"/>
  <c r="AG231" i="4"/>
  <c r="W231" i="4"/>
  <c r="Y231" i="4"/>
  <c r="X231" i="4"/>
  <c r="P231" i="4"/>
  <c r="V231" i="4" s="1"/>
  <c r="AC231" i="4"/>
  <c r="AB231" i="4"/>
  <c r="AA231" i="4"/>
  <c r="Z261" i="4"/>
  <c r="R261" i="4"/>
  <c r="Y261" i="4"/>
  <c r="P261" i="4"/>
  <c r="U261" i="4" s="1"/>
  <c r="AG261" i="4"/>
  <c r="AC261" i="4"/>
  <c r="X261" i="4"/>
  <c r="AA264" i="4"/>
  <c r="S264" i="4"/>
  <c r="R264" i="4"/>
  <c r="V277" i="4"/>
  <c r="AC277" i="4"/>
  <c r="AA277" i="4"/>
  <c r="S277" i="4"/>
  <c r="Z277" i="4"/>
  <c r="R277" i="4"/>
  <c r="Y277" i="4"/>
  <c r="P277" i="4"/>
  <c r="U277" i="4" s="1"/>
  <c r="AG277" i="4"/>
  <c r="AB277" i="4"/>
  <c r="X277" i="4"/>
  <c r="W277" i="4"/>
  <c r="T277" i="4"/>
  <c r="P10" i="4"/>
  <c r="P30" i="4"/>
  <c r="S33" i="4"/>
  <c r="S37" i="4"/>
  <c r="S41" i="4"/>
  <c r="S45" i="4"/>
  <c r="S49" i="4"/>
  <c r="S53" i="4"/>
  <c r="S57" i="4"/>
  <c r="S61" i="4"/>
  <c r="S65" i="4"/>
  <c r="S69" i="4"/>
  <c r="S73" i="4"/>
  <c r="S77" i="4"/>
  <c r="S81" i="4"/>
  <c r="S85" i="4"/>
  <c r="S89" i="4"/>
  <c r="S93" i="4"/>
  <c r="S97" i="4"/>
  <c r="AA97" i="4"/>
  <c r="S98" i="4"/>
  <c r="AB98" i="4"/>
  <c r="R100" i="4"/>
  <c r="AA100" i="4"/>
  <c r="R101" i="4"/>
  <c r="AA101" i="4"/>
  <c r="S102" i="4"/>
  <c r="AB102" i="4"/>
  <c r="R104" i="4"/>
  <c r="AA104" i="4"/>
  <c r="S105" i="4"/>
  <c r="P109" i="4"/>
  <c r="AC109" i="4"/>
  <c r="AB113" i="4"/>
  <c r="T113" i="4"/>
  <c r="Z113" i="4"/>
  <c r="R113" i="4"/>
  <c r="AA113" i="4"/>
  <c r="V120" i="4"/>
  <c r="AB120" i="4"/>
  <c r="T120" i="4"/>
  <c r="Z120" i="4"/>
  <c r="R120" i="4"/>
  <c r="AC120" i="4"/>
  <c r="P128" i="4"/>
  <c r="AG128" i="4"/>
  <c r="W152" i="4"/>
  <c r="AF155" i="4"/>
  <c r="AH155" i="4" s="1"/>
  <c r="W168" i="4"/>
  <c r="W173" i="4"/>
  <c r="AG179" i="4"/>
  <c r="W179" i="4"/>
  <c r="V179" i="4"/>
  <c r="X179" i="4"/>
  <c r="T179" i="4"/>
  <c r="AC179" i="4"/>
  <c r="S179" i="4"/>
  <c r="AB179" i="4"/>
  <c r="R179" i="4"/>
  <c r="AA179" i="4"/>
  <c r="P179" i="4"/>
  <c r="AC184" i="4"/>
  <c r="U184" i="4"/>
  <c r="AB184" i="4"/>
  <c r="T184" i="4"/>
  <c r="V184" i="4"/>
  <c r="AG184" i="4"/>
  <c r="S184" i="4"/>
  <c r="AA184" i="4"/>
  <c r="P184" i="4"/>
  <c r="Y184" i="4" s="1"/>
  <c r="Y187" i="4"/>
  <c r="X187" i="4"/>
  <c r="AB189" i="4"/>
  <c r="AA196" i="4"/>
  <c r="AC199" i="4"/>
  <c r="AC213" i="4"/>
  <c r="AG217" i="4"/>
  <c r="Z224" i="4"/>
  <c r="V241" i="4"/>
  <c r="AA241" i="4"/>
  <c r="S241" i="4"/>
  <c r="Z241" i="4"/>
  <c r="R241" i="4"/>
  <c r="AB241" i="4"/>
  <c r="X241" i="4"/>
  <c r="W241" i="4"/>
  <c r="T241" i="4"/>
  <c r="AG241" i="4"/>
  <c r="AC241" i="4"/>
  <c r="Y241" i="4"/>
  <c r="U241" i="4"/>
  <c r="W261" i="4"/>
  <c r="AF296" i="4"/>
  <c r="AH296" i="4" s="1"/>
  <c r="V112" i="4"/>
  <c r="AB112" i="4"/>
  <c r="T112" i="4"/>
  <c r="Z112" i="4"/>
  <c r="V144" i="4"/>
  <c r="AB144" i="4"/>
  <c r="T144" i="4"/>
  <c r="AA144" i="4"/>
  <c r="S144" i="4"/>
  <c r="Z144" i="4"/>
  <c r="R144" i="4"/>
  <c r="V148" i="4"/>
  <c r="AB148" i="4"/>
  <c r="T148" i="4"/>
  <c r="Z148" i="4"/>
  <c r="R148" i="4"/>
  <c r="Y148" i="4"/>
  <c r="P148" i="4"/>
  <c r="X148" i="4" s="1"/>
  <c r="U151" i="4"/>
  <c r="S151" i="4"/>
  <c r="W192" i="4"/>
  <c r="W197" i="4"/>
  <c r="Z207" i="4"/>
  <c r="R207" i="4"/>
  <c r="AF207" i="4" s="1"/>
  <c r="AH207" i="4" s="1"/>
  <c r="U207" i="4"/>
  <c r="AC207" i="4"/>
  <c r="T207" i="4"/>
  <c r="AA207" i="4"/>
  <c r="P207" i="4"/>
  <c r="Y210" i="4"/>
  <c r="X215" i="4"/>
  <c r="AF220" i="4"/>
  <c r="AH220" i="4" s="1"/>
  <c r="AC236" i="4"/>
  <c r="AF236" i="4" s="1"/>
  <c r="AH236" i="4" s="1"/>
  <c r="Y236" i="4"/>
  <c r="V265" i="4"/>
  <c r="S265" i="4"/>
  <c r="Z265" i="4"/>
  <c r="Y265" i="4"/>
  <c r="P265" i="4"/>
  <c r="AA265" i="4" s="1"/>
  <c r="X265" i="4"/>
  <c r="W265" i="4"/>
  <c r="U265" i="4"/>
  <c r="T265" i="4"/>
  <c r="Y331" i="4"/>
  <c r="P331" i="4"/>
  <c r="V331" i="4" s="1"/>
  <c r="AG331" i="4"/>
  <c r="W331" i="4"/>
  <c r="X331" i="4"/>
  <c r="U331" i="4"/>
  <c r="AC331" i="4"/>
  <c r="S331" i="4"/>
  <c r="AB331" i="4"/>
  <c r="AA331" i="4"/>
  <c r="Z331" i="4"/>
  <c r="R331" i="4"/>
  <c r="X117" i="4"/>
  <c r="X121" i="4"/>
  <c r="X125" i="4"/>
  <c r="X129" i="4"/>
  <c r="X133" i="4"/>
  <c r="X137" i="4"/>
  <c r="X141" i="4"/>
  <c r="X145" i="4"/>
  <c r="X149" i="4"/>
  <c r="X153" i="4"/>
  <c r="Z157" i="4"/>
  <c r="R157" i="4"/>
  <c r="Y157" i="4"/>
  <c r="V159" i="4"/>
  <c r="Y159" i="4"/>
  <c r="AB160" i="4"/>
  <c r="T160" i="4"/>
  <c r="Y160" i="4"/>
  <c r="Z161" i="4"/>
  <c r="R161" i="4"/>
  <c r="Y161" i="4"/>
  <c r="X162" i="4"/>
  <c r="Y163" i="4"/>
  <c r="AB164" i="4"/>
  <c r="T164" i="4"/>
  <c r="Y164" i="4"/>
  <c r="Z165" i="4"/>
  <c r="R165" i="4"/>
  <c r="Y165" i="4"/>
  <c r="AG167" i="4"/>
  <c r="W167" i="4"/>
  <c r="V167" i="4"/>
  <c r="Z167" i="4"/>
  <c r="AC172" i="4"/>
  <c r="U172" i="4"/>
  <c r="AB172" i="4"/>
  <c r="T172" i="4"/>
  <c r="Z172" i="4"/>
  <c r="AA177" i="4"/>
  <c r="S177" i="4"/>
  <c r="Z177" i="4"/>
  <c r="R177" i="4"/>
  <c r="AB177" i="4"/>
  <c r="AG183" i="4"/>
  <c r="W183" i="4"/>
  <c r="V183" i="4"/>
  <c r="Z183" i="4"/>
  <c r="AC188" i="4"/>
  <c r="U188" i="4"/>
  <c r="AB188" i="4"/>
  <c r="T188" i="4"/>
  <c r="Z188" i="4"/>
  <c r="AA193" i="4"/>
  <c r="S193" i="4"/>
  <c r="Z193" i="4"/>
  <c r="R193" i="4"/>
  <c r="AB193" i="4"/>
  <c r="AC200" i="4"/>
  <c r="U200" i="4"/>
  <c r="AB200" i="4"/>
  <c r="T200" i="4"/>
  <c r="Z200" i="4"/>
  <c r="R200" i="4"/>
  <c r="AC204" i="4"/>
  <c r="U204" i="4"/>
  <c r="AB204" i="4"/>
  <c r="T204" i="4"/>
  <c r="Z204" i="4"/>
  <c r="R204" i="4"/>
  <c r="V209" i="4"/>
  <c r="AC209" i="4"/>
  <c r="T209" i="4"/>
  <c r="AB209" i="4"/>
  <c r="P209" i="4"/>
  <c r="R209" i="4" s="1"/>
  <c r="AF240" i="4"/>
  <c r="AH240" i="4" s="1"/>
  <c r="P183" i="4"/>
  <c r="T183" i="4" s="1"/>
  <c r="AA183" i="4"/>
  <c r="P188" i="4"/>
  <c r="AA188" i="4"/>
  <c r="P193" i="4"/>
  <c r="AC193" i="4"/>
  <c r="P200" i="4"/>
  <c r="AG200" i="4"/>
  <c r="P204" i="4"/>
  <c r="AG204" i="4"/>
  <c r="Z227" i="4"/>
  <c r="R227" i="4"/>
  <c r="AG227" i="4"/>
  <c r="W227" i="4"/>
  <c r="V227" i="4"/>
  <c r="S227" i="4"/>
  <c r="AC227" i="4"/>
  <c r="P227" i="4"/>
  <c r="AA227" i="4"/>
  <c r="AC228" i="4"/>
  <c r="V228" i="4"/>
  <c r="V257" i="4"/>
  <c r="AA257" i="4"/>
  <c r="S257" i="4"/>
  <c r="Z257" i="4"/>
  <c r="R257" i="4"/>
  <c r="Y257" i="4"/>
  <c r="P257" i="4"/>
  <c r="AC257" i="4"/>
  <c r="X257" i="4"/>
  <c r="W257" i="4"/>
  <c r="U257" i="4"/>
  <c r="T257" i="4"/>
  <c r="V269" i="4"/>
  <c r="AC269" i="4"/>
  <c r="U269" i="4"/>
  <c r="AA269" i="4"/>
  <c r="S269" i="4"/>
  <c r="Z269" i="4"/>
  <c r="R269" i="4"/>
  <c r="Y269" i="4"/>
  <c r="P269" i="4"/>
  <c r="T269" i="4"/>
  <c r="AG269" i="4"/>
  <c r="AB269" i="4"/>
  <c r="V293" i="4"/>
  <c r="AB293" i="4"/>
  <c r="T293" i="4"/>
  <c r="Z293" i="4"/>
  <c r="R293" i="4"/>
  <c r="Y293" i="4"/>
  <c r="U293" i="4"/>
  <c r="AG293" i="4"/>
  <c r="P293" i="4"/>
  <c r="AC293" i="4"/>
  <c r="W293" i="4"/>
  <c r="X106" i="4"/>
  <c r="X110" i="4"/>
  <c r="X114" i="4"/>
  <c r="R117" i="4"/>
  <c r="Z117" i="4"/>
  <c r="X118" i="4"/>
  <c r="R121" i="4"/>
  <c r="Z121" i="4"/>
  <c r="X122" i="4"/>
  <c r="R125" i="4"/>
  <c r="Z125" i="4"/>
  <c r="X126" i="4"/>
  <c r="R129" i="4"/>
  <c r="Z129" i="4"/>
  <c r="X130" i="4"/>
  <c r="R133" i="4"/>
  <c r="Z133" i="4"/>
  <c r="X134" i="4"/>
  <c r="R137" i="4"/>
  <c r="Z137" i="4"/>
  <c r="X138" i="4"/>
  <c r="R141" i="4"/>
  <c r="Z141" i="4"/>
  <c r="X142" i="4"/>
  <c r="R145" i="4"/>
  <c r="Z145" i="4"/>
  <c r="X146" i="4"/>
  <c r="R149" i="4"/>
  <c r="Z149" i="4"/>
  <c r="X150" i="4"/>
  <c r="R153" i="4"/>
  <c r="Z153" i="4"/>
  <c r="X154" i="4"/>
  <c r="S157" i="4"/>
  <c r="AB157" i="4"/>
  <c r="R159" i="4"/>
  <c r="AA159" i="4"/>
  <c r="R160" i="4"/>
  <c r="AA160" i="4"/>
  <c r="S161" i="4"/>
  <c r="AB161" i="4"/>
  <c r="R162" i="4"/>
  <c r="AF162" i="4" s="1"/>
  <c r="AH162" i="4" s="1"/>
  <c r="R163" i="4"/>
  <c r="AA163" i="4"/>
  <c r="R164" i="4"/>
  <c r="AA164" i="4"/>
  <c r="S165" i="4"/>
  <c r="AB165" i="4"/>
  <c r="R167" i="4"/>
  <c r="AB167" i="4"/>
  <c r="AG171" i="4"/>
  <c r="W171" i="4"/>
  <c r="V171" i="4"/>
  <c r="Z171" i="4"/>
  <c r="R172" i="4"/>
  <c r="AC176" i="4"/>
  <c r="U176" i="4"/>
  <c r="AB176" i="4"/>
  <c r="T176" i="4"/>
  <c r="Z176" i="4"/>
  <c r="T177" i="4"/>
  <c r="AA181" i="4"/>
  <c r="S181" i="4"/>
  <c r="Z181" i="4"/>
  <c r="R181" i="4"/>
  <c r="AB181" i="4"/>
  <c r="R183" i="4"/>
  <c r="AB183" i="4"/>
  <c r="AG187" i="4"/>
  <c r="W187" i="4"/>
  <c r="V187" i="4"/>
  <c r="Z187" i="4"/>
  <c r="R188" i="4"/>
  <c r="AC192" i="4"/>
  <c r="U192" i="4"/>
  <c r="AB192" i="4"/>
  <c r="T192" i="4"/>
  <c r="Z192" i="4"/>
  <c r="T193" i="4"/>
  <c r="AA197" i="4"/>
  <c r="S197" i="4"/>
  <c r="Z197" i="4"/>
  <c r="R197" i="4"/>
  <c r="AB197" i="4"/>
  <c r="S200" i="4"/>
  <c r="S204" i="4"/>
  <c r="U209" i="4"/>
  <c r="AB210" i="4"/>
  <c r="T210" i="4"/>
  <c r="U210" i="4"/>
  <c r="AC210" i="4"/>
  <c r="S210" i="4"/>
  <c r="Z210" i="4"/>
  <c r="P210" i="4"/>
  <c r="T227" i="4"/>
  <c r="R228" i="4"/>
  <c r="AF228" i="4" s="1"/>
  <c r="AH228" i="4" s="1"/>
  <c r="V233" i="4"/>
  <c r="AA233" i="4"/>
  <c r="S233" i="4"/>
  <c r="Z233" i="4"/>
  <c r="R233" i="4"/>
  <c r="W233" i="4"/>
  <c r="U233" i="4"/>
  <c r="AG233" i="4"/>
  <c r="P233" i="4"/>
  <c r="AB233" i="4" s="1"/>
  <c r="AB257" i="4"/>
  <c r="W269" i="4"/>
  <c r="V304" i="4"/>
  <c r="AB304" i="4"/>
  <c r="R106" i="4"/>
  <c r="AF106" i="4" s="1"/>
  <c r="AH106" i="4" s="1"/>
  <c r="R110" i="4"/>
  <c r="R114" i="4"/>
  <c r="AF114" i="4" s="1"/>
  <c r="AH114" i="4" s="1"/>
  <c r="T117" i="4"/>
  <c r="R118" i="4"/>
  <c r="T121" i="4"/>
  <c r="R122" i="4"/>
  <c r="AF122" i="4" s="1"/>
  <c r="AH122" i="4" s="1"/>
  <c r="T125" i="4"/>
  <c r="R126" i="4"/>
  <c r="T129" i="4"/>
  <c r="R130" i="4"/>
  <c r="T133" i="4"/>
  <c r="R134" i="4"/>
  <c r="AF134" i="4" s="1"/>
  <c r="AH134" i="4" s="1"/>
  <c r="T137" i="4"/>
  <c r="R138" i="4"/>
  <c r="AF138" i="4" s="1"/>
  <c r="AH138" i="4" s="1"/>
  <c r="T141" i="4"/>
  <c r="R142" i="4"/>
  <c r="AF142" i="4" s="1"/>
  <c r="AH142" i="4" s="1"/>
  <c r="T145" i="4"/>
  <c r="R146" i="4"/>
  <c r="AF146" i="4" s="1"/>
  <c r="AH146" i="4" s="1"/>
  <c r="T149" i="4"/>
  <c r="R150" i="4"/>
  <c r="T153" i="4"/>
  <c r="R154" i="4"/>
  <c r="AF154" i="4" s="1"/>
  <c r="AH154" i="4" s="1"/>
  <c r="U157" i="4"/>
  <c r="T159" i="4"/>
  <c r="AC159" i="4"/>
  <c r="U160" i="4"/>
  <c r="U161" i="4"/>
  <c r="T163" i="4"/>
  <c r="AC163" i="4"/>
  <c r="U164" i="4"/>
  <c r="U165" i="4"/>
  <c r="T167" i="4"/>
  <c r="AA169" i="4"/>
  <c r="S169" i="4"/>
  <c r="Z169" i="4"/>
  <c r="R169" i="4"/>
  <c r="AB169" i="4"/>
  <c r="R171" i="4"/>
  <c r="AF171" i="4" s="1"/>
  <c r="AH171" i="4" s="1"/>
  <c r="AB171" i="4"/>
  <c r="V172" i="4"/>
  <c r="AG175" i="4"/>
  <c r="W175" i="4"/>
  <c r="V175" i="4"/>
  <c r="Z175" i="4"/>
  <c r="R176" i="4"/>
  <c r="V177" i="4"/>
  <c r="AC180" i="4"/>
  <c r="U180" i="4"/>
  <c r="AB180" i="4"/>
  <c r="T180" i="4"/>
  <c r="Z180" i="4"/>
  <c r="T181" i="4"/>
  <c r="AA185" i="4"/>
  <c r="S185" i="4"/>
  <c r="Z185" i="4"/>
  <c r="R185" i="4"/>
  <c r="AB185" i="4"/>
  <c r="R187" i="4"/>
  <c r="AB187" i="4"/>
  <c r="V188" i="4"/>
  <c r="AG191" i="4"/>
  <c r="W191" i="4"/>
  <c r="V191" i="4"/>
  <c r="Z191" i="4"/>
  <c r="R192" i="4"/>
  <c r="V193" i="4"/>
  <c r="AC196" i="4"/>
  <c r="U196" i="4"/>
  <c r="AB196" i="4"/>
  <c r="T196" i="4"/>
  <c r="Z196" i="4"/>
  <c r="T197" i="4"/>
  <c r="AG199" i="4"/>
  <c r="W199" i="4"/>
  <c r="V199" i="4"/>
  <c r="AB199" i="4"/>
  <c r="T199" i="4"/>
  <c r="AA199" i="4"/>
  <c r="W200" i="4"/>
  <c r="AG203" i="4"/>
  <c r="W203" i="4"/>
  <c r="V203" i="4"/>
  <c r="AB203" i="4"/>
  <c r="T203" i="4"/>
  <c r="AA203" i="4"/>
  <c r="W204" i="4"/>
  <c r="X209" i="4"/>
  <c r="V210" i="4"/>
  <c r="Z211" i="4"/>
  <c r="R211" i="4"/>
  <c r="U211" i="4"/>
  <c r="T211" i="4"/>
  <c r="AA211" i="4"/>
  <c r="P211" i="4"/>
  <c r="Y211" i="4" s="1"/>
  <c r="Z223" i="4"/>
  <c r="R223" i="4"/>
  <c r="U223" i="4"/>
  <c r="AG223" i="4"/>
  <c r="T223" i="4"/>
  <c r="AB223" i="4"/>
  <c r="P223" i="4"/>
  <c r="AA223" i="4" s="1"/>
  <c r="X224" i="4"/>
  <c r="AF224" i="4" s="1"/>
  <c r="AH224" i="4" s="1"/>
  <c r="X227" i="4"/>
  <c r="X233" i="4"/>
  <c r="V252" i="4"/>
  <c r="S252" i="4"/>
  <c r="X201" i="4"/>
  <c r="V245" i="4"/>
  <c r="AA245" i="4"/>
  <c r="S245" i="4"/>
  <c r="Z245" i="4"/>
  <c r="R245" i="4"/>
  <c r="AC245" i="4"/>
  <c r="Z247" i="4"/>
  <c r="R247" i="4"/>
  <c r="AG247" i="4"/>
  <c r="W247" i="4"/>
  <c r="V247" i="4"/>
  <c r="AB247" i="4"/>
  <c r="T259" i="4"/>
  <c r="T267" i="4"/>
  <c r="Z279" i="4"/>
  <c r="R279" i="4"/>
  <c r="Y279" i="4"/>
  <c r="P279" i="4"/>
  <c r="S279" i="4" s="1"/>
  <c r="AG279" i="4"/>
  <c r="W279" i="4"/>
  <c r="V279" i="4"/>
  <c r="AC279" i="4"/>
  <c r="X282" i="4"/>
  <c r="U282" i="4"/>
  <c r="S282" i="4"/>
  <c r="V283" i="4"/>
  <c r="V285" i="4"/>
  <c r="Z285" i="4"/>
  <c r="R285" i="4"/>
  <c r="S285" i="4"/>
  <c r="AB285" i="4"/>
  <c r="P285" i="4"/>
  <c r="X285" i="4" s="1"/>
  <c r="Y285" i="4"/>
  <c r="W285" i="4"/>
  <c r="V249" i="4"/>
  <c r="AA249" i="4"/>
  <c r="S249" i="4"/>
  <c r="Z249" i="4"/>
  <c r="R249" i="4"/>
  <c r="AC249" i="4"/>
  <c r="R251" i="4"/>
  <c r="AG251" i="4"/>
  <c r="W251" i="4"/>
  <c r="V251" i="4"/>
  <c r="AB251" i="4"/>
  <c r="R255" i="4"/>
  <c r="AG255" i="4"/>
  <c r="W255" i="4"/>
  <c r="V255" i="4"/>
  <c r="AC255" i="4"/>
  <c r="U255" i="4"/>
  <c r="Z263" i="4"/>
  <c r="R263" i="4"/>
  <c r="AG263" i="4"/>
  <c r="W263" i="4"/>
  <c r="V263" i="4"/>
  <c r="AC263" i="4"/>
  <c r="U263" i="4"/>
  <c r="V273" i="4"/>
  <c r="AC273" i="4"/>
  <c r="AA273" i="4"/>
  <c r="Z273" i="4"/>
  <c r="R273" i="4"/>
  <c r="Y273" i="4"/>
  <c r="P273" i="4"/>
  <c r="U273" i="4" s="1"/>
  <c r="U283" i="4"/>
  <c r="AC283" i="4"/>
  <c r="X198" i="4"/>
  <c r="R201" i="4"/>
  <c r="Z201" i="4"/>
  <c r="X202" i="4"/>
  <c r="AC232" i="4"/>
  <c r="U232" i="4"/>
  <c r="AF232" i="4" s="1"/>
  <c r="AH232" i="4" s="1"/>
  <c r="V237" i="4"/>
  <c r="AA237" i="4"/>
  <c r="S237" i="4"/>
  <c r="Z237" i="4"/>
  <c r="R237" i="4"/>
  <c r="AC237" i="4"/>
  <c r="Z239" i="4"/>
  <c r="R239" i="4"/>
  <c r="AG239" i="4"/>
  <c r="W239" i="4"/>
  <c r="V239" i="4"/>
  <c r="AB239" i="4"/>
  <c r="T245" i="4"/>
  <c r="S247" i="4"/>
  <c r="P249" i="4"/>
  <c r="AG249" i="4"/>
  <c r="P251" i="4"/>
  <c r="X251" i="4" s="1"/>
  <c r="AC251" i="4"/>
  <c r="P255" i="4"/>
  <c r="Z255" i="4" s="1"/>
  <c r="Y259" i="4"/>
  <c r="P263" i="4"/>
  <c r="Y267" i="4"/>
  <c r="T273" i="4"/>
  <c r="Z275" i="4"/>
  <c r="R275" i="4"/>
  <c r="Y275" i="4"/>
  <c r="P275" i="4"/>
  <c r="AG275" i="4"/>
  <c r="W275" i="4"/>
  <c r="V275" i="4"/>
  <c r="AC275" i="4"/>
  <c r="U275" i="4"/>
  <c r="X276" i="4"/>
  <c r="T279" i="4"/>
  <c r="R280" i="4"/>
  <c r="U285" i="4"/>
  <c r="AA299" i="4"/>
  <c r="U299" i="4"/>
  <c r="P198" i="4"/>
  <c r="S201" i="4"/>
  <c r="P202" i="4"/>
  <c r="Z215" i="4"/>
  <c r="R215" i="4"/>
  <c r="V215" i="4"/>
  <c r="AA215" i="4"/>
  <c r="V221" i="4"/>
  <c r="Z221" i="4"/>
  <c r="R221" i="4"/>
  <c r="AA221" i="4"/>
  <c r="U245" i="4"/>
  <c r="T247" i="4"/>
  <c r="T249" i="4"/>
  <c r="S251" i="4"/>
  <c r="V253" i="4"/>
  <c r="AA253" i="4"/>
  <c r="Z253" i="4"/>
  <c r="Y253" i="4"/>
  <c r="P253" i="4"/>
  <c r="U253" i="4" s="1"/>
  <c r="S255" i="4"/>
  <c r="X256" i="4"/>
  <c r="S263" i="4"/>
  <c r="W273" i="4"/>
  <c r="X279" i="4"/>
  <c r="AA285" i="4"/>
  <c r="V305" i="4"/>
  <c r="AC305" i="4"/>
  <c r="U305" i="4"/>
  <c r="T305" i="4"/>
  <c r="AA305" i="4"/>
  <c r="S305" i="4"/>
  <c r="Z305" i="4"/>
  <c r="R305" i="4"/>
  <c r="AG305" i="4"/>
  <c r="X305" i="4"/>
  <c r="P305" i="4"/>
  <c r="AB305" i="4" s="1"/>
  <c r="Z271" i="4"/>
  <c r="R271" i="4"/>
  <c r="Y271" i="4"/>
  <c r="P271" i="4"/>
  <c r="AG271" i="4"/>
  <c r="W271" i="4"/>
  <c r="V271" i="4"/>
  <c r="AC271" i="4"/>
  <c r="X272" i="4"/>
  <c r="X273" i="4"/>
  <c r="AA279" i="4"/>
  <c r="AG285" i="4"/>
  <c r="AA300" i="4"/>
  <c r="Z303" i="4"/>
  <c r="AA248" i="4"/>
  <c r="W249" i="4"/>
  <c r="U251" i="4"/>
  <c r="X252" i="4"/>
  <c r="X255" i="4"/>
  <c r="Z259" i="4"/>
  <c r="R259" i="4"/>
  <c r="AG259" i="4"/>
  <c r="W259" i="4"/>
  <c r="V259" i="4"/>
  <c r="AC259" i="4"/>
  <c r="U259" i="4"/>
  <c r="X263" i="4"/>
  <c r="Z267" i="4"/>
  <c r="R267" i="4"/>
  <c r="AG267" i="4"/>
  <c r="W267" i="4"/>
  <c r="V267" i="4"/>
  <c r="AC267" i="4"/>
  <c r="U267" i="4"/>
  <c r="AB273" i="4"/>
  <c r="X281" i="4"/>
  <c r="S281" i="4"/>
  <c r="AA303" i="4"/>
  <c r="S303" i="4"/>
  <c r="W270" i="4"/>
  <c r="AG270" i="4"/>
  <c r="W274" i="4"/>
  <c r="AG274" i="4"/>
  <c r="W278" i="4"/>
  <c r="AG278" i="4"/>
  <c r="W297" i="4"/>
  <c r="V301" i="4"/>
  <c r="AB301" i="4"/>
  <c r="T301" i="4"/>
  <c r="AA301" i="4"/>
  <c r="S301" i="4"/>
  <c r="Z301" i="4"/>
  <c r="R301" i="4"/>
  <c r="AC388" i="4"/>
  <c r="AA388" i="4"/>
  <c r="Z388" i="4"/>
  <c r="P388" i="4"/>
  <c r="U388" i="4" s="1"/>
  <c r="Y388" i="4"/>
  <c r="W388" i="4"/>
  <c r="V388" i="4"/>
  <c r="AG388" i="4"/>
  <c r="AB388" i="4"/>
  <c r="T388" i="4"/>
  <c r="S388" i="4"/>
  <c r="X214" i="4"/>
  <c r="X218" i="4"/>
  <c r="X222" i="4"/>
  <c r="X226" i="4"/>
  <c r="X230" i="4"/>
  <c r="X238" i="4"/>
  <c r="X242" i="4"/>
  <c r="X246" i="4"/>
  <c r="X250" i="4"/>
  <c r="X258" i="4"/>
  <c r="X266" i="4"/>
  <c r="X270" i="4"/>
  <c r="Y332" i="4"/>
  <c r="AB332" i="4"/>
  <c r="AA332" i="4"/>
  <c r="S332" i="4"/>
  <c r="P234" i="4"/>
  <c r="P238" i="4"/>
  <c r="Y238" i="4"/>
  <c r="P242" i="4"/>
  <c r="Y242" i="4"/>
  <c r="U244" i="4"/>
  <c r="AC244" i="4"/>
  <c r="P246" i="4"/>
  <c r="Y246" i="4"/>
  <c r="U248" i="4"/>
  <c r="AC248" i="4"/>
  <c r="P250" i="4"/>
  <c r="T250" i="4" s="1"/>
  <c r="Y250" i="4"/>
  <c r="U252" i="4"/>
  <c r="AC252" i="4"/>
  <c r="P254" i="4"/>
  <c r="Y254" i="4"/>
  <c r="U256" i="4"/>
  <c r="AC256" i="4"/>
  <c r="P258" i="4"/>
  <c r="Y258" i="4"/>
  <c r="U260" i="4"/>
  <c r="AC260" i="4"/>
  <c r="P262" i="4"/>
  <c r="U264" i="4"/>
  <c r="AC264" i="4"/>
  <c r="P266" i="4"/>
  <c r="Y266" i="4"/>
  <c r="U268" i="4"/>
  <c r="AF268" i="4" s="1"/>
  <c r="AH268" i="4" s="1"/>
  <c r="AC268" i="4"/>
  <c r="P270" i="4"/>
  <c r="Y270" i="4"/>
  <c r="U272" i="4"/>
  <c r="AF272" i="4" s="1"/>
  <c r="AH272" i="4" s="1"/>
  <c r="AC272" i="4"/>
  <c r="P274" i="4"/>
  <c r="Y274" i="4"/>
  <c r="U276" i="4"/>
  <c r="AF276" i="4" s="1"/>
  <c r="AH276" i="4" s="1"/>
  <c r="AC276" i="4"/>
  <c r="P278" i="4"/>
  <c r="Y278" i="4"/>
  <c r="U280" i="4"/>
  <c r="U281" i="4"/>
  <c r="AG281" i="4"/>
  <c r="V282" i="4"/>
  <c r="V289" i="4"/>
  <c r="AB289" i="4"/>
  <c r="T289" i="4"/>
  <c r="Z289" i="4"/>
  <c r="R289" i="4"/>
  <c r="AC289" i="4"/>
  <c r="AF292" i="4"/>
  <c r="AH292" i="4" s="1"/>
  <c r="X300" i="4"/>
  <c r="U301" i="4"/>
  <c r="X304" i="4"/>
  <c r="Y323" i="4"/>
  <c r="P323" i="4"/>
  <c r="AG323" i="4"/>
  <c r="W323" i="4"/>
  <c r="X323" i="4"/>
  <c r="V323" i="4"/>
  <c r="U323" i="4"/>
  <c r="T323" i="4"/>
  <c r="AC323" i="4"/>
  <c r="S323" i="4"/>
  <c r="AB323" i="4"/>
  <c r="AA323" i="4"/>
  <c r="Z323" i="4"/>
  <c r="R323" i="4"/>
  <c r="R332" i="4"/>
  <c r="AB297" i="4"/>
  <c r="T297" i="4"/>
  <c r="Z297" i="4"/>
  <c r="AC297" i="4"/>
  <c r="AF300" i="4"/>
  <c r="AH300" i="4" s="1"/>
  <c r="T214" i="4"/>
  <c r="AF214" i="4" s="1"/>
  <c r="AH214" i="4" s="1"/>
  <c r="T218" i="4"/>
  <c r="T222" i="4"/>
  <c r="AF222" i="4" s="1"/>
  <c r="AH222" i="4" s="1"/>
  <c r="T226" i="4"/>
  <c r="AF226" i="4" s="1"/>
  <c r="AH226" i="4" s="1"/>
  <c r="T230" i="4"/>
  <c r="AF230" i="4" s="1"/>
  <c r="AH230" i="4" s="1"/>
  <c r="T234" i="4"/>
  <c r="T238" i="4"/>
  <c r="T242" i="4"/>
  <c r="T246" i="4"/>
  <c r="T254" i="4"/>
  <c r="T258" i="4"/>
  <c r="AF258" i="4" s="1"/>
  <c r="AH258" i="4" s="1"/>
  <c r="T262" i="4"/>
  <c r="T266" i="4"/>
  <c r="AF266" i="4" s="1"/>
  <c r="AH266" i="4" s="1"/>
  <c r="T270" i="4"/>
  <c r="T274" i="4"/>
  <c r="T278" i="4"/>
  <c r="Y280" i="4"/>
  <c r="Y281" i="4"/>
  <c r="AB282" i="4"/>
  <c r="T282" i="4"/>
  <c r="Y282" i="4"/>
  <c r="Z283" i="4"/>
  <c r="R283" i="4"/>
  <c r="Y283" i="4"/>
  <c r="R288" i="4"/>
  <c r="P297" i="4"/>
  <c r="U297" i="4" s="1"/>
  <c r="AG297" i="4"/>
  <c r="Y301" i="4"/>
  <c r="AC317" i="4"/>
  <c r="T317" i="4"/>
  <c r="AA317" i="4"/>
  <c r="Y317" i="4"/>
  <c r="P317" i="4"/>
  <c r="AG317" i="4"/>
  <c r="Z317" i="4"/>
  <c r="X317" i="4"/>
  <c r="W317" i="4"/>
  <c r="V317" i="4"/>
  <c r="AC396" i="4"/>
  <c r="U396" i="4"/>
  <c r="R396" i="4"/>
  <c r="Z396" i="4"/>
  <c r="P396" i="4"/>
  <c r="X396" i="4" s="1"/>
  <c r="Y396" i="4"/>
  <c r="W396" i="4"/>
  <c r="AG396" i="4"/>
  <c r="AB396" i="4"/>
  <c r="T396" i="4"/>
  <c r="S396" i="4"/>
  <c r="W308" i="4"/>
  <c r="AB309" i="4"/>
  <c r="T309" i="4"/>
  <c r="AA309" i="4"/>
  <c r="S309" i="4"/>
  <c r="Y309" i="4"/>
  <c r="P309" i="4"/>
  <c r="W312" i="4"/>
  <c r="AB313" i="4"/>
  <c r="T313" i="4"/>
  <c r="AA313" i="4"/>
  <c r="Y313" i="4"/>
  <c r="P313" i="4"/>
  <c r="V314" i="4"/>
  <c r="V370" i="4"/>
  <c r="AC370" i="4"/>
  <c r="U370" i="4"/>
  <c r="AB370" i="4"/>
  <c r="T370" i="4"/>
  <c r="AA370" i="4"/>
  <c r="Z370" i="4"/>
  <c r="X370" i="4"/>
  <c r="W370" i="4"/>
  <c r="R370" i="4"/>
  <c r="AG370" i="4"/>
  <c r="Y370" i="4"/>
  <c r="P370" i="4"/>
  <c r="S370" i="4" s="1"/>
  <c r="X286" i="4"/>
  <c r="V287" i="4"/>
  <c r="X290" i="4"/>
  <c r="V291" i="4"/>
  <c r="X294" i="4"/>
  <c r="V295" i="4"/>
  <c r="X298" i="4"/>
  <c r="V299" i="4"/>
  <c r="X302" i="4"/>
  <c r="V303" i="4"/>
  <c r="X306" i="4"/>
  <c r="V307" i="4"/>
  <c r="X308" i="4"/>
  <c r="R309" i="4"/>
  <c r="AG309" i="4"/>
  <c r="X312" i="4"/>
  <c r="R313" i="4"/>
  <c r="AG313" i="4"/>
  <c r="X314" i="4"/>
  <c r="Y316" i="4"/>
  <c r="Y319" i="4"/>
  <c r="P319" i="4"/>
  <c r="AG319" i="4"/>
  <c r="W319" i="4"/>
  <c r="X319" i="4"/>
  <c r="V319" i="4"/>
  <c r="U319" i="4"/>
  <c r="AC319" i="4"/>
  <c r="S319" i="4"/>
  <c r="Y320" i="4"/>
  <c r="W307" i="4"/>
  <c r="AG307" i="4"/>
  <c r="Y308" i="4"/>
  <c r="U309" i="4"/>
  <c r="AA310" i="4"/>
  <c r="Y312" i="4"/>
  <c r="U313" i="4"/>
  <c r="AA314" i="4"/>
  <c r="P327" i="4"/>
  <c r="Y327" i="4" s="1"/>
  <c r="AG327" i="4"/>
  <c r="W327" i="4"/>
  <c r="X327" i="4"/>
  <c r="V327" i="4"/>
  <c r="U327" i="4"/>
  <c r="T327" i="4"/>
  <c r="AC327" i="4"/>
  <c r="S327" i="4"/>
  <c r="X287" i="4"/>
  <c r="X291" i="4"/>
  <c r="X295" i="4"/>
  <c r="X299" i="4"/>
  <c r="R302" i="4"/>
  <c r="X303" i="4"/>
  <c r="X307" i="4"/>
  <c r="V309" i="4"/>
  <c r="V313" i="4"/>
  <c r="T319" i="4"/>
  <c r="Y406" i="4"/>
  <c r="P406" i="4"/>
  <c r="U406" i="4" s="1"/>
  <c r="AB406" i="4"/>
  <c r="AA406" i="4"/>
  <c r="R406" i="4"/>
  <c r="Z406" i="4"/>
  <c r="X406" i="4"/>
  <c r="W406" i="4"/>
  <c r="V406" i="4"/>
  <c r="AG406" i="4"/>
  <c r="V308" i="4"/>
  <c r="AC308" i="4"/>
  <c r="AA308" i="4"/>
  <c r="AB308" i="4"/>
  <c r="W309" i="4"/>
  <c r="R310" i="4"/>
  <c r="Y310" i="4"/>
  <c r="P310" i="4"/>
  <c r="AB310" i="4" s="1"/>
  <c r="AG310" i="4"/>
  <c r="W310" i="4"/>
  <c r="AC310" i="4"/>
  <c r="AC312" i="4"/>
  <c r="U312" i="4"/>
  <c r="AA312" i="4"/>
  <c r="S312" i="4"/>
  <c r="W313" i="4"/>
  <c r="Z314" i="4"/>
  <c r="R314" i="4"/>
  <c r="Y314" i="4"/>
  <c r="P314" i="4"/>
  <c r="U314" i="4" s="1"/>
  <c r="AG314" i="4"/>
  <c r="W314" i="4"/>
  <c r="AC314" i="4"/>
  <c r="AG316" i="4"/>
  <c r="W316" i="4"/>
  <c r="V316" i="4"/>
  <c r="AC316" i="4"/>
  <c r="U316" i="4"/>
  <c r="AA316" i="4"/>
  <c r="T286" i="4"/>
  <c r="AF286" i="4" s="1"/>
  <c r="AH286" i="4" s="1"/>
  <c r="R287" i="4"/>
  <c r="T290" i="4"/>
  <c r="R291" i="4"/>
  <c r="T294" i="4"/>
  <c r="AF294" i="4" s="1"/>
  <c r="AH294" i="4" s="1"/>
  <c r="R295" i="4"/>
  <c r="AF295" i="4" s="1"/>
  <c r="AH295" i="4" s="1"/>
  <c r="T298" i="4"/>
  <c r="R299" i="4"/>
  <c r="AF299" i="4" s="1"/>
  <c r="AH299" i="4" s="1"/>
  <c r="T302" i="4"/>
  <c r="R303" i="4"/>
  <c r="T306" i="4"/>
  <c r="R307" i="4"/>
  <c r="AF307" i="4" s="1"/>
  <c r="AH307" i="4" s="1"/>
  <c r="P308" i="4"/>
  <c r="R308" i="4" s="1"/>
  <c r="AG308" i="4"/>
  <c r="X309" i="4"/>
  <c r="S310" i="4"/>
  <c r="P312" i="4"/>
  <c r="R312" i="4" s="1"/>
  <c r="AG312" i="4"/>
  <c r="X313" i="4"/>
  <c r="S314" i="4"/>
  <c r="P316" i="4"/>
  <c r="X316" i="4" s="1"/>
  <c r="AA319" i="4"/>
  <c r="AA327" i="4"/>
  <c r="X332" i="4"/>
  <c r="AC406" i="4"/>
  <c r="U311" i="4"/>
  <c r="AC311" i="4"/>
  <c r="U315" i="4"/>
  <c r="AC315" i="4"/>
  <c r="AA318" i="4"/>
  <c r="Y318" i="4"/>
  <c r="P318" i="4"/>
  <c r="AB318" i="4"/>
  <c r="T320" i="4"/>
  <c r="AA322" i="4"/>
  <c r="S322" i="4"/>
  <c r="Y322" i="4"/>
  <c r="P322" i="4"/>
  <c r="X322" i="4" s="1"/>
  <c r="AB322" i="4"/>
  <c r="T324" i="4"/>
  <c r="AA326" i="4"/>
  <c r="S326" i="4"/>
  <c r="Y326" i="4"/>
  <c r="P326" i="4"/>
  <c r="AB326" i="4" s="1"/>
  <c r="T328" i="4"/>
  <c r="AA330" i="4"/>
  <c r="S330" i="4"/>
  <c r="Y330" i="4"/>
  <c r="P330" i="4"/>
  <c r="AB330" i="4" s="1"/>
  <c r="T332" i="4"/>
  <c r="AA334" i="4"/>
  <c r="S334" i="4"/>
  <c r="Y334" i="4"/>
  <c r="P334" i="4"/>
  <c r="AG334" i="4"/>
  <c r="W334" i="4"/>
  <c r="AC334" i="4"/>
  <c r="V335" i="4"/>
  <c r="AG336" i="4"/>
  <c r="W336" i="4"/>
  <c r="AC336" i="4"/>
  <c r="U336" i="4"/>
  <c r="AA336" i="4"/>
  <c r="S336" i="4"/>
  <c r="AB336" i="4"/>
  <c r="W337" i="4"/>
  <c r="S338" i="4"/>
  <c r="Y338" i="4"/>
  <c r="P338" i="4"/>
  <c r="AG338" i="4"/>
  <c r="W338" i="4"/>
  <c r="AC338" i="4"/>
  <c r="V339" i="4"/>
  <c r="AG340" i="4"/>
  <c r="W340" i="4"/>
  <c r="AC340" i="4"/>
  <c r="U340" i="4"/>
  <c r="AA340" i="4"/>
  <c r="S340" i="4"/>
  <c r="AB340" i="4"/>
  <c r="W341" i="4"/>
  <c r="AA342" i="4"/>
  <c r="S342" i="4"/>
  <c r="AF342" i="4" s="1"/>
  <c r="AH342" i="4" s="1"/>
  <c r="Y342" i="4"/>
  <c r="P342" i="4"/>
  <c r="AG342" i="4"/>
  <c r="W342" i="4"/>
  <c r="AC342" i="4"/>
  <c r="V343" i="4"/>
  <c r="AG344" i="4"/>
  <c r="W344" i="4"/>
  <c r="AC344" i="4"/>
  <c r="U344" i="4"/>
  <c r="AA344" i="4"/>
  <c r="S344" i="4"/>
  <c r="AB344" i="4"/>
  <c r="W345" i="4"/>
  <c r="Y346" i="4"/>
  <c r="P346" i="4"/>
  <c r="AG346" i="4"/>
  <c r="W346" i="4"/>
  <c r="AC346" i="4"/>
  <c r="V347" i="4"/>
  <c r="AG348" i="4"/>
  <c r="W348" i="4"/>
  <c r="AC348" i="4"/>
  <c r="U348" i="4"/>
  <c r="AA348" i="4"/>
  <c r="S348" i="4"/>
  <c r="AB348" i="4"/>
  <c r="W349" i="4"/>
  <c r="AA350" i="4"/>
  <c r="S350" i="4"/>
  <c r="P350" i="4"/>
  <c r="AG350" i="4"/>
  <c r="W350" i="4"/>
  <c r="AC350" i="4"/>
  <c r="V351" i="4"/>
  <c r="AG352" i="4"/>
  <c r="W352" i="4"/>
  <c r="AC352" i="4"/>
  <c r="U352" i="4"/>
  <c r="AA352" i="4"/>
  <c r="S352" i="4"/>
  <c r="AB352" i="4"/>
  <c r="W353" i="4"/>
  <c r="AA354" i="4"/>
  <c r="S354" i="4"/>
  <c r="Y354" i="4"/>
  <c r="P354" i="4"/>
  <c r="AG354" i="4"/>
  <c r="W354" i="4"/>
  <c r="AC354" i="4"/>
  <c r="V355" i="4"/>
  <c r="AG356" i="4"/>
  <c r="W356" i="4"/>
  <c r="AC356" i="4"/>
  <c r="U356" i="4"/>
  <c r="AA356" i="4"/>
  <c r="S356" i="4"/>
  <c r="AB356" i="4"/>
  <c r="W357" i="4"/>
  <c r="S358" i="4"/>
  <c r="P358" i="4"/>
  <c r="AG358" i="4"/>
  <c r="W358" i="4"/>
  <c r="AC358" i="4"/>
  <c r="AC359" i="4"/>
  <c r="T363" i="4"/>
  <c r="AA363" i="4"/>
  <c r="S363" i="4"/>
  <c r="R363" i="4"/>
  <c r="Y363" i="4"/>
  <c r="P363" i="4"/>
  <c r="Z363" i="4" s="1"/>
  <c r="W363" i="4"/>
  <c r="V363" i="4"/>
  <c r="AB386" i="4"/>
  <c r="T386" i="4"/>
  <c r="U386" i="4"/>
  <c r="AC386" i="4"/>
  <c r="S386" i="4"/>
  <c r="AA386" i="4"/>
  <c r="R386" i="4"/>
  <c r="Z386" i="4"/>
  <c r="P386" i="4"/>
  <c r="AG386" i="4"/>
  <c r="X386" i="4"/>
  <c r="W386" i="4"/>
  <c r="V386" i="4"/>
  <c r="Y394" i="4"/>
  <c r="P394" i="4"/>
  <c r="AB394" i="4" s="1"/>
  <c r="S394" i="4"/>
  <c r="AA394" i="4"/>
  <c r="R394" i="4"/>
  <c r="Z394" i="4"/>
  <c r="W394" i="4"/>
  <c r="V394" i="4"/>
  <c r="AG394" i="4"/>
  <c r="AC394" i="4"/>
  <c r="U394" i="4"/>
  <c r="T394" i="4"/>
  <c r="V328" i="4"/>
  <c r="V332" i="4"/>
  <c r="X335" i="4"/>
  <c r="X337" i="4"/>
  <c r="X339" i="4"/>
  <c r="X341" i="4"/>
  <c r="X343" i="4"/>
  <c r="X345" i="4"/>
  <c r="X347" i="4"/>
  <c r="X349" i="4"/>
  <c r="X351" i="4"/>
  <c r="X355" i="4"/>
  <c r="X357" i="4"/>
  <c r="AB369" i="4"/>
  <c r="Z369" i="4"/>
  <c r="T369" i="4"/>
  <c r="Y402" i="4"/>
  <c r="P402" i="4"/>
  <c r="AB402" i="4"/>
  <c r="S402" i="4"/>
  <c r="AA402" i="4"/>
  <c r="R402" i="4"/>
  <c r="Z402" i="4"/>
  <c r="X402" i="4"/>
  <c r="W402" i="4"/>
  <c r="V402" i="4"/>
  <c r="AG402" i="4"/>
  <c r="AC402" i="4"/>
  <c r="U402" i="4"/>
  <c r="T402" i="4"/>
  <c r="W311" i="4"/>
  <c r="AG311" i="4"/>
  <c r="W315" i="4"/>
  <c r="AG315" i="4"/>
  <c r="X320" i="4"/>
  <c r="AC321" i="4"/>
  <c r="U321" i="4"/>
  <c r="AA321" i="4"/>
  <c r="S321" i="4"/>
  <c r="Z321" i="4"/>
  <c r="X324" i="4"/>
  <c r="AC325" i="4"/>
  <c r="U325" i="4"/>
  <c r="AA325" i="4"/>
  <c r="S325" i="4"/>
  <c r="AF325" i="4" s="1"/>
  <c r="AH325" i="4" s="1"/>
  <c r="Z325" i="4"/>
  <c r="AC329" i="4"/>
  <c r="U329" i="4"/>
  <c r="AA329" i="4"/>
  <c r="S329" i="4"/>
  <c r="Z329" i="4"/>
  <c r="AC333" i="4"/>
  <c r="U333" i="4"/>
  <c r="AA333" i="4"/>
  <c r="S333" i="4"/>
  <c r="Z333" i="4"/>
  <c r="Z339" i="4"/>
  <c r="Z341" i="4"/>
  <c r="Z343" i="4"/>
  <c r="Z345" i="4"/>
  <c r="Z347" i="4"/>
  <c r="Z349" i="4"/>
  <c r="Z351" i="4"/>
  <c r="Z353" i="4"/>
  <c r="Z355" i="4"/>
  <c r="Z357" i="4"/>
  <c r="R369" i="4"/>
  <c r="Y390" i="4"/>
  <c r="P390" i="4"/>
  <c r="S390" i="4" s="1"/>
  <c r="AB390" i="4"/>
  <c r="AA390" i="4"/>
  <c r="R390" i="4"/>
  <c r="Z390" i="4"/>
  <c r="W390" i="4"/>
  <c r="V390" i="4"/>
  <c r="T390" i="4"/>
  <c r="AG390" i="4"/>
  <c r="P398" i="4"/>
  <c r="AC398" i="4" s="1"/>
  <c r="V398" i="4"/>
  <c r="AG398" i="4"/>
  <c r="V366" i="4"/>
  <c r="AC366" i="4"/>
  <c r="U366" i="4"/>
  <c r="AB366" i="4"/>
  <c r="T366" i="4"/>
  <c r="AA366" i="4"/>
  <c r="S366" i="4"/>
  <c r="Z366" i="4"/>
  <c r="X366" i="4"/>
  <c r="W366" i="4"/>
  <c r="R366" i="4"/>
  <c r="S369" i="4"/>
  <c r="AC404" i="4"/>
  <c r="AA404" i="4"/>
  <c r="R404" i="4"/>
  <c r="Z404" i="4"/>
  <c r="P404" i="4"/>
  <c r="S404" i="4" s="1"/>
  <c r="Y404" i="4"/>
  <c r="W404" i="4"/>
  <c r="V404" i="4"/>
  <c r="AG404" i="4"/>
  <c r="AB404" i="4"/>
  <c r="AG320" i="4"/>
  <c r="W320" i="4"/>
  <c r="AC320" i="4"/>
  <c r="U320" i="4"/>
  <c r="Z320" i="4"/>
  <c r="AG324" i="4"/>
  <c r="W324" i="4"/>
  <c r="AC324" i="4"/>
  <c r="U324" i="4"/>
  <c r="Z324" i="4"/>
  <c r="AG328" i="4"/>
  <c r="W328" i="4"/>
  <c r="AC328" i="4"/>
  <c r="U328" i="4"/>
  <c r="Z328" i="4"/>
  <c r="AG332" i="4"/>
  <c r="W332" i="4"/>
  <c r="AC332" i="4"/>
  <c r="U332" i="4"/>
  <c r="Z332" i="4"/>
  <c r="Y335" i="4"/>
  <c r="P335" i="4"/>
  <c r="AG335" i="4"/>
  <c r="W335" i="4"/>
  <c r="AC335" i="4"/>
  <c r="U335" i="4"/>
  <c r="AB335" i="4"/>
  <c r="AC337" i="4"/>
  <c r="U337" i="4"/>
  <c r="AA337" i="4"/>
  <c r="S337" i="4"/>
  <c r="Y337" i="4"/>
  <c r="P337" i="4"/>
  <c r="Y339" i="4"/>
  <c r="P339" i="4"/>
  <c r="AG339" i="4"/>
  <c r="W339" i="4"/>
  <c r="AC339" i="4"/>
  <c r="U339" i="4"/>
  <c r="AB339" i="4"/>
  <c r="AC341" i="4"/>
  <c r="U341" i="4"/>
  <c r="AA341" i="4"/>
  <c r="S341" i="4"/>
  <c r="Y341" i="4"/>
  <c r="P341" i="4"/>
  <c r="Y343" i="4"/>
  <c r="P343" i="4"/>
  <c r="U343" i="4" s="1"/>
  <c r="AG343" i="4"/>
  <c r="W343" i="4"/>
  <c r="AC343" i="4"/>
  <c r="AB343" i="4"/>
  <c r="AC345" i="4"/>
  <c r="U345" i="4"/>
  <c r="Y345" i="4"/>
  <c r="P345" i="4"/>
  <c r="AA345" i="4" s="1"/>
  <c r="Y347" i="4"/>
  <c r="P347" i="4"/>
  <c r="AG347" i="4"/>
  <c r="W347" i="4"/>
  <c r="AC347" i="4"/>
  <c r="U347" i="4"/>
  <c r="AB347" i="4"/>
  <c r="AC349" i="4"/>
  <c r="U349" i="4"/>
  <c r="AA349" i="4"/>
  <c r="S349" i="4"/>
  <c r="Y349" i="4"/>
  <c r="P349" i="4"/>
  <c r="AB349" i="4" s="1"/>
  <c r="Y351" i="4"/>
  <c r="P351" i="4"/>
  <c r="AG351" i="4"/>
  <c r="W351" i="4"/>
  <c r="AC351" i="4"/>
  <c r="U351" i="4"/>
  <c r="AB351" i="4"/>
  <c r="AC353" i="4"/>
  <c r="U353" i="4"/>
  <c r="AA353" i="4"/>
  <c r="S353" i="4"/>
  <c r="Y353" i="4"/>
  <c r="P353" i="4"/>
  <c r="Y355" i="4"/>
  <c r="P355" i="4"/>
  <c r="AG355" i="4"/>
  <c r="W355" i="4"/>
  <c r="AC355" i="4"/>
  <c r="U355" i="4"/>
  <c r="AF355" i="4" s="1"/>
  <c r="AH355" i="4" s="1"/>
  <c r="AB355" i="4"/>
  <c r="AC357" i="4"/>
  <c r="U357" i="4"/>
  <c r="AA357" i="4"/>
  <c r="S357" i="4"/>
  <c r="Y357" i="4"/>
  <c r="P357" i="4"/>
  <c r="AB359" i="4"/>
  <c r="T359" i="4"/>
  <c r="AA359" i="4"/>
  <c r="S359" i="4"/>
  <c r="Z359" i="4"/>
  <c r="Y359" i="4"/>
  <c r="P359" i="4"/>
  <c r="R359" i="4"/>
  <c r="X359" i="4"/>
  <c r="V385" i="4"/>
  <c r="AC385" i="4"/>
  <c r="S385" i="4"/>
  <c r="AA385" i="4"/>
  <c r="R385" i="4"/>
  <c r="Z385" i="4"/>
  <c r="P385" i="4"/>
  <c r="U385" i="4" s="1"/>
  <c r="AG385" i="4"/>
  <c r="X385" i="4"/>
  <c r="W385" i="4"/>
  <c r="AG387" i="4"/>
  <c r="AA387" i="4"/>
  <c r="Z387" i="4"/>
  <c r="R387" i="4"/>
  <c r="U387" i="4"/>
  <c r="T387" i="4"/>
  <c r="AC387" i="4"/>
  <c r="S387" i="4"/>
  <c r="AB387" i="4"/>
  <c r="P387" i="4"/>
  <c r="Y387" i="4" s="1"/>
  <c r="X387" i="4"/>
  <c r="W387" i="4"/>
  <c r="V387" i="4"/>
  <c r="AB367" i="4"/>
  <c r="T367" i="4"/>
  <c r="AA367" i="4"/>
  <c r="S367" i="4"/>
  <c r="Z367" i="4"/>
  <c r="R367" i="4"/>
  <c r="Y367" i="4"/>
  <c r="P367" i="4"/>
  <c r="AB371" i="4"/>
  <c r="T371" i="4"/>
  <c r="AA371" i="4"/>
  <c r="Z371" i="4"/>
  <c r="R371" i="4"/>
  <c r="Y371" i="4"/>
  <c r="P371" i="4"/>
  <c r="V374" i="4"/>
  <c r="AC374" i="4"/>
  <c r="U374" i="4"/>
  <c r="AB374" i="4"/>
  <c r="T374" i="4"/>
  <c r="AA374" i="4"/>
  <c r="S374" i="4"/>
  <c r="AC392" i="4"/>
  <c r="U392" i="4"/>
  <c r="AA392" i="4"/>
  <c r="R392" i="4"/>
  <c r="Z392" i="4"/>
  <c r="P392" i="4"/>
  <c r="Y392" i="4" s="1"/>
  <c r="X392" i="4"/>
  <c r="W392" i="4"/>
  <c r="V392" i="4"/>
  <c r="AC400" i="4"/>
  <c r="R400" i="4"/>
  <c r="Z400" i="4"/>
  <c r="P400" i="4"/>
  <c r="Y400" i="4"/>
  <c r="W400" i="4"/>
  <c r="V400" i="4"/>
  <c r="V367" i="4"/>
  <c r="V371" i="4"/>
  <c r="R374" i="4"/>
  <c r="Z375" i="4"/>
  <c r="U375" i="4"/>
  <c r="T375" i="4"/>
  <c r="AA375" i="4"/>
  <c r="P375" i="4"/>
  <c r="AB375" i="4" s="1"/>
  <c r="V377" i="4"/>
  <c r="AC377" i="4"/>
  <c r="T377" i="4"/>
  <c r="AB377" i="4"/>
  <c r="AA377" i="4"/>
  <c r="R377" i="4"/>
  <c r="Z377" i="4"/>
  <c r="P377" i="4"/>
  <c r="S377" i="4" s="1"/>
  <c r="T378" i="4"/>
  <c r="AC378" i="4"/>
  <c r="S378" i="4"/>
  <c r="AA378" i="4"/>
  <c r="Z378" i="4"/>
  <c r="P378" i="4"/>
  <c r="U378" i="4" s="1"/>
  <c r="Z379" i="4"/>
  <c r="R379" i="4"/>
  <c r="U379" i="4"/>
  <c r="AC379" i="4"/>
  <c r="T379" i="4"/>
  <c r="AB379" i="4"/>
  <c r="S379" i="4"/>
  <c r="AA379" i="4"/>
  <c r="P379" i="4"/>
  <c r="V381" i="4"/>
  <c r="T381" i="4"/>
  <c r="S381" i="4"/>
  <c r="AA381" i="4"/>
  <c r="R381" i="4"/>
  <c r="Z381" i="4"/>
  <c r="P381" i="4"/>
  <c r="AC381" i="4" s="1"/>
  <c r="AB382" i="4"/>
  <c r="T382" i="4"/>
  <c r="U382" i="4"/>
  <c r="AC382" i="4"/>
  <c r="S382" i="4"/>
  <c r="AA382" i="4"/>
  <c r="R382" i="4"/>
  <c r="Z382" i="4"/>
  <c r="P382" i="4"/>
  <c r="Z383" i="4"/>
  <c r="R383" i="4"/>
  <c r="U383" i="4"/>
  <c r="AC383" i="4"/>
  <c r="T383" i="4"/>
  <c r="AB383" i="4"/>
  <c r="S383" i="4"/>
  <c r="AA383" i="4"/>
  <c r="P383" i="4"/>
  <c r="S392" i="4"/>
  <c r="S400" i="4"/>
  <c r="V362" i="4"/>
  <c r="AC362" i="4"/>
  <c r="U362" i="4"/>
  <c r="AB362" i="4"/>
  <c r="T362" i="4"/>
  <c r="AA362" i="4"/>
  <c r="S362" i="4"/>
  <c r="X367" i="4"/>
  <c r="X369" i="4"/>
  <c r="X374" i="4"/>
  <c r="W375" i="4"/>
  <c r="W377" i="4"/>
  <c r="W378" i="4"/>
  <c r="W379" i="4"/>
  <c r="W381" i="4"/>
  <c r="W382" i="4"/>
  <c r="W383" i="4"/>
  <c r="AB392" i="4"/>
  <c r="AB400" i="4"/>
  <c r="W360" i="4"/>
  <c r="AG360" i="4"/>
  <c r="U361" i="4"/>
  <c r="AC361" i="4"/>
  <c r="W364" i="4"/>
  <c r="AG364" i="4"/>
  <c r="U365" i="4"/>
  <c r="AC365" i="4"/>
  <c r="W368" i="4"/>
  <c r="AG368" i="4"/>
  <c r="U369" i="4"/>
  <c r="AC369" i="4"/>
  <c r="W372" i="4"/>
  <c r="AG372" i="4"/>
  <c r="U373" i="4"/>
  <c r="AC373" i="4"/>
  <c r="Z384" i="4"/>
  <c r="X360" i="4"/>
  <c r="V361" i="4"/>
  <c r="X364" i="4"/>
  <c r="V365" i="4"/>
  <c r="X368" i="4"/>
  <c r="V369" i="4"/>
  <c r="X372" i="4"/>
  <c r="V373" i="4"/>
  <c r="AA389" i="4"/>
  <c r="S389" i="4"/>
  <c r="AB389" i="4"/>
  <c r="R389" i="4"/>
  <c r="Z389" i="4"/>
  <c r="P389" i="4"/>
  <c r="AG391" i="4"/>
  <c r="W391" i="4"/>
  <c r="AA391" i="4"/>
  <c r="R391" i="4"/>
  <c r="P391" i="4"/>
  <c r="AC391" i="4"/>
  <c r="AA393" i="4"/>
  <c r="S393" i="4"/>
  <c r="AB393" i="4"/>
  <c r="R393" i="4"/>
  <c r="Z393" i="4"/>
  <c r="P393" i="4"/>
  <c r="V393" i="4" s="1"/>
  <c r="AG395" i="4"/>
  <c r="R395" i="4"/>
  <c r="Z395" i="4"/>
  <c r="P395" i="4"/>
  <c r="AB395" i="4" s="1"/>
  <c r="AA397" i="4"/>
  <c r="AB397" i="4"/>
  <c r="Z397" i="4"/>
  <c r="P397" i="4"/>
  <c r="S397" i="4" s="1"/>
  <c r="AG399" i="4"/>
  <c r="W399" i="4"/>
  <c r="AA399" i="4"/>
  <c r="R399" i="4"/>
  <c r="Z399" i="4"/>
  <c r="P399" i="4"/>
  <c r="AC399" i="4"/>
  <c r="AA401" i="4"/>
  <c r="S401" i="4"/>
  <c r="AB401" i="4"/>
  <c r="R401" i="4"/>
  <c r="Z401" i="4"/>
  <c r="P401" i="4"/>
  <c r="AG403" i="4"/>
  <c r="W403" i="4"/>
  <c r="Z403" i="4"/>
  <c r="P403" i="4"/>
  <c r="AA403" i="4" s="1"/>
  <c r="AA405" i="4"/>
  <c r="AB405" i="4"/>
  <c r="R405" i="4"/>
  <c r="Z405" i="4"/>
  <c r="P405" i="4"/>
  <c r="X405" i="4" s="1"/>
  <c r="W361" i="4"/>
  <c r="AG361" i="4"/>
  <c r="W365" i="4"/>
  <c r="AG365" i="4"/>
  <c r="P368" i="4"/>
  <c r="Y368" i="4"/>
  <c r="W369" i="4"/>
  <c r="AG369" i="4"/>
  <c r="W373" i="4"/>
  <c r="AG373" i="4"/>
  <c r="S384" i="4"/>
  <c r="T389" i="4"/>
  <c r="AG389" i="4"/>
  <c r="S391" i="4"/>
  <c r="T393" i="4"/>
  <c r="AG393" i="4"/>
  <c r="T397" i="4"/>
  <c r="AG397" i="4"/>
  <c r="S399" i="4"/>
  <c r="T401" i="4"/>
  <c r="AG401" i="4"/>
  <c r="S403" i="4"/>
  <c r="T405" i="4"/>
  <c r="AG405" i="4"/>
  <c r="R360" i="4"/>
  <c r="AF360" i="4" s="1"/>
  <c r="AH360" i="4" s="1"/>
  <c r="R364" i="4"/>
  <c r="AF364" i="4" s="1"/>
  <c r="AH364" i="4" s="1"/>
  <c r="R368" i="4"/>
  <c r="R372" i="4"/>
  <c r="U389" i="4"/>
  <c r="T391" i="4"/>
  <c r="U393" i="4"/>
  <c r="T395" i="4"/>
  <c r="U397" i="4"/>
  <c r="T399" i="4"/>
  <c r="U401" i="4"/>
  <c r="T403" i="4"/>
  <c r="U405" i="4"/>
  <c r="AG407" i="4"/>
  <c r="W407" i="4"/>
  <c r="Y407" i="4"/>
  <c r="AC408" i="4"/>
  <c r="U408" i="4"/>
  <c r="AA409" i="4"/>
  <c r="Y409" i="4"/>
  <c r="Y410" i="4"/>
  <c r="P410" i="4"/>
  <c r="Z410" i="4"/>
  <c r="AG411" i="4"/>
  <c r="AC412" i="4"/>
  <c r="U412" i="4"/>
  <c r="Y412" i="4"/>
  <c r="AA413" i="4"/>
  <c r="Y414" i="4"/>
  <c r="P414" i="4"/>
  <c r="Z414" i="4"/>
  <c r="AG415" i="4"/>
  <c r="W415" i="4"/>
  <c r="Y415" i="4"/>
  <c r="AC416" i="4"/>
  <c r="U416" i="4"/>
  <c r="Y416" i="4"/>
  <c r="AA417" i="4"/>
  <c r="S417" i="4"/>
  <c r="Y417" i="4"/>
  <c r="Y418" i="4"/>
  <c r="P418" i="4"/>
  <c r="U418" i="4" s="1"/>
  <c r="AG419" i="4"/>
  <c r="W419" i="4"/>
  <c r="Y419" i="4"/>
  <c r="AC420" i="4"/>
  <c r="U420" i="4"/>
  <c r="Y422" i="4"/>
  <c r="P422" i="4"/>
  <c r="U422" i="4" s="1"/>
  <c r="Z422" i="4"/>
  <c r="AG423" i="4"/>
  <c r="W423" i="4"/>
  <c r="Y423" i="4"/>
  <c r="AC424" i="4"/>
  <c r="U424" i="4"/>
  <c r="Y424" i="4"/>
  <c r="AA425" i="4"/>
  <c r="S425" i="4"/>
  <c r="Y425" i="4"/>
  <c r="Y426" i="4"/>
  <c r="P426" i="4"/>
  <c r="W426" i="4" s="1"/>
  <c r="AG427" i="4"/>
  <c r="W427" i="4"/>
  <c r="Y427" i="4"/>
  <c r="AC428" i="4"/>
  <c r="U428" i="4"/>
  <c r="Y428" i="4"/>
  <c r="AA429" i="4"/>
  <c r="Y429" i="4"/>
  <c r="P407" i="4"/>
  <c r="Z407" i="4"/>
  <c r="P408" i="4"/>
  <c r="Z408" i="4"/>
  <c r="P409" i="4"/>
  <c r="U409" i="4" s="1"/>
  <c r="Z409" i="4"/>
  <c r="R410" i="4"/>
  <c r="AA410" i="4"/>
  <c r="P411" i="4"/>
  <c r="V411" i="4" s="1"/>
  <c r="Z411" i="4"/>
  <c r="P412" i="4"/>
  <c r="Z412" i="4"/>
  <c r="P413" i="4"/>
  <c r="S413" i="4" s="1"/>
  <c r="Z413" i="4"/>
  <c r="R414" i="4"/>
  <c r="AA414" i="4"/>
  <c r="P415" i="4"/>
  <c r="Z415" i="4"/>
  <c r="P416" i="4"/>
  <c r="Z416" i="4"/>
  <c r="P417" i="4"/>
  <c r="Z417" i="4"/>
  <c r="R418" i="4"/>
  <c r="AA418" i="4"/>
  <c r="P419" i="4"/>
  <c r="V419" i="4" s="1"/>
  <c r="P420" i="4"/>
  <c r="Z420" i="4"/>
  <c r="P421" i="4"/>
  <c r="S421" i="4" s="1"/>
  <c r="Z421" i="4"/>
  <c r="R422" i="4"/>
  <c r="AA422" i="4"/>
  <c r="P423" i="4"/>
  <c r="Z423" i="4"/>
  <c r="P424" i="4"/>
  <c r="Z424" i="4"/>
  <c r="P425" i="4"/>
  <c r="Z425" i="4"/>
  <c r="R426" i="4"/>
  <c r="AA426" i="4"/>
  <c r="P427" i="4"/>
  <c r="S427" i="4" s="1"/>
  <c r="Z427" i="4"/>
  <c r="P428" i="4"/>
  <c r="Z428" i="4"/>
  <c r="P429" i="4"/>
  <c r="U429" i="4" s="1"/>
  <c r="Z429" i="4"/>
  <c r="R407" i="4"/>
  <c r="AF407" i="4" s="1"/>
  <c r="AA407" i="4"/>
  <c r="AA408" i="4"/>
  <c r="R409" i="4"/>
  <c r="AB409" i="4"/>
  <c r="S410" i="4"/>
  <c r="AB410" i="4"/>
  <c r="R411" i="4"/>
  <c r="AA411" i="4"/>
  <c r="AA412" i="4"/>
  <c r="R413" i="4"/>
  <c r="AB413" i="4"/>
  <c r="S414" i="4"/>
  <c r="AB414" i="4"/>
  <c r="R415" i="4"/>
  <c r="AA415" i="4"/>
  <c r="R416" i="4"/>
  <c r="AA416" i="4"/>
  <c r="R417" i="4"/>
  <c r="AB417" i="4"/>
  <c r="AB418" i="4"/>
  <c r="R419" i="4"/>
  <c r="AA419" i="4"/>
  <c r="R420" i="4"/>
  <c r="AA420" i="4"/>
  <c r="R421" i="4"/>
  <c r="AB421" i="4"/>
  <c r="S422" i="4"/>
  <c r="AB422" i="4"/>
  <c r="R423" i="4"/>
  <c r="AF423" i="4" s="1"/>
  <c r="AH423" i="4" s="1"/>
  <c r="AA423" i="4"/>
  <c r="R424" i="4"/>
  <c r="AA424" i="4"/>
  <c r="R425" i="4"/>
  <c r="AB425" i="4"/>
  <c r="AB426" i="4"/>
  <c r="R427" i="4"/>
  <c r="AA427" i="4"/>
  <c r="R428" i="4"/>
  <c r="AA428" i="4"/>
  <c r="R429" i="4"/>
  <c r="AB429" i="4"/>
  <c r="AD6" i="6"/>
  <c r="AL6" i="6"/>
  <c r="AD14" i="6"/>
  <c r="AL14" i="6"/>
  <c r="AK22" i="6"/>
  <c r="AS22" i="6"/>
  <c r="AO22" i="6"/>
  <c r="AN22" i="6"/>
  <c r="AM22" i="6"/>
  <c r="AD22" i="6"/>
  <c r="AA2" i="6"/>
  <c r="AI2" i="6"/>
  <c r="AS2" i="6"/>
  <c r="AB3" i="6"/>
  <c r="AJ3" i="6"/>
  <c r="AC4" i="6"/>
  <c r="AK4" i="6"/>
  <c r="AD5" i="6"/>
  <c r="AL5" i="6"/>
  <c r="V6" i="6"/>
  <c r="AE6" i="6"/>
  <c r="AM6" i="6"/>
  <c r="X7" i="6"/>
  <c r="AF7" i="6"/>
  <c r="AN7" i="6"/>
  <c r="Y8" i="6"/>
  <c r="AG8" i="6"/>
  <c r="AO8" i="6"/>
  <c r="Z9" i="6"/>
  <c r="AH9" i="6"/>
  <c r="AA10" i="6"/>
  <c r="AI10" i="6"/>
  <c r="AS10" i="6"/>
  <c r="AB11" i="6"/>
  <c r="AJ11" i="6"/>
  <c r="AC12" i="6"/>
  <c r="AK12" i="6"/>
  <c r="AD13" i="6"/>
  <c r="AL13" i="6"/>
  <c r="V14" i="6"/>
  <c r="AE14" i="6"/>
  <c r="AM14" i="6"/>
  <c r="X15" i="6"/>
  <c r="AF15" i="6"/>
  <c r="AN15" i="6"/>
  <c r="Y16" i="6"/>
  <c r="AG16" i="6"/>
  <c r="AO16" i="6"/>
  <c r="AH17" i="6"/>
  <c r="AA18" i="6"/>
  <c r="AI18" i="6"/>
  <c r="AS18" i="6"/>
  <c r="AB19" i="6"/>
  <c r="AJ19" i="6"/>
  <c r="AC20" i="6"/>
  <c r="AK20" i="6"/>
  <c r="AD21" i="6"/>
  <c r="AL21" i="6"/>
  <c r="V22" i="6"/>
  <c r="AE22" i="6"/>
  <c r="AK38" i="6"/>
  <c r="AC38" i="6"/>
  <c r="AJ38" i="6"/>
  <c r="AB38" i="6"/>
  <c r="AS38" i="6"/>
  <c r="AA38" i="6"/>
  <c r="AH38" i="6"/>
  <c r="AG38" i="6"/>
  <c r="Y38" i="6"/>
  <c r="AN38" i="6"/>
  <c r="AF38" i="6"/>
  <c r="X38" i="6"/>
  <c r="AM38" i="6"/>
  <c r="AE38" i="6"/>
  <c r="V38" i="6"/>
  <c r="AI38" i="6" s="1"/>
  <c r="AD4" i="6"/>
  <c r="AL4" i="6"/>
  <c r="X6" i="6"/>
  <c r="AF6" i="6"/>
  <c r="AN6" i="6"/>
  <c r="AD12" i="6"/>
  <c r="AL12" i="6"/>
  <c r="X14" i="6"/>
  <c r="AF14" i="6"/>
  <c r="AN14" i="6"/>
  <c r="AD20" i="6"/>
  <c r="AL20" i="6"/>
  <c r="X22" i="6"/>
  <c r="AF22" i="6"/>
  <c r="AK46" i="6"/>
  <c r="AC46" i="6"/>
  <c r="AJ46" i="6"/>
  <c r="AB46" i="6"/>
  <c r="AS46" i="6"/>
  <c r="AI46" i="6"/>
  <c r="AA46" i="6"/>
  <c r="AH46" i="6"/>
  <c r="Z46" i="6"/>
  <c r="AO46" i="6"/>
  <c r="AG46" i="6"/>
  <c r="Y46" i="6"/>
  <c r="AN46" i="6"/>
  <c r="AF46" i="6"/>
  <c r="X46" i="6"/>
  <c r="AM46" i="6"/>
  <c r="AE46" i="6"/>
  <c r="V46" i="6"/>
  <c r="AG92" i="6"/>
  <c r="Y92" i="6"/>
  <c r="AN92" i="6"/>
  <c r="AF92" i="6"/>
  <c r="X92" i="6"/>
  <c r="AM92" i="6"/>
  <c r="AE92" i="6"/>
  <c r="V92" i="6"/>
  <c r="AA92" i="6" s="1"/>
  <c r="AK92" i="6"/>
  <c r="AC92" i="6"/>
  <c r="AJ92" i="6"/>
  <c r="AB92" i="6"/>
  <c r="AS92" i="6"/>
  <c r="AI92" i="6"/>
  <c r="AL92" i="6"/>
  <c r="AH92" i="6"/>
  <c r="AD92" i="6"/>
  <c r="Z92" i="6"/>
  <c r="AC2" i="6"/>
  <c r="AK2" i="6"/>
  <c r="AD3" i="6"/>
  <c r="AL3" i="6"/>
  <c r="V4" i="6"/>
  <c r="AE4" i="6"/>
  <c r="AM4" i="6"/>
  <c r="X5" i="6"/>
  <c r="AF5" i="6"/>
  <c r="AN5" i="6"/>
  <c r="Y6" i="6"/>
  <c r="AG6" i="6"/>
  <c r="AO6" i="6"/>
  <c r="Z7" i="6"/>
  <c r="AH7" i="6"/>
  <c r="AA8" i="6"/>
  <c r="AI8" i="6"/>
  <c r="AS8" i="6"/>
  <c r="AB9" i="6"/>
  <c r="AJ9" i="6"/>
  <c r="AC10" i="6"/>
  <c r="AD11" i="6"/>
  <c r="AL11" i="6"/>
  <c r="V12" i="6"/>
  <c r="AM12" i="6" s="1"/>
  <c r="AE12" i="6"/>
  <c r="X13" i="6"/>
  <c r="AF13" i="6"/>
  <c r="AN13" i="6"/>
  <c r="Y14" i="6"/>
  <c r="AG14" i="6"/>
  <c r="AO14" i="6"/>
  <c r="Z15" i="6"/>
  <c r="AH15" i="6"/>
  <c r="AI16" i="6"/>
  <c r="AS16" i="6"/>
  <c r="AB17" i="6"/>
  <c r="AJ17" i="6"/>
  <c r="AC18" i="6"/>
  <c r="AK18" i="6"/>
  <c r="AL19" i="6"/>
  <c r="V20" i="6"/>
  <c r="AE20" i="6"/>
  <c r="AM20" i="6"/>
  <c r="Y22" i="6"/>
  <c r="AG22" i="6"/>
  <c r="AK30" i="6"/>
  <c r="AB30" i="6"/>
  <c r="AS30" i="6"/>
  <c r="AI30" i="6"/>
  <c r="AA30" i="6"/>
  <c r="Z30" i="6"/>
  <c r="AO30" i="6"/>
  <c r="AG30" i="6"/>
  <c r="AF30" i="6"/>
  <c r="AM30" i="6"/>
  <c r="V30" i="6"/>
  <c r="Y30" i="6" s="1"/>
  <c r="AD46" i="6"/>
  <c r="AD2" i="6"/>
  <c r="AL2" i="6"/>
  <c r="V3" i="6"/>
  <c r="AE3" i="6"/>
  <c r="AM3" i="6"/>
  <c r="X4" i="6"/>
  <c r="AF4" i="6"/>
  <c r="AN4" i="6"/>
  <c r="Y5" i="6"/>
  <c r="AG5" i="6"/>
  <c r="AO5" i="6"/>
  <c r="Z6" i="6"/>
  <c r="AH6" i="6"/>
  <c r="AA7" i="6"/>
  <c r="AI7" i="6"/>
  <c r="AS7" i="6"/>
  <c r="AB8" i="6"/>
  <c r="AJ8" i="6"/>
  <c r="AC9" i="6"/>
  <c r="AK9" i="6"/>
  <c r="AD10" i="6"/>
  <c r="AL10" i="6"/>
  <c r="V11" i="6"/>
  <c r="AC11" i="6" s="1"/>
  <c r="AM11" i="6"/>
  <c r="X12" i="6"/>
  <c r="AF12" i="6"/>
  <c r="AN12" i="6"/>
  <c r="Y13" i="6"/>
  <c r="AG13" i="6"/>
  <c r="AO13" i="6"/>
  <c r="Z14" i="6"/>
  <c r="AH14" i="6"/>
  <c r="AA15" i="6"/>
  <c r="AI15" i="6"/>
  <c r="AS15" i="6"/>
  <c r="AB16" i="6"/>
  <c r="AJ16" i="6"/>
  <c r="AK17" i="6"/>
  <c r="AD18" i="6"/>
  <c r="AL18" i="6"/>
  <c r="V19" i="6"/>
  <c r="AD19" i="6" s="1"/>
  <c r="AE19" i="6"/>
  <c r="AM19" i="6"/>
  <c r="X20" i="6"/>
  <c r="AF20" i="6"/>
  <c r="AN20" i="6"/>
  <c r="Z22" i="6"/>
  <c r="AH22" i="6"/>
  <c r="AD30" i="6"/>
  <c r="AL46" i="6"/>
  <c r="AK54" i="6"/>
  <c r="AC54" i="6"/>
  <c r="AJ54" i="6"/>
  <c r="AB54" i="6"/>
  <c r="AS54" i="6"/>
  <c r="AI54" i="6"/>
  <c r="AA54" i="6"/>
  <c r="AG54" i="6"/>
  <c r="Y54" i="6"/>
  <c r="AN54" i="6"/>
  <c r="AF54" i="6"/>
  <c r="X54" i="6"/>
  <c r="AM54" i="6"/>
  <c r="AE54" i="6"/>
  <c r="V54" i="6"/>
  <c r="AO54" i="6" s="1"/>
  <c r="V2" i="6"/>
  <c r="AE2" i="6"/>
  <c r="AM2" i="6"/>
  <c r="X3" i="6"/>
  <c r="AF3" i="6"/>
  <c r="AN3" i="6"/>
  <c r="Y4" i="6"/>
  <c r="AG4" i="6"/>
  <c r="AO4" i="6"/>
  <c r="Z5" i="6"/>
  <c r="AH5" i="6"/>
  <c r="AA6" i="6"/>
  <c r="AI6" i="6"/>
  <c r="AS6" i="6"/>
  <c r="AB7" i="6"/>
  <c r="AJ7" i="6"/>
  <c r="AC8" i="6"/>
  <c r="AK8" i="6"/>
  <c r="AD9" i="6"/>
  <c r="AL9" i="6"/>
  <c r="V10" i="6"/>
  <c r="Z10" i="6" s="1"/>
  <c r="AE10" i="6"/>
  <c r="AM10" i="6"/>
  <c r="X11" i="6"/>
  <c r="AF11" i="6"/>
  <c r="AN11" i="6"/>
  <c r="Y12" i="6"/>
  <c r="AG12" i="6"/>
  <c r="AO12" i="6"/>
  <c r="Z13" i="6"/>
  <c r="AH13" i="6"/>
  <c r="AA14" i="6"/>
  <c r="AI14" i="6"/>
  <c r="AS14" i="6"/>
  <c r="AB15" i="6"/>
  <c r="AJ15" i="6"/>
  <c r="AK16" i="6"/>
  <c r="AD17" i="6"/>
  <c r="AL17" i="6"/>
  <c r="V18" i="6"/>
  <c r="AE18" i="6"/>
  <c r="AM18" i="6"/>
  <c r="X19" i="6"/>
  <c r="AF19" i="6"/>
  <c r="AN19" i="6"/>
  <c r="Y20" i="6"/>
  <c r="AG20" i="6"/>
  <c r="AO20" i="6"/>
  <c r="AA22" i="6"/>
  <c r="AI22" i="6"/>
  <c r="AL30" i="6"/>
  <c r="AK62" i="6"/>
  <c r="AC62" i="6"/>
  <c r="AJ62" i="6"/>
  <c r="AS62" i="6"/>
  <c r="AI62" i="6"/>
  <c r="AH62" i="6"/>
  <c r="Z62" i="6"/>
  <c r="AG62" i="6"/>
  <c r="Y62" i="6"/>
  <c r="AN62" i="6"/>
  <c r="AF62" i="6"/>
  <c r="X62" i="6"/>
  <c r="AM62" i="6"/>
  <c r="AE62" i="6"/>
  <c r="V62" i="6"/>
  <c r="AO62" i="6" s="1"/>
  <c r="AK78" i="6"/>
  <c r="AC78" i="6"/>
  <c r="AJ78" i="6"/>
  <c r="AB78" i="6"/>
  <c r="AS78" i="6"/>
  <c r="AI78" i="6"/>
  <c r="AA78" i="6"/>
  <c r="AH78" i="6"/>
  <c r="Z78" i="6"/>
  <c r="AO78" i="6"/>
  <c r="AG78" i="6"/>
  <c r="Y78" i="6"/>
  <c r="AN78" i="6"/>
  <c r="AF78" i="6"/>
  <c r="X78" i="6"/>
  <c r="AM78" i="6"/>
  <c r="AE78" i="6"/>
  <c r="V78" i="6"/>
  <c r="X2" i="6"/>
  <c r="AF2" i="6"/>
  <c r="AN2" i="6"/>
  <c r="Y3" i="6"/>
  <c r="AG3" i="6"/>
  <c r="AO3" i="6"/>
  <c r="Z4" i="6"/>
  <c r="AH4" i="6"/>
  <c r="AA5" i="6"/>
  <c r="AI5" i="6"/>
  <c r="AS5" i="6"/>
  <c r="AB6" i="6"/>
  <c r="AJ6" i="6"/>
  <c r="AC7" i="6"/>
  <c r="AK7" i="6"/>
  <c r="AD8" i="6"/>
  <c r="AL8" i="6"/>
  <c r="V9" i="6"/>
  <c r="AE9" i="6"/>
  <c r="AM9" i="6"/>
  <c r="X10" i="6"/>
  <c r="AF10" i="6"/>
  <c r="AN10" i="6"/>
  <c r="Y11" i="6"/>
  <c r="AG11" i="6"/>
  <c r="AO11" i="6"/>
  <c r="Z12" i="6"/>
  <c r="AH12" i="6"/>
  <c r="AA13" i="6"/>
  <c r="AI13" i="6"/>
  <c r="AS13" i="6"/>
  <c r="AB14" i="6"/>
  <c r="AJ14" i="6"/>
  <c r="AC15" i="6"/>
  <c r="AK15" i="6"/>
  <c r="AD16" i="6"/>
  <c r="AL16" i="6"/>
  <c r="V17" i="6"/>
  <c r="AI17" i="6" s="1"/>
  <c r="AE17" i="6"/>
  <c r="AM17" i="6"/>
  <c r="X18" i="6"/>
  <c r="AF18" i="6"/>
  <c r="AN18" i="6"/>
  <c r="Y19" i="6"/>
  <c r="AG19" i="6"/>
  <c r="AO19" i="6"/>
  <c r="Z20" i="6"/>
  <c r="AH20" i="6"/>
  <c r="AA21" i="6"/>
  <c r="AR21" i="6" s="1"/>
  <c r="AT21" i="6" s="1"/>
  <c r="AI21" i="6"/>
  <c r="AB22" i="6"/>
  <c r="AJ22" i="6"/>
  <c r="AL54" i="6"/>
  <c r="AD62" i="6"/>
  <c r="AD78" i="6"/>
  <c r="Y2" i="6"/>
  <c r="AG2" i="6"/>
  <c r="Z3" i="6"/>
  <c r="AA4" i="6"/>
  <c r="AI4" i="6"/>
  <c r="AB5" i="6"/>
  <c r="AC6" i="6"/>
  <c r="AD7" i="6"/>
  <c r="V8" i="6"/>
  <c r="AE8" i="6"/>
  <c r="X9" i="6"/>
  <c r="AF9" i="6"/>
  <c r="Y10" i="6"/>
  <c r="AG10" i="6"/>
  <c r="Z11" i="6"/>
  <c r="AA12" i="6"/>
  <c r="AI12" i="6"/>
  <c r="AB13" i="6"/>
  <c r="AC14" i="6"/>
  <c r="AD15" i="6"/>
  <c r="X17" i="6"/>
  <c r="AF17" i="6"/>
  <c r="Y18" i="6"/>
  <c r="AG18" i="6"/>
  <c r="Z19" i="6"/>
  <c r="AA20" i="6"/>
  <c r="AI20" i="6"/>
  <c r="AC22" i="6"/>
  <c r="AL22" i="6"/>
  <c r="AL62" i="6"/>
  <c r="AK70" i="6"/>
  <c r="AC70" i="6"/>
  <c r="AJ70" i="6"/>
  <c r="AB70" i="6"/>
  <c r="AS70" i="6"/>
  <c r="AI70" i="6"/>
  <c r="AA70" i="6"/>
  <c r="AH70" i="6"/>
  <c r="Z70" i="6"/>
  <c r="AO70" i="6"/>
  <c r="AG70" i="6"/>
  <c r="Y70" i="6"/>
  <c r="AN70" i="6"/>
  <c r="AF70" i="6"/>
  <c r="X70" i="6"/>
  <c r="AM70" i="6"/>
  <c r="AE70" i="6"/>
  <c r="V70" i="6"/>
  <c r="AL78" i="6"/>
  <c r="X23" i="6"/>
  <c r="AF23" i="6"/>
  <c r="AN23" i="6"/>
  <c r="Y24" i="6"/>
  <c r="AG24" i="6"/>
  <c r="AO24" i="6"/>
  <c r="Z25" i="6"/>
  <c r="AH25" i="6"/>
  <c r="AI26" i="6"/>
  <c r="AS26" i="6"/>
  <c r="AB27" i="6"/>
  <c r="AJ27" i="6"/>
  <c r="AC28" i="6"/>
  <c r="AK28" i="6"/>
  <c r="AD29" i="6"/>
  <c r="AL29" i="6"/>
  <c r="X31" i="6"/>
  <c r="AF31" i="6"/>
  <c r="AN31" i="6"/>
  <c r="Y32" i="6"/>
  <c r="AG32" i="6"/>
  <c r="AO32" i="6"/>
  <c r="AH33" i="6"/>
  <c r="AA34" i="6"/>
  <c r="AI34" i="6"/>
  <c r="AS34" i="6"/>
  <c r="AB35" i="6"/>
  <c r="AJ35" i="6"/>
  <c r="AK36" i="6"/>
  <c r="AD37" i="6"/>
  <c r="AL37" i="6"/>
  <c r="X39" i="6"/>
  <c r="AF39" i="6"/>
  <c r="AN39" i="6"/>
  <c r="Y40" i="6"/>
  <c r="AG40" i="6"/>
  <c r="AO40" i="6"/>
  <c r="Z41" i="6"/>
  <c r="AH41" i="6"/>
  <c r="AI42" i="6"/>
  <c r="AS42" i="6"/>
  <c r="AB43" i="6"/>
  <c r="AJ43" i="6"/>
  <c r="AC44" i="6"/>
  <c r="AD45" i="6"/>
  <c r="AL45" i="6"/>
  <c r="X47" i="6"/>
  <c r="AF47" i="6"/>
  <c r="AN47" i="6"/>
  <c r="Y48" i="6"/>
  <c r="AG48" i="6"/>
  <c r="AO48" i="6"/>
  <c r="Z49" i="6"/>
  <c r="AH49" i="6"/>
  <c r="AA50" i="6"/>
  <c r="AI50" i="6"/>
  <c r="AS50" i="6"/>
  <c r="AB51" i="6"/>
  <c r="AJ51" i="6"/>
  <c r="AC52" i="6"/>
  <c r="AK52" i="6"/>
  <c r="AD53" i="6"/>
  <c r="AL53" i="6"/>
  <c r="X55" i="6"/>
  <c r="AF55" i="6"/>
  <c r="AN55" i="6"/>
  <c r="Y56" i="6"/>
  <c r="AG56" i="6"/>
  <c r="AO56" i="6"/>
  <c r="Z57" i="6"/>
  <c r="AA58" i="6"/>
  <c r="AI58" i="6"/>
  <c r="AS58" i="6"/>
  <c r="AB59" i="6"/>
  <c r="AJ59" i="6"/>
  <c r="AC60" i="6"/>
  <c r="AK60" i="6"/>
  <c r="AD61" i="6"/>
  <c r="AL61" i="6"/>
  <c r="X63" i="6"/>
  <c r="AF63" i="6"/>
  <c r="AN63" i="6"/>
  <c r="Y64" i="6"/>
  <c r="AG64" i="6"/>
  <c r="AO64" i="6"/>
  <c r="Z65" i="6"/>
  <c r="AA66" i="6"/>
  <c r="AI66" i="6"/>
  <c r="AS66" i="6"/>
  <c r="AB67" i="6"/>
  <c r="AJ67" i="6"/>
  <c r="AC68" i="6"/>
  <c r="AK68" i="6"/>
  <c r="AD69" i="6"/>
  <c r="AL69" i="6"/>
  <c r="X71" i="6"/>
  <c r="AF71" i="6"/>
  <c r="AN71" i="6"/>
  <c r="Y72" i="6"/>
  <c r="AG72" i="6"/>
  <c r="AO72" i="6"/>
  <c r="AH73" i="6"/>
  <c r="AA74" i="6"/>
  <c r="AI74" i="6"/>
  <c r="AS74" i="6"/>
  <c r="AK76" i="6"/>
  <c r="AD77" i="6"/>
  <c r="AL77" i="6"/>
  <c r="X79" i="6"/>
  <c r="AF79" i="6"/>
  <c r="AN79" i="6"/>
  <c r="Y80" i="6"/>
  <c r="AG80" i="6"/>
  <c r="AO80" i="6"/>
  <c r="Z81" i="6"/>
  <c r="AH81" i="6"/>
  <c r="AA82" i="6"/>
  <c r="AI82" i="6"/>
  <c r="AS82" i="6"/>
  <c r="AK120" i="6"/>
  <c r="AC120" i="6"/>
  <c r="AS120" i="6"/>
  <c r="AI120" i="6"/>
  <c r="AA120" i="6"/>
  <c r="Z120" i="6"/>
  <c r="AO120" i="6"/>
  <c r="AG120" i="6"/>
  <c r="Y120" i="6"/>
  <c r="AN120" i="6"/>
  <c r="AF120" i="6"/>
  <c r="X120" i="6"/>
  <c r="AM120" i="6"/>
  <c r="AE120" i="6"/>
  <c r="V120" i="6"/>
  <c r="AH120" i="6" s="1"/>
  <c r="AK166" i="6"/>
  <c r="AC166" i="6"/>
  <c r="AJ166" i="6"/>
  <c r="AB166" i="6"/>
  <c r="AS166" i="6"/>
  <c r="AI166" i="6"/>
  <c r="AA166" i="6"/>
  <c r="Z166" i="6"/>
  <c r="AG166" i="6"/>
  <c r="Y166" i="6"/>
  <c r="AF166" i="6"/>
  <c r="X166" i="6"/>
  <c r="AM166" i="6"/>
  <c r="AE166" i="6"/>
  <c r="V166" i="6"/>
  <c r="AH166" i="6" s="1"/>
  <c r="AL166" i="6"/>
  <c r="AD166" i="6"/>
  <c r="AG23" i="6"/>
  <c r="AO23" i="6"/>
  <c r="Z24" i="6"/>
  <c r="AH24" i="6"/>
  <c r="AA25" i="6"/>
  <c r="AI25" i="6"/>
  <c r="AS25" i="6"/>
  <c r="AB26" i="6"/>
  <c r="AC27" i="6"/>
  <c r="AK27" i="6"/>
  <c r="AD28" i="6"/>
  <c r="AL28" i="6"/>
  <c r="V29" i="6"/>
  <c r="AA29" i="6" s="1"/>
  <c r="AE29" i="6"/>
  <c r="AM29" i="6"/>
  <c r="Y31" i="6"/>
  <c r="AG31" i="6"/>
  <c r="AO31" i="6"/>
  <c r="AH32" i="6"/>
  <c r="AA33" i="6"/>
  <c r="AS33" i="6"/>
  <c r="AB34" i="6"/>
  <c r="AJ34" i="6"/>
  <c r="AC35" i="6"/>
  <c r="AK35" i="6"/>
  <c r="AD36" i="6"/>
  <c r="AL36" i="6"/>
  <c r="V37" i="6"/>
  <c r="AE37" i="6"/>
  <c r="AM37" i="6"/>
  <c r="Y39" i="6"/>
  <c r="AG39" i="6"/>
  <c r="AO39" i="6"/>
  <c r="Z40" i="6"/>
  <c r="AH40" i="6"/>
  <c r="AA41" i="6"/>
  <c r="AI41" i="6"/>
  <c r="AS41" i="6"/>
  <c r="AD44" i="6"/>
  <c r="AL44" i="6"/>
  <c r="Y47" i="6"/>
  <c r="AG47" i="6"/>
  <c r="AO47" i="6"/>
  <c r="AD52" i="6"/>
  <c r="AL52" i="6"/>
  <c r="AE53" i="6"/>
  <c r="Y55" i="6"/>
  <c r="AG55" i="6"/>
  <c r="AO55" i="6"/>
  <c r="AD60" i="6"/>
  <c r="AL60" i="6"/>
  <c r="Y63" i="6"/>
  <c r="AG63" i="6"/>
  <c r="AO63" i="6"/>
  <c r="AD68" i="6"/>
  <c r="AL68" i="6"/>
  <c r="Y71" i="6"/>
  <c r="AG71" i="6"/>
  <c r="AO71" i="6"/>
  <c r="AL76" i="6"/>
  <c r="Y79" i="6"/>
  <c r="AG79" i="6"/>
  <c r="AO79" i="6"/>
  <c r="Z80" i="6"/>
  <c r="AI81" i="6"/>
  <c r="AS81" i="6"/>
  <c r="AJ82" i="6"/>
  <c r="AK96" i="6"/>
  <c r="AC96" i="6"/>
  <c r="AJ96" i="6"/>
  <c r="AB96" i="6"/>
  <c r="AS96" i="6"/>
  <c r="AI96" i="6"/>
  <c r="AA96" i="6"/>
  <c r="AO96" i="6"/>
  <c r="AG96" i="6"/>
  <c r="Y96" i="6"/>
  <c r="AN96" i="6"/>
  <c r="AF96" i="6"/>
  <c r="X96" i="6"/>
  <c r="AM96" i="6"/>
  <c r="AE96" i="6"/>
  <c r="V96" i="6"/>
  <c r="AK104" i="6"/>
  <c r="AJ104" i="6"/>
  <c r="AB104" i="6"/>
  <c r="AS104" i="6"/>
  <c r="AI104" i="6"/>
  <c r="AA104" i="6"/>
  <c r="AO104" i="6"/>
  <c r="AG104" i="6"/>
  <c r="Y104" i="6"/>
  <c r="AN104" i="6"/>
  <c r="AF104" i="6"/>
  <c r="X104" i="6"/>
  <c r="AM104" i="6"/>
  <c r="AE104" i="6"/>
  <c r="V104" i="6"/>
  <c r="AH104" i="6" s="1"/>
  <c r="AD120" i="6"/>
  <c r="AH23" i="6"/>
  <c r="AI24" i="6"/>
  <c r="AS24" i="6"/>
  <c r="AB25" i="6"/>
  <c r="AJ25" i="6"/>
  <c r="AC26" i="6"/>
  <c r="AK26" i="6"/>
  <c r="AD27" i="6"/>
  <c r="V28" i="6"/>
  <c r="AE28" i="6"/>
  <c r="AM28" i="6"/>
  <c r="X29" i="6"/>
  <c r="AF29" i="6"/>
  <c r="AN29" i="6"/>
  <c r="Z31" i="6"/>
  <c r="AH31" i="6"/>
  <c r="AA32" i="6"/>
  <c r="AI32" i="6"/>
  <c r="AS32" i="6"/>
  <c r="AB33" i="6"/>
  <c r="AJ33" i="6"/>
  <c r="AC34" i="6"/>
  <c r="AK34" i="6"/>
  <c r="AL35" i="6"/>
  <c r="V36" i="6"/>
  <c r="AC36" i="6" s="1"/>
  <c r="AE36" i="6"/>
  <c r="AM36" i="6"/>
  <c r="X37" i="6"/>
  <c r="AF37" i="6"/>
  <c r="AN37" i="6"/>
  <c r="Z39" i="6"/>
  <c r="AH39" i="6"/>
  <c r="AI40" i="6"/>
  <c r="AS40" i="6"/>
  <c r="AB41" i="6"/>
  <c r="AJ41" i="6"/>
  <c r="AC42" i="6"/>
  <c r="AK42" i="6"/>
  <c r="AD43" i="6"/>
  <c r="AL43" i="6"/>
  <c r="V44" i="6"/>
  <c r="AK44" i="6" s="1"/>
  <c r="AE44" i="6"/>
  <c r="AM44" i="6"/>
  <c r="X45" i="6"/>
  <c r="AF45" i="6"/>
  <c r="AN45" i="6"/>
  <c r="Z47" i="6"/>
  <c r="AH47" i="6"/>
  <c r="AA48" i="6"/>
  <c r="AI48" i="6"/>
  <c r="AS48" i="6"/>
  <c r="AB49" i="6"/>
  <c r="AC50" i="6"/>
  <c r="AK50" i="6"/>
  <c r="AD51" i="6"/>
  <c r="AL51" i="6"/>
  <c r="V52" i="6"/>
  <c r="AJ52" i="6" s="1"/>
  <c r="AM52" i="6"/>
  <c r="X53" i="6"/>
  <c r="AF53" i="6"/>
  <c r="AN53" i="6"/>
  <c r="Z55" i="6"/>
  <c r="AH55" i="6"/>
  <c r="AA56" i="6"/>
  <c r="AI56" i="6"/>
  <c r="AS56" i="6"/>
  <c r="AB57" i="6"/>
  <c r="AC58" i="6"/>
  <c r="AK58" i="6"/>
  <c r="AD59" i="6"/>
  <c r="AL59" i="6"/>
  <c r="V60" i="6"/>
  <c r="AB60" i="6" s="1"/>
  <c r="AE60" i="6"/>
  <c r="AM60" i="6"/>
  <c r="X61" i="6"/>
  <c r="AF61" i="6"/>
  <c r="AN61" i="6"/>
  <c r="Z63" i="6"/>
  <c r="AH63" i="6"/>
  <c r="AA64" i="6"/>
  <c r="AI64" i="6"/>
  <c r="AS64" i="6"/>
  <c r="AB65" i="6"/>
  <c r="AJ65" i="6"/>
  <c r="AC66" i="6"/>
  <c r="AK66" i="6"/>
  <c r="AD67" i="6"/>
  <c r="AL67" i="6"/>
  <c r="V68" i="6"/>
  <c r="AE68" i="6"/>
  <c r="AM68" i="6"/>
  <c r="X69" i="6"/>
  <c r="AF69" i="6"/>
  <c r="AN69" i="6"/>
  <c r="Z71" i="6"/>
  <c r="AH71" i="6"/>
  <c r="AA72" i="6"/>
  <c r="AI72" i="6"/>
  <c r="AS72" i="6"/>
  <c r="AB73" i="6"/>
  <c r="AJ73" i="6"/>
  <c r="AC74" i="6"/>
  <c r="AK74" i="6"/>
  <c r="AD75" i="6"/>
  <c r="V76" i="6"/>
  <c r="AJ76" i="6" s="1"/>
  <c r="AE76" i="6"/>
  <c r="AM76" i="6"/>
  <c r="X77" i="6"/>
  <c r="AF77" i="6"/>
  <c r="AN77" i="6"/>
  <c r="Z79" i="6"/>
  <c r="AH79" i="6"/>
  <c r="AA80" i="6"/>
  <c r="AI80" i="6"/>
  <c r="AS80" i="6"/>
  <c r="AJ81" i="6"/>
  <c r="AC82" i="6"/>
  <c r="AK82" i="6"/>
  <c r="AN83" i="6"/>
  <c r="AM83" i="6"/>
  <c r="AL83" i="6"/>
  <c r="AS83" i="6"/>
  <c r="AD83" i="6"/>
  <c r="AO83" i="6"/>
  <c r="Z96" i="6"/>
  <c r="AD104" i="6"/>
  <c r="AL120" i="6"/>
  <c r="AI23" i="6"/>
  <c r="AS23" i="6"/>
  <c r="AB24" i="6"/>
  <c r="AC25" i="6"/>
  <c r="AK25" i="6"/>
  <c r="AD26" i="6"/>
  <c r="AL26" i="6"/>
  <c r="V27" i="6"/>
  <c r="AI27" i="6" s="1"/>
  <c r="AM27" i="6"/>
  <c r="X28" i="6"/>
  <c r="AF28" i="6"/>
  <c r="AN28" i="6"/>
  <c r="AG29" i="6"/>
  <c r="AO29" i="6"/>
  <c r="AA31" i="6"/>
  <c r="AI31" i="6"/>
  <c r="AS31" i="6"/>
  <c r="AB32" i="6"/>
  <c r="AJ32" i="6"/>
  <c r="AC33" i="6"/>
  <c r="AK33" i="6"/>
  <c r="AD34" i="6"/>
  <c r="AL34" i="6"/>
  <c r="V35" i="6"/>
  <c r="AH35" i="6" s="1"/>
  <c r="AM35" i="6"/>
  <c r="X36" i="6"/>
  <c r="AF36" i="6"/>
  <c r="AN36" i="6"/>
  <c r="Y37" i="6"/>
  <c r="AG37" i="6"/>
  <c r="AO37" i="6"/>
  <c r="AA39" i="6"/>
  <c r="AI39" i="6"/>
  <c r="AS39" i="6"/>
  <c r="AB40" i="6"/>
  <c r="AJ40" i="6"/>
  <c r="AC41" i="6"/>
  <c r="AK41" i="6"/>
  <c r="AD42" i="6"/>
  <c r="AL42" i="6"/>
  <c r="V43" i="6"/>
  <c r="AE43" i="6"/>
  <c r="AM43" i="6"/>
  <c r="X44" i="6"/>
  <c r="AF44" i="6"/>
  <c r="AN44" i="6"/>
  <c r="Y45" i="6"/>
  <c r="AG45" i="6"/>
  <c r="AO45" i="6"/>
  <c r="AA47" i="6"/>
  <c r="AI47" i="6"/>
  <c r="AS47" i="6"/>
  <c r="AB48" i="6"/>
  <c r="AJ48" i="6"/>
  <c r="AC49" i="6"/>
  <c r="AK49" i="6"/>
  <c r="AD50" i="6"/>
  <c r="AL50" i="6"/>
  <c r="V51" i="6"/>
  <c r="AE51" i="6"/>
  <c r="AM51" i="6"/>
  <c r="X52" i="6"/>
  <c r="AF52" i="6"/>
  <c r="AN52" i="6"/>
  <c r="Y53" i="6"/>
  <c r="AG53" i="6"/>
  <c r="AO53" i="6"/>
  <c r="AA55" i="6"/>
  <c r="AI55" i="6"/>
  <c r="AS55" i="6"/>
  <c r="AB56" i="6"/>
  <c r="AJ56" i="6"/>
  <c r="AK57" i="6"/>
  <c r="AD58" i="6"/>
  <c r="AL58" i="6"/>
  <c r="AE59" i="6"/>
  <c r="AM59" i="6"/>
  <c r="X60" i="6"/>
  <c r="AF60" i="6"/>
  <c r="AN60" i="6"/>
  <c r="AO61" i="6"/>
  <c r="AA63" i="6"/>
  <c r="AI63" i="6"/>
  <c r="AS63" i="6"/>
  <c r="AC65" i="6"/>
  <c r="AK65" i="6"/>
  <c r="AD66" i="6"/>
  <c r="X68" i="6"/>
  <c r="AF68" i="6"/>
  <c r="AN68" i="6"/>
  <c r="AA71" i="6"/>
  <c r="AI71" i="6"/>
  <c r="AS71" i="6"/>
  <c r="AC73" i="6"/>
  <c r="AK73" i="6"/>
  <c r="AD74" i="6"/>
  <c r="AL74" i="6"/>
  <c r="AE75" i="6"/>
  <c r="X76" i="6"/>
  <c r="AF76" i="6"/>
  <c r="AN76" i="6"/>
  <c r="AO77" i="6"/>
  <c r="AA79" i="6"/>
  <c r="AI79" i="6"/>
  <c r="AS79" i="6"/>
  <c r="AJ80" i="6"/>
  <c r="AC81" i="6"/>
  <c r="AK81" i="6"/>
  <c r="AD82" i="6"/>
  <c r="AG84" i="6"/>
  <c r="Y84" i="6"/>
  <c r="AF84" i="6"/>
  <c r="X84" i="6"/>
  <c r="AE84" i="6"/>
  <c r="V84" i="6"/>
  <c r="AN84" i="6" s="1"/>
  <c r="AK84" i="6"/>
  <c r="AC84" i="6"/>
  <c r="AJ84" i="6"/>
  <c r="AB84" i="6"/>
  <c r="AS84" i="6"/>
  <c r="AA84" i="6"/>
  <c r="AD96" i="6"/>
  <c r="AL104" i="6"/>
  <c r="AB23" i="6"/>
  <c r="AJ23" i="6"/>
  <c r="AC24" i="6"/>
  <c r="AK24" i="6"/>
  <c r="AD25" i="6"/>
  <c r="AL25" i="6"/>
  <c r="V26" i="6"/>
  <c r="AA26" i="6" s="1"/>
  <c r="AM26" i="6"/>
  <c r="X27" i="6"/>
  <c r="AF27" i="6"/>
  <c r="AN27" i="6"/>
  <c r="Y28" i="6"/>
  <c r="AG28" i="6"/>
  <c r="AO28" i="6"/>
  <c r="AH29" i="6"/>
  <c r="AB31" i="6"/>
  <c r="AJ31" i="6"/>
  <c r="AC32" i="6"/>
  <c r="AK32" i="6"/>
  <c r="AD33" i="6"/>
  <c r="AL33" i="6"/>
  <c r="V34" i="6"/>
  <c r="AE34" i="6"/>
  <c r="AM34" i="6"/>
  <c r="X35" i="6"/>
  <c r="AF35" i="6"/>
  <c r="AN35" i="6"/>
  <c r="AG36" i="6"/>
  <c r="AO36" i="6"/>
  <c r="Z37" i="6"/>
  <c r="AH37" i="6"/>
  <c r="AB39" i="6"/>
  <c r="AJ39" i="6"/>
  <c r="AC40" i="6"/>
  <c r="AK40" i="6"/>
  <c r="AD41" i="6"/>
  <c r="V42" i="6"/>
  <c r="AJ42" i="6" s="1"/>
  <c r="AE42" i="6"/>
  <c r="AM42" i="6"/>
  <c r="X43" i="6"/>
  <c r="AF43" i="6"/>
  <c r="AN43" i="6"/>
  <c r="AG44" i="6"/>
  <c r="AO44" i="6"/>
  <c r="Z45" i="6"/>
  <c r="AH45" i="6"/>
  <c r="AB47" i="6"/>
  <c r="AJ47" i="6"/>
  <c r="AC48" i="6"/>
  <c r="AK48" i="6"/>
  <c r="AL49" i="6"/>
  <c r="V50" i="6"/>
  <c r="AE50" i="6"/>
  <c r="AM50" i="6"/>
  <c r="X51" i="6"/>
  <c r="AF51" i="6"/>
  <c r="AN51" i="6"/>
  <c r="Y52" i="6"/>
  <c r="AG52" i="6"/>
  <c r="AO52" i="6"/>
  <c r="Z53" i="6"/>
  <c r="AH53" i="6"/>
  <c r="AB55" i="6"/>
  <c r="AJ55" i="6"/>
  <c r="AC56" i="6"/>
  <c r="AK56" i="6"/>
  <c r="AD57" i="6"/>
  <c r="AL57" i="6"/>
  <c r="V58" i="6"/>
  <c r="Z58" i="6" s="1"/>
  <c r="AM58" i="6"/>
  <c r="X59" i="6"/>
  <c r="AF59" i="6"/>
  <c r="AN59" i="6"/>
  <c r="Y60" i="6"/>
  <c r="AG60" i="6"/>
  <c r="AO60" i="6"/>
  <c r="AH61" i="6"/>
  <c r="AB63" i="6"/>
  <c r="AJ63" i="6"/>
  <c r="AL65" i="6"/>
  <c r="V66" i="6"/>
  <c r="Z66" i="6" s="1"/>
  <c r="AE66" i="6"/>
  <c r="AM66" i="6"/>
  <c r="Y68" i="6"/>
  <c r="AG68" i="6"/>
  <c r="AO68" i="6"/>
  <c r="Z69" i="6"/>
  <c r="AB71" i="6"/>
  <c r="AJ71" i="6"/>
  <c r="AD73" i="6"/>
  <c r="V74" i="6"/>
  <c r="AE74" i="6"/>
  <c r="AM74" i="6"/>
  <c r="X75" i="6"/>
  <c r="Y76" i="6"/>
  <c r="AG76" i="6"/>
  <c r="AO76" i="6"/>
  <c r="AB79" i="6"/>
  <c r="AJ79" i="6"/>
  <c r="AK80" i="6"/>
  <c r="V82" i="6"/>
  <c r="AL82" i="6" s="1"/>
  <c r="AE82" i="6"/>
  <c r="AM82" i="6"/>
  <c r="Z84" i="6"/>
  <c r="AH96" i="6"/>
  <c r="AK128" i="6"/>
  <c r="AC128" i="6"/>
  <c r="AJ128" i="6"/>
  <c r="AB128" i="6"/>
  <c r="AS128" i="6"/>
  <c r="AA128" i="6"/>
  <c r="AH128" i="6"/>
  <c r="AO128" i="6"/>
  <c r="AG128" i="6"/>
  <c r="Y128" i="6"/>
  <c r="AN128" i="6"/>
  <c r="AF128" i="6"/>
  <c r="X128" i="6"/>
  <c r="AM128" i="6"/>
  <c r="V128" i="6"/>
  <c r="Z128" i="6" s="1"/>
  <c r="AC23" i="6"/>
  <c r="AK23" i="6"/>
  <c r="AD24" i="6"/>
  <c r="AL24" i="6"/>
  <c r="V25" i="6"/>
  <c r="AE25" i="6"/>
  <c r="AM25" i="6"/>
  <c r="X26" i="6"/>
  <c r="AF26" i="6"/>
  <c r="AN26" i="6"/>
  <c r="Y27" i="6"/>
  <c r="AG27" i="6"/>
  <c r="AO27" i="6"/>
  <c r="Z28" i="6"/>
  <c r="AH28" i="6"/>
  <c r="AS29" i="6"/>
  <c r="AC31" i="6"/>
  <c r="AK31" i="6"/>
  <c r="AD32" i="6"/>
  <c r="AL32" i="6"/>
  <c r="V33" i="6"/>
  <c r="AO33" i="6" s="1"/>
  <c r="AE33" i="6"/>
  <c r="AM33" i="6"/>
  <c r="X34" i="6"/>
  <c r="AF34" i="6"/>
  <c r="AN34" i="6"/>
  <c r="Y35" i="6"/>
  <c r="AG35" i="6"/>
  <c r="AO35" i="6"/>
  <c r="Z36" i="6"/>
  <c r="AH36" i="6"/>
  <c r="AA37" i="6"/>
  <c r="AI37" i="6"/>
  <c r="AS37" i="6"/>
  <c r="AC39" i="6"/>
  <c r="AK39" i="6"/>
  <c r="AD40" i="6"/>
  <c r="AL40" i="6"/>
  <c r="V41" i="6"/>
  <c r="AL41" i="6" s="1"/>
  <c r="AE41" i="6"/>
  <c r="AM41" i="6"/>
  <c r="X42" i="6"/>
  <c r="AF42" i="6"/>
  <c r="Y43" i="6"/>
  <c r="AG43" i="6"/>
  <c r="AH44" i="6"/>
  <c r="AA45" i="6"/>
  <c r="AI45" i="6"/>
  <c r="AC47" i="6"/>
  <c r="AK47" i="6"/>
  <c r="AD48" i="6"/>
  <c r="V49" i="6"/>
  <c r="AE49" i="6"/>
  <c r="X50" i="6"/>
  <c r="AR50" i="6" s="1"/>
  <c r="AT50" i="6" s="1"/>
  <c r="AF50" i="6"/>
  <c r="Y51" i="6"/>
  <c r="AG51" i="6"/>
  <c r="AH52" i="6"/>
  <c r="AA53" i="6"/>
  <c r="AI53" i="6"/>
  <c r="AC55" i="6"/>
  <c r="AK55" i="6"/>
  <c r="AD56" i="6"/>
  <c r="V57" i="6"/>
  <c r="AJ57" i="6" s="1"/>
  <c r="AE57" i="6"/>
  <c r="X58" i="6"/>
  <c r="AF58" i="6"/>
  <c r="Y59" i="6"/>
  <c r="AG59" i="6"/>
  <c r="Z60" i="6"/>
  <c r="AH60" i="6"/>
  <c r="AA61" i="6"/>
  <c r="AI61" i="6"/>
  <c r="AC63" i="6"/>
  <c r="AK63" i="6"/>
  <c r="AD64" i="6"/>
  <c r="V65" i="6"/>
  <c r="X65" i="6" s="1"/>
  <c r="AE65" i="6"/>
  <c r="X66" i="6"/>
  <c r="AF66" i="6"/>
  <c r="Y67" i="6"/>
  <c r="AG67" i="6"/>
  <c r="Z68" i="6"/>
  <c r="AH68" i="6"/>
  <c r="AA69" i="6"/>
  <c r="AI69" i="6"/>
  <c r="AC71" i="6"/>
  <c r="AK71" i="6"/>
  <c r="AD72" i="6"/>
  <c r="V73" i="6"/>
  <c r="AI73" i="6" s="1"/>
  <c r="AE73" i="6"/>
  <c r="X74" i="6"/>
  <c r="AF74" i="6"/>
  <c r="Z76" i="6"/>
  <c r="AH76" i="6"/>
  <c r="AA77" i="6"/>
  <c r="AI77" i="6"/>
  <c r="AC79" i="6"/>
  <c r="AK79" i="6"/>
  <c r="AD80" i="6"/>
  <c r="V81" i="6"/>
  <c r="AL81" i="6" s="1"/>
  <c r="AE81" i="6"/>
  <c r="X82" i="6"/>
  <c r="AF82" i="6"/>
  <c r="AN82" i="6"/>
  <c r="AD84" i="6"/>
  <c r="AK88" i="6"/>
  <c r="AC88" i="6"/>
  <c r="AJ88" i="6"/>
  <c r="AB88" i="6"/>
  <c r="AS88" i="6"/>
  <c r="AI88" i="6"/>
  <c r="AA88" i="6"/>
  <c r="AO88" i="6"/>
  <c r="AG88" i="6"/>
  <c r="AN88" i="6"/>
  <c r="AF88" i="6"/>
  <c r="X88" i="6"/>
  <c r="AE88" i="6"/>
  <c r="V88" i="6"/>
  <c r="Z88" i="6" s="1"/>
  <c r="AL96" i="6"/>
  <c r="AK112" i="6"/>
  <c r="AJ112" i="6"/>
  <c r="AB112" i="6"/>
  <c r="AS112" i="6"/>
  <c r="AA112" i="6"/>
  <c r="AH112" i="6"/>
  <c r="AO112" i="6"/>
  <c r="AG112" i="6"/>
  <c r="Y112" i="6"/>
  <c r="AN112" i="6"/>
  <c r="AF112" i="6"/>
  <c r="X112" i="6"/>
  <c r="AM112" i="6"/>
  <c r="AE112" i="6"/>
  <c r="V112" i="6"/>
  <c r="AI112" i="6" s="1"/>
  <c r="AD128" i="6"/>
  <c r="AK136" i="6"/>
  <c r="AC136" i="6"/>
  <c r="AJ136" i="6"/>
  <c r="AB136" i="6"/>
  <c r="AS136" i="6"/>
  <c r="AI136" i="6"/>
  <c r="AA136" i="6"/>
  <c r="AH136" i="6"/>
  <c r="Z136" i="6"/>
  <c r="AO136" i="6"/>
  <c r="AG136" i="6"/>
  <c r="Y136" i="6"/>
  <c r="AN136" i="6"/>
  <c r="AF136" i="6"/>
  <c r="X136" i="6"/>
  <c r="AM136" i="6"/>
  <c r="V136" i="6"/>
  <c r="AL136" i="6" s="1"/>
  <c r="AD23" i="6"/>
  <c r="V24" i="6"/>
  <c r="AN24" i="6" s="1"/>
  <c r="AE24" i="6"/>
  <c r="X25" i="6"/>
  <c r="AF25" i="6"/>
  <c r="Y26" i="6"/>
  <c r="AG26" i="6"/>
  <c r="Z27" i="6"/>
  <c r="AA28" i="6"/>
  <c r="AI28" i="6"/>
  <c r="AB29" i="6"/>
  <c r="AD31" i="6"/>
  <c r="V32" i="6"/>
  <c r="Z32" i="6" s="1"/>
  <c r="AE32" i="6"/>
  <c r="X33" i="6"/>
  <c r="AF33" i="6"/>
  <c r="Y34" i="6"/>
  <c r="AG34" i="6"/>
  <c r="Z35" i="6"/>
  <c r="AI36" i="6"/>
  <c r="AB37" i="6"/>
  <c r="AD39" i="6"/>
  <c r="V40" i="6"/>
  <c r="X40" i="6" s="1"/>
  <c r="AE40" i="6"/>
  <c r="X41" i="6"/>
  <c r="AF41" i="6"/>
  <c r="AA44" i="6"/>
  <c r="AD47" i="6"/>
  <c r="AA52" i="6"/>
  <c r="AI52" i="6"/>
  <c r="AD55" i="6"/>
  <c r="AA60" i="6"/>
  <c r="AI60" i="6"/>
  <c r="AD63" i="6"/>
  <c r="AA68" i="6"/>
  <c r="AI68" i="6"/>
  <c r="AD71" i="6"/>
  <c r="AA76" i="6"/>
  <c r="AI76" i="6"/>
  <c r="AD79" i="6"/>
  <c r="AH84" i="6"/>
  <c r="AL128" i="6"/>
  <c r="AB85" i="6"/>
  <c r="AJ85" i="6"/>
  <c r="AC86" i="6"/>
  <c r="AK86" i="6"/>
  <c r="AD87" i="6"/>
  <c r="AL87" i="6"/>
  <c r="X89" i="6"/>
  <c r="AF89" i="6"/>
  <c r="AN89" i="6"/>
  <c r="Y90" i="6"/>
  <c r="AG90" i="6"/>
  <c r="AO90" i="6"/>
  <c r="Z91" i="6"/>
  <c r="AH91" i="6"/>
  <c r="AB93" i="6"/>
  <c r="AJ93" i="6"/>
  <c r="AC94" i="6"/>
  <c r="AK94" i="6"/>
  <c r="AD95" i="6"/>
  <c r="AL95" i="6"/>
  <c r="X97" i="6"/>
  <c r="AF97" i="6"/>
  <c r="AN97" i="6"/>
  <c r="Y98" i="6"/>
  <c r="AG98" i="6"/>
  <c r="AO98" i="6"/>
  <c r="AH99" i="6"/>
  <c r="AA100" i="6"/>
  <c r="AI100" i="6"/>
  <c r="AS100" i="6"/>
  <c r="AB101" i="6"/>
  <c r="AJ101" i="6"/>
  <c r="AC102" i="6"/>
  <c r="AK102" i="6"/>
  <c r="AD103" i="6"/>
  <c r="X105" i="6"/>
  <c r="AF105" i="6"/>
  <c r="AN105" i="6"/>
  <c r="Y106" i="6"/>
  <c r="AO106" i="6"/>
  <c r="AA108" i="6"/>
  <c r="AI108" i="6"/>
  <c r="AS108" i="6"/>
  <c r="AB109" i="6"/>
  <c r="AJ109" i="6"/>
  <c r="AC110" i="6"/>
  <c r="AK110" i="6"/>
  <c r="AD111" i="6"/>
  <c r="AL111" i="6"/>
  <c r="X113" i="6"/>
  <c r="AF113" i="6"/>
  <c r="AN113" i="6"/>
  <c r="Y114" i="6"/>
  <c r="AG114" i="6"/>
  <c r="Z115" i="6"/>
  <c r="AH115" i="6"/>
  <c r="AA116" i="6"/>
  <c r="AI116" i="6"/>
  <c r="AS116" i="6"/>
  <c r="AB117" i="6"/>
  <c r="AJ117" i="6"/>
  <c r="AC118" i="6"/>
  <c r="AK118" i="6"/>
  <c r="AD119" i="6"/>
  <c r="AL119" i="6"/>
  <c r="X121" i="6"/>
  <c r="AF121" i="6"/>
  <c r="AN121" i="6"/>
  <c r="Y122" i="6"/>
  <c r="AG122" i="6"/>
  <c r="AO122" i="6"/>
  <c r="Z123" i="6"/>
  <c r="AH123" i="6"/>
  <c r="AA124" i="6"/>
  <c r="AI124" i="6"/>
  <c r="AS124" i="6"/>
  <c r="AB125" i="6"/>
  <c r="AJ125" i="6"/>
  <c r="AC126" i="6"/>
  <c r="AK126" i="6"/>
  <c r="AD127" i="6"/>
  <c r="AL127" i="6"/>
  <c r="X129" i="6"/>
  <c r="AF129" i="6"/>
  <c r="AN129" i="6"/>
  <c r="Y130" i="6"/>
  <c r="AG130" i="6"/>
  <c r="AO130" i="6"/>
  <c r="Z131" i="6"/>
  <c r="AA132" i="6"/>
  <c r="AS132" i="6"/>
  <c r="AB133" i="6"/>
  <c r="AJ133" i="6"/>
  <c r="AC134" i="6"/>
  <c r="AK134" i="6"/>
  <c r="AD135" i="6"/>
  <c r="AL135" i="6"/>
  <c r="X137" i="6"/>
  <c r="AF137" i="6"/>
  <c r="AN137" i="6"/>
  <c r="Y138" i="6"/>
  <c r="AG138" i="6"/>
  <c r="AO138" i="6"/>
  <c r="Z139" i="6"/>
  <c r="AH139" i="6"/>
  <c r="AA140" i="6"/>
  <c r="AI140" i="6"/>
  <c r="AS140" i="6"/>
  <c r="AB141" i="6"/>
  <c r="AJ141" i="6"/>
  <c r="AD150" i="6"/>
  <c r="AC85" i="6"/>
  <c r="AK85" i="6"/>
  <c r="AD86" i="6"/>
  <c r="AL86" i="6"/>
  <c r="V87" i="6"/>
  <c r="AE87" i="6"/>
  <c r="AM87" i="6"/>
  <c r="Y89" i="6"/>
  <c r="AG89" i="6"/>
  <c r="AO89" i="6"/>
  <c r="Z90" i="6"/>
  <c r="AH90" i="6"/>
  <c r="AA91" i="6"/>
  <c r="AI91" i="6"/>
  <c r="AS91" i="6"/>
  <c r="AC93" i="6"/>
  <c r="AK93" i="6"/>
  <c r="AD94" i="6"/>
  <c r="AL94" i="6"/>
  <c r="V95" i="6"/>
  <c r="AO95" i="6" s="1"/>
  <c r="AE95" i="6"/>
  <c r="AM95" i="6"/>
  <c r="Y97" i="6"/>
  <c r="AG97" i="6"/>
  <c r="AO97" i="6"/>
  <c r="Z98" i="6"/>
  <c r="AH98" i="6"/>
  <c r="AA99" i="6"/>
  <c r="AI99" i="6"/>
  <c r="AS99" i="6"/>
  <c r="AB100" i="6"/>
  <c r="AJ100" i="6"/>
  <c r="AC101" i="6"/>
  <c r="AK101" i="6"/>
  <c r="AD102" i="6"/>
  <c r="AL102" i="6"/>
  <c r="V103" i="6"/>
  <c r="AK103" i="6" s="1"/>
  <c r="AE103" i="6"/>
  <c r="AM103" i="6"/>
  <c r="Y105" i="6"/>
  <c r="AG105" i="6"/>
  <c r="AO105" i="6"/>
  <c r="Z106" i="6"/>
  <c r="AI107" i="6"/>
  <c r="AS107" i="6"/>
  <c r="AB108" i="6"/>
  <c r="AJ108" i="6"/>
  <c r="AC109" i="6"/>
  <c r="AK109" i="6"/>
  <c r="AD110" i="6"/>
  <c r="AL110" i="6"/>
  <c r="V111" i="6"/>
  <c r="AC111" i="6" s="1"/>
  <c r="AE111" i="6"/>
  <c r="AM111" i="6"/>
  <c r="Y113" i="6"/>
  <c r="AG113" i="6"/>
  <c r="AO113" i="6"/>
  <c r="Z114" i="6"/>
  <c r="AA115" i="6"/>
  <c r="AI115" i="6"/>
  <c r="AS115" i="6"/>
  <c r="AB116" i="6"/>
  <c r="AC117" i="6"/>
  <c r="AK117" i="6"/>
  <c r="AL118" i="6"/>
  <c r="V119" i="6"/>
  <c r="Y119" i="6" s="1"/>
  <c r="AE119" i="6"/>
  <c r="AM119" i="6"/>
  <c r="Y121" i="6"/>
  <c r="AG121" i="6"/>
  <c r="AO121" i="6"/>
  <c r="Z122" i="6"/>
  <c r="AH122" i="6"/>
  <c r="AA123" i="6"/>
  <c r="AI123" i="6"/>
  <c r="AS123" i="6"/>
  <c r="AJ124" i="6"/>
  <c r="AC125" i="6"/>
  <c r="AK125" i="6"/>
  <c r="AD126" i="6"/>
  <c r="AL126" i="6"/>
  <c r="V127" i="6"/>
  <c r="AE127" i="6" s="1"/>
  <c r="AM127" i="6"/>
  <c r="Y129" i="6"/>
  <c r="AG129" i="6"/>
  <c r="AO129" i="6"/>
  <c r="Z130" i="6"/>
  <c r="AH130" i="6"/>
  <c r="AA131" i="6"/>
  <c r="AI131" i="6"/>
  <c r="AS131" i="6"/>
  <c r="AJ132" i="6"/>
  <c r="AC133" i="6"/>
  <c r="AK133" i="6"/>
  <c r="AD134" i="6"/>
  <c r="AL134" i="6"/>
  <c r="V135" i="6"/>
  <c r="AE135" i="6"/>
  <c r="AM135" i="6"/>
  <c r="Y137" i="6"/>
  <c r="AG137" i="6"/>
  <c r="AO137" i="6"/>
  <c r="AH138" i="6"/>
  <c r="AA139" i="6"/>
  <c r="AI139" i="6"/>
  <c r="AS139" i="6"/>
  <c r="AJ140" i="6"/>
  <c r="AC141" i="6"/>
  <c r="AK141" i="6"/>
  <c r="AK142" i="6"/>
  <c r="AJ142" i="6"/>
  <c r="AB142" i="6"/>
  <c r="AS142" i="6"/>
  <c r="AI142" i="6"/>
  <c r="AA142" i="6"/>
  <c r="AH142" i="6"/>
  <c r="AO142" i="6"/>
  <c r="AG142" i="6"/>
  <c r="Y142" i="6"/>
  <c r="AM142" i="6"/>
  <c r="AE142" i="6"/>
  <c r="V142" i="6"/>
  <c r="AN142" i="6" s="1"/>
  <c r="AF150" i="6"/>
  <c r="AK190" i="6"/>
  <c r="AJ190" i="6"/>
  <c r="AB190" i="6"/>
  <c r="AS190" i="6"/>
  <c r="AI190" i="6"/>
  <c r="AA190" i="6"/>
  <c r="AH190" i="6"/>
  <c r="Z190" i="6"/>
  <c r="AO190" i="6"/>
  <c r="AG190" i="6"/>
  <c r="Y190" i="6"/>
  <c r="AF190" i="6"/>
  <c r="X190" i="6"/>
  <c r="AM190" i="6"/>
  <c r="AE190" i="6"/>
  <c r="V190" i="6"/>
  <c r="AL190" i="6" s="1"/>
  <c r="AD85" i="6"/>
  <c r="AL85" i="6"/>
  <c r="V86" i="6"/>
  <c r="AJ86" i="6" s="1"/>
  <c r="AE86" i="6"/>
  <c r="AM86" i="6"/>
  <c r="X87" i="6"/>
  <c r="AF87" i="6"/>
  <c r="AN87" i="6"/>
  <c r="Z89" i="6"/>
  <c r="AH89" i="6"/>
  <c r="AA90" i="6"/>
  <c r="AI90" i="6"/>
  <c r="AS90" i="6"/>
  <c r="AB91" i="6"/>
  <c r="AJ91" i="6"/>
  <c r="AD93" i="6"/>
  <c r="AL93" i="6"/>
  <c r="V94" i="6"/>
  <c r="AE94" i="6"/>
  <c r="AM94" i="6"/>
  <c r="X95" i="6"/>
  <c r="AF95" i="6"/>
  <c r="AN95" i="6"/>
  <c r="Z97" i="6"/>
  <c r="AH97" i="6"/>
  <c r="AA98" i="6"/>
  <c r="AI98" i="6"/>
  <c r="AS98" i="6"/>
  <c r="AB99" i="6"/>
  <c r="AC100" i="6"/>
  <c r="AK100" i="6"/>
  <c r="AD101" i="6"/>
  <c r="AL101" i="6"/>
  <c r="V102" i="6"/>
  <c r="AN102" i="6" s="1"/>
  <c r="AE102" i="6"/>
  <c r="AM102" i="6"/>
  <c r="X103" i="6"/>
  <c r="AF103" i="6"/>
  <c r="AN103" i="6"/>
  <c r="Z105" i="6"/>
  <c r="AH105" i="6"/>
  <c r="AI106" i="6"/>
  <c r="AS106" i="6"/>
  <c r="AB107" i="6"/>
  <c r="AJ107" i="6"/>
  <c r="AC108" i="6"/>
  <c r="AK108" i="6"/>
  <c r="AD109" i="6"/>
  <c r="AL109" i="6"/>
  <c r="V110" i="6"/>
  <c r="X110" i="6" s="1"/>
  <c r="AE110" i="6"/>
  <c r="AM110" i="6"/>
  <c r="X111" i="6"/>
  <c r="AF111" i="6"/>
  <c r="AN111" i="6"/>
  <c r="Z113" i="6"/>
  <c r="AH113" i="6"/>
  <c r="AI114" i="6"/>
  <c r="AS114" i="6"/>
  <c r="AB115" i="6"/>
  <c r="AJ115" i="6"/>
  <c r="AC116" i="6"/>
  <c r="AK116" i="6"/>
  <c r="AD117" i="6"/>
  <c r="AL117" i="6"/>
  <c r="V118" i="6"/>
  <c r="X118" i="6" s="1"/>
  <c r="AE118" i="6"/>
  <c r="AM118" i="6"/>
  <c r="X119" i="6"/>
  <c r="AF119" i="6"/>
  <c r="AN119" i="6"/>
  <c r="Z121" i="6"/>
  <c r="AH121" i="6"/>
  <c r="AA122" i="6"/>
  <c r="AS122" i="6"/>
  <c r="AB123" i="6"/>
  <c r="AJ123" i="6"/>
  <c r="AC124" i="6"/>
  <c r="AD125" i="6"/>
  <c r="AL125" i="6"/>
  <c r="V126" i="6"/>
  <c r="AM126" i="6" s="1"/>
  <c r="AE126" i="6"/>
  <c r="X127" i="6"/>
  <c r="AF127" i="6"/>
  <c r="AN127" i="6"/>
  <c r="Z129" i="6"/>
  <c r="AH129" i="6"/>
  <c r="AA130" i="6"/>
  <c r="AS130" i="6"/>
  <c r="AB131" i="6"/>
  <c r="AC132" i="6"/>
  <c r="AK132" i="6"/>
  <c r="AD133" i="6"/>
  <c r="AL133" i="6"/>
  <c r="V134" i="6"/>
  <c r="AB134" i="6" s="1"/>
  <c r="AE134" i="6"/>
  <c r="AM134" i="6"/>
  <c r="X135" i="6"/>
  <c r="AF135" i="6"/>
  <c r="AN135" i="6"/>
  <c r="Z137" i="6"/>
  <c r="AH137" i="6"/>
  <c r="AI138" i="6"/>
  <c r="AS138" i="6"/>
  <c r="AB139" i="6"/>
  <c r="AJ139" i="6"/>
  <c r="AC140" i="6"/>
  <c r="AK140" i="6"/>
  <c r="AD141" i="6"/>
  <c r="AL141" i="6"/>
  <c r="X142" i="6"/>
  <c r="AS148" i="6"/>
  <c r="AA148" i="6"/>
  <c r="AH148" i="6"/>
  <c r="Z148" i="6"/>
  <c r="AG148" i="6"/>
  <c r="AN148" i="6"/>
  <c r="AF148" i="6"/>
  <c r="X148" i="6"/>
  <c r="AM148" i="6"/>
  <c r="AE148" i="6"/>
  <c r="V148" i="6"/>
  <c r="AO148" i="6" s="1"/>
  <c r="AK148" i="6"/>
  <c r="AC148" i="6"/>
  <c r="AL167" i="6"/>
  <c r="AK174" i="6"/>
  <c r="AC174" i="6"/>
  <c r="AJ174" i="6"/>
  <c r="AB174" i="6"/>
  <c r="AS174" i="6"/>
  <c r="AI174" i="6"/>
  <c r="AA174" i="6"/>
  <c r="Z174" i="6"/>
  <c r="AO174" i="6"/>
  <c r="AG174" i="6"/>
  <c r="Y174" i="6"/>
  <c r="AN174" i="6"/>
  <c r="AF174" i="6"/>
  <c r="X174" i="6"/>
  <c r="AM174" i="6"/>
  <c r="AE174" i="6"/>
  <c r="V174" i="6"/>
  <c r="AD174" i="6" s="1"/>
  <c r="AD190" i="6"/>
  <c r="AL100" i="6"/>
  <c r="AD108" i="6"/>
  <c r="AL108" i="6"/>
  <c r="AL116" i="6"/>
  <c r="AD124" i="6"/>
  <c r="AL124" i="6"/>
  <c r="AD132" i="6"/>
  <c r="AL132" i="6"/>
  <c r="AD140" i="6"/>
  <c r="AL140" i="6"/>
  <c r="AE141" i="6"/>
  <c r="X85" i="6"/>
  <c r="AF85" i="6"/>
  <c r="AN85" i="6"/>
  <c r="Y86" i="6"/>
  <c r="AG86" i="6"/>
  <c r="AO86" i="6"/>
  <c r="Z87" i="6"/>
  <c r="AH87" i="6"/>
  <c r="AB89" i="6"/>
  <c r="AJ89" i="6"/>
  <c r="AC90" i="6"/>
  <c r="AK90" i="6"/>
  <c r="AD91" i="6"/>
  <c r="AL91" i="6"/>
  <c r="X93" i="6"/>
  <c r="AF93" i="6"/>
  <c r="AN93" i="6"/>
  <c r="Y94" i="6"/>
  <c r="AG94" i="6"/>
  <c r="AO94" i="6"/>
  <c r="AH95" i="6"/>
  <c r="AB97" i="6"/>
  <c r="AJ97" i="6"/>
  <c r="AC98" i="6"/>
  <c r="AK98" i="6"/>
  <c r="AD99" i="6"/>
  <c r="V100" i="6"/>
  <c r="Z100" i="6" s="1"/>
  <c r="AM100" i="6"/>
  <c r="X101" i="6"/>
  <c r="AF101" i="6"/>
  <c r="AN101" i="6"/>
  <c r="Y102" i="6"/>
  <c r="AG102" i="6"/>
  <c r="AO102" i="6"/>
  <c r="Z103" i="6"/>
  <c r="AH103" i="6"/>
  <c r="AB105" i="6"/>
  <c r="AJ105" i="6"/>
  <c r="AC106" i="6"/>
  <c r="AK106" i="6"/>
  <c r="AD107" i="6"/>
  <c r="AL107" i="6"/>
  <c r="V108" i="6"/>
  <c r="Z108" i="6" s="1"/>
  <c r="AE108" i="6"/>
  <c r="AM108" i="6"/>
  <c r="X109" i="6"/>
  <c r="AF109" i="6"/>
  <c r="AN109" i="6"/>
  <c r="Y110" i="6"/>
  <c r="AG110" i="6"/>
  <c r="AO110" i="6"/>
  <c r="AH111" i="6"/>
  <c r="AB113" i="6"/>
  <c r="AJ113" i="6"/>
  <c r="AC114" i="6"/>
  <c r="AK114" i="6"/>
  <c r="AD115" i="6"/>
  <c r="AL115" i="6"/>
  <c r="V116" i="6"/>
  <c r="AJ116" i="6" s="1"/>
  <c r="AE116" i="6"/>
  <c r="AM116" i="6"/>
  <c r="X117" i="6"/>
  <c r="AF117" i="6"/>
  <c r="AN117" i="6"/>
  <c r="Y118" i="6"/>
  <c r="AG118" i="6"/>
  <c r="AO118" i="6"/>
  <c r="Z119" i="6"/>
  <c r="AH119" i="6"/>
  <c r="AB121" i="6"/>
  <c r="AJ121" i="6"/>
  <c r="AC122" i="6"/>
  <c r="AK122" i="6"/>
  <c r="AD123" i="6"/>
  <c r="AL123" i="6"/>
  <c r="V124" i="6"/>
  <c r="Z124" i="6" s="1"/>
  <c r="AE124" i="6"/>
  <c r="AM124" i="6"/>
  <c r="X125" i="6"/>
  <c r="AF125" i="6"/>
  <c r="AN125" i="6"/>
  <c r="AG126" i="6"/>
  <c r="AO126" i="6"/>
  <c r="Z127" i="6"/>
  <c r="AH127" i="6"/>
  <c r="AB129" i="6"/>
  <c r="AJ129" i="6"/>
  <c r="AK130" i="6"/>
  <c r="AL131" i="6"/>
  <c r="V132" i="6"/>
  <c r="AI132" i="6" s="1"/>
  <c r="AE132" i="6"/>
  <c r="AM132" i="6"/>
  <c r="X133" i="6"/>
  <c r="AF133" i="6"/>
  <c r="AN133" i="6"/>
  <c r="Y134" i="6"/>
  <c r="AG134" i="6"/>
  <c r="AO134" i="6"/>
  <c r="Z135" i="6"/>
  <c r="AH135" i="6"/>
  <c r="AB137" i="6"/>
  <c r="AJ137" i="6"/>
  <c r="AC138" i="6"/>
  <c r="AK138" i="6"/>
  <c r="AD139" i="6"/>
  <c r="AL139" i="6"/>
  <c r="V140" i="6"/>
  <c r="Z140" i="6" s="1"/>
  <c r="AM140" i="6"/>
  <c r="X141" i="6"/>
  <c r="AF141" i="6"/>
  <c r="AN141" i="6"/>
  <c r="AD142" i="6"/>
  <c r="AD148" i="6"/>
  <c r="AL151" i="6"/>
  <c r="AK158" i="6"/>
  <c r="AC158" i="6"/>
  <c r="AJ158" i="6"/>
  <c r="AB158" i="6"/>
  <c r="AS158" i="6"/>
  <c r="AA158" i="6"/>
  <c r="AH158" i="6"/>
  <c r="AO158" i="6"/>
  <c r="AG158" i="6"/>
  <c r="Y158" i="6"/>
  <c r="AN158" i="6"/>
  <c r="AF158" i="6"/>
  <c r="X158" i="6"/>
  <c r="AM158" i="6"/>
  <c r="V158" i="6"/>
  <c r="AI158" i="6" s="1"/>
  <c r="AL174" i="6"/>
  <c r="Y85" i="6"/>
  <c r="AG85" i="6"/>
  <c r="AO85" i="6"/>
  <c r="Z86" i="6"/>
  <c r="AH86" i="6"/>
  <c r="AA87" i="6"/>
  <c r="AI87" i="6"/>
  <c r="AS87" i="6"/>
  <c r="AC89" i="6"/>
  <c r="AK89" i="6"/>
  <c r="AD90" i="6"/>
  <c r="AL90" i="6"/>
  <c r="V91" i="6"/>
  <c r="AE91" i="6"/>
  <c r="AM91" i="6"/>
  <c r="Y93" i="6"/>
  <c r="AG93" i="6"/>
  <c r="AO93" i="6"/>
  <c r="Z94" i="6"/>
  <c r="AH94" i="6"/>
  <c r="AA95" i="6"/>
  <c r="AI95" i="6"/>
  <c r="AS95" i="6"/>
  <c r="AC97" i="6"/>
  <c r="AK97" i="6"/>
  <c r="AD98" i="6"/>
  <c r="AL98" i="6"/>
  <c r="V99" i="6"/>
  <c r="Z99" i="6" s="1"/>
  <c r="AE99" i="6"/>
  <c r="AM99" i="6"/>
  <c r="X100" i="6"/>
  <c r="AF100" i="6"/>
  <c r="AN100" i="6"/>
  <c r="Y101" i="6"/>
  <c r="AG101" i="6"/>
  <c r="AO101" i="6"/>
  <c r="Z102" i="6"/>
  <c r="AH102" i="6"/>
  <c r="AA103" i="6"/>
  <c r="AI103" i="6"/>
  <c r="AS103" i="6"/>
  <c r="AC105" i="6"/>
  <c r="AK105" i="6"/>
  <c r="AD106" i="6"/>
  <c r="AL106" i="6"/>
  <c r="V107" i="6"/>
  <c r="Z107" i="6" s="1"/>
  <c r="AE107" i="6"/>
  <c r="AM107" i="6"/>
  <c r="X108" i="6"/>
  <c r="AF108" i="6"/>
  <c r="AN108" i="6"/>
  <c r="Y109" i="6"/>
  <c r="AG109" i="6"/>
  <c r="AO109" i="6"/>
  <c r="Z110" i="6"/>
  <c r="AH110" i="6"/>
  <c r="AA111" i="6"/>
  <c r="AS111" i="6"/>
  <c r="AC113" i="6"/>
  <c r="AK113" i="6"/>
  <c r="AD114" i="6"/>
  <c r="AL114" i="6"/>
  <c r="V115" i="6"/>
  <c r="AE115" i="6"/>
  <c r="AM115" i="6"/>
  <c r="X116" i="6"/>
  <c r="AF116" i="6"/>
  <c r="AN116" i="6"/>
  <c r="Y117" i="6"/>
  <c r="AG117" i="6"/>
  <c r="AO117" i="6"/>
  <c r="Z118" i="6"/>
  <c r="AH118" i="6"/>
  <c r="AA119" i="6"/>
  <c r="AI119" i="6"/>
  <c r="AS119" i="6"/>
  <c r="AC121" i="6"/>
  <c r="AK121" i="6"/>
  <c r="AD122" i="6"/>
  <c r="AL122" i="6"/>
  <c r="V123" i="6"/>
  <c r="AE123" i="6"/>
  <c r="AM123" i="6"/>
  <c r="X124" i="6"/>
  <c r="AF124" i="6"/>
  <c r="AN124" i="6"/>
  <c r="Y125" i="6"/>
  <c r="AG125" i="6"/>
  <c r="AO125" i="6"/>
  <c r="AH126" i="6"/>
  <c r="AA127" i="6"/>
  <c r="AI127" i="6"/>
  <c r="AS127" i="6"/>
  <c r="AC129" i="6"/>
  <c r="AK129" i="6"/>
  <c r="AD130" i="6"/>
  <c r="AL130" i="6"/>
  <c r="V131" i="6"/>
  <c r="AH131" i="6" s="1"/>
  <c r="AM131" i="6"/>
  <c r="X132" i="6"/>
  <c r="AF132" i="6"/>
  <c r="AN132" i="6"/>
  <c r="Y133" i="6"/>
  <c r="AG133" i="6"/>
  <c r="AO133" i="6"/>
  <c r="Z134" i="6"/>
  <c r="AH134" i="6"/>
  <c r="AA135" i="6"/>
  <c r="AI135" i="6"/>
  <c r="AS135" i="6"/>
  <c r="AK137" i="6"/>
  <c r="X140" i="6"/>
  <c r="AF140" i="6"/>
  <c r="Y141" i="6"/>
  <c r="AJ148" i="6"/>
  <c r="Z85" i="6"/>
  <c r="AA86" i="6"/>
  <c r="AI86" i="6"/>
  <c r="AB87" i="6"/>
  <c r="AD89" i="6"/>
  <c r="V90" i="6"/>
  <c r="AE90" i="6"/>
  <c r="X91" i="6"/>
  <c r="AF91" i="6"/>
  <c r="Z93" i="6"/>
  <c r="AA94" i="6"/>
  <c r="AI94" i="6"/>
  <c r="AB95" i="6"/>
  <c r="AD97" i="6"/>
  <c r="V98" i="6"/>
  <c r="AE98" i="6"/>
  <c r="X99" i="6"/>
  <c r="AF99" i="6"/>
  <c r="Y100" i="6"/>
  <c r="AG100" i="6"/>
  <c r="Z101" i="6"/>
  <c r="AA102" i="6"/>
  <c r="AI102" i="6"/>
  <c r="AB103" i="6"/>
  <c r="AD105" i="6"/>
  <c r="V106" i="6"/>
  <c r="AG106" i="6" s="1"/>
  <c r="AE106" i="6"/>
  <c r="X107" i="6"/>
  <c r="AF107" i="6"/>
  <c r="Y108" i="6"/>
  <c r="AG108" i="6"/>
  <c r="Z109" i="6"/>
  <c r="AA110" i="6"/>
  <c r="AI110" i="6"/>
  <c r="AB111" i="6"/>
  <c r="AD113" i="6"/>
  <c r="V114" i="6"/>
  <c r="AA114" i="6" s="1"/>
  <c r="AE114" i="6"/>
  <c r="X115" i="6"/>
  <c r="AF115" i="6"/>
  <c r="Y116" i="6"/>
  <c r="AG116" i="6"/>
  <c r="Z117" i="6"/>
  <c r="AA118" i="6"/>
  <c r="AI118" i="6"/>
  <c r="AB119" i="6"/>
  <c r="AD121" i="6"/>
  <c r="V122" i="6"/>
  <c r="AI122" i="6" s="1"/>
  <c r="AE122" i="6"/>
  <c r="X123" i="6"/>
  <c r="AF123" i="6"/>
  <c r="Y124" i="6"/>
  <c r="AG124" i="6"/>
  <c r="Z125" i="6"/>
  <c r="AA126" i="6"/>
  <c r="AI126" i="6"/>
  <c r="AB127" i="6"/>
  <c r="AD129" i="6"/>
  <c r="V130" i="6"/>
  <c r="AB130" i="6" s="1"/>
  <c r="AE130" i="6"/>
  <c r="X131" i="6"/>
  <c r="AF131" i="6"/>
  <c r="Y132" i="6"/>
  <c r="AG132" i="6"/>
  <c r="Z133" i="6"/>
  <c r="AA134" i="6"/>
  <c r="AI134" i="6"/>
  <c r="AB135" i="6"/>
  <c r="AD137" i="6"/>
  <c r="V138" i="6"/>
  <c r="AD138" i="6" s="1"/>
  <c r="AE138" i="6"/>
  <c r="X139" i="6"/>
  <c r="AF139" i="6"/>
  <c r="Y140" i="6"/>
  <c r="AG140" i="6"/>
  <c r="Z141" i="6"/>
  <c r="AL142" i="6"/>
  <c r="AL148" i="6"/>
  <c r="AK150" i="6"/>
  <c r="AJ150" i="6"/>
  <c r="AB150" i="6"/>
  <c r="AS150" i="6"/>
  <c r="AI150" i="6"/>
  <c r="AA150" i="6"/>
  <c r="AH150" i="6"/>
  <c r="AO150" i="6"/>
  <c r="AG150" i="6"/>
  <c r="Y150" i="6"/>
  <c r="AM150" i="6"/>
  <c r="V150" i="6"/>
  <c r="Z150" i="6" s="1"/>
  <c r="AK182" i="6"/>
  <c r="AC182" i="6"/>
  <c r="AJ182" i="6"/>
  <c r="AB182" i="6"/>
  <c r="AS182" i="6"/>
  <c r="AI182" i="6"/>
  <c r="AH182" i="6"/>
  <c r="Z182" i="6"/>
  <c r="AO182" i="6"/>
  <c r="AG182" i="6"/>
  <c r="Y182" i="6"/>
  <c r="AN182" i="6"/>
  <c r="AF182" i="6"/>
  <c r="X182" i="6"/>
  <c r="AM182" i="6"/>
  <c r="AE182" i="6"/>
  <c r="V182" i="6"/>
  <c r="AL182" i="6" s="1"/>
  <c r="AK198" i="6"/>
  <c r="AC198" i="6"/>
  <c r="AB198" i="6"/>
  <c r="AS198" i="6"/>
  <c r="AI198" i="6"/>
  <c r="AH198" i="6"/>
  <c r="Z198" i="6"/>
  <c r="AO198" i="6"/>
  <c r="AG198" i="6"/>
  <c r="Y198" i="6"/>
  <c r="AN198" i="6"/>
  <c r="AF198" i="6"/>
  <c r="AM198" i="6"/>
  <c r="AE198" i="6"/>
  <c r="V198" i="6"/>
  <c r="AA198" i="6" s="1"/>
  <c r="X143" i="6"/>
  <c r="AF143" i="6"/>
  <c r="AN143" i="6"/>
  <c r="Y144" i="6"/>
  <c r="AG144" i="6"/>
  <c r="AH145" i="6"/>
  <c r="AA146" i="6"/>
  <c r="AS146" i="6"/>
  <c r="AB147" i="6"/>
  <c r="AJ147" i="6"/>
  <c r="AD149" i="6"/>
  <c r="AL149" i="6"/>
  <c r="X151" i="6"/>
  <c r="AF151" i="6"/>
  <c r="AN151" i="6"/>
  <c r="Y152" i="6"/>
  <c r="AG152" i="6"/>
  <c r="AO152" i="6"/>
  <c r="AH153" i="6"/>
  <c r="AI154" i="6"/>
  <c r="AS154" i="6"/>
  <c r="AB155" i="6"/>
  <c r="AC156" i="6"/>
  <c r="AK156" i="6"/>
  <c r="AD157" i="6"/>
  <c r="AL157" i="6"/>
  <c r="X159" i="6"/>
  <c r="AF159" i="6"/>
  <c r="AN159" i="6"/>
  <c r="Y160" i="6"/>
  <c r="AG160" i="6"/>
  <c r="AO160" i="6"/>
  <c r="Z161" i="6"/>
  <c r="AI162" i="6"/>
  <c r="AS162" i="6"/>
  <c r="AB163" i="6"/>
  <c r="AJ163" i="6"/>
  <c r="AC164" i="6"/>
  <c r="AK164" i="6"/>
  <c r="AD165" i="6"/>
  <c r="AL165" i="6"/>
  <c r="X167" i="6"/>
  <c r="AF167" i="6"/>
  <c r="AN167" i="6"/>
  <c r="Y168" i="6"/>
  <c r="AG168" i="6"/>
  <c r="Z169" i="6"/>
  <c r="AH169" i="6"/>
  <c r="AA170" i="6"/>
  <c r="AI170" i="6"/>
  <c r="AS170" i="6"/>
  <c r="AB171" i="6"/>
  <c r="AJ171" i="6"/>
  <c r="AK172" i="6"/>
  <c r="AD173" i="6"/>
  <c r="AL173" i="6"/>
  <c r="X175" i="6"/>
  <c r="AF175" i="6"/>
  <c r="AN175" i="6"/>
  <c r="AG176" i="6"/>
  <c r="AO176" i="6"/>
  <c r="Z177" i="6"/>
  <c r="AH177" i="6"/>
  <c r="AA178" i="6"/>
  <c r="AI178" i="6"/>
  <c r="AS178" i="6"/>
  <c r="AB179" i="6"/>
  <c r="AJ179" i="6"/>
  <c r="AC180" i="6"/>
  <c r="AK180" i="6"/>
  <c r="AD181" i="6"/>
  <c r="AL181" i="6"/>
  <c r="X183" i="6"/>
  <c r="AF183" i="6"/>
  <c r="AN183" i="6"/>
  <c r="Y184" i="6"/>
  <c r="AG184" i="6"/>
  <c r="AO184" i="6"/>
  <c r="Z185" i="6"/>
  <c r="AH185" i="6"/>
  <c r="AA186" i="6"/>
  <c r="AI186" i="6"/>
  <c r="AS186" i="6"/>
  <c r="AB187" i="6"/>
  <c r="AJ187" i="6"/>
  <c r="AK188" i="6"/>
  <c r="AD189" i="6"/>
  <c r="AL189" i="6"/>
  <c r="X191" i="6"/>
  <c r="AF191" i="6"/>
  <c r="AN191" i="6"/>
  <c r="Y192" i="6"/>
  <c r="AG192" i="6"/>
  <c r="AO192" i="6"/>
  <c r="Z193" i="6"/>
  <c r="AH193" i="6"/>
  <c r="AI194" i="6"/>
  <c r="AS194" i="6"/>
  <c r="AB195" i="6"/>
  <c r="AJ195" i="6"/>
  <c r="AC196" i="6"/>
  <c r="AK196" i="6"/>
  <c r="AD197" i="6"/>
  <c r="AL197" i="6"/>
  <c r="Y200" i="6"/>
  <c r="AG200" i="6"/>
  <c r="AK228" i="6"/>
  <c r="AC228" i="6"/>
  <c r="AJ228" i="6"/>
  <c r="AB228" i="6"/>
  <c r="AS228" i="6"/>
  <c r="AI228" i="6"/>
  <c r="AA228" i="6"/>
  <c r="AH228" i="6"/>
  <c r="Z228" i="6"/>
  <c r="AG228" i="6"/>
  <c r="Y228" i="6"/>
  <c r="AN228" i="6"/>
  <c r="AF228" i="6"/>
  <c r="X228" i="6"/>
  <c r="AM228" i="6"/>
  <c r="V228" i="6"/>
  <c r="AD228" i="6" s="1"/>
  <c r="AD156" i="6"/>
  <c r="AL156" i="6"/>
  <c r="AD164" i="6"/>
  <c r="AL164" i="6"/>
  <c r="AL172" i="6"/>
  <c r="AD180" i="6"/>
  <c r="AD188" i="6"/>
  <c r="AL188" i="6"/>
  <c r="AD196" i="6"/>
  <c r="AL196" i="6"/>
  <c r="AK204" i="6"/>
  <c r="AC204" i="6"/>
  <c r="AJ204" i="6"/>
  <c r="AB204" i="6"/>
  <c r="AS204" i="6"/>
  <c r="AI204" i="6"/>
  <c r="AA204" i="6"/>
  <c r="AO204" i="6"/>
  <c r="AG204" i="6"/>
  <c r="Y204" i="6"/>
  <c r="AN204" i="6"/>
  <c r="AF204" i="6"/>
  <c r="X204" i="6"/>
  <c r="AM204" i="6"/>
  <c r="AE204" i="6"/>
  <c r="V204" i="6"/>
  <c r="AK280" i="6"/>
  <c r="AC280" i="6"/>
  <c r="AJ280" i="6"/>
  <c r="AB280" i="6"/>
  <c r="AS280" i="6"/>
  <c r="AI280" i="6"/>
  <c r="AH280" i="6"/>
  <c r="Z280" i="6"/>
  <c r="AO280" i="6"/>
  <c r="Y280" i="6"/>
  <c r="AN280" i="6"/>
  <c r="AF280" i="6"/>
  <c r="X280" i="6"/>
  <c r="AM280" i="6"/>
  <c r="AE280" i="6"/>
  <c r="V280" i="6"/>
  <c r="AA280" i="6" s="1"/>
  <c r="AL280" i="6"/>
  <c r="Z143" i="6"/>
  <c r="AH143" i="6"/>
  <c r="AA144" i="6"/>
  <c r="AI144" i="6"/>
  <c r="AS144" i="6"/>
  <c r="AB145" i="6"/>
  <c r="AJ145" i="6"/>
  <c r="AC146" i="6"/>
  <c r="AK146" i="6"/>
  <c r="AD147" i="6"/>
  <c r="AL147" i="6"/>
  <c r="X149" i="6"/>
  <c r="AF149" i="6"/>
  <c r="AN149" i="6"/>
  <c r="Z151" i="6"/>
  <c r="AH151" i="6"/>
  <c r="AA152" i="6"/>
  <c r="AI152" i="6"/>
  <c r="AS152" i="6"/>
  <c r="AB153" i="6"/>
  <c r="AJ153" i="6"/>
  <c r="AC154" i="6"/>
  <c r="AK154" i="6"/>
  <c r="AD155" i="6"/>
  <c r="AL155" i="6"/>
  <c r="V156" i="6"/>
  <c r="AE156" i="6"/>
  <c r="AM156" i="6"/>
  <c r="X157" i="6"/>
  <c r="AF157" i="6"/>
  <c r="AN157" i="6"/>
  <c r="Z159" i="6"/>
  <c r="AH159" i="6"/>
  <c r="AA160" i="6"/>
  <c r="AS160" i="6"/>
  <c r="AB161" i="6"/>
  <c r="AC162" i="6"/>
  <c r="AK162" i="6"/>
  <c r="AD163" i="6"/>
  <c r="AL163" i="6"/>
  <c r="V164" i="6"/>
  <c r="AE164" i="6" s="1"/>
  <c r="AM164" i="6"/>
  <c r="X165" i="6"/>
  <c r="AF165" i="6"/>
  <c r="AN165" i="6"/>
  <c r="Z167" i="6"/>
  <c r="AH167" i="6"/>
  <c r="AA168" i="6"/>
  <c r="AI168" i="6"/>
  <c r="AS168" i="6"/>
  <c r="AB169" i="6"/>
  <c r="AJ169" i="6"/>
  <c r="AK170" i="6"/>
  <c r="AL171" i="6"/>
  <c r="V172" i="6"/>
  <c r="AC172" i="6" s="1"/>
  <c r="AE172" i="6"/>
  <c r="AM172" i="6"/>
  <c r="X173" i="6"/>
  <c r="AF173" i="6"/>
  <c r="AN173" i="6"/>
  <c r="Z175" i="6"/>
  <c r="AH175" i="6"/>
  <c r="AA176" i="6"/>
  <c r="AI176" i="6"/>
  <c r="AS176" i="6"/>
  <c r="AC178" i="6"/>
  <c r="AK178" i="6"/>
  <c r="AD179" i="6"/>
  <c r="AL179" i="6"/>
  <c r="V180" i="6"/>
  <c r="AL180" i="6" s="1"/>
  <c r="AE180" i="6"/>
  <c r="AM180" i="6"/>
  <c r="X181" i="6"/>
  <c r="AF181" i="6"/>
  <c r="AN181" i="6"/>
  <c r="Z183" i="6"/>
  <c r="AH183" i="6"/>
  <c r="AA184" i="6"/>
  <c r="AI184" i="6"/>
  <c r="AS184" i="6"/>
  <c r="AB185" i="6"/>
  <c r="AJ185" i="6"/>
  <c r="AK186" i="6"/>
  <c r="AD187" i="6"/>
  <c r="V188" i="6"/>
  <c r="AC188" i="6" s="1"/>
  <c r="AE188" i="6"/>
  <c r="AM188" i="6"/>
  <c r="X189" i="6"/>
  <c r="AF189" i="6"/>
  <c r="AN189" i="6"/>
  <c r="Z191" i="6"/>
  <c r="AH191" i="6"/>
  <c r="AA192" i="6"/>
  <c r="AI192" i="6"/>
  <c r="AS192" i="6"/>
  <c r="AB193" i="6"/>
  <c r="AJ193" i="6"/>
  <c r="AC194" i="6"/>
  <c r="AK194" i="6"/>
  <c r="AD195" i="6"/>
  <c r="AL195" i="6"/>
  <c r="V196" i="6"/>
  <c r="AJ196" i="6" s="1"/>
  <c r="AE196" i="6"/>
  <c r="AM196" i="6"/>
  <c r="AF197" i="6"/>
  <c r="AN197" i="6"/>
  <c r="Z199" i="6"/>
  <c r="AH199" i="6"/>
  <c r="AA200" i="6"/>
  <c r="AI200" i="6"/>
  <c r="Z204" i="6"/>
  <c r="AL228" i="6"/>
  <c r="AK288" i="6"/>
  <c r="AC288" i="6"/>
  <c r="AJ288" i="6"/>
  <c r="AB288" i="6"/>
  <c r="AS288" i="6"/>
  <c r="AI288" i="6"/>
  <c r="AA288" i="6"/>
  <c r="AH288" i="6"/>
  <c r="Z288" i="6"/>
  <c r="AO288" i="6"/>
  <c r="AG288" i="6"/>
  <c r="Y288" i="6"/>
  <c r="AN288" i="6"/>
  <c r="AF288" i="6"/>
  <c r="X288" i="6"/>
  <c r="AM288" i="6"/>
  <c r="AE288" i="6"/>
  <c r="V288" i="6"/>
  <c r="AL288" i="6"/>
  <c r="AD288" i="6"/>
  <c r="AA143" i="6"/>
  <c r="AI143" i="6"/>
  <c r="AS143" i="6"/>
  <c r="AB144" i="6"/>
  <c r="AJ144" i="6"/>
  <c r="AK145" i="6"/>
  <c r="AD146" i="6"/>
  <c r="AL146" i="6"/>
  <c r="V147" i="6"/>
  <c r="AE147" i="6"/>
  <c r="AM147" i="6"/>
  <c r="Y149" i="6"/>
  <c r="AG149" i="6"/>
  <c r="AO149" i="6"/>
  <c r="AA151" i="6"/>
  <c r="AI151" i="6"/>
  <c r="AS151" i="6"/>
  <c r="AB152" i="6"/>
  <c r="AJ152" i="6"/>
  <c r="AC153" i="6"/>
  <c r="AK153" i="6"/>
  <c r="AD154" i="6"/>
  <c r="AL154" i="6"/>
  <c r="V155" i="6"/>
  <c r="AC155" i="6" s="1"/>
  <c r="AM155" i="6"/>
  <c r="X156" i="6"/>
  <c r="AF156" i="6"/>
  <c r="AN156" i="6"/>
  <c r="Y157" i="6"/>
  <c r="AG157" i="6"/>
  <c r="AO157" i="6"/>
  <c r="AA159" i="6"/>
  <c r="AI159" i="6"/>
  <c r="AS159" i="6"/>
  <c r="AB160" i="6"/>
  <c r="AJ160" i="6"/>
  <c r="AC161" i="6"/>
  <c r="AK161" i="6"/>
  <c r="AD162" i="6"/>
  <c r="AL162" i="6"/>
  <c r="V163" i="6"/>
  <c r="AE163" i="6"/>
  <c r="AM163" i="6"/>
  <c r="X164" i="6"/>
  <c r="AF164" i="6"/>
  <c r="AN164" i="6"/>
  <c r="Y165" i="6"/>
  <c r="AG165" i="6"/>
  <c r="AO165" i="6"/>
  <c r="AA167" i="6"/>
  <c r="AI167" i="6"/>
  <c r="AS167" i="6"/>
  <c r="AJ168" i="6"/>
  <c r="AC169" i="6"/>
  <c r="AK169" i="6"/>
  <c r="AL170" i="6"/>
  <c r="V171" i="6"/>
  <c r="AC171" i="6" s="1"/>
  <c r="AE171" i="6"/>
  <c r="AM171" i="6"/>
  <c r="X172" i="6"/>
  <c r="AF172" i="6"/>
  <c r="AN172" i="6"/>
  <c r="Y173" i="6"/>
  <c r="AG173" i="6"/>
  <c r="AO173" i="6"/>
  <c r="AA175" i="6"/>
  <c r="AI175" i="6"/>
  <c r="AS175" i="6"/>
  <c r="AB176" i="6"/>
  <c r="AJ176" i="6"/>
  <c r="AK177" i="6"/>
  <c r="AD178" i="6"/>
  <c r="AL178" i="6"/>
  <c r="V179" i="6"/>
  <c r="AE179" i="6"/>
  <c r="AM179" i="6"/>
  <c r="X180" i="6"/>
  <c r="AF180" i="6"/>
  <c r="AN180" i="6"/>
  <c r="Y181" i="6"/>
  <c r="AG181" i="6"/>
  <c r="AO181" i="6"/>
  <c r="AA183" i="6"/>
  <c r="AI183" i="6"/>
  <c r="AS183" i="6"/>
  <c r="AB184" i="6"/>
  <c r="AK185" i="6"/>
  <c r="AD186" i="6"/>
  <c r="AL186" i="6"/>
  <c r="V187" i="6"/>
  <c r="AC187" i="6" s="1"/>
  <c r="AE187" i="6"/>
  <c r="AM187" i="6"/>
  <c r="X188" i="6"/>
  <c r="AF188" i="6"/>
  <c r="AN188" i="6"/>
  <c r="Y189" i="6"/>
  <c r="AG189" i="6"/>
  <c r="AO189" i="6"/>
  <c r="AA191" i="6"/>
  <c r="AI191" i="6"/>
  <c r="AS191" i="6"/>
  <c r="AB192" i="6"/>
  <c r="AJ192" i="6"/>
  <c r="AC193" i="6"/>
  <c r="AK193" i="6"/>
  <c r="AL194" i="6"/>
  <c r="V195" i="6"/>
  <c r="AO195" i="6" s="1"/>
  <c r="AE195" i="6"/>
  <c r="AM195" i="6"/>
  <c r="X196" i="6"/>
  <c r="AF196" i="6"/>
  <c r="AN196" i="6"/>
  <c r="Y197" i="6"/>
  <c r="AG197" i="6"/>
  <c r="AA199" i="6"/>
  <c r="AI199" i="6"/>
  <c r="AS199" i="6"/>
  <c r="AB200" i="6"/>
  <c r="AL200" i="6"/>
  <c r="AD204" i="6"/>
  <c r="AO208" i="6"/>
  <c r="AG208" i="6"/>
  <c r="Y208" i="6"/>
  <c r="AN208" i="6"/>
  <c r="AF208" i="6"/>
  <c r="X208" i="6"/>
  <c r="AM208" i="6"/>
  <c r="AE208" i="6"/>
  <c r="V208" i="6"/>
  <c r="AK208" i="6"/>
  <c r="AC208" i="6"/>
  <c r="AJ208" i="6"/>
  <c r="AB208" i="6"/>
  <c r="AS208" i="6"/>
  <c r="AI208" i="6"/>
  <c r="AA208" i="6"/>
  <c r="AK236" i="6"/>
  <c r="AC236" i="6"/>
  <c r="AJ236" i="6"/>
  <c r="AS236" i="6"/>
  <c r="AI236" i="6"/>
  <c r="AH236" i="6"/>
  <c r="Z236" i="6"/>
  <c r="AG236" i="6"/>
  <c r="Y236" i="6"/>
  <c r="AN236" i="6"/>
  <c r="AF236" i="6"/>
  <c r="X236" i="6"/>
  <c r="AM236" i="6"/>
  <c r="AE236" i="6"/>
  <c r="V236" i="6"/>
  <c r="AO236" i="6" s="1"/>
  <c r="AK244" i="6"/>
  <c r="AJ244" i="6"/>
  <c r="AB244" i="6"/>
  <c r="AS244" i="6"/>
  <c r="AI244" i="6"/>
  <c r="AA244" i="6"/>
  <c r="Z244" i="6"/>
  <c r="AO244" i="6"/>
  <c r="AG244" i="6"/>
  <c r="Y244" i="6"/>
  <c r="AN244" i="6"/>
  <c r="AF244" i="6"/>
  <c r="AM244" i="6"/>
  <c r="AE244" i="6"/>
  <c r="V244" i="6"/>
  <c r="AH244" i="6" s="1"/>
  <c r="AB143" i="6"/>
  <c r="AJ143" i="6"/>
  <c r="AK144" i="6"/>
  <c r="AD145" i="6"/>
  <c r="AL145" i="6"/>
  <c r="V146" i="6"/>
  <c r="AO146" i="6" s="1"/>
  <c r="AE146" i="6"/>
  <c r="AM146" i="6"/>
  <c r="X147" i="6"/>
  <c r="AF147" i="6"/>
  <c r="AN147" i="6"/>
  <c r="Z149" i="6"/>
  <c r="AH149" i="6"/>
  <c r="AB151" i="6"/>
  <c r="AJ151" i="6"/>
  <c r="AK152" i="6"/>
  <c r="AD153" i="6"/>
  <c r="AL153" i="6"/>
  <c r="V154" i="6"/>
  <c r="AA154" i="6" s="1"/>
  <c r="AE154" i="6"/>
  <c r="AM154" i="6"/>
  <c r="X155" i="6"/>
  <c r="AF155" i="6"/>
  <c r="AN155" i="6"/>
  <c r="Y156" i="6"/>
  <c r="AG156" i="6"/>
  <c r="AO156" i="6"/>
  <c r="Z157" i="6"/>
  <c r="AH157" i="6"/>
  <c r="AB159" i="6"/>
  <c r="AJ159" i="6"/>
  <c r="AC160" i="6"/>
  <c r="AK160" i="6"/>
  <c r="AD161" i="6"/>
  <c r="V162" i="6"/>
  <c r="AA162" i="6" s="1"/>
  <c r="AM162" i="6"/>
  <c r="X163" i="6"/>
  <c r="AF163" i="6"/>
  <c r="AN163" i="6"/>
  <c r="Y164" i="6"/>
  <c r="AG164" i="6"/>
  <c r="AO164" i="6"/>
  <c r="Z165" i="6"/>
  <c r="AH165" i="6"/>
  <c r="AB167" i="6"/>
  <c r="AJ167" i="6"/>
  <c r="AC168" i="6"/>
  <c r="AK168" i="6"/>
  <c r="AD169" i="6"/>
  <c r="AL169" i="6"/>
  <c r="V170" i="6"/>
  <c r="X170" i="6" s="1"/>
  <c r="AE170" i="6"/>
  <c r="AM170" i="6"/>
  <c r="X171" i="6"/>
  <c r="AF171" i="6"/>
  <c r="AN171" i="6"/>
  <c r="Y172" i="6"/>
  <c r="AG172" i="6"/>
  <c r="AO172" i="6"/>
  <c r="Z173" i="6"/>
  <c r="AH173" i="6"/>
  <c r="AB175" i="6"/>
  <c r="AJ175" i="6"/>
  <c r="AK176" i="6"/>
  <c r="AD177" i="6"/>
  <c r="AL177" i="6"/>
  <c r="V178" i="6"/>
  <c r="AE178" i="6"/>
  <c r="AM178" i="6"/>
  <c r="X179" i="6"/>
  <c r="AF179" i="6"/>
  <c r="AN179" i="6"/>
  <c r="Y180" i="6"/>
  <c r="AG180" i="6"/>
  <c r="AO180" i="6"/>
  <c r="Z181" i="6"/>
  <c r="AH181" i="6"/>
  <c r="AB183" i="6"/>
  <c r="AJ183" i="6"/>
  <c r="AK184" i="6"/>
  <c r="AL185" i="6"/>
  <c r="V186" i="6"/>
  <c r="AJ186" i="6" s="1"/>
  <c r="AE186" i="6"/>
  <c r="AM186" i="6"/>
  <c r="X187" i="6"/>
  <c r="AF187" i="6"/>
  <c r="AN187" i="6"/>
  <c r="Y188" i="6"/>
  <c r="AG188" i="6"/>
  <c r="Z189" i="6"/>
  <c r="AH189" i="6"/>
  <c r="AB191" i="6"/>
  <c r="AJ191" i="6"/>
  <c r="AC192" i="6"/>
  <c r="AK192" i="6"/>
  <c r="AD193" i="6"/>
  <c r="AL193" i="6"/>
  <c r="V194" i="6"/>
  <c r="AJ194" i="6" s="1"/>
  <c r="AE194" i="6"/>
  <c r="AM194" i="6"/>
  <c r="X195" i="6"/>
  <c r="AF195" i="6"/>
  <c r="AN195" i="6"/>
  <c r="Y196" i="6"/>
  <c r="AG196" i="6"/>
  <c r="AO196" i="6"/>
  <c r="Z197" i="6"/>
  <c r="AH197" i="6"/>
  <c r="AB199" i="6"/>
  <c r="AJ199" i="6"/>
  <c r="AH204" i="6"/>
  <c r="Z208" i="6"/>
  <c r="AD236" i="6"/>
  <c r="AD244" i="6"/>
  <c r="AC143" i="6"/>
  <c r="AK143" i="6"/>
  <c r="AD144" i="6"/>
  <c r="AL144" i="6"/>
  <c r="V145" i="6"/>
  <c r="AN145" i="6" s="1"/>
  <c r="AE145" i="6"/>
  <c r="AM145" i="6"/>
  <c r="X146" i="6"/>
  <c r="AF146" i="6"/>
  <c r="AN146" i="6"/>
  <c r="Y147" i="6"/>
  <c r="AG147" i="6"/>
  <c r="AO147" i="6"/>
  <c r="AA149" i="6"/>
  <c r="AI149" i="6"/>
  <c r="AS149" i="6"/>
  <c r="AC151" i="6"/>
  <c r="AK151" i="6"/>
  <c r="AD152" i="6"/>
  <c r="AL152" i="6"/>
  <c r="V153" i="6"/>
  <c r="AE153" i="6"/>
  <c r="AM153" i="6"/>
  <c r="X154" i="6"/>
  <c r="AF154" i="6"/>
  <c r="AN154" i="6"/>
  <c r="Y155" i="6"/>
  <c r="AG155" i="6"/>
  <c r="AO155" i="6"/>
  <c r="Z156" i="6"/>
  <c r="AH156" i="6"/>
  <c r="AA157" i="6"/>
  <c r="AI157" i="6"/>
  <c r="AS157" i="6"/>
  <c r="AC159" i="6"/>
  <c r="AK159" i="6"/>
  <c r="AL160" i="6"/>
  <c r="V161" i="6"/>
  <c r="AA161" i="6" s="1"/>
  <c r="AE161" i="6"/>
  <c r="AM161" i="6"/>
  <c r="X162" i="6"/>
  <c r="AF162" i="6"/>
  <c r="AN162" i="6"/>
  <c r="Y163" i="6"/>
  <c r="AG163" i="6"/>
  <c r="AO163" i="6"/>
  <c r="Z164" i="6"/>
  <c r="AH164" i="6"/>
  <c r="AA165" i="6"/>
  <c r="AI165" i="6"/>
  <c r="AS165" i="6"/>
  <c r="AC167" i="6"/>
  <c r="AK167" i="6"/>
  <c r="AD168" i="6"/>
  <c r="AL168" i="6"/>
  <c r="V169" i="6"/>
  <c r="AE169" i="6"/>
  <c r="AM169" i="6"/>
  <c r="AF170" i="6"/>
  <c r="AN170" i="6"/>
  <c r="Y171" i="6"/>
  <c r="AG171" i="6"/>
  <c r="AO171" i="6"/>
  <c r="Z172" i="6"/>
  <c r="AH172" i="6"/>
  <c r="AA173" i="6"/>
  <c r="AI173" i="6"/>
  <c r="AS173" i="6"/>
  <c r="AC175" i="6"/>
  <c r="AK175" i="6"/>
  <c r="AD176" i="6"/>
  <c r="AL176" i="6"/>
  <c r="V177" i="6"/>
  <c r="AB177" i="6" s="1"/>
  <c r="AE177" i="6"/>
  <c r="AM177" i="6"/>
  <c r="X178" i="6"/>
  <c r="AF178" i="6"/>
  <c r="AN178" i="6"/>
  <c r="Y179" i="6"/>
  <c r="AG179" i="6"/>
  <c r="AO179" i="6"/>
  <c r="Z180" i="6"/>
  <c r="AH180" i="6"/>
  <c r="AA181" i="6"/>
  <c r="AI181" i="6"/>
  <c r="AS181" i="6"/>
  <c r="AC183" i="6"/>
  <c r="AK183" i="6"/>
  <c r="V185" i="6"/>
  <c r="AC185" i="6" s="1"/>
  <c r="AE185" i="6"/>
  <c r="AM185" i="6"/>
  <c r="AF186" i="6"/>
  <c r="AN186" i="6"/>
  <c r="Y187" i="6"/>
  <c r="AG187" i="6"/>
  <c r="AO187" i="6"/>
  <c r="Z188" i="6"/>
  <c r="AH188" i="6"/>
  <c r="AA189" i="6"/>
  <c r="AI189" i="6"/>
  <c r="AS189" i="6"/>
  <c r="AD192" i="6"/>
  <c r="AM193" i="6"/>
  <c r="Z196" i="6"/>
  <c r="AH196" i="6"/>
  <c r="AS197" i="6"/>
  <c r="AO200" i="6"/>
  <c r="AN200" i="6"/>
  <c r="AM200" i="6"/>
  <c r="AK200" i="6"/>
  <c r="AJ200" i="6"/>
  <c r="AS200" i="6"/>
  <c r="AD200" i="6"/>
  <c r="AL204" i="6"/>
  <c r="AK212" i="6"/>
  <c r="AC212" i="6"/>
  <c r="AJ212" i="6"/>
  <c r="AB212" i="6"/>
  <c r="AS212" i="6"/>
  <c r="AI212" i="6"/>
  <c r="AA212" i="6"/>
  <c r="AO212" i="6"/>
  <c r="AG212" i="6"/>
  <c r="Y212" i="6"/>
  <c r="AN212" i="6"/>
  <c r="AF212" i="6"/>
  <c r="X212" i="6"/>
  <c r="AM212" i="6"/>
  <c r="AE212" i="6"/>
  <c r="V212" i="6"/>
  <c r="AK220" i="6"/>
  <c r="AJ220" i="6"/>
  <c r="AB220" i="6"/>
  <c r="AS220" i="6"/>
  <c r="AI220" i="6"/>
  <c r="AA220" i="6"/>
  <c r="AH220" i="6"/>
  <c r="AO220" i="6"/>
  <c r="AG220" i="6"/>
  <c r="Y220" i="6"/>
  <c r="AN220" i="6"/>
  <c r="AF220" i="6"/>
  <c r="AM220" i="6"/>
  <c r="AE220" i="6"/>
  <c r="V220" i="6"/>
  <c r="Z220" i="6" s="1"/>
  <c r="AD143" i="6"/>
  <c r="V144" i="6"/>
  <c r="Z144" i="6" s="1"/>
  <c r="AE144" i="6"/>
  <c r="X145" i="6"/>
  <c r="AF145" i="6"/>
  <c r="Y146" i="6"/>
  <c r="AG146" i="6"/>
  <c r="Z147" i="6"/>
  <c r="AB149" i="6"/>
  <c r="AD151" i="6"/>
  <c r="V152" i="6"/>
  <c r="Z152" i="6" s="1"/>
  <c r="X153" i="6"/>
  <c r="AF153" i="6"/>
  <c r="Y154" i="6"/>
  <c r="AG154" i="6"/>
  <c r="Z155" i="6"/>
  <c r="AA156" i="6"/>
  <c r="AI156" i="6"/>
  <c r="AB157" i="6"/>
  <c r="AD159" i="6"/>
  <c r="V160" i="6"/>
  <c r="X160" i="6" s="1"/>
  <c r="AE160" i="6"/>
  <c r="X161" i="6"/>
  <c r="AF161" i="6"/>
  <c r="Y162" i="6"/>
  <c r="AG162" i="6"/>
  <c r="Z163" i="6"/>
  <c r="AA164" i="6"/>
  <c r="AI164" i="6"/>
  <c r="AB165" i="6"/>
  <c r="AD167" i="6"/>
  <c r="V168" i="6"/>
  <c r="AH168" i="6" s="1"/>
  <c r="AE168" i="6"/>
  <c r="X169" i="6"/>
  <c r="AF169" i="6"/>
  <c r="Y170" i="6"/>
  <c r="AG170" i="6"/>
  <c r="Z171" i="6"/>
  <c r="AA172" i="6"/>
  <c r="AI172" i="6"/>
  <c r="AB173" i="6"/>
  <c r="AD175" i="6"/>
  <c r="V176" i="6"/>
  <c r="X176" i="6" s="1"/>
  <c r="AE176" i="6"/>
  <c r="X177" i="6"/>
  <c r="AF177" i="6"/>
  <c r="Y178" i="6"/>
  <c r="AG178" i="6"/>
  <c r="Z179" i="6"/>
  <c r="AA180" i="6"/>
  <c r="AI180" i="6"/>
  <c r="AB181" i="6"/>
  <c r="AD183" i="6"/>
  <c r="V184" i="6"/>
  <c r="X184" i="6" s="1"/>
  <c r="AE184" i="6"/>
  <c r="AF185" i="6"/>
  <c r="Y186" i="6"/>
  <c r="AG186" i="6"/>
  <c r="Z187" i="6"/>
  <c r="AA188" i="6"/>
  <c r="AB189" i="6"/>
  <c r="AD191" i="6"/>
  <c r="V192" i="6"/>
  <c r="Z192" i="6" s="1"/>
  <c r="AE192" i="6"/>
  <c r="X193" i="6"/>
  <c r="AF193" i="6"/>
  <c r="Y194" i="6"/>
  <c r="AG194" i="6"/>
  <c r="Z195" i="6"/>
  <c r="AA196" i="6"/>
  <c r="AI196" i="6"/>
  <c r="AB197" i="6"/>
  <c r="AD199" i="6"/>
  <c r="V200" i="6"/>
  <c r="AE200" i="6"/>
  <c r="AH208" i="6"/>
  <c r="Z212" i="6"/>
  <c r="AD220" i="6"/>
  <c r="AK252" i="6"/>
  <c r="AC252" i="6"/>
  <c r="AJ252" i="6"/>
  <c r="AS252" i="6"/>
  <c r="AI252" i="6"/>
  <c r="AH252" i="6"/>
  <c r="AO252" i="6"/>
  <c r="AG252" i="6"/>
  <c r="Y252" i="6"/>
  <c r="AN252" i="6"/>
  <c r="AF252" i="6"/>
  <c r="X252" i="6"/>
  <c r="AM252" i="6"/>
  <c r="AE252" i="6"/>
  <c r="V252" i="6"/>
  <c r="AB252" i="6" s="1"/>
  <c r="AB201" i="6"/>
  <c r="AJ201" i="6"/>
  <c r="AC202" i="6"/>
  <c r="AK202" i="6"/>
  <c r="AD203" i="6"/>
  <c r="AL203" i="6"/>
  <c r="X205" i="6"/>
  <c r="AF205" i="6"/>
  <c r="AN205" i="6"/>
  <c r="AG206" i="6"/>
  <c r="AO206" i="6"/>
  <c r="Z207" i="6"/>
  <c r="AH207" i="6"/>
  <c r="AB209" i="6"/>
  <c r="AJ209" i="6"/>
  <c r="AC210" i="6"/>
  <c r="AK210" i="6"/>
  <c r="AD211" i="6"/>
  <c r="AL211" i="6"/>
  <c r="X213" i="6"/>
  <c r="AF213" i="6"/>
  <c r="AN213" i="6"/>
  <c r="Y214" i="6"/>
  <c r="AG214" i="6"/>
  <c r="AO214" i="6"/>
  <c r="Z215" i="6"/>
  <c r="AH215" i="6"/>
  <c r="AS216" i="6"/>
  <c r="AB217" i="6"/>
  <c r="AJ217" i="6"/>
  <c r="AC218" i="6"/>
  <c r="AK218" i="6"/>
  <c r="AD219" i="6"/>
  <c r="AL219" i="6"/>
  <c r="X221" i="6"/>
  <c r="AF221" i="6"/>
  <c r="AN221" i="6"/>
  <c r="AG222" i="6"/>
  <c r="AO222" i="6"/>
  <c r="AH223" i="6"/>
  <c r="AA224" i="6"/>
  <c r="AI224" i="6"/>
  <c r="AS224" i="6"/>
  <c r="AB225" i="6"/>
  <c r="AJ225" i="6"/>
  <c r="AC226" i="6"/>
  <c r="AK226" i="6"/>
  <c r="AD227" i="6"/>
  <c r="AL227" i="6"/>
  <c r="X229" i="6"/>
  <c r="AF229" i="6"/>
  <c r="AN229" i="6"/>
  <c r="Y230" i="6"/>
  <c r="AG230" i="6"/>
  <c r="AO230" i="6"/>
  <c r="AH231" i="6"/>
  <c r="AA232" i="6"/>
  <c r="AI232" i="6"/>
  <c r="AS232" i="6"/>
  <c r="AB233" i="6"/>
  <c r="AJ233" i="6"/>
  <c r="AC234" i="6"/>
  <c r="AD235" i="6"/>
  <c r="AL235" i="6"/>
  <c r="X237" i="6"/>
  <c r="AF237" i="6"/>
  <c r="AN237" i="6"/>
  <c r="AG238" i="6"/>
  <c r="Z239" i="6"/>
  <c r="AH239" i="6"/>
  <c r="AA240" i="6"/>
  <c r="AI240" i="6"/>
  <c r="AS240" i="6"/>
  <c r="AB241" i="6"/>
  <c r="AJ241" i="6"/>
  <c r="AC242" i="6"/>
  <c r="AK242" i="6"/>
  <c r="X245" i="6"/>
  <c r="AF245" i="6"/>
  <c r="AN245" i="6"/>
  <c r="Y246" i="6"/>
  <c r="AG246" i="6"/>
  <c r="AO246" i="6"/>
  <c r="Z247" i="6"/>
  <c r="AH247" i="6"/>
  <c r="AI248" i="6"/>
  <c r="AS248" i="6"/>
  <c r="AB249" i="6"/>
  <c r="AJ249" i="6"/>
  <c r="AK250" i="6"/>
  <c r="AL251" i="6"/>
  <c r="X253" i="6"/>
  <c r="AF253" i="6"/>
  <c r="AN253" i="6"/>
  <c r="Y254" i="6"/>
  <c r="AG254" i="6"/>
  <c r="AO254" i="6"/>
  <c r="Z255" i="6"/>
  <c r="AH255" i="6"/>
  <c r="AA256" i="6"/>
  <c r="AS256" i="6"/>
  <c r="AB257" i="6"/>
  <c r="AJ257" i="6"/>
  <c r="AC258" i="6"/>
  <c r="AK258" i="6"/>
  <c r="AN259" i="6"/>
  <c r="AL259" i="6"/>
  <c r="AJ259" i="6"/>
  <c r="AS259" i="6"/>
  <c r="AD259" i="6"/>
  <c r="AO259" i="6"/>
  <c r="AJ263" i="6"/>
  <c r="AB263" i="6"/>
  <c r="AS263" i="6"/>
  <c r="AI263" i="6"/>
  <c r="AA263" i="6"/>
  <c r="AH263" i="6"/>
  <c r="Z263" i="6"/>
  <c r="AO263" i="6"/>
  <c r="AG263" i="6"/>
  <c r="Y263" i="6"/>
  <c r="AN263" i="6"/>
  <c r="AF263" i="6"/>
  <c r="X263" i="6"/>
  <c r="AM263" i="6"/>
  <c r="AE263" i="6"/>
  <c r="V263" i="6"/>
  <c r="AE264" i="6"/>
  <c r="AC201" i="6"/>
  <c r="AK201" i="6"/>
  <c r="AD202" i="6"/>
  <c r="AL202" i="6"/>
  <c r="V203" i="6"/>
  <c r="AE203" i="6"/>
  <c r="AM203" i="6"/>
  <c r="Y205" i="6"/>
  <c r="AG205" i="6"/>
  <c r="AO205" i="6"/>
  <c r="Z206" i="6"/>
  <c r="AH206" i="6"/>
  <c r="AA207" i="6"/>
  <c r="AI207" i="6"/>
  <c r="AS207" i="6"/>
  <c r="AC209" i="6"/>
  <c r="AK209" i="6"/>
  <c r="AD210" i="6"/>
  <c r="AL210" i="6"/>
  <c r="V211" i="6"/>
  <c r="AE211" i="6"/>
  <c r="AM211" i="6"/>
  <c r="Y213" i="6"/>
  <c r="AG213" i="6"/>
  <c r="AO213" i="6"/>
  <c r="AH214" i="6"/>
  <c r="AA215" i="6"/>
  <c r="AI215" i="6"/>
  <c r="AS215" i="6"/>
  <c r="AJ216" i="6"/>
  <c r="AC217" i="6"/>
  <c r="AK217" i="6"/>
  <c r="AD218" i="6"/>
  <c r="AL218" i="6"/>
  <c r="V219" i="6"/>
  <c r="AC219" i="6" s="1"/>
  <c r="AE219" i="6"/>
  <c r="AM219" i="6"/>
  <c r="Y221" i="6"/>
  <c r="AG221" i="6"/>
  <c r="AO221" i="6"/>
  <c r="Z222" i="6"/>
  <c r="AH222" i="6"/>
  <c r="AA223" i="6"/>
  <c r="AI223" i="6"/>
  <c r="AS223" i="6"/>
  <c r="AJ224" i="6"/>
  <c r="AC225" i="6"/>
  <c r="AK225" i="6"/>
  <c r="AD226" i="6"/>
  <c r="AL226" i="6"/>
  <c r="V227" i="6"/>
  <c r="AM227" i="6" s="1"/>
  <c r="AE227" i="6"/>
  <c r="Y229" i="6"/>
  <c r="AG229" i="6"/>
  <c r="AO229" i="6"/>
  <c r="Z230" i="6"/>
  <c r="AH230" i="6"/>
  <c r="AA231" i="6"/>
  <c r="AI231" i="6"/>
  <c r="AS231" i="6"/>
  <c r="AB232" i="6"/>
  <c r="AJ232" i="6"/>
  <c r="AC233" i="6"/>
  <c r="AK233" i="6"/>
  <c r="AD234" i="6"/>
  <c r="AL234" i="6"/>
  <c r="V235" i="6"/>
  <c r="AO235" i="6" s="1"/>
  <c r="AE235" i="6"/>
  <c r="AM235" i="6"/>
  <c r="Y237" i="6"/>
  <c r="AG237" i="6"/>
  <c r="AO237" i="6"/>
  <c r="Z238" i="6"/>
  <c r="AH238" i="6"/>
  <c r="AA239" i="6"/>
  <c r="AI239" i="6"/>
  <c r="AS239" i="6"/>
  <c r="AB240" i="6"/>
  <c r="AJ240" i="6"/>
  <c r="AC241" i="6"/>
  <c r="AK241" i="6"/>
  <c r="AD242" i="6"/>
  <c r="AL242" i="6"/>
  <c r="V243" i="6"/>
  <c r="AE243" i="6" s="1"/>
  <c r="Y245" i="6"/>
  <c r="AG245" i="6"/>
  <c r="AO245" i="6"/>
  <c r="Z246" i="6"/>
  <c r="AI247" i="6"/>
  <c r="AS247" i="6"/>
  <c r="AB248" i="6"/>
  <c r="AJ248" i="6"/>
  <c r="AC249" i="6"/>
  <c r="AK249" i="6"/>
  <c r="V251" i="6"/>
  <c r="AO251" i="6" s="1"/>
  <c r="AE251" i="6"/>
  <c r="Y253" i="6"/>
  <c r="AG253" i="6"/>
  <c r="AO253" i="6"/>
  <c r="Z254" i="6"/>
  <c r="AA255" i="6"/>
  <c r="AS255" i="6"/>
  <c r="AJ256" i="6"/>
  <c r="AD258" i="6"/>
  <c r="AL258" i="6"/>
  <c r="AL264" i="6"/>
  <c r="AK272" i="6"/>
  <c r="AC272" i="6"/>
  <c r="AJ272" i="6"/>
  <c r="AB272" i="6"/>
  <c r="AS272" i="6"/>
  <c r="AI272" i="6"/>
  <c r="AH272" i="6"/>
  <c r="AG272" i="6"/>
  <c r="Y272" i="6"/>
  <c r="AN272" i="6"/>
  <c r="AF272" i="6"/>
  <c r="X272" i="6"/>
  <c r="AM272" i="6"/>
  <c r="AE272" i="6"/>
  <c r="V272" i="6"/>
  <c r="AA272" i="6" s="1"/>
  <c r="AD201" i="6"/>
  <c r="AL201" i="6"/>
  <c r="V202" i="6"/>
  <c r="AE202" i="6"/>
  <c r="AM202" i="6"/>
  <c r="X203" i="6"/>
  <c r="AF203" i="6"/>
  <c r="AN203" i="6"/>
  <c r="Z205" i="6"/>
  <c r="AH205" i="6"/>
  <c r="AA206" i="6"/>
  <c r="AI206" i="6"/>
  <c r="AS206" i="6"/>
  <c r="AB207" i="6"/>
  <c r="AJ207" i="6"/>
  <c r="AD209" i="6"/>
  <c r="AL209" i="6"/>
  <c r="V210" i="6"/>
  <c r="AE210" i="6"/>
  <c r="AM210" i="6"/>
  <c r="X211" i="6"/>
  <c r="AF211" i="6"/>
  <c r="AN211" i="6"/>
  <c r="Z213" i="6"/>
  <c r="AH213" i="6"/>
  <c r="AA214" i="6"/>
  <c r="AS214" i="6"/>
  <c r="AJ215" i="6"/>
  <c r="AC216" i="6"/>
  <c r="AK216" i="6"/>
  <c r="AD217" i="6"/>
  <c r="AL217" i="6"/>
  <c r="V218" i="6"/>
  <c r="AN218" i="6" s="1"/>
  <c r="AE218" i="6"/>
  <c r="AM218" i="6"/>
  <c r="X219" i="6"/>
  <c r="AF219" i="6"/>
  <c r="AN219" i="6"/>
  <c r="Z221" i="6"/>
  <c r="AH221" i="6"/>
  <c r="AI222" i="6"/>
  <c r="AS222" i="6"/>
  <c r="AB223" i="6"/>
  <c r="AJ223" i="6"/>
  <c r="AC224" i="6"/>
  <c r="AK224" i="6"/>
  <c r="AD225" i="6"/>
  <c r="AL225" i="6"/>
  <c r="V226" i="6"/>
  <c r="AF226" i="6" s="1"/>
  <c r="AE226" i="6"/>
  <c r="AM226" i="6"/>
  <c r="X227" i="6"/>
  <c r="AF227" i="6"/>
  <c r="AN227" i="6"/>
  <c r="Z229" i="6"/>
  <c r="AH229" i="6"/>
  <c r="AI230" i="6"/>
  <c r="AS230" i="6"/>
  <c r="AB231" i="6"/>
  <c r="AJ231" i="6"/>
  <c r="AC232" i="6"/>
  <c r="AK232" i="6"/>
  <c r="AD233" i="6"/>
  <c r="AL233" i="6"/>
  <c r="V234" i="6"/>
  <c r="AK234" i="6" s="1"/>
  <c r="AE234" i="6"/>
  <c r="AM234" i="6"/>
  <c r="X235" i="6"/>
  <c r="AF235" i="6"/>
  <c r="AN235" i="6"/>
  <c r="Z237" i="6"/>
  <c r="AH237" i="6"/>
  <c r="AA238" i="6"/>
  <c r="AI238" i="6"/>
  <c r="AS238" i="6"/>
  <c r="AJ239" i="6"/>
  <c r="AC240" i="6"/>
  <c r="AK240" i="6"/>
  <c r="AD241" i="6"/>
  <c r="AL241" i="6"/>
  <c r="V242" i="6"/>
  <c r="AN242" i="6" s="1"/>
  <c r="AE242" i="6"/>
  <c r="AM242" i="6"/>
  <c r="X243" i="6"/>
  <c r="AF243" i="6"/>
  <c r="AN243" i="6"/>
  <c r="Z245" i="6"/>
  <c r="AH245" i="6"/>
  <c r="AA246" i="6"/>
  <c r="AI246" i="6"/>
  <c r="AS246" i="6"/>
  <c r="AB247" i="6"/>
  <c r="AC248" i="6"/>
  <c r="AK248" i="6"/>
  <c r="AD249" i="6"/>
  <c r="AL249" i="6"/>
  <c r="V250" i="6"/>
  <c r="AE250" i="6"/>
  <c r="AM250" i="6"/>
  <c r="X251" i="6"/>
  <c r="AF251" i="6"/>
  <c r="AN251" i="6"/>
  <c r="Z253" i="6"/>
  <c r="AH253" i="6"/>
  <c r="AI254" i="6"/>
  <c r="AS254" i="6"/>
  <c r="AB255" i="6"/>
  <c r="AJ255" i="6"/>
  <c r="AC256" i="6"/>
  <c r="AK256" i="6"/>
  <c r="AD257" i="6"/>
  <c r="AL257" i="6"/>
  <c r="V258" i="6"/>
  <c r="AE258" i="6"/>
  <c r="AM258" i="6"/>
  <c r="AD272" i="6"/>
  <c r="AL281" i="6"/>
  <c r="AL289" i="6"/>
  <c r="AD216" i="6"/>
  <c r="AL216" i="6"/>
  <c r="AL224" i="6"/>
  <c r="AD232" i="6"/>
  <c r="AL232" i="6"/>
  <c r="AD240" i="6"/>
  <c r="AL240" i="6"/>
  <c r="AL248" i="6"/>
  <c r="AD256" i="6"/>
  <c r="AL256" i="6"/>
  <c r="X201" i="6"/>
  <c r="AF201" i="6"/>
  <c r="AN201" i="6"/>
  <c r="Y202" i="6"/>
  <c r="AG202" i="6"/>
  <c r="AO202" i="6"/>
  <c r="Z203" i="6"/>
  <c r="AH203" i="6"/>
  <c r="AB205" i="6"/>
  <c r="AJ205" i="6"/>
  <c r="AC206" i="6"/>
  <c r="AK206" i="6"/>
  <c r="AD207" i="6"/>
  <c r="AL207" i="6"/>
  <c r="X209" i="6"/>
  <c r="AF209" i="6"/>
  <c r="AN209" i="6"/>
  <c r="Y210" i="6"/>
  <c r="AG210" i="6"/>
  <c r="AO210" i="6"/>
  <c r="Z211" i="6"/>
  <c r="AH211" i="6"/>
  <c r="AB213" i="6"/>
  <c r="AJ213" i="6"/>
  <c r="AC214" i="6"/>
  <c r="AK214" i="6"/>
  <c r="AD215" i="6"/>
  <c r="AL215" i="6"/>
  <c r="V216" i="6"/>
  <c r="Z216" i="6" s="1"/>
  <c r="AE216" i="6"/>
  <c r="AM216" i="6"/>
  <c r="X217" i="6"/>
  <c r="AF217" i="6"/>
  <c r="AN217" i="6"/>
  <c r="Y218" i="6"/>
  <c r="AG218" i="6"/>
  <c r="AO218" i="6"/>
  <c r="Z219" i="6"/>
  <c r="AH219" i="6"/>
  <c r="AB221" i="6"/>
  <c r="AJ221" i="6"/>
  <c r="AC222" i="6"/>
  <c r="AK222" i="6"/>
  <c r="AL223" i="6"/>
  <c r="V224" i="6"/>
  <c r="AB224" i="6" s="1"/>
  <c r="AE224" i="6"/>
  <c r="AM224" i="6"/>
  <c r="X225" i="6"/>
  <c r="AF225" i="6"/>
  <c r="AN225" i="6"/>
  <c r="Y226" i="6"/>
  <c r="AG226" i="6"/>
  <c r="AO226" i="6"/>
  <c r="Z227" i="6"/>
  <c r="AH227" i="6"/>
  <c r="AB229" i="6"/>
  <c r="AJ229" i="6"/>
  <c r="AC230" i="6"/>
  <c r="AD231" i="6"/>
  <c r="AL231" i="6"/>
  <c r="V232" i="6"/>
  <c r="Z232" i="6" s="1"/>
  <c r="AE232" i="6"/>
  <c r="AM232" i="6"/>
  <c r="X233" i="6"/>
  <c r="AF233" i="6"/>
  <c r="AN233" i="6"/>
  <c r="Y234" i="6"/>
  <c r="AG234" i="6"/>
  <c r="AO234" i="6"/>
  <c r="Z235" i="6"/>
  <c r="AH235" i="6"/>
  <c r="AB237" i="6"/>
  <c r="AJ237" i="6"/>
  <c r="AC238" i="6"/>
  <c r="AK238" i="6"/>
  <c r="AD239" i="6"/>
  <c r="AL239" i="6"/>
  <c r="V240" i="6"/>
  <c r="AE240" i="6"/>
  <c r="AM240" i="6"/>
  <c r="X241" i="6"/>
  <c r="AF241" i="6"/>
  <c r="AN241" i="6"/>
  <c r="Y242" i="6"/>
  <c r="AG242" i="6"/>
  <c r="AO242" i="6"/>
  <c r="Z243" i="6"/>
  <c r="AH243" i="6"/>
  <c r="AB245" i="6"/>
  <c r="AJ245" i="6"/>
  <c r="AK246" i="6"/>
  <c r="AL247" i="6"/>
  <c r="V248" i="6"/>
  <c r="AA248" i="6" s="1"/>
  <c r="AE248" i="6"/>
  <c r="X249" i="6"/>
  <c r="AF249" i="6"/>
  <c r="AN249" i="6"/>
  <c r="Y250" i="6"/>
  <c r="AG250" i="6"/>
  <c r="AO250" i="6"/>
  <c r="Z251" i="6"/>
  <c r="AH251" i="6"/>
  <c r="AB253" i="6"/>
  <c r="AJ253" i="6"/>
  <c r="AC254" i="6"/>
  <c r="AK254" i="6"/>
  <c r="AD255" i="6"/>
  <c r="AL255" i="6"/>
  <c r="V256" i="6"/>
  <c r="AH256" i="6" s="1"/>
  <c r="AE256" i="6"/>
  <c r="AM256" i="6"/>
  <c r="X257" i="6"/>
  <c r="AF257" i="6"/>
  <c r="AN257" i="6"/>
  <c r="Y258" i="6"/>
  <c r="AG258" i="6"/>
  <c r="AO258" i="6"/>
  <c r="AH259" i="6"/>
  <c r="AL263" i="6"/>
  <c r="Y201" i="6"/>
  <c r="AG201" i="6"/>
  <c r="AO201" i="6"/>
  <c r="Z202" i="6"/>
  <c r="AH202" i="6"/>
  <c r="AA203" i="6"/>
  <c r="AI203" i="6"/>
  <c r="AS203" i="6"/>
  <c r="AC205" i="6"/>
  <c r="AK205" i="6"/>
  <c r="AL206" i="6"/>
  <c r="V207" i="6"/>
  <c r="AE207" i="6"/>
  <c r="AM207" i="6"/>
  <c r="Y209" i="6"/>
  <c r="AG209" i="6"/>
  <c r="AO209" i="6"/>
  <c r="Z210" i="6"/>
  <c r="AH210" i="6"/>
  <c r="AA211" i="6"/>
  <c r="AI211" i="6"/>
  <c r="AS211" i="6"/>
  <c r="AC213" i="6"/>
  <c r="AK213" i="6"/>
  <c r="AD214" i="6"/>
  <c r="V215" i="6"/>
  <c r="AG215" i="6" s="1"/>
  <c r="AE215" i="6"/>
  <c r="AM215" i="6"/>
  <c r="X216" i="6"/>
  <c r="AF216" i="6"/>
  <c r="AN216" i="6"/>
  <c r="Y217" i="6"/>
  <c r="AG217" i="6"/>
  <c r="AO217" i="6"/>
  <c r="Z218" i="6"/>
  <c r="AH218" i="6"/>
  <c r="AA219" i="6"/>
  <c r="AI219" i="6"/>
  <c r="AS219" i="6"/>
  <c r="AC221" i="6"/>
  <c r="AK221" i="6"/>
  <c r="AD222" i="6"/>
  <c r="AL222" i="6"/>
  <c r="V223" i="6"/>
  <c r="AK223" i="6" s="1"/>
  <c r="AE223" i="6"/>
  <c r="AM223" i="6"/>
  <c r="X224" i="6"/>
  <c r="AF224" i="6"/>
  <c r="Y225" i="6"/>
  <c r="AG225" i="6"/>
  <c r="AO225" i="6"/>
  <c r="Z226" i="6"/>
  <c r="AH226" i="6"/>
  <c r="AA227" i="6"/>
  <c r="AI227" i="6"/>
  <c r="AS227" i="6"/>
  <c r="AC229" i="6"/>
  <c r="AK229" i="6"/>
  <c r="AD230" i="6"/>
  <c r="AL230" i="6"/>
  <c r="V231" i="6"/>
  <c r="AK231" i="6" s="1"/>
  <c r="AM231" i="6"/>
  <c r="X232" i="6"/>
  <c r="AN232" i="6"/>
  <c r="Y233" i="6"/>
  <c r="AG233" i="6"/>
  <c r="AO233" i="6"/>
  <c r="Z234" i="6"/>
  <c r="AH234" i="6"/>
  <c r="AA235" i="6"/>
  <c r="AI235" i="6"/>
  <c r="AS235" i="6"/>
  <c r="AC237" i="6"/>
  <c r="AK237" i="6"/>
  <c r="AD238" i="6"/>
  <c r="AL238" i="6"/>
  <c r="V239" i="6"/>
  <c r="Y239" i="6" s="1"/>
  <c r="AE239" i="6"/>
  <c r="AM239" i="6"/>
  <c r="X240" i="6"/>
  <c r="AF240" i="6"/>
  <c r="AN240" i="6"/>
  <c r="Y241" i="6"/>
  <c r="AG241" i="6"/>
  <c r="AO241" i="6"/>
  <c r="Z242" i="6"/>
  <c r="AH242" i="6"/>
  <c r="AA243" i="6"/>
  <c r="AI243" i="6"/>
  <c r="AS243" i="6"/>
  <c r="AC245" i="6"/>
  <c r="AK245" i="6"/>
  <c r="AD246" i="6"/>
  <c r="AL246" i="6"/>
  <c r="V247" i="6"/>
  <c r="AJ247" i="6" s="1"/>
  <c r="AE247" i="6"/>
  <c r="AM247" i="6"/>
  <c r="X248" i="6"/>
  <c r="AF248" i="6"/>
  <c r="AN248" i="6"/>
  <c r="Y249" i="6"/>
  <c r="AG249" i="6"/>
  <c r="AO249" i="6"/>
  <c r="Z250" i="6"/>
  <c r="AH250" i="6"/>
  <c r="AA251" i="6"/>
  <c r="AI251" i="6"/>
  <c r="AS251" i="6"/>
  <c r="AC253" i="6"/>
  <c r="AK253" i="6"/>
  <c r="AL254" i="6"/>
  <c r="X256" i="6"/>
  <c r="AF256" i="6"/>
  <c r="AN256" i="6"/>
  <c r="AK264" i="6"/>
  <c r="AC264" i="6"/>
  <c r="AJ264" i="6"/>
  <c r="AB264" i="6"/>
  <c r="AS264" i="6"/>
  <c r="AI264" i="6"/>
  <c r="AA264" i="6"/>
  <c r="AH264" i="6"/>
  <c r="AG264" i="6"/>
  <c r="AN264" i="6"/>
  <c r="AF264" i="6"/>
  <c r="X264" i="6"/>
  <c r="Z201" i="6"/>
  <c r="AA202" i="6"/>
  <c r="AI202" i="6"/>
  <c r="AB203" i="6"/>
  <c r="AD205" i="6"/>
  <c r="V206" i="6"/>
  <c r="X206" i="6" s="1"/>
  <c r="AE206" i="6"/>
  <c r="X207" i="6"/>
  <c r="AF207" i="6"/>
  <c r="Z209" i="6"/>
  <c r="AA210" i="6"/>
  <c r="AI210" i="6"/>
  <c r="AB211" i="6"/>
  <c r="AD213" i="6"/>
  <c r="V214" i="6"/>
  <c r="AI214" i="6" s="1"/>
  <c r="AE214" i="6"/>
  <c r="X215" i="6"/>
  <c r="AF215" i="6"/>
  <c r="Y216" i="6"/>
  <c r="AG216" i="6"/>
  <c r="Z217" i="6"/>
  <c r="AA218" i="6"/>
  <c r="AI218" i="6"/>
  <c r="AB219" i="6"/>
  <c r="AD221" i="6"/>
  <c r="V222" i="6"/>
  <c r="X222" i="6" s="1"/>
  <c r="AE222" i="6"/>
  <c r="X223" i="6"/>
  <c r="AF223" i="6"/>
  <c r="Y224" i="6"/>
  <c r="AG224" i="6"/>
  <c r="Z225" i="6"/>
  <c r="AA226" i="6"/>
  <c r="AI226" i="6"/>
  <c r="AB227" i="6"/>
  <c r="AD229" i="6"/>
  <c r="V230" i="6"/>
  <c r="AB230" i="6" s="1"/>
  <c r="AE230" i="6"/>
  <c r="X231" i="6"/>
  <c r="AF231" i="6"/>
  <c r="Y232" i="6"/>
  <c r="AG232" i="6"/>
  <c r="Z233" i="6"/>
  <c r="AA234" i="6"/>
  <c r="AI234" i="6"/>
  <c r="AB235" i="6"/>
  <c r="AD237" i="6"/>
  <c r="V238" i="6"/>
  <c r="AF238" i="6" s="1"/>
  <c r="AE238" i="6"/>
  <c r="X239" i="6"/>
  <c r="AF239" i="6"/>
  <c r="Y240" i="6"/>
  <c r="AG240" i="6"/>
  <c r="Z241" i="6"/>
  <c r="AA242" i="6"/>
  <c r="AI242" i="6"/>
  <c r="AB243" i="6"/>
  <c r="AD245" i="6"/>
  <c r="V246" i="6"/>
  <c r="AH246" i="6" s="1"/>
  <c r="AE246" i="6"/>
  <c r="X247" i="6"/>
  <c r="AF247" i="6"/>
  <c r="Y248" i="6"/>
  <c r="AG248" i="6"/>
  <c r="Z249" i="6"/>
  <c r="AA250" i="6"/>
  <c r="AI250" i="6"/>
  <c r="AB251" i="6"/>
  <c r="AD253" i="6"/>
  <c r="V254" i="6"/>
  <c r="AM254" i="6" s="1"/>
  <c r="AE254" i="6"/>
  <c r="X255" i="6"/>
  <c r="AR255" i="6" s="1"/>
  <c r="AT255" i="6" s="1"/>
  <c r="AF255" i="6"/>
  <c r="Y256" i="6"/>
  <c r="AG256" i="6"/>
  <c r="Z257" i="6"/>
  <c r="AA258" i="6"/>
  <c r="AI258" i="6"/>
  <c r="AB259" i="6"/>
  <c r="AK259" i="6"/>
  <c r="V264" i="6"/>
  <c r="Z264" i="6" s="1"/>
  <c r="AO319" i="6"/>
  <c r="AG319" i="6"/>
  <c r="Y319" i="6"/>
  <c r="AS322" i="6"/>
  <c r="AI322" i="6"/>
  <c r="AA322" i="6"/>
  <c r="AH322" i="6"/>
  <c r="Z322" i="6"/>
  <c r="AG322" i="6"/>
  <c r="AN322" i="6"/>
  <c r="AF322" i="6"/>
  <c r="X322" i="6"/>
  <c r="AK322" i="6"/>
  <c r="AC322" i="6"/>
  <c r="AM322" i="6"/>
  <c r="AL322" i="6"/>
  <c r="AJ322" i="6"/>
  <c r="AE322" i="6"/>
  <c r="AD322" i="6"/>
  <c r="AB322" i="6"/>
  <c r="V322" i="6"/>
  <c r="Y322" i="6" s="1"/>
  <c r="AD271" i="6"/>
  <c r="AL271" i="6"/>
  <c r="AD279" i="6"/>
  <c r="AL279" i="6"/>
  <c r="AD287" i="6"/>
  <c r="AL287" i="6"/>
  <c r="AS292" i="6"/>
  <c r="AI292" i="6"/>
  <c r="AA292" i="6"/>
  <c r="AO292" i="6"/>
  <c r="AG292" i="6"/>
  <c r="Y292" i="6"/>
  <c r="AM292" i="6"/>
  <c r="AE292" i="6"/>
  <c r="V292" i="6"/>
  <c r="AK292" i="6"/>
  <c r="AC292" i="6"/>
  <c r="AL292" i="6"/>
  <c r="AK294" i="6"/>
  <c r="AC294" i="6"/>
  <c r="AS294" i="6"/>
  <c r="AI294" i="6"/>
  <c r="AA294" i="6"/>
  <c r="AO294" i="6"/>
  <c r="AG294" i="6"/>
  <c r="Y294" i="6"/>
  <c r="AM294" i="6"/>
  <c r="AE294" i="6"/>
  <c r="V294" i="6"/>
  <c r="AL294" i="6"/>
  <c r="AO299" i="6"/>
  <c r="AG299" i="6"/>
  <c r="AB260" i="6"/>
  <c r="AK261" i="6"/>
  <c r="AD262" i="6"/>
  <c r="AL262" i="6"/>
  <c r="Y265" i="6"/>
  <c r="AG265" i="6"/>
  <c r="AO265" i="6"/>
  <c r="Z266" i="6"/>
  <c r="AH266" i="6"/>
  <c r="AA267" i="6"/>
  <c r="AI267" i="6"/>
  <c r="AS267" i="6"/>
  <c r="AB268" i="6"/>
  <c r="AJ268" i="6"/>
  <c r="AC269" i="6"/>
  <c r="AK269" i="6"/>
  <c r="AD270" i="6"/>
  <c r="AL270" i="6"/>
  <c r="V271" i="6"/>
  <c r="AE271" i="6"/>
  <c r="AM271" i="6"/>
  <c r="Y273" i="6"/>
  <c r="AG273" i="6"/>
  <c r="AO273" i="6"/>
  <c r="Z274" i="6"/>
  <c r="AH274" i="6"/>
  <c r="AI275" i="6"/>
  <c r="AS275" i="6"/>
  <c r="AB276" i="6"/>
  <c r="AJ276" i="6"/>
  <c r="AC277" i="6"/>
  <c r="AK277" i="6"/>
  <c r="AD278" i="6"/>
  <c r="AL278" i="6"/>
  <c r="V279" i="6"/>
  <c r="AE279" i="6"/>
  <c r="AM279" i="6"/>
  <c r="Y281" i="6"/>
  <c r="AG281" i="6"/>
  <c r="AO281" i="6"/>
  <c r="Z282" i="6"/>
  <c r="AH282" i="6"/>
  <c r="AC285" i="6"/>
  <c r="AK285" i="6"/>
  <c r="AD286" i="6"/>
  <c r="AL286" i="6"/>
  <c r="V287" i="6"/>
  <c r="AJ287" i="6" s="1"/>
  <c r="AE287" i="6"/>
  <c r="AM287" i="6"/>
  <c r="Y289" i="6"/>
  <c r="AG289" i="6"/>
  <c r="AO289" i="6"/>
  <c r="Z290" i="6"/>
  <c r="AH290" i="6"/>
  <c r="AE291" i="6"/>
  <c r="X292" i="6"/>
  <c r="AN292" i="6"/>
  <c r="AE293" i="6"/>
  <c r="X294" i="6"/>
  <c r="AN294" i="6"/>
  <c r="AO298" i="6"/>
  <c r="AG298" i="6"/>
  <c r="Y298" i="6"/>
  <c r="AN298" i="6"/>
  <c r="AF298" i="6"/>
  <c r="X298" i="6"/>
  <c r="AM298" i="6"/>
  <c r="AE298" i="6"/>
  <c r="V298" i="6"/>
  <c r="Z298" i="6" s="1"/>
  <c r="AK298" i="6"/>
  <c r="AC298" i="6"/>
  <c r="AJ298" i="6"/>
  <c r="AB298" i="6"/>
  <c r="AS298" i="6"/>
  <c r="AI298" i="6"/>
  <c r="AA298" i="6"/>
  <c r="AN311" i="6"/>
  <c r="X311" i="6"/>
  <c r="AC260" i="6"/>
  <c r="AK260" i="6"/>
  <c r="AD261" i="6"/>
  <c r="AE262" i="6"/>
  <c r="AM262" i="6"/>
  <c r="Z265" i="6"/>
  <c r="AH265" i="6"/>
  <c r="AD269" i="6"/>
  <c r="AL269" i="6"/>
  <c r="X271" i="6"/>
  <c r="AF271" i="6"/>
  <c r="AN271" i="6"/>
  <c r="Z273" i="6"/>
  <c r="AH273" i="6"/>
  <c r="AA274" i="6"/>
  <c r="AD277" i="6"/>
  <c r="AL277" i="6"/>
  <c r="X279" i="6"/>
  <c r="AF279" i="6"/>
  <c r="AN279" i="6"/>
  <c r="Z281" i="6"/>
  <c r="AH281" i="6"/>
  <c r="AD285" i="6"/>
  <c r="X287" i="6"/>
  <c r="AF287" i="6"/>
  <c r="AN287" i="6"/>
  <c r="Z292" i="6"/>
  <c r="Z294" i="6"/>
  <c r="AD260" i="6"/>
  <c r="AL260" i="6"/>
  <c r="V261" i="6"/>
  <c r="X261" i="6" s="1"/>
  <c r="AE261" i="6"/>
  <c r="AM261" i="6"/>
  <c r="X262" i="6"/>
  <c r="AF262" i="6"/>
  <c r="AN262" i="6"/>
  <c r="AA265" i="6"/>
  <c r="AI265" i="6"/>
  <c r="AS265" i="6"/>
  <c r="AB266" i="6"/>
  <c r="AJ266" i="6"/>
  <c r="AC267" i="6"/>
  <c r="AK267" i="6"/>
  <c r="AD268" i="6"/>
  <c r="AL268" i="6"/>
  <c r="V269" i="6"/>
  <c r="AE269" i="6"/>
  <c r="AM269" i="6"/>
  <c r="X270" i="6"/>
  <c r="AF270" i="6"/>
  <c r="AN270" i="6"/>
  <c r="Y271" i="6"/>
  <c r="AG271" i="6"/>
  <c r="AO271" i="6"/>
  <c r="AA273" i="6"/>
  <c r="AI273" i="6"/>
  <c r="AS273" i="6"/>
  <c r="AB274" i="6"/>
  <c r="AJ274" i="6"/>
  <c r="AC275" i="6"/>
  <c r="AK275" i="6"/>
  <c r="AD276" i="6"/>
  <c r="AL276" i="6"/>
  <c r="V277" i="6"/>
  <c r="AE277" i="6"/>
  <c r="AM277" i="6"/>
  <c r="X278" i="6"/>
  <c r="AF278" i="6"/>
  <c r="AN278" i="6"/>
  <c r="Y279" i="6"/>
  <c r="AG279" i="6"/>
  <c r="AO279" i="6"/>
  <c r="AA281" i="6"/>
  <c r="AI281" i="6"/>
  <c r="AS281" i="6"/>
  <c r="AB282" i="6"/>
  <c r="AJ282" i="6"/>
  <c r="AC283" i="6"/>
  <c r="AK283" i="6"/>
  <c r="AD284" i="6"/>
  <c r="AL284" i="6"/>
  <c r="V285" i="6"/>
  <c r="AE285" i="6" s="1"/>
  <c r="AM285" i="6"/>
  <c r="X286" i="6"/>
  <c r="AF286" i="6"/>
  <c r="AN286" i="6"/>
  <c r="Y287" i="6"/>
  <c r="AG287" i="6"/>
  <c r="AO287" i="6"/>
  <c r="AA289" i="6"/>
  <c r="AI289" i="6"/>
  <c r="AS289" i="6"/>
  <c r="AB290" i="6"/>
  <c r="AJ290" i="6"/>
  <c r="AB292" i="6"/>
  <c r="AB294" i="6"/>
  <c r="AD298" i="6"/>
  <c r="AK318" i="6"/>
  <c r="AC318" i="6"/>
  <c r="AJ318" i="6"/>
  <c r="AB318" i="6"/>
  <c r="AS318" i="6"/>
  <c r="AI318" i="6"/>
  <c r="AH318" i="6"/>
  <c r="Z318" i="6"/>
  <c r="AO318" i="6"/>
  <c r="AG318" i="6"/>
  <c r="AN318" i="6"/>
  <c r="AF318" i="6"/>
  <c r="AM318" i="6"/>
  <c r="AE318" i="6"/>
  <c r="V318" i="6"/>
  <c r="AA318" i="6" s="1"/>
  <c r="V260" i="6"/>
  <c r="AE260" i="6"/>
  <c r="AM260" i="6"/>
  <c r="AF261" i="6"/>
  <c r="AN261" i="6"/>
  <c r="Y262" i="6"/>
  <c r="AG262" i="6"/>
  <c r="AO262" i="6"/>
  <c r="AB265" i="6"/>
  <c r="AJ265" i="6"/>
  <c r="AC266" i="6"/>
  <c r="AK266" i="6"/>
  <c r="AD267" i="6"/>
  <c r="AL267" i="6"/>
  <c r="V268" i="6"/>
  <c r="AE268" i="6"/>
  <c r="AM268" i="6"/>
  <c r="X269" i="6"/>
  <c r="AF269" i="6"/>
  <c r="AN269" i="6"/>
  <c r="Y270" i="6"/>
  <c r="AG270" i="6"/>
  <c r="AO270" i="6"/>
  <c r="Z271" i="6"/>
  <c r="AH271" i="6"/>
  <c r="AB273" i="6"/>
  <c r="AJ273" i="6"/>
  <c r="AC274" i="6"/>
  <c r="AK274" i="6"/>
  <c r="AD275" i="6"/>
  <c r="AL275" i="6"/>
  <c r="V276" i="6"/>
  <c r="AM276" i="6"/>
  <c r="X277" i="6"/>
  <c r="AF277" i="6"/>
  <c r="AN277" i="6"/>
  <c r="Y278" i="6"/>
  <c r="AG278" i="6"/>
  <c r="AO278" i="6"/>
  <c r="Z279" i="6"/>
  <c r="AH279" i="6"/>
  <c r="AB281" i="6"/>
  <c r="AJ281" i="6"/>
  <c r="AC282" i="6"/>
  <c r="AK282" i="6"/>
  <c r="AD283" i="6"/>
  <c r="V284" i="6"/>
  <c r="AE284" i="6"/>
  <c r="X285" i="6"/>
  <c r="AF285" i="6"/>
  <c r="AN285" i="6"/>
  <c r="Y286" i="6"/>
  <c r="AG286" i="6"/>
  <c r="AO286" i="6"/>
  <c r="Z287" i="6"/>
  <c r="AH287" i="6"/>
  <c r="AB289" i="6"/>
  <c r="AJ289" i="6"/>
  <c r="AC290" i="6"/>
  <c r="AK290" i="6"/>
  <c r="AD292" i="6"/>
  <c r="AD294" i="6"/>
  <c r="AL295" i="6"/>
  <c r="AH298" i="6"/>
  <c r="AD318" i="6"/>
  <c r="X260" i="6"/>
  <c r="AF260" i="6"/>
  <c r="AN260" i="6"/>
  <c r="Y261" i="6"/>
  <c r="AG261" i="6"/>
  <c r="AO261" i="6"/>
  <c r="Z262" i="6"/>
  <c r="AH262" i="6"/>
  <c r="AC265" i="6"/>
  <c r="AK265" i="6"/>
  <c r="AD266" i="6"/>
  <c r="V267" i="6"/>
  <c r="AE267" i="6"/>
  <c r="X268" i="6"/>
  <c r="AF268" i="6"/>
  <c r="Y269" i="6"/>
  <c r="AG269" i="6"/>
  <c r="AO269" i="6"/>
  <c r="Z270" i="6"/>
  <c r="AA271" i="6"/>
  <c r="AI271" i="6"/>
  <c r="AS271" i="6"/>
  <c r="AC273" i="6"/>
  <c r="AK273" i="6"/>
  <c r="AD274" i="6"/>
  <c r="V275" i="6"/>
  <c r="AA275" i="6" s="1"/>
  <c r="AE275" i="6"/>
  <c r="X276" i="6"/>
  <c r="AF276" i="6"/>
  <c r="Y277" i="6"/>
  <c r="AG277" i="6"/>
  <c r="AO277" i="6"/>
  <c r="Z278" i="6"/>
  <c r="AA279" i="6"/>
  <c r="AI279" i="6"/>
  <c r="AS279" i="6"/>
  <c r="AC281" i="6"/>
  <c r="AK281" i="6"/>
  <c r="AD282" i="6"/>
  <c r="Y285" i="6"/>
  <c r="AG285" i="6"/>
  <c r="AO285" i="6"/>
  <c r="Z286" i="6"/>
  <c r="AI287" i="6"/>
  <c r="AS287" i="6"/>
  <c r="AC289" i="6"/>
  <c r="AK289" i="6"/>
  <c r="AD290" i="6"/>
  <c r="AL290" i="6"/>
  <c r="AF292" i="6"/>
  <c r="AF294" i="6"/>
  <c r="AO295" i="6"/>
  <c r="Y295" i="6"/>
  <c r="AL298" i="6"/>
  <c r="AK302" i="6"/>
  <c r="AJ302" i="6"/>
  <c r="AB302" i="6"/>
  <c r="AS302" i="6"/>
  <c r="AA302" i="6"/>
  <c r="AG302" i="6"/>
  <c r="Y302" i="6"/>
  <c r="AF302" i="6"/>
  <c r="X302" i="6"/>
  <c r="AM302" i="6"/>
  <c r="AE302" i="6"/>
  <c r="V302" i="6"/>
  <c r="AO302" i="6" s="1"/>
  <c r="AK310" i="6"/>
  <c r="AJ310" i="6"/>
  <c r="AB310" i="6"/>
  <c r="AS310" i="6"/>
  <c r="AI310" i="6"/>
  <c r="AA310" i="6"/>
  <c r="AH310" i="6"/>
  <c r="Z310" i="6"/>
  <c r="AO310" i="6"/>
  <c r="AG310" i="6"/>
  <c r="Y310" i="6"/>
  <c r="AN310" i="6"/>
  <c r="AF310" i="6"/>
  <c r="AM310" i="6"/>
  <c r="V310" i="6"/>
  <c r="AC310" i="6" s="1"/>
  <c r="Y260" i="6"/>
  <c r="AG260" i="6"/>
  <c r="Z261" i="6"/>
  <c r="AI262" i="6"/>
  <c r="AD265" i="6"/>
  <c r="Z269" i="6"/>
  <c r="AB271" i="6"/>
  <c r="AD273" i="6"/>
  <c r="Z277" i="6"/>
  <c r="AB279" i="6"/>
  <c r="AD281" i="6"/>
  <c r="Z285" i="6"/>
  <c r="AB287" i="6"/>
  <c r="AD289" i="6"/>
  <c r="AE290" i="6"/>
  <c r="AH292" i="6"/>
  <c r="AH294" i="6"/>
  <c r="Z302" i="6"/>
  <c r="AB291" i="6"/>
  <c r="AJ291" i="6"/>
  <c r="AD293" i="6"/>
  <c r="AL293" i="6"/>
  <c r="X295" i="6"/>
  <c r="AF295" i="6"/>
  <c r="AN295" i="6"/>
  <c r="Y296" i="6"/>
  <c r="AG296" i="6"/>
  <c r="AO296" i="6"/>
  <c r="Z297" i="6"/>
  <c r="AH297" i="6"/>
  <c r="AB299" i="6"/>
  <c r="AJ299" i="6"/>
  <c r="AC300" i="6"/>
  <c r="AK300" i="6"/>
  <c r="AD301" i="6"/>
  <c r="AL301" i="6"/>
  <c r="X303" i="6"/>
  <c r="AF303" i="6"/>
  <c r="AN303" i="6"/>
  <c r="AG304" i="6"/>
  <c r="AO304" i="6"/>
  <c r="Z305" i="6"/>
  <c r="AH305" i="6"/>
  <c r="AA306" i="6"/>
  <c r="AI306" i="6"/>
  <c r="AS306" i="6"/>
  <c r="AC308" i="6"/>
  <c r="AK308" i="6"/>
  <c r="AD309" i="6"/>
  <c r="AL309" i="6"/>
  <c r="Y312" i="6"/>
  <c r="AG312" i="6"/>
  <c r="AO312" i="6"/>
  <c r="Z313" i="6"/>
  <c r="AH313" i="6"/>
  <c r="AA314" i="6"/>
  <c r="AS314" i="6"/>
  <c r="AJ315" i="6"/>
  <c r="AK316" i="6"/>
  <c r="AD317" i="6"/>
  <c r="AL317" i="6"/>
  <c r="Y320" i="6"/>
  <c r="AO320" i="6"/>
  <c r="Z321" i="6"/>
  <c r="AH321" i="6"/>
  <c r="AI329" i="6"/>
  <c r="Z296" i="6"/>
  <c r="AH296" i="6"/>
  <c r="AD300" i="6"/>
  <c r="AL300" i="6"/>
  <c r="Z304" i="6"/>
  <c r="AH304" i="6"/>
  <c r="AI305" i="6"/>
  <c r="AB306" i="6"/>
  <c r="AJ306" i="6"/>
  <c r="AL308" i="6"/>
  <c r="AH312" i="6"/>
  <c r="AB314" i="6"/>
  <c r="AJ314" i="6"/>
  <c r="AD316" i="6"/>
  <c r="AL316" i="6"/>
  <c r="AH320" i="6"/>
  <c r="AA321" i="6"/>
  <c r="AI321" i="6"/>
  <c r="AK324" i="6"/>
  <c r="AC324" i="6"/>
  <c r="AJ324" i="6"/>
  <c r="AB324" i="6"/>
  <c r="AS324" i="6"/>
  <c r="AI324" i="6"/>
  <c r="AA324" i="6"/>
  <c r="AH324" i="6"/>
  <c r="AM324" i="6"/>
  <c r="AE324" i="6"/>
  <c r="V324" i="6"/>
  <c r="Z324" i="6" s="1"/>
  <c r="AL329" i="6"/>
  <c r="AH337" i="6"/>
  <c r="AO337" i="6"/>
  <c r="AG337" i="6"/>
  <c r="Y337" i="6"/>
  <c r="AN337" i="6"/>
  <c r="AF337" i="6"/>
  <c r="X337" i="6"/>
  <c r="AM337" i="6"/>
  <c r="V337" i="6"/>
  <c r="Z337" i="6" s="1"/>
  <c r="AL337" i="6"/>
  <c r="AK337" i="6"/>
  <c r="AC337" i="6"/>
  <c r="AJ337" i="6"/>
  <c r="AB337" i="6"/>
  <c r="AK340" i="6"/>
  <c r="AC340" i="6"/>
  <c r="AJ340" i="6"/>
  <c r="AB340" i="6"/>
  <c r="AS340" i="6"/>
  <c r="AI340" i="6"/>
  <c r="AA340" i="6"/>
  <c r="AH340" i="6"/>
  <c r="Z340" i="6"/>
  <c r="AO340" i="6"/>
  <c r="AG340" i="6"/>
  <c r="Y340" i="6"/>
  <c r="AN340" i="6"/>
  <c r="AF340" i="6"/>
  <c r="X340" i="6"/>
  <c r="AM340" i="6"/>
  <c r="AE340" i="6"/>
  <c r="V340" i="6"/>
  <c r="AD291" i="6"/>
  <c r="AL291" i="6"/>
  <c r="X293" i="6"/>
  <c r="AF293" i="6"/>
  <c r="AN293" i="6"/>
  <c r="Z295" i="6"/>
  <c r="AH295" i="6"/>
  <c r="AA296" i="6"/>
  <c r="AI296" i="6"/>
  <c r="AS296" i="6"/>
  <c r="AB297" i="6"/>
  <c r="AJ297" i="6"/>
  <c r="AD299" i="6"/>
  <c r="AL299" i="6"/>
  <c r="V300" i="6"/>
  <c r="AJ300" i="6" s="1"/>
  <c r="AE300" i="6"/>
  <c r="AM300" i="6"/>
  <c r="X301" i="6"/>
  <c r="AF301" i="6"/>
  <c r="AN301" i="6"/>
  <c r="Z303" i="6"/>
  <c r="AH303" i="6"/>
  <c r="AA304" i="6"/>
  <c r="AI304" i="6"/>
  <c r="AS304" i="6"/>
  <c r="AB305" i="6"/>
  <c r="AJ305" i="6"/>
  <c r="AC306" i="6"/>
  <c r="AK306" i="6"/>
  <c r="AD307" i="6"/>
  <c r="AL307" i="6"/>
  <c r="V308" i="6"/>
  <c r="AD308" i="6" s="1"/>
  <c r="AE308" i="6"/>
  <c r="AM308" i="6"/>
  <c r="X309" i="6"/>
  <c r="AF309" i="6"/>
  <c r="AN309" i="6"/>
  <c r="Z311" i="6"/>
  <c r="AH311" i="6"/>
  <c r="AA312" i="6"/>
  <c r="AI312" i="6"/>
  <c r="AS312" i="6"/>
  <c r="AB313" i="6"/>
  <c r="AJ313" i="6"/>
  <c r="AC314" i="6"/>
  <c r="AK314" i="6"/>
  <c r="AD315" i="6"/>
  <c r="AL315" i="6"/>
  <c r="V316" i="6"/>
  <c r="AC316" i="6" s="1"/>
  <c r="AE316" i="6"/>
  <c r="AM316" i="6"/>
  <c r="X317" i="6"/>
  <c r="AF317" i="6"/>
  <c r="AN317" i="6"/>
  <c r="Z319" i="6"/>
  <c r="AR319" i="6" s="1"/>
  <c r="AT319" i="6" s="1"/>
  <c r="AH319" i="6"/>
  <c r="AA320" i="6"/>
  <c r="AI320" i="6"/>
  <c r="AS320" i="6"/>
  <c r="AB321" i="6"/>
  <c r="X324" i="6"/>
  <c r="AN333" i="6"/>
  <c r="X333" i="6"/>
  <c r="AA337" i="6"/>
  <c r="AD340" i="6"/>
  <c r="AD306" i="6"/>
  <c r="AL306" i="6"/>
  <c r="AD314" i="6"/>
  <c r="AL314" i="6"/>
  <c r="AE315" i="6"/>
  <c r="AS332" i="6"/>
  <c r="Z332" i="6"/>
  <c r="AF332" i="6"/>
  <c r="AM332" i="6"/>
  <c r="V332" i="6"/>
  <c r="AL332" i="6" s="1"/>
  <c r="AS346" i="6"/>
  <c r="AI346" i="6"/>
  <c r="AM346" i="6"/>
  <c r="AE346" i="6"/>
  <c r="V346" i="6"/>
  <c r="AA346" i="6" s="1"/>
  <c r="AF346" i="6"/>
  <c r="AO346" i="6"/>
  <c r="AD346" i="6"/>
  <c r="AN346" i="6"/>
  <c r="AC346" i="6"/>
  <c r="AL346" i="6"/>
  <c r="AB346" i="6"/>
  <c r="AK346" i="6"/>
  <c r="Z346" i="6"/>
  <c r="AJ346" i="6"/>
  <c r="Y346" i="6"/>
  <c r="AH346" i="6"/>
  <c r="X346" i="6"/>
  <c r="X291" i="6"/>
  <c r="AF291" i="6"/>
  <c r="AN291" i="6"/>
  <c r="Z293" i="6"/>
  <c r="AH293" i="6"/>
  <c r="AB295" i="6"/>
  <c r="AJ295" i="6"/>
  <c r="AC296" i="6"/>
  <c r="AK296" i="6"/>
  <c r="AD297" i="6"/>
  <c r="AL297" i="6"/>
  <c r="X299" i="6"/>
  <c r="AF299" i="6"/>
  <c r="AN299" i="6"/>
  <c r="AG300" i="6"/>
  <c r="Z301" i="6"/>
  <c r="AH301" i="6"/>
  <c r="AB303" i="6"/>
  <c r="AJ303" i="6"/>
  <c r="AC304" i="6"/>
  <c r="AK304" i="6"/>
  <c r="AD305" i="6"/>
  <c r="AL305" i="6"/>
  <c r="V306" i="6"/>
  <c r="AE306" i="6"/>
  <c r="AM306" i="6"/>
  <c r="Y308" i="6"/>
  <c r="AG308" i="6"/>
  <c r="AO308" i="6"/>
  <c r="Z309" i="6"/>
  <c r="AH309" i="6"/>
  <c r="AC312" i="6"/>
  <c r="AK312" i="6"/>
  <c r="AD313" i="6"/>
  <c r="AL313" i="6"/>
  <c r="V314" i="6"/>
  <c r="Z314" i="6" s="1"/>
  <c r="AE314" i="6"/>
  <c r="AM314" i="6"/>
  <c r="Y316" i="6"/>
  <c r="AG316" i="6"/>
  <c r="AO316" i="6"/>
  <c r="Z317" i="6"/>
  <c r="AH317" i="6"/>
  <c r="AC320" i="6"/>
  <c r="AK320" i="6"/>
  <c r="AO321" i="6"/>
  <c r="AN321" i="6"/>
  <c r="AM321" i="6"/>
  <c r="AD321" i="6"/>
  <c r="AL321" i="6"/>
  <c r="AD324" i="6"/>
  <c r="Y332" i="6"/>
  <c r="AG346" i="6"/>
  <c r="AD296" i="6"/>
  <c r="AL296" i="6"/>
  <c r="AH300" i="6"/>
  <c r="AL304" i="6"/>
  <c r="AE305" i="6"/>
  <c r="X306" i="6"/>
  <c r="AF306" i="6"/>
  <c r="AN306" i="6"/>
  <c r="AH308" i="6"/>
  <c r="AD312" i="6"/>
  <c r="AL312" i="6"/>
  <c r="X314" i="6"/>
  <c r="AF314" i="6"/>
  <c r="AN314" i="6"/>
  <c r="Z316" i="6"/>
  <c r="AH316" i="6"/>
  <c r="AI317" i="6"/>
  <c r="AS317" i="6"/>
  <c r="AD320" i="6"/>
  <c r="AL320" i="6"/>
  <c r="AE321" i="6"/>
  <c r="Z325" i="6"/>
  <c r="AH329" i="6"/>
  <c r="Z329" i="6"/>
  <c r="AO329" i="6"/>
  <c r="AG329" i="6"/>
  <c r="Y329" i="6"/>
  <c r="AN329" i="6"/>
  <c r="AF329" i="6"/>
  <c r="AM329" i="6"/>
  <c r="AE329" i="6"/>
  <c r="V329" i="6"/>
  <c r="AD329" i="6" s="1"/>
  <c r="AK329" i="6"/>
  <c r="AC329" i="6"/>
  <c r="AJ329" i="6"/>
  <c r="AB329" i="6"/>
  <c r="AD332" i="6"/>
  <c r="AI341" i="6"/>
  <c r="Z341" i="6"/>
  <c r="AN341" i="6"/>
  <c r="AL387" i="6"/>
  <c r="AK387" i="6"/>
  <c r="AB387" i="6"/>
  <c r="AJ387" i="6"/>
  <c r="AI387" i="6"/>
  <c r="Z387" i="6"/>
  <c r="AS387" i="6"/>
  <c r="AG387" i="6"/>
  <c r="AO387" i="6"/>
  <c r="AF387" i="6"/>
  <c r="V387" i="6"/>
  <c r="X387" i="6" s="1"/>
  <c r="AN387" i="6"/>
  <c r="AM387" i="6"/>
  <c r="AH387" i="6"/>
  <c r="AC387" i="6"/>
  <c r="Y387" i="6"/>
  <c r="AE387" i="6"/>
  <c r="Z291" i="6"/>
  <c r="AB293" i="6"/>
  <c r="AD295" i="6"/>
  <c r="V296" i="6"/>
  <c r="AE296" i="6"/>
  <c r="X297" i="6"/>
  <c r="AF297" i="6"/>
  <c r="Z299" i="6"/>
  <c r="AA300" i="6"/>
  <c r="AI300" i="6"/>
  <c r="AB301" i="6"/>
  <c r="AD303" i="6"/>
  <c r="V304" i="6"/>
  <c r="AJ304" i="6" s="1"/>
  <c r="AE304" i="6"/>
  <c r="X305" i="6"/>
  <c r="AF305" i="6"/>
  <c r="Y306" i="6"/>
  <c r="AG306" i="6"/>
  <c r="AA308" i="6"/>
  <c r="AI308" i="6"/>
  <c r="AB309" i="6"/>
  <c r="AD311" i="6"/>
  <c r="V312" i="6"/>
  <c r="Z312" i="6" s="1"/>
  <c r="AE312" i="6"/>
  <c r="X313" i="6"/>
  <c r="AF313" i="6"/>
  <c r="Y314" i="6"/>
  <c r="AG314" i="6"/>
  <c r="Z315" i="6"/>
  <c r="AA316" i="6"/>
  <c r="AI316" i="6"/>
  <c r="AB317" i="6"/>
  <c r="AD319" i="6"/>
  <c r="V320" i="6"/>
  <c r="AJ320" i="6" s="1"/>
  <c r="AE320" i="6"/>
  <c r="X321" i="6"/>
  <c r="AF321" i="6"/>
  <c r="AS321" i="6"/>
  <c r="AG324" i="6"/>
  <c r="AA329" i="6"/>
  <c r="AG332" i="6"/>
  <c r="AD323" i="6"/>
  <c r="AL323" i="6"/>
  <c r="X325" i="6"/>
  <c r="AF325" i="6"/>
  <c r="AN325" i="6"/>
  <c r="Y326" i="6"/>
  <c r="AG326" i="6"/>
  <c r="Z327" i="6"/>
  <c r="AA328" i="6"/>
  <c r="AS328" i="6"/>
  <c r="AC330" i="6"/>
  <c r="AK330" i="6"/>
  <c r="AD331" i="6"/>
  <c r="AL331" i="6"/>
  <c r="Y334" i="6"/>
  <c r="AG334" i="6"/>
  <c r="AO334" i="6"/>
  <c r="AI336" i="6"/>
  <c r="AS336" i="6"/>
  <c r="AC338" i="6"/>
  <c r="AK338" i="6"/>
  <c r="AD339" i="6"/>
  <c r="AL339" i="6"/>
  <c r="Y342" i="6"/>
  <c r="AG342" i="6"/>
  <c r="AD343" i="6"/>
  <c r="AO343" i="6"/>
  <c r="AJ347" i="6"/>
  <c r="AB347" i="6"/>
  <c r="AN347" i="6"/>
  <c r="AF347" i="6"/>
  <c r="X347" i="6"/>
  <c r="AG347" i="6"/>
  <c r="AS347" i="6"/>
  <c r="AF351" i="6"/>
  <c r="X351" i="6"/>
  <c r="AM351" i="6"/>
  <c r="AE351" i="6"/>
  <c r="V351" i="6"/>
  <c r="AB351" i="6" s="1"/>
  <c r="AJ351" i="6"/>
  <c r="AS351" i="6"/>
  <c r="AI351" i="6"/>
  <c r="AA351" i="6"/>
  <c r="AL351" i="6"/>
  <c r="AC355" i="6"/>
  <c r="AK356" i="6"/>
  <c r="AC356" i="6"/>
  <c r="AJ356" i="6"/>
  <c r="AB356" i="6"/>
  <c r="AO356" i="6"/>
  <c r="AG356" i="6"/>
  <c r="Y356" i="6"/>
  <c r="AN356" i="6"/>
  <c r="AF356" i="6"/>
  <c r="X356" i="6"/>
  <c r="AL356" i="6"/>
  <c r="AJ363" i="6"/>
  <c r="AB363" i="6"/>
  <c r="AS363" i="6"/>
  <c r="AI363" i="6"/>
  <c r="AA363" i="6"/>
  <c r="AH363" i="6"/>
  <c r="Z363" i="6"/>
  <c r="AN363" i="6"/>
  <c r="AF363" i="6"/>
  <c r="X363" i="6"/>
  <c r="AM363" i="6"/>
  <c r="AE363" i="6"/>
  <c r="V363" i="6"/>
  <c r="AJ364" i="6"/>
  <c r="AB364" i="6"/>
  <c r="AS364" i="6"/>
  <c r="AI364" i="6"/>
  <c r="AN364" i="6"/>
  <c r="AD364" i="6"/>
  <c r="AM364" i="6"/>
  <c r="AC364" i="6"/>
  <c r="AL364" i="6"/>
  <c r="AA364" i="6"/>
  <c r="AH364" i="6"/>
  <c r="Y364" i="6"/>
  <c r="AG364" i="6"/>
  <c r="X364" i="6"/>
  <c r="AG384" i="6"/>
  <c r="Y384" i="6"/>
  <c r="AN384" i="6"/>
  <c r="AF384" i="6"/>
  <c r="X384" i="6"/>
  <c r="AM384" i="6"/>
  <c r="AE384" i="6"/>
  <c r="V384" i="6"/>
  <c r="Z384" i="6" s="1"/>
  <c r="AK384" i="6"/>
  <c r="AC384" i="6"/>
  <c r="AJ384" i="6"/>
  <c r="AB384" i="6"/>
  <c r="AD384" i="6"/>
  <c r="AA384" i="6"/>
  <c r="AL384" i="6"/>
  <c r="AD330" i="6"/>
  <c r="AL330" i="6"/>
  <c r="AD338" i="6"/>
  <c r="AL338" i="6"/>
  <c r="AK348" i="6"/>
  <c r="AC348" i="6"/>
  <c r="AO348" i="6"/>
  <c r="AG348" i="6"/>
  <c r="Y348" i="6"/>
  <c r="AF348" i="6"/>
  <c r="AS348" i="6"/>
  <c r="AO360" i="6"/>
  <c r="AG360" i="6"/>
  <c r="Y360" i="6"/>
  <c r="AN360" i="6"/>
  <c r="AF360" i="6"/>
  <c r="X360" i="6"/>
  <c r="AM360" i="6"/>
  <c r="AE360" i="6"/>
  <c r="V360" i="6"/>
  <c r="AK360" i="6"/>
  <c r="AC360" i="6"/>
  <c r="AJ360" i="6"/>
  <c r="AB360" i="6"/>
  <c r="AS360" i="6"/>
  <c r="AO368" i="6"/>
  <c r="AN368" i="6"/>
  <c r="AF368" i="6"/>
  <c r="X368" i="6"/>
  <c r="AM368" i="6"/>
  <c r="AE368" i="6"/>
  <c r="V368" i="6"/>
  <c r="AS368" i="6"/>
  <c r="AD368" i="6"/>
  <c r="AC368" i="6"/>
  <c r="AL368" i="6"/>
  <c r="AB368" i="6"/>
  <c r="AJ368" i="6"/>
  <c r="Z368" i="6"/>
  <c r="AI368" i="6"/>
  <c r="Y368" i="6"/>
  <c r="AB379" i="6"/>
  <c r="AS379" i="6"/>
  <c r="AI379" i="6"/>
  <c r="AA379" i="6"/>
  <c r="AH379" i="6"/>
  <c r="Z379" i="6"/>
  <c r="AN379" i="6"/>
  <c r="AF379" i="6"/>
  <c r="AM379" i="6"/>
  <c r="AE379" i="6"/>
  <c r="V379" i="6"/>
  <c r="AG379" i="6" s="1"/>
  <c r="AL379" i="6"/>
  <c r="AK379" i="6"/>
  <c r="AC379" i="6"/>
  <c r="Y379" i="6"/>
  <c r="AN343" i="6"/>
  <c r="AF343" i="6"/>
  <c r="X343" i="6"/>
  <c r="AJ343" i="6"/>
  <c r="AB343" i="6"/>
  <c r="AG343" i="6"/>
  <c r="AS343" i="6"/>
  <c r="Y323" i="6"/>
  <c r="AG323" i="6"/>
  <c r="AO323" i="6"/>
  <c r="AA325" i="6"/>
  <c r="AI325" i="6"/>
  <c r="AS325" i="6"/>
  <c r="AB326" i="6"/>
  <c r="AJ326" i="6"/>
  <c r="AC327" i="6"/>
  <c r="AK327" i="6"/>
  <c r="AD328" i="6"/>
  <c r="AL328" i="6"/>
  <c r="X330" i="6"/>
  <c r="AF330" i="6"/>
  <c r="AN330" i="6"/>
  <c r="Y331" i="6"/>
  <c r="AG331" i="6"/>
  <c r="AO331" i="6"/>
  <c r="AA333" i="6"/>
  <c r="AI333" i="6"/>
  <c r="AS333" i="6"/>
  <c r="AC335" i="6"/>
  <c r="AK335" i="6"/>
  <c r="AD336" i="6"/>
  <c r="AL336" i="6"/>
  <c r="X338" i="6"/>
  <c r="AF338" i="6"/>
  <c r="AN338" i="6"/>
  <c r="Y339" i="6"/>
  <c r="AG339" i="6"/>
  <c r="AO339" i="6"/>
  <c r="AB342" i="6"/>
  <c r="AJ342" i="6"/>
  <c r="V343" i="6"/>
  <c r="AH343" i="6"/>
  <c r="Y344" i="6"/>
  <c r="AK344" i="6"/>
  <c r="AC344" i="6"/>
  <c r="AF344" i="6"/>
  <c r="AS344" i="6"/>
  <c r="Z347" i="6"/>
  <c r="AK347" i="6"/>
  <c r="X348" i="6"/>
  <c r="AI348" i="6"/>
  <c r="AC351" i="6"/>
  <c r="AO352" i="6"/>
  <c r="AG352" i="6"/>
  <c r="Y352" i="6"/>
  <c r="AN352" i="6"/>
  <c r="AF352" i="6"/>
  <c r="X352" i="6"/>
  <c r="AK352" i="6"/>
  <c r="AC352" i="6"/>
  <c r="AB352" i="6"/>
  <c r="AL352" i="6"/>
  <c r="AH355" i="6"/>
  <c r="AA356" i="6"/>
  <c r="AS356" i="6"/>
  <c r="AA360" i="6"/>
  <c r="AD363" i="6"/>
  <c r="AE364" i="6"/>
  <c r="AG368" i="6"/>
  <c r="AO376" i="6"/>
  <c r="AG376" i="6"/>
  <c r="Y376" i="6"/>
  <c r="AN376" i="6"/>
  <c r="AF376" i="6"/>
  <c r="X376" i="6"/>
  <c r="AM376" i="6"/>
  <c r="AE376" i="6"/>
  <c r="V376" i="6"/>
  <c r="AH376" i="6" s="1"/>
  <c r="AK376" i="6"/>
  <c r="AC376" i="6"/>
  <c r="AB376" i="6"/>
  <c r="AA376" i="6"/>
  <c r="Z376" i="6"/>
  <c r="AL376" i="6"/>
  <c r="AO379" i="6"/>
  <c r="AS384" i="6"/>
  <c r="AH323" i="6"/>
  <c r="AB325" i="6"/>
  <c r="AJ325" i="6"/>
  <c r="AC326" i="6"/>
  <c r="AK326" i="6"/>
  <c r="AL327" i="6"/>
  <c r="V328" i="6"/>
  <c r="AI328" i="6" s="1"/>
  <c r="AE328" i="6"/>
  <c r="AM328" i="6"/>
  <c r="Y330" i="6"/>
  <c r="AG330" i="6"/>
  <c r="AO330" i="6"/>
  <c r="Z331" i="6"/>
  <c r="AH331" i="6"/>
  <c r="AB333" i="6"/>
  <c r="AJ333" i="6"/>
  <c r="AC334" i="6"/>
  <c r="AK334" i="6"/>
  <c r="AD335" i="6"/>
  <c r="AL335" i="6"/>
  <c r="V336" i="6"/>
  <c r="AE336" i="6"/>
  <c r="AM336" i="6"/>
  <c r="Y338" i="6"/>
  <c r="AG338" i="6"/>
  <c r="AO338" i="6"/>
  <c r="Z339" i="6"/>
  <c r="AH339" i="6"/>
  <c r="Y343" i="6"/>
  <c r="AI343" i="6"/>
  <c r="V344" i="6"/>
  <c r="AB344" i="6" s="1"/>
  <c r="AA347" i="6"/>
  <c r="AL347" i="6"/>
  <c r="Z348" i="6"/>
  <c r="AJ348" i="6"/>
  <c r="AD351" i="6"/>
  <c r="V352" i="6"/>
  <c r="AH352" i="6" s="1"/>
  <c r="AM352" i="6"/>
  <c r="AD356" i="6"/>
  <c r="AD360" i="6"/>
  <c r="AG363" i="6"/>
  <c r="AF364" i="6"/>
  <c r="AH368" i="6"/>
  <c r="AJ371" i="6"/>
  <c r="AB371" i="6"/>
  <c r="AS371" i="6"/>
  <c r="AI371" i="6"/>
  <c r="AA371" i="6"/>
  <c r="AH371" i="6"/>
  <c r="Z371" i="6"/>
  <c r="AM371" i="6"/>
  <c r="AE371" i="6"/>
  <c r="V371" i="6"/>
  <c r="AK371" i="6"/>
  <c r="AG371" i="6"/>
  <c r="AF371" i="6"/>
  <c r="AC371" i="6"/>
  <c r="AO371" i="6"/>
  <c r="Y371" i="6"/>
  <c r="AK380" i="6"/>
  <c r="AC380" i="6"/>
  <c r="AJ380" i="6"/>
  <c r="AS380" i="6"/>
  <c r="AI380" i="6"/>
  <c r="AA380" i="6"/>
  <c r="AO380" i="6"/>
  <c r="AG380" i="6"/>
  <c r="Y380" i="6"/>
  <c r="AF380" i="6"/>
  <c r="X380" i="6"/>
  <c r="AL380" i="6"/>
  <c r="AH380" i="6"/>
  <c r="AE380" i="6"/>
  <c r="Z380" i="6"/>
  <c r="V380" i="6"/>
  <c r="AB380" i="6" s="1"/>
  <c r="AA323" i="6"/>
  <c r="AI323" i="6"/>
  <c r="AS323" i="6"/>
  <c r="AC325" i="6"/>
  <c r="AK325" i="6"/>
  <c r="AD326" i="6"/>
  <c r="AL326" i="6"/>
  <c r="V327" i="6"/>
  <c r="AD327" i="6" s="1"/>
  <c r="AE327" i="6"/>
  <c r="X328" i="6"/>
  <c r="AF328" i="6"/>
  <c r="AN328" i="6"/>
  <c r="Z330" i="6"/>
  <c r="AH330" i="6"/>
  <c r="AA331" i="6"/>
  <c r="AI331" i="6"/>
  <c r="AS331" i="6"/>
  <c r="AL334" i="6"/>
  <c r="Z338" i="6"/>
  <c r="AH338" i="6"/>
  <c r="AS342" i="6"/>
  <c r="AD342" i="6"/>
  <c r="AL342" i="6"/>
  <c r="Z343" i="6"/>
  <c r="AK343" i="6"/>
  <c r="AA348" i="6"/>
  <c r="AL348" i="6"/>
  <c r="AJ355" i="6"/>
  <c r="AB355" i="6"/>
  <c r="AS355" i="6"/>
  <c r="AI355" i="6"/>
  <c r="AA355" i="6"/>
  <c r="AN355" i="6"/>
  <c r="AF355" i="6"/>
  <c r="X355" i="6"/>
  <c r="AM355" i="6"/>
  <c r="AE355" i="6"/>
  <c r="V355" i="6"/>
  <c r="AL355" i="6"/>
  <c r="AE356" i="6"/>
  <c r="AH360" i="6"/>
  <c r="AK363" i="6"/>
  <c r="AK368" i="6"/>
  <c r="AJ396" i="6"/>
  <c r="AB396" i="6"/>
  <c r="AS396" i="6"/>
  <c r="AI396" i="6"/>
  <c r="AA396" i="6"/>
  <c r="AN396" i="6"/>
  <c r="AF396" i="6"/>
  <c r="X396" i="6"/>
  <c r="AM396" i="6"/>
  <c r="AE396" i="6"/>
  <c r="V396" i="6"/>
  <c r="AC396" i="6"/>
  <c r="Z396" i="6"/>
  <c r="AO396" i="6"/>
  <c r="Y396" i="6"/>
  <c r="AK396" i="6"/>
  <c r="AH396" i="6"/>
  <c r="AG396" i="6"/>
  <c r="AD396" i="6"/>
  <c r="AB323" i="6"/>
  <c r="AD325" i="6"/>
  <c r="V326" i="6"/>
  <c r="AH326" i="6" s="1"/>
  <c r="X327" i="6"/>
  <c r="AF327" i="6"/>
  <c r="Y328" i="6"/>
  <c r="AG328" i="6"/>
  <c r="AA330" i="6"/>
  <c r="AI330" i="6"/>
  <c r="AB331" i="6"/>
  <c r="AD333" i="6"/>
  <c r="V334" i="6"/>
  <c r="X334" i="6" s="1"/>
  <c r="AE334" i="6"/>
  <c r="X335" i="6"/>
  <c r="AF335" i="6"/>
  <c r="Y336" i="6"/>
  <c r="AG336" i="6"/>
  <c r="AA338" i="6"/>
  <c r="AI338" i="6"/>
  <c r="AB339" i="6"/>
  <c r="AD341" i="6"/>
  <c r="V342" i="6"/>
  <c r="X342" i="6" s="1"/>
  <c r="AN342" i="6"/>
  <c r="AA343" i="6"/>
  <c r="AL343" i="6"/>
  <c r="AJ344" i="6"/>
  <c r="AD347" i="6"/>
  <c r="AO347" i="6"/>
  <c r="AB348" i="6"/>
  <c r="AM348" i="6"/>
  <c r="AH351" i="6"/>
  <c r="AA352" i="6"/>
  <c r="AS352" i="6"/>
  <c r="Y355" i="6"/>
  <c r="AO355" i="6"/>
  <c r="AH356" i="6"/>
  <c r="AI360" i="6"/>
  <c r="AL363" i="6"/>
  <c r="AO364" i="6"/>
  <c r="AH369" i="6"/>
  <c r="Z369" i="6"/>
  <c r="AO369" i="6"/>
  <c r="AG369" i="6"/>
  <c r="Y369" i="6"/>
  <c r="AN369" i="6"/>
  <c r="AF369" i="6"/>
  <c r="X369" i="6"/>
  <c r="AK369" i="6"/>
  <c r="AC369" i="6"/>
  <c r="AJ369" i="6"/>
  <c r="AI369" i="6"/>
  <c r="AE369" i="6"/>
  <c r="AB369" i="6"/>
  <c r="AS369" i="6"/>
  <c r="AA369" i="6"/>
  <c r="AD371" i="6"/>
  <c r="AS376" i="6"/>
  <c r="AM380" i="6"/>
  <c r="AL396" i="6"/>
  <c r="Z350" i="6"/>
  <c r="AH350" i="6"/>
  <c r="AD354" i="6"/>
  <c r="AL354" i="6"/>
  <c r="Z358" i="6"/>
  <c r="AH358" i="6"/>
  <c r="AA359" i="6"/>
  <c r="AI359" i="6"/>
  <c r="AS359" i="6"/>
  <c r="AD362" i="6"/>
  <c r="AK365" i="6"/>
  <c r="AC365" i="6"/>
  <c r="AJ365" i="6"/>
  <c r="AB365" i="6"/>
  <c r="AF365" i="6"/>
  <c r="AM390" i="6"/>
  <c r="AM401" i="6"/>
  <c r="AE401" i="6"/>
  <c r="V401" i="6"/>
  <c r="AO401" i="6"/>
  <c r="AN401" i="6"/>
  <c r="AD401" i="6"/>
  <c r="AL401" i="6"/>
  <c r="AC401" i="6"/>
  <c r="AI401" i="6"/>
  <c r="Z401" i="6"/>
  <c r="AS401" i="6"/>
  <c r="AH401" i="6"/>
  <c r="Y401" i="6"/>
  <c r="AK401" i="6"/>
  <c r="AJ401" i="6"/>
  <c r="AG401" i="6"/>
  <c r="AB401" i="6"/>
  <c r="AA401" i="6"/>
  <c r="AS427" i="6"/>
  <c r="AI427" i="6"/>
  <c r="AG427" i="6"/>
  <c r="Y427" i="6"/>
  <c r="AN427" i="6"/>
  <c r="AF427" i="6"/>
  <c r="X427" i="6"/>
  <c r="AM427" i="6"/>
  <c r="AE427" i="6"/>
  <c r="V427" i="6"/>
  <c r="AA427" i="6" s="1"/>
  <c r="AK427" i="6"/>
  <c r="AJ427" i="6"/>
  <c r="AH427" i="6"/>
  <c r="AD427" i="6"/>
  <c r="AC427" i="6"/>
  <c r="AB427" i="6"/>
  <c r="AL427" i="6"/>
  <c r="AD345" i="6"/>
  <c r="AL345" i="6"/>
  <c r="Z349" i="6"/>
  <c r="AH349" i="6"/>
  <c r="AA350" i="6"/>
  <c r="AI350" i="6"/>
  <c r="AS350" i="6"/>
  <c r="AD353" i="6"/>
  <c r="AL353" i="6"/>
  <c r="V354" i="6"/>
  <c r="AE354" i="6"/>
  <c r="AM354" i="6"/>
  <c r="Z357" i="6"/>
  <c r="AH357" i="6"/>
  <c r="AI358" i="6"/>
  <c r="AS358" i="6"/>
  <c r="AB359" i="6"/>
  <c r="AD361" i="6"/>
  <c r="AL361" i="6"/>
  <c r="V362" i="6"/>
  <c r="AJ362" i="6" s="1"/>
  <c r="AE362" i="6"/>
  <c r="AM362" i="6"/>
  <c r="V365" i="6"/>
  <c r="AG365" i="6"/>
  <c r="AS365" i="6"/>
  <c r="AE366" i="6"/>
  <c r="AJ370" i="6"/>
  <c r="AK372" i="6"/>
  <c r="AC372" i="6"/>
  <c r="AJ372" i="6"/>
  <c r="AB372" i="6"/>
  <c r="AS372" i="6"/>
  <c r="AI372" i="6"/>
  <c r="AA372" i="6"/>
  <c r="AN372" i="6"/>
  <c r="AF372" i="6"/>
  <c r="X372" i="6"/>
  <c r="AL372" i="6"/>
  <c r="Z400" i="6"/>
  <c r="AE400" i="6"/>
  <c r="AC400" i="6"/>
  <c r="X401" i="6"/>
  <c r="AD359" i="6"/>
  <c r="AL359" i="6"/>
  <c r="AS421" i="6"/>
  <c r="AA421" i="6"/>
  <c r="AO421" i="6"/>
  <c r="AG421" i="6"/>
  <c r="Y421" i="6"/>
  <c r="AE421" i="6"/>
  <c r="AN421" i="6"/>
  <c r="AD421" i="6"/>
  <c r="AC421" i="6"/>
  <c r="AL421" i="6"/>
  <c r="AB421" i="6"/>
  <c r="AK421" i="6"/>
  <c r="AJ421" i="6"/>
  <c r="X421" i="6"/>
  <c r="AH421" i="6"/>
  <c r="V421" i="6"/>
  <c r="Z421" i="6" s="1"/>
  <c r="AF421" i="6"/>
  <c r="AD350" i="6"/>
  <c r="AL350" i="6"/>
  <c r="Z354" i="6"/>
  <c r="AH354" i="6"/>
  <c r="AD358" i="6"/>
  <c r="AL358" i="6"/>
  <c r="V359" i="6"/>
  <c r="AJ359" i="6" s="1"/>
  <c r="AE359" i="6"/>
  <c r="AM359" i="6"/>
  <c r="AH362" i="6"/>
  <c r="Z365" i="6"/>
  <c r="AL365" i="6"/>
  <c r="Z345" i="6"/>
  <c r="AD349" i="6"/>
  <c r="V350" i="6"/>
  <c r="AE350" i="6"/>
  <c r="Z353" i="6"/>
  <c r="AR353" i="6" s="1"/>
  <c r="AT353" i="6" s="1"/>
  <c r="AA354" i="6"/>
  <c r="AI354" i="6"/>
  <c r="AD357" i="6"/>
  <c r="V358" i="6"/>
  <c r="AA358" i="6" s="1"/>
  <c r="AE358" i="6"/>
  <c r="X359" i="6"/>
  <c r="AF359" i="6"/>
  <c r="Z361" i="6"/>
  <c r="AR361" i="6" s="1"/>
  <c r="AT361" i="6" s="1"/>
  <c r="AA362" i="6"/>
  <c r="AI362" i="6"/>
  <c r="AA365" i="6"/>
  <c r="AM365" i="6"/>
  <c r="AD372" i="6"/>
  <c r="AB398" i="6"/>
  <c r="AA398" i="6"/>
  <c r="AN398" i="6"/>
  <c r="X398" i="6"/>
  <c r="AJ398" i="6"/>
  <c r="AI398" i="6"/>
  <c r="AD370" i="6"/>
  <c r="AL370" i="6"/>
  <c r="Y373" i="6"/>
  <c r="AG373" i="6"/>
  <c r="AO373" i="6"/>
  <c r="AC377" i="6"/>
  <c r="AK377" i="6"/>
  <c r="AD378" i="6"/>
  <c r="AL378" i="6"/>
  <c r="AC385" i="6"/>
  <c r="AK385" i="6"/>
  <c r="AD386" i="6"/>
  <c r="AL386" i="6"/>
  <c r="AO393" i="6"/>
  <c r="AG393" i="6"/>
  <c r="Y393" i="6"/>
  <c r="AN393" i="6"/>
  <c r="AF393" i="6"/>
  <c r="X393" i="6"/>
  <c r="AK393" i="6"/>
  <c r="AC393" i="6"/>
  <c r="AJ393" i="6"/>
  <c r="AB393" i="6"/>
  <c r="AL393" i="6"/>
  <c r="AD377" i="6"/>
  <c r="AL377" i="6"/>
  <c r="AE378" i="6"/>
  <c r="AD385" i="6"/>
  <c r="AL385" i="6"/>
  <c r="AE386" i="6"/>
  <c r="AM392" i="6"/>
  <c r="V392" i="6"/>
  <c r="AO392" i="6" s="1"/>
  <c r="AS392" i="6"/>
  <c r="AA392" i="6"/>
  <c r="AG392" i="6"/>
  <c r="V393" i="6"/>
  <c r="Z393" i="6" s="1"/>
  <c r="AM393" i="6"/>
  <c r="AL398" i="6"/>
  <c r="AA406" i="6"/>
  <c r="AC366" i="6"/>
  <c r="AK366" i="6"/>
  <c r="AD367" i="6"/>
  <c r="Y370" i="6"/>
  <c r="AG370" i="6"/>
  <c r="AO370" i="6"/>
  <c r="AJ373" i="6"/>
  <c r="AC374" i="6"/>
  <c r="AK374" i="6"/>
  <c r="AD375" i="6"/>
  <c r="AL375" i="6"/>
  <c r="X377" i="6"/>
  <c r="AF377" i="6"/>
  <c r="AN377" i="6"/>
  <c r="Y378" i="6"/>
  <c r="AG378" i="6"/>
  <c r="AO378" i="6"/>
  <c r="AB381" i="6"/>
  <c r="AJ381" i="6"/>
  <c r="AC382" i="6"/>
  <c r="AR382" i="6" s="1"/>
  <c r="AT382" i="6" s="1"/>
  <c r="AK382" i="6"/>
  <c r="AD383" i="6"/>
  <c r="AL383" i="6"/>
  <c r="X385" i="6"/>
  <c r="AF385" i="6"/>
  <c r="AN385" i="6"/>
  <c r="Y386" i="6"/>
  <c r="AG386" i="6"/>
  <c r="AO386" i="6"/>
  <c r="AS388" i="6"/>
  <c r="AI388" i="6"/>
  <c r="AM388" i="6"/>
  <c r="AE388" i="6"/>
  <c r="V388" i="6"/>
  <c r="AA388" i="6" s="1"/>
  <c r="AG388" i="6"/>
  <c r="AD390" i="6"/>
  <c r="AN390" i="6"/>
  <c r="AA391" i="6"/>
  <c r="Y392" i="6"/>
  <c r="AJ392" i="6"/>
  <c r="AA393" i="6"/>
  <c r="AS393" i="6"/>
  <c r="AH397" i="6"/>
  <c r="AD366" i="6"/>
  <c r="V367" i="6"/>
  <c r="AL367" i="6" s="1"/>
  <c r="AE367" i="6"/>
  <c r="Z370" i="6"/>
  <c r="AH370" i="6"/>
  <c r="AC373" i="6"/>
  <c r="AK373" i="6"/>
  <c r="AD374" i="6"/>
  <c r="V375" i="6"/>
  <c r="AM375" i="6" s="1"/>
  <c r="AE375" i="6"/>
  <c r="Y377" i="6"/>
  <c r="AG377" i="6"/>
  <c r="AO377" i="6"/>
  <c r="Z378" i="6"/>
  <c r="AH378" i="6"/>
  <c r="AC381" i="6"/>
  <c r="AK381" i="6"/>
  <c r="AD382" i="6"/>
  <c r="V383" i="6"/>
  <c r="AE383" i="6"/>
  <c r="Y385" i="6"/>
  <c r="AG385" i="6"/>
  <c r="AO385" i="6"/>
  <c r="Z386" i="6"/>
  <c r="AH386" i="6"/>
  <c r="X388" i="6"/>
  <c r="AH388" i="6"/>
  <c r="AB389" i="6"/>
  <c r="AN389" i="6"/>
  <c r="AF389" i="6"/>
  <c r="X389" i="6"/>
  <c r="AS389" i="6"/>
  <c r="AM391" i="6"/>
  <c r="Z392" i="6"/>
  <c r="AK392" i="6"/>
  <c r="AD393" i="6"/>
  <c r="AA370" i="6"/>
  <c r="AI370" i="6"/>
  <c r="AD373" i="6"/>
  <c r="Z377" i="6"/>
  <c r="AA378" i="6"/>
  <c r="AI378" i="6"/>
  <c r="AD381" i="6"/>
  <c r="Z385" i="6"/>
  <c r="AA386" i="6"/>
  <c r="AI386" i="6"/>
  <c r="AK390" i="6"/>
  <c r="AC390" i="6"/>
  <c r="AO390" i="6"/>
  <c r="AG390" i="6"/>
  <c r="Y390" i="6"/>
  <c r="AF390" i="6"/>
  <c r="AS390" i="6"/>
  <c r="AC391" i="6"/>
  <c r="AB392" i="6"/>
  <c r="AL392" i="6"/>
  <c r="AE393" i="6"/>
  <c r="AK397" i="6"/>
  <c r="AC397" i="6"/>
  <c r="AJ397" i="6"/>
  <c r="AB397" i="6"/>
  <c r="AO397" i="6"/>
  <c r="AG397" i="6"/>
  <c r="Y397" i="6"/>
  <c r="AN397" i="6"/>
  <c r="AF397" i="6"/>
  <c r="X397" i="6"/>
  <c r="AL397" i="6"/>
  <c r="Z391" i="6"/>
  <c r="AH391" i="6"/>
  <c r="AC394" i="6"/>
  <c r="AK394" i="6"/>
  <c r="AD395" i="6"/>
  <c r="Y398" i="6"/>
  <c r="AG398" i="6"/>
  <c r="AO398" i="6"/>
  <c r="Z399" i="6"/>
  <c r="AR399" i="6" s="1"/>
  <c r="AT399" i="6" s="1"/>
  <c r="AC402" i="6"/>
  <c r="AL402" i="6"/>
  <c r="X403" i="6"/>
  <c r="AH403" i="6"/>
  <c r="AS403" i="6"/>
  <c r="AC404" i="6"/>
  <c r="AL404" i="6"/>
  <c r="X405" i="6"/>
  <c r="AG405" i="6"/>
  <c r="AC406" i="6"/>
  <c r="AL406" i="6"/>
  <c r="X407" i="6"/>
  <c r="AG407" i="6"/>
  <c r="AM409" i="6"/>
  <c r="V409" i="6"/>
  <c r="AB409" i="6" s="1"/>
  <c r="AF409" i="6"/>
  <c r="AO409" i="6"/>
  <c r="AO411" i="6"/>
  <c r="Y411" i="6"/>
  <c r="AE411" i="6"/>
  <c r="AN411" i="6"/>
  <c r="AA412" i="6"/>
  <c r="AS413" i="6"/>
  <c r="AI413" i="6"/>
  <c r="AA413" i="6"/>
  <c r="AO413" i="6"/>
  <c r="AG413" i="6"/>
  <c r="AE413" i="6"/>
  <c r="AD414" i="6"/>
  <c r="AN414" i="6"/>
  <c r="AM415" i="6"/>
  <c r="AK419" i="6"/>
  <c r="Y420" i="6"/>
  <c r="AJ420" i="6"/>
  <c r="AJ422" i="6"/>
  <c r="AB422" i="6"/>
  <c r="AH422" i="6"/>
  <c r="Z422" i="6"/>
  <c r="AF422" i="6"/>
  <c r="AS422" i="6"/>
  <c r="AE423" i="6"/>
  <c r="AJ429" i="6"/>
  <c r="AD394" i="6"/>
  <c r="AL394" i="6"/>
  <c r="Z398" i="6"/>
  <c r="AH398" i="6"/>
  <c r="AD402" i="6"/>
  <c r="Z403" i="6"/>
  <c r="AI403" i="6"/>
  <c r="AD404" i="6"/>
  <c r="Y405" i="6"/>
  <c r="AH405" i="6"/>
  <c r="AD406" i="6"/>
  <c r="Y407" i="6"/>
  <c r="AH407" i="6"/>
  <c r="AS407" i="6"/>
  <c r="AE414" i="6"/>
  <c r="AD415" i="6"/>
  <c r="AM417" i="6"/>
  <c r="AE417" i="6"/>
  <c r="V417" i="6"/>
  <c r="AK417" i="6"/>
  <c r="AC417" i="6"/>
  <c r="AG417" i="6"/>
  <c r="AS417" i="6"/>
  <c r="AA420" i="6"/>
  <c r="AK420" i="6"/>
  <c r="AK423" i="6"/>
  <c r="AC423" i="6"/>
  <c r="AS423" i="6"/>
  <c r="AI423" i="6"/>
  <c r="AA423" i="6"/>
  <c r="AF423" i="6"/>
  <c r="AN402" i="6"/>
  <c r="AF402" i="6"/>
  <c r="X402" i="6"/>
  <c r="AE402" i="6"/>
  <c r="AO402" i="6"/>
  <c r="AA403" i="6"/>
  <c r="AJ403" i="6"/>
  <c r="AH404" i="6"/>
  <c r="Z404" i="6"/>
  <c r="AE404" i="6"/>
  <c r="AN404" i="6"/>
  <c r="Z405" i="6"/>
  <c r="AJ405" i="6"/>
  <c r="AJ406" i="6"/>
  <c r="AB406" i="6"/>
  <c r="AE406" i="6"/>
  <c r="AN406" i="6"/>
  <c r="Z407" i="6"/>
  <c r="AI407" i="6"/>
  <c r="AJ414" i="6"/>
  <c r="AB414" i="6"/>
  <c r="AH414" i="6"/>
  <c r="Z414" i="6"/>
  <c r="AF414" i="6"/>
  <c r="AS414" i="6"/>
  <c r="AE415" i="6"/>
  <c r="AB420" i="6"/>
  <c r="AL420" i="6"/>
  <c r="AE424" i="6"/>
  <c r="AK415" i="6"/>
  <c r="AC415" i="6"/>
  <c r="AS415" i="6"/>
  <c r="AI415" i="6"/>
  <c r="AF415" i="6"/>
  <c r="AE429" i="6"/>
  <c r="V429" i="6"/>
  <c r="AM429" i="6" s="1"/>
  <c r="AK429" i="6"/>
  <c r="AC429" i="6"/>
  <c r="AS429" i="6"/>
  <c r="AI429" i="6"/>
  <c r="AA429" i="6"/>
  <c r="AH429" i="6"/>
  <c r="Z429" i="6"/>
  <c r="AO429" i="6"/>
  <c r="AG429" i="6"/>
  <c r="Y429" i="6"/>
  <c r="AD391" i="6"/>
  <c r="Y394" i="6"/>
  <c r="AG394" i="6"/>
  <c r="AC398" i="6"/>
  <c r="AK398" i="6"/>
  <c r="AK399" i="6"/>
  <c r="AC399" i="6"/>
  <c r="AE399" i="6"/>
  <c r="AN399" i="6"/>
  <c r="Y402" i="6"/>
  <c r="AH402" i="6"/>
  <c r="AS402" i="6"/>
  <c r="AC403" i="6"/>
  <c r="AL403" i="6"/>
  <c r="X404" i="6"/>
  <c r="AG404" i="6"/>
  <c r="AS404" i="6"/>
  <c r="AC405" i="6"/>
  <c r="AL405" i="6"/>
  <c r="X406" i="6"/>
  <c r="AG406" i="6"/>
  <c r="AB407" i="6"/>
  <c r="AL407" i="6"/>
  <c r="AA409" i="6"/>
  <c r="AJ409" i="6"/>
  <c r="AN410" i="6"/>
  <c r="AF410" i="6"/>
  <c r="X410" i="6"/>
  <c r="AE410" i="6"/>
  <c r="AO410" i="6"/>
  <c r="AA411" i="6"/>
  <c r="AJ411" i="6"/>
  <c r="AH412" i="6"/>
  <c r="Z412" i="6"/>
  <c r="AE412" i="6"/>
  <c r="AN412" i="6"/>
  <c r="Z413" i="6"/>
  <c r="AK413" i="6"/>
  <c r="X414" i="6"/>
  <c r="AI414" i="6"/>
  <c r="V415" i="6"/>
  <c r="Z415" i="6" s="1"/>
  <c r="AG415" i="6"/>
  <c r="Z417" i="6"/>
  <c r="AJ417" i="6"/>
  <c r="AF419" i="6"/>
  <c r="AD420" i="6"/>
  <c r="AO420" i="6"/>
  <c r="AA422" i="6"/>
  <c r="AL422" i="6"/>
  <c r="Y423" i="6"/>
  <c r="AJ423" i="6"/>
  <c r="X424" i="6"/>
  <c r="X429" i="6"/>
  <c r="AD398" i="6"/>
  <c r="Z402" i="6"/>
  <c r="AI402" i="6"/>
  <c r="AD403" i="6"/>
  <c r="Y404" i="6"/>
  <c r="AI404" i="6"/>
  <c r="AD405" i="6"/>
  <c r="Y406" i="6"/>
  <c r="AH406" i="6"/>
  <c r="AS406" i="6"/>
  <c r="AD407" i="6"/>
  <c r="Y414" i="6"/>
  <c r="AK414" i="6"/>
  <c r="X415" i="6"/>
  <c r="AH415" i="6"/>
  <c r="AA417" i="6"/>
  <c r="AO419" i="6"/>
  <c r="AG419" i="6"/>
  <c r="Y419" i="6"/>
  <c r="AM419" i="6"/>
  <c r="AE419" i="6"/>
  <c r="V419" i="6"/>
  <c r="AH419" i="6"/>
  <c r="AE420" i="6"/>
  <c r="AC422" i="6"/>
  <c r="AM422" i="6"/>
  <c r="Z423" i="6"/>
  <c r="AL423" i="6"/>
  <c r="AB429" i="6"/>
  <c r="AA402" i="6"/>
  <c r="AJ402" i="6"/>
  <c r="AO403" i="6"/>
  <c r="AG403" i="6"/>
  <c r="Y403" i="6"/>
  <c r="AE403" i="6"/>
  <c r="AN403" i="6"/>
  <c r="AA404" i="6"/>
  <c r="AJ404" i="6"/>
  <c r="AS405" i="6"/>
  <c r="AI405" i="6"/>
  <c r="AA405" i="6"/>
  <c r="AE405" i="6"/>
  <c r="AN405" i="6"/>
  <c r="Z406" i="6"/>
  <c r="AI406" i="6"/>
  <c r="AK407" i="6"/>
  <c r="AC407" i="6"/>
  <c r="AE407" i="6"/>
  <c r="AN407" i="6"/>
  <c r="AA414" i="6"/>
  <c r="AL414" i="6"/>
  <c r="Y415" i="6"/>
  <c r="AJ415" i="6"/>
  <c r="AH420" i="6"/>
  <c r="Z420" i="6"/>
  <c r="AN420" i="6"/>
  <c r="AF420" i="6"/>
  <c r="X420" i="6"/>
  <c r="AG420" i="6"/>
  <c r="Z424" i="6"/>
  <c r="AD429" i="6"/>
  <c r="AD418" i="6"/>
  <c r="AL418" i="6"/>
  <c r="AK425" i="6"/>
  <c r="AD426" i="6"/>
  <c r="AL426" i="6"/>
  <c r="X428" i="6"/>
  <c r="AF428" i="6"/>
  <c r="AN428" i="6"/>
  <c r="AD425" i="6"/>
  <c r="AL425" i="6"/>
  <c r="Y428" i="6"/>
  <c r="AG428" i="6"/>
  <c r="AO428" i="6"/>
  <c r="AD400" i="6"/>
  <c r="AD408" i="6"/>
  <c r="AD416" i="6"/>
  <c r="AR416" i="6" s="1"/>
  <c r="AT416" i="6" s="1"/>
  <c r="X418" i="6"/>
  <c r="AF418" i="6"/>
  <c r="AD424" i="6"/>
  <c r="V425" i="6"/>
  <c r="AC425" i="6" s="1"/>
  <c r="AE425" i="6"/>
  <c r="X426" i="6"/>
  <c r="AF426" i="6"/>
  <c r="Z428" i="6"/>
  <c r="AH428" i="6"/>
  <c r="AB428" i="6"/>
  <c r="AJ428" i="6"/>
  <c r="AD428" i="6"/>
  <c r="W7" i="2"/>
  <c r="AE7" i="2"/>
  <c r="W11" i="2"/>
  <c r="AE11" i="2"/>
  <c r="AE15" i="2"/>
  <c r="V2" i="2"/>
  <c r="AD2" i="2"/>
  <c r="X3" i="2"/>
  <c r="Q4" i="2"/>
  <c r="Z4" i="2"/>
  <c r="V6" i="2"/>
  <c r="AD6" i="2"/>
  <c r="X7" i="2"/>
  <c r="Q8" i="2"/>
  <c r="Z8" i="2"/>
  <c r="V10" i="2"/>
  <c r="AD10" i="2"/>
  <c r="X11" i="2"/>
  <c r="Q12" i="2"/>
  <c r="AC12" i="2" s="1"/>
  <c r="Z12" i="2"/>
  <c r="AB13" i="2"/>
  <c r="V14" i="2"/>
  <c r="AD14" i="2"/>
  <c r="X15" i="2"/>
  <c r="Q16" i="2"/>
  <c r="Z16" i="2"/>
  <c r="AB17" i="2"/>
  <c r="V18" i="2"/>
  <c r="X19" i="2"/>
  <c r="Q20" i="2"/>
  <c r="Z20" i="2"/>
  <c r="V22" i="2"/>
  <c r="AD22" i="2"/>
  <c r="X23" i="2"/>
  <c r="Q24" i="2"/>
  <c r="U24" i="2" s="1"/>
  <c r="Z24" i="2"/>
  <c r="T25" i="2"/>
  <c r="AD26" i="2"/>
  <c r="X27" i="2"/>
  <c r="Q28" i="2"/>
  <c r="AC28" i="2" s="1"/>
  <c r="Z28" i="2"/>
  <c r="V30" i="2"/>
  <c r="AD30" i="2"/>
  <c r="Q32" i="2"/>
  <c r="U32" i="2" s="1"/>
  <c r="Z32" i="2"/>
  <c r="V34" i="2"/>
  <c r="AD34" i="2"/>
  <c r="X35" i="2"/>
  <c r="Q36" i="2"/>
  <c r="Z36" i="2"/>
  <c r="V38" i="2"/>
  <c r="AD38" i="2"/>
  <c r="Q40" i="2"/>
  <c r="AC40" i="2" s="1"/>
  <c r="Z40" i="2"/>
  <c r="AD42" i="2"/>
  <c r="Q44" i="2"/>
  <c r="Z44" i="2"/>
  <c r="AD46" i="2"/>
  <c r="Q48" i="2"/>
  <c r="AC48" i="2" s="1"/>
  <c r="Z48" i="2"/>
  <c r="V50" i="2"/>
  <c r="AD50" i="2"/>
  <c r="Q52" i="2"/>
  <c r="Z52" i="2"/>
  <c r="AD54" i="2"/>
  <c r="Q56" i="2"/>
  <c r="AB56" i="2" s="1"/>
  <c r="AA56" i="2"/>
  <c r="U59" i="2"/>
  <c r="T59" i="2"/>
  <c r="AA59" i="2"/>
  <c r="S59" i="2"/>
  <c r="AE59" i="2"/>
  <c r="AE60" i="2"/>
  <c r="W60" i="2"/>
  <c r="AD60" i="2"/>
  <c r="V60" i="2"/>
  <c r="U60" i="2"/>
  <c r="AC63" i="2"/>
  <c r="U63" i="2"/>
  <c r="T63" i="2"/>
  <c r="AA63" i="2"/>
  <c r="S63" i="2"/>
  <c r="Z63" i="2"/>
  <c r="Q63" i="2"/>
  <c r="Y63" i="2" s="1"/>
  <c r="AI63" i="2"/>
  <c r="AD67" i="2"/>
  <c r="AE68" i="2"/>
  <c r="W68" i="2"/>
  <c r="AD68" i="2"/>
  <c r="V68" i="2"/>
  <c r="AC68" i="2"/>
  <c r="U68" i="2"/>
  <c r="AB68" i="2"/>
  <c r="Z68" i="2"/>
  <c r="Q68" i="2"/>
  <c r="T68" i="2" s="1"/>
  <c r="AE71" i="2"/>
  <c r="X72" i="2"/>
  <c r="Y100" i="2"/>
  <c r="X104" i="2"/>
  <c r="AE104" i="2"/>
  <c r="W104" i="2"/>
  <c r="AD104" i="2"/>
  <c r="V104" i="2"/>
  <c r="AC104" i="2"/>
  <c r="AB104" i="2"/>
  <c r="S104" i="2"/>
  <c r="Z104" i="2"/>
  <c r="Q104" i="2"/>
  <c r="T104" i="2" s="1"/>
  <c r="X108" i="2"/>
  <c r="W108" i="2"/>
  <c r="AD108" i="2"/>
  <c r="V108" i="2"/>
  <c r="U108" i="2"/>
  <c r="AA108" i="2"/>
  <c r="S108" i="2"/>
  <c r="Z108" i="2"/>
  <c r="Q108" i="2"/>
  <c r="AC108" i="2" s="1"/>
  <c r="Y116" i="2"/>
  <c r="Y120" i="2"/>
  <c r="Z131" i="2"/>
  <c r="Q131" i="2"/>
  <c r="AB131" i="2" s="1"/>
  <c r="Y131" i="2"/>
  <c r="AI131" i="2"/>
  <c r="X131" i="2"/>
  <c r="W131" i="2"/>
  <c r="V131" i="2"/>
  <c r="AD131" i="2"/>
  <c r="U131" i="2"/>
  <c r="AC131" i="2"/>
  <c r="T131" i="2"/>
  <c r="S131" i="2"/>
  <c r="Y27" i="2"/>
  <c r="AI27" i="2"/>
  <c r="AA28" i="2"/>
  <c r="U29" i="2"/>
  <c r="AC29" i="2"/>
  <c r="W30" i="2"/>
  <c r="Y31" i="2"/>
  <c r="AI31" i="2"/>
  <c r="S32" i="2"/>
  <c r="AA32" i="2"/>
  <c r="U33" i="2"/>
  <c r="AC33" i="2"/>
  <c r="W34" i="2"/>
  <c r="Y35" i="2"/>
  <c r="AI35" i="2"/>
  <c r="S36" i="2"/>
  <c r="AA36" i="2"/>
  <c r="U37" i="2"/>
  <c r="AC37" i="2"/>
  <c r="W38" i="2"/>
  <c r="AE38" i="2"/>
  <c r="Y39" i="2"/>
  <c r="AI39" i="2"/>
  <c r="AA40" i="2"/>
  <c r="W42" i="2"/>
  <c r="AE42" i="2"/>
  <c r="Y43" i="2"/>
  <c r="AI43" i="2"/>
  <c r="S44" i="2"/>
  <c r="AA44" i="2"/>
  <c r="U45" i="2"/>
  <c r="AC45" i="2"/>
  <c r="W46" i="2"/>
  <c r="AE46" i="2"/>
  <c r="Y47" i="2"/>
  <c r="S48" i="2"/>
  <c r="AA48" i="2"/>
  <c r="U49" i="2"/>
  <c r="AC49" i="2"/>
  <c r="W50" i="2"/>
  <c r="AE50" i="2"/>
  <c r="Y51" i="2"/>
  <c r="S52" i="2"/>
  <c r="AA52" i="2"/>
  <c r="U53" i="2"/>
  <c r="AC53" i="2"/>
  <c r="W54" i="2"/>
  <c r="AE54" i="2"/>
  <c r="Y55" i="2"/>
  <c r="S56" i="2"/>
  <c r="Q59" i="2"/>
  <c r="V59" i="2" s="1"/>
  <c r="Q60" i="2"/>
  <c r="Z60" i="2" s="1"/>
  <c r="AD61" i="2"/>
  <c r="V61" i="2"/>
  <c r="S68" i="2"/>
  <c r="Y72" i="2"/>
  <c r="Y104" i="2"/>
  <c r="Y108" i="2"/>
  <c r="X124" i="2"/>
  <c r="AE124" i="2"/>
  <c r="AD124" i="2"/>
  <c r="V124" i="2"/>
  <c r="AC124" i="2"/>
  <c r="U124" i="2"/>
  <c r="T124" i="2"/>
  <c r="AA124" i="2"/>
  <c r="S124" i="2"/>
  <c r="Z124" i="2"/>
  <c r="Q124" i="2"/>
  <c r="Y124" i="2" s="1"/>
  <c r="AA131" i="2"/>
  <c r="AI7" i="2"/>
  <c r="AI19" i="2"/>
  <c r="AI23" i="2"/>
  <c r="X2" i="2"/>
  <c r="Q3" i="2"/>
  <c r="Z3" i="2"/>
  <c r="T4" i="2"/>
  <c r="AB4" i="2"/>
  <c r="X6" i="2"/>
  <c r="Q7" i="2"/>
  <c r="Z7" i="2"/>
  <c r="T8" i="2"/>
  <c r="AB8" i="2"/>
  <c r="X10" i="2"/>
  <c r="Q11" i="2"/>
  <c r="Z11" i="2"/>
  <c r="T12" i="2"/>
  <c r="X14" i="2"/>
  <c r="Q15" i="2"/>
  <c r="Z15" i="2"/>
  <c r="T16" i="2"/>
  <c r="AB16" i="2"/>
  <c r="X18" i="2"/>
  <c r="Q19" i="2"/>
  <c r="Z19" i="2" s="1"/>
  <c r="T20" i="2"/>
  <c r="AB20" i="2"/>
  <c r="X22" i="2"/>
  <c r="Q23" i="2"/>
  <c r="Z23" i="2"/>
  <c r="AB24" i="2"/>
  <c r="X26" i="2"/>
  <c r="Q27" i="2"/>
  <c r="Z27" i="2"/>
  <c r="T28" i="2"/>
  <c r="AB28" i="2"/>
  <c r="X30" i="2"/>
  <c r="T32" i="2"/>
  <c r="T36" i="2"/>
  <c r="AB36" i="2"/>
  <c r="X38" i="2"/>
  <c r="T40" i="2"/>
  <c r="AB40" i="2"/>
  <c r="V41" i="2"/>
  <c r="AD41" i="2"/>
  <c r="X42" i="2"/>
  <c r="T44" i="2"/>
  <c r="AB44" i="2"/>
  <c r="X46" i="2"/>
  <c r="Z47" i="2"/>
  <c r="T48" i="2"/>
  <c r="X50" i="2"/>
  <c r="T52" i="2"/>
  <c r="AB52" i="2"/>
  <c r="X54" i="2"/>
  <c r="Z55" i="2"/>
  <c r="AD56" i="2"/>
  <c r="AA72" i="2"/>
  <c r="AD75" i="2"/>
  <c r="V75" i="2"/>
  <c r="AC75" i="2"/>
  <c r="U75" i="2"/>
  <c r="AB75" i="2"/>
  <c r="S75" i="2"/>
  <c r="Z75" i="2"/>
  <c r="Q75" i="2"/>
  <c r="T75" i="2" s="1"/>
  <c r="X75" i="2"/>
  <c r="AE84" i="2"/>
  <c r="W84" i="2"/>
  <c r="AD84" i="2"/>
  <c r="V84" i="2"/>
  <c r="U84" i="2"/>
  <c r="AB84" i="2"/>
  <c r="AA84" i="2"/>
  <c r="Z84" i="2"/>
  <c r="Q84" i="2"/>
  <c r="Y84" i="2" s="1"/>
  <c r="AE88" i="2"/>
  <c r="W88" i="2"/>
  <c r="AD88" i="2"/>
  <c r="V88" i="2"/>
  <c r="AC88" i="2"/>
  <c r="U88" i="2"/>
  <c r="AA88" i="2"/>
  <c r="S88" i="2"/>
  <c r="Z88" i="2"/>
  <c r="Q88" i="2"/>
  <c r="X88" i="2" s="1"/>
  <c r="AI108" i="2"/>
  <c r="AI3" i="2"/>
  <c r="Y15" i="2"/>
  <c r="Y19" i="2"/>
  <c r="Y2" i="2"/>
  <c r="AI2" i="2"/>
  <c r="AI6" i="2"/>
  <c r="S7" i="2"/>
  <c r="U8" i="2"/>
  <c r="AC8" i="2"/>
  <c r="S11" i="2"/>
  <c r="AA11" i="2"/>
  <c r="U12" i="2"/>
  <c r="Y14" i="2"/>
  <c r="AI14" i="2"/>
  <c r="S15" i="2"/>
  <c r="AA15" i="2"/>
  <c r="U16" i="2"/>
  <c r="AC16" i="2"/>
  <c r="AI18" i="2"/>
  <c r="S19" i="2"/>
  <c r="AA19" i="2"/>
  <c r="U20" i="2"/>
  <c r="AC20" i="2"/>
  <c r="Y22" i="2"/>
  <c r="AI22" i="2"/>
  <c r="S23" i="2"/>
  <c r="AA23" i="2"/>
  <c r="AC24" i="2"/>
  <c r="Y26" i="2"/>
  <c r="AI26" i="2"/>
  <c r="S27" i="2"/>
  <c r="AA27" i="2"/>
  <c r="U28" i="2"/>
  <c r="Y30" i="2"/>
  <c r="AI30" i="2"/>
  <c r="AC32" i="2"/>
  <c r="Y34" i="2"/>
  <c r="AI34" i="2"/>
  <c r="U36" i="2"/>
  <c r="AC36" i="2"/>
  <c r="Y38" i="2"/>
  <c r="AI38" i="2"/>
  <c r="U40" i="2"/>
  <c r="Y42" i="2"/>
  <c r="AI42" i="2"/>
  <c r="U44" i="2"/>
  <c r="AC44" i="2"/>
  <c r="Y46" i="2"/>
  <c r="AI46" i="2"/>
  <c r="U48" i="2"/>
  <c r="Y50" i="2"/>
  <c r="AI50" i="2"/>
  <c r="U52" i="2"/>
  <c r="AC52" i="2"/>
  <c r="Y54" i="2"/>
  <c r="AI54" i="2"/>
  <c r="AE56" i="2"/>
  <c r="X57" i="2"/>
  <c r="AE57" i="2"/>
  <c r="W57" i="2"/>
  <c r="AA57" i="2"/>
  <c r="AC67" i="2"/>
  <c r="U67" i="2"/>
  <c r="AB67" i="2"/>
  <c r="T67" i="2"/>
  <c r="AA67" i="2"/>
  <c r="S67" i="2"/>
  <c r="Z67" i="2"/>
  <c r="Q67" i="2"/>
  <c r="AI67" i="2"/>
  <c r="AC71" i="2"/>
  <c r="U71" i="2"/>
  <c r="AB71" i="2"/>
  <c r="T71" i="2"/>
  <c r="AA71" i="2"/>
  <c r="S71" i="2"/>
  <c r="Z71" i="2"/>
  <c r="Q71" i="2"/>
  <c r="X71" i="2"/>
  <c r="X76" i="2"/>
  <c r="W76" i="2"/>
  <c r="AD76" i="2"/>
  <c r="V76" i="2"/>
  <c r="U76" i="2"/>
  <c r="AB76" i="2"/>
  <c r="S76" i="2"/>
  <c r="Z76" i="2"/>
  <c r="Q76" i="2"/>
  <c r="AE76" i="2" s="1"/>
  <c r="X92" i="2"/>
  <c r="AE92" i="2"/>
  <c r="W92" i="2"/>
  <c r="AD92" i="2"/>
  <c r="V92" i="2"/>
  <c r="AC92" i="2"/>
  <c r="AB92" i="2"/>
  <c r="T92" i="2"/>
  <c r="AA92" i="2"/>
  <c r="S92" i="2"/>
  <c r="Z92" i="2"/>
  <c r="Q92" i="2"/>
  <c r="U92" i="2" s="1"/>
  <c r="Y11" i="2"/>
  <c r="U4" i="2"/>
  <c r="AC4" i="2"/>
  <c r="Y6" i="2"/>
  <c r="Y10" i="2"/>
  <c r="AI10" i="2"/>
  <c r="T3" i="2"/>
  <c r="AB3" i="2"/>
  <c r="V4" i="2"/>
  <c r="AD4" i="2"/>
  <c r="Q6" i="2"/>
  <c r="Z6" i="2"/>
  <c r="T7" i="2"/>
  <c r="AB7" i="2"/>
  <c r="V8" i="2"/>
  <c r="AD8" i="2"/>
  <c r="Q10" i="2"/>
  <c r="Z10" i="2"/>
  <c r="T11" i="2"/>
  <c r="AB11" i="2"/>
  <c r="V12" i="2"/>
  <c r="AD12" i="2"/>
  <c r="Q14" i="2"/>
  <c r="AB14" i="2" s="1"/>
  <c r="Z14" i="2"/>
  <c r="T15" i="2"/>
  <c r="AB15" i="2"/>
  <c r="V16" i="2"/>
  <c r="AD16" i="2"/>
  <c r="Q18" i="2"/>
  <c r="AC18" i="2" s="1"/>
  <c r="Z18" i="2"/>
  <c r="V20" i="2"/>
  <c r="AD20" i="2"/>
  <c r="Q22" i="2"/>
  <c r="Z22" i="2"/>
  <c r="T23" i="2"/>
  <c r="AB23" i="2"/>
  <c r="AD24" i="2"/>
  <c r="Q26" i="2"/>
  <c r="W26" i="2" s="1"/>
  <c r="Z26" i="2"/>
  <c r="T27" i="2"/>
  <c r="AB27" i="2"/>
  <c r="AD28" i="2"/>
  <c r="Q30" i="2"/>
  <c r="AE30" i="2" s="1"/>
  <c r="Z30" i="2"/>
  <c r="V32" i="2"/>
  <c r="AD32" i="2"/>
  <c r="Q34" i="2"/>
  <c r="AC34" i="2" s="1"/>
  <c r="Z34" i="2"/>
  <c r="V36" i="2"/>
  <c r="AD36" i="2"/>
  <c r="Q38" i="2"/>
  <c r="AC38" i="2" s="1"/>
  <c r="Z38" i="2"/>
  <c r="V40" i="2"/>
  <c r="AD40" i="2"/>
  <c r="Q42" i="2"/>
  <c r="U42" i="2" s="1"/>
  <c r="Z42" i="2"/>
  <c r="V44" i="2"/>
  <c r="AD44" i="2"/>
  <c r="Q46" i="2"/>
  <c r="AC46" i="2" s="1"/>
  <c r="Z46" i="2"/>
  <c r="AB47" i="2"/>
  <c r="AD48" i="2"/>
  <c r="Q50" i="2"/>
  <c r="Z50" i="2"/>
  <c r="V52" i="2"/>
  <c r="AD52" i="2"/>
  <c r="Q54" i="2"/>
  <c r="U54" i="2" s="1"/>
  <c r="Z54" i="2"/>
  <c r="AB55" i="2"/>
  <c r="W56" i="2"/>
  <c r="Q57" i="2"/>
  <c r="Y57" i="2" s="1"/>
  <c r="AB57" i="2"/>
  <c r="V67" i="2"/>
  <c r="AA68" i="2"/>
  <c r="V71" i="2"/>
  <c r="Y75" i="2"/>
  <c r="Y76" i="2"/>
  <c r="AI84" i="2"/>
  <c r="AI88" i="2"/>
  <c r="Y92" i="2"/>
  <c r="X96" i="2"/>
  <c r="AE96" i="2"/>
  <c r="W96" i="2"/>
  <c r="AD96" i="2"/>
  <c r="V96" i="2"/>
  <c r="AC96" i="2"/>
  <c r="U96" i="2"/>
  <c r="AB96" i="2"/>
  <c r="T96" i="2"/>
  <c r="AA96" i="2"/>
  <c r="S96" i="2"/>
  <c r="Z96" i="2"/>
  <c r="Q96" i="2"/>
  <c r="X112" i="2"/>
  <c r="AE112" i="2"/>
  <c r="W112" i="2"/>
  <c r="AD112" i="2"/>
  <c r="V112" i="2"/>
  <c r="AC112" i="2"/>
  <c r="U112" i="2"/>
  <c r="AB112" i="2"/>
  <c r="T112" i="2"/>
  <c r="AA112" i="2"/>
  <c r="S112" i="2"/>
  <c r="Z112" i="2"/>
  <c r="Q112" i="2"/>
  <c r="AA143" i="2"/>
  <c r="S143" i="2"/>
  <c r="Z143" i="2"/>
  <c r="Q143" i="2"/>
  <c r="T143" i="2" s="1"/>
  <c r="AE143" i="2"/>
  <c r="W143" i="2"/>
  <c r="AD143" i="2"/>
  <c r="V143" i="2"/>
  <c r="AI143" i="2"/>
  <c r="AC143" i="2"/>
  <c r="Y143" i="2"/>
  <c r="X143" i="2"/>
  <c r="Y3" i="2"/>
  <c r="Y7" i="2"/>
  <c r="AI11" i="2"/>
  <c r="S3" i="2"/>
  <c r="AA3" i="2"/>
  <c r="AA7" i="2"/>
  <c r="Q2" i="2"/>
  <c r="Z2" i="2"/>
  <c r="S2" i="2"/>
  <c r="U3" i="2"/>
  <c r="AC3" i="2"/>
  <c r="W4" i="2"/>
  <c r="AE4" i="2"/>
  <c r="Y5" i="2"/>
  <c r="S6" i="2"/>
  <c r="AA6" i="2"/>
  <c r="U7" i="2"/>
  <c r="AC7" i="2"/>
  <c r="W8" i="2"/>
  <c r="AE8" i="2"/>
  <c r="Y9" i="2"/>
  <c r="S10" i="2"/>
  <c r="AA10" i="2"/>
  <c r="U11" i="2"/>
  <c r="AC11" i="2"/>
  <c r="W12" i="2"/>
  <c r="AE12" i="2"/>
  <c r="Y13" i="2"/>
  <c r="S14" i="2"/>
  <c r="AA14" i="2"/>
  <c r="U15" i="2"/>
  <c r="AC15" i="2"/>
  <c r="W16" i="2"/>
  <c r="AE16" i="2"/>
  <c r="Y17" i="2"/>
  <c r="S18" i="2"/>
  <c r="AA18" i="2"/>
  <c r="U19" i="2"/>
  <c r="AC19" i="2"/>
  <c r="W20" i="2"/>
  <c r="AE20" i="2"/>
  <c r="Y21" i="2"/>
  <c r="AH21" i="2" s="1"/>
  <c r="AJ21" i="2" s="1"/>
  <c r="S22" i="2"/>
  <c r="AA22" i="2"/>
  <c r="U23" i="2"/>
  <c r="AC23" i="2"/>
  <c r="W24" i="2"/>
  <c r="AE24" i="2"/>
  <c r="Y25" i="2"/>
  <c r="S26" i="2"/>
  <c r="AA26" i="2"/>
  <c r="U27" i="2"/>
  <c r="AC27" i="2"/>
  <c r="W28" i="2"/>
  <c r="AE28" i="2"/>
  <c r="Y29" i="2"/>
  <c r="S30" i="2"/>
  <c r="AA30" i="2"/>
  <c r="W32" i="2"/>
  <c r="Y33" i="2"/>
  <c r="S34" i="2"/>
  <c r="AA34" i="2"/>
  <c r="U35" i="2"/>
  <c r="AH35" i="2" s="1"/>
  <c r="AJ35" i="2" s="1"/>
  <c r="W36" i="2"/>
  <c r="AE36" i="2"/>
  <c r="Y37" i="2"/>
  <c r="S38" i="2"/>
  <c r="AA38" i="2"/>
  <c r="U39" i="2"/>
  <c r="W40" i="2"/>
  <c r="AE40" i="2"/>
  <c r="Y41" i="2"/>
  <c r="S42" i="2"/>
  <c r="AA42" i="2"/>
  <c r="U43" i="2"/>
  <c r="W44" i="2"/>
  <c r="AE44" i="2"/>
  <c r="Y45" i="2"/>
  <c r="S46" i="2"/>
  <c r="AA46" i="2"/>
  <c r="W48" i="2"/>
  <c r="AE48" i="2"/>
  <c r="Y49" i="2"/>
  <c r="S50" i="2"/>
  <c r="AA50" i="2"/>
  <c r="W52" i="2"/>
  <c r="AE52" i="2"/>
  <c r="Y53" i="2"/>
  <c r="S54" i="2"/>
  <c r="AA54" i="2"/>
  <c r="U55" i="2"/>
  <c r="X56" i="2"/>
  <c r="AI56" i="2"/>
  <c r="S57" i="2"/>
  <c r="AC57" i="2"/>
  <c r="Y59" i="2"/>
  <c r="AD63" i="2"/>
  <c r="AE64" i="2"/>
  <c r="W64" i="2"/>
  <c r="AD64" i="2"/>
  <c r="V64" i="2"/>
  <c r="AC64" i="2"/>
  <c r="U64" i="2"/>
  <c r="AB64" i="2"/>
  <c r="T64" i="2"/>
  <c r="AI64" i="2"/>
  <c r="W67" i="2"/>
  <c r="W71" i="2"/>
  <c r="AI76" i="2"/>
  <c r="AI92" i="2"/>
  <c r="Y96" i="2"/>
  <c r="Y112" i="2"/>
  <c r="X128" i="2"/>
  <c r="AE128" i="2"/>
  <c r="W128" i="2"/>
  <c r="AD128" i="2"/>
  <c r="V128" i="2"/>
  <c r="AC128" i="2"/>
  <c r="T128" i="2"/>
  <c r="S128" i="2"/>
  <c r="Z128" i="2"/>
  <c r="Q128" i="2"/>
  <c r="AA128" i="2" s="1"/>
  <c r="AI15" i="2"/>
  <c r="V3" i="2"/>
  <c r="AD3" i="2"/>
  <c r="X4" i="2"/>
  <c r="T6" i="2"/>
  <c r="V7" i="2"/>
  <c r="X8" i="2"/>
  <c r="T10" i="2"/>
  <c r="V11" i="2"/>
  <c r="X12" i="2"/>
  <c r="T14" i="2"/>
  <c r="V15" i="2"/>
  <c r="AD15" i="2"/>
  <c r="X16" i="2"/>
  <c r="T18" i="2"/>
  <c r="V19" i="2"/>
  <c r="AD19" i="2"/>
  <c r="X20" i="2"/>
  <c r="T22" i="2"/>
  <c r="V23" i="2"/>
  <c r="AD23" i="2"/>
  <c r="X24" i="2"/>
  <c r="T26" i="2"/>
  <c r="V27" i="2"/>
  <c r="AD27" i="2"/>
  <c r="X28" i="2"/>
  <c r="T30" i="2"/>
  <c r="X32" i="2"/>
  <c r="T34" i="2"/>
  <c r="X36" i="2"/>
  <c r="T38" i="2"/>
  <c r="X44" i="2"/>
  <c r="T46" i="2"/>
  <c r="X48" i="2"/>
  <c r="T50" i="2"/>
  <c r="X52" i="2"/>
  <c r="T54" i="2"/>
  <c r="T57" i="2"/>
  <c r="AD57" i="2"/>
  <c r="X67" i="2"/>
  <c r="Y71" i="2"/>
  <c r="W72" i="2"/>
  <c r="AD72" i="2"/>
  <c r="V72" i="2"/>
  <c r="U72" i="2"/>
  <c r="AB72" i="2"/>
  <c r="T72" i="2"/>
  <c r="Z72" i="2"/>
  <c r="Q72" i="2"/>
  <c r="AC72" i="2" s="1"/>
  <c r="X80" i="2"/>
  <c r="W80" i="2"/>
  <c r="AD80" i="2"/>
  <c r="V80" i="2"/>
  <c r="U80" i="2"/>
  <c r="AB80" i="2"/>
  <c r="T80" i="2"/>
  <c r="S80" i="2"/>
  <c r="Z80" i="2"/>
  <c r="Q80" i="2"/>
  <c r="AE80" i="2" s="1"/>
  <c r="W3" i="2"/>
  <c r="Y4" i="2"/>
  <c r="Y8" i="2"/>
  <c r="Y16" i="2"/>
  <c r="W19" i="2"/>
  <c r="Y20" i="2"/>
  <c r="W23" i="2"/>
  <c r="Y24" i="2"/>
  <c r="W27" i="2"/>
  <c r="Y28" i="2"/>
  <c r="Y32" i="2"/>
  <c r="Y36" i="2"/>
  <c r="Y40" i="2"/>
  <c r="Y44" i="2"/>
  <c r="Y48" i="2"/>
  <c r="Y52" i="2"/>
  <c r="AC56" i="2"/>
  <c r="U56" i="2"/>
  <c r="Z56" i="2"/>
  <c r="AD71" i="2"/>
  <c r="X100" i="2"/>
  <c r="AE100" i="2"/>
  <c r="W100" i="2"/>
  <c r="AD100" i="2"/>
  <c r="V100" i="2"/>
  <c r="AC100" i="2"/>
  <c r="U100" i="2"/>
  <c r="AB100" i="2"/>
  <c r="T100" i="2"/>
  <c r="AA100" i="2"/>
  <c r="S100" i="2"/>
  <c r="Z100" i="2"/>
  <c r="Q100" i="2"/>
  <c r="X116" i="2"/>
  <c r="W116" i="2"/>
  <c r="AD116" i="2"/>
  <c r="V116" i="2"/>
  <c r="AC116" i="2"/>
  <c r="AB116" i="2"/>
  <c r="T116" i="2"/>
  <c r="S116" i="2"/>
  <c r="Z116" i="2"/>
  <c r="Q116" i="2"/>
  <c r="U116" i="2" s="1"/>
  <c r="X120" i="2"/>
  <c r="AE120" i="2"/>
  <c r="W120" i="2"/>
  <c r="AD120" i="2"/>
  <c r="V120" i="2"/>
  <c r="AC120" i="2"/>
  <c r="U120" i="2"/>
  <c r="AA120" i="2"/>
  <c r="S120" i="2"/>
  <c r="Z120" i="2"/>
  <c r="Q120" i="2"/>
  <c r="AB120" i="2" s="1"/>
  <c r="X79" i="2"/>
  <c r="X83" i="2"/>
  <c r="X87" i="2"/>
  <c r="T89" i="2"/>
  <c r="X91" i="2"/>
  <c r="X95" i="2"/>
  <c r="AB97" i="2"/>
  <c r="T101" i="2"/>
  <c r="X103" i="2"/>
  <c r="AB105" i="2"/>
  <c r="X107" i="2"/>
  <c r="X111" i="2"/>
  <c r="X115" i="2"/>
  <c r="X119" i="2"/>
  <c r="AB121" i="2"/>
  <c r="X123" i="2"/>
  <c r="X127" i="2"/>
  <c r="T129" i="2"/>
  <c r="AC136" i="2"/>
  <c r="U136" i="2"/>
  <c r="AB136" i="2"/>
  <c r="T136" i="2"/>
  <c r="X136" i="2"/>
  <c r="AD136" i="2"/>
  <c r="X137" i="2"/>
  <c r="AE137" i="2"/>
  <c r="W137" i="2"/>
  <c r="AD137" i="2"/>
  <c r="V137" i="2"/>
  <c r="S137" i="2"/>
  <c r="Z137" i="2"/>
  <c r="Q137" i="2"/>
  <c r="AA137" i="2" s="1"/>
  <c r="U145" i="2"/>
  <c r="AB147" i="2"/>
  <c r="T147" i="2"/>
  <c r="AA147" i="2"/>
  <c r="S147" i="2"/>
  <c r="Z147" i="2"/>
  <c r="Q147" i="2"/>
  <c r="X147" i="2"/>
  <c r="AE147" i="2"/>
  <c r="W147" i="2"/>
  <c r="AD147" i="2"/>
  <c r="V147" i="2"/>
  <c r="AC147" i="2"/>
  <c r="U147" i="2"/>
  <c r="Y79" i="2"/>
  <c r="AI79" i="2"/>
  <c r="AI83" i="2"/>
  <c r="Y87" i="2"/>
  <c r="AI87" i="2"/>
  <c r="Y91" i="2"/>
  <c r="AI91" i="2"/>
  <c r="Y95" i="2"/>
  <c r="AI95" i="2"/>
  <c r="Y99" i="2"/>
  <c r="AI99" i="2"/>
  <c r="Y103" i="2"/>
  <c r="AI103" i="2"/>
  <c r="Y107" i="2"/>
  <c r="AI107" i="2"/>
  <c r="Y111" i="2"/>
  <c r="AI111" i="2"/>
  <c r="Y115" i="2"/>
  <c r="AI115" i="2"/>
  <c r="Y119" i="2"/>
  <c r="AI119" i="2"/>
  <c r="Y123" i="2"/>
  <c r="AI123" i="2"/>
  <c r="Y127" i="2"/>
  <c r="AI127" i="2"/>
  <c r="AA135" i="2"/>
  <c r="S135" i="2"/>
  <c r="Z135" i="2"/>
  <c r="Q135" i="2"/>
  <c r="AB135" i="2" s="1"/>
  <c r="AD135" i="2"/>
  <c r="V135" i="2"/>
  <c r="Y145" i="2"/>
  <c r="Q79" i="2"/>
  <c r="Z79" i="2"/>
  <c r="Q83" i="2"/>
  <c r="AB83" i="2" s="1"/>
  <c r="Z83" i="2"/>
  <c r="Q87" i="2"/>
  <c r="AD87" i="2" s="1"/>
  <c r="Z87" i="2"/>
  <c r="Q91" i="2"/>
  <c r="Z91" i="2"/>
  <c r="Q95" i="2"/>
  <c r="Z95" i="2"/>
  <c r="Q99" i="2"/>
  <c r="T99" i="2" s="1"/>
  <c r="Z99" i="2"/>
  <c r="X102" i="2"/>
  <c r="Q103" i="2"/>
  <c r="AB103" i="2" s="1"/>
  <c r="Z103" i="2"/>
  <c r="X106" i="2"/>
  <c r="Q107" i="2"/>
  <c r="AE107" i="2" s="1"/>
  <c r="Z107" i="2"/>
  <c r="X110" i="2"/>
  <c r="Q111" i="2"/>
  <c r="Z111" i="2" s="1"/>
  <c r="Q115" i="2"/>
  <c r="Z115" i="2"/>
  <c r="X118" i="2"/>
  <c r="Q119" i="2"/>
  <c r="AC119" i="2" s="1"/>
  <c r="Z119" i="2"/>
  <c r="X122" i="2"/>
  <c r="Q123" i="2"/>
  <c r="Z123" i="2"/>
  <c r="X126" i="2"/>
  <c r="Q127" i="2"/>
  <c r="Z127" i="2"/>
  <c r="Y130" i="2"/>
  <c r="AC132" i="2"/>
  <c r="AB132" i="2"/>
  <c r="T132" i="2"/>
  <c r="Z132" i="2"/>
  <c r="S136" i="2"/>
  <c r="AI136" i="2"/>
  <c r="U137" i="2"/>
  <c r="Y58" i="2"/>
  <c r="W61" i="2"/>
  <c r="AE61" i="2"/>
  <c r="Y62" i="2"/>
  <c r="W65" i="2"/>
  <c r="AE65" i="2"/>
  <c r="Y66" i="2"/>
  <c r="W69" i="2"/>
  <c r="AE69" i="2"/>
  <c r="Y70" i="2"/>
  <c r="AE73" i="2"/>
  <c r="Y74" i="2"/>
  <c r="W77" i="2"/>
  <c r="AE77" i="2"/>
  <c r="Y78" i="2"/>
  <c r="AI78" i="2"/>
  <c r="S79" i="2"/>
  <c r="AA79" i="2"/>
  <c r="Y82" i="2"/>
  <c r="AI82" i="2"/>
  <c r="S83" i="2"/>
  <c r="AA83" i="2"/>
  <c r="Y86" i="2"/>
  <c r="AI86" i="2"/>
  <c r="S87" i="2"/>
  <c r="AA87" i="2"/>
  <c r="Y90" i="2"/>
  <c r="AI90" i="2"/>
  <c r="S91" i="2"/>
  <c r="AA91" i="2"/>
  <c r="Y94" i="2"/>
  <c r="AI94" i="2"/>
  <c r="S95" i="2"/>
  <c r="AA95" i="2"/>
  <c r="Y98" i="2"/>
  <c r="AI98" i="2"/>
  <c r="S99" i="2"/>
  <c r="AA99" i="2"/>
  <c r="Y102" i="2"/>
  <c r="AI102" i="2"/>
  <c r="S103" i="2"/>
  <c r="AA103" i="2"/>
  <c r="Y106" i="2"/>
  <c r="AI106" i="2"/>
  <c r="S107" i="2"/>
  <c r="AA107" i="2"/>
  <c r="Y110" i="2"/>
  <c r="AI110" i="2"/>
  <c r="S111" i="2"/>
  <c r="AA111" i="2"/>
  <c r="Y114" i="2"/>
  <c r="AI114" i="2"/>
  <c r="S115" i="2"/>
  <c r="AA115" i="2"/>
  <c r="Y118" i="2"/>
  <c r="AI118" i="2"/>
  <c r="S119" i="2"/>
  <c r="AA119" i="2"/>
  <c r="AI122" i="2"/>
  <c r="S123" i="2"/>
  <c r="AA123" i="2"/>
  <c r="Y126" i="2"/>
  <c r="AI126" i="2"/>
  <c r="S127" i="2"/>
  <c r="AA127" i="2"/>
  <c r="Z130" i="2"/>
  <c r="AI135" i="2"/>
  <c r="X141" i="2"/>
  <c r="W141" i="2"/>
  <c r="AD141" i="2"/>
  <c r="AA141" i="2"/>
  <c r="S141" i="2"/>
  <c r="Q141" i="2"/>
  <c r="AB141" i="2" s="1"/>
  <c r="AC145" i="2"/>
  <c r="X61" i="2"/>
  <c r="X65" i="2"/>
  <c r="X69" i="2"/>
  <c r="X77" i="2"/>
  <c r="Q78" i="2"/>
  <c r="Z78" i="2"/>
  <c r="T79" i="2"/>
  <c r="AB79" i="2"/>
  <c r="X81" i="2"/>
  <c r="Q82" i="2"/>
  <c r="Z82" i="2"/>
  <c r="T83" i="2"/>
  <c r="Q86" i="2"/>
  <c r="Z86" i="2"/>
  <c r="T87" i="2"/>
  <c r="AB87" i="2"/>
  <c r="X89" i="2"/>
  <c r="Q90" i="2"/>
  <c r="Z90" i="2"/>
  <c r="T91" i="2"/>
  <c r="AB91" i="2"/>
  <c r="X93" i="2"/>
  <c r="Q94" i="2"/>
  <c r="Z94" i="2"/>
  <c r="T95" i="2"/>
  <c r="AB95" i="2"/>
  <c r="X97" i="2"/>
  <c r="Q98" i="2"/>
  <c r="Z98" i="2"/>
  <c r="X101" i="2"/>
  <c r="Q102" i="2"/>
  <c r="Z102" i="2" s="1"/>
  <c r="T103" i="2"/>
  <c r="X105" i="2"/>
  <c r="Q106" i="2"/>
  <c r="Z106" i="2"/>
  <c r="X109" i="2"/>
  <c r="Q110" i="2"/>
  <c r="Z110" i="2"/>
  <c r="T111" i="2"/>
  <c r="X113" i="2"/>
  <c r="Q114" i="2"/>
  <c r="Z114" i="2"/>
  <c r="T115" i="2"/>
  <c r="AB115" i="2"/>
  <c r="X117" i="2"/>
  <c r="Q118" i="2"/>
  <c r="Z118" i="2"/>
  <c r="T119" i="2"/>
  <c r="AB119" i="2"/>
  <c r="X121" i="2"/>
  <c r="Q122" i="2"/>
  <c r="Y122" i="2" s="1"/>
  <c r="Z122" i="2"/>
  <c r="T123" i="2"/>
  <c r="AB123" i="2"/>
  <c r="Q126" i="2"/>
  <c r="Z126" i="2"/>
  <c r="T127" i="2"/>
  <c r="AB127" i="2"/>
  <c r="Q130" i="2"/>
  <c r="T130" i="2" s="1"/>
  <c r="S132" i="2"/>
  <c r="AD132" i="2"/>
  <c r="W135" i="2"/>
  <c r="W136" i="2"/>
  <c r="AB137" i="2"/>
  <c r="AB139" i="2"/>
  <c r="T139" i="2"/>
  <c r="S139" i="2"/>
  <c r="Z139" i="2"/>
  <c r="Q139" i="2"/>
  <c r="AE139" i="2"/>
  <c r="W139" i="2"/>
  <c r="AD139" i="2"/>
  <c r="V139" i="2"/>
  <c r="T141" i="2"/>
  <c r="Y61" i="2"/>
  <c r="Y65" i="2"/>
  <c r="Y69" i="2"/>
  <c r="Y73" i="2"/>
  <c r="Y77" i="2"/>
  <c r="S78" i="2"/>
  <c r="U79" i="2"/>
  <c r="AC79" i="2"/>
  <c r="Y81" i="2"/>
  <c r="S82" i="2"/>
  <c r="U83" i="2"/>
  <c r="Y85" i="2"/>
  <c r="S86" i="2"/>
  <c r="U87" i="2"/>
  <c r="AC87" i="2"/>
  <c r="Y89" i="2"/>
  <c r="S90" i="2"/>
  <c r="U91" i="2"/>
  <c r="AC91" i="2"/>
  <c r="Y93" i="2"/>
  <c r="S94" i="2"/>
  <c r="U95" i="2"/>
  <c r="AC95" i="2"/>
  <c r="Y97" i="2"/>
  <c r="S98" i="2"/>
  <c r="U99" i="2"/>
  <c r="AC99" i="2"/>
  <c r="Y101" i="2"/>
  <c r="S102" i="2"/>
  <c r="U103" i="2"/>
  <c r="AC103" i="2"/>
  <c r="Y105" i="2"/>
  <c r="S106" i="2"/>
  <c r="U107" i="2"/>
  <c r="AC107" i="2"/>
  <c r="Y109" i="2"/>
  <c r="S110" i="2"/>
  <c r="U111" i="2"/>
  <c r="AC111" i="2"/>
  <c r="Y113" i="2"/>
  <c r="S114" i="2"/>
  <c r="U115" i="2"/>
  <c r="AC115" i="2"/>
  <c r="Y117" i="2"/>
  <c r="S118" i="2"/>
  <c r="U119" i="2"/>
  <c r="Y121" i="2"/>
  <c r="S122" i="2"/>
  <c r="U123" i="2"/>
  <c r="AC123" i="2"/>
  <c r="Y125" i="2"/>
  <c r="S126" i="2"/>
  <c r="U127" i="2"/>
  <c r="AC127" i="2"/>
  <c r="Y129" i="2"/>
  <c r="S130" i="2"/>
  <c r="U132" i="2"/>
  <c r="AE132" i="2"/>
  <c r="AE133" i="2"/>
  <c r="W133" i="2"/>
  <c r="AD133" i="2"/>
  <c r="V133" i="2"/>
  <c r="AA133" i="2"/>
  <c r="X135" i="2"/>
  <c r="Y136" i="2"/>
  <c r="AC137" i="2"/>
  <c r="U141" i="2"/>
  <c r="V79" i="2"/>
  <c r="V83" i="2"/>
  <c r="V87" i="2"/>
  <c r="V91" i="2"/>
  <c r="V95" i="2"/>
  <c r="V99" i="2"/>
  <c r="V103" i="2"/>
  <c r="V107" i="2"/>
  <c r="V111" i="2"/>
  <c r="V115" i="2"/>
  <c r="V127" i="2"/>
  <c r="X145" i="2"/>
  <c r="W145" i="2"/>
  <c r="AD145" i="2"/>
  <c r="V145" i="2"/>
  <c r="AA145" i="2"/>
  <c r="S145" i="2"/>
  <c r="Z145" i="2"/>
  <c r="Q145" i="2"/>
  <c r="T145" i="2" s="1"/>
  <c r="Y149" i="2"/>
  <c r="AI149" i="2"/>
  <c r="U151" i="2"/>
  <c r="Y153" i="2"/>
  <c r="AI153" i="2"/>
  <c r="U155" i="2"/>
  <c r="AC155" i="2"/>
  <c r="Y157" i="2"/>
  <c r="AI157" i="2"/>
  <c r="U159" i="2"/>
  <c r="AC159" i="2"/>
  <c r="Y161" i="2"/>
  <c r="AI161" i="2"/>
  <c r="V168" i="2"/>
  <c r="AE168" i="2"/>
  <c r="AD169" i="2"/>
  <c r="V169" i="2"/>
  <c r="Z169" i="2"/>
  <c r="U170" i="2"/>
  <c r="AD170" i="2"/>
  <c r="V178" i="2"/>
  <c r="Y180" i="2"/>
  <c r="X193" i="2"/>
  <c r="AE193" i="2"/>
  <c r="AD193" i="2"/>
  <c r="V193" i="2"/>
  <c r="AC193" i="2"/>
  <c r="AB193" i="2"/>
  <c r="T193" i="2"/>
  <c r="S193" i="2"/>
  <c r="Z193" i="2"/>
  <c r="Q193" i="2"/>
  <c r="W193" i="2" s="1"/>
  <c r="AE197" i="2"/>
  <c r="W197" i="2"/>
  <c r="AD197" i="2"/>
  <c r="V197" i="2"/>
  <c r="AC197" i="2"/>
  <c r="U197" i="2"/>
  <c r="AB197" i="2"/>
  <c r="S197" i="2"/>
  <c r="Z197" i="2"/>
  <c r="Q197" i="2"/>
  <c r="X197" i="2" s="1"/>
  <c r="X205" i="2"/>
  <c r="AE205" i="2"/>
  <c r="W205" i="2"/>
  <c r="V205" i="2"/>
  <c r="AC205" i="2"/>
  <c r="U205" i="2"/>
  <c r="AB205" i="2"/>
  <c r="AA205" i="2"/>
  <c r="S205" i="2"/>
  <c r="Z205" i="2"/>
  <c r="Q205" i="2"/>
  <c r="T205" i="2" s="1"/>
  <c r="X232" i="2"/>
  <c r="AE232" i="2"/>
  <c r="W232" i="2"/>
  <c r="AC232" i="2"/>
  <c r="U232" i="2"/>
  <c r="AB232" i="2"/>
  <c r="T232" i="2"/>
  <c r="AA232" i="2"/>
  <c r="S232" i="2"/>
  <c r="AI232" i="2"/>
  <c r="Z232" i="2"/>
  <c r="Y232" i="2"/>
  <c r="Q232" i="2"/>
  <c r="V232" i="2" s="1"/>
  <c r="X140" i="2"/>
  <c r="X144" i="2"/>
  <c r="AB146" i="2"/>
  <c r="X148" i="2"/>
  <c r="Q149" i="2"/>
  <c r="Z149" i="2"/>
  <c r="AB150" i="2"/>
  <c r="V151" i="2"/>
  <c r="AD151" i="2"/>
  <c r="X152" i="2"/>
  <c r="Q153" i="2"/>
  <c r="Z153" i="2"/>
  <c r="T154" i="2"/>
  <c r="AB154" i="2"/>
  <c r="V155" i="2"/>
  <c r="AD155" i="2"/>
  <c r="X156" i="2"/>
  <c r="Q157" i="2"/>
  <c r="X157" i="2" s="1"/>
  <c r="Z157" i="2"/>
  <c r="AB158" i="2"/>
  <c r="V159" i="2"/>
  <c r="AD159" i="2"/>
  <c r="X160" i="2"/>
  <c r="Q161" i="2"/>
  <c r="Z161" i="2"/>
  <c r="T162" i="2"/>
  <c r="AD165" i="2"/>
  <c r="V165" i="2"/>
  <c r="Z165" i="2"/>
  <c r="Z167" i="2"/>
  <c r="Q167" i="2"/>
  <c r="AA167" i="2"/>
  <c r="W168" i="2"/>
  <c r="Q169" i="2"/>
  <c r="S169" i="2" s="1"/>
  <c r="AA169" i="2"/>
  <c r="V170" i="2"/>
  <c r="AE170" i="2"/>
  <c r="U172" i="2"/>
  <c r="AI172" i="2"/>
  <c r="T173" i="2"/>
  <c r="AI173" i="2"/>
  <c r="Y178" i="2"/>
  <c r="Z180" i="2"/>
  <c r="Y193" i="2"/>
  <c r="Y197" i="2"/>
  <c r="X217" i="2"/>
  <c r="AE217" i="2"/>
  <c r="W217" i="2"/>
  <c r="AD217" i="2"/>
  <c r="V217" i="2"/>
  <c r="AC217" i="2"/>
  <c r="U217" i="2"/>
  <c r="AB217" i="2"/>
  <c r="T217" i="2"/>
  <c r="AA217" i="2"/>
  <c r="S217" i="2"/>
  <c r="Z217" i="2"/>
  <c r="Q217" i="2"/>
  <c r="Y140" i="2"/>
  <c r="AI140" i="2"/>
  <c r="Y144" i="2"/>
  <c r="AI144" i="2"/>
  <c r="Y148" i="2"/>
  <c r="AI148" i="2"/>
  <c r="S149" i="2"/>
  <c r="AA149" i="2"/>
  <c r="U150" i="2"/>
  <c r="W151" i="2"/>
  <c r="AE151" i="2"/>
  <c r="Y152" i="2"/>
  <c r="AI152" i="2"/>
  <c r="S153" i="2"/>
  <c r="AA153" i="2"/>
  <c r="W155" i="2"/>
  <c r="Y156" i="2"/>
  <c r="AI156" i="2"/>
  <c r="S157" i="2"/>
  <c r="AA157" i="2"/>
  <c r="W159" i="2"/>
  <c r="AE159" i="2"/>
  <c r="Y160" i="2"/>
  <c r="AI160" i="2"/>
  <c r="S161" i="2"/>
  <c r="AA161" i="2"/>
  <c r="Z163" i="2"/>
  <c r="Q163" i="2"/>
  <c r="AE163" i="2" s="1"/>
  <c r="AA163" i="2"/>
  <c r="X168" i="2"/>
  <c r="AI168" i="2"/>
  <c r="AB169" i="2"/>
  <c r="W170" i="2"/>
  <c r="AI170" i="2"/>
  <c r="Z178" i="2"/>
  <c r="X181" i="2"/>
  <c r="AD181" i="2"/>
  <c r="AC181" i="2"/>
  <c r="U181" i="2"/>
  <c r="AA181" i="2"/>
  <c r="S181" i="2"/>
  <c r="Z181" i="2"/>
  <c r="Q181" i="2"/>
  <c r="AE181" i="2" s="1"/>
  <c r="AI193" i="2"/>
  <c r="AI197" i="2"/>
  <c r="AI205" i="2"/>
  <c r="Y217" i="2"/>
  <c r="X151" i="2"/>
  <c r="X159" i="2"/>
  <c r="Y170" i="2"/>
  <c r="AD180" i="2"/>
  <c r="AB180" i="2"/>
  <c r="T180" i="2"/>
  <c r="AA180" i="2"/>
  <c r="S180" i="2"/>
  <c r="X180" i="2"/>
  <c r="AE180" i="2"/>
  <c r="X189" i="2"/>
  <c r="W189" i="2"/>
  <c r="AD189" i="2"/>
  <c r="V189" i="2"/>
  <c r="AC189" i="2"/>
  <c r="U189" i="2"/>
  <c r="T189" i="2"/>
  <c r="AA189" i="2"/>
  <c r="S189" i="2"/>
  <c r="Z189" i="2"/>
  <c r="Q189" i="2"/>
  <c r="Y189" i="2" s="1"/>
  <c r="W213" i="2"/>
  <c r="AD213" i="2"/>
  <c r="V213" i="2"/>
  <c r="AC213" i="2"/>
  <c r="U213" i="2"/>
  <c r="AB213" i="2"/>
  <c r="T213" i="2"/>
  <c r="S213" i="2"/>
  <c r="Z213" i="2"/>
  <c r="Q213" i="2"/>
  <c r="Y213" i="2" s="1"/>
  <c r="Y151" i="2"/>
  <c r="AI151" i="2"/>
  <c r="Y155" i="2"/>
  <c r="AI155" i="2"/>
  <c r="Y159" i="2"/>
  <c r="AI159" i="2"/>
  <c r="Z168" i="2"/>
  <c r="Z170" i="2"/>
  <c r="X178" i="2"/>
  <c r="AE178" i="2"/>
  <c r="W178" i="2"/>
  <c r="AB178" i="2"/>
  <c r="X134" i="2"/>
  <c r="X138" i="2"/>
  <c r="T140" i="2"/>
  <c r="AB140" i="2"/>
  <c r="X142" i="2"/>
  <c r="T144" i="2"/>
  <c r="AB144" i="2"/>
  <c r="X146" i="2"/>
  <c r="T148" i="2"/>
  <c r="AB148" i="2"/>
  <c r="V149" i="2"/>
  <c r="AD149" i="2"/>
  <c r="X150" i="2"/>
  <c r="Q151" i="2"/>
  <c r="AC151" i="2" s="1"/>
  <c r="Z151" i="2"/>
  <c r="T152" i="2"/>
  <c r="AB152" i="2"/>
  <c r="V153" i="2"/>
  <c r="AD153" i="2"/>
  <c r="X154" i="2"/>
  <c r="Q155" i="2"/>
  <c r="X155" i="2" s="1"/>
  <c r="Z155" i="2"/>
  <c r="T156" i="2"/>
  <c r="AB156" i="2"/>
  <c r="V157" i="2"/>
  <c r="AD157" i="2"/>
  <c r="X158" i="2"/>
  <c r="Q159" i="2"/>
  <c r="Z159" i="2"/>
  <c r="T160" i="2"/>
  <c r="AB160" i="2"/>
  <c r="V161" i="2"/>
  <c r="AD161" i="2"/>
  <c r="Y162" i="2"/>
  <c r="U163" i="2"/>
  <c r="AD163" i="2"/>
  <c r="AB164" i="2"/>
  <c r="T164" i="2"/>
  <c r="Z164" i="2"/>
  <c r="U165" i="2"/>
  <c r="AE165" i="2"/>
  <c r="Z166" i="2"/>
  <c r="V167" i="2"/>
  <c r="AE167" i="2"/>
  <c r="Q168" i="2"/>
  <c r="AB168" i="2" s="1"/>
  <c r="AA168" i="2"/>
  <c r="W169" i="2"/>
  <c r="Q170" i="2"/>
  <c r="AA170" i="2"/>
  <c r="Z172" i="2"/>
  <c r="AA173" i="2"/>
  <c r="AB176" i="2"/>
  <c r="T176" i="2"/>
  <c r="AA176" i="2"/>
  <c r="S176" i="2"/>
  <c r="X176" i="2"/>
  <c r="AD176" i="2"/>
  <c r="AD177" i="2"/>
  <c r="V177" i="2"/>
  <c r="AC177" i="2"/>
  <c r="U177" i="2"/>
  <c r="Z177" i="2"/>
  <c r="Q177" i="2"/>
  <c r="AE177" i="2"/>
  <c r="Q178" i="2"/>
  <c r="T178" i="2" s="1"/>
  <c r="AD178" i="2"/>
  <c r="U180" i="2"/>
  <c r="Y181" i="2"/>
  <c r="AI189" i="2"/>
  <c r="AI213" i="2"/>
  <c r="Y134" i="2"/>
  <c r="Y138" i="2"/>
  <c r="U140" i="2"/>
  <c r="AC140" i="2"/>
  <c r="Y142" i="2"/>
  <c r="U144" i="2"/>
  <c r="AC144" i="2"/>
  <c r="Y146" i="2"/>
  <c r="U148" i="2"/>
  <c r="AC148" i="2"/>
  <c r="W149" i="2"/>
  <c r="AE149" i="2"/>
  <c r="Y150" i="2"/>
  <c r="S151" i="2"/>
  <c r="AA151" i="2"/>
  <c r="U152" i="2"/>
  <c r="AC152" i="2"/>
  <c r="W153" i="2"/>
  <c r="AE153" i="2"/>
  <c r="Y154" i="2"/>
  <c r="S155" i="2"/>
  <c r="U156" i="2"/>
  <c r="W157" i="2"/>
  <c r="AE157" i="2"/>
  <c r="Y158" i="2"/>
  <c r="S159" i="2"/>
  <c r="AA159" i="2"/>
  <c r="U160" i="2"/>
  <c r="W161" i="2"/>
  <c r="AE161" i="2"/>
  <c r="Z162" i="2"/>
  <c r="V163" i="2"/>
  <c r="W165" i="2"/>
  <c r="W167" i="2"/>
  <c r="S168" i="2"/>
  <c r="AC168" i="2"/>
  <c r="X169" i="2"/>
  <c r="AI169" i="2"/>
  <c r="S170" i="2"/>
  <c r="AB170" i="2"/>
  <c r="X174" i="2"/>
  <c r="AE174" i="2"/>
  <c r="W174" i="2"/>
  <c r="AB174" i="2"/>
  <c r="T174" i="2"/>
  <c r="AC174" i="2"/>
  <c r="S178" i="2"/>
  <c r="AI178" i="2"/>
  <c r="V180" i="2"/>
  <c r="AB181" i="2"/>
  <c r="X224" i="2"/>
  <c r="W224" i="2"/>
  <c r="V224" i="2"/>
  <c r="AC224" i="2"/>
  <c r="AB224" i="2"/>
  <c r="T224" i="2"/>
  <c r="AI224" i="2"/>
  <c r="AA224" i="2"/>
  <c r="Z224" i="2"/>
  <c r="Y224" i="2"/>
  <c r="S224" i="2"/>
  <c r="Q224" i="2"/>
  <c r="AD224" i="2" s="1"/>
  <c r="V140" i="2"/>
  <c r="V144" i="2"/>
  <c r="V148" i="2"/>
  <c r="T151" i="2"/>
  <c r="T155" i="2"/>
  <c r="T159" i="2"/>
  <c r="W163" i="2"/>
  <c r="U168" i="2"/>
  <c r="AD168" i="2"/>
  <c r="Y169" i="2"/>
  <c r="T170" i="2"/>
  <c r="AC170" i="2"/>
  <c r="AB172" i="2"/>
  <c r="T172" i="2"/>
  <c r="AA172" i="2"/>
  <c r="S172" i="2"/>
  <c r="X172" i="2"/>
  <c r="AD172" i="2"/>
  <c r="AD173" i="2"/>
  <c r="V173" i="2"/>
  <c r="AC173" i="2"/>
  <c r="U173" i="2"/>
  <c r="Z173" i="2"/>
  <c r="Q173" i="2"/>
  <c r="AE173" i="2"/>
  <c r="U178" i="2"/>
  <c r="W180" i="2"/>
  <c r="X185" i="2"/>
  <c r="W185" i="2"/>
  <c r="AD185" i="2"/>
  <c r="V185" i="2"/>
  <c r="T185" i="2"/>
  <c r="AA185" i="2"/>
  <c r="S185" i="2"/>
  <c r="Z185" i="2"/>
  <c r="Q185" i="2"/>
  <c r="AB185" i="2" s="1"/>
  <c r="X201" i="2"/>
  <c r="AD201" i="2"/>
  <c r="V201" i="2"/>
  <c r="AC201" i="2"/>
  <c r="U201" i="2"/>
  <c r="T201" i="2"/>
  <c r="AA201" i="2"/>
  <c r="S201" i="2"/>
  <c r="Z201" i="2"/>
  <c r="Q201" i="2"/>
  <c r="AE201" i="2" s="1"/>
  <c r="X209" i="2"/>
  <c r="AE209" i="2"/>
  <c r="W209" i="2"/>
  <c r="AD209" i="2"/>
  <c r="V209" i="2"/>
  <c r="AC209" i="2"/>
  <c r="U209" i="2"/>
  <c r="AB209" i="2"/>
  <c r="T209" i="2"/>
  <c r="AA209" i="2"/>
  <c r="S209" i="2"/>
  <c r="Z209" i="2"/>
  <c r="Q209" i="2"/>
  <c r="V171" i="2"/>
  <c r="AD171" i="2"/>
  <c r="V175" i="2"/>
  <c r="AD175" i="2"/>
  <c r="V179" i="2"/>
  <c r="AD179" i="2"/>
  <c r="AB182" i="2"/>
  <c r="V183" i="2"/>
  <c r="AD183" i="2"/>
  <c r="T186" i="2"/>
  <c r="AB186" i="2"/>
  <c r="V187" i="2"/>
  <c r="AD187" i="2"/>
  <c r="X188" i="2"/>
  <c r="T190" i="2"/>
  <c r="V191" i="2"/>
  <c r="AD191" i="2"/>
  <c r="X192" i="2"/>
  <c r="T194" i="2"/>
  <c r="AB194" i="2"/>
  <c r="V195" i="2"/>
  <c r="X196" i="2"/>
  <c r="AB198" i="2"/>
  <c r="V199" i="2"/>
  <c r="AD199" i="2"/>
  <c r="X200" i="2"/>
  <c r="T202" i="2"/>
  <c r="V203" i="2"/>
  <c r="AD203" i="2"/>
  <c r="X204" i="2"/>
  <c r="V207" i="2"/>
  <c r="AD207" i="2"/>
  <c r="X208" i="2"/>
  <c r="AD211" i="2"/>
  <c r="X212" i="2"/>
  <c r="AB214" i="2"/>
  <c r="V215" i="2"/>
  <c r="AD215" i="2"/>
  <c r="X216" i="2"/>
  <c r="T218" i="2"/>
  <c r="AB218" i="2"/>
  <c r="V219" i="2"/>
  <c r="X220" i="2"/>
  <c r="AC220" i="2"/>
  <c r="U220" i="2"/>
  <c r="AB220" i="2"/>
  <c r="T220" i="2"/>
  <c r="AD220" i="2"/>
  <c r="Y227" i="2"/>
  <c r="X228" i="2"/>
  <c r="AE228" i="2"/>
  <c r="W228" i="2"/>
  <c r="AD228" i="2"/>
  <c r="AC228" i="2"/>
  <c r="U228" i="2"/>
  <c r="AB228" i="2"/>
  <c r="T228" i="2"/>
  <c r="AC182" i="2"/>
  <c r="Y184" i="2"/>
  <c r="AI184" i="2"/>
  <c r="U186" i="2"/>
  <c r="Y188" i="2"/>
  <c r="AI188" i="2"/>
  <c r="U190" i="2"/>
  <c r="AC190" i="2"/>
  <c r="Y192" i="2"/>
  <c r="AI192" i="2"/>
  <c r="Y196" i="2"/>
  <c r="AI196" i="2"/>
  <c r="AC198" i="2"/>
  <c r="Y200" i="2"/>
  <c r="AI200" i="2"/>
  <c r="Y204" i="2"/>
  <c r="AI204" i="2"/>
  <c r="U206" i="2"/>
  <c r="Y208" i="2"/>
  <c r="AI208" i="2"/>
  <c r="U210" i="2"/>
  <c r="AC210" i="2"/>
  <c r="Y212" i="2"/>
  <c r="AI212" i="2"/>
  <c r="Y216" i="2"/>
  <c r="AI216" i="2"/>
  <c r="Y171" i="2"/>
  <c r="AI171" i="2"/>
  <c r="Y175" i="2"/>
  <c r="AI175" i="2"/>
  <c r="Y179" i="2"/>
  <c r="AI179" i="2"/>
  <c r="W182" i="2"/>
  <c r="AE182" i="2"/>
  <c r="Y183" i="2"/>
  <c r="AI183" i="2"/>
  <c r="S184" i="2"/>
  <c r="AA184" i="2"/>
  <c r="W186" i="2"/>
  <c r="AE186" i="2"/>
  <c r="Y187" i="2"/>
  <c r="AI187" i="2"/>
  <c r="S188" i="2"/>
  <c r="AA188" i="2"/>
  <c r="W190" i="2"/>
  <c r="Y191" i="2"/>
  <c r="AI191" i="2"/>
  <c r="S192" i="2"/>
  <c r="AA192" i="2"/>
  <c r="W194" i="2"/>
  <c r="AE194" i="2"/>
  <c r="Y195" i="2"/>
  <c r="AI195" i="2"/>
  <c r="S196" i="2"/>
  <c r="AA196" i="2"/>
  <c r="W198" i="2"/>
  <c r="AE198" i="2"/>
  <c r="AI199" i="2"/>
  <c r="S200" i="2"/>
  <c r="AA200" i="2"/>
  <c r="W202" i="2"/>
  <c r="AE202" i="2"/>
  <c r="Y203" i="2"/>
  <c r="AI203" i="2"/>
  <c r="S204" i="2"/>
  <c r="AA204" i="2"/>
  <c r="W206" i="2"/>
  <c r="AE206" i="2"/>
  <c r="Y207" i="2"/>
  <c r="AI207" i="2"/>
  <c r="S208" i="2"/>
  <c r="AA208" i="2"/>
  <c r="W210" i="2"/>
  <c r="AE210" i="2"/>
  <c r="Y211" i="2"/>
  <c r="AI211" i="2"/>
  <c r="S212" i="2"/>
  <c r="AA212" i="2"/>
  <c r="W214" i="2"/>
  <c r="AE214" i="2"/>
  <c r="Y215" i="2"/>
  <c r="AI215" i="2"/>
  <c r="S216" i="2"/>
  <c r="AA216" i="2"/>
  <c r="W218" i="2"/>
  <c r="AE218" i="2"/>
  <c r="Y219" i="2"/>
  <c r="V220" i="2"/>
  <c r="Q171" i="2"/>
  <c r="Q175" i="2"/>
  <c r="Q179" i="2"/>
  <c r="Q183" i="2"/>
  <c r="AB184" i="2"/>
  <c r="Q187" i="2"/>
  <c r="T188" i="2"/>
  <c r="AB188" i="2"/>
  <c r="X190" i="2"/>
  <c r="Q191" i="2"/>
  <c r="T192" i="2"/>
  <c r="AB192" i="2"/>
  <c r="X194" i="2"/>
  <c r="Q195" i="2"/>
  <c r="AD195" i="2" s="1"/>
  <c r="T196" i="2"/>
  <c r="AB196" i="2"/>
  <c r="X198" i="2"/>
  <c r="Q199" i="2"/>
  <c r="Y199" i="2" s="1"/>
  <c r="T200" i="2"/>
  <c r="AB200" i="2"/>
  <c r="X202" i="2"/>
  <c r="Q203" i="2"/>
  <c r="T204" i="2"/>
  <c r="AB204" i="2"/>
  <c r="X206" i="2"/>
  <c r="Q207" i="2"/>
  <c r="T208" i="2"/>
  <c r="AB208" i="2"/>
  <c r="X210" i="2"/>
  <c r="Q211" i="2"/>
  <c r="T212" i="2"/>
  <c r="AB212" i="2"/>
  <c r="X214" i="2"/>
  <c r="Q215" i="2"/>
  <c r="T216" i="2"/>
  <c r="AB216" i="2"/>
  <c r="X218" i="2"/>
  <c r="Q219" i="2"/>
  <c r="Z219" i="2"/>
  <c r="AC223" i="2"/>
  <c r="U223" i="2"/>
  <c r="AB223" i="2"/>
  <c r="T223" i="2"/>
  <c r="AA223" i="2"/>
  <c r="S223" i="2"/>
  <c r="Z223" i="2"/>
  <c r="Q223" i="2"/>
  <c r="Y223" i="2" s="1"/>
  <c r="Y182" i="2"/>
  <c r="AI182" i="2"/>
  <c r="Y186" i="2"/>
  <c r="AI186" i="2"/>
  <c r="AI190" i="2"/>
  <c r="Y194" i="2"/>
  <c r="AI194" i="2"/>
  <c r="Y198" i="2"/>
  <c r="AI198" i="2"/>
  <c r="Y202" i="2"/>
  <c r="AI202" i="2"/>
  <c r="Y206" i="2"/>
  <c r="AI206" i="2"/>
  <c r="U208" i="2"/>
  <c r="AI210" i="2"/>
  <c r="U212" i="2"/>
  <c r="AC212" i="2"/>
  <c r="Y214" i="2"/>
  <c r="AI214" i="2"/>
  <c r="U216" i="2"/>
  <c r="AC216" i="2"/>
  <c r="AI218" i="2"/>
  <c r="V227" i="2"/>
  <c r="AC227" i="2"/>
  <c r="U227" i="2"/>
  <c r="T227" i="2"/>
  <c r="S227" i="2"/>
  <c r="Z227" i="2"/>
  <c r="Q227" i="2"/>
  <c r="AB227" i="2" s="1"/>
  <c r="Q182" i="2"/>
  <c r="T182" i="2" s="1"/>
  <c r="V184" i="2"/>
  <c r="Q186" i="2"/>
  <c r="AD186" i="2" s="1"/>
  <c r="V188" i="2"/>
  <c r="Q190" i="2"/>
  <c r="Y190" i="2" s="1"/>
  <c r="V192" i="2"/>
  <c r="Q194" i="2"/>
  <c r="AA194" i="2" s="1"/>
  <c r="V196" i="2"/>
  <c r="Q198" i="2"/>
  <c r="AA198" i="2" s="1"/>
  <c r="V200" i="2"/>
  <c r="Q202" i="2"/>
  <c r="U202" i="2" s="1"/>
  <c r="V204" i="2"/>
  <c r="Q206" i="2"/>
  <c r="AB206" i="2" s="1"/>
  <c r="V208" i="2"/>
  <c r="Q210" i="2"/>
  <c r="AD210" i="2" s="1"/>
  <c r="V212" i="2"/>
  <c r="Q214" i="2"/>
  <c r="S214" i="2" s="1"/>
  <c r="V216" i="2"/>
  <c r="Q218" i="2"/>
  <c r="W227" i="2"/>
  <c r="Y231" i="2"/>
  <c r="AI231" i="2"/>
  <c r="Y235" i="2"/>
  <c r="AI235" i="2"/>
  <c r="S236" i="2"/>
  <c r="AA236" i="2"/>
  <c r="Y239" i="2"/>
  <c r="AI239" i="2"/>
  <c r="S240" i="2"/>
  <c r="AA240" i="2"/>
  <c r="AI243" i="2"/>
  <c r="S244" i="2"/>
  <c r="AA244" i="2"/>
  <c r="S247" i="2"/>
  <c r="AB247" i="2"/>
  <c r="U249" i="2"/>
  <c r="AD249" i="2"/>
  <c r="Q253" i="2"/>
  <c r="T253" i="2" s="1"/>
  <c r="Q255" i="2"/>
  <c r="AB255" i="2" s="1"/>
  <c r="AD255" i="2"/>
  <c r="Q257" i="2"/>
  <c r="Q259" i="2"/>
  <c r="AB259" i="2" s="1"/>
  <c r="AD259" i="2"/>
  <c r="W261" i="2"/>
  <c r="T261" i="2"/>
  <c r="AA261" i="2"/>
  <c r="AI261" i="2"/>
  <c r="X222" i="2"/>
  <c r="V225" i="2"/>
  <c r="AD225" i="2"/>
  <c r="X226" i="2"/>
  <c r="V229" i="2"/>
  <c r="AD229" i="2"/>
  <c r="X230" i="2"/>
  <c r="Q231" i="2"/>
  <c r="W231" i="2" s="1"/>
  <c r="Z231" i="2"/>
  <c r="V233" i="2"/>
  <c r="X234" i="2"/>
  <c r="Q235" i="2"/>
  <c r="W235" i="2" s="1"/>
  <c r="T236" i="2"/>
  <c r="AB236" i="2"/>
  <c r="AD237" i="2"/>
  <c r="X238" i="2"/>
  <c r="Q239" i="2"/>
  <c r="Z239" i="2"/>
  <c r="AB240" i="2"/>
  <c r="AD241" i="2"/>
  <c r="X242" i="2"/>
  <c r="Q243" i="2"/>
  <c r="AE243" i="2" s="1"/>
  <c r="Z243" i="2"/>
  <c r="AB244" i="2"/>
  <c r="V245" i="2"/>
  <c r="AD245" i="2"/>
  <c r="T247" i="2"/>
  <c r="AC247" i="2"/>
  <c r="V249" i="2"/>
  <c r="AE249" i="2"/>
  <c r="AD250" i="2"/>
  <c r="V250" i="2"/>
  <c r="Z250" i="2"/>
  <c r="U251" i="2"/>
  <c r="AI251" i="2"/>
  <c r="U253" i="2"/>
  <c r="AI253" i="2"/>
  <c r="S254" i="2"/>
  <c r="T255" i="2"/>
  <c r="AI255" i="2"/>
  <c r="U257" i="2"/>
  <c r="AI257" i="2"/>
  <c r="AI259" i="2"/>
  <c r="Q261" i="2"/>
  <c r="S261" i="2" s="1"/>
  <c r="AB282" i="2"/>
  <c r="X282" i="2"/>
  <c r="W221" i="2"/>
  <c r="Y222" i="2"/>
  <c r="W225" i="2"/>
  <c r="Y226" i="2"/>
  <c r="AI226" i="2"/>
  <c r="W229" i="2"/>
  <c r="Y230" i="2"/>
  <c r="AI230" i="2"/>
  <c r="S231" i="2"/>
  <c r="AA231" i="2"/>
  <c r="W233" i="2"/>
  <c r="AE233" i="2"/>
  <c r="Y234" i="2"/>
  <c r="AI234" i="2"/>
  <c r="S235" i="2"/>
  <c r="U236" i="2"/>
  <c r="AC236" i="2"/>
  <c r="AE237" i="2"/>
  <c r="Y238" i="2"/>
  <c r="AI238" i="2"/>
  <c r="S239" i="2"/>
  <c r="AA239" i="2"/>
  <c r="U240" i="2"/>
  <c r="AC240" i="2"/>
  <c r="W241" i="2"/>
  <c r="AE241" i="2"/>
  <c r="Y242" i="2"/>
  <c r="AI242" i="2"/>
  <c r="S243" i="2"/>
  <c r="AA243" i="2"/>
  <c r="AC244" i="2"/>
  <c r="W245" i="2"/>
  <c r="AE245" i="2"/>
  <c r="AD246" i="2"/>
  <c r="V246" i="2"/>
  <c r="Z246" i="2"/>
  <c r="U247" i="2"/>
  <c r="AD247" i="2"/>
  <c r="Z248" i="2"/>
  <c r="Q248" i="2"/>
  <c r="AA248" i="2"/>
  <c r="AA250" i="2"/>
  <c r="V253" i="2"/>
  <c r="V257" i="2"/>
  <c r="U259" i="2"/>
  <c r="AB270" i="2"/>
  <c r="T270" i="2"/>
  <c r="T290" i="2"/>
  <c r="S290" i="2"/>
  <c r="Y290" i="2"/>
  <c r="T231" i="2"/>
  <c r="AB231" i="2"/>
  <c r="T235" i="2"/>
  <c r="AB235" i="2"/>
  <c r="V236" i="2"/>
  <c r="AD236" i="2"/>
  <c r="T239" i="2"/>
  <c r="AB239" i="2"/>
  <c r="V240" i="2"/>
  <c r="AD240" i="2"/>
  <c r="V244" i="2"/>
  <c r="AD244" i="2"/>
  <c r="V247" i="2"/>
  <c r="AE247" i="2"/>
  <c r="X253" i="2"/>
  <c r="V255" i="2"/>
  <c r="X257" i="2"/>
  <c r="V259" i="2"/>
  <c r="X261" i="2"/>
  <c r="Z262" i="2"/>
  <c r="Y221" i="2"/>
  <c r="AI221" i="2"/>
  <c r="S222" i="2"/>
  <c r="Y225" i="2"/>
  <c r="AI225" i="2"/>
  <c r="Y229" i="2"/>
  <c r="AI229" i="2"/>
  <c r="U231" i="2"/>
  <c r="AI233" i="2"/>
  <c r="U235" i="2"/>
  <c r="AC235" i="2"/>
  <c r="W236" i="2"/>
  <c r="AE236" i="2"/>
  <c r="Y237" i="2"/>
  <c r="AI237" i="2"/>
  <c r="S238" i="2"/>
  <c r="U239" i="2"/>
  <c r="AC239" i="2"/>
  <c r="W240" i="2"/>
  <c r="Y241" i="2"/>
  <c r="AI241" i="2"/>
  <c r="U243" i="2"/>
  <c r="AC243" i="2"/>
  <c r="W244" i="2"/>
  <c r="Y245" i="2"/>
  <c r="AI245" i="2"/>
  <c r="W247" i="2"/>
  <c r="AI247" i="2"/>
  <c r="Y253" i="2"/>
  <c r="Y255" i="2"/>
  <c r="Y257" i="2"/>
  <c r="Y259" i="2"/>
  <c r="Y261" i="2"/>
  <c r="Q221" i="2"/>
  <c r="AE221" i="2" s="1"/>
  <c r="Q225" i="2"/>
  <c r="AE225" i="2" s="1"/>
  <c r="T226" i="2"/>
  <c r="Q229" i="2"/>
  <c r="X229" i="2" s="1"/>
  <c r="T230" i="2"/>
  <c r="V231" i="2"/>
  <c r="Q233" i="2"/>
  <c r="AB233" i="2" s="1"/>
  <c r="T234" i="2"/>
  <c r="V235" i="2"/>
  <c r="X236" i="2"/>
  <c r="Q237" i="2"/>
  <c r="AC237" i="2" s="1"/>
  <c r="T238" i="2"/>
  <c r="V239" i="2"/>
  <c r="Q241" i="2"/>
  <c r="V241" i="2" s="1"/>
  <c r="T242" i="2"/>
  <c r="V243" i="2"/>
  <c r="X244" i="2"/>
  <c r="Q245" i="2"/>
  <c r="T246" i="2"/>
  <c r="AC246" i="2"/>
  <c r="Y247" i="2"/>
  <c r="U248" i="2"/>
  <c r="AD248" i="2"/>
  <c r="AB249" i="2"/>
  <c r="T249" i="2"/>
  <c r="Z249" i="2"/>
  <c r="X251" i="2"/>
  <c r="AE251" i="2"/>
  <c r="W251" i="2"/>
  <c r="AA251" i="2"/>
  <c r="Z253" i="2"/>
  <c r="Z255" i="2"/>
  <c r="Z257" i="2"/>
  <c r="Z261" i="2"/>
  <c r="AB262" i="2"/>
  <c r="AB286" i="2"/>
  <c r="T286" i="2"/>
  <c r="AA290" i="2"/>
  <c r="Y236" i="2"/>
  <c r="Y240" i="2"/>
  <c r="Y244" i="2"/>
  <c r="Z247" i="2"/>
  <c r="AE253" i="2"/>
  <c r="W253" i="2"/>
  <c r="AB253" i="2"/>
  <c r="AA253" i="2"/>
  <c r="S253" i="2"/>
  <c r="AD253" i="2"/>
  <c r="AA255" i="2"/>
  <c r="S255" i="2"/>
  <c r="X255" i="2"/>
  <c r="AE255" i="2"/>
  <c r="W255" i="2"/>
  <c r="AE257" i="2"/>
  <c r="W257" i="2"/>
  <c r="AB257" i="2"/>
  <c r="T257" i="2"/>
  <c r="AA257" i="2"/>
  <c r="S257" i="2"/>
  <c r="AD257" i="2"/>
  <c r="AA259" i="2"/>
  <c r="X259" i="2"/>
  <c r="AE259" i="2"/>
  <c r="W259" i="2"/>
  <c r="AC259" i="2"/>
  <c r="Y252" i="2"/>
  <c r="AI252" i="2"/>
  <c r="U254" i="2"/>
  <c r="AC254" i="2"/>
  <c r="Y256" i="2"/>
  <c r="AI256" i="2"/>
  <c r="U258" i="2"/>
  <c r="AC258" i="2"/>
  <c r="Y260" i="2"/>
  <c r="AI260" i="2"/>
  <c r="U262" i="2"/>
  <c r="AC262" i="2"/>
  <c r="W263" i="2"/>
  <c r="AE263" i="2"/>
  <c r="Y264" i="2"/>
  <c r="AI264" i="2"/>
  <c r="S265" i="2"/>
  <c r="AA265" i="2"/>
  <c r="U266" i="2"/>
  <c r="AC266" i="2"/>
  <c r="W267" i="2"/>
  <c r="AE267" i="2"/>
  <c r="Y268" i="2"/>
  <c r="AI268" i="2"/>
  <c r="S269" i="2"/>
  <c r="AA269" i="2"/>
  <c r="U270" i="2"/>
  <c r="AC270" i="2"/>
  <c r="W271" i="2"/>
  <c r="AE271" i="2"/>
  <c r="Y272" i="2"/>
  <c r="AI272" i="2"/>
  <c r="S273" i="2"/>
  <c r="AA273" i="2"/>
  <c r="U274" i="2"/>
  <c r="W275" i="2"/>
  <c r="AE275" i="2"/>
  <c r="Y276" i="2"/>
  <c r="AI276" i="2"/>
  <c r="S277" i="2"/>
  <c r="AA277" i="2"/>
  <c r="U278" i="2"/>
  <c r="W279" i="2"/>
  <c r="AE279" i="2"/>
  <c r="Y280" i="2"/>
  <c r="AI280" i="2"/>
  <c r="S281" i="2"/>
  <c r="AA281" i="2"/>
  <c r="U282" i="2"/>
  <c r="AC282" i="2"/>
  <c r="W283" i="2"/>
  <c r="AE283" i="2"/>
  <c r="Y284" i="2"/>
  <c r="AH284" i="2" s="1"/>
  <c r="AJ284" i="2" s="1"/>
  <c r="S285" i="2"/>
  <c r="AA285" i="2"/>
  <c r="U286" i="2"/>
  <c r="AC286" i="2"/>
  <c r="W287" i="2"/>
  <c r="AE287" i="2"/>
  <c r="Y288" i="2"/>
  <c r="S289" i="2"/>
  <c r="AA289" i="2"/>
  <c r="U290" i="2"/>
  <c r="Q252" i="2"/>
  <c r="V254" i="2"/>
  <c r="AD254" i="2"/>
  <c r="Q256" i="2"/>
  <c r="V258" i="2"/>
  <c r="AD258" i="2"/>
  <c r="Q260" i="2"/>
  <c r="V262" i="2"/>
  <c r="AD262" i="2"/>
  <c r="X263" i="2"/>
  <c r="Q264" i="2"/>
  <c r="V266" i="2"/>
  <c r="AD266" i="2"/>
  <c r="X267" i="2"/>
  <c r="Q268" i="2"/>
  <c r="T269" i="2"/>
  <c r="AB269" i="2"/>
  <c r="V270" i="2"/>
  <c r="AD270" i="2"/>
  <c r="X271" i="2"/>
  <c r="Q272" i="2"/>
  <c r="T273" i="2"/>
  <c r="AB273" i="2"/>
  <c r="V274" i="2"/>
  <c r="AD274" i="2"/>
  <c r="X275" i="2"/>
  <c r="Q276" i="2"/>
  <c r="T277" i="2"/>
  <c r="AB277" i="2"/>
  <c r="V278" i="2"/>
  <c r="AD278" i="2"/>
  <c r="X279" i="2"/>
  <c r="Q280" i="2"/>
  <c r="T281" i="2"/>
  <c r="AB281" i="2"/>
  <c r="V282" i="2"/>
  <c r="AD282" i="2"/>
  <c r="X283" i="2"/>
  <c r="T285" i="2"/>
  <c r="AB285" i="2"/>
  <c r="V286" i="2"/>
  <c r="AD286" i="2"/>
  <c r="T289" i="2"/>
  <c r="AB289" i="2"/>
  <c r="Y263" i="2"/>
  <c r="AI263" i="2"/>
  <c r="U265" i="2"/>
  <c r="AC265" i="2"/>
  <c r="Y267" i="2"/>
  <c r="AI267" i="2"/>
  <c r="U269" i="2"/>
  <c r="AC269" i="2"/>
  <c r="Y271" i="2"/>
  <c r="AI271" i="2"/>
  <c r="U273" i="2"/>
  <c r="AC273" i="2"/>
  <c r="Y275" i="2"/>
  <c r="AI275" i="2"/>
  <c r="U277" i="2"/>
  <c r="AC277" i="2"/>
  <c r="Y279" i="2"/>
  <c r="AI279" i="2"/>
  <c r="U281" i="2"/>
  <c r="AC281" i="2"/>
  <c r="Y283" i="2"/>
  <c r="AI283" i="2"/>
  <c r="U285" i="2"/>
  <c r="AC285" i="2"/>
  <c r="Y287" i="2"/>
  <c r="AI287" i="2"/>
  <c r="U289" i="2"/>
  <c r="AC289" i="2"/>
  <c r="U300" i="2"/>
  <c r="AB300" i="2"/>
  <c r="T300" i="2"/>
  <c r="Z300" i="2"/>
  <c r="Q300" i="2"/>
  <c r="AA300" i="2" s="1"/>
  <c r="X300" i="2"/>
  <c r="AE300" i="2"/>
  <c r="W300" i="2"/>
  <c r="AD277" i="2"/>
  <c r="V281" i="2"/>
  <c r="AD281" i="2"/>
  <c r="V285" i="2"/>
  <c r="AD285" i="2"/>
  <c r="V289" i="2"/>
  <c r="AD289" i="2"/>
  <c r="AC296" i="2"/>
  <c r="U296" i="2"/>
  <c r="AB296" i="2"/>
  <c r="T296" i="2"/>
  <c r="AA296" i="2"/>
  <c r="S296" i="2"/>
  <c r="Z296" i="2"/>
  <c r="Q296" i="2"/>
  <c r="X296" i="2"/>
  <c r="AE296" i="2"/>
  <c r="W296" i="2"/>
  <c r="V300" i="2"/>
  <c r="Y254" i="2"/>
  <c r="Y258" i="2"/>
  <c r="Y262" i="2"/>
  <c r="S263" i="2"/>
  <c r="W265" i="2"/>
  <c r="Y266" i="2"/>
  <c r="S267" i="2"/>
  <c r="W269" i="2"/>
  <c r="AE269" i="2"/>
  <c r="Y270" i="2"/>
  <c r="S271" i="2"/>
  <c r="W273" i="2"/>
  <c r="AE273" i="2"/>
  <c r="Y274" i="2"/>
  <c r="S275" i="2"/>
  <c r="W277" i="2"/>
  <c r="AE277" i="2"/>
  <c r="Y278" i="2"/>
  <c r="S279" i="2"/>
  <c r="W281" i="2"/>
  <c r="AE281" i="2"/>
  <c r="Y282" i="2"/>
  <c r="S283" i="2"/>
  <c r="W285" i="2"/>
  <c r="AE285" i="2"/>
  <c r="Y286" i="2"/>
  <c r="S287" i="2"/>
  <c r="W289" i="2"/>
  <c r="AE289" i="2"/>
  <c r="AE290" i="2"/>
  <c r="W290" i="2"/>
  <c r="Z290" i="2"/>
  <c r="AC292" i="2"/>
  <c r="U292" i="2"/>
  <c r="AA292" i="2"/>
  <c r="S292" i="2"/>
  <c r="X292" i="2"/>
  <c r="AE292" i="2"/>
  <c r="W292" i="2"/>
  <c r="AI292" i="2"/>
  <c r="V296" i="2"/>
  <c r="X298" i="2"/>
  <c r="AD298" i="2"/>
  <c r="AA298" i="2"/>
  <c r="Y300" i="2"/>
  <c r="Y265" i="2"/>
  <c r="Y269" i="2"/>
  <c r="Y273" i="2"/>
  <c r="Y277" i="2"/>
  <c r="Y281" i="2"/>
  <c r="Y285" i="2"/>
  <c r="Y289" i="2"/>
  <c r="AD296" i="2"/>
  <c r="AI300" i="2"/>
  <c r="V304" i="2"/>
  <c r="AC304" i="2"/>
  <c r="U304" i="2"/>
  <c r="AB304" i="2"/>
  <c r="T304" i="2"/>
  <c r="AA304" i="2"/>
  <c r="Z304" i="2"/>
  <c r="Q304" i="2"/>
  <c r="Y304" i="2" s="1"/>
  <c r="X304" i="2"/>
  <c r="AE304" i="2"/>
  <c r="W304" i="2"/>
  <c r="Y293" i="2"/>
  <c r="AI293" i="2"/>
  <c r="Y297" i="2"/>
  <c r="AI297" i="2"/>
  <c r="Y301" i="2"/>
  <c r="AI301" i="2"/>
  <c r="Y305" i="2"/>
  <c r="AI305" i="2"/>
  <c r="W308" i="2"/>
  <c r="AE308" i="2"/>
  <c r="Y309" i="2"/>
  <c r="AI309" i="2"/>
  <c r="W312" i="2"/>
  <c r="Y313" i="2"/>
  <c r="AI313" i="2"/>
  <c r="W316" i="2"/>
  <c r="AI317" i="2"/>
  <c r="AC319" i="2"/>
  <c r="W320" i="2"/>
  <c r="AI321" i="2"/>
  <c r="AC323" i="2"/>
  <c r="W324" i="2"/>
  <c r="AI325" i="2"/>
  <c r="T328" i="2"/>
  <c r="S337" i="2"/>
  <c r="W340" i="2"/>
  <c r="Z341" i="2"/>
  <c r="Q341" i="2"/>
  <c r="AA341" i="2" s="1"/>
  <c r="X341" i="2"/>
  <c r="AE341" i="2"/>
  <c r="W341" i="2"/>
  <c r="AD341" i="2"/>
  <c r="V341" i="2"/>
  <c r="AC341" i="2"/>
  <c r="Y348" i="2"/>
  <c r="X308" i="2"/>
  <c r="X312" i="2"/>
  <c r="Q313" i="2"/>
  <c r="T313" i="2" s="1"/>
  <c r="Z313" i="2"/>
  <c r="AB314" i="2"/>
  <c r="X316" i="2"/>
  <c r="Q317" i="2"/>
  <c r="Z317" i="2"/>
  <c r="T318" i="2"/>
  <c r="X320" i="2"/>
  <c r="Q321" i="2"/>
  <c r="Z321" i="2" s="1"/>
  <c r="Q325" i="2"/>
  <c r="V325" i="2" s="1"/>
  <c r="Z325" i="2"/>
  <c r="U328" i="2"/>
  <c r="Y337" i="2"/>
  <c r="Y340" i="2"/>
  <c r="S341" i="2"/>
  <c r="X344" i="2"/>
  <c r="AE344" i="2"/>
  <c r="W344" i="2"/>
  <c r="AD344" i="2"/>
  <c r="V344" i="2"/>
  <c r="AC344" i="2"/>
  <c r="U344" i="2"/>
  <c r="AB344" i="2"/>
  <c r="T344" i="2"/>
  <c r="AA344" i="2"/>
  <c r="S344" i="2"/>
  <c r="Z344" i="2"/>
  <c r="Q344" i="2"/>
  <c r="X351" i="2"/>
  <c r="Y351" i="2"/>
  <c r="AI351" i="2"/>
  <c r="W351" i="2"/>
  <c r="AE351" i="2"/>
  <c r="V351" i="2"/>
  <c r="AD351" i="2"/>
  <c r="U351" i="2"/>
  <c r="AC351" i="2"/>
  <c r="T351" i="2"/>
  <c r="AB351" i="2"/>
  <c r="S351" i="2"/>
  <c r="AA351" i="2"/>
  <c r="Q351" i="2"/>
  <c r="Y308" i="2"/>
  <c r="AI308" i="2"/>
  <c r="AI312" i="2"/>
  <c r="Y316" i="2"/>
  <c r="AI316" i="2"/>
  <c r="Y320" i="2"/>
  <c r="AI320" i="2"/>
  <c r="Y324" i="2"/>
  <c r="AI324" i="2"/>
  <c r="Q308" i="2"/>
  <c r="AC308" i="2" s="1"/>
  <c r="Z308" i="2"/>
  <c r="Q312" i="2"/>
  <c r="T312" i="2" s="1"/>
  <c r="Z312" i="2"/>
  <c r="Q316" i="2"/>
  <c r="AE316" i="2" s="1"/>
  <c r="Z316" i="2"/>
  <c r="Q320" i="2"/>
  <c r="AE320" i="2" s="1"/>
  <c r="Z320" i="2"/>
  <c r="Q324" i="2"/>
  <c r="AA324" i="2" s="1"/>
  <c r="Z324" i="2"/>
  <c r="Y328" i="2"/>
  <c r="AD358" i="2"/>
  <c r="V358" i="2"/>
  <c r="AB358" i="2"/>
  <c r="Z358" i="2"/>
  <c r="X358" i="2"/>
  <c r="AI358" i="2"/>
  <c r="W358" i="2"/>
  <c r="U358" i="2"/>
  <c r="AE358" i="2"/>
  <c r="S358" i="2"/>
  <c r="Q358" i="2"/>
  <c r="T358" i="2" s="1"/>
  <c r="Y291" i="2"/>
  <c r="U293" i="2"/>
  <c r="AC293" i="2"/>
  <c r="W294" i="2"/>
  <c r="AE294" i="2"/>
  <c r="Y295" i="2"/>
  <c r="U297" i="2"/>
  <c r="AC297" i="2"/>
  <c r="W298" i="2"/>
  <c r="AE298" i="2"/>
  <c r="Y299" i="2"/>
  <c r="U301" i="2"/>
  <c r="AC301" i="2"/>
  <c r="W302" i="2"/>
  <c r="Y303" i="2"/>
  <c r="U305" i="2"/>
  <c r="AC305" i="2"/>
  <c r="W306" i="2"/>
  <c r="AE306" i="2"/>
  <c r="Y307" i="2"/>
  <c r="S308" i="2"/>
  <c r="AA308" i="2"/>
  <c r="U309" i="2"/>
  <c r="AC309" i="2"/>
  <c r="W310" i="2"/>
  <c r="AE310" i="2"/>
  <c r="Y311" i="2"/>
  <c r="S312" i="2"/>
  <c r="AA312" i="2"/>
  <c r="U313" i="2"/>
  <c r="W314" i="2"/>
  <c r="AE314" i="2"/>
  <c r="Y315" i="2"/>
  <c r="S316" i="2"/>
  <c r="AA316" i="2"/>
  <c r="U317" i="2"/>
  <c r="AC317" i="2"/>
  <c r="W318" i="2"/>
  <c r="AE318" i="2"/>
  <c r="Y319" i="2"/>
  <c r="S320" i="2"/>
  <c r="AA320" i="2"/>
  <c r="W322" i="2"/>
  <c r="AE322" i="2"/>
  <c r="Y323" i="2"/>
  <c r="S324" i="2"/>
  <c r="U325" i="2"/>
  <c r="AC325" i="2"/>
  <c r="W326" i="2"/>
  <c r="AE326" i="2"/>
  <c r="AB327" i="2"/>
  <c r="T327" i="2"/>
  <c r="Z327" i="2"/>
  <c r="AB328" i="2"/>
  <c r="Z329" i="2"/>
  <c r="Q329" i="2"/>
  <c r="X329" i="2"/>
  <c r="AE329" i="2"/>
  <c r="W329" i="2"/>
  <c r="AC329" i="2"/>
  <c r="U329" i="2"/>
  <c r="AB329" i="2"/>
  <c r="T329" i="2"/>
  <c r="AI341" i="2"/>
  <c r="AA358" i="2"/>
  <c r="T308" i="2"/>
  <c r="AB312" i="2"/>
  <c r="T316" i="2"/>
  <c r="AB316" i="2"/>
  <c r="T320" i="2"/>
  <c r="AB320" i="2"/>
  <c r="T324" i="2"/>
  <c r="AB324" i="2"/>
  <c r="AC328" i="2"/>
  <c r="X332" i="2"/>
  <c r="V332" i="2"/>
  <c r="S332" i="2"/>
  <c r="Q332" i="2"/>
  <c r="Y332" i="2" s="1"/>
  <c r="W293" i="2"/>
  <c r="Y294" i="2"/>
  <c r="W297" i="2"/>
  <c r="Y298" i="2"/>
  <c r="W301" i="2"/>
  <c r="Y302" i="2"/>
  <c r="W305" i="2"/>
  <c r="Y306" i="2"/>
  <c r="U308" i="2"/>
  <c r="W309" i="2"/>
  <c r="Y310" i="2"/>
  <c r="U312" i="2"/>
  <c r="AC312" i="2"/>
  <c r="W313" i="2"/>
  <c r="Y314" i="2"/>
  <c r="U316" i="2"/>
  <c r="W317" i="2"/>
  <c r="Y318" i="2"/>
  <c r="U320" i="2"/>
  <c r="AC320" i="2"/>
  <c r="W321" i="2"/>
  <c r="Y322" i="2"/>
  <c r="AC324" i="2"/>
  <c r="W325" i="2"/>
  <c r="Y326" i="2"/>
  <c r="Z333" i="2"/>
  <c r="Q333" i="2"/>
  <c r="V333" i="2" s="1"/>
  <c r="X333" i="2"/>
  <c r="AE333" i="2"/>
  <c r="W333" i="2"/>
  <c r="AD333" i="2"/>
  <c r="U333" i="2"/>
  <c r="T333" i="2"/>
  <c r="AD336" i="2"/>
  <c r="AC336" i="2"/>
  <c r="U336" i="2"/>
  <c r="AB336" i="2"/>
  <c r="AA336" i="2"/>
  <c r="S336" i="2"/>
  <c r="Z336" i="2"/>
  <c r="Q336" i="2"/>
  <c r="X336" i="2" s="1"/>
  <c r="V308" i="2"/>
  <c r="V312" i="2"/>
  <c r="V316" i="2"/>
  <c r="V320" i="2"/>
  <c r="V324" i="2"/>
  <c r="AD328" i="2"/>
  <c r="V328" i="2"/>
  <c r="S328" i="2"/>
  <c r="Z328" i="2"/>
  <c r="Q328" i="2"/>
  <c r="X328" i="2" s="1"/>
  <c r="AI328" i="2"/>
  <c r="Z337" i="2"/>
  <c r="Q337" i="2"/>
  <c r="AC337" i="2" s="1"/>
  <c r="X337" i="2"/>
  <c r="AE337" i="2"/>
  <c r="W337" i="2"/>
  <c r="AD337" i="2"/>
  <c r="V337" i="2"/>
  <c r="U337" i="2"/>
  <c r="X340" i="2"/>
  <c r="AD340" i="2"/>
  <c r="V340" i="2"/>
  <c r="AC340" i="2"/>
  <c r="U340" i="2"/>
  <c r="AB340" i="2"/>
  <c r="T340" i="2"/>
  <c r="AA340" i="2"/>
  <c r="S340" i="2"/>
  <c r="Z340" i="2"/>
  <c r="Q340" i="2"/>
  <c r="X348" i="2"/>
  <c r="AE348" i="2"/>
  <c r="W348" i="2"/>
  <c r="AD348" i="2"/>
  <c r="AC348" i="2"/>
  <c r="U348" i="2"/>
  <c r="T348" i="2"/>
  <c r="S348" i="2"/>
  <c r="Z348" i="2"/>
  <c r="Q348" i="2"/>
  <c r="AA348" i="2" s="1"/>
  <c r="X371" i="2"/>
  <c r="AE371" i="2"/>
  <c r="W371" i="2"/>
  <c r="AD371" i="2"/>
  <c r="V371" i="2"/>
  <c r="U371" i="2"/>
  <c r="T371" i="2"/>
  <c r="AE386" i="2"/>
  <c r="W386" i="2"/>
  <c r="AD386" i="2"/>
  <c r="V386" i="2"/>
  <c r="AC386" i="2"/>
  <c r="S386" i="2"/>
  <c r="Z386" i="2"/>
  <c r="Q386" i="2"/>
  <c r="AB386" i="2" s="1"/>
  <c r="Y389" i="2"/>
  <c r="AE389" i="2"/>
  <c r="U389" i="2"/>
  <c r="T389" i="2"/>
  <c r="X331" i="2"/>
  <c r="V334" i="2"/>
  <c r="AD334" i="2"/>
  <c r="X335" i="2"/>
  <c r="V338" i="2"/>
  <c r="AD338" i="2"/>
  <c r="X339" i="2"/>
  <c r="V342" i="2"/>
  <c r="AD342" i="2"/>
  <c r="X343" i="2"/>
  <c r="T345" i="2"/>
  <c r="AB345" i="2"/>
  <c r="V346" i="2"/>
  <c r="AD346" i="2"/>
  <c r="X347" i="2"/>
  <c r="T349" i="2"/>
  <c r="W350" i="2"/>
  <c r="W352" i="2"/>
  <c r="S353" i="2"/>
  <c r="AC353" i="2"/>
  <c r="X354" i="2"/>
  <c r="AI354" i="2"/>
  <c r="S355" i="2"/>
  <c r="AB355" i="2"/>
  <c r="X356" i="2"/>
  <c r="AI356" i="2"/>
  <c r="U357" i="2"/>
  <c r="AE357" i="2"/>
  <c r="X362" i="2"/>
  <c r="Y366" i="2"/>
  <c r="W367" i="2"/>
  <c r="AD367" i="2"/>
  <c r="V367" i="2"/>
  <c r="AC367" i="2"/>
  <c r="U367" i="2"/>
  <c r="AB367" i="2"/>
  <c r="Q371" i="2"/>
  <c r="AB371" i="2" s="1"/>
  <c r="Y386" i="2"/>
  <c r="Y391" i="2"/>
  <c r="U391" i="2"/>
  <c r="T391" i="2"/>
  <c r="AB391" i="2"/>
  <c r="S391" i="2"/>
  <c r="W330" i="2"/>
  <c r="AE330" i="2"/>
  <c r="Y331" i="2"/>
  <c r="AI331" i="2"/>
  <c r="W334" i="2"/>
  <c r="AE334" i="2"/>
  <c r="Y335" i="2"/>
  <c r="AI335" i="2"/>
  <c r="W338" i="2"/>
  <c r="AE338" i="2"/>
  <c r="Y339" i="2"/>
  <c r="AI339" i="2"/>
  <c r="W342" i="2"/>
  <c r="Y343" i="2"/>
  <c r="AI343" i="2"/>
  <c r="U345" i="2"/>
  <c r="AC345" i="2"/>
  <c r="W346" i="2"/>
  <c r="AE346" i="2"/>
  <c r="Y347" i="2"/>
  <c r="AI347" i="2"/>
  <c r="AC349" i="2"/>
  <c r="X352" i="2"/>
  <c r="U353" i="2"/>
  <c r="AD353" i="2"/>
  <c r="T355" i="2"/>
  <c r="AC355" i="2"/>
  <c r="V357" i="2"/>
  <c r="X359" i="2"/>
  <c r="AE359" i="2"/>
  <c r="W359" i="2"/>
  <c r="AD359" i="2"/>
  <c r="V359" i="2"/>
  <c r="AB359" i="2"/>
  <c r="T359" i="2"/>
  <c r="AI359" i="2"/>
  <c r="Y362" i="2"/>
  <c r="X363" i="2"/>
  <c r="AE363" i="2"/>
  <c r="W363" i="2"/>
  <c r="AD363" i="2"/>
  <c r="V363" i="2"/>
  <c r="AC363" i="2"/>
  <c r="U363" i="2"/>
  <c r="AB363" i="2"/>
  <c r="T363" i="2"/>
  <c r="AE366" i="2"/>
  <c r="Q367" i="2"/>
  <c r="X367" i="2" s="1"/>
  <c r="S371" i="2"/>
  <c r="Y375" i="2"/>
  <c r="X382" i="2"/>
  <c r="V382" i="2"/>
  <c r="U382" i="2"/>
  <c r="AB382" i="2"/>
  <c r="AA382" i="2"/>
  <c r="S382" i="2"/>
  <c r="Z382" i="2"/>
  <c r="Q382" i="2"/>
  <c r="AC382" i="2" s="1"/>
  <c r="AI386" i="2"/>
  <c r="AD354" i="2"/>
  <c r="V354" i="2"/>
  <c r="Z354" i="2"/>
  <c r="Z356" i="2"/>
  <c r="Q356" i="2"/>
  <c r="Y356" i="2" s="1"/>
  <c r="AA356" i="2"/>
  <c r="W357" i="2"/>
  <c r="AI357" i="2"/>
  <c r="Y371" i="2"/>
  <c r="AD378" i="2"/>
  <c r="V378" i="2"/>
  <c r="AA378" i="2"/>
  <c r="S378" i="2"/>
  <c r="Z378" i="2"/>
  <c r="Q378" i="2"/>
  <c r="AB378" i="2" s="1"/>
  <c r="Z383" i="2"/>
  <c r="Q383" i="2"/>
  <c r="AE383" i="2" s="1"/>
  <c r="X383" i="2"/>
  <c r="W383" i="2"/>
  <c r="AD383" i="2"/>
  <c r="V383" i="2"/>
  <c r="AC383" i="2"/>
  <c r="U383" i="2"/>
  <c r="AB383" i="2"/>
  <c r="T383" i="2"/>
  <c r="AA391" i="2"/>
  <c r="Y330" i="2"/>
  <c r="AI330" i="2"/>
  <c r="S331" i="2"/>
  <c r="Y334" i="2"/>
  <c r="AI334" i="2"/>
  <c r="Y338" i="2"/>
  <c r="AI338" i="2"/>
  <c r="Y342" i="2"/>
  <c r="AI342" i="2"/>
  <c r="W345" i="2"/>
  <c r="AE345" i="2"/>
  <c r="Y346" i="2"/>
  <c r="AI346" i="2"/>
  <c r="AE349" i="2"/>
  <c r="AD350" i="2"/>
  <c r="Z350" i="2"/>
  <c r="Z352" i="2"/>
  <c r="Q352" i="2"/>
  <c r="W353" i="2"/>
  <c r="Q354" i="2"/>
  <c r="AA354" i="2"/>
  <c r="V355" i="2"/>
  <c r="AE355" i="2"/>
  <c r="S356" i="2"/>
  <c r="X357" i="2"/>
  <c r="Y367" i="2"/>
  <c r="AD374" i="2"/>
  <c r="V374" i="2"/>
  <c r="AC374" i="2"/>
  <c r="AB374" i="2"/>
  <c r="S374" i="2"/>
  <c r="Z374" i="2"/>
  <c r="Q374" i="2"/>
  <c r="T374" i="2" s="1"/>
  <c r="W378" i="2"/>
  <c r="S383" i="2"/>
  <c r="Y393" i="2"/>
  <c r="AC393" i="2"/>
  <c r="T393" i="2"/>
  <c r="Q330" i="2"/>
  <c r="X330" i="2" s="1"/>
  <c r="Z330" i="2"/>
  <c r="T331" i="2"/>
  <c r="Q334" i="2"/>
  <c r="Z334" i="2"/>
  <c r="T335" i="2"/>
  <c r="AB335" i="2"/>
  <c r="Q338" i="2"/>
  <c r="T338" i="2" s="1"/>
  <c r="Z338" i="2"/>
  <c r="T339" i="2"/>
  <c r="AB339" i="2"/>
  <c r="Q342" i="2"/>
  <c r="AE342" i="2" s="1"/>
  <c r="Z342" i="2"/>
  <c r="X345" i="2"/>
  <c r="Q346" i="2"/>
  <c r="Z346" i="2"/>
  <c r="T347" i="2"/>
  <c r="X349" i="2"/>
  <c r="Q350" i="2"/>
  <c r="AE350" i="2" s="1"/>
  <c r="AA350" i="2"/>
  <c r="S352" i="2"/>
  <c r="AB352" i="2"/>
  <c r="X353" i="2"/>
  <c r="AI353" i="2"/>
  <c r="S354" i="2"/>
  <c r="AB354" i="2"/>
  <c r="W355" i="2"/>
  <c r="AI355" i="2"/>
  <c r="AD370" i="2"/>
  <c r="V370" i="2"/>
  <c r="AB370" i="2"/>
  <c r="AA370" i="2"/>
  <c r="S370" i="2"/>
  <c r="Z370" i="2"/>
  <c r="Q370" i="2"/>
  <c r="T370" i="2" s="1"/>
  <c r="AA371" i="2"/>
  <c r="X378" i="2"/>
  <c r="Y383" i="2"/>
  <c r="Y345" i="2"/>
  <c r="AI345" i="2"/>
  <c r="Y349" i="2"/>
  <c r="AI349" i="2"/>
  <c r="T354" i="2"/>
  <c r="AC354" i="2"/>
  <c r="AB357" i="2"/>
  <c r="T357" i="2"/>
  <c r="Z357" i="2"/>
  <c r="AA357" i="2"/>
  <c r="AD366" i="2"/>
  <c r="V366" i="2"/>
  <c r="AB366" i="2"/>
  <c r="AA366" i="2"/>
  <c r="S366" i="2"/>
  <c r="Z366" i="2"/>
  <c r="Q366" i="2"/>
  <c r="AC366" i="2" s="1"/>
  <c r="W370" i="2"/>
  <c r="AI371" i="2"/>
  <c r="X374" i="2"/>
  <c r="Y378" i="2"/>
  <c r="X379" i="2"/>
  <c r="AE379" i="2"/>
  <c r="W379" i="2"/>
  <c r="AD379" i="2"/>
  <c r="V379" i="2"/>
  <c r="AC379" i="2"/>
  <c r="U379" i="2"/>
  <c r="AB379" i="2"/>
  <c r="T379" i="2"/>
  <c r="AI382" i="2"/>
  <c r="AA383" i="2"/>
  <c r="T330" i="2"/>
  <c r="T334" i="2"/>
  <c r="V335" i="2"/>
  <c r="V339" i="2"/>
  <c r="T342" i="2"/>
  <c r="V343" i="2"/>
  <c r="Q345" i="2"/>
  <c r="T346" i="2"/>
  <c r="V347" i="2"/>
  <c r="Q349" i="2"/>
  <c r="W349" i="2" s="1"/>
  <c r="T350" i="2"/>
  <c r="AC350" i="2"/>
  <c r="AB353" i="2"/>
  <c r="T353" i="2"/>
  <c r="Z353" i="2"/>
  <c r="U354" i="2"/>
  <c r="AE354" i="2"/>
  <c r="Z355" i="2"/>
  <c r="V356" i="2"/>
  <c r="AE356" i="2"/>
  <c r="Q357" i="2"/>
  <c r="AC357" i="2"/>
  <c r="AD362" i="2"/>
  <c r="V362" i="2"/>
  <c r="U362" i="2"/>
  <c r="T362" i="2"/>
  <c r="S362" i="2"/>
  <c r="Z362" i="2"/>
  <c r="Q362" i="2"/>
  <c r="AC362" i="2" s="1"/>
  <c r="X370" i="2"/>
  <c r="X375" i="2"/>
  <c r="AE375" i="2"/>
  <c r="W375" i="2"/>
  <c r="AD375" i="2"/>
  <c r="V375" i="2"/>
  <c r="AC375" i="2"/>
  <c r="U375" i="2"/>
  <c r="AB375" i="2"/>
  <c r="T375" i="2"/>
  <c r="AE378" i="2"/>
  <c r="AI383" i="2"/>
  <c r="V360" i="2"/>
  <c r="AD360" i="2"/>
  <c r="X361" i="2"/>
  <c r="V364" i="2"/>
  <c r="AD364" i="2"/>
  <c r="X365" i="2"/>
  <c r="V368" i="2"/>
  <c r="AD368" i="2"/>
  <c r="X369" i="2"/>
  <c r="V372" i="2"/>
  <c r="X373" i="2"/>
  <c r="V376" i="2"/>
  <c r="AD376" i="2"/>
  <c r="X377" i="2"/>
  <c r="AD380" i="2"/>
  <c r="X381" i="2"/>
  <c r="V384" i="2"/>
  <c r="AD384" i="2"/>
  <c r="X385" i="2"/>
  <c r="T387" i="2"/>
  <c r="AB387" i="2"/>
  <c r="Y361" i="2"/>
  <c r="AI361" i="2"/>
  <c r="Y365" i="2"/>
  <c r="AI365" i="2"/>
  <c r="Y369" i="2"/>
  <c r="AI369" i="2"/>
  <c r="Y373" i="2"/>
  <c r="AI373" i="2"/>
  <c r="Y377" i="2"/>
  <c r="AI377" i="2"/>
  <c r="Y381" i="2"/>
  <c r="AI381" i="2"/>
  <c r="Y385" i="2"/>
  <c r="AI385" i="2"/>
  <c r="AC387" i="2"/>
  <c r="AE400" i="2"/>
  <c r="AC400" i="2"/>
  <c r="AA408" i="2"/>
  <c r="X408" i="2"/>
  <c r="AE408" i="2"/>
  <c r="X360" i="2"/>
  <c r="Q361" i="2"/>
  <c r="Z361" i="2"/>
  <c r="X364" i="2"/>
  <c r="Q365" i="2"/>
  <c r="Z365" i="2"/>
  <c r="X368" i="2"/>
  <c r="Q369" i="2"/>
  <c r="Z369" i="2"/>
  <c r="X372" i="2"/>
  <c r="Q373" i="2"/>
  <c r="Z373" i="2"/>
  <c r="X376" i="2"/>
  <c r="Q377" i="2"/>
  <c r="T377" i="2" s="1"/>
  <c r="X380" i="2"/>
  <c r="Q381" i="2"/>
  <c r="Z381" i="2"/>
  <c r="X384" i="2"/>
  <c r="Q385" i="2"/>
  <c r="Z385" i="2" s="1"/>
  <c r="V387" i="2"/>
  <c r="Z390" i="2"/>
  <c r="AC394" i="2"/>
  <c r="U394" i="2"/>
  <c r="Z394" i="2"/>
  <c r="V428" i="2"/>
  <c r="AC428" i="2"/>
  <c r="Y360" i="2"/>
  <c r="AI360" i="2"/>
  <c r="S361" i="2"/>
  <c r="AA361" i="2"/>
  <c r="Y364" i="2"/>
  <c r="AI364" i="2"/>
  <c r="S365" i="2"/>
  <c r="AA365" i="2"/>
  <c r="Y368" i="2"/>
  <c r="AI368" i="2"/>
  <c r="S369" i="2"/>
  <c r="AA369" i="2"/>
  <c r="Y372" i="2"/>
  <c r="AI372" i="2"/>
  <c r="S373" i="2"/>
  <c r="AA373" i="2"/>
  <c r="Y376" i="2"/>
  <c r="AI376" i="2"/>
  <c r="S377" i="2"/>
  <c r="AA377" i="2"/>
  <c r="AI380" i="2"/>
  <c r="S381" i="2"/>
  <c r="AA381" i="2"/>
  <c r="Y384" i="2"/>
  <c r="AI384" i="2"/>
  <c r="S385" i="2"/>
  <c r="AA385" i="2"/>
  <c r="W387" i="2"/>
  <c r="Q360" i="2"/>
  <c r="Q364" i="2"/>
  <c r="T365" i="2"/>
  <c r="Q368" i="2"/>
  <c r="T369" i="2"/>
  <c r="Q372" i="2"/>
  <c r="AD372" i="2" s="1"/>
  <c r="T373" i="2"/>
  <c r="Q376" i="2"/>
  <c r="Q380" i="2"/>
  <c r="AC380" i="2" s="1"/>
  <c r="T381" i="2"/>
  <c r="Q384" i="2"/>
  <c r="Z384" i="2"/>
  <c r="T385" i="2"/>
  <c r="X387" i="2"/>
  <c r="AI387" i="2"/>
  <c r="X389" i="2"/>
  <c r="S390" i="2"/>
  <c r="AB390" i="2"/>
  <c r="X391" i="2"/>
  <c r="X393" i="2"/>
  <c r="S394" i="2"/>
  <c r="AB394" i="2"/>
  <c r="X395" i="2"/>
  <c r="AA416" i="2"/>
  <c r="AE416" i="2"/>
  <c r="U416" i="2"/>
  <c r="T428" i="2"/>
  <c r="Y387" i="2"/>
  <c r="AB412" i="2"/>
  <c r="AE424" i="2"/>
  <c r="AC424" i="2"/>
  <c r="T384" i="2"/>
  <c r="Q387" i="2"/>
  <c r="AD387" i="2" s="1"/>
  <c r="AA389" i="2"/>
  <c r="S389" i="2"/>
  <c r="Z389" i="2"/>
  <c r="V390" i="2"/>
  <c r="AE390" i="2"/>
  <c r="AE391" i="2"/>
  <c r="W391" i="2"/>
  <c r="Z391" i="2"/>
  <c r="AA393" i="2"/>
  <c r="S393" i="2"/>
  <c r="Z393" i="2"/>
  <c r="V394" i="2"/>
  <c r="AE394" i="2"/>
  <c r="AE395" i="2"/>
  <c r="W395" i="2"/>
  <c r="Z395" i="2"/>
  <c r="AB424" i="2"/>
  <c r="W397" i="2"/>
  <c r="AE397" i="2"/>
  <c r="AI398" i="2"/>
  <c r="S399" i="2"/>
  <c r="AA399" i="2"/>
  <c r="W401" i="2"/>
  <c r="Y402" i="2"/>
  <c r="AI402" i="2"/>
  <c r="S403" i="2"/>
  <c r="AA403" i="2"/>
  <c r="W405" i="2"/>
  <c r="Y406" i="2"/>
  <c r="AI406" i="2"/>
  <c r="S407" i="2"/>
  <c r="AA407" i="2"/>
  <c r="W409" i="2"/>
  <c r="AE409" i="2"/>
  <c r="Y410" i="2"/>
  <c r="AI410" i="2"/>
  <c r="S411" i="2"/>
  <c r="AA411" i="2"/>
  <c r="W413" i="2"/>
  <c r="Y414" i="2"/>
  <c r="AI414" i="2"/>
  <c r="S415" i="2"/>
  <c r="AA415" i="2"/>
  <c r="W417" i="2"/>
  <c r="AE417" i="2"/>
  <c r="Y418" i="2"/>
  <c r="AI418" i="2"/>
  <c r="AA419" i="2"/>
  <c r="W421" i="2"/>
  <c r="AE421" i="2"/>
  <c r="Y422" i="2"/>
  <c r="AI422" i="2"/>
  <c r="S423" i="2"/>
  <c r="AA423" i="2"/>
  <c r="W425" i="2"/>
  <c r="AE425" i="2"/>
  <c r="Y426" i="2"/>
  <c r="AI426" i="2"/>
  <c r="S427" i="2"/>
  <c r="AA427" i="2"/>
  <c r="W429" i="2"/>
  <c r="X397" i="2"/>
  <c r="T399" i="2"/>
  <c r="AB399" i="2"/>
  <c r="X401" i="2"/>
  <c r="T403" i="2"/>
  <c r="AB403" i="2"/>
  <c r="X405" i="2"/>
  <c r="T407" i="2"/>
  <c r="AB407" i="2"/>
  <c r="T411" i="2"/>
  <c r="AB411" i="2"/>
  <c r="T415" i="2"/>
  <c r="AB415" i="2"/>
  <c r="X429" i="2"/>
  <c r="Y397" i="2"/>
  <c r="AI397" i="2"/>
  <c r="U399" i="2"/>
  <c r="AC399" i="2"/>
  <c r="Y401" i="2"/>
  <c r="AI401" i="2"/>
  <c r="U403" i="2"/>
  <c r="AC403" i="2"/>
  <c r="Y405" i="2"/>
  <c r="AI405" i="2"/>
  <c r="S406" i="2"/>
  <c r="U407" i="2"/>
  <c r="AC407" i="2"/>
  <c r="Y409" i="2"/>
  <c r="AI409" i="2"/>
  <c r="U411" i="2"/>
  <c r="AC411" i="2"/>
  <c r="Y413" i="2"/>
  <c r="AI413" i="2"/>
  <c r="U415" i="2"/>
  <c r="AC415" i="2"/>
  <c r="Y417" i="2"/>
  <c r="AI417" i="2"/>
  <c r="U419" i="2"/>
  <c r="AC419" i="2"/>
  <c r="Y421" i="2"/>
  <c r="AI421" i="2"/>
  <c r="U423" i="2"/>
  <c r="AC423" i="2"/>
  <c r="Y425" i="2"/>
  <c r="AI425" i="2"/>
  <c r="U427" i="2"/>
  <c r="AC427" i="2"/>
  <c r="W428" i="2"/>
  <c r="AE428" i="2"/>
  <c r="Y429" i="2"/>
  <c r="AI429" i="2"/>
  <c r="Q397" i="2"/>
  <c r="Z397" i="2"/>
  <c r="V399" i="2"/>
  <c r="AD399" i="2"/>
  <c r="Q401" i="2"/>
  <c r="AE401" i="2" s="1"/>
  <c r="Z401" i="2"/>
  <c r="V403" i="2"/>
  <c r="AD403" i="2"/>
  <c r="Q405" i="2"/>
  <c r="AE405" i="2" s="1"/>
  <c r="Z405" i="2"/>
  <c r="AB406" i="2"/>
  <c r="V407" i="2"/>
  <c r="AD407" i="2"/>
  <c r="Q409" i="2"/>
  <c r="U409" i="2" s="1"/>
  <c r="T410" i="2"/>
  <c r="AB410" i="2"/>
  <c r="V411" i="2"/>
  <c r="AD411" i="2"/>
  <c r="Q413" i="2"/>
  <c r="V413" i="2" s="1"/>
  <c r="Z413" i="2"/>
  <c r="V415" i="2"/>
  <c r="AD415" i="2"/>
  <c r="Q417" i="2"/>
  <c r="Z417" i="2"/>
  <c r="T418" i="2"/>
  <c r="AB418" i="2"/>
  <c r="V419" i="2"/>
  <c r="Q421" i="2"/>
  <c r="Z421" i="2" s="1"/>
  <c r="T422" i="2"/>
  <c r="AB422" i="2"/>
  <c r="V423" i="2"/>
  <c r="AD423" i="2"/>
  <c r="Q425" i="2"/>
  <c r="Z425" i="2"/>
  <c r="T426" i="2"/>
  <c r="AB426" i="2"/>
  <c r="V427" i="2"/>
  <c r="AD427" i="2"/>
  <c r="X428" i="2"/>
  <c r="Q429" i="2"/>
  <c r="AA429" i="2" s="1"/>
  <c r="Z429" i="2"/>
  <c r="Y388" i="2"/>
  <c r="Y392" i="2"/>
  <c r="Y396" i="2"/>
  <c r="S397" i="2"/>
  <c r="W399" i="2"/>
  <c r="AE399" i="2"/>
  <c r="Y400" i="2"/>
  <c r="S401" i="2"/>
  <c r="U402" i="2"/>
  <c r="W403" i="2"/>
  <c r="AE403" i="2"/>
  <c r="Y404" i="2"/>
  <c r="U406" i="2"/>
  <c r="W407" i="2"/>
  <c r="AE407" i="2"/>
  <c r="Y408" i="2"/>
  <c r="S409" i="2"/>
  <c r="U410" i="2"/>
  <c r="W411" i="2"/>
  <c r="AE411" i="2"/>
  <c r="Y412" i="2"/>
  <c r="S413" i="2"/>
  <c r="U414" i="2"/>
  <c r="W415" i="2"/>
  <c r="AE415" i="2"/>
  <c r="Y416" i="2"/>
  <c r="S417" i="2"/>
  <c r="U418" i="2"/>
  <c r="W419" i="2"/>
  <c r="Y420" i="2"/>
  <c r="S421" i="2"/>
  <c r="U422" i="2"/>
  <c r="W423" i="2"/>
  <c r="AE423" i="2"/>
  <c r="Y424" i="2"/>
  <c r="S425" i="2"/>
  <c r="U426" i="2"/>
  <c r="W427" i="2"/>
  <c r="AE427" i="2"/>
  <c r="Y428" i="2"/>
  <c r="S429" i="2"/>
  <c r="Y399" i="2"/>
  <c r="Y403" i="2"/>
  <c r="Y407" i="2"/>
  <c r="Y411" i="2"/>
  <c r="Y415" i="2"/>
  <c r="Y419" i="2"/>
  <c r="Y423" i="2"/>
  <c r="Y427" i="2"/>
  <c r="AH343" i="2" l="1"/>
  <c r="X240" i="2"/>
  <c r="AH45" i="2"/>
  <c r="AJ45" i="2" s="1"/>
  <c r="AB427" i="2"/>
  <c r="Y380" i="2"/>
  <c r="AH294" i="2"/>
  <c r="AJ294" i="2" s="1"/>
  <c r="AH268" i="2"/>
  <c r="AE240" i="2"/>
  <c r="X184" i="2"/>
  <c r="Y12" i="2"/>
  <c r="AB48" i="2"/>
  <c r="U93" i="2"/>
  <c r="AB305" i="2"/>
  <c r="T274" i="2"/>
  <c r="AH29" i="2"/>
  <c r="AJ29" i="2" s="1"/>
  <c r="AE419" i="2"/>
  <c r="U255" i="2"/>
  <c r="T42" i="2"/>
  <c r="U31" i="2"/>
  <c r="AH31" i="2" s="1"/>
  <c r="AJ31" i="2" s="1"/>
  <c r="AH17" i="2"/>
  <c r="AJ17" i="2" s="1"/>
  <c r="AA414" i="2"/>
  <c r="U390" i="2"/>
  <c r="AH335" i="2"/>
  <c r="AJ335" i="2" s="1"/>
  <c r="AH319" i="2"/>
  <c r="AJ319" i="2" s="1"/>
  <c r="AH282" i="2"/>
  <c r="AJ282" i="2" s="1"/>
  <c r="AH266" i="2"/>
  <c r="AJ266" i="2" s="1"/>
  <c r="AC274" i="2"/>
  <c r="AC255" i="2"/>
  <c r="AC83" i="2"/>
  <c r="U135" i="2"/>
  <c r="AB12" i="2"/>
  <c r="AD419" i="2"/>
  <c r="S419" i="2"/>
  <c r="AE302" i="2"/>
  <c r="V48" i="2"/>
  <c r="T419" i="2"/>
  <c r="X350" i="2"/>
  <c r="U324" i="2"/>
  <c r="AB107" i="2"/>
  <c r="AE135" i="2"/>
  <c r="AE72" i="2"/>
  <c r="T19" i="2"/>
  <c r="T24" i="2"/>
  <c r="S33" i="2"/>
  <c r="S40" i="2"/>
  <c r="AD232" i="2"/>
  <c r="T107" i="2"/>
  <c r="AH66" i="2"/>
  <c r="AJ66" i="2" s="1"/>
  <c r="AC93" i="2"/>
  <c r="AH9" i="2"/>
  <c r="AJ9" i="2" s="1"/>
  <c r="V24" i="2"/>
  <c r="AH420" i="2"/>
  <c r="AJ420" i="2" s="1"/>
  <c r="AH400" i="2"/>
  <c r="AJ400" i="2" s="1"/>
  <c r="AB404" i="2"/>
  <c r="AH428" i="2"/>
  <c r="AJ428" i="2" s="1"/>
  <c r="U378" i="2"/>
  <c r="AH327" i="2"/>
  <c r="AJ327" i="2" s="1"/>
  <c r="AH307" i="2"/>
  <c r="AJ307" i="2" s="1"/>
  <c r="V221" i="2"/>
  <c r="AH174" i="2"/>
  <c r="AJ174" i="2" s="1"/>
  <c r="AH158" i="2"/>
  <c r="AJ158" i="2" s="1"/>
  <c r="AH140" i="2"/>
  <c r="AJ140" i="2" s="1"/>
  <c r="V181" i="2"/>
  <c r="AH125" i="2"/>
  <c r="AJ125" i="2" s="1"/>
  <c r="X40" i="2"/>
  <c r="AH43" i="2"/>
  <c r="AJ43" i="2" s="1"/>
  <c r="AB19" i="2"/>
  <c r="T76" i="2"/>
  <c r="V56" i="2"/>
  <c r="AB323" i="2"/>
  <c r="AA254" i="2"/>
  <c r="AA398" i="2"/>
  <c r="AC426" i="2"/>
  <c r="AH412" i="2"/>
  <c r="AJ412" i="2" s="1"/>
  <c r="AH395" i="2"/>
  <c r="AJ395" i="2" s="1"/>
  <c r="V385" i="2"/>
  <c r="AC390" i="2"/>
  <c r="AH375" i="2"/>
  <c r="AJ375" i="2" s="1"/>
  <c r="AH299" i="2"/>
  <c r="AJ299" i="2" s="1"/>
  <c r="X287" i="2"/>
  <c r="AB265" i="2"/>
  <c r="AH98" i="2"/>
  <c r="AJ98" i="2" s="1"/>
  <c r="AH82" i="2"/>
  <c r="AJ82" i="2" s="1"/>
  <c r="V65" i="2"/>
  <c r="X84" i="2"/>
  <c r="AC59" i="2"/>
  <c r="AE398" i="2"/>
  <c r="AB291" i="2"/>
  <c r="AE142" i="2"/>
  <c r="U398" i="2"/>
  <c r="V380" i="2"/>
  <c r="AH380" i="2" s="1"/>
  <c r="AJ380" i="2" s="1"/>
  <c r="AB333" i="2"/>
  <c r="W332" i="2"/>
  <c r="AH293" i="2"/>
  <c r="AJ293" i="2" s="1"/>
  <c r="Y312" i="2"/>
  <c r="AE265" i="2"/>
  <c r="AH234" i="2"/>
  <c r="Z235" i="2"/>
  <c r="AH74" i="2"/>
  <c r="AJ74" i="2" s="1"/>
  <c r="T135" i="2"/>
  <c r="AB117" i="2"/>
  <c r="AD65" i="2"/>
  <c r="AC76" i="2"/>
  <c r="T84" i="2"/>
  <c r="AH4" i="2"/>
  <c r="AJ4" i="2" s="1"/>
  <c r="T108" i="2"/>
  <c r="T404" i="2"/>
  <c r="S228" i="2"/>
  <c r="V330" i="2"/>
  <c r="U386" i="2"/>
  <c r="AC278" i="2"/>
  <c r="AE244" i="2"/>
  <c r="V261" i="2"/>
  <c r="AB261" i="2"/>
  <c r="AH156" i="2"/>
  <c r="AJ156" i="2" s="1"/>
  <c r="T117" i="2"/>
  <c r="AB62" i="2"/>
  <c r="AE295" i="2"/>
  <c r="AB58" i="2"/>
  <c r="AB398" i="2"/>
  <c r="X398" i="2"/>
  <c r="AH396" i="2"/>
  <c r="AJ396" i="2" s="1"/>
  <c r="U387" i="2"/>
  <c r="AJ343" i="2"/>
  <c r="AB348" i="2"/>
  <c r="U244" i="2"/>
  <c r="AA235" i="2"/>
  <c r="AH250" i="2"/>
  <c r="AJ250" i="2" s="1"/>
  <c r="AD231" i="2"/>
  <c r="AH133" i="2"/>
  <c r="AJ133" i="2" s="1"/>
  <c r="X85" i="2"/>
  <c r="W73" i="2"/>
  <c r="AB287" i="2"/>
  <c r="AD230" i="2"/>
  <c r="AE288" i="2"/>
  <c r="V62" i="2"/>
  <c r="AH62" i="2" s="1"/>
  <c r="AJ62" i="2" s="1"/>
  <c r="AC85" i="2"/>
  <c r="Y398" i="2"/>
  <c r="AH402" i="2"/>
  <c r="AH426" i="2"/>
  <c r="AJ426" i="2" s="1"/>
  <c r="AB385" i="2"/>
  <c r="T278" i="2"/>
  <c r="AD205" i="2"/>
  <c r="AH78" i="2"/>
  <c r="AH113" i="2"/>
  <c r="AJ113" i="2" s="1"/>
  <c r="AE75" i="2"/>
  <c r="AH39" i="2"/>
  <c r="AJ39" i="2" s="1"/>
  <c r="AH5" i="2"/>
  <c r="AJ5" i="2" s="1"/>
  <c r="AH51" i="2"/>
  <c r="AJ51" i="2" s="1"/>
  <c r="AA287" i="2"/>
  <c r="AB392" i="2"/>
  <c r="AC392" i="2"/>
  <c r="AB295" i="2"/>
  <c r="AH357" i="2"/>
  <c r="AJ357" i="2" s="1"/>
  <c r="AH408" i="2"/>
  <c r="AJ408" i="2" s="1"/>
  <c r="Z398" i="2"/>
  <c r="AH323" i="2"/>
  <c r="AJ323" i="2" s="1"/>
  <c r="AH295" i="2"/>
  <c r="AJ295" i="2" s="1"/>
  <c r="AE229" i="2"/>
  <c r="AA193" i="2"/>
  <c r="AB111" i="2"/>
  <c r="X73" i="2"/>
  <c r="V141" i="2"/>
  <c r="AH127" i="2"/>
  <c r="AH58" i="2"/>
  <c r="AJ58" i="2" s="1"/>
  <c r="AA76" i="2"/>
  <c r="AA75" i="2"/>
  <c r="T56" i="2"/>
  <c r="AH55" i="2"/>
  <c r="AJ55" i="2" s="1"/>
  <c r="AH37" i="2"/>
  <c r="AJ37" i="2" s="1"/>
  <c r="S398" i="2"/>
  <c r="AB230" i="2"/>
  <c r="AH230" i="2" s="1"/>
  <c r="AJ230" i="2" s="1"/>
  <c r="V291" i="2"/>
  <c r="AR410" i="6"/>
  <c r="AT410" i="6" s="1"/>
  <c r="AR422" i="6"/>
  <c r="AT422" i="6" s="1"/>
  <c r="AR386" i="6"/>
  <c r="AT386" i="6" s="1"/>
  <c r="AR370" i="6"/>
  <c r="AT370" i="6" s="1"/>
  <c r="AR335" i="6"/>
  <c r="AT335" i="6" s="1"/>
  <c r="AR316" i="6"/>
  <c r="AT316" i="6" s="1"/>
  <c r="AO300" i="6"/>
  <c r="AR291" i="6"/>
  <c r="AT291" i="6" s="1"/>
  <c r="AR281" i="6"/>
  <c r="AT281" i="6" s="1"/>
  <c r="AR273" i="6"/>
  <c r="AT273" i="6" s="1"/>
  <c r="AD248" i="6"/>
  <c r="AR199" i="6"/>
  <c r="AT199" i="6" s="1"/>
  <c r="AR115" i="6"/>
  <c r="AT115" i="6" s="1"/>
  <c r="AE158" i="6"/>
  <c r="Z111" i="6"/>
  <c r="AR111" i="6" s="1"/>
  <c r="AT111" i="6" s="1"/>
  <c r="Z95" i="6"/>
  <c r="AR90" i="6"/>
  <c r="AT90" i="6" s="1"/>
  <c r="Z52" i="6"/>
  <c r="AR75" i="6"/>
  <c r="AT75" i="6" s="1"/>
  <c r="AA23" i="6"/>
  <c r="Z23" i="6"/>
  <c r="AR8" i="6"/>
  <c r="AT8" i="6" s="1"/>
  <c r="AE394" i="6"/>
  <c r="AR394" i="6" s="1"/>
  <c r="AT394" i="6" s="1"/>
  <c r="AL381" i="6"/>
  <c r="AR381" i="6" s="1"/>
  <c r="AT381" i="6" s="1"/>
  <c r="AM421" i="6"/>
  <c r="AI421" i="6"/>
  <c r="AR400" i="6"/>
  <c r="AT400" i="6" s="1"/>
  <c r="AR315" i="6"/>
  <c r="AT315" i="6" s="1"/>
  <c r="AR297" i="6"/>
  <c r="AT297" i="6" s="1"/>
  <c r="AE310" i="6"/>
  <c r="AA287" i="6"/>
  <c r="AR290" i="6"/>
  <c r="AT290" i="6" s="1"/>
  <c r="AR258" i="6"/>
  <c r="AT258" i="6" s="1"/>
  <c r="AR242" i="6"/>
  <c r="AT242" i="6" s="1"/>
  <c r="AR202" i="6"/>
  <c r="AT202" i="6" s="1"/>
  <c r="Z252" i="6"/>
  <c r="X185" i="6"/>
  <c r="AN140" i="6"/>
  <c r="AE131" i="6"/>
  <c r="Y126" i="6"/>
  <c r="AR86" i="6"/>
  <c r="AT86" i="6" s="1"/>
  <c r="AI44" i="6"/>
  <c r="AR44" i="6" s="1"/>
  <c r="AT44" i="6" s="1"/>
  <c r="Z112" i="6"/>
  <c r="AE58" i="6"/>
  <c r="Z54" i="6"/>
  <c r="AL391" i="6"/>
  <c r="AM395" i="6"/>
  <c r="AO395" i="6"/>
  <c r="AN323" i="6"/>
  <c r="AE323" i="6"/>
  <c r="AR323" i="6" s="1"/>
  <c r="AT323" i="6" s="1"/>
  <c r="AO307" i="6"/>
  <c r="AA307" i="6"/>
  <c r="AR426" i="6"/>
  <c r="AT426" i="6" s="1"/>
  <c r="AR423" i="6"/>
  <c r="AT423" i="6" s="1"/>
  <c r="AR412" i="6"/>
  <c r="AT412" i="6" s="1"/>
  <c r="AR390" i="6"/>
  <c r="AT390" i="6" s="1"/>
  <c r="AR349" i="6"/>
  <c r="AT349" i="6" s="1"/>
  <c r="AR331" i="6"/>
  <c r="AT331" i="6" s="1"/>
  <c r="AN373" i="6"/>
  <c r="AR373" i="6" s="1"/>
  <c r="AT373" i="6" s="1"/>
  <c r="Y300" i="6"/>
  <c r="AR283" i="6"/>
  <c r="AT283" i="6" s="1"/>
  <c r="AR265" i="6"/>
  <c r="AT265" i="6" s="1"/>
  <c r="AR226" i="6"/>
  <c r="AT226" i="6" s="1"/>
  <c r="AR218" i="6"/>
  <c r="AT218" i="6" s="1"/>
  <c r="X244" i="6"/>
  <c r="AR200" i="6"/>
  <c r="AT200" i="6" s="1"/>
  <c r="AR134" i="6"/>
  <c r="AT134" i="6" s="1"/>
  <c r="AR98" i="6"/>
  <c r="AT98" i="6" s="1"/>
  <c r="AA36" i="6"/>
  <c r="AR25" i="6"/>
  <c r="AT25" i="6" s="1"/>
  <c r="AR72" i="6"/>
  <c r="AT72" i="6" s="1"/>
  <c r="AR64" i="6"/>
  <c r="AT64" i="6" s="1"/>
  <c r="AH54" i="6"/>
  <c r="AA389" i="6"/>
  <c r="Z418" i="6"/>
  <c r="AJ391" i="6"/>
  <c r="X411" i="6"/>
  <c r="AA415" i="6"/>
  <c r="AL395" i="6"/>
  <c r="AJ389" i="6"/>
  <c r="AR374" i="6"/>
  <c r="AT374" i="6" s="1"/>
  <c r="AR357" i="6"/>
  <c r="AT357" i="6" s="1"/>
  <c r="AN380" i="6"/>
  <c r="AJ352" i="6"/>
  <c r="X329" i="6"/>
  <c r="AR329" i="6" s="1"/>
  <c r="AT329" i="6" s="1"/>
  <c r="X310" i="6"/>
  <c r="AF232" i="6"/>
  <c r="AN224" i="6"/>
  <c r="AL214" i="6"/>
  <c r="AR210" i="6"/>
  <c r="AT210" i="6" s="1"/>
  <c r="AA252" i="6"/>
  <c r="AI188" i="6"/>
  <c r="AE162" i="6"/>
  <c r="X197" i="6"/>
  <c r="Z126" i="6"/>
  <c r="AR94" i="6"/>
  <c r="AT94" i="6" s="1"/>
  <c r="Z29" i="6"/>
  <c r="AE26" i="6"/>
  <c r="Y29" i="6"/>
  <c r="AR48" i="6"/>
  <c r="AT48" i="6" s="1"/>
  <c r="AR9" i="6"/>
  <c r="AT9" i="6" s="1"/>
  <c r="AJ395" i="6"/>
  <c r="X395" i="6"/>
  <c r="AR395" i="6" s="1"/>
  <c r="AT395" i="6" s="1"/>
  <c r="AH395" i="6"/>
  <c r="AB394" i="6"/>
  <c r="AN394" i="6"/>
  <c r="AI411" i="6"/>
  <c r="AG411" i="6"/>
  <c r="AR411" i="6" s="1"/>
  <c r="AT411" i="6" s="1"/>
  <c r="AR378" i="6"/>
  <c r="AT378" i="6" s="1"/>
  <c r="Z307" i="6"/>
  <c r="AR307" i="6" s="1"/>
  <c r="AT307" i="6" s="1"/>
  <c r="AR308" i="6"/>
  <c r="AT308" i="6" s="1"/>
  <c r="Y318" i="6"/>
  <c r="AR289" i="6"/>
  <c r="AT289" i="6" s="1"/>
  <c r="AO188" i="6"/>
  <c r="AO197" i="6"/>
  <c r="AI111" i="6"/>
  <c r="AR102" i="6"/>
  <c r="AT102" i="6" s="1"/>
  <c r="AI29" i="6"/>
  <c r="AR29" i="6" s="1"/>
  <c r="AT29" i="6" s="1"/>
  <c r="AN166" i="6"/>
  <c r="AR16" i="6"/>
  <c r="AT16" i="6" s="1"/>
  <c r="AB413" i="6"/>
  <c r="AR413" i="6" s="1"/>
  <c r="AT413" i="6" s="1"/>
  <c r="AD413" i="6"/>
  <c r="AA366" i="6"/>
  <c r="AC408" i="6"/>
  <c r="AR408" i="6" s="1"/>
  <c r="AT408" i="6" s="1"/>
  <c r="AL113" i="6"/>
  <c r="AN56" i="6"/>
  <c r="AR56" i="6" s="1"/>
  <c r="AT56" i="6" s="1"/>
  <c r="AR391" i="6"/>
  <c r="AT391" i="6" s="1"/>
  <c r="AR383" i="6"/>
  <c r="AT383" i="6" s="1"/>
  <c r="AB373" i="6"/>
  <c r="AR365" i="6"/>
  <c r="AT365" i="6" s="1"/>
  <c r="AR354" i="6"/>
  <c r="AT354" i="6" s="1"/>
  <c r="AR339" i="6"/>
  <c r="AT339" i="6" s="1"/>
  <c r="AR282" i="6"/>
  <c r="AT282" i="6" s="1"/>
  <c r="AR274" i="6"/>
  <c r="AT274" i="6" s="1"/>
  <c r="AR259" i="6"/>
  <c r="AT259" i="6" s="1"/>
  <c r="AD280" i="6"/>
  <c r="AA182" i="6"/>
  <c r="AE150" i="6"/>
  <c r="Z44" i="6"/>
  <c r="Y44" i="6"/>
  <c r="Y36" i="6"/>
  <c r="AR36" i="6" s="1"/>
  <c r="AT36" i="6" s="1"/>
  <c r="AR80" i="6"/>
  <c r="AT80" i="6" s="1"/>
  <c r="AB395" i="6"/>
  <c r="AK321" i="6"/>
  <c r="AG321" i="6"/>
  <c r="AC321" i="6"/>
  <c r="Y321" i="6"/>
  <c r="AN313" i="6"/>
  <c r="AR313" i="6" s="1"/>
  <c r="AT313" i="6" s="1"/>
  <c r="AG345" i="6"/>
  <c r="AR345" i="6" s="1"/>
  <c r="AT345" i="6" s="1"/>
  <c r="AN345" i="6"/>
  <c r="AE159" i="6"/>
  <c r="Z394" i="6"/>
  <c r="AG389" i="6"/>
  <c r="AR401" i="6"/>
  <c r="AT401" i="6" s="1"/>
  <c r="AR371" i="6"/>
  <c r="AT371" i="6" s="1"/>
  <c r="AG344" i="6"/>
  <c r="AD304" i="6"/>
  <c r="AE337" i="6"/>
  <c r="AR296" i="6"/>
  <c r="AT296" i="6" s="1"/>
  <c r="AN302" i="6"/>
  <c r="AR266" i="6"/>
  <c r="AT266" i="6" s="1"/>
  <c r="AM248" i="6"/>
  <c r="AE152" i="6"/>
  <c r="AE140" i="6"/>
  <c r="AI84" i="6"/>
  <c r="AR84" i="6" s="1"/>
  <c r="AT84" i="6" s="1"/>
  <c r="AG395" i="6"/>
  <c r="AN48" i="6"/>
  <c r="S398" i="4"/>
  <c r="AF329" i="4"/>
  <c r="AH329" i="4" s="1"/>
  <c r="R327" i="4"/>
  <c r="AF110" i="4"/>
  <c r="AH110" i="4" s="1"/>
  <c r="AF153" i="4"/>
  <c r="AH153" i="4" s="1"/>
  <c r="AF121" i="4"/>
  <c r="AH121" i="4" s="1"/>
  <c r="AF144" i="4"/>
  <c r="AH144" i="4" s="1"/>
  <c r="Y102" i="4"/>
  <c r="S87" i="4"/>
  <c r="Y87" i="4"/>
  <c r="S308" i="4"/>
  <c r="AF65" i="4"/>
  <c r="AH65" i="4" s="1"/>
  <c r="R328" i="4"/>
  <c r="S284" i="4"/>
  <c r="U247" i="4"/>
  <c r="Y127" i="4"/>
  <c r="U166" i="4"/>
  <c r="AF166" i="4" s="1"/>
  <c r="AH166" i="4" s="1"/>
  <c r="AF103" i="4"/>
  <c r="AH103" i="4" s="1"/>
  <c r="V50" i="4"/>
  <c r="AF50" i="4" s="1"/>
  <c r="AH50" i="4" s="1"/>
  <c r="U38" i="4"/>
  <c r="AF99" i="4"/>
  <c r="AH99" i="4" s="1"/>
  <c r="V76" i="4"/>
  <c r="AC403" i="4"/>
  <c r="AF373" i="4"/>
  <c r="AH373" i="4" s="1"/>
  <c r="AF334" i="4"/>
  <c r="AH334" i="4" s="1"/>
  <c r="AF322" i="4"/>
  <c r="AH322" i="4" s="1"/>
  <c r="AF315" i="4"/>
  <c r="AH315" i="4" s="1"/>
  <c r="AF290" i="4"/>
  <c r="AH290" i="4" s="1"/>
  <c r="V297" i="4"/>
  <c r="AF244" i="4"/>
  <c r="AH244" i="4" s="1"/>
  <c r="AF238" i="4"/>
  <c r="AH238" i="4" s="1"/>
  <c r="AF215" i="4"/>
  <c r="AH215" i="4" s="1"/>
  <c r="AF191" i="4"/>
  <c r="AF204" i="4"/>
  <c r="AH204" i="4" s="1"/>
  <c r="AC233" i="4"/>
  <c r="AF71" i="4"/>
  <c r="AH71" i="4" s="1"/>
  <c r="U284" i="4"/>
  <c r="W81" i="4"/>
  <c r="AB81" i="4"/>
  <c r="R22" i="4"/>
  <c r="S375" i="4"/>
  <c r="U308" i="4"/>
  <c r="AF304" i="4"/>
  <c r="AH304" i="4" s="1"/>
  <c r="AF210" i="4"/>
  <c r="AH210" i="4" s="1"/>
  <c r="AF159" i="4"/>
  <c r="AH159" i="4" s="1"/>
  <c r="AF149" i="4"/>
  <c r="AH149" i="4" s="1"/>
  <c r="AF117" i="4"/>
  <c r="AH117" i="4" s="1"/>
  <c r="R265" i="4"/>
  <c r="W195" i="4"/>
  <c r="AF43" i="4"/>
  <c r="AH43" i="4" s="1"/>
  <c r="AF380" i="4"/>
  <c r="AH380" i="4" s="1"/>
  <c r="Z218" i="4"/>
  <c r="AF218" i="4" s="1"/>
  <c r="AH218" i="4" s="1"/>
  <c r="AA281" i="4"/>
  <c r="Z281" i="4"/>
  <c r="AF281" i="4" s="1"/>
  <c r="AH281" i="4" s="1"/>
  <c r="X208" i="4"/>
  <c r="S66" i="4"/>
  <c r="T38" i="4"/>
  <c r="AF38" i="4" s="1"/>
  <c r="AH38" i="4" s="1"/>
  <c r="U404" i="4"/>
  <c r="X398" i="4"/>
  <c r="AF311" i="4"/>
  <c r="AH311" i="4" s="1"/>
  <c r="AF287" i="4"/>
  <c r="AH287" i="4" s="1"/>
  <c r="AA396" i="4"/>
  <c r="AF199" i="4"/>
  <c r="AH199" i="4" s="1"/>
  <c r="Z209" i="4"/>
  <c r="Y243" i="4"/>
  <c r="Z243" i="4"/>
  <c r="U12" i="4"/>
  <c r="AF3" i="4"/>
  <c r="AF4" i="4"/>
  <c r="AH4" i="4" s="1"/>
  <c r="AF111" i="4"/>
  <c r="AH111" i="4" s="1"/>
  <c r="X260" i="4"/>
  <c r="AF260" i="4" s="1"/>
  <c r="AH260" i="4" s="1"/>
  <c r="V166" i="4"/>
  <c r="X19" i="4"/>
  <c r="Z419" i="4"/>
  <c r="AF419" i="4" s="1"/>
  <c r="AH419" i="4" s="1"/>
  <c r="AA421" i="4"/>
  <c r="R403" i="4"/>
  <c r="AF403" i="4" s="1"/>
  <c r="AH403" i="4" s="1"/>
  <c r="AB381" i="4"/>
  <c r="Z398" i="4"/>
  <c r="Z316" i="4"/>
  <c r="V396" i="4"/>
  <c r="S209" i="4"/>
  <c r="T331" i="4"/>
  <c r="R184" i="4"/>
  <c r="T231" i="4"/>
  <c r="AF89" i="4"/>
  <c r="AH89" i="4" s="1"/>
  <c r="AF73" i="4"/>
  <c r="AH73" i="4" s="1"/>
  <c r="AB243" i="4"/>
  <c r="U80" i="4"/>
  <c r="AB59" i="4"/>
  <c r="AF59" i="4" s="1"/>
  <c r="AH59" i="4" s="1"/>
  <c r="U108" i="4"/>
  <c r="R324" i="4"/>
  <c r="AF324" i="4" s="1"/>
  <c r="AH324" i="4" s="1"/>
  <c r="AF376" i="4"/>
  <c r="AH376" i="4" s="1"/>
  <c r="Y321" i="4"/>
  <c r="X288" i="4"/>
  <c r="AF288" i="4" s="1"/>
  <c r="AH288" i="4" s="1"/>
  <c r="X221" i="4"/>
  <c r="W42" i="4"/>
  <c r="AF42" i="4" s="1"/>
  <c r="AH42" i="4" s="1"/>
  <c r="AF26" i="4"/>
  <c r="AH26" i="4" s="1"/>
  <c r="W14" i="4"/>
  <c r="AF14" i="4" s="1"/>
  <c r="AH14" i="4" s="1"/>
  <c r="U46" i="4"/>
  <c r="AA11" i="4"/>
  <c r="X87" i="4"/>
  <c r="X404" i="4"/>
  <c r="R398" i="4"/>
  <c r="X390" i="4"/>
  <c r="X394" i="4"/>
  <c r="AF354" i="4"/>
  <c r="AH354" i="4" s="1"/>
  <c r="S316" i="4"/>
  <c r="AF316" i="4" s="1"/>
  <c r="AH316" i="4" s="1"/>
  <c r="AF248" i="4"/>
  <c r="AH248" i="4" s="1"/>
  <c r="X388" i="4"/>
  <c r="AF247" i="4"/>
  <c r="AH247" i="4" s="1"/>
  <c r="AF175" i="4"/>
  <c r="AH175" i="4" s="1"/>
  <c r="AF257" i="4"/>
  <c r="AH257" i="4" s="1"/>
  <c r="S243" i="4"/>
  <c r="AB156" i="4"/>
  <c r="AF11" i="4"/>
  <c r="AH11" i="4" s="1"/>
  <c r="W384" i="4"/>
  <c r="AF208" i="4"/>
  <c r="AH208" i="4" s="1"/>
  <c r="AF216" i="4"/>
  <c r="AH216" i="4" s="1"/>
  <c r="AF107" i="4"/>
  <c r="AH107" i="4" s="1"/>
  <c r="AC182" i="4"/>
  <c r="T182" i="4"/>
  <c r="R182" i="4"/>
  <c r="Y158" i="4"/>
  <c r="S158" i="4"/>
  <c r="AF158" i="4" s="1"/>
  <c r="AH158" i="4" s="1"/>
  <c r="AF194" i="4"/>
  <c r="AH194" i="4" s="1"/>
  <c r="Y180" i="4"/>
  <c r="X66" i="4"/>
  <c r="AA398" i="4"/>
  <c r="AF344" i="4"/>
  <c r="AH344" i="4" s="1"/>
  <c r="AF298" i="4"/>
  <c r="AH298" i="4" s="1"/>
  <c r="AF252" i="4"/>
  <c r="AH252" i="4" s="1"/>
  <c r="AF130" i="4"/>
  <c r="AH130" i="4" s="1"/>
  <c r="AF151" i="4"/>
  <c r="AH151" i="4" s="1"/>
  <c r="AF41" i="4"/>
  <c r="AH41" i="4" s="1"/>
  <c r="AF127" i="4"/>
  <c r="AH127" i="4" s="1"/>
  <c r="AF87" i="4"/>
  <c r="AH87" i="4" s="1"/>
  <c r="AF83" i="4"/>
  <c r="AH83" i="4" s="1"/>
  <c r="AF32" i="4"/>
  <c r="AH32" i="4" s="1"/>
  <c r="AF28" i="4"/>
  <c r="AH28" i="4" s="1"/>
  <c r="AF23" i="4"/>
  <c r="AH23" i="4" s="1"/>
  <c r="AF135" i="4"/>
  <c r="AH135" i="4" s="1"/>
  <c r="R344" i="4"/>
  <c r="T344" i="4"/>
  <c r="Y344" i="4"/>
  <c r="AF170" i="4"/>
  <c r="AH170" i="4" s="1"/>
  <c r="R190" i="4"/>
  <c r="AF190" i="4" s="1"/>
  <c r="AH190" i="4" s="1"/>
  <c r="R46" i="4"/>
  <c r="AF46" i="4" s="1"/>
  <c r="AH46" i="4" s="1"/>
  <c r="Z34" i="4"/>
  <c r="AF34" i="4" s="1"/>
  <c r="AH34" i="4" s="1"/>
  <c r="X22" i="4"/>
  <c r="AF22" i="4" s="1"/>
  <c r="AH22" i="4" s="1"/>
  <c r="AB341" i="23"/>
  <c r="AD341" i="23" s="1"/>
  <c r="AB337" i="23"/>
  <c r="AD337" i="23" s="1"/>
  <c r="AB323" i="23"/>
  <c r="AD323" i="23" s="1"/>
  <c r="AB336" i="23"/>
  <c r="AD336" i="23" s="1"/>
  <c r="AB329" i="23"/>
  <c r="AB302" i="23"/>
  <c r="AD302" i="23" s="1"/>
  <c r="AB259" i="23"/>
  <c r="AD259" i="23" s="1"/>
  <c r="AB268" i="23"/>
  <c r="AD268" i="23" s="1"/>
  <c r="Y241" i="23"/>
  <c r="W241" i="23"/>
  <c r="AB142" i="23"/>
  <c r="AD142" i="23" s="1"/>
  <c r="AB130" i="23"/>
  <c r="AD130" i="23" s="1"/>
  <c r="AB86" i="23"/>
  <c r="AD86" i="23" s="1"/>
  <c r="V54" i="23"/>
  <c r="Y314" i="23"/>
  <c r="AB314" i="23" s="1"/>
  <c r="AD314" i="23" s="1"/>
  <c r="V120" i="23"/>
  <c r="AB120" i="23" s="1"/>
  <c r="AD120" i="23" s="1"/>
  <c r="Q219" i="23"/>
  <c r="Y69" i="23"/>
  <c r="R69" i="23"/>
  <c r="AB295" i="23"/>
  <c r="AD295" i="23" s="1"/>
  <c r="AB320" i="23"/>
  <c r="AD320" i="23" s="1"/>
  <c r="AB280" i="23"/>
  <c r="AD280" i="23" s="1"/>
  <c r="AB240" i="23"/>
  <c r="AD240" i="23" s="1"/>
  <c r="AD188" i="23"/>
  <c r="AB102" i="23"/>
  <c r="AD102" i="23" s="1"/>
  <c r="R111" i="23"/>
  <c r="AB2" i="23"/>
  <c r="AD2" i="23" s="1"/>
  <c r="P312" i="23"/>
  <c r="AB312" i="23" s="1"/>
  <c r="AD312" i="23" s="1"/>
  <c r="U312" i="23"/>
  <c r="AB220" i="23"/>
  <c r="AD220" i="23" s="1"/>
  <c r="Y162" i="23"/>
  <c r="Y59" i="23"/>
  <c r="R144" i="23"/>
  <c r="Y73" i="23"/>
  <c r="AB286" i="23"/>
  <c r="AD286" i="23" s="1"/>
  <c r="Q269" i="23"/>
  <c r="AB158" i="23"/>
  <c r="AD158" i="23" s="1"/>
  <c r="AB82" i="23"/>
  <c r="AD82" i="23" s="1"/>
  <c r="AB71" i="23"/>
  <c r="AD71" i="23" s="1"/>
  <c r="AB14" i="23"/>
  <c r="AD14" i="23" s="1"/>
  <c r="R218" i="23"/>
  <c r="W125" i="23"/>
  <c r="R125" i="23"/>
  <c r="V162" i="23"/>
  <c r="W55" i="23"/>
  <c r="X55" i="23"/>
  <c r="AB328" i="23"/>
  <c r="AD328" i="23" s="1"/>
  <c r="AB272" i="23"/>
  <c r="AD272" i="23" s="1"/>
  <c r="Y269" i="23"/>
  <c r="AB218" i="23"/>
  <c r="AD218" i="23" s="1"/>
  <c r="AB236" i="23"/>
  <c r="AD236" i="23" s="1"/>
  <c r="AB171" i="23"/>
  <c r="AD171" i="23" s="1"/>
  <c r="AB224" i="23"/>
  <c r="AD224" i="23" s="1"/>
  <c r="AB125" i="23"/>
  <c r="AD125" i="23" s="1"/>
  <c r="AB88" i="23"/>
  <c r="AD88" i="23" s="1"/>
  <c r="AB98" i="23"/>
  <c r="AD98" i="23" s="1"/>
  <c r="Q95" i="23"/>
  <c r="AB33" i="23"/>
  <c r="AD33" i="23" s="1"/>
  <c r="AD25" i="23"/>
  <c r="T348" i="23"/>
  <c r="W206" i="23"/>
  <c r="S206" i="23"/>
  <c r="AB206" i="23" s="1"/>
  <c r="AD206" i="23" s="1"/>
  <c r="AB5" i="23"/>
  <c r="AD5" i="23" s="1"/>
  <c r="AB334" i="23"/>
  <c r="AD334" i="23" s="1"/>
  <c r="U330" i="23"/>
  <c r="AB330" i="23" s="1"/>
  <c r="AD330" i="23" s="1"/>
  <c r="Q253" i="23"/>
  <c r="AB253" i="23" s="1"/>
  <c r="AD253" i="23" s="1"/>
  <c r="AB238" i="23"/>
  <c r="AD238" i="23" s="1"/>
  <c r="AB167" i="23"/>
  <c r="AD167" i="23" s="1"/>
  <c r="AB199" i="23"/>
  <c r="AD199" i="23" s="1"/>
  <c r="AB185" i="23"/>
  <c r="AD185" i="23" s="1"/>
  <c r="AB172" i="23"/>
  <c r="AD172" i="23" s="1"/>
  <c r="AB164" i="23"/>
  <c r="AD164" i="23" s="1"/>
  <c r="AB156" i="23"/>
  <c r="AD156" i="23" s="1"/>
  <c r="Y83" i="23"/>
  <c r="W58" i="23"/>
  <c r="AB3" i="23"/>
  <c r="AD3" i="23" s="1"/>
  <c r="AB28" i="23"/>
  <c r="AD28" i="23" s="1"/>
  <c r="AB6" i="23"/>
  <c r="AD6" i="23" s="1"/>
  <c r="Y60" i="23"/>
  <c r="U304" i="23"/>
  <c r="AB212" i="23"/>
  <c r="AD212" i="23" s="1"/>
  <c r="AB157" i="23"/>
  <c r="AD157" i="23" s="1"/>
  <c r="X219" i="23"/>
  <c r="AB219" i="23" s="1"/>
  <c r="AD219" i="23" s="1"/>
  <c r="AB92" i="23"/>
  <c r="AD92" i="23" s="1"/>
  <c r="R89" i="23"/>
  <c r="X159" i="23"/>
  <c r="AB301" i="23"/>
  <c r="AD301" i="23" s="1"/>
  <c r="AB235" i="23"/>
  <c r="AD235" i="23" s="1"/>
  <c r="AB192" i="23"/>
  <c r="AD192" i="23" s="1"/>
  <c r="AB184" i="23"/>
  <c r="AD184" i="23" s="1"/>
  <c r="AB179" i="23"/>
  <c r="AD179" i="23" s="1"/>
  <c r="AB144" i="23"/>
  <c r="AD144" i="23" s="1"/>
  <c r="AB89" i="23"/>
  <c r="AD89" i="23" s="1"/>
  <c r="W137" i="23"/>
  <c r="AB73" i="23"/>
  <c r="AD73" i="23" s="1"/>
  <c r="AB114" i="23"/>
  <c r="AD114" i="23" s="1"/>
  <c r="AB78" i="23"/>
  <c r="AD78" i="23" s="1"/>
  <c r="AB59" i="23"/>
  <c r="AD59" i="23" s="1"/>
  <c r="W75" i="23"/>
  <c r="Y87" i="23"/>
  <c r="AB29" i="23"/>
  <c r="AD29" i="23" s="1"/>
  <c r="AB18" i="23"/>
  <c r="AD18" i="23" s="1"/>
  <c r="T298" i="23"/>
  <c r="AB298" i="23" s="1"/>
  <c r="AD298" i="23" s="1"/>
  <c r="V93" i="23"/>
  <c r="AB93" i="23" s="1"/>
  <c r="AD93" i="23" s="1"/>
  <c r="T68" i="23"/>
  <c r="Q68" i="23"/>
  <c r="AB68" i="23" s="1"/>
  <c r="AD68" i="23" s="1"/>
  <c r="R68" i="23"/>
  <c r="X47" i="23"/>
  <c r="AB326" i="23"/>
  <c r="AD326" i="23" s="1"/>
  <c r="AB276" i="23"/>
  <c r="AD276" i="23" s="1"/>
  <c r="AB162" i="23"/>
  <c r="AD162" i="23" s="1"/>
  <c r="AB138" i="23"/>
  <c r="AD138" i="23" s="1"/>
  <c r="AB126" i="23"/>
  <c r="AD126" i="23" s="1"/>
  <c r="AB90" i="23"/>
  <c r="AD90" i="23" s="1"/>
  <c r="R107" i="23"/>
  <c r="Q304" i="23"/>
  <c r="AB304" i="23" s="1"/>
  <c r="AD304" i="23" s="1"/>
  <c r="AB149" i="23"/>
  <c r="AD149" i="23" s="1"/>
  <c r="AB21" i="23"/>
  <c r="AD21" i="23" s="1"/>
  <c r="AB191" i="23"/>
  <c r="AD191" i="23" s="1"/>
  <c r="AB181" i="23"/>
  <c r="AD181" i="23" s="1"/>
  <c r="AB196" i="23"/>
  <c r="AD196" i="23" s="1"/>
  <c r="R94" i="23"/>
  <c r="AB69" i="23"/>
  <c r="AD69" i="23" s="1"/>
  <c r="AB74" i="23"/>
  <c r="AD74" i="23" s="1"/>
  <c r="AB47" i="23"/>
  <c r="AD47" i="23" s="1"/>
  <c r="AB22" i="23"/>
  <c r="AD22" i="23" s="1"/>
  <c r="AB10" i="23"/>
  <c r="AD10" i="23" s="1"/>
  <c r="AD17" i="23"/>
  <c r="AB216" i="23"/>
  <c r="AD216" i="23" s="1"/>
  <c r="AB194" i="23"/>
  <c r="AD194" i="23" s="1"/>
  <c r="V108" i="23"/>
  <c r="AB108" i="23" s="1"/>
  <c r="AD108" i="23" s="1"/>
  <c r="T55" i="23"/>
  <c r="AB55" i="23" s="1"/>
  <c r="AD55" i="23" s="1"/>
  <c r="AH427" i="3"/>
  <c r="AJ427" i="3" s="1"/>
  <c r="AJ384" i="3"/>
  <c r="AH372" i="3"/>
  <c r="AJ372" i="3" s="1"/>
  <c r="AH353" i="3"/>
  <c r="AJ353" i="3" s="1"/>
  <c r="T378" i="3"/>
  <c r="AH352" i="3"/>
  <c r="AJ352" i="3" s="1"/>
  <c r="AH334" i="3"/>
  <c r="AJ334" i="3" s="1"/>
  <c r="AC346" i="3"/>
  <c r="AH296" i="3"/>
  <c r="AJ296" i="3" s="1"/>
  <c r="Z180" i="3"/>
  <c r="AH179" i="3"/>
  <c r="AJ179" i="3" s="1"/>
  <c r="AH138" i="3"/>
  <c r="AJ138" i="3" s="1"/>
  <c r="AH155" i="3"/>
  <c r="AJ155" i="3" s="1"/>
  <c r="AH139" i="3"/>
  <c r="AJ139" i="3" s="1"/>
  <c r="AJ133" i="3"/>
  <c r="AH112" i="3"/>
  <c r="AJ112" i="3" s="1"/>
  <c r="AH100" i="3"/>
  <c r="AJ100" i="3" s="1"/>
  <c r="AH44" i="3"/>
  <c r="AJ44" i="3" s="1"/>
  <c r="S379" i="3"/>
  <c r="AA379" i="3"/>
  <c r="Z119" i="3"/>
  <c r="AH415" i="3"/>
  <c r="AJ415" i="3" s="1"/>
  <c r="AH360" i="3"/>
  <c r="AJ360" i="3" s="1"/>
  <c r="AH315" i="3"/>
  <c r="AJ315" i="3" s="1"/>
  <c r="AH288" i="3"/>
  <c r="AJ288" i="3" s="1"/>
  <c r="AH227" i="3"/>
  <c r="AJ227" i="3" s="1"/>
  <c r="AH191" i="3"/>
  <c r="AJ191" i="3" s="1"/>
  <c r="AH87" i="3"/>
  <c r="AJ87" i="3" s="1"/>
  <c r="AH89" i="3"/>
  <c r="AJ89" i="3" s="1"/>
  <c r="AH97" i="3"/>
  <c r="AJ97" i="3" s="1"/>
  <c r="AH160" i="3"/>
  <c r="AJ160" i="3" s="1"/>
  <c r="AH144" i="3"/>
  <c r="AJ144" i="3" s="1"/>
  <c r="AH106" i="3"/>
  <c r="AJ106" i="3" s="1"/>
  <c r="AH12" i="3"/>
  <c r="AJ12" i="3" s="1"/>
  <c r="AH83" i="3"/>
  <c r="AJ83" i="3" s="1"/>
  <c r="AH75" i="3"/>
  <c r="AJ75" i="3" s="1"/>
  <c r="AH67" i="3"/>
  <c r="AJ67" i="3" s="1"/>
  <c r="AH9" i="3"/>
  <c r="AJ9" i="3" s="1"/>
  <c r="U233" i="3"/>
  <c r="AA404" i="3"/>
  <c r="S368" i="3"/>
  <c r="AH379" i="3"/>
  <c r="AJ379" i="3" s="1"/>
  <c r="AH367" i="3"/>
  <c r="AJ367" i="3" s="1"/>
  <c r="AH335" i="3"/>
  <c r="AJ335" i="3" s="1"/>
  <c r="AH386" i="3"/>
  <c r="AJ386" i="3" s="1"/>
  <c r="Z338" i="3"/>
  <c r="S303" i="3"/>
  <c r="AA299" i="3"/>
  <c r="AH393" i="3"/>
  <c r="AJ393" i="3" s="1"/>
  <c r="AH233" i="3"/>
  <c r="AJ233" i="3" s="1"/>
  <c r="U237" i="3"/>
  <c r="AH200" i="3"/>
  <c r="AJ200" i="3" s="1"/>
  <c r="AH146" i="3"/>
  <c r="AJ146" i="3" s="1"/>
  <c r="AH123" i="3"/>
  <c r="AJ123" i="3" s="1"/>
  <c r="Y121" i="3"/>
  <c r="AH127" i="3"/>
  <c r="AJ127" i="3" s="1"/>
  <c r="AH115" i="3"/>
  <c r="AJ115" i="3" s="1"/>
  <c r="AH60" i="3"/>
  <c r="AJ60" i="3" s="1"/>
  <c r="AH20" i="3"/>
  <c r="AJ20" i="3" s="1"/>
  <c r="AH53" i="3"/>
  <c r="AJ53" i="3" s="1"/>
  <c r="AA88" i="3"/>
  <c r="AH420" i="3"/>
  <c r="AJ420" i="3" s="1"/>
  <c r="AH412" i="3"/>
  <c r="AJ412" i="3" s="1"/>
  <c r="AH423" i="3"/>
  <c r="AJ423" i="3" s="1"/>
  <c r="AH343" i="3"/>
  <c r="AJ343" i="3" s="1"/>
  <c r="AE346" i="3"/>
  <c r="Z303" i="3"/>
  <c r="AH314" i="3"/>
  <c r="AJ314" i="3" s="1"/>
  <c r="X330" i="3"/>
  <c r="AH309" i="3"/>
  <c r="AJ309" i="3" s="1"/>
  <c r="AH313" i="3"/>
  <c r="AJ313" i="3" s="1"/>
  <c r="AH280" i="3"/>
  <c r="AJ280" i="3" s="1"/>
  <c r="AH248" i="3"/>
  <c r="AJ248" i="3" s="1"/>
  <c r="AH238" i="3"/>
  <c r="AJ238" i="3" s="1"/>
  <c r="Z262" i="3"/>
  <c r="AH180" i="3"/>
  <c r="AJ180" i="3" s="1"/>
  <c r="AH223" i="3"/>
  <c r="AJ223" i="3" s="1"/>
  <c r="AB234" i="3"/>
  <c r="Z121" i="3"/>
  <c r="AH103" i="3"/>
  <c r="AJ103" i="3" s="1"/>
  <c r="AH96" i="3"/>
  <c r="AJ96" i="3" s="1"/>
  <c r="AH26" i="3"/>
  <c r="AJ26" i="3" s="1"/>
  <c r="T404" i="3"/>
  <c r="AH404" i="3" s="1"/>
  <c r="AJ404" i="3" s="1"/>
  <c r="AH411" i="3"/>
  <c r="AJ411" i="3" s="1"/>
  <c r="AH394" i="3"/>
  <c r="AJ394" i="3" s="1"/>
  <c r="AH383" i="3"/>
  <c r="AJ383" i="3" s="1"/>
  <c r="T338" i="3"/>
  <c r="AH342" i="3"/>
  <c r="AJ342" i="3" s="1"/>
  <c r="AH325" i="3"/>
  <c r="AJ325" i="3" s="1"/>
  <c r="AH269" i="3"/>
  <c r="AJ269" i="3" s="1"/>
  <c r="AH273" i="3"/>
  <c r="AJ273" i="3" s="1"/>
  <c r="AH264" i="3"/>
  <c r="AJ264" i="3" s="1"/>
  <c r="AH260" i="3"/>
  <c r="AJ260" i="3" s="1"/>
  <c r="AH252" i="3"/>
  <c r="AJ252" i="3" s="1"/>
  <c r="AH242" i="3"/>
  <c r="AJ242" i="3" s="1"/>
  <c r="AH216" i="3"/>
  <c r="AJ216" i="3" s="1"/>
  <c r="AH170" i="3"/>
  <c r="AJ170" i="3" s="1"/>
  <c r="AH163" i="3"/>
  <c r="AJ163" i="3" s="1"/>
  <c r="AH147" i="3"/>
  <c r="AJ147" i="3" s="1"/>
  <c r="AH136" i="3"/>
  <c r="AJ136" i="3" s="1"/>
  <c r="AH114" i="3"/>
  <c r="AJ114" i="3" s="1"/>
  <c r="AH68" i="3"/>
  <c r="AJ68" i="3" s="1"/>
  <c r="AH18" i="3"/>
  <c r="AJ18" i="3" s="1"/>
  <c r="AE322" i="3"/>
  <c r="AH322" i="3" s="1"/>
  <c r="AJ322" i="3" s="1"/>
  <c r="AH399" i="3"/>
  <c r="AJ399" i="3" s="1"/>
  <c r="AH344" i="3"/>
  <c r="AJ344" i="3" s="1"/>
  <c r="Z414" i="3"/>
  <c r="AH299" i="3"/>
  <c r="AJ299" i="3" s="1"/>
  <c r="AH278" i="3"/>
  <c r="AH203" i="3"/>
  <c r="AJ203" i="3" s="1"/>
  <c r="AH199" i="3"/>
  <c r="AJ199" i="3" s="1"/>
  <c r="AH188" i="3"/>
  <c r="AJ188" i="3" s="1"/>
  <c r="AH95" i="3"/>
  <c r="AJ95" i="3" s="1"/>
  <c r="AJ157" i="3"/>
  <c r="AH152" i="3"/>
  <c r="AJ152" i="3" s="1"/>
  <c r="AH104" i="3"/>
  <c r="AJ104" i="3" s="1"/>
  <c r="AH76" i="3"/>
  <c r="AJ76" i="3" s="1"/>
  <c r="AH27" i="3"/>
  <c r="AJ27" i="3" s="1"/>
  <c r="AH11" i="3"/>
  <c r="AJ11" i="3" s="1"/>
  <c r="AE319" i="3"/>
  <c r="AC319" i="3"/>
  <c r="X40" i="3"/>
  <c r="AH387" i="3"/>
  <c r="AJ387" i="3" s="1"/>
  <c r="AH371" i="3"/>
  <c r="AJ371" i="3" s="1"/>
  <c r="AH363" i="3"/>
  <c r="AJ363" i="3" s="1"/>
  <c r="AA350" i="3"/>
  <c r="S369" i="3"/>
  <c r="AH357" i="3"/>
  <c r="AJ357" i="3" s="1"/>
  <c r="AH306" i="3"/>
  <c r="AJ306" i="3" s="1"/>
  <c r="AA414" i="3"/>
  <c r="AH301" i="3"/>
  <c r="AJ301" i="3" s="1"/>
  <c r="AH274" i="3"/>
  <c r="AJ274" i="3" s="1"/>
  <c r="AH272" i="3"/>
  <c r="AJ272" i="3" s="1"/>
  <c r="AH232" i="3"/>
  <c r="AJ232" i="3" s="1"/>
  <c r="AH186" i="3"/>
  <c r="AJ186" i="3" s="1"/>
  <c r="AB226" i="3"/>
  <c r="AH187" i="3"/>
  <c r="AJ187" i="3" s="1"/>
  <c r="AH119" i="3"/>
  <c r="AJ119" i="3" s="1"/>
  <c r="AH168" i="3"/>
  <c r="AJ168" i="3" s="1"/>
  <c r="AH140" i="3"/>
  <c r="AJ140" i="3" s="1"/>
  <c r="AH52" i="3"/>
  <c r="AJ52" i="3" s="1"/>
  <c r="AH43" i="3"/>
  <c r="AJ43" i="3" s="1"/>
  <c r="AH35" i="3"/>
  <c r="AJ35" i="3" s="1"/>
  <c r="AB41" i="3"/>
  <c r="AB241" i="3"/>
  <c r="T241" i="3"/>
  <c r="AH241" i="3" s="1"/>
  <c r="AJ241" i="3" s="1"/>
  <c r="AH424" i="3"/>
  <c r="AJ424" i="3" s="1"/>
  <c r="AH407" i="3"/>
  <c r="AJ407" i="3" s="1"/>
  <c r="AH395" i="3"/>
  <c r="AJ395" i="3" s="1"/>
  <c r="Z389" i="3"/>
  <c r="AH354" i="3"/>
  <c r="AJ354" i="3" s="1"/>
  <c r="AH331" i="3"/>
  <c r="AJ331" i="3" s="1"/>
  <c r="AH307" i="3"/>
  <c r="AJ307" i="3" s="1"/>
  <c r="AA283" i="3"/>
  <c r="AH329" i="3"/>
  <c r="T255" i="3"/>
  <c r="AH255" i="3" s="1"/>
  <c r="AJ255" i="3" s="1"/>
  <c r="AH202" i="3"/>
  <c r="AJ202" i="3" s="1"/>
  <c r="AH101" i="3"/>
  <c r="AJ101" i="3" s="1"/>
  <c r="AH88" i="3"/>
  <c r="AJ88" i="3" s="1"/>
  <c r="AH122" i="3"/>
  <c r="AJ122" i="3" s="1"/>
  <c r="AH107" i="3"/>
  <c r="AJ107" i="3" s="1"/>
  <c r="AH126" i="3"/>
  <c r="AJ126" i="3" s="1"/>
  <c r="T94" i="3"/>
  <c r="AH28" i="3"/>
  <c r="AJ28" i="3" s="1"/>
  <c r="Z311" i="3"/>
  <c r="X311" i="3"/>
  <c r="AE391" i="3"/>
  <c r="Z391" i="3"/>
  <c r="AH391" i="3" s="1"/>
  <c r="AJ391" i="3" s="1"/>
  <c r="AH384" i="2"/>
  <c r="AJ384" i="2" s="1"/>
  <c r="U370" i="2"/>
  <c r="AA374" i="2"/>
  <c r="AH359" i="2"/>
  <c r="AJ359" i="2" s="1"/>
  <c r="AH345" i="2"/>
  <c r="AJ345" i="2" s="1"/>
  <c r="AB337" i="2"/>
  <c r="T336" i="2"/>
  <c r="AB308" i="2"/>
  <c r="AH297" i="2"/>
  <c r="AJ297" i="2" s="1"/>
  <c r="AC358" i="2"/>
  <c r="AB341" i="2"/>
  <c r="AH249" i="2"/>
  <c r="AJ249" i="2" s="1"/>
  <c r="U185" i="2"/>
  <c r="AH160" i="2"/>
  <c r="AJ160" i="2" s="1"/>
  <c r="AH144" i="2"/>
  <c r="AJ144" i="2" s="1"/>
  <c r="AH154" i="2"/>
  <c r="AJ154" i="2" s="1"/>
  <c r="U193" i="2"/>
  <c r="AH85" i="2"/>
  <c r="AJ85" i="2" s="1"/>
  <c r="Z141" i="2"/>
  <c r="AC80" i="2"/>
  <c r="AH72" i="2"/>
  <c r="AJ72" i="2" s="1"/>
  <c r="AH64" i="2"/>
  <c r="AJ64" i="2" s="1"/>
  <c r="AH96" i="2"/>
  <c r="AJ96" i="2" s="1"/>
  <c r="AB88" i="2"/>
  <c r="AH20" i="2"/>
  <c r="AJ20" i="2" s="1"/>
  <c r="AB124" i="2"/>
  <c r="AE108" i="2"/>
  <c r="AB63" i="2"/>
  <c r="T326" i="2"/>
  <c r="U326" i="2"/>
  <c r="T315" i="2"/>
  <c r="AA129" i="2"/>
  <c r="AC302" i="2"/>
  <c r="AH302" i="2" s="1"/>
  <c r="AJ302" i="2" s="1"/>
  <c r="T61" i="2"/>
  <c r="AH61" i="2" s="1"/>
  <c r="AJ61" i="2" s="1"/>
  <c r="AD101" i="2"/>
  <c r="U101" i="2"/>
  <c r="AH363" i="2"/>
  <c r="AJ363" i="2" s="1"/>
  <c r="AC370" i="2"/>
  <c r="AB356" i="2"/>
  <c r="AB377" i="2"/>
  <c r="AH306" i="2"/>
  <c r="AJ306" i="2" s="1"/>
  <c r="AC321" i="2"/>
  <c r="Y321" i="2"/>
  <c r="AD304" i="2"/>
  <c r="S259" i="2"/>
  <c r="AE261" i="2"/>
  <c r="AH220" i="2"/>
  <c r="AJ220" i="2" s="1"/>
  <c r="AH175" i="2"/>
  <c r="AJ175" i="2" s="1"/>
  <c r="AH177" i="2"/>
  <c r="AJ177" i="2" s="1"/>
  <c r="AH164" i="2"/>
  <c r="AJ164" i="2" s="1"/>
  <c r="AH150" i="2"/>
  <c r="AJ150" i="2" s="1"/>
  <c r="AH142" i="2"/>
  <c r="AJ142" i="2" s="1"/>
  <c r="AH165" i="2"/>
  <c r="AJ165" i="2" s="1"/>
  <c r="AH105" i="2"/>
  <c r="AJ105" i="2" s="1"/>
  <c r="AH97" i="2"/>
  <c r="AJ97" i="2" s="1"/>
  <c r="AH73" i="2"/>
  <c r="AJ73" i="2" s="1"/>
  <c r="AH2" i="2"/>
  <c r="AJ2" i="2" s="1"/>
  <c r="AH12" i="2"/>
  <c r="AJ12" i="2" s="1"/>
  <c r="AH47" i="2"/>
  <c r="AJ47" i="2" s="1"/>
  <c r="AH33" i="2"/>
  <c r="AJ33" i="2" s="1"/>
  <c r="AC414" i="2"/>
  <c r="AC322" i="2"/>
  <c r="AH322" i="2" s="1"/>
  <c r="AJ322" i="2" s="1"/>
  <c r="Z303" i="2"/>
  <c r="AE303" i="2"/>
  <c r="AB238" i="2"/>
  <c r="AD226" i="2"/>
  <c r="AA362" i="2"/>
  <c r="AH379" i="2"/>
  <c r="AJ379" i="2" s="1"/>
  <c r="U374" i="2"/>
  <c r="AH326" i="2"/>
  <c r="AJ326" i="2" s="1"/>
  <c r="U321" i="2"/>
  <c r="AE313" i="2"/>
  <c r="AH274" i="2"/>
  <c r="AJ274" i="2" s="1"/>
  <c r="AH270" i="2"/>
  <c r="AJ270" i="2" s="1"/>
  <c r="AH262" i="2"/>
  <c r="AJ262" i="2" s="1"/>
  <c r="AH242" i="2"/>
  <c r="AJ242" i="2" s="1"/>
  <c r="AJ234" i="2"/>
  <c r="AD221" i="2"/>
  <c r="AH221" i="2" s="1"/>
  <c r="AJ221" i="2" s="1"/>
  <c r="AH207" i="2"/>
  <c r="AJ207" i="2" s="1"/>
  <c r="AA197" i="2"/>
  <c r="AH117" i="2"/>
  <c r="AJ117" i="2" s="1"/>
  <c r="U143" i="2"/>
  <c r="AH56" i="2"/>
  <c r="AJ56" i="2" s="1"/>
  <c r="AB108" i="2"/>
  <c r="V311" i="2"/>
  <c r="X311" i="2"/>
  <c r="X414" i="2"/>
  <c r="AH414" i="2" s="1"/>
  <c r="AJ414" i="2" s="1"/>
  <c r="Z70" i="2"/>
  <c r="T70" i="2"/>
  <c r="AH70" i="2" s="1"/>
  <c r="AJ70" i="2" s="1"/>
  <c r="AB70" i="2"/>
  <c r="AE367" i="2"/>
  <c r="AH286" i="2"/>
  <c r="AJ286" i="2" s="1"/>
  <c r="AH24" i="2"/>
  <c r="AJ24" i="2" s="1"/>
  <c r="AB388" i="2"/>
  <c r="T388" i="2"/>
  <c r="AH388" i="2" s="1"/>
  <c r="AJ388" i="2" s="1"/>
  <c r="AC318" i="2"/>
  <c r="AC406" i="2"/>
  <c r="AH406" i="2" s="1"/>
  <c r="AJ406" i="2" s="1"/>
  <c r="AC226" i="2"/>
  <c r="AB166" i="2"/>
  <c r="W166" i="2"/>
  <c r="AH424" i="2"/>
  <c r="AJ424" i="2" s="1"/>
  <c r="AH404" i="2"/>
  <c r="AJ404" i="2" s="1"/>
  <c r="AH398" i="2"/>
  <c r="AJ398" i="2" s="1"/>
  <c r="AE429" i="2"/>
  <c r="AE413" i="2"/>
  <c r="AH394" i="2"/>
  <c r="AJ394" i="2" s="1"/>
  <c r="AB362" i="2"/>
  <c r="AC378" i="2"/>
  <c r="T367" i="2"/>
  <c r="AC371" i="2"/>
  <c r="AH301" i="2"/>
  <c r="AJ301" i="2" s="1"/>
  <c r="AB332" i="2"/>
  <c r="AH251" i="2"/>
  <c r="AJ251" i="2" s="1"/>
  <c r="T259" i="2"/>
  <c r="AE224" i="2"/>
  <c r="AH138" i="2"/>
  <c r="AJ138" i="2" s="1"/>
  <c r="AH109" i="2"/>
  <c r="AJ109" i="2" s="1"/>
  <c r="AB145" i="2"/>
  <c r="AH89" i="2"/>
  <c r="AJ89" i="2" s="1"/>
  <c r="AA80" i="2"/>
  <c r="AH92" i="2"/>
  <c r="AJ92" i="2" s="1"/>
  <c r="V63" i="2"/>
  <c r="AE131" i="2"/>
  <c r="AE315" i="2"/>
  <c r="V288" i="2"/>
  <c r="AB69" i="2"/>
  <c r="AC69" i="2"/>
  <c r="U332" i="2"/>
  <c r="AH310" i="2"/>
  <c r="AJ310" i="2" s="1"/>
  <c r="Y325" i="2"/>
  <c r="S300" i="2"/>
  <c r="AH238" i="2"/>
  <c r="AJ238" i="2" s="1"/>
  <c r="Y233" i="2"/>
  <c r="AH203" i="2"/>
  <c r="AJ203" i="2" s="1"/>
  <c r="AH148" i="2"/>
  <c r="AJ148" i="2" s="1"/>
  <c r="AH134" i="2"/>
  <c r="AJ134" i="2" s="1"/>
  <c r="AH173" i="2"/>
  <c r="AJ173" i="2" s="1"/>
  <c r="AH129" i="2"/>
  <c r="AJ129" i="2" s="1"/>
  <c r="AH121" i="2"/>
  <c r="AJ121" i="2" s="1"/>
  <c r="AH41" i="2"/>
  <c r="AJ41" i="2" s="1"/>
  <c r="W124" i="2"/>
  <c r="T279" i="2"/>
  <c r="AD162" i="2"/>
  <c r="V162" i="2"/>
  <c r="AB81" i="2"/>
  <c r="U81" i="2"/>
  <c r="AA81" i="2"/>
  <c r="Z409" i="2"/>
  <c r="Z387" i="2"/>
  <c r="AH339" i="2"/>
  <c r="AJ339" i="2" s="1"/>
  <c r="Z371" i="2"/>
  <c r="AH334" i="2"/>
  <c r="AJ334" i="2" s="1"/>
  <c r="AH329" i="2"/>
  <c r="AJ329" i="2" s="1"/>
  <c r="AH314" i="2"/>
  <c r="AJ314" i="2" s="1"/>
  <c r="AH305" i="2"/>
  <c r="AJ305" i="2" s="1"/>
  <c r="AH298" i="2"/>
  <c r="AJ298" i="2" s="1"/>
  <c r="AH291" i="2"/>
  <c r="AJ291" i="2" s="1"/>
  <c r="AH258" i="2"/>
  <c r="AJ258" i="2" s="1"/>
  <c r="AH278" i="2"/>
  <c r="AJ278" i="2" s="1"/>
  <c r="AH245" i="2"/>
  <c r="AJ245" i="2" s="1"/>
  <c r="AH228" i="2"/>
  <c r="AJ228" i="2" s="1"/>
  <c r="AB202" i="2"/>
  <c r="AH209" i="2"/>
  <c r="AJ209" i="2" s="1"/>
  <c r="AH152" i="2"/>
  <c r="AJ152" i="2" s="1"/>
  <c r="AH146" i="2"/>
  <c r="AJ146" i="2" s="1"/>
  <c r="AH93" i="2"/>
  <c r="AJ93" i="2" s="1"/>
  <c r="AH77" i="2"/>
  <c r="AJ77" i="2" s="1"/>
  <c r="AA116" i="2"/>
  <c r="Y18" i="2"/>
  <c r="AH8" i="2"/>
  <c r="AJ8" i="2" s="1"/>
  <c r="AH49" i="2"/>
  <c r="AJ49" i="2" s="1"/>
  <c r="U104" i="2"/>
  <c r="AC222" i="2"/>
  <c r="AH222" i="2" s="1"/>
  <c r="AJ222" i="2" s="1"/>
  <c r="AB279" i="2"/>
  <c r="AB25" i="2"/>
  <c r="AC25" i="2"/>
  <c r="AD223" i="2"/>
  <c r="AH416" i="2"/>
  <c r="AJ416" i="2" s="1"/>
  <c r="AH347" i="2"/>
  <c r="AJ347" i="2" s="1"/>
  <c r="AC313" i="2"/>
  <c r="AH313" i="2" s="1"/>
  <c r="AJ313" i="2" s="1"/>
  <c r="AH309" i="2"/>
  <c r="AJ309" i="2" s="1"/>
  <c r="AH288" i="2"/>
  <c r="AJ288" i="2" s="1"/>
  <c r="Z259" i="2"/>
  <c r="AH226" i="2"/>
  <c r="AJ226" i="2" s="1"/>
  <c r="AB210" i="2"/>
  <c r="AH181" i="2"/>
  <c r="AJ181" i="2" s="1"/>
  <c r="Y205" i="2"/>
  <c r="AJ78" i="2"/>
  <c r="AH123" i="2"/>
  <c r="AJ123" i="2" s="1"/>
  <c r="AH65" i="2"/>
  <c r="AJ65" i="2" s="1"/>
  <c r="AB128" i="2"/>
  <c r="AB143" i="2"/>
  <c r="AH16" i="2"/>
  <c r="AJ16" i="2" s="1"/>
  <c r="T88" i="2"/>
  <c r="AH88" i="2" s="1"/>
  <c r="AJ88" i="2" s="1"/>
  <c r="AH53" i="2"/>
  <c r="AJ53" i="2" s="1"/>
  <c r="AC271" i="2"/>
  <c r="T271" i="2"/>
  <c r="AE13" i="2"/>
  <c r="AH13" i="2" s="1"/>
  <c r="AJ13" i="2" s="1"/>
  <c r="AH59" i="3"/>
  <c r="AJ59" i="3" s="1"/>
  <c r="AE380" i="3"/>
  <c r="T380" i="3"/>
  <c r="AH377" i="3"/>
  <c r="AJ377" i="3" s="1"/>
  <c r="S413" i="3"/>
  <c r="V405" i="3"/>
  <c r="AH421" i="3"/>
  <c r="AJ421" i="3" s="1"/>
  <c r="U418" i="3"/>
  <c r="V410" i="3"/>
  <c r="AH356" i="3"/>
  <c r="AJ356" i="3" s="1"/>
  <c r="AH338" i="3"/>
  <c r="AJ338" i="3" s="1"/>
  <c r="AH327" i="3"/>
  <c r="AJ327" i="3" s="1"/>
  <c r="T370" i="3"/>
  <c r="AH414" i="3"/>
  <c r="AJ414" i="3" s="1"/>
  <c r="AE366" i="3"/>
  <c r="U326" i="3"/>
  <c r="AH316" i="3"/>
  <c r="AJ316" i="3" s="1"/>
  <c r="AH300" i="3"/>
  <c r="AJ300" i="3" s="1"/>
  <c r="Y323" i="3"/>
  <c r="AH323" i="3" s="1"/>
  <c r="AJ323" i="3" s="1"/>
  <c r="T297" i="3"/>
  <c r="AH348" i="3"/>
  <c r="AJ348" i="3" s="1"/>
  <c r="V312" i="3"/>
  <c r="AH254" i="3"/>
  <c r="AJ254" i="3" s="1"/>
  <c r="AB295" i="3"/>
  <c r="AH287" i="3"/>
  <c r="AJ287" i="3" s="1"/>
  <c r="Z261" i="3"/>
  <c r="AH279" i="3"/>
  <c r="AJ279" i="3" s="1"/>
  <c r="AA225" i="3"/>
  <c r="AH197" i="3"/>
  <c r="AJ197" i="3" s="1"/>
  <c r="AE185" i="3"/>
  <c r="AC224" i="3"/>
  <c r="U185" i="3"/>
  <c r="AH153" i="3"/>
  <c r="AJ153" i="3" s="1"/>
  <c r="U190" i="3"/>
  <c r="AE153" i="3"/>
  <c r="AE145" i="3"/>
  <c r="U132" i="3"/>
  <c r="T132" i="3"/>
  <c r="Y148" i="3"/>
  <c r="AH148" i="3" s="1"/>
  <c r="AJ148" i="3" s="1"/>
  <c r="AH151" i="3"/>
  <c r="AJ151" i="3" s="1"/>
  <c r="AH135" i="3"/>
  <c r="AJ135" i="3" s="1"/>
  <c r="AH82" i="3"/>
  <c r="AJ82" i="3" s="1"/>
  <c r="AH84" i="3"/>
  <c r="AJ84" i="3" s="1"/>
  <c r="T69" i="3"/>
  <c r="AH2" i="3"/>
  <c r="AJ2" i="3" s="1"/>
  <c r="AC57" i="3"/>
  <c r="AD405" i="3"/>
  <c r="AC397" i="3"/>
  <c r="U361" i="3"/>
  <c r="AD361" i="3"/>
  <c r="T361" i="3"/>
  <c r="AH303" i="3"/>
  <c r="AJ303" i="3" s="1"/>
  <c r="T366" i="3"/>
  <c r="AB289" i="3"/>
  <c r="T289" i="3"/>
  <c r="T290" i="3"/>
  <c r="AH290" i="3" s="1"/>
  <c r="AJ290" i="3" s="1"/>
  <c r="AC290" i="3"/>
  <c r="S291" i="3"/>
  <c r="AD291" i="3"/>
  <c r="V291" i="3"/>
  <c r="AH276" i="3"/>
  <c r="AJ276" i="3" s="1"/>
  <c r="AH426" i="3"/>
  <c r="AJ426" i="3" s="1"/>
  <c r="AH332" i="3"/>
  <c r="AJ332" i="3" s="1"/>
  <c r="V289" i="3"/>
  <c r="Y268" i="3"/>
  <c r="AH268" i="3" s="1"/>
  <c r="AJ268" i="3" s="1"/>
  <c r="AB312" i="3"/>
  <c r="V328" i="3"/>
  <c r="AH230" i="3"/>
  <c r="AJ230" i="3" s="1"/>
  <c r="S261" i="3"/>
  <c r="AH286" i="3"/>
  <c r="AJ286" i="3" s="1"/>
  <c r="AB261" i="3"/>
  <c r="AA240" i="3"/>
  <c r="AB240" i="3"/>
  <c r="AH270" i="3"/>
  <c r="AJ270" i="3" s="1"/>
  <c r="AB228" i="3"/>
  <c r="AJ278" i="3"/>
  <c r="AE201" i="3"/>
  <c r="T196" i="3"/>
  <c r="AA196" i="3"/>
  <c r="AH207" i="3"/>
  <c r="AJ207" i="3" s="1"/>
  <c r="V225" i="3"/>
  <c r="AH176" i="3"/>
  <c r="AJ176" i="3" s="1"/>
  <c r="AA193" i="3"/>
  <c r="AH93" i="3"/>
  <c r="AJ93" i="3" s="1"/>
  <c r="AH174" i="3"/>
  <c r="AJ174" i="3" s="1"/>
  <c r="AH50" i="3"/>
  <c r="AJ50" i="3" s="1"/>
  <c r="AB38" i="3"/>
  <c r="T38" i="3"/>
  <c r="AH38" i="3" s="1"/>
  <c r="AJ38" i="3" s="1"/>
  <c r="AH32" i="3"/>
  <c r="AJ32" i="3" s="1"/>
  <c r="AH118" i="3"/>
  <c r="AJ118" i="3" s="1"/>
  <c r="AH81" i="3"/>
  <c r="AJ81" i="3" s="1"/>
  <c r="Z148" i="3"/>
  <c r="T102" i="3"/>
  <c r="AB25" i="3"/>
  <c r="T25" i="3"/>
  <c r="AH41" i="3"/>
  <c r="AJ41" i="3" s="1"/>
  <c r="V392" i="3"/>
  <c r="AD392" i="3"/>
  <c r="AH381" i="3"/>
  <c r="AJ381" i="3" s="1"/>
  <c r="T413" i="3"/>
  <c r="S405" i="3"/>
  <c r="V397" i="3"/>
  <c r="AH397" i="3" s="1"/>
  <c r="AJ397" i="3" s="1"/>
  <c r="U429" i="3"/>
  <c r="AH359" i="3"/>
  <c r="AJ359" i="3" s="1"/>
  <c r="AH355" i="3"/>
  <c r="AJ355" i="3" s="1"/>
  <c r="AH351" i="3"/>
  <c r="AJ351" i="3" s="1"/>
  <c r="AH347" i="3"/>
  <c r="AJ347" i="3" s="1"/>
  <c r="AE337" i="3"/>
  <c r="AH340" i="3"/>
  <c r="AJ340" i="3" s="1"/>
  <c r="AB330" i="3"/>
  <c r="AH330" i="3" s="1"/>
  <c r="AJ330" i="3" s="1"/>
  <c r="AB265" i="3"/>
  <c r="T265" i="3"/>
  <c r="AH267" i="3"/>
  <c r="AJ267" i="3" s="1"/>
  <c r="W304" i="3"/>
  <c r="AH277" i="3"/>
  <c r="AJ277" i="3" s="1"/>
  <c r="AB321" i="3"/>
  <c r="AC295" i="3"/>
  <c r="W228" i="3"/>
  <c r="AH228" i="3" s="1"/>
  <c r="AJ228" i="3" s="1"/>
  <c r="U253" i="3"/>
  <c r="AH245" i="3"/>
  <c r="AJ245" i="3" s="1"/>
  <c r="AH225" i="3"/>
  <c r="AJ225" i="3" s="1"/>
  <c r="AB219" i="3"/>
  <c r="AE219" i="3"/>
  <c r="AD219" i="3"/>
  <c r="W201" i="3"/>
  <c r="AH201" i="3" s="1"/>
  <c r="AJ201" i="3" s="1"/>
  <c r="Y196" i="3"/>
  <c r="AH259" i="3"/>
  <c r="AJ259" i="3" s="1"/>
  <c r="T184" i="3"/>
  <c r="AA128" i="3"/>
  <c r="S128" i="3"/>
  <c r="V222" i="3"/>
  <c r="AH92" i="3"/>
  <c r="AJ92" i="3" s="1"/>
  <c r="AD220" i="3"/>
  <c r="AH220" i="3" s="1"/>
  <c r="AJ220" i="3" s="1"/>
  <c r="AC169" i="3"/>
  <c r="AB128" i="3"/>
  <c r="AA94" i="3"/>
  <c r="AH94" i="3" s="1"/>
  <c r="AJ94" i="3" s="1"/>
  <c r="AH64" i="3"/>
  <c r="AJ64" i="3" s="1"/>
  <c r="AB54" i="3"/>
  <c r="V54" i="3"/>
  <c r="AH54" i="3" s="1"/>
  <c r="AJ54" i="3" s="1"/>
  <c r="T134" i="3"/>
  <c r="AH134" i="3" s="1"/>
  <c r="AJ134" i="3" s="1"/>
  <c r="AH73" i="3"/>
  <c r="AJ73" i="3" s="1"/>
  <c r="AB102" i="3"/>
  <c r="AH36" i="3"/>
  <c r="AJ36" i="3" s="1"/>
  <c r="Z19" i="3"/>
  <c r="AE17" i="3"/>
  <c r="AH17" i="3" s="1"/>
  <c r="AJ17" i="3" s="1"/>
  <c r="T409" i="3"/>
  <c r="AA405" i="3"/>
  <c r="AH401" i="3"/>
  <c r="AJ401" i="3" s="1"/>
  <c r="AH319" i="3"/>
  <c r="AJ319" i="3" s="1"/>
  <c r="AC302" i="3"/>
  <c r="AH305" i="3"/>
  <c r="AJ305" i="3" s="1"/>
  <c r="AC304" i="3"/>
  <c r="Y290" i="3"/>
  <c r="U265" i="3"/>
  <c r="U261" i="3"/>
  <c r="U236" i="3"/>
  <c r="AH185" i="3"/>
  <c r="AJ185" i="3" s="1"/>
  <c r="W224" i="3"/>
  <c r="AH224" i="3" s="1"/>
  <c r="AJ224" i="3" s="1"/>
  <c r="V212" i="3"/>
  <c r="AC212" i="3"/>
  <c r="T212" i="3"/>
  <c r="W212" i="3"/>
  <c r="AE212" i="3"/>
  <c r="V184" i="3"/>
  <c r="U221" i="3"/>
  <c r="X221" i="3"/>
  <c r="AH109" i="3"/>
  <c r="AJ109" i="3" s="1"/>
  <c r="AH149" i="3"/>
  <c r="AJ149" i="3" s="1"/>
  <c r="AH132" i="3"/>
  <c r="AJ132" i="3" s="1"/>
  <c r="U169" i="3"/>
  <c r="AH169" i="3" s="1"/>
  <c r="AJ169" i="3" s="1"/>
  <c r="AH159" i="3"/>
  <c r="AJ159" i="3" s="1"/>
  <c r="AC137" i="3"/>
  <c r="AD198" i="3"/>
  <c r="AB166" i="3"/>
  <c r="AH31" i="3"/>
  <c r="AJ31" i="3" s="1"/>
  <c r="AH65" i="3"/>
  <c r="AJ65" i="3" s="1"/>
  <c r="AH42" i="3"/>
  <c r="AJ42" i="3" s="1"/>
  <c r="AH150" i="3"/>
  <c r="AJ150" i="3" s="1"/>
  <c r="AH110" i="3"/>
  <c r="AJ110" i="3" s="1"/>
  <c r="U62" i="3"/>
  <c r="AH49" i="3"/>
  <c r="AJ49" i="3" s="1"/>
  <c r="AH22" i="3"/>
  <c r="AJ22" i="3" s="1"/>
  <c r="AH7" i="3"/>
  <c r="AJ7" i="3" s="1"/>
  <c r="AH58" i="3"/>
  <c r="AJ58" i="3" s="1"/>
  <c r="Z13" i="3"/>
  <c r="AE419" i="3"/>
  <c r="AB419" i="3"/>
  <c r="S419" i="3"/>
  <c r="AD419" i="3"/>
  <c r="T419" i="3"/>
  <c r="V403" i="3"/>
  <c r="AD403" i="3"/>
  <c r="T403" i="3"/>
  <c r="AE376" i="3"/>
  <c r="U376" i="3"/>
  <c r="V376" i="3"/>
  <c r="AB392" i="3"/>
  <c r="AH385" i="3"/>
  <c r="AJ385" i="3" s="1"/>
  <c r="U413" i="3"/>
  <c r="T405" i="3"/>
  <c r="X410" i="3"/>
  <c r="AH410" i="3" s="1"/>
  <c r="AJ410" i="3" s="1"/>
  <c r="U378" i="3"/>
  <c r="AH378" i="3" s="1"/>
  <c r="AJ378" i="3" s="1"/>
  <c r="AH362" i="3"/>
  <c r="AJ362" i="3" s="1"/>
  <c r="Y358" i="3"/>
  <c r="AH358" i="3" s="1"/>
  <c r="AJ358" i="3" s="1"/>
  <c r="AH382" i="3"/>
  <c r="AJ382" i="3" s="1"/>
  <c r="Z337" i="3"/>
  <c r="AH337" i="3" s="1"/>
  <c r="AJ337" i="3" s="1"/>
  <c r="AH346" i="3"/>
  <c r="AJ346" i="3" s="1"/>
  <c r="AH324" i="3"/>
  <c r="AJ324" i="3" s="1"/>
  <c r="AH308" i="3"/>
  <c r="AJ308" i="3" s="1"/>
  <c r="AC282" i="3"/>
  <c r="U282" i="3"/>
  <c r="T282" i="3"/>
  <c r="AE284" i="3"/>
  <c r="W284" i="3"/>
  <c r="AJ329" i="3"/>
  <c r="AE328" i="3"/>
  <c r="AH263" i="3"/>
  <c r="AJ263" i="3" s="1"/>
  <c r="AH271" i="3"/>
  <c r="AJ271" i="3" s="1"/>
  <c r="AC261" i="3"/>
  <c r="AH256" i="3"/>
  <c r="AJ256" i="3" s="1"/>
  <c r="AE236" i="3"/>
  <c r="AB262" i="3"/>
  <c r="AH262" i="3" s="1"/>
  <c r="AJ262" i="3" s="1"/>
  <c r="AE192" i="3"/>
  <c r="AB129" i="3"/>
  <c r="T129" i="3"/>
  <c r="AH182" i="3"/>
  <c r="AJ182" i="3" s="1"/>
  <c r="V156" i="3"/>
  <c r="AH156" i="3" s="1"/>
  <c r="AJ156" i="3" s="1"/>
  <c r="AE156" i="3"/>
  <c r="AD145" i="3"/>
  <c r="AH145" i="3" s="1"/>
  <c r="AJ145" i="3" s="1"/>
  <c r="AH258" i="3"/>
  <c r="AJ258" i="3" s="1"/>
  <c r="AH143" i="3"/>
  <c r="AJ143" i="3" s="1"/>
  <c r="AE131" i="3"/>
  <c r="AH131" i="3" s="1"/>
  <c r="AJ131" i="3" s="1"/>
  <c r="AH198" i="3"/>
  <c r="AJ198" i="3" s="1"/>
  <c r="AH62" i="3"/>
  <c r="AJ62" i="3" s="1"/>
  <c r="AH80" i="3"/>
  <c r="AJ80" i="3" s="1"/>
  <c r="AH63" i="3"/>
  <c r="AJ63" i="3" s="1"/>
  <c r="Z30" i="3"/>
  <c r="AD72" i="3"/>
  <c r="V72" i="3"/>
  <c r="AC48" i="3"/>
  <c r="S48" i="3"/>
  <c r="AD48" i="3"/>
  <c r="AE30" i="3"/>
  <c r="AH142" i="3"/>
  <c r="AJ142" i="3" s="1"/>
  <c r="AH33" i="3"/>
  <c r="AJ33" i="3" s="1"/>
  <c r="AB19" i="3"/>
  <c r="AH19" i="3" s="1"/>
  <c r="AJ19" i="3" s="1"/>
  <c r="AA57" i="3"/>
  <c r="AH57" i="3" s="1"/>
  <c r="AJ57" i="3" s="1"/>
  <c r="X408" i="3"/>
  <c r="AH408" i="3" s="1"/>
  <c r="AJ408" i="3" s="1"/>
  <c r="V408" i="3"/>
  <c r="AH392" i="3"/>
  <c r="AJ392" i="3" s="1"/>
  <c r="U409" i="3"/>
  <c r="AB405" i="3"/>
  <c r="AH398" i="3"/>
  <c r="AJ398" i="3" s="1"/>
  <c r="AH422" i="3"/>
  <c r="AJ422" i="3" s="1"/>
  <c r="AH369" i="3"/>
  <c r="AJ369" i="3" s="1"/>
  <c r="AH402" i="3"/>
  <c r="AJ402" i="3" s="1"/>
  <c r="AB318" i="3"/>
  <c r="V318" i="3"/>
  <c r="AH318" i="3" s="1"/>
  <c r="AJ318" i="3" s="1"/>
  <c r="AH298" i="3"/>
  <c r="AJ298" i="3" s="1"/>
  <c r="AH293" i="3"/>
  <c r="AJ293" i="3" s="1"/>
  <c r="X281" i="3"/>
  <c r="V321" i="3"/>
  <c r="T285" i="3"/>
  <c r="AH285" i="3" s="1"/>
  <c r="AJ285" i="3" s="1"/>
  <c r="AE285" i="3"/>
  <c r="W283" i="3"/>
  <c r="AH283" i="3" s="1"/>
  <c r="AJ283" i="3" s="1"/>
  <c r="AH295" i="3"/>
  <c r="AJ295" i="3" s="1"/>
  <c r="AH266" i="3"/>
  <c r="AJ266" i="3" s="1"/>
  <c r="V261" i="3"/>
  <c r="AH294" i="3"/>
  <c r="AJ294" i="3" s="1"/>
  <c r="U249" i="3"/>
  <c r="T249" i="3"/>
  <c r="AA249" i="3"/>
  <c r="S249" i="3"/>
  <c r="AH237" i="3"/>
  <c r="AJ237" i="3" s="1"/>
  <c r="AH226" i="3"/>
  <c r="AJ226" i="3" s="1"/>
  <c r="AH181" i="3"/>
  <c r="AJ181" i="3" s="1"/>
  <c r="AH234" i="3"/>
  <c r="AJ234" i="3" s="1"/>
  <c r="Z213" i="3"/>
  <c r="AH213" i="3" s="1"/>
  <c r="AJ213" i="3" s="1"/>
  <c r="V189" i="3"/>
  <c r="U189" i="3"/>
  <c r="AH189" i="3" s="1"/>
  <c r="AJ189" i="3" s="1"/>
  <c r="AB189" i="3"/>
  <c r="T208" i="3"/>
  <c r="AE222" i="3"/>
  <c r="AE190" i="3"/>
  <c r="AH190" i="3" s="1"/>
  <c r="AJ190" i="3" s="1"/>
  <c r="AH91" i="3"/>
  <c r="AJ91" i="3" s="1"/>
  <c r="AH85" i="3"/>
  <c r="AJ85" i="3" s="1"/>
  <c r="AH206" i="3"/>
  <c r="AJ206" i="3" s="1"/>
  <c r="AH214" i="3"/>
  <c r="AJ214" i="3" s="1"/>
  <c r="AH177" i="3"/>
  <c r="AJ177" i="3" s="1"/>
  <c r="X99" i="3"/>
  <c r="AH99" i="3" s="1"/>
  <c r="AJ99" i="3" s="1"/>
  <c r="AD61" i="3"/>
  <c r="V61" i="3"/>
  <c r="AB61" i="3"/>
  <c r="S61" i="3"/>
  <c r="AC166" i="3"/>
  <c r="AH158" i="3"/>
  <c r="AJ158" i="3" s="1"/>
  <c r="AH71" i="3"/>
  <c r="AJ71" i="3" s="1"/>
  <c r="AH40" i="3"/>
  <c r="AJ40" i="3" s="1"/>
  <c r="AH24" i="3"/>
  <c r="AJ24" i="3" s="1"/>
  <c r="AA161" i="3"/>
  <c r="AE13" i="3"/>
  <c r="Z69" i="3"/>
  <c r="AB48" i="3"/>
  <c r="AH400" i="3"/>
  <c r="AJ400" i="3" s="1"/>
  <c r="V428" i="3"/>
  <c r="U428" i="3"/>
  <c r="U396" i="3"/>
  <c r="AE396" i="3"/>
  <c r="T388" i="3"/>
  <c r="AD388" i="3"/>
  <c r="AH389" i="3"/>
  <c r="AJ389" i="3" s="1"/>
  <c r="AH373" i="3"/>
  <c r="AJ373" i="3" s="1"/>
  <c r="U405" i="3"/>
  <c r="AH429" i="3"/>
  <c r="AJ429" i="3" s="1"/>
  <c r="Z418" i="3"/>
  <c r="AH418" i="3" s="1"/>
  <c r="AJ418" i="3" s="1"/>
  <c r="AA368" i="3"/>
  <c r="AH368" i="3" s="1"/>
  <c r="AJ368" i="3" s="1"/>
  <c r="Z374" i="3"/>
  <c r="Y374" i="3"/>
  <c r="U345" i="3"/>
  <c r="V345" i="3"/>
  <c r="T345" i="3"/>
  <c r="AH365" i="3"/>
  <c r="AJ365" i="3" s="1"/>
  <c r="AA317" i="3"/>
  <c r="V317" i="3"/>
  <c r="AH317" i="3" s="1"/>
  <c r="AJ317" i="3" s="1"/>
  <c r="AH311" i="3"/>
  <c r="AJ311" i="3" s="1"/>
  <c r="AH370" i="3"/>
  <c r="AJ370" i="3" s="1"/>
  <c r="AD321" i="3"/>
  <c r="AH312" i="3"/>
  <c r="AJ312" i="3" s="1"/>
  <c r="AH251" i="3"/>
  <c r="AJ251" i="3" s="1"/>
  <c r="AH193" i="3"/>
  <c r="AJ193" i="3" s="1"/>
  <c r="AH320" i="3"/>
  <c r="AJ320" i="3" s="1"/>
  <c r="AH250" i="3"/>
  <c r="AJ250" i="3" s="1"/>
  <c r="AH229" i="3"/>
  <c r="AJ229" i="3" s="1"/>
  <c r="AH121" i="3"/>
  <c r="AJ121" i="3" s="1"/>
  <c r="AB90" i="3"/>
  <c r="V90" i="3"/>
  <c r="AH124" i="3"/>
  <c r="AJ124" i="3" s="1"/>
  <c r="AH117" i="3"/>
  <c r="AJ117" i="3" s="1"/>
  <c r="AH108" i="3"/>
  <c r="AJ108" i="3" s="1"/>
  <c r="AH79" i="3"/>
  <c r="AJ79" i="3" s="1"/>
  <c r="AH66" i="3"/>
  <c r="AJ66" i="3" s="1"/>
  <c r="AH16" i="3"/>
  <c r="AJ16" i="3" s="1"/>
  <c r="AA137" i="3"/>
  <c r="AH137" i="3" s="1"/>
  <c r="AJ137" i="3" s="1"/>
  <c r="AB141" i="3"/>
  <c r="AH141" i="3" s="1"/>
  <c r="AJ141" i="3" s="1"/>
  <c r="AD14" i="3"/>
  <c r="AH14" i="3" s="1"/>
  <c r="AJ14" i="3" s="1"/>
  <c r="AH8" i="3"/>
  <c r="AJ8" i="3" s="1"/>
  <c r="AE416" i="3"/>
  <c r="X416" i="3"/>
  <c r="AH416" i="3" s="1"/>
  <c r="AJ416" i="3" s="1"/>
  <c r="AH417" i="3"/>
  <c r="AJ417" i="3" s="1"/>
  <c r="AC405" i="3"/>
  <c r="AH425" i="3"/>
  <c r="AJ425" i="3" s="1"/>
  <c r="AH406" i="3"/>
  <c r="AJ406" i="3" s="1"/>
  <c r="AH339" i="3"/>
  <c r="AJ339" i="3" s="1"/>
  <c r="AH302" i="3"/>
  <c r="AJ302" i="3" s="1"/>
  <c r="AC350" i="3"/>
  <c r="AH350" i="3" s="1"/>
  <c r="AJ350" i="3" s="1"/>
  <c r="AC326" i="3"/>
  <c r="AA297" i="3"/>
  <c r="AH297" i="3" s="1"/>
  <c r="AJ297" i="3" s="1"/>
  <c r="AH292" i="3"/>
  <c r="AJ292" i="3" s="1"/>
  <c r="Z281" i="3"/>
  <c r="AH257" i="3"/>
  <c r="AJ257" i="3" s="1"/>
  <c r="AA282" i="3"/>
  <c r="AH282" i="3" s="1"/>
  <c r="AJ282" i="3" s="1"/>
  <c r="AH244" i="3"/>
  <c r="AJ244" i="3" s="1"/>
  <c r="V192" i="3"/>
  <c r="AH192" i="3" s="1"/>
  <c r="AJ192" i="3" s="1"/>
  <c r="AA253" i="3"/>
  <c r="AH253" i="3" s="1"/>
  <c r="AJ253" i="3" s="1"/>
  <c r="U208" i="3"/>
  <c r="Y205" i="3"/>
  <c r="AH205" i="3" s="1"/>
  <c r="AJ205" i="3" s="1"/>
  <c r="T120" i="3"/>
  <c r="AA120" i="3"/>
  <c r="AH167" i="3"/>
  <c r="AJ167" i="3" s="1"/>
  <c r="U161" i="3"/>
  <c r="AH161" i="3" s="1"/>
  <c r="AJ161" i="3" s="1"/>
  <c r="AH111" i="3"/>
  <c r="AJ111" i="3" s="1"/>
  <c r="AH86" i="3"/>
  <c r="AJ86" i="3" s="1"/>
  <c r="AH74" i="3"/>
  <c r="AJ74" i="3" s="1"/>
  <c r="AH56" i="3"/>
  <c r="AJ56" i="3" s="1"/>
  <c r="AH39" i="3"/>
  <c r="AJ39" i="3" s="1"/>
  <c r="AH34" i="3"/>
  <c r="AJ34" i="3" s="1"/>
  <c r="AH23" i="3"/>
  <c r="AJ23" i="3" s="1"/>
  <c r="AA51" i="3"/>
  <c r="S51" i="3"/>
  <c r="Z120" i="3"/>
  <c r="V25" i="3"/>
  <c r="AH25" i="3" s="1"/>
  <c r="AJ25" i="3" s="1"/>
  <c r="AD329" i="23"/>
  <c r="AB321" i="23"/>
  <c r="AD321" i="23" s="1"/>
  <c r="Q283" i="23"/>
  <c r="U283" i="23"/>
  <c r="AB305" i="23"/>
  <c r="AD305" i="23" s="1"/>
  <c r="X283" i="23"/>
  <c r="S249" i="23"/>
  <c r="AB193" i="23"/>
  <c r="AD193" i="23" s="1"/>
  <c r="W94" i="23"/>
  <c r="AB94" i="23" s="1"/>
  <c r="AD94" i="23" s="1"/>
  <c r="W106" i="23"/>
  <c r="Q333" i="23"/>
  <c r="AB319" i="23"/>
  <c r="AD319" i="23" s="1"/>
  <c r="AB266" i="23"/>
  <c r="AD266" i="23" s="1"/>
  <c r="AB239" i="23"/>
  <c r="AD239" i="23" s="1"/>
  <c r="AB207" i="23"/>
  <c r="AD207" i="23" s="1"/>
  <c r="AB313" i="23"/>
  <c r="AD313" i="23" s="1"/>
  <c r="AB222" i="23"/>
  <c r="AD222" i="23" s="1"/>
  <c r="Q230" i="23"/>
  <c r="T230" i="23"/>
  <c r="V230" i="23"/>
  <c r="AB285" i="23"/>
  <c r="AD285" i="23" s="1"/>
  <c r="AB258" i="23"/>
  <c r="AD258" i="23" s="1"/>
  <c r="AB163" i="23"/>
  <c r="AD163" i="23" s="1"/>
  <c r="T221" i="23"/>
  <c r="V129" i="23"/>
  <c r="S122" i="23"/>
  <c r="AB143" i="23"/>
  <c r="AD143" i="23" s="1"/>
  <c r="AB123" i="23"/>
  <c r="AD123" i="23" s="1"/>
  <c r="Y122" i="23"/>
  <c r="Y106" i="23"/>
  <c r="V131" i="23"/>
  <c r="AB131" i="23" s="1"/>
  <c r="AD131" i="23" s="1"/>
  <c r="W103" i="23"/>
  <c r="Y95" i="23"/>
  <c r="V66" i="23"/>
  <c r="AB87" i="23"/>
  <c r="AD87" i="23" s="1"/>
  <c r="P66" i="23"/>
  <c r="P50" i="23"/>
  <c r="AB42" i="23"/>
  <c r="AD42" i="23" s="1"/>
  <c r="AB34" i="23"/>
  <c r="AD34" i="23" s="1"/>
  <c r="AB79" i="23"/>
  <c r="AD79" i="23" s="1"/>
  <c r="AB30" i="23"/>
  <c r="AD30" i="23" s="1"/>
  <c r="AB32" i="23"/>
  <c r="AD32" i="23" s="1"/>
  <c r="AB107" i="23"/>
  <c r="AD107" i="23" s="1"/>
  <c r="AB23" i="23"/>
  <c r="AD23" i="23" s="1"/>
  <c r="AB15" i="23"/>
  <c r="AD15" i="23" s="1"/>
  <c r="AB7" i="23"/>
  <c r="AD7" i="23" s="1"/>
  <c r="T44" i="23"/>
  <c r="R56" i="23"/>
  <c r="P52" i="23"/>
  <c r="AB344" i="23"/>
  <c r="AD344" i="23" s="1"/>
  <c r="AB345" i="23"/>
  <c r="AD345" i="23" s="1"/>
  <c r="Y333" i="23"/>
  <c r="AB332" i="23"/>
  <c r="AD332" i="23" s="1"/>
  <c r="AB291" i="23"/>
  <c r="AD291" i="23" s="1"/>
  <c r="AB309" i="23"/>
  <c r="AD309" i="23" s="1"/>
  <c r="AB293" i="23"/>
  <c r="AD293" i="23" s="1"/>
  <c r="AB265" i="23"/>
  <c r="AD265" i="23" s="1"/>
  <c r="X242" i="23"/>
  <c r="T242" i="23"/>
  <c r="X229" i="23"/>
  <c r="X221" i="23"/>
  <c r="R257" i="23"/>
  <c r="S297" i="23"/>
  <c r="AB252" i="23"/>
  <c r="AD252" i="23" s="1"/>
  <c r="Q249" i="23"/>
  <c r="AB249" i="23" s="1"/>
  <c r="AD249" i="23" s="1"/>
  <c r="AB195" i="23"/>
  <c r="AD195" i="23" s="1"/>
  <c r="AB159" i="23"/>
  <c r="AD159" i="23" s="1"/>
  <c r="AB176" i="23"/>
  <c r="AD176" i="23" s="1"/>
  <c r="AB168" i="23"/>
  <c r="AD168" i="23" s="1"/>
  <c r="AB160" i="23"/>
  <c r="AD160" i="23" s="1"/>
  <c r="AB152" i="23"/>
  <c r="AD152" i="23" s="1"/>
  <c r="AB148" i="23"/>
  <c r="AD148" i="23" s="1"/>
  <c r="AB141" i="23"/>
  <c r="AD141" i="23" s="1"/>
  <c r="W62" i="23"/>
  <c r="W54" i="23"/>
  <c r="S44" i="23"/>
  <c r="AB44" i="23" s="1"/>
  <c r="AD44" i="23" s="1"/>
  <c r="AB315" i="23"/>
  <c r="AD315" i="23" s="1"/>
  <c r="AB322" i="23"/>
  <c r="AD322" i="23" s="1"/>
  <c r="AB343" i="23"/>
  <c r="AD343" i="23" s="1"/>
  <c r="AB282" i="23"/>
  <c r="AD282" i="23" s="1"/>
  <c r="AB274" i="23"/>
  <c r="AD274" i="23" s="1"/>
  <c r="AB331" i="23"/>
  <c r="AD331" i="23" s="1"/>
  <c r="AB277" i="23"/>
  <c r="AD277" i="23" s="1"/>
  <c r="AB231" i="23"/>
  <c r="AD231" i="23" s="1"/>
  <c r="AB269" i="23"/>
  <c r="AD269" i="23" s="1"/>
  <c r="Q229" i="23"/>
  <c r="AB229" i="23" s="1"/>
  <c r="AD229" i="23" s="1"/>
  <c r="AB245" i="23"/>
  <c r="AD245" i="23" s="1"/>
  <c r="AB237" i="23"/>
  <c r="AD237" i="23" s="1"/>
  <c r="AB221" i="23"/>
  <c r="AD221" i="23" s="1"/>
  <c r="AB213" i="23"/>
  <c r="AD213" i="23" s="1"/>
  <c r="AB205" i="23"/>
  <c r="AD205" i="23" s="1"/>
  <c r="AB155" i="23"/>
  <c r="AD155" i="23" s="1"/>
  <c r="AB228" i="23"/>
  <c r="AD228" i="23" s="1"/>
  <c r="V137" i="23"/>
  <c r="AB135" i="23"/>
  <c r="AD135" i="23" s="1"/>
  <c r="Y118" i="23"/>
  <c r="X103" i="23"/>
  <c r="AB103" i="23" s="1"/>
  <c r="AD103" i="23" s="1"/>
  <c r="Y129" i="23"/>
  <c r="AB115" i="23"/>
  <c r="AD115" i="23" s="1"/>
  <c r="AB83" i="23"/>
  <c r="AD83" i="23" s="1"/>
  <c r="T38" i="23"/>
  <c r="AB91" i="23"/>
  <c r="AD91" i="23" s="1"/>
  <c r="Y61" i="23"/>
  <c r="Y53" i="23"/>
  <c r="AB340" i="23"/>
  <c r="AD340" i="23" s="1"/>
  <c r="T351" i="23"/>
  <c r="AB339" i="23"/>
  <c r="AD339" i="23" s="1"/>
  <c r="AB335" i="23"/>
  <c r="AD335" i="23" s="1"/>
  <c r="AB325" i="23"/>
  <c r="AD325" i="23" s="1"/>
  <c r="AB287" i="23"/>
  <c r="AD287" i="23" s="1"/>
  <c r="S365" i="23"/>
  <c r="AB227" i="23"/>
  <c r="AD227" i="23" s="1"/>
  <c r="V297" i="23"/>
  <c r="AB187" i="23"/>
  <c r="AD187" i="23" s="1"/>
  <c r="R234" i="23"/>
  <c r="AB197" i="23"/>
  <c r="AD197" i="23" s="1"/>
  <c r="R118" i="23"/>
  <c r="AB118" i="23" s="1"/>
  <c r="AD118" i="23" s="1"/>
  <c r="V37" i="23"/>
  <c r="AB70" i="23"/>
  <c r="AD70" i="23" s="1"/>
  <c r="X62" i="23"/>
  <c r="W56" i="23"/>
  <c r="Y52" i="23"/>
  <c r="X349" i="23"/>
  <c r="T349" i="23"/>
  <c r="AB317" i="23"/>
  <c r="AD317" i="23" s="1"/>
  <c r="AB290" i="23"/>
  <c r="AD290" i="23" s="1"/>
  <c r="AB262" i="23"/>
  <c r="AD262" i="23" s="1"/>
  <c r="AB342" i="23"/>
  <c r="AD342" i="23" s="1"/>
  <c r="AB275" i="23"/>
  <c r="AD275" i="23" s="1"/>
  <c r="AB223" i="23"/>
  <c r="AD223" i="23" s="1"/>
  <c r="AB256" i="23"/>
  <c r="AD256" i="23" s="1"/>
  <c r="S254" i="23"/>
  <c r="V254" i="23"/>
  <c r="V234" i="23"/>
  <c r="AB273" i="23"/>
  <c r="AD273" i="23" s="1"/>
  <c r="T257" i="23"/>
  <c r="AB183" i="23"/>
  <c r="AD183" i="23" s="1"/>
  <c r="R246" i="23"/>
  <c r="AB246" i="23" s="1"/>
  <c r="AD246" i="23" s="1"/>
  <c r="W189" i="23"/>
  <c r="AB189" i="23" s="1"/>
  <c r="AD189" i="23" s="1"/>
  <c r="AB137" i="23"/>
  <c r="AD137" i="23" s="1"/>
  <c r="V110" i="23"/>
  <c r="AB100" i="23"/>
  <c r="AD100" i="23" s="1"/>
  <c r="R146" i="23"/>
  <c r="AB127" i="23"/>
  <c r="AD127" i="23" s="1"/>
  <c r="T66" i="23"/>
  <c r="T50" i="23"/>
  <c r="AB99" i="23"/>
  <c r="AD99" i="23" s="1"/>
  <c r="Y58" i="23"/>
  <c r="AB58" i="23" s="1"/>
  <c r="AD58" i="23" s="1"/>
  <c r="AB62" i="23"/>
  <c r="AD62" i="23" s="1"/>
  <c r="AB54" i="23"/>
  <c r="AD54" i="23" s="1"/>
  <c r="AB46" i="23"/>
  <c r="AD46" i="23" s="1"/>
  <c r="AB12" i="23"/>
  <c r="AD12" i="23" s="1"/>
  <c r="AB40" i="23"/>
  <c r="AD40" i="23" s="1"/>
  <c r="AB27" i="23"/>
  <c r="AD27" i="23" s="1"/>
  <c r="AB19" i="23"/>
  <c r="AD19" i="23" s="1"/>
  <c r="AB11" i="23"/>
  <c r="AD11" i="23" s="1"/>
  <c r="AB64" i="23"/>
  <c r="AD64" i="23" s="1"/>
  <c r="W26" i="23"/>
  <c r="AB26" i="23" s="1"/>
  <c r="AD26" i="23" s="1"/>
  <c r="AB56" i="23"/>
  <c r="AD56" i="23" s="1"/>
  <c r="AB338" i="23"/>
  <c r="AD338" i="23" s="1"/>
  <c r="AB270" i="23"/>
  <c r="AD270" i="23" s="1"/>
  <c r="AB250" i="23"/>
  <c r="AD250" i="23" s="1"/>
  <c r="AB281" i="23"/>
  <c r="AD281" i="23" s="1"/>
  <c r="AB175" i="23"/>
  <c r="AD175" i="23" s="1"/>
  <c r="AB177" i="23"/>
  <c r="AD177" i="23" s="1"/>
  <c r="AB201" i="23"/>
  <c r="AD201" i="23" s="1"/>
  <c r="AB180" i="23"/>
  <c r="AD180" i="23" s="1"/>
  <c r="AB129" i="23"/>
  <c r="AD129" i="23" s="1"/>
  <c r="AB139" i="23"/>
  <c r="AD139" i="23" s="1"/>
  <c r="AB95" i="23"/>
  <c r="AD95" i="23" s="1"/>
  <c r="X57" i="23"/>
  <c r="T57" i="23"/>
  <c r="AB111" i="23"/>
  <c r="AD111" i="23" s="1"/>
  <c r="AB67" i="23"/>
  <c r="AD67" i="23" s="1"/>
  <c r="R61" i="23"/>
  <c r="AB61" i="23" s="1"/>
  <c r="AD61" i="23" s="1"/>
  <c r="R53" i="23"/>
  <c r="AB53" i="23" s="1"/>
  <c r="AD53" i="23" s="1"/>
  <c r="R37" i="23"/>
  <c r="AB37" i="23" s="1"/>
  <c r="AD37" i="23" s="1"/>
  <c r="AB48" i="23"/>
  <c r="AD48" i="23" s="1"/>
  <c r="W351" i="23"/>
  <c r="AB278" i="23"/>
  <c r="AD278" i="23" s="1"/>
  <c r="AB247" i="23"/>
  <c r="AD247" i="23" s="1"/>
  <c r="AB215" i="23"/>
  <c r="AD215" i="23" s="1"/>
  <c r="AB289" i="23"/>
  <c r="AD289" i="23" s="1"/>
  <c r="AB254" i="23"/>
  <c r="AD254" i="23" s="1"/>
  <c r="AB202" i="23"/>
  <c r="AD202" i="23" s="1"/>
  <c r="AB241" i="23"/>
  <c r="AD241" i="23" s="1"/>
  <c r="AB233" i="23"/>
  <c r="AD233" i="23" s="1"/>
  <c r="AB225" i="23"/>
  <c r="AD225" i="23" s="1"/>
  <c r="AB217" i="23"/>
  <c r="AD217" i="23" s="1"/>
  <c r="AB209" i="23"/>
  <c r="AD209" i="23" s="1"/>
  <c r="AB261" i="23"/>
  <c r="AD261" i="23" s="1"/>
  <c r="AB145" i="23"/>
  <c r="AD145" i="23" s="1"/>
  <c r="U134" i="23"/>
  <c r="AB134" i="23" s="1"/>
  <c r="AD134" i="23" s="1"/>
  <c r="AB97" i="23"/>
  <c r="AD97" i="23" s="1"/>
  <c r="Y134" i="23"/>
  <c r="Y110" i="23"/>
  <c r="AB81" i="23"/>
  <c r="AD81" i="23" s="1"/>
  <c r="AB119" i="23"/>
  <c r="AD119" i="23" s="1"/>
  <c r="AB75" i="23"/>
  <c r="AD75" i="23" s="1"/>
  <c r="Y38" i="23"/>
  <c r="AB38" i="23" s="1"/>
  <c r="AD38" i="23" s="1"/>
  <c r="AB36" i="23"/>
  <c r="AD36" i="23" s="1"/>
  <c r="W146" i="23"/>
  <c r="AB146" i="23" s="1"/>
  <c r="AD146" i="23" s="1"/>
  <c r="AB60" i="23"/>
  <c r="AD60" i="23" s="1"/>
  <c r="AF425" i="4"/>
  <c r="AH425" i="4" s="1"/>
  <c r="AF417" i="4"/>
  <c r="AH417" i="4" s="1"/>
  <c r="AB424" i="4"/>
  <c r="V424" i="4"/>
  <c r="S424" i="4"/>
  <c r="X424" i="4"/>
  <c r="S420" i="4"/>
  <c r="X420" i="4"/>
  <c r="S412" i="4"/>
  <c r="X412" i="4"/>
  <c r="X408" i="4"/>
  <c r="W408" i="4"/>
  <c r="S408" i="4"/>
  <c r="S409" i="4"/>
  <c r="AF409" i="4" s="1"/>
  <c r="AH409" i="4" s="1"/>
  <c r="X427" i="4"/>
  <c r="AF365" i="4"/>
  <c r="AH365" i="4" s="1"/>
  <c r="AF381" i="4"/>
  <c r="AH381" i="4" s="1"/>
  <c r="AB378" i="4"/>
  <c r="X400" i="4"/>
  <c r="U400" i="4"/>
  <c r="AF367" i="4"/>
  <c r="AH367" i="4" s="1"/>
  <c r="AF387" i="4"/>
  <c r="AH387" i="4" s="1"/>
  <c r="AF335" i="4"/>
  <c r="AH335" i="4" s="1"/>
  <c r="AB229" i="4"/>
  <c r="V229" i="4"/>
  <c r="T229" i="4"/>
  <c r="X414" i="4"/>
  <c r="U414" i="4"/>
  <c r="AF414" i="4" s="1"/>
  <c r="AH414" i="4" s="1"/>
  <c r="AC414" i="4"/>
  <c r="Y411" i="4"/>
  <c r="AB368" i="4"/>
  <c r="V368" i="4"/>
  <c r="AF374" i="4"/>
  <c r="AH374" i="4" s="1"/>
  <c r="R337" i="4"/>
  <c r="AF337" i="4" s="1"/>
  <c r="AH337" i="4" s="1"/>
  <c r="Z337" i="4"/>
  <c r="AF333" i="4"/>
  <c r="AH333" i="4" s="1"/>
  <c r="AF321" i="4"/>
  <c r="AH321" i="4" s="1"/>
  <c r="X338" i="4"/>
  <c r="AB338" i="4"/>
  <c r="AA338" i="4"/>
  <c r="U234" i="4"/>
  <c r="AF234" i="4" s="1"/>
  <c r="AH234" i="4" s="1"/>
  <c r="Y234" i="4"/>
  <c r="X234" i="4"/>
  <c r="AF282" i="4"/>
  <c r="AH282" i="4" s="1"/>
  <c r="AF203" i="4"/>
  <c r="AH203" i="4" s="1"/>
  <c r="AF45" i="4"/>
  <c r="AH45" i="4" s="1"/>
  <c r="AC17" i="4"/>
  <c r="W17" i="4"/>
  <c r="AA17" i="4"/>
  <c r="AH3" i="4"/>
  <c r="AF40" i="4"/>
  <c r="AH40" i="4" s="1"/>
  <c r="AF428" i="4"/>
  <c r="AH428" i="4" s="1"/>
  <c r="AF416" i="4"/>
  <c r="AH416" i="4" s="1"/>
  <c r="R412" i="4"/>
  <c r="AF412" i="4" s="1"/>
  <c r="AH412" i="4" s="1"/>
  <c r="R408" i="4"/>
  <c r="T415" i="4"/>
  <c r="S415" i="4"/>
  <c r="U415" i="4"/>
  <c r="AB415" i="4"/>
  <c r="W411" i="4"/>
  <c r="AF411" i="4" s="1"/>
  <c r="AH411" i="4" s="1"/>
  <c r="Y408" i="4"/>
  <c r="AF372" i="4"/>
  <c r="AH372" i="4" s="1"/>
  <c r="S405" i="4"/>
  <c r="AF405" i="4" s="1"/>
  <c r="AH405" i="4" s="1"/>
  <c r="R397" i="4"/>
  <c r="AF397" i="4" s="1"/>
  <c r="AH397" i="4" s="1"/>
  <c r="AA395" i="4"/>
  <c r="AF389" i="4"/>
  <c r="AH389" i="4" s="1"/>
  <c r="R378" i="4"/>
  <c r="AF378" i="4" s="1"/>
  <c r="AH378" i="4" s="1"/>
  <c r="X375" i="4"/>
  <c r="V375" i="4"/>
  <c r="R375" i="4"/>
  <c r="AC375" i="4"/>
  <c r="AF347" i="4"/>
  <c r="AH347" i="4" s="1"/>
  <c r="S345" i="4"/>
  <c r="AF345" i="4" s="1"/>
  <c r="AH345" i="4" s="1"/>
  <c r="AF404" i="4"/>
  <c r="AH404" i="4" s="1"/>
  <c r="W262" i="4"/>
  <c r="AC262" i="4"/>
  <c r="V262" i="4"/>
  <c r="U262" i="4"/>
  <c r="S262" i="4"/>
  <c r="AA262" i="4"/>
  <c r="Y262" i="4"/>
  <c r="AB262" i="4"/>
  <c r="X262" i="4"/>
  <c r="U254" i="4"/>
  <c r="S254" i="4"/>
  <c r="X254" i="4"/>
  <c r="Z246" i="4"/>
  <c r="V246" i="4"/>
  <c r="S246" i="4"/>
  <c r="AF75" i="4"/>
  <c r="AH75" i="4" s="1"/>
  <c r="S52" i="4"/>
  <c r="X52" i="4"/>
  <c r="AB52" i="4"/>
  <c r="Y421" i="4"/>
  <c r="Y413" i="4"/>
  <c r="Y391" i="4"/>
  <c r="X391" i="4"/>
  <c r="Z391" i="4"/>
  <c r="AF362" i="4"/>
  <c r="AH362" i="4" s="1"/>
  <c r="AF383" i="4"/>
  <c r="AH383" i="4" s="1"/>
  <c r="AF377" i="4"/>
  <c r="AH377" i="4" s="1"/>
  <c r="Z368" i="4"/>
  <c r="AA400" i="4"/>
  <c r="AF357" i="4"/>
  <c r="AH357" i="4" s="1"/>
  <c r="AF339" i="4"/>
  <c r="AH339" i="4" s="1"/>
  <c r="U346" i="4"/>
  <c r="AA346" i="4"/>
  <c r="S346" i="4"/>
  <c r="S278" i="4"/>
  <c r="U278" i="4"/>
  <c r="X278" i="4"/>
  <c r="AA270" i="4"/>
  <c r="S270" i="4"/>
  <c r="AF427" i="4"/>
  <c r="AH427" i="4" s="1"/>
  <c r="AH407" i="4"/>
  <c r="AF422" i="4"/>
  <c r="AH422" i="4" s="1"/>
  <c r="AF410" i="4"/>
  <c r="AH410" i="4" s="1"/>
  <c r="S429" i="4"/>
  <c r="AF429" i="4" s="1"/>
  <c r="AH429" i="4" s="1"/>
  <c r="Z426" i="4"/>
  <c r="Z418" i="4"/>
  <c r="AF399" i="4"/>
  <c r="AH399" i="4" s="1"/>
  <c r="AF391" i="4"/>
  <c r="AH391" i="4" s="1"/>
  <c r="AF361" i="4"/>
  <c r="AH361" i="4" s="1"/>
  <c r="AB385" i="4"/>
  <c r="V350" i="4"/>
  <c r="AF350" i="4" s="1"/>
  <c r="AH350" i="4" s="1"/>
  <c r="T350" i="4"/>
  <c r="Y350" i="4"/>
  <c r="AF320" i="4"/>
  <c r="AH320" i="4" s="1"/>
  <c r="AF332" i="4"/>
  <c r="AH332" i="4" s="1"/>
  <c r="AB270" i="4"/>
  <c r="AF98" i="4"/>
  <c r="AH98" i="4" s="1"/>
  <c r="T385" i="4"/>
  <c r="AF385" i="4" s="1"/>
  <c r="AH385" i="4" s="1"/>
  <c r="AF351" i="4"/>
  <c r="AH351" i="4" s="1"/>
  <c r="AF349" i="4"/>
  <c r="AH349" i="4" s="1"/>
  <c r="AF369" i="4"/>
  <c r="AH369" i="4" s="1"/>
  <c r="U317" i="4"/>
  <c r="AB317" i="4"/>
  <c r="S317" i="4"/>
  <c r="AA293" i="4"/>
  <c r="X293" i="4"/>
  <c r="S293" i="4"/>
  <c r="AF108" i="4"/>
  <c r="AH108" i="4" s="1"/>
  <c r="S426" i="4"/>
  <c r="AF426" i="4" s="1"/>
  <c r="AH426" i="4" s="1"/>
  <c r="S418" i="4"/>
  <c r="AF418" i="4" s="1"/>
  <c r="AH418" i="4" s="1"/>
  <c r="W421" i="4"/>
  <c r="V421" i="4"/>
  <c r="X413" i="4"/>
  <c r="U413" i="4"/>
  <c r="AF413" i="4" s="1"/>
  <c r="AH413" i="4" s="1"/>
  <c r="Y420" i="4"/>
  <c r="AF420" i="4" s="1"/>
  <c r="AH420" i="4" s="1"/>
  <c r="AC395" i="4"/>
  <c r="AF393" i="4"/>
  <c r="AH393" i="4" s="1"/>
  <c r="AF379" i="4"/>
  <c r="AH379" i="4" s="1"/>
  <c r="R353" i="4"/>
  <c r="AB353" i="4"/>
  <c r="X353" i="4"/>
  <c r="AF341" i="4"/>
  <c r="AH341" i="4" s="1"/>
  <c r="U358" i="4"/>
  <c r="AA358" i="4"/>
  <c r="Y358" i="4"/>
  <c r="U318" i="4"/>
  <c r="X318" i="4"/>
  <c r="S318" i="4"/>
  <c r="AH191" i="4"/>
  <c r="AF112" i="4"/>
  <c r="AH112" i="4" s="1"/>
  <c r="X395" i="4"/>
  <c r="AF395" i="4" s="1"/>
  <c r="AH395" i="4" s="1"/>
  <c r="V395" i="4"/>
  <c r="U395" i="4"/>
  <c r="S395" i="4"/>
  <c r="W395" i="4"/>
  <c r="U371" i="4"/>
  <c r="S371" i="4"/>
  <c r="X371" i="4"/>
  <c r="AF358" i="4"/>
  <c r="AH358" i="4" s="1"/>
  <c r="V202" i="4"/>
  <c r="S202" i="4"/>
  <c r="AB202" i="4"/>
  <c r="T206" i="4"/>
  <c r="S206" i="4"/>
  <c r="AF384" i="4"/>
  <c r="AH384" i="4" s="1"/>
  <c r="AF382" i="4"/>
  <c r="AH382" i="4" s="1"/>
  <c r="AF392" i="4"/>
  <c r="AH392" i="4" s="1"/>
  <c r="AF359" i="4"/>
  <c r="AH359" i="4" s="1"/>
  <c r="U398" i="4"/>
  <c r="T398" i="4"/>
  <c r="AB398" i="4"/>
  <c r="AF308" i="4"/>
  <c r="AH308" i="4" s="1"/>
  <c r="X310" i="4"/>
  <c r="AF323" i="4"/>
  <c r="AH323" i="4" s="1"/>
  <c r="R388" i="4"/>
  <c r="AF388" i="4" s="1"/>
  <c r="AH388" i="4" s="1"/>
  <c r="AF267" i="4"/>
  <c r="AH267" i="4" s="1"/>
  <c r="AF259" i="4"/>
  <c r="AH259" i="4" s="1"/>
  <c r="S253" i="4"/>
  <c r="AF221" i="4"/>
  <c r="AH221" i="4" s="1"/>
  <c r="S273" i="4"/>
  <c r="AF273" i="4" s="1"/>
  <c r="AH273" i="4" s="1"/>
  <c r="Z251" i="4"/>
  <c r="AF251" i="4" s="1"/>
  <c r="AH251" i="4" s="1"/>
  <c r="AC285" i="4"/>
  <c r="U279" i="4"/>
  <c r="AF279" i="4" s="1"/>
  <c r="AH279" i="4" s="1"/>
  <c r="AC211" i="4"/>
  <c r="AF176" i="4"/>
  <c r="AH176" i="4" s="1"/>
  <c r="AF197" i="4"/>
  <c r="AH197" i="4" s="1"/>
  <c r="AF163" i="4"/>
  <c r="AH163" i="4" s="1"/>
  <c r="AF137" i="4"/>
  <c r="AH137" i="4" s="1"/>
  <c r="AF269" i="4"/>
  <c r="AH269" i="4" s="1"/>
  <c r="AF209" i="4"/>
  <c r="AH209" i="4" s="1"/>
  <c r="U193" i="4"/>
  <c r="X193" i="4"/>
  <c r="AF165" i="4"/>
  <c r="AH165" i="4" s="1"/>
  <c r="AF161" i="4"/>
  <c r="AH161" i="4" s="1"/>
  <c r="AF157" i="4"/>
  <c r="AH157" i="4" s="1"/>
  <c r="AC265" i="4"/>
  <c r="AF265" i="4" s="1"/>
  <c r="AH265" i="4" s="1"/>
  <c r="U128" i="4"/>
  <c r="Y128" i="4"/>
  <c r="S128" i="4"/>
  <c r="AF113" i="4"/>
  <c r="AH113" i="4" s="1"/>
  <c r="AF104" i="4"/>
  <c r="AH104" i="4" s="1"/>
  <c r="AB261" i="4"/>
  <c r="S261" i="4"/>
  <c r="AF57" i="4"/>
  <c r="AH57" i="4" s="1"/>
  <c r="AF217" i="4"/>
  <c r="AH217" i="4" s="1"/>
  <c r="X243" i="4"/>
  <c r="Y225" i="4"/>
  <c r="AF256" i="4"/>
  <c r="AH256" i="4" s="1"/>
  <c r="AF205" i="4"/>
  <c r="AH205" i="4" s="1"/>
  <c r="AF8" i="4"/>
  <c r="AH8" i="4" s="1"/>
  <c r="AF96" i="4"/>
  <c r="AH96" i="4" s="1"/>
  <c r="AF21" i="4"/>
  <c r="AH21" i="4" s="1"/>
  <c r="S116" i="4"/>
  <c r="AC12" i="4"/>
  <c r="X102" i="4"/>
  <c r="AF102" i="4" s="1"/>
  <c r="AH102" i="4" s="1"/>
  <c r="V235" i="4"/>
  <c r="AF235" i="4" s="1"/>
  <c r="AH235" i="4" s="1"/>
  <c r="AF67" i="4"/>
  <c r="AH67" i="4" s="1"/>
  <c r="AF195" i="4"/>
  <c r="AH195" i="4" s="1"/>
  <c r="AF16" i="4"/>
  <c r="AH16" i="4" s="1"/>
  <c r="U390" i="4"/>
  <c r="AF390" i="4" s="1"/>
  <c r="AH390" i="4" s="1"/>
  <c r="AF386" i="4"/>
  <c r="AH386" i="4" s="1"/>
  <c r="AF328" i="4"/>
  <c r="AH328" i="4" s="1"/>
  <c r="AF291" i="4"/>
  <c r="AH291" i="4" s="1"/>
  <c r="Z310" i="4"/>
  <c r="S406" i="4"/>
  <c r="R297" i="4"/>
  <c r="AF297" i="4" s="1"/>
  <c r="AH297" i="4" s="1"/>
  <c r="V198" i="4"/>
  <c r="W198" i="4"/>
  <c r="Z198" i="4"/>
  <c r="AF285" i="4"/>
  <c r="AH285" i="4" s="1"/>
  <c r="AF169" i="4"/>
  <c r="AH169" i="4" s="1"/>
  <c r="AF150" i="4"/>
  <c r="AH150" i="4" s="1"/>
  <c r="AF118" i="4"/>
  <c r="AH118" i="4" s="1"/>
  <c r="AF125" i="4"/>
  <c r="AH125" i="4" s="1"/>
  <c r="AA261" i="4"/>
  <c r="AB168" i="4"/>
  <c r="AF85" i="4"/>
  <c r="AH85" i="4" s="1"/>
  <c r="AF69" i="4"/>
  <c r="AH69" i="4" s="1"/>
  <c r="R225" i="4"/>
  <c r="AF72" i="4"/>
  <c r="AH72" i="4" s="1"/>
  <c r="R95" i="4"/>
  <c r="S95" i="4"/>
  <c r="Z95" i="4"/>
  <c r="AF25" i="4"/>
  <c r="AH25" i="4" s="1"/>
  <c r="AF80" i="4"/>
  <c r="AH80" i="4" s="1"/>
  <c r="AF5" i="4"/>
  <c r="AH5" i="4" s="1"/>
  <c r="AF68" i="4"/>
  <c r="AH68" i="4" s="1"/>
  <c r="U92" i="4"/>
  <c r="AF9" i="4"/>
  <c r="AH9" i="4" s="1"/>
  <c r="AF206" i="4"/>
  <c r="AH206" i="4" s="1"/>
  <c r="AF401" i="4"/>
  <c r="AH401" i="4" s="1"/>
  <c r="S343" i="4"/>
  <c r="R343" i="4"/>
  <c r="W398" i="4"/>
  <c r="Y398" i="4"/>
  <c r="X363" i="4"/>
  <c r="AB363" i="4"/>
  <c r="AF306" i="4"/>
  <c r="AH306" i="4" s="1"/>
  <c r="AF314" i="4"/>
  <c r="AH314" i="4" s="1"/>
  <c r="V312" i="4"/>
  <c r="T406" i="4"/>
  <c r="AF319" i="4"/>
  <c r="AH319" i="4" s="1"/>
  <c r="AF309" i="4"/>
  <c r="AH309" i="4" s="1"/>
  <c r="W305" i="4"/>
  <c r="AF239" i="4"/>
  <c r="AH239" i="4" s="1"/>
  <c r="AF263" i="4"/>
  <c r="AH263" i="4" s="1"/>
  <c r="AF249" i="4"/>
  <c r="AH249" i="4" s="1"/>
  <c r="AF245" i="4"/>
  <c r="AH245" i="4" s="1"/>
  <c r="V223" i="4"/>
  <c r="AF223" i="4" s="1"/>
  <c r="AH223" i="4" s="1"/>
  <c r="AF187" i="4"/>
  <c r="AH187" i="4" s="1"/>
  <c r="AF188" i="4"/>
  <c r="AH188" i="4" s="1"/>
  <c r="AF181" i="4"/>
  <c r="AH181" i="4" s="1"/>
  <c r="AF167" i="4"/>
  <c r="AH167" i="4" s="1"/>
  <c r="AF145" i="4"/>
  <c r="AH145" i="4" s="1"/>
  <c r="AF177" i="4"/>
  <c r="AH177" i="4" s="1"/>
  <c r="S148" i="4"/>
  <c r="AF179" i="4"/>
  <c r="AH179" i="4" s="1"/>
  <c r="AF120" i="4"/>
  <c r="AH120" i="4" s="1"/>
  <c r="V261" i="4"/>
  <c r="AA168" i="4"/>
  <c r="AF128" i="4"/>
  <c r="AH128" i="4" s="1"/>
  <c r="AF109" i="4"/>
  <c r="AH109" i="4" s="1"/>
  <c r="AF53" i="4"/>
  <c r="AH53" i="4" s="1"/>
  <c r="AF152" i="4"/>
  <c r="AH152" i="4" s="1"/>
  <c r="AF105" i="4"/>
  <c r="AH105" i="4" s="1"/>
  <c r="AF12" i="4"/>
  <c r="AH12" i="4" s="1"/>
  <c r="U116" i="4"/>
  <c r="AF47" i="4"/>
  <c r="AH47" i="4" s="1"/>
  <c r="AF132" i="4"/>
  <c r="AH132" i="4" s="1"/>
  <c r="AF91" i="4"/>
  <c r="AH91" i="4" s="1"/>
  <c r="R15" i="4"/>
  <c r="AF15" i="4" s="1"/>
  <c r="AH15" i="4" s="1"/>
  <c r="S156" i="4"/>
  <c r="AF156" i="4" s="1"/>
  <c r="AH156" i="4" s="1"/>
  <c r="AF76" i="4"/>
  <c r="AH76" i="4" s="1"/>
  <c r="AF366" i="4"/>
  <c r="AH366" i="4" s="1"/>
  <c r="R326" i="4"/>
  <c r="AF326" i="4" s="1"/>
  <c r="AH326" i="4" s="1"/>
  <c r="X326" i="4"/>
  <c r="AF303" i="4"/>
  <c r="AH303" i="4" s="1"/>
  <c r="AF370" i="4"/>
  <c r="AH370" i="4" s="1"/>
  <c r="V310" i="4"/>
  <c r="AF310" i="4" s="1"/>
  <c r="AH310" i="4" s="1"/>
  <c r="S274" i="4"/>
  <c r="U274" i="4"/>
  <c r="U250" i="4"/>
  <c r="S250" i="4"/>
  <c r="U242" i="4"/>
  <c r="S242" i="4"/>
  <c r="S271" i="4"/>
  <c r="X271" i="4"/>
  <c r="AF192" i="4"/>
  <c r="AH192" i="4" s="1"/>
  <c r="AF180" i="4"/>
  <c r="AH180" i="4" s="1"/>
  <c r="AF133" i="4"/>
  <c r="AH133" i="4" s="1"/>
  <c r="AA148" i="4"/>
  <c r="X184" i="4"/>
  <c r="AF184" i="4" s="1"/>
  <c r="AH184" i="4" s="1"/>
  <c r="AF264" i="4"/>
  <c r="AH264" i="4" s="1"/>
  <c r="T261" i="4"/>
  <c r="AF97" i="4"/>
  <c r="AH97" i="4" s="1"/>
  <c r="AF81" i="4"/>
  <c r="AH81" i="4" s="1"/>
  <c r="AF37" i="4"/>
  <c r="AH37" i="4" s="1"/>
  <c r="AF139" i="4"/>
  <c r="AH139" i="4" s="1"/>
  <c r="AF60" i="4"/>
  <c r="AH60" i="4" s="1"/>
  <c r="AF36" i="4"/>
  <c r="AH36" i="4" s="1"/>
  <c r="W211" i="4"/>
  <c r="AF211" i="4" s="1"/>
  <c r="AH211" i="4" s="1"/>
  <c r="AF56" i="4"/>
  <c r="AH56" i="4" s="1"/>
  <c r="AF19" i="4"/>
  <c r="AH19" i="4" s="1"/>
  <c r="R92" i="4"/>
  <c r="AF29" i="4"/>
  <c r="AH29" i="4" s="1"/>
  <c r="AF64" i="4"/>
  <c r="AH64" i="4" s="1"/>
  <c r="AF302" i="4"/>
  <c r="AH302" i="4" s="1"/>
  <c r="AC313" i="4"/>
  <c r="Z313" i="4"/>
  <c r="AF283" i="4"/>
  <c r="AH283" i="4" s="1"/>
  <c r="AF185" i="4"/>
  <c r="AH185" i="4" s="1"/>
  <c r="AF172" i="4"/>
  <c r="AH172" i="4" s="1"/>
  <c r="X183" i="4"/>
  <c r="S183" i="4"/>
  <c r="AF193" i="4"/>
  <c r="AH193" i="4" s="1"/>
  <c r="AF277" i="4"/>
  <c r="AH277" i="4" s="1"/>
  <c r="AF136" i="4"/>
  <c r="AH136" i="4" s="1"/>
  <c r="AF213" i="4"/>
  <c r="AH213" i="4" s="1"/>
  <c r="AF51" i="4"/>
  <c r="AH51" i="4" s="1"/>
  <c r="AF24" i="4"/>
  <c r="AH24" i="4" s="1"/>
  <c r="AF13" i="4"/>
  <c r="AH13" i="4" s="1"/>
  <c r="AF140" i="4"/>
  <c r="AH140" i="4" s="1"/>
  <c r="AF394" i="4"/>
  <c r="AH394" i="4" s="1"/>
  <c r="AF363" i="4"/>
  <c r="AH363" i="4" s="1"/>
  <c r="AF356" i="4"/>
  <c r="AH356" i="4" s="1"/>
  <c r="AF352" i="4"/>
  <c r="AH352" i="4" s="1"/>
  <c r="AF348" i="4"/>
  <c r="AH348" i="4" s="1"/>
  <c r="AF340" i="4"/>
  <c r="AH340" i="4" s="1"/>
  <c r="AF336" i="4"/>
  <c r="AH336" i="4" s="1"/>
  <c r="Z330" i="4"/>
  <c r="X330" i="4"/>
  <c r="AF330" i="4" s="1"/>
  <c r="AH330" i="4" s="1"/>
  <c r="AB312" i="4"/>
  <c r="AF312" i="4" s="1"/>
  <c r="AH312" i="4" s="1"/>
  <c r="AF396" i="4"/>
  <c r="AH396" i="4" s="1"/>
  <c r="AF289" i="4"/>
  <c r="AH289" i="4" s="1"/>
  <c r="AF305" i="4"/>
  <c r="AH305" i="4" s="1"/>
  <c r="AB242" i="4"/>
  <c r="AF237" i="4"/>
  <c r="AH237" i="4" s="1"/>
  <c r="AF126" i="4"/>
  <c r="AH126" i="4" s="1"/>
  <c r="AF160" i="4"/>
  <c r="AH160" i="4" s="1"/>
  <c r="AF141" i="4"/>
  <c r="AH141" i="4" s="1"/>
  <c r="AF200" i="4"/>
  <c r="AH200" i="4" s="1"/>
  <c r="AF331" i="4"/>
  <c r="AH331" i="4" s="1"/>
  <c r="AF231" i="4"/>
  <c r="AH231" i="4" s="1"/>
  <c r="AF173" i="4"/>
  <c r="AH173" i="4" s="1"/>
  <c r="U101" i="4"/>
  <c r="S101" i="4"/>
  <c r="AF93" i="4"/>
  <c r="AH93" i="4" s="1"/>
  <c r="AF77" i="4"/>
  <c r="AH77" i="4" s="1"/>
  <c r="AF49" i="4"/>
  <c r="AH49" i="4" s="1"/>
  <c r="AF243" i="4"/>
  <c r="AH243" i="4" s="1"/>
  <c r="AF189" i="4"/>
  <c r="AH189" i="4" s="1"/>
  <c r="AF124" i="4"/>
  <c r="AH124" i="4" s="1"/>
  <c r="AF48" i="4"/>
  <c r="AH48" i="4" s="1"/>
  <c r="AF6" i="4"/>
  <c r="AH6" i="4" s="1"/>
  <c r="AF88" i="4"/>
  <c r="AH88" i="4" s="1"/>
  <c r="AF55" i="4"/>
  <c r="AH55" i="4" s="1"/>
  <c r="AF20" i="4"/>
  <c r="AH20" i="4" s="1"/>
  <c r="AF52" i="4"/>
  <c r="AH52" i="4" s="1"/>
  <c r="AF402" i="4"/>
  <c r="AH402" i="4" s="1"/>
  <c r="AF327" i="4"/>
  <c r="AH327" i="4" s="1"/>
  <c r="S313" i="4"/>
  <c r="AF313" i="4" s="1"/>
  <c r="AH313" i="4" s="1"/>
  <c r="X274" i="4"/>
  <c r="AF301" i="4"/>
  <c r="AH301" i="4" s="1"/>
  <c r="U271" i="4"/>
  <c r="R253" i="4"/>
  <c r="AF253" i="4" s="1"/>
  <c r="AH253" i="4" s="1"/>
  <c r="AF280" i="4"/>
  <c r="AH280" i="4" s="1"/>
  <c r="X275" i="4"/>
  <c r="S275" i="4"/>
  <c r="AF275" i="4" s="1"/>
  <c r="AH275" i="4" s="1"/>
  <c r="Y255" i="4"/>
  <c r="T255" i="4"/>
  <c r="AF255" i="4" s="1"/>
  <c r="AH255" i="4" s="1"/>
  <c r="AF201" i="4"/>
  <c r="AH201" i="4" s="1"/>
  <c r="AF196" i="4"/>
  <c r="AH196" i="4" s="1"/>
  <c r="AF233" i="4"/>
  <c r="AH233" i="4" s="1"/>
  <c r="AF164" i="4"/>
  <c r="AH164" i="4" s="1"/>
  <c r="AF129" i="4"/>
  <c r="AH129" i="4" s="1"/>
  <c r="AF227" i="4"/>
  <c r="AH227" i="4" s="1"/>
  <c r="AF241" i="4"/>
  <c r="AH241" i="4" s="1"/>
  <c r="AF100" i="4"/>
  <c r="AH100" i="4" s="1"/>
  <c r="AA219" i="4"/>
  <c r="AF219" i="4" s="1"/>
  <c r="AH219" i="4" s="1"/>
  <c r="AF61" i="4"/>
  <c r="AH61" i="4" s="1"/>
  <c r="AF33" i="4"/>
  <c r="AH33" i="4" s="1"/>
  <c r="AF84" i="4"/>
  <c r="AH84" i="4" s="1"/>
  <c r="AF39" i="4"/>
  <c r="AH39" i="4" s="1"/>
  <c r="S63" i="4"/>
  <c r="AF63" i="4" s="1"/>
  <c r="AH63" i="4" s="1"/>
  <c r="U63" i="4"/>
  <c r="AF116" i="4"/>
  <c r="AH116" i="4" s="1"/>
  <c r="AF17" i="4"/>
  <c r="AH17" i="4" s="1"/>
  <c r="AF44" i="4"/>
  <c r="AH44" i="4" s="1"/>
  <c r="AF35" i="4"/>
  <c r="AH35" i="4" s="1"/>
  <c r="AF79" i="4"/>
  <c r="AH79" i="4" s="1"/>
  <c r="AR234" i="6"/>
  <c r="AT234" i="6" s="1"/>
  <c r="AR405" i="6"/>
  <c r="AT405" i="6" s="1"/>
  <c r="AA367" i="6"/>
  <c r="AB367" i="6"/>
  <c r="AH367" i="6"/>
  <c r="AR385" i="6"/>
  <c r="AT385" i="6" s="1"/>
  <c r="AI392" i="6"/>
  <c r="AR398" i="6"/>
  <c r="AT398" i="6" s="1"/>
  <c r="AD334" i="6"/>
  <c r="AR380" i="6"/>
  <c r="AT380" i="6" s="1"/>
  <c r="AR330" i="6"/>
  <c r="AT330" i="6" s="1"/>
  <c r="AR368" i="6"/>
  <c r="AT368" i="6" s="1"/>
  <c r="AO384" i="6"/>
  <c r="AR384" i="6" s="1"/>
  <c r="AT384" i="6" s="1"/>
  <c r="AH327" i="6"/>
  <c r="AD387" i="6"/>
  <c r="AK332" i="6"/>
  <c r="AR333" i="6"/>
  <c r="AT333" i="6" s="1"/>
  <c r="AR310" i="6"/>
  <c r="AT310" i="6" s="1"/>
  <c r="AO284" i="6"/>
  <c r="Y284" i="6"/>
  <c r="AK284" i="6"/>
  <c r="AI284" i="6"/>
  <c r="Z284" i="6"/>
  <c r="AK276" i="6"/>
  <c r="AA276" i="6"/>
  <c r="AH260" i="6"/>
  <c r="AA260" i="6"/>
  <c r="AI277" i="6"/>
  <c r="AA277" i="6"/>
  <c r="AD224" i="6"/>
  <c r="AO211" i="6"/>
  <c r="AR211" i="6" s="1"/>
  <c r="AT211" i="6" s="1"/>
  <c r="Y211" i="6"/>
  <c r="AO238" i="6"/>
  <c r="Z231" i="6"/>
  <c r="AA216" i="6"/>
  <c r="AR213" i="6"/>
  <c r="AT213" i="6" s="1"/>
  <c r="AR169" i="6"/>
  <c r="AT169" i="6" s="1"/>
  <c r="AR179" i="6"/>
  <c r="AT179" i="6" s="1"/>
  <c r="AC144" i="6"/>
  <c r="AR144" i="6" s="1"/>
  <c r="AT144" i="6" s="1"/>
  <c r="AC177" i="6"/>
  <c r="AD170" i="6"/>
  <c r="AR288" i="6"/>
  <c r="AT288" i="6" s="1"/>
  <c r="AR197" i="6"/>
  <c r="AT197" i="6" s="1"/>
  <c r="AC186" i="6"/>
  <c r="AD171" i="6"/>
  <c r="AR171" i="6" s="1"/>
  <c r="AT171" i="6" s="1"/>
  <c r="AD172" i="6"/>
  <c r="AR172" i="6" s="1"/>
  <c r="AT172" i="6" s="1"/>
  <c r="AO228" i="6"/>
  <c r="AR167" i="6"/>
  <c r="AT167" i="6" s="1"/>
  <c r="AI146" i="6"/>
  <c r="AR182" i="6"/>
  <c r="AT182" i="6" s="1"/>
  <c r="AD131" i="6"/>
  <c r="AR93" i="6"/>
  <c r="AT93" i="6" s="1"/>
  <c r="AD116" i="6"/>
  <c r="AH174" i="6"/>
  <c r="AI148" i="6"/>
  <c r="AR148" i="6" s="1"/>
  <c r="AT148" i="6" s="1"/>
  <c r="AJ131" i="6"/>
  <c r="AB124" i="6"/>
  <c r="AR129" i="6"/>
  <c r="AT129" i="6" s="1"/>
  <c r="AR67" i="6"/>
  <c r="AT67" i="6" s="1"/>
  <c r="AD81" i="6"/>
  <c r="AR59" i="6"/>
  <c r="AT59" i="6" s="1"/>
  <c r="AR45" i="6"/>
  <c r="AT45" i="6" s="1"/>
  <c r="AR79" i="6"/>
  <c r="AT79" i="6" s="1"/>
  <c r="AR63" i="6"/>
  <c r="AT63" i="6" s="1"/>
  <c r="AN58" i="6"/>
  <c r="AC17" i="6"/>
  <c r="AJ30" i="6"/>
  <c r="AN66" i="6"/>
  <c r="AN42" i="6"/>
  <c r="AC419" i="6"/>
  <c r="Z419" i="6"/>
  <c r="AL429" i="6"/>
  <c r="AR429" i="6" s="1"/>
  <c r="AT429" i="6" s="1"/>
  <c r="AN415" i="6"/>
  <c r="AE409" i="6"/>
  <c r="AR409" i="6" s="1"/>
  <c r="AT409" i="6" s="1"/>
  <c r="AN375" i="6"/>
  <c r="AI375" i="6"/>
  <c r="Z375" i="6"/>
  <c r="AR366" i="6"/>
  <c r="AT366" i="6" s="1"/>
  <c r="AR421" i="6"/>
  <c r="AT421" i="6" s="1"/>
  <c r="AR369" i="6"/>
  <c r="AT369" i="6" s="1"/>
  <c r="Z344" i="6"/>
  <c r="AE326" i="6"/>
  <c r="AR396" i="6"/>
  <c r="AT396" i="6" s="1"/>
  <c r="AM327" i="6"/>
  <c r="AR327" i="6" s="1"/>
  <c r="AT327" i="6" s="1"/>
  <c r="AR338" i="6"/>
  <c r="AT338" i="6" s="1"/>
  <c r="X379" i="6"/>
  <c r="AR364" i="6"/>
  <c r="AT364" i="6" s="1"/>
  <c r="AR321" i="6"/>
  <c r="AT321" i="6" s="1"/>
  <c r="AH332" i="6"/>
  <c r="AG320" i="6"/>
  <c r="AI314" i="6"/>
  <c r="AR314" i="6" s="1"/>
  <c r="AT314" i="6" s="1"/>
  <c r="AI302" i="6"/>
  <c r="Y268" i="6"/>
  <c r="AC268" i="6"/>
  <c r="Z268" i="6"/>
  <c r="AJ261" i="6"/>
  <c r="AI261" i="6"/>
  <c r="AB261" i="6"/>
  <c r="AA261" i="6"/>
  <c r="AL261" i="6"/>
  <c r="AO322" i="6"/>
  <c r="AR240" i="6"/>
  <c r="AT240" i="6" s="1"/>
  <c r="AR257" i="6"/>
  <c r="AT257" i="6" s="1"/>
  <c r="AC246" i="6"/>
  <c r="AR246" i="6" s="1"/>
  <c r="AT246" i="6" s="1"/>
  <c r="AB239" i="6"/>
  <c r="AB256" i="6"/>
  <c r="AM251" i="6"/>
  <c r="Z223" i="6"/>
  <c r="AR223" i="6" s="1"/>
  <c r="AT223" i="6" s="1"/>
  <c r="AJ235" i="6"/>
  <c r="AR235" i="6" s="1"/>
  <c r="AT235" i="6" s="1"/>
  <c r="X220" i="6"/>
  <c r="X186" i="6"/>
  <c r="AR186" i="6" s="1"/>
  <c r="AT186" i="6" s="1"/>
  <c r="AR146" i="6"/>
  <c r="AT146" i="6" s="1"/>
  <c r="AR147" i="6"/>
  <c r="AT147" i="6" s="1"/>
  <c r="AA236" i="6"/>
  <c r="AR180" i="6"/>
  <c r="AT180" i="6" s="1"/>
  <c r="AE155" i="6"/>
  <c r="AR189" i="6"/>
  <c r="AT189" i="6" s="1"/>
  <c r="AE228" i="6"/>
  <c r="AR228" i="6" s="1"/>
  <c r="AT228" i="6" s="1"/>
  <c r="AR159" i="6"/>
  <c r="AT159" i="6" s="1"/>
  <c r="AR143" i="6"/>
  <c r="AT143" i="6" s="1"/>
  <c r="AJ198" i="6"/>
  <c r="AE100" i="6"/>
  <c r="AR174" i="6"/>
  <c r="AT174" i="6" s="1"/>
  <c r="AC142" i="6"/>
  <c r="AR142" i="6" s="1"/>
  <c r="AT142" i="6" s="1"/>
  <c r="AO135" i="6"/>
  <c r="Y135" i="6"/>
  <c r="AR135" i="6" s="1"/>
  <c r="AT135" i="6" s="1"/>
  <c r="AR121" i="6"/>
  <c r="AT121" i="6" s="1"/>
  <c r="AE136" i="6"/>
  <c r="AM88" i="6"/>
  <c r="AR51" i="6"/>
  <c r="AT51" i="6" s="1"/>
  <c r="AR68" i="6"/>
  <c r="AT68" i="6" s="1"/>
  <c r="AE52" i="6"/>
  <c r="AR37" i="6"/>
  <c r="AT37" i="6" s="1"/>
  <c r="AR96" i="6"/>
  <c r="AT96" i="6" s="1"/>
  <c r="AO166" i="6"/>
  <c r="Z73" i="6"/>
  <c r="AH65" i="6"/>
  <c r="AR55" i="6"/>
  <c r="AT55" i="6" s="1"/>
  <c r="AA62" i="6"/>
  <c r="AR20" i="6"/>
  <c r="AT20" i="6" s="1"/>
  <c r="AR4" i="6"/>
  <c r="AT4" i="6" s="1"/>
  <c r="AC30" i="6"/>
  <c r="AO38" i="6"/>
  <c r="AR7" i="6"/>
  <c r="AT7" i="6" s="1"/>
  <c r="AM40" i="6"/>
  <c r="AR428" i="6"/>
  <c r="AT428" i="6" s="1"/>
  <c r="AR424" i="6"/>
  <c r="AT424" i="6" s="1"/>
  <c r="AR406" i="6"/>
  <c r="AT406" i="6" s="1"/>
  <c r="AR389" i="6"/>
  <c r="AT389" i="6" s="1"/>
  <c r="AO415" i="6"/>
  <c r="AL362" i="6"/>
  <c r="AJ379" i="6"/>
  <c r="AR363" i="6"/>
  <c r="AT363" i="6" s="1"/>
  <c r="AO326" i="6"/>
  <c r="AA332" i="6"/>
  <c r="AR337" i="6"/>
  <c r="AT337" i="6" s="1"/>
  <c r="AN267" i="6"/>
  <c r="Z267" i="6"/>
  <c r="AO267" i="6"/>
  <c r="AR279" i="6"/>
  <c r="AT279" i="6" s="1"/>
  <c r="AR271" i="6"/>
  <c r="AT271" i="6" s="1"/>
  <c r="AR294" i="6"/>
  <c r="AT294" i="6" s="1"/>
  <c r="AR239" i="6"/>
  <c r="AT239" i="6" s="1"/>
  <c r="Y264" i="6"/>
  <c r="AD254" i="6"/>
  <c r="AR249" i="6"/>
  <c r="AT249" i="6" s="1"/>
  <c r="AK230" i="6"/>
  <c r="AD223" i="6"/>
  <c r="AA254" i="6"/>
  <c r="X250" i="6"/>
  <c r="AJ250" i="6"/>
  <c r="AR227" i="6"/>
  <c r="AT227" i="6" s="1"/>
  <c r="AO272" i="6"/>
  <c r="AR272" i="6" s="1"/>
  <c r="AT272" i="6" s="1"/>
  <c r="AM243" i="6"/>
  <c r="Z214" i="6"/>
  <c r="AR214" i="6" s="1"/>
  <c r="AT214" i="6" s="1"/>
  <c r="AR263" i="6"/>
  <c r="AT263" i="6" s="1"/>
  <c r="AI256" i="6"/>
  <c r="Y238" i="6"/>
  <c r="AR238" i="6" s="1"/>
  <c r="AT238" i="6" s="1"/>
  <c r="AR252" i="6"/>
  <c r="AT252" i="6" s="1"/>
  <c r="AR163" i="6"/>
  <c r="AT163" i="6" s="1"/>
  <c r="AC152" i="6"/>
  <c r="AR152" i="6" s="1"/>
  <c r="AT152" i="6" s="1"/>
  <c r="AD194" i="6"/>
  <c r="AR181" i="6"/>
  <c r="AT181" i="6" s="1"/>
  <c r="AJ177" i="6"/>
  <c r="AC170" i="6"/>
  <c r="AR170" i="6" s="1"/>
  <c r="AT170" i="6" s="1"/>
  <c r="AN215" i="6"/>
  <c r="AH161" i="6"/>
  <c r="AR151" i="6"/>
  <c r="AT151" i="6" s="1"/>
  <c r="AR141" i="6"/>
  <c r="AT141" i="6" s="1"/>
  <c r="AC130" i="6"/>
  <c r="Y148" i="6"/>
  <c r="AR119" i="6"/>
  <c r="AT119" i="6" s="1"/>
  <c r="AC190" i="6"/>
  <c r="Y127" i="6"/>
  <c r="AR127" i="6" s="1"/>
  <c r="AT127" i="6" s="1"/>
  <c r="AC127" i="6"/>
  <c r="AR113" i="6"/>
  <c r="AT113" i="6" s="1"/>
  <c r="AR89" i="6"/>
  <c r="AT89" i="6" s="1"/>
  <c r="AI128" i="6"/>
  <c r="AO84" i="6"/>
  <c r="AL66" i="6"/>
  <c r="AR66" i="6" s="1"/>
  <c r="AT66" i="6" s="1"/>
  <c r="AC57" i="6"/>
  <c r="AR57" i="6" s="1"/>
  <c r="AT57" i="6" s="1"/>
  <c r="Z43" i="6"/>
  <c r="AI43" i="6"/>
  <c r="AO100" i="6"/>
  <c r="AB120" i="6"/>
  <c r="AH57" i="6"/>
  <c r="AR47" i="6"/>
  <c r="AT47" i="6" s="1"/>
  <c r="AR70" i="6"/>
  <c r="AT70" i="6" s="1"/>
  <c r="AR18" i="6"/>
  <c r="AT18" i="6" s="1"/>
  <c r="AR2" i="6"/>
  <c r="AT2" i="6" s="1"/>
  <c r="AR3" i="6"/>
  <c r="AT3" i="6" s="1"/>
  <c r="AE30" i="6"/>
  <c r="AR46" i="6"/>
  <c r="AT46" i="6" s="1"/>
  <c r="AR22" i="6"/>
  <c r="AT22" i="6" s="1"/>
  <c r="Z38" i="6"/>
  <c r="AE392" i="6"/>
  <c r="AR393" i="6"/>
  <c r="AT393" i="6" s="1"/>
  <c r="AR355" i="6"/>
  <c r="AT355" i="6" s="1"/>
  <c r="AH344" i="6"/>
  <c r="AD376" i="6"/>
  <c r="AN351" i="6"/>
  <c r="AR351" i="6" s="1"/>
  <c r="AT351" i="6" s="1"/>
  <c r="AM334" i="6"/>
  <c r="AR299" i="6"/>
  <c r="AT299" i="6" s="1"/>
  <c r="AE332" i="6"/>
  <c r="AI332" i="6"/>
  <c r="AR340" i="6"/>
  <c r="AT340" i="6" s="1"/>
  <c r="AO324" i="6"/>
  <c r="Z320" i="6"/>
  <c r="AR320" i="6" s="1"/>
  <c r="AT320" i="6" s="1"/>
  <c r="Y304" i="6"/>
  <c r="AR286" i="6"/>
  <c r="AT286" i="6" s="1"/>
  <c r="AR287" i="6"/>
  <c r="AT287" i="6" s="1"/>
  <c r="AR298" i="6"/>
  <c r="AT298" i="6" s="1"/>
  <c r="AR232" i="6"/>
  <c r="AT232" i="6" s="1"/>
  <c r="AD206" i="6"/>
  <c r="AR241" i="6"/>
  <c r="AT241" i="6" s="1"/>
  <c r="AR219" i="6"/>
  <c r="AT219" i="6" s="1"/>
  <c r="AR203" i="6"/>
  <c r="AT203" i="6" s="1"/>
  <c r="Z272" i="6"/>
  <c r="AR253" i="6"/>
  <c r="AT253" i="6" s="1"/>
  <c r="Y206" i="6"/>
  <c r="AR206" i="6" s="1"/>
  <c r="AT206" i="6" s="1"/>
  <c r="AR212" i="6"/>
  <c r="AT212" i="6" s="1"/>
  <c r="AR178" i="6"/>
  <c r="AT178" i="6" s="1"/>
  <c r="AC244" i="6"/>
  <c r="AR173" i="6"/>
  <c r="AT173" i="6" s="1"/>
  <c r="AG280" i="6"/>
  <c r="AO168" i="6"/>
  <c r="Z145" i="6"/>
  <c r="AR145" i="6" s="1"/>
  <c r="AT145" i="6" s="1"/>
  <c r="AR123" i="6"/>
  <c r="AT123" i="6" s="1"/>
  <c r="Z158" i="6"/>
  <c r="AR133" i="6"/>
  <c r="AT133" i="6" s="1"/>
  <c r="AL99" i="6"/>
  <c r="AA138" i="6"/>
  <c r="AI130" i="6"/>
  <c r="Z138" i="6"/>
  <c r="AR138" i="6" s="1"/>
  <c r="AT138" i="6" s="1"/>
  <c r="AR105" i="6"/>
  <c r="AT105" i="6" s="1"/>
  <c r="AN32" i="6"/>
  <c r="X32" i="6"/>
  <c r="AR32" i="6" s="1"/>
  <c r="AT32" i="6" s="1"/>
  <c r="AR136" i="6"/>
  <c r="AT136" i="6" s="1"/>
  <c r="AC112" i="6"/>
  <c r="AR34" i="6"/>
  <c r="AT34" i="6" s="1"/>
  <c r="AL73" i="6"/>
  <c r="AE35" i="6"/>
  <c r="AR28" i="6"/>
  <c r="AT28" i="6" s="1"/>
  <c r="AJ24" i="6"/>
  <c r="AM138" i="6"/>
  <c r="AJ120" i="6"/>
  <c r="AR120" i="6" s="1"/>
  <c r="AT120" i="6" s="1"/>
  <c r="AA42" i="6"/>
  <c r="AR42" i="6" s="1"/>
  <c r="AT42" i="6" s="1"/>
  <c r="AR39" i="6"/>
  <c r="AT39" i="6" s="1"/>
  <c r="AR19" i="6"/>
  <c r="AT19" i="6" s="1"/>
  <c r="AR54" i="6"/>
  <c r="AT54" i="6" s="1"/>
  <c r="AN41" i="6"/>
  <c r="AH30" i="6"/>
  <c r="AR5" i="6"/>
  <c r="AT5" i="6" s="1"/>
  <c r="AF425" i="6"/>
  <c r="AO425" i="6"/>
  <c r="AN425" i="6"/>
  <c r="Y425" i="6"/>
  <c r="AI425" i="6"/>
  <c r="AR420" i="6"/>
  <c r="AT420" i="6" s="1"/>
  <c r="AR407" i="6"/>
  <c r="AT407" i="6" s="1"/>
  <c r="AR397" i="6"/>
  <c r="AT397" i="6" s="1"/>
  <c r="AR377" i="6"/>
  <c r="AT377" i="6" s="1"/>
  <c r="AN350" i="6"/>
  <c r="AK350" i="6"/>
  <c r="AB350" i="6"/>
  <c r="Z362" i="6"/>
  <c r="AR362" i="6" s="1"/>
  <c r="AT362" i="6" s="1"/>
  <c r="AO427" i="6"/>
  <c r="AM342" i="6"/>
  <c r="X344" i="6"/>
  <c r="AE344" i="6"/>
  <c r="AN344" i="6"/>
  <c r="AD344" i="6"/>
  <c r="AL344" i="6"/>
  <c r="AA344" i="6"/>
  <c r="AA387" i="6"/>
  <c r="AR341" i="6"/>
  <c r="AT341" i="6" s="1"/>
  <c r="AR317" i="6"/>
  <c r="AT317" i="6" s="1"/>
  <c r="AR295" i="6"/>
  <c r="AT295" i="6" s="1"/>
  <c r="Z275" i="6"/>
  <c r="AO275" i="6"/>
  <c r="AO332" i="6"/>
  <c r="AL285" i="6"/>
  <c r="AR322" i="6"/>
  <c r="AT322" i="6" s="1"/>
  <c r="AR207" i="6"/>
  <c r="AT207" i="6" s="1"/>
  <c r="AO264" i="6"/>
  <c r="AR233" i="6"/>
  <c r="AT233" i="6" s="1"/>
  <c r="AB215" i="6"/>
  <c r="AR215" i="6" s="1"/>
  <c r="AT215" i="6" s="1"/>
  <c r="AH254" i="6"/>
  <c r="AL250" i="6"/>
  <c r="AA247" i="6"/>
  <c r="AO243" i="6"/>
  <c r="AG243" i="6"/>
  <c r="Y243" i="6"/>
  <c r="AK243" i="6"/>
  <c r="AC243" i="6"/>
  <c r="AR245" i="6"/>
  <c r="AT245" i="6" s="1"/>
  <c r="Y222" i="6"/>
  <c r="AR222" i="6" s="1"/>
  <c r="AT222" i="6" s="1"/>
  <c r="AD160" i="6"/>
  <c r="AA153" i="6"/>
  <c r="AO153" i="6"/>
  <c r="AD185" i="6"/>
  <c r="AR185" i="6" s="1"/>
  <c r="AT185" i="6" s="1"/>
  <c r="AB236" i="6"/>
  <c r="AR236" i="6" s="1"/>
  <c r="AT236" i="6" s="1"/>
  <c r="AR208" i="6"/>
  <c r="AT208" i="6" s="1"/>
  <c r="AB168" i="6"/>
  <c r="AR168" i="6" s="1"/>
  <c r="AT168" i="6" s="1"/>
  <c r="AR165" i="6"/>
  <c r="AT165" i="6" s="1"/>
  <c r="AJ161" i="6"/>
  <c r="AR204" i="6"/>
  <c r="AT204" i="6" s="1"/>
  <c r="Y176" i="6"/>
  <c r="Z153" i="6"/>
  <c r="AO144" i="6"/>
  <c r="AC150" i="6"/>
  <c r="AR150" i="6" s="1"/>
  <c r="AT150" i="6" s="1"/>
  <c r="AR99" i="6"/>
  <c r="AT99" i="6" s="1"/>
  <c r="AR125" i="6"/>
  <c r="AT125" i="6" s="1"/>
  <c r="AD100" i="6"/>
  <c r="AR100" i="6" s="1"/>
  <c r="AT100" i="6" s="1"/>
  <c r="AJ99" i="6"/>
  <c r="AH107" i="6"/>
  <c r="AL103" i="6"/>
  <c r="AR103" i="6" s="1"/>
  <c r="AT103" i="6" s="1"/>
  <c r="AR97" i="6"/>
  <c r="AT97" i="6" s="1"/>
  <c r="AM84" i="6"/>
  <c r="AR60" i="6"/>
  <c r="AT60" i="6" s="1"/>
  <c r="AA40" i="6"/>
  <c r="AR40" i="6" s="1"/>
  <c r="AT40" i="6" s="1"/>
  <c r="AC104" i="6"/>
  <c r="AR166" i="6"/>
  <c r="AT166" i="6" s="1"/>
  <c r="AC76" i="6"/>
  <c r="AR31" i="6"/>
  <c r="AT31" i="6" s="1"/>
  <c r="AB62" i="6"/>
  <c r="AR62" i="6" s="1"/>
  <c r="AT62" i="6" s="1"/>
  <c r="X30" i="6"/>
  <c r="AR6" i="6"/>
  <c r="AT6" i="6" s="1"/>
  <c r="AR38" i="6"/>
  <c r="AT38" i="6" s="1"/>
  <c r="AA419" i="6"/>
  <c r="AR403" i="6"/>
  <c r="AT403" i="6" s="1"/>
  <c r="AJ388" i="6"/>
  <c r="AD388" i="6"/>
  <c r="AR388" i="6" s="1"/>
  <c r="AT388" i="6" s="1"/>
  <c r="AN392" i="6"/>
  <c r="AR372" i="6"/>
  <c r="AT372" i="6" s="1"/>
  <c r="Z427" i="6"/>
  <c r="AR427" i="6" s="1"/>
  <c r="AT427" i="6" s="1"/>
  <c r="AE342" i="6"/>
  <c r="AJ328" i="6"/>
  <c r="AC328" i="6"/>
  <c r="AR328" i="6" s="1"/>
  <c r="AT328" i="6" s="1"/>
  <c r="AJ376" i="6"/>
  <c r="AR376" i="6" s="1"/>
  <c r="AT376" i="6" s="1"/>
  <c r="AR360" i="6"/>
  <c r="AT360" i="6" s="1"/>
  <c r="AR356" i="6"/>
  <c r="AT356" i="6" s="1"/>
  <c r="X332" i="6"/>
  <c r="AB332" i="6"/>
  <c r="AR309" i="6"/>
  <c r="AT309" i="6" s="1"/>
  <c r="AR293" i="6"/>
  <c r="AT293" i="6" s="1"/>
  <c r="AC302" i="6"/>
  <c r="AR277" i="6"/>
  <c r="AT277" i="6" s="1"/>
  <c r="X318" i="6"/>
  <c r="AR318" i="6" s="1"/>
  <c r="AT318" i="6" s="1"/>
  <c r="AR278" i="6"/>
  <c r="AT278" i="6" s="1"/>
  <c r="AM344" i="6"/>
  <c r="AR292" i="6"/>
  <c r="AT292" i="6" s="1"/>
  <c r="AC261" i="6"/>
  <c r="AE231" i="6"/>
  <c r="AR231" i="6" s="1"/>
  <c r="AT231" i="6" s="1"/>
  <c r="AR224" i="6"/>
  <c r="AT224" i="6" s="1"/>
  <c r="AR225" i="6"/>
  <c r="AT225" i="6" s="1"/>
  <c r="AR201" i="6"/>
  <c r="AT201" i="6" s="1"/>
  <c r="AA230" i="6"/>
  <c r="AR230" i="6" s="1"/>
  <c r="AT230" i="6" s="1"/>
  <c r="AH261" i="6"/>
  <c r="AD250" i="6"/>
  <c r="AB216" i="6"/>
  <c r="AD251" i="6"/>
  <c r="AL243" i="6"/>
  <c r="AR237" i="6"/>
  <c r="AT237" i="6" s="1"/>
  <c r="AR194" i="6"/>
  <c r="AT194" i="6" s="1"/>
  <c r="AR177" i="6"/>
  <c r="AT177" i="6" s="1"/>
  <c r="AL192" i="6"/>
  <c r="AR192" i="6" s="1"/>
  <c r="AT192" i="6" s="1"/>
  <c r="AL184" i="6"/>
  <c r="AR196" i="6"/>
  <c r="AT196" i="6" s="1"/>
  <c r="AR164" i="6"/>
  <c r="AT164" i="6" s="1"/>
  <c r="AC145" i="6"/>
  <c r="AL187" i="6"/>
  <c r="AR157" i="6"/>
  <c r="AT157" i="6" s="1"/>
  <c r="AA194" i="6"/>
  <c r="AR191" i="6"/>
  <c r="AT191" i="6" s="1"/>
  <c r="X198" i="6"/>
  <c r="AR198" i="6" s="1"/>
  <c r="AT198" i="6" s="1"/>
  <c r="AR139" i="6"/>
  <c r="AT139" i="6" s="1"/>
  <c r="AB122" i="6"/>
  <c r="AN122" i="6"/>
  <c r="AR91" i="6"/>
  <c r="AT91" i="6" s="1"/>
  <c r="AL138" i="6"/>
  <c r="AC131" i="6"/>
  <c r="Y131" i="6"/>
  <c r="AR131" i="6" s="1"/>
  <c r="AT131" i="6" s="1"/>
  <c r="AR158" i="6"/>
  <c r="AT158" i="6" s="1"/>
  <c r="AR117" i="6"/>
  <c r="AT117" i="6" s="1"/>
  <c r="AR95" i="6"/>
  <c r="AT95" i="6" s="1"/>
  <c r="AD118" i="6"/>
  <c r="AR118" i="6" s="1"/>
  <c r="AT118" i="6" s="1"/>
  <c r="AH114" i="6"/>
  <c r="AR114" i="6" s="1"/>
  <c r="AT114" i="6" s="1"/>
  <c r="AA107" i="6"/>
  <c r="AR107" i="6" s="1"/>
  <c r="AT107" i="6" s="1"/>
  <c r="AO87" i="6"/>
  <c r="AC87" i="6"/>
  <c r="AR87" i="6" s="1"/>
  <c r="AT87" i="6" s="1"/>
  <c r="AO114" i="6"/>
  <c r="Y88" i="6"/>
  <c r="AR88" i="6" s="1"/>
  <c r="AT88" i="6" s="1"/>
  <c r="AR74" i="6"/>
  <c r="AT74" i="6" s="1"/>
  <c r="AR52" i="6"/>
  <c r="AT52" i="6" s="1"/>
  <c r="AE27" i="6"/>
  <c r="AB81" i="6"/>
  <c r="AR81" i="6" s="1"/>
  <c r="AT81" i="6" s="1"/>
  <c r="AR77" i="6"/>
  <c r="AT77" i="6" s="1"/>
  <c r="AR69" i="6"/>
  <c r="AT69" i="6" s="1"/>
  <c r="Z104" i="6"/>
  <c r="AJ26" i="6"/>
  <c r="AR26" i="6" s="1"/>
  <c r="AT26" i="6" s="1"/>
  <c r="AR23" i="6"/>
  <c r="AT23" i="6" s="1"/>
  <c r="AR12" i="6"/>
  <c r="AT12" i="6" s="1"/>
  <c r="AK10" i="6"/>
  <c r="AR15" i="6"/>
  <c r="AT15" i="6" s="1"/>
  <c r="AR402" i="6"/>
  <c r="AT402" i="6" s="1"/>
  <c r="X417" i="6"/>
  <c r="AD417" i="6"/>
  <c r="AC358" i="6"/>
  <c r="AJ358" i="6"/>
  <c r="AR352" i="6"/>
  <c r="AT352" i="6" s="1"/>
  <c r="AR348" i="6"/>
  <c r="AT348" i="6" s="1"/>
  <c r="AJ334" i="6"/>
  <c r="AR343" i="6"/>
  <c r="AT343" i="6" s="1"/>
  <c r="AR347" i="6"/>
  <c r="AT347" i="6" s="1"/>
  <c r="AB312" i="6"/>
  <c r="AN312" i="6"/>
  <c r="AE352" i="6"/>
  <c r="AJ332" i="6"/>
  <c r="AR301" i="6"/>
  <c r="AT301" i="6" s="1"/>
  <c r="AR303" i="6"/>
  <c r="AT303" i="6" s="1"/>
  <c r="AR285" i="6"/>
  <c r="AT285" i="6" s="1"/>
  <c r="AR269" i="6"/>
  <c r="AT269" i="6" s="1"/>
  <c r="AI285" i="6"/>
  <c r="AA285" i="6"/>
  <c r="AR262" i="6"/>
  <c r="AT262" i="6" s="1"/>
  <c r="AN324" i="6"/>
  <c r="AR324" i="6" s="1"/>
  <c r="AT324" i="6" s="1"/>
  <c r="AJ260" i="6"/>
  <c r="AR260" i="6" s="1"/>
  <c r="AT260" i="6" s="1"/>
  <c r="AJ254" i="6"/>
  <c r="AB254" i="6"/>
  <c r="X254" i="6"/>
  <c r="AR217" i="6"/>
  <c r="AT217" i="6" s="1"/>
  <c r="AO260" i="6"/>
  <c r="AA222" i="6"/>
  <c r="AD243" i="6"/>
  <c r="AR229" i="6"/>
  <c r="AT229" i="6" s="1"/>
  <c r="AR205" i="6"/>
  <c r="AT205" i="6" s="1"/>
  <c r="AR153" i="6"/>
  <c r="AT153" i="6" s="1"/>
  <c r="AC220" i="6"/>
  <c r="AD184" i="6"/>
  <c r="AR195" i="6"/>
  <c r="AT195" i="6" s="1"/>
  <c r="AC184" i="6"/>
  <c r="AR184" i="6" s="1"/>
  <c r="AT184" i="6" s="1"/>
  <c r="AL161" i="6"/>
  <c r="AH154" i="6"/>
  <c r="Z154" i="6"/>
  <c r="AR154" i="6" s="1"/>
  <c r="AT154" i="6" s="1"/>
  <c r="AR244" i="6"/>
  <c r="AT244" i="6" s="1"/>
  <c r="AR149" i="6"/>
  <c r="AT149" i="6" s="1"/>
  <c r="AJ243" i="6"/>
  <c r="AR183" i="6"/>
  <c r="AT183" i="6" s="1"/>
  <c r="AJ155" i="6"/>
  <c r="AR155" i="6" s="1"/>
  <c r="AT155" i="6" s="1"/>
  <c r="AM192" i="6"/>
  <c r="AR116" i="6"/>
  <c r="AT116" i="6" s="1"/>
  <c r="AR109" i="6"/>
  <c r="AT109" i="6" s="1"/>
  <c r="AR85" i="6"/>
  <c r="AT85" i="6" s="1"/>
  <c r="AR110" i="6"/>
  <c r="AT110" i="6" s="1"/>
  <c r="AB140" i="6"/>
  <c r="AR140" i="6" s="1"/>
  <c r="AT140" i="6" s="1"/>
  <c r="AH106" i="6"/>
  <c r="AR41" i="6"/>
  <c r="AT41" i="6" s="1"/>
  <c r="AR112" i="6"/>
  <c r="AT112" i="6" s="1"/>
  <c r="AN49" i="6"/>
  <c r="X49" i="6"/>
  <c r="Y82" i="6"/>
  <c r="Z82" i="6"/>
  <c r="AD49" i="6"/>
  <c r="AR61" i="6"/>
  <c r="AT61" i="6" s="1"/>
  <c r="AD35" i="6"/>
  <c r="AL27" i="6"/>
  <c r="AA24" i="6"/>
  <c r="AR24" i="6" s="1"/>
  <c r="AT24" i="6" s="1"/>
  <c r="Z33" i="6"/>
  <c r="AR33" i="6" s="1"/>
  <c r="AT33" i="6" s="1"/>
  <c r="AN30" i="6"/>
  <c r="AO92" i="6"/>
  <c r="AR92" i="6" s="1"/>
  <c r="AT92" i="6" s="1"/>
  <c r="AR418" i="6"/>
  <c r="AT418" i="6" s="1"/>
  <c r="AL417" i="6"/>
  <c r="AR414" i="6"/>
  <c r="AT414" i="6" s="1"/>
  <c r="AR404" i="6"/>
  <c r="AT404" i="6" s="1"/>
  <c r="AB415" i="6"/>
  <c r="AR415" i="6" s="1"/>
  <c r="AT415" i="6" s="1"/>
  <c r="Z359" i="6"/>
  <c r="AR359" i="6" s="1"/>
  <c r="AT359" i="6" s="1"/>
  <c r="AO359" i="6"/>
  <c r="AC342" i="6"/>
  <c r="AR342" i="6" s="1"/>
  <c r="AT342" i="6" s="1"/>
  <c r="AA336" i="6"/>
  <c r="AK336" i="6"/>
  <c r="Z336" i="6"/>
  <c r="AO344" i="6"/>
  <c r="AB334" i="6"/>
  <c r="AR334" i="6" s="1"/>
  <c r="AT334" i="6" s="1"/>
  <c r="AR325" i="6"/>
  <c r="AT325" i="6" s="1"/>
  <c r="AR305" i="6"/>
  <c r="AT305" i="6" s="1"/>
  <c r="AR306" i="6"/>
  <c r="AT306" i="6" s="1"/>
  <c r="AR346" i="6"/>
  <c r="AT346" i="6" s="1"/>
  <c r="AN332" i="6"/>
  <c r="AC332" i="6"/>
  <c r="AE276" i="6"/>
  <c r="AR276" i="6" s="1"/>
  <c r="AT276" i="6" s="1"/>
  <c r="AR270" i="6"/>
  <c r="AT270" i="6" s="1"/>
  <c r="AR311" i="6"/>
  <c r="AT311" i="6" s="1"/>
  <c r="AR264" i="6"/>
  <c r="AT264" i="6" s="1"/>
  <c r="AR248" i="6"/>
  <c r="AT248" i="6" s="1"/>
  <c r="AR216" i="6"/>
  <c r="AT216" i="6" s="1"/>
  <c r="AD247" i="6"/>
  <c r="AR247" i="6" s="1"/>
  <c r="AT247" i="6" s="1"/>
  <c r="AR209" i="6"/>
  <c r="AT209" i="6" s="1"/>
  <c r="AR251" i="6"/>
  <c r="AT251" i="6" s="1"/>
  <c r="AC250" i="6"/>
  <c r="AR221" i="6"/>
  <c r="AT221" i="6" s="1"/>
  <c r="AI216" i="6"/>
  <c r="AR193" i="6"/>
  <c r="AT193" i="6" s="1"/>
  <c r="AR162" i="6"/>
  <c r="AT162" i="6" s="1"/>
  <c r="AR187" i="6"/>
  <c r="AT187" i="6" s="1"/>
  <c r="AC176" i="6"/>
  <c r="AR176" i="6" s="1"/>
  <c r="AT176" i="6" s="1"/>
  <c r="AR188" i="6"/>
  <c r="AT188" i="6" s="1"/>
  <c r="AJ184" i="6"/>
  <c r="AR156" i="6"/>
  <c r="AT156" i="6" s="1"/>
  <c r="AI160" i="6"/>
  <c r="AR160" i="6" s="1"/>
  <c r="AT160" i="6" s="1"/>
  <c r="AR280" i="6"/>
  <c r="AT280" i="6" s="1"/>
  <c r="AJ251" i="6"/>
  <c r="AR175" i="6"/>
  <c r="AT175" i="6" s="1"/>
  <c r="AJ138" i="6"/>
  <c r="AN138" i="6"/>
  <c r="AR101" i="6"/>
  <c r="AT101" i="6" s="1"/>
  <c r="AK124" i="6"/>
  <c r="AR124" i="6" s="1"/>
  <c r="AT124" i="6" s="1"/>
  <c r="AA106" i="6"/>
  <c r="AR106" i="6" s="1"/>
  <c r="AT106" i="6" s="1"/>
  <c r="AN190" i="6"/>
  <c r="AR190" i="6" s="1"/>
  <c r="AT190" i="6" s="1"/>
  <c r="AB132" i="6"/>
  <c r="AR132" i="6" s="1"/>
  <c r="AT132" i="6" s="1"/>
  <c r="AR137" i="6"/>
  <c r="AT137" i="6" s="1"/>
  <c r="AR58" i="6"/>
  <c r="AT58" i="6" s="1"/>
  <c r="AE128" i="6"/>
  <c r="AR128" i="6" s="1"/>
  <c r="AT128" i="6" s="1"/>
  <c r="AD65" i="6"/>
  <c r="AR65" i="6" s="1"/>
  <c r="AT65" i="6" s="1"/>
  <c r="AR53" i="6"/>
  <c r="AT53" i="6" s="1"/>
  <c r="AJ49" i="6"/>
  <c r="AR104" i="6"/>
  <c r="AT104" i="6" s="1"/>
  <c r="AD76" i="6"/>
  <c r="AR76" i="6" s="1"/>
  <c r="AT76" i="6" s="1"/>
  <c r="AI33" i="6"/>
  <c r="AR71" i="6"/>
  <c r="AT71" i="6" s="1"/>
  <c r="AR78" i="6"/>
  <c r="AT78" i="6" s="1"/>
  <c r="AE11" i="6"/>
  <c r="AR11" i="6" s="1"/>
  <c r="AT11" i="6" s="1"/>
  <c r="AR13" i="6"/>
  <c r="AT13" i="6" s="1"/>
  <c r="AR14" i="6"/>
  <c r="AT14" i="6" s="1"/>
  <c r="AO108" i="6"/>
  <c r="AR108" i="6" s="1"/>
  <c r="AT108" i="6" s="1"/>
  <c r="Z17" i="6"/>
  <c r="AR17" i="6" s="1"/>
  <c r="AT17" i="6" s="1"/>
  <c r="AO10" i="6"/>
  <c r="AH387" i="2"/>
  <c r="AJ387" i="2" s="1"/>
  <c r="AD361" i="2"/>
  <c r="AC361" i="2"/>
  <c r="AH255" i="2"/>
  <c r="AJ255" i="2" s="1"/>
  <c r="AH422" i="2"/>
  <c r="AJ422" i="2" s="1"/>
  <c r="AC417" i="2"/>
  <c r="U417" i="2"/>
  <c r="X417" i="2"/>
  <c r="AB417" i="2"/>
  <c r="T417" i="2"/>
  <c r="AD417" i="2"/>
  <c r="AH410" i="2"/>
  <c r="AJ410" i="2" s="1"/>
  <c r="AH423" i="2"/>
  <c r="AJ423" i="2" s="1"/>
  <c r="AH407" i="2"/>
  <c r="AJ407" i="2" s="1"/>
  <c r="T372" i="2"/>
  <c r="AB372" i="2"/>
  <c r="AH354" i="2"/>
  <c r="AJ354" i="2" s="1"/>
  <c r="AH331" i="2"/>
  <c r="AJ331" i="2" s="1"/>
  <c r="AD382" i="2"/>
  <c r="AH391" i="2"/>
  <c r="AJ391" i="2" s="1"/>
  <c r="AC332" i="2"/>
  <c r="Y358" i="2"/>
  <c r="AH358" i="2" s="1"/>
  <c r="AJ358" i="2" s="1"/>
  <c r="AH351" i="2"/>
  <c r="AJ351" i="2" s="1"/>
  <c r="AH344" i="2"/>
  <c r="AJ344" i="2" s="1"/>
  <c r="V317" i="2"/>
  <c r="AB317" i="2"/>
  <c r="AE328" i="2"/>
  <c r="S304" i="2"/>
  <c r="AH304" i="2" s="1"/>
  <c r="AJ304" i="2" s="1"/>
  <c r="AH292" i="2"/>
  <c r="AJ292" i="2" s="1"/>
  <c r="AC300" i="2"/>
  <c r="AC276" i="2"/>
  <c r="AB276" i="2"/>
  <c r="T276" i="2"/>
  <c r="AH276" i="2" s="1"/>
  <c r="AJ276" i="2" s="1"/>
  <c r="V237" i="2"/>
  <c r="U261" i="2"/>
  <c r="X219" i="2"/>
  <c r="W219" i="2"/>
  <c r="T211" i="2"/>
  <c r="S211" i="2"/>
  <c r="X195" i="2"/>
  <c r="AC195" i="2"/>
  <c r="AB187" i="2"/>
  <c r="X187" i="2"/>
  <c r="AE187" i="2"/>
  <c r="AB171" i="2"/>
  <c r="X171" i="2"/>
  <c r="W171" i="2"/>
  <c r="AH216" i="2"/>
  <c r="AJ216" i="2" s="1"/>
  <c r="AH200" i="2"/>
  <c r="AJ200" i="2" s="1"/>
  <c r="AH184" i="2"/>
  <c r="AJ184" i="2" s="1"/>
  <c r="V211" i="2"/>
  <c r="AB201" i="2"/>
  <c r="AC185" i="2"/>
  <c r="AA155" i="2"/>
  <c r="Z214" i="2"/>
  <c r="X167" i="2"/>
  <c r="AC167" i="2"/>
  <c r="AB167" i="2"/>
  <c r="AB102" i="2"/>
  <c r="U102" i="2"/>
  <c r="AH102" i="2" s="1"/>
  <c r="AJ102" i="2" s="1"/>
  <c r="U128" i="2"/>
  <c r="V28" i="2"/>
  <c r="AH67" i="2"/>
  <c r="AJ67" i="2" s="1"/>
  <c r="AH63" i="2"/>
  <c r="AJ63" i="2" s="1"/>
  <c r="AC60" i="2"/>
  <c r="V54" i="2"/>
  <c r="V46" i="2"/>
  <c r="AD18" i="2"/>
  <c r="AH18" i="2" s="1"/>
  <c r="AJ18" i="2" s="1"/>
  <c r="AB54" i="2"/>
  <c r="AH236" i="2"/>
  <c r="AJ236" i="2" s="1"/>
  <c r="AE190" i="2"/>
  <c r="U161" i="2"/>
  <c r="AB161" i="2"/>
  <c r="Y83" i="2"/>
  <c r="AH83" i="2" s="1"/>
  <c r="AJ83" i="2" s="1"/>
  <c r="AH381" i="2"/>
  <c r="AJ381" i="2" s="1"/>
  <c r="AH373" i="2"/>
  <c r="AJ373" i="2" s="1"/>
  <c r="AH365" i="2"/>
  <c r="AJ365" i="2" s="1"/>
  <c r="AC369" i="2"/>
  <c r="V369" i="2"/>
  <c r="AA338" i="2"/>
  <c r="U338" i="2"/>
  <c r="AH338" i="2" s="1"/>
  <c r="AJ338" i="2" s="1"/>
  <c r="AA405" i="2"/>
  <c r="U349" i="2"/>
  <c r="AB349" i="2"/>
  <c r="AH340" i="2"/>
  <c r="AJ340" i="2" s="1"/>
  <c r="AC333" i="2"/>
  <c r="AH333" i="2" s="1"/>
  <c r="AJ333" i="2" s="1"/>
  <c r="AH287" i="2"/>
  <c r="AJ287" i="2" s="1"/>
  <c r="AH279" i="2"/>
  <c r="AJ279" i="2" s="1"/>
  <c r="AH263" i="2"/>
  <c r="AJ263" i="2" s="1"/>
  <c r="AC256" i="2"/>
  <c r="AB256" i="2"/>
  <c r="X256" i="2"/>
  <c r="AH246" i="2"/>
  <c r="AJ246" i="2" s="1"/>
  <c r="AH290" i="2"/>
  <c r="AJ290" i="2" s="1"/>
  <c r="AC261" i="2"/>
  <c r="Y243" i="2"/>
  <c r="AC218" i="2"/>
  <c r="S218" i="2"/>
  <c r="X186" i="2"/>
  <c r="AC206" i="2"/>
  <c r="T198" i="2"/>
  <c r="AH172" i="2"/>
  <c r="AJ172" i="2" s="1"/>
  <c r="AB130" i="2"/>
  <c r="T114" i="2"/>
  <c r="AC114" i="2"/>
  <c r="X99" i="2"/>
  <c r="AE116" i="2"/>
  <c r="AH116" i="2" s="1"/>
  <c r="AJ116" i="2" s="1"/>
  <c r="AH6" i="2"/>
  <c r="AJ6" i="2" s="1"/>
  <c r="AH27" i="2"/>
  <c r="AJ27" i="2" s="1"/>
  <c r="AH11" i="2"/>
  <c r="AJ11" i="2" s="1"/>
  <c r="AC84" i="2"/>
  <c r="X34" i="2"/>
  <c r="AC135" i="2"/>
  <c r="AB59" i="2"/>
  <c r="AB38" i="2"/>
  <c r="AH38" i="2" s="1"/>
  <c r="AJ38" i="2" s="1"/>
  <c r="AH91" i="2"/>
  <c r="AJ91" i="2" s="1"/>
  <c r="AJ402" i="2"/>
  <c r="AC421" i="2"/>
  <c r="X421" i="2"/>
  <c r="AD421" i="2"/>
  <c r="AB421" i="2"/>
  <c r="T421" i="2"/>
  <c r="AH427" i="2"/>
  <c r="AJ427" i="2" s="1"/>
  <c r="AH411" i="2"/>
  <c r="AJ411" i="2" s="1"/>
  <c r="T368" i="2"/>
  <c r="U368" i="2"/>
  <c r="AA417" i="2"/>
  <c r="Z377" i="2"/>
  <c r="T366" i="2"/>
  <c r="AH370" i="2"/>
  <c r="AJ370" i="2" s="1"/>
  <c r="Z368" i="2"/>
  <c r="S346" i="2"/>
  <c r="AC346" i="2"/>
  <c r="AH374" i="2"/>
  <c r="AJ374" i="2" s="1"/>
  <c r="V350" i="2"/>
  <c r="AH350" i="2" s="1"/>
  <c r="AJ350" i="2" s="1"/>
  <c r="AH355" i="2"/>
  <c r="AJ355" i="2" s="1"/>
  <c r="AD330" i="2"/>
  <c r="AH330" i="2" s="1"/>
  <c r="AJ330" i="2" s="1"/>
  <c r="V348" i="2"/>
  <c r="AH348" i="2" s="1"/>
  <c r="AJ348" i="2" s="1"/>
  <c r="T337" i="2"/>
  <c r="AA328" i="2"/>
  <c r="Z332" i="2"/>
  <c r="AD332" i="2"/>
  <c r="AH308" i="2"/>
  <c r="AJ308" i="2" s="1"/>
  <c r="X324" i="2"/>
  <c r="T341" i="2"/>
  <c r="AE312" i="2"/>
  <c r="AC280" i="2"/>
  <c r="AB280" i="2"/>
  <c r="T280" i="2"/>
  <c r="AE264" i="2"/>
  <c r="AB264" i="2"/>
  <c r="T264" i="2"/>
  <c r="AH281" i="2"/>
  <c r="AJ281" i="2" s="1"/>
  <c r="AH277" i="2"/>
  <c r="AJ277" i="2" s="1"/>
  <c r="AH273" i="2"/>
  <c r="AJ273" i="2" s="1"/>
  <c r="AH269" i="2"/>
  <c r="AJ269" i="2" s="1"/>
  <c r="AH265" i="2"/>
  <c r="AJ265" i="2" s="1"/>
  <c r="AH259" i="2"/>
  <c r="AJ259" i="2" s="1"/>
  <c r="AH253" i="2"/>
  <c r="AJ253" i="2" s="1"/>
  <c r="AH239" i="2"/>
  <c r="AJ239" i="2" s="1"/>
  <c r="AH235" i="2"/>
  <c r="AJ235" i="2" s="1"/>
  <c r="AD227" i="2"/>
  <c r="AH204" i="2"/>
  <c r="AJ204" i="2" s="1"/>
  <c r="AH188" i="2"/>
  <c r="AJ188" i="2" s="1"/>
  <c r="U198" i="2"/>
  <c r="U182" i="2"/>
  <c r="T210" i="2"/>
  <c r="AB190" i="2"/>
  <c r="AH190" i="2" s="1"/>
  <c r="AJ190" i="2" s="1"/>
  <c r="U224" i="2"/>
  <c r="AH224" i="2" s="1"/>
  <c r="AJ224" i="2" s="1"/>
  <c r="AA213" i="2"/>
  <c r="AE213" i="2"/>
  <c r="AE189" i="2"/>
  <c r="AE155" i="2"/>
  <c r="AH205" i="2"/>
  <c r="AJ205" i="2" s="1"/>
  <c r="T197" i="2"/>
  <c r="AH197" i="2" s="1"/>
  <c r="AJ197" i="2" s="1"/>
  <c r="AA178" i="2"/>
  <c r="AB99" i="2"/>
  <c r="AB94" i="2"/>
  <c r="T94" i="2"/>
  <c r="AH94" i="2" s="1"/>
  <c r="AJ94" i="2" s="1"/>
  <c r="AC94" i="2"/>
  <c r="AH136" i="2"/>
  <c r="AJ136" i="2" s="1"/>
  <c r="Y168" i="2"/>
  <c r="AH80" i="2"/>
  <c r="AJ80" i="2" s="1"/>
  <c r="AH50" i="2"/>
  <c r="AJ50" i="2" s="1"/>
  <c r="AH10" i="2"/>
  <c r="AJ10" i="2" s="1"/>
  <c r="AH112" i="2"/>
  <c r="AJ112" i="2" s="1"/>
  <c r="AH75" i="2"/>
  <c r="AJ75" i="2" s="1"/>
  <c r="AB32" i="2"/>
  <c r="AH40" i="2"/>
  <c r="AJ40" i="2" s="1"/>
  <c r="AH36" i="2"/>
  <c r="AJ36" i="2" s="1"/>
  <c r="S28" i="2"/>
  <c r="AH131" i="2"/>
  <c r="AJ131" i="2" s="1"/>
  <c r="AB46" i="2"/>
  <c r="AH76" i="2"/>
  <c r="AJ76" i="2" s="1"/>
  <c r="AH71" i="2"/>
  <c r="AJ71" i="2" s="1"/>
  <c r="AH23" i="2"/>
  <c r="AJ23" i="2" s="1"/>
  <c r="AC401" i="2"/>
  <c r="U401" i="2"/>
  <c r="AB401" i="2"/>
  <c r="T401" i="2"/>
  <c r="AH390" i="2"/>
  <c r="AJ390" i="2" s="1"/>
  <c r="AC356" i="2"/>
  <c r="T382" i="2"/>
  <c r="V336" i="2"/>
  <c r="AH312" i="2"/>
  <c r="AJ312" i="2" s="1"/>
  <c r="AH285" i="2"/>
  <c r="AJ285" i="2" s="1"/>
  <c r="U225" i="2"/>
  <c r="S225" i="2"/>
  <c r="AH240" i="2"/>
  <c r="AJ240" i="2" s="1"/>
  <c r="AH159" i="2"/>
  <c r="AJ159" i="2" s="1"/>
  <c r="X213" i="2"/>
  <c r="AH213" i="2" s="1"/>
  <c r="AJ213" i="2" s="1"/>
  <c r="X161" i="2"/>
  <c r="AC139" i="2"/>
  <c r="Y139" i="2"/>
  <c r="AB126" i="2"/>
  <c r="AC126" i="2"/>
  <c r="U126" i="2"/>
  <c r="AB106" i="2"/>
  <c r="T106" i="2"/>
  <c r="AH106" i="2" s="1"/>
  <c r="AJ106" i="2" s="1"/>
  <c r="U106" i="2"/>
  <c r="AJ127" i="2"/>
  <c r="AH119" i="2"/>
  <c r="AJ119" i="2" s="1"/>
  <c r="AH111" i="2"/>
  <c r="AJ111" i="2" s="1"/>
  <c r="AH103" i="2"/>
  <c r="AJ103" i="2" s="1"/>
  <c r="AH95" i="2"/>
  <c r="AJ95" i="2" s="1"/>
  <c r="AH87" i="2"/>
  <c r="AJ87" i="2" s="1"/>
  <c r="AH79" i="2"/>
  <c r="AJ79" i="2" s="1"/>
  <c r="AB151" i="2"/>
  <c r="AH151" i="2" s="1"/>
  <c r="AJ151" i="2" s="1"/>
  <c r="AE32" i="2"/>
  <c r="AH143" i="2"/>
  <c r="AJ143" i="2" s="1"/>
  <c r="AH15" i="2"/>
  <c r="AJ15" i="2" s="1"/>
  <c r="AC397" i="2"/>
  <c r="T397" i="2"/>
  <c r="AB397" i="2"/>
  <c r="U352" i="2"/>
  <c r="T352" i="2"/>
  <c r="AH107" i="2"/>
  <c r="AJ107" i="2" s="1"/>
  <c r="AH415" i="2"/>
  <c r="AJ415" i="2" s="1"/>
  <c r="AH399" i="2"/>
  <c r="AJ399" i="2" s="1"/>
  <c r="AA413" i="2"/>
  <c r="AH413" i="2" s="1"/>
  <c r="AJ413" i="2" s="1"/>
  <c r="AC364" i="2"/>
  <c r="AB364" i="2"/>
  <c r="T364" i="2"/>
  <c r="U366" i="2"/>
  <c r="T356" i="2"/>
  <c r="AH356" i="2" s="1"/>
  <c r="AJ356" i="2" s="1"/>
  <c r="T378" i="2"/>
  <c r="AH378" i="2" s="1"/>
  <c r="AJ378" i="2" s="1"/>
  <c r="AB369" i="2"/>
  <c r="AA386" i="2"/>
  <c r="AA332" i="2"/>
  <c r="AB346" i="2"/>
  <c r="X321" i="2"/>
  <c r="AD321" i="2"/>
  <c r="V321" i="2"/>
  <c r="AB321" i="2"/>
  <c r="T321" i="2"/>
  <c r="AA321" i="2"/>
  <c r="U341" i="2"/>
  <c r="AE324" i="2"/>
  <c r="AE325" i="2"/>
  <c r="AH325" i="2" s="1"/>
  <c r="AJ325" i="2" s="1"/>
  <c r="AC252" i="2"/>
  <c r="U252" i="2"/>
  <c r="T252" i="2"/>
  <c r="AH289" i="2"/>
  <c r="AJ289" i="2" s="1"/>
  <c r="AC231" i="2"/>
  <c r="AH231" i="2" s="1"/>
  <c r="AJ231" i="2" s="1"/>
  <c r="AA227" i="2"/>
  <c r="AH227" i="2" s="1"/>
  <c r="AJ227" i="2" s="1"/>
  <c r="Y218" i="2"/>
  <c r="Y210" i="2"/>
  <c r="Z229" i="2"/>
  <c r="AH229" i="2" s="1"/>
  <c r="AJ229" i="2" s="1"/>
  <c r="AB215" i="2"/>
  <c r="S215" i="2"/>
  <c r="AC215" i="2"/>
  <c r="T199" i="2"/>
  <c r="AH199" i="2" s="1"/>
  <c r="AJ199" i="2" s="1"/>
  <c r="AA199" i="2"/>
  <c r="AB191" i="2"/>
  <c r="T191" i="2"/>
  <c r="AE191" i="2"/>
  <c r="AB183" i="2"/>
  <c r="T183" i="2"/>
  <c r="AC183" i="2"/>
  <c r="AH208" i="2"/>
  <c r="AJ208" i="2" s="1"/>
  <c r="AH192" i="2"/>
  <c r="AJ192" i="2" s="1"/>
  <c r="AE185" i="2"/>
  <c r="AH185" i="2" s="1"/>
  <c r="AJ185" i="2" s="1"/>
  <c r="AC178" i="2"/>
  <c r="T168" i="2"/>
  <c r="AB189" i="2"/>
  <c r="AH189" i="2" s="1"/>
  <c r="AJ189" i="2" s="1"/>
  <c r="AH149" i="2"/>
  <c r="AJ149" i="2" s="1"/>
  <c r="AC153" i="2"/>
  <c r="U153" i="2"/>
  <c r="AH153" i="2" s="1"/>
  <c r="AJ153" i="2" s="1"/>
  <c r="T153" i="2"/>
  <c r="AH232" i="2"/>
  <c r="AJ232" i="2" s="1"/>
  <c r="AB155" i="2"/>
  <c r="AH155" i="2" s="1"/>
  <c r="AJ155" i="2" s="1"/>
  <c r="AE145" i="2"/>
  <c r="AH145" i="2" s="1"/>
  <c r="AJ145" i="2" s="1"/>
  <c r="AB118" i="2"/>
  <c r="AD118" i="2"/>
  <c r="V118" i="2"/>
  <c r="AB86" i="2"/>
  <c r="T86" i="2"/>
  <c r="AE86" i="2"/>
  <c r="AD86" i="2"/>
  <c r="X114" i="2"/>
  <c r="AH135" i="2"/>
  <c r="AJ135" i="2" s="1"/>
  <c r="AH128" i="2"/>
  <c r="AJ128" i="2" s="1"/>
  <c r="AH3" i="2"/>
  <c r="AJ3" i="2" s="1"/>
  <c r="AH7" i="2"/>
  <c r="AJ7" i="2" s="1"/>
  <c r="S84" i="2"/>
  <c r="AH84" i="2" s="1"/>
  <c r="AJ84" i="2" s="1"/>
  <c r="AH44" i="2"/>
  <c r="AJ44" i="2" s="1"/>
  <c r="AA104" i="2"/>
  <c r="AH104" i="2" s="1"/>
  <c r="AJ104" i="2" s="1"/>
  <c r="V57" i="2"/>
  <c r="AH57" i="2" s="1"/>
  <c r="AJ57" i="2" s="1"/>
  <c r="V42" i="2"/>
  <c r="AB30" i="2"/>
  <c r="AH30" i="2" s="1"/>
  <c r="AJ30" i="2" s="1"/>
  <c r="AC405" i="2"/>
  <c r="U405" i="2"/>
  <c r="AD405" i="2"/>
  <c r="AB405" i="2"/>
  <c r="T405" i="2"/>
  <c r="AH244" i="2"/>
  <c r="AJ244" i="2" s="1"/>
  <c r="AH147" i="2"/>
  <c r="AJ147" i="2" s="1"/>
  <c r="AH425" i="2"/>
  <c r="AJ425" i="2" s="1"/>
  <c r="AC429" i="2"/>
  <c r="U429" i="2"/>
  <c r="AB429" i="2"/>
  <c r="T429" i="2"/>
  <c r="AH393" i="2"/>
  <c r="AJ393" i="2" s="1"/>
  <c r="AH389" i="2"/>
  <c r="AJ389" i="2" s="1"/>
  <c r="T361" i="2"/>
  <c r="AH385" i="2"/>
  <c r="AJ385" i="2" s="1"/>
  <c r="AH377" i="2"/>
  <c r="AJ377" i="2" s="1"/>
  <c r="AH369" i="2"/>
  <c r="AJ369" i="2" s="1"/>
  <c r="AC342" i="2"/>
  <c r="AA342" i="2"/>
  <c r="AH383" i="2"/>
  <c r="AJ383" i="2" s="1"/>
  <c r="T386" i="2"/>
  <c r="X386" i="2"/>
  <c r="AH336" i="2"/>
  <c r="AJ336" i="2" s="1"/>
  <c r="AC316" i="2"/>
  <c r="AH316" i="2" s="1"/>
  <c r="AJ316" i="2" s="1"/>
  <c r="T332" i="2"/>
  <c r="AH332" i="2" s="1"/>
  <c r="AJ332" i="2" s="1"/>
  <c r="AH320" i="2"/>
  <c r="AJ320" i="2" s="1"/>
  <c r="Y317" i="2"/>
  <c r="AH283" i="2"/>
  <c r="AJ283" i="2" s="1"/>
  <c r="AH275" i="2"/>
  <c r="AJ275" i="2" s="1"/>
  <c r="AH267" i="2"/>
  <c r="AJ267" i="2" s="1"/>
  <c r="AH296" i="2"/>
  <c r="AJ296" i="2" s="1"/>
  <c r="AH257" i="2"/>
  <c r="AJ257" i="2" s="1"/>
  <c r="AH254" i="2"/>
  <c r="AJ254" i="2" s="1"/>
  <c r="AH247" i="2"/>
  <c r="AJ247" i="2" s="1"/>
  <c r="V223" i="2"/>
  <c r="AH223" i="2" s="1"/>
  <c r="AJ223" i="2" s="1"/>
  <c r="X182" i="2"/>
  <c r="AC202" i="2"/>
  <c r="AH202" i="2" s="1"/>
  <c r="AJ202" i="2" s="1"/>
  <c r="AC194" i="2"/>
  <c r="AC186" i="2"/>
  <c r="AE219" i="2"/>
  <c r="T214" i="2"/>
  <c r="AH214" i="2" s="1"/>
  <c r="AJ214" i="2" s="1"/>
  <c r="W201" i="2"/>
  <c r="AH201" i="2" s="1"/>
  <c r="AJ201" i="2" s="1"/>
  <c r="AH170" i="2"/>
  <c r="AJ170" i="2" s="1"/>
  <c r="AH176" i="2"/>
  <c r="AJ176" i="2" s="1"/>
  <c r="AH217" i="2"/>
  <c r="AJ217" i="2" s="1"/>
  <c r="AC169" i="2"/>
  <c r="T169" i="2"/>
  <c r="AH169" i="2" s="1"/>
  <c r="AJ169" i="2" s="1"/>
  <c r="AB157" i="2"/>
  <c r="T157" i="2"/>
  <c r="U139" i="2"/>
  <c r="AH118" i="2"/>
  <c r="AJ118" i="2" s="1"/>
  <c r="AH110" i="2"/>
  <c r="AJ110" i="2" s="1"/>
  <c r="AH132" i="2"/>
  <c r="AJ132" i="2" s="1"/>
  <c r="AE141" i="2"/>
  <c r="Y137" i="2"/>
  <c r="T137" i="2"/>
  <c r="T120" i="2"/>
  <c r="AH120" i="2" s="1"/>
  <c r="AJ120" i="2" s="1"/>
  <c r="AH100" i="2"/>
  <c r="AJ100" i="2" s="1"/>
  <c r="Y60" i="2"/>
  <c r="AH54" i="2"/>
  <c r="AJ54" i="2" s="1"/>
  <c r="AH42" i="2"/>
  <c r="AJ42" i="2" s="1"/>
  <c r="AH22" i="2"/>
  <c r="AJ22" i="2" s="1"/>
  <c r="AH19" i="2"/>
  <c r="AJ19" i="2" s="1"/>
  <c r="AH48" i="2"/>
  <c r="AJ48" i="2" s="1"/>
  <c r="AE34" i="2"/>
  <c r="T206" i="2"/>
  <c r="AH206" i="2" s="1"/>
  <c r="AJ206" i="2" s="1"/>
  <c r="AB122" i="2"/>
  <c r="AC122" i="2"/>
  <c r="T90" i="2"/>
  <c r="AD90" i="2"/>
  <c r="AC90" i="2"/>
  <c r="AH115" i="2"/>
  <c r="AJ115" i="2" s="1"/>
  <c r="S405" i="2"/>
  <c r="AH418" i="2"/>
  <c r="AJ418" i="2" s="1"/>
  <c r="AH419" i="2"/>
  <c r="AJ419" i="2" s="1"/>
  <c r="AH403" i="2"/>
  <c r="AJ403" i="2" s="1"/>
  <c r="T376" i="2"/>
  <c r="AB376" i="2"/>
  <c r="AA376" i="2"/>
  <c r="W360" i="2"/>
  <c r="U360" i="2"/>
  <c r="T360" i="2"/>
  <c r="AH360" i="2" s="1"/>
  <c r="AJ360" i="2" s="1"/>
  <c r="AA409" i="2"/>
  <c r="AH409" i="2" s="1"/>
  <c r="AJ409" i="2" s="1"/>
  <c r="AH362" i="2"/>
  <c r="AJ362" i="2" s="1"/>
  <c r="AA352" i="2"/>
  <c r="AH353" i="2"/>
  <c r="AJ353" i="2" s="1"/>
  <c r="AH318" i="2"/>
  <c r="AJ318" i="2" s="1"/>
  <c r="AH337" i="2"/>
  <c r="AJ337" i="2" s="1"/>
  <c r="AC272" i="2"/>
  <c r="AB272" i="2"/>
  <c r="T272" i="2"/>
  <c r="AB260" i="2"/>
  <c r="X260" i="2"/>
  <c r="W260" i="2"/>
  <c r="AB241" i="2"/>
  <c r="T241" i="2"/>
  <c r="AJ268" i="2"/>
  <c r="T248" i="2"/>
  <c r="S248" i="2"/>
  <c r="AH248" i="2" s="1"/>
  <c r="AJ248" i="2" s="1"/>
  <c r="W237" i="2"/>
  <c r="AD233" i="2"/>
  <c r="AH233" i="2" s="1"/>
  <c r="AJ233" i="2" s="1"/>
  <c r="AD243" i="2"/>
  <c r="AH243" i="2" s="1"/>
  <c r="AJ243" i="2" s="1"/>
  <c r="T179" i="2"/>
  <c r="AC179" i="2"/>
  <c r="AA179" i="2"/>
  <c r="AH212" i="2"/>
  <c r="AJ212" i="2" s="1"/>
  <c r="AH196" i="2"/>
  <c r="AJ196" i="2" s="1"/>
  <c r="U194" i="2"/>
  <c r="AH180" i="2"/>
  <c r="AJ180" i="2" s="1"/>
  <c r="AC163" i="2"/>
  <c r="AB163" i="2"/>
  <c r="AH193" i="2"/>
  <c r="AJ193" i="2" s="1"/>
  <c r="AH126" i="2"/>
  <c r="AJ126" i="2" s="1"/>
  <c r="AA139" i="2"/>
  <c r="AA130" i="2"/>
  <c r="AH130" i="2" s="1"/>
  <c r="AJ130" i="2" s="1"/>
  <c r="AE14" i="2"/>
  <c r="AC14" i="2"/>
  <c r="AH68" i="2"/>
  <c r="AJ68" i="2" s="1"/>
  <c r="AH52" i="2"/>
  <c r="AJ52" i="2" s="1"/>
  <c r="AH108" i="2"/>
  <c r="AJ108" i="2" s="1"/>
  <c r="AB60" i="2"/>
  <c r="AH59" i="2"/>
  <c r="AJ59" i="2" s="1"/>
  <c r="V26" i="2"/>
  <c r="AH26" i="2" s="1"/>
  <c r="AJ26" i="2" s="1"/>
  <c r="AH137" i="2" l="1"/>
  <c r="AJ137" i="2" s="1"/>
  <c r="AH28" i="2"/>
  <c r="AJ28" i="2" s="1"/>
  <c r="AH392" i="2"/>
  <c r="AJ392" i="2" s="1"/>
  <c r="AH194" i="2"/>
  <c r="AJ194" i="2" s="1"/>
  <c r="AH386" i="2"/>
  <c r="AJ386" i="2" s="1"/>
  <c r="AH168" i="2"/>
  <c r="AJ168" i="2" s="1"/>
  <c r="AH161" i="2"/>
  <c r="AJ161" i="2" s="1"/>
  <c r="AH367" i="2"/>
  <c r="AJ367" i="2" s="1"/>
  <c r="AH166" i="2"/>
  <c r="AJ166" i="2" s="1"/>
  <c r="AH90" i="2"/>
  <c r="AJ90" i="2" s="1"/>
  <c r="AH300" i="2"/>
  <c r="AJ300" i="2" s="1"/>
  <c r="AH81" i="2"/>
  <c r="AJ81" i="2" s="1"/>
  <c r="AH124" i="2"/>
  <c r="AJ124" i="2" s="1"/>
  <c r="AH86" i="2"/>
  <c r="AJ86" i="2" s="1"/>
  <c r="AH364" i="2"/>
  <c r="AJ364" i="2" s="1"/>
  <c r="AH25" i="2"/>
  <c r="AJ25" i="2" s="1"/>
  <c r="AH162" i="2"/>
  <c r="AJ162" i="2" s="1"/>
  <c r="AH303" i="2"/>
  <c r="AJ303" i="2" s="1"/>
  <c r="AH186" i="2"/>
  <c r="AJ186" i="2" s="1"/>
  <c r="AH46" i="2"/>
  <c r="AJ46" i="2" s="1"/>
  <c r="AH261" i="2"/>
  <c r="AJ261" i="2" s="1"/>
  <c r="AH69" i="2"/>
  <c r="AJ69" i="2" s="1"/>
  <c r="AH371" i="2"/>
  <c r="AJ371" i="2" s="1"/>
  <c r="AH421" i="2"/>
  <c r="AJ421" i="2" s="1"/>
  <c r="AH271" i="2"/>
  <c r="AJ271" i="2" s="1"/>
  <c r="AH178" i="2"/>
  <c r="AJ178" i="2" s="1"/>
  <c r="AH324" i="2"/>
  <c r="AJ324" i="2" s="1"/>
  <c r="AH101" i="2"/>
  <c r="AJ101" i="2" s="1"/>
  <c r="AR336" i="6"/>
  <c r="AT336" i="6" s="1"/>
  <c r="AR350" i="6"/>
  <c r="AT350" i="6" s="1"/>
  <c r="AR43" i="6"/>
  <c r="AT43" i="6" s="1"/>
  <c r="AR35" i="6"/>
  <c r="AT35" i="6" s="1"/>
  <c r="AR27" i="6"/>
  <c r="AT27" i="6" s="1"/>
  <c r="AR392" i="6"/>
  <c r="AT392" i="6" s="1"/>
  <c r="AR268" i="6"/>
  <c r="AT268" i="6" s="1"/>
  <c r="AR375" i="6"/>
  <c r="AT375" i="6" s="1"/>
  <c r="AR126" i="6"/>
  <c r="AT126" i="6" s="1"/>
  <c r="AR243" i="6"/>
  <c r="AT243" i="6" s="1"/>
  <c r="AR304" i="6"/>
  <c r="AT304" i="6" s="1"/>
  <c r="AR10" i="6"/>
  <c r="AT10" i="6" s="1"/>
  <c r="AR358" i="6"/>
  <c r="AT358" i="6" s="1"/>
  <c r="AR122" i="6"/>
  <c r="AT122" i="6" s="1"/>
  <c r="AR302" i="6"/>
  <c r="AT302" i="6" s="1"/>
  <c r="AR256" i="6"/>
  <c r="AT256" i="6" s="1"/>
  <c r="AR326" i="6"/>
  <c r="AT326" i="6" s="1"/>
  <c r="AR82" i="6"/>
  <c r="AT82" i="6" s="1"/>
  <c r="AR312" i="6"/>
  <c r="AT312" i="6" s="1"/>
  <c r="AR419" i="6"/>
  <c r="AT419" i="6" s="1"/>
  <c r="AR300" i="6"/>
  <c r="AT300" i="6" s="1"/>
  <c r="AR49" i="6"/>
  <c r="AT49" i="6" s="1"/>
  <c r="AR261" i="6"/>
  <c r="AT261" i="6" s="1"/>
  <c r="AR161" i="6"/>
  <c r="AT161" i="6" s="1"/>
  <c r="AR387" i="6"/>
  <c r="AT387" i="6" s="1"/>
  <c r="AR130" i="6"/>
  <c r="AT130" i="6" s="1"/>
  <c r="AF148" i="4"/>
  <c r="AH148" i="4" s="1"/>
  <c r="AF168" i="4"/>
  <c r="AH168" i="4" s="1"/>
  <c r="AF271" i="4"/>
  <c r="AH271" i="4" s="1"/>
  <c r="AF371" i="4"/>
  <c r="AH371" i="4" s="1"/>
  <c r="AF368" i="4"/>
  <c r="AH368" i="4" s="1"/>
  <c r="AF95" i="4"/>
  <c r="AH95" i="4" s="1"/>
  <c r="AF261" i="4"/>
  <c r="AH261" i="4" s="1"/>
  <c r="AF293" i="4"/>
  <c r="AH293" i="4" s="1"/>
  <c r="AF346" i="4"/>
  <c r="AH346" i="4" s="1"/>
  <c r="AF338" i="4"/>
  <c r="AH338" i="4" s="1"/>
  <c r="AF101" i="4"/>
  <c r="AH101" i="4" s="1"/>
  <c r="AF183" i="4"/>
  <c r="AH183" i="4" s="1"/>
  <c r="AF406" i="4"/>
  <c r="AH406" i="4" s="1"/>
  <c r="AF421" i="4"/>
  <c r="AH421" i="4" s="1"/>
  <c r="AF284" i="4"/>
  <c r="AH284" i="4" s="1"/>
  <c r="AF398" i="4"/>
  <c r="AH398" i="4" s="1"/>
  <c r="AF415" i="4"/>
  <c r="AH415" i="4" s="1"/>
  <c r="AF400" i="4"/>
  <c r="AH400" i="4" s="1"/>
  <c r="AF424" i="4"/>
  <c r="AH424" i="4" s="1"/>
  <c r="AF66" i="4"/>
  <c r="AH66" i="4" s="1"/>
  <c r="AF202" i="4"/>
  <c r="AH202" i="4" s="1"/>
  <c r="AF274" i="4"/>
  <c r="AH274" i="4" s="1"/>
  <c r="AF343" i="4"/>
  <c r="AH343" i="4" s="1"/>
  <c r="AF229" i="4"/>
  <c r="AH229" i="4" s="1"/>
  <c r="AF182" i="4"/>
  <c r="AH182" i="4" s="1"/>
  <c r="AB257" i="23"/>
  <c r="AD257" i="23" s="1"/>
  <c r="AB110" i="23"/>
  <c r="AD110" i="23" s="1"/>
  <c r="AB57" i="23"/>
  <c r="AD57" i="23" s="1"/>
  <c r="AB283" i="23"/>
  <c r="AD283" i="23" s="1"/>
  <c r="AB242" i="23"/>
  <c r="AD242" i="23" s="1"/>
  <c r="AB333" i="23"/>
  <c r="AD333" i="23" s="1"/>
  <c r="AB122" i="23"/>
  <c r="AD122" i="23" s="1"/>
  <c r="AB106" i="23"/>
  <c r="AD106" i="23" s="1"/>
  <c r="AB52" i="23"/>
  <c r="AD52" i="23" s="1"/>
  <c r="AB297" i="23"/>
  <c r="AD297" i="23" s="1"/>
  <c r="AH208" i="3"/>
  <c r="AJ208" i="3" s="1"/>
  <c r="AH345" i="3"/>
  <c r="AJ345" i="3" s="1"/>
  <c r="AH129" i="3"/>
  <c r="AJ129" i="3" s="1"/>
  <c r="AH236" i="3"/>
  <c r="AJ236" i="3" s="1"/>
  <c r="AH240" i="3"/>
  <c r="AJ240" i="3" s="1"/>
  <c r="AH380" i="3"/>
  <c r="AJ380" i="3" s="1"/>
  <c r="AH374" i="3"/>
  <c r="AJ374" i="3" s="1"/>
  <c r="AH13" i="3"/>
  <c r="AJ13" i="3" s="1"/>
  <c r="AH326" i="3"/>
  <c r="AJ326" i="3" s="1"/>
  <c r="AH72" i="3"/>
  <c r="AJ72" i="3" s="1"/>
  <c r="AH102" i="3"/>
  <c r="AJ102" i="3" s="1"/>
  <c r="AH281" i="3"/>
  <c r="AJ281" i="3" s="1"/>
  <c r="AH409" i="3"/>
  <c r="AJ409" i="3" s="1"/>
  <c r="AH222" i="3"/>
  <c r="AJ222" i="3" s="1"/>
  <c r="AH321" i="3"/>
  <c r="AJ321" i="3" s="1"/>
  <c r="AH396" i="3"/>
  <c r="AJ396" i="3" s="1"/>
  <c r="AH30" i="3"/>
  <c r="AJ30" i="3" s="1"/>
  <c r="AH428" i="3"/>
  <c r="AJ428" i="3" s="1"/>
  <c r="AH284" i="3"/>
  <c r="AJ284" i="3" s="1"/>
  <c r="AH166" i="3"/>
  <c r="AJ166" i="3" s="1"/>
  <c r="AH221" i="3"/>
  <c r="AJ221" i="3" s="1"/>
  <c r="AH219" i="3"/>
  <c r="AJ219" i="3" s="1"/>
  <c r="AH304" i="3"/>
  <c r="AJ304" i="3" s="1"/>
  <c r="AH328" i="3"/>
  <c r="AJ328" i="3" s="1"/>
  <c r="AH99" i="2"/>
  <c r="AJ99" i="2" s="1"/>
  <c r="AH311" i="2"/>
  <c r="AJ311" i="2" s="1"/>
  <c r="AH122" i="2"/>
  <c r="AJ122" i="2" s="1"/>
  <c r="AH60" i="2"/>
  <c r="AJ60" i="2" s="1"/>
  <c r="AH341" i="2"/>
  <c r="AJ341" i="2" s="1"/>
  <c r="AH417" i="2"/>
  <c r="AJ417" i="2" s="1"/>
  <c r="AH401" i="2"/>
  <c r="AJ401" i="2" s="1"/>
  <c r="AH182" i="2"/>
  <c r="AJ182" i="2" s="1"/>
  <c r="AH34" i="2"/>
  <c r="AJ34" i="2" s="1"/>
  <c r="AH114" i="2"/>
  <c r="AJ114" i="2" s="1"/>
  <c r="AH317" i="2"/>
  <c r="AJ317" i="2" s="1"/>
  <c r="AH315" i="2"/>
  <c r="AJ315" i="2" s="1"/>
  <c r="AH241" i="2"/>
  <c r="AJ241" i="2" s="1"/>
  <c r="AH405" i="2"/>
  <c r="AJ405" i="2" s="1"/>
  <c r="AH361" i="2"/>
  <c r="AJ361" i="2" s="1"/>
  <c r="AH397" i="2"/>
  <c r="AJ397" i="2" s="1"/>
  <c r="AH167" i="2"/>
  <c r="AJ167" i="2" s="1"/>
  <c r="AH195" i="2"/>
  <c r="AJ195" i="2" s="1"/>
  <c r="AH352" i="2"/>
  <c r="AJ352" i="2" s="1"/>
  <c r="AH163" i="2"/>
  <c r="AJ163" i="2" s="1"/>
  <c r="AH32" i="2"/>
  <c r="AJ32" i="2" s="1"/>
  <c r="AH171" i="2"/>
  <c r="AJ171" i="2" s="1"/>
  <c r="AH372" i="2"/>
  <c r="AJ372" i="2" s="1"/>
  <c r="AH349" i="2"/>
  <c r="AJ349" i="2" s="1"/>
  <c r="AH139" i="2"/>
  <c r="AJ139" i="2" s="1"/>
  <c r="AH382" i="2"/>
  <c r="AJ382" i="2" s="1"/>
  <c r="AH328" i="2"/>
  <c r="AJ328" i="2" s="1"/>
  <c r="AH366" i="2"/>
  <c r="AJ366" i="2" s="1"/>
  <c r="AH14" i="2"/>
  <c r="AJ14" i="2" s="1"/>
  <c r="AH141" i="2"/>
  <c r="AJ141" i="2" s="1"/>
  <c r="AH157" i="2"/>
  <c r="AJ157" i="2" s="1"/>
  <c r="AH342" i="2"/>
  <c r="AJ342" i="2" s="1"/>
  <c r="AH429" i="2"/>
  <c r="AJ429" i="2" s="1"/>
  <c r="AH219" i="2"/>
  <c r="AJ219" i="2" s="1"/>
  <c r="AH120" i="3"/>
  <c r="AJ120" i="3" s="1"/>
  <c r="AH376" i="3"/>
  <c r="AJ376" i="3" s="1"/>
  <c r="AH419" i="3"/>
  <c r="AJ419" i="3" s="1"/>
  <c r="AH184" i="3"/>
  <c r="AJ184" i="3" s="1"/>
  <c r="AH196" i="3"/>
  <c r="AJ196" i="3" s="1"/>
  <c r="AH291" i="3"/>
  <c r="AJ291" i="3" s="1"/>
  <c r="AH361" i="3"/>
  <c r="AJ361" i="3" s="1"/>
  <c r="AH90" i="3"/>
  <c r="AJ90" i="3" s="1"/>
  <c r="AH388" i="3"/>
  <c r="AJ388" i="3" s="1"/>
  <c r="AH249" i="3"/>
  <c r="AJ249" i="3" s="1"/>
  <c r="AH69" i="3"/>
  <c r="AJ69" i="3" s="1"/>
  <c r="AH413" i="3"/>
  <c r="AJ413" i="3" s="1"/>
  <c r="AH212" i="3"/>
  <c r="AJ212" i="3" s="1"/>
  <c r="AH265" i="3"/>
  <c r="AJ265" i="3" s="1"/>
  <c r="AH51" i="3"/>
  <c r="AJ51" i="3" s="1"/>
  <c r="AH61" i="3"/>
  <c r="AJ61" i="3" s="1"/>
  <c r="AH403" i="3"/>
  <c r="AJ403" i="3" s="1"/>
  <c r="AH289" i="3"/>
  <c r="AJ289" i="3" s="1"/>
  <c r="AH48" i="3"/>
  <c r="AJ48" i="3" s="1"/>
  <c r="AH128" i="3"/>
  <c r="AJ128" i="3" s="1"/>
  <c r="AH405" i="3"/>
  <c r="AJ405" i="3" s="1"/>
  <c r="AH261" i="3"/>
  <c r="AJ261" i="3" s="1"/>
  <c r="AH366" i="3"/>
  <c r="AJ366" i="3" s="1"/>
  <c r="AB66" i="23"/>
  <c r="AD66" i="23" s="1"/>
  <c r="AB234" i="23"/>
  <c r="AD234" i="23" s="1"/>
  <c r="AB230" i="23"/>
  <c r="AD230" i="23" s="1"/>
  <c r="AB50" i="23"/>
  <c r="AD50" i="23" s="1"/>
  <c r="AF242" i="4"/>
  <c r="AH242" i="4" s="1"/>
  <c r="AF278" i="4"/>
  <c r="AH278" i="4" s="1"/>
  <c r="AF246" i="4"/>
  <c r="AH246" i="4" s="1"/>
  <c r="AF92" i="4"/>
  <c r="AH92" i="4" s="1"/>
  <c r="AF198" i="4"/>
  <c r="AH198" i="4" s="1"/>
  <c r="AF250" i="4"/>
  <c r="AH250" i="4" s="1"/>
  <c r="AF318" i="4"/>
  <c r="AH318" i="4" s="1"/>
  <c r="AF262" i="4"/>
  <c r="AH262" i="4" s="1"/>
  <c r="AF408" i="4"/>
  <c r="AH408" i="4" s="1"/>
  <c r="AF225" i="4"/>
  <c r="AH225" i="4" s="1"/>
  <c r="AF317" i="4"/>
  <c r="AH317" i="4" s="1"/>
  <c r="AF270" i="4"/>
  <c r="AH270" i="4" s="1"/>
  <c r="AF254" i="4"/>
  <c r="AH254" i="4" s="1"/>
  <c r="AF375" i="4"/>
  <c r="AH375" i="4" s="1"/>
  <c r="AF353" i="4"/>
  <c r="AH353" i="4" s="1"/>
  <c r="AR425" i="6"/>
  <c r="AT425" i="6" s="1"/>
  <c r="AR344" i="6"/>
  <c r="AT344" i="6" s="1"/>
  <c r="AR220" i="6"/>
  <c r="AT220" i="6" s="1"/>
  <c r="AR267" i="6"/>
  <c r="AT267" i="6" s="1"/>
  <c r="AR367" i="6"/>
  <c r="AT367" i="6" s="1"/>
  <c r="AR254" i="6"/>
  <c r="AT254" i="6" s="1"/>
  <c r="AR379" i="6"/>
  <c r="AT379" i="6" s="1"/>
  <c r="AR417" i="6"/>
  <c r="AT417" i="6" s="1"/>
  <c r="AR250" i="6"/>
  <c r="AT250" i="6" s="1"/>
  <c r="AR332" i="6"/>
  <c r="AT332" i="6" s="1"/>
  <c r="AR30" i="6"/>
  <c r="AT30" i="6" s="1"/>
  <c r="AR275" i="6"/>
  <c r="AT275" i="6" s="1"/>
  <c r="AR73" i="6"/>
  <c r="AT73" i="6" s="1"/>
  <c r="AR284" i="6"/>
  <c r="AT284" i="6" s="1"/>
  <c r="AH191" i="2"/>
  <c r="AJ191" i="2" s="1"/>
  <c r="AH225" i="2"/>
  <c r="AJ225" i="2" s="1"/>
  <c r="AH280" i="2"/>
  <c r="AJ280" i="2" s="1"/>
  <c r="AH187" i="2"/>
  <c r="AJ187" i="2" s="1"/>
  <c r="AH179" i="2"/>
  <c r="AJ179" i="2" s="1"/>
  <c r="AH237" i="2"/>
  <c r="AJ237" i="2" s="1"/>
  <c r="AH260" i="2"/>
  <c r="AJ260" i="2" s="1"/>
  <c r="AH368" i="2"/>
  <c r="AJ368" i="2" s="1"/>
  <c r="AH346" i="2"/>
  <c r="AJ346" i="2" s="1"/>
  <c r="AH376" i="2"/>
  <c r="AJ376" i="2" s="1"/>
  <c r="AH321" i="2"/>
  <c r="AJ321" i="2" s="1"/>
  <c r="AH198" i="2"/>
  <c r="AJ198" i="2" s="1"/>
  <c r="AH211" i="2"/>
  <c r="AJ211" i="2" s="1"/>
  <c r="AH272" i="2"/>
  <c r="AJ272" i="2" s="1"/>
  <c r="AH183" i="2"/>
  <c r="AJ183" i="2" s="1"/>
  <c r="AH215" i="2"/>
  <c r="AJ215" i="2" s="1"/>
  <c r="AH252" i="2"/>
  <c r="AJ252" i="2" s="1"/>
  <c r="AH210" i="2"/>
  <c r="AJ210" i="2" s="1"/>
  <c r="AH264" i="2"/>
  <c r="AJ264" i="2" s="1"/>
  <c r="AH256" i="2"/>
  <c r="AJ256" i="2" s="1"/>
  <c r="AH218" i="2"/>
  <c r="AJ218" i="2" s="1"/>
  <c r="AP4" i="11" l="1"/>
  <c r="AP3" i="11"/>
  <c r="AP4" i="10"/>
  <c r="AP3" i="10"/>
  <c r="AP20" i="8"/>
  <c r="AP19" i="8"/>
  <c r="AF11" i="8"/>
  <c r="AF10" i="8"/>
  <c r="AF9" i="8"/>
  <c r="AF8" i="8"/>
  <c r="AF7" i="8"/>
  <c r="AF6" i="8"/>
  <c r="AF5" i="8"/>
  <c r="AF4" i="8"/>
  <c r="AF3" i="8"/>
  <c r="AF3" i="11"/>
  <c r="AF11" i="11"/>
  <c r="AF10" i="11"/>
  <c r="AF9" i="11"/>
  <c r="AF8" i="11"/>
  <c r="AF7" i="11"/>
  <c r="AF6" i="11"/>
  <c r="AF5" i="11"/>
  <c r="AF4" i="11"/>
  <c r="AF11" i="10"/>
  <c r="AF10" i="10"/>
  <c r="AF9" i="10"/>
  <c r="AF8" i="10"/>
  <c r="AF6" i="10"/>
  <c r="AF5" i="10"/>
  <c r="AF4" i="10"/>
  <c r="AF7" i="10"/>
  <c r="AF3" i="10"/>
  <c r="AP5" i="11" l="1"/>
  <c r="AP6" i="11" s="1"/>
  <c r="AP5" i="10"/>
  <c r="AP6" i="10" s="1"/>
  <c r="AP21" i="8"/>
  <c r="AP22" i="8" s="1"/>
  <c r="AF12" i="8"/>
  <c r="AF13" i="8" s="1"/>
  <c r="AF12" i="11"/>
  <c r="AF13" i="11" s="1"/>
  <c r="D4" i="18"/>
  <c r="D8" i="18"/>
  <c r="D7" i="18"/>
  <c r="D6" i="18"/>
  <c r="D5" i="18"/>
  <c r="AF12" i="10" l="1"/>
  <c r="AF13" i="10" s="1"/>
  <c r="D35" i="18" l="1"/>
  <c r="D36" i="18"/>
  <c r="D37" i="18"/>
  <c r="D38" i="18"/>
  <c r="D34" i="18"/>
  <c r="D29" i="18"/>
  <c r="D30" i="18"/>
  <c r="D31" i="18"/>
  <c r="D32" i="18"/>
  <c r="D28" i="18"/>
  <c r="D23" i="18"/>
  <c r="D24" i="18"/>
  <c r="D25" i="18"/>
  <c r="D26" i="18"/>
  <c r="D22" i="18"/>
  <c r="D17" i="18"/>
  <c r="D18" i="18"/>
  <c r="D19" i="18"/>
  <c r="D20" i="18"/>
  <c r="D16" i="18"/>
  <c r="D11" i="18"/>
  <c r="D12" i="18"/>
  <c r="D13" i="18"/>
  <c r="D14" i="18"/>
  <c r="D10" i="18"/>
  <c r="D35" i="17"/>
  <c r="D36" i="17"/>
  <c r="D37" i="17"/>
  <c r="D38" i="17"/>
  <c r="D22" i="17"/>
  <c r="D34" i="17"/>
  <c r="D29" i="17"/>
  <c r="D30" i="17"/>
  <c r="D31" i="17"/>
  <c r="D32" i="17"/>
  <c r="D28" i="17"/>
  <c r="D23" i="17"/>
  <c r="D24" i="17"/>
  <c r="D25" i="17"/>
  <c r="D26" i="17"/>
  <c r="D17" i="17"/>
  <c r="D18" i="17"/>
  <c r="D19" i="17"/>
  <c r="D20" i="17"/>
  <c r="D16" i="17"/>
  <c r="D11" i="17"/>
  <c r="D12" i="17"/>
  <c r="D13" i="17"/>
  <c r="D14" i="17"/>
  <c r="D10" i="17"/>
  <c r="D5" i="17"/>
  <c r="D6" i="17"/>
  <c r="D7" i="17"/>
  <c r="D8" i="17"/>
  <c r="D4" i="17"/>
  <c r="AF28" i="11" l="1"/>
  <c r="AF27" i="11"/>
  <c r="AF26" i="11"/>
  <c r="AF25" i="11"/>
  <c r="AF24" i="11"/>
  <c r="AF23" i="11"/>
  <c r="AF22" i="11"/>
  <c r="AF21" i="11"/>
  <c r="AF20" i="11"/>
  <c r="AF19" i="11"/>
  <c r="V5" i="11"/>
  <c r="V4" i="11"/>
  <c r="V3" i="11"/>
  <c r="L25" i="11"/>
  <c r="L24" i="11"/>
  <c r="L23" i="11"/>
  <c r="L22" i="11"/>
  <c r="L21" i="11"/>
  <c r="L20" i="11"/>
  <c r="L19" i="11"/>
  <c r="L8" i="11"/>
  <c r="L7" i="11"/>
  <c r="L6" i="11"/>
  <c r="L5" i="11"/>
  <c r="L4" i="11"/>
  <c r="L3" i="11"/>
  <c r="B24" i="11"/>
  <c r="B23" i="11"/>
  <c r="B22" i="11"/>
  <c r="B21" i="11"/>
  <c r="B20" i="11"/>
  <c r="B19" i="11"/>
  <c r="B6" i="11"/>
  <c r="AF28" i="10"/>
  <c r="AF27" i="10"/>
  <c r="AF26" i="10"/>
  <c r="AF25" i="10"/>
  <c r="AF24" i="10"/>
  <c r="AF23" i="10"/>
  <c r="AF22" i="10"/>
  <c r="AF21" i="10"/>
  <c r="AF20" i="10"/>
  <c r="AF19" i="10"/>
  <c r="V4" i="10"/>
  <c r="L4" i="10"/>
  <c r="L3" i="10"/>
  <c r="L25" i="10"/>
  <c r="L24" i="10"/>
  <c r="L23" i="10"/>
  <c r="L22" i="10"/>
  <c r="L21" i="10"/>
  <c r="L20" i="10"/>
  <c r="L19" i="10"/>
  <c r="L8" i="10"/>
  <c r="L7" i="10"/>
  <c r="L6" i="10"/>
  <c r="L5" i="10"/>
  <c r="B24" i="10"/>
  <c r="B23" i="10"/>
  <c r="B22" i="10"/>
  <c r="B21" i="10"/>
  <c r="B20" i="10"/>
  <c r="B19" i="10"/>
  <c r="B6" i="10"/>
  <c r="L6" i="8"/>
  <c r="L7" i="8" s="1"/>
  <c r="L8" i="8" s="1"/>
  <c r="AF28" i="8"/>
  <c r="AF27" i="8"/>
  <c r="AF26" i="8"/>
  <c r="AF25" i="8"/>
  <c r="AF24" i="8"/>
  <c r="AF23" i="8"/>
  <c r="AF22" i="8"/>
  <c r="AF21" i="8"/>
  <c r="AF20" i="8"/>
  <c r="AF19" i="8"/>
  <c r="AP9" i="8"/>
  <c r="AP8" i="8"/>
  <c r="AP7" i="8"/>
  <c r="AP6" i="8"/>
  <c r="AP5" i="8"/>
  <c r="AP4" i="8"/>
  <c r="AP3" i="8"/>
  <c r="V5" i="8"/>
  <c r="V4" i="8"/>
  <c r="V3" i="8"/>
  <c r="L24" i="8"/>
  <c r="L23" i="8"/>
  <c r="L22" i="8"/>
  <c r="L21" i="8"/>
  <c r="L20" i="8"/>
  <c r="L19" i="8"/>
  <c r="B24" i="8"/>
  <c r="B23" i="8"/>
  <c r="B22" i="8"/>
  <c r="B21" i="8"/>
  <c r="B20" i="8"/>
  <c r="B19" i="8"/>
  <c r="B4" i="8"/>
  <c r="B3" i="8"/>
  <c r="AF29" i="11" l="1"/>
  <c r="AF30" i="11" s="1"/>
  <c r="V6" i="11"/>
  <c r="V7" i="11" s="1"/>
  <c r="L26" i="11"/>
  <c r="L27" i="11" s="1"/>
  <c r="L9" i="11"/>
  <c r="L10" i="11" s="1"/>
  <c r="B25" i="11"/>
  <c r="B26" i="11" s="1"/>
  <c r="AF29" i="8"/>
  <c r="AF30" i="8" s="1"/>
  <c r="AF29" i="10"/>
  <c r="AF30" i="10" s="1"/>
  <c r="B7" i="11"/>
  <c r="B8" i="11" s="1"/>
  <c r="V6" i="10"/>
  <c r="V7" i="10" s="1"/>
  <c r="V25" i="10"/>
  <c r="V26" i="10" s="1"/>
  <c r="B7" i="10"/>
  <c r="B8" i="10" s="1"/>
  <c r="L26" i="10"/>
  <c r="L27" i="10" s="1"/>
  <c r="L9" i="10"/>
  <c r="L10" i="10" s="1"/>
  <c r="B25" i="10"/>
  <c r="B26" i="10" s="1"/>
  <c r="AP10" i="8"/>
  <c r="AP11" i="8" s="1"/>
  <c r="V25" i="8"/>
  <c r="V26" i="8" s="1"/>
  <c r="V6" i="8"/>
  <c r="V7" i="8" s="1"/>
  <c r="L25" i="8"/>
  <c r="L26" i="8" s="1"/>
  <c r="B25" i="8"/>
  <c r="B26" i="8" s="1"/>
  <c r="B5" i="8"/>
  <c r="B6" i="8" s="1"/>
</calcChain>
</file>

<file path=xl/connections.xml><?xml version="1.0" encoding="utf-8"?>
<connections xmlns="http://schemas.openxmlformats.org/spreadsheetml/2006/main">
  <connection id="1" name="LinkedTable_Table1" type="102" refreshedVersion="5" minRefreshableVersion="5" saveData="1">
    <extLst>
      <ext xmlns:x15="http://schemas.microsoft.com/office/spreadsheetml/2010/11/main" uri="{DE250136-89BD-433C-8126-D09CA5730AF9}">
        <x15:connection id="Table1-d9022578-b209-4904-bdde-19fabee9b97e">
          <x15:rangePr sourceName="_xlcn.LinkedTable_Table11"/>
        </x15:connection>
      </ext>
    </extLst>
  </connection>
  <connection id="2" name="LinkedTable_Table10" type="102" refreshedVersion="5" minRefreshableVersion="5">
    <extLst>
      <ext xmlns:x15="http://schemas.microsoft.com/office/spreadsheetml/2010/11/main" uri="{DE250136-89BD-433C-8126-D09CA5730AF9}">
        <x15:connection id="Table10-00af910e-a6e6-4d82-8d25-288efa9e3d02">
          <x15:rangePr sourceName="_xlcn.LinkedTable_Table101"/>
        </x15:connection>
      </ext>
    </extLst>
  </connection>
  <connection id="3" name="LinkedTable_Table11" type="102" refreshedVersion="5" minRefreshableVersion="5" saveData="1">
    <extLst>
      <ext xmlns:x15="http://schemas.microsoft.com/office/spreadsheetml/2010/11/main" uri="{DE250136-89BD-433C-8126-D09CA5730AF9}">
        <x15:connection id="PT Q1-0c4e5f26-e665-41ae-ab83-f6635e07e910">
          <x15:rangePr sourceName="_xlcn.LinkedTable_Table111"/>
        </x15:connection>
      </ext>
    </extLst>
  </connection>
  <connection id="4" name="LinkedTable_Table2" type="102" refreshedVersion="5" minRefreshableVersion="5">
    <extLst>
      <ext xmlns:x15="http://schemas.microsoft.com/office/spreadsheetml/2010/11/main" uri="{DE250136-89BD-433C-8126-D09CA5730AF9}">
        <x15:connection id="Table2-adfa4a98-90b2-4a76-b132-4fb2e359caa5">
          <x15:rangePr sourceName="_xlcn.LinkedTable_Table21"/>
        </x15:connection>
      </ext>
    </extLst>
  </connection>
  <connection id="5" name="LinkedTable_Table4" type="102" refreshedVersion="5" minRefreshableVersion="5">
    <extLst>
      <ext xmlns:x15="http://schemas.microsoft.com/office/spreadsheetml/2010/11/main" uri="{DE250136-89BD-433C-8126-D09CA5730AF9}">
        <x15:connection id="Table4-bb45c785-5ec7-4ac8-a0cf-ba95a9553830">
          <x15:rangePr sourceName="_xlcn.LinkedTable_Table41"/>
        </x15:connection>
      </ext>
    </extLst>
  </connection>
  <connection id="6" name="LinkedTable_Table5" type="102" refreshedVersion="5" minRefreshableVersion="5">
    <extLst>
      <ext xmlns:x15="http://schemas.microsoft.com/office/spreadsheetml/2010/11/main" uri="{DE250136-89BD-433C-8126-D09CA5730AF9}">
        <x15:connection id="Table5-d0c9afc6-c098-4034-82a6-995fb82f1bda">
          <x15:rangePr sourceName="_xlcn.LinkedTable_Table51"/>
        </x15:connection>
      </ext>
    </extLst>
  </connection>
  <connection id="7" name="LinkedTable_Table7" type="102" refreshedVersion="5" minRefreshableVersion="5">
    <extLst>
      <ext xmlns:x15="http://schemas.microsoft.com/office/spreadsheetml/2010/11/main" uri="{DE250136-89BD-433C-8126-D09CA5730AF9}">
        <x15:connection id="Table7-c8f23314-d5ec-41e0-a324-6f60177d2bce">
          <x15:rangePr sourceName="_xlcn.LinkedTable_Table71"/>
        </x15:connection>
      </ext>
    </extLst>
  </connection>
  <connection id="8" keepAlive="1" name="ThisWorkbookDataModel" description="This connection is used by Excel for communication between the workbook and embedded PowerPivot data, and should not be manually edited or deleted."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<sst xmlns="http://schemas.openxmlformats.org/spreadsheetml/2006/main" count="23764" uniqueCount="600">
  <si>
    <t>RespondentID</t>
  </si>
  <si>
    <t>What are the biggest ongoing health concerns in THE COMMUNITY WHERE YOU LIVE? (Please check up to 3)</t>
  </si>
  <si>
    <t>What are the biggest ongoing health concerns for YOURSELF? (Please check up to 3)</t>
  </si>
  <si>
    <t>Which of the following is MOST needed to improve the health of your community? (Please check up to 3)</t>
  </si>
  <si>
    <t>What health screenings or education/information services are needed in your community? (Please check up to 3)</t>
  </si>
  <si>
    <t>Where do you and your family get most of your health information? (Check all that apply)</t>
  </si>
  <si>
    <t>I identify as:</t>
  </si>
  <si>
    <t>What is your age?</t>
  </si>
  <si>
    <t>County where you live:</t>
  </si>
  <si>
    <t>What race do you consider yourself?</t>
  </si>
  <si>
    <t>Are you Hispanic or Latino?</t>
  </si>
  <si>
    <t>What language do you speak when you are at home (select all that apply)</t>
  </si>
  <si>
    <t>What is your annual household income from all sources?</t>
  </si>
  <si>
    <t>What is your highest level of education?</t>
  </si>
  <si>
    <t>What is your current employment status?</t>
  </si>
  <si>
    <t>Do you currently have health insurance?</t>
  </si>
  <si>
    <t>Asthma/lung disease</t>
  </si>
  <si>
    <t>Cancer</t>
  </si>
  <si>
    <t>Heart disease &amp; stroke</t>
  </si>
  <si>
    <t>Safety</t>
  </si>
  <si>
    <t>HIV/AIDS &amp; Sexually Transmitted Diseases (STDs)</t>
  </si>
  <si>
    <t>Vaccine preventable diseases</t>
  </si>
  <si>
    <t>Child health &amp; wellness</t>
  </si>
  <si>
    <t>Women’s health &amp; wellness</t>
  </si>
  <si>
    <t>Diabetes</t>
  </si>
  <si>
    <t>Mental health depression/suicide</t>
  </si>
  <si>
    <t>Drugs &amp; alcohol abuse</t>
  </si>
  <si>
    <t>Environmental hazards</t>
  </si>
  <si>
    <t>Obesity/weight loss issues</t>
  </si>
  <si>
    <t>Cultural/religious beliefs</t>
  </si>
  <si>
    <t>Lack of availability of doctors</t>
  </si>
  <si>
    <t>Unable to pay co-pays/deductibles</t>
  </si>
  <si>
    <t>Don’t know how to find doctors</t>
  </si>
  <si>
    <t>Language barriers</t>
  </si>
  <si>
    <t>There are no barriers</t>
  </si>
  <si>
    <t>Don’t understand need to see a doctor</t>
  </si>
  <si>
    <t>No insurance</t>
  </si>
  <si>
    <t>Transportation</t>
  </si>
  <si>
    <t>Clean air &amp; water</t>
  </si>
  <si>
    <t>Mental health services</t>
  </si>
  <si>
    <t>Smoking cessation programs</t>
  </si>
  <si>
    <t>Drug &amp; alcohol rehabilitation services</t>
  </si>
  <si>
    <t>Recreation facilities</t>
  </si>
  <si>
    <t>Healthier food choices</t>
  </si>
  <si>
    <t>Safe childcare options</t>
  </si>
  <si>
    <t>Weight loss programs</t>
  </si>
  <si>
    <t>Job opportunities</t>
  </si>
  <si>
    <t>Safe places to walk/play</t>
  </si>
  <si>
    <t>Safe worksites</t>
  </si>
  <si>
    <t>Blood pressure</t>
  </si>
  <si>
    <t>Eating disorders</t>
  </si>
  <si>
    <t>Mental health/depression</t>
  </si>
  <si>
    <t>Emergency preparedness</t>
  </si>
  <si>
    <t>Nutrition</t>
  </si>
  <si>
    <t>Cholesterol</t>
  </si>
  <si>
    <t>Exercise/physical activity</t>
  </si>
  <si>
    <t>Prenatal care</t>
  </si>
  <si>
    <t>Dental screenings</t>
  </si>
  <si>
    <t>Heart disease</t>
  </si>
  <si>
    <t>Suicide prevention</t>
  </si>
  <si>
    <t>Vaccination/immunizations</t>
  </si>
  <si>
    <t>Disease outbreak information</t>
  </si>
  <si>
    <t>Importance of routine well checkups</t>
  </si>
  <si>
    <t>Drug and alcohol</t>
  </si>
  <si>
    <t>Doctor/health professional</t>
  </si>
  <si>
    <t>Library</t>
  </si>
  <si>
    <t>Social Media (Facebook, Twitter, etc.)</t>
  </si>
  <si>
    <t>Family or friends</t>
  </si>
  <si>
    <t>Newspaper/magazines</t>
  </si>
  <si>
    <t>Television</t>
  </si>
  <si>
    <t>Health Department</t>
  </si>
  <si>
    <t>Radio</t>
  </si>
  <si>
    <t>Worksite</t>
  </si>
  <si>
    <t>Hospital</t>
  </si>
  <si>
    <t>Religious organization</t>
  </si>
  <si>
    <t>Internet</t>
  </si>
  <si>
    <t>School/college</t>
  </si>
  <si>
    <t>Response</t>
  </si>
  <si>
    <t>Open-Ended Response</t>
  </si>
  <si>
    <t>Language</t>
  </si>
  <si>
    <t>Nassau</t>
  </si>
  <si>
    <t>No</t>
  </si>
  <si>
    <t>English</t>
  </si>
  <si>
    <t>Over $125,000</t>
  </si>
  <si>
    <t>College graduate</t>
  </si>
  <si>
    <t>Employed for wages</t>
  </si>
  <si>
    <t>Yes</t>
  </si>
  <si>
    <t>$0-$19,999</t>
  </si>
  <si>
    <t>Some college</t>
  </si>
  <si>
    <t>Student</t>
  </si>
  <si>
    <t>$20,000 to $34,999</t>
  </si>
  <si>
    <t>Black/African American</t>
  </si>
  <si>
    <t>Out of work and looking for work</t>
  </si>
  <si>
    <t>$50,000 to $74,999</t>
  </si>
  <si>
    <t>$75,000 to $125,000</t>
  </si>
  <si>
    <t>High school graduate</t>
  </si>
  <si>
    <t>Out of work, but not currently looking</t>
  </si>
  <si>
    <t>$35,000 to $49,999</t>
  </si>
  <si>
    <t>K-8 grade</t>
  </si>
  <si>
    <t>Retired</t>
  </si>
  <si>
    <t>Multi-racial</t>
  </si>
  <si>
    <t>Spanish</t>
  </si>
  <si>
    <t>Technical school</t>
  </si>
  <si>
    <t>Graduate school</t>
  </si>
  <si>
    <t>Some high school</t>
  </si>
  <si>
    <t>Self-employed</t>
  </si>
  <si>
    <t>Other (please specify)</t>
  </si>
  <si>
    <t>Other</t>
  </si>
  <si>
    <t>No, but I did in the past</t>
  </si>
  <si>
    <t>GED</t>
  </si>
  <si>
    <t>Williston Park, 11596</t>
  </si>
  <si>
    <t>Doctorate</t>
  </si>
  <si>
    <t>Plainview, 11803</t>
  </si>
  <si>
    <t>Floral Park, 11001</t>
  </si>
  <si>
    <t>Westbury, 11590</t>
  </si>
  <si>
    <t>Manhasset, 11030</t>
  </si>
  <si>
    <t>Bethpage, 11714</t>
  </si>
  <si>
    <t>Massapequa, 11758</t>
  </si>
  <si>
    <t>Seaford, 11783</t>
  </si>
  <si>
    <t>Hicksville, 11801</t>
  </si>
  <si>
    <t>Uniondale, 11553</t>
  </si>
  <si>
    <t>Farmingdale, 11735</t>
  </si>
  <si>
    <t>Wantagh, 11793</t>
  </si>
  <si>
    <t>Valley Stream, 11580</t>
  </si>
  <si>
    <t>Freeport, 11520</t>
  </si>
  <si>
    <t>Massapequa Park, 11762</t>
  </si>
  <si>
    <t>Hempstead, 11550</t>
  </si>
  <si>
    <t>Malverne, 11565</t>
  </si>
  <si>
    <t>Alden Manor, 11003</t>
  </si>
  <si>
    <t>Merrick, 11566</t>
  </si>
  <si>
    <t>New Hyde Park, 11040</t>
  </si>
  <si>
    <t>Long Beach, 11561</t>
  </si>
  <si>
    <t>Levittown, 11756</t>
  </si>
  <si>
    <t>Chinese</t>
  </si>
  <si>
    <t>Bellmore, 11710</t>
  </si>
  <si>
    <t>East Meadow, 11554</t>
  </si>
  <si>
    <t>Lynbrook, 11563</t>
  </si>
  <si>
    <t>Rockville Centre, 11570</t>
  </si>
  <si>
    <t>Syosset, 11791</t>
  </si>
  <si>
    <t>Jericho, 11753</t>
  </si>
  <si>
    <t>None</t>
  </si>
  <si>
    <t>Suffolk</t>
  </si>
  <si>
    <t>Hindi</t>
  </si>
  <si>
    <t>Patchogue, 11772</t>
  </si>
  <si>
    <t>Copiague, 11726</t>
  </si>
  <si>
    <t>Deer Park, 11729</t>
  </si>
  <si>
    <t>Holtsville, 11742</t>
  </si>
  <si>
    <t>Ronkonkoma, 11779</t>
  </si>
  <si>
    <t>Lindenhurst, 11757</t>
  </si>
  <si>
    <t>Brentwood, 11717</t>
  </si>
  <si>
    <t>Kings Park, 11754</t>
  </si>
  <si>
    <t>Selden, 11784</t>
  </si>
  <si>
    <t>West Babylon, 11704</t>
  </si>
  <si>
    <t>Farmingville, 11738</t>
  </si>
  <si>
    <t>Central Islip, 11722</t>
  </si>
  <si>
    <t>Huntington, 11743</t>
  </si>
  <si>
    <t>East Northport, 11731</t>
  </si>
  <si>
    <t>East Islip, 11730</t>
  </si>
  <si>
    <t>Melville, 11747</t>
  </si>
  <si>
    <t>Babylon, 11704</t>
  </si>
  <si>
    <t>Stony Brook, 11790</t>
  </si>
  <si>
    <t>Dix Hills, 11746</t>
  </si>
  <si>
    <t>Shirley, 11967</t>
  </si>
  <si>
    <t>Bay Shore, 11706</t>
  </si>
  <si>
    <t>Smithtown, 11787</t>
  </si>
  <si>
    <t>West Islip, 11795</t>
  </si>
  <si>
    <t>Manorville, 11949</t>
  </si>
  <si>
    <t>Bohemia, 11716</t>
  </si>
  <si>
    <t>Mastic, 11950</t>
  </si>
  <si>
    <t>Riverhead, 11901</t>
  </si>
  <si>
    <t>Medford, 11763</t>
  </si>
  <si>
    <t>Commack, 11725</t>
  </si>
  <si>
    <t>Babylon, 11702</t>
  </si>
  <si>
    <t>Nesconset, 11767</t>
  </si>
  <si>
    <t>Coram, 11727</t>
  </si>
  <si>
    <t>Lake Ronkonkoma, 11779</t>
  </si>
  <si>
    <t>Huntington Station, 11746</t>
  </si>
  <si>
    <t>Northport, 11768</t>
  </si>
  <si>
    <t>Islip, 11751</t>
  </si>
  <si>
    <t>Centereach, 11720</t>
  </si>
  <si>
    <t>Yaphank, 11980</t>
  </si>
  <si>
    <t>Middle Island, 11953</t>
  </si>
  <si>
    <t>Amityville, 11701</t>
  </si>
  <si>
    <t>North Babylon, 11703</t>
  </si>
  <si>
    <t>Port Jefferson Station, 11776</t>
  </si>
  <si>
    <t>Lake Grove, 11755</t>
  </si>
  <si>
    <t>Saint James, 11780</t>
  </si>
  <si>
    <t>Amagansett, 11930</t>
  </si>
  <si>
    <t>Town and ZIP code where you live:</t>
  </si>
  <si>
    <t>Count of Selection</t>
  </si>
  <si>
    <t>Weight</t>
  </si>
  <si>
    <t>Asthma/lung disease3</t>
  </si>
  <si>
    <t>Cancer4</t>
  </si>
  <si>
    <t>Heart disease &amp; stroke5</t>
  </si>
  <si>
    <t>Safety6</t>
  </si>
  <si>
    <t>HIV/AIDS &amp; Sexually Transmitted Diseases (STDs)7</t>
  </si>
  <si>
    <t>Vaccine preventable diseases8</t>
  </si>
  <si>
    <t>Child health &amp; wellness9</t>
  </si>
  <si>
    <t>Women’s health &amp; wellness10</t>
  </si>
  <si>
    <t>Diabetes11</t>
  </si>
  <si>
    <t>Mental health depression/suicide12</t>
  </si>
  <si>
    <t>Drugs &amp; alcohol abuse13</t>
  </si>
  <si>
    <t>Environmental hazards14</t>
  </si>
  <si>
    <t>Obesity/weight loss issues15</t>
  </si>
  <si>
    <t>Observed</t>
  </si>
  <si>
    <t>Expected</t>
  </si>
  <si>
    <t>Column18</t>
  </si>
  <si>
    <t>Column1</t>
  </si>
  <si>
    <t>Column2</t>
  </si>
  <si>
    <t>Column3</t>
  </si>
  <si>
    <t>Column4</t>
  </si>
  <si>
    <t>Column5</t>
  </si>
  <si>
    <t>Cultural/religious beliefs5</t>
  </si>
  <si>
    <t>Lack of availability of doctors6</t>
  </si>
  <si>
    <t>Unable to pay co-pays/deductibles7</t>
  </si>
  <si>
    <t>Don’t know how to find doctors8</t>
  </si>
  <si>
    <t>Language barriers9</t>
  </si>
  <si>
    <t>There are no barriers10</t>
  </si>
  <si>
    <t>Don’t understand need to see a doctor11</t>
  </si>
  <si>
    <t>No insurance12</t>
  </si>
  <si>
    <t>Transportation13</t>
  </si>
  <si>
    <t>Column6</t>
  </si>
  <si>
    <t>Clean air &amp; water5</t>
  </si>
  <si>
    <t>Mental health services6</t>
  </si>
  <si>
    <t>Smoking cessation programs7</t>
  </si>
  <si>
    <t>Drug &amp; alcohol rehabilitation services8</t>
  </si>
  <si>
    <t>Recreation facilities9</t>
  </si>
  <si>
    <t>Transportation10</t>
  </si>
  <si>
    <t>Healthier food choices11</t>
  </si>
  <si>
    <t>Safe childcare options12</t>
  </si>
  <si>
    <t>Weight loss programs13</t>
  </si>
  <si>
    <t>Job opportunities14</t>
  </si>
  <si>
    <t>Safe places to walk/play15</t>
  </si>
  <si>
    <t>Safe worksites16</t>
  </si>
  <si>
    <t>Blood pressure5</t>
  </si>
  <si>
    <t>Eating disorders6</t>
  </si>
  <si>
    <t>Mental health/depression7</t>
  </si>
  <si>
    <t>Cancer8</t>
  </si>
  <si>
    <t>Emergency preparedness9</t>
  </si>
  <si>
    <t>Nutrition10</t>
  </si>
  <si>
    <t>Cholesterol11</t>
  </si>
  <si>
    <t>Exercise/physical activity12</t>
  </si>
  <si>
    <t>Prenatal care13</t>
  </si>
  <si>
    <t>Dental screenings14</t>
  </si>
  <si>
    <t>Heart disease15</t>
  </si>
  <si>
    <t>Suicide prevention16</t>
  </si>
  <si>
    <t>Diabetes17</t>
  </si>
  <si>
    <t>HIV/AIDS &amp; Sexually Transmitted Diseases (STDs)18</t>
  </si>
  <si>
    <t>Vaccination/immunizations19</t>
  </si>
  <si>
    <t>Disease outbreak information20</t>
  </si>
  <si>
    <t>Importance of routine well checkups21</t>
  </si>
  <si>
    <t>Drug and alcohol22</t>
  </si>
  <si>
    <t>Column22</t>
  </si>
  <si>
    <t>Asthma/lung disease2</t>
  </si>
  <si>
    <t>Cancer3</t>
  </si>
  <si>
    <t>Heart disease &amp; stroke4</t>
  </si>
  <si>
    <t>Safety5</t>
  </si>
  <si>
    <t>HIV/AIDS &amp; Sexually Transmitted Diseases (STDs)6</t>
  </si>
  <si>
    <t>Vaccine preventable diseases7</t>
  </si>
  <si>
    <t>Child health &amp; wellness8</t>
  </si>
  <si>
    <t>Women’s health &amp; wellness9</t>
  </si>
  <si>
    <t>Diabetes10</t>
  </si>
  <si>
    <t>Mental health depression/suicide11</t>
  </si>
  <si>
    <t>Drugs &amp; alcohol abuse12</t>
  </si>
  <si>
    <t>Environmental hazards13</t>
  </si>
  <si>
    <t>Obesity/weight loss issues14</t>
  </si>
  <si>
    <t>Transportation15</t>
  </si>
  <si>
    <t>Cancer16</t>
  </si>
  <si>
    <t>Response19</t>
  </si>
  <si>
    <t>Response20</t>
  </si>
  <si>
    <t>Response21</t>
  </si>
  <si>
    <t>Response22</t>
  </si>
  <si>
    <t>Response23</t>
  </si>
  <si>
    <t>Response24</t>
  </si>
  <si>
    <t>Response25</t>
  </si>
  <si>
    <t>Response26</t>
  </si>
  <si>
    <t>Response27</t>
  </si>
  <si>
    <t>Environmental Hazards</t>
  </si>
  <si>
    <t>Vaccine Preventable Diseases</t>
  </si>
  <si>
    <t>Grand Total</t>
  </si>
  <si>
    <t>Count of Respondents</t>
  </si>
  <si>
    <t>Child Health &amp; Wellness</t>
  </si>
  <si>
    <t>Drugs &amp; Alcohol Abuse</t>
  </si>
  <si>
    <t>Heart Disease &amp; Stroke</t>
  </si>
  <si>
    <t>HIV/AIDS &amp; STDs</t>
  </si>
  <si>
    <t>Mental Health Depression/Suicide</t>
  </si>
  <si>
    <t>Obesity/Weight Loss Issues</t>
  </si>
  <si>
    <t>Women’s Health &amp; Wellness</t>
  </si>
  <si>
    <t>Town, Zip Code</t>
  </si>
  <si>
    <t>Asthma/Lung Disease</t>
  </si>
  <si>
    <t>Column14</t>
  </si>
  <si>
    <t>Cultural/Religious Beliefs</t>
  </si>
  <si>
    <t>Don’t Know How to Find Doctors</t>
  </si>
  <si>
    <t>Don’t Understand Need to See a Doctor</t>
  </si>
  <si>
    <t>Lack of Availability of Doctors</t>
  </si>
  <si>
    <t>Language Barriers</t>
  </si>
  <si>
    <t>No Insurance</t>
  </si>
  <si>
    <t>There are no Barriers</t>
  </si>
  <si>
    <t>Unable to Pay Co-pays/Deductibles</t>
  </si>
  <si>
    <t>Clean Air &amp; Water</t>
  </si>
  <si>
    <t>Drug &amp; Alcohol Rehabilitation Services</t>
  </si>
  <si>
    <t>Healthier Food Choices</t>
  </si>
  <si>
    <t>Job Opportunities</t>
  </si>
  <si>
    <t>Mental Health Services</t>
  </si>
  <si>
    <t>Recreation Facilities</t>
  </si>
  <si>
    <t>Safe Childcare Options</t>
  </si>
  <si>
    <t>Safe Places to Walk/Play</t>
  </si>
  <si>
    <t>Safe Worksites</t>
  </si>
  <si>
    <t>Smoking Cessation Programs</t>
  </si>
  <si>
    <t>Weight Loss Programs</t>
  </si>
  <si>
    <t>Blood Pressure</t>
  </si>
  <si>
    <t>Dental Screenings</t>
  </si>
  <si>
    <t>Disease Outbreak Information</t>
  </si>
  <si>
    <t>Drug &amp; Alcohol</t>
  </si>
  <si>
    <t>Eating Disorders</t>
  </si>
  <si>
    <t>Emergency Preparedness</t>
  </si>
  <si>
    <t>Exercise/Physical Activity</t>
  </si>
  <si>
    <t>Heart Disease</t>
  </si>
  <si>
    <t>Importance of Routine Well Check Ups</t>
  </si>
  <si>
    <t>Mental Health/Depression</t>
  </si>
  <si>
    <t>Prenatal Care</t>
  </si>
  <si>
    <t>Suicide Prevention</t>
  </si>
  <si>
    <t>Vaccination Immunizations</t>
  </si>
  <si>
    <t>Doctor/Health Professional</t>
  </si>
  <si>
    <t>Family or Friends</t>
  </si>
  <si>
    <t>Newspaper/Magazines</t>
  </si>
  <si>
    <t>Religious Organization</t>
  </si>
  <si>
    <t>School/College</t>
  </si>
  <si>
    <t>Where do you and your family get most of your health information?</t>
  </si>
  <si>
    <t>County Count</t>
  </si>
  <si>
    <t>Total</t>
  </si>
  <si>
    <t>Percent of those who responded</t>
  </si>
  <si>
    <t>Income Count</t>
  </si>
  <si>
    <t>Gender Count</t>
  </si>
  <si>
    <t>Age Group Count</t>
  </si>
  <si>
    <t>18-24</t>
  </si>
  <si>
    <t>25-34</t>
  </si>
  <si>
    <t>35-44</t>
  </si>
  <si>
    <t>45-54</t>
  </si>
  <si>
    <t>55-64</t>
  </si>
  <si>
    <t>65+</t>
  </si>
  <si>
    <t>Insurance Count</t>
  </si>
  <si>
    <t>No, but did in past</t>
  </si>
  <si>
    <t>Race Count</t>
  </si>
  <si>
    <t>Employment Count</t>
  </si>
  <si>
    <t>Employed for Wages</t>
  </si>
  <si>
    <t>Military</t>
  </si>
  <si>
    <t>Out of work and looking</t>
  </si>
  <si>
    <t>Out of work, but not looking</t>
  </si>
  <si>
    <t>Education Count</t>
  </si>
  <si>
    <t>K-8th</t>
  </si>
  <si>
    <t>Question</t>
  </si>
  <si>
    <t>Answer</t>
  </si>
  <si>
    <t>Value</t>
  </si>
  <si>
    <t>Percentage</t>
  </si>
  <si>
    <t>Rank</t>
  </si>
  <si>
    <t>Queens</t>
  </si>
  <si>
    <t>Miller Place, 11764</t>
  </si>
  <si>
    <t>Setauket, 11733</t>
  </si>
  <si>
    <t>Wading River, 11792</t>
  </si>
  <si>
    <t>West Sayville, 11796</t>
  </si>
  <si>
    <t>Sayville, 11782</t>
  </si>
  <si>
    <t>Hauppauge, 11788</t>
  </si>
  <si>
    <t>Allenwood, 11021</t>
  </si>
  <si>
    <t>Albertson, 11507</t>
  </si>
  <si>
    <t>Portuguese</t>
  </si>
  <si>
    <t>Korean</t>
  </si>
  <si>
    <t>Brookville, 11545</t>
  </si>
  <si>
    <t>Ridge, 11961</t>
  </si>
  <si>
    <t>French Creole</t>
  </si>
  <si>
    <t>Rocky Point, 11778</t>
  </si>
  <si>
    <t>Garden City, 11530</t>
  </si>
  <si>
    <t>What prevents you and your family from getting medical treatment? (Please check up to 3)</t>
  </si>
  <si>
    <t>Other (please specify)15</t>
  </si>
  <si>
    <t>Fear (e.g. not ready to face/discuss health problem;immigration status)</t>
  </si>
  <si>
    <t>Fear (e.g. not ready to face/discuss health problem; immigration status)</t>
  </si>
  <si>
    <t>Islip Manor, 11751</t>
  </si>
  <si>
    <t>Centerport, 11721</t>
  </si>
  <si>
    <t>Huntington Station, 11747</t>
  </si>
  <si>
    <t>Greenlawn, 11740</t>
  </si>
  <si>
    <t>Garden City, 11536</t>
  </si>
  <si>
    <t>Garden City South, 11530</t>
  </si>
  <si>
    <t>Do you have access to reliable internet in your home?</t>
  </si>
  <si>
    <t>What type of insurance do you have? (select all that apply)</t>
  </si>
  <si>
    <t>Private/Commercial</t>
  </si>
  <si>
    <t>Medicare</t>
  </si>
  <si>
    <t>Medicare,Private/Commercial</t>
  </si>
  <si>
    <t>Medicaid</t>
  </si>
  <si>
    <t>English,Spanish</t>
  </si>
  <si>
    <t>Medicare,No Insurance</t>
  </si>
  <si>
    <t>Medicaid,Medicare,Private/Commercial</t>
  </si>
  <si>
    <t>Medicaid,Medicare</t>
  </si>
  <si>
    <t>Medicaid,Private/Commercial</t>
  </si>
  <si>
    <t>English,Haitian Creole,French Creole</t>
  </si>
  <si>
    <t xml:space="preserve">What type of insurance do you have? </t>
  </si>
  <si>
    <t>OTHER</t>
  </si>
  <si>
    <t>Fear (e.g. not ready to face/discuss health problem;immigration status)14</t>
  </si>
  <si>
    <t>DENOMINATOR</t>
  </si>
  <si>
    <t>Q1 SUFFOLK</t>
  </si>
  <si>
    <t>Q2 SUFFOLK</t>
  </si>
  <si>
    <t>Q3 SUFFOLK</t>
  </si>
  <si>
    <t>Q4 SUFFOLK</t>
  </si>
  <si>
    <t>Q5 SUFFOLK</t>
  </si>
  <si>
    <t>Q6 SUFFOLK</t>
  </si>
  <si>
    <t>Q1 NASSAU</t>
  </si>
  <si>
    <t>Q2 NASSAU</t>
  </si>
  <si>
    <t>Q3 NASSAU</t>
  </si>
  <si>
    <t>Q4 NASSAU</t>
  </si>
  <si>
    <t>Q5 NASSAU</t>
  </si>
  <si>
    <t>Q6 NASSAU</t>
  </si>
  <si>
    <t>(For 2018 the NY uninsured rate was 4.7%)</t>
  </si>
  <si>
    <t>Insurance Type</t>
  </si>
  <si>
    <t>(National 2021 poverty level for a family of 4 is $26,500. The NYS rate in 2019 was 13.0%)</t>
  </si>
  <si>
    <t>What prevents people you and your family from getting medical treatment? (Please check up to 3)</t>
  </si>
  <si>
    <t>Man</t>
  </si>
  <si>
    <t>Asian</t>
  </si>
  <si>
    <t>Not Hispanic or Latino</t>
  </si>
  <si>
    <t>Woman</t>
  </si>
  <si>
    <t>White</t>
  </si>
  <si>
    <t>Hispanic or Latino</t>
  </si>
  <si>
    <t>Two or more races</t>
  </si>
  <si>
    <t>Baiting Hollow, 11933</t>
  </si>
  <si>
    <t>Peconic, 11958</t>
  </si>
  <si>
    <t>Black or African American</t>
  </si>
  <si>
    <t>English, Haitian Creole</t>
  </si>
  <si>
    <t>Cold Spring Harbor, 11724</t>
  </si>
  <si>
    <t>English, Italian</t>
  </si>
  <si>
    <t>English, Spanish</t>
  </si>
  <si>
    <t>English, Hindi</t>
  </si>
  <si>
    <t>Brightwaters, 11718</t>
  </si>
  <si>
    <t>South Huntington, 11746</t>
  </si>
  <si>
    <t>English, Farsi</t>
  </si>
  <si>
    <t>Moriches, 11955</t>
  </si>
  <si>
    <t>Medicare, Private/Commercial</t>
  </si>
  <si>
    <t>Transgender</t>
  </si>
  <si>
    <t>English, Spanish, Farsi, Polish, Korean, Hindi</t>
  </si>
  <si>
    <t>American Indian and Alaska Native</t>
  </si>
  <si>
    <t>English, Spanish, Hindi</t>
  </si>
  <si>
    <t>English, Korean</t>
  </si>
  <si>
    <t>Native Hawaiian and Other Pacific Islander</t>
  </si>
  <si>
    <t>Polish, Korean</t>
  </si>
  <si>
    <t>Syosset, 11773</t>
  </si>
  <si>
    <t>Amityville, 11708</t>
  </si>
  <si>
    <t>Medicaid, Medicare</t>
  </si>
  <si>
    <t>Herricks, 11040</t>
  </si>
  <si>
    <t>Garden City, 11531</t>
  </si>
  <si>
    <t>Haitian Creole</t>
  </si>
  <si>
    <t>English, Portuguese, Spanish</t>
  </si>
  <si>
    <t>Polish</t>
  </si>
  <si>
    <t>English, Chinese</t>
  </si>
  <si>
    <t>English, Spanish, Italian</t>
  </si>
  <si>
    <t>English, Spanish, Polish</t>
  </si>
  <si>
    <t>English, Polish</t>
  </si>
  <si>
    <t>Babylon, 11703</t>
  </si>
  <si>
    <t>Great Neck, 11026</t>
  </si>
  <si>
    <t>Medicaid, Private/Commercial</t>
  </si>
  <si>
    <t>Baxter Estates, 11050</t>
  </si>
  <si>
    <t>Head of the Harbor, 11780</t>
  </si>
  <si>
    <t>Lake Success, 11020</t>
  </si>
  <si>
    <t>Smithtown, 11745</t>
  </si>
  <si>
    <t>English, Haitian Creole, French Creole</t>
  </si>
  <si>
    <t>Haitian Creole, French Creole</t>
  </si>
  <si>
    <t>East Hills, 11576</t>
  </si>
  <si>
    <t>Aquebogue, 11931</t>
  </si>
  <si>
    <t>Halesite, 11743</t>
  </si>
  <si>
    <t>English,Spanish,Italian,</t>
  </si>
  <si>
    <t>Don't understand need to see doctor/Misinformation/Lack of health literacy</t>
  </si>
  <si>
    <t>Italian</t>
  </si>
  <si>
    <t>Medicaid,</t>
  </si>
  <si>
    <t>Unknown</t>
  </si>
  <si>
    <t>Franklin Square, 11010</t>
  </si>
  <si>
    <t>Roslyn, 11576</t>
  </si>
  <si>
    <t>North New Hyde Park, 11040</t>
  </si>
  <si>
    <t>English,Spanish,Italian</t>
  </si>
  <si>
    <t>Hewlett Neck, 11598</t>
  </si>
  <si>
    <t>Lakeview, 11552</t>
  </si>
  <si>
    <t>West Hempstead, 11552</t>
  </si>
  <si>
    <t>0</t>
  </si>
  <si>
    <t>Do you have a smartphone</t>
  </si>
  <si>
    <t>Have a Smartphone</t>
  </si>
  <si>
    <t>Have A Smartphone</t>
  </si>
  <si>
    <t>Covid</t>
  </si>
  <si>
    <t>Availability and high cost</t>
  </si>
  <si>
    <t>Long wait time, inconvenient appointments, long waits in waiting rooms</t>
  </si>
  <si>
    <t xml:space="preserve">Not having a doctor listen to me, my life style family life.  How did this issue come from.  Listening to me as a whole not just the symptom </t>
  </si>
  <si>
    <t>Too many exclusions dealing with insurance</t>
  </si>
  <si>
    <t xml:space="preserve">Functional health care, yoga community , </t>
  </si>
  <si>
    <t>Atlantic Beach, 11509</t>
  </si>
  <si>
    <t>Oakdale, 11769</t>
  </si>
  <si>
    <t xml:space="preserve">Covid19 </t>
  </si>
  <si>
    <t>COVID</t>
  </si>
  <si>
    <t>rising COVID-19 rates</t>
  </si>
  <si>
    <t>blood pressure</t>
  </si>
  <si>
    <t>housing</t>
  </si>
  <si>
    <t xml:space="preserve">Opioid use specifically </t>
  </si>
  <si>
    <t>stubborness</t>
  </si>
  <si>
    <t>not sure</t>
  </si>
  <si>
    <t>I really don't know</t>
  </si>
  <si>
    <t>dehydration, not able to take nourishment,experienced high fevers</t>
  </si>
  <si>
    <t>I</t>
  </si>
  <si>
    <t xml:space="preserve">Getting killed working late nyc.  I've been a victim too too may time.  Sooner late it will be more than broken bones &amp; bruises </t>
  </si>
  <si>
    <t>telehealth-mental health services for high school students</t>
  </si>
  <si>
    <t>Doctors dismissive towards issue</t>
  </si>
  <si>
    <t>Alzheimer's / Dementia</t>
  </si>
  <si>
    <t xml:space="preserve">No issue I go to doc </t>
  </si>
  <si>
    <t>Senior center</t>
  </si>
  <si>
    <t>Dr. Fauci and President Biden</t>
  </si>
  <si>
    <t>unknown</t>
  </si>
  <si>
    <t>Carle Place, 11514</t>
  </si>
  <si>
    <t>New Cassel, 11590</t>
  </si>
  <si>
    <t>North Massapequa, 11758</t>
  </si>
  <si>
    <t>Lido Beach, 11561</t>
  </si>
  <si>
    <t>Woodbury, 11797</t>
  </si>
  <si>
    <t>Oceanside, 11572</t>
  </si>
  <si>
    <t>English,Chinese</t>
  </si>
  <si>
    <t>Bellerose Terrace, 11001</t>
  </si>
  <si>
    <t>Floral Park, 11002</t>
  </si>
  <si>
    <t>English,Italian</t>
  </si>
  <si>
    <t>Woodsburgh, 11598</t>
  </si>
  <si>
    <t>Lawrence, 11559</t>
  </si>
  <si>
    <t>Mineola, 11501</t>
  </si>
  <si>
    <t>Don't understand need to see doctor</t>
  </si>
  <si>
    <t>Hempstead, 11549</t>
  </si>
  <si>
    <t>Farsi,Polish</t>
  </si>
  <si>
    <t>There were a total of 529 respondents during January-December of 2022. Of those who took the survey a general description of their demographic characteristics are found below:</t>
  </si>
  <si>
    <t>There were 125 Nassau County respondents. Of those who took the survey a general description of their demographic characteristics are found below:</t>
  </si>
  <si>
    <t>There were 353 Suffolk County respondents. Of those who took the survey a general description of their demographic characteristics are found below:</t>
  </si>
  <si>
    <t>50% of those surveyed were Hispanic or Latino</t>
  </si>
  <si>
    <t>21% of those surveyed were Hispanic or Latino</t>
  </si>
  <si>
    <t>60% of those surveyed were Hispanic or Latino</t>
  </si>
  <si>
    <t>10001</t>
  </si>
  <si>
    <t>11003</t>
  </si>
  <si>
    <t>11231</t>
  </si>
  <si>
    <t>11236</t>
  </si>
  <si>
    <t>11355</t>
  </si>
  <si>
    <t>11367</t>
  </si>
  <si>
    <t>11372</t>
  </si>
  <si>
    <t>11375</t>
  </si>
  <si>
    <t>11414</t>
  </si>
  <si>
    <t>11428</t>
  </si>
  <si>
    <t>11429</t>
  </si>
  <si>
    <t>11456</t>
  </si>
  <si>
    <t>11692</t>
  </si>
  <si>
    <t>22407</t>
  </si>
  <si>
    <t>* 0 &amp; Blanks represent no response</t>
  </si>
  <si>
    <t>Suffolk County Ranking Jan-Dec 2022</t>
  </si>
  <si>
    <t>Nassau County Ranking Jan-Dec 2022</t>
  </si>
  <si>
    <t>Gender Identity</t>
  </si>
  <si>
    <t>Ethnicity</t>
  </si>
  <si>
    <t>Race</t>
  </si>
  <si>
    <t>Income Range</t>
  </si>
  <si>
    <t>Age Group</t>
  </si>
  <si>
    <t>Highest Level of Education</t>
  </si>
  <si>
    <t>Employment</t>
  </si>
  <si>
    <t>Insurance status</t>
  </si>
  <si>
    <t>Other Gender</t>
  </si>
  <si>
    <t>Native Hawaiian/Pacific Islander</t>
  </si>
  <si>
    <t>American Indian/Alaska Native</t>
  </si>
  <si>
    <t>Other Race</t>
  </si>
  <si>
    <t>Income $0-$19,999</t>
  </si>
  <si>
    <t>Income $20,000 to $34,999</t>
  </si>
  <si>
    <t>Income $35,000 to $49,999</t>
  </si>
  <si>
    <t>income $50,000 to $74,999</t>
  </si>
  <si>
    <t>Income $75,000 to $125,000</t>
  </si>
  <si>
    <t>Income Over $125,000</t>
  </si>
  <si>
    <t>Age 18-24</t>
  </si>
  <si>
    <t>Age 25 to 34</t>
  </si>
  <si>
    <t>Age 35 to 44</t>
  </si>
  <si>
    <t>Age 45 to 54</t>
  </si>
  <si>
    <t>Age 55 to 64</t>
  </si>
  <si>
    <t>Age 65+</t>
  </si>
  <si>
    <t>K-8 Grade</t>
  </si>
  <si>
    <t>High School</t>
  </si>
  <si>
    <t>Some High School</t>
  </si>
  <si>
    <t>College</t>
  </si>
  <si>
    <t>Some College</t>
  </si>
  <si>
    <t>Technical School</t>
  </si>
  <si>
    <t>Graduate School</t>
  </si>
  <si>
    <t>Out of Work and Looking</t>
  </si>
  <si>
    <t>Out of Work Not Looking</t>
  </si>
  <si>
    <t>Health Insurance Yes</t>
  </si>
  <si>
    <t>Health Insurance No</t>
  </si>
  <si>
    <t>Health Insurance In the Past</t>
  </si>
  <si>
    <t>Private/Commerical</t>
  </si>
  <si>
    <t>Not Insured</t>
  </si>
  <si>
    <t>Total Respondents</t>
  </si>
  <si>
    <t>Zip Code</t>
  </si>
  <si>
    <t>There were a total of 529 respondents to the CHAS Survey during January-December of 2022.</t>
  </si>
  <si>
    <t>Suffolk County</t>
  </si>
  <si>
    <t>Nassau County</t>
  </si>
  <si>
    <t xml:space="preserve">Percentage </t>
  </si>
  <si>
    <t>Sum of Column Percentages</t>
  </si>
  <si>
    <t>To Paste into and copy for report</t>
  </si>
  <si>
    <t>Jan-Dec 2022 Rank</t>
  </si>
  <si>
    <r>
      <t>1.</t>
    </r>
    <r>
      <rPr>
        <sz val="7"/>
        <color theme="1"/>
        <rFont val="Times New Roman"/>
        <family val="1"/>
      </rPr>
      <t xml:space="preserve">       </t>
    </r>
    <r>
      <rPr>
        <sz val="11"/>
        <color theme="1"/>
        <rFont val="Calibri"/>
        <family val="2"/>
        <scheme val="minor"/>
      </rPr>
      <t xml:space="preserve">When asked: </t>
    </r>
    <r>
      <rPr>
        <b/>
        <i/>
        <sz val="11"/>
        <color theme="1"/>
        <rFont val="Calibri"/>
        <family val="2"/>
        <scheme val="minor"/>
      </rPr>
      <t>What are the biggest ongoing health concerns in THE COMMUNITY WHERE YOU LIVE?</t>
    </r>
  </si>
  <si>
    <r>
      <t>2.</t>
    </r>
    <r>
      <rPr>
        <sz val="7"/>
        <color theme="1"/>
        <rFont val="Times New Roman"/>
        <family val="1"/>
      </rPr>
      <t xml:space="preserve">       </t>
    </r>
    <r>
      <rPr>
        <sz val="11"/>
        <color theme="1"/>
        <rFont val="Calibri"/>
        <family val="2"/>
        <scheme val="minor"/>
      </rPr>
      <t xml:space="preserve">When asked: </t>
    </r>
    <r>
      <rPr>
        <b/>
        <i/>
        <sz val="11"/>
        <color theme="1"/>
        <rFont val="Calibri"/>
        <family val="2"/>
        <scheme val="minor"/>
      </rPr>
      <t>What are the biggest ongoing health concerns for YOURSELF?</t>
    </r>
  </si>
  <si>
    <r>
      <t>3.</t>
    </r>
    <r>
      <rPr>
        <b/>
        <i/>
        <sz val="7"/>
        <color theme="1"/>
        <rFont val="Times New Roman"/>
        <family val="1"/>
      </rPr>
      <t xml:space="preserve">       </t>
    </r>
    <r>
      <rPr>
        <sz val="11"/>
        <color theme="1"/>
        <rFont val="Calibri"/>
        <family val="2"/>
        <scheme val="minor"/>
      </rPr>
      <t xml:space="preserve">When asked: </t>
    </r>
    <r>
      <rPr>
        <b/>
        <i/>
        <sz val="11"/>
        <color theme="1"/>
        <rFont val="Calibri"/>
        <family val="2"/>
        <scheme val="minor"/>
      </rPr>
      <t>What prevents you and your family from getting medical treatment?</t>
    </r>
  </si>
  <si>
    <r>
      <t>4.</t>
    </r>
    <r>
      <rPr>
        <b/>
        <i/>
        <sz val="7"/>
        <color theme="1"/>
        <rFont val="Times New Roman"/>
        <family val="1"/>
      </rPr>
      <t xml:space="preserve">       </t>
    </r>
    <r>
      <rPr>
        <sz val="11"/>
        <color theme="1"/>
        <rFont val="Calibri"/>
        <family val="2"/>
        <scheme val="minor"/>
      </rPr>
      <t xml:space="preserve">When asked: </t>
    </r>
    <r>
      <rPr>
        <b/>
        <i/>
        <sz val="11"/>
        <color theme="1"/>
        <rFont val="Calibri"/>
        <family val="2"/>
        <scheme val="minor"/>
      </rPr>
      <t>Which is MOST needed to improve the health of your community?</t>
    </r>
  </si>
  <si>
    <r>
      <t>5.</t>
    </r>
    <r>
      <rPr>
        <sz val="7"/>
        <color theme="1"/>
        <rFont val="Times New Roman"/>
        <family val="1"/>
      </rPr>
      <t xml:space="preserve">      </t>
    </r>
    <r>
      <rPr>
        <sz val="11"/>
        <color theme="1"/>
        <rFont val="Calibri"/>
        <family val="2"/>
        <scheme val="minor"/>
      </rPr>
      <t xml:space="preserve">When asked: </t>
    </r>
    <r>
      <rPr>
        <b/>
        <i/>
        <sz val="11"/>
        <color theme="1"/>
        <rFont val="Calibri"/>
        <family val="2"/>
        <scheme val="minor"/>
      </rPr>
      <t>What health screenings or education/information services are needed in your community?</t>
    </r>
  </si>
  <si>
    <r>
      <t>6.</t>
    </r>
    <r>
      <rPr>
        <b/>
        <i/>
        <sz val="7"/>
        <color theme="1"/>
        <rFont val="Times New Roman"/>
        <family val="1"/>
      </rPr>
      <t xml:space="preserve">      </t>
    </r>
    <r>
      <rPr>
        <sz val="11"/>
        <color theme="1"/>
        <rFont val="Calibri"/>
        <family val="2"/>
        <scheme val="minor"/>
      </rPr>
      <t xml:space="preserve">Finally, when asked: </t>
    </r>
    <r>
      <rPr>
        <b/>
        <i/>
        <sz val="11"/>
        <color theme="1"/>
        <rFont val="Calibri"/>
        <family val="2"/>
        <scheme val="minor"/>
      </rPr>
      <t>Where do you and your family get most of your health information?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</si>
</sst>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font>
      <sz val="11"/>
      <color theme="1"/>
      <name val="Calibri"/>
      <family val="2"/>
      <scheme val="minor"/>
    </font>
    <font>
      <sz val="11"/>
      <name val="Arial"/>
      <family val="2"/>
    </font>
    <font>
      <sz val="10"/>
      <name val="Segoe UI"/>
      <family val="2"/>
    </font>
    <font>
      <sz val="10"/>
      <name val="Segoe UI"/>
      <family val="2"/>
    </font>
    <font>
      <sz val="10"/>
      <color theme="1"/>
      <name val="Segoe UI"/>
      <family val="2"/>
    </font>
    <font>
      <b/>
      <sz val="10"/>
      <color theme="0"/>
      <name val="Segoe UI"/>
      <family val="2"/>
    </font>
    <font>
      <sz val="11"/>
      <color theme="0"/>
      <name val="Calibri"/>
      <family val="2"/>
      <scheme val="minor"/>
    </font>
    <font>
      <sz val="10"/>
      <color theme="0"/>
      <name val="Segoe UI"/>
      <family val="2"/>
    </font>
    <font>
      <b/>
      <sz val="24"/>
      <name val="Segoe UI"/>
      <family val="2"/>
    </font>
    <font>
      <b/>
      <sz val="10"/>
      <name val="Segoe UI"/>
      <family val="2"/>
    </font>
    <font>
      <sz val="11"/>
      <color theme="1"/>
      <name val="Calibri"/>
      <family val="2"/>
      <scheme val="minor"/>
    </font>
    <font>
      <b/>
      <sz val="16"/>
      <name val="Segoe UI"/>
      <family val="2"/>
    </font>
    <font>
      <i/>
      <sz val="10"/>
      <name val="Segoe UI"/>
      <family val="2"/>
    </font>
    <font>
      <b/>
      <sz val="14"/>
      <name val="Segoe UI"/>
      <family val="2"/>
    </font>
    <font>
      <sz val="10"/>
      <color theme="1"/>
      <name val="Calibri"/>
      <family val="2"/>
      <scheme val="minor"/>
    </font>
    <font>
      <sz val="11"/>
      <color rgb="FFFF0000"/>
      <name val="Calibri"/>
      <family val="2"/>
      <scheme val="minor"/>
    </font>
    <font>
      <sz val="11"/>
      <name val="Calibri"/>
      <family val="2"/>
      <scheme val="minor"/>
    </font>
    <font>
      <b/>
      <sz val="10"/>
      <color theme="0" tint="-4.9989318521683403E-2"/>
      <name val="Segoe UI"/>
      <family val="2"/>
    </font>
    <font>
      <sz val="10"/>
      <color theme="0" tint="-4.9989318521683403E-2"/>
      <name val="Segoe UI"/>
      <family val="2"/>
    </font>
    <font>
      <sz val="10"/>
      <color rgb="FFFF0000"/>
      <name val="Segoe UI"/>
      <family val="2"/>
    </font>
    <font>
      <b/>
      <sz val="10"/>
      <color rgb="FFFF0000"/>
      <name val="Segoe UI"/>
      <family val="2"/>
    </font>
    <font>
      <sz val="11"/>
      <color rgb="FF00B050"/>
      <name val="Calibri"/>
      <family val="2"/>
      <scheme val="minor"/>
    </font>
    <font>
      <sz val="11"/>
      <color theme="1"/>
      <name val="Calibri"/>
      <scheme val="minor"/>
    </font>
    <font>
      <sz val="11"/>
      <color theme="3"/>
      <name val="Calibri"/>
      <family val="2"/>
      <scheme val="minor"/>
    </font>
    <font>
      <sz val="11"/>
      <color theme="5" tint="0.39997558519241921"/>
      <name val="Calibri"/>
      <family val="2"/>
      <scheme val="minor"/>
    </font>
    <font>
      <sz val="10"/>
      <color theme="1"/>
      <name val="Segoe UI"/>
    </font>
    <font>
      <sz val="11"/>
      <color rgb="FFFF0000"/>
      <name val="Calibri"/>
      <scheme val="minor"/>
    </font>
    <font>
      <sz val="11"/>
      <name val="Calibri"/>
      <scheme val="minor"/>
    </font>
    <font>
      <sz val="10"/>
      <color rgb="FFFF0000"/>
      <name val="Segoe UI"/>
    </font>
    <font>
      <b/>
      <u/>
      <sz val="11"/>
      <color theme="1"/>
      <name val="Calibri"/>
      <family val="2"/>
      <scheme val="minor"/>
    </font>
    <font>
      <b/>
      <sz val="18"/>
      <color theme="1"/>
      <name val="Calibri"/>
      <family val="2"/>
      <scheme val="minor"/>
    </font>
    <font>
      <b/>
      <sz val="10"/>
      <color rgb="FF000000"/>
      <name val="Times New Roman"/>
      <family val="1"/>
    </font>
    <font>
      <sz val="10"/>
      <color rgb="FF000000"/>
      <name val="Times New Roman"/>
      <family val="1"/>
    </font>
    <font>
      <sz val="10"/>
      <color theme="1"/>
      <name val="Times New Roman"/>
      <family val="1"/>
    </font>
    <font>
      <b/>
      <sz val="10"/>
      <color theme="1"/>
      <name val="Times New Roman"/>
      <family val="1"/>
    </font>
    <font>
      <sz val="7"/>
      <color theme="1"/>
      <name val="Times New Roman"/>
      <family val="1"/>
    </font>
    <font>
      <b/>
      <i/>
      <sz val="11"/>
      <color theme="1"/>
      <name val="Calibri"/>
      <family val="2"/>
      <scheme val="minor"/>
    </font>
    <font>
      <sz val="12"/>
      <color theme="1"/>
      <name val="Calibri"/>
      <family val="2"/>
      <scheme val="minor"/>
    </font>
    <font>
      <b/>
      <i/>
      <sz val="7"/>
      <color theme="1"/>
      <name val="Times New Roman"/>
      <family val="1"/>
    </font>
    <font>
      <b/>
      <i/>
      <sz val="12"/>
      <color theme="1"/>
      <name val="Calibri"/>
      <family val="2"/>
      <scheme val="minor"/>
    </font>
  </fonts>
  <fills count="8">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2"/>
        <bgColor indexed="64"/>
      </patternFill>
    </fill>
    <fill>
      <patternFill patternType="solid">
        <fgColor rgb="FFFFFF00"/>
        <bgColor indexed="64"/>
      </patternFill>
    </fill>
    <fill>
      <patternFill patternType="solid">
        <fgColor rgb="FF00B0F0"/>
        <bgColor indexed="64"/>
      </patternFill>
    </fill>
    <fill>
      <patternFill patternType="solid">
        <fgColor rgb="FFC5D9F1"/>
        <bgColor indexed="64"/>
      </patternFill>
    </fill>
  </fills>
  <borders count="36">
    <border>
      <left/>
      <right/>
      <top/>
      <bottom/>
      <diagonal/>
    </border>
    <border>
      <left style="thin">
        <color indexed="64"/>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top style="thin">
        <color theme="4" tint="0.39997558519241921"/>
      </top>
      <bottom/>
      <diagonal/>
    </border>
    <border>
      <left/>
      <right style="thin">
        <color indexed="64"/>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bottom style="thin">
        <color theme="4" tint="0.39997558519241921"/>
      </bottom>
      <diagonal/>
    </border>
    <border>
      <left style="thin">
        <color indexed="64"/>
      </left>
      <right/>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theme="4" tint="0.39997558519241921"/>
      </right>
      <top/>
      <bottom style="thin">
        <color theme="4" tint="0.39997558519241921"/>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s>
  <cellStyleXfs count="5">
    <xf numFmtId="0" fontId="0" fillId="0" borderId="0"/>
    <xf numFmtId="0" fontId="2" fillId="0" borderId="0"/>
    <xf numFmtId="0" fontId="3" fillId="0" borderId="0"/>
    <xf numFmtId="9" fontId="3" fillId="0" borderId="0" applyFont="0" applyFill="0" applyBorder="0" applyAlignment="0" applyProtection="0"/>
    <xf numFmtId="9" fontId="10" fillId="0" borderId="0" applyFont="0" applyFill="0" applyBorder="0" applyAlignment="0" applyProtection="0"/>
  </cellStyleXfs>
  <cellXfs count="241">
    <xf numFmtId="0" fontId="0" fillId="0" borderId="0" xfId="0"/>
    <xf numFmtId="0" fontId="1" fillId="0" borderId="0" xfId="0" applyFont="1" applyFill="1" applyBorder="1"/>
    <xf numFmtId="0" fontId="5" fillId="2" borderId="4" xfId="0" applyFont="1" applyFill="1" applyBorder="1"/>
    <xf numFmtId="0" fontId="5" fillId="2" borderId="2" xfId="0" applyFont="1" applyFill="1" applyBorder="1"/>
    <xf numFmtId="0" fontId="5" fillId="2" borderId="3" xfId="0" applyFont="1" applyFill="1" applyBorder="1"/>
    <xf numFmtId="0" fontId="0" fillId="0" borderId="0" xfId="0"/>
    <xf numFmtId="0" fontId="0" fillId="0" borderId="1" xfId="0" applyBorder="1"/>
    <xf numFmtId="0" fontId="0" fillId="0" borderId="0" xfId="0" applyFont="1"/>
    <xf numFmtId="0" fontId="0" fillId="3" borderId="2" xfId="0" applyFont="1" applyFill="1" applyBorder="1"/>
    <xf numFmtId="0" fontId="0" fillId="0" borderId="2" xfId="0" applyFont="1" applyBorder="1"/>
    <xf numFmtId="0" fontId="6" fillId="0" borderId="0" xfId="0" applyFont="1"/>
    <xf numFmtId="0" fontId="7" fillId="0" borderId="0" xfId="0" applyFont="1"/>
    <xf numFmtId="0" fontId="7" fillId="0" borderId="0" xfId="1" applyFont="1" applyFill="1" applyBorder="1"/>
    <xf numFmtId="0" fontId="7" fillId="0" borderId="1" xfId="1" applyFont="1" applyFill="1" applyBorder="1"/>
    <xf numFmtId="0" fontId="5" fillId="2" borderId="9" xfId="0" applyFont="1" applyFill="1" applyBorder="1"/>
    <xf numFmtId="0" fontId="0" fillId="0" borderId="8" xfId="0" applyBorder="1"/>
    <xf numFmtId="2" fontId="0" fillId="0" borderId="8" xfId="0" applyNumberFormat="1" applyBorder="1"/>
    <xf numFmtId="0" fontId="0" fillId="0" borderId="1" xfId="0" pivotButton="1" applyBorder="1"/>
    <xf numFmtId="0" fontId="0" fillId="0" borderId="0" xfId="0" applyNumberFormat="1"/>
    <xf numFmtId="2" fontId="0" fillId="0" borderId="0" xfId="0" applyNumberFormat="1"/>
    <xf numFmtId="0" fontId="0" fillId="0" borderId="1" xfId="0" applyBorder="1" applyAlignment="1">
      <alignment horizontal="left"/>
    </xf>
    <xf numFmtId="2" fontId="0" fillId="0" borderId="16" xfId="0" applyNumberFormat="1" applyBorder="1"/>
    <xf numFmtId="2" fontId="0" fillId="0" borderId="15" xfId="0" applyNumberFormat="1" applyBorder="1"/>
    <xf numFmtId="0" fontId="0" fillId="0" borderId="17" xfId="0" applyBorder="1" applyAlignment="1">
      <alignment horizontal="left"/>
    </xf>
    <xf numFmtId="0" fontId="0" fillId="0" borderId="17" xfId="0" applyNumberFormat="1" applyBorder="1"/>
    <xf numFmtId="0" fontId="0" fillId="0" borderId="12" xfId="0" applyBorder="1" applyAlignment="1">
      <alignment horizontal="left"/>
    </xf>
    <xf numFmtId="2" fontId="0" fillId="0" borderId="13" xfId="0" applyNumberFormat="1" applyBorder="1"/>
    <xf numFmtId="2" fontId="0" fillId="0" borderId="14" xfId="0" applyNumberFormat="1" applyBorder="1"/>
    <xf numFmtId="0" fontId="0" fillId="0" borderId="12" xfId="0" applyNumberFormat="1" applyBorder="1"/>
    <xf numFmtId="1" fontId="0" fillId="0" borderId="0" xfId="0" applyNumberFormat="1"/>
    <xf numFmtId="0" fontId="5" fillId="2" borderId="10" xfId="0" applyFont="1" applyFill="1" applyBorder="1"/>
    <xf numFmtId="0" fontId="5" fillId="2" borderId="11" xfId="0" applyFont="1" applyFill="1" applyBorder="1"/>
    <xf numFmtId="1" fontId="0" fillId="0" borderId="12" xfId="0" applyNumberFormat="1" applyBorder="1"/>
    <xf numFmtId="0" fontId="0" fillId="0" borderId="8" xfId="0" applyNumberFormat="1" applyBorder="1"/>
    <xf numFmtId="0" fontId="0" fillId="0" borderId="13" xfId="0" applyNumberFormat="1" applyBorder="1"/>
    <xf numFmtId="0" fontId="0" fillId="0" borderId="14" xfId="0" applyNumberFormat="1" applyBorder="1"/>
    <xf numFmtId="0" fontId="5" fillId="0" borderId="10" xfId="0" applyFont="1" applyFill="1" applyBorder="1"/>
    <xf numFmtId="0" fontId="0" fillId="0" borderId="6" xfId="0" applyFont="1" applyFill="1" applyBorder="1"/>
    <xf numFmtId="0" fontId="2" fillId="0" borderId="1" xfId="0" applyFont="1" applyBorder="1"/>
    <xf numFmtId="0" fontId="2" fillId="0" borderId="21" xfId="0" applyFont="1" applyBorder="1"/>
    <xf numFmtId="0" fontId="2" fillId="0" borderId="23" xfId="0" applyFont="1" applyFill="1" applyBorder="1"/>
    <xf numFmtId="9" fontId="9" fillId="0" borderId="24" xfId="4" applyFont="1" applyBorder="1"/>
    <xf numFmtId="0" fontId="2" fillId="0" borderId="23" xfId="0" applyFont="1" applyBorder="1"/>
    <xf numFmtId="0" fontId="0" fillId="0" borderId="24" xfId="0" applyBorder="1"/>
    <xf numFmtId="0" fontId="2" fillId="0" borderId="19" xfId="0" applyFont="1" applyBorder="1"/>
    <xf numFmtId="0" fontId="2" fillId="0" borderId="1" xfId="0" applyFont="1" applyFill="1" applyBorder="1"/>
    <xf numFmtId="0" fontId="4" fillId="0" borderId="1" xfId="0" applyFont="1" applyBorder="1"/>
    <xf numFmtId="0" fontId="4" fillId="0" borderId="8" xfId="0" applyFont="1" applyBorder="1"/>
    <xf numFmtId="0" fontId="4" fillId="0" borderId="1" xfId="0" applyFont="1" applyFill="1" applyBorder="1"/>
    <xf numFmtId="0" fontId="4" fillId="0" borderId="23" xfId="0" applyFont="1" applyFill="1" applyBorder="1"/>
    <xf numFmtId="0" fontId="4" fillId="0" borderId="24" xfId="0" applyFont="1" applyBorder="1"/>
    <xf numFmtId="0" fontId="4" fillId="0" borderId="0" xfId="0" applyFont="1"/>
    <xf numFmtId="0" fontId="4" fillId="0" borderId="18" xfId="0" applyFont="1" applyBorder="1"/>
    <xf numFmtId="0" fontId="4" fillId="0" borderId="22" xfId="0" applyFont="1" applyBorder="1"/>
    <xf numFmtId="0" fontId="4" fillId="0" borderId="19" xfId="0" applyFont="1" applyBorder="1"/>
    <xf numFmtId="0" fontId="2" fillId="0" borderId="26" xfId="0" applyFont="1" applyBorder="1"/>
    <xf numFmtId="9" fontId="9" fillId="0" borderId="27" xfId="4" applyFont="1" applyBorder="1"/>
    <xf numFmtId="0" fontId="4" fillId="0" borderId="14" xfId="0" applyFont="1" applyBorder="1"/>
    <xf numFmtId="1" fontId="2" fillId="0" borderId="8" xfId="4" applyNumberFormat="1" applyFont="1" applyBorder="1"/>
    <xf numFmtId="0" fontId="2" fillId="0" borderId="26" xfId="0" applyFont="1" applyFill="1" applyBorder="1"/>
    <xf numFmtId="0" fontId="14" fillId="0" borderId="0" xfId="0" applyFont="1"/>
    <xf numFmtId="0" fontId="9" fillId="0" borderId="12" xfId="0" applyFont="1" applyBorder="1"/>
    <xf numFmtId="0" fontId="9" fillId="0" borderId="13" xfId="0" applyFont="1" applyBorder="1"/>
    <xf numFmtId="0" fontId="9" fillId="0" borderId="14" xfId="0" applyFont="1" applyBorder="1"/>
    <xf numFmtId="0" fontId="12" fillId="0" borderId="12" xfId="0" applyFont="1" applyBorder="1"/>
    <xf numFmtId="0" fontId="2" fillId="0" borderId="14" xfId="0" applyFont="1" applyBorder="1"/>
    <xf numFmtId="0" fontId="2" fillId="0" borderId="0" xfId="0" applyFont="1"/>
    <xf numFmtId="2" fontId="2" fillId="0" borderId="0" xfId="0" applyNumberFormat="1" applyFont="1"/>
    <xf numFmtId="0" fontId="2" fillId="0" borderId="0" xfId="0" applyFont="1" applyFill="1" applyBorder="1"/>
    <xf numFmtId="0" fontId="2" fillId="0" borderId="16" xfId="0" applyFont="1" applyBorder="1"/>
    <xf numFmtId="0" fontId="12" fillId="0" borderId="12" xfId="0" applyFont="1" applyBorder="1" applyAlignment="1"/>
    <xf numFmtId="0" fontId="12" fillId="0" borderId="13" xfId="0" applyFont="1" applyBorder="1" applyAlignment="1"/>
    <xf numFmtId="0" fontId="12" fillId="0" borderId="14" xfId="0" applyFont="1" applyBorder="1" applyAlignment="1"/>
    <xf numFmtId="0" fontId="2" fillId="0" borderId="28" xfId="0" applyFont="1" applyFill="1" applyBorder="1"/>
    <xf numFmtId="0" fontId="2" fillId="0" borderId="16" xfId="0" applyFont="1" applyFill="1" applyBorder="1"/>
    <xf numFmtId="0" fontId="4" fillId="0" borderId="13" xfId="0" applyFont="1" applyBorder="1"/>
    <xf numFmtId="10" fontId="4" fillId="0" borderId="0" xfId="4" applyNumberFormat="1" applyFont="1"/>
    <xf numFmtId="2" fontId="4" fillId="0" borderId="0" xfId="0" applyNumberFormat="1" applyFont="1" applyFill="1" applyBorder="1"/>
    <xf numFmtId="0" fontId="4" fillId="0" borderId="8" xfId="0" applyFont="1" applyFill="1" applyBorder="1"/>
    <xf numFmtId="0" fontId="4" fillId="0" borderId="17" xfId="0" applyFont="1" applyBorder="1"/>
    <xf numFmtId="10" fontId="4" fillId="0" borderId="16" xfId="4" applyNumberFormat="1" applyFont="1" applyBorder="1"/>
    <xf numFmtId="0" fontId="4" fillId="0" borderId="15" xfId="0" applyFont="1" applyFill="1" applyBorder="1"/>
    <xf numFmtId="0" fontId="4" fillId="0" borderId="18" xfId="0" applyFont="1" applyFill="1" applyBorder="1"/>
    <xf numFmtId="4" fontId="0" fillId="0" borderId="0" xfId="0" applyNumberFormat="1"/>
    <xf numFmtId="4" fontId="0" fillId="0" borderId="13" xfId="0" applyNumberFormat="1" applyBorder="1"/>
    <xf numFmtId="0" fontId="7" fillId="0" borderId="0" xfId="0" applyFont="1" applyFill="1" applyBorder="1"/>
    <xf numFmtId="0" fontId="7" fillId="0" borderId="1" xfId="0" applyFont="1" applyFill="1" applyBorder="1"/>
    <xf numFmtId="0" fontId="5" fillId="0" borderId="0" xfId="0" applyFont="1" applyFill="1" applyBorder="1"/>
    <xf numFmtId="0" fontId="5" fillId="0" borderId="1" xfId="0" applyFont="1" applyFill="1" applyBorder="1"/>
    <xf numFmtId="0" fontId="5" fillId="0" borderId="11" xfId="0" applyFont="1" applyFill="1" applyBorder="1"/>
    <xf numFmtId="0" fontId="5" fillId="0" borderId="20" xfId="0" applyFont="1" applyFill="1" applyBorder="1"/>
    <xf numFmtId="0" fontId="0" fillId="0" borderId="0" xfId="0" applyAlignment="1">
      <alignment horizontal="left"/>
    </xf>
    <xf numFmtId="10" fontId="0" fillId="0" borderId="0" xfId="4" applyNumberFormat="1" applyFont="1"/>
    <xf numFmtId="1" fontId="0" fillId="0" borderId="0" xfId="4" applyNumberFormat="1" applyFont="1"/>
    <xf numFmtId="2" fontId="9" fillId="0" borderId="13" xfId="0" applyNumberFormat="1" applyFont="1" applyBorder="1"/>
    <xf numFmtId="2" fontId="4" fillId="0" borderId="13" xfId="0" applyNumberFormat="1" applyFont="1" applyBorder="1"/>
    <xf numFmtId="2" fontId="4" fillId="0" borderId="0" xfId="0" applyNumberFormat="1" applyFont="1"/>
    <xf numFmtId="2" fontId="2" fillId="0" borderId="0" xfId="0" applyNumberFormat="1" applyFont="1" applyFill="1" applyBorder="1"/>
    <xf numFmtId="2" fontId="4" fillId="0" borderId="16" xfId="0" applyNumberFormat="1" applyFont="1" applyBorder="1"/>
    <xf numFmtId="2" fontId="12" fillId="0" borderId="13" xfId="0" applyNumberFormat="1" applyFont="1" applyBorder="1" applyAlignment="1"/>
    <xf numFmtId="0" fontId="15" fillId="0" borderId="0" xfId="0" applyFont="1"/>
    <xf numFmtId="2" fontId="4" fillId="0" borderId="16" xfId="0" applyNumberFormat="1" applyFont="1" applyFill="1" applyBorder="1"/>
    <xf numFmtId="2" fontId="4" fillId="0" borderId="28" xfId="0" applyNumberFormat="1" applyFont="1" applyFill="1" applyBorder="1"/>
    <xf numFmtId="0" fontId="16" fillId="0" borderId="0" xfId="0" applyFont="1"/>
    <xf numFmtId="0" fontId="16" fillId="0" borderId="1" xfId="0" applyFont="1" applyBorder="1"/>
    <xf numFmtId="0" fontId="17" fillId="2" borderId="0" xfId="0" applyFont="1" applyFill="1" applyBorder="1"/>
    <xf numFmtId="0" fontId="18" fillId="0" borderId="0" xfId="0" applyFont="1"/>
    <xf numFmtId="0" fontId="0" fillId="4" borderId="0" xfId="0" applyFill="1"/>
    <xf numFmtId="0" fontId="19" fillId="0" borderId="0" xfId="0" applyFont="1"/>
    <xf numFmtId="0" fontId="19" fillId="0" borderId="0" xfId="1" applyFont="1" applyFill="1" applyBorder="1"/>
    <xf numFmtId="0" fontId="15" fillId="0" borderId="0" xfId="0" applyFont="1" applyFill="1" applyBorder="1"/>
    <xf numFmtId="0" fontId="20" fillId="2" borderId="2" xfId="0" applyFont="1" applyFill="1" applyBorder="1"/>
    <xf numFmtId="0" fontId="19" fillId="0" borderId="0" xfId="0" applyFont="1" applyFill="1" applyBorder="1"/>
    <xf numFmtId="0" fontId="20" fillId="2" borderId="10" xfId="0" applyFont="1" applyFill="1" applyBorder="1"/>
    <xf numFmtId="0" fontId="20" fillId="2" borderId="2" xfId="2" applyFont="1" applyFill="1" applyBorder="1"/>
    <xf numFmtId="0" fontId="20" fillId="0" borderId="0" xfId="1" applyNumberFormat="1" applyFont="1" applyFill="1" applyBorder="1" applyAlignment="1"/>
    <xf numFmtId="0" fontId="20" fillId="0" borderId="0" xfId="0" applyFont="1" applyFill="1" applyBorder="1"/>
    <xf numFmtId="0" fontId="9" fillId="0" borderId="0" xfId="0" applyFont="1" applyFill="1" applyBorder="1"/>
    <xf numFmtId="10" fontId="7" fillId="0" borderId="0" xfId="4" applyNumberFormat="1" applyFont="1"/>
    <xf numFmtId="0" fontId="0" fillId="0" borderId="0" xfId="0" applyFont="1" applyFill="1" applyBorder="1"/>
    <xf numFmtId="0" fontId="21" fillId="0" borderId="0" xfId="0" applyNumberFormat="1" applyFont="1"/>
    <xf numFmtId="0" fontId="22" fillId="5" borderId="0" xfId="0" applyFont="1" applyFill="1"/>
    <xf numFmtId="0" fontId="22" fillId="4" borderId="1" xfId="0" applyFont="1" applyFill="1" applyBorder="1"/>
    <xf numFmtId="0" fontId="22" fillId="4" borderId="0" xfId="0" applyFont="1" applyFill="1"/>
    <xf numFmtId="0" fontId="22" fillId="0" borderId="0" xfId="0" applyFont="1"/>
    <xf numFmtId="0" fontId="22" fillId="0" borderId="0" xfId="0" applyNumberFormat="1" applyFont="1"/>
    <xf numFmtId="0" fontId="22" fillId="3" borderId="2" xfId="0" applyNumberFormat="1" applyFont="1" applyFill="1" applyBorder="1"/>
    <xf numFmtId="0" fontId="22" fillId="0" borderId="0" xfId="0" applyNumberFormat="1" applyFont="1" applyFill="1" applyBorder="1"/>
    <xf numFmtId="0" fontId="22" fillId="6" borderId="0" xfId="0" applyFont="1" applyFill="1" applyBorder="1"/>
    <xf numFmtId="0" fontId="22" fillId="4" borderId="0" xfId="0" applyFont="1" applyFill="1" applyBorder="1"/>
    <xf numFmtId="0" fontId="22" fillId="0" borderId="0" xfId="0" applyFont="1" applyBorder="1"/>
    <xf numFmtId="0" fontId="22" fillId="0" borderId="0" xfId="0" applyNumberFormat="1" applyFont="1" applyBorder="1"/>
    <xf numFmtId="0" fontId="22" fillId="3" borderId="6" xfId="0" applyNumberFormat="1" applyFont="1" applyFill="1" applyBorder="1"/>
    <xf numFmtId="0" fontId="22" fillId="3" borderId="2" xfId="0" applyFont="1" applyFill="1" applyBorder="1"/>
    <xf numFmtId="0" fontId="22" fillId="4" borderId="5" xfId="0" applyFont="1" applyFill="1" applyBorder="1"/>
    <xf numFmtId="0" fontId="22" fillId="4" borderId="2" xfId="0" applyFont="1" applyFill="1" applyBorder="1"/>
    <xf numFmtId="0" fontId="22" fillId="3" borderId="6" xfId="0" applyFont="1" applyFill="1" applyBorder="1"/>
    <xf numFmtId="0" fontId="22" fillId="4" borderId="7" xfId="0" applyFont="1" applyFill="1" applyBorder="1"/>
    <xf numFmtId="0" fontId="22" fillId="4" borderId="6" xfId="0" applyFont="1" applyFill="1" applyBorder="1"/>
    <xf numFmtId="0" fontId="0" fillId="4" borderId="1" xfId="0" applyFill="1" applyBorder="1"/>
    <xf numFmtId="0" fontId="0" fillId="4" borderId="0" xfId="0" applyFill="1" applyBorder="1"/>
    <xf numFmtId="0" fontId="22" fillId="0" borderId="6" xfId="0" applyFont="1" applyFill="1" applyBorder="1"/>
    <xf numFmtId="0" fontId="0" fillId="0" borderId="0" xfId="0" applyFill="1" applyBorder="1"/>
    <xf numFmtId="0" fontId="22" fillId="0" borderId="2" xfId="0" applyNumberFormat="1" applyFont="1" applyFill="1" applyBorder="1"/>
    <xf numFmtId="0" fontId="22" fillId="0" borderId="6" xfId="0" applyNumberFormat="1" applyFont="1" applyFill="1" applyBorder="1"/>
    <xf numFmtId="0" fontId="21" fillId="0" borderId="0" xfId="0" applyFont="1"/>
    <xf numFmtId="0" fontId="21" fillId="0" borderId="0" xfId="0" applyFont="1" applyBorder="1"/>
    <xf numFmtId="0" fontId="23" fillId="0" borderId="0" xfId="0" applyFont="1"/>
    <xf numFmtId="0" fontId="24" fillId="0" borderId="0" xfId="0" applyFont="1"/>
    <xf numFmtId="0" fontId="22" fillId="0" borderId="2" xfId="0" applyFont="1" applyFill="1" applyBorder="1"/>
    <xf numFmtId="0" fontId="10" fillId="0" borderId="10" xfId="0" applyNumberFormat="1" applyFont="1" applyFill="1" applyBorder="1"/>
    <xf numFmtId="0" fontId="0" fillId="0" borderId="0" xfId="0" applyBorder="1"/>
    <xf numFmtId="0" fontId="0" fillId="0" borderId="0" xfId="0" applyNumberFormat="1" applyBorder="1"/>
    <xf numFmtId="0" fontId="4" fillId="3" borderId="2" xfId="2" applyNumberFormat="1" applyFont="1" applyFill="1" applyBorder="1" applyAlignment="1"/>
    <xf numFmtId="0" fontId="25" fillId="3" borderId="2" xfId="2" applyNumberFormat="1" applyFont="1" applyFill="1" applyBorder="1" applyAlignment="1"/>
    <xf numFmtId="0" fontId="25" fillId="3" borderId="6" xfId="2" applyNumberFormat="1" applyFont="1" applyFill="1" applyBorder="1" applyAlignment="1"/>
    <xf numFmtId="9" fontId="0" fillId="0" borderId="0" xfId="4" applyFont="1"/>
    <xf numFmtId="0" fontId="0" fillId="5" borderId="0" xfId="0" applyFill="1"/>
    <xf numFmtId="0" fontId="16" fillId="5" borderId="0" xfId="0" applyFont="1" applyFill="1"/>
    <xf numFmtId="0" fontId="22" fillId="0" borderId="14" xfId="0" applyFont="1" applyBorder="1"/>
    <xf numFmtId="0" fontId="22" fillId="0" borderId="1" xfId="0" applyFont="1" applyBorder="1"/>
    <xf numFmtId="0" fontId="26" fillId="0" borderId="0" xfId="0" applyFont="1"/>
    <xf numFmtId="0" fontId="26" fillId="0" borderId="0" xfId="0" applyFont="1" applyFill="1" applyBorder="1"/>
    <xf numFmtId="0" fontId="26" fillId="0" borderId="0" xfId="0" applyNumberFormat="1" applyFont="1"/>
    <xf numFmtId="0" fontId="22" fillId="0" borderId="1" xfId="0" applyNumberFormat="1" applyFont="1" applyBorder="1"/>
    <xf numFmtId="0" fontId="22" fillId="0" borderId="18" xfId="0" applyFont="1" applyBorder="1"/>
    <xf numFmtId="0" fontId="26" fillId="0" borderId="0" xfId="0" applyFont="1" applyBorder="1"/>
    <xf numFmtId="0" fontId="26" fillId="0" borderId="0" xfId="0" applyNumberFormat="1" applyFont="1" applyBorder="1"/>
    <xf numFmtId="0" fontId="27" fillId="0" borderId="1" xfId="0" applyFont="1" applyBorder="1"/>
    <xf numFmtId="0" fontId="27" fillId="0" borderId="0" xfId="0" applyFont="1"/>
    <xf numFmtId="0" fontId="26" fillId="3" borderId="2" xfId="0" applyFont="1" applyFill="1" applyBorder="1"/>
    <xf numFmtId="0" fontId="27" fillId="0" borderId="0" xfId="0" applyFont="1" applyBorder="1"/>
    <xf numFmtId="0" fontId="26" fillId="3" borderId="6" xfId="0" applyFont="1" applyFill="1" applyBorder="1"/>
    <xf numFmtId="0" fontId="27" fillId="3" borderId="5" xfId="0" applyFont="1" applyFill="1" applyBorder="1"/>
    <xf numFmtId="0" fontId="27" fillId="3" borderId="2" xfId="0" applyFont="1" applyFill="1" applyBorder="1"/>
    <xf numFmtId="0" fontId="28" fillId="3" borderId="2" xfId="2" applyNumberFormat="1" applyFont="1" applyFill="1" applyBorder="1" applyAlignment="1"/>
    <xf numFmtId="0" fontId="27" fillId="3" borderId="7" xfId="0" applyFont="1" applyFill="1" applyBorder="1"/>
    <xf numFmtId="0" fontId="27" fillId="3" borderId="6" xfId="0" applyFont="1" applyFill="1" applyBorder="1"/>
    <xf numFmtId="0" fontId="28" fillId="3" borderId="6" xfId="2" applyNumberFormat="1" applyFont="1" applyFill="1" applyBorder="1" applyAlignment="1"/>
    <xf numFmtId="0" fontId="15" fillId="0" borderId="0" xfId="0" applyFont="1" applyBorder="1"/>
    <xf numFmtId="0" fontId="27" fillId="0" borderId="7" xfId="0" applyFont="1" applyFill="1" applyBorder="1"/>
    <xf numFmtId="0" fontId="27" fillId="0" borderId="6" xfId="0" applyFont="1" applyFill="1" applyBorder="1"/>
    <xf numFmtId="0" fontId="26" fillId="0" borderId="2" xfId="0" applyFont="1" applyFill="1" applyBorder="1"/>
    <xf numFmtId="0" fontId="22" fillId="0" borderId="5" xfId="0" applyNumberFormat="1" applyFont="1" applyFill="1" applyBorder="1"/>
    <xf numFmtId="0" fontId="27" fillId="0" borderId="0" xfId="0" applyFont="1" applyFill="1" applyBorder="1"/>
    <xf numFmtId="0" fontId="26" fillId="0" borderId="6" xfId="0" applyFont="1" applyFill="1" applyBorder="1"/>
    <xf numFmtId="0" fontId="22" fillId="0" borderId="7" xfId="0" applyNumberFormat="1" applyFont="1" applyFill="1" applyBorder="1"/>
    <xf numFmtId="0" fontId="27" fillId="0" borderId="5" xfId="0" applyFont="1" applyFill="1" applyBorder="1"/>
    <xf numFmtId="0" fontId="27" fillId="0" borderId="2" xfId="0" applyFont="1" applyFill="1" applyBorder="1"/>
    <xf numFmtId="0" fontId="29" fillId="0" borderId="23" xfId="0" applyFont="1" applyBorder="1" applyAlignment="1">
      <alignment horizontal="center"/>
    </xf>
    <xf numFmtId="0" fontId="29" fillId="0" borderId="32" xfId="0" applyFont="1" applyBorder="1" applyAlignment="1">
      <alignment horizontal="center"/>
    </xf>
    <xf numFmtId="0" fontId="29" fillId="0" borderId="24" xfId="0" applyFont="1" applyBorder="1" applyAlignment="1">
      <alignment horizontal="center"/>
    </xf>
    <xf numFmtId="0" fontId="12" fillId="0" borderId="25" xfId="0" applyFont="1" applyBorder="1" applyAlignment="1">
      <alignment horizontal="center"/>
    </xf>
    <xf numFmtId="0" fontId="9" fillId="0" borderId="12" xfId="0" applyFont="1" applyBorder="1" applyAlignment="1">
      <alignment horizontal="center"/>
    </xf>
    <xf numFmtId="0" fontId="9" fillId="0" borderId="14" xfId="0" applyFont="1" applyBorder="1" applyAlignment="1">
      <alignment horizontal="center"/>
    </xf>
    <xf numFmtId="0" fontId="11" fillId="0" borderId="0" xfId="0" applyFont="1" applyAlignment="1">
      <alignment horizontal="center"/>
    </xf>
    <xf numFmtId="0" fontId="12" fillId="0" borderId="25" xfId="0" applyFont="1" applyFill="1" applyBorder="1" applyAlignment="1">
      <alignment horizontal="center" wrapText="1"/>
    </xf>
    <xf numFmtId="0" fontId="12" fillId="0" borderId="0" xfId="0" applyFont="1" applyFill="1" applyBorder="1" applyAlignment="1">
      <alignment horizontal="center" wrapText="1"/>
    </xf>
    <xf numFmtId="0" fontId="12" fillId="0" borderId="25"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horizontal="center"/>
    </xf>
    <xf numFmtId="0" fontId="29" fillId="0" borderId="0" xfId="0" applyFont="1" applyBorder="1" applyAlignment="1"/>
    <xf numFmtId="0" fontId="29" fillId="0" borderId="0" xfId="0" applyFont="1" applyBorder="1" applyAlignment="1">
      <alignment horizontal="center"/>
    </xf>
    <xf numFmtId="0" fontId="29" fillId="0" borderId="33" xfId="0" applyFont="1" applyBorder="1"/>
    <xf numFmtId="0" fontId="0" fillId="0" borderId="0" xfId="0" pivotButton="1"/>
    <xf numFmtId="164" fontId="0" fillId="0" borderId="0" xfId="0" applyNumberFormat="1"/>
    <xf numFmtId="0" fontId="30" fillId="0" borderId="0" xfId="0" applyFont="1"/>
    <xf numFmtId="0" fontId="31" fillId="7" borderId="29" xfId="0" applyFont="1" applyFill="1" applyBorder="1" applyAlignment="1">
      <alignment vertical="center"/>
    </xf>
    <xf numFmtId="0" fontId="31" fillId="7" borderId="25" xfId="0" applyFont="1" applyFill="1" applyBorder="1" applyAlignment="1">
      <alignment vertical="center"/>
    </xf>
    <xf numFmtId="0" fontId="31" fillId="7" borderId="30" xfId="0" applyFont="1" applyFill="1" applyBorder="1" applyAlignment="1">
      <alignment vertical="center"/>
    </xf>
    <xf numFmtId="0" fontId="32" fillId="7" borderId="31" xfId="0" applyFont="1" applyFill="1" applyBorder="1" applyAlignment="1">
      <alignment horizontal="right" vertical="center"/>
    </xf>
    <xf numFmtId="0" fontId="32" fillId="7" borderId="25" xfId="0" applyFont="1" applyFill="1" applyBorder="1" applyAlignment="1">
      <alignment vertical="center"/>
    </xf>
    <xf numFmtId="10" fontId="32" fillId="7" borderId="25" xfId="0" applyNumberFormat="1" applyFont="1" applyFill="1" applyBorder="1" applyAlignment="1">
      <alignment horizontal="right" vertical="center"/>
    </xf>
    <xf numFmtId="0" fontId="33" fillId="7" borderId="25" xfId="0" applyFont="1" applyFill="1" applyBorder="1" applyAlignment="1">
      <alignment vertical="center"/>
    </xf>
    <xf numFmtId="10" fontId="32" fillId="7" borderId="30" xfId="0" applyNumberFormat="1" applyFont="1" applyFill="1" applyBorder="1" applyAlignment="1">
      <alignment horizontal="right" vertical="center"/>
    </xf>
    <xf numFmtId="0" fontId="32" fillId="7" borderId="33" xfId="0" applyFont="1" applyFill="1" applyBorder="1" applyAlignment="1">
      <alignment horizontal="right" vertical="center"/>
    </xf>
    <xf numFmtId="0" fontId="32" fillId="7" borderId="32" xfId="0" applyFont="1" applyFill="1" applyBorder="1" applyAlignment="1">
      <alignment vertical="center"/>
    </xf>
    <xf numFmtId="10" fontId="32" fillId="7" borderId="32" xfId="0" applyNumberFormat="1" applyFont="1" applyFill="1" applyBorder="1" applyAlignment="1">
      <alignment horizontal="right" vertical="center"/>
    </xf>
    <xf numFmtId="0" fontId="33" fillId="7" borderId="32" xfId="0" applyFont="1" applyFill="1" applyBorder="1" applyAlignment="1">
      <alignment vertical="center"/>
    </xf>
    <xf numFmtId="10" fontId="32" fillId="7" borderId="24" xfId="0" applyNumberFormat="1" applyFont="1" applyFill="1" applyBorder="1" applyAlignment="1">
      <alignment horizontal="right" vertical="center"/>
    </xf>
    <xf numFmtId="0" fontId="32" fillId="7" borderId="34" xfId="0" applyFont="1" applyFill="1" applyBorder="1" applyAlignment="1">
      <alignment horizontal="right" vertical="center"/>
    </xf>
    <xf numFmtId="0" fontId="32" fillId="7" borderId="35" xfId="0" applyFont="1" applyFill="1" applyBorder="1" applyAlignment="1">
      <alignment vertical="center"/>
    </xf>
    <xf numFmtId="10" fontId="32" fillId="7" borderId="35" xfId="0" applyNumberFormat="1" applyFont="1" applyFill="1" applyBorder="1" applyAlignment="1">
      <alignment horizontal="right" vertical="center"/>
    </xf>
    <xf numFmtId="0" fontId="33" fillId="7" borderId="35" xfId="0" applyFont="1" applyFill="1" applyBorder="1" applyAlignment="1">
      <alignment vertical="center"/>
    </xf>
    <xf numFmtId="10" fontId="32" fillId="7" borderId="27" xfId="0" applyNumberFormat="1" applyFont="1" applyFill="1" applyBorder="1" applyAlignment="1">
      <alignment horizontal="right" vertical="center"/>
    </xf>
    <xf numFmtId="0" fontId="31" fillId="7" borderId="26" xfId="0" applyFont="1" applyFill="1" applyBorder="1" applyAlignment="1">
      <alignment vertical="center"/>
    </xf>
    <xf numFmtId="0" fontId="34" fillId="7" borderId="35" xfId="0" applyFont="1" applyFill="1" applyBorder="1" applyAlignment="1">
      <alignment vertical="center"/>
    </xf>
    <xf numFmtId="10" fontId="31" fillId="7" borderId="35" xfId="0" applyNumberFormat="1" applyFont="1" applyFill="1" applyBorder="1" applyAlignment="1">
      <alignment horizontal="right" vertical="center"/>
    </xf>
    <xf numFmtId="0" fontId="31" fillId="7" borderId="35" xfId="0" applyFont="1" applyFill="1" applyBorder="1" applyAlignment="1">
      <alignment vertical="center"/>
    </xf>
    <xf numFmtId="10" fontId="31" fillId="7" borderId="27" xfId="0" applyNumberFormat="1" applyFont="1" applyFill="1" applyBorder="1" applyAlignment="1">
      <alignment horizontal="right" vertical="center"/>
    </xf>
    <xf numFmtId="0" fontId="0" fillId="0" borderId="0" xfId="0" applyAlignment="1">
      <alignment horizontal="left" vertical="center" indent="4"/>
    </xf>
    <xf numFmtId="0" fontId="37" fillId="0" borderId="0" xfId="0" applyFont="1" applyAlignment="1">
      <alignment vertical="center"/>
    </xf>
    <xf numFmtId="0" fontId="31" fillId="7" borderId="31" xfId="0" applyFont="1" applyFill="1" applyBorder="1" applyAlignment="1">
      <alignment vertical="center"/>
    </xf>
    <xf numFmtId="0" fontId="31" fillId="7" borderId="33" xfId="0" applyFont="1" applyFill="1" applyBorder="1" applyAlignment="1">
      <alignment vertical="center"/>
    </xf>
    <xf numFmtId="0" fontId="31" fillId="7" borderId="34" xfId="0" applyFont="1" applyFill="1" applyBorder="1" applyAlignment="1">
      <alignment vertical="center"/>
    </xf>
    <xf numFmtId="0" fontId="36" fillId="0" borderId="0" xfId="0" applyFont="1" applyAlignment="1">
      <alignment horizontal="left" vertical="center" indent="4"/>
    </xf>
    <xf numFmtId="0" fontId="37" fillId="0" borderId="0" xfId="0" applyFont="1" applyAlignment="1">
      <alignment horizontal="left" vertical="center" indent="4"/>
    </xf>
    <xf numFmtId="0" fontId="39" fillId="0" borderId="0" xfId="0" applyFont="1" applyAlignment="1">
      <alignment horizontal="left" vertical="center" indent="4"/>
    </xf>
  </cellXfs>
  <cellStyles count="5">
    <cellStyle name="Normal" xfId="0" builtinId="0"/>
    <cellStyle name="Normal 2" xfId="2"/>
    <cellStyle name="Normal 3" xfId="1"/>
    <cellStyle name="Percent" xfId="4" builtinId="5"/>
    <cellStyle name="Percent 2" xfId="3"/>
  </cellStyles>
  <dxfs count="3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indexed="64"/>
        </left>
        <top style="thin">
          <color indexed="64"/>
        </top>
        <bottom style="thin">
          <color indexed="64"/>
        </bottom>
      </border>
    </dxf>
    <dxf>
      <border>
        <right style="thin">
          <color indexed="64"/>
        </right>
      </border>
    </dxf>
    <dxf>
      <border>
        <left style="thin">
          <color indexed="64"/>
        </left>
      </border>
    </dxf>
    <dxf>
      <numFmt numFmtId="4" formatCode="#,##0.0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border>
    </dxf>
    <dxf>
      <border>
        <left style="thin">
          <color indexed="64"/>
        </left>
      </border>
    </dxf>
    <dxf>
      <border>
        <left style="thin">
          <color indexed="64"/>
        </left>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border>
    </dxf>
    <dxf>
      <border>
        <left style="thin">
          <color indexed="64"/>
        </left>
      </border>
    </dxf>
    <dxf>
      <border>
        <left style="thin">
          <color indexed="64"/>
        </left>
      </border>
    </dxf>
    <dxf>
      <numFmt numFmtId="2" formatCode="0.0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border>
    </dxf>
    <dxf>
      <border>
        <left style="thin">
          <color indexed="64"/>
        </left>
      </border>
    </dxf>
    <dxf>
      <border>
        <left style="thin">
          <color indexed="64"/>
        </left>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border>
    </dxf>
    <dxf>
      <border>
        <left style="thin">
          <color indexed="64"/>
        </left>
      </border>
    </dxf>
    <dxf>
      <border>
        <left style="thin">
          <color indexed="64"/>
        </left>
      </border>
    </dxf>
    <dxf>
      <border>
        <left style="thin">
          <color indexed="64"/>
        </left>
      </border>
    </dxf>
    <dxf>
      <border>
        <left style="thin">
          <color indexed="64"/>
        </left>
      </border>
    </dxf>
    <dxf>
      <border>
        <bottom style="thin">
          <color indexed="64"/>
        </bottom>
      </border>
    </dxf>
    <dxf>
      <border>
        <bottom style="thin">
          <color indexed="64"/>
        </bottom>
      </border>
    </dxf>
    <dxf>
      <border>
        <right style="thin">
          <color indexed="64"/>
        </right>
      </border>
    </dxf>
    <dxf>
      <border>
        <left style="thin">
          <color indexed="64"/>
        </left>
      </border>
    </dxf>
    <dxf>
      <border>
        <left style="thin">
          <color indexed="64"/>
        </left>
      </border>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style="thin">
          <color indexed="64"/>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
        <color theme="0"/>
        <name val="Segoe U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style="thin">
          <color indexed="64"/>
        </left>
        <right/>
        <top style="thin">
          <color theme="4" tint="0.39997558519241921"/>
        </top>
        <bottom style="thin">
          <color theme="4" tint="0.39997558519241921"/>
        </bottom>
      </border>
    </dxf>
    <dxf>
      <fill>
        <patternFill patternType="none">
          <fgColor indexed="64"/>
          <bgColor auto="1"/>
        </patternFill>
      </fill>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strike val="0"/>
        <outline val="0"/>
        <shadow val="0"/>
        <u val="none"/>
        <vertAlign val="baseline"/>
        <color rgb="FFFF0000"/>
      </font>
      <fill>
        <patternFill patternType="none">
          <fgColor indexed="64"/>
          <bgColor auto="1"/>
        </patternFill>
      </fill>
    </dxf>
    <dxf>
      <font>
        <strike val="0"/>
        <outline val="0"/>
        <shadow val="0"/>
        <u val="none"/>
        <vertAlign val="baseline"/>
        <color rgb="FFFF0000"/>
      </font>
      <fill>
        <patternFill patternType="none">
          <fgColor indexed="64"/>
          <bgColor auto="1"/>
        </patternFill>
      </fill>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strike val="0"/>
        <outline val="0"/>
        <shadow val="0"/>
        <u val="none"/>
        <vertAlign val="baseline"/>
        <color rgb="FFFF0000"/>
      </font>
      <fill>
        <patternFill patternType="none">
          <fgColor indexed="64"/>
          <bgColor auto="1"/>
        </patternFill>
      </fill>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dxf>
    <dxf>
      <font>
        <b/>
        <i val="0"/>
        <strike val="0"/>
        <condense val="0"/>
        <extend val="0"/>
        <outline val="0"/>
        <shadow val="0"/>
        <u val="none"/>
        <vertAlign val="baseline"/>
        <sz val="10"/>
        <color theme="0"/>
        <name val="Segoe UI"/>
        <scheme val="none"/>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style="thin">
          <color indexed="64"/>
        </left>
        <right/>
        <top style="thin">
          <color theme="4" tint="0.39997558519241921"/>
        </top>
        <bottom style="thin">
          <color theme="4" tint="0.39997558519241921"/>
        </bottom>
        <vertical/>
        <horizontal/>
      </border>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color rgb="FFFF0000"/>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border diagonalUp="0" diagonalDown="0" outline="0">
        <left style="thin">
          <color indexed="64"/>
        </left>
        <right/>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0"/>
        <color theme="0"/>
        <name val="Segoe UI"/>
        <scheme val="none"/>
      </font>
      <numFmt numFmtId="0" formatCode="General"/>
      <fill>
        <patternFill patternType="solid">
          <fgColor theme="4"/>
          <bgColor theme="4"/>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style="thin">
          <color indexed="64"/>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rgb="FFFF0000"/>
        <name val="Segoe UI"/>
        <scheme val="none"/>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FF0000"/>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border diagonalUp="0" diagonalDown="0" outline="0">
        <left style="thin">
          <color indexed="64"/>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0"/>
        <color theme="0"/>
        <name val="Segoe UI"/>
        <scheme val="none"/>
      </font>
      <fill>
        <patternFill patternType="solid">
          <fgColor theme="4"/>
          <bgColor theme="4"/>
        </patternFill>
      </fill>
    </dxf>
    <dxf>
      <font>
        <strike val="0"/>
        <outline val="0"/>
        <shadow val="0"/>
        <u val="none"/>
        <vertAlign val="baseline"/>
        <sz val="11"/>
        <color theme="1"/>
        <name val="Calibri"/>
        <scheme val="minor"/>
      </font>
      <numFmt numFmtId="0" formatCode="General"/>
    </dxf>
    <dxf>
      <font>
        <strike val="0"/>
        <outline val="0"/>
        <shadow val="0"/>
        <u val="none"/>
        <vertAlign val="baseline"/>
        <sz val="11"/>
        <color theme="1"/>
        <name val="Calibri"/>
        <scheme val="minor"/>
      </font>
      <numFmt numFmtId="0" formatCode="General"/>
    </dxf>
    <dxf>
      <font>
        <strike val="0"/>
        <outline val="0"/>
        <shadow val="0"/>
        <u val="none"/>
        <vertAlign val="baseline"/>
        <sz val="11"/>
        <color theme="1"/>
        <name val="Calibri"/>
        <scheme val="minor"/>
      </font>
      <numFmt numFmtId="0" formatCode="General"/>
    </dxf>
    <dxf>
      <font>
        <strike val="0"/>
        <outline val="0"/>
        <shadow val="0"/>
        <u val="none"/>
        <vertAlign val="baseline"/>
        <sz val="11"/>
        <color theme="1"/>
        <name val="Calibri"/>
        <scheme val="minor"/>
      </font>
      <numFmt numFmtId="0" formatCode="General"/>
    </dxf>
    <dxf>
      <font>
        <strike val="0"/>
        <outline val="0"/>
        <shadow val="0"/>
        <u val="none"/>
        <vertAlign val="baseline"/>
        <sz val="11"/>
        <color theme="1"/>
        <name val="Calibri"/>
        <scheme val="minor"/>
      </font>
      <numFmt numFmtId="0" formatCode="General"/>
    </dxf>
    <dxf>
      <font>
        <strike val="0"/>
        <outline val="0"/>
        <shadow val="0"/>
        <u val="none"/>
        <vertAlign val="baseline"/>
        <sz val="11"/>
        <color theme="1"/>
        <name val="Calibri"/>
        <scheme val="minor"/>
      </font>
      <numFmt numFmtId="0" formatCode="General"/>
    </dxf>
    <dxf>
      <font>
        <strike val="0"/>
        <outline val="0"/>
        <shadow val="0"/>
        <u val="none"/>
        <vertAlign val="baseline"/>
        <sz val="11"/>
        <color theme="1"/>
        <name val="Calibri"/>
        <scheme val="minor"/>
      </font>
      <numFmt numFmtId="0" formatCode="General"/>
    </dxf>
    <dxf>
      <font>
        <strike val="0"/>
        <outline val="0"/>
        <shadow val="0"/>
        <u val="none"/>
        <vertAlign val="baseline"/>
        <sz val="11"/>
        <color theme="1"/>
        <name val="Calibri"/>
        <scheme val="minor"/>
      </font>
      <numFmt numFmtId="0" formatCode="General"/>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0" formatCode="General"/>
    </dxf>
    <dxf>
      <font>
        <strike val="0"/>
        <outline val="0"/>
        <shadow val="0"/>
        <u val="none"/>
        <vertAlign val="baseline"/>
        <sz val="11"/>
        <color theme="1"/>
        <name val="Calibri"/>
        <scheme val="minor"/>
      </font>
      <numFmt numFmtId="0" formatCode="General"/>
    </dxf>
    <dxf>
      <font>
        <strike val="0"/>
        <outline val="0"/>
        <shadow val="0"/>
        <u val="none"/>
        <vertAlign val="baseline"/>
        <sz val="11"/>
        <color theme="1"/>
        <name val="Calibri"/>
        <scheme val="minor"/>
      </font>
      <numFmt numFmtId="0" formatCode="General"/>
    </dxf>
    <dxf>
      <font>
        <strike val="0"/>
        <outline val="0"/>
        <shadow val="0"/>
        <u val="none"/>
        <vertAlign val="baseline"/>
        <sz val="11"/>
        <color theme="1"/>
        <name val="Calibri"/>
        <scheme val="minor"/>
      </font>
      <numFmt numFmtId="0" formatCode="General"/>
      <border diagonalUp="0" diagonalDown="0">
        <left style="thin">
          <color indexed="64"/>
        </left>
        <right/>
        <top/>
        <bottom/>
      </border>
    </dxf>
    <dxf>
      <font>
        <strike val="0"/>
        <outline val="0"/>
        <shadow val="0"/>
        <u val="none"/>
        <vertAlign val="baseline"/>
        <sz val="11"/>
        <color theme="1"/>
        <name val="Calibri"/>
        <scheme val="minor"/>
      </font>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dxf>
    <dxf>
      <font>
        <b val="0"/>
        <i val="0"/>
        <strike val="0"/>
        <condense val="0"/>
        <extend val="0"/>
        <outline val="0"/>
        <shadow val="0"/>
        <u val="none"/>
        <vertAlign val="baseline"/>
        <sz val="11"/>
        <color rgb="FFFF0000"/>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1"/>
        <color rgb="FFFF0000"/>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border diagonalUp="0" diagonalDown="0" outline="0">
        <left style="thin">
          <color indexed="64"/>
        </left>
        <right/>
        <top/>
        <bottom/>
      </border>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val="0"/>
        <i val="0"/>
        <strike val="0"/>
        <condense val="0"/>
        <extend val="0"/>
        <outline val="0"/>
        <shadow val="0"/>
        <u val="none"/>
        <vertAlign val="baseline"/>
        <sz val="10"/>
        <color theme="0"/>
        <name val="Segoe UI"/>
        <scheme val="none"/>
      </font>
      <fill>
        <patternFill patternType="none">
          <fgColor indexed="64"/>
          <bgColor indexed="65"/>
        </patternFill>
      </fill>
    </dxf>
    <dxf>
      <font>
        <strike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0" formatCode="General"/>
    </dxf>
    <dxf>
      <font>
        <strike val="0"/>
        <outline val="0"/>
        <shadow val="0"/>
        <u val="none"/>
        <vertAlign val="baseline"/>
        <sz val="11"/>
        <color theme="1"/>
        <name val="Calibri"/>
        <scheme val="minor"/>
      </font>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numFmt numFmtId="0" formatCode="Genera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border diagonalUp="0" diagonalDown="0" outline="0">
        <left style="thin">
          <color indexed="64"/>
        </left>
        <right/>
        <top/>
        <bottom/>
      </border>
    </dxf>
    <dxf>
      <font>
        <strike val="0"/>
        <outline val="0"/>
        <shadow val="0"/>
        <u val="none"/>
        <vertAlign val="baseline"/>
        <sz val="11"/>
        <color theme="1"/>
        <name val="Calibri"/>
        <scheme val="minor"/>
      </font>
      <border diagonalUp="0" diagonalDown="0" outline="0">
        <left/>
        <right style="thin">
          <color indexed="64"/>
        </right>
        <top style="thin">
          <color auto="1"/>
        </top>
        <bottom style="thin">
          <color auto="1"/>
        </bottom>
      </border>
    </dxf>
    <dxf>
      <font>
        <strike val="0"/>
        <outline val="0"/>
        <shadow val="0"/>
        <u val="none"/>
        <vertAlign val="baseline"/>
        <sz val="11"/>
        <color theme="1"/>
        <name val="Calibri"/>
        <scheme val="minor"/>
      </font>
    </dxf>
    <dxf>
      <font>
        <b val="0"/>
        <i val="0"/>
        <strike val="0"/>
        <condense val="0"/>
        <extend val="0"/>
        <outline val="0"/>
        <shadow val="0"/>
        <u val="none"/>
        <vertAlign val="baseline"/>
        <sz val="10"/>
        <color theme="0"/>
        <name val="Segoe UI"/>
        <scheme val="none"/>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27.xml"/><Relationship Id="rId21" Type="http://schemas.openxmlformats.org/officeDocument/2006/relationships/externalLink" Target="externalLinks/externalLink1.xml"/><Relationship Id="rId42" Type="http://schemas.microsoft.com/office/2007/relationships/slicerCache" Target="slicerCaches/slicerCache8.xml"/><Relationship Id="rId63" Type="http://schemas.microsoft.com/office/2007/relationships/slicerCache" Target="slicerCaches/slicerCache29.xml"/><Relationship Id="rId84" Type="http://schemas.microsoft.com/office/2007/relationships/slicerCache" Target="slicerCaches/slicerCache50.xml"/><Relationship Id="rId138" Type="http://schemas.openxmlformats.org/officeDocument/2006/relationships/customXml" Target="../customXml/item48.xml"/><Relationship Id="rId16" Type="http://schemas.openxmlformats.org/officeDocument/2006/relationships/worksheet" Target="worksheets/sheet16.xml"/><Relationship Id="rId107" Type="http://schemas.openxmlformats.org/officeDocument/2006/relationships/customXml" Target="../customXml/item17.xml"/><Relationship Id="rId11" Type="http://schemas.openxmlformats.org/officeDocument/2006/relationships/worksheet" Target="worksheets/sheet11.xml"/><Relationship Id="rId32" Type="http://schemas.openxmlformats.org/officeDocument/2006/relationships/pivotCacheDefinition" Target="pivotCache/pivotCacheDefinition11.xml"/><Relationship Id="rId37" Type="http://schemas.microsoft.com/office/2007/relationships/slicerCache" Target="slicerCaches/slicerCache3.xml"/><Relationship Id="rId53" Type="http://schemas.microsoft.com/office/2007/relationships/slicerCache" Target="slicerCaches/slicerCache19.xml"/><Relationship Id="rId58" Type="http://schemas.microsoft.com/office/2007/relationships/slicerCache" Target="slicerCaches/slicerCache24.xml"/><Relationship Id="rId74" Type="http://schemas.microsoft.com/office/2007/relationships/slicerCache" Target="slicerCaches/slicerCache40.xml"/><Relationship Id="rId79" Type="http://schemas.microsoft.com/office/2007/relationships/slicerCache" Target="slicerCaches/slicerCache45.xml"/><Relationship Id="rId102" Type="http://schemas.openxmlformats.org/officeDocument/2006/relationships/customXml" Target="../customXml/item12.xml"/><Relationship Id="rId123" Type="http://schemas.openxmlformats.org/officeDocument/2006/relationships/customXml" Target="../customXml/item33.xml"/><Relationship Id="rId128" Type="http://schemas.openxmlformats.org/officeDocument/2006/relationships/customXml" Target="../customXml/item38.xml"/><Relationship Id="rId5" Type="http://schemas.openxmlformats.org/officeDocument/2006/relationships/worksheet" Target="worksheets/sheet5.xml"/><Relationship Id="rId90" Type="http://schemas.openxmlformats.org/officeDocument/2006/relationships/calcChain" Target="calcChain.xml"/><Relationship Id="rId95" Type="http://schemas.openxmlformats.org/officeDocument/2006/relationships/customXml" Target="../customXml/item5.xml"/><Relationship Id="rId22" Type="http://schemas.openxmlformats.org/officeDocument/2006/relationships/pivotCacheDefinition" Target="pivotCache/pivotCacheDefinition1.xml"/><Relationship Id="rId27" Type="http://schemas.openxmlformats.org/officeDocument/2006/relationships/pivotCacheDefinition" Target="pivotCache/pivotCacheDefinition6.xml"/><Relationship Id="rId43" Type="http://schemas.microsoft.com/office/2007/relationships/slicerCache" Target="slicerCaches/slicerCache9.xml"/><Relationship Id="rId48" Type="http://schemas.microsoft.com/office/2007/relationships/slicerCache" Target="slicerCaches/slicerCache14.xml"/><Relationship Id="rId64" Type="http://schemas.microsoft.com/office/2007/relationships/slicerCache" Target="slicerCaches/slicerCache30.xml"/><Relationship Id="rId69" Type="http://schemas.microsoft.com/office/2007/relationships/slicerCache" Target="slicerCaches/slicerCache35.xml"/><Relationship Id="rId113" Type="http://schemas.openxmlformats.org/officeDocument/2006/relationships/customXml" Target="../customXml/item23.xml"/><Relationship Id="rId118" Type="http://schemas.openxmlformats.org/officeDocument/2006/relationships/customXml" Target="../customXml/item28.xml"/><Relationship Id="rId134" Type="http://schemas.openxmlformats.org/officeDocument/2006/relationships/customXml" Target="../customXml/item44.xml"/><Relationship Id="rId139" Type="http://schemas.openxmlformats.org/officeDocument/2006/relationships/customXml" Target="../customXml/item49.xml"/><Relationship Id="rId80" Type="http://schemas.microsoft.com/office/2007/relationships/slicerCache" Target="slicerCaches/slicerCache46.xml"/><Relationship Id="rId85" Type="http://schemas.openxmlformats.org/officeDocument/2006/relationships/theme" Target="theme/theme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pivotCacheDefinition" Target="pivotCache/pivotCacheDefinition12.xml"/><Relationship Id="rId38" Type="http://schemas.microsoft.com/office/2007/relationships/slicerCache" Target="slicerCaches/slicerCache4.xml"/><Relationship Id="rId59" Type="http://schemas.microsoft.com/office/2007/relationships/slicerCache" Target="slicerCaches/slicerCache25.xml"/><Relationship Id="rId103" Type="http://schemas.openxmlformats.org/officeDocument/2006/relationships/customXml" Target="../customXml/item13.xml"/><Relationship Id="rId108" Type="http://schemas.openxmlformats.org/officeDocument/2006/relationships/customXml" Target="../customXml/item18.xml"/><Relationship Id="rId124" Type="http://schemas.openxmlformats.org/officeDocument/2006/relationships/customXml" Target="../customXml/item34.xml"/><Relationship Id="rId129" Type="http://schemas.openxmlformats.org/officeDocument/2006/relationships/customXml" Target="../customXml/item39.xml"/><Relationship Id="rId54" Type="http://schemas.microsoft.com/office/2007/relationships/slicerCache" Target="slicerCaches/slicerCache20.xml"/><Relationship Id="rId70" Type="http://schemas.microsoft.com/office/2007/relationships/slicerCache" Target="slicerCaches/slicerCache36.xml"/><Relationship Id="rId75" Type="http://schemas.microsoft.com/office/2007/relationships/slicerCache" Target="slicerCaches/slicerCache41.xml"/><Relationship Id="rId91" Type="http://schemas.openxmlformats.org/officeDocument/2006/relationships/customXml" Target="../customXml/item1.xml"/><Relationship Id="rId96" Type="http://schemas.openxmlformats.org/officeDocument/2006/relationships/customXml" Target="../customXml/item6.xml"/><Relationship Id="rId140" Type="http://schemas.openxmlformats.org/officeDocument/2006/relationships/customXml" Target="../customXml/item5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pivotCacheDefinition" Target="pivotCache/pivotCacheDefinition2.xml"/><Relationship Id="rId28" Type="http://schemas.openxmlformats.org/officeDocument/2006/relationships/pivotCacheDefinition" Target="pivotCache/pivotCacheDefinition7.xml"/><Relationship Id="rId49" Type="http://schemas.microsoft.com/office/2007/relationships/slicerCache" Target="slicerCaches/slicerCache15.xml"/><Relationship Id="rId114" Type="http://schemas.openxmlformats.org/officeDocument/2006/relationships/customXml" Target="../customXml/item24.xml"/><Relationship Id="rId119" Type="http://schemas.openxmlformats.org/officeDocument/2006/relationships/customXml" Target="../customXml/item29.xml"/><Relationship Id="rId44" Type="http://schemas.microsoft.com/office/2007/relationships/slicerCache" Target="slicerCaches/slicerCache10.xml"/><Relationship Id="rId60" Type="http://schemas.microsoft.com/office/2007/relationships/slicerCache" Target="slicerCaches/slicerCache26.xml"/><Relationship Id="rId65" Type="http://schemas.microsoft.com/office/2007/relationships/slicerCache" Target="slicerCaches/slicerCache31.xml"/><Relationship Id="rId81" Type="http://schemas.microsoft.com/office/2007/relationships/slicerCache" Target="slicerCaches/slicerCache47.xml"/><Relationship Id="rId86" Type="http://schemas.openxmlformats.org/officeDocument/2006/relationships/connections" Target="connections.xml"/><Relationship Id="rId130" Type="http://schemas.openxmlformats.org/officeDocument/2006/relationships/customXml" Target="../customXml/item40.xml"/><Relationship Id="rId135" Type="http://schemas.openxmlformats.org/officeDocument/2006/relationships/customXml" Target="../customXml/item4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microsoft.com/office/2007/relationships/slicerCache" Target="slicerCaches/slicerCache5.xml"/><Relationship Id="rId109" Type="http://schemas.openxmlformats.org/officeDocument/2006/relationships/customXml" Target="../customXml/item19.xml"/><Relationship Id="rId34" Type="http://schemas.openxmlformats.org/officeDocument/2006/relationships/pivotCacheDefinition" Target="pivotCache/pivotCacheDefinition13.xml"/><Relationship Id="rId50" Type="http://schemas.microsoft.com/office/2007/relationships/slicerCache" Target="slicerCaches/slicerCache16.xml"/><Relationship Id="rId55" Type="http://schemas.microsoft.com/office/2007/relationships/slicerCache" Target="slicerCaches/slicerCache21.xml"/><Relationship Id="rId76" Type="http://schemas.microsoft.com/office/2007/relationships/slicerCache" Target="slicerCaches/slicerCache42.xml"/><Relationship Id="rId97" Type="http://schemas.openxmlformats.org/officeDocument/2006/relationships/customXml" Target="../customXml/item7.xml"/><Relationship Id="rId104" Type="http://schemas.openxmlformats.org/officeDocument/2006/relationships/customXml" Target="../customXml/item14.xml"/><Relationship Id="rId120" Type="http://schemas.openxmlformats.org/officeDocument/2006/relationships/customXml" Target="../customXml/item30.xml"/><Relationship Id="rId125" Type="http://schemas.openxmlformats.org/officeDocument/2006/relationships/customXml" Target="../customXml/item35.xml"/><Relationship Id="rId7" Type="http://schemas.openxmlformats.org/officeDocument/2006/relationships/worksheet" Target="worksheets/sheet7.xml"/><Relationship Id="rId71" Type="http://schemas.microsoft.com/office/2007/relationships/slicerCache" Target="slicerCaches/slicerCache37.xml"/><Relationship Id="rId92" Type="http://schemas.openxmlformats.org/officeDocument/2006/relationships/customXml" Target="../customXml/item2.xml"/><Relationship Id="rId2" Type="http://schemas.openxmlformats.org/officeDocument/2006/relationships/worksheet" Target="worksheets/sheet2.xml"/><Relationship Id="rId29" Type="http://schemas.openxmlformats.org/officeDocument/2006/relationships/pivotCacheDefinition" Target="pivotCache/pivotCacheDefinition8.xml"/><Relationship Id="rId24" Type="http://schemas.openxmlformats.org/officeDocument/2006/relationships/pivotCacheDefinition" Target="pivotCache/pivotCacheDefinition3.xml"/><Relationship Id="rId40" Type="http://schemas.microsoft.com/office/2007/relationships/slicerCache" Target="slicerCaches/slicerCache6.xml"/><Relationship Id="rId45" Type="http://schemas.microsoft.com/office/2007/relationships/slicerCache" Target="slicerCaches/slicerCache11.xml"/><Relationship Id="rId66" Type="http://schemas.microsoft.com/office/2007/relationships/slicerCache" Target="slicerCaches/slicerCache32.xml"/><Relationship Id="rId87" Type="http://schemas.openxmlformats.org/officeDocument/2006/relationships/styles" Target="styles.xml"/><Relationship Id="rId110" Type="http://schemas.openxmlformats.org/officeDocument/2006/relationships/customXml" Target="../customXml/item20.xml"/><Relationship Id="rId115" Type="http://schemas.openxmlformats.org/officeDocument/2006/relationships/customXml" Target="../customXml/item25.xml"/><Relationship Id="rId131" Type="http://schemas.openxmlformats.org/officeDocument/2006/relationships/customXml" Target="../customXml/item41.xml"/><Relationship Id="rId136" Type="http://schemas.openxmlformats.org/officeDocument/2006/relationships/customXml" Target="../customXml/item46.xml"/><Relationship Id="rId61" Type="http://schemas.microsoft.com/office/2007/relationships/slicerCache" Target="slicerCaches/slicerCache27.xml"/><Relationship Id="rId82" Type="http://schemas.microsoft.com/office/2007/relationships/slicerCache" Target="slicerCaches/slicerCache4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pivotCacheDefinition" Target="pivotCache/pivotCacheDefinition9.xml"/><Relationship Id="rId35" Type="http://schemas.microsoft.com/office/2007/relationships/slicerCache" Target="slicerCaches/slicerCache1.xml"/><Relationship Id="rId56" Type="http://schemas.microsoft.com/office/2007/relationships/slicerCache" Target="slicerCaches/slicerCache22.xml"/><Relationship Id="rId77" Type="http://schemas.microsoft.com/office/2007/relationships/slicerCache" Target="slicerCaches/slicerCache43.xml"/><Relationship Id="rId100" Type="http://schemas.openxmlformats.org/officeDocument/2006/relationships/customXml" Target="../customXml/item10.xml"/><Relationship Id="rId105" Type="http://schemas.openxmlformats.org/officeDocument/2006/relationships/customXml" Target="../customXml/item15.xml"/><Relationship Id="rId126" Type="http://schemas.openxmlformats.org/officeDocument/2006/relationships/customXml" Target="../customXml/item36.xml"/><Relationship Id="rId8" Type="http://schemas.openxmlformats.org/officeDocument/2006/relationships/worksheet" Target="worksheets/sheet8.xml"/><Relationship Id="rId51" Type="http://schemas.microsoft.com/office/2007/relationships/slicerCache" Target="slicerCaches/slicerCache17.xml"/><Relationship Id="rId72" Type="http://schemas.microsoft.com/office/2007/relationships/slicerCache" Target="slicerCaches/slicerCache38.xml"/><Relationship Id="rId93" Type="http://schemas.openxmlformats.org/officeDocument/2006/relationships/customXml" Target="../customXml/item3.xml"/><Relationship Id="rId98" Type="http://schemas.openxmlformats.org/officeDocument/2006/relationships/customXml" Target="../customXml/item8.xml"/><Relationship Id="rId121" Type="http://schemas.openxmlformats.org/officeDocument/2006/relationships/customXml" Target="../customXml/item31.xml"/><Relationship Id="rId3" Type="http://schemas.openxmlformats.org/officeDocument/2006/relationships/worksheet" Target="worksheets/sheet3.xml"/><Relationship Id="rId25" Type="http://schemas.openxmlformats.org/officeDocument/2006/relationships/pivotCacheDefinition" Target="pivotCache/pivotCacheDefinition4.xml"/><Relationship Id="rId46" Type="http://schemas.microsoft.com/office/2007/relationships/slicerCache" Target="slicerCaches/slicerCache12.xml"/><Relationship Id="rId67" Type="http://schemas.microsoft.com/office/2007/relationships/slicerCache" Target="slicerCaches/slicerCache33.xml"/><Relationship Id="rId116" Type="http://schemas.openxmlformats.org/officeDocument/2006/relationships/customXml" Target="../customXml/item26.xml"/><Relationship Id="rId137" Type="http://schemas.openxmlformats.org/officeDocument/2006/relationships/customXml" Target="../customXml/item47.xml"/><Relationship Id="rId20" Type="http://schemas.openxmlformats.org/officeDocument/2006/relationships/worksheet" Target="worksheets/sheet20.xml"/><Relationship Id="rId41" Type="http://schemas.microsoft.com/office/2007/relationships/slicerCache" Target="slicerCaches/slicerCache7.xml"/><Relationship Id="rId62" Type="http://schemas.microsoft.com/office/2007/relationships/slicerCache" Target="slicerCaches/slicerCache28.xml"/><Relationship Id="rId83" Type="http://schemas.microsoft.com/office/2007/relationships/slicerCache" Target="slicerCaches/slicerCache49.xml"/><Relationship Id="rId88" Type="http://schemas.openxmlformats.org/officeDocument/2006/relationships/sharedStrings" Target="sharedStrings.xml"/><Relationship Id="rId111" Type="http://schemas.openxmlformats.org/officeDocument/2006/relationships/customXml" Target="../customXml/item21.xml"/><Relationship Id="rId132" Type="http://schemas.openxmlformats.org/officeDocument/2006/relationships/customXml" Target="../customXml/item42.xml"/><Relationship Id="rId15" Type="http://schemas.openxmlformats.org/officeDocument/2006/relationships/worksheet" Target="worksheets/sheet15.xml"/><Relationship Id="rId36" Type="http://schemas.microsoft.com/office/2007/relationships/slicerCache" Target="slicerCaches/slicerCache2.xml"/><Relationship Id="rId57" Type="http://schemas.microsoft.com/office/2007/relationships/slicerCache" Target="slicerCaches/slicerCache23.xml"/><Relationship Id="rId106" Type="http://schemas.openxmlformats.org/officeDocument/2006/relationships/customXml" Target="../customXml/item16.xml"/><Relationship Id="rId127" Type="http://schemas.openxmlformats.org/officeDocument/2006/relationships/customXml" Target="../customXml/item37.xml"/><Relationship Id="rId10" Type="http://schemas.openxmlformats.org/officeDocument/2006/relationships/worksheet" Target="worksheets/sheet10.xml"/><Relationship Id="rId31" Type="http://schemas.openxmlformats.org/officeDocument/2006/relationships/pivotCacheDefinition" Target="pivotCache/pivotCacheDefinition10.xml"/><Relationship Id="rId52" Type="http://schemas.microsoft.com/office/2007/relationships/slicerCache" Target="slicerCaches/slicerCache18.xml"/><Relationship Id="rId73" Type="http://schemas.microsoft.com/office/2007/relationships/slicerCache" Target="slicerCaches/slicerCache39.xml"/><Relationship Id="rId78" Type="http://schemas.microsoft.com/office/2007/relationships/slicerCache" Target="slicerCaches/slicerCache44.xml"/><Relationship Id="rId94" Type="http://schemas.openxmlformats.org/officeDocument/2006/relationships/customXml" Target="../customXml/item4.xml"/><Relationship Id="rId99" Type="http://schemas.openxmlformats.org/officeDocument/2006/relationships/customXml" Target="../customXml/item9.xml"/><Relationship Id="rId101" Type="http://schemas.openxmlformats.org/officeDocument/2006/relationships/customXml" Target="../customXml/item11.xml"/><Relationship Id="rId122" Type="http://schemas.openxmlformats.org/officeDocument/2006/relationships/customXml" Target="../customXml/item3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pivotCacheDefinition" Target="pivotCache/pivotCacheDefinition5.xml"/><Relationship Id="rId47" Type="http://schemas.microsoft.com/office/2007/relationships/slicerCache" Target="slicerCaches/slicerCache13.xml"/><Relationship Id="rId68" Type="http://schemas.microsoft.com/office/2007/relationships/slicerCache" Target="slicerCaches/slicerCache34.xml"/><Relationship Id="rId89" Type="http://schemas.openxmlformats.org/officeDocument/2006/relationships/powerPivotData" Target="model/item.data"/><Relationship Id="rId112" Type="http://schemas.openxmlformats.org/officeDocument/2006/relationships/customXml" Target="../customXml/item22.xml"/><Relationship Id="rId133" Type="http://schemas.openxmlformats.org/officeDocument/2006/relationships/customXml" Target="../customXml/item4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County</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0024015748031496"/>
          <c:y val="0.19486111111111112"/>
          <c:w val="0.38563079615048118"/>
          <c:h val="0.64271799358413528"/>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General!$A$3:$A$4</c:f>
              <c:strCache>
                <c:ptCount val="2"/>
                <c:pt idx="0">
                  <c:v>Nassau</c:v>
                </c:pt>
                <c:pt idx="1">
                  <c:v>Suffolk</c:v>
                </c:pt>
              </c:strCache>
            </c:strRef>
          </c:cat>
          <c:val>
            <c:numRef>
              <c:f>General!$B$3:$B$4</c:f>
              <c:numCache>
                <c:formatCode>General</c:formatCode>
                <c:ptCount val="2"/>
                <c:pt idx="0">
                  <c:v>125</c:v>
                </c:pt>
                <c:pt idx="1">
                  <c:v>353</c:v>
                </c:pt>
              </c:numCache>
            </c:numRef>
          </c:val>
        </c:ser>
        <c:dLbls>
          <c:dLblPos val="inEnd"/>
          <c:showLegendKey val="0"/>
          <c:showVal val="0"/>
          <c:showCatName val="0"/>
          <c:showSerName val="0"/>
          <c:showPercent val="1"/>
          <c:showBubbleSize val="0"/>
          <c:showLeaderLines val="0"/>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Household Income</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0447965879265093"/>
          <c:y val="0.14340296004666084"/>
          <c:w val="0.37992979002624672"/>
          <c:h val="0.63321631671041123"/>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General!$A$19:$A$24</c:f>
              <c:strCache>
                <c:ptCount val="6"/>
                <c:pt idx="0">
                  <c:v>$0-$19,999</c:v>
                </c:pt>
                <c:pt idx="1">
                  <c:v>$20,000 to $34,999</c:v>
                </c:pt>
                <c:pt idx="2">
                  <c:v>$35,000 to $49,999</c:v>
                </c:pt>
                <c:pt idx="3">
                  <c:v>$50,000 to $74,999</c:v>
                </c:pt>
                <c:pt idx="4">
                  <c:v>$75,000 to $125,000</c:v>
                </c:pt>
                <c:pt idx="5">
                  <c:v>Over $125,000</c:v>
                </c:pt>
              </c:strCache>
            </c:strRef>
          </c:cat>
          <c:val>
            <c:numRef>
              <c:f>General!$B$19:$B$24</c:f>
              <c:numCache>
                <c:formatCode>General</c:formatCode>
                <c:ptCount val="6"/>
                <c:pt idx="0">
                  <c:v>21</c:v>
                </c:pt>
                <c:pt idx="1">
                  <c:v>35</c:v>
                </c:pt>
                <c:pt idx="2">
                  <c:v>39</c:v>
                </c:pt>
                <c:pt idx="3">
                  <c:v>70</c:v>
                </c:pt>
                <c:pt idx="4">
                  <c:v>104</c:v>
                </c:pt>
                <c:pt idx="5">
                  <c:v>184</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Gender</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1427252843394571"/>
          <c:y val="0.19471074677309172"/>
          <c:w val="0.3825660542432196"/>
          <c:h val="0.62887570560529249"/>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General!$K$3:$K$5</c:f>
              <c:strCache>
                <c:ptCount val="3"/>
                <c:pt idx="0">
                  <c:v>Man</c:v>
                </c:pt>
                <c:pt idx="1">
                  <c:v>Woman</c:v>
                </c:pt>
                <c:pt idx="2">
                  <c:v>Transgender</c:v>
                </c:pt>
              </c:strCache>
            </c:strRef>
          </c:cat>
          <c:val>
            <c:numRef>
              <c:f>General!$L$3:$L$6</c:f>
              <c:numCache>
                <c:formatCode>General</c:formatCode>
                <c:ptCount val="4"/>
                <c:pt idx="0">
                  <c:v>246</c:v>
                </c:pt>
                <c:pt idx="1">
                  <c:v>249</c:v>
                </c:pt>
                <c:pt idx="2">
                  <c:v>3</c:v>
                </c:pt>
                <c:pt idx="3">
                  <c:v>0</c:v>
                </c:pt>
              </c:numCache>
            </c:numRef>
          </c:val>
        </c:ser>
        <c:dLbls>
          <c:dLblPos val="inEnd"/>
          <c:showLegendKey val="0"/>
          <c:showVal val="0"/>
          <c:showCatName val="0"/>
          <c:showSerName val="0"/>
          <c:showPercent val="1"/>
          <c:showBubbleSize val="0"/>
          <c:showLeaderLines val="1"/>
        </c:dLbls>
        <c:firstSliceAng val="37"/>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Age Range</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General!$K$19:$K$24</c:f>
              <c:strCache>
                <c:ptCount val="6"/>
                <c:pt idx="0">
                  <c:v>18-24</c:v>
                </c:pt>
                <c:pt idx="1">
                  <c:v>25-34</c:v>
                </c:pt>
                <c:pt idx="2">
                  <c:v>35-44</c:v>
                </c:pt>
                <c:pt idx="3">
                  <c:v>45-54</c:v>
                </c:pt>
                <c:pt idx="4">
                  <c:v>55-64</c:v>
                </c:pt>
                <c:pt idx="5">
                  <c:v>65+</c:v>
                </c:pt>
              </c:strCache>
            </c:strRef>
          </c:cat>
          <c:val>
            <c:numRef>
              <c:f>General!$L$19:$L$24</c:f>
              <c:numCache>
                <c:formatCode>General</c:formatCode>
                <c:ptCount val="6"/>
                <c:pt idx="0">
                  <c:v>71</c:v>
                </c:pt>
                <c:pt idx="1">
                  <c:v>37</c:v>
                </c:pt>
                <c:pt idx="2">
                  <c:v>55</c:v>
                </c:pt>
                <c:pt idx="3">
                  <c:v>78</c:v>
                </c:pt>
                <c:pt idx="4">
                  <c:v>37</c:v>
                </c:pt>
                <c:pt idx="5">
                  <c:v>24</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Insurance Status</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General!$U$3:$U$5</c:f>
              <c:strCache>
                <c:ptCount val="3"/>
                <c:pt idx="0">
                  <c:v>Yes</c:v>
                </c:pt>
                <c:pt idx="1">
                  <c:v>No</c:v>
                </c:pt>
                <c:pt idx="2">
                  <c:v>No, but did in past</c:v>
                </c:pt>
              </c:strCache>
            </c:strRef>
          </c:cat>
          <c:val>
            <c:numRef>
              <c:f>General!$V$3:$V$5</c:f>
              <c:numCache>
                <c:formatCode>General</c:formatCode>
                <c:ptCount val="3"/>
                <c:pt idx="0">
                  <c:v>410</c:v>
                </c:pt>
                <c:pt idx="1">
                  <c:v>24</c:v>
                </c:pt>
                <c:pt idx="2">
                  <c:v>11</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Race</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1311461067366581"/>
          <c:y val="0.13085153015666856"/>
          <c:w val="0.38488188976377952"/>
          <c:h val="0.63485672538355387"/>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General!$U$19:$U$24</c:f>
              <c:strCache>
                <c:ptCount val="6"/>
                <c:pt idx="0">
                  <c:v>White</c:v>
                </c:pt>
                <c:pt idx="1">
                  <c:v>Black/African American</c:v>
                </c:pt>
                <c:pt idx="2">
                  <c:v>Native Hawaiian and Other Pacific Islander</c:v>
                </c:pt>
                <c:pt idx="3">
                  <c:v>American Indian and Alaska Native</c:v>
                </c:pt>
                <c:pt idx="4">
                  <c:v>Multi-racial</c:v>
                </c:pt>
                <c:pt idx="5">
                  <c:v>Other</c:v>
                </c:pt>
              </c:strCache>
            </c:strRef>
          </c:cat>
          <c:val>
            <c:numRef>
              <c:f>General!$V$19:$V$24</c:f>
              <c:numCache>
                <c:formatCode>General</c:formatCode>
                <c:ptCount val="6"/>
                <c:pt idx="0">
                  <c:v>330</c:v>
                </c:pt>
                <c:pt idx="1">
                  <c:v>10</c:v>
                </c:pt>
                <c:pt idx="2">
                  <c:v>16</c:v>
                </c:pt>
                <c:pt idx="3">
                  <c:v>30</c:v>
                </c:pt>
                <c:pt idx="4">
                  <c:v>11</c:v>
                </c:pt>
                <c:pt idx="5">
                  <c:v>11</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71977688366440817"/>
          <c:y val="1.9951166249339191E-2"/>
          <c:w val="0.28022311633559183"/>
          <c:h val="0.95425778994447141"/>
        </c:manualLayout>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Employment Status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3208836395450569"/>
          <c:y val="0.1344400699912511"/>
          <c:w val="0.34415682414698162"/>
          <c:h val="0.57359470691163605"/>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solidFill>
                  <a:schemeClr val="accent1"/>
                </a:solid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General!$AO$3:$AO$9</c:f>
              <c:strCache>
                <c:ptCount val="7"/>
                <c:pt idx="0">
                  <c:v>Employed for Wages</c:v>
                </c:pt>
                <c:pt idx="1">
                  <c:v>Self-employed</c:v>
                </c:pt>
                <c:pt idx="2">
                  <c:v>Student</c:v>
                </c:pt>
                <c:pt idx="3">
                  <c:v>Retired</c:v>
                </c:pt>
                <c:pt idx="4">
                  <c:v>Military</c:v>
                </c:pt>
                <c:pt idx="5">
                  <c:v>Out of work and looking</c:v>
                </c:pt>
                <c:pt idx="6">
                  <c:v>Out of work, but not looking</c:v>
                </c:pt>
              </c:strCache>
            </c:strRef>
          </c:cat>
          <c:val>
            <c:numRef>
              <c:f>General!$AP$3:$AP$9</c:f>
              <c:numCache>
                <c:formatCode>General</c:formatCode>
                <c:ptCount val="7"/>
                <c:pt idx="0">
                  <c:v>252</c:v>
                </c:pt>
                <c:pt idx="1">
                  <c:v>34</c:v>
                </c:pt>
                <c:pt idx="2">
                  <c:v>55</c:v>
                </c:pt>
                <c:pt idx="3">
                  <c:v>74</c:v>
                </c:pt>
                <c:pt idx="4">
                  <c:v>1</c:v>
                </c:pt>
                <c:pt idx="5">
                  <c:v>18</c:v>
                </c:pt>
                <c:pt idx="6">
                  <c:v>17</c:v>
                </c:pt>
              </c:numCache>
            </c:numRef>
          </c:val>
        </c:ser>
        <c:dLbls>
          <c:dLblPos val="inEnd"/>
          <c:showLegendKey val="0"/>
          <c:showVal val="0"/>
          <c:showCatName val="0"/>
          <c:showSerName val="0"/>
          <c:showPercent val="1"/>
          <c:showBubbleSize val="0"/>
          <c:showLeaderLines val="1"/>
        </c:dLbls>
        <c:firstSliceAng val="111"/>
      </c:pieChart>
      <c:spPr>
        <a:noFill/>
        <a:ln>
          <a:noFill/>
        </a:ln>
        <a:effectLst/>
      </c:spPr>
    </c:plotArea>
    <c:legend>
      <c:legendPos val="b"/>
      <c:layout>
        <c:manualLayout>
          <c:xMode val="edge"/>
          <c:yMode val="edge"/>
          <c:x val="7.3465879265091863E-2"/>
          <c:y val="0.74073855351414408"/>
          <c:w val="0.85584601924759418"/>
          <c:h val="0.23148366870807816"/>
        </c:manualLayout>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Education Level</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1084273840769905"/>
          <c:y val="0.12951407115777194"/>
          <c:w val="0.36442585301837271"/>
          <c:h val="0.60737642169728789"/>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4">
                  <a:lumMod val="60000"/>
                  <a:lumOff val="4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Pt>
            <c:idx val="9"/>
            <c:bubble3D val="0"/>
            <c:spPr>
              <a:solidFill>
                <a:srgbClr val="FFFF00"/>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General!$AE$19:$AE$28</c:f>
              <c:strCache>
                <c:ptCount val="10"/>
                <c:pt idx="0">
                  <c:v>K-8th</c:v>
                </c:pt>
                <c:pt idx="1">
                  <c:v>Some high school</c:v>
                </c:pt>
                <c:pt idx="2">
                  <c:v>High school graduate</c:v>
                </c:pt>
                <c:pt idx="3">
                  <c:v>Technical school</c:v>
                </c:pt>
                <c:pt idx="4">
                  <c:v>Some college</c:v>
                </c:pt>
                <c:pt idx="5">
                  <c:v>College graduate</c:v>
                </c:pt>
                <c:pt idx="6">
                  <c:v>Graduate school</c:v>
                </c:pt>
                <c:pt idx="7">
                  <c:v>Doctorate</c:v>
                </c:pt>
                <c:pt idx="8">
                  <c:v>GED</c:v>
                </c:pt>
                <c:pt idx="9">
                  <c:v>None</c:v>
                </c:pt>
              </c:strCache>
            </c:strRef>
          </c:cat>
          <c:val>
            <c:numRef>
              <c:f>General!$AF$19:$AF$28</c:f>
              <c:numCache>
                <c:formatCode>General</c:formatCode>
                <c:ptCount val="10"/>
                <c:pt idx="0">
                  <c:v>3</c:v>
                </c:pt>
                <c:pt idx="1">
                  <c:v>45</c:v>
                </c:pt>
                <c:pt idx="2">
                  <c:v>64</c:v>
                </c:pt>
                <c:pt idx="3">
                  <c:v>14</c:v>
                </c:pt>
                <c:pt idx="4">
                  <c:v>84</c:v>
                </c:pt>
                <c:pt idx="5">
                  <c:v>145</c:v>
                </c:pt>
                <c:pt idx="6">
                  <c:v>93</c:v>
                </c:pt>
                <c:pt idx="7">
                  <c:v>28</c:v>
                </c:pt>
                <c:pt idx="8">
                  <c:v>0</c:v>
                </c:pt>
                <c:pt idx="9" formatCode="0">
                  <c:v>0</c:v>
                </c:pt>
              </c:numCache>
            </c:numRef>
          </c:val>
        </c:ser>
        <c:dLbls>
          <c:dLblPos val="inEnd"/>
          <c:showLegendKey val="0"/>
          <c:showVal val="0"/>
          <c:showCatName val="0"/>
          <c:showSerName val="0"/>
          <c:showPercent val="1"/>
          <c:showBubbleSize val="0"/>
          <c:showLeaderLines val="1"/>
        </c:dLbls>
        <c:firstSliceAng val="92"/>
      </c:pieChart>
      <c:spPr>
        <a:noFill/>
        <a:ln>
          <a:noFill/>
        </a:ln>
        <a:effectLst/>
      </c:spPr>
    </c:plotArea>
    <c:legend>
      <c:legendPos val="b"/>
      <c:layout>
        <c:manualLayout>
          <c:xMode val="edge"/>
          <c:yMode val="edge"/>
          <c:x val="1.0409886264216971E-2"/>
          <c:y val="0.76003864100320795"/>
          <c:w val="0.97918022747156608"/>
          <c:h val="0.21218358121901426"/>
        </c:manualLayout>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Insurance</a:t>
            </a:r>
            <a:r>
              <a:rPr lang="en-US" sz="1400" baseline="0"/>
              <a:t> Type</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262801837270341"/>
          <c:y val="0.1300462962962963"/>
          <c:w val="0.35021762904636922"/>
          <c:h val="0.58369604841061529"/>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Pt>
            <c:idx val="9"/>
            <c:bubble3D val="0"/>
            <c:spPr>
              <a:solidFill>
                <a:schemeClr val="accent4">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General!$AE$3:$AE$11</c:f>
              <c:strCache>
                <c:ptCount val="9"/>
                <c:pt idx="0">
                  <c:v>Medicaid</c:v>
                </c:pt>
                <c:pt idx="1">
                  <c:v>Medicaid,Medicare</c:v>
                </c:pt>
                <c:pt idx="2">
                  <c:v>Medicaid,Medicare,Private/Commercial</c:v>
                </c:pt>
                <c:pt idx="3">
                  <c:v>Medicaid,Private/Commercial</c:v>
                </c:pt>
                <c:pt idx="4">
                  <c:v>Medicare</c:v>
                </c:pt>
                <c:pt idx="5">
                  <c:v>Medicare,No Insurance</c:v>
                </c:pt>
                <c:pt idx="6">
                  <c:v>Medicare,Private/Commercial</c:v>
                </c:pt>
                <c:pt idx="7">
                  <c:v>No Insurance</c:v>
                </c:pt>
                <c:pt idx="8">
                  <c:v>Private/Commercial</c:v>
                </c:pt>
              </c:strCache>
            </c:strRef>
          </c:cat>
          <c:val>
            <c:numRef>
              <c:f>General!$AF$3:$AF$11</c:f>
              <c:numCache>
                <c:formatCode>General</c:formatCode>
                <c:ptCount val="9"/>
                <c:pt idx="0">
                  <c:v>27</c:v>
                </c:pt>
                <c:pt idx="1">
                  <c:v>3</c:v>
                </c:pt>
                <c:pt idx="2">
                  <c:v>0</c:v>
                </c:pt>
                <c:pt idx="3">
                  <c:v>1</c:v>
                </c:pt>
                <c:pt idx="4">
                  <c:v>27</c:v>
                </c:pt>
                <c:pt idx="5">
                  <c:v>0</c:v>
                </c:pt>
                <c:pt idx="6">
                  <c:v>20</c:v>
                </c:pt>
                <c:pt idx="7">
                  <c:v>14</c:v>
                </c:pt>
                <c:pt idx="8">
                  <c:v>180</c:v>
                </c:pt>
              </c:numCache>
            </c:numRef>
          </c:val>
        </c:ser>
        <c:dLbls>
          <c:dLblPos val="inEnd"/>
          <c:showLegendKey val="0"/>
          <c:showVal val="0"/>
          <c:showCatName val="0"/>
          <c:showSerName val="0"/>
          <c:showPercent val="1"/>
          <c:showBubbleSize val="0"/>
          <c:showLeaderLines val="1"/>
        </c:dLbls>
        <c:firstSliceAng val="98"/>
      </c:pieChart>
      <c:spPr>
        <a:noFill/>
        <a:ln>
          <a:noFill/>
        </a:ln>
        <a:effectLst/>
      </c:spPr>
    </c:plotArea>
    <c:legend>
      <c:legendPos val="b"/>
      <c:layout>
        <c:manualLayout>
          <c:xMode val="edge"/>
          <c:yMode val="edge"/>
          <c:x val="5.4854330708661414E-2"/>
          <c:y val="0.746149752114319"/>
          <c:w val="0.89029133858267717"/>
          <c:h val="0.22607247010790318"/>
        </c:manualLayout>
      </c:layout>
      <c:overlay val="0"/>
      <c:spPr>
        <a:solidFill>
          <a:schemeClr val="lt1">
            <a:alpha val="78000"/>
          </a:schemeClr>
        </a:solidFill>
        <a:ln>
          <a:noFill/>
        </a:ln>
        <a:effectLst/>
      </c:spPr>
      <c:txPr>
        <a:bodyPr rot="0" spcFirstLastPara="1" vertOverflow="ellipsis" vert="horz" wrap="square" anchor="ctr" anchorCtr="1"/>
        <a:lstStyle/>
        <a:p>
          <a:pPr>
            <a:defRPr sz="8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Have a Smartphone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General!$AO$19:$AO$20</c:f>
              <c:strCache>
                <c:ptCount val="2"/>
                <c:pt idx="0">
                  <c:v>Yes</c:v>
                </c:pt>
                <c:pt idx="1">
                  <c:v>No</c:v>
                </c:pt>
              </c:strCache>
            </c:strRef>
          </c:cat>
          <c:val>
            <c:numRef>
              <c:f>General!$AP$19:$AP$20</c:f>
              <c:numCache>
                <c:formatCode>General</c:formatCode>
                <c:ptCount val="2"/>
                <c:pt idx="0">
                  <c:v>253</c:v>
                </c:pt>
                <c:pt idx="1">
                  <c:v>14</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Gender</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29673775153105864"/>
          <c:y val="0.17490600837057529"/>
          <c:w val="0.38152449693788271"/>
          <c:h val="0.61868837341278282"/>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'Nassau '!$A$3:$A$6</c:f>
              <c:strCache>
                <c:ptCount val="4"/>
                <c:pt idx="0">
                  <c:v>Man</c:v>
                </c:pt>
                <c:pt idx="1">
                  <c:v>Woman</c:v>
                </c:pt>
                <c:pt idx="2">
                  <c:v>Transgender</c:v>
                </c:pt>
                <c:pt idx="3">
                  <c:v>Other</c:v>
                </c:pt>
              </c:strCache>
            </c:strRef>
          </c:cat>
          <c:val>
            <c:numRef>
              <c:f>'Nassau '!$B$3:$B$6</c:f>
              <c:numCache>
                <c:formatCode>General</c:formatCode>
                <c:ptCount val="4"/>
                <c:pt idx="0">
                  <c:v>45</c:v>
                </c:pt>
                <c:pt idx="1">
                  <c:v>78</c:v>
                </c:pt>
                <c:pt idx="2">
                  <c:v>0</c:v>
                </c:pt>
                <c:pt idx="3">
                  <c:v>0</c:v>
                </c:pt>
              </c:numCache>
            </c:numRef>
          </c:val>
        </c:ser>
        <c:dLbls>
          <c:dLblPos val="inEnd"/>
          <c:showLegendKey val="0"/>
          <c:showVal val="0"/>
          <c:showCatName val="0"/>
          <c:showSerName val="0"/>
          <c:showPercent val="1"/>
          <c:showBubbleSize val="0"/>
          <c:showLeaderLines val="1"/>
        </c:dLbls>
        <c:firstSliceAng val="44"/>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Household Income</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0660542432195975"/>
          <c:y val="0.13467592592592592"/>
          <c:w val="0.37567825896762902"/>
          <c:h val="0.62613043161271509"/>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'Nassau '!$A$19:$A$24</c:f>
              <c:strCache>
                <c:ptCount val="6"/>
                <c:pt idx="0">
                  <c:v>$0-$19,999</c:v>
                </c:pt>
                <c:pt idx="1">
                  <c:v>$20,000 to $34,999</c:v>
                </c:pt>
                <c:pt idx="2">
                  <c:v>$35,000 to $49,999</c:v>
                </c:pt>
                <c:pt idx="3">
                  <c:v>$50,000 to $74,999</c:v>
                </c:pt>
                <c:pt idx="4">
                  <c:v>$75,000 to $125,000</c:v>
                </c:pt>
                <c:pt idx="5">
                  <c:v>Over $125,000</c:v>
                </c:pt>
              </c:strCache>
            </c:strRef>
          </c:cat>
          <c:val>
            <c:numRef>
              <c:f>'Nassau '!$B$19:$B$24</c:f>
              <c:numCache>
                <c:formatCode>General</c:formatCode>
                <c:ptCount val="6"/>
                <c:pt idx="0">
                  <c:v>4</c:v>
                </c:pt>
                <c:pt idx="1">
                  <c:v>11</c:v>
                </c:pt>
                <c:pt idx="2">
                  <c:v>10</c:v>
                </c:pt>
                <c:pt idx="3">
                  <c:v>18</c:v>
                </c:pt>
                <c:pt idx="4">
                  <c:v>23</c:v>
                </c:pt>
                <c:pt idx="5">
                  <c:v>30</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Age Range</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'Nassau '!$K$3:$K$8</c:f>
              <c:strCache>
                <c:ptCount val="6"/>
                <c:pt idx="0">
                  <c:v>18-24</c:v>
                </c:pt>
                <c:pt idx="1">
                  <c:v>25-34</c:v>
                </c:pt>
                <c:pt idx="2">
                  <c:v>35-44</c:v>
                </c:pt>
                <c:pt idx="3">
                  <c:v>45-54</c:v>
                </c:pt>
                <c:pt idx="4">
                  <c:v>55-64</c:v>
                </c:pt>
                <c:pt idx="5">
                  <c:v>65+</c:v>
                </c:pt>
              </c:strCache>
            </c:strRef>
          </c:cat>
          <c:val>
            <c:numRef>
              <c:f>'Nassau '!$L$3:$L$8</c:f>
              <c:numCache>
                <c:formatCode>General</c:formatCode>
                <c:ptCount val="6"/>
                <c:pt idx="0">
                  <c:v>9</c:v>
                </c:pt>
                <c:pt idx="1">
                  <c:v>4</c:v>
                </c:pt>
                <c:pt idx="2">
                  <c:v>6</c:v>
                </c:pt>
                <c:pt idx="3">
                  <c:v>5</c:v>
                </c:pt>
                <c:pt idx="4">
                  <c:v>1</c:v>
                </c:pt>
                <c:pt idx="5">
                  <c:v>4</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sz="1400"/>
              <a:t>Employment Status</a:t>
            </a:r>
          </a:p>
        </c:rich>
      </c:tx>
      <c:layout>
        <c:manualLayout>
          <c:xMode val="edge"/>
          <c:yMode val="edge"/>
          <c:x val="0.33449300087489064"/>
          <c:y val="1.3888888888888888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2072462817147857"/>
          <c:y val="0.11152777777777778"/>
          <c:w val="0.36688429571303588"/>
          <c:h val="0.61147382618839308"/>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'Nassau '!$K$19:$K$25</c:f>
              <c:strCache>
                <c:ptCount val="7"/>
                <c:pt idx="0">
                  <c:v>Employed for Wages</c:v>
                </c:pt>
                <c:pt idx="1">
                  <c:v>Self-employed</c:v>
                </c:pt>
                <c:pt idx="2">
                  <c:v>Student</c:v>
                </c:pt>
                <c:pt idx="3">
                  <c:v>Retired</c:v>
                </c:pt>
                <c:pt idx="4">
                  <c:v>Military</c:v>
                </c:pt>
                <c:pt idx="5">
                  <c:v>Out of work and looking</c:v>
                </c:pt>
                <c:pt idx="6">
                  <c:v>Out of work, but not looking</c:v>
                </c:pt>
              </c:strCache>
            </c:strRef>
          </c:cat>
          <c:val>
            <c:numRef>
              <c:f>'Nassau '!$L$19:$L$25</c:f>
              <c:numCache>
                <c:formatCode>General</c:formatCode>
                <c:ptCount val="7"/>
                <c:pt idx="0">
                  <c:v>50</c:v>
                </c:pt>
                <c:pt idx="1">
                  <c:v>4</c:v>
                </c:pt>
                <c:pt idx="2">
                  <c:v>6</c:v>
                </c:pt>
                <c:pt idx="3">
                  <c:v>28</c:v>
                </c:pt>
                <c:pt idx="4">
                  <c:v>0</c:v>
                </c:pt>
                <c:pt idx="5">
                  <c:v>5</c:v>
                </c:pt>
                <c:pt idx="6">
                  <c:v>4</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2.4527340332458444E-2"/>
          <c:y val="0.7276312335958004"/>
          <c:w val="0.95094531933508308"/>
          <c:h val="0.23070209973753281"/>
        </c:manualLayout>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Insurance Status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0125174978127733"/>
          <c:y val="0.16876932050160395"/>
          <c:w val="0.38638538932633426"/>
          <c:h val="0.64397564887722381"/>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'Nassau '!$U$3:$U$5</c:f>
              <c:strCache>
                <c:ptCount val="3"/>
                <c:pt idx="0">
                  <c:v>Yes</c:v>
                </c:pt>
                <c:pt idx="1">
                  <c:v>No</c:v>
                </c:pt>
                <c:pt idx="2">
                  <c:v>No, but did in past</c:v>
                </c:pt>
              </c:strCache>
            </c:strRef>
          </c:cat>
          <c:val>
            <c:numRef>
              <c:f>'Nassau '!$V$3:$V$5</c:f>
              <c:numCache>
                <c:formatCode>General</c:formatCode>
                <c:ptCount val="3"/>
                <c:pt idx="0">
                  <c:v>87</c:v>
                </c:pt>
                <c:pt idx="1">
                  <c:v>4</c:v>
                </c:pt>
                <c:pt idx="2">
                  <c:v>2</c:v>
                </c:pt>
              </c:numCache>
            </c:numRef>
          </c:val>
        </c:ser>
        <c:dLbls>
          <c:dLblPos val="inEnd"/>
          <c:showLegendKey val="0"/>
          <c:showVal val="0"/>
          <c:showCatName val="0"/>
          <c:showSerName val="0"/>
          <c:showPercent val="1"/>
          <c:showBubbleSize val="0"/>
          <c:showLeaderLines val="1"/>
        </c:dLbls>
        <c:firstSliceAng val="322"/>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Race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2178587051618546"/>
          <c:y val="0.17591426071741031"/>
          <c:w val="0.35087292213473315"/>
          <c:h val="0.58478820355788863"/>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'Nassau '!$U$19:$U$24</c:f>
              <c:strCache>
                <c:ptCount val="6"/>
                <c:pt idx="0">
                  <c:v>White</c:v>
                </c:pt>
                <c:pt idx="1">
                  <c:v>Black/African American</c:v>
                </c:pt>
                <c:pt idx="2">
                  <c:v>Native Hawaiian and Other Pacific Islander</c:v>
                </c:pt>
                <c:pt idx="3">
                  <c:v>American Indian and Alaska Native</c:v>
                </c:pt>
                <c:pt idx="4">
                  <c:v>Multi-racial</c:v>
                </c:pt>
                <c:pt idx="5">
                  <c:v>Other</c:v>
                </c:pt>
              </c:strCache>
            </c:strRef>
          </c:cat>
          <c:val>
            <c:numRef>
              <c:f>'Nassau '!$V$19:$V$24</c:f>
              <c:numCache>
                <c:formatCode>General</c:formatCode>
                <c:ptCount val="6"/>
                <c:pt idx="0">
                  <c:v>66</c:v>
                </c:pt>
                <c:pt idx="1">
                  <c:v>1</c:v>
                </c:pt>
                <c:pt idx="2">
                  <c:v>0</c:v>
                </c:pt>
                <c:pt idx="3">
                  <c:v>7</c:v>
                </c:pt>
                <c:pt idx="4">
                  <c:v>3</c:v>
                </c:pt>
                <c:pt idx="5">
                  <c:v>3</c:v>
                </c:pt>
              </c:numCache>
            </c:numRef>
          </c:val>
        </c:ser>
        <c:dLbls>
          <c:dLblPos val="inEnd"/>
          <c:showLegendKey val="0"/>
          <c:showVal val="0"/>
          <c:showCatName val="0"/>
          <c:showSerName val="0"/>
          <c:showPercent val="1"/>
          <c:showBubbleSize val="0"/>
          <c:showLeaderLines val="1"/>
        </c:dLbls>
        <c:firstSliceAng val="19"/>
      </c:pieChart>
      <c:spPr>
        <a:noFill/>
        <a:ln>
          <a:noFill/>
        </a:ln>
        <a:effectLst/>
      </c:spPr>
    </c:plotArea>
    <c:legend>
      <c:legendPos val="b"/>
      <c:layout>
        <c:manualLayout>
          <c:xMode val="edge"/>
          <c:yMode val="edge"/>
          <c:x val="0.6955877145425422"/>
          <c:y val="7.7144118588354828E-3"/>
          <c:w val="0.30349273896566176"/>
          <c:h val="0.99228558814116452"/>
        </c:manualLayout>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Education Level</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262801837270341"/>
          <c:y val="0.1300462962962963"/>
          <c:w val="0.35021762904636922"/>
          <c:h val="0.58369604841061529"/>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4">
                  <a:lumMod val="60000"/>
                  <a:lumOff val="4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Pt>
            <c:idx val="9"/>
            <c:bubble3D val="0"/>
            <c:spPr>
              <a:solidFill>
                <a:srgbClr val="FFFF00"/>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'Nassau '!$AE$19:$AE$28</c:f>
              <c:strCache>
                <c:ptCount val="10"/>
                <c:pt idx="0">
                  <c:v>K-8th</c:v>
                </c:pt>
                <c:pt idx="1">
                  <c:v>Some high school</c:v>
                </c:pt>
                <c:pt idx="2">
                  <c:v>High school graduate</c:v>
                </c:pt>
                <c:pt idx="3">
                  <c:v>Technical school</c:v>
                </c:pt>
                <c:pt idx="4">
                  <c:v>Some college</c:v>
                </c:pt>
                <c:pt idx="5">
                  <c:v>College graduate</c:v>
                </c:pt>
                <c:pt idx="6">
                  <c:v>Graduate school</c:v>
                </c:pt>
                <c:pt idx="7">
                  <c:v>Doctorate</c:v>
                </c:pt>
                <c:pt idx="8">
                  <c:v>GED</c:v>
                </c:pt>
                <c:pt idx="9">
                  <c:v>None</c:v>
                </c:pt>
              </c:strCache>
            </c:strRef>
          </c:cat>
          <c:val>
            <c:numRef>
              <c:f>'Nassau '!$AF$19:$AF$28</c:f>
              <c:numCache>
                <c:formatCode>General</c:formatCode>
                <c:ptCount val="10"/>
                <c:pt idx="0">
                  <c:v>1</c:v>
                </c:pt>
                <c:pt idx="1">
                  <c:v>5</c:v>
                </c:pt>
                <c:pt idx="2">
                  <c:v>11</c:v>
                </c:pt>
                <c:pt idx="3">
                  <c:v>1</c:v>
                </c:pt>
                <c:pt idx="4">
                  <c:v>21</c:v>
                </c:pt>
                <c:pt idx="5">
                  <c:v>34</c:v>
                </c:pt>
                <c:pt idx="6">
                  <c:v>26</c:v>
                </c:pt>
                <c:pt idx="7">
                  <c:v>11</c:v>
                </c:pt>
                <c:pt idx="8">
                  <c:v>0</c:v>
                </c:pt>
                <c:pt idx="9" formatCode="0">
                  <c:v>0</c:v>
                </c:pt>
              </c:numCache>
            </c:numRef>
          </c:val>
        </c:ser>
        <c:dLbls>
          <c:dLblPos val="inEnd"/>
          <c:showLegendKey val="0"/>
          <c:showVal val="0"/>
          <c:showCatName val="0"/>
          <c:showSerName val="0"/>
          <c:showPercent val="1"/>
          <c:showBubbleSize val="0"/>
          <c:showLeaderLines val="1"/>
        </c:dLbls>
        <c:firstSliceAng val="98"/>
      </c:pieChart>
      <c:spPr>
        <a:noFill/>
        <a:ln>
          <a:noFill/>
        </a:ln>
        <a:effectLst/>
      </c:spPr>
    </c:plotArea>
    <c:legend>
      <c:legendPos val="b"/>
      <c:layout>
        <c:manualLayout>
          <c:xMode val="edge"/>
          <c:yMode val="edge"/>
          <c:x val="5.4854330708661414E-2"/>
          <c:y val="0.746149752114319"/>
          <c:w val="0.89029133858267717"/>
          <c:h val="0.22607247010790318"/>
        </c:manualLayout>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Insurance</a:t>
            </a:r>
            <a:r>
              <a:rPr lang="en-US" sz="1400" baseline="0"/>
              <a:t> Type</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262801837270341"/>
          <c:y val="0.1300462962962963"/>
          <c:w val="0.35021762904636922"/>
          <c:h val="0.58369604841061529"/>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Pt>
            <c:idx val="9"/>
            <c:bubble3D val="0"/>
            <c:spPr>
              <a:solidFill>
                <a:schemeClr val="accent4">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'Nassau '!$AE$3:$AE$11</c:f>
              <c:strCache>
                <c:ptCount val="9"/>
                <c:pt idx="0">
                  <c:v>Medicaid</c:v>
                </c:pt>
                <c:pt idx="1">
                  <c:v>Medicaid,Medicare</c:v>
                </c:pt>
                <c:pt idx="2">
                  <c:v>Medicaid,Medicare,Private/Commercial</c:v>
                </c:pt>
                <c:pt idx="3">
                  <c:v>Medicaid,Private/Commercial</c:v>
                </c:pt>
                <c:pt idx="4">
                  <c:v>Medicare</c:v>
                </c:pt>
                <c:pt idx="5">
                  <c:v>Medicare,No Insurance</c:v>
                </c:pt>
                <c:pt idx="6">
                  <c:v>Medicare,Private/Commercial</c:v>
                </c:pt>
                <c:pt idx="7">
                  <c:v>No Insurance</c:v>
                </c:pt>
                <c:pt idx="8">
                  <c:v>Private/Commercial</c:v>
                </c:pt>
              </c:strCache>
            </c:strRef>
          </c:cat>
          <c:val>
            <c:numRef>
              <c:f>'Nassau '!$AF$3:$AF$11</c:f>
              <c:numCache>
                <c:formatCode>General</c:formatCode>
                <c:ptCount val="9"/>
                <c:pt idx="0">
                  <c:v>9</c:v>
                </c:pt>
                <c:pt idx="1">
                  <c:v>1</c:v>
                </c:pt>
                <c:pt idx="2">
                  <c:v>0</c:v>
                </c:pt>
                <c:pt idx="3">
                  <c:v>1</c:v>
                </c:pt>
                <c:pt idx="4">
                  <c:v>9</c:v>
                </c:pt>
                <c:pt idx="5">
                  <c:v>0</c:v>
                </c:pt>
                <c:pt idx="6">
                  <c:v>10</c:v>
                </c:pt>
                <c:pt idx="7">
                  <c:v>4</c:v>
                </c:pt>
                <c:pt idx="8">
                  <c:v>57</c:v>
                </c:pt>
              </c:numCache>
            </c:numRef>
          </c:val>
        </c:ser>
        <c:dLbls>
          <c:dLblPos val="inEnd"/>
          <c:showLegendKey val="0"/>
          <c:showVal val="0"/>
          <c:showCatName val="0"/>
          <c:showSerName val="0"/>
          <c:showPercent val="1"/>
          <c:showBubbleSize val="0"/>
          <c:showLeaderLines val="1"/>
        </c:dLbls>
        <c:firstSliceAng val="98"/>
      </c:pieChart>
      <c:spPr>
        <a:noFill/>
        <a:ln>
          <a:noFill/>
        </a:ln>
        <a:effectLst/>
      </c:spPr>
    </c:plotArea>
    <c:legend>
      <c:legendPos val="b"/>
      <c:layout>
        <c:manualLayout>
          <c:xMode val="edge"/>
          <c:yMode val="edge"/>
          <c:x val="5.4854330708661414E-2"/>
          <c:y val="0.746149752114319"/>
          <c:w val="0.89029133858267717"/>
          <c:h val="0.22607247010790318"/>
        </c:manualLayout>
      </c:layout>
      <c:overlay val="0"/>
      <c:spPr>
        <a:solidFill>
          <a:schemeClr val="lt1">
            <a:alpha val="78000"/>
          </a:schemeClr>
        </a:solidFill>
        <a:ln>
          <a:noFill/>
        </a:ln>
        <a:effectLst/>
      </c:spPr>
      <c:txPr>
        <a:bodyPr rot="0" spcFirstLastPara="1" vertOverflow="ellipsis" vert="horz" wrap="square" anchor="ctr" anchorCtr="1"/>
        <a:lstStyle/>
        <a:p>
          <a:pPr>
            <a:defRPr sz="8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Have a Smartphone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'Nassau '!$AO$3:$AO$4</c:f>
              <c:strCache>
                <c:ptCount val="2"/>
                <c:pt idx="0">
                  <c:v>Yes</c:v>
                </c:pt>
                <c:pt idx="1">
                  <c:v>No</c:v>
                </c:pt>
              </c:strCache>
            </c:strRef>
          </c:cat>
          <c:val>
            <c:numRef>
              <c:f>'Nassau '!$AP$3:$AP$4</c:f>
              <c:numCache>
                <c:formatCode>General</c:formatCode>
                <c:ptCount val="2"/>
                <c:pt idx="0">
                  <c:v>91</c:v>
                </c:pt>
                <c:pt idx="1">
                  <c:v>8</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Gender</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0718832020997378"/>
          <c:y val="0.18997156605424323"/>
          <c:w val="0.37451224846894138"/>
          <c:h val="0.62418708078156893"/>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'Suffolk '!$A$3:$A$6</c:f>
              <c:strCache>
                <c:ptCount val="4"/>
                <c:pt idx="0">
                  <c:v>Man</c:v>
                </c:pt>
                <c:pt idx="1">
                  <c:v>Woman</c:v>
                </c:pt>
                <c:pt idx="2">
                  <c:v>Transgender</c:v>
                </c:pt>
                <c:pt idx="3">
                  <c:v>Other</c:v>
                </c:pt>
              </c:strCache>
            </c:strRef>
          </c:cat>
          <c:val>
            <c:numRef>
              <c:f>'Suffolk '!$B$3:$B$6</c:f>
              <c:numCache>
                <c:formatCode>General</c:formatCode>
                <c:ptCount val="4"/>
                <c:pt idx="0">
                  <c:v>190</c:v>
                </c:pt>
                <c:pt idx="1">
                  <c:v>156</c:v>
                </c:pt>
                <c:pt idx="2">
                  <c:v>2</c:v>
                </c:pt>
                <c:pt idx="3">
                  <c:v>0</c:v>
                </c:pt>
              </c:numCache>
            </c:numRef>
          </c:val>
        </c:ser>
        <c:dLbls>
          <c:dLblPos val="inEnd"/>
          <c:showLegendKey val="0"/>
          <c:showVal val="0"/>
          <c:showCatName val="0"/>
          <c:showSerName val="0"/>
          <c:showPercent val="1"/>
          <c:showBubbleSize val="0"/>
          <c:showLeaderLines val="1"/>
        </c:dLbls>
        <c:firstSliceAng val="42"/>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Household Income</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'Suffolk '!$A$19:$A$24</c:f>
              <c:strCache>
                <c:ptCount val="6"/>
                <c:pt idx="0">
                  <c:v>$0-$19,999</c:v>
                </c:pt>
                <c:pt idx="1">
                  <c:v>$20,000 to $34,999</c:v>
                </c:pt>
                <c:pt idx="2">
                  <c:v>$35,000 to $49,999</c:v>
                </c:pt>
                <c:pt idx="3">
                  <c:v>$50,000 to $74,999</c:v>
                </c:pt>
                <c:pt idx="4">
                  <c:v>$75,000 to $125,000</c:v>
                </c:pt>
                <c:pt idx="5">
                  <c:v>Over $125,000</c:v>
                </c:pt>
              </c:strCache>
            </c:strRef>
          </c:cat>
          <c:val>
            <c:numRef>
              <c:f>'Suffolk '!$B$19:$B$24</c:f>
              <c:numCache>
                <c:formatCode>General</c:formatCode>
                <c:ptCount val="6"/>
                <c:pt idx="0">
                  <c:v>15</c:v>
                </c:pt>
                <c:pt idx="1">
                  <c:v>21</c:v>
                </c:pt>
                <c:pt idx="2">
                  <c:v>24</c:v>
                </c:pt>
                <c:pt idx="3">
                  <c:v>50</c:v>
                </c:pt>
                <c:pt idx="4">
                  <c:v>74</c:v>
                </c:pt>
                <c:pt idx="5">
                  <c:v>150</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Age Range</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'Suffolk '!$K$3:$K$8</c:f>
              <c:strCache>
                <c:ptCount val="6"/>
                <c:pt idx="0">
                  <c:v>18-24</c:v>
                </c:pt>
                <c:pt idx="1">
                  <c:v>25-34</c:v>
                </c:pt>
                <c:pt idx="2">
                  <c:v>35-44</c:v>
                </c:pt>
                <c:pt idx="3">
                  <c:v>45-54</c:v>
                </c:pt>
                <c:pt idx="4">
                  <c:v>55-64</c:v>
                </c:pt>
                <c:pt idx="5">
                  <c:v>65+</c:v>
                </c:pt>
              </c:strCache>
            </c:strRef>
          </c:cat>
          <c:val>
            <c:numRef>
              <c:f>'Suffolk '!$L$3:$L$8</c:f>
              <c:numCache>
                <c:formatCode>General</c:formatCode>
                <c:ptCount val="6"/>
                <c:pt idx="0">
                  <c:v>58</c:v>
                </c:pt>
                <c:pt idx="1">
                  <c:v>29</c:v>
                </c:pt>
                <c:pt idx="2">
                  <c:v>47</c:v>
                </c:pt>
                <c:pt idx="3">
                  <c:v>70</c:v>
                </c:pt>
                <c:pt idx="4">
                  <c:v>34</c:v>
                </c:pt>
                <c:pt idx="5">
                  <c:v>17</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Employment</a:t>
            </a:r>
            <a:r>
              <a:rPr lang="en-US" sz="1400" baseline="0"/>
              <a:t> Status</a:t>
            </a:r>
            <a:endParaRPr lang="en-US" sz="1400"/>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2129286964129483"/>
          <c:y val="0.13304206765820939"/>
          <c:w val="0.35741447944006999"/>
          <c:h val="0.59569079906678335"/>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'Suffolk '!$K$19:$K$25</c:f>
              <c:strCache>
                <c:ptCount val="7"/>
                <c:pt idx="0">
                  <c:v>Employed for Wages</c:v>
                </c:pt>
                <c:pt idx="1">
                  <c:v>Self-employed</c:v>
                </c:pt>
                <c:pt idx="2">
                  <c:v>Student</c:v>
                </c:pt>
                <c:pt idx="3">
                  <c:v>Retired</c:v>
                </c:pt>
                <c:pt idx="4">
                  <c:v>Military</c:v>
                </c:pt>
                <c:pt idx="5">
                  <c:v>Out of work and looking</c:v>
                </c:pt>
                <c:pt idx="6">
                  <c:v>Out of work, but not looking</c:v>
                </c:pt>
              </c:strCache>
            </c:strRef>
          </c:cat>
          <c:val>
            <c:numRef>
              <c:f>'Suffolk '!$L$19:$L$25</c:f>
              <c:numCache>
                <c:formatCode>General</c:formatCode>
                <c:ptCount val="7"/>
                <c:pt idx="0">
                  <c:v>185</c:v>
                </c:pt>
                <c:pt idx="1">
                  <c:v>30</c:v>
                </c:pt>
                <c:pt idx="2">
                  <c:v>49</c:v>
                </c:pt>
                <c:pt idx="3">
                  <c:v>42</c:v>
                </c:pt>
                <c:pt idx="4">
                  <c:v>0</c:v>
                </c:pt>
                <c:pt idx="5">
                  <c:v>13</c:v>
                </c:pt>
                <c:pt idx="6">
                  <c:v>13</c:v>
                </c:pt>
              </c:numCache>
            </c:numRef>
          </c:val>
        </c:ser>
        <c:dLbls>
          <c:dLblPos val="inEnd"/>
          <c:showLegendKey val="0"/>
          <c:showVal val="0"/>
          <c:showCatName val="0"/>
          <c:showSerName val="0"/>
          <c:showPercent val="1"/>
          <c:showBubbleSize val="0"/>
          <c:showLeaderLines val="1"/>
        </c:dLbls>
        <c:firstSliceAng val="99"/>
      </c:pieChart>
      <c:spPr>
        <a:noFill/>
        <a:ln>
          <a:noFill/>
        </a:ln>
        <a:effectLst/>
      </c:spPr>
    </c:plotArea>
    <c:legend>
      <c:legendPos val="b"/>
      <c:layout>
        <c:manualLayout>
          <c:xMode val="edge"/>
          <c:yMode val="edge"/>
          <c:x val="6.5132545931758518E-2"/>
          <c:y val="0.74536818314377373"/>
          <c:w val="0.85862379702537184"/>
          <c:h val="0.24074292796733743"/>
        </c:manualLayout>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Insurance Status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096286089238845"/>
          <c:y val="0.16767378304516059"/>
          <c:w val="0.37796522309711283"/>
          <c:h val="0.62344779067565004"/>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Lbls>
            <c:dLbl>
              <c:idx val="0"/>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'Suffolk '!$U$3:$U$5</c:f>
              <c:strCache>
                <c:ptCount val="3"/>
                <c:pt idx="0">
                  <c:v>Yes</c:v>
                </c:pt>
                <c:pt idx="1">
                  <c:v>No</c:v>
                </c:pt>
                <c:pt idx="2">
                  <c:v>No, but did in past</c:v>
                </c:pt>
              </c:strCache>
            </c:strRef>
          </c:cat>
          <c:val>
            <c:numRef>
              <c:f>'Suffolk '!$V$3:$V$5</c:f>
              <c:numCache>
                <c:formatCode>General</c:formatCode>
                <c:ptCount val="3"/>
                <c:pt idx="0">
                  <c:v>305</c:v>
                </c:pt>
                <c:pt idx="1">
                  <c:v>18</c:v>
                </c:pt>
                <c:pt idx="2">
                  <c:v>6</c:v>
                </c:pt>
              </c:numCache>
            </c:numRef>
          </c:val>
        </c:ser>
        <c:dLbls>
          <c:dLblPos val="inEnd"/>
          <c:showLegendKey val="0"/>
          <c:showVal val="0"/>
          <c:showCatName val="0"/>
          <c:showSerName val="0"/>
          <c:showPercent val="1"/>
          <c:showBubbleSize val="0"/>
          <c:showLeaderLines val="1"/>
        </c:dLbls>
        <c:firstSliceAng val="318"/>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baseline="0">
                <a:solidFill>
                  <a:schemeClr val="dk1">
                    <a:lumMod val="65000"/>
                    <a:lumOff val="35000"/>
                  </a:schemeClr>
                </a:solidFill>
                <a:latin typeface="+mn-lt"/>
                <a:ea typeface="+mn-ea"/>
                <a:cs typeface="+mn-cs"/>
              </a:defRPr>
            </a:pPr>
            <a:r>
              <a:rPr lang="en-US" sz="1400"/>
              <a:t>Race</a:t>
            </a:r>
          </a:p>
        </c:rich>
      </c:tx>
      <c:overlay val="0"/>
      <c:spPr>
        <a:noFill/>
        <a:ln>
          <a:noFill/>
        </a:ln>
        <a:effectLst/>
      </c:spPr>
      <c:txPr>
        <a:bodyPr rot="0" spcFirstLastPara="1" vertOverflow="ellipsis" vert="horz" wrap="square" anchor="ctr" anchorCtr="1"/>
        <a:lstStyle/>
        <a:p>
          <a:pPr algn="ct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1584908136482942"/>
          <c:y val="0.13619313210848646"/>
          <c:w val="0.37941316710411199"/>
          <c:h val="0.63235527850685336"/>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Lbls>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'Suffolk '!$U$19:$U$24</c:f>
              <c:strCache>
                <c:ptCount val="6"/>
                <c:pt idx="0">
                  <c:v>White</c:v>
                </c:pt>
                <c:pt idx="1">
                  <c:v>Black/African American</c:v>
                </c:pt>
                <c:pt idx="2">
                  <c:v>Native Hawaiian and Other Pacific Islander</c:v>
                </c:pt>
                <c:pt idx="3">
                  <c:v>American Indian and Alaska Native</c:v>
                </c:pt>
                <c:pt idx="4">
                  <c:v>Multi-racial</c:v>
                </c:pt>
                <c:pt idx="5">
                  <c:v>Other</c:v>
                </c:pt>
              </c:strCache>
            </c:strRef>
          </c:cat>
          <c:val>
            <c:numRef>
              <c:f>'Suffolk '!$V$19:$V$24</c:f>
              <c:numCache>
                <c:formatCode>General</c:formatCode>
                <c:ptCount val="6"/>
                <c:pt idx="0">
                  <c:v>254</c:v>
                </c:pt>
                <c:pt idx="1">
                  <c:v>8</c:v>
                </c:pt>
                <c:pt idx="2">
                  <c:v>13</c:v>
                </c:pt>
                <c:pt idx="3">
                  <c:v>21</c:v>
                </c:pt>
                <c:pt idx="4">
                  <c:v>7</c:v>
                </c:pt>
                <c:pt idx="5">
                  <c:v>8</c:v>
                </c:pt>
              </c:numCache>
            </c:numRef>
          </c:val>
        </c:ser>
        <c:dLbls>
          <c:dLblPos val="inEnd"/>
          <c:showLegendKey val="0"/>
          <c:showVal val="0"/>
          <c:showCatName val="0"/>
          <c:showSerName val="0"/>
          <c:showPercent val="1"/>
          <c:showBubbleSize val="0"/>
          <c:showLeaderLines val="1"/>
        </c:dLbls>
        <c:firstSliceAng val="312"/>
      </c:pieChart>
      <c:spPr>
        <a:noFill/>
        <a:ln>
          <a:noFill/>
        </a:ln>
        <a:effectLst/>
      </c:spPr>
    </c:plotArea>
    <c:legend>
      <c:legendPos val="b"/>
      <c:layout>
        <c:manualLayout>
          <c:xMode val="edge"/>
          <c:yMode val="edge"/>
          <c:x val="0.7123267118370632"/>
          <c:y val="0"/>
          <c:w val="0.28396390878872046"/>
          <c:h val="0.97928607059045103"/>
        </c:manualLayout>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Education Level</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262801837270341"/>
          <c:y val="0.13467592592592592"/>
          <c:w val="0.34743985126859145"/>
          <c:h val="0.57906641878098575"/>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4">
                  <a:lumMod val="60000"/>
                  <a:lumOff val="4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Pt>
            <c:idx val="9"/>
            <c:bubble3D val="0"/>
            <c:spPr>
              <a:solidFill>
                <a:srgbClr val="FFFF00"/>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'Suffolk '!$AE$19:$AE$28</c:f>
              <c:strCache>
                <c:ptCount val="10"/>
                <c:pt idx="0">
                  <c:v>K-8th</c:v>
                </c:pt>
                <c:pt idx="1">
                  <c:v>Some high school</c:v>
                </c:pt>
                <c:pt idx="2">
                  <c:v>High school graduate</c:v>
                </c:pt>
                <c:pt idx="3">
                  <c:v>Technical school</c:v>
                </c:pt>
                <c:pt idx="4">
                  <c:v>Some college</c:v>
                </c:pt>
                <c:pt idx="5">
                  <c:v>College graduate</c:v>
                </c:pt>
                <c:pt idx="6">
                  <c:v>Graduate school</c:v>
                </c:pt>
                <c:pt idx="7">
                  <c:v>Doctorate</c:v>
                </c:pt>
                <c:pt idx="8">
                  <c:v>GED</c:v>
                </c:pt>
                <c:pt idx="9">
                  <c:v>None</c:v>
                </c:pt>
              </c:strCache>
            </c:strRef>
          </c:cat>
          <c:val>
            <c:numRef>
              <c:f>'Suffolk '!$AF$19:$AF$28</c:f>
              <c:numCache>
                <c:formatCode>General</c:formatCode>
                <c:ptCount val="10"/>
                <c:pt idx="0">
                  <c:v>2</c:v>
                </c:pt>
                <c:pt idx="1">
                  <c:v>36</c:v>
                </c:pt>
                <c:pt idx="2">
                  <c:v>52</c:v>
                </c:pt>
                <c:pt idx="3">
                  <c:v>13</c:v>
                </c:pt>
                <c:pt idx="4">
                  <c:v>59</c:v>
                </c:pt>
                <c:pt idx="5">
                  <c:v>99</c:v>
                </c:pt>
                <c:pt idx="6">
                  <c:v>0</c:v>
                </c:pt>
                <c:pt idx="7">
                  <c:v>16</c:v>
                </c:pt>
                <c:pt idx="8">
                  <c:v>0</c:v>
                </c:pt>
                <c:pt idx="9" formatCode="0">
                  <c:v>0</c:v>
                </c:pt>
              </c:numCache>
            </c:numRef>
          </c:val>
        </c:ser>
        <c:dLbls>
          <c:dLblPos val="inEnd"/>
          <c:showLegendKey val="0"/>
          <c:showVal val="0"/>
          <c:showCatName val="0"/>
          <c:showSerName val="0"/>
          <c:showPercent val="1"/>
          <c:showBubbleSize val="0"/>
          <c:showLeaderLines val="1"/>
        </c:dLbls>
        <c:firstSliceAng val="81"/>
      </c:pieChart>
      <c:spPr>
        <a:noFill/>
        <a:ln>
          <a:noFill/>
        </a:ln>
        <a:effectLst/>
      </c:spPr>
    </c:plotArea>
    <c:legend>
      <c:legendPos val="b"/>
      <c:layout>
        <c:manualLayout>
          <c:xMode val="edge"/>
          <c:yMode val="edge"/>
          <c:x val="4.9298775153105864E-2"/>
          <c:y val="0.73689049285505992"/>
          <c:w val="0.90695800524934389"/>
          <c:h val="0.23533172936716243"/>
        </c:manualLayout>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Insurance</a:t>
            </a:r>
            <a:r>
              <a:rPr lang="en-US" sz="1400" baseline="0"/>
              <a:t> Type</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262801837270341"/>
          <c:y val="0.1300462962962963"/>
          <c:w val="0.35021762904636922"/>
          <c:h val="0.58369604841061529"/>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Pt>
            <c:idx val="9"/>
            <c:bubble3D val="0"/>
            <c:spPr>
              <a:solidFill>
                <a:schemeClr val="accent4">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'Suffolk '!$AE$3:$AE$11</c:f>
              <c:strCache>
                <c:ptCount val="9"/>
                <c:pt idx="0">
                  <c:v>Medicaid</c:v>
                </c:pt>
                <c:pt idx="1">
                  <c:v>Medicaid,Medicare</c:v>
                </c:pt>
                <c:pt idx="2">
                  <c:v>Medicaid,Medicare,Private/Commercial</c:v>
                </c:pt>
                <c:pt idx="3">
                  <c:v>Medicaid,Private/Commercial</c:v>
                </c:pt>
                <c:pt idx="4">
                  <c:v>Medicare</c:v>
                </c:pt>
                <c:pt idx="5">
                  <c:v>Medicare,No Insurance</c:v>
                </c:pt>
                <c:pt idx="6">
                  <c:v>Medicare,Private/Commercial</c:v>
                </c:pt>
                <c:pt idx="7">
                  <c:v>No Insurance</c:v>
                </c:pt>
                <c:pt idx="8">
                  <c:v>Private/Commercial</c:v>
                </c:pt>
              </c:strCache>
            </c:strRef>
          </c:cat>
          <c:val>
            <c:numRef>
              <c:f>'Suffolk '!$AF$3:$AF$11</c:f>
              <c:numCache>
                <c:formatCode>General</c:formatCode>
                <c:ptCount val="9"/>
                <c:pt idx="0">
                  <c:v>15</c:v>
                </c:pt>
                <c:pt idx="1">
                  <c:v>1</c:v>
                </c:pt>
                <c:pt idx="2">
                  <c:v>0</c:v>
                </c:pt>
                <c:pt idx="3">
                  <c:v>0</c:v>
                </c:pt>
                <c:pt idx="4">
                  <c:v>15</c:v>
                </c:pt>
                <c:pt idx="5">
                  <c:v>0</c:v>
                </c:pt>
                <c:pt idx="6">
                  <c:v>10</c:v>
                </c:pt>
                <c:pt idx="7">
                  <c:v>8</c:v>
                </c:pt>
                <c:pt idx="8">
                  <c:v>116</c:v>
                </c:pt>
              </c:numCache>
            </c:numRef>
          </c:val>
        </c:ser>
        <c:dLbls>
          <c:dLblPos val="inEnd"/>
          <c:showLegendKey val="0"/>
          <c:showVal val="0"/>
          <c:showCatName val="0"/>
          <c:showSerName val="0"/>
          <c:showPercent val="1"/>
          <c:showBubbleSize val="0"/>
          <c:showLeaderLines val="1"/>
        </c:dLbls>
        <c:firstSliceAng val="98"/>
      </c:pieChart>
      <c:spPr>
        <a:noFill/>
        <a:ln>
          <a:noFill/>
        </a:ln>
        <a:effectLst/>
      </c:spPr>
    </c:plotArea>
    <c:legend>
      <c:legendPos val="b"/>
      <c:layout>
        <c:manualLayout>
          <c:xMode val="edge"/>
          <c:yMode val="edge"/>
          <c:x val="5.4854330708661414E-2"/>
          <c:y val="0.746149752114319"/>
          <c:w val="0.89029133858267717"/>
          <c:h val="0.22607247010790318"/>
        </c:manualLayout>
      </c:layout>
      <c:overlay val="0"/>
      <c:spPr>
        <a:solidFill>
          <a:schemeClr val="lt1">
            <a:alpha val="78000"/>
          </a:schemeClr>
        </a:solidFill>
        <a:ln>
          <a:noFill/>
        </a:ln>
        <a:effectLst/>
      </c:spPr>
      <c:txPr>
        <a:bodyPr rot="0" spcFirstLastPara="1" vertOverflow="ellipsis" vert="horz" wrap="square" anchor="ctr" anchorCtr="1"/>
        <a:lstStyle/>
        <a:p>
          <a:pPr>
            <a:defRPr sz="8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Have</a:t>
            </a:r>
            <a:r>
              <a:rPr lang="en-US" sz="1400" baseline="0"/>
              <a:t> a Smartphone</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'Suffolk '!$AO$3:$AO$4</c:f>
              <c:strCache>
                <c:ptCount val="2"/>
                <c:pt idx="0">
                  <c:v>Yes</c:v>
                </c:pt>
                <c:pt idx="1">
                  <c:v>No</c:v>
                </c:pt>
              </c:strCache>
            </c:strRef>
          </c:cat>
          <c:val>
            <c:numRef>
              <c:f>'Suffolk '!$AP$3:$AP$4</c:f>
              <c:numCache>
                <c:formatCode>General</c:formatCode>
                <c:ptCount val="2"/>
                <c:pt idx="0">
                  <c:v>142</c:v>
                </c:pt>
                <c:pt idx="1">
                  <c:v>4</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7.xml"/><Relationship Id="rId3" Type="http://schemas.openxmlformats.org/officeDocument/2006/relationships/chart" Target="../charts/chart22.xml"/><Relationship Id="rId7" Type="http://schemas.openxmlformats.org/officeDocument/2006/relationships/chart" Target="../charts/chart26.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 Id="rId9"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editAs="oneCell">
    <xdr:from>
      <xdr:col>30</xdr:col>
      <xdr:colOff>0</xdr:colOff>
      <xdr:row>5</xdr:row>
      <xdr:rowOff>0</xdr:rowOff>
    </xdr:from>
    <xdr:to>
      <xdr:col>30</xdr:col>
      <xdr:colOff>152400</xdr:colOff>
      <xdr:row>5</xdr:row>
      <xdr:rowOff>152400</xdr:rowOff>
    </xdr:to>
    <xdr:sp macro="" textlink="">
      <xdr:nvSpPr>
        <xdr:cNvPr id="2" name="dimg_3" descr="Community Verified icon"/>
        <xdr:cNvSpPr>
          <a:spLocks noChangeAspect="1" noChangeArrowheads="1"/>
        </xdr:cNvSpPr>
      </xdr:nvSpPr>
      <xdr:spPr bwMode="auto">
        <a:xfrm>
          <a:off x="20237450" y="7493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27</xdr:col>
      <xdr:colOff>0</xdr:colOff>
      <xdr:row>2</xdr:row>
      <xdr:rowOff>0</xdr:rowOff>
    </xdr:from>
    <xdr:to>
      <xdr:col>27</xdr:col>
      <xdr:colOff>152400</xdr:colOff>
      <xdr:row>2</xdr:row>
      <xdr:rowOff>152400</xdr:rowOff>
    </xdr:to>
    <xdr:sp macro="" textlink="">
      <xdr:nvSpPr>
        <xdr:cNvPr id="3" name="dimg_3" descr="Community Verified icon"/>
        <xdr:cNvSpPr>
          <a:spLocks noChangeAspect="1" noChangeArrowheads="1"/>
        </xdr:cNvSpPr>
      </xdr:nvSpPr>
      <xdr:spPr bwMode="auto">
        <a:xfrm>
          <a:off x="46958250" y="38735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1</xdr:row>
      <xdr:rowOff>0</xdr:rowOff>
    </xdr:from>
    <xdr:to>
      <xdr:col>13</xdr:col>
      <xdr:colOff>152400</xdr:colOff>
      <xdr:row>1</xdr:row>
      <xdr:rowOff>152400</xdr:rowOff>
    </xdr:to>
    <xdr:sp macro="" textlink="">
      <xdr:nvSpPr>
        <xdr:cNvPr id="2" name="dimg_3" descr="Community Verified icon"/>
        <xdr:cNvSpPr>
          <a:spLocks noChangeAspect="1" noChangeArrowheads="1"/>
        </xdr:cNvSpPr>
      </xdr:nvSpPr>
      <xdr:spPr bwMode="auto">
        <a:xfrm>
          <a:off x="18840450" y="2032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xdr:row>
      <xdr:rowOff>0</xdr:rowOff>
    </xdr:from>
    <xdr:to>
      <xdr:col>13</xdr:col>
      <xdr:colOff>152400</xdr:colOff>
      <xdr:row>1</xdr:row>
      <xdr:rowOff>152400</xdr:rowOff>
    </xdr:to>
    <xdr:sp macro="" textlink="">
      <xdr:nvSpPr>
        <xdr:cNvPr id="3" name="dimg_3" descr="Community Verified icon"/>
        <xdr:cNvSpPr>
          <a:spLocks noChangeAspect="1" noChangeArrowheads="1"/>
        </xdr:cNvSpPr>
      </xdr:nvSpPr>
      <xdr:spPr bwMode="auto">
        <a:xfrm>
          <a:off x="18840450" y="2032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152400</xdr:colOff>
      <xdr:row>6</xdr:row>
      <xdr:rowOff>152400</xdr:rowOff>
    </xdr:to>
    <xdr:sp macro="" textlink="">
      <xdr:nvSpPr>
        <xdr:cNvPr id="2" name="dimg_3" descr="Community Verified icon"/>
        <xdr:cNvSpPr>
          <a:spLocks noChangeAspect="1" noChangeArrowheads="1"/>
        </xdr:cNvSpPr>
      </xdr:nvSpPr>
      <xdr:spPr bwMode="auto">
        <a:xfrm>
          <a:off x="768350" y="12192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xdr:row>
      <xdr:rowOff>0</xdr:rowOff>
    </xdr:from>
    <xdr:to>
      <xdr:col>1</xdr:col>
      <xdr:colOff>152400</xdr:colOff>
      <xdr:row>6</xdr:row>
      <xdr:rowOff>152400</xdr:rowOff>
    </xdr:to>
    <xdr:sp macro="" textlink="">
      <xdr:nvSpPr>
        <xdr:cNvPr id="3" name="dimg_3" descr="Community Verified icon"/>
        <xdr:cNvSpPr>
          <a:spLocks noChangeAspect="1" noChangeArrowheads="1"/>
        </xdr:cNvSpPr>
      </xdr:nvSpPr>
      <xdr:spPr bwMode="auto">
        <a:xfrm>
          <a:off x="768350" y="12192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161925</xdr:colOff>
      <xdr:row>1</xdr:row>
      <xdr:rowOff>4762</xdr:rowOff>
    </xdr:from>
    <xdr:to>
      <xdr:col>9</xdr:col>
      <xdr:colOff>466725</xdr:colOff>
      <xdr:row>15</xdr:row>
      <xdr:rowOff>52387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166687</xdr:colOff>
      <xdr:row>17</xdr:row>
      <xdr:rowOff>4762</xdr:rowOff>
    </xdr:from>
    <xdr:to>
      <xdr:col>9</xdr:col>
      <xdr:colOff>471487</xdr:colOff>
      <xdr:row>31</xdr:row>
      <xdr:rowOff>52387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147637</xdr:colOff>
      <xdr:row>1</xdr:row>
      <xdr:rowOff>14287</xdr:rowOff>
    </xdr:from>
    <xdr:to>
      <xdr:col>19</xdr:col>
      <xdr:colOff>452437</xdr:colOff>
      <xdr:row>15</xdr:row>
      <xdr:rowOff>61912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147637</xdr:colOff>
      <xdr:row>17</xdr:row>
      <xdr:rowOff>4762</xdr:rowOff>
    </xdr:from>
    <xdr:to>
      <xdr:col>19</xdr:col>
      <xdr:colOff>452437</xdr:colOff>
      <xdr:row>31</xdr:row>
      <xdr:rowOff>52387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185737</xdr:colOff>
      <xdr:row>1</xdr:row>
      <xdr:rowOff>4762</xdr:rowOff>
    </xdr:from>
    <xdr:to>
      <xdr:col>29</xdr:col>
      <xdr:colOff>490537</xdr:colOff>
      <xdr:row>15</xdr:row>
      <xdr:rowOff>42862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176212</xdr:colOff>
      <xdr:row>17</xdr:row>
      <xdr:rowOff>4762</xdr:rowOff>
    </xdr:from>
    <xdr:to>
      <xdr:col>29</xdr:col>
      <xdr:colOff>481012</xdr:colOff>
      <xdr:row>31</xdr:row>
      <xdr:rowOff>52387</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110595</xdr:colOff>
      <xdr:row>1</xdr:row>
      <xdr:rowOff>176</xdr:rowOff>
    </xdr:from>
    <xdr:to>
      <xdr:col>49</xdr:col>
      <xdr:colOff>415395</xdr:colOff>
      <xdr:row>15</xdr:row>
      <xdr:rowOff>9701</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32</xdr:col>
      <xdr:colOff>176212</xdr:colOff>
      <xdr:row>17</xdr:row>
      <xdr:rowOff>4762</xdr:rowOff>
    </xdr:from>
    <xdr:to>
      <xdr:col>39</xdr:col>
      <xdr:colOff>481012</xdr:colOff>
      <xdr:row>31</xdr:row>
      <xdr:rowOff>23812</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32</xdr:col>
      <xdr:colOff>141111</xdr:colOff>
      <xdr:row>1</xdr:row>
      <xdr:rowOff>14111</xdr:rowOff>
    </xdr:from>
    <xdr:to>
      <xdr:col>39</xdr:col>
      <xdr:colOff>445911</xdr:colOff>
      <xdr:row>14</xdr:row>
      <xdr:rowOff>194565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42</xdr:col>
      <xdr:colOff>134055</xdr:colOff>
      <xdr:row>16</xdr:row>
      <xdr:rowOff>197556</xdr:rowOff>
    </xdr:from>
    <xdr:to>
      <xdr:col>49</xdr:col>
      <xdr:colOff>438855</xdr:colOff>
      <xdr:row>31</xdr:row>
      <xdr:rowOff>52212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166687</xdr:colOff>
      <xdr:row>1</xdr:row>
      <xdr:rowOff>14287</xdr:rowOff>
    </xdr:from>
    <xdr:to>
      <xdr:col>9</xdr:col>
      <xdr:colOff>471487</xdr:colOff>
      <xdr:row>15</xdr:row>
      <xdr:rowOff>80962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147637</xdr:colOff>
      <xdr:row>17</xdr:row>
      <xdr:rowOff>14287</xdr:rowOff>
    </xdr:from>
    <xdr:to>
      <xdr:col>9</xdr:col>
      <xdr:colOff>452437</xdr:colOff>
      <xdr:row>31</xdr:row>
      <xdr:rowOff>61912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176212</xdr:colOff>
      <xdr:row>1</xdr:row>
      <xdr:rowOff>4762</xdr:rowOff>
    </xdr:from>
    <xdr:to>
      <xdr:col>19</xdr:col>
      <xdr:colOff>481012</xdr:colOff>
      <xdr:row>15</xdr:row>
      <xdr:rowOff>23812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176212</xdr:colOff>
      <xdr:row>17</xdr:row>
      <xdr:rowOff>4762</xdr:rowOff>
    </xdr:from>
    <xdr:to>
      <xdr:col>19</xdr:col>
      <xdr:colOff>481012</xdr:colOff>
      <xdr:row>31</xdr:row>
      <xdr:rowOff>42862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176212</xdr:colOff>
      <xdr:row>1</xdr:row>
      <xdr:rowOff>14287</xdr:rowOff>
    </xdr:from>
    <xdr:to>
      <xdr:col>29</xdr:col>
      <xdr:colOff>481012</xdr:colOff>
      <xdr:row>15</xdr:row>
      <xdr:rowOff>14287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176212</xdr:colOff>
      <xdr:row>17</xdr:row>
      <xdr:rowOff>4762</xdr:rowOff>
    </xdr:from>
    <xdr:to>
      <xdr:col>29</xdr:col>
      <xdr:colOff>481012</xdr:colOff>
      <xdr:row>31</xdr:row>
      <xdr:rowOff>42862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207962</xdr:colOff>
      <xdr:row>16</xdr:row>
      <xdr:rowOff>192087</xdr:rowOff>
    </xdr:from>
    <xdr:to>
      <xdr:col>39</xdr:col>
      <xdr:colOff>512762</xdr:colOff>
      <xdr:row>30</xdr:row>
      <xdr:rowOff>176212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32</xdr:col>
      <xdr:colOff>204304</xdr:colOff>
      <xdr:row>0</xdr:row>
      <xdr:rowOff>265043</xdr:rowOff>
    </xdr:from>
    <xdr:to>
      <xdr:col>39</xdr:col>
      <xdr:colOff>509104</xdr:colOff>
      <xdr:row>14</xdr:row>
      <xdr:rowOff>177385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42</xdr:col>
      <xdr:colOff>148167</xdr:colOff>
      <xdr:row>1</xdr:row>
      <xdr:rowOff>7056</xdr:rowOff>
    </xdr:from>
    <xdr:to>
      <xdr:col>49</xdr:col>
      <xdr:colOff>452967</xdr:colOff>
      <xdr:row>15</xdr:row>
      <xdr:rowOff>38101</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166687</xdr:colOff>
      <xdr:row>1</xdr:row>
      <xdr:rowOff>4762</xdr:rowOff>
    </xdr:from>
    <xdr:to>
      <xdr:col>9</xdr:col>
      <xdr:colOff>471487</xdr:colOff>
      <xdr:row>15</xdr:row>
      <xdr:rowOff>23812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166687</xdr:colOff>
      <xdr:row>17</xdr:row>
      <xdr:rowOff>4762</xdr:rowOff>
    </xdr:from>
    <xdr:to>
      <xdr:col>9</xdr:col>
      <xdr:colOff>471487</xdr:colOff>
      <xdr:row>31</xdr:row>
      <xdr:rowOff>42862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147637</xdr:colOff>
      <xdr:row>1</xdr:row>
      <xdr:rowOff>14287</xdr:rowOff>
    </xdr:from>
    <xdr:to>
      <xdr:col>19</xdr:col>
      <xdr:colOff>452437</xdr:colOff>
      <xdr:row>15</xdr:row>
      <xdr:rowOff>33337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138112</xdr:colOff>
      <xdr:row>17</xdr:row>
      <xdr:rowOff>4762</xdr:rowOff>
    </xdr:from>
    <xdr:to>
      <xdr:col>19</xdr:col>
      <xdr:colOff>442912</xdr:colOff>
      <xdr:row>31</xdr:row>
      <xdr:rowOff>42862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147637</xdr:colOff>
      <xdr:row>1</xdr:row>
      <xdr:rowOff>14287</xdr:rowOff>
    </xdr:from>
    <xdr:to>
      <xdr:col>29</xdr:col>
      <xdr:colOff>452437</xdr:colOff>
      <xdr:row>15</xdr:row>
      <xdr:rowOff>33337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147637</xdr:colOff>
      <xdr:row>17</xdr:row>
      <xdr:rowOff>14287</xdr:rowOff>
    </xdr:from>
    <xdr:to>
      <xdr:col>29</xdr:col>
      <xdr:colOff>452437</xdr:colOff>
      <xdr:row>31</xdr:row>
      <xdr:rowOff>52387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160337</xdr:colOff>
      <xdr:row>16</xdr:row>
      <xdr:rowOff>195262</xdr:rowOff>
    </xdr:from>
    <xdr:to>
      <xdr:col>39</xdr:col>
      <xdr:colOff>465137</xdr:colOff>
      <xdr:row>31</xdr:row>
      <xdr:rowOff>39687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32</xdr:col>
      <xdr:colOff>209550</xdr:colOff>
      <xdr:row>0</xdr:row>
      <xdr:rowOff>254000</xdr:rowOff>
    </xdr:from>
    <xdr:to>
      <xdr:col>39</xdr:col>
      <xdr:colOff>498889</xdr:colOff>
      <xdr:row>14</xdr:row>
      <xdr:rowOff>171588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42</xdr:col>
      <xdr:colOff>119944</xdr:colOff>
      <xdr:row>1</xdr:row>
      <xdr:rowOff>0</xdr:rowOff>
    </xdr:from>
    <xdr:to>
      <xdr:col>49</xdr:col>
      <xdr:colOff>424744</xdr:colOff>
      <xdr:row>15</xdr:row>
      <xdr:rowOff>31045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6350</xdr:colOff>
      <xdr:row>1</xdr:row>
      <xdr:rowOff>177801</xdr:rowOff>
    </xdr:from>
    <xdr:to>
      <xdr:col>2</xdr:col>
      <xdr:colOff>101600</xdr:colOff>
      <xdr:row>9</xdr:row>
      <xdr:rowOff>171451</xdr:rowOff>
    </xdr:to>
    <mc:AlternateContent xmlns:mc="http://schemas.openxmlformats.org/markup-compatibility/2006">
      <mc:Choice xmlns:a14="http://schemas.microsoft.com/office/drawing/2010/main" Requires="a14">
        <xdr:graphicFrame macro="">
          <xdr:nvGraphicFramePr>
            <xdr:cNvPr id="2" name="County where you live: 6"/>
            <xdr:cNvGraphicFramePr/>
          </xdr:nvGraphicFramePr>
          <xdr:xfrm>
            <a:off x="0" y="0"/>
            <a:ext cx="0" cy="0"/>
          </xdr:xfrm>
          <a:graphic>
            <a:graphicData uri="http://schemas.microsoft.com/office/drawing/2010/slicer">
              <sle:slicer xmlns:sle="http://schemas.microsoft.com/office/drawing/2010/slicer" name="County where you live: 6"/>
            </a:graphicData>
          </a:graphic>
        </xdr:graphicFrame>
      </mc:Choice>
      <mc:Fallback>
        <xdr:sp macro="" textlink="">
          <xdr:nvSpPr>
            <xdr:cNvPr id="0" name=""/>
            <xdr:cNvSpPr>
              <a:spLocks noTextEdit="1"/>
            </xdr:cNvSpPr>
          </xdr:nvSpPr>
          <xdr:spPr>
            <a:xfrm>
              <a:off x="615950" y="476251"/>
              <a:ext cx="1828800" cy="1466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469900</xdr:colOff>
      <xdr:row>1</xdr:row>
      <xdr:rowOff>165101</xdr:rowOff>
    </xdr:from>
    <xdr:to>
      <xdr:col>6</xdr:col>
      <xdr:colOff>450850</xdr:colOff>
      <xdr:row>10</xdr:row>
      <xdr:rowOff>31751</xdr:rowOff>
    </xdr:to>
    <mc:AlternateContent xmlns:mc="http://schemas.openxmlformats.org/markup-compatibility/2006">
      <mc:Choice xmlns:a14="http://schemas.microsoft.com/office/drawing/2010/main" Requires="a14">
        <xdr:graphicFrame macro="">
          <xdr:nvGraphicFramePr>
            <xdr:cNvPr id="3" name="Town and ZIP code where you live:"/>
            <xdr:cNvGraphicFramePr/>
          </xdr:nvGraphicFramePr>
          <xdr:xfrm>
            <a:off x="0" y="0"/>
            <a:ext cx="0" cy="0"/>
          </xdr:xfrm>
          <a:graphic>
            <a:graphicData uri="http://schemas.microsoft.com/office/drawing/2010/slicer">
              <sle:slicer xmlns:sle="http://schemas.microsoft.com/office/drawing/2010/slicer" name="Town and ZIP code where you live:"/>
            </a:graphicData>
          </a:graphic>
        </xdr:graphicFrame>
      </mc:Choice>
      <mc:Fallback>
        <xdr:sp macro="" textlink="">
          <xdr:nvSpPr>
            <xdr:cNvPr id="0" name=""/>
            <xdr:cNvSpPr>
              <a:spLocks noTextEdit="1"/>
            </xdr:cNvSpPr>
          </xdr:nvSpPr>
          <xdr:spPr>
            <a:xfrm>
              <a:off x="2813050" y="463551"/>
              <a:ext cx="2921000" cy="1524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3175</xdr:colOff>
      <xdr:row>1</xdr:row>
      <xdr:rowOff>76200</xdr:rowOff>
    </xdr:from>
    <xdr:to>
      <xdr:col>6</xdr:col>
      <xdr:colOff>1260476</xdr:colOff>
      <xdr:row>9</xdr:row>
      <xdr:rowOff>66675</xdr:rowOff>
    </xdr:to>
    <mc:AlternateContent xmlns:mc="http://schemas.openxmlformats.org/markup-compatibility/2006" xmlns:a14="http://schemas.microsoft.com/office/drawing/2010/main">
      <mc:Choice Requires="a14">
        <xdr:graphicFrame macro="">
          <xdr:nvGraphicFramePr>
            <xdr:cNvPr id="11" name="Are you Hispanic or Latino? 1"/>
            <xdr:cNvGraphicFramePr/>
          </xdr:nvGraphicFramePr>
          <xdr:xfrm>
            <a:off x="0" y="0"/>
            <a:ext cx="0" cy="0"/>
          </xdr:xfrm>
          <a:graphic>
            <a:graphicData uri="http://schemas.microsoft.com/office/drawing/2010/slicer">
              <sle:slicer xmlns:sle="http://schemas.microsoft.com/office/drawing/2010/slicer" name="Are you Hispanic or Latino? 1"/>
            </a:graphicData>
          </a:graphic>
        </xdr:graphicFrame>
      </mc:Choice>
      <mc:Fallback xmlns="">
        <xdr:sp macro="" textlink="">
          <xdr:nvSpPr>
            <xdr:cNvPr id="0" name=""/>
            <xdr:cNvSpPr>
              <a:spLocks noTextEdit="1"/>
            </xdr:cNvSpPr>
          </xdr:nvSpPr>
          <xdr:spPr>
            <a:xfrm>
              <a:off x="7578725" y="520700"/>
              <a:ext cx="1257301" cy="1482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114300</xdr:colOff>
      <xdr:row>1</xdr:row>
      <xdr:rowOff>104775</xdr:rowOff>
    </xdr:from>
    <xdr:to>
      <xdr:col>3</xdr:col>
      <xdr:colOff>1343025</xdr:colOff>
      <xdr:row>9</xdr:row>
      <xdr:rowOff>76200</xdr:rowOff>
    </xdr:to>
    <mc:AlternateContent xmlns:mc="http://schemas.openxmlformats.org/markup-compatibility/2006" xmlns:a14="http://schemas.microsoft.com/office/drawing/2010/main">
      <mc:Choice Requires="a14">
        <xdr:graphicFrame macro="">
          <xdr:nvGraphicFramePr>
            <xdr:cNvPr id="12" name="I identify as: 1"/>
            <xdr:cNvGraphicFramePr/>
          </xdr:nvGraphicFramePr>
          <xdr:xfrm>
            <a:off x="0" y="0"/>
            <a:ext cx="0" cy="0"/>
          </xdr:xfrm>
          <a:graphic>
            <a:graphicData uri="http://schemas.microsoft.com/office/drawing/2010/slicer">
              <sle:slicer xmlns:sle="http://schemas.microsoft.com/office/drawing/2010/slicer" name="I identify as: 1"/>
            </a:graphicData>
          </a:graphic>
        </xdr:graphicFrame>
      </mc:Choice>
      <mc:Fallback xmlns="">
        <xdr:sp macro="" textlink="">
          <xdr:nvSpPr>
            <xdr:cNvPr id="0" name=""/>
            <xdr:cNvSpPr>
              <a:spLocks noTextEdit="1"/>
            </xdr:cNvSpPr>
          </xdr:nvSpPr>
          <xdr:spPr>
            <a:xfrm>
              <a:off x="4486275" y="581025"/>
              <a:ext cx="1228725" cy="1495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1352550</xdr:colOff>
      <xdr:row>1</xdr:row>
      <xdr:rowOff>98425</xdr:rowOff>
    </xdr:from>
    <xdr:to>
      <xdr:col>5</xdr:col>
      <xdr:colOff>447675</xdr:colOff>
      <xdr:row>9</xdr:row>
      <xdr:rowOff>60325</xdr:rowOff>
    </xdr:to>
    <mc:AlternateContent xmlns:mc="http://schemas.openxmlformats.org/markup-compatibility/2006" xmlns:a14="http://schemas.microsoft.com/office/drawing/2010/main">
      <mc:Choice Requires="a14">
        <xdr:graphicFrame macro="">
          <xdr:nvGraphicFramePr>
            <xdr:cNvPr id="13" name="County where you live: 1"/>
            <xdr:cNvGraphicFramePr/>
          </xdr:nvGraphicFramePr>
          <xdr:xfrm>
            <a:off x="0" y="0"/>
            <a:ext cx="0" cy="0"/>
          </xdr:xfrm>
          <a:graphic>
            <a:graphicData uri="http://schemas.microsoft.com/office/drawing/2010/slicer">
              <sle:slicer xmlns:sle="http://schemas.microsoft.com/office/drawing/2010/slicer" name="County where you live: 1"/>
            </a:graphicData>
          </a:graphic>
        </xdr:graphicFrame>
      </mc:Choice>
      <mc:Fallback xmlns="">
        <xdr:sp macro="" textlink="">
          <xdr:nvSpPr>
            <xdr:cNvPr id="0" name=""/>
            <xdr:cNvSpPr>
              <a:spLocks noTextEdit="1"/>
            </xdr:cNvSpPr>
          </xdr:nvSpPr>
          <xdr:spPr>
            <a:xfrm>
              <a:off x="5772150" y="542925"/>
              <a:ext cx="1793875" cy="1454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161924</xdr:colOff>
      <xdr:row>12</xdr:row>
      <xdr:rowOff>114300</xdr:rowOff>
    </xdr:from>
    <xdr:to>
      <xdr:col>1</xdr:col>
      <xdr:colOff>1809749</xdr:colOff>
      <xdr:row>24</xdr:row>
      <xdr:rowOff>85725</xdr:rowOff>
    </xdr:to>
    <mc:AlternateContent xmlns:mc="http://schemas.openxmlformats.org/markup-compatibility/2006" xmlns:a14="http://schemas.microsoft.com/office/drawing/2010/main">
      <mc:Choice Requires="a14">
        <xdr:graphicFrame macro="">
          <xdr:nvGraphicFramePr>
            <xdr:cNvPr id="14" name="What is your annual household income from all sources?"/>
            <xdr:cNvGraphicFramePr/>
          </xdr:nvGraphicFramePr>
          <xdr:xfrm>
            <a:off x="0" y="0"/>
            <a:ext cx="0" cy="0"/>
          </xdr:xfrm>
          <a:graphic>
            <a:graphicData uri="http://schemas.microsoft.com/office/drawing/2010/slicer">
              <sle:slicer xmlns:sle="http://schemas.microsoft.com/office/drawing/2010/slicer" name="What is your annual household income from all sources?"/>
            </a:graphicData>
          </a:graphic>
        </xdr:graphicFrame>
      </mc:Choice>
      <mc:Fallback xmlns="">
        <xdr:sp macro="" textlink="">
          <xdr:nvSpPr>
            <xdr:cNvPr id="0" name=""/>
            <xdr:cNvSpPr>
              <a:spLocks noTextEdit="1"/>
            </xdr:cNvSpPr>
          </xdr:nvSpPr>
          <xdr:spPr>
            <a:xfrm>
              <a:off x="161924" y="2686050"/>
              <a:ext cx="2257425" cy="2257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161924</xdr:colOff>
      <xdr:row>24</xdr:row>
      <xdr:rowOff>171451</xdr:rowOff>
    </xdr:from>
    <xdr:to>
      <xdr:col>1</xdr:col>
      <xdr:colOff>1790699</xdr:colOff>
      <xdr:row>36</xdr:row>
      <xdr:rowOff>123825</xdr:rowOff>
    </xdr:to>
    <mc:AlternateContent xmlns:mc="http://schemas.openxmlformats.org/markup-compatibility/2006" xmlns:a14="http://schemas.microsoft.com/office/drawing/2010/main">
      <mc:Choice Requires="a14">
        <xdr:graphicFrame macro="">
          <xdr:nvGraphicFramePr>
            <xdr:cNvPr id="15" name="What is your current employment status?"/>
            <xdr:cNvGraphicFramePr/>
          </xdr:nvGraphicFramePr>
          <xdr:xfrm>
            <a:off x="0" y="0"/>
            <a:ext cx="0" cy="0"/>
          </xdr:xfrm>
          <a:graphic>
            <a:graphicData uri="http://schemas.microsoft.com/office/drawing/2010/slicer">
              <sle:slicer xmlns:sle="http://schemas.microsoft.com/office/drawing/2010/slicer" name="What is your current employment status?"/>
            </a:graphicData>
          </a:graphic>
        </xdr:graphicFrame>
      </mc:Choice>
      <mc:Fallback xmlns="">
        <xdr:sp macro="" textlink="">
          <xdr:nvSpPr>
            <xdr:cNvPr id="0" name=""/>
            <xdr:cNvSpPr>
              <a:spLocks noTextEdit="1"/>
            </xdr:cNvSpPr>
          </xdr:nvSpPr>
          <xdr:spPr>
            <a:xfrm>
              <a:off x="161924" y="5029201"/>
              <a:ext cx="2238375" cy="22383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152399</xdr:colOff>
      <xdr:row>37</xdr:row>
      <xdr:rowOff>85725</xdr:rowOff>
    </xdr:from>
    <xdr:to>
      <xdr:col>1</xdr:col>
      <xdr:colOff>1781174</xdr:colOff>
      <xdr:row>54</xdr:row>
      <xdr:rowOff>152401</xdr:rowOff>
    </xdr:to>
    <mc:AlternateContent xmlns:mc="http://schemas.openxmlformats.org/markup-compatibility/2006" xmlns:a14="http://schemas.microsoft.com/office/drawing/2010/main">
      <mc:Choice Requires="a14">
        <xdr:graphicFrame macro="">
          <xdr:nvGraphicFramePr>
            <xdr:cNvPr id="18" name="What is your highest level of education?"/>
            <xdr:cNvGraphicFramePr/>
          </xdr:nvGraphicFramePr>
          <xdr:xfrm>
            <a:off x="0" y="0"/>
            <a:ext cx="0" cy="0"/>
          </xdr:xfrm>
          <a:graphic>
            <a:graphicData uri="http://schemas.microsoft.com/office/drawing/2010/slicer">
              <sle:slicer xmlns:sle="http://schemas.microsoft.com/office/drawing/2010/slicer" name="What is your highest level of education?"/>
            </a:graphicData>
          </a:graphic>
        </xdr:graphicFrame>
      </mc:Choice>
      <mc:Fallback xmlns="">
        <xdr:sp macro="" textlink="">
          <xdr:nvSpPr>
            <xdr:cNvPr id="0" name=""/>
            <xdr:cNvSpPr>
              <a:spLocks noTextEdit="1"/>
            </xdr:cNvSpPr>
          </xdr:nvSpPr>
          <xdr:spPr>
            <a:xfrm>
              <a:off x="152399" y="7419974"/>
              <a:ext cx="2238375" cy="3638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152399</xdr:colOff>
      <xdr:row>55</xdr:row>
      <xdr:rowOff>133349</xdr:rowOff>
    </xdr:from>
    <xdr:to>
      <xdr:col>1</xdr:col>
      <xdr:colOff>1800224</xdr:colOff>
      <xdr:row>77</xdr:row>
      <xdr:rowOff>85725</xdr:rowOff>
    </xdr:to>
    <mc:AlternateContent xmlns:mc="http://schemas.openxmlformats.org/markup-compatibility/2006" xmlns:a14="http://schemas.microsoft.com/office/drawing/2010/main">
      <mc:Choice Requires="a14">
        <xdr:graphicFrame macro="">
          <xdr:nvGraphicFramePr>
            <xdr:cNvPr id="19" name="What race do you consider yourself?"/>
            <xdr:cNvGraphicFramePr/>
          </xdr:nvGraphicFramePr>
          <xdr:xfrm>
            <a:off x="0" y="0"/>
            <a:ext cx="0" cy="0"/>
          </xdr:xfrm>
          <a:graphic>
            <a:graphicData uri="http://schemas.microsoft.com/office/drawing/2010/slicer">
              <sle:slicer xmlns:sle="http://schemas.microsoft.com/office/drawing/2010/slicer" name="What race do you consider yourself?"/>
            </a:graphicData>
          </a:graphic>
        </xdr:graphicFrame>
      </mc:Choice>
      <mc:Fallback xmlns="">
        <xdr:sp macro="" textlink="">
          <xdr:nvSpPr>
            <xdr:cNvPr id="0" name=""/>
            <xdr:cNvSpPr>
              <a:spLocks noTextEdit="1"/>
            </xdr:cNvSpPr>
          </xdr:nvSpPr>
          <xdr:spPr>
            <a:xfrm>
              <a:off x="152399" y="10896599"/>
              <a:ext cx="2257425" cy="41433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152400</xdr:colOff>
      <xdr:row>78</xdr:row>
      <xdr:rowOff>57151</xdr:rowOff>
    </xdr:from>
    <xdr:to>
      <xdr:col>1</xdr:col>
      <xdr:colOff>1790700</xdr:colOff>
      <xdr:row>85</xdr:row>
      <xdr:rowOff>171450</xdr:rowOff>
    </xdr:to>
    <mc:AlternateContent xmlns:mc="http://schemas.openxmlformats.org/markup-compatibility/2006" xmlns:a14="http://schemas.microsoft.com/office/drawing/2010/main">
      <mc:Choice Requires="a14">
        <xdr:graphicFrame macro="">
          <xdr:nvGraphicFramePr>
            <xdr:cNvPr id="20" name="Do you currently have health insurance?"/>
            <xdr:cNvGraphicFramePr/>
          </xdr:nvGraphicFramePr>
          <xdr:xfrm>
            <a:off x="0" y="0"/>
            <a:ext cx="0" cy="0"/>
          </xdr:xfrm>
          <a:graphic>
            <a:graphicData uri="http://schemas.microsoft.com/office/drawing/2010/slicer">
              <sle:slicer xmlns:sle="http://schemas.microsoft.com/office/drawing/2010/slicer" name="Do you currently have health insurance?"/>
            </a:graphicData>
          </a:graphic>
        </xdr:graphicFrame>
      </mc:Choice>
      <mc:Fallback xmlns="">
        <xdr:sp macro="" textlink="">
          <xdr:nvSpPr>
            <xdr:cNvPr id="0" name=""/>
            <xdr:cNvSpPr>
              <a:spLocks noTextEdit="1"/>
            </xdr:cNvSpPr>
          </xdr:nvSpPr>
          <xdr:spPr>
            <a:xfrm>
              <a:off x="152400" y="15201901"/>
              <a:ext cx="2247900" cy="14477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114301</xdr:colOff>
      <xdr:row>1</xdr:row>
      <xdr:rowOff>142875</xdr:rowOff>
    </xdr:from>
    <xdr:to>
      <xdr:col>3</xdr:col>
      <xdr:colOff>1247775</xdr:colOff>
      <xdr:row>10</xdr:row>
      <xdr:rowOff>28575</xdr:rowOff>
    </xdr:to>
    <mc:AlternateContent xmlns:mc="http://schemas.openxmlformats.org/markup-compatibility/2006" xmlns:a14="http://schemas.microsoft.com/office/drawing/2010/main">
      <mc:Choice Requires="a14">
        <xdr:graphicFrame macro="">
          <xdr:nvGraphicFramePr>
            <xdr:cNvPr id="2" name="I identify as:"/>
            <xdr:cNvGraphicFramePr/>
          </xdr:nvGraphicFramePr>
          <xdr:xfrm>
            <a:off x="0" y="0"/>
            <a:ext cx="0" cy="0"/>
          </xdr:xfrm>
          <a:graphic>
            <a:graphicData uri="http://schemas.microsoft.com/office/drawing/2010/slicer">
              <sle:slicer xmlns:sle="http://schemas.microsoft.com/office/drawing/2010/slicer" name="I identify as:"/>
            </a:graphicData>
          </a:graphic>
        </xdr:graphicFrame>
      </mc:Choice>
      <mc:Fallback xmlns="">
        <xdr:sp macro="" textlink="">
          <xdr:nvSpPr>
            <xdr:cNvPr id="0" name=""/>
            <xdr:cNvSpPr>
              <a:spLocks noTextEdit="1"/>
            </xdr:cNvSpPr>
          </xdr:nvSpPr>
          <xdr:spPr>
            <a:xfrm>
              <a:off x="4486276" y="619125"/>
              <a:ext cx="1133474" cy="1600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57150</xdr:colOff>
      <xdr:row>1</xdr:row>
      <xdr:rowOff>152400</xdr:rowOff>
    </xdr:from>
    <xdr:to>
      <xdr:col>5</xdr:col>
      <xdr:colOff>0</xdr:colOff>
      <xdr:row>10</xdr:row>
      <xdr:rowOff>38100</xdr:rowOff>
    </xdr:to>
    <mc:AlternateContent xmlns:mc="http://schemas.openxmlformats.org/markup-compatibility/2006" xmlns:a14="http://schemas.microsoft.com/office/drawing/2010/main">
      <mc:Choice Requires="a14">
        <xdr:graphicFrame macro="">
          <xdr:nvGraphicFramePr>
            <xdr:cNvPr id="3" name="County where you live:"/>
            <xdr:cNvGraphicFramePr/>
          </xdr:nvGraphicFramePr>
          <xdr:xfrm>
            <a:off x="0" y="0"/>
            <a:ext cx="0" cy="0"/>
          </xdr:xfrm>
          <a:graphic>
            <a:graphicData uri="http://schemas.microsoft.com/office/drawing/2010/slicer">
              <sle:slicer xmlns:sle="http://schemas.microsoft.com/office/drawing/2010/slicer" name="County where you live:"/>
            </a:graphicData>
          </a:graphic>
        </xdr:graphicFrame>
      </mc:Choice>
      <mc:Fallback xmlns="">
        <xdr:sp macro="" textlink="">
          <xdr:nvSpPr>
            <xdr:cNvPr id="0" name=""/>
            <xdr:cNvSpPr>
              <a:spLocks noTextEdit="1"/>
            </xdr:cNvSpPr>
          </xdr:nvSpPr>
          <xdr:spPr>
            <a:xfrm>
              <a:off x="5819775" y="628650"/>
              <a:ext cx="1228725" cy="1600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638175</xdr:colOff>
      <xdr:row>1</xdr:row>
      <xdr:rowOff>152400</xdr:rowOff>
    </xdr:from>
    <xdr:to>
      <xdr:col>6</xdr:col>
      <xdr:colOff>1330325</xdr:colOff>
      <xdr:row>10</xdr:row>
      <xdr:rowOff>9525</xdr:rowOff>
    </xdr:to>
    <mc:AlternateContent xmlns:mc="http://schemas.openxmlformats.org/markup-compatibility/2006" xmlns:a14="http://schemas.microsoft.com/office/drawing/2010/main">
      <mc:Choice Requires="a14">
        <xdr:graphicFrame macro="">
          <xdr:nvGraphicFramePr>
            <xdr:cNvPr id="4" name="Are you Hispanic or Latino?"/>
            <xdr:cNvGraphicFramePr/>
          </xdr:nvGraphicFramePr>
          <xdr:xfrm>
            <a:off x="0" y="0"/>
            <a:ext cx="0" cy="0"/>
          </xdr:xfrm>
          <a:graphic>
            <a:graphicData uri="http://schemas.microsoft.com/office/drawing/2010/slicer">
              <sle:slicer xmlns:sle="http://schemas.microsoft.com/office/drawing/2010/slicer" name="Are you Hispanic or Latino?"/>
            </a:graphicData>
          </a:graphic>
        </xdr:graphicFrame>
      </mc:Choice>
      <mc:Fallback xmlns="">
        <xdr:sp macro="" textlink="">
          <xdr:nvSpPr>
            <xdr:cNvPr id="0" name=""/>
            <xdr:cNvSpPr>
              <a:spLocks noTextEdit="1"/>
            </xdr:cNvSpPr>
          </xdr:nvSpPr>
          <xdr:spPr>
            <a:xfrm>
              <a:off x="7210425" y="628650"/>
              <a:ext cx="1247775" cy="1571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209550</xdr:colOff>
      <xdr:row>12</xdr:row>
      <xdr:rowOff>123825</xdr:rowOff>
    </xdr:from>
    <xdr:to>
      <xdr:col>1</xdr:col>
      <xdr:colOff>1771650</xdr:colOff>
      <xdr:row>24</xdr:row>
      <xdr:rowOff>133350</xdr:rowOff>
    </xdr:to>
    <mc:AlternateContent xmlns:mc="http://schemas.openxmlformats.org/markup-compatibility/2006" xmlns:a14="http://schemas.microsoft.com/office/drawing/2010/main">
      <mc:Choice Requires="a14">
        <xdr:graphicFrame macro="">
          <xdr:nvGraphicFramePr>
            <xdr:cNvPr id="5" name="What is your annual household income from all sources? 1"/>
            <xdr:cNvGraphicFramePr/>
          </xdr:nvGraphicFramePr>
          <xdr:xfrm>
            <a:off x="0" y="0"/>
            <a:ext cx="0" cy="0"/>
          </xdr:xfrm>
          <a:graphic>
            <a:graphicData uri="http://schemas.microsoft.com/office/drawing/2010/slicer">
              <sle:slicer xmlns:sle="http://schemas.microsoft.com/office/drawing/2010/slicer" name="What is your annual household income from all sources? 1"/>
            </a:graphicData>
          </a:graphic>
        </xdr:graphicFrame>
      </mc:Choice>
      <mc:Fallback xmlns="">
        <xdr:sp macro="" textlink="">
          <xdr:nvSpPr>
            <xdr:cNvPr id="0" name=""/>
            <xdr:cNvSpPr>
              <a:spLocks noTextEdit="1"/>
            </xdr:cNvSpPr>
          </xdr:nvSpPr>
          <xdr:spPr>
            <a:xfrm>
              <a:off x="209550" y="2695575"/>
              <a:ext cx="2171700" cy="22955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209549</xdr:colOff>
      <xdr:row>25</xdr:row>
      <xdr:rowOff>47626</xdr:rowOff>
    </xdr:from>
    <xdr:to>
      <xdr:col>1</xdr:col>
      <xdr:colOff>1762124</xdr:colOff>
      <xdr:row>37</xdr:row>
      <xdr:rowOff>0</xdr:rowOff>
    </xdr:to>
    <mc:AlternateContent xmlns:mc="http://schemas.openxmlformats.org/markup-compatibility/2006" xmlns:a14="http://schemas.microsoft.com/office/drawing/2010/main">
      <mc:Choice Requires="a14">
        <xdr:graphicFrame macro="">
          <xdr:nvGraphicFramePr>
            <xdr:cNvPr id="6" name="What is your current employment status? 1"/>
            <xdr:cNvGraphicFramePr/>
          </xdr:nvGraphicFramePr>
          <xdr:xfrm>
            <a:off x="0" y="0"/>
            <a:ext cx="0" cy="0"/>
          </xdr:xfrm>
          <a:graphic>
            <a:graphicData uri="http://schemas.microsoft.com/office/drawing/2010/slicer">
              <sle:slicer xmlns:sle="http://schemas.microsoft.com/office/drawing/2010/slicer" name="What is your current employment status? 1"/>
            </a:graphicData>
          </a:graphic>
        </xdr:graphicFrame>
      </mc:Choice>
      <mc:Fallback xmlns="">
        <xdr:sp macro="" textlink="">
          <xdr:nvSpPr>
            <xdr:cNvPr id="0" name=""/>
            <xdr:cNvSpPr>
              <a:spLocks noTextEdit="1"/>
            </xdr:cNvSpPr>
          </xdr:nvSpPr>
          <xdr:spPr>
            <a:xfrm>
              <a:off x="209549" y="5095876"/>
              <a:ext cx="2162175" cy="22383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190500</xdr:colOff>
      <xdr:row>37</xdr:row>
      <xdr:rowOff>142874</xdr:rowOff>
    </xdr:from>
    <xdr:to>
      <xdr:col>1</xdr:col>
      <xdr:colOff>1771650</xdr:colOff>
      <xdr:row>55</xdr:row>
      <xdr:rowOff>28576</xdr:rowOff>
    </xdr:to>
    <mc:AlternateContent xmlns:mc="http://schemas.openxmlformats.org/markup-compatibility/2006" xmlns:a14="http://schemas.microsoft.com/office/drawing/2010/main">
      <mc:Choice Requires="a14">
        <xdr:graphicFrame macro="">
          <xdr:nvGraphicFramePr>
            <xdr:cNvPr id="8" name="What is your highest level of education? 1"/>
            <xdr:cNvGraphicFramePr/>
          </xdr:nvGraphicFramePr>
          <xdr:xfrm>
            <a:off x="0" y="0"/>
            <a:ext cx="0" cy="0"/>
          </xdr:xfrm>
          <a:graphic>
            <a:graphicData uri="http://schemas.microsoft.com/office/drawing/2010/slicer">
              <sle:slicer xmlns:sle="http://schemas.microsoft.com/office/drawing/2010/slicer" name="What is your highest level of education? 1"/>
            </a:graphicData>
          </a:graphic>
        </xdr:graphicFrame>
      </mc:Choice>
      <mc:Fallback xmlns="">
        <xdr:sp macro="" textlink="">
          <xdr:nvSpPr>
            <xdr:cNvPr id="0" name=""/>
            <xdr:cNvSpPr>
              <a:spLocks noTextEdit="1"/>
            </xdr:cNvSpPr>
          </xdr:nvSpPr>
          <xdr:spPr>
            <a:xfrm>
              <a:off x="190500" y="7477123"/>
              <a:ext cx="2190750" cy="362902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161925</xdr:colOff>
      <xdr:row>55</xdr:row>
      <xdr:rowOff>180975</xdr:rowOff>
    </xdr:from>
    <xdr:to>
      <xdr:col>1</xdr:col>
      <xdr:colOff>1752600</xdr:colOff>
      <xdr:row>77</xdr:row>
      <xdr:rowOff>95250</xdr:rowOff>
    </xdr:to>
    <mc:AlternateContent xmlns:mc="http://schemas.openxmlformats.org/markup-compatibility/2006" xmlns:a14="http://schemas.microsoft.com/office/drawing/2010/main">
      <mc:Choice Requires="a14">
        <xdr:graphicFrame macro="">
          <xdr:nvGraphicFramePr>
            <xdr:cNvPr id="9" name="What race do you consider yourself? 1"/>
            <xdr:cNvGraphicFramePr/>
          </xdr:nvGraphicFramePr>
          <xdr:xfrm>
            <a:off x="0" y="0"/>
            <a:ext cx="0" cy="0"/>
          </xdr:xfrm>
          <a:graphic>
            <a:graphicData uri="http://schemas.microsoft.com/office/drawing/2010/slicer">
              <sle:slicer xmlns:sle="http://schemas.microsoft.com/office/drawing/2010/slicer" name="What race do you consider yourself? 1"/>
            </a:graphicData>
          </a:graphic>
        </xdr:graphicFrame>
      </mc:Choice>
      <mc:Fallback xmlns="">
        <xdr:sp macro="" textlink="">
          <xdr:nvSpPr>
            <xdr:cNvPr id="0" name=""/>
            <xdr:cNvSpPr>
              <a:spLocks noTextEdit="1"/>
            </xdr:cNvSpPr>
          </xdr:nvSpPr>
          <xdr:spPr>
            <a:xfrm>
              <a:off x="161925" y="10944225"/>
              <a:ext cx="2200275" cy="4105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161924</xdr:colOff>
      <xdr:row>78</xdr:row>
      <xdr:rowOff>66675</xdr:rowOff>
    </xdr:from>
    <xdr:to>
      <xdr:col>1</xdr:col>
      <xdr:colOff>1762125</xdr:colOff>
      <xdr:row>86</xdr:row>
      <xdr:rowOff>0</xdr:rowOff>
    </xdr:to>
    <mc:AlternateContent xmlns:mc="http://schemas.openxmlformats.org/markup-compatibility/2006" xmlns:a14="http://schemas.microsoft.com/office/drawing/2010/main">
      <mc:Choice Requires="a14">
        <xdr:graphicFrame macro="">
          <xdr:nvGraphicFramePr>
            <xdr:cNvPr id="10" name="Do you currently have health insurance? 1"/>
            <xdr:cNvGraphicFramePr/>
          </xdr:nvGraphicFramePr>
          <xdr:xfrm>
            <a:off x="0" y="0"/>
            <a:ext cx="0" cy="0"/>
          </xdr:xfrm>
          <a:graphic>
            <a:graphicData uri="http://schemas.microsoft.com/office/drawing/2010/slicer">
              <sle:slicer xmlns:sle="http://schemas.microsoft.com/office/drawing/2010/slicer" name="Do you currently have health insurance? 1"/>
            </a:graphicData>
          </a:graphic>
        </xdr:graphicFrame>
      </mc:Choice>
      <mc:Fallback xmlns="">
        <xdr:sp macro="" textlink="">
          <xdr:nvSpPr>
            <xdr:cNvPr id="0" name=""/>
            <xdr:cNvSpPr>
              <a:spLocks noTextEdit="1"/>
            </xdr:cNvSpPr>
          </xdr:nvSpPr>
          <xdr:spPr>
            <a:xfrm>
              <a:off x="161924" y="15211425"/>
              <a:ext cx="2209801" cy="1457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161925</xdr:colOff>
      <xdr:row>1</xdr:row>
      <xdr:rowOff>114301</xdr:rowOff>
    </xdr:from>
    <xdr:to>
      <xdr:col>4</xdr:col>
      <xdr:colOff>149225</xdr:colOff>
      <xdr:row>10</xdr:row>
      <xdr:rowOff>57151</xdr:rowOff>
    </xdr:to>
    <mc:AlternateContent xmlns:mc="http://schemas.openxmlformats.org/markup-compatibility/2006" xmlns:a14="http://schemas.microsoft.com/office/drawing/2010/main">
      <mc:Choice Requires="a14">
        <xdr:graphicFrame macro="">
          <xdr:nvGraphicFramePr>
            <xdr:cNvPr id="2" name="I identify as: 2"/>
            <xdr:cNvGraphicFramePr/>
          </xdr:nvGraphicFramePr>
          <xdr:xfrm>
            <a:off x="0" y="0"/>
            <a:ext cx="0" cy="0"/>
          </xdr:xfrm>
          <a:graphic>
            <a:graphicData uri="http://schemas.microsoft.com/office/drawing/2010/slicer">
              <sle:slicer xmlns:sle="http://schemas.microsoft.com/office/drawing/2010/slicer" name="I identify as: 2"/>
            </a:graphicData>
          </a:graphic>
        </xdr:graphicFrame>
      </mc:Choice>
      <mc:Fallback xmlns="">
        <xdr:sp macro="" textlink="">
          <xdr:nvSpPr>
            <xdr:cNvPr id="0" name=""/>
            <xdr:cNvSpPr>
              <a:spLocks noTextEdit="1"/>
            </xdr:cNvSpPr>
          </xdr:nvSpPr>
          <xdr:spPr>
            <a:xfrm>
              <a:off x="4533900" y="590551"/>
              <a:ext cx="1295400" cy="16573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285750</xdr:colOff>
      <xdr:row>1</xdr:row>
      <xdr:rowOff>123825</xdr:rowOff>
    </xdr:from>
    <xdr:to>
      <xdr:col>5</xdr:col>
      <xdr:colOff>174625</xdr:colOff>
      <xdr:row>10</xdr:row>
      <xdr:rowOff>57150</xdr:rowOff>
    </xdr:to>
    <mc:AlternateContent xmlns:mc="http://schemas.openxmlformats.org/markup-compatibility/2006" xmlns:a14="http://schemas.microsoft.com/office/drawing/2010/main">
      <mc:Choice Requires="a14">
        <xdr:graphicFrame macro="">
          <xdr:nvGraphicFramePr>
            <xdr:cNvPr id="3" name="County where you live: 2"/>
            <xdr:cNvGraphicFramePr/>
          </xdr:nvGraphicFramePr>
          <xdr:xfrm>
            <a:off x="0" y="0"/>
            <a:ext cx="0" cy="0"/>
          </xdr:xfrm>
          <a:graphic>
            <a:graphicData uri="http://schemas.microsoft.com/office/drawing/2010/slicer">
              <sle:slicer xmlns:sle="http://schemas.microsoft.com/office/drawing/2010/slicer" name="County where you live: 2"/>
            </a:graphicData>
          </a:graphic>
        </xdr:graphicFrame>
      </mc:Choice>
      <mc:Fallback xmlns="">
        <xdr:sp macro="" textlink="">
          <xdr:nvSpPr>
            <xdr:cNvPr id="0" name=""/>
            <xdr:cNvSpPr>
              <a:spLocks noTextEdit="1"/>
            </xdr:cNvSpPr>
          </xdr:nvSpPr>
          <xdr:spPr>
            <a:xfrm>
              <a:off x="6048375" y="600075"/>
              <a:ext cx="1371600" cy="16478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1057275</xdr:colOff>
      <xdr:row>1</xdr:row>
      <xdr:rowOff>133351</xdr:rowOff>
    </xdr:from>
    <xdr:to>
      <xdr:col>6</xdr:col>
      <xdr:colOff>533400</xdr:colOff>
      <xdr:row>10</xdr:row>
      <xdr:rowOff>28575</xdr:rowOff>
    </xdr:to>
    <mc:AlternateContent xmlns:mc="http://schemas.openxmlformats.org/markup-compatibility/2006" xmlns:a14="http://schemas.microsoft.com/office/drawing/2010/main">
      <mc:Choice Requires="a14">
        <xdr:graphicFrame macro="">
          <xdr:nvGraphicFramePr>
            <xdr:cNvPr id="4" name="Are you Hispanic or Latino? 2"/>
            <xdr:cNvGraphicFramePr/>
          </xdr:nvGraphicFramePr>
          <xdr:xfrm>
            <a:off x="0" y="0"/>
            <a:ext cx="0" cy="0"/>
          </xdr:xfrm>
          <a:graphic>
            <a:graphicData uri="http://schemas.microsoft.com/office/drawing/2010/slicer">
              <sle:slicer xmlns:sle="http://schemas.microsoft.com/office/drawing/2010/slicer" name="Are you Hispanic or Latino? 2"/>
            </a:graphicData>
          </a:graphic>
        </xdr:graphicFrame>
      </mc:Choice>
      <mc:Fallback xmlns="">
        <xdr:sp macro="" textlink="">
          <xdr:nvSpPr>
            <xdr:cNvPr id="0" name=""/>
            <xdr:cNvSpPr>
              <a:spLocks noTextEdit="1"/>
            </xdr:cNvSpPr>
          </xdr:nvSpPr>
          <xdr:spPr>
            <a:xfrm>
              <a:off x="7629525" y="609601"/>
              <a:ext cx="1400175" cy="16097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152399</xdr:colOff>
      <xdr:row>12</xdr:row>
      <xdr:rowOff>114301</xdr:rowOff>
    </xdr:from>
    <xdr:to>
      <xdr:col>1</xdr:col>
      <xdr:colOff>1800224</xdr:colOff>
      <xdr:row>24</xdr:row>
      <xdr:rowOff>133351</xdr:rowOff>
    </xdr:to>
    <mc:AlternateContent xmlns:mc="http://schemas.openxmlformats.org/markup-compatibility/2006" xmlns:a14="http://schemas.microsoft.com/office/drawing/2010/main">
      <mc:Choice Requires="a14">
        <xdr:graphicFrame macro="">
          <xdr:nvGraphicFramePr>
            <xdr:cNvPr id="5" name="What is your annual household income from all sources? 2"/>
            <xdr:cNvGraphicFramePr/>
          </xdr:nvGraphicFramePr>
          <xdr:xfrm>
            <a:off x="0" y="0"/>
            <a:ext cx="0" cy="0"/>
          </xdr:xfrm>
          <a:graphic>
            <a:graphicData uri="http://schemas.microsoft.com/office/drawing/2010/slicer">
              <sle:slicer xmlns:sle="http://schemas.microsoft.com/office/drawing/2010/slicer" name="What is your annual household income from all sources? 2"/>
            </a:graphicData>
          </a:graphic>
        </xdr:graphicFrame>
      </mc:Choice>
      <mc:Fallback xmlns="">
        <xdr:sp macro="" textlink="">
          <xdr:nvSpPr>
            <xdr:cNvPr id="0" name=""/>
            <xdr:cNvSpPr>
              <a:spLocks noTextEdit="1"/>
            </xdr:cNvSpPr>
          </xdr:nvSpPr>
          <xdr:spPr>
            <a:xfrm>
              <a:off x="152399" y="2686051"/>
              <a:ext cx="2257425" cy="2305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152399</xdr:colOff>
      <xdr:row>25</xdr:row>
      <xdr:rowOff>76201</xdr:rowOff>
    </xdr:from>
    <xdr:to>
      <xdr:col>1</xdr:col>
      <xdr:colOff>1781174</xdr:colOff>
      <xdr:row>37</xdr:row>
      <xdr:rowOff>76201</xdr:rowOff>
    </xdr:to>
    <mc:AlternateContent xmlns:mc="http://schemas.openxmlformats.org/markup-compatibility/2006" xmlns:a14="http://schemas.microsoft.com/office/drawing/2010/main">
      <mc:Choice Requires="a14">
        <xdr:graphicFrame macro="">
          <xdr:nvGraphicFramePr>
            <xdr:cNvPr id="6" name="What is your current employment status? 2"/>
            <xdr:cNvGraphicFramePr/>
          </xdr:nvGraphicFramePr>
          <xdr:xfrm>
            <a:off x="0" y="0"/>
            <a:ext cx="0" cy="0"/>
          </xdr:xfrm>
          <a:graphic>
            <a:graphicData uri="http://schemas.microsoft.com/office/drawing/2010/slicer">
              <sle:slicer xmlns:sle="http://schemas.microsoft.com/office/drawing/2010/slicer" name="What is your current employment status? 2"/>
            </a:graphicData>
          </a:graphic>
        </xdr:graphicFrame>
      </mc:Choice>
      <mc:Fallback xmlns="">
        <xdr:sp macro="" textlink="">
          <xdr:nvSpPr>
            <xdr:cNvPr id="0" name=""/>
            <xdr:cNvSpPr>
              <a:spLocks noTextEdit="1"/>
            </xdr:cNvSpPr>
          </xdr:nvSpPr>
          <xdr:spPr>
            <a:xfrm>
              <a:off x="152399" y="5124451"/>
              <a:ext cx="2238375" cy="2286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133349</xdr:colOff>
      <xdr:row>38</xdr:row>
      <xdr:rowOff>28574</xdr:rowOff>
    </xdr:from>
    <xdr:to>
      <xdr:col>1</xdr:col>
      <xdr:colOff>1781174</xdr:colOff>
      <xdr:row>55</xdr:row>
      <xdr:rowOff>104775</xdr:rowOff>
    </xdr:to>
    <mc:AlternateContent xmlns:mc="http://schemas.openxmlformats.org/markup-compatibility/2006" xmlns:a14="http://schemas.microsoft.com/office/drawing/2010/main">
      <mc:Choice Requires="a14">
        <xdr:graphicFrame macro="">
          <xdr:nvGraphicFramePr>
            <xdr:cNvPr id="7" name="What is your highest level of education? 2"/>
            <xdr:cNvGraphicFramePr/>
          </xdr:nvGraphicFramePr>
          <xdr:xfrm>
            <a:off x="0" y="0"/>
            <a:ext cx="0" cy="0"/>
          </xdr:xfrm>
          <a:graphic>
            <a:graphicData uri="http://schemas.microsoft.com/office/drawing/2010/slicer">
              <sle:slicer xmlns:sle="http://schemas.microsoft.com/office/drawing/2010/slicer" name="What is your highest level of education? 2"/>
            </a:graphicData>
          </a:graphic>
        </xdr:graphicFrame>
      </mc:Choice>
      <mc:Fallback xmlns="">
        <xdr:sp macro="" textlink="">
          <xdr:nvSpPr>
            <xdr:cNvPr id="0" name=""/>
            <xdr:cNvSpPr>
              <a:spLocks noTextEdit="1"/>
            </xdr:cNvSpPr>
          </xdr:nvSpPr>
          <xdr:spPr>
            <a:xfrm>
              <a:off x="133349" y="7553324"/>
              <a:ext cx="2257425" cy="35814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133349</xdr:colOff>
      <xdr:row>56</xdr:row>
      <xdr:rowOff>47624</xdr:rowOff>
    </xdr:from>
    <xdr:to>
      <xdr:col>1</xdr:col>
      <xdr:colOff>1781174</xdr:colOff>
      <xdr:row>78</xdr:row>
      <xdr:rowOff>85725</xdr:rowOff>
    </xdr:to>
    <mc:AlternateContent xmlns:mc="http://schemas.openxmlformats.org/markup-compatibility/2006" xmlns:a14="http://schemas.microsoft.com/office/drawing/2010/main">
      <mc:Choice Requires="a14">
        <xdr:graphicFrame macro="">
          <xdr:nvGraphicFramePr>
            <xdr:cNvPr id="8" name="What race do you consider yourself? 2"/>
            <xdr:cNvGraphicFramePr/>
          </xdr:nvGraphicFramePr>
          <xdr:xfrm>
            <a:off x="0" y="0"/>
            <a:ext cx="0" cy="0"/>
          </xdr:xfrm>
          <a:graphic>
            <a:graphicData uri="http://schemas.microsoft.com/office/drawing/2010/slicer">
              <sle:slicer xmlns:sle="http://schemas.microsoft.com/office/drawing/2010/slicer" name="What race do you consider yourself? 2"/>
            </a:graphicData>
          </a:graphic>
        </xdr:graphicFrame>
      </mc:Choice>
      <mc:Fallback xmlns="">
        <xdr:sp macro="" textlink="">
          <xdr:nvSpPr>
            <xdr:cNvPr id="0" name=""/>
            <xdr:cNvSpPr>
              <a:spLocks noTextEdit="1"/>
            </xdr:cNvSpPr>
          </xdr:nvSpPr>
          <xdr:spPr>
            <a:xfrm>
              <a:off x="133349" y="11001374"/>
              <a:ext cx="2257425" cy="42291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123824</xdr:colOff>
      <xdr:row>79</xdr:row>
      <xdr:rowOff>76201</xdr:rowOff>
    </xdr:from>
    <xdr:to>
      <xdr:col>1</xdr:col>
      <xdr:colOff>1733549</xdr:colOff>
      <xdr:row>87</xdr:row>
      <xdr:rowOff>38101</xdr:rowOff>
    </xdr:to>
    <mc:AlternateContent xmlns:mc="http://schemas.openxmlformats.org/markup-compatibility/2006" xmlns:a14="http://schemas.microsoft.com/office/drawing/2010/main">
      <mc:Choice Requires="a14">
        <xdr:graphicFrame macro="">
          <xdr:nvGraphicFramePr>
            <xdr:cNvPr id="9" name="Do you currently have health insurance? 2"/>
            <xdr:cNvGraphicFramePr/>
          </xdr:nvGraphicFramePr>
          <xdr:xfrm>
            <a:off x="0" y="0"/>
            <a:ext cx="0" cy="0"/>
          </xdr:xfrm>
          <a:graphic>
            <a:graphicData uri="http://schemas.microsoft.com/office/drawing/2010/slicer">
              <sle:slicer xmlns:sle="http://schemas.microsoft.com/office/drawing/2010/slicer" name="Do you currently have health insurance? 2"/>
            </a:graphicData>
          </a:graphic>
        </xdr:graphicFrame>
      </mc:Choice>
      <mc:Fallback xmlns="">
        <xdr:sp macro="" textlink="">
          <xdr:nvSpPr>
            <xdr:cNvPr id="0" name=""/>
            <xdr:cNvSpPr>
              <a:spLocks noTextEdit="1"/>
            </xdr:cNvSpPr>
          </xdr:nvSpPr>
          <xdr:spPr>
            <a:xfrm>
              <a:off x="123824" y="15411451"/>
              <a:ext cx="2219325" cy="1485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114300</xdr:colOff>
      <xdr:row>1</xdr:row>
      <xdr:rowOff>123826</xdr:rowOff>
    </xdr:from>
    <xdr:to>
      <xdr:col>3</xdr:col>
      <xdr:colOff>1352550</xdr:colOff>
      <xdr:row>10</xdr:row>
      <xdr:rowOff>76200</xdr:rowOff>
    </xdr:to>
    <mc:AlternateContent xmlns:mc="http://schemas.openxmlformats.org/markup-compatibility/2006" xmlns:a14="http://schemas.microsoft.com/office/drawing/2010/main">
      <mc:Choice Requires="a14">
        <xdr:graphicFrame macro="">
          <xdr:nvGraphicFramePr>
            <xdr:cNvPr id="2" name="I identify as: 3"/>
            <xdr:cNvGraphicFramePr/>
          </xdr:nvGraphicFramePr>
          <xdr:xfrm>
            <a:off x="0" y="0"/>
            <a:ext cx="0" cy="0"/>
          </xdr:xfrm>
          <a:graphic>
            <a:graphicData uri="http://schemas.microsoft.com/office/drawing/2010/slicer">
              <sle:slicer xmlns:sle="http://schemas.microsoft.com/office/drawing/2010/slicer" name="I identify as: 3"/>
            </a:graphicData>
          </a:graphic>
        </xdr:graphicFrame>
      </mc:Choice>
      <mc:Fallback xmlns="">
        <xdr:sp macro="" textlink="">
          <xdr:nvSpPr>
            <xdr:cNvPr id="0" name=""/>
            <xdr:cNvSpPr>
              <a:spLocks noTextEdit="1"/>
            </xdr:cNvSpPr>
          </xdr:nvSpPr>
          <xdr:spPr>
            <a:xfrm>
              <a:off x="4486275" y="600076"/>
              <a:ext cx="1238250" cy="16668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95250</xdr:colOff>
      <xdr:row>1</xdr:row>
      <xdr:rowOff>114300</xdr:rowOff>
    </xdr:from>
    <xdr:to>
      <xdr:col>5</xdr:col>
      <xdr:colOff>409575</xdr:colOff>
      <xdr:row>10</xdr:row>
      <xdr:rowOff>85725</xdr:rowOff>
    </xdr:to>
    <mc:AlternateContent xmlns:mc="http://schemas.openxmlformats.org/markup-compatibility/2006" xmlns:a14="http://schemas.microsoft.com/office/drawing/2010/main">
      <mc:Choice Requires="a14">
        <xdr:graphicFrame macro="">
          <xdr:nvGraphicFramePr>
            <xdr:cNvPr id="3" name="County where you live: 3"/>
            <xdr:cNvGraphicFramePr/>
          </xdr:nvGraphicFramePr>
          <xdr:xfrm>
            <a:off x="0" y="0"/>
            <a:ext cx="0" cy="0"/>
          </xdr:xfrm>
          <a:graphic>
            <a:graphicData uri="http://schemas.microsoft.com/office/drawing/2010/slicer">
              <sle:slicer xmlns:sle="http://schemas.microsoft.com/office/drawing/2010/slicer" name="County where you live: 3"/>
            </a:graphicData>
          </a:graphic>
        </xdr:graphicFrame>
      </mc:Choice>
      <mc:Fallback xmlns="">
        <xdr:sp macro="" textlink="">
          <xdr:nvSpPr>
            <xdr:cNvPr id="0" name=""/>
            <xdr:cNvSpPr>
              <a:spLocks noTextEdit="1"/>
            </xdr:cNvSpPr>
          </xdr:nvSpPr>
          <xdr:spPr>
            <a:xfrm>
              <a:off x="5857875" y="590550"/>
              <a:ext cx="1390650" cy="16859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809625</xdr:colOff>
      <xdr:row>1</xdr:row>
      <xdr:rowOff>114301</xdr:rowOff>
    </xdr:from>
    <xdr:to>
      <xdr:col>5</xdr:col>
      <xdr:colOff>2197100</xdr:colOff>
      <xdr:row>10</xdr:row>
      <xdr:rowOff>76201</xdr:rowOff>
    </xdr:to>
    <mc:AlternateContent xmlns:mc="http://schemas.openxmlformats.org/markup-compatibility/2006" xmlns:a14="http://schemas.microsoft.com/office/drawing/2010/main">
      <mc:Choice Requires="a14">
        <xdr:graphicFrame macro="">
          <xdr:nvGraphicFramePr>
            <xdr:cNvPr id="4" name="Are you Hispanic or Latino? 3"/>
            <xdr:cNvGraphicFramePr/>
          </xdr:nvGraphicFramePr>
          <xdr:xfrm>
            <a:off x="0" y="0"/>
            <a:ext cx="0" cy="0"/>
          </xdr:xfrm>
          <a:graphic>
            <a:graphicData uri="http://schemas.microsoft.com/office/drawing/2010/slicer">
              <sle:slicer xmlns:sle="http://schemas.microsoft.com/office/drawing/2010/slicer" name="Are you Hispanic or Latino? 3"/>
            </a:graphicData>
          </a:graphic>
        </xdr:graphicFrame>
      </mc:Choice>
      <mc:Fallback xmlns="">
        <xdr:sp macro="" textlink="">
          <xdr:nvSpPr>
            <xdr:cNvPr id="0" name=""/>
            <xdr:cNvSpPr>
              <a:spLocks noTextEdit="1"/>
            </xdr:cNvSpPr>
          </xdr:nvSpPr>
          <xdr:spPr>
            <a:xfrm>
              <a:off x="7381875" y="590551"/>
              <a:ext cx="1333500" cy="1676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104775</xdr:colOff>
      <xdr:row>12</xdr:row>
      <xdr:rowOff>95250</xdr:rowOff>
    </xdr:from>
    <xdr:to>
      <xdr:col>1</xdr:col>
      <xdr:colOff>1819275</xdr:colOff>
      <xdr:row>24</xdr:row>
      <xdr:rowOff>85725</xdr:rowOff>
    </xdr:to>
    <mc:AlternateContent xmlns:mc="http://schemas.openxmlformats.org/markup-compatibility/2006" xmlns:a14="http://schemas.microsoft.com/office/drawing/2010/main">
      <mc:Choice Requires="a14">
        <xdr:graphicFrame macro="">
          <xdr:nvGraphicFramePr>
            <xdr:cNvPr id="5" name="What is your annual household income from all sources? 3"/>
            <xdr:cNvGraphicFramePr/>
          </xdr:nvGraphicFramePr>
          <xdr:xfrm>
            <a:off x="0" y="0"/>
            <a:ext cx="0" cy="0"/>
          </xdr:xfrm>
          <a:graphic>
            <a:graphicData uri="http://schemas.microsoft.com/office/drawing/2010/slicer">
              <sle:slicer xmlns:sle="http://schemas.microsoft.com/office/drawing/2010/slicer" name="What is your annual household income from all sources? 3"/>
            </a:graphicData>
          </a:graphic>
        </xdr:graphicFrame>
      </mc:Choice>
      <mc:Fallback xmlns="">
        <xdr:sp macro="" textlink="">
          <xdr:nvSpPr>
            <xdr:cNvPr id="0" name=""/>
            <xdr:cNvSpPr>
              <a:spLocks noTextEdit="1"/>
            </xdr:cNvSpPr>
          </xdr:nvSpPr>
          <xdr:spPr>
            <a:xfrm>
              <a:off x="104775" y="2667000"/>
              <a:ext cx="2324100" cy="2276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104775</xdr:colOff>
      <xdr:row>25</xdr:row>
      <xdr:rowOff>57151</xdr:rowOff>
    </xdr:from>
    <xdr:to>
      <xdr:col>1</xdr:col>
      <xdr:colOff>1800225</xdr:colOff>
      <xdr:row>37</xdr:row>
      <xdr:rowOff>19051</xdr:rowOff>
    </xdr:to>
    <mc:AlternateContent xmlns:mc="http://schemas.openxmlformats.org/markup-compatibility/2006" xmlns:a14="http://schemas.microsoft.com/office/drawing/2010/main">
      <mc:Choice Requires="a14">
        <xdr:graphicFrame macro="">
          <xdr:nvGraphicFramePr>
            <xdr:cNvPr id="6" name="What is your current employment status? 3"/>
            <xdr:cNvGraphicFramePr/>
          </xdr:nvGraphicFramePr>
          <xdr:xfrm>
            <a:off x="0" y="0"/>
            <a:ext cx="0" cy="0"/>
          </xdr:xfrm>
          <a:graphic>
            <a:graphicData uri="http://schemas.microsoft.com/office/drawing/2010/slicer">
              <sle:slicer xmlns:sle="http://schemas.microsoft.com/office/drawing/2010/slicer" name="What is your current employment status? 3"/>
            </a:graphicData>
          </a:graphic>
        </xdr:graphicFrame>
      </mc:Choice>
      <mc:Fallback xmlns="">
        <xdr:sp macro="" textlink="">
          <xdr:nvSpPr>
            <xdr:cNvPr id="0" name=""/>
            <xdr:cNvSpPr>
              <a:spLocks noTextEdit="1"/>
            </xdr:cNvSpPr>
          </xdr:nvSpPr>
          <xdr:spPr>
            <a:xfrm>
              <a:off x="104775" y="5105401"/>
              <a:ext cx="2305050" cy="2247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133349</xdr:colOff>
      <xdr:row>37</xdr:row>
      <xdr:rowOff>171451</xdr:rowOff>
    </xdr:from>
    <xdr:to>
      <xdr:col>1</xdr:col>
      <xdr:colOff>1781174</xdr:colOff>
      <xdr:row>55</xdr:row>
      <xdr:rowOff>85725</xdr:rowOff>
    </xdr:to>
    <mc:AlternateContent xmlns:mc="http://schemas.openxmlformats.org/markup-compatibility/2006" xmlns:a14="http://schemas.microsoft.com/office/drawing/2010/main">
      <mc:Choice Requires="a14">
        <xdr:graphicFrame macro="">
          <xdr:nvGraphicFramePr>
            <xdr:cNvPr id="7" name="What is your highest level of education? 3"/>
            <xdr:cNvGraphicFramePr/>
          </xdr:nvGraphicFramePr>
          <xdr:xfrm>
            <a:off x="0" y="0"/>
            <a:ext cx="0" cy="0"/>
          </xdr:xfrm>
          <a:graphic>
            <a:graphicData uri="http://schemas.microsoft.com/office/drawing/2010/slicer">
              <sle:slicer xmlns:sle="http://schemas.microsoft.com/office/drawing/2010/slicer" name="What is your highest level of education? 3"/>
            </a:graphicData>
          </a:graphic>
        </xdr:graphicFrame>
      </mc:Choice>
      <mc:Fallback xmlns="">
        <xdr:sp macro="" textlink="">
          <xdr:nvSpPr>
            <xdr:cNvPr id="0" name=""/>
            <xdr:cNvSpPr>
              <a:spLocks noTextEdit="1"/>
            </xdr:cNvSpPr>
          </xdr:nvSpPr>
          <xdr:spPr>
            <a:xfrm>
              <a:off x="133349" y="7505700"/>
              <a:ext cx="2257425" cy="36290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133350</xdr:colOff>
      <xdr:row>56</xdr:row>
      <xdr:rowOff>28574</xdr:rowOff>
    </xdr:from>
    <xdr:to>
      <xdr:col>1</xdr:col>
      <xdr:colOff>1752600</xdr:colOff>
      <xdr:row>77</xdr:row>
      <xdr:rowOff>161925</xdr:rowOff>
    </xdr:to>
    <mc:AlternateContent xmlns:mc="http://schemas.openxmlformats.org/markup-compatibility/2006" xmlns:a14="http://schemas.microsoft.com/office/drawing/2010/main">
      <mc:Choice Requires="a14">
        <xdr:graphicFrame macro="">
          <xdr:nvGraphicFramePr>
            <xdr:cNvPr id="8" name="What race do you consider yourself? 3"/>
            <xdr:cNvGraphicFramePr/>
          </xdr:nvGraphicFramePr>
          <xdr:xfrm>
            <a:off x="0" y="0"/>
            <a:ext cx="0" cy="0"/>
          </xdr:xfrm>
          <a:graphic>
            <a:graphicData uri="http://schemas.microsoft.com/office/drawing/2010/slicer">
              <sle:slicer xmlns:sle="http://schemas.microsoft.com/office/drawing/2010/slicer" name="What race do you consider yourself? 3"/>
            </a:graphicData>
          </a:graphic>
        </xdr:graphicFrame>
      </mc:Choice>
      <mc:Fallback xmlns="">
        <xdr:sp macro="" textlink="">
          <xdr:nvSpPr>
            <xdr:cNvPr id="0" name=""/>
            <xdr:cNvSpPr>
              <a:spLocks noTextEdit="1"/>
            </xdr:cNvSpPr>
          </xdr:nvSpPr>
          <xdr:spPr>
            <a:xfrm>
              <a:off x="133350" y="10982324"/>
              <a:ext cx="2228850" cy="41338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133350</xdr:colOff>
      <xdr:row>78</xdr:row>
      <xdr:rowOff>133350</xdr:rowOff>
    </xdr:from>
    <xdr:to>
      <xdr:col>1</xdr:col>
      <xdr:colOff>1752600</xdr:colOff>
      <xdr:row>86</xdr:row>
      <xdr:rowOff>85725</xdr:rowOff>
    </xdr:to>
    <mc:AlternateContent xmlns:mc="http://schemas.openxmlformats.org/markup-compatibility/2006" xmlns:a14="http://schemas.microsoft.com/office/drawing/2010/main">
      <mc:Choice Requires="a14">
        <xdr:graphicFrame macro="">
          <xdr:nvGraphicFramePr>
            <xdr:cNvPr id="9" name="Do you currently have health insurance? 3"/>
            <xdr:cNvGraphicFramePr/>
          </xdr:nvGraphicFramePr>
          <xdr:xfrm>
            <a:off x="0" y="0"/>
            <a:ext cx="0" cy="0"/>
          </xdr:xfrm>
          <a:graphic>
            <a:graphicData uri="http://schemas.microsoft.com/office/drawing/2010/slicer">
              <sle:slicer xmlns:sle="http://schemas.microsoft.com/office/drawing/2010/slicer" name="Do you currently have health insurance? 3"/>
            </a:graphicData>
          </a:graphic>
        </xdr:graphicFrame>
      </mc:Choice>
      <mc:Fallback xmlns="">
        <xdr:sp macro="" textlink="">
          <xdr:nvSpPr>
            <xdr:cNvPr id="0" name=""/>
            <xdr:cNvSpPr>
              <a:spLocks noTextEdit="1"/>
            </xdr:cNvSpPr>
          </xdr:nvSpPr>
          <xdr:spPr>
            <a:xfrm>
              <a:off x="133350" y="15278100"/>
              <a:ext cx="2228850" cy="14763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574675</xdr:colOff>
      <xdr:row>1</xdr:row>
      <xdr:rowOff>117476</xdr:rowOff>
    </xdr:from>
    <xdr:to>
      <xdr:col>8</xdr:col>
      <xdr:colOff>457200</xdr:colOff>
      <xdr:row>10</xdr:row>
      <xdr:rowOff>69850</xdr:rowOff>
    </xdr:to>
    <mc:AlternateContent xmlns:mc="http://schemas.openxmlformats.org/markup-compatibility/2006" xmlns:a14="http://schemas.microsoft.com/office/drawing/2010/main">
      <mc:Choice Requires="a14">
        <xdr:graphicFrame macro="">
          <xdr:nvGraphicFramePr>
            <xdr:cNvPr id="2" name="Are you Hispanic or Latino? 4"/>
            <xdr:cNvGraphicFramePr/>
          </xdr:nvGraphicFramePr>
          <xdr:xfrm>
            <a:off x="0" y="0"/>
            <a:ext cx="0" cy="0"/>
          </xdr:xfrm>
          <a:graphic>
            <a:graphicData uri="http://schemas.microsoft.com/office/drawing/2010/slicer">
              <sle:slicer xmlns:sle="http://schemas.microsoft.com/office/drawing/2010/slicer" name="Are you Hispanic or Latino? 4"/>
            </a:graphicData>
          </a:graphic>
        </xdr:graphicFrame>
      </mc:Choice>
      <mc:Fallback xmlns="">
        <xdr:sp macro="" textlink="">
          <xdr:nvSpPr>
            <xdr:cNvPr id="0" name=""/>
            <xdr:cNvSpPr>
              <a:spLocks noTextEdit="1"/>
            </xdr:cNvSpPr>
          </xdr:nvSpPr>
          <xdr:spPr>
            <a:xfrm>
              <a:off x="7762875" y="561976"/>
              <a:ext cx="1704975" cy="16287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104775</xdr:colOff>
      <xdr:row>1</xdr:row>
      <xdr:rowOff>114300</xdr:rowOff>
    </xdr:from>
    <xdr:to>
      <xdr:col>4</xdr:col>
      <xdr:colOff>339725</xdr:colOff>
      <xdr:row>10</xdr:row>
      <xdr:rowOff>66675</xdr:rowOff>
    </xdr:to>
    <mc:AlternateContent xmlns:mc="http://schemas.openxmlformats.org/markup-compatibility/2006" xmlns:a14="http://schemas.microsoft.com/office/drawing/2010/main">
      <mc:Choice Requires="a14">
        <xdr:graphicFrame macro="">
          <xdr:nvGraphicFramePr>
            <xdr:cNvPr id="3" name="I identify as: 4"/>
            <xdr:cNvGraphicFramePr/>
          </xdr:nvGraphicFramePr>
          <xdr:xfrm>
            <a:off x="0" y="0"/>
            <a:ext cx="0" cy="0"/>
          </xdr:xfrm>
          <a:graphic>
            <a:graphicData uri="http://schemas.microsoft.com/office/drawing/2010/slicer">
              <sle:slicer xmlns:sle="http://schemas.microsoft.com/office/drawing/2010/slicer" name="I identify as: 4"/>
            </a:graphicData>
          </a:graphic>
        </xdr:graphicFrame>
      </mc:Choice>
      <mc:Fallback xmlns="">
        <xdr:sp macro="" textlink="">
          <xdr:nvSpPr>
            <xdr:cNvPr id="0" name=""/>
            <xdr:cNvSpPr>
              <a:spLocks noTextEdit="1"/>
            </xdr:cNvSpPr>
          </xdr:nvSpPr>
          <xdr:spPr>
            <a:xfrm>
              <a:off x="4476750" y="590550"/>
              <a:ext cx="1543050" cy="16668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333375</xdr:colOff>
      <xdr:row>1</xdr:row>
      <xdr:rowOff>114300</xdr:rowOff>
    </xdr:from>
    <xdr:to>
      <xdr:col>6</xdr:col>
      <xdr:colOff>577850</xdr:colOff>
      <xdr:row>10</xdr:row>
      <xdr:rowOff>47625</xdr:rowOff>
    </xdr:to>
    <mc:AlternateContent xmlns:mc="http://schemas.openxmlformats.org/markup-compatibility/2006" xmlns:a14="http://schemas.microsoft.com/office/drawing/2010/main">
      <mc:Choice Requires="a14">
        <xdr:graphicFrame macro="">
          <xdr:nvGraphicFramePr>
            <xdr:cNvPr id="4" name="County where you live: 4"/>
            <xdr:cNvGraphicFramePr/>
          </xdr:nvGraphicFramePr>
          <xdr:xfrm>
            <a:off x="0" y="0"/>
            <a:ext cx="0" cy="0"/>
          </xdr:xfrm>
          <a:graphic>
            <a:graphicData uri="http://schemas.microsoft.com/office/drawing/2010/slicer">
              <sle:slicer xmlns:sle="http://schemas.microsoft.com/office/drawing/2010/slicer" name="County where you live: 4"/>
            </a:graphicData>
          </a:graphic>
        </xdr:graphicFrame>
      </mc:Choice>
      <mc:Fallback xmlns="">
        <xdr:sp macro="" textlink="">
          <xdr:nvSpPr>
            <xdr:cNvPr id="0" name=""/>
            <xdr:cNvSpPr>
              <a:spLocks noTextEdit="1"/>
            </xdr:cNvSpPr>
          </xdr:nvSpPr>
          <xdr:spPr>
            <a:xfrm>
              <a:off x="6124575" y="558800"/>
              <a:ext cx="1641475" cy="1609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133349</xdr:colOff>
      <xdr:row>12</xdr:row>
      <xdr:rowOff>114300</xdr:rowOff>
    </xdr:from>
    <xdr:to>
      <xdr:col>1</xdr:col>
      <xdr:colOff>1838324</xdr:colOff>
      <xdr:row>24</xdr:row>
      <xdr:rowOff>85725</xdr:rowOff>
    </xdr:to>
    <mc:AlternateContent xmlns:mc="http://schemas.openxmlformats.org/markup-compatibility/2006" xmlns:a14="http://schemas.microsoft.com/office/drawing/2010/main">
      <mc:Choice Requires="a14">
        <xdr:graphicFrame macro="">
          <xdr:nvGraphicFramePr>
            <xdr:cNvPr id="5" name="What is your annual household income from all sources? 4"/>
            <xdr:cNvGraphicFramePr/>
          </xdr:nvGraphicFramePr>
          <xdr:xfrm>
            <a:off x="0" y="0"/>
            <a:ext cx="0" cy="0"/>
          </xdr:xfrm>
          <a:graphic>
            <a:graphicData uri="http://schemas.microsoft.com/office/drawing/2010/slicer">
              <sle:slicer xmlns:sle="http://schemas.microsoft.com/office/drawing/2010/slicer" name="What is your annual household income from all sources? 4"/>
            </a:graphicData>
          </a:graphic>
        </xdr:graphicFrame>
      </mc:Choice>
      <mc:Fallback xmlns="">
        <xdr:sp macro="" textlink="">
          <xdr:nvSpPr>
            <xdr:cNvPr id="0" name=""/>
            <xdr:cNvSpPr>
              <a:spLocks noTextEdit="1"/>
            </xdr:cNvSpPr>
          </xdr:nvSpPr>
          <xdr:spPr>
            <a:xfrm>
              <a:off x="133349" y="2686050"/>
              <a:ext cx="2314575" cy="2257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152399</xdr:colOff>
      <xdr:row>25</xdr:row>
      <xdr:rowOff>38101</xdr:rowOff>
    </xdr:from>
    <xdr:to>
      <xdr:col>1</xdr:col>
      <xdr:colOff>1838324</xdr:colOff>
      <xdr:row>37</xdr:row>
      <xdr:rowOff>19051</xdr:rowOff>
    </xdr:to>
    <mc:AlternateContent xmlns:mc="http://schemas.openxmlformats.org/markup-compatibility/2006" xmlns:a14="http://schemas.microsoft.com/office/drawing/2010/main">
      <mc:Choice Requires="a14">
        <xdr:graphicFrame macro="">
          <xdr:nvGraphicFramePr>
            <xdr:cNvPr id="6" name="What is your current employment status? 4"/>
            <xdr:cNvGraphicFramePr/>
          </xdr:nvGraphicFramePr>
          <xdr:xfrm>
            <a:off x="0" y="0"/>
            <a:ext cx="0" cy="0"/>
          </xdr:xfrm>
          <a:graphic>
            <a:graphicData uri="http://schemas.microsoft.com/office/drawing/2010/slicer">
              <sle:slicer xmlns:sle="http://schemas.microsoft.com/office/drawing/2010/slicer" name="What is your current employment status? 4"/>
            </a:graphicData>
          </a:graphic>
        </xdr:graphicFrame>
      </mc:Choice>
      <mc:Fallback xmlns="">
        <xdr:sp macro="" textlink="">
          <xdr:nvSpPr>
            <xdr:cNvPr id="0" name=""/>
            <xdr:cNvSpPr>
              <a:spLocks noTextEdit="1"/>
            </xdr:cNvSpPr>
          </xdr:nvSpPr>
          <xdr:spPr>
            <a:xfrm>
              <a:off x="152399" y="5086351"/>
              <a:ext cx="2295525" cy="2266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152400</xdr:colOff>
      <xdr:row>37</xdr:row>
      <xdr:rowOff>171450</xdr:rowOff>
    </xdr:from>
    <xdr:to>
      <xdr:col>1</xdr:col>
      <xdr:colOff>1847850</xdr:colOff>
      <xdr:row>55</xdr:row>
      <xdr:rowOff>76200</xdr:rowOff>
    </xdr:to>
    <mc:AlternateContent xmlns:mc="http://schemas.openxmlformats.org/markup-compatibility/2006" xmlns:a14="http://schemas.microsoft.com/office/drawing/2010/main">
      <mc:Choice Requires="a14">
        <xdr:graphicFrame macro="">
          <xdr:nvGraphicFramePr>
            <xdr:cNvPr id="7" name="What is your highest level of education? 4"/>
            <xdr:cNvGraphicFramePr/>
          </xdr:nvGraphicFramePr>
          <xdr:xfrm>
            <a:off x="0" y="0"/>
            <a:ext cx="0" cy="0"/>
          </xdr:xfrm>
          <a:graphic>
            <a:graphicData uri="http://schemas.microsoft.com/office/drawing/2010/slicer">
              <sle:slicer xmlns:sle="http://schemas.microsoft.com/office/drawing/2010/slicer" name="What is your highest level of education? 4"/>
            </a:graphicData>
          </a:graphic>
        </xdr:graphicFrame>
      </mc:Choice>
      <mc:Fallback xmlns="">
        <xdr:sp macro="" textlink="">
          <xdr:nvSpPr>
            <xdr:cNvPr id="0" name=""/>
            <xdr:cNvSpPr>
              <a:spLocks noTextEdit="1"/>
            </xdr:cNvSpPr>
          </xdr:nvSpPr>
          <xdr:spPr>
            <a:xfrm>
              <a:off x="152400" y="7505700"/>
              <a:ext cx="2305050" cy="3333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180974</xdr:colOff>
      <xdr:row>56</xdr:row>
      <xdr:rowOff>19049</xdr:rowOff>
    </xdr:from>
    <xdr:to>
      <xdr:col>1</xdr:col>
      <xdr:colOff>1828799</xdr:colOff>
      <xdr:row>77</xdr:row>
      <xdr:rowOff>142875</xdr:rowOff>
    </xdr:to>
    <mc:AlternateContent xmlns:mc="http://schemas.openxmlformats.org/markup-compatibility/2006" xmlns:a14="http://schemas.microsoft.com/office/drawing/2010/main">
      <mc:Choice Requires="a14">
        <xdr:graphicFrame macro="">
          <xdr:nvGraphicFramePr>
            <xdr:cNvPr id="8" name="What race do you consider yourself? 4"/>
            <xdr:cNvGraphicFramePr/>
          </xdr:nvGraphicFramePr>
          <xdr:xfrm>
            <a:off x="0" y="0"/>
            <a:ext cx="0" cy="0"/>
          </xdr:xfrm>
          <a:graphic>
            <a:graphicData uri="http://schemas.microsoft.com/office/drawing/2010/slicer">
              <sle:slicer xmlns:sle="http://schemas.microsoft.com/office/drawing/2010/slicer" name="What race do you consider yourself? 4"/>
            </a:graphicData>
          </a:graphic>
        </xdr:graphicFrame>
      </mc:Choice>
      <mc:Fallback xmlns="">
        <xdr:sp macro="" textlink="">
          <xdr:nvSpPr>
            <xdr:cNvPr id="0" name=""/>
            <xdr:cNvSpPr>
              <a:spLocks noTextEdit="1"/>
            </xdr:cNvSpPr>
          </xdr:nvSpPr>
          <xdr:spPr>
            <a:xfrm>
              <a:off x="180974" y="10972799"/>
              <a:ext cx="2257425" cy="412432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161925</xdr:colOff>
      <xdr:row>78</xdr:row>
      <xdr:rowOff>104775</xdr:rowOff>
    </xdr:from>
    <xdr:to>
      <xdr:col>1</xdr:col>
      <xdr:colOff>1800225</xdr:colOff>
      <xdr:row>86</xdr:row>
      <xdr:rowOff>57150</xdr:rowOff>
    </xdr:to>
    <mc:AlternateContent xmlns:mc="http://schemas.openxmlformats.org/markup-compatibility/2006" xmlns:a14="http://schemas.microsoft.com/office/drawing/2010/main">
      <mc:Choice Requires="a14">
        <xdr:graphicFrame macro="">
          <xdr:nvGraphicFramePr>
            <xdr:cNvPr id="9" name="Do you currently have health insurance? 4"/>
            <xdr:cNvGraphicFramePr/>
          </xdr:nvGraphicFramePr>
          <xdr:xfrm>
            <a:off x="0" y="0"/>
            <a:ext cx="0" cy="0"/>
          </xdr:xfrm>
          <a:graphic>
            <a:graphicData uri="http://schemas.microsoft.com/office/drawing/2010/slicer">
              <sle:slicer xmlns:sle="http://schemas.microsoft.com/office/drawing/2010/slicer" name="Do you currently have health insurance? 4"/>
            </a:graphicData>
          </a:graphic>
        </xdr:graphicFrame>
      </mc:Choice>
      <mc:Fallback xmlns="">
        <xdr:sp macro="" textlink="">
          <xdr:nvSpPr>
            <xdr:cNvPr id="0" name=""/>
            <xdr:cNvSpPr>
              <a:spLocks noTextEdit="1"/>
            </xdr:cNvSpPr>
          </xdr:nvSpPr>
          <xdr:spPr>
            <a:xfrm>
              <a:off x="161925" y="15249525"/>
              <a:ext cx="2247900" cy="14763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123825</xdr:colOff>
      <xdr:row>1</xdr:row>
      <xdr:rowOff>142876</xdr:rowOff>
    </xdr:from>
    <xdr:to>
      <xdr:col>4</xdr:col>
      <xdr:colOff>263525</xdr:colOff>
      <xdr:row>10</xdr:row>
      <xdr:rowOff>95250</xdr:rowOff>
    </xdr:to>
    <mc:AlternateContent xmlns:mc="http://schemas.openxmlformats.org/markup-compatibility/2006" xmlns:a14="http://schemas.microsoft.com/office/drawing/2010/main">
      <mc:Choice Requires="a14">
        <xdr:graphicFrame macro="">
          <xdr:nvGraphicFramePr>
            <xdr:cNvPr id="2" name="I identify as: 5"/>
            <xdr:cNvGraphicFramePr/>
          </xdr:nvGraphicFramePr>
          <xdr:xfrm>
            <a:off x="0" y="0"/>
            <a:ext cx="0" cy="0"/>
          </xdr:xfrm>
          <a:graphic>
            <a:graphicData uri="http://schemas.microsoft.com/office/drawing/2010/slicer">
              <sle:slicer xmlns:sle="http://schemas.microsoft.com/office/drawing/2010/slicer" name="I identify as: 5"/>
            </a:graphicData>
          </a:graphic>
        </xdr:graphicFrame>
      </mc:Choice>
      <mc:Fallback xmlns="">
        <xdr:sp macro="" textlink="">
          <xdr:nvSpPr>
            <xdr:cNvPr id="0" name=""/>
            <xdr:cNvSpPr>
              <a:spLocks noTextEdit="1"/>
            </xdr:cNvSpPr>
          </xdr:nvSpPr>
          <xdr:spPr>
            <a:xfrm>
              <a:off x="4495800" y="619126"/>
              <a:ext cx="1447800" cy="16668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241300</xdr:colOff>
      <xdr:row>1</xdr:row>
      <xdr:rowOff>146051</xdr:rowOff>
    </xdr:from>
    <xdr:to>
      <xdr:col>6</xdr:col>
      <xdr:colOff>628650</xdr:colOff>
      <xdr:row>10</xdr:row>
      <xdr:rowOff>88901</xdr:rowOff>
    </xdr:to>
    <mc:AlternateContent xmlns:mc="http://schemas.openxmlformats.org/markup-compatibility/2006" xmlns:a14="http://schemas.microsoft.com/office/drawing/2010/main">
      <mc:Choice Requires="a14">
        <xdr:graphicFrame macro="">
          <xdr:nvGraphicFramePr>
            <xdr:cNvPr id="3" name="Are you Hispanic or Latino? 5"/>
            <xdr:cNvGraphicFramePr/>
          </xdr:nvGraphicFramePr>
          <xdr:xfrm>
            <a:off x="0" y="0"/>
            <a:ext cx="0" cy="0"/>
          </xdr:xfrm>
          <a:graphic>
            <a:graphicData uri="http://schemas.microsoft.com/office/drawing/2010/slicer">
              <sle:slicer xmlns:sle="http://schemas.microsoft.com/office/drawing/2010/slicer" name="Are you Hispanic or Latino? 5"/>
            </a:graphicData>
          </a:graphic>
        </xdr:graphicFrame>
      </mc:Choice>
      <mc:Fallback xmlns="">
        <xdr:sp macro="" textlink="">
          <xdr:nvSpPr>
            <xdr:cNvPr id="0" name=""/>
            <xdr:cNvSpPr>
              <a:spLocks noTextEdit="1"/>
            </xdr:cNvSpPr>
          </xdr:nvSpPr>
          <xdr:spPr>
            <a:xfrm>
              <a:off x="7702550" y="590551"/>
              <a:ext cx="1441450" cy="16192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371475</xdr:colOff>
      <xdr:row>1</xdr:row>
      <xdr:rowOff>142875</xdr:rowOff>
    </xdr:from>
    <xdr:to>
      <xdr:col>5</xdr:col>
      <xdr:colOff>152400</xdr:colOff>
      <xdr:row>10</xdr:row>
      <xdr:rowOff>95250</xdr:rowOff>
    </xdr:to>
    <mc:AlternateContent xmlns:mc="http://schemas.openxmlformats.org/markup-compatibility/2006" xmlns:a14="http://schemas.microsoft.com/office/drawing/2010/main">
      <mc:Choice Requires="a14">
        <xdr:graphicFrame macro="">
          <xdr:nvGraphicFramePr>
            <xdr:cNvPr id="4" name="County where you live: 5"/>
            <xdr:cNvGraphicFramePr/>
          </xdr:nvGraphicFramePr>
          <xdr:xfrm>
            <a:off x="0" y="0"/>
            <a:ext cx="0" cy="0"/>
          </xdr:xfrm>
          <a:graphic>
            <a:graphicData uri="http://schemas.microsoft.com/office/drawing/2010/slicer">
              <sle:slicer xmlns:sle="http://schemas.microsoft.com/office/drawing/2010/slicer" name="County where you live: 5"/>
            </a:graphicData>
          </a:graphic>
        </xdr:graphicFrame>
      </mc:Choice>
      <mc:Fallback xmlns="">
        <xdr:sp macro="" textlink="">
          <xdr:nvSpPr>
            <xdr:cNvPr id="0" name=""/>
            <xdr:cNvSpPr>
              <a:spLocks noTextEdit="1"/>
            </xdr:cNvSpPr>
          </xdr:nvSpPr>
          <xdr:spPr>
            <a:xfrm>
              <a:off x="6134100" y="619125"/>
              <a:ext cx="1409700" cy="16668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133349</xdr:colOff>
      <xdr:row>12</xdr:row>
      <xdr:rowOff>133350</xdr:rowOff>
    </xdr:from>
    <xdr:to>
      <xdr:col>1</xdr:col>
      <xdr:colOff>1838324</xdr:colOff>
      <xdr:row>24</xdr:row>
      <xdr:rowOff>104775</xdr:rowOff>
    </xdr:to>
    <mc:AlternateContent xmlns:mc="http://schemas.openxmlformats.org/markup-compatibility/2006" xmlns:a14="http://schemas.microsoft.com/office/drawing/2010/main">
      <mc:Choice Requires="a14">
        <xdr:graphicFrame macro="">
          <xdr:nvGraphicFramePr>
            <xdr:cNvPr id="5" name="What is your annual household income from all sources? 5"/>
            <xdr:cNvGraphicFramePr/>
          </xdr:nvGraphicFramePr>
          <xdr:xfrm>
            <a:off x="0" y="0"/>
            <a:ext cx="0" cy="0"/>
          </xdr:xfrm>
          <a:graphic>
            <a:graphicData uri="http://schemas.microsoft.com/office/drawing/2010/slicer">
              <sle:slicer xmlns:sle="http://schemas.microsoft.com/office/drawing/2010/slicer" name="What is your annual household income from all sources? 5"/>
            </a:graphicData>
          </a:graphic>
        </xdr:graphicFrame>
      </mc:Choice>
      <mc:Fallback xmlns="">
        <xdr:sp macro="" textlink="">
          <xdr:nvSpPr>
            <xdr:cNvPr id="0" name=""/>
            <xdr:cNvSpPr>
              <a:spLocks noTextEdit="1"/>
            </xdr:cNvSpPr>
          </xdr:nvSpPr>
          <xdr:spPr>
            <a:xfrm>
              <a:off x="133349" y="2705100"/>
              <a:ext cx="2314575" cy="2257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123824</xdr:colOff>
      <xdr:row>25</xdr:row>
      <xdr:rowOff>1</xdr:rowOff>
    </xdr:from>
    <xdr:to>
      <xdr:col>1</xdr:col>
      <xdr:colOff>1828799</xdr:colOff>
      <xdr:row>36</xdr:row>
      <xdr:rowOff>133350</xdr:rowOff>
    </xdr:to>
    <mc:AlternateContent xmlns:mc="http://schemas.openxmlformats.org/markup-compatibility/2006" xmlns:a14="http://schemas.microsoft.com/office/drawing/2010/main">
      <mc:Choice Requires="a14">
        <xdr:graphicFrame macro="">
          <xdr:nvGraphicFramePr>
            <xdr:cNvPr id="6" name="What is your current employment status? 5"/>
            <xdr:cNvGraphicFramePr/>
          </xdr:nvGraphicFramePr>
          <xdr:xfrm>
            <a:off x="0" y="0"/>
            <a:ext cx="0" cy="0"/>
          </xdr:xfrm>
          <a:graphic>
            <a:graphicData uri="http://schemas.microsoft.com/office/drawing/2010/slicer">
              <sle:slicer xmlns:sle="http://schemas.microsoft.com/office/drawing/2010/slicer" name="What is your current employment status? 5"/>
            </a:graphicData>
          </a:graphic>
        </xdr:graphicFrame>
      </mc:Choice>
      <mc:Fallback xmlns="">
        <xdr:sp macro="" textlink="">
          <xdr:nvSpPr>
            <xdr:cNvPr id="0" name=""/>
            <xdr:cNvSpPr>
              <a:spLocks noTextEdit="1"/>
            </xdr:cNvSpPr>
          </xdr:nvSpPr>
          <xdr:spPr>
            <a:xfrm>
              <a:off x="123824" y="5048251"/>
              <a:ext cx="2314575" cy="22288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123825</xdr:colOff>
      <xdr:row>37</xdr:row>
      <xdr:rowOff>85725</xdr:rowOff>
    </xdr:from>
    <xdr:to>
      <xdr:col>1</xdr:col>
      <xdr:colOff>1819275</xdr:colOff>
      <xdr:row>54</xdr:row>
      <xdr:rowOff>161925</xdr:rowOff>
    </xdr:to>
    <mc:AlternateContent xmlns:mc="http://schemas.openxmlformats.org/markup-compatibility/2006" xmlns:a14="http://schemas.microsoft.com/office/drawing/2010/main">
      <mc:Choice Requires="a14">
        <xdr:graphicFrame macro="">
          <xdr:nvGraphicFramePr>
            <xdr:cNvPr id="7" name="What is your highest level of education? 5"/>
            <xdr:cNvGraphicFramePr/>
          </xdr:nvGraphicFramePr>
          <xdr:xfrm>
            <a:off x="0" y="0"/>
            <a:ext cx="0" cy="0"/>
          </xdr:xfrm>
          <a:graphic>
            <a:graphicData uri="http://schemas.microsoft.com/office/drawing/2010/slicer">
              <sle:slicer xmlns:sle="http://schemas.microsoft.com/office/drawing/2010/slicer" name="What is your highest level of education? 5"/>
            </a:graphicData>
          </a:graphic>
        </xdr:graphicFrame>
      </mc:Choice>
      <mc:Fallback xmlns="">
        <xdr:sp macro="" textlink="">
          <xdr:nvSpPr>
            <xdr:cNvPr id="0" name=""/>
            <xdr:cNvSpPr>
              <a:spLocks noTextEdit="1"/>
            </xdr:cNvSpPr>
          </xdr:nvSpPr>
          <xdr:spPr>
            <a:xfrm>
              <a:off x="123825" y="7419975"/>
              <a:ext cx="2305050" cy="3314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152399</xdr:colOff>
      <xdr:row>55</xdr:row>
      <xdr:rowOff>104774</xdr:rowOff>
    </xdr:from>
    <xdr:to>
      <xdr:col>1</xdr:col>
      <xdr:colOff>1838324</xdr:colOff>
      <xdr:row>77</xdr:row>
      <xdr:rowOff>66675</xdr:rowOff>
    </xdr:to>
    <mc:AlternateContent xmlns:mc="http://schemas.openxmlformats.org/markup-compatibility/2006" xmlns:a14="http://schemas.microsoft.com/office/drawing/2010/main">
      <mc:Choice Requires="a14">
        <xdr:graphicFrame macro="">
          <xdr:nvGraphicFramePr>
            <xdr:cNvPr id="8" name="What race do you consider yourself? 5"/>
            <xdr:cNvGraphicFramePr/>
          </xdr:nvGraphicFramePr>
          <xdr:xfrm>
            <a:off x="0" y="0"/>
            <a:ext cx="0" cy="0"/>
          </xdr:xfrm>
          <a:graphic>
            <a:graphicData uri="http://schemas.microsoft.com/office/drawing/2010/slicer">
              <sle:slicer xmlns:sle="http://schemas.microsoft.com/office/drawing/2010/slicer" name="What race do you consider yourself? 5"/>
            </a:graphicData>
          </a:graphic>
        </xdr:graphicFrame>
      </mc:Choice>
      <mc:Fallback xmlns="">
        <xdr:sp macro="" textlink="">
          <xdr:nvSpPr>
            <xdr:cNvPr id="0" name=""/>
            <xdr:cNvSpPr>
              <a:spLocks noTextEdit="1"/>
            </xdr:cNvSpPr>
          </xdr:nvSpPr>
          <xdr:spPr>
            <a:xfrm>
              <a:off x="152399" y="10868024"/>
              <a:ext cx="2295525" cy="41529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152400</xdr:colOff>
      <xdr:row>77</xdr:row>
      <xdr:rowOff>161926</xdr:rowOff>
    </xdr:from>
    <xdr:to>
      <xdr:col>1</xdr:col>
      <xdr:colOff>1838326</xdr:colOff>
      <xdr:row>85</xdr:row>
      <xdr:rowOff>104776</xdr:rowOff>
    </xdr:to>
    <mc:AlternateContent xmlns:mc="http://schemas.openxmlformats.org/markup-compatibility/2006" xmlns:a14="http://schemas.microsoft.com/office/drawing/2010/main">
      <mc:Choice Requires="a14">
        <xdr:graphicFrame macro="">
          <xdr:nvGraphicFramePr>
            <xdr:cNvPr id="9" name="Do you currently have health insurance? 5"/>
            <xdr:cNvGraphicFramePr/>
          </xdr:nvGraphicFramePr>
          <xdr:xfrm>
            <a:off x="0" y="0"/>
            <a:ext cx="0" cy="0"/>
          </xdr:xfrm>
          <a:graphic>
            <a:graphicData uri="http://schemas.microsoft.com/office/drawing/2010/slicer">
              <sle:slicer xmlns:sle="http://schemas.microsoft.com/office/drawing/2010/slicer" name="Do you currently have health insurance? 5"/>
            </a:graphicData>
          </a:graphic>
        </xdr:graphicFrame>
      </mc:Choice>
      <mc:Fallback xmlns="">
        <xdr:sp macro="" textlink="">
          <xdr:nvSpPr>
            <xdr:cNvPr id="0" name=""/>
            <xdr:cNvSpPr>
              <a:spLocks noTextEdit="1"/>
            </xdr:cNvSpPr>
          </xdr:nvSpPr>
          <xdr:spPr>
            <a:xfrm>
              <a:off x="152400" y="15116176"/>
              <a:ext cx="2295526" cy="1466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tricted/ACO%20Data/Nassau%20Suffolk%20PHIP%20Grant/2022/CHAS/Model/2022%20CHAS%20template%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Data"/>
      <sheetName val="Q1"/>
      <sheetName val="Q2"/>
      <sheetName val="Q3"/>
      <sheetName val="Q4"/>
      <sheetName val="Q5"/>
      <sheetName val="Q6"/>
      <sheetName val="General"/>
      <sheetName val="Nassau "/>
      <sheetName val="Suffolk "/>
      <sheetName val="Population Information"/>
      <sheetName val="PT Q1"/>
      <sheetName val="PT Q2"/>
      <sheetName val="PT Q3"/>
      <sheetName val="PT Q4"/>
      <sheetName val="PT Q5"/>
      <sheetName val="PT Q6"/>
      <sheetName val="Nassau Rank"/>
      <sheetName val="Suffolk Rank"/>
      <sheetName val="PASTE TO GET RANKS"/>
      <sheetName val="2022 CHAS template v2.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pivotCache/pivotCacheDefinition1.xml><?xml version="1.0" encoding="utf-8"?>
<pivotCacheDefinition xmlns="http://schemas.openxmlformats.org/spreadsheetml/2006/main" xmlns:r="http://schemas.openxmlformats.org/officeDocument/2006/relationships" saveData="0" refreshedBy="Melissa Bauer" refreshedDate="44946.532952546295" createdVersion="5" refreshedVersion="5" minRefreshableVersion="3" recordCount="0" supportSubquery="1" supportAdvancedDrill="1">
  <cacheSource type="external" connectionId="8"/>
  <cacheFields count="23">
    <cacheField name="[Measures].[Count of RespondentID 2]" caption="Count of RespondentID 2" numFmtId="0" hierarchy="444" level="32767"/>
    <cacheField name="[PT Q2].[Town and ZIP code where you live:].[Town and ZIP code where you live:]" caption="Town and ZIP code where you live:" numFmtId="0" hierarchy="238" level="1">
      <sharedItems count="145">
        <s v="0"/>
        <s v="10001"/>
        <s v="11003"/>
        <s v="11231"/>
        <s v="11236"/>
        <s v="11355"/>
        <s v="11367"/>
        <s v="11372"/>
        <s v="11375"/>
        <s v="11414"/>
        <s v="11428"/>
        <s v="11429"/>
        <s v="11456"/>
        <s v="11692"/>
        <s v="22407"/>
        <s v="Albertson, 11507"/>
        <s v="Alden Manor, 11003"/>
        <s v="Allenwood, 11021"/>
        <s v="Amagansett, 11930"/>
        <s v="Amityville, 11701"/>
        <s v="Amityville, 11708"/>
        <s v="Aquebogue, 11931"/>
        <s v="Atlantic Beach, 11509"/>
        <s v="Babylon, 11702"/>
        <s v="Babylon, 11703"/>
        <s v="Babylon, 11704"/>
        <s v="Baiting Hollow, 11933"/>
        <s v="Baxter Estates, 11050"/>
        <s v="Bay Shore, 11706"/>
        <s v="Bellerose Terrace, 11001"/>
        <s v="Bellmore, 11710"/>
        <s v="Bethpage, 11714"/>
        <s v="Bohemia, 11716"/>
        <s v="Brentwood, 11717"/>
        <s v="Brightwaters, 11718"/>
        <s v="Brookville, 11545"/>
        <s v="Carle Place, 11514"/>
        <s v="Centereach, 11720"/>
        <s v="Centerport, 11721"/>
        <s v="Central Islip, 11722"/>
        <s v="Cold Spring Harbor, 11724"/>
        <s v="Commack, 11725"/>
        <s v="Copiague, 11726"/>
        <s v="Coram, 11727"/>
        <s v="Deer Park, 11729"/>
        <s v="Dix Hills, 11746"/>
        <s v="East Hills, 11576"/>
        <s v="East Islip, 11730"/>
        <s v="East Meadow, 11554"/>
        <s v="East Northport, 11731"/>
        <s v="Farmingdale, 11735"/>
        <s v="Farmingville, 11738"/>
        <s v="Floral Park, 11001"/>
        <s v="Floral Park, 11002"/>
        <s v="Franklin Square, 11010"/>
        <s v="Freeport, 11520"/>
        <s v="Garden City South, 11530"/>
        <s v="Garden City, 11530"/>
        <s v="Garden City, 11531"/>
        <s v="Garden City, 11536"/>
        <s v="Great Neck, 11026"/>
        <s v="Greenlawn, 11740"/>
        <s v="Halesite, 11743"/>
        <s v="Hauppauge, 11788"/>
        <s v="Head of the Harbor, 11780"/>
        <s v="Hempstead, 11549"/>
        <s v="Hempstead, 11550"/>
        <s v="Herricks, 11040"/>
        <s v="Hewlett Neck, 11598"/>
        <s v="Hicksville, 11801"/>
        <s v="Holtsville, 11742"/>
        <s v="Huntington Station, 11746"/>
        <s v="Huntington Station, 11747"/>
        <s v="Huntington, 11743"/>
        <s v="Islip Manor, 11751"/>
        <s v="Islip, 11751"/>
        <s v="Jericho, 11753"/>
        <s v="Kings Park, 11754"/>
        <s v="Lake Grove, 11755"/>
        <s v="Lake Ronkonkoma, 11779"/>
        <s v="Lake Success, 11020"/>
        <s v="Lakeview, 11552"/>
        <s v="Lawrence, 11559"/>
        <s v="Levittown, 11756"/>
        <s v="Lido Beach, 11561"/>
        <s v="Lindenhurst, 11757"/>
        <s v="Long Beach, 11561"/>
        <s v="Lynbrook, 11563"/>
        <s v="Malverne, 11565"/>
        <s v="Manhasset, 11030"/>
        <s v="Manorville, 11949"/>
        <s v="Massapequa Park, 11762"/>
        <s v="Massapequa, 11758"/>
        <s v="Mastic, 11950"/>
        <s v="Medford, 11763"/>
        <s v="Melville, 11747"/>
        <s v="Merrick, 11566"/>
        <s v="Middle Island, 11953"/>
        <s v="Miller Place, 11764"/>
        <s v="Mineola, 11501"/>
        <s v="Moriches, 11955"/>
        <s v="Nesconset, 11767"/>
        <s v="New Cassel, 11590"/>
        <s v="New Hyde Park, 11040"/>
        <s v="North Babylon, 11703"/>
        <s v="North Massapequa, 11758"/>
        <s v="North New Hyde Park, 11040"/>
        <s v="Northport, 11768"/>
        <s v="Oakdale, 11769"/>
        <s v="Oceanside, 11572"/>
        <s v="Patchogue, 11772"/>
        <s v="Peconic, 11958"/>
        <s v="Plainview, 11803"/>
        <s v="Port Jefferson Station, 11776"/>
        <s v="Ridge, 11961"/>
        <s v="Riverhead, 11901"/>
        <s v="Rockville Centre, 11570"/>
        <s v="Rocky Point, 11778"/>
        <s v="Ronkonkoma, 11779"/>
        <s v="Roslyn, 11576"/>
        <s v="Saint James, 11780"/>
        <s v="Sayville, 11782"/>
        <s v="Seaford, 11783"/>
        <s v="Selden, 11784"/>
        <s v="Setauket, 11733"/>
        <s v="Shirley, 11967"/>
        <s v="Smithtown, 11745"/>
        <s v="Smithtown, 11787"/>
        <s v="South Huntington, 11746"/>
        <s v="Stony Brook, 11790"/>
        <s v="Syosset, 11773"/>
        <s v="Syosset, 11791"/>
        <s v="Uniondale, 11553"/>
        <s v="Valley Stream, 11580"/>
        <s v="Wading River, 11792"/>
        <s v="Wantagh, 11793"/>
        <s v="West Babylon, 11704"/>
        <s v="West Hempstead, 11552"/>
        <s v="West Islip, 11795"/>
        <s v="West Sayville, 11796"/>
        <s v="Westbury, 11590"/>
        <s v="Williston Park, 11596"/>
        <s v="Woodbury, 11797"/>
        <s v="Woodsburgh, 11598"/>
        <s v="Yaphank, 11980"/>
      </sharedItems>
    </cacheField>
    <cacheField name="[Measures].[Sum of Asthmalung disease3 2]" caption="Sum of Asthmalung disease3 2" numFmtId="0" hierarchy="445" level="32767"/>
    <cacheField name="[Measures].[Sum of Cancer4 2]" caption="Sum of Cancer4 2" numFmtId="0" hierarchy="446" level="32767"/>
    <cacheField name="[Measures].[Sum of Child health  wellness9 2]" caption="Sum of Child health  wellness9 2" numFmtId="0" hierarchy="447" level="32767"/>
    <cacheField name="[Measures].[Sum of Diabetes11 2]" caption="Sum of Diabetes11 2" numFmtId="0" hierarchy="450" level="32767"/>
    <cacheField name="[Measures].[Sum of Drugs  alcohol abuse13 2]" caption="Sum of Drugs  alcohol abuse13 2" numFmtId="0" hierarchy="451" level="32767"/>
    <cacheField name="[Measures].[Sum of Environmental hazards14 2]" caption="Sum of Environmental hazards14 2" numFmtId="0" hierarchy="452" level="32767"/>
    <cacheField name="[Measures].[Sum of Heart disease  stroke5 2]" caption="Sum of Heart disease  stroke5 2" numFmtId="0" hierarchy="453" level="32767"/>
    <cacheField name="[Measures].[Sum of HIVAIDS  Sexually Transmitted Diseases (STDs)7 2]" caption="Sum of HIVAIDS  Sexually Transmitted Diseases (STDs)7 2" numFmtId="0" hierarchy="454" level="32767"/>
    <cacheField name="[Measures].[Sum of Mental health depressionsuicide12 2]" caption="Sum of Mental health depressionsuicide12 2" numFmtId="0" hierarchy="455" level="32767"/>
    <cacheField name="[Measures].[Sum of Obesityweight loss issues15 2]" caption="Sum of Obesityweight loss issues15 2" numFmtId="0" hierarchy="456" level="32767"/>
    <cacheField name="[Measures].[Sum of Safety6 2]" caption="Sum of Safety6 2" numFmtId="0" hierarchy="457" level="32767"/>
    <cacheField name="[Measures].[Sum of Vaccine preventable diseases8 2]" caption="Sum of Vaccine preventable diseases8 2" numFmtId="0" hierarchy="458" level="32767"/>
    <cacheField name="[Measures].[Sum of Women’s health  wellness10 2]" caption="Sum of Women’s health  wellness10 2" numFmtId="0" hierarchy="459" level="32767"/>
    <cacheField name="[PT Q2].[County where you live:].[County where you live:]" caption="County where you live:" numFmtId="0" hierarchy="237" level="1">
      <sharedItems containsSemiMixedTypes="0" containsNonDate="0" containsString="0"/>
    </cacheField>
    <cacheField name="[PT Q2].[I identify as:].[I identify as:]" caption="I identify as:" numFmtId="0" hierarchy="235" level="1">
      <sharedItems containsSemiMixedTypes="0" containsNonDate="0" containsString="0"/>
    </cacheField>
    <cacheField name="[PT Q2].[Are you Hispanic or Latino?].[Are you Hispanic or Latino?]" caption="Are you Hispanic or Latino?" numFmtId="0" hierarchy="240" level="1">
      <sharedItems containsSemiMixedTypes="0" containsNonDate="0" containsString="0"/>
    </cacheField>
    <cacheField name="[PT Q2].[What is your annual household income from all sources?].[What is your annual household income from all sources?]" caption="What is your annual household income from all sources?" numFmtId="0" hierarchy="242" level="1">
      <sharedItems containsSemiMixedTypes="0" containsNonDate="0" containsString="0"/>
    </cacheField>
    <cacheField name="[PT Q2].[What is your current employment status?].[What is your current employment status?]" caption="What is your current employment status?" numFmtId="0" hierarchy="244" level="1">
      <sharedItems containsSemiMixedTypes="0" containsNonDate="0" containsString="0"/>
    </cacheField>
    <cacheField name="[PT Q2].[What is your highest level of education?].[What is your highest level of education?]" caption="What is your highest level of education?" numFmtId="0" hierarchy="243" level="1">
      <sharedItems containsSemiMixedTypes="0" containsNonDate="0" containsString="0"/>
    </cacheField>
    <cacheField name="[PT Q2].[What race do you consider yourself?].[What race do you consider yourself?]" caption="What race do you consider yourself?" numFmtId="0" hierarchy="239" level="1">
      <sharedItems containsSemiMixedTypes="0" containsNonDate="0" containsString="0"/>
    </cacheField>
    <cacheField name="[PT Q2].[Do you currently have health insurance?].[Do you currently have health insurance?]" caption="Do you currently have health insurance?" numFmtId="0" hierarchy="245" level="1">
      <sharedItems containsSemiMixedTypes="0" containsNonDate="0" containsString="0"/>
    </cacheField>
  </cacheFields>
  <cacheHierarchies count="600">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What type of insurance do you have?]" caption="What type of insurance do you have?" attribute="1" defaultMemberUniqueName="[PT Q1].[What type of insurance do you have?].[All]" allUniqueName="[PT Q1].[What type of insurance do you have?].[All]" dimensionUniqueName="[PT Q1]" displayFolder="" count="0" memberValueDatatype="130" unbalanced="0"/>
    <cacheHierarchy uniqueName="[PT Q1].[Do you have a smartphone]" caption="Do you have a smartphone" attribute="1" defaultMemberUniqueName="[PT Q1].[Do you have a smartphone].[All]" allUniqueName="[PT Q1].[Do you have a smartphone].[All]" dimensionUniqueName="[PT Q1]" displayFolder="" count="0" memberValueDatatype="130" unbalanced="0"/>
    <cacheHierarchy uniqueName="[PT Q1].[Woman Flag]" caption="Woman Flag" attribute="1" defaultMemberUniqueName="[PT Q1].[Woman Flag].[All]" allUniqueName="[PT Q1].[Woman Flag].[All]" dimensionUniqueName="[PT Q1]" displayFolder="" count="0" memberValueDatatype="20" unbalanced="0"/>
    <cacheHierarchy uniqueName="[PT Q1].[Man Flag]" caption="Man Flag" attribute="1" defaultMemberUniqueName="[PT Q1].[Man Flag].[All]" allUniqueName="[PT Q1].[Man Flag].[All]" dimensionUniqueName="[PT Q1]" displayFolder="" count="0" memberValueDatatype="20" unbalanced="0"/>
    <cacheHierarchy uniqueName="[PT Q1].[Transgender Flag]" caption="Transgender Flag" attribute="1" defaultMemberUniqueName="[PT Q1].[Transgender Flag].[All]" allUniqueName="[PT Q1].[Transgender Flag].[All]" dimensionUniqueName="[PT Q1]" displayFolder="" count="0" memberValueDatatype="20" unbalanced="0"/>
    <cacheHierarchy uniqueName="[PT Q1].[Other Gender Flag]" caption="Other Gender Flag" attribute="1" defaultMemberUniqueName="[PT Q1].[Other Gender Flag].[All]" allUniqueName="[PT Q1].[Other Gender Flag].[All]" dimensionUniqueName="[PT Q1]" displayFolder="" count="0" memberValueDatatype="20" unbalanced="0"/>
    <cacheHierarchy uniqueName="[PT Q1].[Hispanic Flag]" caption="Hispanic Flag" attribute="1" defaultMemberUniqueName="[PT Q1].[Hispanic Flag].[All]" allUniqueName="[PT Q1].[Hispanic Flag].[All]" dimensionUniqueName="[PT Q1]" displayFolder="" count="0" memberValueDatatype="20" unbalanced="0"/>
    <cacheHierarchy uniqueName="[PT Q1].[White Flag]" caption="White Flag" attribute="1" defaultMemberUniqueName="[PT Q1].[White Flag].[All]" allUniqueName="[PT Q1].[White Flag].[All]" dimensionUniqueName="[PT Q1]" displayFolder="" count="0" memberValueDatatype="20" unbalanced="0"/>
    <cacheHierarchy uniqueName="[PT Q1].[Black or African American Flag]" caption="Black or African American Flag" attribute="1" defaultMemberUniqueName="[PT Q1].[Black or African American Flag].[All]" allUniqueName="[PT Q1].[Black or African American Flag].[All]" dimensionUniqueName="[PT Q1]" displayFolder="" count="0" memberValueDatatype="20" unbalanced="0"/>
    <cacheHierarchy uniqueName="[PT Q1].[Native Hawaiian and Other Pacific Islander Flag]" caption="Native Hawaiian and Other Pacific Islander Flag" attribute="1" defaultMemberUniqueName="[PT Q1].[Native Hawaiian and Other Pacific Islander Flag].[All]" allUniqueName="[PT Q1].[Native Hawaiian and Other Pacific Islander Flag].[All]" dimensionUniqueName="[PT Q1]" displayFolder="" count="0" memberValueDatatype="20" unbalanced="0"/>
    <cacheHierarchy uniqueName="[PT Q1].[American Indian and Alaska Native Flag]" caption="American Indian and Alaska Native Flag" attribute="1" defaultMemberUniqueName="[PT Q1].[American Indian and Alaska Native Flag].[All]" allUniqueName="[PT Q1].[American Indian and Alaska Native Flag].[All]" dimensionUniqueName="[PT Q1]" displayFolder="" count="0" memberValueDatatype="20" unbalanced="0"/>
    <cacheHierarchy uniqueName="[PT Q1].[Two or more races Flag]" caption="Two or more races Flag" attribute="1" defaultMemberUniqueName="[PT Q1].[Two or more races Flag].[All]" allUniqueName="[PT Q1].[Two or more races Flag].[All]" dimensionUniqueName="[PT Q1]" displayFolder="" count="0" memberValueDatatype="20" unbalanced="0"/>
    <cacheHierarchy uniqueName="[PT Q1].[Other Race Flag]" caption="Other Race Flag" attribute="1" defaultMemberUniqueName="[PT Q1].[Other Race Flag].[All]" allUniqueName="[PT Q1].[Other Race Flag].[All]" dimensionUniqueName="[PT Q1]" displayFolder="" count="0" memberValueDatatype="20" unbalanced="0"/>
    <cacheHierarchy uniqueName="[PT Q1].[$0-$19,999 Flag]" caption="$0-$19,999 Flag" attribute="1" defaultMemberUniqueName="[PT Q1].[$0-$19,999 Flag].[All]" allUniqueName="[PT Q1].[$0-$19,999 Flag].[All]" dimensionUniqueName="[PT Q1]" displayFolder="" count="0" memberValueDatatype="20" unbalanced="0"/>
    <cacheHierarchy uniqueName="[PT Q1].[$20,000 to $34,999 Flag]" caption="$20,000 to $34,999 Flag" attribute="1" defaultMemberUniqueName="[PT Q1].[$20,000 to $34,999 Flag].[All]" allUniqueName="[PT Q1].[$20,000 to $34,999 Flag].[All]" dimensionUniqueName="[PT Q1]" displayFolder="" count="0" memberValueDatatype="20" unbalanced="0"/>
    <cacheHierarchy uniqueName="[PT Q1].[$35,000 to $49,999 Flag]" caption="$35,000 to $49,999 Flag" attribute="1" defaultMemberUniqueName="[PT Q1].[$35,000 to $49,999 Flag].[All]" allUniqueName="[PT Q1].[$35,000 to $49,999 Flag].[All]" dimensionUniqueName="[PT Q1]" displayFolder="" count="0" memberValueDatatype="20" unbalanced="0"/>
    <cacheHierarchy uniqueName="[PT Q1].[$50,000 to $74,999 Flag]" caption="$50,000 to $74,999 Flag" attribute="1" defaultMemberUniqueName="[PT Q1].[$50,000 to $74,999 Flag].[All]" allUniqueName="[PT Q1].[$50,000 to $74,999 Flag].[All]" dimensionUniqueName="[PT Q1]" displayFolder="" count="0" memberValueDatatype="20" unbalanced="0"/>
    <cacheHierarchy uniqueName="[PT Q1].[$75,000 to $125,000 Flag]" caption="$75,000 to $125,000 Flag" attribute="1" defaultMemberUniqueName="[PT Q1].[$75,000 to $125,000 Flag].[All]" allUniqueName="[PT Q1].[$75,000 to $125,000 Flag].[All]" dimensionUniqueName="[PT Q1]" displayFolder="" count="0" memberValueDatatype="20" unbalanced="0"/>
    <cacheHierarchy uniqueName="[PT Q1].[Over $125,000 Flag]" caption="Over $125,000 Flag" attribute="1" defaultMemberUniqueName="[PT Q1].[Over $125,000 Flag].[All]" allUniqueName="[PT Q1].[Over $125,000 Flag].[All]" dimensionUniqueName="[PT Q1]" displayFolder="" count="0" memberValueDatatype="20" unbalanced="0"/>
    <cacheHierarchy uniqueName="[PT Q1].[18 TO 24 Flag]" caption="18 TO 24 Flag" attribute="1" defaultMemberUniqueName="[PT Q1].[18 TO 24 Flag].[All]" allUniqueName="[PT Q1].[18 TO 24 Flag].[All]" dimensionUniqueName="[PT Q1]" displayFolder="" count="0" memberValueDatatype="20" unbalanced="0"/>
    <cacheHierarchy uniqueName="[PT Q1].[25 to 34 Flag]" caption="25 to 34 Flag" attribute="1" defaultMemberUniqueName="[PT Q1].[25 to 34 Flag].[All]" allUniqueName="[PT Q1].[25 to 34 Flag].[All]" dimensionUniqueName="[PT Q1]" displayFolder="" count="0" memberValueDatatype="20" unbalanced="0"/>
    <cacheHierarchy uniqueName="[PT Q1].[35 to 44 Flag]" caption="35 to 44 Flag" attribute="1" defaultMemberUniqueName="[PT Q1].[35 to 44 Flag].[All]" allUniqueName="[PT Q1].[35 to 44 Flag].[All]" dimensionUniqueName="[PT Q1]" displayFolder="" count="0" memberValueDatatype="20" unbalanced="0"/>
    <cacheHierarchy uniqueName="[PT Q1].[45 to 54 Flag]" caption="45 to 54 Flag" attribute="1" defaultMemberUniqueName="[PT Q1].[45 to 54 Flag].[All]" allUniqueName="[PT Q1].[45 to 54 Flag].[All]" dimensionUniqueName="[PT Q1]" displayFolder="" count="0" memberValueDatatype="20" unbalanced="0"/>
    <cacheHierarchy uniqueName="[PT Q1].[55 to 64 Flag]" caption="55 to 64 Flag" attribute="1" defaultMemberUniqueName="[PT Q1].[55 to 64 Flag].[All]" allUniqueName="[PT Q1].[55 to 64 Flag].[All]" dimensionUniqueName="[PT Q1]" displayFolder="" count="0" memberValueDatatype="20" unbalanced="0"/>
    <cacheHierarchy uniqueName="[PT Q1].[65 Plus Flag]" caption="65 Plus Flag" attribute="1" defaultMemberUniqueName="[PT Q1].[65 Plus Flag].[All]" allUniqueName="[PT Q1].[65 Plus Flag].[All]" dimensionUniqueName="[PT Q1]" displayFolder="" count="0" memberValueDatatype="20" unbalanced="0"/>
    <cacheHierarchy uniqueName="[PT Q1].[K-8 grade Flag]" caption="K-8 grade Flag" attribute="1" defaultMemberUniqueName="[PT Q1].[K-8 grade Flag].[All]" allUniqueName="[PT Q1].[K-8 grade Flag].[All]" dimensionUniqueName="[PT Q1]" displayFolder="" count="0" memberValueDatatype="20" unbalanced="0"/>
    <cacheHierarchy uniqueName="[PT Q1].[Some High School Flag]" caption="Some High School Flag" attribute="1" defaultMemberUniqueName="[PT Q1].[Some High School Flag].[All]" allUniqueName="[PT Q1].[Some High School Flag].[All]" dimensionUniqueName="[PT Q1]" displayFolder="" count="0" memberValueDatatype="20" unbalanced="0"/>
    <cacheHierarchy uniqueName="[PT Q1].[High School Graduate Flag]" caption="High School Graduate Flag" attribute="1" defaultMemberUniqueName="[PT Q1].[High School Graduate Flag].[All]" allUniqueName="[PT Q1].[High School Graduate Flag].[All]" dimensionUniqueName="[PT Q1]" displayFolder="" count="0" memberValueDatatype="20" unbalanced="0"/>
    <cacheHierarchy uniqueName="[PT Q1].[Technical School Flag]" caption="Technical School Flag" attribute="1" defaultMemberUniqueName="[PT Q1].[Technical School Flag].[All]" allUniqueName="[PT Q1].[Technical School Flag].[All]" dimensionUniqueName="[PT Q1]" displayFolder="" count="0" memberValueDatatype="20" unbalanced="0"/>
    <cacheHierarchy uniqueName="[PT Q1].[Some College Flag]" caption="Some College Flag" attribute="1" defaultMemberUniqueName="[PT Q1].[Some College Flag].[All]" allUniqueName="[PT Q1].[Some College Flag].[All]" dimensionUniqueName="[PT Q1]" displayFolder="" count="0" memberValueDatatype="20" unbalanced="0"/>
    <cacheHierarchy uniqueName="[PT Q1].[College Graduate Flag]" caption="College Graduate Flag" attribute="1" defaultMemberUniqueName="[PT Q1].[College Graduate Flag].[All]" allUniqueName="[PT Q1].[College Graduate Flag].[All]" dimensionUniqueName="[PT Q1]" displayFolder="" count="0" memberValueDatatype="20" unbalanced="0"/>
    <cacheHierarchy uniqueName="[PT Q1].[Graduate School Flag]" caption="Graduate School Flag" attribute="1" defaultMemberUniqueName="[PT Q1].[Graduate School Flag].[All]" allUniqueName="[PT Q1].[Graduate School Flag].[All]" dimensionUniqueName="[PT Q1]" displayFolder="" count="0" memberValueDatatype="20" unbalanced="0"/>
    <cacheHierarchy uniqueName="[PT Q1].[Doctorate Flag]" caption="Doctorate Flag" attribute="1" defaultMemberUniqueName="[PT Q1].[Doctorate Flag].[All]" allUniqueName="[PT Q1].[Doctorate Flag].[All]" dimensionUniqueName="[PT Q1]" displayFolder="" count="0" memberValueDatatype="20" unbalanced="0"/>
    <cacheHierarchy uniqueName="[PT Q1].[GED Flag]" caption="GED Flag" attribute="1" defaultMemberUniqueName="[PT Q1].[GED Flag].[All]" allUniqueName="[PT Q1].[GED Flag].[All]" dimensionUniqueName="[PT Q1]" displayFolder="" count="0" memberValueDatatype="20" unbalanced="0"/>
    <cacheHierarchy uniqueName="[PT Q1].[Employed for Wages Flag]" caption="Employed for Wages Flag" attribute="1" defaultMemberUniqueName="[PT Q1].[Employed for Wages Flag].[All]" allUniqueName="[PT Q1].[Employed for Wages Flag].[All]" dimensionUniqueName="[PT Q1]" displayFolder="" count="0" memberValueDatatype="20" unbalanced="0"/>
    <cacheHierarchy uniqueName="[PT Q1].[Self-employed Flag]" caption="Self-employed Flag" attribute="1" defaultMemberUniqueName="[PT Q1].[Self-employed Flag].[All]" allUniqueName="[PT Q1].[Self-employed Flag].[All]" dimensionUniqueName="[PT Q1]" displayFolder="" count="0" memberValueDatatype="20" unbalanced="0"/>
    <cacheHierarchy uniqueName="[PT Q1].[Student Flag]" caption="Student Flag" attribute="1" defaultMemberUniqueName="[PT Q1].[Student Flag].[All]" allUniqueName="[PT Q1].[Student Flag].[All]" dimensionUniqueName="[PT Q1]" displayFolder="" count="0" memberValueDatatype="20" unbalanced="0"/>
    <cacheHierarchy uniqueName="[PT Q1].[Retired Flag]" caption="Retired Flag" attribute="1" defaultMemberUniqueName="[PT Q1].[Retired Flag].[All]" allUniqueName="[PT Q1].[Retired Flag].[All]" dimensionUniqueName="[PT Q1]" displayFolder="" count="0" memberValueDatatype="20" unbalanced="0"/>
    <cacheHierarchy uniqueName="[PT Q1].[Military Flag]" caption="Military Flag" attribute="1" defaultMemberUniqueName="[PT Q1].[Military Flag].[All]" allUniqueName="[PT Q1].[Military Flag].[All]" dimensionUniqueName="[PT Q1]" displayFolder="" count="0" memberValueDatatype="20" unbalanced="0"/>
    <cacheHierarchy uniqueName="[PT Q1].[Out of Work and Looking Flag]" caption="Out of Work and Looking Flag" attribute="1" defaultMemberUniqueName="[PT Q1].[Out of Work and Looking Flag].[All]" allUniqueName="[PT Q1].[Out of Work and Looking Flag].[All]" dimensionUniqueName="[PT Q1]" displayFolder="" count="0" memberValueDatatype="20" unbalanced="0"/>
    <cacheHierarchy uniqueName="[PT Q1].[Out of Work Not Looking Flag]" caption="Out of Work Not Looking Flag" attribute="1" defaultMemberUniqueName="[PT Q1].[Out of Work Not Looking Flag].[All]" allUniqueName="[PT Q1].[Out of Work Not Looking Flag].[All]" dimensionUniqueName="[PT Q1]" displayFolder="" count="0" memberValueDatatype="20" unbalanced="0"/>
    <cacheHierarchy uniqueName="[PT Q1].[Health Insurance Yes Flag]" caption="Health Insurance Yes Flag" attribute="1" defaultMemberUniqueName="[PT Q1].[Health Insurance Yes Flag].[All]" allUniqueName="[PT Q1].[Health Insurance Yes Flag].[All]" dimensionUniqueName="[PT Q1]" displayFolder="" count="0" memberValueDatatype="20" unbalanced="0"/>
    <cacheHierarchy uniqueName="[PT Q1].[Health Insurance No Flag]" caption="Health Insurance No Flag" attribute="1" defaultMemberUniqueName="[PT Q1].[Health Insurance No Flag].[All]" allUniqueName="[PT Q1].[Health Insurance No Flag].[All]" dimensionUniqueName="[PT Q1]" displayFolder="" count="0" memberValueDatatype="20" unbalanced="0"/>
    <cacheHierarchy uniqueName="[PT Q1].[Health Insurance In the Past Flag]" caption="Health Insurance In the Past Flag" attribute="1" defaultMemberUniqueName="[PT Q1].[Health Insurance In the Past Flag].[All]" allUniqueName="[PT Q1].[Health Insurance In the Past Flag].[All]" dimensionUniqueName="[PT Q1]" displayFolder="" count="0" memberValueDatatype="20" unbalanced="0"/>
    <cacheHierarchy uniqueName="[PT Q1].[Medicare Flag]" caption="Medicare Flag" attribute="1" defaultMemberUniqueName="[PT Q1].[Medicare Flag].[All]" allUniqueName="[PT Q1].[Medicare Flag].[All]" dimensionUniqueName="[PT Q1]" displayFolder="" count="0" memberValueDatatype="20" unbalanced="0"/>
    <cacheHierarchy uniqueName="[PT Q1].[Medicaid Flag]" caption="Medicaid Flag" attribute="1" defaultMemberUniqueName="[PT Q1].[Medicaid Flag].[All]" allUniqueName="[PT Q1].[Medicaid Flag].[All]" dimensionUniqueName="[PT Q1]" displayFolder="" count="0" memberValueDatatype="20" unbalanced="0"/>
    <cacheHierarchy uniqueName="[PT Q1].[Private/Commercial Flag]" caption="Private/Commercial Flag" attribute="1" defaultMemberUniqueName="[PT Q1].[Private/Commercial Flag].[All]" allUniqueName="[PT Q1].[Private/Commercial Flag].[All]" dimensionUniqueName="[PT Q1]" displayFolder="" count="0" memberValueDatatype="20" unbalanced="0"/>
    <cacheHierarchy uniqueName="[PT Q1].[No Insurance Flag]" caption="No Insurance Flag" attribute="1" defaultMemberUniqueName="[PT Q1].[No Insurance Flag].[All]" allUniqueName="[PT Q1].[No Insurance Flag].[All]" dimensionUniqueName="[PT Q1]" displayFolder="" count="0" memberValueDatatype="20" unbalanced="0"/>
    <cacheHierarchy uniqueName="[PT Q1 1].[RespondentID]" caption="RespondentID" attribute="1" defaultMemberUniqueName="[PT Q1 1].[RespondentID].[All]" allUniqueName="[PT Q1 1].[RespondentID].[All]" dimensionUniqueName="[PT Q1 1]" displayFolder="" count="0" memberValueDatatype="5" unbalanced="0"/>
    <cacheHierarchy uniqueName="[PT Q1 1].[Asthma/lung disease]" caption="Asthma/lung disease" attribute="1" defaultMemberUniqueName="[PT Q1 1].[Asthma/lung disease].[All]" allUniqueName="[PT Q1 1].[Asthma/lung disease].[All]" dimensionUniqueName="[PT Q1 1]" displayFolder="" count="0" memberValueDatatype="130" unbalanced="0"/>
    <cacheHierarchy uniqueName="[PT Q1 1].[Cancer]" caption="Cancer" attribute="1" defaultMemberUniqueName="[PT Q1 1].[Cancer].[All]" allUniqueName="[PT Q1 1].[Cancer].[All]" dimensionUniqueName="[PT Q1 1]" displayFolder="" count="0" memberValueDatatype="130" unbalanced="0"/>
    <cacheHierarchy uniqueName="[PT Q1 1].[Heart disease &amp; stroke]" caption="Heart disease &amp; stroke" attribute="1" defaultMemberUniqueName="[PT Q1 1].[Heart disease &amp; stroke].[All]" allUniqueName="[PT Q1 1].[Heart disease &amp; stroke].[All]" dimensionUniqueName="[PT Q1 1]" displayFolder="" count="0" memberValueDatatype="130" unbalanced="0"/>
    <cacheHierarchy uniqueName="[PT Q1 1].[Safety]" caption="Safety" attribute="1" defaultMemberUniqueName="[PT Q1 1].[Safety].[All]" allUniqueName="[PT Q1 1].[Safety].[All]" dimensionUniqueName="[PT Q1 1]" displayFolder="" count="0" memberValueDatatype="130" unbalanced="0"/>
    <cacheHierarchy uniqueName="[PT Q1 1].[HIV/AIDS &amp; Sexually Transmitted Diseases (STDs)]" caption="HIV/AIDS &amp; Sexually Transmitted Diseases (STDs)" attribute="1" defaultMemberUniqueName="[PT Q1 1].[HIV/AIDS &amp; Sexually Transmitted Diseases (STDs)].[All]" allUniqueName="[PT Q1 1].[HIV/AIDS &amp; Sexually Transmitted Diseases (STDs)].[All]" dimensionUniqueName="[PT Q1 1]" displayFolder="" count="0" memberValueDatatype="130" unbalanced="0"/>
    <cacheHierarchy uniqueName="[PT Q1 1].[Vaccine preventable diseases]" caption="Vaccine preventable diseases" attribute="1" defaultMemberUniqueName="[PT Q1 1].[Vaccine preventable diseases].[All]" allUniqueName="[PT Q1 1].[Vaccine preventable diseases].[All]" dimensionUniqueName="[PT Q1 1]" displayFolder="" count="0" memberValueDatatype="130" unbalanced="0"/>
    <cacheHierarchy uniqueName="[PT Q1 1].[Child health &amp; wellness]" caption="Child health &amp; wellness" attribute="1" defaultMemberUniqueName="[PT Q1 1].[Child health &amp; wellness].[All]" allUniqueName="[PT Q1 1].[Child health &amp; wellness].[All]" dimensionUniqueName="[PT Q1 1]" displayFolder="" count="0" memberValueDatatype="130" unbalanced="0"/>
    <cacheHierarchy uniqueName="[PT Q1 1].[Women’s health &amp; wellness]" caption="Women’s health &amp; wellness" attribute="1" defaultMemberUniqueName="[PT Q1 1].[Women’s health &amp; wellness].[All]" allUniqueName="[PT Q1 1].[Women’s health &amp; wellness].[All]" dimensionUniqueName="[PT Q1 1]" displayFolder="" count="0" memberValueDatatype="130" unbalanced="0"/>
    <cacheHierarchy uniqueName="[PT Q1 1].[Diabetes]" caption="Diabetes" attribute="1" defaultMemberUniqueName="[PT Q1 1].[Diabetes].[All]" allUniqueName="[PT Q1 1].[Diabetes].[All]" dimensionUniqueName="[PT Q1 1]" displayFolder="" count="0" memberValueDatatype="130" unbalanced="0"/>
    <cacheHierarchy uniqueName="[PT Q1 1].[Mental health depression/suicide]" caption="Mental health depression/suicide" attribute="1" defaultMemberUniqueName="[PT Q1 1].[Mental health depression/suicide].[All]" allUniqueName="[PT Q1 1].[Mental health depression/suicide].[All]" dimensionUniqueName="[PT Q1 1]" displayFolder="" count="0" memberValueDatatype="130" unbalanced="0"/>
    <cacheHierarchy uniqueName="[PT Q1 1].[Drugs &amp; alcohol abuse]" caption="Drugs &amp; alcohol abuse" attribute="1" defaultMemberUniqueName="[PT Q1 1].[Drugs &amp; alcohol abuse].[All]" allUniqueName="[PT Q1 1].[Drugs &amp; alcohol abuse].[All]" dimensionUniqueName="[PT Q1 1]" displayFolder="" count="0" memberValueDatatype="130" unbalanced="0"/>
    <cacheHierarchy uniqueName="[PT Q1 1].[Environmental hazards]" caption="Environmental hazards" attribute="1" defaultMemberUniqueName="[PT Q1 1].[Environmental hazards].[All]" allUniqueName="[PT Q1 1].[Environmental hazards].[All]" dimensionUniqueName="[PT Q1 1]" displayFolder="" count="0" memberValueDatatype="130" unbalanced="0"/>
    <cacheHierarchy uniqueName="[PT Q1 1].[Obesity/weight loss issues]" caption="Obesity/weight loss issues" attribute="1" defaultMemberUniqueName="[PT Q1 1].[Obesity/weight loss issues].[All]" allUniqueName="[PT Q1 1].[Obesity/weight loss issues].[All]" dimensionUniqueName="[PT Q1 1]" displayFolder="" count="0" memberValueDatatype="130" unbalanced="0"/>
    <cacheHierarchy uniqueName="[PT Q1 1].[Column1]" caption="Column1" attribute="1" defaultMemberUniqueName="[PT Q1 1].[Column1].[All]" allUniqueName="[PT Q1 1].[Column1].[All]" dimensionUniqueName="[PT Q1 1]" displayFolder="" count="0" memberValueDatatype="130" unbalanced="0"/>
    <cacheHierarchy uniqueName="[PT Q1 1].[Count of Selection]" caption="Count of Selection" attribute="1" defaultMemberUniqueName="[PT Q1 1].[Count of Selection].[All]" allUniqueName="[PT Q1 1].[Count of Selection].[All]" dimensionUniqueName="[PT Q1 1]" displayFolder="" count="0" memberValueDatatype="20" unbalanced="0"/>
    <cacheHierarchy uniqueName="[PT Q1 1].[Weight]" caption="Weight" attribute="1" defaultMemberUniqueName="[PT Q1 1].[Weight].[All]" allUniqueName="[PT Q1 1].[Weight].[All]" dimensionUniqueName="[PT Q1 1]" displayFolder="" count="0" memberValueDatatype="130" unbalanced="0"/>
    <cacheHierarchy uniqueName="[PT Q1 1].[Column2]" caption="Column2" attribute="1" defaultMemberUniqueName="[PT Q1 1].[Column2].[All]" allUniqueName="[PT Q1 1].[Column2].[All]" dimensionUniqueName="[PT Q1 1]" displayFolder="" count="0" memberValueDatatype="130" unbalanced="0"/>
    <cacheHierarchy uniqueName="[PT Q1 1].[Asthma/lung disease3]" caption="Asthma/lung disease3" attribute="1" defaultMemberUniqueName="[PT Q1 1].[Asthma/lung disease3].[All]" allUniqueName="[PT Q1 1].[Asthma/lung disease3].[All]" dimensionUniqueName="[PT Q1 1]" displayFolder="" count="0" memberValueDatatype="5" unbalanced="0"/>
    <cacheHierarchy uniqueName="[PT Q1 1].[Cancer4]" caption="Cancer4" attribute="1" defaultMemberUniqueName="[PT Q1 1].[Cancer4].[All]" allUniqueName="[PT Q1 1].[Cancer4].[All]" dimensionUniqueName="[PT Q1 1]" displayFolder="" count="0" memberValueDatatype="5" unbalanced="0"/>
    <cacheHierarchy uniqueName="[PT Q1 1].[Heart disease &amp; stroke5]" caption="Heart disease &amp; stroke5" attribute="1" defaultMemberUniqueName="[PT Q1 1].[Heart disease &amp; stroke5].[All]" allUniqueName="[PT Q1 1].[Heart disease &amp; stroke5].[All]" dimensionUniqueName="[PT Q1 1]" displayFolder="" count="0" memberValueDatatype="5" unbalanced="0"/>
    <cacheHierarchy uniqueName="[PT Q1 1].[Safety6]" caption="Safety6" attribute="1" defaultMemberUniqueName="[PT Q1 1].[Safety6].[All]" allUniqueName="[PT Q1 1].[Safety6].[All]" dimensionUniqueName="[PT Q1 1]" displayFolder="" count="0" memberValueDatatype="5" unbalanced="0"/>
    <cacheHierarchy uniqueName="[PT Q1 1].[HIV/AIDS &amp; Sexually Transmitted Diseases (STDs)7]" caption="HIV/AIDS &amp; Sexually Transmitted Diseases (STDs)7" attribute="1" defaultMemberUniqueName="[PT Q1 1].[HIV/AIDS &amp; Sexually Transmitted Diseases (STDs)7].[All]" allUniqueName="[PT Q1 1].[HIV/AIDS &amp; Sexually Transmitted Diseases (STDs)7].[All]" dimensionUniqueName="[PT Q1 1]" displayFolder="" count="0" memberValueDatatype="5" unbalanced="0"/>
    <cacheHierarchy uniqueName="[PT Q1 1].[Vaccine preventable diseases8]" caption="Vaccine preventable diseases8" attribute="1" defaultMemberUniqueName="[PT Q1 1].[Vaccine preventable diseases8].[All]" allUniqueName="[PT Q1 1].[Vaccine preventable diseases8].[All]" dimensionUniqueName="[PT Q1 1]" displayFolder="" count="0" memberValueDatatype="5" unbalanced="0"/>
    <cacheHierarchy uniqueName="[PT Q1 1].[Child health &amp; wellness9]" caption="Child health &amp; wellness9" attribute="1" defaultMemberUniqueName="[PT Q1 1].[Child health &amp; wellness9].[All]" allUniqueName="[PT Q1 1].[Child health &amp; wellness9].[All]" dimensionUniqueName="[PT Q1 1]" displayFolder="" count="0" memberValueDatatype="5" unbalanced="0"/>
    <cacheHierarchy uniqueName="[PT Q1 1].[Women’s health &amp; wellness10]" caption="Women’s health &amp; wellness10" attribute="1" defaultMemberUniqueName="[PT Q1 1].[Women’s health &amp; wellness10].[All]" allUniqueName="[PT Q1 1].[Women’s health &amp; wellness10].[All]" dimensionUniqueName="[PT Q1 1]" displayFolder="" count="0" memberValueDatatype="5" unbalanced="0"/>
    <cacheHierarchy uniqueName="[PT Q1 1].[Diabetes11]" caption="Diabetes11" attribute="1" defaultMemberUniqueName="[PT Q1 1].[Diabetes11].[All]" allUniqueName="[PT Q1 1].[Diabetes11].[All]" dimensionUniqueName="[PT Q1 1]" displayFolder="" count="0" memberValueDatatype="5" unbalanced="0"/>
    <cacheHierarchy uniqueName="[PT Q1 1].[Mental health depression/suicide12]" caption="Mental health depression/suicide12" attribute="1" defaultMemberUniqueName="[PT Q1 1].[Mental health depression/suicide12].[All]" allUniqueName="[PT Q1 1].[Mental health depression/suicide12].[All]" dimensionUniqueName="[PT Q1 1]" displayFolder="" count="0" memberValueDatatype="5" unbalanced="0"/>
    <cacheHierarchy uniqueName="[PT Q1 1].[Drugs &amp; alcohol abuse13]" caption="Drugs &amp; alcohol abuse13" attribute="1" defaultMemberUniqueName="[PT Q1 1].[Drugs &amp; alcohol abuse13].[All]" allUniqueName="[PT Q1 1].[Drugs &amp; alcohol abuse13].[All]" dimensionUniqueName="[PT Q1 1]" displayFolder="" count="0" memberValueDatatype="5" unbalanced="0"/>
    <cacheHierarchy uniqueName="[PT Q1 1].[Environmental hazards14]" caption="Environmental hazards14" attribute="1" defaultMemberUniqueName="[PT Q1 1].[Environmental hazards14].[All]" allUniqueName="[PT Q1 1].[Environmental hazards14].[All]" dimensionUniqueName="[PT Q1 1]" displayFolder="" count="0" memberValueDatatype="5" unbalanced="0"/>
    <cacheHierarchy uniqueName="[PT Q1 1].[Obesity/weight loss issues15]" caption="Obesity/weight loss issues15" attribute="1" defaultMemberUniqueName="[PT Q1 1].[Obesity/weight loss issues15].[All]" allUniqueName="[PT Q1 1].[Obesity/weight loss issues15].[All]" dimensionUniqueName="[PT Q1 1]" displayFolder="" count="0" memberValueDatatype="5" unbalanced="0"/>
    <cacheHierarchy uniqueName="[PT Q1 1].[Column3]" caption="Column3" attribute="1" defaultMemberUniqueName="[PT Q1 1].[Column3].[All]" allUniqueName="[PT Q1 1].[Column3].[All]" dimensionUniqueName="[PT Q1 1]" displayFolder="" count="0" memberValueDatatype="130" unbalanced="0"/>
    <cacheHierarchy uniqueName="[PT Q1 1].[Column4]" caption="Column4" attribute="1" defaultMemberUniqueName="[PT Q1 1].[Column4].[All]" allUniqueName="[PT Q1 1].[Column4].[All]" dimensionUniqueName="[PT Q1 1]" displayFolder="" count="0" memberValueDatatype="130" unbalanced="0"/>
    <cacheHierarchy uniqueName="[PT Q1 1].[Observed]" caption="Observed" attribute="1" defaultMemberUniqueName="[PT Q1 1].[Observed].[All]" allUniqueName="[PT Q1 1].[Observed].[All]" dimensionUniqueName="[PT Q1 1]" displayFolder="" count="0" memberValueDatatype="5" unbalanced="0"/>
    <cacheHierarchy uniqueName="[PT Q1 1].[Expected]" caption="Expected" attribute="1" defaultMemberUniqueName="[PT Q1 1].[Expected].[All]" allUniqueName="[PT Q1 1].[Expected].[All]" dimensionUniqueName="[PT Q1 1]" displayFolder="" count="0" memberValueDatatype="20" unbalanced="0"/>
    <cacheHierarchy uniqueName="[PT Q1 1].[Column18]" caption="Column18" attribute="1" defaultMemberUniqueName="[PT Q1 1].[Column18].[All]" allUniqueName="[PT Q1 1].[Column18].[All]" dimensionUniqueName="[PT Q1 1]" displayFolder="" count="0" memberValueDatatype="130" unbalanced="0"/>
    <cacheHierarchy uniqueName="[PT Q1 1].[Column5]" caption="Column5" attribute="1" defaultMemberUniqueName="[PT Q1 1].[Column5].[All]" allUniqueName="[PT Q1 1].[Column5].[All]" dimensionUniqueName="[PT Q1 1]" displayFolder="" count="0" memberValueDatatype="130" unbalanced="0"/>
    <cacheHierarchy uniqueName="[PT Q1 1].[I identify as:]" caption="I identify as:" attribute="1" defaultMemberUniqueName="[PT Q1 1].[I identify as:].[All]" allUniqueName="[PT Q1 1].[I identify as:].[All]" dimensionUniqueName="[PT Q1 1]" displayFolder="" count="0" memberValueDatatype="130" unbalanced="0"/>
    <cacheHierarchy uniqueName="[PT Q1 1].[What is your age?]" caption="What is your age?" attribute="1" defaultMemberUniqueName="[PT Q1 1].[What is your age?].[All]" allUniqueName="[PT Q1 1].[What is your age?].[All]" dimensionUniqueName="[PT Q1 1]" displayFolder="" count="0" memberValueDatatype="20" unbalanced="0"/>
    <cacheHierarchy uniqueName="[PT Q1 1].[County where you live:]" caption="County where you live:" attribute="1" defaultMemberUniqueName="[PT Q1 1].[County where you live:].[All]" allUniqueName="[PT Q1 1].[County where you live:].[All]" dimensionUniqueName="[PT Q1 1]" displayFolder="" count="0" memberValueDatatype="130" unbalanced="0"/>
    <cacheHierarchy uniqueName="[PT Q1 1].[Town and ZIP code where you live:]" caption="Town and ZIP code where you live:" attribute="1" defaultMemberUniqueName="[PT Q1 1].[Town and ZIP code where you live:].[All]" allUniqueName="[PT Q1 1].[Town and ZIP code where you live:].[All]" dimensionUniqueName="[PT Q1 1]" displayFolder="" count="0" memberValueDatatype="130" unbalanced="0"/>
    <cacheHierarchy uniqueName="[PT Q1 1].[What race do you consider yourself?]" caption="What race do you consider yourself?" attribute="1" defaultMemberUniqueName="[PT Q1 1].[What race do you consider yourself?].[All]" allUniqueName="[PT Q1 1].[What race do you consider yourself?].[All]" dimensionUniqueName="[PT Q1 1]" displayFolder="" count="0" memberValueDatatype="130" unbalanced="0"/>
    <cacheHierarchy uniqueName="[PT Q1 1].[Are you Hispanic or Latino?]" caption="Are you Hispanic or Latino?" attribute="1" defaultMemberUniqueName="[PT Q1 1].[Are you Hispanic or Latino?].[All]" allUniqueName="[PT Q1 1].[Are you Hispanic or Latino?].[All]" dimensionUniqueName="[PT Q1 1]" displayFolder="" count="0" memberValueDatatype="130" unbalanced="0"/>
    <cacheHierarchy uniqueName="[PT Q1 1].[What language do you speak when you are at home (select all that apply)]" caption="What language do you speak when you are at home (select all that apply)" attribute="1" defaultMemberUniqueName="[PT Q1 1].[What language do you speak when you are at home (select all that apply)].[All]" allUniqueName="[PT Q1 1].[What language do you speak when you are at home (select all that apply)].[All]" dimensionUniqueName="[PT Q1 1]" displayFolder="" count="0" memberValueDatatype="130" unbalanced="0"/>
    <cacheHierarchy uniqueName="[PT Q1 1].[What is your annual household income from all sources?]" caption="What is your annual household income from all sources?" attribute="1" defaultMemberUniqueName="[PT Q1 1].[What is your annual household income from all sources?].[All]" allUniqueName="[PT Q1 1].[What is your annual household income from all sources?].[All]" dimensionUniqueName="[PT Q1 1]" displayFolder="" count="0" memberValueDatatype="130" unbalanced="0"/>
    <cacheHierarchy uniqueName="[PT Q1 1].[What is your highest level of education?]" caption="What is your highest level of education?" attribute="1" defaultMemberUniqueName="[PT Q1 1].[What is your highest level of education?].[All]" allUniqueName="[PT Q1 1].[What is your highest level of education?].[All]" dimensionUniqueName="[PT Q1 1]" displayFolder="" count="0" memberValueDatatype="130" unbalanced="0"/>
    <cacheHierarchy uniqueName="[PT Q1 1].[What is your current employment status?]" caption="What is your current employment status?" attribute="1" defaultMemberUniqueName="[PT Q1 1].[What is your current employment status?].[All]" allUniqueName="[PT Q1 1].[What is your current employment status?].[All]" dimensionUniqueName="[PT Q1 1]" displayFolder="" count="0" memberValueDatatype="130" unbalanced="0"/>
    <cacheHierarchy uniqueName="[PT Q1 1].[Do you currently have health insurance?]" caption="Do you currently have health insurance?" attribute="1" defaultMemberUniqueName="[PT Q1 1].[Do you currently have health insurance?].[All]" allUniqueName="[PT Q1 1].[Do you currently have health insurance?].[All]" dimensionUniqueName="[PT Q1 1]" displayFolder="" count="0" memberValueDatatype="130" unbalanced="0"/>
    <cacheHierarchy uniqueName="[PT Q1 1].[What type of insurance do you have?]" caption="What type of insurance do you have?" attribute="1" defaultMemberUniqueName="[PT Q1 1].[What type of insurance do you have?].[All]" allUniqueName="[PT Q1 1].[What type of insurance do you have?].[All]" dimensionUniqueName="[PT Q1 1]" displayFolder="" count="0" memberValueDatatype="130" unbalanced="0"/>
    <cacheHierarchy uniqueName="[PT Q1 1].[Do you have access to reliable internet in your home?]" caption="Do you have access to reliable internet in your home?" attribute="1" defaultMemberUniqueName="[PT Q1 1].[Do you have access to reliable internet in your home?].[All]" allUniqueName="[PT Q1 1].[Do you have access to reliable internet in your home?].[All]" dimensionUniqueName="[PT Q1 1]" displayFolder="" count="0" memberValueDatatype="130" unbalanced="0"/>
    <cacheHierarchy uniqueName="[PT Q1 1].[Female Flag]" caption="Female Flag" attribute="1" defaultMemberUniqueName="[PT Q1 1].[Female Flag].[All]" allUniqueName="[PT Q1 1].[Female Flag].[All]" dimensionUniqueName="[PT Q1 1]" displayFolder="" count="0" memberValueDatatype="20" unbalanced="0"/>
    <cacheHierarchy uniqueName="[PT Q1 1].[Male Flag]" caption="Male Flag" attribute="1" defaultMemberUniqueName="[PT Q1 1].[Male Flag].[All]" allUniqueName="[PT Q1 1].[Male Flag].[All]" dimensionUniqueName="[PT Q1 1]" displayFolder="" count="0" memberValueDatatype="20" unbalanced="0"/>
    <cacheHierarchy uniqueName="[PT Q1 1].[Other Flag]" caption="Other Flag" attribute="1" defaultMemberUniqueName="[PT Q1 1].[Other Flag].[All]" allUniqueName="[PT Q1 1].[Other Flag].[All]" dimensionUniqueName="[PT Q1 1]" displayFolder="" count="0" memberValueDatatype="20" unbalanced="0"/>
    <cacheHierarchy uniqueName="[PT Q1 1].[Hispanic Flag]" caption="Hispanic Flag" attribute="1" defaultMemberUniqueName="[PT Q1 1].[Hispanic Flag].[All]" allUniqueName="[PT Q1 1].[Hispanic Flag].[All]" dimensionUniqueName="[PT Q1 1]" displayFolder="" count="0" memberValueDatatype="20" unbalanced="0"/>
    <cacheHierarchy uniqueName="[PT Q1 1].[White/Caucasian Flag]" caption="White/Caucasian Flag" attribute="1" defaultMemberUniqueName="[PT Q1 1].[White/Caucasian Flag].[All]" allUniqueName="[PT Q1 1].[White/Caucasian Flag].[All]" dimensionUniqueName="[PT Q1 1]" displayFolder="" count="0" memberValueDatatype="20" unbalanced="0"/>
    <cacheHierarchy uniqueName="[PT Q1 1].[Black/African American Flag]" caption="Black/African American Flag" attribute="1" defaultMemberUniqueName="[PT Q1 1].[Black/African American Flag].[All]" allUniqueName="[PT Q1 1].[Black/African American Flag].[All]" dimensionUniqueName="[PT Q1 1]" displayFolder="" count="0" memberValueDatatype="20" unbalanced="0"/>
    <cacheHierarchy uniqueName="[PT Q1 1].[Asian/Pacific Islander Flag]" caption="Asian/Pacific Islander Flag" attribute="1" defaultMemberUniqueName="[PT Q1 1].[Asian/Pacific Islander Flag].[All]" allUniqueName="[PT Q1 1].[Asian/Pacific Islander Flag].[All]" dimensionUniqueName="[PT Q1 1]" displayFolder="" count="0" memberValueDatatype="20" unbalanced="0"/>
    <cacheHierarchy uniqueName="[PT Q1 1].[Native American Flag]" caption="Native American Flag" attribute="1" defaultMemberUniqueName="[PT Q1 1].[Native American Flag].[All]" allUniqueName="[PT Q1 1].[Native American Flag].[All]" dimensionUniqueName="[PT Q1 1]" displayFolder="" count="0" memberValueDatatype="20" unbalanced="0"/>
    <cacheHierarchy uniqueName="[PT Q1 1].[Multi-racial Flag]" caption="Multi-racial Flag" attribute="1" defaultMemberUniqueName="[PT Q1 1].[Multi-racial Flag].[All]" allUniqueName="[PT Q1 1].[Multi-racial Flag].[All]" dimensionUniqueName="[PT Q1 1]" displayFolder="" count="0" memberValueDatatype="20" unbalanced="0"/>
    <cacheHierarchy uniqueName="[PT Q1 1].[Other Race Flag]" caption="Other Race Flag" attribute="1" defaultMemberUniqueName="[PT Q1 1].[Other Race Flag].[All]" allUniqueName="[PT Q1 1].[Other Race Flag].[All]" dimensionUniqueName="[PT Q1 1]" displayFolder="" count="0" memberValueDatatype="20" unbalanced="0"/>
    <cacheHierarchy uniqueName="[PT Q1 1].[$0-$19,999 Flag]" caption="$0-$19,999 Flag" attribute="1" defaultMemberUniqueName="[PT Q1 1].[$0-$19,999 Flag].[All]" allUniqueName="[PT Q1 1].[$0-$19,999 Flag].[All]" dimensionUniqueName="[PT Q1 1]" displayFolder="" count="0" memberValueDatatype="20" unbalanced="0"/>
    <cacheHierarchy uniqueName="[PT Q1 1].[$20,000 to $34,999 Flag]" caption="$20,000 to $34,999 Flag" attribute="1" defaultMemberUniqueName="[PT Q1 1].[$20,000 to $34,999 Flag].[All]" allUniqueName="[PT Q1 1].[$20,000 to $34,999 Flag].[All]" dimensionUniqueName="[PT Q1 1]" displayFolder="" count="0" memberValueDatatype="20" unbalanced="0"/>
    <cacheHierarchy uniqueName="[PT Q1 1].[$35,000 to $49,999 Flag]" caption="$35,000 to $49,999 Flag" attribute="1" defaultMemberUniqueName="[PT Q1 1].[$35,000 to $49,999 Flag].[All]" allUniqueName="[PT Q1 1].[$35,000 to $49,999 Flag].[All]" dimensionUniqueName="[PT Q1 1]" displayFolder="" count="0" memberValueDatatype="20" unbalanced="0"/>
    <cacheHierarchy uniqueName="[PT Q1 1].[$50,000 to $74,999 Flag]" caption="$50,000 to $74,999 Flag" attribute="1" defaultMemberUniqueName="[PT Q1 1].[$50,000 to $74,999 Flag].[All]" allUniqueName="[PT Q1 1].[$50,000 to $74,999 Flag].[All]" dimensionUniqueName="[PT Q1 1]" displayFolder="" count="0" memberValueDatatype="20" unbalanced="0"/>
    <cacheHierarchy uniqueName="[PT Q1 1].[$75,000 to $125,000 Flag]" caption="$75,000 to $125,000 Flag" attribute="1" defaultMemberUniqueName="[PT Q1 1].[$75,000 to $125,000 Flag].[All]" allUniqueName="[PT Q1 1].[$75,000 to $125,000 Flag].[All]" dimensionUniqueName="[PT Q1 1]" displayFolder="" count="0" memberValueDatatype="20" unbalanced="0"/>
    <cacheHierarchy uniqueName="[PT Q1 1].[Over $125,000 Flag]" caption="Over $125,000 Flag" attribute="1" defaultMemberUniqueName="[PT Q1 1].[Over $125,000 Flag].[All]" allUniqueName="[PT Q1 1].[Over $125,000 Flag].[All]" dimensionUniqueName="[PT Q1 1]" displayFolder="" count="0" memberValueDatatype="20" unbalanced="0"/>
    <cacheHierarchy uniqueName="[PT Q1 1].[18-24 Flag]" caption="18-24 Flag" attribute="1" defaultMemberUniqueName="[PT Q1 1].[18-24 Flag].[All]" allUniqueName="[PT Q1 1].[18-24 Flag].[All]" dimensionUniqueName="[PT Q1 1]" displayFolder="" count="0" memberValueDatatype="20" unbalanced="0"/>
    <cacheHierarchy uniqueName="[PT Q1 1].[25-34 Flag]" caption="25-34 Flag" attribute="1" defaultMemberUniqueName="[PT Q1 1].[25-34 Flag].[All]" allUniqueName="[PT Q1 1].[25-34 Flag].[All]" dimensionUniqueName="[PT Q1 1]" displayFolder="" count="0" memberValueDatatype="20" unbalanced="0"/>
    <cacheHierarchy uniqueName="[PT Q1 1].[35-44 Flag]" caption="35-44 Flag" attribute="1" defaultMemberUniqueName="[PT Q1 1].[35-44 Flag].[All]" allUniqueName="[PT Q1 1].[35-44 Flag].[All]" dimensionUniqueName="[PT Q1 1]" displayFolder="" count="0" memberValueDatatype="20" unbalanced="0"/>
    <cacheHierarchy uniqueName="[PT Q1 1].[45-54 Flag]" caption="45-54 Flag" attribute="1" defaultMemberUniqueName="[PT Q1 1].[45-54 Flag].[All]" allUniqueName="[PT Q1 1].[45-54 Flag].[All]" dimensionUniqueName="[PT Q1 1]" displayFolder="" count="0" memberValueDatatype="20" unbalanced="0"/>
    <cacheHierarchy uniqueName="[PT Q1 1].[55-64 Flag]" caption="55-64 Flag" attribute="1" defaultMemberUniqueName="[PT Q1 1].[55-64 Flag].[All]" allUniqueName="[PT Q1 1].[55-64 Flag].[All]" dimensionUniqueName="[PT Q1 1]" displayFolder="" count="0" memberValueDatatype="20" unbalanced="0"/>
    <cacheHierarchy uniqueName="[PT Q1 1].[65+ Flag]" caption="65+ Flag" attribute="1" defaultMemberUniqueName="[PT Q1 1].[65+ Flag].[All]" allUniqueName="[PT Q1 1].[65+ Flag].[All]" dimensionUniqueName="[PT Q1 1]" displayFolder="" count="0" memberValueDatatype="20" unbalanced="0"/>
    <cacheHierarchy uniqueName="[PT Q1 1].[K-8th Flag]" caption="K-8th Flag" attribute="1" defaultMemberUniqueName="[PT Q1 1].[K-8th Flag].[All]" allUniqueName="[PT Q1 1].[K-8th Flag].[All]" dimensionUniqueName="[PT Q1 1]" displayFolder="" count="0" memberValueDatatype="20" unbalanced="0"/>
    <cacheHierarchy uniqueName="[PT Q1 1].[Some high school Flag]" caption="Some high school Flag" attribute="1" defaultMemberUniqueName="[PT Q1 1].[Some high school Flag].[All]" allUniqueName="[PT Q1 1].[Some high school Flag].[All]" dimensionUniqueName="[PT Q1 1]" displayFolder="" count="0" memberValueDatatype="20" unbalanced="0"/>
    <cacheHierarchy uniqueName="[PT Q1 1].[High school graduate Flag]" caption="High school graduate Flag" attribute="1" defaultMemberUniqueName="[PT Q1 1].[High school graduate Flag].[All]" allUniqueName="[PT Q1 1].[High school graduate Flag].[All]" dimensionUniqueName="[PT Q1 1]" displayFolder="" count="0" memberValueDatatype="20" unbalanced="0"/>
    <cacheHierarchy uniqueName="[PT Q1 1].[Technical school Flag]" caption="Technical school Flag" attribute="1" defaultMemberUniqueName="[PT Q1 1].[Technical school Flag].[All]" allUniqueName="[PT Q1 1].[Technical school Flag].[All]" dimensionUniqueName="[PT Q1 1]" displayFolder="" count="0" memberValueDatatype="20" unbalanced="0"/>
    <cacheHierarchy uniqueName="[PT Q1 1].[Some college Flag]" caption="Some college Flag" attribute="1" defaultMemberUniqueName="[PT Q1 1].[Some college Flag].[All]" allUniqueName="[PT Q1 1].[Some college Flag].[All]" dimensionUniqueName="[PT Q1 1]" displayFolder="" count="0" memberValueDatatype="20" unbalanced="0"/>
    <cacheHierarchy uniqueName="[PT Q1 1].[College graduate Flag]" caption="College graduate Flag" attribute="1" defaultMemberUniqueName="[PT Q1 1].[College graduate Flag].[All]" allUniqueName="[PT Q1 1].[College graduate Flag].[All]" dimensionUniqueName="[PT Q1 1]" displayFolder="" count="0" memberValueDatatype="20" unbalanced="0"/>
    <cacheHierarchy uniqueName="[PT Q1 1].[Graduate school Flag]" caption="Graduate school Flag" attribute="1" defaultMemberUniqueName="[PT Q1 1].[Graduate school Flag].[All]" allUniqueName="[PT Q1 1].[Graduate school Flag].[All]" dimensionUniqueName="[PT Q1 1]" displayFolder="" count="0" memberValueDatatype="20" unbalanced="0"/>
    <cacheHierarchy uniqueName="[PT Q1 1].[Doctorate Flag]" caption="Doctorate Flag" attribute="1" defaultMemberUniqueName="[PT Q1 1].[Doctorate Flag].[All]" allUniqueName="[PT Q1 1].[Doctorate Flag].[All]" dimensionUniqueName="[PT Q1 1]" displayFolder="" count="0" memberValueDatatype="20" unbalanced="0"/>
    <cacheHierarchy uniqueName="[PT Q1 1].[GED Flag]" caption="GED Flag" attribute="1" defaultMemberUniqueName="[PT Q1 1].[GED Flag].[All]" allUniqueName="[PT Q1 1].[GED Flag].[All]" dimensionUniqueName="[PT Q1 1]" displayFolder="" count="0" memberValueDatatype="20" unbalanced="0"/>
    <cacheHierarchy uniqueName="[PT Q1 1].[None Flag]" caption="None Flag" attribute="1" defaultMemberUniqueName="[PT Q1 1].[None Flag].[All]" allUniqueName="[PT Q1 1].[None Flag].[All]" dimensionUniqueName="[PT Q1 1]" displayFolder="" count="0" memberValueDatatype="20" unbalanced="0"/>
    <cacheHierarchy uniqueName="[PT Q1 1].[Employed for Wages Flag]" caption="Employed for Wages Flag" attribute="1" defaultMemberUniqueName="[PT Q1 1].[Employed for Wages Flag].[All]" allUniqueName="[PT Q1 1].[Employed for Wages Flag].[All]" dimensionUniqueName="[PT Q1 1]" displayFolder="" count="0" memberValueDatatype="20" unbalanced="0"/>
    <cacheHierarchy uniqueName="[PT Q1 1].[Self-employed Flag]" caption="Self-employed Flag" attribute="1" defaultMemberUniqueName="[PT Q1 1].[Self-employed Flag].[All]" allUniqueName="[PT Q1 1].[Self-employed Flag].[All]" dimensionUniqueName="[PT Q1 1]" displayFolder="" count="0" memberValueDatatype="20" unbalanced="0"/>
    <cacheHierarchy uniqueName="[PT Q1 1].[Student Flag]" caption="Student Flag" attribute="1" defaultMemberUniqueName="[PT Q1 1].[Student Flag].[All]" allUniqueName="[PT Q1 1].[Student Flag].[All]" dimensionUniqueName="[PT Q1 1]" displayFolder="" count="0" memberValueDatatype="20" unbalanced="0"/>
    <cacheHierarchy uniqueName="[PT Q1 1].[Retired Flag]" caption="Retired Flag" attribute="1" defaultMemberUniqueName="[PT Q1 1].[Retired Flag].[All]" allUniqueName="[PT Q1 1].[Retired Flag].[All]" dimensionUniqueName="[PT Q1 1]" displayFolder="" count="0" memberValueDatatype="20" unbalanced="0"/>
    <cacheHierarchy uniqueName="[PT Q1 1].[Military Flag]" caption="Military Flag" attribute="1" defaultMemberUniqueName="[PT Q1 1].[Military Flag].[All]" allUniqueName="[PT Q1 1].[Military Flag].[All]" dimensionUniqueName="[PT Q1 1]" displayFolder="" count="0" memberValueDatatype="20" unbalanced="0"/>
    <cacheHierarchy uniqueName="[PT Q1 1].[Out of work and looking for work Flag]" caption="Out of work and looking for work Flag" attribute="1" defaultMemberUniqueName="[PT Q1 1].[Out of work and looking for work Flag].[All]" allUniqueName="[PT Q1 1].[Out of work and looking for work Flag].[All]" dimensionUniqueName="[PT Q1 1]" displayFolder="" count="0" memberValueDatatype="20" unbalanced="0"/>
    <cacheHierarchy uniqueName="[PT Q1 1].[Out of work, but not currently looking Flag]" caption="Out of work, but not currently looking Flag" attribute="1" defaultMemberUniqueName="[PT Q1 1].[Out of work, but not currently looking Flag].[All]" allUniqueName="[PT Q1 1].[Out of work, but not currently looking Flag].[All]" dimensionUniqueName="[PT Q1 1]" displayFolder="" count="0" memberValueDatatype="20" unbalanced="0"/>
    <cacheHierarchy uniqueName="[PT Q1 1].[Currently Insured Flag]" caption="Currently Insured Flag" attribute="1" defaultMemberUniqueName="[PT Q1 1].[Currently Insured Flag].[All]" allUniqueName="[PT Q1 1].[Currently Insured Flag].[All]" dimensionUniqueName="[PT Q1 1]" displayFolder="" count="0" memberValueDatatype="20" unbalanced="0"/>
    <cacheHierarchy uniqueName="[PT Q1 1].[Previously Insured Flag]" caption="Previously Insured Flag" attribute="1" defaultMemberUniqueName="[PT Q1 1].[Previously Insured Flag].[All]" allUniqueName="[PT Q1 1].[Previously Insured Flag].[All]" dimensionUniqueName="[PT Q1 1]" displayFolder="" count="0" memberValueDatatype="20" unbalanced="0"/>
    <cacheHierarchy uniqueName="[PT Q1 1].[Not Insured Flag]" caption="Not Insured Flag" attribute="1" defaultMemberUniqueName="[PT Q1 1].[Not Insured Flag].[All]" allUniqueName="[PT Q1 1].[Not Insured Flag].[All]" dimensionUniqueName="[PT Q1 1]" displayFolder="" count="0" memberValueDatatype="20" unbalanced="0"/>
    <cacheHierarchy uniqueName="[PT Q1 1].[Medicaid Flag]" caption="Medicaid Flag" attribute="1" defaultMemberUniqueName="[PT Q1 1].[Medicaid Flag].[All]" allUniqueName="[PT Q1 1].[Medicaid Flag].[All]" dimensionUniqueName="[PT Q1 1]" displayFolder="" count="0" memberValueDatatype="20" unbalanced="0"/>
    <cacheHierarchy uniqueName="[PT Q1 1].[Medicaid,Medicare Flag]" caption="Medicaid,Medicare Flag" attribute="1" defaultMemberUniqueName="[PT Q1 1].[Medicaid,Medicare Flag].[All]" allUniqueName="[PT Q1 1].[Medicaid,Medicare Flag].[All]" dimensionUniqueName="[PT Q1 1]" displayFolder="" count="0" memberValueDatatype="20" unbalanced="0"/>
    <cacheHierarchy uniqueName="[PT Q1 1].[Medicaid,Medicare,Private/Commercial Flag]" caption="Medicaid,Medicare,Private/Commercial Flag" attribute="1" defaultMemberUniqueName="[PT Q1 1].[Medicaid,Medicare,Private/Commercial Flag].[All]" allUniqueName="[PT Q1 1].[Medicaid,Medicare,Private/Commercial Flag].[All]" dimensionUniqueName="[PT Q1 1]" displayFolder="" count="0" memberValueDatatype="20" unbalanced="0"/>
    <cacheHierarchy uniqueName="[PT Q1 1].[Medicaid,Private/Commercial Flag]" caption="Medicaid,Private/Commercial Flag" attribute="1" defaultMemberUniqueName="[PT Q1 1].[Medicaid,Private/Commercial Flag].[All]" allUniqueName="[PT Q1 1].[Medicaid,Private/Commercial Flag].[All]" dimensionUniqueName="[PT Q1 1]" displayFolder="" count="0" memberValueDatatype="20" unbalanced="0"/>
    <cacheHierarchy uniqueName="[PT Q1 1].[Medicare Flag]" caption="Medicare Flag" attribute="1" defaultMemberUniqueName="[PT Q1 1].[Medicare Flag].[All]" allUniqueName="[PT Q1 1].[Medicare Flag].[All]" dimensionUniqueName="[PT Q1 1]" displayFolder="" count="0" memberValueDatatype="20" unbalanced="0"/>
    <cacheHierarchy uniqueName="[PT Q1 1].[Medicare,No Insurance Flag]" caption="Medicare,No Insurance Flag" attribute="1" defaultMemberUniqueName="[PT Q1 1].[Medicare,No Insurance Flag].[All]" allUniqueName="[PT Q1 1].[Medicare,No Insurance Flag].[All]" dimensionUniqueName="[PT Q1 1]" displayFolder="" count="0" memberValueDatatype="20" unbalanced="0"/>
    <cacheHierarchy uniqueName="[PT Q1 1].[Medicare,Private/Commercial Flag]" caption="Medicare,Private/Commercial Flag" attribute="1" defaultMemberUniqueName="[PT Q1 1].[Medicare,Private/Commercial Flag].[All]" allUniqueName="[PT Q1 1].[Medicare,Private/Commercial Flag].[All]" dimensionUniqueName="[PT Q1 1]" displayFolder="" count="0" memberValueDatatype="20" unbalanced="0"/>
    <cacheHierarchy uniqueName="[PT Q1 1].[No Insurance Flag]" caption="No Insurance Flag" attribute="1" defaultMemberUniqueName="[PT Q1 1].[No Insurance Flag].[All]" allUniqueName="[PT Q1 1].[No Insurance Flag].[All]" dimensionUniqueName="[PT Q1 1]" displayFolder="" count="0" memberValueDatatype="20" unbalanced="0"/>
    <cacheHierarchy uniqueName="[PT Q1 1].[Private/Commercial Flag]" caption="Private/Commercial Flag" attribute="1" defaultMemberUniqueName="[PT Q1 1].[Private/Commercial Flag].[All]" allUniqueName="[PT Q1 1].[Private/Commercial Flag].[All]" dimensionUniqueName="[PT Q1 1]" displayFolder="" count="0" memberValueDatatype="20" unbalanced="0"/>
    <cacheHierarchy uniqueName="[PT Q1 1].[Reliable Internet Flag]" caption="Reliable Internet Flag" attribute="1" defaultMemberUniqueName="[PT Q1 1].[Reliable Internet Flag].[All]" allUniqueName="[PT Q1 1].[Reliable Internet Flag].[All]" dimensionUniqueName="[PT Q1 1]" displayFolder="" count="0" memberValueDatatype="2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OTHER]" caption="OTHER" attribute="1" defaultMemberUniqueName="[PT Q2].[OTHER].[All]" allUniqueName="[PT Q2].[OTHER].[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5"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2" memberValueDatatype="130" unbalanced="0">
      <fieldsUsage count="2">
        <fieldUsage x="-1"/>
        <fieldUsage x="16"/>
      </fieldsUsage>
    </cacheHierarchy>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2" memberValueDatatype="130" unbalanced="0">
      <fieldsUsage count="2">
        <fieldUsage x="-1"/>
        <fieldUsage x="15"/>
      </fieldsUsage>
    </cacheHierarchy>
    <cacheHierarchy uniqueName="[PT Q2].[Town and ZIP code where you live:]" caption="Town and ZIP code where you live:" attribute="1" defaultMemberUniqueName="[PT Q2].[Town and ZIP code where you live:].[All]" allUniqueName="[PT Q2].[Town and ZIP code where you live:].[All]" dimensionUniqueName="[PT Q2]" displayFolder="" count="2" memberValueDatatype="130" unbalanced="0">
      <fieldsUsage count="2">
        <fieldUsage x="-1"/>
        <fieldUsage x="1"/>
      </fieldsUsage>
    </cacheHierarchy>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2" memberValueDatatype="130" unbalanced="0">
      <fieldsUsage count="2">
        <fieldUsage x="-1"/>
        <fieldUsage x="21"/>
      </fieldsUsage>
    </cacheHierarchy>
    <cacheHierarchy uniqueName="[PT Q2].[Are you Hispanic or Latino?]" caption="Are you Hispanic or Latino?" attribute="1" defaultMemberUniqueName="[PT Q2].[Are you Hispanic or Latino?].[All]" allUniqueName="[PT Q2].[Are you Hispanic or Latino?].[All]" dimensionUniqueName="[PT Q2]" displayFolder="" count="2" memberValueDatatype="130" unbalanced="0">
      <fieldsUsage count="2">
        <fieldUsage x="-1"/>
        <fieldUsage x="17"/>
      </fieldsUsage>
    </cacheHierarchy>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2" memberValueDatatype="130" unbalanced="0">
      <fieldsUsage count="2">
        <fieldUsage x="-1"/>
        <fieldUsage x="18"/>
      </fieldsUsage>
    </cacheHierarchy>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2" memberValueDatatype="130" unbalanced="0">
      <fieldsUsage count="2">
        <fieldUsage x="-1"/>
        <fieldUsage x="20"/>
      </fieldsUsage>
    </cacheHierarchy>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2" memberValueDatatype="130" unbalanced="0">
      <fieldsUsage count="2">
        <fieldUsage x="-1"/>
        <fieldUsage x="19"/>
      </fieldsUsage>
    </cacheHierarchy>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2" memberValueDatatype="130" unbalanced="0">
      <fieldsUsage count="2">
        <fieldUsage x="-1"/>
        <fieldUsage x="22"/>
      </fieldsUsage>
    </cacheHierarchy>
    <cacheHierarchy uniqueName="[PT Q2].[What type of insurance do you have?]" caption="What type of insurance do you have?" attribute="1" defaultMemberUniqueName="[PT Q2].[What type of insurance do you have?].[All]" allUniqueName="[PT Q2].[What type of insurance do you have?].[All]" dimensionUniqueName="[PT Q2]" displayFolder="" count="0" memberValueDatatype="130" unbalanced="0"/>
    <cacheHierarchy uniqueName="[PT Q2].[Do you have access to reliable internet in your home?]" caption="Do you have access to reliable internet in your home?" attribute="1" defaultMemberUniqueName="[PT Q2].[Do you have access to reliable internet in your home?].[All]" allUniqueName="[PT Q2].[Do you have access to reliable internet in your hom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immigration status)]" caption="Fear (e.g. not ready to face/discuss health problem; immigration status)" attribute="1" defaultMemberUniqueName="[PT Q3].[Fear (e.g. not ready to face/discuss health problem; immigration status)].[All]" allUniqueName="[PT Q3].[Fear (e.g. not ready to face/discuss health problem; immigration status)].[All]" dimensionUniqueName="[PT Q3]" displayFolder="" count="0" memberValueDatatype="130" unbalanced="0"/>
    <cacheHierarchy uniqueName="[PT Q3].[OTHER]" caption="OTHER" attribute="1" defaultMemberUniqueName="[PT Q3].[OTHER].[All]" allUniqueName="[PT Q3].[OTHER].[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immigration status)14]" caption="Fear (e.g. not ready to face/discuss health problem;immigration status)14" attribute="1" defaultMemberUniqueName="[PT Q3].[Fear (e.g. not ready to face/discuss health problem;immigration status)14].[All]" allUniqueName="[PT Q3].[Fear (e.g. not ready to face/discuss health problem;immigration status)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What type of insurance do you have?]" caption="What type of insurance do you have?" attribute="1" defaultMemberUniqueName="[PT Q3].[What type of insurance do you have?].[All]" allUniqueName="[PT Q3].[What type of insurance do you have?].[All]" dimensionUniqueName="[PT Q3]" displayFolder="" count="0" memberValueDatatype="130" unbalanced="0"/>
    <cacheHierarchy uniqueName="[PT Q3].[Do you have access to reliable internet in your home?]" caption="Do you have access to reliable internet in your home?" attribute="1" defaultMemberUniqueName="[PT Q3].[Do you have access to reliable internet in your home?].[All]" allUniqueName="[PT Q3].[Do you have access to reliable internet in your hom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OTHER]" caption="OTHER" attribute="1" defaultMemberUniqueName="[PT Q4].[OTHER].[All]" allUniqueName="[PT Q4].[OTHER].[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What type of insurance do you have?]" caption="What type of insurance do you have?" attribute="1" defaultMemberUniqueName="[PT Q4].[What type of insurance do you have?].[All]" allUniqueName="[PT Q4].[What type of insurance do you have?].[All]" dimensionUniqueName="[PT Q4]" displayFolder="" count="0" memberValueDatatype="130" unbalanced="0"/>
    <cacheHierarchy uniqueName="[PT Q4].[Do you have access to reliable internet in your home?]" caption="Do you have access to reliable internet in your home?" attribute="1" defaultMemberUniqueName="[PT Q4].[Do you have access to reliable internet in your home?].[All]" allUniqueName="[PT Q4].[Do you have access to reliable internet in your hom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OTHER]" caption="OTHER" attribute="1" defaultMemberUniqueName="[PT Q5].[OTHER].[All]" allUniqueName="[PT Q5].[OTHER].[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What type of insurance do you have?]" caption="What type of insurance do you have?" attribute="1" defaultMemberUniqueName="[PT Q5].[What type of insurance do you have?].[All]" allUniqueName="[PT Q5].[What type of insurance do you have?].[All]" dimensionUniqueName="[PT Q5]" displayFolder="" count="0" memberValueDatatype="130" unbalanced="0"/>
    <cacheHierarchy uniqueName="[PT Q5].[Do you have access to reliable internet in your home?]" caption="Do you have access to reliable internet in your home?" attribute="1" defaultMemberUniqueName="[PT Q5].[Do you have access to reliable internet in your home?].[All]" allUniqueName="[PT Q5].[Do you have access to reliable internet in your hom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What type of insurance do you have?]" caption="What type of insurance do you have?" attribute="1" defaultMemberUniqueName="[PT Q6].[What type of insurance do you have?].[All]" allUniqueName="[PT Q6].[What type of insurance do you have?].[All]" dimensionUniqueName="[PT Q6]" displayFolder="" count="0" memberValueDatatype="130" unbalanced="0"/>
    <cacheHierarchy uniqueName="[PT Q6].[Do you have access to reliable internet in your home?]" caption="Do you have access to reliable internet in your home?" attribute="1" defaultMemberUniqueName="[PT Q6].[Do you have access to reliable internet in your home?].[All]" allUniqueName="[PT Q6].[Do you have access to reliable internet in your hom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198"/>
        </ext>
      </extLst>
    </cacheHierarchy>
    <cacheHierarchy uniqueName="[Measures].[Count of RespondentID 2]" caption="Count of RespondentID 2" measure="1" displayFolder="" measureGroup="PT Q2" count="0" oneField="1">
      <fieldsUsage count="1">
        <fieldUsage x="0"/>
      </fieldsUsage>
      <extLst>
        <ext xmlns:x15="http://schemas.microsoft.com/office/spreadsheetml/2010/11/main" uri="{B97F6D7D-B522-45F9-BDA1-12C45D357490}">
          <x15:cacheHierarchy aggregatedColumn="198"/>
        </ext>
      </extLst>
    </cacheHierarchy>
    <cacheHierarchy uniqueName="[Measures].[Sum of Asthmalung disease3 2]" caption="Sum of Asthmalung disease3 2" measure="1" displayFolder="" measureGroup="PT Q2" count="0" oneField="1">
      <fieldsUsage count="1">
        <fieldUsage x="2"/>
      </fieldsUsage>
      <extLst>
        <ext xmlns:x15="http://schemas.microsoft.com/office/spreadsheetml/2010/11/main" uri="{B97F6D7D-B522-45F9-BDA1-12C45D357490}">
          <x15:cacheHierarchy aggregatedColumn="216"/>
        </ext>
      </extLst>
    </cacheHierarchy>
    <cacheHierarchy uniqueName="[Measures].[Sum of Cancer4 2]" caption="Sum of Cancer4 2" measure="1" displayFolder="" measureGroup="PT Q2" count="0" oneField="1">
      <fieldsUsage count="1">
        <fieldUsage x="3"/>
      </fieldsUsage>
      <extLst>
        <ext xmlns:x15="http://schemas.microsoft.com/office/spreadsheetml/2010/11/main" uri="{B97F6D7D-B522-45F9-BDA1-12C45D357490}">
          <x15:cacheHierarchy aggregatedColumn="217"/>
        </ext>
      </extLst>
    </cacheHierarchy>
    <cacheHierarchy uniqueName="[Measures].[Sum of Child health  wellness9 2]" caption="Sum of Child health  wellness9 2" measure="1" displayFolder="" measureGroup="PT Q2" count="0" oneField="1">
      <fieldsUsage count="1">
        <fieldUsage x="4"/>
      </fieldsUsage>
      <extLst>
        <ext xmlns:x15="http://schemas.microsoft.com/office/spreadsheetml/2010/11/main" uri="{B97F6D7D-B522-45F9-BDA1-12C45D357490}">
          <x15:cacheHierarchy aggregatedColumn="222"/>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207"/>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209"/>
        </ext>
      </extLst>
    </cacheHierarchy>
    <cacheHierarchy uniqueName="[Measures].[Sum of Diabetes11 2]" caption="Sum of Diabetes11 2" measure="1" displayFolder="" measureGroup="PT Q2" count="0" oneField="1">
      <fieldsUsage count="1">
        <fieldUsage x="5"/>
      </fieldsUsage>
      <extLst>
        <ext xmlns:x15="http://schemas.microsoft.com/office/spreadsheetml/2010/11/main" uri="{B97F6D7D-B522-45F9-BDA1-12C45D357490}">
          <x15:cacheHierarchy aggregatedColumn="224"/>
        </ext>
      </extLst>
    </cacheHierarchy>
    <cacheHierarchy uniqueName="[Measures].[Sum of Drugs  alcohol abuse13 2]" caption="Sum of Drugs  alcohol abuse13 2" measure="1" displayFolder="" measureGroup="PT Q2" count="0" oneField="1">
      <fieldsUsage count="1">
        <fieldUsage x="6"/>
      </fieldsUsage>
      <extLst>
        <ext xmlns:x15="http://schemas.microsoft.com/office/spreadsheetml/2010/11/main" uri="{B97F6D7D-B522-45F9-BDA1-12C45D357490}">
          <x15:cacheHierarchy aggregatedColumn="226"/>
        </ext>
      </extLst>
    </cacheHierarchy>
    <cacheHierarchy uniqueName="[Measures].[Sum of Environmental hazards14 2]" caption="Sum of Environmental hazards14 2" measure="1" displayFolder="" measureGroup="PT Q2" count="0" oneField="1">
      <fieldsUsage count="1">
        <fieldUsage x="7"/>
      </fieldsUsage>
      <extLst>
        <ext xmlns:x15="http://schemas.microsoft.com/office/spreadsheetml/2010/11/main" uri="{B97F6D7D-B522-45F9-BDA1-12C45D357490}">
          <x15:cacheHierarchy aggregatedColumn="227"/>
        </ext>
      </extLst>
    </cacheHierarchy>
    <cacheHierarchy uniqueName="[Measures].[Sum of Heart disease  stroke5 2]" caption="Sum of Heart disease  stroke5 2" measure="1" displayFolder="" measureGroup="PT Q2" count="0" oneField="1">
      <fieldsUsage count="1">
        <fieldUsage x="8"/>
      </fieldsUsage>
      <extLst>
        <ext xmlns:x15="http://schemas.microsoft.com/office/spreadsheetml/2010/11/main" uri="{B97F6D7D-B522-45F9-BDA1-12C45D357490}">
          <x15:cacheHierarchy aggregatedColumn="218"/>
        </ext>
      </extLst>
    </cacheHierarchy>
    <cacheHierarchy uniqueName="[Measures].[Sum of HIVAIDS  Sexually Transmitted Diseases (STDs)7 2]" caption="Sum of HIVAIDS  Sexually Transmitted Diseases (STDs)7 2" measure="1" displayFolder="" measureGroup="PT Q2" count="0" oneField="1">
      <fieldsUsage count="1">
        <fieldUsage x="9"/>
      </fieldsUsage>
      <extLst>
        <ext xmlns:x15="http://schemas.microsoft.com/office/spreadsheetml/2010/11/main" uri="{B97F6D7D-B522-45F9-BDA1-12C45D357490}">
          <x15:cacheHierarchy aggregatedColumn="220"/>
        </ext>
      </extLst>
    </cacheHierarchy>
    <cacheHierarchy uniqueName="[Measures].[Sum of Mental health depressionsuicide12 2]" caption="Sum of Mental health depressionsuicide12 2" measure="1" displayFolder="" measureGroup="PT Q2" count="0" oneField="1">
      <fieldsUsage count="1">
        <fieldUsage x="10"/>
      </fieldsUsage>
      <extLst>
        <ext xmlns:x15="http://schemas.microsoft.com/office/spreadsheetml/2010/11/main" uri="{B97F6D7D-B522-45F9-BDA1-12C45D357490}">
          <x15:cacheHierarchy aggregatedColumn="225"/>
        </ext>
      </extLst>
    </cacheHierarchy>
    <cacheHierarchy uniqueName="[Measures].[Sum of Obesityweight loss issues15 2]" caption="Sum of Obesityweight loss issues15 2" measure="1" displayFolder="" measureGroup="PT Q2" count="0" oneField="1">
      <fieldsUsage count="1">
        <fieldUsage x="11"/>
      </fieldsUsage>
      <extLst>
        <ext xmlns:x15="http://schemas.microsoft.com/office/spreadsheetml/2010/11/main" uri="{B97F6D7D-B522-45F9-BDA1-12C45D357490}">
          <x15:cacheHierarchy aggregatedColumn="228"/>
        </ext>
      </extLst>
    </cacheHierarchy>
    <cacheHierarchy uniqueName="[Measures].[Sum of Safety6 2]" caption="Sum of Safety6 2" measure="1" displayFolder="" measureGroup="PT Q2" count="0" oneField="1">
      <fieldsUsage count="1">
        <fieldUsage x="12"/>
      </fieldsUsage>
      <extLst>
        <ext xmlns:x15="http://schemas.microsoft.com/office/spreadsheetml/2010/11/main" uri="{B97F6D7D-B522-45F9-BDA1-12C45D357490}">
          <x15:cacheHierarchy aggregatedColumn="219"/>
        </ext>
      </extLst>
    </cacheHierarchy>
    <cacheHierarchy uniqueName="[Measures].[Sum of Vaccine preventable diseases8 2]" caption="Sum of Vaccine preventable diseases8 2" measure="1" displayFolder="" measureGroup="PT Q2" count="0" oneField="1">
      <fieldsUsage count="1">
        <fieldUsage x="13"/>
      </fieldsUsage>
      <extLst>
        <ext xmlns:x15="http://schemas.microsoft.com/office/spreadsheetml/2010/11/main" uri="{B97F6D7D-B522-45F9-BDA1-12C45D357490}">
          <x15:cacheHierarchy aggregatedColumn="221"/>
        </ext>
      </extLst>
    </cacheHierarchy>
    <cacheHierarchy uniqueName="[Measures].[Sum of Women’s health  wellness10 2]" caption="Sum of Women’s health  wellness10 2" measure="1" displayFolder="" measureGroup="PT Q2" count="0" oneField="1">
      <fieldsUsage count="1">
        <fieldUsage x="14"/>
      </fieldsUsage>
      <extLst>
        <ext xmlns:x15="http://schemas.microsoft.com/office/spreadsheetml/2010/11/main" uri="{B97F6D7D-B522-45F9-BDA1-12C45D357490}">
          <x15:cacheHierarchy aggregatedColumn="223"/>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24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248"/>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26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26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269"/>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26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26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27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26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27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26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292"/>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292"/>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309"/>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312"/>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315"/>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318"/>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310"/>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313"/>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316"/>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319"/>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320"/>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311"/>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314"/>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317"/>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340"/>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340"/>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363"/>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366"/>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369"/>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372"/>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378"/>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380"/>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364"/>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367"/>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370"/>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373"/>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376"/>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379"/>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365"/>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368"/>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371"/>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374"/>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377"/>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401"/>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404"/>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407"/>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410"/>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412"/>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402"/>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405"/>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408"/>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411"/>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413"/>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403"/>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406"/>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409"/>
        </ext>
      </extLst>
    </cacheHierarchy>
    <cacheHierarchy uniqueName="[Measures].[Sum of Fear (eg not ready to facediscuss health problemimmigration status)14]" caption="Sum of Fear (eg not ready to facediscuss health problemimmigration status)14" measure="1" displayFolder="" measureGroup="PT Q3" count="0">
      <extLst>
        <ext xmlns:x15="http://schemas.microsoft.com/office/spreadsheetml/2010/11/main" uri="{B97F6D7D-B522-45F9-BDA1-12C45D357490}">
          <x15:cacheHierarchy aggregatedColumn="272"/>
        </ext>
      </extLst>
    </cacheHierarchy>
    <cacheHierarchy uniqueName="[Measures].[Sum of RespondentID 7]" caption="Sum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Women’s health  wellness10 3]" caption="Sum of Women’s health  wellness10 3" measure="1" displayFolder="" measureGroup="PT Q1 1" count="0">
      <extLst>
        <ext xmlns:x15="http://schemas.microsoft.com/office/spreadsheetml/2010/11/main" uri="{B97F6D7D-B522-45F9-BDA1-12C45D357490}">
          <x15:cacheHierarchy aggregatedColumn="121"/>
        </ext>
      </extLst>
    </cacheHierarchy>
    <cacheHierarchy uniqueName="[Measures].[Count of RespondentID 7]" caption="Count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Asthmalung disease3 3]" caption="Sum of Asthmalung disease3 3" measure="1" displayFolder="" measureGroup="PT Q1 1" count="0">
      <extLst>
        <ext xmlns:x15="http://schemas.microsoft.com/office/spreadsheetml/2010/11/main" uri="{B97F6D7D-B522-45F9-BDA1-12C45D357490}">
          <x15:cacheHierarchy aggregatedColumn="114"/>
        </ext>
      </extLst>
    </cacheHierarchy>
    <cacheHierarchy uniqueName="[Measures].[Sum of Cancer4 3]" caption="Sum of Cancer4 3" measure="1" displayFolder="" measureGroup="PT Q1 1" count="0">
      <extLst>
        <ext xmlns:x15="http://schemas.microsoft.com/office/spreadsheetml/2010/11/main" uri="{B97F6D7D-B522-45F9-BDA1-12C45D357490}">
          <x15:cacheHierarchy aggregatedColumn="115"/>
        </ext>
      </extLst>
    </cacheHierarchy>
    <cacheHierarchy uniqueName="[Measures].[Sum of Heart disease  stroke5 3]" caption="Sum of Heart disease  stroke5 3" measure="1" displayFolder="" measureGroup="PT Q1 1" count="0">
      <extLst>
        <ext xmlns:x15="http://schemas.microsoft.com/office/spreadsheetml/2010/11/main" uri="{B97F6D7D-B522-45F9-BDA1-12C45D357490}">
          <x15:cacheHierarchy aggregatedColumn="116"/>
        </ext>
      </extLst>
    </cacheHierarchy>
    <cacheHierarchy uniqueName="[Measures].[Sum of Safety6 3]" caption="Sum of Safety6 3" measure="1" displayFolder="" measureGroup="PT Q1 1" count="0">
      <extLst>
        <ext xmlns:x15="http://schemas.microsoft.com/office/spreadsheetml/2010/11/main" uri="{B97F6D7D-B522-45F9-BDA1-12C45D357490}">
          <x15:cacheHierarchy aggregatedColumn="117"/>
        </ext>
      </extLst>
    </cacheHierarchy>
    <cacheHierarchy uniqueName="[Measures].[Sum of HIVAIDS  Sexually Transmitted Diseases (STDs)7 3]" caption="Sum of HIVAIDS  Sexually Transmitted Diseases (STDs)7 3" measure="1" displayFolder="" measureGroup="PT Q1 1" count="0">
      <extLst>
        <ext xmlns:x15="http://schemas.microsoft.com/office/spreadsheetml/2010/11/main" uri="{B97F6D7D-B522-45F9-BDA1-12C45D357490}">
          <x15:cacheHierarchy aggregatedColumn="118"/>
        </ext>
      </extLst>
    </cacheHierarchy>
    <cacheHierarchy uniqueName="[Measures].[Sum of Vaccine preventable diseases8 3]" caption="Sum of Vaccine preventable diseases8 3" measure="1" displayFolder="" measureGroup="PT Q1 1" count="0">
      <extLst>
        <ext xmlns:x15="http://schemas.microsoft.com/office/spreadsheetml/2010/11/main" uri="{B97F6D7D-B522-45F9-BDA1-12C45D357490}">
          <x15:cacheHierarchy aggregatedColumn="119"/>
        </ext>
      </extLst>
    </cacheHierarchy>
    <cacheHierarchy uniqueName="[Measures].[Sum of Child health  wellness9 3]" caption="Sum of Child health  wellness9 3" measure="1" displayFolder="" measureGroup="PT Q1 1" count="0">
      <extLst>
        <ext xmlns:x15="http://schemas.microsoft.com/office/spreadsheetml/2010/11/main" uri="{B97F6D7D-B522-45F9-BDA1-12C45D357490}">
          <x15:cacheHierarchy aggregatedColumn="120"/>
        </ext>
      </extLst>
    </cacheHierarchy>
    <cacheHierarchy uniqueName="[Measures].[Sum of Diabetes11 3]" caption="Sum of Diabetes11 3" measure="1" displayFolder="" measureGroup="PT Q1 1" count="0">
      <extLst>
        <ext xmlns:x15="http://schemas.microsoft.com/office/spreadsheetml/2010/11/main" uri="{B97F6D7D-B522-45F9-BDA1-12C45D357490}">
          <x15:cacheHierarchy aggregatedColumn="122"/>
        </ext>
      </extLst>
    </cacheHierarchy>
    <cacheHierarchy uniqueName="[Measures].[Sum of Mental health depressionsuicide12 3]" caption="Sum of Mental health depressionsuicide12 3" measure="1" displayFolder="" measureGroup="PT Q1 1" count="0">
      <extLst>
        <ext xmlns:x15="http://schemas.microsoft.com/office/spreadsheetml/2010/11/main" uri="{B97F6D7D-B522-45F9-BDA1-12C45D357490}">
          <x15:cacheHierarchy aggregatedColumn="123"/>
        </ext>
      </extLst>
    </cacheHierarchy>
    <cacheHierarchy uniqueName="[Measures].[Sum of Drugs  alcohol abuse13 3]" caption="Sum of Drugs  alcohol abuse13 3" measure="1" displayFolder="" measureGroup="PT Q1 1" count="0">
      <extLst>
        <ext xmlns:x15="http://schemas.microsoft.com/office/spreadsheetml/2010/11/main" uri="{B97F6D7D-B522-45F9-BDA1-12C45D357490}">
          <x15:cacheHierarchy aggregatedColumn="124"/>
        </ext>
      </extLst>
    </cacheHierarchy>
    <cacheHierarchy uniqueName="[Measures].[Sum of Environmental hazards14 3]" caption="Sum of Environmental hazards14 3" measure="1" displayFolder="" measureGroup="PT Q1 1" count="0">
      <extLst>
        <ext xmlns:x15="http://schemas.microsoft.com/office/spreadsheetml/2010/11/main" uri="{B97F6D7D-B522-45F9-BDA1-12C45D357490}">
          <x15:cacheHierarchy aggregatedColumn="125"/>
        </ext>
      </extLst>
    </cacheHierarchy>
    <cacheHierarchy uniqueName="[Measures].[Sum of Obesityweight loss issues15 3]" caption="Sum of Obesityweight loss issues15 3" measure="1" displayFolder="" measureGroup="PT Q1 1" count="0">
      <extLst>
        <ext xmlns:x15="http://schemas.microsoft.com/office/spreadsheetml/2010/11/main" uri="{B97F6D7D-B522-45F9-BDA1-12C45D357490}">
          <x15:cacheHierarchy aggregatedColumn="126"/>
        </ext>
      </extLst>
    </cacheHierarchy>
    <cacheHierarchy uniqueName="[Measures].[Sum of What is your age]" caption="Sum of What is your age" measure="1" displayFolder="" measureGroup="PT Q1 1" count="0">
      <extLst>
        <ext xmlns:x15="http://schemas.microsoft.com/office/spreadsheetml/2010/11/main" uri="{B97F6D7D-B522-45F9-BDA1-12C45D357490}">
          <x15:cacheHierarchy aggregatedColumn="134"/>
        </ext>
      </extLst>
    </cacheHierarchy>
    <cacheHierarchy uniqueName="[Measures].[Average of What is your age]" caption="Average of What is your age" measure="1" displayFolder="" measureGroup="PT Q1 1" count="0">
      <extLst>
        <ext xmlns:x15="http://schemas.microsoft.com/office/spreadsheetml/2010/11/main" uri="{B97F6D7D-B522-45F9-BDA1-12C45D357490}">
          <x15:cacheHierarchy aggregatedColumn="134"/>
        </ext>
      </extLst>
    </cacheHierarchy>
    <cacheHierarchy uniqueName="[Measures].[Count of What race do you consider yourself]" caption="Count of What race do you consider yourself" measure="1" displayFolder="" measureGroup="PT Q1 1" count="0">
      <extLst>
        <ext xmlns:x15="http://schemas.microsoft.com/office/spreadsheetml/2010/11/main" uri="{B97F6D7D-B522-45F9-BDA1-12C45D357490}">
          <x15:cacheHierarchy aggregatedColumn="137"/>
        </ext>
      </extLst>
    </cacheHierarchy>
    <cacheHierarchy uniqueName="[Measures].[Count of Do you currently have health insurance]" caption="Count of Do you currently have health insurance" measure="1" displayFolder="" measureGroup="PT Q1 1" count="0">
      <extLst>
        <ext xmlns:x15="http://schemas.microsoft.com/office/spreadsheetml/2010/11/main" uri="{B97F6D7D-B522-45F9-BDA1-12C45D357490}">
          <x15:cacheHierarchy aggregatedColumn="143"/>
        </ext>
      </extLst>
    </cacheHierarchy>
    <cacheHierarchy uniqueName="[Measures].[Count of What type of insurance do you have]" caption="Count of What type of insurance do you have" measure="1" displayFolder="" measureGroup="PT Q1 1" count="0">
      <extLst>
        <ext xmlns:x15="http://schemas.microsoft.com/office/spreadsheetml/2010/11/main" uri="{B97F6D7D-B522-45F9-BDA1-12C45D357490}">
          <x15:cacheHierarchy aggregatedColumn="144"/>
        </ext>
      </extLst>
    </cacheHierarchy>
    <cacheHierarchy uniqueName="[Measures].[Count of Do you have access to reliable internet in your home]" caption="Count of Do you have access to reliable internet in your home" measure="1" displayFolder="" measureGroup="PT Q1 1" count="0">
      <extLst>
        <ext xmlns:x15="http://schemas.microsoft.com/office/spreadsheetml/2010/11/main" uri="{B97F6D7D-B522-45F9-BDA1-12C45D357490}">
          <x15:cacheHierarchy aggregatedColumn="145"/>
        </ext>
      </extLst>
    </cacheHierarchy>
    <cacheHierarchy uniqueName="[Measures].[Sum of Female Flag]" caption="Sum of Female Flag" measure="1" displayFolder="" measureGroup="PT Q1 1" count="0">
      <extLst>
        <ext xmlns:x15="http://schemas.microsoft.com/office/spreadsheetml/2010/11/main" uri="{B97F6D7D-B522-45F9-BDA1-12C45D357490}">
          <x15:cacheHierarchy aggregatedColumn="146"/>
        </ext>
      </extLst>
    </cacheHierarchy>
    <cacheHierarchy uniqueName="[Measures].[Sum of Male Flag]" caption="Sum of Male Flag" measure="1" displayFolder="" measureGroup="PT Q1 1" count="0">
      <extLst>
        <ext xmlns:x15="http://schemas.microsoft.com/office/spreadsheetml/2010/11/main" uri="{B97F6D7D-B522-45F9-BDA1-12C45D357490}">
          <x15:cacheHierarchy aggregatedColumn="147"/>
        </ext>
      </extLst>
    </cacheHierarchy>
    <cacheHierarchy uniqueName="[Measures].[Sum of WhiteCaucasian Flag]" caption="Sum of WhiteCaucasian Flag" measure="1" displayFolder="" measureGroup="PT Q1 1" count="0">
      <extLst>
        <ext xmlns:x15="http://schemas.microsoft.com/office/spreadsheetml/2010/11/main" uri="{B97F6D7D-B522-45F9-BDA1-12C45D357490}">
          <x15:cacheHierarchy aggregatedColumn="150"/>
        </ext>
      </extLst>
    </cacheHierarchy>
    <cacheHierarchy uniqueName="[Measures].[Sum of BlackAfrican American Flag]" caption="Sum of BlackAfrican American Flag" measure="1" displayFolder="" measureGroup="PT Q1 1" count="0">
      <extLst>
        <ext xmlns:x15="http://schemas.microsoft.com/office/spreadsheetml/2010/11/main" uri="{B97F6D7D-B522-45F9-BDA1-12C45D357490}">
          <x15:cacheHierarchy aggregatedColumn="151"/>
        </ext>
      </extLst>
    </cacheHierarchy>
    <cacheHierarchy uniqueName="[Measures].[Total Respondents]" caption="Total Respondents" measure="1" displayFolder="" measureGroup="PT Q1" count="0"/>
    <cacheHierarchy uniqueName="[Measures].[Woman]" caption="Woman" measure="1" displayFolder="" measureGroup="PT Q1" count="0"/>
    <cacheHierarchy uniqueName="[Measures].[Man]" caption="Man" measure="1" displayFolder="" measureGroup="PT Q1" count="0"/>
    <cacheHierarchy uniqueName="[Measures].[Transgender]" caption="Transgender" measure="1" displayFolder="" measureGroup="PT Q1" count="0"/>
    <cacheHierarchy uniqueName="[Measures].[Other Gender]" caption="Other Gender" measure="1" displayFolder="" measureGroup="PT Q1" count="0"/>
    <cacheHierarchy uniqueName="[Measures].[Ethnicity]" caption="Ethnicity" measure="1" displayFolder="" measureGroup="PT Q1" count="0"/>
    <cacheHierarchy uniqueName="[Measures].[White]" caption="White" measure="1" displayFolder="" measureGroup="PT Q1" count="0"/>
    <cacheHierarchy uniqueName="[Measures].[Black/African American]" caption="Black/African American" measure="1" displayFolder="" measureGroup="PT Q1" count="0"/>
    <cacheHierarchy uniqueName="[Measures].[Native Hawaiian/Pacific Islander]" caption="Native Hawaiian/Pacific Islander" measure="1" displayFolder="" measureGroup="PT Q1" count="0"/>
    <cacheHierarchy uniqueName="[Measures].[American Indian/Alaska Native]" caption="American Indian/Alaska Native" measure="1" displayFolder="" measureGroup="PT Q1" count="0"/>
    <cacheHierarchy uniqueName="[Measures].[Multi-racial]" caption="Multi-racial" measure="1" displayFolder="" measureGroup="PT Q1" count="0"/>
    <cacheHierarchy uniqueName="[Measures].[Other Race]" caption="Other Race" measure="1" displayFolder="" measureGroup="PT Q1" count="0"/>
    <cacheHierarchy uniqueName="[Measures].[Income $0-$19,999]" caption="Income $0-$19,999" measure="1" displayFolder="" measureGroup="PT Q1" count="0"/>
    <cacheHierarchy uniqueName="[Measures].[Income $20,000 to $34,999]" caption="Income $20,000 to $34,999" measure="1" displayFolder="" measureGroup="PT Q1" count="0"/>
    <cacheHierarchy uniqueName="[Measures].[Income $35,000 to $49,999]" caption="Income $35,000 to $49,999" measure="1" displayFolder="" measureGroup="PT Q1" count="0"/>
    <cacheHierarchy uniqueName="[Measures].[income $50,000 to $74,999]" caption="income $50,000 to $74,999" measure="1" displayFolder="" measureGroup="PT Q1" count="0"/>
    <cacheHierarchy uniqueName="[Measures].[Income $75,000 to $125,000]" caption="Income $75,000 to $125,000" measure="1" displayFolder="" measureGroup="PT Q1" count="0"/>
    <cacheHierarchy uniqueName="[Measures].[Income Over $125,000]" caption="Income Over $125,000" measure="1" displayFolder="" measureGroup="PT Q1" count="0"/>
    <cacheHierarchy uniqueName="[Measures].[Age 18-24]" caption="Age 18-24" measure="1" displayFolder="" measureGroup="PT Q1" count="0"/>
    <cacheHierarchy uniqueName="[Measures].[Age 25 to 34]" caption="Age 25 to 34" measure="1" displayFolder="" measureGroup="PT Q1" count="0"/>
    <cacheHierarchy uniqueName="[Measures].[Age 35 to 44]" caption="Age 35 to 44" measure="1" displayFolder="" measureGroup="PT Q1" count="0"/>
    <cacheHierarchy uniqueName="[Measures].[Age 45 to 54]" caption="Age 45 to 54" measure="1" displayFolder="" measureGroup="PT Q1" count="0"/>
    <cacheHierarchy uniqueName="[Measures].[Age 55 to 64]" caption="Age 55 to 64" measure="1" displayFolder="" measureGroup="PT Q1" count="0"/>
    <cacheHierarchy uniqueName="[Measures].[Age 65+]" caption="Age 65+" measure="1" displayFolder="" measureGroup="PT Q1" count="0"/>
    <cacheHierarchy uniqueName="[Measures].[K-8 Grade]" caption="K-8 Grade" measure="1" displayFolder="" measureGroup="PT Q1" count="0"/>
    <cacheHierarchy uniqueName="[Measures].[High School]" caption="High School" measure="1" displayFolder="" measureGroup="PT Q1" count="0"/>
    <cacheHierarchy uniqueName="[Measures].[Some High School]" caption="Some High School" measure="1" displayFolder="" measureGroup="PT Q1" count="0"/>
    <cacheHierarchy uniqueName="[Measures].[College]" caption="College" measure="1" displayFolder="" measureGroup="PT Q1" count="0"/>
    <cacheHierarchy uniqueName="[Measures].[Some College]" caption="Some College" measure="1" displayFolder="" measureGroup="PT Q1" count="0"/>
    <cacheHierarchy uniqueName="[Measures].[Technical School]" caption="Technical School" measure="1" displayFolder="" measureGroup="PT Q1" count="0"/>
    <cacheHierarchy uniqueName="[Measures].[Graduate School]" caption="Graduate School" measure="1" displayFolder="" measureGroup="PT Q1" count="0"/>
    <cacheHierarchy uniqueName="[Measures].[Doctorate]" caption="Doctorate" measure="1" displayFolder="" measureGroup="PT Q1" count="0"/>
    <cacheHierarchy uniqueName="[Measures].[GED]" caption="GED" measure="1" displayFolder="" measureGroup="PT Q1" count="0"/>
    <cacheHierarchy uniqueName="[Measures].[Employed for Wages]" caption="Employed for Wages" measure="1" displayFolder="" measureGroup="PT Q1" count="0"/>
    <cacheHierarchy uniqueName="[Measures].[Self-employed]" caption="Self-employed" measure="1" displayFolder="" measureGroup="PT Q1" count="0"/>
    <cacheHierarchy uniqueName="[Measures].[Student]" caption="Student" measure="1" displayFolder="" measureGroup="PT Q1" count="0"/>
    <cacheHierarchy uniqueName="[Measures].[Retired]" caption="Retired" measure="1" displayFolder="" measureGroup="PT Q1" count="0"/>
    <cacheHierarchy uniqueName="[Measures].[Military]" caption="Military" measure="1" displayFolder="" measureGroup="PT Q1" count="0"/>
    <cacheHierarchy uniqueName="[Measures].[Out of Work and Looking]" caption="Out of Work and Looking" measure="1" displayFolder="" measureGroup="PT Q1" count="0"/>
    <cacheHierarchy uniqueName="[Measures].[Out of Work Not Looking]" caption="Out of Work Not Looking" measure="1" displayFolder="" measureGroup="PT Q1" count="0"/>
    <cacheHierarchy uniqueName="[Measures].[Health Insurance Yes]" caption="Health Insurance Yes" measure="1" displayFolder="" measureGroup="PT Q1" count="0"/>
    <cacheHierarchy uniqueName="[Measures].[Health Insurance No]" caption="Health Insurance No" measure="1" displayFolder="" measureGroup="PT Q1" count="0"/>
    <cacheHierarchy uniqueName="[Measures].[Health Insurance In the Past]" caption="Health Insurance In the Past" measure="1" displayFolder="" measureGroup="PT Q1" count="0"/>
    <cacheHierarchy uniqueName="[Measures].[Medicare]" caption="Medicare" measure="1" displayFolder="" measureGroup="PT Q1" count="0"/>
    <cacheHierarchy uniqueName="[Measures].[Medicaid]" caption="Medicaid" measure="1" displayFolder="" measureGroup="PT Q1" count="0"/>
    <cacheHierarchy uniqueName="[Measures].[Private/Commerical]" caption="Private/Commerical" measure="1" displayFolder="" measureGroup="PT Q1" count="0"/>
    <cacheHierarchy uniqueName="[Measures].[Not Insured]" caption="Not Insured" measure="1" displayFolder="" measureGroup="PT Q1" count="0"/>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PT Q1 1]" caption="__XL_Count PT Q1 1" measure="1" displayFolder="" measureGroup="PT Q1 1" count="0" hidden="1"/>
    <cacheHierarchy uniqueName="[Measures].[__XL_Count of Models]" caption="__XL_Count of Models" measure="1" displayFolder="" count="0" hidden="1"/>
  </cacheHierarchies>
  <kpis count="0"/>
  <dimensions count="8">
    <dimension measure="1" name="Measures" uniqueName="[Measures]" caption="Measures"/>
    <dimension name="PT Q1" uniqueName="[PT Q1]" caption="PT Q1"/>
    <dimension name="PT Q1 1" uniqueName="[PT Q1 1]" caption="PT Q1 1"/>
    <dimension name="PT Q2" uniqueName="[PT Q2]" caption="PT Q2"/>
    <dimension name="PT Q3" uniqueName="[PT Q3]" caption="PT Q3"/>
    <dimension name="PT Q4" uniqueName="[PT Q4]" caption="PT Q4"/>
    <dimension name="PT Q5" uniqueName="[PT Q5]" caption="PT Q5"/>
    <dimension name="PT Q6" uniqueName="[PT Q6]" caption="PT Q6"/>
  </dimensions>
  <measureGroups count="7">
    <measureGroup name="PT Q1" caption="PT Q1"/>
    <measureGroup name="PT Q1 1" caption="PT Q1 1"/>
    <measureGroup name="PT Q2" caption="PT Q2"/>
    <measureGroup name="PT Q3" caption="PT Q3"/>
    <measureGroup name="PT Q4" caption="PT Q4"/>
    <measureGroup name="PT Q5" caption="PT Q5"/>
    <measureGroup name="PT Q6" caption="PT Q6"/>
  </measureGroups>
  <maps count="7">
    <map measureGroup="0" dimension="1"/>
    <map measureGroup="1" dimension="2"/>
    <map measureGroup="2" dimension="3"/>
    <map measureGroup="3" dimension="4"/>
    <map measureGroup="4" dimension="5"/>
    <map measureGroup="5" dimension="6"/>
    <map measureGroup="6" dimension="7"/>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Melissa Bauer" refreshedDate="44946.532962152778" createdVersion="5" refreshedVersion="5" minRefreshableVersion="3" recordCount="0" supportSubquery="1" supportAdvancedDrill="1">
  <cacheSource type="external" connectionId="8"/>
  <cacheFields count="20">
    <cacheField name="[Measures].[Count of RespondentID 3]" caption="Count of RespondentID 3" numFmtId="0" hierarchy="461" level="32767"/>
    <cacheField name="[PT Q3].[Town and ZIP code where you live:].[Town and ZIP code where you live:]" caption="Town and ZIP code where you live:" numFmtId="0" hierarchy="282" level="1">
      <sharedItems count="145">
        <s v="0"/>
        <s v="10001"/>
        <s v="11003"/>
        <s v="11231"/>
        <s v="11236"/>
        <s v="11355"/>
        <s v="11367"/>
        <s v="11372"/>
        <s v="11375"/>
        <s v="11414"/>
        <s v="11428"/>
        <s v="11429"/>
        <s v="11456"/>
        <s v="11692"/>
        <s v="22407"/>
        <s v="Albertson, 11507"/>
        <s v="Alden Manor, 11003"/>
        <s v="Allenwood, 11021"/>
        <s v="Amagansett, 11930"/>
        <s v="Amityville, 11701"/>
        <s v="Amityville, 11708"/>
        <s v="Aquebogue, 11931"/>
        <s v="Atlantic Beach, 11509"/>
        <s v="Babylon, 11702"/>
        <s v="Babylon, 11703"/>
        <s v="Babylon, 11704"/>
        <s v="Baiting Hollow, 11933"/>
        <s v="Baxter Estates, 11050"/>
        <s v="Bay Shore, 11706"/>
        <s v="Bellerose Terrace, 11001"/>
        <s v="Bellmore, 11710"/>
        <s v="Bethpage, 11714"/>
        <s v="Bohemia, 11716"/>
        <s v="Brentwood, 11717"/>
        <s v="Brightwaters, 11718"/>
        <s v="Brookville, 11545"/>
        <s v="Carle Place, 11514"/>
        <s v="Centereach, 11720"/>
        <s v="Centerport, 11721"/>
        <s v="Central Islip, 11722"/>
        <s v="Cold Spring Harbor, 11724"/>
        <s v="Commack, 11725"/>
        <s v="Copiague, 11726"/>
        <s v="Coram, 11727"/>
        <s v="Deer Park, 11729"/>
        <s v="Dix Hills, 11746"/>
        <s v="East Hills, 11576"/>
        <s v="East Islip, 11730"/>
        <s v="East Meadow, 11554"/>
        <s v="East Northport, 11731"/>
        <s v="Farmingdale, 11735"/>
        <s v="Farmingville, 11738"/>
        <s v="Floral Park, 11001"/>
        <s v="Floral Park, 11002"/>
        <s v="Franklin Square, 11010"/>
        <s v="Freeport, 11520"/>
        <s v="Garden City South, 11530"/>
        <s v="Garden City, 11530"/>
        <s v="Garden City, 11531"/>
        <s v="Garden City, 11536"/>
        <s v="Great Neck, 11026"/>
        <s v="Greenlawn, 11740"/>
        <s v="Halesite, 11743"/>
        <s v="Hauppauge, 11788"/>
        <s v="Head of the Harbor, 11780"/>
        <s v="Hempstead, 11549"/>
        <s v="Hempstead, 11550"/>
        <s v="Herricks, 11040"/>
        <s v="Hewlett Neck, 11598"/>
        <s v="Hicksville, 11801"/>
        <s v="Holtsville, 11742"/>
        <s v="Huntington Station, 11746"/>
        <s v="Huntington Station, 11747"/>
        <s v="Huntington, 11743"/>
        <s v="Islip Manor, 11751"/>
        <s v="Islip, 11751"/>
        <s v="Jericho, 11753"/>
        <s v="Kings Park, 11754"/>
        <s v="Lake Grove, 11755"/>
        <s v="Lake Ronkonkoma, 11779"/>
        <s v="Lake Success, 11020"/>
        <s v="Lakeview, 11552"/>
        <s v="Lawrence, 11559"/>
        <s v="Levittown, 11756"/>
        <s v="Lido Beach, 11561"/>
        <s v="Lindenhurst, 11757"/>
        <s v="Long Beach, 11561"/>
        <s v="Lynbrook, 11563"/>
        <s v="Malverne, 11565"/>
        <s v="Manhasset, 11030"/>
        <s v="Manorville, 11949"/>
        <s v="Massapequa Park, 11762"/>
        <s v="Massapequa, 11758"/>
        <s v="Mastic, 11950"/>
        <s v="Medford, 11763"/>
        <s v="Melville, 11747"/>
        <s v="Merrick, 11566"/>
        <s v="Middle Island, 11953"/>
        <s v="Miller Place, 11764"/>
        <s v="Mineola, 11501"/>
        <s v="Moriches, 11955"/>
        <s v="Nesconset, 11767"/>
        <s v="New Cassel, 11590"/>
        <s v="New Hyde Park, 11040"/>
        <s v="North Babylon, 11703"/>
        <s v="North Massapequa, 11758"/>
        <s v="North New Hyde Park, 11040"/>
        <s v="Northport, 11768"/>
        <s v="Oakdale, 11769"/>
        <s v="Oceanside, 11572"/>
        <s v="Patchogue, 11772"/>
        <s v="Peconic, 11958"/>
        <s v="Plainview, 11803"/>
        <s v="Port Jefferson Station, 11776"/>
        <s v="Ridge, 11961"/>
        <s v="Riverhead, 11901"/>
        <s v="Rockville Centre, 11570"/>
        <s v="Rocky Point, 11778"/>
        <s v="Ronkonkoma, 11779"/>
        <s v="Roslyn, 11576"/>
        <s v="Saint James, 11780"/>
        <s v="Sayville, 11782"/>
        <s v="Seaford, 11783"/>
        <s v="Selden, 11784"/>
        <s v="Setauket, 11733"/>
        <s v="Shirley, 11967"/>
        <s v="Smithtown, 11745"/>
        <s v="Smithtown, 11787"/>
        <s v="South Huntington, 11746"/>
        <s v="Stony Brook, 11790"/>
        <s v="Syosset, 11773"/>
        <s v="Syosset, 11791"/>
        <s v="Uniondale, 11553"/>
        <s v="Valley Stream, 11580"/>
        <s v="Wading River, 11792"/>
        <s v="Wantagh, 11793"/>
        <s v="West Babylon, 11704"/>
        <s v="West Hempstead, 11552"/>
        <s v="West Islip, 11795"/>
        <s v="West Sayville, 11796"/>
        <s v="Westbury, 11590"/>
        <s v="Williston Park, 11596"/>
        <s v="Woodbury, 11797"/>
        <s v="Woodsburgh, 11598"/>
        <s v="Yaphank, 11980"/>
      </sharedItems>
    </cacheField>
    <cacheField name="[Measures].[Sum of Culturalreligious beliefs5]" caption="Sum of Culturalreligious beliefs5" numFmtId="0" hierarchy="462" level="32767"/>
    <cacheField name="[Measures].[Sum of Don’t know how to find doctors8]" caption="Sum of Don’t know how to find doctors8" numFmtId="0" hierarchy="463" level="32767"/>
    <cacheField name="[Measures].[Sum of Don’t understand need to see a doctor11]" caption="Sum of Don’t understand need to see a doctor11" numFmtId="0" hierarchy="464" level="32767"/>
    <cacheField name="[Measures].[Sum of Lack of availability of doctors6]" caption="Sum of Lack of availability of doctors6" numFmtId="0" hierarchy="465" level="32767"/>
    <cacheField name="[Measures].[Sum of Language barriers9]" caption="Sum of Language barriers9" numFmtId="0" hierarchy="466" level="32767"/>
    <cacheField name="[Measures].[Sum of No insurance12]" caption="Sum of No insurance12" numFmtId="0" hierarchy="467" level="32767"/>
    <cacheField name="[Measures].[Sum of There are no barriers10]" caption="Sum of There are no barriers10" numFmtId="0" hierarchy="468" level="32767"/>
    <cacheField name="[Measures].[Sum of Transportation13]" caption="Sum of Transportation13" numFmtId="0" hierarchy="469" level="32767"/>
    <cacheField name="[Measures].[Sum of Unable to pay co-paysdeductibles7]" caption="Sum of Unable to pay co-paysdeductibles7" numFmtId="0" hierarchy="470" level="32767"/>
    <cacheField name="[PT Q3].[County where you live:].[County where you live:]" caption="County where you live:" numFmtId="0" hierarchy="281" level="1">
      <sharedItems containsSemiMixedTypes="0" containsNonDate="0" containsString="0"/>
    </cacheField>
    <cacheField name="[Measures].[Sum of Fear (eg not ready to facediscuss health problemimmigration status)14]" caption="Sum of Fear (eg not ready to facediscuss health problemimmigration status)14" numFmtId="0" hierarchy="519" level="32767"/>
    <cacheField name="[PT Q3].[I identify as:].[I identify as:]" caption="I identify as:" numFmtId="0" hierarchy="279" level="1">
      <sharedItems containsSemiMixedTypes="0" containsNonDate="0" containsString="0"/>
    </cacheField>
    <cacheField name="[PT Q3].[Are you Hispanic or Latino?].[Are you Hispanic or Latino?]" caption="Are you Hispanic or Latino?" numFmtId="0" hierarchy="284" level="1">
      <sharedItems containsSemiMixedTypes="0" containsNonDate="0" containsString="0"/>
    </cacheField>
    <cacheField name="[PT Q3].[What is your annual household income from all sources?].[What is your annual household income from all sources?]" caption="What is your annual household income from all sources?" numFmtId="0" hierarchy="286" level="1">
      <sharedItems containsSemiMixedTypes="0" containsNonDate="0" containsString="0"/>
    </cacheField>
    <cacheField name="[PT Q3].[What is your current employment status?].[What is your current employment status?]" caption="What is your current employment status?" numFmtId="0" hierarchy="288" level="1">
      <sharedItems containsSemiMixedTypes="0" containsNonDate="0" containsString="0"/>
    </cacheField>
    <cacheField name="[PT Q3].[What is your highest level of education?].[What is your highest level of education?]" caption="What is your highest level of education?" numFmtId="0" hierarchy="287" level="1">
      <sharedItems containsSemiMixedTypes="0" containsNonDate="0" containsString="0"/>
    </cacheField>
    <cacheField name="[PT Q3].[What race do you consider yourself?].[What race do you consider yourself?]" caption="What race do you consider yourself?" numFmtId="0" hierarchy="283" level="1">
      <sharedItems containsSemiMixedTypes="0" containsNonDate="0" containsString="0"/>
    </cacheField>
    <cacheField name="[PT Q3].[Do you currently have health insurance?].[Do you currently have health insurance?]" caption="Do you currently have health insurance?" numFmtId="0" hierarchy="289" level="1">
      <sharedItems containsSemiMixedTypes="0" containsNonDate="0" containsString="0"/>
    </cacheField>
  </cacheFields>
  <cacheHierarchies count="600">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What type of insurance do you have?]" caption="What type of insurance do you have?" attribute="1" defaultMemberUniqueName="[PT Q1].[What type of insurance do you have?].[All]" allUniqueName="[PT Q1].[What type of insurance do you have?].[All]" dimensionUniqueName="[PT Q1]" displayFolder="" count="0" memberValueDatatype="130" unbalanced="0"/>
    <cacheHierarchy uniqueName="[PT Q1].[Do you have a smartphone]" caption="Do you have a smartphone" attribute="1" defaultMemberUniqueName="[PT Q1].[Do you have a smartphone].[All]" allUniqueName="[PT Q1].[Do you have a smartphone].[All]" dimensionUniqueName="[PT Q1]" displayFolder="" count="0" memberValueDatatype="130" unbalanced="0"/>
    <cacheHierarchy uniqueName="[PT Q1].[Woman Flag]" caption="Woman Flag" attribute="1" defaultMemberUniqueName="[PT Q1].[Woman Flag].[All]" allUniqueName="[PT Q1].[Woman Flag].[All]" dimensionUniqueName="[PT Q1]" displayFolder="" count="0" memberValueDatatype="20" unbalanced="0"/>
    <cacheHierarchy uniqueName="[PT Q1].[Man Flag]" caption="Man Flag" attribute="1" defaultMemberUniqueName="[PT Q1].[Man Flag].[All]" allUniqueName="[PT Q1].[Man Flag].[All]" dimensionUniqueName="[PT Q1]" displayFolder="" count="0" memberValueDatatype="20" unbalanced="0"/>
    <cacheHierarchy uniqueName="[PT Q1].[Transgender Flag]" caption="Transgender Flag" attribute="1" defaultMemberUniqueName="[PT Q1].[Transgender Flag].[All]" allUniqueName="[PT Q1].[Transgender Flag].[All]" dimensionUniqueName="[PT Q1]" displayFolder="" count="0" memberValueDatatype="20" unbalanced="0"/>
    <cacheHierarchy uniqueName="[PT Q1].[Other Gender Flag]" caption="Other Gender Flag" attribute="1" defaultMemberUniqueName="[PT Q1].[Other Gender Flag].[All]" allUniqueName="[PT Q1].[Other Gender Flag].[All]" dimensionUniqueName="[PT Q1]" displayFolder="" count="0" memberValueDatatype="20" unbalanced="0"/>
    <cacheHierarchy uniqueName="[PT Q1].[Hispanic Flag]" caption="Hispanic Flag" attribute="1" defaultMemberUniqueName="[PT Q1].[Hispanic Flag].[All]" allUniqueName="[PT Q1].[Hispanic Flag].[All]" dimensionUniqueName="[PT Q1]" displayFolder="" count="0" memberValueDatatype="20" unbalanced="0"/>
    <cacheHierarchy uniqueName="[PT Q1].[White Flag]" caption="White Flag" attribute="1" defaultMemberUniqueName="[PT Q1].[White Flag].[All]" allUniqueName="[PT Q1].[White Flag].[All]" dimensionUniqueName="[PT Q1]" displayFolder="" count="0" memberValueDatatype="20" unbalanced="0"/>
    <cacheHierarchy uniqueName="[PT Q1].[Black or African American Flag]" caption="Black or African American Flag" attribute="1" defaultMemberUniqueName="[PT Q1].[Black or African American Flag].[All]" allUniqueName="[PT Q1].[Black or African American Flag].[All]" dimensionUniqueName="[PT Q1]" displayFolder="" count="0" memberValueDatatype="20" unbalanced="0"/>
    <cacheHierarchy uniqueName="[PT Q1].[Native Hawaiian and Other Pacific Islander Flag]" caption="Native Hawaiian and Other Pacific Islander Flag" attribute="1" defaultMemberUniqueName="[PT Q1].[Native Hawaiian and Other Pacific Islander Flag].[All]" allUniqueName="[PT Q1].[Native Hawaiian and Other Pacific Islander Flag].[All]" dimensionUniqueName="[PT Q1]" displayFolder="" count="0" memberValueDatatype="20" unbalanced="0"/>
    <cacheHierarchy uniqueName="[PT Q1].[American Indian and Alaska Native Flag]" caption="American Indian and Alaska Native Flag" attribute="1" defaultMemberUniqueName="[PT Q1].[American Indian and Alaska Native Flag].[All]" allUniqueName="[PT Q1].[American Indian and Alaska Native Flag].[All]" dimensionUniqueName="[PT Q1]" displayFolder="" count="0" memberValueDatatype="20" unbalanced="0"/>
    <cacheHierarchy uniqueName="[PT Q1].[Two or more races Flag]" caption="Two or more races Flag" attribute="1" defaultMemberUniqueName="[PT Q1].[Two or more races Flag].[All]" allUniqueName="[PT Q1].[Two or more races Flag].[All]" dimensionUniqueName="[PT Q1]" displayFolder="" count="0" memberValueDatatype="20" unbalanced="0"/>
    <cacheHierarchy uniqueName="[PT Q1].[Other Race Flag]" caption="Other Race Flag" attribute="1" defaultMemberUniqueName="[PT Q1].[Other Race Flag].[All]" allUniqueName="[PT Q1].[Other Race Flag].[All]" dimensionUniqueName="[PT Q1]" displayFolder="" count="0" memberValueDatatype="20" unbalanced="0"/>
    <cacheHierarchy uniqueName="[PT Q1].[$0-$19,999 Flag]" caption="$0-$19,999 Flag" attribute="1" defaultMemberUniqueName="[PT Q1].[$0-$19,999 Flag].[All]" allUniqueName="[PT Q1].[$0-$19,999 Flag].[All]" dimensionUniqueName="[PT Q1]" displayFolder="" count="0" memberValueDatatype="20" unbalanced="0"/>
    <cacheHierarchy uniqueName="[PT Q1].[$20,000 to $34,999 Flag]" caption="$20,000 to $34,999 Flag" attribute="1" defaultMemberUniqueName="[PT Q1].[$20,000 to $34,999 Flag].[All]" allUniqueName="[PT Q1].[$20,000 to $34,999 Flag].[All]" dimensionUniqueName="[PT Q1]" displayFolder="" count="0" memberValueDatatype="20" unbalanced="0"/>
    <cacheHierarchy uniqueName="[PT Q1].[$35,000 to $49,999 Flag]" caption="$35,000 to $49,999 Flag" attribute="1" defaultMemberUniqueName="[PT Q1].[$35,000 to $49,999 Flag].[All]" allUniqueName="[PT Q1].[$35,000 to $49,999 Flag].[All]" dimensionUniqueName="[PT Q1]" displayFolder="" count="0" memberValueDatatype="20" unbalanced="0"/>
    <cacheHierarchy uniqueName="[PT Q1].[$50,000 to $74,999 Flag]" caption="$50,000 to $74,999 Flag" attribute="1" defaultMemberUniqueName="[PT Q1].[$50,000 to $74,999 Flag].[All]" allUniqueName="[PT Q1].[$50,000 to $74,999 Flag].[All]" dimensionUniqueName="[PT Q1]" displayFolder="" count="0" memberValueDatatype="20" unbalanced="0"/>
    <cacheHierarchy uniqueName="[PT Q1].[$75,000 to $125,000 Flag]" caption="$75,000 to $125,000 Flag" attribute="1" defaultMemberUniqueName="[PT Q1].[$75,000 to $125,000 Flag].[All]" allUniqueName="[PT Q1].[$75,000 to $125,000 Flag].[All]" dimensionUniqueName="[PT Q1]" displayFolder="" count="0" memberValueDatatype="20" unbalanced="0"/>
    <cacheHierarchy uniqueName="[PT Q1].[Over $125,000 Flag]" caption="Over $125,000 Flag" attribute="1" defaultMemberUniqueName="[PT Q1].[Over $125,000 Flag].[All]" allUniqueName="[PT Q1].[Over $125,000 Flag].[All]" dimensionUniqueName="[PT Q1]" displayFolder="" count="0" memberValueDatatype="20" unbalanced="0"/>
    <cacheHierarchy uniqueName="[PT Q1].[18 TO 24 Flag]" caption="18 TO 24 Flag" attribute="1" defaultMemberUniqueName="[PT Q1].[18 TO 24 Flag].[All]" allUniqueName="[PT Q1].[18 TO 24 Flag].[All]" dimensionUniqueName="[PT Q1]" displayFolder="" count="0" memberValueDatatype="20" unbalanced="0"/>
    <cacheHierarchy uniqueName="[PT Q1].[25 to 34 Flag]" caption="25 to 34 Flag" attribute="1" defaultMemberUniqueName="[PT Q1].[25 to 34 Flag].[All]" allUniqueName="[PT Q1].[25 to 34 Flag].[All]" dimensionUniqueName="[PT Q1]" displayFolder="" count="0" memberValueDatatype="20" unbalanced="0"/>
    <cacheHierarchy uniqueName="[PT Q1].[35 to 44 Flag]" caption="35 to 44 Flag" attribute="1" defaultMemberUniqueName="[PT Q1].[35 to 44 Flag].[All]" allUniqueName="[PT Q1].[35 to 44 Flag].[All]" dimensionUniqueName="[PT Q1]" displayFolder="" count="0" memberValueDatatype="20" unbalanced="0"/>
    <cacheHierarchy uniqueName="[PT Q1].[45 to 54 Flag]" caption="45 to 54 Flag" attribute="1" defaultMemberUniqueName="[PT Q1].[45 to 54 Flag].[All]" allUniqueName="[PT Q1].[45 to 54 Flag].[All]" dimensionUniqueName="[PT Q1]" displayFolder="" count="0" memberValueDatatype="20" unbalanced="0"/>
    <cacheHierarchy uniqueName="[PT Q1].[55 to 64 Flag]" caption="55 to 64 Flag" attribute="1" defaultMemberUniqueName="[PT Q1].[55 to 64 Flag].[All]" allUniqueName="[PT Q1].[55 to 64 Flag].[All]" dimensionUniqueName="[PT Q1]" displayFolder="" count="0" memberValueDatatype="20" unbalanced="0"/>
    <cacheHierarchy uniqueName="[PT Q1].[65 Plus Flag]" caption="65 Plus Flag" attribute="1" defaultMemberUniqueName="[PT Q1].[65 Plus Flag].[All]" allUniqueName="[PT Q1].[65 Plus Flag].[All]" dimensionUniqueName="[PT Q1]" displayFolder="" count="0" memberValueDatatype="20" unbalanced="0"/>
    <cacheHierarchy uniqueName="[PT Q1].[K-8 grade Flag]" caption="K-8 grade Flag" attribute="1" defaultMemberUniqueName="[PT Q1].[K-8 grade Flag].[All]" allUniqueName="[PT Q1].[K-8 grade Flag].[All]" dimensionUniqueName="[PT Q1]" displayFolder="" count="0" memberValueDatatype="20" unbalanced="0"/>
    <cacheHierarchy uniqueName="[PT Q1].[Some High School Flag]" caption="Some High School Flag" attribute="1" defaultMemberUniqueName="[PT Q1].[Some High School Flag].[All]" allUniqueName="[PT Q1].[Some High School Flag].[All]" dimensionUniqueName="[PT Q1]" displayFolder="" count="0" memberValueDatatype="20" unbalanced="0"/>
    <cacheHierarchy uniqueName="[PT Q1].[High School Graduate Flag]" caption="High School Graduate Flag" attribute="1" defaultMemberUniqueName="[PT Q1].[High School Graduate Flag].[All]" allUniqueName="[PT Q1].[High School Graduate Flag].[All]" dimensionUniqueName="[PT Q1]" displayFolder="" count="0" memberValueDatatype="20" unbalanced="0"/>
    <cacheHierarchy uniqueName="[PT Q1].[Technical School Flag]" caption="Technical School Flag" attribute="1" defaultMemberUniqueName="[PT Q1].[Technical School Flag].[All]" allUniqueName="[PT Q1].[Technical School Flag].[All]" dimensionUniqueName="[PT Q1]" displayFolder="" count="0" memberValueDatatype="20" unbalanced="0"/>
    <cacheHierarchy uniqueName="[PT Q1].[Some College Flag]" caption="Some College Flag" attribute="1" defaultMemberUniqueName="[PT Q1].[Some College Flag].[All]" allUniqueName="[PT Q1].[Some College Flag].[All]" dimensionUniqueName="[PT Q1]" displayFolder="" count="0" memberValueDatatype="20" unbalanced="0"/>
    <cacheHierarchy uniqueName="[PT Q1].[College Graduate Flag]" caption="College Graduate Flag" attribute="1" defaultMemberUniqueName="[PT Q1].[College Graduate Flag].[All]" allUniqueName="[PT Q1].[College Graduate Flag].[All]" dimensionUniqueName="[PT Q1]" displayFolder="" count="0" memberValueDatatype="20" unbalanced="0"/>
    <cacheHierarchy uniqueName="[PT Q1].[Graduate School Flag]" caption="Graduate School Flag" attribute="1" defaultMemberUniqueName="[PT Q1].[Graduate School Flag].[All]" allUniqueName="[PT Q1].[Graduate School Flag].[All]" dimensionUniqueName="[PT Q1]" displayFolder="" count="0" memberValueDatatype="20" unbalanced="0"/>
    <cacheHierarchy uniqueName="[PT Q1].[Doctorate Flag]" caption="Doctorate Flag" attribute="1" defaultMemberUniqueName="[PT Q1].[Doctorate Flag].[All]" allUniqueName="[PT Q1].[Doctorate Flag].[All]" dimensionUniqueName="[PT Q1]" displayFolder="" count="0" memberValueDatatype="20" unbalanced="0"/>
    <cacheHierarchy uniqueName="[PT Q1].[GED Flag]" caption="GED Flag" attribute="1" defaultMemberUniqueName="[PT Q1].[GED Flag].[All]" allUniqueName="[PT Q1].[GED Flag].[All]" dimensionUniqueName="[PT Q1]" displayFolder="" count="0" memberValueDatatype="20" unbalanced="0"/>
    <cacheHierarchy uniqueName="[PT Q1].[Employed for Wages Flag]" caption="Employed for Wages Flag" attribute="1" defaultMemberUniqueName="[PT Q1].[Employed for Wages Flag].[All]" allUniqueName="[PT Q1].[Employed for Wages Flag].[All]" dimensionUniqueName="[PT Q1]" displayFolder="" count="0" memberValueDatatype="20" unbalanced="0"/>
    <cacheHierarchy uniqueName="[PT Q1].[Self-employed Flag]" caption="Self-employed Flag" attribute="1" defaultMemberUniqueName="[PT Q1].[Self-employed Flag].[All]" allUniqueName="[PT Q1].[Self-employed Flag].[All]" dimensionUniqueName="[PT Q1]" displayFolder="" count="0" memberValueDatatype="20" unbalanced="0"/>
    <cacheHierarchy uniqueName="[PT Q1].[Student Flag]" caption="Student Flag" attribute="1" defaultMemberUniqueName="[PT Q1].[Student Flag].[All]" allUniqueName="[PT Q1].[Student Flag].[All]" dimensionUniqueName="[PT Q1]" displayFolder="" count="0" memberValueDatatype="20" unbalanced="0"/>
    <cacheHierarchy uniqueName="[PT Q1].[Retired Flag]" caption="Retired Flag" attribute="1" defaultMemberUniqueName="[PT Q1].[Retired Flag].[All]" allUniqueName="[PT Q1].[Retired Flag].[All]" dimensionUniqueName="[PT Q1]" displayFolder="" count="0" memberValueDatatype="20" unbalanced="0"/>
    <cacheHierarchy uniqueName="[PT Q1].[Military Flag]" caption="Military Flag" attribute="1" defaultMemberUniqueName="[PT Q1].[Military Flag].[All]" allUniqueName="[PT Q1].[Military Flag].[All]" dimensionUniqueName="[PT Q1]" displayFolder="" count="0" memberValueDatatype="20" unbalanced="0"/>
    <cacheHierarchy uniqueName="[PT Q1].[Out of Work and Looking Flag]" caption="Out of Work and Looking Flag" attribute="1" defaultMemberUniqueName="[PT Q1].[Out of Work and Looking Flag].[All]" allUniqueName="[PT Q1].[Out of Work and Looking Flag].[All]" dimensionUniqueName="[PT Q1]" displayFolder="" count="0" memberValueDatatype="20" unbalanced="0"/>
    <cacheHierarchy uniqueName="[PT Q1].[Out of Work Not Looking Flag]" caption="Out of Work Not Looking Flag" attribute="1" defaultMemberUniqueName="[PT Q1].[Out of Work Not Looking Flag].[All]" allUniqueName="[PT Q1].[Out of Work Not Looking Flag].[All]" dimensionUniqueName="[PT Q1]" displayFolder="" count="0" memberValueDatatype="20" unbalanced="0"/>
    <cacheHierarchy uniqueName="[PT Q1].[Health Insurance Yes Flag]" caption="Health Insurance Yes Flag" attribute="1" defaultMemberUniqueName="[PT Q1].[Health Insurance Yes Flag].[All]" allUniqueName="[PT Q1].[Health Insurance Yes Flag].[All]" dimensionUniqueName="[PT Q1]" displayFolder="" count="0" memberValueDatatype="20" unbalanced="0"/>
    <cacheHierarchy uniqueName="[PT Q1].[Health Insurance No Flag]" caption="Health Insurance No Flag" attribute="1" defaultMemberUniqueName="[PT Q1].[Health Insurance No Flag].[All]" allUniqueName="[PT Q1].[Health Insurance No Flag].[All]" dimensionUniqueName="[PT Q1]" displayFolder="" count="0" memberValueDatatype="20" unbalanced="0"/>
    <cacheHierarchy uniqueName="[PT Q1].[Health Insurance In the Past Flag]" caption="Health Insurance In the Past Flag" attribute="1" defaultMemberUniqueName="[PT Q1].[Health Insurance In the Past Flag].[All]" allUniqueName="[PT Q1].[Health Insurance In the Past Flag].[All]" dimensionUniqueName="[PT Q1]" displayFolder="" count="0" memberValueDatatype="20" unbalanced="0"/>
    <cacheHierarchy uniqueName="[PT Q1].[Medicare Flag]" caption="Medicare Flag" attribute="1" defaultMemberUniqueName="[PT Q1].[Medicare Flag].[All]" allUniqueName="[PT Q1].[Medicare Flag].[All]" dimensionUniqueName="[PT Q1]" displayFolder="" count="0" memberValueDatatype="20" unbalanced="0"/>
    <cacheHierarchy uniqueName="[PT Q1].[Medicaid Flag]" caption="Medicaid Flag" attribute="1" defaultMemberUniqueName="[PT Q1].[Medicaid Flag].[All]" allUniqueName="[PT Q1].[Medicaid Flag].[All]" dimensionUniqueName="[PT Q1]" displayFolder="" count="0" memberValueDatatype="20" unbalanced="0"/>
    <cacheHierarchy uniqueName="[PT Q1].[Private/Commercial Flag]" caption="Private/Commercial Flag" attribute="1" defaultMemberUniqueName="[PT Q1].[Private/Commercial Flag].[All]" allUniqueName="[PT Q1].[Private/Commercial Flag].[All]" dimensionUniqueName="[PT Q1]" displayFolder="" count="0" memberValueDatatype="20" unbalanced="0"/>
    <cacheHierarchy uniqueName="[PT Q1].[No Insurance Flag]" caption="No Insurance Flag" attribute="1" defaultMemberUniqueName="[PT Q1].[No Insurance Flag].[All]" allUniqueName="[PT Q1].[No Insurance Flag].[All]" dimensionUniqueName="[PT Q1]" displayFolder="" count="0" memberValueDatatype="20" unbalanced="0"/>
    <cacheHierarchy uniqueName="[PT Q1 1].[RespondentID]" caption="RespondentID" attribute="1" defaultMemberUniqueName="[PT Q1 1].[RespondentID].[All]" allUniqueName="[PT Q1 1].[RespondentID].[All]" dimensionUniqueName="[PT Q1 1]" displayFolder="" count="0" memberValueDatatype="5" unbalanced="0"/>
    <cacheHierarchy uniqueName="[PT Q1 1].[Asthma/lung disease]" caption="Asthma/lung disease" attribute="1" defaultMemberUniqueName="[PT Q1 1].[Asthma/lung disease].[All]" allUniqueName="[PT Q1 1].[Asthma/lung disease].[All]" dimensionUniqueName="[PT Q1 1]" displayFolder="" count="0" memberValueDatatype="130" unbalanced="0"/>
    <cacheHierarchy uniqueName="[PT Q1 1].[Cancer]" caption="Cancer" attribute="1" defaultMemberUniqueName="[PT Q1 1].[Cancer].[All]" allUniqueName="[PT Q1 1].[Cancer].[All]" dimensionUniqueName="[PT Q1 1]" displayFolder="" count="0" memberValueDatatype="130" unbalanced="0"/>
    <cacheHierarchy uniqueName="[PT Q1 1].[Heart disease &amp; stroke]" caption="Heart disease &amp; stroke" attribute="1" defaultMemberUniqueName="[PT Q1 1].[Heart disease &amp; stroke].[All]" allUniqueName="[PT Q1 1].[Heart disease &amp; stroke].[All]" dimensionUniqueName="[PT Q1 1]" displayFolder="" count="0" memberValueDatatype="130" unbalanced="0"/>
    <cacheHierarchy uniqueName="[PT Q1 1].[Safety]" caption="Safety" attribute="1" defaultMemberUniqueName="[PT Q1 1].[Safety].[All]" allUniqueName="[PT Q1 1].[Safety].[All]" dimensionUniqueName="[PT Q1 1]" displayFolder="" count="0" memberValueDatatype="130" unbalanced="0"/>
    <cacheHierarchy uniqueName="[PT Q1 1].[HIV/AIDS &amp; Sexually Transmitted Diseases (STDs)]" caption="HIV/AIDS &amp; Sexually Transmitted Diseases (STDs)" attribute="1" defaultMemberUniqueName="[PT Q1 1].[HIV/AIDS &amp; Sexually Transmitted Diseases (STDs)].[All]" allUniqueName="[PT Q1 1].[HIV/AIDS &amp; Sexually Transmitted Diseases (STDs)].[All]" dimensionUniqueName="[PT Q1 1]" displayFolder="" count="0" memberValueDatatype="130" unbalanced="0"/>
    <cacheHierarchy uniqueName="[PT Q1 1].[Vaccine preventable diseases]" caption="Vaccine preventable diseases" attribute="1" defaultMemberUniqueName="[PT Q1 1].[Vaccine preventable diseases].[All]" allUniqueName="[PT Q1 1].[Vaccine preventable diseases].[All]" dimensionUniqueName="[PT Q1 1]" displayFolder="" count="0" memberValueDatatype="130" unbalanced="0"/>
    <cacheHierarchy uniqueName="[PT Q1 1].[Child health &amp; wellness]" caption="Child health &amp; wellness" attribute="1" defaultMemberUniqueName="[PT Q1 1].[Child health &amp; wellness].[All]" allUniqueName="[PT Q1 1].[Child health &amp; wellness].[All]" dimensionUniqueName="[PT Q1 1]" displayFolder="" count="0" memberValueDatatype="130" unbalanced="0"/>
    <cacheHierarchy uniqueName="[PT Q1 1].[Women’s health &amp; wellness]" caption="Women’s health &amp; wellness" attribute="1" defaultMemberUniqueName="[PT Q1 1].[Women’s health &amp; wellness].[All]" allUniqueName="[PT Q1 1].[Women’s health &amp; wellness].[All]" dimensionUniqueName="[PT Q1 1]" displayFolder="" count="0" memberValueDatatype="130" unbalanced="0"/>
    <cacheHierarchy uniqueName="[PT Q1 1].[Diabetes]" caption="Diabetes" attribute="1" defaultMemberUniqueName="[PT Q1 1].[Diabetes].[All]" allUniqueName="[PT Q1 1].[Diabetes].[All]" dimensionUniqueName="[PT Q1 1]" displayFolder="" count="0" memberValueDatatype="130" unbalanced="0"/>
    <cacheHierarchy uniqueName="[PT Q1 1].[Mental health depression/suicide]" caption="Mental health depression/suicide" attribute="1" defaultMemberUniqueName="[PT Q1 1].[Mental health depression/suicide].[All]" allUniqueName="[PT Q1 1].[Mental health depression/suicide].[All]" dimensionUniqueName="[PT Q1 1]" displayFolder="" count="0" memberValueDatatype="130" unbalanced="0"/>
    <cacheHierarchy uniqueName="[PT Q1 1].[Drugs &amp; alcohol abuse]" caption="Drugs &amp; alcohol abuse" attribute="1" defaultMemberUniqueName="[PT Q1 1].[Drugs &amp; alcohol abuse].[All]" allUniqueName="[PT Q1 1].[Drugs &amp; alcohol abuse].[All]" dimensionUniqueName="[PT Q1 1]" displayFolder="" count="0" memberValueDatatype="130" unbalanced="0"/>
    <cacheHierarchy uniqueName="[PT Q1 1].[Environmental hazards]" caption="Environmental hazards" attribute="1" defaultMemberUniqueName="[PT Q1 1].[Environmental hazards].[All]" allUniqueName="[PT Q1 1].[Environmental hazards].[All]" dimensionUniqueName="[PT Q1 1]" displayFolder="" count="0" memberValueDatatype="130" unbalanced="0"/>
    <cacheHierarchy uniqueName="[PT Q1 1].[Obesity/weight loss issues]" caption="Obesity/weight loss issues" attribute="1" defaultMemberUniqueName="[PT Q1 1].[Obesity/weight loss issues].[All]" allUniqueName="[PT Q1 1].[Obesity/weight loss issues].[All]" dimensionUniqueName="[PT Q1 1]" displayFolder="" count="0" memberValueDatatype="130" unbalanced="0"/>
    <cacheHierarchy uniqueName="[PT Q1 1].[Column1]" caption="Column1" attribute="1" defaultMemberUniqueName="[PT Q1 1].[Column1].[All]" allUniqueName="[PT Q1 1].[Column1].[All]" dimensionUniqueName="[PT Q1 1]" displayFolder="" count="0" memberValueDatatype="130" unbalanced="0"/>
    <cacheHierarchy uniqueName="[PT Q1 1].[Count of Selection]" caption="Count of Selection" attribute="1" defaultMemberUniqueName="[PT Q1 1].[Count of Selection].[All]" allUniqueName="[PT Q1 1].[Count of Selection].[All]" dimensionUniqueName="[PT Q1 1]" displayFolder="" count="0" memberValueDatatype="20" unbalanced="0"/>
    <cacheHierarchy uniqueName="[PT Q1 1].[Weight]" caption="Weight" attribute="1" defaultMemberUniqueName="[PT Q1 1].[Weight].[All]" allUniqueName="[PT Q1 1].[Weight].[All]" dimensionUniqueName="[PT Q1 1]" displayFolder="" count="0" memberValueDatatype="130" unbalanced="0"/>
    <cacheHierarchy uniqueName="[PT Q1 1].[Column2]" caption="Column2" attribute="1" defaultMemberUniqueName="[PT Q1 1].[Column2].[All]" allUniqueName="[PT Q1 1].[Column2].[All]" dimensionUniqueName="[PT Q1 1]" displayFolder="" count="0" memberValueDatatype="130" unbalanced="0"/>
    <cacheHierarchy uniqueName="[PT Q1 1].[Asthma/lung disease3]" caption="Asthma/lung disease3" attribute="1" defaultMemberUniqueName="[PT Q1 1].[Asthma/lung disease3].[All]" allUniqueName="[PT Q1 1].[Asthma/lung disease3].[All]" dimensionUniqueName="[PT Q1 1]" displayFolder="" count="0" memberValueDatatype="5" unbalanced="0"/>
    <cacheHierarchy uniqueName="[PT Q1 1].[Cancer4]" caption="Cancer4" attribute="1" defaultMemberUniqueName="[PT Q1 1].[Cancer4].[All]" allUniqueName="[PT Q1 1].[Cancer4].[All]" dimensionUniqueName="[PT Q1 1]" displayFolder="" count="0" memberValueDatatype="5" unbalanced="0"/>
    <cacheHierarchy uniqueName="[PT Q1 1].[Heart disease &amp; stroke5]" caption="Heart disease &amp; stroke5" attribute="1" defaultMemberUniqueName="[PT Q1 1].[Heart disease &amp; stroke5].[All]" allUniqueName="[PT Q1 1].[Heart disease &amp; stroke5].[All]" dimensionUniqueName="[PT Q1 1]" displayFolder="" count="0" memberValueDatatype="5" unbalanced="0"/>
    <cacheHierarchy uniqueName="[PT Q1 1].[Safety6]" caption="Safety6" attribute="1" defaultMemberUniqueName="[PT Q1 1].[Safety6].[All]" allUniqueName="[PT Q1 1].[Safety6].[All]" dimensionUniqueName="[PT Q1 1]" displayFolder="" count="0" memberValueDatatype="5" unbalanced="0"/>
    <cacheHierarchy uniqueName="[PT Q1 1].[HIV/AIDS &amp; Sexually Transmitted Diseases (STDs)7]" caption="HIV/AIDS &amp; Sexually Transmitted Diseases (STDs)7" attribute="1" defaultMemberUniqueName="[PT Q1 1].[HIV/AIDS &amp; Sexually Transmitted Diseases (STDs)7].[All]" allUniqueName="[PT Q1 1].[HIV/AIDS &amp; Sexually Transmitted Diseases (STDs)7].[All]" dimensionUniqueName="[PT Q1 1]" displayFolder="" count="0" memberValueDatatype="5" unbalanced="0"/>
    <cacheHierarchy uniqueName="[PT Q1 1].[Vaccine preventable diseases8]" caption="Vaccine preventable diseases8" attribute="1" defaultMemberUniqueName="[PT Q1 1].[Vaccine preventable diseases8].[All]" allUniqueName="[PT Q1 1].[Vaccine preventable diseases8].[All]" dimensionUniqueName="[PT Q1 1]" displayFolder="" count="0" memberValueDatatype="5" unbalanced="0"/>
    <cacheHierarchy uniqueName="[PT Q1 1].[Child health &amp; wellness9]" caption="Child health &amp; wellness9" attribute="1" defaultMemberUniqueName="[PT Q1 1].[Child health &amp; wellness9].[All]" allUniqueName="[PT Q1 1].[Child health &amp; wellness9].[All]" dimensionUniqueName="[PT Q1 1]" displayFolder="" count="0" memberValueDatatype="5" unbalanced="0"/>
    <cacheHierarchy uniqueName="[PT Q1 1].[Women’s health &amp; wellness10]" caption="Women’s health &amp; wellness10" attribute="1" defaultMemberUniqueName="[PT Q1 1].[Women’s health &amp; wellness10].[All]" allUniqueName="[PT Q1 1].[Women’s health &amp; wellness10].[All]" dimensionUniqueName="[PT Q1 1]" displayFolder="" count="0" memberValueDatatype="5" unbalanced="0"/>
    <cacheHierarchy uniqueName="[PT Q1 1].[Diabetes11]" caption="Diabetes11" attribute="1" defaultMemberUniqueName="[PT Q1 1].[Diabetes11].[All]" allUniqueName="[PT Q1 1].[Diabetes11].[All]" dimensionUniqueName="[PT Q1 1]" displayFolder="" count="0" memberValueDatatype="5" unbalanced="0"/>
    <cacheHierarchy uniqueName="[PT Q1 1].[Mental health depression/suicide12]" caption="Mental health depression/suicide12" attribute="1" defaultMemberUniqueName="[PT Q1 1].[Mental health depression/suicide12].[All]" allUniqueName="[PT Q1 1].[Mental health depression/suicide12].[All]" dimensionUniqueName="[PT Q1 1]" displayFolder="" count="0" memberValueDatatype="5" unbalanced="0"/>
    <cacheHierarchy uniqueName="[PT Q1 1].[Drugs &amp; alcohol abuse13]" caption="Drugs &amp; alcohol abuse13" attribute="1" defaultMemberUniqueName="[PT Q1 1].[Drugs &amp; alcohol abuse13].[All]" allUniqueName="[PT Q1 1].[Drugs &amp; alcohol abuse13].[All]" dimensionUniqueName="[PT Q1 1]" displayFolder="" count="0" memberValueDatatype="5" unbalanced="0"/>
    <cacheHierarchy uniqueName="[PT Q1 1].[Environmental hazards14]" caption="Environmental hazards14" attribute="1" defaultMemberUniqueName="[PT Q1 1].[Environmental hazards14].[All]" allUniqueName="[PT Q1 1].[Environmental hazards14].[All]" dimensionUniqueName="[PT Q1 1]" displayFolder="" count="0" memberValueDatatype="5" unbalanced="0"/>
    <cacheHierarchy uniqueName="[PT Q1 1].[Obesity/weight loss issues15]" caption="Obesity/weight loss issues15" attribute="1" defaultMemberUniqueName="[PT Q1 1].[Obesity/weight loss issues15].[All]" allUniqueName="[PT Q1 1].[Obesity/weight loss issues15].[All]" dimensionUniqueName="[PT Q1 1]" displayFolder="" count="0" memberValueDatatype="5" unbalanced="0"/>
    <cacheHierarchy uniqueName="[PT Q1 1].[Column3]" caption="Column3" attribute="1" defaultMemberUniqueName="[PT Q1 1].[Column3].[All]" allUniqueName="[PT Q1 1].[Column3].[All]" dimensionUniqueName="[PT Q1 1]" displayFolder="" count="0" memberValueDatatype="130" unbalanced="0"/>
    <cacheHierarchy uniqueName="[PT Q1 1].[Column4]" caption="Column4" attribute="1" defaultMemberUniqueName="[PT Q1 1].[Column4].[All]" allUniqueName="[PT Q1 1].[Column4].[All]" dimensionUniqueName="[PT Q1 1]" displayFolder="" count="0" memberValueDatatype="130" unbalanced="0"/>
    <cacheHierarchy uniqueName="[PT Q1 1].[Observed]" caption="Observed" attribute="1" defaultMemberUniqueName="[PT Q1 1].[Observed].[All]" allUniqueName="[PT Q1 1].[Observed].[All]" dimensionUniqueName="[PT Q1 1]" displayFolder="" count="0" memberValueDatatype="5" unbalanced="0"/>
    <cacheHierarchy uniqueName="[PT Q1 1].[Expected]" caption="Expected" attribute="1" defaultMemberUniqueName="[PT Q1 1].[Expected].[All]" allUniqueName="[PT Q1 1].[Expected].[All]" dimensionUniqueName="[PT Q1 1]" displayFolder="" count="0" memberValueDatatype="20" unbalanced="0"/>
    <cacheHierarchy uniqueName="[PT Q1 1].[Column18]" caption="Column18" attribute="1" defaultMemberUniqueName="[PT Q1 1].[Column18].[All]" allUniqueName="[PT Q1 1].[Column18].[All]" dimensionUniqueName="[PT Q1 1]" displayFolder="" count="0" memberValueDatatype="130" unbalanced="0"/>
    <cacheHierarchy uniqueName="[PT Q1 1].[Column5]" caption="Column5" attribute="1" defaultMemberUniqueName="[PT Q1 1].[Column5].[All]" allUniqueName="[PT Q1 1].[Column5].[All]" dimensionUniqueName="[PT Q1 1]" displayFolder="" count="0" memberValueDatatype="130" unbalanced="0"/>
    <cacheHierarchy uniqueName="[PT Q1 1].[I identify as:]" caption="I identify as:" attribute="1" defaultMemberUniqueName="[PT Q1 1].[I identify as:].[All]" allUniqueName="[PT Q1 1].[I identify as:].[All]" dimensionUniqueName="[PT Q1 1]" displayFolder="" count="0" memberValueDatatype="130" unbalanced="0"/>
    <cacheHierarchy uniqueName="[PT Q1 1].[What is your age?]" caption="What is your age?" attribute="1" defaultMemberUniqueName="[PT Q1 1].[What is your age?].[All]" allUniqueName="[PT Q1 1].[What is your age?].[All]" dimensionUniqueName="[PT Q1 1]" displayFolder="" count="0" memberValueDatatype="20" unbalanced="0"/>
    <cacheHierarchy uniqueName="[PT Q1 1].[County where you live:]" caption="County where you live:" attribute="1" defaultMemberUniqueName="[PT Q1 1].[County where you live:].[All]" allUniqueName="[PT Q1 1].[County where you live:].[All]" dimensionUniqueName="[PT Q1 1]" displayFolder="" count="0" memberValueDatatype="130" unbalanced="0"/>
    <cacheHierarchy uniqueName="[PT Q1 1].[Town and ZIP code where you live:]" caption="Town and ZIP code where you live:" attribute="1" defaultMemberUniqueName="[PT Q1 1].[Town and ZIP code where you live:].[All]" allUniqueName="[PT Q1 1].[Town and ZIP code where you live:].[All]" dimensionUniqueName="[PT Q1 1]" displayFolder="" count="0" memberValueDatatype="130" unbalanced="0"/>
    <cacheHierarchy uniqueName="[PT Q1 1].[What race do you consider yourself?]" caption="What race do you consider yourself?" attribute="1" defaultMemberUniqueName="[PT Q1 1].[What race do you consider yourself?].[All]" allUniqueName="[PT Q1 1].[What race do you consider yourself?].[All]" dimensionUniqueName="[PT Q1 1]" displayFolder="" count="0" memberValueDatatype="130" unbalanced="0"/>
    <cacheHierarchy uniqueName="[PT Q1 1].[Are you Hispanic or Latino?]" caption="Are you Hispanic or Latino?" attribute="1" defaultMemberUniqueName="[PT Q1 1].[Are you Hispanic or Latino?].[All]" allUniqueName="[PT Q1 1].[Are you Hispanic or Latino?].[All]" dimensionUniqueName="[PT Q1 1]" displayFolder="" count="0" memberValueDatatype="130" unbalanced="0"/>
    <cacheHierarchy uniqueName="[PT Q1 1].[What language do you speak when you are at home (select all that apply)]" caption="What language do you speak when you are at home (select all that apply)" attribute="1" defaultMemberUniqueName="[PT Q1 1].[What language do you speak when you are at home (select all that apply)].[All]" allUniqueName="[PT Q1 1].[What language do you speak when you are at home (select all that apply)].[All]" dimensionUniqueName="[PT Q1 1]" displayFolder="" count="0" memberValueDatatype="130" unbalanced="0"/>
    <cacheHierarchy uniqueName="[PT Q1 1].[What is your annual household income from all sources?]" caption="What is your annual household income from all sources?" attribute="1" defaultMemberUniqueName="[PT Q1 1].[What is your annual household income from all sources?].[All]" allUniqueName="[PT Q1 1].[What is your annual household income from all sources?].[All]" dimensionUniqueName="[PT Q1 1]" displayFolder="" count="0" memberValueDatatype="130" unbalanced="0"/>
    <cacheHierarchy uniqueName="[PT Q1 1].[What is your highest level of education?]" caption="What is your highest level of education?" attribute="1" defaultMemberUniqueName="[PT Q1 1].[What is your highest level of education?].[All]" allUniqueName="[PT Q1 1].[What is your highest level of education?].[All]" dimensionUniqueName="[PT Q1 1]" displayFolder="" count="0" memberValueDatatype="130" unbalanced="0"/>
    <cacheHierarchy uniqueName="[PT Q1 1].[What is your current employment status?]" caption="What is your current employment status?" attribute="1" defaultMemberUniqueName="[PT Q1 1].[What is your current employment status?].[All]" allUniqueName="[PT Q1 1].[What is your current employment status?].[All]" dimensionUniqueName="[PT Q1 1]" displayFolder="" count="0" memberValueDatatype="130" unbalanced="0"/>
    <cacheHierarchy uniqueName="[PT Q1 1].[Do you currently have health insurance?]" caption="Do you currently have health insurance?" attribute="1" defaultMemberUniqueName="[PT Q1 1].[Do you currently have health insurance?].[All]" allUniqueName="[PT Q1 1].[Do you currently have health insurance?].[All]" dimensionUniqueName="[PT Q1 1]" displayFolder="" count="0" memberValueDatatype="130" unbalanced="0"/>
    <cacheHierarchy uniqueName="[PT Q1 1].[What type of insurance do you have?]" caption="What type of insurance do you have?" attribute="1" defaultMemberUniqueName="[PT Q1 1].[What type of insurance do you have?].[All]" allUniqueName="[PT Q1 1].[What type of insurance do you have?].[All]" dimensionUniqueName="[PT Q1 1]" displayFolder="" count="0" memberValueDatatype="130" unbalanced="0"/>
    <cacheHierarchy uniqueName="[PT Q1 1].[Do you have access to reliable internet in your home?]" caption="Do you have access to reliable internet in your home?" attribute="1" defaultMemberUniqueName="[PT Q1 1].[Do you have access to reliable internet in your home?].[All]" allUniqueName="[PT Q1 1].[Do you have access to reliable internet in your home?].[All]" dimensionUniqueName="[PT Q1 1]" displayFolder="" count="0" memberValueDatatype="130" unbalanced="0"/>
    <cacheHierarchy uniqueName="[PT Q1 1].[Female Flag]" caption="Female Flag" attribute="1" defaultMemberUniqueName="[PT Q1 1].[Female Flag].[All]" allUniqueName="[PT Q1 1].[Female Flag].[All]" dimensionUniqueName="[PT Q1 1]" displayFolder="" count="0" memberValueDatatype="20" unbalanced="0"/>
    <cacheHierarchy uniqueName="[PT Q1 1].[Male Flag]" caption="Male Flag" attribute="1" defaultMemberUniqueName="[PT Q1 1].[Male Flag].[All]" allUniqueName="[PT Q1 1].[Male Flag].[All]" dimensionUniqueName="[PT Q1 1]" displayFolder="" count="0" memberValueDatatype="20" unbalanced="0"/>
    <cacheHierarchy uniqueName="[PT Q1 1].[Other Flag]" caption="Other Flag" attribute="1" defaultMemberUniqueName="[PT Q1 1].[Other Flag].[All]" allUniqueName="[PT Q1 1].[Other Flag].[All]" dimensionUniqueName="[PT Q1 1]" displayFolder="" count="0" memberValueDatatype="20" unbalanced="0"/>
    <cacheHierarchy uniqueName="[PT Q1 1].[Hispanic Flag]" caption="Hispanic Flag" attribute="1" defaultMemberUniqueName="[PT Q1 1].[Hispanic Flag].[All]" allUniqueName="[PT Q1 1].[Hispanic Flag].[All]" dimensionUniqueName="[PT Q1 1]" displayFolder="" count="0" memberValueDatatype="20" unbalanced="0"/>
    <cacheHierarchy uniqueName="[PT Q1 1].[White/Caucasian Flag]" caption="White/Caucasian Flag" attribute="1" defaultMemberUniqueName="[PT Q1 1].[White/Caucasian Flag].[All]" allUniqueName="[PT Q1 1].[White/Caucasian Flag].[All]" dimensionUniqueName="[PT Q1 1]" displayFolder="" count="0" memberValueDatatype="20" unbalanced="0"/>
    <cacheHierarchy uniqueName="[PT Q1 1].[Black/African American Flag]" caption="Black/African American Flag" attribute="1" defaultMemberUniqueName="[PT Q1 1].[Black/African American Flag].[All]" allUniqueName="[PT Q1 1].[Black/African American Flag].[All]" dimensionUniqueName="[PT Q1 1]" displayFolder="" count="0" memberValueDatatype="20" unbalanced="0"/>
    <cacheHierarchy uniqueName="[PT Q1 1].[Asian/Pacific Islander Flag]" caption="Asian/Pacific Islander Flag" attribute="1" defaultMemberUniqueName="[PT Q1 1].[Asian/Pacific Islander Flag].[All]" allUniqueName="[PT Q1 1].[Asian/Pacific Islander Flag].[All]" dimensionUniqueName="[PT Q1 1]" displayFolder="" count="0" memberValueDatatype="20" unbalanced="0"/>
    <cacheHierarchy uniqueName="[PT Q1 1].[Native American Flag]" caption="Native American Flag" attribute="1" defaultMemberUniqueName="[PT Q1 1].[Native American Flag].[All]" allUniqueName="[PT Q1 1].[Native American Flag].[All]" dimensionUniqueName="[PT Q1 1]" displayFolder="" count="0" memberValueDatatype="20" unbalanced="0"/>
    <cacheHierarchy uniqueName="[PT Q1 1].[Multi-racial Flag]" caption="Multi-racial Flag" attribute="1" defaultMemberUniqueName="[PT Q1 1].[Multi-racial Flag].[All]" allUniqueName="[PT Q1 1].[Multi-racial Flag].[All]" dimensionUniqueName="[PT Q1 1]" displayFolder="" count="0" memberValueDatatype="20" unbalanced="0"/>
    <cacheHierarchy uniqueName="[PT Q1 1].[Other Race Flag]" caption="Other Race Flag" attribute="1" defaultMemberUniqueName="[PT Q1 1].[Other Race Flag].[All]" allUniqueName="[PT Q1 1].[Other Race Flag].[All]" dimensionUniqueName="[PT Q1 1]" displayFolder="" count="0" memberValueDatatype="20" unbalanced="0"/>
    <cacheHierarchy uniqueName="[PT Q1 1].[$0-$19,999 Flag]" caption="$0-$19,999 Flag" attribute="1" defaultMemberUniqueName="[PT Q1 1].[$0-$19,999 Flag].[All]" allUniqueName="[PT Q1 1].[$0-$19,999 Flag].[All]" dimensionUniqueName="[PT Q1 1]" displayFolder="" count="0" memberValueDatatype="20" unbalanced="0"/>
    <cacheHierarchy uniqueName="[PT Q1 1].[$20,000 to $34,999 Flag]" caption="$20,000 to $34,999 Flag" attribute="1" defaultMemberUniqueName="[PT Q1 1].[$20,000 to $34,999 Flag].[All]" allUniqueName="[PT Q1 1].[$20,000 to $34,999 Flag].[All]" dimensionUniqueName="[PT Q1 1]" displayFolder="" count="0" memberValueDatatype="20" unbalanced="0"/>
    <cacheHierarchy uniqueName="[PT Q1 1].[$35,000 to $49,999 Flag]" caption="$35,000 to $49,999 Flag" attribute="1" defaultMemberUniqueName="[PT Q1 1].[$35,000 to $49,999 Flag].[All]" allUniqueName="[PT Q1 1].[$35,000 to $49,999 Flag].[All]" dimensionUniqueName="[PT Q1 1]" displayFolder="" count="0" memberValueDatatype="20" unbalanced="0"/>
    <cacheHierarchy uniqueName="[PT Q1 1].[$50,000 to $74,999 Flag]" caption="$50,000 to $74,999 Flag" attribute="1" defaultMemberUniqueName="[PT Q1 1].[$50,000 to $74,999 Flag].[All]" allUniqueName="[PT Q1 1].[$50,000 to $74,999 Flag].[All]" dimensionUniqueName="[PT Q1 1]" displayFolder="" count="0" memberValueDatatype="20" unbalanced="0"/>
    <cacheHierarchy uniqueName="[PT Q1 1].[$75,000 to $125,000 Flag]" caption="$75,000 to $125,000 Flag" attribute="1" defaultMemberUniqueName="[PT Q1 1].[$75,000 to $125,000 Flag].[All]" allUniqueName="[PT Q1 1].[$75,000 to $125,000 Flag].[All]" dimensionUniqueName="[PT Q1 1]" displayFolder="" count="0" memberValueDatatype="20" unbalanced="0"/>
    <cacheHierarchy uniqueName="[PT Q1 1].[Over $125,000 Flag]" caption="Over $125,000 Flag" attribute="1" defaultMemberUniqueName="[PT Q1 1].[Over $125,000 Flag].[All]" allUniqueName="[PT Q1 1].[Over $125,000 Flag].[All]" dimensionUniqueName="[PT Q1 1]" displayFolder="" count="0" memberValueDatatype="20" unbalanced="0"/>
    <cacheHierarchy uniqueName="[PT Q1 1].[18-24 Flag]" caption="18-24 Flag" attribute="1" defaultMemberUniqueName="[PT Q1 1].[18-24 Flag].[All]" allUniqueName="[PT Q1 1].[18-24 Flag].[All]" dimensionUniqueName="[PT Q1 1]" displayFolder="" count="0" memberValueDatatype="20" unbalanced="0"/>
    <cacheHierarchy uniqueName="[PT Q1 1].[25-34 Flag]" caption="25-34 Flag" attribute="1" defaultMemberUniqueName="[PT Q1 1].[25-34 Flag].[All]" allUniqueName="[PT Q1 1].[25-34 Flag].[All]" dimensionUniqueName="[PT Q1 1]" displayFolder="" count="0" memberValueDatatype="20" unbalanced="0"/>
    <cacheHierarchy uniqueName="[PT Q1 1].[35-44 Flag]" caption="35-44 Flag" attribute="1" defaultMemberUniqueName="[PT Q1 1].[35-44 Flag].[All]" allUniqueName="[PT Q1 1].[35-44 Flag].[All]" dimensionUniqueName="[PT Q1 1]" displayFolder="" count="0" memberValueDatatype="20" unbalanced="0"/>
    <cacheHierarchy uniqueName="[PT Q1 1].[45-54 Flag]" caption="45-54 Flag" attribute="1" defaultMemberUniqueName="[PT Q1 1].[45-54 Flag].[All]" allUniqueName="[PT Q1 1].[45-54 Flag].[All]" dimensionUniqueName="[PT Q1 1]" displayFolder="" count="0" memberValueDatatype="20" unbalanced="0"/>
    <cacheHierarchy uniqueName="[PT Q1 1].[55-64 Flag]" caption="55-64 Flag" attribute="1" defaultMemberUniqueName="[PT Q1 1].[55-64 Flag].[All]" allUniqueName="[PT Q1 1].[55-64 Flag].[All]" dimensionUniqueName="[PT Q1 1]" displayFolder="" count="0" memberValueDatatype="20" unbalanced="0"/>
    <cacheHierarchy uniqueName="[PT Q1 1].[65+ Flag]" caption="65+ Flag" attribute="1" defaultMemberUniqueName="[PT Q1 1].[65+ Flag].[All]" allUniqueName="[PT Q1 1].[65+ Flag].[All]" dimensionUniqueName="[PT Q1 1]" displayFolder="" count="0" memberValueDatatype="20" unbalanced="0"/>
    <cacheHierarchy uniqueName="[PT Q1 1].[K-8th Flag]" caption="K-8th Flag" attribute="1" defaultMemberUniqueName="[PT Q1 1].[K-8th Flag].[All]" allUniqueName="[PT Q1 1].[K-8th Flag].[All]" dimensionUniqueName="[PT Q1 1]" displayFolder="" count="0" memberValueDatatype="20" unbalanced="0"/>
    <cacheHierarchy uniqueName="[PT Q1 1].[Some high school Flag]" caption="Some high school Flag" attribute="1" defaultMemberUniqueName="[PT Q1 1].[Some high school Flag].[All]" allUniqueName="[PT Q1 1].[Some high school Flag].[All]" dimensionUniqueName="[PT Q1 1]" displayFolder="" count="0" memberValueDatatype="20" unbalanced="0"/>
    <cacheHierarchy uniqueName="[PT Q1 1].[High school graduate Flag]" caption="High school graduate Flag" attribute="1" defaultMemberUniqueName="[PT Q1 1].[High school graduate Flag].[All]" allUniqueName="[PT Q1 1].[High school graduate Flag].[All]" dimensionUniqueName="[PT Q1 1]" displayFolder="" count="0" memberValueDatatype="20" unbalanced="0"/>
    <cacheHierarchy uniqueName="[PT Q1 1].[Technical school Flag]" caption="Technical school Flag" attribute="1" defaultMemberUniqueName="[PT Q1 1].[Technical school Flag].[All]" allUniqueName="[PT Q1 1].[Technical school Flag].[All]" dimensionUniqueName="[PT Q1 1]" displayFolder="" count="0" memberValueDatatype="20" unbalanced="0"/>
    <cacheHierarchy uniqueName="[PT Q1 1].[Some college Flag]" caption="Some college Flag" attribute="1" defaultMemberUniqueName="[PT Q1 1].[Some college Flag].[All]" allUniqueName="[PT Q1 1].[Some college Flag].[All]" dimensionUniqueName="[PT Q1 1]" displayFolder="" count="0" memberValueDatatype="20" unbalanced="0"/>
    <cacheHierarchy uniqueName="[PT Q1 1].[College graduate Flag]" caption="College graduate Flag" attribute="1" defaultMemberUniqueName="[PT Q1 1].[College graduate Flag].[All]" allUniqueName="[PT Q1 1].[College graduate Flag].[All]" dimensionUniqueName="[PT Q1 1]" displayFolder="" count="0" memberValueDatatype="20" unbalanced="0"/>
    <cacheHierarchy uniqueName="[PT Q1 1].[Graduate school Flag]" caption="Graduate school Flag" attribute="1" defaultMemberUniqueName="[PT Q1 1].[Graduate school Flag].[All]" allUniqueName="[PT Q1 1].[Graduate school Flag].[All]" dimensionUniqueName="[PT Q1 1]" displayFolder="" count="0" memberValueDatatype="20" unbalanced="0"/>
    <cacheHierarchy uniqueName="[PT Q1 1].[Doctorate Flag]" caption="Doctorate Flag" attribute="1" defaultMemberUniqueName="[PT Q1 1].[Doctorate Flag].[All]" allUniqueName="[PT Q1 1].[Doctorate Flag].[All]" dimensionUniqueName="[PT Q1 1]" displayFolder="" count="0" memberValueDatatype="20" unbalanced="0"/>
    <cacheHierarchy uniqueName="[PT Q1 1].[GED Flag]" caption="GED Flag" attribute="1" defaultMemberUniqueName="[PT Q1 1].[GED Flag].[All]" allUniqueName="[PT Q1 1].[GED Flag].[All]" dimensionUniqueName="[PT Q1 1]" displayFolder="" count="0" memberValueDatatype="20" unbalanced="0"/>
    <cacheHierarchy uniqueName="[PT Q1 1].[None Flag]" caption="None Flag" attribute="1" defaultMemberUniqueName="[PT Q1 1].[None Flag].[All]" allUniqueName="[PT Q1 1].[None Flag].[All]" dimensionUniqueName="[PT Q1 1]" displayFolder="" count="0" memberValueDatatype="20" unbalanced="0"/>
    <cacheHierarchy uniqueName="[PT Q1 1].[Employed for Wages Flag]" caption="Employed for Wages Flag" attribute="1" defaultMemberUniqueName="[PT Q1 1].[Employed for Wages Flag].[All]" allUniqueName="[PT Q1 1].[Employed for Wages Flag].[All]" dimensionUniqueName="[PT Q1 1]" displayFolder="" count="0" memberValueDatatype="20" unbalanced="0"/>
    <cacheHierarchy uniqueName="[PT Q1 1].[Self-employed Flag]" caption="Self-employed Flag" attribute="1" defaultMemberUniqueName="[PT Q1 1].[Self-employed Flag].[All]" allUniqueName="[PT Q1 1].[Self-employed Flag].[All]" dimensionUniqueName="[PT Q1 1]" displayFolder="" count="0" memberValueDatatype="20" unbalanced="0"/>
    <cacheHierarchy uniqueName="[PT Q1 1].[Student Flag]" caption="Student Flag" attribute="1" defaultMemberUniqueName="[PT Q1 1].[Student Flag].[All]" allUniqueName="[PT Q1 1].[Student Flag].[All]" dimensionUniqueName="[PT Q1 1]" displayFolder="" count="0" memberValueDatatype="20" unbalanced="0"/>
    <cacheHierarchy uniqueName="[PT Q1 1].[Retired Flag]" caption="Retired Flag" attribute="1" defaultMemberUniqueName="[PT Q1 1].[Retired Flag].[All]" allUniqueName="[PT Q1 1].[Retired Flag].[All]" dimensionUniqueName="[PT Q1 1]" displayFolder="" count="0" memberValueDatatype="20" unbalanced="0"/>
    <cacheHierarchy uniqueName="[PT Q1 1].[Military Flag]" caption="Military Flag" attribute="1" defaultMemberUniqueName="[PT Q1 1].[Military Flag].[All]" allUniqueName="[PT Q1 1].[Military Flag].[All]" dimensionUniqueName="[PT Q1 1]" displayFolder="" count="0" memberValueDatatype="20" unbalanced="0"/>
    <cacheHierarchy uniqueName="[PT Q1 1].[Out of work and looking for work Flag]" caption="Out of work and looking for work Flag" attribute="1" defaultMemberUniqueName="[PT Q1 1].[Out of work and looking for work Flag].[All]" allUniqueName="[PT Q1 1].[Out of work and looking for work Flag].[All]" dimensionUniqueName="[PT Q1 1]" displayFolder="" count="0" memberValueDatatype="20" unbalanced="0"/>
    <cacheHierarchy uniqueName="[PT Q1 1].[Out of work, but not currently looking Flag]" caption="Out of work, but not currently looking Flag" attribute="1" defaultMemberUniqueName="[PT Q1 1].[Out of work, but not currently looking Flag].[All]" allUniqueName="[PT Q1 1].[Out of work, but not currently looking Flag].[All]" dimensionUniqueName="[PT Q1 1]" displayFolder="" count="0" memberValueDatatype="20" unbalanced="0"/>
    <cacheHierarchy uniqueName="[PT Q1 1].[Currently Insured Flag]" caption="Currently Insured Flag" attribute="1" defaultMemberUniqueName="[PT Q1 1].[Currently Insured Flag].[All]" allUniqueName="[PT Q1 1].[Currently Insured Flag].[All]" dimensionUniqueName="[PT Q1 1]" displayFolder="" count="0" memberValueDatatype="20" unbalanced="0"/>
    <cacheHierarchy uniqueName="[PT Q1 1].[Previously Insured Flag]" caption="Previously Insured Flag" attribute="1" defaultMemberUniqueName="[PT Q1 1].[Previously Insured Flag].[All]" allUniqueName="[PT Q1 1].[Previously Insured Flag].[All]" dimensionUniqueName="[PT Q1 1]" displayFolder="" count="0" memberValueDatatype="20" unbalanced="0"/>
    <cacheHierarchy uniqueName="[PT Q1 1].[Not Insured Flag]" caption="Not Insured Flag" attribute="1" defaultMemberUniqueName="[PT Q1 1].[Not Insured Flag].[All]" allUniqueName="[PT Q1 1].[Not Insured Flag].[All]" dimensionUniqueName="[PT Q1 1]" displayFolder="" count="0" memberValueDatatype="20" unbalanced="0"/>
    <cacheHierarchy uniqueName="[PT Q1 1].[Medicaid Flag]" caption="Medicaid Flag" attribute="1" defaultMemberUniqueName="[PT Q1 1].[Medicaid Flag].[All]" allUniqueName="[PT Q1 1].[Medicaid Flag].[All]" dimensionUniqueName="[PT Q1 1]" displayFolder="" count="0" memberValueDatatype="20" unbalanced="0"/>
    <cacheHierarchy uniqueName="[PT Q1 1].[Medicaid,Medicare Flag]" caption="Medicaid,Medicare Flag" attribute="1" defaultMemberUniqueName="[PT Q1 1].[Medicaid,Medicare Flag].[All]" allUniqueName="[PT Q1 1].[Medicaid,Medicare Flag].[All]" dimensionUniqueName="[PT Q1 1]" displayFolder="" count="0" memberValueDatatype="20" unbalanced="0"/>
    <cacheHierarchy uniqueName="[PT Q1 1].[Medicaid,Medicare,Private/Commercial Flag]" caption="Medicaid,Medicare,Private/Commercial Flag" attribute="1" defaultMemberUniqueName="[PT Q1 1].[Medicaid,Medicare,Private/Commercial Flag].[All]" allUniqueName="[PT Q1 1].[Medicaid,Medicare,Private/Commercial Flag].[All]" dimensionUniqueName="[PT Q1 1]" displayFolder="" count="0" memberValueDatatype="20" unbalanced="0"/>
    <cacheHierarchy uniqueName="[PT Q1 1].[Medicaid,Private/Commercial Flag]" caption="Medicaid,Private/Commercial Flag" attribute="1" defaultMemberUniqueName="[PT Q1 1].[Medicaid,Private/Commercial Flag].[All]" allUniqueName="[PT Q1 1].[Medicaid,Private/Commercial Flag].[All]" dimensionUniqueName="[PT Q1 1]" displayFolder="" count="0" memberValueDatatype="20" unbalanced="0"/>
    <cacheHierarchy uniqueName="[PT Q1 1].[Medicare Flag]" caption="Medicare Flag" attribute="1" defaultMemberUniqueName="[PT Q1 1].[Medicare Flag].[All]" allUniqueName="[PT Q1 1].[Medicare Flag].[All]" dimensionUniqueName="[PT Q1 1]" displayFolder="" count="0" memberValueDatatype="20" unbalanced="0"/>
    <cacheHierarchy uniqueName="[PT Q1 1].[Medicare,No Insurance Flag]" caption="Medicare,No Insurance Flag" attribute="1" defaultMemberUniqueName="[PT Q1 1].[Medicare,No Insurance Flag].[All]" allUniqueName="[PT Q1 1].[Medicare,No Insurance Flag].[All]" dimensionUniqueName="[PT Q1 1]" displayFolder="" count="0" memberValueDatatype="20" unbalanced="0"/>
    <cacheHierarchy uniqueName="[PT Q1 1].[Medicare,Private/Commercial Flag]" caption="Medicare,Private/Commercial Flag" attribute="1" defaultMemberUniqueName="[PT Q1 1].[Medicare,Private/Commercial Flag].[All]" allUniqueName="[PT Q1 1].[Medicare,Private/Commercial Flag].[All]" dimensionUniqueName="[PT Q1 1]" displayFolder="" count="0" memberValueDatatype="20" unbalanced="0"/>
    <cacheHierarchy uniqueName="[PT Q1 1].[No Insurance Flag]" caption="No Insurance Flag" attribute="1" defaultMemberUniqueName="[PT Q1 1].[No Insurance Flag].[All]" allUniqueName="[PT Q1 1].[No Insurance Flag].[All]" dimensionUniqueName="[PT Q1 1]" displayFolder="" count="0" memberValueDatatype="20" unbalanced="0"/>
    <cacheHierarchy uniqueName="[PT Q1 1].[Private/Commercial Flag]" caption="Private/Commercial Flag" attribute="1" defaultMemberUniqueName="[PT Q1 1].[Private/Commercial Flag].[All]" allUniqueName="[PT Q1 1].[Private/Commercial Flag].[All]" dimensionUniqueName="[PT Q1 1]" displayFolder="" count="0" memberValueDatatype="20" unbalanced="0"/>
    <cacheHierarchy uniqueName="[PT Q1 1].[Reliable Internet Flag]" caption="Reliable Internet Flag" attribute="1" defaultMemberUniqueName="[PT Q1 1].[Reliable Internet Flag].[All]" allUniqueName="[PT Q1 1].[Reliable Internet Flag].[All]" dimensionUniqueName="[PT Q1 1]" displayFolder="" count="0" memberValueDatatype="2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OTHER]" caption="OTHER" attribute="1" defaultMemberUniqueName="[PT Q2].[OTHER].[All]" allUniqueName="[PT Q2].[OTHER].[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5"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What type of insurance do you have?]" caption="What type of insurance do you have?" attribute="1" defaultMemberUniqueName="[PT Q2].[What type of insurance do you have?].[All]" allUniqueName="[PT Q2].[What type of insurance do you have?].[All]" dimensionUniqueName="[PT Q2]" displayFolder="" count="0" memberValueDatatype="130" unbalanced="0"/>
    <cacheHierarchy uniqueName="[PT Q2].[Do you have access to reliable internet in your home?]" caption="Do you have access to reliable internet in your home?" attribute="1" defaultMemberUniqueName="[PT Q2].[Do you have access to reliable internet in your home?].[All]" allUniqueName="[PT Q2].[Do you have access to reliable internet in your hom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immigration status)]" caption="Fear (e.g. not ready to face/discuss health problem; immigration status)" attribute="1" defaultMemberUniqueName="[PT Q3].[Fear (e.g. not ready to face/discuss health problem; immigration status)].[All]" allUniqueName="[PT Q3].[Fear (e.g. not ready to face/discuss health problem; immigration status)].[All]" dimensionUniqueName="[PT Q3]" displayFolder="" count="0" memberValueDatatype="130" unbalanced="0"/>
    <cacheHierarchy uniqueName="[PT Q3].[OTHER]" caption="OTHER" attribute="1" defaultMemberUniqueName="[PT Q3].[OTHER].[All]" allUniqueName="[PT Q3].[OTHER].[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immigration status)14]" caption="Fear (e.g. not ready to face/discuss health problem;immigration status)14" attribute="1" defaultMemberUniqueName="[PT Q3].[Fear (e.g. not ready to face/discuss health problem;immigration status)14].[All]" allUniqueName="[PT Q3].[Fear (e.g. not ready to face/discuss health problem;immigration status)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2" memberValueDatatype="130" unbalanced="0">
      <fieldsUsage count="2">
        <fieldUsage x="-1"/>
        <fieldUsage x="13"/>
      </fieldsUsage>
    </cacheHierarchy>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2" memberValueDatatype="130" unbalanced="0">
      <fieldsUsage count="2">
        <fieldUsage x="-1"/>
        <fieldUsage x="11"/>
      </fieldsUsage>
    </cacheHierarchy>
    <cacheHierarchy uniqueName="[PT Q3].[Town and ZIP code where you live:]" caption="Town and ZIP code where you live:" attribute="1" defaultMemberUniqueName="[PT Q3].[Town and ZIP code where you live:].[All]" allUniqueName="[PT Q3].[Town and ZIP code where you live:].[All]" dimensionUniqueName="[PT Q3]" displayFolder="" count="2" memberValueDatatype="130" unbalanced="0">
      <fieldsUsage count="2">
        <fieldUsage x="-1"/>
        <fieldUsage x="1"/>
      </fieldsUsage>
    </cacheHierarchy>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2" memberValueDatatype="130" unbalanced="0">
      <fieldsUsage count="2">
        <fieldUsage x="-1"/>
        <fieldUsage x="18"/>
      </fieldsUsage>
    </cacheHierarchy>
    <cacheHierarchy uniqueName="[PT Q3].[Are you Hispanic or Latino?]" caption="Are you Hispanic or Latino?" attribute="1" defaultMemberUniqueName="[PT Q3].[Are you Hispanic or Latino?].[All]" allUniqueName="[PT Q3].[Are you Hispanic or Latino?].[All]" dimensionUniqueName="[PT Q3]" displayFolder="" count="2" memberValueDatatype="130" unbalanced="0">
      <fieldsUsage count="2">
        <fieldUsage x="-1"/>
        <fieldUsage x="14"/>
      </fieldsUsage>
    </cacheHierarchy>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2" memberValueDatatype="130" unbalanced="0">
      <fieldsUsage count="2">
        <fieldUsage x="-1"/>
        <fieldUsage x="15"/>
      </fieldsUsage>
    </cacheHierarchy>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2" memberValueDatatype="130" unbalanced="0">
      <fieldsUsage count="2">
        <fieldUsage x="-1"/>
        <fieldUsage x="17"/>
      </fieldsUsage>
    </cacheHierarchy>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2" memberValueDatatype="130" unbalanced="0">
      <fieldsUsage count="2">
        <fieldUsage x="-1"/>
        <fieldUsage x="16"/>
      </fieldsUsage>
    </cacheHierarchy>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2" memberValueDatatype="130" unbalanced="0">
      <fieldsUsage count="2">
        <fieldUsage x="-1"/>
        <fieldUsage x="19"/>
      </fieldsUsage>
    </cacheHierarchy>
    <cacheHierarchy uniqueName="[PT Q3].[What type of insurance do you have?]" caption="What type of insurance do you have?" attribute="1" defaultMemberUniqueName="[PT Q3].[What type of insurance do you have?].[All]" allUniqueName="[PT Q3].[What type of insurance do you have?].[All]" dimensionUniqueName="[PT Q3]" displayFolder="" count="0" memberValueDatatype="130" unbalanced="0"/>
    <cacheHierarchy uniqueName="[PT Q3].[Do you have access to reliable internet in your home?]" caption="Do you have access to reliable internet in your home?" attribute="1" defaultMemberUniqueName="[PT Q3].[Do you have access to reliable internet in your home?].[All]" allUniqueName="[PT Q3].[Do you have access to reliable internet in your hom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OTHER]" caption="OTHER" attribute="1" defaultMemberUniqueName="[PT Q4].[OTHER].[All]" allUniqueName="[PT Q4].[OTHER].[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What type of insurance do you have?]" caption="What type of insurance do you have?" attribute="1" defaultMemberUniqueName="[PT Q4].[What type of insurance do you have?].[All]" allUniqueName="[PT Q4].[What type of insurance do you have?].[All]" dimensionUniqueName="[PT Q4]" displayFolder="" count="0" memberValueDatatype="130" unbalanced="0"/>
    <cacheHierarchy uniqueName="[PT Q4].[Do you have access to reliable internet in your home?]" caption="Do you have access to reliable internet in your home?" attribute="1" defaultMemberUniqueName="[PT Q4].[Do you have access to reliable internet in your home?].[All]" allUniqueName="[PT Q4].[Do you have access to reliable internet in your hom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OTHER]" caption="OTHER" attribute="1" defaultMemberUniqueName="[PT Q5].[OTHER].[All]" allUniqueName="[PT Q5].[OTHER].[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What type of insurance do you have?]" caption="What type of insurance do you have?" attribute="1" defaultMemberUniqueName="[PT Q5].[What type of insurance do you have?].[All]" allUniqueName="[PT Q5].[What type of insurance do you have?].[All]" dimensionUniqueName="[PT Q5]" displayFolder="" count="0" memberValueDatatype="130" unbalanced="0"/>
    <cacheHierarchy uniqueName="[PT Q5].[Do you have access to reliable internet in your home?]" caption="Do you have access to reliable internet in your home?" attribute="1" defaultMemberUniqueName="[PT Q5].[Do you have access to reliable internet in your home?].[All]" allUniqueName="[PT Q5].[Do you have access to reliable internet in your hom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What type of insurance do you have?]" caption="What type of insurance do you have?" attribute="1" defaultMemberUniqueName="[PT Q6].[What type of insurance do you have?].[All]" allUniqueName="[PT Q6].[What type of insurance do you have?].[All]" dimensionUniqueName="[PT Q6]" displayFolder="" count="0" memberValueDatatype="130" unbalanced="0"/>
    <cacheHierarchy uniqueName="[PT Q6].[Do you have access to reliable internet in your home?]" caption="Do you have access to reliable internet in your home?" attribute="1" defaultMemberUniqueName="[PT Q6].[Do you have access to reliable internet in your home?].[All]" allUniqueName="[PT Q6].[Do you have access to reliable internet in your hom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198"/>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198"/>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216"/>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217"/>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222"/>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207"/>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209"/>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224"/>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226"/>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227"/>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218"/>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220"/>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225"/>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228"/>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219"/>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221"/>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223"/>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248"/>
        </ext>
      </extLst>
    </cacheHierarchy>
    <cacheHierarchy uniqueName="[Measures].[Count of RespondentID 3]" caption="Count of RespondentID 3" measure="1" displayFolder="" measureGroup="PT Q3" count="0" oneField="1">
      <fieldsUsage count="1">
        <fieldUsage x="0"/>
      </fieldsUsage>
      <extLst>
        <ext xmlns:x15="http://schemas.microsoft.com/office/spreadsheetml/2010/11/main" uri="{B97F6D7D-B522-45F9-BDA1-12C45D357490}">
          <x15:cacheHierarchy aggregatedColumn="248"/>
        </ext>
      </extLst>
    </cacheHierarchy>
    <cacheHierarchy uniqueName="[Measures].[Sum of Culturalreligious beliefs5]" caption="Sum of Culturalreligious beliefs5" measure="1" displayFolder="" measureGroup="PT Q3" count="0" oneField="1">
      <fieldsUsage count="1">
        <fieldUsage x="2"/>
      </fieldsUsage>
      <extLst>
        <ext xmlns:x15="http://schemas.microsoft.com/office/spreadsheetml/2010/11/main" uri="{B97F6D7D-B522-45F9-BDA1-12C45D357490}">
          <x15:cacheHierarchy aggregatedColumn="263"/>
        </ext>
      </extLst>
    </cacheHierarchy>
    <cacheHierarchy uniqueName="[Measures].[Sum of Don’t know how to find doctors8]" caption="Sum of Don’t know how to find doctors8" measure="1" displayFolder="" measureGroup="PT Q3" count="0" oneField="1">
      <fieldsUsage count="1">
        <fieldUsage x="3"/>
      </fieldsUsage>
      <extLst>
        <ext xmlns:x15="http://schemas.microsoft.com/office/spreadsheetml/2010/11/main" uri="{B97F6D7D-B522-45F9-BDA1-12C45D357490}">
          <x15:cacheHierarchy aggregatedColumn="266"/>
        </ext>
      </extLst>
    </cacheHierarchy>
    <cacheHierarchy uniqueName="[Measures].[Sum of Don’t understand need to see a doctor11]" caption="Sum of Don’t understand need to see a doctor11" measure="1" displayFolder="" measureGroup="PT Q3" count="0" oneField="1">
      <fieldsUsage count="1">
        <fieldUsage x="4"/>
      </fieldsUsage>
      <extLst>
        <ext xmlns:x15="http://schemas.microsoft.com/office/spreadsheetml/2010/11/main" uri="{B97F6D7D-B522-45F9-BDA1-12C45D357490}">
          <x15:cacheHierarchy aggregatedColumn="269"/>
        </ext>
      </extLst>
    </cacheHierarchy>
    <cacheHierarchy uniqueName="[Measures].[Sum of Lack of availability of doctors6]" caption="Sum of Lack of availability of doctors6" measure="1" displayFolder="" measureGroup="PT Q3" count="0" oneField="1">
      <fieldsUsage count="1">
        <fieldUsage x="5"/>
      </fieldsUsage>
      <extLst>
        <ext xmlns:x15="http://schemas.microsoft.com/office/spreadsheetml/2010/11/main" uri="{B97F6D7D-B522-45F9-BDA1-12C45D357490}">
          <x15:cacheHierarchy aggregatedColumn="264"/>
        </ext>
      </extLst>
    </cacheHierarchy>
    <cacheHierarchy uniqueName="[Measures].[Sum of Language barriers9]" caption="Sum of Language barriers9" measure="1" displayFolder="" measureGroup="PT Q3" count="0" oneField="1">
      <fieldsUsage count="1">
        <fieldUsage x="6"/>
      </fieldsUsage>
      <extLst>
        <ext xmlns:x15="http://schemas.microsoft.com/office/spreadsheetml/2010/11/main" uri="{B97F6D7D-B522-45F9-BDA1-12C45D357490}">
          <x15:cacheHierarchy aggregatedColumn="267"/>
        </ext>
      </extLst>
    </cacheHierarchy>
    <cacheHierarchy uniqueName="[Measures].[Sum of No insurance12]" caption="Sum of No insurance12" measure="1" displayFolder="" measureGroup="PT Q3" count="0" oneField="1">
      <fieldsUsage count="1">
        <fieldUsage x="7"/>
      </fieldsUsage>
      <extLst>
        <ext xmlns:x15="http://schemas.microsoft.com/office/spreadsheetml/2010/11/main" uri="{B97F6D7D-B522-45F9-BDA1-12C45D357490}">
          <x15:cacheHierarchy aggregatedColumn="270"/>
        </ext>
      </extLst>
    </cacheHierarchy>
    <cacheHierarchy uniqueName="[Measures].[Sum of There are no barriers10]" caption="Sum of There are no barriers10" measure="1" displayFolder="" measureGroup="PT Q3" count="0" oneField="1">
      <fieldsUsage count="1">
        <fieldUsage x="8"/>
      </fieldsUsage>
      <extLst>
        <ext xmlns:x15="http://schemas.microsoft.com/office/spreadsheetml/2010/11/main" uri="{B97F6D7D-B522-45F9-BDA1-12C45D357490}">
          <x15:cacheHierarchy aggregatedColumn="268"/>
        </ext>
      </extLst>
    </cacheHierarchy>
    <cacheHierarchy uniqueName="[Measures].[Sum of Transportation13]" caption="Sum of Transportation13" measure="1" displayFolder="" measureGroup="PT Q3" count="0" oneField="1">
      <fieldsUsage count="1">
        <fieldUsage x="9"/>
      </fieldsUsage>
      <extLst>
        <ext xmlns:x15="http://schemas.microsoft.com/office/spreadsheetml/2010/11/main" uri="{B97F6D7D-B522-45F9-BDA1-12C45D357490}">
          <x15:cacheHierarchy aggregatedColumn="271"/>
        </ext>
      </extLst>
    </cacheHierarchy>
    <cacheHierarchy uniqueName="[Measures].[Sum of Unable to pay co-paysdeductibles7]" caption="Sum of Unable to pay co-paysdeductibles7" measure="1" displayFolder="" measureGroup="PT Q3" count="0" oneField="1">
      <fieldsUsage count="1">
        <fieldUsage x="10"/>
      </fieldsUsage>
      <extLst>
        <ext xmlns:x15="http://schemas.microsoft.com/office/spreadsheetml/2010/11/main" uri="{B97F6D7D-B522-45F9-BDA1-12C45D357490}">
          <x15:cacheHierarchy aggregatedColumn="26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292"/>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292"/>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309"/>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312"/>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315"/>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318"/>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310"/>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313"/>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316"/>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319"/>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320"/>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311"/>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314"/>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317"/>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340"/>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340"/>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363"/>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366"/>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369"/>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372"/>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378"/>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380"/>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364"/>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367"/>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370"/>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373"/>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376"/>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379"/>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365"/>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368"/>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371"/>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374"/>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377"/>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401"/>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404"/>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407"/>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410"/>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412"/>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402"/>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405"/>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408"/>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411"/>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413"/>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403"/>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406"/>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409"/>
        </ext>
      </extLst>
    </cacheHierarchy>
    <cacheHierarchy uniqueName="[Measures].[Sum of Fear (eg not ready to facediscuss health problemimmigration status)14]" caption="Sum of Fear (eg not ready to facediscuss health problemimmigration status)14" measure="1" displayFolder="" measureGroup="PT Q3" count="0" oneField="1">
      <fieldsUsage count="1">
        <fieldUsage x="12"/>
      </fieldsUsage>
      <extLst>
        <ext xmlns:x15="http://schemas.microsoft.com/office/spreadsheetml/2010/11/main" uri="{B97F6D7D-B522-45F9-BDA1-12C45D357490}">
          <x15:cacheHierarchy aggregatedColumn="272"/>
        </ext>
      </extLst>
    </cacheHierarchy>
    <cacheHierarchy uniqueName="[Measures].[Sum of RespondentID 7]" caption="Sum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Women’s health  wellness10 3]" caption="Sum of Women’s health  wellness10 3" measure="1" displayFolder="" measureGroup="PT Q1 1" count="0">
      <extLst>
        <ext xmlns:x15="http://schemas.microsoft.com/office/spreadsheetml/2010/11/main" uri="{B97F6D7D-B522-45F9-BDA1-12C45D357490}">
          <x15:cacheHierarchy aggregatedColumn="121"/>
        </ext>
      </extLst>
    </cacheHierarchy>
    <cacheHierarchy uniqueName="[Measures].[Count of RespondentID 7]" caption="Count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Asthmalung disease3 3]" caption="Sum of Asthmalung disease3 3" measure="1" displayFolder="" measureGroup="PT Q1 1" count="0">
      <extLst>
        <ext xmlns:x15="http://schemas.microsoft.com/office/spreadsheetml/2010/11/main" uri="{B97F6D7D-B522-45F9-BDA1-12C45D357490}">
          <x15:cacheHierarchy aggregatedColumn="114"/>
        </ext>
      </extLst>
    </cacheHierarchy>
    <cacheHierarchy uniqueName="[Measures].[Sum of Cancer4 3]" caption="Sum of Cancer4 3" measure="1" displayFolder="" measureGroup="PT Q1 1" count="0">
      <extLst>
        <ext xmlns:x15="http://schemas.microsoft.com/office/spreadsheetml/2010/11/main" uri="{B97F6D7D-B522-45F9-BDA1-12C45D357490}">
          <x15:cacheHierarchy aggregatedColumn="115"/>
        </ext>
      </extLst>
    </cacheHierarchy>
    <cacheHierarchy uniqueName="[Measures].[Sum of Heart disease  stroke5 3]" caption="Sum of Heart disease  stroke5 3" measure="1" displayFolder="" measureGroup="PT Q1 1" count="0">
      <extLst>
        <ext xmlns:x15="http://schemas.microsoft.com/office/spreadsheetml/2010/11/main" uri="{B97F6D7D-B522-45F9-BDA1-12C45D357490}">
          <x15:cacheHierarchy aggregatedColumn="116"/>
        </ext>
      </extLst>
    </cacheHierarchy>
    <cacheHierarchy uniqueName="[Measures].[Sum of Safety6 3]" caption="Sum of Safety6 3" measure="1" displayFolder="" measureGroup="PT Q1 1" count="0">
      <extLst>
        <ext xmlns:x15="http://schemas.microsoft.com/office/spreadsheetml/2010/11/main" uri="{B97F6D7D-B522-45F9-BDA1-12C45D357490}">
          <x15:cacheHierarchy aggregatedColumn="117"/>
        </ext>
      </extLst>
    </cacheHierarchy>
    <cacheHierarchy uniqueName="[Measures].[Sum of HIVAIDS  Sexually Transmitted Diseases (STDs)7 3]" caption="Sum of HIVAIDS  Sexually Transmitted Diseases (STDs)7 3" measure="1" displayFolder="" measureGroup="PT Q1 1" count="0">
      <extLst>
        <ext xmlns:x15="http://schemas.microsoft.com/office/spreadsheetml/2010/11/main" uri="{B97F6D7D-B522-45F9-BDA1-12C45D357490}">
          <x15:cacheHierarchy aggregatedColumn="118"/>
        </ext>
      </extLst>
    </cacheHierarchy>
    <cacheHierarchy uniqueName="[Measures].[Sum of Vaccine preventable diseases8 3]" caption="Sum of Vaccine preventable diseases8 3" measure="1" displayFolder="" measureGroup="PT Q1 1" count="0">
      <extLst>
        <ext xmlns:x15="http://schemas.microsoft.com/office/spreadsheetml/2010/11/main" uri="{B97F6D7D-B522-45F9-BDA1-12C45D357490}">
          <x15:cacheHierarchy aggregatedColumn="119"/>
        </ext>
      </extLst>
    </cacheHierarchy>
    <cacheHierarchy uniqueName="[Measures].[Sum of Child health  wellness9 3]" caption="Sum of Child health  wellness9 3" measure="1" displayFolder="" measureGroup="PT Q1 1" count="0">
      <extLst>
        <ext xmlns:x15="http://schemas.microsoft.com/office/spreadsheetml/2010/11/main" uri="{B97F6D7D-B522-45F9-BDA1-12C45D357490}">
          <x15:cacheHierarchy aggregatedColumn="120"/>
        </ext>
      </extLst>
    </cacheHierarchy>
    <cacheHierarchy uniqueName="[Measures].[Sum of Diabetes11 3]" caption="Sum of Diabetes11 3" measure="1" displayFolder="" measureGroup="PT Q1 1" count="0">
      <extLst>
        <ext xmlns:x15="http://schemas.microsoft.com/office/spreadsheetml/2010/11/main" uri="{B97F6D7D-B522-45F9-BDA1-12C45D357490}">
          <x15:cacheHierarchy aggregatedColumn="122"/>
        </ext>
      </extLst>
    </cacheHierarchy>
    <cacheHierarchy uniqueName="[Measures].[Sum of Mental health depressionsuicide12 3]" caption="Sum of Mental health depressionsuicide12 3" measure="1" displayFolder="" measureGroup="PT Q1 1" count="0">
      <extLst>
        <ext xmlns:x15="http://schemas.microsoft.com/office/spreadsheetml/2010/11/main" uri="{B97F6D7D-B522-45F9-BDA1-12C45D357490}">
          <x15:cacheHierarchy aggregatedColumn="123"/>
        </ext>
      </extLst>
    </cacheHierarchy>
    <cacheHierarchy uniqueName="[Measures].[Sum of Drugs  alcohol abuse13 3]" caption="Sum of Drugs  alcohol abuse13 3" measure="1" displayFolder="" measureGroup="PT Q1 1" count="0">
      <extLst>
        <ext xmlns:x15="http://schemas.microsoft.com/office/spreadsheetml/2010/11/main" uri="{B97F6D7D-B522-45F9-BDA1-12C45D357490}">
          <x15:cacheHierarchy aggregatedColumn="124"/>
        </ext>
      </extLst>
    </cacheHierarchy>
    <cacheHierarchy uniqueName="[Measures].[Sum of Environmental hazards14 3]" caption="Sum of Environmental hazards14 3" measure="1" displayFolder="" measureGroup="PT Q1 1" count="0">
      <extLst>
        <ext xmlns:x15="http://schemas.microsoft.com/office/spreadsheetml/2010/11/main" uri="{B97F6D7D-B522-45F9-BDA1-12C45D357490}">
          <x15:cacheHierarchy aggregatedColumn="125"/>
        </ext>
      </extLst>
    </cacheHierarchy>
    <cacheHierarchy uniqueName="[Measures].[Sum of Obesityweight loss issues15 3]" caption="Sum of Obesityweight loss issues15 3" measure="1" displayFolder="" measureGroup="PT Q1 1" count="0">
      <extLst>
        <ext xmlns:x15="http://schemas.microsoft.com/office/spreadsheetml/2010/11/main" uri="{B97F6D7D-B522-45F9-BDA1-12C45D357490}">
          <x15:cacheHierarchy aggregatedColumn="126"/>
        </ext>
      </extLst>
    </cacheHierarchy>
    <cacheHierarchy uniqueName="[Measures].[Sum of What is your age]" caption="Sum of What is your age" measure="1" displayFolder="" measureGroup="PT Q1 1" count="0">
      <extLst>
        <ext xmlns:x15="http://schemas.microsoft.com/office/spreadsheetml/2010/11/main" uri="{B97F6D7D-B522-45F9-BDA1-12C45D357490}">
          <x15:cacheHierarchy aggregatedColumn="134"/>
        </ext>
      </extLst>
    </cacheHierarchy>
    <cacheHierarchy uniqueName="[Measures].[Average of What is your age]" caption="Average of What is your age" measure="1" displayFolder="" measureGroup="PT Q1 1" count="0">
      <extLst>
        <ext xmlns:x15="http://schemas.microsoft.com/office/spreadsheetml/2010/11/main" uri="{B97F6D7D-B522-45F9-BDA1-12C45D357490}">
          <x15:cacheHierarchy aggregatedColumn="134"/>
        </ext>
      </extLst>
    </cacheHierarchy>
    <cacheHierarchy uniqueName="[Measures].[Count of What race do you consider yourself]" caption="Count of What race do you consider yourself" measure="1" displayFolder="" measureGroup="PT Q1 1" count="0">
      <extLst>
        <ext xmlns:x15="http://schemas.microsoft.com/office/spreadsheetml/2010/11/main" uri="{B97F6D7D-B522-45F9-BDA1-12C45D357490}">
          <x15:cacheHierarchy aggregatedColumn="137"/>
        </ext>
      </extLst>
    </cacheHierarchy>
    <cacheHierarchy uniqueName="[Measures].[Count of Do you currently have health insurance]" caption="Count of Do you currently have health insurance" measure="1" displayFolder="" measureGroup="PT Q1 1" count="0">
      <extLst>
        <ext xmlns:x15="http://schemas.microsoft.com/office/spreadsheetml/2010/11/main" uri="{B97F6D7D-B522-45F9-BDA1-12C45D357490}">
          <x15:cacheHierarchy aggregatedColumn="143"/>
        </ext>
      </extLst>
    </cacheHierarchy>
    <cacheHierarchy uniqueName="[Measures].[Count of What type of insurance do you have]" caption="Count of What type of insurance do you have" measure="1" displayFolder="" measureGroup="PT Q1 1" count="0">
      <extLst>
        <ext xmlns:x15="http://schemas.microsoft.com/office/spreadsheetml/2010/11/main" uri="{B97F6D7D-B522-45F9-BDA1-12C45D357490}">
          <x15:cacheHierarchy aggregatedColumn="144"/>
        </ext>
      </extLst>
    </cacheHierarchy>
    <cacheHierarchy uniqueName="[Measures].[Count of Do you have access to reliable internet in your home]" caption="Count of Do you have access to reliable internet in your home" measure="1" displayFolder="" measureGroup="PT Q1 1" count="0">
      <extLst>
        <ext xmlns:x15="http://schemas.microsoft.com/office/spreadsheetml/2010/11/main" uri="{B97F6D7D-B522-45F9-BDA1-12C45D357490}">
          <x15:cacheHierarchy aggregatedColumn="145"/>
        </ext>
      </extLst>
    </cacheHierarchy>
    <cacheHierarchy uniqueName="[Measures].[Sum of Female Flag]" caption="Sum of Female Flag" measure="1" displayFolder="" measureGroup="PT Q1 1" count="0">
      <extLst>
        <ext xmlns:x15="http://schemas.microsoft.com/office/spreadsheetml/2010/11/main" uri="{B97F6D7D-B522-45F9-BDA1-12C45D357490}">
          <x15:cacheHierarchy aggregatedColumn="146"/>
        </ext>
      </extLst>
    </cacheHierarchy>
    <cacheHierarchy uniqueName="[Measures].[Sum of Male Flag]" caption="Sum of Male Flag" measure="1" displayFolder="" measureGroup="PT Q1 1" count="0">
      <extLst>
        <ext xmlns:x15="http://schemas.microsoft.com/office/spreadsheetml/2010/11/main" uri="{B97F6D7D-B522-45F9-BDA1-12C45D357490}">
          <x15:cacheHierarchy aggregatedColumn="147"/>
        </ext>
      </extLst>
    </cacheHierarchy>
    <cacheHierarchy uniqueName="[Measures].[Sum of WhiteCaucasian Flag]" caption="Sum of WhiteCaucasian Flag" measure="1" displayFolder="" measureGroup="PT Q1 1" count="0">
      <extLst>
        <ext xmlns:x15="http://schemas.microsoft.com/office/spreadsheetml/2010/11/main" uri="{B97F6D7D-B522-45F9-BDA1-12C45D357490}">
          <x15:cacheHierarchy aggregatedColumn="150"/>
        </ext>
      </extLst>
    </cacheHierarchy>
    <cacheHierarchy uniqueName="[Measures].[Sum of BlackAfrican American Flag]" caption="Sum of BlackAfrican American Flag" measure="1" displayFolder="" measureGroup="PT Q1 1" count="0">
      <extLst>
        <ext xmlns:x15="http://schemas.microsoft.com/office/spreadsheetml/2010/11/main" uri="{B97F6D7D-B522-45F9-BDA1-12C45D357490}">
          <x15:cacheHierarchy aggregatedColumn="151"/>
        </ext>
      </extLst>
    </cacheHierarchy>
    <cacheHierarchy uniqueName="[Measures].[Total Respondents]" caption="Total Respondents" measure="1" displayFolder="" measureGroup="PT Q1" count="0"/>
    <cacheHierarchy uniqueName="[Measures].[Woman]" caption="Woman" measure="1" displayFolder="" measureGroup="PT Q1" count="0"/>
    <cacheHierarchy uniqueName="[Measures].[Man]" caption="Man" measure="1" displayFolder="" measureGroup="PT Q1" count="0"/>
    <cacheHierarchy uniqueName="[Measures].[Transgender]" caption="Transgender" measure="1" displayFolder="" measureGroup="PT Q1" count="0"/>
    <cacheHierarchy uniqueName="[Measures].[Other Gender]" caption="Other Gender" measure="1" displayFolder="" measureGroup="PT Q1" count="0"/>
    <cacheHierarchy uniqueName="[Measures].[Ethnicity]" caption="Ethnicity" measure="1" displayFolder="" measureGroup="PT Q1" count="0"/>
    <cacheHierarchy uniqueName="[Measures].[White]" caption="White" measure="1" displayFolder="" measureGroup="PT Q1" count="0"/>
    <cacheHierarchy uniqueName="[Measures].[Black/African American]" caption="Black/African American" measure="1" displayFolder="" measureGroup="PT Q1" count="0"/>
    <cacheHierarchy uniqueName="[Measures].[Native Hawaiian/Pacific Islander]" caption="Native Hawaiian/Pacific Islander" measure="1" displayFolder="" measureGroup="PT Q1" count="0"/>
    <cacheHierarchy uniqueName="[Measures].[American Indian/Alaska Native]" caption="American Indian/Alaska Native" measure="1" displayFolder="" measureGroup="PT Q1" count="0"/>
    <cacheHierarchy uniqueName="[Measures].[Multi-racial]" caption="Multi-racial" measure="1" displayFolder="" measureGroup="PT Q1" count="0"/>
    <cacheHierarchy uniqueName="[Measures].[Other Race]" caption="Other Race" measure="1" displayFolder="" measureGroup="PT Q1" count="0"/>
    <cacheHierarchy uniqueName="[Measures].[Income $0-$19,999]" caption="Income $0-$19,999" measure="1" displayFolder="" measureGroup="PT Q1" count="0"/>
    <cacheHierarchy uniqueName="[Measures].[Income $20,000 to $34,999]" caption="Income $20,000 to $34,999" measure="1" displayFolder="" measureGroup="PT Q1" count="0"/>
    <cacheHierarchy uniqueName="[Measures].[Income $35,000 to $49,999]" caption="Income $35,000 to $49,999" measure="1" displayFolder="" measureGroup="PT Q1" count="0"/>
    <cacheHierarchy uniqueName="[Measures].[income $50,000 to $74,999]" caption="income $50,000 to $74,999" measure="1" displayFolder="" measureGroup="PT Q1" count="0"/>
    <cacheHierarchy uniqueName="[Measures].[Income $75,000 to $125,000]" caption="Income $75,000 to $125,000" measure="1" displayFolder="" measureGroup="PT Q1" count="0"/>
    <cacheHierarchy uniqueName="[Measures].[Income Over $125,000]" caption="Income Over $125,000" measure="1" displayFolder="" measureGroup="PT Q1" count="0"/>
    <cacheHierarchy uniqueName="[Measures].[Age 18-24]" caption="Age 18-24" measure="1" displayFolder="" measureGroup="PT Q1" count="0"/>
    <cacheHierarchy uniqueName="[Measures].[Age 25 to 34]" caption="Age 25 to 34" measure="1" displayFolder="" measureGroup="PT Q1" count="0"/>
    <cacheHierarchy uniqueName="[Measures].[Age 35 to 44]" caption="Age 35 to 44" measure="1" displayFolder="" measureGroup="PT Q1" count="0"/>
    <cacheHierarchy uniqueName="[Measures].[Age 45 to 54]" caption="Age 45 to 54" measure="1" displayFolder="" measureGroup="PT Q1" count="0"/>
    <cacheHierarchy uniqueName="[Measures].[Age 55 to 64]" caption="Age 55 to 64" measure="1" displayFolder="" measureGroup="PT Q1" count="0"/>
    <cacheHierarchy uniqueName="[Measures].[Age 65+]" caption="Age 65+" measure="1" displayFolder="" measureGroup="PT Q1" count="0"/>
    <cacheHierarchy uniqueName="[Measures].[K-8 Grade]" caption="K-8 Grade" measure="1" displayFolder="" measureGroup="PT Q1" count="0"/>
    <cacheHierarchy uniqueName="[Measures].[High School]" caption="High School" measure="1" displayFolder="" measureGroup="PT Q1" count="0"/>
    <cacheHierarchy uniqueName="[Measures].[Some High School]" caption="Some High School" measure="1" displayFolder="" measureGroup="PT Q1" count="0"/>
    <cacheHierarchy uniqueName="[Measures].[College]" caption="College" measure="1" displayFolder="" measureGroup="PT Q1" count="0"/>
    <cacheHierarchy uniqueName="[Measures].[Some College]" caption="Some College" measure="1" displayFolder="" measureGroup="PT Q1" count="0"/>
    <cacheHierarchy uniqueName="[Measures].[Technical School]" caption="Technical School" measure="1" displayFolder="" measureGroup="PT Q1" count="0"/>
    <cacheHierarchy uniqueName="[Measures].[Graduate School]" caption="Graduate School" measure="1" displayFolder="" measureGroup="PT Q1" count="0"/>
    <cacheHierarchy uniqueName="[Measures].[Doctorate]" caption="Doctorate" measure="1" displayFolder="" measureGroup="PT Q1" count="0"/>
    <cacheHierarchy uniqueName="[Measures].[GED]" caption="GED" measure="1" displayFolder="" measureGroup="PT Q1" count="0"/>
    <cacheHierarchy uniqueName="[Measures].[Employed for Wages]" caption="Employed for Wages" measure="1" displayFolder="" measureGroup="PT Q1" count="0"/>
    <cacheHierarchy uniqueName="[Measures].[Self-employed]" caption="Self-employed" measure="1" displayFolder="" measureGroup="PT Q1" count="0"/>
    <cacheHierarchy uniqueName="[Measures].[Student]" caption="Student" measure="1" displayFolder="" measureGroup="PT Q1" count="0"/>
    <cacheHierarchy uniqueName="[Measures].[Retired]" caption="Retired" measure="1" displayFolder="" measureGroup="PT Q1" count="0"/>
    <cacheHierarchy uniqueName="[Measures].[Military]" caption="Military" measure="1" displayFolder="" measureGroup="PT Q1" count="0"/>
    <cacheHierarchy uniqueName="[Measures].[Out of Work and Looking]" caption="Out of Work and Looking" measure="1" displayFolder="" measureGroup="PT Q1" count="0"/>
    <cacheHierarchy uniqueName="[Measures].[Out of Work Not Looking]" caption="Out of Work Not Looking" measure="1" displayFolder="" measureGroup="PT Q1" count="0"/>
    <cacheHierarchy uniqueName="[Measures].[Health Insurance Yes]" caption="Health Insurance Yes" measure="1" displayFolder="" measureGroup="PT Q1" count="0"/>
    <cacheHierarchy uniqueName="[Measures].[Health Insurance No]" caption="Health Insurance No" measure="1" displayFolder="" measureGroup="PT Q1" count="0"/>
    <cacheHierarchy uniqueName="[Measures].[Health Insurance In the Past]" caption="Health Insurance In the Past" measure="1" displayFolder="" measureGroup="PT Q1" count="0"/>
    <cacheHierarchy uniqueName="[Measures].[Medicare]" caption="Medicare" measure="1" displayFolder="" measureGroup="PT Q1" count="0"/>
    <cacheHierarchy uniqueName="[Measures].[Medicaid]" caption="Medicaid" measure="1" displayFolder="" measureGroup="PT Q1" count="0"/>
    <cacheHierarchy uniqueName="[Measures].[Private/Commerical]" caption="Private/Commerical" measure="1" displayFolder="" measureGroup="PT Q1" count="0"/>
    <cacheHierarchy uniqueName="[Measures].[Not Insured]" caption="Not Insured" measure="1" displayFolder="" measureGroup="PT Q1" count="0"/>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PT Q1 1]" caption="__XL_Count PT Q1 1" measure="1" displayFolder="" measureGroup="PT Q1 1" count="0" hidden="1"/>
    <cacheHierarchy uniqueName="[Measures].[__XL_Count of Models]" caption="__XL_Count of Models" measure="1" displayFolder="" count="0" hidden="1"/>
  </cacheHierarchies>
  <kpis count="0"/>
  <dimensions count="8">
    <dimension measure="1" name="Measures" uniqueName="[Measures]" caption="Measures"/>
    <dimension name="PT Q1" uniqueName="[PT Q1]" caption="PT Q1"/>
    <dimension name="PT Q1 1" uniqueName="[PT Q1 1]" caption="PT Q1 1"/>
    <dimension name="PT Q2" uniqueName="[PT Q2]" caption="PT Q2"/>
    <dimension name="PT Q3" uniqueName="[PT Q3]" caption="PT Q3"/>
    <dimension name="PT Q4" uniqueName="[PT Q4]" caption="PT Q4"/>
    <dimension name="PT Q5" uniqueName="[PT Q5]" caption="PT Q5"/>
    <dimension name="PT Q6" uniqueName="[PT Q6]" caption="PT Q6"/>
  </dimensions>
  <measureGroups count="7">
    <measureGroup name="PT Q1" caption="PT Q1"/>
    <measureGroup name="PT Q1 1" caption="PT Q1 1"/>
    <measureGroup name="PT Q2" caption="PT Q2"/>
    <measureGroup name="PT Q3" caption="PT Q3"/>
    <measureGroup name="PT Q4" caption="PT Q4"/>
    <measureGroup name="PT Q5" caption="PT Q5"/>
    <measureGroup name="PT Q6" caption="PT Q6"/>
  </measureGroups>
  <maps count="7">
    <map measureGroup="0" dimension="1"/>
    <map measureGroup="1" dimension="2"/>
    <map measureGroup="2" dimension="3"/>
    <map measureGroup="3" dimension="4"/>
    <map measureGroup="4" dimension="5"/>
    <map measureGroup="5" dimension="6"/>
    <map measureGroup="6" dimension="7"/>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Melissa Bauer" refreshedDate="44946.532972106485" createdVersion="5" refreshedVersion="5" minRefreshableVersion="3" recordCount="0" supportSubquery="1" supportAdvancedDrill="1">
  <cacheSource type="external" connectionId="8"/>
  <cacheFields count="22">
    <cacheField name="[PT Q4].[Town and ZIP code where you live:].[Town and ZIP code where you live:]" caption="Town and ZIP code where you live:" numFmtId="0" hierarchy="330" level="1">
      <sharedItems count="145">
        <s v="0"/>
        <s v="10001"/>
        <s v="11003"/>
        <s v="11231"/>
        <s v="11236"/>
        <s v="11355"/>
        <s v="11367"/>
        <s v="11372"/>
        <s v="11375"/>
        <s v="11414"/>
        <s v="11428"/>
        <s v="11429"/>
        <s v="11456"/>
        <s v="11692"/>
        <s v="22407"/>
        <s v="Albertson, 11507"/>
        <s v="Alden Manor, 11003"/>
        <s v="Allenwood, 11021"/>
        <s v="Amagansett, 11930"/>
        <s v="Amityville, 11701"/>
        <s v="Amityville, 11708"/>
        <s v="Aquebogue, 11931"/>
        <s v="Atlantic Beach, 11509"/>
        <s v="Babylon, 11702"/>
        <s v="Babylon, 11703"/>
        <s v="Babylon, 11704"/>
        <s v="Baiting Hollow, 11933"/>
        <s v="Baxter Estates, 11050"/>
        <s v="Bay Shore, 11706"/>
        <s v="Bellerose Terrace, 11001"/>
        <s v="Bellmore, 11710"/>
        <s v="Bethpage, 11714"/>
        <s v="Bohemia, 11716"/>
        <s v="Brentwood, 11717"/>
        <s v="Brightwaters, 11718"/>
        <s v="Brookville, 11545"/>
        <s v="Carle Place, 11514"/>
        <s v="Centereach, 11720"/>
        <s v="Centerport, 11721"/>
        <s v="Central Islip, 11722"/>
        <s v="Cold Spring Harbor, 11724"/>
        <s v="Commack, 11725"/>
        <s v="Copiague, 11726"/>
        <s v="Coram, 11727"/>
        <s v="Deer Park, 11729"/>
        <s v="Dix Hills, 11746"/>
        <s v="East Hills, 11576"/>
        <s v="East Islip, 11730"/>
        <s v="East Meadow, 11554"/>
        <s v="East Northport, 11731"/>
        <s v="Farmingdale, 11735"/>
        <s v="Farmingville, 11738"/>
        <s v="Floral Park, 11001"/>
        <s v="Floral Park, 11002"/>
        <s v="Franklin Square, 11010"/>
        <s v="Freeport, 11520"/>
        <s v="Garden City South, 11530"/>
        <s v="Garden City, 11530"/>
        <s v="Garden City, 11531"/>
        <s v="Garden City, 11536"/>
        <s v="Great Neck, 11026"/>
        <s v="Greenlawn, 11740"/>
        <s v="Halesite, 11743"/>
        <s v="Hauppauge, 11788"/>
        <s v="Head of the Harbor, 11780"/>
        <s v="Hempstead, 11549"/>
        <s v="Hempstead, 11550"/>
        <s v="Herricks, 11040"/>
        <s v="Hewlett Neck, 11598"/>
        <s v="Hicksville, 11801"/>
        <s v="Holtsville, 11742"/>
        <s v="Huntington Station, 11746"/>
        <s v="Huntington Station, 11747"/>
        <s v="Huntington, 11743"/>
        <s v="Islip Manor, 11751"/>
        <s v="Islip, 11751"/>
        <s v="Jericho, 11753"/>
        <s v="Kings Park, 11754"/>
        <s v="Lake Grove, 11755"/>
        <s v="Lake Ronkonkoma, 11779"/>
        <s v="Lake Success, 11020"/>
        <s v="Lakeview, 11552"/>
        <s v="Lawrence, 11559"/>
        <s v="Levittown, 11756"/>
        <s v="Lido Beach, 11561"/>
        <s v="Lindenhurst, 11757"/>
        <s v="Long Beach, 11561"/>
        <s v="Lynbrook, 11563"/>
        <s v="Malverne, 11565"/>
        <s v="Manhasset, 11030"/>
        <s v="Manorville, 11949"/>
        <s v="Massapequa Park, 11762"/>
        <s v="Massapequa, 11758"/>
        <s v="Mastic, 11950"/>
        <s v="Medford, 11763"/>
        <s v="Melville, 11747"/>
        <s v="Merrick, 11566"/>
        <s v="Middle Island, 11953"/>
        <s v="Miller Place, 11764"/>
        <s v="Mineola, 11501"/>
        <s v="Moriches, 11955"/>
        <s v="Nesconset, 11767"/>
        <s v="New Cassel, 11590"/>
        <s v="New Hyde Park, 11040"/>
        <s v="North Babylon, 11703"/>
        <s v="North Massapequa, 11758"/>
        <s v="North New Hyde Park, 11040"/>
        <s v="Northport, 11768"/>
        <s v="Oakdale, 11769"/>
        <s v="Oceanside, 11572"/>
        <s v="Patchogue, 11772"/>
        <s v="Peconic, 11958"/>
        <s v="Plainview, 11803"/>
        <s v="Port Jefferson Station, 11776"/>
        <s v="Ridge, 11961"/>
        <s v="Riverhead, 11901"/>
        <s v="Rockville Centre, 11570"/>
        <s v="Rocky Point, 11778"/>
        <s v="Ronkonkoma, 11779"/>
        <s v="Roslyn, 11576"/>
        <s v="Saint James, 11780"/>
        <s v="Sayville, 11782"/>
        <s v="Seaford, 11783"/>
        <s v="Selden, 11784"/>
        <s v="Setauket, 11733"/>
        <s v="Shirley, 11967"/>
        <s v="Smithtown, 11745"/>
        <s v="Smithtown, 11787"/>
        <s v="South Huntington, 11746"/>
        <s v="Stony Brook, 11790"/>
        <s v="Syosset, 11773"/>
        <s v="Syosset, 11791"/>
        <s v="Uniondale, 11553"/>
        <s v="Valley Stream, 11580"/>
        <s v="Wading River, 11792"/>
        <s v="Wantagh, 11793"/>
        <s v="West Babylon, 11704"/>
        <s v="West Hempstead, 11552"/>
        <s v="West Islip, 11795"/>
        <s v="West Sayville, 11796"/>
        <s v="Westbury, 11590"/>
        <s v="Williston Park, 11596"/>
        <s v="Woodbury, 11797"/>
        <s v="Woodsburgh, 11598"/>
        <s v="Yaphank, 11980"/>
      </sharedItems>
    </cacheField>
    <cacheField name="[Measures].[Count of RespondentID 4]" caption="Count of RespondentID 4" numFmtId="0" hierarchy="472" level="32767"/>
    <cacheField name="[Measures].[Sum of Clean air  water5]" caption="Sum of Clean air  water5" numFmtId="0" hierarchy="473" level="32767"/>
    <cacheField name="[Measures].[Sum of Drug  alcohol rehabilitation services8]" caption="Sum of Drug  alcohol rehabilitation services8" numFmtId="0" hierarchy="474" level="32767"/>
    <cacheField name="[Measures].[Sum of Healthier food choices11]" caption="Sum of Healthier food choices11" numFmtId="0" hierarchy="475" level="32767"/>
    <cacheField name="[Measures].[Sum of Job opportunities14]" caption="Sum of Job opportunities14" numFmtId="0" hierarchy="476" level="32767"/>
    <cacheField name="[Measures].[Sum of Mental health services6]" caption="Sum of Mental health services6" numFmtId="0" hierarchy="477" level="32767"/>
    <cacheField name="[Measures].[Sum of Recreation facilities9]" caption="Sum of Recreation facilities9" numFmtId="0" hierarchy="478" level="32767"/>
    <cacheField name="[Measures].[Sum of Safe childcare options12]" caption="Sum of Safe childcare options12" numFmtId="0" hierarchy="479" level="32767"/>
    <cacheField name="[Measures].[Sum of Safe places to walkplay15]" caption="Sum of Safe places to walkplay15" numFmtId="0" hierarchy="480" level="32767"/>
    <cacheField name="[Measures].[Sum of Safe worksites16]" caption="Sum of Safe worksites16" numFmtId="0" hierarchy="481" level="32767"/>
    <cacheField name="[Measures].[Sum of Smoking cessation programs7]" caption="Sum of Smoking cessation programs7" numFmtId="0" hierarchy="482" level="32767"/>
    <cacheField name="[Measures].[Sum of Transportation10]" caption="Sum of Transportation10" numFmtId="0" hierarchy="483" level="32767"/>
    <cacheField name="[Measures].[Sum of Weight loss programs13]" caption="Sum of Weight loss programs13" numFmtId="0" hierarchy="484" level="32767"/>
    <cacheField name="[PT Q4].[County where you live:].[County where you live:]" caption="County where you live:" numFmtId="0" hierarchy="329" level="1">
      <sharedItems containsSemiMixedTypes="0" containsNonDate="0" containsString="0"/>
    </cacheField>
    <cacheField name="[PT Q4].[I identify as:].[I identify as:]" caption="I identify as:" numFmtId="0" hierarchy="327" level="1">
      <sharedItems containsSemiMixedTypes="0" containsNonDate="0" containsString="0"/>
    </cacheField>
    <cacheField name="[PT Q4].[Are you Hispanic or Latino?].[Are you Hispanic or Latino?]" caption="Are you Hispanic or Latino?" numFmtId="0" hierarchy="332" level="1">
      <sharedItems containsSemiMixedTypes="0" containsNonDate="0" containsString="0"/>
    </cacheField>
    <cacheField name="[PT Q4].[What is your annual household income from all sources?].[What is your annual household income from all sources?]" caption="What is your annual household income from all sources?" numFmtId="0" hierarchy="334" level="1">
      <sharedItems containsSemiMixedTypes="0" containsNonDate="0" containsString="0"/>
    </cacheField>
    <cacheField name="[PT Q4].[What is your current employment status?].[What is your current employment status?]" caption="What is your current employment status?" numFmtId="0" hierarchy="336" level="1">
      <sharedItems containsSemiMixedTypes="0" containsNonDate="0" containsString="0"/>
    </cacheField>
    <cacheField name="[PT Q4].[What is your highest level of education?].[What is your highest level of education?]" caption="What is your highest level of education?" numFmtId="0" hierarchy="335" level="1">
      <sharedItems containsSemiMixedTypes="0" containsNonDate="0" containsString="0"/>
    </cacheField>
    <cacheField name="[PT Q4].[What race do you consider yourself?].[What race do you consider yourself?]" caption="What race do you consider yourself?" numFmtId="0" hierarchy="331" level="1">
      <sharedItems containsSemiMixedTypes="0" containsNonDate="0" containsString="0"/>
    </cacheField>
    <cacheField name="[PT Q4].[Do you currently have health insurance?].[Do you currently have health insurance?]" caption="Do you currently have health insurance?" numFmtId="0" hierarchy="337" level="1">
      <sharedItems containsSemiMixedTypes="0" containsNonDate="0" containsString="0"/>
    </cacheField>
  </cacheFields>
  <cacheHierarchies count="600">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What type of insurance do you have?]" caption="What type of insurance do you have?" attribute="1" defaultMemberUniqueName="[PT Q1].[What type of insurance do you have?].[All]" allUniqueName="[PT Q1].[What type of insurance do you have?].[All]" dimensionUniqueName="[PT Q1]" displayFolder="" count="0" memberValueDatatype="130" unbalanced="0"/>
    <cacheHierarchy uniqueName="[PT Q1].[Do you have a smartphone]" caption="Do you have a smartphone" attribute="1" defaultMemberUniqueName="[PT Q1].[Do you have a smartphone].[All]" allUniqueName="[PT Q1].[Do you have a smartphone].[All]" dimensionUniqueName="[PT Q1]" displayFolder="" count="0" memberValueDatatype="130" unbalanced="0"/>
    <cacheHierarchy uniqueName="[PT Q1].[Woman Flag]" caption="Woman Flag" attribute="1" defaultMemberUniqueName="[PT Q1].[Woman Flag].[All]" allUniqueName="[PT Q1].[Woman Flag].[All]" dimensionUniqueName="[PT Q1]" displayFolder="" count="0" memberValueDatatype="20" unbalanced="0"/>
    <cacheHierarchy uniqueName="[PT Q1].[Man Flag]" caption="Man Flag" attribute="1" defaultMemberUniqueName="[PT Q1].[Man Flag].[All]" allUniqueName="[PT Q1].[Man Flag].[All]" dimensionUniqueName="[PT Q1]" displayFolder="" count="0" memberValueDatatype="20" unbalanced="0"/>
    <cacheHierarchy uniqueName="[PT Q1].[Transgender Flag]" caption="Transgender Flag" attribute="1" defaultMemberUniqueName="[PT Q1].[Transgender Flag].[All]" allUniqueName="[PT Q1].[Transgender Flag].[All]" dimensionUniqueName="[PT Q1]" displayFolder="" count="0" memberValueDatatype="20" unbalanced="0"/>
    <cacheHierarchy uniqueName="[PT Q1].[Other Gender Flag]" caption="Other Gender Flag" attribute="1" defaultMemberUniqueName="[PT Q1].[Other Gender Flag].[All]" allUniqueName="[PT Q1].[Other Gender Flag].[All]" dimensionUniqueName="[PT Q1]" displayFolder="" count="0" memberValueDatatype="20" unbalanced="0"/>
    <cacheHierarchy uniqueName="[PT Q1].[Hispanic Flag]" caption="Hispanic Flag" attribute="1" defaultMemberUniqueName="[PT Q1].[Hispanic Flag].[All]" allUniqueName="[PT Q1].[Hispanic Flag].[All]" dimensionUniqueName="[PT Q1]" displayFolder="" count="0" memberValueDatatype="20" unbalanced="0"/>
    <cacheHierarchy uniqueName="[PT Q1].[White Flag]" caption="White Flag" attribute="1" defaultMemberUniqueName="[PT Q1].[White Flag].[All]" allUniqueName="[PT Q1].[White Flag].[All]" dimensionUniqueName="[PT Q1]" displayFolder="" count="0" memberValueDatatype="20" unbalanced="0"/>
    <cacheHierarchy uniqueName="[PT Q1].[Black or African American Flag]" caption="Black or African American Flag" attribute="1" defaultMemberUniqueName="[PT Q1].[Black or African American Flag].[All]" allUniqueName="[PT Q1].[Black or African American Flag].[All]" dimensionUniqueName="[PT Q1]" displayFolder="" count="0" memberValueDatatype="20" unbalanced="0"/>
    <cacheHierarchy uniqueName="[PT Q1].[Native Hawaiian and Other Pacific Islander Flag]" caption="Native Hawaiian and Other Pacific Islander Flag" attribute="1" defaultMemberUniqueName="[PT Q1].[Native Hawaiian and Other Pacific Islander Flag].[All]" allUniqueName="[PT Q1].[Native Hawaiian and Other Pacific Islander Flag].[All]" dimensionUniqueName="[PT Q1]" displayFolder="" count="0" memberValueDatatype="20" unbalanced="0"/>
    <cacheHierarchy uniqueName="[PT Q1].[American Indian and Alaska Native Flag]" caption="American Indian and Alaska Native Flag" attribute="1" defaultMemberUniqueName="[PT Q1].[American Indian and Alaska Native Flag].[All]" allUniqueName="[PT Q1].[American Indian and Alaska Native Flag].[All]" dimensionUniqueName="[PT Q1]" displayFolder="" count="0" memberValueDatatype="20" unbalanced="0"/>
    <cacheHierarchy uniqueName="[PT Q1].[Two or more races Flag]" caption="Two or more races Flag" attribute="1" defaultMemberUniqueName="[PT Q1].[Two or more races Flag].[All]" allUniqueName="[PT Q1].[Two or more races Flag].[All]" dimensionUniqueName="[PT Q1]" displayFolder="" count="0" memberValueDatatype="20" unbalanced="0"/>
    <cacheHierarchy uniqueName="[PT Q1].[Other Race Flag]" caption="Other Race Flag" attribute="1" defaultMemberUniqueName="[PT Q1].[Other Race Flag].[All]" allUniqueName="[PT Q1].[Other Race Flag].[All]" dimensionUniqueName="[PT Q1]" displayFolder="" count="0" memberValueDatatype="20" unbalanced="0"/>
    <cacheHierarchy uniqueName="[PT Q1].[$0-$19,999 Flag]" caption="$0-$19,999 Flag" attribute="1" defaultMemberUniqueName="[PT Q1].[$0-$19,999 Flag].[All]" allUniqueName="[PT Q1].[$0-$19,999 Flag].[All]" dimensionUniqueName="[PT Q1]" displayFolder="" count="0" memberValueDatatype="20" unbalanced="0"/>
    <cacheHierarchy uniqueName="[PT Q1].[$20,000 to $34,999 Flag]" caption="$20,000 to $34,999 Flag" attribute="1" defaultMemberUniqueName="[PT Q1].[$20,000 to $34,999 Flag].[All]" allUniqueName="[PT Q1].[$20,000 to $34,999 Flag].[All]" dimensionUniqueName="[PT Q1]" displayFolder="" count="0" memberValueDatatype="20" unbalanced="0"/>
    <cacheHierarchy uniqueName="[PT Q1].[$35,000 to $49,999 Flag]" caption="$35,000 to $49,999 Flag" attribute="1" defaultMemberUniqueName="[PT Q1].[$35,000 to $49,999 Flag].[All]" allUniqueName="[PT Q1].[$35,000 to $49,999 Flag].[All]" dimensionUniqueName="[PT Q1]" displayFolder="" count="0" memberValueDatatype="20" unbalanced="0"/>
    <cacheHierarchy uniqueName="[PT Q1].[$50,000 to $74,999 Flag]" caption="$50,000 to $74,999 Flag" attribute="1" defaultMemberUniqueName="[PT Q1].[$50,000 to $74,999 Flag].[All]" allUniqueName="[PT Q1].[$50,000 to $74,999 Flag].[All]" dimensionUniqueName="[PT Q1]" displayFolder="" count="0" memberValueDatatype="20" unbalanced="0"/>
    <cacheHierarchy uniqueName="[PT Q1].[$75,000 to $125,000 Flag]" caption="$75,000 to $125,000 Flag" attribute="1" defaultMemberUniqueName="[PT Q1].[$75,000 to $125,000 Flag].[All]" allUniqueName="[PT Q1].[$75,000 to $125,000 Flag].[All]" dimensionUniqueName="[PT Q1]" displayFolder="" count="0" memberValueDatatype="20" unbalanced="0"/>
    <cacheHierarchy uniqueName="[PT Q1].[Over $125,000 Flag]" caption="Over $125,000 Flag" attribute="1" defaultMemberUniqueName="[PT Q1].[Over $125,000 Flag].[All]" allUniqueName="[PT Q1].[Over $125,000 Flag].[All]" dimensionUniqueName="[PT Q1]" displayFolder="" count="0" memberValueDatatype="20" unbalanced="0"/>
    <cacheHierarchy uniqueName="[PT Q1].[18 TO 24 Flag]" caption="18 TO 24 Flag" attribute="1" defaultMemberUniqueName="[PT Q1].[18 TO 24 Flag].[All]" allUniqueName="[PT Q1].[18 TO 24 Flag].[All]" dimensionUniqueName="[PT Q1]" displayFolder="" count="0" memberValueDatatype="20" unbalanced="0"/>
    <cacheHierarchy uniqueName="[PT Q1].[25 to 34 Flag]" caption="25 to 34 Flag" attribute="1" defaultMemberUniqueName="[PT Q1].[25 to 34 Flag].[All]" allUniqueName="[PT Q1].[25 to 34 Flag].[All]" dimensionUniqueName="[PT Q1]" displayFolder="" count="0" memberValueDatatype="20" unbalanced="0"/>
    <cacheHierarchy uniqueName="[PT Q1].[35 to 44 Flag]" caption="35 to 44 Flag" attribute="1" defaultMemberUniqueName="[PT Q1].[35 to 44 Flag].[All]" allUniqueName="[PT Q1].[35 to 44 Flag].[All]" dimensionUniqueName="[PT Q1]" displayFolder="" count="0" memberValueDatatype="20" unbalanced="0"/>
    <cacheHierarchy uniqueName="[PT Q1].[45 to 54 Flag]" caption="45 to 54 Flag" attribute="1" defaultMemberUniqueName="[PT Q1].[45 to 54 Flag].[All]" allUniqueName="[PT Q1].[45 to 54 Flag].[All]" dimensionUniqueName="[PT Q1]" displayFolder="" count="0" memberValueDatatype="20" unbalanced="0"/>
    <cacheHierarchy uniqueName="[PT Q1].[55 to 64 Flag]" caption="55 to 64 Flag" attribute="1" defaultMemberUniqueName="[PT Q1].[55 to 64 Flag].[All]" allUniqueName="[PT Q1].[55 to 64 Flag].[All]" dimensionUniqueName="[PT Q1]" displayFolder="" count="0" memberValueDatatype="20" unbalanced="0"/>
    <cacheHierarchy uniqueName="[PT Q1].[65 Plus Flag]" caption="65 Plus Flag" attribute="1" defaultMemberUniqueName="[PT Q1].[65 Plus Flag].[All]" allUniqueName="[PT Q1].[65 Plus Flag].[All]" dimensionUniqueName="[PT Q1]" displayFolder="" count="0" memberValueDatatype="20" unbalanced="0"/>
    <cacheHierarchy uniqueName="[PT Q1].[K-8 grade Flag]" caption="K-8 grade Flag" attribute="1" defaultMemberUniqueName="[PT Q1].[K-8 grade Flag].[All]" allUniqueName="[PT Q1].[K-8 grade Flag].[All]" dimensionUniqueName="[PT Q1]" displayFolder="" count="0" memberValueDatatype="20" unbalanced="0"/>
    <cacheHierarchy uniqueName="[PT Q1].[Some High School Flag]" caption="Some High School Flag" attribute="1" defaultMemberUniqueName="[PT Q1].[Some High School Flag].[All]" allUniqueName="[PT Q1].[Some High School Flag].[All]" dimensionUniqueName="[PT Q1]" displayFolder="" count="0" memberValueDatatype="20" unbalanced="0"/>
    <cacheHierarchy uniqueName="[PT Q1].[High School Graduate Flag]" caption="High School Graduate Flag" attribute="1" defaultMemberUniqueName="[PT Q1].[High School Graduate Flag].[All]" allUniqueName="[PT Q1].[High School Graduate Flag].[All]" dimensionUniqueName="[PT Q1]" displayFolder="" count="0" memberValueDatatype="20" unbalanced="0"/>
    <cacheHierarchy uniqueName="[PT Q1].[Technical School Flag]" caption="Technical School Flag" attribute="1" defaultMemberUniqueName="[PT Q1].[Technical School Flag].[All]" allUniqueName="[PT Q1].[Technical School Flag].[All]" dimensionUniqueName="[PT Q1]" displayFolder="" count="0" memberValueDatatype="20" unbalanced="0"/>
    <cacheHierarchy uniqueName="[PT Q1].[Some College Flag]" caption="Some College Flag" attribute="1" defaultMemberUniqueName="[PT Q1].[Some College Flag].[All]" allUniqueName="[PT Q1].[Some College Flag].[All]" dimensionUniqueName="[PT Q1]" displayFolder="" count="0" memberValueDatatype="20" unbalanced="0"/>
    <cacheHierarchy uniqueName="[PT Q1].[College Graduate Flag]" caption="College Graduate Flag" attribute="1" defaultMemberUniqueName="[PT Q1].[College Graduate Flag].[All]" allUniqueName="[PT Q1].[College Graduate Flag].[All]" dimensionUniqueName="[PT Q1]" displayFolder="" count="0" memberValueDatatype="20" unbalanced="0"/>
    <cacheHierarchy uniqueName="[PT Q1].[Graduate School Flag]" caption="Graduate School Flag" attribute="1" defaultMemberUniqueName="[PT Q1].[Graduate School Flag].[All]" allUniqueName="[PT Q1].[Graduate School Flag].[All]" dimensionUniqueName="[PT Q1]" displayFolder="" count="0" memberValueDatatype="20" unbalanced="0"/>
    <cacheHierarchy uniqueName="[PT Q1].[Doctorate Flag]" caption="Doctorate Flag" attribute="1" defaultMemberUniqueName="[PT Q1].[Doctorate Flag].[All]" allUniqueName="[PT Q1].[Doctorate Flag].[All]" dimensionUniqueName="[PT Q1]" displayFolder="" count="0" memberValueDatatype="20" unbalanced="0"/>
    <cacheHierarchy uniqueName="[PT Q1].[GED Flag]" caption="GED Flag" attribute="1" defaultMemberUniqueName="[PT Q1].[GED Flag].[All]" allUniqueName="[PT Q1].[GED Flag].[All]" dimensionUniqueName="[PT Q1]" displayFolder="" count="0" memberValueDatatype="20" unbalanced="0"/>
    <cacheHierarchy uniqueName="[PT Q1].[Employed for Wages Flag]" caption="Employed for Wages Flag" attribute="1" defaultMemberUniqueName="[PT Q1].[Employed for Wages Flag].[All]" allUniqueName="[PT Q1].[Employed for Wages Flag].[All]" dimensionUniqueName="[PT Q1]" displayFolder="" count="0" memberValueDatatype="20" unbalanced="0"/>
    <cacheHierarchy uniqueName="[PT Q1].[Self-employed Flag]" caption="Self-employed Flag" attribute="1" defaultMemberUniqueName="[PT Q1].[Self-employed Flag].[All]" allUniqueName="[PT Q1].[Self-employed Flag].[All]" dimensionUniqueName="[PT Q1]" displayFolder="" count="0" memberValueDatatype="20" unbalanced="0"/>
    <cacheHierarchy uniqueName="[PT Q1].[Student Flag]" caption="Student Flag" attribute="1" defaultMemberUniqueName="[PT Q1].[Student Flag].[All]" allUniqueName="[PT Q1].[Student Flag].[All]" dimensionUniqueName="[PT Q1]" displayFolder="" count="0" memberValueDatatype="20" unbalanced="0"/>
    <cacheHierarchy uniqueName="[PT Q1].[Retired Flag]" caption="Retired Flag" attribute="1" defaultMemberUniqueName="[PT Q1].[Retired Flag].[All]" allUniqueName="[PT Q1].[Retired Flag].[All]" dimensionUniqueName="[PT Q1]" displayFolder="" count="0" memberValueDatatype="20" unbalanced="0"/>
    <cacheHierarchy uniqueName="[PT Q1].[Military Flag]" caption="Military Flag" attribute="1" defaultMemberUniqueName="[PT Q1].[Military Flag].[All]" allUniqueName="[PT Q1].[Military Flag].[All]" dimensionUniqueName="[PT Q1]" displayFolder="" count="0" memberValueDatatype="20" unbalanced="0"/>
    <cacheHierarchy uniqueName="[PT Q1].[Out of Work and Looking Flag]" caption="Out of Work and Looking Flag" attribute="1" defaultMemberUniqueName="[PT Q1].[Out of Work and Looking Flag].[All]" allUniqueName="[PT Q1].[Out of Work and Looking Flag].[All]" dimensionUniqueName="[PT Q1]" displayFolder="" count="0" memberValueDatatype="20" unbalanced="0"/>
    <cacheHierarchy uniqueName="[PT Q1].[Out of Work Not Looking Flag]" caption="Out of Work Not Looking Flag" attribute="1" defaultMemberUniqueName="[PT Q1].[Out of Work Not Looking Flag].[All]" allUniqueName="[PT Q1].[Out of Work Not Looking Flag].[All]" dimensionUniqueName="[PT Q1]" displayFolder="" count="0" memberValueDatatype="20" unbalanced="0"/>
    <cacheHierarchy uniqueName="[PT Q1].[Health Insurance Yes Flag]" caption="Health Insurance Yes Flag" attribute="1" defaultMemberUniqueName="[PT Q1].[Health Insurance Yes Flag].[All]" allUniqueName="[PT Q1].[Health Insurance Yes Flag].[All]" dimensionUniqueName="[PT Q1]" displayFolder="" count="0" memberValueDatatype="20" unbalanced="0"/>
    <cacheHierarchy uniqueName="[PT Q1].[Health Insurance No Flag]" caption="Health Insurance No Flag" attribute="1" defaultMemberUniqueName="[PT Q1].[Health Insurance No Flag].[All]" allUniqueName="[PT Q1].[Health Insurance No Flag].[All]" dimensionUniqueName="[PT Q1]" displayFolder="" count="0" memberValueDatatype="20" unbalanced="0"/>
    <cacheHierarchy uniqueName="[PT Q1].[Health Insurance In the Past Flag]" caption="Health Insurance In the Past Flag" attribute="1" defaultMemberUniqueName="[PT Q1].[Health Insurance In the Past Flag].[All]" allUniqueName="[PT Q1].[Health Insurance In the Past Flag].[All]" dimensionUniqueName="[PT Q1]" displayFolder="" count="0" memberValueDatatype="20" unbalanced="0"/>
    <cacheHierarchy uniqueName="[PT Q1].[Medicare Flag]" caption="Medicare Flag" attribute="1" defaultMemberUniqueName="[PT Q1].[Medicare Flag].[All]" allUniqueName="[PT Q1].[Medicare Flag].[All]" dimensionUniqueName="[PT Q1]" displayFolder="" count="0" memberValueDatatype="20" unbalanced="0"/>
    <cacheHierarchy uniqueName="[PT Q1].[Medicaid Flag]" caption="Medicaid Flag" attribute="1" defaultMemberUniqueName="[PT Q1].[Medicaid Flag].[All]" allUniqueName="[PT Q1].[Medicaid Flag].[All]" dimensionUniqueName="[PT Q1]" displayFolder="" count="0" memberValueDatatype="20" unbalanced="0"/>
    <cacheHierarchy uniqueName="[PT Q1].[Private/Commercial Flag]" caption="Private/Commercial Flag" attribute="1" defaultMemberUniqueName="[PT Q1].[Private/Commercial Flag].[All]" allUniqueName="[PT Q1].[Private/Commercial Flag].[All]" dimensionUniqueName="[PT Q1]" displayFolder="" count="0" memberValueDatatype="20" unbalanced="0"/>
    <cacheHierarchy uniqueName="[PT Q1].[No Insurance Flag]" caption="No Insurance Flag" attribute="1" defaultMemberUniqueName="[PT Q1].[No Insurance Flag].[All]" allUniqueName="[PT Q1].[No Insurance Flag].[All]" dimensionUniqueName="[PT Q1]" displayFolder="" count="0" memberValueDatatype="20" unbalanced="0"/>
    <cacheHierarchy uniqueName="[PT Q1 1].[RespondentID]" caption="RespondentID" attribute="1" defaultMemberUniqueName="[PT Q1 1].[RespondentID].[All]" allUniqueName="[PT Q1 1].[RespondentID].[All]" dimensionUniqueName="[PT Q1 1]" displayFolder="" count="0" memberValueDatatype="5" unbalanced="0"/>
    <cacheHierarchy uniqueName="[PT Q1 1].[Asthma/lung disease]" caption="Asthma/lung disease" attribute="1" defaultMemberUniqueName="[PT Q1 1].[Asthma/lung disease].[All]" allUniqueName="[PT Q1 1].[Asthma/lung disease].[All]" dimensionUniqueName="[PT Q1 1]" displayFolder="" count="0" memberValueDatatype="130" unbalanced="0"/>
    <cacheHierarchy uniqueName="[PT Q1 1].[Cancer]" caption="Cancer" attribute="1" defaultMemberUniqueName="[PT Q1 1].[Cancer].[All]" allUniqueName="[PT Q1 1].[Cancer].[All]" dimensionUniqueName="[PT Q1 1]" displayFolder="" count="0" memberValueDatatype="130" unbalanced="0"/>
    <cacheHierarchy uniqueName="[PT Q1 1].[Heart disease &amp; stroke]" caption="Heart disease &amp; stroke" attribute="1" defaultMemberUniqueName="[PT Q1 1].[Heart disease &amp; stroke].[All]" allUniqueName="[PT Q1 1].[Heart disease &amp; stroke].[All]" dimensionUniqueName="[PT Q1 1]" displayFolder="" count="0" memberValueDatatype="130" unbalanced="0"/>
    <cacheHierarchy uniqueName="[PT Q1 1].[Safety]" caption="Safety" attribute="1" defaultMemberUniqueName="[PT Q1 1].[Safety].[All]" allUniqueName="[PT Q1 1].[Safety].[All]" dimensionUniqueName="[PT Q1 1]" displayFolder="" count="0" memberValueDatatype="130" unbalanced="0"/>
    <cacheHierarchy uniqueName="[PT Q1 1].[HIV/AIDS &amp; Sexually Transmitted Diseases (STDs)]" caption="HIV/AIDS &amp; Sexually Transmitted Diseases (STDs)" attribute="1" defaultMemberUniqueName="[PT Q1 1].[HIV/AIDS &amp; Sexually Transmitted Diseases (STDs)].[All]" allUniqueName="[PT Q1 1].[HIV/AIDS &amp; Sexually Transmitted Diseases (STDs)].[All]" dimensionUniqueName="[PT Q1 1]" displayFolder="" count="0" memberValueDatatype="130" unbalanced="0"/>
    <cacheHierarchy uniqueName="[PT Q1 1].[Vaccine preventable diseases]" caption="Vaccine preventable diseases" attribute="1" defaultMemberUniqueName="[PT Q1 1].[Vaccine preventable diseases].[All]" allUniqueName="[PT Q1 1].[Vaccine preventable diseases].[All]" dimensionUniqueName="[PT Q1 1]" displayFolder="" count="0" memberValueDatatype="130" unbalanced="0"/>
    <cacheHierarchy uniqueName="[PT Q1 1].[Child health &amp; wellness]" caption="Child health &amp; wellness" attribute="1" defaultMemberUniqueName="[PT Q1 1].[Child health &amp; wellness].[All]" allUniqueName="[PT Q1 1].[Child health &amp; wellness].[All]" dimensionUniqueName="[PT Q1 1]" displayFolder="" count="0" memberValueDatatype="130" unbalanced="0"/>
    <cacheHierarchy uniqueName="[PT Q1 1].[Women’s health &amp; wellness]" caption="Women’s health &amp; wellness" attribute="1" defaultMemberUniqueName="[PT Q1 1].[Women’s health &amp; wellness].[All]" allUniqueName="[PT Q1 1].[Women’s health &amp; wellness].[All]" dimensionUniqueName="[PT Q1 1]" displayFolder="" count="0" memberValueDatatype="130" unbalanced="0"/>
    <cacheHierarchy uniqueName="[PT Q1 1].[Diabetes]" caption="Diabetes" attribute="1" defaultMemberUniqueName="[PT Q1 1].[Diabetes].[All]" allUniqueName="[PT Q1 1].[Diabetes].[All]" dimensionUniqueName="[PT Q1 1]" displayFolder="" count="0" memberValueDatatype="130" unbalanced="0"/>
    <cacheHierarchy uniqueName="[PT Q1 1].[Mental health depression/suicide]" caption="Mental health depression/suicide" attribute="1" defaultMemberUniqueName="[PT Q1 1].[Mental health depression/suicide].[All]" allUniqueName="[PT Q1 1].[Mental health depression/suicide].[All]" dimensionUniqueName="[PT Q1 1]" displayFolder="" count="0" memberValueDatatype="130" unbalanced="0"/>
    <cacheHierarchy uniqueName="[PT Q1 1].[Drugs &amp; alcohol abuse]" caption="Drugs &amp; alcohol abuse" attribute="1" defaultMemberUniqueName="[PT Q1 1].[Drugs &amp; alcohol abuse].[All]" allUniqueName="[PT Q1 1].[Drugs &amp; alcohol abuse].[All]" dimensionUniqueName="[PT Q1 1]" displayFolder="" count="0" memberValueDatatype="130" unbalanced="0"/>
    <cacheHierarchy uniqueName="[PT Q1 1].[Environmental hazards]" caption="Environmental hazards" attribute="1" defaultMemberUniqueName="[PT Q1 1].[Environmental hazards].[All]" allUniqueName="[PT Q1 1].[Environmental hazards].[All]" dimensionUniqueName="[PT Q1 1]" displayFolder="" count="0" memberValueDatatype="130" unbalanced="0"/>
    <cacheHierarchy uniqueName="[PT Q1 1].[Obesity/weight loss issues]" caption="Obesity/weight loss issues" attribute="1" defaultMemberUniqueName="[PT Q1 1].[Obesity/weight loss issues].[All]" allUniqueName="[PT Q1 1].[Obesity/weight loss issues].[All]" dimensionUniqueName="[PT Q1 1]" displayFolder="" count="0" memberValueDatatype="130" unbalanced="0"/>
    <cacheHierarchy uniqueName="[PT Q1 1].[Column1]" caption="Column1" attribute="1" defaultMemberUniqueName="[PT Q1 1].[Column1].[All]" allUniqueName="[PT Q1 1].[Column1].[All]" dimensionUniqueName="[PT Q1 1]" displayFolder="" count="0" memberValueDatatype="130" unbalanced="0"/>
    <cacheHierarchy uniqueName="[PT Q1 1].[Count of Selection]" caption="Count of Selection" attribute="1" defaultMemberUniqueName="[PT Q1 1].[Count of Selection].[All]" allUniqueName="[PT Q1 1].[Count of Selection].[All]" dimensionUniqueName="[PT Q1 1]" displayFolder="" count="0" memberValueDatatype="20" unbalanced="0"/>
    <cacheHierarchy uniqueName="[PT Q1 1].[Weight]" caption="Weight" attribute="1" defaultMemberUniqueName="[PT Q1 1].[Weight].[All]" allUniqueName="[PT Q1 1].[Weight].[All]" dimensionUniqueName="[PT Q1 1]" displayFolder="" count="0" memberValueDatatype="130" unbalanced="0"/>
    <cacheHierarchy uniqueName="[PT Q1 1].[Column2]" caption="Column2" attribute="1" defaultMemberUniqueName="[PT Q1 1].[Column2].[All]" allUniqueName="[PT Q1 1].[Column2].[All]" dimensionUniqueName="[PT Q1 1]" displayFolder="" count="0" memberValueDatatype="130" unbalanced="0"/>
    <cacheHierarchy uniqueName="[PT Q1 1].[Asthma/lung disease3]" caption="Asthma/lung disease3" attribute="1" defaultMemberUniqueName="[PT Q1 1].[Asthma/lung disease3].[All]" allUniqueName="[PT Q1 1].[Asthma/lung disease3].[All]" dimensionUniqueName="[PT Q1 1]" displayFolder="" count="0" memberValueDatatype="5" unbalanced="0"/>
    <cacheHierarchy uniqueName="[PT Q1 1].[Cancer4]" caption="Cancer4" attribute="1" defaultMemberUniqueName="[PT Q1 1].[Cancer4].[All]" allUniqueName="[PT Q1 1].[Cancer4].[All]" dimensionUniqueName="[PT Q1 1]" displayFolder="" count="0" memberValueDatatype="5" unbalanced="0"/>
    <cacheHierarchy uniqueName="[PT Q1 1].[Heart disease &amp; stroke5]" caption="Heart disease &amp; stroke5" attribute="1" defaultMemberUniqueName="[PT Q1 1].[Heart disease &amp; stroke5].[All]" allUniqueName="[PT Q1 1].[Heart disease &amp; stroke5].[All]" dimensionUniqueName="[PT Q1 1]" displayFolder="" count="0" memberValueDatatype="5" unbalanced="0"/>
    <cacheHierarchy uniqueName="[PT Q1 1].[Safety6]" caption="Safety6" attribute="1" defaultMemberUniqueName="[PT Q1 1].[Safety6].[All]" allUniqueName="[PT Q1 1].[Safety6].[All]" dimensionUniqueName="[PT Q1 1]" displayFolder="" count="0" memberValueDatatype="5" unbalanced="0"/>
    <cacheHierarchy uniqueName="[PT Q1 1].[HIV/AIDS &amp; Sexually Transmitted Diseases (STDs)7]" caption="HIV/AIDS &amp; Sexually Transmitted Diseases (STDs)7" attribute="1" defaultMemberUniqueName="[PT Q1 1].[HIV/AIDS &amp; Sexually Transmitted Diseases (STDs)7].[All]" allUniqueName="[PT Q1 1].[HIV/AIDS &amp; Sexually Transmitted Diseases (STDs)7].[All]" dimensionUniqueName="[PT Q1 1]" displayFolder="" count="0" memberValueDatatype="5" unbalanced="0"/>
    <cacheHierarchy uniqueName="[PT Q1 1].[Vaccine preventable diseases8]" caption="Vaccine preventable diseases8" attribute="1" defaultMemberUniqueName="[PT Q1 1].[Vaccine preventable diseases8].[All]" allUniqueName="[PT Q1 1].[Vaccine preventable diseases8].[All]" dimensionUniqueName="[PT Q1 1]" displayFolder="" count="0" memberValueDatatype="5" unbalanced="0"/>
    <cacheHierarchy uniqueName="[PT Q1 1].[Child health &amp; wellness9]" caption="Child health &amp; wellness9" attribute="1" defaultMemberUniqueName="[PT Q1 1].[Child health &amp; wellness9].[All]" allUniqueName="[PT Q1 1].[Child health &amp; wellness9].[All]" dimensionUniqueName="[PT Q1 1]" displayFolder="" count="0" memberValueDatatype="5" unbalanced="0"/>
    <cacheHierarchy uniqueName="[PT Q1 1].[Women’s health &amp; wellness10]" caption="Women’s health &amp; wellness10" attribute="1" defaultMemberUniqueName="[PT Q1 1].[Women’s health &amp; wellness10].[All]" allUniqueName="[PT Q1 1].[Women’s health &amp; wellness10].[All]" dimensionUniqueName="[PT Q1 1]" displayFolder="" count="0" memberValueDatatype="5" unbalanced="0"/>
    <cacheHierarchy uniqueName="[PT Q1 1].[Diabetes11]" caption="Diabetes11" attribute="1" defaultMemberUniqueName="[PT Q1 1].[Diabetes11].[All]" allUniqueName="[PT Q1 1].[Diabetes11].[All]" dimensionUniqueName="[PT Q1 1]" displayFolder="" count="0" memberValueDatatype="5" unbalanced="0"/>
    <cacheHierarchy uniqueName="[PT Q1 1].[Mental health depression/suicide12]" caption="Mental health depression/suicide12" attribute="1" defaultMemberUniqueName="[PT Q1 1].[Mental health depression/suicide12].[All]" allUniqueName="[PT Q1 1].[Mental health depression/suicide12].[All]" dimensionUniqueName="[PT Q1 1]" displayFolder="" count="0" memberValueDatatype="5" unbalanced="0"/>
    <cacheHierarchy uniqueName="[PT Q1 1].[Drugs &amp; alcohol abuse13]" caption="Drugs &amp; alcohol abuse13" attribute="1" defaultMemberUniqueName="[PT Q1 1].[Drugs &amp; alcohol abuse13].[All]" allUniqueName="[PT Q1 1].[Drugs &amp; alcohol abuse13].[All]" dimensionUniqueName="[PT Q1 1]" displayFolder="" count="0" memberValueDatatype="5" unbalanced="0"/>
    <cacheHierarchy uniqueName="[PT Q1 1].[Environmental hazards14]" caption="Environmental hazards14" attribute="1" defaultMemberUniqueName="[PT Q1 1].[Environmental hazards14].[All]" allUniqueName="[PT Q1 1].[Environmental hazards14].[All]" dimensionUniqueName="[PT Q1 1]" displayFolder="" count="0" memberValueDatatype="5" unbalanced="0"/>
    <cacheHierarchy uniqueName="[PT Q1 1].[Obesity/weight loss issues15]" caption="Obesity/weight loss issues15" attribute="1" defaultMemberUniqueName="[PT Q1 1].[Obesity/weight loss issues15].[All]" allUniqueName="[PT Q1 1].[Obesity/weight loss issues15].[All]" dimensionUniqueName="[PT Q1 1]" displayFolder="" count="0" memberValueDatatype="5" unbalanced="0"/>
    <cacheHierarchy uniqueName="[PT Q1 1].[Column3]" caption="Column3" attribute="1" defaultMemberUniqueName="[PT Q1 1].[Column3].[All]" allUniqueName="[PT Q1 1].[Column3].[All]" dimensionUniqueName="[PT Q1 1]" displayFolder="" count="0" memberValueDatatype="130" unbalanced="0"/>
    <cacheHierarchy uniqueName="[PT Q1 1].[Column4]" caption="Column4" attribute="1" defaultMemberUniqueName="[PT Q1 1].[Column4].[All]" allUniqueName="[PT Q1 1].[Column4].[All]" dimensionUniqueName="[PT Q1 1]" displayFolder="" count="0" memberValueDatatype="130" unbalanced="0"/>
    <cacheHierarchy uniqueName="[PT Q1 1].[Observed]" caption="Observed" attribute="1" defaultMemberUniqueName="[PT Q1 1].[Observed].[All]" allUniqueName="[PT Q1 1].[Observed].[All]" dimensionUniqueName="[PT Q1 1]" displayFolder="" count="0" memberValueDatatype="5" unbalanced="0"/>
    <cacheHierarchy uniqueName="[PT Q1 1].[Expected]" caption="Expected" attribute="1" defaultMemberUniqueName="[PT Q1 1].[Expected].[All]" allUniqueName="[PT Q1 1].[Expected].[All]" dimensionUniqueName="[PT Q1 1]" displayFolder="" count="0" memberValueDatatype="20" unbalanced="0"/>
    <cacheHierarchy uniqueName="[PT Q1 1].[Column18]" caption="Column18" attribute="1" defaultMemberUniqueName="[PT Q1 1].[Column18].[All]" allUniqueName="[PT Q1 1].[Column18].[All]" dimensionUniqueName="[PT Q1 1]" displayFolder="" count="0" memberValueDatatype="130" unbalanced="0"/>
    <cacheHierarchy uniqueName="[PT Q1 1].[Column5]" caption="Column5" attribute="1" defaultMemberUniqueName="[PT Q1 1].[Column5].[All]" allUniqueName="[PT Q1 1].[Column5].[All]" dimensionUniqueName="[PT Q1 1]" displayFolder="" count="0" memberValueDatatype="130" unbalanced="0"/>
    <cacheHierarchy uniqueName="[PT Q1 1].[I identify as:]" caption="I identify as:" attribute="1" defaultMemberUniqueName="[PT Q1 1].[I identify as:].[All]" allUniqueName="[PT Q1 1].[I identify as:].[All]" dimensionUniqueName="[PT Q1 1]" displayFolder="" count="0" memberValueDatatype="130" unbalanced="0"/>
    <cacheHierarchy uniqueName="[PT Q1 1].[What is your age?]" caption="What is your age?" attribute="1" defaultMemberUniqueName="[PT Q1 1].[What is your age?].[All]" allUniqueName="[PT Q1 1].[What is your age?].[All]" dimensionUniqueName="[PT Q1 1]" displayFolder="" count="0" memberValueDatatype="20" unbalanced="0"/>
    <cacheHierarchy uniqueName="[PT Q1 1].[County where you live:]" caption="County where you live:" attribute="1" defaultMemberUniqueName="[PT Q1 1].[County where you live:].[All]" allUniqueName="[PT Q1 1].[County where you live:].[All]" dimensionUniqueName="[PT Q1 1]" displayFolder="" count="0" memberValueDatatype="130" unbalanced="0"/>
    <cacheHierarchy uniqueName="[PT Q1 1].[Town and ZIP code where you live:]" caption="Town and ZIP code where you live:" attribute="1" defaultMemberUniqueName="[PT Q1 1].[Town and ZIP code where you live:].[All]" allUniqueName="[PT Q1 1].[Town and ZIP code where you live:].[All]" dimensionUniqueName="[PT Q1 1]" displayFolder="" count="0" memberValueDatatype="130" unbalanced="0"/>
    <cacheHierarchy uniqueName="[PT Q1 1].[What race do you consider yourself?]" caption="What race do you consider yourself?" attribute="1" defaultMemberUniqueName="[PT Q1 1].[What race do you consider yourself?].[All]" allUniqueName="[PT Q1 1].[What race do you consider yourself?].[All]" dimensionUniqueName="[PT Q1 1]" displayFolder="" count="0" memberValueDatatype="130" unbalanced="0"/>
    <cacheHierarchy uniqueName="[PT Q1 1].[Are you Hispanic or Latino?]" caption="Are you Hispanic or Latino?" attribute="1" defaultMemberUniqueName="[PT Q1 1].[Are you Hispanic or Latino?].[All]" allUniqueName="[PT Q1 1].[Are you Hispanic or Latino?].[All]" dimensionUniqueName="[PT Q1 1]" displayFolder="" count="0" memberValueDatatype="130" unbalanced="0"/>
    <cacheHierarchy uniqueName="[PT Q1 1].[What language do you speak when you are at home (select all that apply)]" caption="What language do you speak when you are at home (select all that apply)" attribute="1" defaultMemberUniqueName="[PT Q1 1].[What language do you speak when you are at home (select all that apply)].[All]" allUniqueName="[PT Q1 1].[What language do you speak when you are at home (select all that apply)].[All]" dimensionUniqueName="[PT Q1 1]" displayFolder="" count="0" memberValueDatatype="130" unbalanced="0"/>
    <cacheHierarchy uniqueName="[PT Q1 1].[What is your annual household income from all sources?]" caption="What is your annual household income from all sources?" attribute="1" defaultMemberUniqueName="[PT Q1 1].[What is your annual household income from all sources?].[All]" allUniqueName="[PT Q1 1].[What is your annual household income from all sources?].[All]" dimensionUniqueName="[PT Q1 1]" displayFolder="" count="0" memberValueDatatype="130" unbalanced="0"/>
    <cacheHierarchy uniqueName="[PT Q1 1].[What is your highest level of education?]" caption="What is your highest level of education?" attribute="1" defaultMemberUniqueName="[PT Q1 1].[What is your highest level of education?].[All]" allUniqueName="[PT Q1 1].[What is your highest level of education?].[All]" dimensionUniqueName="[PT Q1 1]" displayFolder="" count="0" memberValueDatatype="130" unbalanced="0"/>
    <cacheHierarchy uniqueName="[PT Q1 1].[What is your current employment status?]" caption="What is your current employment status?" attribute="1" defaultMemberUniqueName="[PT Q1 1].[What is your current employment status?].[All]" allUniqueName="[PT Q1 1].[What is your current employment status?].[All]" dimensionUniqueName="[PT Q1 1]" displayFolder="" count="0" memberValueDatatype="130" unbalanced="0"/>
    <cacheHierarchy uniqueName="[PT Q1 1].[Do you currently have health insurance?]" caption="Do you currently have health insurance?" attribute="1" defaultMemberUniqueName="[PT Q1 1].[Do you currently have health insurance?].[All]" allUniqueName="[PT Q1 1].[Do you currently have health insurance?].[All]" dimensionUniqueName="[PT Q1 1]" displayFolder="" count="0" memberValueDatatype="130" unbalanced="0"/>
    <cacheHierarchy uniqueName="[PT Q1 1].[What type of insurance do you have?]" caption="What type of insurance do you have?" attribute="1" defaultMemberUniqueName="[PT Q1 1].[What type of insurance do you have?].[All]" allUniqueName="[PT Q1 1].[What type of insurance do you have?].[All]" dimensionUniqueName="[PT Q1 1]" displayFolder="" count="0" memberValueDatatype="130" unbalanced="0"/>
    <cacheHierarchy uniqueName="[PT Q1 1].[Do you have access to reliable internet in your home?]" caption="Do you have access to reliable internet in your home?" attribute="1" defaultMemberUniqueName="[PT Q1 1].[Do you have access to reliable internet in your home?].[All]" allUniqueName="[PT Q1 1].[Do you have access to reliable internet in your home?].[All]" dimensionUniqueName="[PT Q1 1]" displayFolder="" count="0" memberValueDatatype="130" unbalanced="0"/>
    <cacheHierarchy uniqueName="[PT Q1 1].[Female Flag]" caption="Female Flag" attribute="1" defaultMemberUniqueName="[PT Q1 1].[Female Flag].[All]" allUniqueName="[PT Q1 1].[Female Flag].[All]" dimensionUniqueName="[PT Q1 1]" displayFolder="" count="0" memberValueDatatype="20" unbalanced="0"/>
    <cacheHierarchy uniqueName="[PT Q1 1].[Male Flag]" caption="Male Flag" attribute="1" defaultMemberUniqueName="[PT Q1 1].[Male Flag].[All]" allUniqueName="[PT Q1 1].[Male Flag].[All]" dimensionUniqueName="[PT Q1 1]" displayFolder="" count="0" memberValueDatatype="20" unbalanced="0"/>
    <cacheHierarchy uniqueName="[PT Q1 1].[Other Flag]" caption="Other Flag" attribute="1" defaultMemberUniqueName="[PT Q1 1].[Other Flag].[All]" allUniqueName="[PT Q1 1].[Other Flag].[All]" dimensionUniqueName="[PT Q1 1]" displayFolder="" count="0" memberValueDatatype="20" unbalanced="0"/>
    <cacheHierarchy uniqueName="[PT Q1 1].[Hispanic Flag]" caption="Hispanic Flag" attribute="1" defaultMemberUniqueName="[PT Q1 1].[Hispanic Flag].[All]" allUniqueName="[PT Q1 1].[Hispanic Flag].[All]" dimensionUniqueName="[PT Q1 1]" displayFolder="" count="0" memberValueDatatype="20" unbalanced="0"/>
    <cacheHierarchy uniqueName="[PT Q1 1].[White/Caucasian Flag]" caption="White/Caucasian Flag" attribute="1" defaultMemberUniqueName="[PT Q1 1].[White/Caucasian Flag].[All]" allUniqueName="[PT Q1 1].[White/Caucasian Flag].[All]" dimensionUniqueName="[PT Q1 1]" displayFolder="" count="0" memberValueDatatype="20" unbalanced="0"/>
    <cacheHierarchy uniqueName="[PT Q1 1].[Black/African American Flag]" caption="Black/African American Flag" attribute="1" defaultMemberUniqueName="[PT Q1 1].[Black/African American Flag].[All]" allUniqueName="[PT Q1 1].[Black/African American Flag].[All]" dimensionUniqueName="[PT Q1 1]" displayFolder="" count="0" memberValueDatatype="20" unbalanced="0"/>
    <cacheHierarchy uniqueName="[PT Q1 1].[Asian/Pacific Islander Flag]" caption="Asian/Pacific Islander Flag" attribute="1" defaultMemberUniqueName="[PT Q1 1].[Asian/Pacific Islander Flag].[All]" allUniqueName="[PT Q1 1].[Asian/Pacific Islander Flag].[All]" dimensionUniqueName="[PT Q1 1]" displayFolder="" count="0" memberValueDatatype="20" unbalanced="0"/>
    <cacheHierarchy uniqueName="[PT Q1 1].[Native American Flag]" caption="Native American Flag" attribute="1" defaultMemberUniqueName="[PT Q1 1].[Native American Flag].[All]" allUniqueName="[PT Q1 1].[Native American Flag].[All]" dimensionUniqueName="[PT Q1 1]" displayFolder="" count="0" memberValueDatatype="20" unbalanced="0"/>
    <cacheHierarchy uniqueName="[PT Q1 1].[Multi-racial Flag]" caption="Multi-racial Flag" attribute="1" defaultMemberUniqueName="[PT Q1 1].[Multi-racial Flag].[All]" allUniqueName="[PT Q1 1].[Multi-racial Flag].[All]" dimensionUniqueName="[PT Q1 1]" displayFolder="" count="0" memberValueDatatype="20" unbalanced="0"/>
    <cacheHierarchy uniqueName="[PT Q1 1].[Other Race Flag]" caption="Other Race Flag" attribute="1" defaultMemberUniqueName="[PT Q1 1].[Other Race Flag].[All]" allUniqueName="[PT Q1 1].[Other Race Flag].[All]" dimensionUniqueName="[PT Q1 1]" displayFolder="" count="0" memberValueDatatype="20" unbalanced="0"/>
    <cacheHierarchy uniqueName="[PT Q1 1].[$0-$19,999 Flag]" caption="$0-$19,999 Flag" attribute="1" defaultMemberUniqueName="[PT Q1 1].[$0-$19,999 Flag].[All]" allUniqueName="[PT Q1 1].[$0-$19,999 Flag].[All]" dimensionUniqueName="[PT Q1 1]" displayFolder="" count="0" memberValueDatatype="20" unbalanced="0"/>
    <cacheHierarchy uniqueName="[PT Q1 1].[$20,000 to $34,999 Flag]" caption="$20,000 to $34,999 Flag" attribute="1" defaultMemberUniqueName="[PT Q1 1].[$20,000 to $34,999 Flag].[All]" allUniqueName="[PT Q1 1].[$20,000 to $34,999 Flag].[All]" dimensionUniqueName="[PT Q1 1]" displayFolder="" count="0" memberValueDatatype="20" unbalanced="0"/>
    <cacheHierarchy uniqueName="[PT Q1 1].[$35,000 to $49,999 Flag]" caption="$35,000 to $49,999 Flag" attribute="1" defaultMemberUniqueName="[PT Q1 1].[$35,000 to $49,999 Flag].[All]" allUniqueName="[PT Q1 1].[$35,000 to $49,999 Flag].[All]" dimensionUniqueName="[PT Q1 1]" displayFolder="" count="0" memberValueDatatype="20" unbalanced="0"/>
    <cacheHierarchy uniqueName="[PT Q1 1].[$50,000 to $74,999 Flag]" caption="$50,000 to $74,999 Flag" attribute="1" defaultMemberUniqueName="[PT Q1 1].[$50,000 to $74,999 Flag].[All]" allUniqueName="[PT Q1 1].[$50,000 to $74,999 Flag].[All]" dimensionUniqueName="[PT Q1 1]" displayFolder="" count="0" memberValueDatatype="20" unbalanced="0"/>
    <cacheHierarchy uniqueName="[PT Q1 1].[$75,000 to $125,000 Flag]" caption="$75,000 to $125,000 Flag" attribute="1" defaultMemberUniqueName="[PT Q1 1].[$75,000 to $125,000 Flag].[All]" allUniqueName="[PT Q1 1].[$75,000 to $125,000 Flag].[All]" dimensionUniqueName="[PT Q1 1]" displayFolder="" count="0" memberValueDatatype="20" unbalanced="0"/>
    <cacheHierarchy uniqueName="[PT Q1 1].[Over $125,000 Flag]" caption="Over $125,000 Flag" attribute="1" defaultMemberUniqueName="[PT Q1 1].[Over $125,000 Flag].[All]" allUniqueName="[PT Q1 1].[Over $125,000 Flag].[All]" dimensionUniqueName="[PT Q1 1]" displayFolder="" count="0" memberValueDatatype="20" unbalanced="0"/>
    <cacheHierarchy uniqueName="[PT Q1 1].[18-24 Flag]" caption="18-24 Flag" attribute="1" defaultMemberUniqueName="[PT Q1 1].[18-24 Flag].[All]" allUniqueName="[PT Q1 1].[18-24 Flag].[All]" dimensionUniqueName="[PT Q1 1]" displayFolder="" count="0" memberValueDatatype="20" unbalanced="0"/>
    <cacheHierarchy uniqueName="[PT Q1 1].[25-34 Flag]" caption="25-34 Flag" attribute="1" defaultMemberUniqueName="[PT Q1 1].[25-34 Flag].[All]" allUniqueName="[PT Q1 1].[25-34 Flag].[All]" dimensionUniqueName="[PT Q1 1]" displayFolder="" count="0" memberValueDatatype="20" unbalanced="0"/>
    <cacheHierarchy uniqueName="[PT Q1 1].[35-44 Flag]" caption="35-44 Flag" attribute="1" defaultMemberUniqueName="[PT Q1 1].[35-44 Flag].[All]" allUniqueName="[PT Q1 1].[35-44 Flag].[All]" dimensionUniqueName="[PT Q1 1]" displayFolder="" count="0" memberValueDatatype="20" unbalanced="0"/>
    <cacheHierarchy uniqueName="[PT Q1 1].[45-54 Flag]" caption="45-54 Flag" attribute="1" defaultMemberUniqueName="[PT Q1 1].[45-54 Flag].[All]" allUniqueName="[PT Q1 1].[45-54 Flag].[All]" dimensionUniqueName="[PT Q1 1]" displayFolder="" count="0" memberValueDatatype="20" unbalanced="0"/>
    <cacheHierarchy uniqueName="[PT Q1 1].[55-64 Flag]" caption="55-64 Flag" attribute="1" defaultMemberUniqueName="[PT Q1 1].[55-64 Flag].[All]" allUniqueName="[PT Q1 1].[55-64 Flag].[All]" dimensionUniqueName="[PT Q1 1]" displayFolder="" count="0" memberValueDatatype="20" unbalanced="0"/>
    <cacheHierarchy uniqueName="[PT Q1 1].[65+ Flag]" caption="65+ Flag" attribute="1" defaultMemberUniqueName="[PT Q1 1].[65+ Flag].[All]" allUniqueName="[PT Q1 1].[65+ Flag].[All]" dimensionUniqueName="[PT Q1 1]" displayFolder="" count="0" memberValueDatatype="20" unbalanced="0"/>
    <cacheHierarchy uniqueName="[PT Q1 1].[K-8th Flag]" caption="K-8th Flag" attribute="1" defaultMemberUniqueName="[PT Q1 1].[K-8th Flag].[All]" allUniqueName="[PT Q1 1].[K-8th Flag].[All]" dimensionUniqueName="[PT Q1 1]" displayFolder="" count="0" memberValueDatatype="20" unbalanced="0"/>
    <cacheHierarchy uniqueName="[PT Q1 1].[Some high school Flag]" caption="Some high school Flag" attribute="1" defaultMemberUniqueName="[PT Q1 1].[Some high school Flag].[All]" allUniqueName="[PT Q1 1].[Some high school Flag].[All]" dimensionUniqueName="[PT Q1 1]" displayFolder="" count="0" memberValueDatatype="20" unbalanced="0"/>
    <cacheHierarchy uniqueName="[PT Q1 1].[High school graduate Flag]" caption="High school graduate Flag" attribute="1" defaultMemberUniqueName="[PT Q1 1].[High school graduate Flag].[All]" allUniqueName="[PT Q1 1].[High school graduate Flag].[All]" dimensionUniqueName="[PT Q1 1]" displayFolder="" count="0" memberValueDatatype="20" unbalanced="0"/>
    <cacheHierarchy uniqueName="[PT Q1 1].[Technical school Flag]" caption="Technical school Flag" attribute="1" defaultMemberUniqueName="[PT Q1 1].[Technical school Flag].[All]" allUniqueName="[PT Q1 1].[Technical school Flag].[All]" dimensionUniqueName="[PT Q1 1]" displayFolder="" count="0" memberValueDatatype="20" unbalanced="0"/>
    <cacheHierarchy uniqueName="[PT Q1 1].[Some college Flag]" caption="Some college Flag" attribute="1" defaultMemberUniqueName="[PT Q1 1].[Some college Flag].[All]" allUniqueName="[PT Q1 1].[Some college Flag].[All]" dimensionUniqueName="[PT Q1 1]" displayFolder="" count="0" memberValueDatatype="20" unbalanced="0"/>
    <cacheHierarchy uniqueName="[PT Q1 1].[College graduate Flag]" caption="College graduate Flag" attribute="1" defaultMemberUniqueName="[PT Q1 1].[College graduate Flag].[All]" allUniqueName="[PT Q1 1].[College graduate Flag].[All]" dimensionUniqueName="[PT Q1 1]" displayFolder="" count="0" memberValueDatatype="20" unbalanced="0"/>
    <cacheHierarchy uniqueName="[PT Q1 1].[Graduate school Flag]" caption="Graduate school Flag" attribute="1" defaultMemberUniqueName="[PT Q1 1].[Graduate school Flag].[All]" allUniqueName="[PT Q1 1].[Graduate school Flag].[All]" dimensionUniqueName="[PT Q1 1]" displayFolder="" count="0" memberValueDatatype="20" unbalanced="0"/>
    <cacheHierarchy uniqueName="[PT Q1 1].[Doctorate Flag]" caption="Doctorate Flag" attribute="1" defaultMemberUniqueName="[PT Q1 1].[Doctorate Flag].[All]" allUniqueName="[PT Q1 1].[Doctorate Flag].[All]" dimensionUniqueName="[PT Q1 1]" displayFolder="" count="0" memberValueDatatype="20" unbalanced="0"/>
    <cacheHierarchy uniqueName="[PT Q1 1].[GED Flag]" caption="GED Flag" attribute="1" defaultMemberUniqueName="[PT Q1 1].[GED Flag].[All]" allUniqueName="[PT Q1 1].[GED Flag].[All]" dimensionUniqueName="[PT Q1 1]" displayFolder="" count="0" memberValueDatatype="20" unbalanced="0"/>
    <cacheHierarchy uniqueName="[PT Q1 1].[None Flag]" caption="None Flag" attribute="1" defaultMemberUniqueName="[PT Q1 1].[None Flag].[All]" allUniqueName="[PT Q1 1].[None Flag].[All]" dimensionUniqueName="[PT Q1 1]" displayFolder="" count="0" memberValueDatatype="20" unbalanced="0"/>
    <cacheHierarchy uniqueName="[PT Q1 1].[Employed for Wages Flag]" caption="Employed for Wages Flag" attribute="1" defaultMemberUniqueName="[PT Q1 1].[Employed for Wages Flag].[All]" allUniqueName="[PT Q1 1].[Employed for Wages Flag].[All]" dimensionUniqueName="[PT Q1 1]" displayFolder="" count="0" memberValueDatatype="20" unbalanced="0"/>
    <cacheHierarchy uniqueName="[PT Q1 1].[Self-employed Flag]" caption="Self-employed Flag" attribute="1" defaultMemberUniqueName="[PT Q1 1].[Self-employed Flag].[All]" allUniqueName="[PT Q1 1].[Self-employed Flag].[All]" dimensionUniqueName="[PT Q1 1]" displayFolder="" count="0" memberValueDatatype="20" unbalanced="0"/>
    <cacheHierarchy uniqueName="[PT Q1 1].[Student Flag]" caption="Student Flag" attribute="1" defaultMemberUniqueName="[PT Q1 1].[Student Flag].[All]" allUniqueName="[PT Q1 1].[Student Flag].[All]" dimensionUniqueName="[PT Q1 1]" displayFolder="" count="0" memberValueDatatype="20" unbalanced="0"/>
    <cacheHierarchy uniqueName="[PT Q1 1].[Retired Flag]" caption="Retired Flag" attribute="1" defaultMemberUniqueName="[PT Q1 1].[Retired Flag].[All]" allUniqueName="[PT Q1 1].[Retired Flag].[All]" dimensionUniqueName="[PT Q1 1]" displayFolder="" count="0" memberValueDatatype="20" unbalanced="0"/>
    <cacheHierarchy uniqueName="[PT Q1 1].[Military Flag]" caption="Military Flag" attribute="1" defaultMemberUniqueName="[PT Q1 1].[Military Flag].[All]" allUniqueName="[PT Q1 1].[Military Flag].[All]" dimensionUniqueName="[PT Q1 1]" displayFolder="" count="0" memberValueDatatype="20" unbalanced="0"/>
    <cacheHierarchy uniqueName="[PT Q1 1].[Out of work and looking for work Flag]" caption="Out of work and looking for work Flag" attribute="1" defaultMemberUniqueName="[PT Q1 1].[Out of work and looking for work Flag].[All]" allUniqueName="[PT Q1 1].[Out of work and looking for work Flag].[All]" dimensionUniqueName="[PT Q1 1]" displayFolder="" count="0" memberValueDatatype="20" unbalanced="0"/>
    <cacheHierarchy uniqueName="[PT Q1 1].[Out of work, but not currently looking Flag]" caption="Out of work, but not currently looking Flag" attribute="1" defaultMemberUniqueName="[PT Q1 1].[Out of work, but not currently looking Flag].[All]" allUniqueName="[PT Q1 1].[Out of work, but not currently looking Flag].[All]" dimensionUniqueName="[PT Q1 1]" displayFolder="" count="0" memberValueDatatype="20" unbalanced="0"/>
    <cacheHierarchy uniqueName="[PT Q1 1].[Currently Insured Flag]" caption="Currently Insured Flag" attribute="1" defaultMemberUniqueName="[PT Q1 1].[Currently Insured Flag].[All]" allUniqueName="[PT Q1 1].[Currently Insured Flag].[All]" dimensionUniqueName="[PT Q1 1]" displayFolder="" count="0" memberValueDatatype="20" unbalanced="0"/>
    <cacheHierarchy uniqueName="[PT Q1 1].[Previously Insured Flag]" caption="Previously Insured Flag" attribute="1" defaultMemberUniqueName="[PT Q1 1].[Previously Insured Flag].[All]" allUniqueName="[PT Q1 1].[Previously Insured Flag].[All]" dimensionUniqueName="[PT Q1 1]" displayFolder="" count="0" memberValueDatatype="20" unbalanced="0"/>
    <cacheHierarchy uniqueName="[PT Q1 1].[Not Insured Flag]" caption="Not Insured Flag" attribute="1" defaultMemberUniqueName="[PT Q1 1].[Not Insured Flag].[All]" allUniqueName="[PT Q1 1].[Not Insured Flag].[All]" dimensionUniqueName="[PT Q1 1]" displayFolder="" count="0" memberValueDatatype="20" unbalanced="0"/>
    <cacheHierarchy uniqueName="[PT Q1 1].[Medicaid Flag]" caption="Medicaid Flag" attribute="1" defaultMemberUniqueName="[PT Q1 1].[Medicaid Flag].[All]" allUniqueName="[PT Q1 1].[Medicaid Flag].[All]" dimensionUniqueName="[PT Q1 1]" displayFolder="" count="0" memberValueDatatype="20" unbalanced="0"/>
    <cacheHierarchy uniqueName="[PT Q1 1].[Medicaid,Medicare Flag]" caption="Medicaid,Medicare Flag" attribute="1" defaultMemberUniqueName="[PT Q1 1].[Medicaid,Medicare Flag].[All]" allUniqueName="[PT Q1 1].[Medicaid,Medicare Flag].[All]" dimensionUniqueName="[PT Q1 1]" displayFolder="" count="0" memberValueDatatype="20" unbalanced="0"/>
    <cacheHierarchy uniqueName="[PT Q1 1].[Medicaid,Medicare,Private/Commercial Flag]" caption="Medicaid,Medicare,Private/Commercial Flag" attribute="1" defaultMemberUniqueName="[PT Q1 1].[Medicaid,Medicare,Private/Commercial Flag].[All]" allUniqueName="[PT Q1 1].[Medicaid,Medicare,Private/Commercial Flag].[All]" dimensionUniqueName="[PT Q1 1]" displayFolder="" count="0" memberValueDatatype="20" unbalanced="0"/>
    <cacheHierarchy uniqueName="[PT Q1 1].[Medicaid,Private/Commercial Flag]" caption="Medicaid,Private/Commercial Flag" attribute="1" defaultMemberUniqueName="[PT Q1 1].[Medicaid,Private/Commercial Flag].[All]" allUniqueName="[PT Q1 1].[Medicaid,Private/Commercial Flag].[All]" dimensionUniqueName="[PT Q1 1]" displayFolder="" count="0" memberValueDatatype="20" unbalanced="0"/>
    <cacheHierarchy uniqueName="[PT Q1 1].[Medicare Flag]" caption="Medicare Flag" attribute="1" defaultMemberUniqueName="[PT Q1 1].[Medicare Flag].[All]" allUniqueName="[PT Q1 1].[Medicare Flag].[All]" dimensionUniqueName="[PT Q1 1]" displayFolder="" count="0" memberValueDatatype="20" unbalanced="0"/>
    <cacheHierarchy uniqueName="[PT Q1 1].[Medicare,No Insurance Flag]" caption="Medicare,No Insurance Flag" attribute="1" defaultMemberUniqueName="[PT Q1 1].[Medicare,No Insurance Flag].[All]" allUniqueName="[PT Q1 1].[Medicare,No Insurance Flag].[All]" dimensionUniqueName="[PT Q1 1]" displayFolder="" count="0" memberValueDatatype="20" unbalanced="0"/>
    <cacheHierarchy uniqueName="[PT Q1 1].[Medicare,Private/Commercial Flag]" caption="Medicare,Private/Commercial Flag" attribute="1" defaultMemberUniqueName="[PT Q1 1].[Medicare,Private/Commercial Flag].[All]" allUniqueName="[PT Q1 1].[Medicare,Private/Commercial Flag].[All]" dimensionUniqueName="[PT Q1 1]" displayFolder="" count="0" memberValueDatatype="20" unbalanced="0"/>
    <cacheHierarchy uniqueName="[PT Q1 1].[No Insurance Flag]" caption="No Insurance Flag" attribute="1" defaultMemberUniqueName="[PT Q1 1].[No Insurance Flag].[All]" allUniqueName="[PT Q1 1].[No Insurance Flag].[All]" dimensionUniqueName="[PT Q1 1]" displayFolder="" count="0" memberValueDatatype="20" unbalanced="0"/>
    <cacheHierarchy uniqueName="[PT Q1 1].[Private/Commercial Flag]" caption="Private/Commercial Flag" attribute="1" defaultMemberUniqueName="[PT Q1 1].[Private/Commercial Flag].[All]" allUniqueName="[PT Q1 1].[Private/Commercial Flag].[All]" dimensionUniqueName="[PT Q1 1]" displayFolder="" count="0" memberValueDatatype="20" unbalanced="0"/>
    <cacheHierarchy uniqueName="[PT Q1 1].[Reliable Internet Flag]" caption="Reliable Internet Flag" attribute="1" defaultMemberUniqueName="[PT Q1 1].[Reliable Internet Flag].[All]" allUniqueName="[PT Q1 1].[Reliable Internet Flag].[All]" dimensionUniqueName="[PT Q1 1]" displayFolder="" count="0" memberValueDatatype="2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OTHER]" caption="OTHER" attribute="1" defaultMemberUniqueName="[PT Q2].[OTHER].[All]" allUniqueName="[PT Q2].[OTHER].[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5"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What type of insurance do you have?]" caption="What type of insurance do you have?" attribute="1" defaultMemberUniqueName="[PT Q2].[What type of insurance do you have?].[All]" allUniqueName="[PT Q2].[What type of insurance do you have?].[All]" dimensionUniqueName="[PT Q2]" displayFolder="" count="0" memberValueDatatype="130" unbalanced="0"/>
    <cacheHierarchy uniqueName="[PT Q2].[Do you have access to reliable internet in your home?]" caption="Do you have access to reliable internet in your home?" attribute="1" defaultMemberUniqueName="[PT Q2].[Do you have access to reliable internet in your home?].[All]" allUniqueName="[PT Q2].[Do you have access to reliable internet in your hom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immigration status)]" caption="Fear (e.g. not ready to face/discuss health problem; immigration status)" attribute="1" defaultMemberUniqueName="[PT Q3].[Fear (e.g. not ready to face/discuss health problem; immigration status)].[All]" allUniqueName="[PT Q3].[Fear (e.g. not ready to face/discuss health problem; immigration status)].[All]" dimensionUniqueName="[PT Q3]" displayFolder="" count="0" memberValueDatatype="130" unbalanced="0"/>
    <cacheHierarchy uniqueName="[PT Q3].[OTHER]" caption="OTHER" attribute="1" defaultMemberUniqueName="[PT Q3].[OTHER].[All]" allUniqueName="[PT Q3].[OTHER].[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immigration status)14]" caption="Fear (e.g. not ready to face/discuss health problem;immigration status)14" attribute="1" defaultMemberUniqueName="[PT Q3].[Fear (e.g. not ready to face/discuss health problem;immigration status)14].[All]" allUniqueName="[PT Q3].[Fear (e.g. not ready to face/discuss health problem;immigration status)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What type of insurance do you have?]" caption="What type of insurance do you have?" attribute="1" defaultMemberUniqueName="[PT Q3].[What type of insurance do you have?].[All]" allUniqueName="[PT Q3].[What type of insurance do you have?].[All]" dimensionUniqueName="[PT Q3]" displayFolder="" count="0" memberValueDatatype="130" unbalanced="0"/>
    <cacheHierarchy uniqueName="[PT Q3].[Do you have access to reliable internet in your home?]" caption="Do you have access to reliable internet in your home?" attribute="1" defaultMemberUniqueName="[PT Q3].[Do you have access to reliable internet in your home?].[All]" allUniqueName="[PT Q3].[Do you have access to reliable internet in your hom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OTHER]" caption="OTHER" attribute="1" defaultMemberUniqueName="[PT Q4].[OTHER].[All]" allUniqueName="[PT Q4].[OTHER].[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2" memberValueDatatype="130" unbalanced="0">
      <fieldsUsage count="2">
        <fieldUsage x="-1"/>
        <fieldUsage x="15"/>
      </fieldsUsage>
    </cacheHierarchy>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2" memberValueDatatype="130" unbalanced="0">
      <fieldsUsage count="2">
        <fieldUsage x="-1"/>
        <fieldUsage x="14"/>
      </fieldsUsage>
    </cacheHierarchy>
    <cacheHierarchy uniqueName="[PT Q4].[Town and ZIP code where you live:]" caption="Town and ZIP code where you live:" attribute="1" defaultMemberUniqueName="[PT Q4].[Town and ZIP code where you live:].[All]" allUniqueName="[PT Q4].[Town and ZIP code where you live:].[All]" dimensionUniqueName="[PT Q4]" displayFolder="" count="2" memberValueDatatype="130" unbalanced="0">
      <fieldsUsage count="2">
        <fieldUsage x="-1"/>
        <fieldUsage x="0"/>
      </fieldsUsage>
    </cacheHierarchy>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2" memberValueDatatype="130" unbalanced="0">
      <fieldsUsage count="2">
        <fieldUsage x="-1"/>
        <fieldUsage x="20"/>
      </fieldsUsage>
    </cacheHierarchy>
    <cacheHierarchy uniqueName="[PT Q4].[Are you Hispanic or Latino?]" caption="Are you Hispanic or Latino?" attribute="1" defaultMemberUniqueName="[PT Q4].[Are you Hispanic or Latino?].[All]" allUniqueName="[PT Q4].[Are you Hispanic or Latino?].[All]" dimensionUniqueName="[PT Q4]" displayFolder="" count="2" memberValueDatatype="130" unbalanced="0">
      <fieldsUsage count="2">
        <fieldUsage x="-1"/>
        <fieldUsage x="16"/>
      </fieldsUsage>
    </cacheHierarchy>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2" memberValueDatatype="130" unbalanced="0">
      <fieldsUsage count="2">
        <fieldUsage x="-1"/>
        <fieldUsage x="17"/>
      </fieldsUsage>
    </cacheHierarchy>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2" memberValueDatatype="130" unbalanced="0">
      <fieldsUsage count="2">
        <fieldUsage x="-1"/>
        <fieldUsage x="19"/>
      </fieldsUsage>
    </cacheHierarchy>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2" memberValueDatatype="130" unbalanced="0">
      <fieldsUsage count="2">
        <fieldUsage x="-1"/>
        <fieldUsage x="18"/>
      </fieldsUsage>
    </cacheHierarchy>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2" memberValueDatatype="130" unbalanced="0">
      <fieldsUsage count="2">
        <fieldUsage x="-1"/>
        <fieldUsage x="21"/>
      </fieldsUsage>
    </cacheHierarchy>
    <cacheHierarchy uniqueName="[PT Q4].[What type of insurance do you have?]" caption="What type of insurance do you have?" attribute="1" defaultMemberUniqueName="[PT Q4].[What type of insurance do you have?].[All]" allUniqueName="[PT Q4].[What type of insurance do you have?].[All]" dimensionUniqueName="[PT Q4]" displayFolder="" count="0" memberValueDatatype="130" unbalanced="0"/>
    <cacheHierarchy uniqueName="[PT Q4].[Do you have access to reliable internet in your home?]" caption="Do you have access to reliable internet in your home?" attribute="1" defaultMemberUniqueName="[PT Q4].[Do you have access to reliable internet in your home?].[All]" allUniqueName="[PT Q4].[Do you have access to reliable internet in your hom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OTHER]" caption="OTHER" attribute="1" defaultMemberUniqueName="[PT Q5].[OTHER].[All]" allUniqueName="[PT Q5].[OTHER].[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What type of insurance do you have?]" caption="What type of insurance do you have?" attribute="1" defaultMemberUniqueName="[PT Q5].[What type of insurance do you have?].[All]" allUniqueName="[PT Q5].[What type of insurance do you have?].[All]" dimensionUniqueName="[PT Q5]" displayFolder="" count="0" memberValueDatatype="130" unbalanced="0"/>
    <cacheHierarchy uniqueName="[PT Q5].[Do you have access to reliable internet in your home?]" caption="Do you have access to reliable internet in your home?" attribute="1" defaultMemberUniqueName="[PT Q5].[Do you have access to reliable internet in your home?].[All]" allUniqueName="[PT Q5].[Do you have access to reliable internet in your hom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What type of insurance do you have?]" caption="What type of insurance do you have?" attribute="1" defaultMemberUniqueName="[PT Q6].[What type of insurance do you have?].[All]" allUniqueName="[PT Q6].[What type of insurance do you have?].[All]" dimensionUniqueName="[PT Q6]" displayFolder="" count="0" memberValueDatatype="130" unbalanced="0"/>
    <cacheHierarchy uniqueName="[PT Q6].[Do you have access to reliable internet in your home?]" caption="Do you have access to reliable internet in your home?" attribute="1" defaultMemberUniqueName="[PT Q6].[Do you have access to reliable internet in your home?].[All]" allUniqueName="[PT Q6].[Do you have access to reliable internet in your hom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198"/>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198"/>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216"/>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217"/>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222"/>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207"/>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209"/>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224"/>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226"/>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227"/>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218"/>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220"/>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225"/>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228"/>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219"/>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221"/>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223"/>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24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248"/>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26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26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269"/>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26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26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27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26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27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26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292"/>
        </ext>
      </extLst>
    </cacheHierarchy>
    <cacheHierarchy uniqueName="[Measures].[Count of RespondentID 4]" caption="Count of RespondentID 4" measure="1" displayFolder="" measureGroup="PT Q4" count="0" oneField="1">
      <fieldsUsage count="1">
        <fieldUsage x="1"/>
      </fieldsUsage>
      <extLst>
        <ext xmlns:x15="http://schemas.microsoft.com/office/spreadsheetml/2010/11/main" uri="{B97F6D7D-B522-45F9-BDA1-12C45D357490}">
          <x15:cacheHierarchy aggregatedColumn="292"/>
        </ext>
      </extLst>
    </cacheHierarchy>
    <cacheHierarchy uniqueName="[Measures].[Sum of Clean air  water5]" caption="Sum of Clean air  water5" measure="1" displayFolder="" measureGroup="PT Q4" count="0" oneField="1">
      <fieldsUsage count="1">
        <fieldUsage x="2"/>
      </fieldsUsage>
      <extLst>
        <ext xmlns:x15="http://schemas.microsoft.com/office/spreadsheetml/2010/11/main" uri="{B97F6D7D-B522-45F9-BDA1-12C45D357490}">
          <x15:cacheHierarchy aggregatedColumn="309"/>
        </ext>
      </extLst>
    </cacheHierarchy>
    <cacheHierarchy uniqueName="[Measures].[Sum of Drug  alcohol rehabilitation services8]" caption="Sum of Drug  alcohol rehabilitation services8" measure="1" displayFolder="" measureGroup="PT Q4" count="0" oneField="1">
      <fieldsUsage count="1">
        <fieldUsage x="3"/>
      </fieldsUsage>
      <extLst>
        <ext xmlns:x15="http://schemas.microsoft.com/office/spreadsheetml/2010/11/main" uri="{B97F6D7D-B522-45F9-BDA1-12C45D357490}">
          <x15:cacheHierarchy aggregatedColumn="312"/>
        </ext>
      </extLst>
    </cacheHierarchy>
    <cacheHierarchy uniqueName="[Measures].[Sum of Healthier food choices11]" caption="Sum of Healthier food choices11" measure="1" displayFolder="" measureGroup="PT Q4" count="0" oneField="1">
      <fieldsUsage count="1">
        <fieldUsage x="4"/>
      </fieldsUsage>
      <extLst>
        <ext xmlns:x15="http://schemas.microsoft.com/office/spreadsheetml/2010/11/main" uri="{B97F6D7D-B522-45F9-BDA1-12C45D357490}">
          <x15:cacheHierarchy aggregatedColumn="315"/>
        </ext>
      </extLst>
    </cacheHierarchy>
    <cacheHierarchy uniqueName="[Measures].[Sum of Job opportunities14]" caption="Sum of Job opportunities14" measure="1" displayFolder="" measureGroup="PT Q4" count="0" oneField="1">
      <fieldsUsage count="1">
        <fieldUsage x="5"/>
      </fieldsUsage>
      <extLst>
        <ext xmlns:x15="http://schemas.microsoft.com/office/spreadsheetml/2010/11/main" uri="{B97F6D7D-B522-45F9-BDA1-12C45D357490}">
          <x15:cacheHierarchy aggregatedColumn="318"/>
        </ext>
      </extLst>
    </cacheHierarchy>
    <cacheHierarchy uniqueName="[Measures].[Sum of Mental health services6]" caption="Sum of Mental health services6" measure="1" displayFolder="" measureGroup="PT Q4" count="0" oneField="1">
      <fieldsUsage count="1">
        <fieldUsage x="6"/>
      </fieldsUsage>
      <extLst>
        <ext xmlns:x15="http://schemas.microsoft.com/office/spreadsheetml/2010/11/main" uri="{B97F6D7D-B522-45F9-BDA1-12C45D357490}">
          <x15:cacheHierarchy aggregatedColumn="310"/>
        </ext>
      </extLst>
    </cacheHierarchy>
    <cacheHierarchy uniqueName="[Measures].[Sum of Recreation facilities9]" caption="Sum of Recreation facilities9" measure="1" displayFolder="" measureGroup="PT Q4" count="0" oneField="1">
      <fieldsUsage count="1">
        <fieldUsage x="7"/>
      </fieldsUsage>
      <extLst>
        <ext xmlns:x15="http://schemas.microsoft.com/office/spreadsheetml/2010/11/main" uri="{B97F6D7D-B522-45F9-BDA1-12C45D357490}">
          <x15:cacheHierarchy aggregatedColumn="313"/>
        </ext>
      </extLst>
    </cacheHierarchy>
    <cacheHierarchy uniqueName="[Measures].[Sum of Safe childcare options12]" caption="Sum of Safe childcare options12" measure="1" displayFolder="" measureGroup="PT Q4" count="0" oneField="1">
      <fieldsUsage count="1">
        <fieldUsage x="8"/>
      </fieldsUsage>
      <extLst>
        <ext xmlns:x15="http://schemas.microsoft.com/office/spreadsheetml/2010/11/main" uri="{B97F6D7D-B522-45F9-BDA1-12C45D357490}">
          <x15:cacheHierarchy aggregatedColumn="316"/>
        </ext>
      </extLst>
    </cacheHierarchy>
    <cacheHierarchy uniqueName="[Measures].[Sum of Safe places to walkplay15]" caption="Sum of Safe places to walkplay15" measure="1" displayFolder="" measureGroup="PT Q4" count="0" oneField="1">
      <fieldsUsage count="1">
        <fieldUsage x="9"/>
      </fieldsUsage>
      <extLst>
        <ext xmlns:x15="http://schemas.microsoft.com/office/spreadsheetml/2010/11/main" uri="{B97F6D7D-B522-45F9-BDA1-12C45D357490}">
          <x15:cacheHierarchy aggregatedColumn="319"/>
        </ext>
      </extLst>
    </cacheHierarchy>
    <cacheHierarchy uniqueName="[Measures].[Sum of Safe worksites16]" caption="Sum of Safe worksites16" measure="1" displayFolder="" measureGroup="PT Q4" count="0" oneField="1">
      <fieldsUsage count="1">
        <fieldUsage x="10"/>
      </fieldsUsage>
      <extLst>
        <ext xmlns:x15="http://schemas.microsoft.com/office/spreadsheetml/2010/11/main" uri="{B97F6D7D-B522-45F9-BDA1-12C45D357490}">
          <x15:cacheHierarchy aggregatedColumn="320"/>
        </ext>
      </extLst>
    </cacheHierarchy>
    <cacheHierarchy uniqueName="[Measures].[Sum of Smoking cessation programs7]" caption="Sum of Smoking cessation programs7" measure="1" displayFolder="" measureGroup="PT Q4" count="0" oneField="1">
      <fieldsUsage count="1">
        <fieldUsage x="11"/>
      </fieldsUsage>
      <extLst>
        <ext xmlns:x15="http://schemas.microsoft.com/office/spreadsheetml/2010/11/main" uri="{B97F6D7D-B522-45F9-BDA1-12C45D357490}">
          <x15:cacheHierarchy aggregatedColumn="311"/>
        </ext>
      </extLst>
    </cacheHierarchy>
    <cacheHierarchy uniqueName="[Measures].[Sum of Transportation10]" caption="Sum of Transportation10" measure="1" displayFolder="" measureGroup="PT Q4" count="0" oneField="1">
      <fieldsUsage count="1">
        <fieldUsage x="12"/>
      </fieldsUsage>
      <extLst>
        <ext xmlns:x15="http://schemas.microsoft.com/office/spreadsheetml/2010/11/main" uri="{B97F6D7D-B522-45F9-BDA1-12C45D357490}">
          <x15:cacheHierarchy aggregatedColumn="314"/>
        </ext>
      </extLst>
    </cacheHierarchy>
    <cacheHierarchy uniqueName="[Measures].[Sum of Weight loss programs13]" caption="Sum of Weight loss programs13" measure="1" displayFolder="" measureGroup="PT Q4" count="0" oneField="1">
      <fieldsUsage count="1">
        <fieldUsage x="13"/>
      </fieldsUsage>
      <extLst>
        <ext xmlns:x15="http://schemas.microsoft.com/office/spreadsheetml/2010/11/main" uri="{B97F6D7D-B522-45F9-BDA1-12C45D357490}">
          <x15:cacheHierarchy aggregatedColumn="317"/>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340"/>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340"/>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363"/>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366"/>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369"/>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372"/>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378"/>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380"/>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364"/>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367"/>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370"/>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373"/>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376"/>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379"/>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365"/>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368"/>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371"/>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374"/>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377"/>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401"/>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404"/>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407"/>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410"/>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412"/>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402"/>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405"/>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408"/>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411"/>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413"/>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403"/>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406"/>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409"/>
        </ext>
      </extLst>
    </cacheHierarchy>
    <cacheHierarchy uniqueName="[Measures].[Sum of Fear (eg not ready to facediscuss health problemimmigration status)14]" caption="Sum of Fear (eg not ready to facediscuss health problemimmigration status)14" measure="1" displayFolder="" measureGroup="PT Q3" count="0">
      <extLst>
        <ext xmlns:x15="http://schemas.microsoft.com/office/spreadsheetml/2010/11/main" uri="{B97F6D7D-B522-45F9-BDA1-12C45D357490}">
          <x15:cacheHierarchy aggregatedColumn="272"/>
        </ext>
      </extLst>
    </cacheHierarchy>
    <cacheHierarchy uniqueName="[Measures].[Sum of RespondentID 7]" caption="Sum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Women’s health  wellness10 3]" caption="Sum of Women’s health  wellness10 3" measure="1" displayFolder="" measureGroup="PT Q1 1" count="0">
      <extLst>
        <ext xmlns:x15="http://schemas.microsoft.com/office/spreadsheetml/2010/11/main" uri="{B97F6D7D-B522-45F9-BDA1-12C45D357490}">
          <x15:cacheHierarchy aggregatedColumn="121"/>
        </ext>
      </extLst>
    </cacheHierarchy>
    <cacheHierarchy uniqueName="[Measures].[Count of RespondentID 7]" caption="Count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Asthmalung disease3 3]" caption="Sum of Asthmalung disease3 3" measure="1" displayFolder="" measureGroup="PT Q1 1" count="0">
      <extLst>
        <ext xmlns:x15="http://schemas.microsoft.com/office/spreadsheetml/2010/11/main" uri="{B97F6D7D-B522-45F9-BDA1-12C45D357490}">
          <x15:cacheHierarchy aggregatedColumn="114"/>
        </ext>
      </extLst>
    </cacheHierarchy>
    <cacheHierarchy uniqueName="[Measures].[Sum of Cancer4 3]" caption="Sum of Cancer4 3" measure="1" displayFolder="" measureGroup="PT Q1 1" count="0">
      <extLst>
        <ext xmlns:x15="http://schemas.microsoft.com/office/spreadsheetml/2010/11/main" uri="{B97F6D7D-B522-45F9-BDA1-12C45D357490}">
          <x15:cacheHierarchy aggregatedColumn="115"/>
        </ext>
      </extLst>
    </cacheHierarchy>
    <cacheHierarchy uniqueName="[Measures].[Sum of Heart disease  stroke5 3]" caption="Sum of Heart disease  stroke5 3" measure="1" displayFolder="" measureGroup="PT Q1 1" count="0">
      <extLst>
        <ext xmlns:x15="http://schemas.microsoft.com/office/spreadsheetml/2010/11/main" uri="{B97F6D7D-B522-45F9-BDA1-12C45D357490}">
          <x15:cacheHierarchy aggregatedColumn="116"/>
        </ext>
      </extLst>
    </cacheHierarchy>
    <cacheHierarchy uniqueName="[Measures].[Sum of Safety6 3]" caption="Sum of Safety6 3" measure="1" displayFolder="" measureGroup="PT Q1 1" count="0">
      <extLst>
        <ext xmlns:x15="http://schemas.microsoft.com/office/spreadsheetml/2010/11/main" uri="{B97F6D7D-B522-45F9-BDA1-12C45D357490}">
          <x15:cacheHierarchy aggregatedColumn="117"/>
        </ext>
      </extLst>
    </cacheHierarchy>
    <cacheHierarchy uniqueName="[Measures].[Sum of HIVAIDS  Sexually Transmitted Diseases (STDs)7 3]" caption="Sum of HIVAIDS  Sexually Transmitted Diseases (STDs)7 3" measure="1" displayFolder="" measureGroup="PT Q1 1" count="0">
      <extLst>
        <ext xmlns:x15="http://schemas.microsoft.com/office/spreadsheetml/2010/11/main" uri="{B97F6D7D-B522-45F9-BDA1-12C45D357490}">
          <x15:cacheHierarchy aggregatedColumn="118"/>
        </ext>
      </extLst>
    </cacheHierarchy>
    <cacheHierarchy uniqueName="[Measures].[Sum of Vaccine preventable diseases8 3]" caption="Sum of Vaccine preventable diseases8 3" measure="1" displayFolder="" measureGroup="PT Q1 1" count="0">
      <extLst>
        <ext xmlns:x15="http://schemas.microsoft.com/office/spreadsheetml/2010/11/main" uri="{B97F6D7D-B522-45F9-BDA1-12C45D357490}">
          <x15:cacheHierarchy aggregatedColumn="119"/>
        </ext>
      </extLst>
    </cacheHierarchy>
    <cacheHierarchy uniqueName="[Measures].[Sum of Child health  wellness9 3]" caption="Sum of Child health  wellness9 3" measure="1" displayFolder="" measureGroup="PT Q1 1" count="0">
      <extLst>
        <ext xmlns:x15="http://schemas.microsoft.com/office/spreadsheetml/2010/11/main" uri="{B97F6D7D-B522-45F9-BDA1-12C45D357490}">
          <x15:cacheHierarchy aggregatedColumn="120"/>
        </ext>
      </extLst>
    </cacheHierarchy>
    <cacheHierarchy uniqueName="[Measures].[Sum of Diabetes11 3]" caption="Sum of Diabetes11 3" measure="1" displayFolder="" measureGroup="PT Q1 1" count="0">
      <extLst>
        <ext xmlns:x15="http://schemas.microsoft.com/office/spreadsheetml/2010/11/main" uri="{B97F6D7D-B522-45F9-BDA1-12C45D357490}">
          <x15:cacheHierarchy aggregatedColumn="122"/>
        </ext>
      </extLst>
    </cacheHierarchy>
    <cacheHierarchy uniqueName="[Measures].[Sum of Mental health depressionsuicide12 3]" caption="Sum of Mental health depressionsuicide12 3" measure="1" displayFolder="" measureGroup="PT Q1 1" count="0">
      <extLst>
        <ext xmlns:x15="http://schemas.microsoft.com/office/spreadsheetml/2010/11/main" uri="{B97F6D7D-B522-45F9-BDA1-12C45D357490}">
          <x15:cacheHierarchy aggregatedColumn="123"/>
        </ext>
      </extLst>
    </cacheHierarchy>
    <cacheHierarchy uniqueName="[Measures].[Sum of Drugs  alcohol abuse13 3]" caption="Sum of Drugs  alcohol abuse13 3" measure="1" displayFolder="" measureGroup="PT Q1 1" count="0">
      <extLst>
        <ext xmlns:x15="http://schemas.microsoft.com/office/spreadsheetml/2010/11/main" uri="{B97F6D7D-B522-45F9-BDA1-12C45D357490}">
          <x15:cacheHierarchy aggregatedColumn="124"/>
        </ext>
      </extLst>
    </cacheHierarchy>
    <cacheHierarchy uniqueName="[Measures].[Sum of Environmental hazards14 3]" caption="Sum of Environmental hazards14 3" measure="1" displayFolder="" measureGroup="PT Q1 1" count="0">
      <extLst>
        <ext xmlns:x15="http://schemas.microsoft.com/office/spreadsheetml/2010/11/main" uri="{B97F6D7D-B522-45F9-BDA1-12C45D357490}">
          <x15:cacheHierarchy aggregatedColumn="125"/>
        </ext>
      </extLst>
    </cacheHierarchy>
    <cacheHierarchy uniqueName="[Measures].[Sum of Obesityweight loss issues15 3]" caption="Sum of Obesityweight loss issues15 3" measure="1" displayFolder="" measureGroup="PT Q1 1" count="0">
      <extLst>
        <ext xmlns:x15="http://schemas.microsoft.com/office/spreadsheetml/2010/11/main" uri="{B97F6D7D-B522-45F9-BDA1-12C45D357490}">
          <x15:cacheHierarchy aggregatedColumn="126"/>
        </ext>
      </extLst>
    </cacheHierarchy>
    <cacheHierarchy uniqueName="[Measures].[Sum of What is your age]" caption="Sum of What is your age" measure="1" displayFolder="" measureGroup="PT Q1 1" count="0">
      <extLst>
        <ext xmlns:x15="http://schemas.microsoft.com/office/spreadsheetml/2010/11/main" uri="{B97F6D7D-B522-45F9-BDA1-12C45D357490}">
          <x15:cacheHierarchy aggregatedColumn="134"/>
        </ext>
      </extLst>
    </cacheHierarchy>
    <cacheHierarchy uniqueName="[Measures].[Average of What is your age]" caption="Average of What is your age" measure="1" displayFolder="" measureGroup="PT Q1 1" count="0">
      <extLst>
        <ext xmlns:x15="http://schemas.microsoft.com/office/spreadsheetml/2010/11/main" uri="{B97F6D7D-B522-45F9-BDA1-12C45D357490}">
          <x15:cacheHierarchy aggregatedColumn="134"/>
        </ext>
      </extLst>
    </cacheHierarchy>
    <cacheHierarchy uniqueName="[Measures].[Count of What race do you consider yourself]" caption="Count of What race do you consider yourself" measure="1" displayFolder="" measureGroup="PT Q1 1" count="0">
      <extLst>
        <ext xmlns:x15="http://schemas.microsoft.com/office/spreadsheetml/2010/11/main" uri="{B97F6D7D-B522-45F9-BDA1-12C45D357490}">
          <x15:cacheHierarchy aggregatedColumn="137"/>
        </ext>
      </extLst>
    </cacheHierarchy>
    <cacheHierarchy uniqueName="[Measures].[Count of Do you currently have health insurance]" caption="Count of Do you currently have health insurance" measure="1" displayFolder="" measureGroup="PT Q1 1" count="0">
      <extLst>
        <ext xmlns:x15="http://schemas.microsoft.com/office/spreadsheetml/2010/11/main" uri="{B97F6D7D-B522-45F9-BDA1-12C45D357490}">
          <x15:cacheHierarchy aggregatedColumn="143"/>
        </ext>
      </extLst>
    </cacheHierarchy>
    <cacheHierarchy uniqueName="[Measures].[Count of What type of insurance do you have]" caption="Count of What type of insurance do you have" measure="1" displayFolder="" measureGroup="PT Q1 1" count="0">
      <extLst>
        <ext xmlns:x15="http://schemas.microsoft.com/office/spreadsheetml/2010/11/main" uri="{B97F6D7D-B522-45F9-BDA1-12C45D357490}">
          <x15:cacheHierarchy aggregatedColumn="144"/>
        </ext>
      </extLst>
    </cacheHierarchy>
    <cacheHierarchy uniqueName="[Measures].[Count of Do you have access to reliable internet in your home]" caption="Count of Do you have access to reliable internet in your home" measure="1" displayFolder="" measureGroup="PT Q1 1" count="0">
      <extLst>
        <ext xmlns:x15="http://schemas.microsoft.com/office/spreadsheetml/2010/11/main" uri="{B97F6D7D-B522-45F9-BDA1-12C45D357490}">
          <x15:cacheHierarchy aggregatedColumn="145"/>
        </ext>
      </extLst>
    </cacheHierarchy>
    <cacheHierarchy uniqueName="[Measures].[Sum of Female Flag]" caption="Sum of Female Flag" measure="1" displayFolder="" measureGroup="PT Q1 1" count="0">
      <extLst>
        <ext xmlns:x15="http://schemas.microsoft.com/office/spreadsheetml/2010/11/main" uri="{B97F6D7D-B522-45F9-BDA1-12C45D357490}">
          <x15:cacheHierarchy aggregatedColumn="146"/>
        </ext>
      </extLst>
    </cacheHierarchy>
    <cacheHierarchy uniqueName="[Measures].[Sum of Male Flag]" caption="Sum of Male Flag" measure="1" displayFolder="" measureGroup="PT Q1 1" count="0">
      <extLst>
        <ext xmlns:x15="http://schemas.microsoft.com/office/spreadsheetml/2010/11/main" uri="{B97F6D7D-B522-45F9-BDA1-12C45D357490}">
          <x15:cacheHierarchy aggregatedColumn="147"/>
        </ext>
      </extLst>
    </cacheHierarchy>
    <cacheHierarchy uniqueName="[Measures].[Sum of WhiteCaucasian Flag]" caption="Sum of WhiteCaucasian Flag" measure="1" displayFolder="" measureGroup="PT Q1 1" count="0">
      <extLst>
        <ext xmlns:x15="http://schemas.microsoft.com/office/spreadsheetml/2010/11/main" uri="{B97F6D7D-B522-45F9-BDA1-12C45D357490}">
          <x15:cacheHierarchy aggregatedColumn="150"/>
        </ext>
      </extLst>
    </cacheHierarchy>
    <cacheHierarchy uniqueName="[Measures].[Sum of BlackAfrican American Flag]" caption="Sum of BlackAfrican American Flag" measure="1" displayFolder="" measureGroup="PT Q1 1" count="0">
      <extLst>
        <ext xmlns:x15="http://schemas.microsoft.com/office/spreadsheetml/2010/11/main" uri="{B97F6D7D-B522-45F9-BDA1-12C45D357490}">
          <x15:cacheHierarchy aggregatedColumn="151"/>
        </ext>
      </extLst>
    </cacheHierarchy>
    <cacheHierarchy uniqueName="[Measures].[Total Respondents]" caption="Total Respondents" measure="1" displayFolder="" measureGroup="PT Q1" count="0"/>
    <cacheHierarchy uniqueName="[Measures].[Woman]" caption="Woman" measure="1" displayFolder="" measureGroup="PT Q1" count="0"/>
    <cacheHierarchy uniqueName="[Measures].[Man]" caption="Man" measure="1" displayFolder="" measureGroup="PT Q1" count="0"/>
    <cacheHierarchy uniqueName="[Measures].[Transgender]" caption="Transgender" measure="1" displayFolder="" measureGroup="PT Q1" count="0"/>
    <cacheHierarchy uniqueName="[Measures].[Other Gender]" caption="Other Gender" measure="1" displayFolder="" measureGroup="PT Q1" count="0"/>
    <cacheHierarchy uniqueName="[Measures].[Ethnicity]" caption="Ethnicity" measure="1" displayFolder="" measureGroup="PT Q1" count="0"/>
    <cacheHierarchy uniqueName="[Measures].[White]" caption="White" measure="1" displayFolder="" measureGroup="PT Q1" count="0"/>
    <cacheHierarchy uniqueName="[Measures].[Black/African American]" caption="Black/African American" measure="1" displayFolder="" measureGroup="PT Q1" count="0"/>
    <cacheHierarchy uniqueName="[Measures].[Native Hawaiian/Pacific Islander]" caption="Native Hawaiian/Pacific Islander" measure="1" displayFolder="" measureGroup="PT Q1" count="0"/>
    <cacheHierarchy uniqueName="[Measures].[American Indian/Alaska Native]" caption="American Indian/Alaska Native" measure="1" displayFolder="" measureGroup="PT Q1" count="0"/>
    <cacheHierarchy uniqueName="[Measures].[Multi-racial]" caption="Multi-racial" measure="1" displayFolder="" measureGroup="PT Q1" count="0"/>
    <cacheHierarchy uniqueName="[Measures].[Other Race]" caption="Other Race" measure="1" displayFolder="" measureGroup="PT Q1" count="0"/>
    <cacheHierarchy uniqueName="[Measures].[Income $0-$19,999]" caption="Income $0-$19,999" measure="1" displayFolder="" measureGroup="PT Q1" count="0"/>
    <cacheHierarchy uniqueName="[Measures].[Income $20,000 to $34,999]" caption="Income $20,000 to $34,999" measure="1" displayFolder="" measureGroup="PT Q1" count="0"/>
    <cacheHierarchy uniqueName="[Measures].[Income $35,000 to $49,999]" caption="Income $35,000 to $49,999" measure="1" displayFolder="" measureGroup="PT Q1" count="0"/>
    <cacheHierarchy uniqueName="[Measures].[income $50,000 to $74,999]" caption="income $50,000 to $74,999" measure="1" displayFolder="" measureGroup="PT Q1" count="0"/>
    <cacheHierarchy uniqueName="[Measures].[Income $75,000 to $125,000]" caption="Income $75,000 to $125,000" measure="1" displayFolder="" measureGroup="PT Q1" count="0"/>
    <cacheHierarchy uniqueName="[Measures].[Income Over $125,000]" caption="Income Over $125,000" measure="1" displayFolder="" measureGroup="PT Q1" count="0"/>
    <cacheHierarchy uniqueName="[Measures].[Age 18-24]" caption="Age 18-24" measure="1" displayFolder="" measureGroup="PT Q1" count="0"/>
    <cacheHierarchy uniqueName="[Measures].[Age 25 to 34]" caption="Age 25 to 34" measure="1" displayFolder="" measureGroup="PT Q1" count="0"/>
    <cacheHierarchy uniqueName="[Measures].[Age 35 to 44]" caption="Age 35 to 44" measure="1" displayFolder="" measureGroup="PT Q1" count="0"/>
    <cacheHierarchy uniqueName="[Measures].[Age 45 to 54]" caption="Age 45 to 54" measure="1" displayFolder="" measureGroup="PT Q1" count="0"/>
    <cacheHierarchy uniqueName="[Measures].[Age 55 to 64]" caption="Age 55 to 64" measure="1" displayFolder="" measureGroup="PT Q1" count="0"/>
    <cacheHierarchy uniqueName="[Measures].[Age 65+]" caption="Age 65+" measure="1" displayFolder="" measureGroup="PT Q1" count="0"/>
    <cacheHierarchy uniqueName="[Measures].[K-8 Grade]" caption="K-8 Grade" measure="1" displayFolder="" measureGroup="PT Q1" count="0"/>
    <cacheHierarchy uniqueName="[Measures].[High School]" caption="High School" measure="1" displayFolder="" measureGroup="PT Q1" count="0"/>
    <cacheHierarchy uniqueName="[Measures].[Some High School]" caption="Some High School" measure="1" displayFolder="" measureGroup="PT Q1" count="0"/>
    <cacheHierarchy uniqueName="[Measures].[College]" caption="College" measure="1" displayFolder="" measureGroup="PT Q1" count="0"/>
    <cacheHierarchy uniqueName="[Measures].[Some College]" caption="Some College" measure="1" displayFolder="" measureGroup="PT Q1" count="0"/>
    <cacheHierarchy uniqueName="[Measures].[Technical School]" caption="Technical School" measure="1" displayFolder="" measureGroup="PT Q1" count="0"/>
    <cacheHierarchy uniqueName="[Measures].[Graduate School]" caption="Graduate School" measure="1" displayFolder="" measureGroup="PT Q1" count="0"/>
    <cacheHierarchy uniqueName="[Measures].[Doctorate]" caption="Doctorate" measure="1" displayFolder="" measureGroup="PT Q1" count="0"/>
    <cacheHierarchy uniqueName="[Measures].[GED]" caption="GED" measure="1" displayFolder="" measureGroup="PT Q1" count="0"/>
    <cacheHierarchy uniqueName="[Measures].[Employed for Wages]" caption="Employed for Wages" measure="1" displayFolder="" measureGroup="PT Q1" count="0"/>
    <cacheHierarchy uniqueName="[Measures].[Self-employed]" caption="Self-employed" measure="1" displayFolder="" measureGroup="PT Q1" count="0"/>
    <cacheHierarchy uniqueName="[Measures].[Student]" caption="Student" measure="1" displayFolder="" measureGroup="PT Q1" count="0"/>
    <cacheHierarchy uniqueName="[Measures].[Retired]" caption="Retired" measure="1" displayFolder="" measureGroup="PT Q1" count="0"/>
    <cacheHierarchy uniqueName="[Measures].[Military]" caption="Military" measure="1" displayFolder="" measureGroup="PT Q1" count="0"/>
    <cacheHierarchy uniqueName="[Measures].[Out of Work and Looking]" caption="Out of Work and Looking" measure="1" displayFolder="" measureGroup="PT Q1" count="0"/>
    <cacheHierarchy uniqueName="[Measures].[Out of Work Not Looking]" caption="Out of Work Not Looking" measure="1" displayFolder="" measureGroup="PT Q1" count="0"/>
    <cacheHierarchy uniqueName="[Measures].[Health Insurance Yes]" caption="Health Insurance Yes" measure="1" displayFolder="" measureGroup="PT Q1" count="0"/>
    <cacheHierarchy uniqueName="[Measures].[Health Insurance No]" caption="Health Insurance No" measure="1" displayFolder="" measureGroup="PT Q1" count="0"/>
    <cacheHierarchy uniqueName="[Measures].[Health Insurance In the Past]" caption="Health Insurance In the Past" measure="1" displayFolder="" measureGroup="PT Q1" count="0"/>
    <cacheHierarchy uniqueName="[Measures].[Medicare]" caption="Medicare" measure="1" displayFolder="" measureGroup="PT Q1" count="0"/>
    <cacheHierarchy uniqueName="[Measures].[Medicaid]" caption="Medicaid" measure="1" displayFolder="" measureGroup="PT Q1" count="0"/>
    <cacheHierarchy uniqueName="[Measures].[Private/Commerical]" caption="Private/Commerical" measure="1" displayFolder="" measureGroup="PT Q1" count="0"/>
    <cacheHierarchy uniqueName="[Measures].[Not Insured]" caption="Not Insured" measure="1" displayFolder="" measureGroup="PT Q1" count="0"/>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PT Q1 1]" caption="__XL_Count PT Q1 1" measure="1" displayFolder="" measureGroup="PT Q1 1" count="0" hidden="1"/>
    <cacheHierarchy uniqueName="[Measures].[__XL_Count of Models]" caption="__XL_Count of Models" measure="1" displayFolder="" count="0" hidden="1"/>
  </cacheHierarchies>
  <kpis count="0"/>
  <dimensions count="8">
    <dimension measure="1" name="Measures" uniqueName="[Measures]" caption="Measures"/>
    <dimension name="PT Q1" uniqueName="[PT Q1]" caption="PT Q1"/>
    <dimension name="PT Q1 1" uniqueName="[PT Q1 1]" caption="PT Q1 1"/>
    <dimension name="PT Q2" uniqueName="[PT Q2]" caption="PT Q2"/>
    <dimension name="PT Q3" uniqueName="[PT Q3]" caption="PT Q3"/>
    <dimension name="PT Q4" uniqueName="[PT Q4]" caption="PT Q4"/>
    <dimension name="PT Q5" uniqueName="[PT Q5]" caption="PT Q5"/>
    <dimension name="PT Q6" uniqueName="[PT Q6]" caption="PT Q6"/>
  </dimensions>
  <measureGroups count="7">
    <measureGroup name="PT Q1" caption="PT Q1"/>
    <measureGroup name="PT Q1 1" caption="PT Q1 1"/>
    <measureGroup name="PT Q2" caption="PT Q2"/>
    <measureGroup name="PT Q3" caption="PT Q3"/>
    <measureGroup name="PT Q4" caption="PT Q4"/>
    <measureGroup name="PT Q5" caption="PT Q5"/>
    <measureGroup name="PT Q6" caption="PT Q6"/>
  </measureGroups>
  <maps count="7">
    <map measureGroup="0" dimension="1"/>
    <map measureGroup="1" dimension="2"/>
    <map measureGroup="2" dimension="3"/>
    <map measureGroup="3" dimension="4"/>
    <map measureGroup="4" dimension="5"/>
    <map measureGroup="5" dimension="6"/>
    <map measureGroup="6" dimension="7"/>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Melissa Bauer" refreshedDate="44946.532982175922" createdVersion="5" refreshedVersion="5" minRefreshableVersion="3" recordCount="0" supportSubquery="1" supportAdvancedDrill="1">
  <cacheSource type="external" connectionId="8"/>
  <cacheFields count="27">
    <cacheField name="[PT Q5].[Town and ZIP code where you live:].[Town and ZIP code where you live:]" caption="Town and ZIP code where you live:" numFmtId="0" hierarchy="390" level="1">
      <sharedItems count="145">
        <s v="0"/>
        <s v="10001"/>
        <s v="11003"/>
        <s v="11231"/>
        <s v="11236"/>
        <s v="11355"/>
        <s v="11367"/>
        <s v="11372"/>
        <s v="11375"/>
        <s v="11414"/>
        <s v="11428"/>
        <s v="11429"/>
        <s v="11456"/>
        <s v="11692"/>
        <s v="22407"/>
        <s v="Albertson, 11507"/>
        <s v="Alden Manor, 11003"/>
        <s v="Allenwood, 11021"/>
        <s v="Amagansett, 11930"/>
        <s v="Amityville, 11701"/>
        <s v="Amityville, 11708"/>
        <s v="Aquebogue, 11931"/>
        <s v="Atlantic Beach, 11509"/>
        <s v="Babylon, 11702"/>
        <s v="Babylon, 11703"/>
        <s v="Babylon, 11704"/>
        <s v="Baiting Hollow, 11933"/>
        <s v="Baxter Estates, 11050"/>
        <s v="Bay Shore, 11706"/>
        <s v="Bellerose Terrace, 11001"/>
        <s v="Bellmore, 11710"/>
        <s v="Bethpage, 11714"/>
        <s v="Bohemia, 11716"/>
        <s v="Brentwood, 11717"/>
        <s v="Brightwaters, 11718"/>
        <s v="Brookville, 11545"/>
        <s v="Carle Place, 11514"/>
        <s v="Centereach, 11720"/>
        <s v="Centerport, 11721"/>
        <s v="Central Islip, 11722"/>
        <s v="Cold Spring Harbor, 11724"/>
        <s v="Commack, 11725"/>
        <s v="Copiague, 11726"/>
        <s v="Coram, 11727"/>
        <s v="Deer Park, 11729"/>
        <s v="Dix Hills, 11746"/>
        <s v="East Hills, 11576"/>
        <s v="East Islip, 11730"/>
        <s v="East Meadow, 11554"/>
        <s v="East Northport, 11731"/>
        <s v="Farmingdale, 11735"/>
        <s v="Farmingville, 11738"/>
        <s v="Floral Park, 11001"/>
        <s v="Floral Park, 11002"/>
        <s v="Franklin Square, 11010"/>
        <s v="Freeport, 11520"/>
        <s v="Garden City South, 11530"/>
        <s v="Garden City, 11530"/>
        <s v="Garden City, 11531"/>
        <s v="Garden City, 11536"/>
        <s v="Great Neck, 11026"/>
        <s v="Greenlawn, 11740"/>
        <s v="Halesite, 11743"/>
        <s v="Hauppauge, 11788"/>
        <s v="Head of the Harbor, 11780"/>
        <s v="Hempstead, 11549"/>
        <s v="Hempstead, 11550"/>
        <s v="Herricks, 11040"/>
        <s v="Hewlett Neck, 11598"/>
        <s v="Hicksville, 11801"/>
        <s v="Holtsville, 11742"/>
        <s v="Huntington Station, 11746"/>
        <s v="Huntington Station, 11747"/>
        <s v="Huntington, 11743"/>
        <s v="Islip Manor, 11751"/>
        <s v="Islip, 11751"/>
        <s v="Jericho, 11753"/>
        <s v="Kings Park, 11754"/>
        <s v="Lake Grove, 11755"/>
        <s v="Lake Ronkonkoma, 11779"/>
        <s v="Lake Success, 11020"/>
        <s v="Lakeview, 11552"/>
        <s v="Lawrence, 11559"/>
        <s v="Levittown, 11756"/>
        <s v="Lido Beach, 11561"/>
        <s v="Lindenhurst, 11757"/>
        <s v="Long Beach, 11561"/>
        <s v="Lynbrook, 11563"/>
        <s v="Malverne, 11565"/>
        <s v="Manhasset, 11030"/>
        <s v="Manorville, 11949"/>
        <s v="Massapequa Park, 11762"/>
        <s v="Massapequa, 11758"/>
        <s v="Mastic, 11950"/>
        <s v="Medford, 11763"/>
        <s v="Melville, 11747"/>
        <s v="Merrick, 11566"/>
        <s v="Middle Island, 11953"/>
        <s v="Miller Place, 11764"/>
        <s v="Mineola, 11501"/>
        <s v="Moriches, 11955"/>
        <s v="Nesconset, 11767"/>
        <s v="New Cassel, 11590"/>
        <s v="New Hyde Park, 11040"/>
        <s v="North Babylon, 11703"/>
        <s v="North Massapequa, 11758"/>
        <s v="North New Hyde Park, 11040"/>
        <s v="Northport, 11768"/>
        <s v="Oakdale, 11769"/>
        <s v="Oceanside, 11572"/>
        <s v="Patchogue, 11772"/>
        <s v="Peconic, 11958"/>
        <s v="Plainview, 11803"/>
        <s v="Port Jefferson Station, 11776"/>
        <s v="Ridge, 11961"/>
        <s v="Riverhead, 11901"/>
        <s v="Rockville Centre, 11570"/>
        <s v="Rocky Point, 11778"/>
        <s v="Ronkonkoma, 11779"/>
        <s v="Roslyn, 11576"/>
        <s v="Saint James, 11780"/>
        <s v="Sayville, 11782"/>
        <s v="Seaford, 11783"/>
        <s v="Selden, 11784"/>
        <s v="Setauket, 11733"/>
        <s v="Shirley, 11967"/>
        <s v="Smithtown, 11745"/>
        <s v="Smithtown, 11787"/>
        <s v="South Huntington, 11746"/>
        <s v="Stony Brook, 11790"/>
        <s v="Syosset, 11773"/>
        <s v="Syosset, 11791"/>
        <s v="Uniondale, 11553"/>
        <s v="Valley Stream, 11580"/>
        <s v="Wading River, 11792"/>
        <s v="Wantagh, 11793"/>
        <s v="West Babylon, 11704"/>
        <s v="West Hempstead, 11552"/>
        <s v="West Islip, 11795"/>
        <s v="West Sayville, 11796"/>
        <s v="Westbury, 11590"/>
        <s v="Williston Park, 11596"/>
        <s v="Woodbury, 11797"/>
        <s v="Woodsburgh, 11598"/>
        <s v="Yaphank, 11980"/>
      </sharedItems>
    </cacheField>
    <cacheField name="[Measures].[Count of RespondentID 5]" caption="Count of RespondentID 5" numFmtId="0" hierarchy="486" level="32767"/>
    <cacheField name="[Measures].[Sum of Blood pressure5]" caption="Sum of Blood pressure5" numFmtId="0" hierarchy="487" level="32767"/>
    <cacheField name="[Measures].[Sum of Cancer8]" caption="Sum of Cancer8" numFmtId="0" hierarchy="488" level="32767"/>
    <cacheField name="[Measures].[Sum of Cholesterol11]" caption="Sum of Cholesterol11" numFmtId="0" hierarchy="489" level="32767"/>
    <cacheField name="[Measures].[Sum of Dental screenings14]" caption="Sum of Dental screenings14" numFmtId="0" hierarchy="490" level="32767"/>
    <cacheField name="[Measures].[Sum of Disease outbreak information20]" caption="Sum of Disease outbreak information20" numFmtId="0" hierarchy="491" level="32767"/>
    <cacheField name="[Measures].[Sum of Drug and alcohol22]" caption="Sum of Drug and alcohol22" numFmtId="0" hierarchy="492" level="32767"/>
    <cacheField name="[Measures].[Sum of Eating disorders6]" caption="Sum of Eating disorders6" numFmtId="0" hierarchy="493" level="32767"/>
    <cacheField name="[Measures].[Sum of Emergency preparedness9]" caption="Sum of Emergency preparedness9" numFmtId="0" hierarchy="494" level="32767"/>
    <cacheField name="[Measures].[Sum of Exercisephysical activity12]" caption="Sum of Exercisephysical activity12" numFmtId="0" hierarchy="495" level="32767"/>
    <cacheField name="[Measures].[Sum of Heart disease15]" caption="Sum of Heart disease15" numFmtId="0" hierarchy="496" level="32767"/>
    <cacheField name="[Measures].[Sum of HIVAIDS  Sexually Transmitted Diseases (STDs)18]" caption="Sum of HIVAIDS  Sexually Transmitted Diseases (STDs)18" numFmtId="0" hierarchy="497" level="32767"/>
    <cacheField name="[Measures].[Sum of Importance of routine well checkups21]" caption="Sum of Importance of routine well checkups21" numFmtId="0" hierarchy="498" level="32767"/>
    <cacheField name="[Measures].[Sum of Mental healthdepression7]" caption="Sum of Mental healthdepression7" numFmtId="0" hierarchy="499" level="32767"/>
    <cacheField name="[Measures].[Sum of Nutrition10]" caption="Sum of Nutrition10" numFmtId="0" hierarchy="500" level="32767"/>
    <cacheField name="[Measures].[Sum of Prenatal care13]" caption="Sum of Prenatal care13" numFmtId="0" hierarchy="501" level="32767"/>
    <cacheField name="[Measures].[Sum of Suicide prevention16]" caption="Sum of Suicide prevention16" numFmtId="0" hierarchy="502" level="32767"/>
    <cacheField name="[Measures].[Sum of Vaccinationimmunizations19]" caption="Sum of Vaccinationimmunizations19" numFmtId="0" hierarchy="503" level="32767"/>
    <cacheField name="[PT Q5].[County where you live:].[County where you live:]" caption="County where you live:" numFmtId="0" hierarchy="389" level="1">
      <sharedItems containsSemiMixedTypes="0" containsNonDate="0" containsString="0"/>
    </cacheField>
    <cacheField name="[PT Q5].[Are you Hispanic or Latino?].[Are you Hispanic or Latino?]" caption="Are you Hispanic or Latino?" numFmtId="0" hierarchy="392" level="1">
      <sharedItems containsSemiMixedTypes="0" containsNonDate="0" containsString="0"/>
    </cacheField>
    <cacheField name="[PT Q5].[I identify as:].[I identify as:]" caption="I identify as:" numFmtId="0" hierarchy="387" level="1">
      <sharedItems containsSemiMixedTypes="0" containsNonDate="0" containsString="0"/>
    </cacheField>
    <cacheField name="[PT Q5].[What is your annual household income from all sources?].[What is your annual household income from all sources?]" caption="What is your annual household income from all sources?" numFmtId="0" hierarchy="394" level="1">
      <sharedItems containsSemiMixedTypes="0" containsNonDate="0" containsString="0"/>
    </cacheField>
    <cacheField name="[PT Q5].[What is your current employment status?].[What is your current employment status?]" caption="What is your current employment status?" numFmtId="0" hierarchy="396" level="1">
      <sharedItems containsSemiMixedTypes="0" containsNonDate="0" containsString="0"/>
    </cacheField>
    <cacheField name="[PT Q5].[What is your highest level of education?].[What is your highest level of education?]" caption="What is your highest level of education?" numFmtId="0" hierarchy="395" level="1">
      <sharedItems containsSemiMixedTypes="0" containsNonDate="0" containsString="0"/>
    </cacheField>
    <cacheField name="[PT Q5].[What race do you consider yourself?].[What race do you consider yourself?]" caption="What race do you consider yourself?" numFmtId="0" hierarchy="391" level="1">
      <sharedItems containsSemiMixedTypes="0" containsNonDate="0" containsString="0"/>
    </cacheField>
    <cacheField name="[PT Q5].[Do you currently have health insurance?].[Do you currently have health insurance?]" caption="Do you currently have health insurance?" numFmtId="0" hierarchy="397" level="1">
      <sharedItems containsSemiMixedTypes="0" containsNonDate="0" containsString="0"/>
    </cacheField>
  </cacheFields>
  <cacheHierarchies count="600">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What type of insurance do you have?]" caption="What type of insurance do you have?" attribute="1" defaultMemberUniqueName="[PT Q1].[What type of insurance do you have?].[All]" allUniqueName="[PT Q1].[What type of insurance do you have?].[All]" dimensionUniqueName="[PT Q1]" displayFolder="" count="0" memberValueDatatype="130" unbalanced="0"/>
    <cacheHierarchy uniqueName="[PT Q1].[Do you have a smartphone]" caption="Do you have a smartphone" attribute="1" defaultMemberUniqueName="[PT Q1].[Do you have a smartphone].[All]" allUniqueName="[PT Q1].[Do you have a smartphone].[All]" dimensionUniqueName="[PT Q1]" displayFolder="" count="0" memberValueDatatype="130" unbalanced="0"/>
    <cacheHierarchy uniqueName="[PT Q1].[Woman Flag]" caption="Woman Flag" attribute="1" defaultMemberUniqueName="[PT Q1].[Woman Flag].[All]" allUniqueName="[PT Q1].[Woman Flag].[All]" dimensionUniqueName="[PT Q1]" displayFolder="" count="0" memberValueDatatype="20" unbalanced="0"/>
    <cacheHierarchy uniqueName="[PT Q1].[Man Flag]" caption="Man Flag" attribute="1" defaultMemberUniqueName="[PT Q1].[Man Flag].[All]" allUniqueName="[PT Q1].[Man Flag].[All]" dimensionUniqueName="[PT Q1]" displayFolder="" count="0" memberValueDatatype="20" unbalanced="0"/>
    <cacheHierarchy uniqueName="[PT Q1].[Transgender Flag]" caption="Transgender Flag" attribute="1" defaultMemberUniqueName="[PT Q1].[Transgender Flag].[All]" allUniqueName="[PT Q1].[Transgender Flag].[All]" dimensionUniqueName="[PT Q1]" displayFolder="" count="0" memberValueDatatype="20" unbalanced="0"/>
    <cacheHierarchy uniqueName="[PT Q1].[Other Gender Flag]" caption="Other Gender Flag" attribute="1" defaultMemberUniqueName="[PT Q1].[Other Gender Flag].[All]" allUniqueName="[PT Q1].[Other Gender Flag].[All]" dimensionUniqueName="[PT Q1]" displayFolder="" count="0" memberValueDatatype="20" unbalanced="0"/>
    <cacheHierarchy uniqueName="[PT Q1].[Hispanic Flag]" caption="Hispanic Flag" attribute="1" defaultMemberUniqueName="[PT Q1].[Hispanic Flag].[All]" allUniqueName="[PT Q1].[Hispanic Flag].[All]" dimensionUniqueName="[PT Q1]" displayFolder="" count="0" memberValueDatatype="20" unbalanced="0"/>
    <cacheHierarchy uniqueName="[PT Q1].[White Flag]" caption="White Flag" attribute="1" defaultMemberUniqueName="[PT Q1].[White Flag].[All]" allUniqueName="[PT Q1].[White Flag].[All]" dimensionUniqueName="[PT Q1]" displayFolder="" count="0" memberValueDatatype="20" unbalanced="0"/>
    <cacheHierarchy uniqueName="[PT Q1].[Black or African American Flag]" caption="Black or African American Flag" attribute="1" defaultMemberUniqueName="[PT Q1].[Black or African American Flag].[All]" allUniqueName="[PT Q1].[Black or African American Flag].[All]" dimensionUniqueName="[PT Q1]" displayFolder="" count="0" memberValueDatatype="20" unbalanced="0"/>
    <cacheHierarchy uniqueName="[PT Q1].[Native Hawaiian and Other Pacific Islander Flag]" caption="Native Hawaiian and Other Pacific Islander Flag" attribute="1" defaultMemberUniqueName="[PT Q1].[Native Hawaiian and Other Pacific Islander Flag].[All]" allUniqueName="[PT Q1].[Native Hawaiian and Other Pacific Islander Flag].[All]" dimensionUniqueName="[PT Q1]" displayFolder="" count="0" memberValueDatatype="20" unbalanced="0"/>
    <cacheHierarchy uniqueName="[PT Q1].[American Indian and Alaska Native Flag]" caption="American Indian and Alaska Native Flag" attribute="1" defaultMemberUniqueName="[PT Q1].[American Indian and Alaska Native Flag].[All]" allUniqueName="[PT Q1].[American Indian and Alaska Native Flag].[All]" dimensionUniqueName="[PT Q1]" displayFolder="" count="0" memberValueDatatype="20" unbalanced="0"/>
    <cacheHierarchy uniqueName="[PT Q1].[Two or more races Flag]" caption="Two or more races Flag" attribute="1" defaultMemberUniqueName="[PT Q1].[Two or more races Flag].[All]" allUniqueName="[PT Q1].[Two or more races Flag].[All]" dimensionUniqueName="[PT Q1]" displayFolder="" count="0" memberValueDatatype="20" unbalanced="0"/>
    <cacheHierarchy uniqueName="[PT Q1].[Other Race Flag]" caption="Other Race Flag" attribute="1" defaultMemberUniqueName="[PT Q1].[Other Race Flag].[All]" allUniqueName="[PT Q1].[Other Race Flag].[All]" dimensionUniqueName="[PT Q1]" displayFolder="" count="0" memberValueDatatype="20" unbalanced="0"/>
    <cacheHierarchy uniqueName="[PT Q1].[$0-$19,999 Flag]" caption="$0-$19,999 Flag" attribute="1" defaultMemberUniqueName="[PT Q1].[$0-$19,999 Flag].[All]" allUniqueName="[PT Q1].[$0-$19,999 Flag].[All]" dimensionUniqueName="[PT Q1]" displayFolder="" count="0" memberValueDatatype="20" unbalanced="0"/>
    <cacheHierarchy uniqueName="[PT Q1].[$20,000 to $34,999 Flag]" caption="$20,000 to $34,999 Flag" attribute="1" defaultMemberUniqueName="[PT Q1].[$20,000 to $34,999 Flag].[All]" allUniqueName="[PT Q1].[$20,000 to $34,999 Flag].[All]" dimensionUniqueName="[PT Q1]" displayFolder="" count="0" memberValueDatatype="20" unbalanced="0"/>
    <cacheHierarchy uniqueName="[PT Q1].[$35,000 to $49,999 Flag]" caption="$35,000 to $49,999 Flag" attribute="1" defaultMemberUniqueName="[PT Q1].[$35,000 to $49,999 Flag].[All]" allUniqueName="[PT Q1].[$35,000 to $49,999 Flag].[All]" dimensionUniqueName="[PT Q1]" displayFolder="" count="0" memberValueDatatype="20" unbalanced="0"/>
    <cacheHierarchy uniqueName="[PT Q1].[$50,000 to $74,999 Flag]" caption="$50,000 to $74,999 Flag" attribute="1" defaultMemberUniqueName="[PT Q1].[$50,000 to $74,999 Flag].[All]" allUniqueName="[PT Q1].[$50,000 to $74,999 Flag].[All]" dimensionUniqueName="[PT Q1]" displayFolder="" count="0" memberValueDatatype="20" unbalanced="0"/>
    <cacheHierarchy uniqueName="[PT Q1].[$75,000 to $125,000 Flag]" caption="$75,000 to $125,000 Flag" attribute="1" defaultMemberUniqueName="[PT Q1].[$75,000 to $125,000 Flag].[All]" allUniqueName="[PT Q1].[$75,000 to $125,000 Flag].[All]" dimensionUniqueName="[PT Q1]" displayFolder="" count="0" memberValueDatatype="20" unbalanced="0"/>
    <cacheHierarchy uniqueName="[PT Q1].[Over $125,000 Flag]" caption="Over $125,000 Flag" attribute="1" defaultMemberUniqueName="[PT Q1].[Over $125,000 Flag].[All]" allUniqueName="[PT Q1].[Over $125,000 Flag].[All]" dimensionUniqueName="[PT Q1]" displayFolder="" count="0" memberValueDatatype="20" unbalanced="0"/>
    <cacheHierarchy uniqueName="[PT Q1].[18 TO 24 Flag]" caption="18 TO 24 Flag" attribute="1" defaultMemberUniqueName="[PT Q1].[18 TO 24 Flag].[All]" allUniqueName="[PT Q1].[18 TO 24 Flag].[All]" dimensionUniqueName="[PT Q1]" displayFolder="" count="0" memberValueDatatype="20" unbalanced="0"/>
    <cacheHierarchy uniqueName="[PT Q1].[25 to 34 Flag]" caption="25 to 34 Flag" attribute="1" defaultMemberUniqueName="[PT Q1].[25 to 34 Flag].[All]" allUniqueName="[PT Q1].[25 to 34 Flag].[All]" dimensionUniqueName="[PT Q1]" displayFolder="" count="0" memberValueDatatype="20" unbalanced="0"/>
    <cacheHierarchy uniqueName="[PT Q1].[35 to 44 Flag]" caption="35 to 44 Flag" attribute="1" defaultMemberUniqueName="[PT Q1].[35 to 44 Flag].[All]" allUniqueName="[PT Q1].[35 to 44 Flag].[All]" dimensionUniqueName="[PT Q1]" displayFolder="" count="0" memberValueDatatype="20" unbalanced="0"/>
    <cacheHierarchy uniqueName="[PT Q1].[45 to 54 Flag]" caption="45 to 54 Flag" attribute="1" defaultMemberUniqueName="[PT Q1].[45 to 54 Flag].[All]" allUniqueName="[PT Q1].[45 to 54 Flag].[All]" dimensionUniqueName="[PT Q1]" displayFolder="" count="0" memberValueDatatype="20" unbalanced="0"/>
    <cacheHierarchy uniqueName="[PT Q1].[55 to 64 Flag]" caption="55 to 64 Flag" attribute="1" defaultMemberUniqueName="[PT Q1].[55 to 64 Flag].[All]" allUniqueName="[PT Q1].[55 to 64 Flag].[All]" dimensionUniqueName="[PT Q1]" displayFolder="" count="0" memberValueDatatype="20" unbalanced="0"/>
    <cacheHierarchy uniqueName="[PT Q1].[65 Plus Flag]" caption="65 Plus Flag" attribute="1" defaultMemberUniqueName="[PT Q1].[65 Plus Flag].[All]" allUniqueName="[PT Q1].[65 Plus Flag].[All]" dimensionUniqueName="[PT Q1]" displayFolder="" count="0" memberValueDatatype="20" unbalanced="0"/>
    <cacheHierarchy uniqueName="[PT Q1].[K-8 grade Flag]" caption="K-8 grade Flag" attribute="1" defaultMemberUniqueName="[PT Q1].[K-8 grade Flag].[All]" allUniqueName="[PT Q1].[K-8 grade Flag].[All]" dimensionUniqueName="[PT Q1]" displayFolder="" count="0" memberValueDatatype="20" unbalanced="0"/>
    <cacheHierarchy uniqueName="[PT Q1].[Some High School Flag]" caption="Some High School Flag" attribute="1" defaultMemberUniqueName="[PT Q1].[Some High School Flag].[All]" allUniqueName="[PT Q1].[Some High School Flag].[All]" dimensionUniqueName="[PT Q1]" displayFolder="" count="0" memberValueDatatype="20" unbalanced="0"/>
    <cacheHierarchy uniqueName="[PT Q1].[High School Graduate Flag]" caption="High School Graduate Flag" attribute="1" defaultMemberUniqueName="[PT Q1].[High School Graduate Flag].[All]" allUniqueName="[PT Q1].[High School Graduate Flag].[All]" dimensionUniqueName="[PT Q1]" displayFolder="" count="0" memberValueDatatype="20" unbalanced="0"/>
    <cacheHierarchy uniqueName="[PT Q1].[Technical School Flag]" caption="Technical School Flag" attribute="1" defaultMemberUniqueName="[PT Q1].[Technical School Flag].[All]" allUniqueName="[PT Q1].[Technical School Flag].[All]" dimensionUniqueName="[PT Q1]" displayFolder="" count="0" memberValueDatatype="20" unbalanced="0"/>
    <cacheHierarchy uniqueName="[PT Q1].[Some College Flag]" caption="Some College Flag" attribute="1" defaultMemberUniqueName="[PT Q1].[Some College Flag].[All]" allUniqueName="[PT Q1].[Some College Flag].[All]" dimensionUniqueName="[PT Q1]" displayFolder="" count="0" memberValueDatatype="20" unbalanced="0"/>
    <cacheHierarchy uniqueName="[PT Q1].[College Graduate Flag]" caption="College Graduate Flag" attribute="1" defaultMemberUniqueName="[PT Q1].[College Graduate Flag].[All]" allUniqueName="[PT Q1].[College Graduate Flag].[All]" dimensionUniqueName="[PT Q1]" displayFolder="" count="0" memberValueDatatype="20" unbalanced="0"/>
    <cacheHierarchy uniqueName="[PT Q1].[Graduate School Flag]" caption="Graduate School Flag" attribute="1" defaultMemberUniqueName="[PT Q1].[Graduate School Flag].[All]" allUniqueName="[PT Q1].[Graduate School Flag].[All]" dimensionUniqueName="[PT Q1]" displayFolder="" count="0" memberValueDatatype="20" unbalanced="0"/>
    <cacheHierarchy uniqueName="[PT Q1].[Doctorate Flag]" caption="Doctorate Flag" attribute="1" defaultMemberUniqueName="[PT Q1].[Doctorate Flag].[All]" allUniqueName="[PT Q1].[Doctorate Flag].[All]" dimensionUniqueName="[PT Q1]" displayFolder="" count="0" memberValueDatatype="20" unbalanced="0"/>
    <cacheHierarchy uniqueName="[PT Q1].[GED Flag]" caption="GED Flag" attribute="1" defaultMemberUniqueName="[PT Q1].[GED Flag].[All]" allUniqueName="[PT Q1].[GED Flag].[All]" dimensionUniqueName="[PT Q1]" displayFolder="" count="0" memberValueDatatype="20" unbalanced="0"/>
    <cacheHierarchy uniqueName="[PT Q1].[Employed for Wages Flag]" caption="Employed for Wages Flag" attribute="1" defaultMemberUniqueName="[PT Q1].[Employed for Wages Flag].[All]" allUniqueName="[PT Q1].[Employed for Wages Flag].[All]" dimensionUniqueName="[PT Q1]" displayFolder="" count="0" memberValueDatatype="20" unbalanced="0"/>
    <cacheHierarchy uniqueName="[PT Q1].[Self-employed Flag]" caption="Self-employed Flag" attribute="1" defaultMemberUniqueName="[PT Q1].[Self-employed Flag].[All]" allUniqueName="[PT Q1].[Self-employed Flag].[All]" dimensionUniqueName="[PT Q1]" displayFolder="" count="0" memberValueDatatype="20" unbalanced="0"/>
    <cacheHierarchy uniqueName="[PT Q1].[Student Flag]" caption="Student Flag" attribute="1" defaultMemberUniqueName="[PT Q1].[Student Flag].[All]" allUniqueName="[PT Q1].[Student Flag].[All]" dimensionUniqueName="[PT Q1]" displayFolder="" count="0" memberValueDatatype="20" unbalanced="0"/>
    <cacheHierarchy uniqueName="[PT Q1].[Retired Flag]" caption="Retired Flag" attribute="1" defaultMemberUniqueName="[PT Q1].[Retired Flag].[All]" allUniqueName="[PT Q1].[Retired Flag].[All]" dimensionUniqueName="[PT Q1]" displayFolder="" count="0" memberValueDatatype="20" unbalanced="0"/>
    <cacheHierarchy uniqueName="[PT Q1].[Military Flag]" caption="Military Flag" attribute="1" defaultMemberUniqueName="[PT Q1].[Military Flag].[All]" allUniqueName="[PT Q1].[Military Flag].[All]" dimensionUniqueName="[PT Q1]" displayFolder="" count="0" memberValueDatatype="20" unbalanced="0"/>
    <cacheHierarchy uniqueName="[PT Q1].[Out of Work and Looking Flag]" caption="Out of Work and Looking Flag" attribute="1" defaultMemberUniqueName="[PT Q1].[Out of Work and Looking Flag].[All]" allUniqueName="[PT Q1].[Out of Work and Looking Flag].[All]" dimensionUniqueName="[PT Q1]" displayFolder="" count="0" memberValueDatatype="20" unbalanced="0"/>
    <cacheHierarchy uniqueName="[PT Q1].[Out of Work Not Looking Flag]" caption="Out of Work Not Looking Flag" attribute="1" defaultMemberUniqueName="[PT Q1].[Out of Work Not Looking Flag].[All]" allUniqueName="[PT Q1].[Out of Work Not Looking Flag].[All]" dimensionUniqueName="[PT Q1]" displayFolder="" count="0" memberValueDatatype="20" unbalanced="0"/>
    <cacheHierarchy uniqueName="[PT Q1].[Health Insurance Yes Flag]" caption="Health Insurance Yes Flag" attribute="1" defaultMemberUniqueName="[PT Q1].[Health Insurance Yes Flag].[All]" allUniqueName="[PT Q1].[Health Insurance Yes Flag].[All]" dimensionUniqueName="[PT Q1]" displayFolder="" count="0" memberValueDatatype="20" unbalanced="0"/>
    <cacheHierarchy uniqueName="[PT Q1].[Health Insurance No Flag]" caption="Health Insurance No Flag" attribute="1" defaultMemberUniqueName="[PT Q1].[Health Insurance No Flag].[All]" allUniqueName="[PT Q1].[Health Insurance No Flag].[All]" dimensionUniqueName="[PT Q1]" displayFolder="" count="0" memberValueDatatype="20" unbalanced="0"/>
    <cacheHierarchy uniqueName="[PT Q1].[Health Insurance In the Past Flag]" caption="Health Insurance In the Past Flag" attribute="1" defaultMemberUniqueName="[PT Q1].[Health Insurance In the Past Flag].[All]" allUniqueName="[PT Q1].[Health Insurance In the Past Flag].[All]" dimensionUniqueName="[PT Q1]" displayFolder="" count="0" memberValueDatatype="20" unbalanced="0"/>
    <cacheHierarchy uniqueName="[PT Q1].[Medicare Flag]" caption="Medicare Flag" attribute="1" defaultMemberUniqueName="[PT Q1].[Medicare Flag].[All]" allUniqueName="[PT Q1].[Medicare Flag].[All]" dimensionUniqueName="[PT Q1]" displayFolder="" count="0" memberValueDatatype="20" unbalanced="0"/>
    <cacheHierarchy uniqueName="[PT Q1].[Medicaid Flag]" caption="Medicaid Flag" attribute="1" defaultMemberUniqueName="[PT Q1].[Medicaid Flag].[All]" allUniqueName="[PT Q1].[Medicaid Flag].[All]" dimensionUniqueName="[PT Q1]" displayFolder="" count="0" memberValueDatatype="20" unbalanced="0"/>
    <cacheHierarchy uniqueName="[PT Q1].[Private/Commercial Flag]" caption="Private/Commercial Flag" attribute="1" defaultMemberUniqueName="[PT Q1].[Private/Commercial Flag].[All]" allUniqueName="[PT Q1].[Private/Commercial Flag].[All]" dimensionUniqueName="[PT Q1]" displayFolder="" count="0" memberValueDatatype="20" unbalanced="0"/>
    <cacheHierarchy uniqueName="[PT Q1].[No Insurance Flag]" caption="No Insurance Flag" attribute="1" defaultMemberUniqueName="[PT Q1].[No Insurance Flag].[All]" allUniqueName="[PT Q1].[No Insurance Flag].[All]" dimensionUniqueName="[PT Q1]" displayFolder="" count="0" memberValueDatatype="20" unbalanced="0"/>
    <cacheHierarchy uniqueName="[PT Q1 1].[RespondentID]" caption="RespondentID" attribute="1" defaultMemberUniqueName="[PT Q1 1].[RespondentID].[All]" allUniqueName="[PT Q1 1].[RespondentID].[All]" dimensionUniqueName="[PT Q1 1]" displayFolder="" count="0" memberValueDatatype="5" unbalanced="0"/>
    <cacheHierarchy uniqueName="[PT Q1 1].[Asthma/lung disease]" caption="Asthma/lung disease" attribute="1" defaultMemberUniqueName="[PT Q1 1].[Asthma/lung disease].[All]" allUniqueName="[PT Q1 1].[Asthma/lung disease].[All]" dimensionUniqueName="[PT Q1 1]" displayFolder="" count="0" memberValueDatatype="130" unbalanced="0"/>
    <cacheHierarchy uniqueName="[PT Q1 1].[Cancer]" caption="Cancer" attribute="1" defaultMemberUniqueName="[PT Q1 1].[Cancer].[All]" allUniqueName="[PT Q1 1].[Cancer].[All]" dimensionUniqueName="[PT Q1 1]" displayFolder="" count="0" memberValueDatatype="130" unbalanced="0"/>
    <cacheHierarchy uniqueName="[PT Q1 1].[Heart disease &amp; stroke]" caption="Heart disease &amp; stroke" attribute="1" defaultMemberUniqueName="[PT Q1 1].[Heart disease &amp; stroke].[All]" allUniqueName="[PT Q1 1].[Heart disease &amp; stroke].[All]" dimensionUniqueName="[PT Q1 1]" displayFolder="" count="0" memberValueDatatype="130" unbalanced="0"/>
    <cacheHierarchy uniqueName="[PT Q1 1].[Safety]" caption="Safety" attribute="1" defaultMemberUniqueName="[PT Q1 1].[Safety].[All]" allUniqueName="[PT Q1 1].[Safety].[All]" dimensionUniqueName="[PT Q1 1]" displayFolder="" count="0" memberValueDatatype="130" unbalanced="0"/>
    <cacheHierarchy uniqueName="[PT Q1 1].[HIV/AIDS &amp; Sexually Transmitted Diseases (STDs)]" caption="HIV/AIDS &amp; Sexually Transmitted Diseases (STDs)" attribute="1" defaultMemberUniqueName="[PT Q1 1].[HIV/AIDS &amp; Sexually Transmitted Diseases (STDs)].[All]" allUniqueName="[PT Q1 1].[HIV/AIDS &amp; Sexually Transmitted Diseases (STDs)].[All]" dimensionUniqueName="[PT Q1 1]" displayFolder="" count="0" memberValueDatatype="130" unbalanced="0"/>
    <cacheHierarchy uniqueName="[PT Q1 1].[Vaccine preventable diseases]" caption="Vaccine preventable diseases" attribute="1" defaultMemberUniqueName="[PT Q1 1].[Vaccine preventable diseases].[All]" allUniqueName="[PT Q1 1].[Vaccine preventable diseases].[All]" dimensionUniqueName="[PT Q1 1]" displayFolder="" count="0" memberValueDatatype="130" unbalanced="0"/>
    <cacheHierarchy uniqueName="[PT Q1 1].[Child health &amp; wellness]" caption="Child health &amp; wellness" attribute="1" defaultMemberUniqueName="[PT Q1 1].[Child health &amp; wellness].[All]" allUniqueName="[PT Q1 1].[Child health &amp; wellness].[All]" dimensionUniqueName="[PT Q1 1]" displayFolder="" count="0" memberValueDatatype="130" unbalanced="0"/>
    <cacheHierarchy uniqueName="[PT Q1 1].[Women’s health &amp; wellness]" caption="Women’s health &amp; wellness" attribute="1" defaultMemberUniqueName="[PT Q1 1].[Women’s health &amp; wellness].[All]" allUniqueName="[PT Q1 1].[Women’s health &amp; wellness].[All]" dimensionUniqueName="[PT Q1 1]" displayFolder="" count="0" memberValueDatatype="130" unbalanced="0"/>
    <cacheHierarchy uniqueName="[PT Q1 1].[Diabetes]" caption="Diabetes" attribute="1" defaultMemberUniqueName="[PT Q1 1].[Diabetes].[All]" allUniqueName="[PT Q1 1].[Diabetes].[All]" dimensionUniqueName="[PT Q1 1]" displayFolder="" count="0" memberValueDatatype="130" unbalanced="0"/>
    <cacheHierarchy uniqueName="[PT Q1 1].[Mental health depression/suicide]" caption="Mental health depression/suicide" attribute="1" defaultMemberUniqueName="[PT Q1 1].[Mental health depression/suicide].[All]" allUniqueName="[PT Q1 1].[Mental health depression/suicide].[All]" dimensionUniqueName="[PT Q1 1]" displayFolder="" count="0" memberValueDatatype="130" unbalanced="0"/>
    <cacheHierarchy uniqueName="[PT Q1 1].[Drugs &amp; alcohol abuse]" caption="Drugs &amp; alcohol abuse" attribute="1" defaultMemberUniqueName="[PT Q1 1].[Drugs &amp; alcohol abuse].[All]" allUniqueName="[PT Q1 1].[Drugs &amp; alcohol abuse].[All]" dimensionUniqueName="[PT Q1 1]" displayFolder="" count="0" memberValueDatatype="130" unbalanced="0"/>
    <cacheHierarchy uniqueName="[PT Q1 1].[Environmental hazards]" caption="Environmental hazards" attribute="1" defaultMemberUniqueName="[PT Q1 1].[Environmental hazards].[All]" allUniqueName="[PT Q1 1].[Environmental hazards].[All]" dimensionUniqueName="[PT Q1 1]" displayFolder="" count="0" memberValueDatatype="130" unbalanced="0"/>
    <cacheHierarchy uniqueName="[PT Q1 1].[Obesity/weight loss issues]" caption="Obesity/weight loss issues" attribute="1" defaultMemberUniqueName="[PT Q1 1].[Obesity/weight loss issues].[All]" allUniqueName="[PT Q1 1].[Obesity/weight loss issues].[All]" dimensionUniqueName="[PT Q1 1]" displayFolder="" count="0" memberValueDatatype="130" unbalanced="0"/>
    <cacheHierarchy uniqueName="[PT Q1 1].[Column1]" caption="Column1" attribute="1" defaultMemberUniqueName="[PT Q1 1].[Column1].[All]" allUniqueName="[PT Q1 1].[Column1].[All]" dimensionUniqueName="[PT Q1 1]" displayFolder="" count="0" memberValueDatatype="130" unbalanced="0"/>
    <cacheHierarchy uniqueName="[PT Q1 1].[Count of Selection]" caption="Count of Selection" attribute="1" defaultMemberUniqueName="[PT Q1 1].[Count of Selection].[All]" allUniqueName="[PT Q1 1].[Count of Selection].[All]" dimensionUniqueName="[PT Q1 1]" displayFolder="" count="0" memberValueDatatype="20" unbalanced="0"/>
    <cacheHierarchy uniqueName="[PT Q1 1].[Weight]" caption="Weight" attribute="1" defaultMemberUniqueName="[PT Q1 1].[Weight].[All]" allUniqueName="[PT Q1 1].[Weight].[All]" dimensionUniqueName="[PT Q1 1]" displayFolder="" count="0" memberValueDatatype="130" unbalanced="0"/>
    <cacheHierarchy uniqueName="[PT Q1 1].[Column2]" caption="Column2" attribute="1" defaultMemberUniqueName="[PT Q1 1].[Column2].[All]" allUniqueName="[PT Q1 1].[Column2].[All]" dimensionUniqueName="[PT Q1 1]" displayFolder="" count="0" memberValueDatatype="130" unbalanced="0"/>
    <cacheHierarchy uniqueName="[PT Q1 1].[Asthma/lung disease3]" caption="Asthma/lung disease3" attribute="1" defaultMemberUniqueName="[PT Q1 1].[Asthma/lung disease3].[All]" allUniqueName="[PT Q1 1].[Asthma/lung disease3].[All]" dimensionUniqueName="[PT Q1 1]" displayFolder="" count="0" memberValueDatatype="5" unbalanced="0"/>
    <cacheHierarchy uniqueName="[PT Q1 1].[Cancer4]" caption="Cancer4" attribute="1" defaultMemberUniqueName="[PT Q1 1].[Cancer4].[All]" allUniqueName="[PT Q1 1].[Cancer4].[All]" dimensionUniqueName="[PT Q1 1]" displayFolder="" count="0" memberValueDatatype="5" unbalanced="0"/>
    <cacheHierarchy uniqueName="[PT Q1 1].[Heart disease &amp; stroke5]" caption="Heart disease &amp; stroke5" attribute="1" defaultMemberUniqueName="[PT Q1 1].[Heart disease &amp; stroke5].[All]" allUniqueName="[PT Q1 1].[Heart disease &amp; stroke5].[All]" dimensionUniqueName="[PT Q1 1]" displayFolder="" count="0" memberValueDatatype="5" unbalanced="0"/>
    <cacheHierarchy uniqueName="[PT Q1 1].[Safety6]" caption="Safety6" attribute="1" defaultMemberUniqueName="[PT Q1 1].[Safety6].[All]" allUniqueName="[PT Q1 1].[Safety6].[All]" dimensionUniqueName="[PT Q1 1]" displayFolder="" count="0" memberValueDatatype="5" unbalanced="0"/>
    <cacheHierarchy uniqueName="[PT Q1 1].[HIV/AIDS &amp; Sexually Transmitted Diseases (STDs)7]" caption="HIV/AIDS &amp; Sexually Transmitted Diseases (STDs)7" attribute="1" defaultMemberUniqueName="[PT Q1 1].[HIV/AIDS &amp; Sexually Transmitted Diseases (STDs)7].[All]" allUniqueName="[PT Q1 1].[HIV/AIDS &amp; Sexually Transmitted Diseases (STDs)7].[All]" dimensionUniqueName="[PT Q1 1]" displayFolder="" count="0" memberValueDatatype="5" unbalanced="0"/>
    <cacheHierarchy uniqueName="[PT Q1 1].[Vaccine preventable diseases8]" caption="Vaccine preventable diseases8" attribute="1" defaultMemberUniqueName="[PT Q1 1].[Vaccine preventable diseases8].[All]" allUniqueName="[PT Q1 1].[Vaccine preventable diseases8].[All]" dimensionUniqueName="[PT Q1 1]" displayFolder="" count="0" memberValueDatatype="5" unbalanced="0"/>
    <cacheHierarchy uniqueName="[PT Q1 1].[Child health &amp; wellness9]" caption="Child health &amp; wellness9" attribute="1" defaultMemberUniqueName="[PT Q1 1].[Child health &amp; wellness9].[All]" allUniqueName="[PT Q1 1].[Child health &amp; wellness9].[All]" dimensionUniqueName="[PT Q1 1]" displayFolder="" count="0" memberValueDatatype="5" unbalanced="0"/>
    <cacheHierarchy uniqueName="[PT Q1 1].[Women’s health &amp; wellness10]" caption="Women’s health &amp; wellness10" attribute="1" defaultMemberUniqueName="[PT Q1 1].[Women’s health &amp; wellness10].[All]" allUniqueName="[PT Q1 1].[Women’s health &amp; wellness10].[All]" dimensionUniqueName="[PT Q1 1]" displayFolder="" count="0" memberValueDatatype="5" unbalanced="0"/>
    <cacheHierarchy uniqueName="[PT Q1 1].[Diabetes11]" caption="Diabetes11" attribute="1" defaultMemberUniqueName="[PT Q1 1].[Diabetes11].[All]" allUniqueName="[PT Q1 1].[Diabetes11].[All]" dimensionUniqueName="[PT Q1 1]" displayFolder="" count="0" memberValueDatatype="5" unbalanced="0"/>
    <cacheHierarchy uniqueName="[PT Q1 1].[Mental health depression/suicide12]" caption="Mental health depression/suicide12" attribute="1" defaultMemberUniqueName="[PT Q1 1].[Mental health depression/suicide12].[All]" allUniqueName="[PT Q1 1].[Mental health depression/suicide12].[All]" dimensionUniqueName="[PT Q1 1]" displayFolder="" count="0" memberValueDatatype="5" unbalanced="0"/>
    <cacheHierarchy uniqueName="[PT Q1 1].[Drugs &amp; alcohol abuse13]" caption="Drugs &amp; alcohol abuse13" attribute="1" defaultMemberUniqueName="[PT Q1 1].[Drugs &amp; alcohol abuse13].[All]" allUniqueName="[PT Q1 1].[Drugs &amp; alcohol abuse13].[All]" dimensionUniqueName="[PT Q1 1]" displayFolder="" count="0" memberValueDatatype="5" unbalanced="0"/>
    <cacheHierarchy uniqueName="[PT Q1 1].[Environmental hazards14]" caption="Environmental hazards14" attribute="1" defaultMemberUniqueName="[PT Q1 1].[Environmental hazards14].[All]" allUniqueName="[PT Q1 1].[Environmental hazards14].[All]" dimensionUniqueName="[PT Q1 1]" displayFolder="" count="0" memberValueDatatype="5" unbalanced="0"/>
    <cacheHierarchy uniqueName="[PT Q1 1].[Obesity/weight loss issues15]" caption="Obesity/weight loss issues15" attribute="1" defaultMemberUniqueName="[PT Q1 1].[Obesity/weight loss issues15].[All]" allUniqueName="[PT Q1 1].[Obesity/weight loss issues15].[All]" dimensionUniqueName="[PT Q1 1]" displayFolder="" count="0" memberValueDatatype="5" unbalanced="0"/>
    <cacheHierarchy uniqueName="[PT Q1 1].[Column3]" caption="Column3" attribute="1" defaultMemberUniqueName="[PT Q1 1].[Column3].[All]" allUniqueName="[PT Q1 1].[Column3].[All]" dimensionUniqueName="[PT Q1 1]" displayFolder="" count="0" memberValueDatatype="130" unbalanced="0"/>
    <cacheHierarchy uniqueName="[PT Q1 1].[Column4]" caption="Column4" attribute="1" defaultMemberUniqueName="[PT Q1 1].[Column4].[All]" allUniqueName="[PT Q1 1].[Column4].[All]" dimensionUniqueName="[PT Q1 1]" displayFolder="" count="0" memberValueDatatype="130" unbalanced="0"/>
    <cacheHierarchy uniqueName="[PT Q1 1].[Observed]" caption="Observed" attribute="1" defaultMemberUniqueName="[PT Q1 1].[Observed].[All]" allUniqueName="[PT Q1 1].[Observed].[All]" dimensionUniqueName="[PT Q1 1]" displayFolder="" count="0" memberValueDatatype="5" unbalanced="0"/>
    <cacheHierarchy uniqueName="[PT Q1 1].[Expected]" caption="Expected" attribute="1" defaultMemberUniqueName="[PT Q1 1].[Expected].[All]" allUniqueName="[PT Q1 1].[Expected].[All]" dimensionUniqueName="[PT Q1 1]" displayFolder="" count="0" memberValueDatatype="20" unbalanced="0"/>
    <cacheHierarchy uniqueName="[PT Q1 1].[Column18]" caption="Column18" attribute="1" defaultMemberUniqueName="[PT Q1 1].[Column18].[All]" allUniqueName="[PT Q1 1].[Column18].[All]" dimensionUniqueName="[PT Q1 1]" displayFolder="" count="0" memberValueDatatype="130" unbalanced="0"/>
    <cacheHierarchy uniqueName="[PT Q1 1].[Column5]" caption="Column5" attribute="1" defaultMemberUniqueName="[PT Q1 1].[Column5].[All]" allUniqueName="[PT Q1 1].[Column5].[All]" dimensionUniqueName="[PT Q1 1]" displayFolder="" count="0" memberValueDatatype="130" unbalanced="0"/>
    <cacheHierarchy uniqueName="[PT Q1 1].[I identify as:]" caption="I identify as:" attribute="1" defaultMemberUniqueName="[PT Q1 1].[I identify as:].[All]" allUniqueName="[PT Q1 1].[I identify as:].[All]" dimensionUniqueName="[PT Q1 1]" displayFolder="" count="0" memberValueDatatype="130" unbalanced="0"/>
    <cacheHierarchy uniqueName="[PT Q1 1].[What is your age?]" caption="What is your age?" attribute="1" defaultMemberUniqueName="[PT Q1 1].[What is your age?].[All]" allUniqueName="[PT Q1 1].[What is your age?].[All]" dimensionUniqueName="[PT Q1 1]" displayFolder="" count="0" memberValueDatatype="20" unbalanced="0"/>
    <cacheHierarchy uniqueName="[PT Q1 1].[County where you live:]" caption="County where you live:" attribute="1" defaultMemberUniqueName="[PT Q1 1].[County where you live:].[All]" allUniqueName="[PT Q1 1].[County where you live:].[All]" dimensionUniqueName="[PT Q1 1]" displayFolder="" count="0" memberValueDatatype="130" unbalanced="0"/>
    <cacheHierarchy uniqueName="[PT Q1 1].[Town and ZIP code where you live:]" caption="Town and ZIP code where you live:" attribute="1" defaultMemberUniqueName="[PT Q1 1].[Town and ZIP code where you live:].[All]" allUniqueName="[PT Q1 1].[Town and ZIP code where you live:].[All]" dimensionUniqueName="[PT Q1 1]" displayFolder="" count="0" memberValueDatatype="130" unbalanced="0"/>
    <cacheHierarchy uniqueName="[PT Q1 1].[What race do you consider yourself?]" caption="What race do you consider yourself?" attribute="1" defaultMemberUniqueName="[PT Q1 1].[What race do you consider yourself?].[All]" allUniqueName="[PT Q1 1].[What race do you consider yourself?].[All]" dimensionUniqueName="[PT Q1 1]" displayFolder="" count="0" memberValueDatatype="130" unbalanced="0"/>
    <cacheHierarchy uniqueName="[PT Q1 1].[Are you Hispanic or Latino?]" caption="Are you Hispanic or Latino?" attribute="1" defaultMemberUniqueName="[PT Q1 1].[Are you Hispanic or Latino?].[All]" allUniqueName="[PT Q1 1].[Are you Hispanic or Latino?].[All]" dimensionUniqueName="[PT Q1 1]" displayFolder="" count="0" memberValueDatatype="130" unbalanced="0"/>
    <cacheHierarchy uniqueName="[PT Q1 1].[What language do you speak when you are at home (select all that apply)]" caption="What language do you speak when you are at home (select all that apply)" attribute="1" defaultMemberUniqueName="[PT Q1 1].[What language do you speak when you are at home (select all that apply)].[All]" allUniqueName="[PT Q1 1].[What language do you speak when you are at home (select all that apply)].[All]" dimensionUniqueName="[PT Q1 1]" displayFolder="" count="0" memberValueDatatype="130" unbalanced="0"/>
    <cacheHierarchy uniqueName="[PT Q1 1].[What is your annual household income from all sources?]" caption="What is your annual household income from all sources?" attribute="1" defaultMemberUniqueName="[PT Q1 1].[What is your annual household income from all sources?].[All]" allUniqueName="[PT Q1 1].[What is your annual household income from all sources?].[All]" dimensionUniqueName="[PT Q1 1]" displayFolder="" count="0" memberValueDatatype="130" unbalanced="0"/>
    <cacheHierarchy uniqueName="[PT Q1 1].[What is your highest level of education?]" caption="What is your highest level of education?" attribute="1" defaultMemberUniqueName="[PT Q1 1].[What is your highest level of education?].[All]" allUniqueName="[PT Q1 1].[What is your highest level of education?].[All]" dimensionUniqueName="[PT Q1 1]" displayFolder="" count="0" memberValueDatatype="130" unbalanced="0"/>
    <cacheHierarchy uniqueName="[PT Q1 1].[What is your current employment status?]" caption="What is your current employment status?" attribute="1" defaultMemberUniqueName="[PT Q1 1].[What is your current employment status?].[All]" allUniqueName="[PT Q1 1].[What is your current employment status?].[All]" dimensionUniqueName="[PT Q1 1]" displayFolder="" count="0" memberValueDatatype="130" unbalanced="0"/>
    <cacheHierarchy uniqueName="[PT Q1 1].[Do you currently have health insurance?]" caption="Do you currently have health insurance?" attribute="1" defaultMemberUniqueName="[PT Q1 1].[Do you currently have health insurance?].[All]" allUniqueName="[PT Q1 1].[Do you currently have health insurance?].[All]" dimensionUniqueName="[PT Q1 1]" displayFolder="" count="0" memberValueDatatype="130" unbalanced="0"/>
    <cacheHierarchy uniqueName="[PT Q1 1].[What type of insurance do you have?]" caption="What type of insurance do you have?" attribute="1" defaultMemberUniqueName="[PT Q1 1].[What type of insurance do you have?].[All]" allUniqueName="[PT Q1 1].[What type of insurance do you have?].[All]" dimensionUniqueName="[PT Q1 1]" displayFolder="" count="0" memberValueDatatype="130" unbalanced="0"/>
    <cacheHierarchy uniqueName="[PT Q1 1].[Do you have access to reliable internet in your home?]" caption="Do you have access to reliable internet in your home?" attribute="1" defaultMemberUniqueName="[PT Q1 1].[Do you have access to reliable internet in your home?].[All]" allUniqueName="[PT Q1 1].[Do you have access to reliable internet in your home?].[All]" dimensionUniqueName="[PT Q1 1]" displayFolder="" count="0" memberValueDatatype="130" unbalanced="0"/>
    <cacheHierarchy uniqueName="[PT Q1 1].[Female Flag]" caption="Female Flag" attribute="1" defaultMemberUniqueName="[PT Q1 1].[Female Flag].[All]" allUniqueName="[PT Q1 1].[Female Flag].[All]" dimensionUniqueName="[PT Q1 1]" displayFolder="" count="0" memberValueDatatype="20" unbalanced="0"/>
    <cacheHierarchy uniqueName="[PT Q1 1].[Male Flag]" caption="Male Flag" attribute="1" defaultMemberUniqueName="[PT Q1 1].[Male Flag].[All]" allUniqueName="[PT Q1 1].[Male Flag].[All]" dimensionUniqueName="[PT Q1 1]" displayFolder="" count="0" memberValueDatatype="20" unbalanced="0"/>
    <cacheHierarchy uniqueName="[PT Q1 1].[Other Flag]" caption="Other Flag" attribute="1" defaultMemberUniqueName="[PT Q1 1].[Other Flag].[All]" allUniqueName="[PT Q1 1].[Other Flag].[All]" dimensionUniqueName="[PT Q1 1]" displayFolder="" count="0" memberValueDatatype="20" unbalanced="0"/>
    <cacheHierarchy uniqueName="[PT Q1 1].[Hispanic Flag]" caption="Hispanic Flag" attribute="1" defaultMemberUniqueName="[PT Q1 1].[Hispanic Flag].[All]" allUniqueName="[PT Q1 1].[Hispanic Flag].[All]" dimensionUniqueName="[PT Q1 1]" displayFolder="" count="0" memberValueDatatype="20" unbalanced="0"/>
    <cacheHierarchy uniqueName="[PT Q1 1].[White/Caucasian Flag]" caption="White/Caucasian Flag" attribute="1" defaultMemberUniqueName="[PT Q1 1].[White/Caucasian Flag].[All]" allUniqueName="[PT Q1 1].[White/Caucasian Flag].[All]" dimensionUniqueName="[PT Q1 1]" displayFolder="" count="0" memberValueDatatype="20" unbalanced="0"/>
    <cacheHierarchy uniqueName="[PT Q1 1].[Black/African American Flag]" caption="Black/African American Flag" attribute="1" defaultMemberUniqueName="[PT Q1 1].[Black/African American Flag].[All]" allUniqueName="[PT Q1 1].[Black/African American Flag].[All]" dimensionUniqueName="[PT Q1 1]" displayFolder="" count="0" memberValueDatatype="20" unbalanced="0"/>
    <cacheHierarchy uniqueName="[PT Q1 1].[Asian/Pacific Islander Flag]" caption="Asian/Pacific Islander Flag" attribute="1" defaultMemberUniqueName="[PT Q1 1].[Asian/Pacific Islander Flag].[All]" allUniqueName="[PT Q1 1].[Asian/Pacific Islander Flag].[All]" dimensionUniqueName="[PT Q1 1]" displayFolder="" count="0" memberValueDatatype="20" unbalanced="0"/>
    <cacheHierarchy uniqueName="[PT Q1 1].[Native American Flag]" caption="Native American Flag" attribute="1" defaultMemberUniqueName="[PT Q1 1].[Native American Flag].[All]" allUniqueName="[PT Q1 1].[Native American Flag].[All]" dimensionUniqueName="[PT Q1 1]" displayFolder="" count="0" memberValueDatatype="20" unbalanced="0"/>
    <cacheHierarchy uniqueName="[PT Q1 1].[Multi-racial Flag]" caption="Multi-racial Flag" attribute="1" defaultMemberUniqueName="[PT Q1 1].[Multi-racial Flag].[All]" allUniqueName="[PT Q1 1].[Multi-racial Flag].[All]" dimensionUniqueName="[PT Q1 1]" displayFolder="" count="0" memberValueDatatype="20" unbalanced="0"/>
    <cacheHierarchy uniqueName="[PT Q1 1].[Other Race Flag]" caption="Other Race Flag" attribute="1" defaultMemberUniqueName="[PT Q1 1].[Other Race Flag].[All]" allUniqueName="[PT Q1 1].[Other Race Flag].[All]" dimensionUniqueName="[PT Q1 1]" displayFolder="" count="0" memberValueDatatype="20" unbalanced="0"/>
    <cacheHierarchy uniqueName="[PT Q1 1].[$0-$19,999 Flag]" caption="$0-$19,999 Flag" attribute="1" defaultMemberUniqueName="[PT Q1 1].[$0-$19,999 Flag].[All]" allUniqueName="[PT Q1 1].[$0-$19,999 Flag].[All]" dimensionUniqueName="[PT Q1 1]" displayFolder="" count="0" memberValueDatatype="20" unbalanced="0"/>
    <cacheHierarchy uniqueName="[PT Q1 1].[$20,000 to $34,999 Flag]" caption="$20,000 to $34,999 Flag" attribute="1" defaultMemberUniqueName="[PT Q1 1].[$20,000 to $34,999 Flag].[All]" allUniqueName="[PT Q1 1].[$20,000 to $34,999 Flag].[All]" dimensionUniqueName="[PT Q1 1]" displayFolder="" count="0" memberValueDatatype="20" unbalanced="0"/>
    <cacheHierarchy uniqueName="[PT Q1 1].[$35,000 to $49,999 Flag]" caption="$35,000 to $49,999 Flag" attribute="1" defaultMemberUniqueName="[PT Q1 1].[$35,000 to $49,999 Flag].[All]" allUniqueName="[PT Q1 1].[$35,000 to $49,999 Flag].[All]" dimensionUniqueName="[PT Q1 1]" displayFolder="" count="0" memberValueDatatype="20" unbalanced="0"/>
    <cacheHierarchy uniqueName="[PT Q1 1].[$50,000 to $74,999 Flag]" caption="$50,000 to $74,999 Flag" attribute="1" defaultMemberUniqueName="[PT Q1 1].[$50,000 to $74,999 Flag].[All]" allUniqueName="[PT Q1 1].[$50,000 to $74,999 Flag].[All]" dimensionUniqueName="[PT Q1 1]" displayFolder="" count="0" memberValueDatatype="20" unbalanced="0"/>
    <cacheHierarchy uniqueName="[PT Q1 1].[$75,000 to $125,000 Flag]" caption="$75,000 to $125,000 Flag" attribute="1" defaultMemberUniqueName="[PT Q1 1].[$75,000 to $125,000 Flag].[All]" allUniqueName="[PT Q1 1].[$75,000 to $125,000 Flag].[All]" dimensionUniqueName="[PT Q1 1]" displayFolder="" count="0" memberValueDatatype="20" unbalanced="0"/>
    <cacheHierarchy uniqueName="[PT Q1 1].[Over $125,000 Flag]" caption="Over $125,000 Flag" attribute="1" defaultMemberUniqueName="[PT Q1 1].[Over $125,000 Flag].[All]" allUniqueName="[PT Q1 1].[Over $125,000 Flag].[All]" dimensionUniqueName="[PT Q1 1]" displayFolder="" count="0" memberValueDatatype="20" unbalanced="0"/>
    <cacheHierarchy uniqueName="[PT Q1 1].[18-24 Flag]" caption="18-24 Flag" attribute="1" defaultMemberUniqueName="[PT Q1 1].[18-24 Flag].[All]" allUniqueName="[PT Q1 1].[18-24 Flag].[All]" dimensionUniqueName="[PT Q1 1]" displayFolder="" count="0" memberValueDatatype="20" unbalanced="0"/>
    <cacheHierarchy uniqueName="[PT Q1 1].[25-34 Flag]" caption="25-34 Flag" attribute="1" defaultMemberUniqueName="[PT Q1 1].[25-34 Flag].[All]" allUniqueName="[PT Q1 1].[25-34 Flag].[All]" dimensionUniqueName="[PT Q1 1]" displayFolder="" count="0" memberValueDatatype="20" unbalanced="0"/>
    <cacheHierarchy uniqueName="[PT Q1 1].[35-44 Flag]" caption="35-44 Flag" attribute="1" defaultMemberUniqueName="[PT Q1 1].[35-44 Flag].[All]" allUniqueName="[PT Q1 1].[35-44 Flag].[All]" dimensionUniqueName="[PT Q1 1]" displayFolder="" count="0" memberValueDatatype="20" unbalanced="0"/>
    <cacheHierarchy uniqueName="[PT Q1 1].[45-54 Flag]" caption="45-54 Flag" attribute="1" defaultMemberUniqueName="[PT Q1 1].[45-54 Flag].[All]" allUniqueName="[PT Q1 1].[45-54 Flag].[All]" dimensionUniqueName="[PT Q1 1]" displayFolder="" count="0" memberValueDatatype="20" unbalanced="0"/>
    <cacheHierarchy uniqueName="[PT Q1 1].[55-64 Flag]" caption="55-64 Flag" attribute="1" defaultMemberUniqueName="[PT Q1 1].[55-64 Flag].[All]" allUniqueName="[PT Q1 1].[55-64 Flag].[All]" dimensionUniqueName="[PT Q1 1]" displayFolder="" count="0" memberValueDatatype="20" unbalanced="0"/>
    <cacheHierarchy uniqueName="[PT Q1 1].[65+ Flag]" caption="65+ Flag" attribute="1" defaultMemberUniqueName="[PT Q1 1].[65+ Flag].[All]" allUniqueName="[PT Q1 1].[65+ Flag].[All]" dimensionUniqueName="[PT Q1 1]" displayFolder="" count="0" memberValueDatatype="20" unbalanced="0"/>
    <cacheHierarchy uniqueName="[PT Q1 1].[K-8th Flag]" caption="K-8th Flag" attribute="1" defaultMemberUniqueName="[PT Q1 1].[K-8th Flag].[All]" allUniqueName="[PT Q1 1].[K-8th Flag].[All]" dimensionUniqueName="[PT Q1 1]" displayFolder="" count="0" memberValueDatatype="20" unbalanced="0"/>
    <cacheHierarchy uniqueName="[PT Q1 1].[Some high school Flag]" caption="Some high school Flag" attribute="1" defaultMemberUniqueName="[PT Q1 1].[Some high school Flag].[All]" allUniqueName="[PT Q1 1].[Some high school Flag].[All]" dimensionUniqueName="[PT Q1 1]" displayFolder="" count="0" memberValueDatatype="20" unbalanced="0"/>
    <cacheHierarchy uniqueName="[PT Q1 1].[High school graduate Flag]" caption="High school graduate Flag" attribute="1" defaultMemberUniqueName="[PT Q1 1].[High school graduate Flag].[All]" allUniqueName="[PT Q1 1].[High school graduate Flag].[All]" dimensionUniqueName="[PT Q1 1]" displayFolder="" count="0" memberValueDatatype="20" unbalanced="0"/>
    <cacheHierarchy uniqueName="[PT Q1 1].[Technical school Flag]" caption="Technical school Flag" attribute="1" defaultMemberUniqueName="[PT Q1 1].[Technical school Flag].[All]" allUniqueName="[PT Q1 1].[Technical school Flag].[All]" dimensionUniqueName="[PT Q1 1]" displayFolder="" count="0" memberValueDatatype="20" unbalanced="0"/>
    <cacheHierarchy uniqueName="[PT Q1 1].[Some college Flag]" caption="Some college Flag" attribute="1" defaultMemberUniqueName="[PT Q1 1].[Some college Flag].[All]" allUniqueName="[PT Q1 1].[Some college Flag].[All]" dimensionUniqueName="[PT Q1 1]" displayFolder="" count="0" memberValueDatatype="20" unbalanced="0"/>
    <cacheHierarchy uniqueName="[PT Q1 1].[College graduate Flag]" caption="College graduate Flag" attribute="1" defaultMemberUniqueName="[PT Q1 1].[College graduate Flag].[All]" allUniqueName="[PT Q1 1].[College graduate Flag].[All]" dimensionUniqueName="[PT Q1 1]" displayFolder="" count="0" memberValueDatatype="20" unbalanced="0"/>
    <cacheHierarchy uniqueName="[PT Q1 1].[Graduate school Flag]" caption="Graduate school Flag" attribute="1" defaultMemberUniqueName="[PT Q1 1].[Graduate school Flag].[All]" allUniqueName="[PT Q1 1].[Graduate school Flag].[All]" dimensionUniqueName="[PT Q1 1]" displayFolder="" count="0" memberValueDatatype="20" unbalanced="0"/>
    <cacheHierarchy uniqueName="[PT Q1 1].[Doctorate Flag]" caption="Doctorate Flag" attribute="1" defaultMemberUniqueName="[PT Q1 1].[Doctorate Flag].[All]" allUniqueName="[PT Q1 1].[Doctorate Flag].[All]" dimensionUniqueName="[PT Q1 1]" displayFolder="" count="0" memberValueDatatype="20" unbalanced="0"/>
    <cacheHierarchy uniqueName="[PT Q1 1].[GED Flag]" caption="GED Flag" attribute="1" defaultMemberUniqueName="[PT Q1 1].[GED Flag].[All]" allUniqueName="[PT Q1 1].[GED Flag].[All]" dimensionUniqueName="[PT Q1 1]" displayFolder="" count="0" memberValueDatatype="20" unbalanced="0"/>
    <cacheHierarchy uniqueName="[PT Q1 1].[None Flag]" caption="None Flag" attribute="1" defaultMemberUniqueName="[PT Q1 1].[None Flag].[All]" allUniqueName="[PT Q1 1].[None Flag].[All]" dimensionUniqueName="[PT Q1 1]" displayFolder="" count="0" memberValueDatatype="20" unbalanced="0"/>
    <cacheHierarchy uniqueName="[PT Q1 1].[Employed for Wages Flag]" caption="Employed for Wages Flag" attribute="1" defaultMemberUniqueName="[PT Q1 1].[Employed for Wages Flag].[All]" allUniqueName="[PT Q1 1].[Employed for Wages Flag].[All]" dimensionUniqueName="[PT Q1 1]" displayFolder="" count="0" memberValueDatatype="20" unbalanced="0"/>
    <cacheHierarchy uniqueName="[PT Q1 1].[Self-employed Flag]" caption="Self-employed Flag" attribute="1" defaultMemberUniqueName="[PT Q1 1].[Self-employed Flag].[All]" allUniqueName="[PT Q1 1].[Self-employed Flag].[All]" dimensionUniqueName="[PT Q1 1]" displayFolder="" count="0" memberValueDatatype="20" unbalanced="0"/>
    <cacheHierarchy uniqueName="[PT Q1 1].[Student Flag]" caption="Student Flag" attribute="1" defaultMemberUniqueName="[PT Q1 1].[Student Flag].[All]" allUniqueName="[PT Q1 1].[Student Flag].[All]" dimensionUniqueName="[PT Q1 1]" displayFolder="" count="0" memberValueDatatype="20" unbalanced="0"/>
    <cacheHierarchy uniqueName="[PT Q1 1].[Retired Flag]" caption="Retired Flag" attribute="1" defaultMemberUniqueName="[PT Q1 1].[Retired Flag].[All]" allUniqueName="[PT Q1 1].[Retired Flag].[All]" dimensionUniqueName="[PT Q1 1]" displayFolder="" count="0" memberValueDatatype="20" unbalanced="0"/>
    <cacheHierarchy uniqueName="[PT Q1 1].[Military Flag]" caption="Military Flag" attribute="1" defaultMemberUniqueName="[PT Q1 1].[Military Flag].[All]" allUniqueName="[PT Q1 1].[Military Flag].[All]" dimensionUniqueName="[PT Q1 1]" displayFolder="" count="0" memberValueDatatype="20" unbalanced="0"/>
    <cacheHierarchy uniqueName="[PT Q1 1].[Out of work and looking for work Flag]" caption="Out of work and looking for work Flag" attribute="1" defaultMemberUniqueName="[PT Q1 1].[Out of work and looking for work Flag].[All]" allUniqueName="[PT Q1 1].[Out of work and looking for work Flag].[All]" dimensionUniqueName="[PT Q1 1]" displayFolder="" count="0" memberValueDatatype="20" unbalanced="0"/>
    <cacheHierarchy uniqueName="[PT Q1 1].[Out of work, but not currently looking Flag]" caption="Out of work, but not currently looking Flag" attribute="1" defaultMemberUniqueName="[PT Q1 1].[Out of work, but not currently looking Flag].[All]" allUniqueName="[PT Q1 1].[Out of work, but not currently looking Flag].[All]" dimensionUniqueName="[PT Q1 1]" displayFolder="" count="0" memberValueDatatype="20" unbalanced="0"/>
    <cacheHierarchy uniqueName="[PT Q1 1].[Currently Insured Flag]" caption="Currently Insured Flag" attribute="1" defaultMemberUniqueName="[PT Q1 1].[Currently Insured Flag].[All]" allUniqueName="[PT Q1 1].[Currently Insured Flag].[All]" dimensionUniqueName="[PT Q1 1]" displayFolder="" count="0" memberValueDatatype="20" unbalanced="0"/>
    <cacheHierarchy uniqueName="[PT Q1 1].[Previously Insured Flag]" caption="Previously Insured Flag" attribute="1" defaultMemberUniqueName="[PT Q1 1].[Previously Insured Flag].[All]" allUniqueName="[PT Q1 1].[Previously Insured Flag].[All]" dimensionUniqueName="[PT Q1 1]" displayFolder="" count="0" memberValueDatatype="20" unbalanced="0"/>
    <cacheHierarchy uniqueName="[PT Q1 1].[Not Insured Flag]" caption="Not Insured Flag" attribute="1" defaultMemberUniqueName="[PT Q1 1].[Not Insured Flag].[All]" allUniqueName="[PT Q1 1].[Not Insured Flag].[All]" dimensionUniqueName="[PT Q1 1]" displayFolder="" count="0" memberValueDatatype="20" unbalanced="0"/>
    <cacheHierarchy uniqueName="[PT Q1 1].[Medicaid Flag]" caption="Medicaid Flag" attribute="1" defaultMemberUniqueName="[PT Q1 1].[Medicaid Flag].[All]" allUniqueName="[PT Q1 1].[Medicaid Flag].[All]" dimensionUniqueName="[PT Q1 1]" displayFolder="" count="0" memberValueDatatype="20" unbalanced="0"/>
    <cacheHierarchy uniqueName="[PT Q1 1].[Medicaid,Medicare Flag]" caption="Medicaid,Medicare Flag" attribute="1" defaultMemberUniqueName="[PT Q1 1].[Medicaid,Medicare Flag].[All]" allUniqueName="[PT Q1 1].[Medicaid,Medicare Flag].[All]" dimensionUniqueName="[PT Q1 1]" displayFolder="" count="0" memberValueDatatype="20" unbalanced="0"/>
    <cacheHierarchy uniqueName="[PT Q1 1].[Medicaid,Medicare,Private/Commercial Flag]" caption="Medicaid,Medicare,Private/Commercial Flag" attribute="1" defaultMemberUniqueName="[PT Q1 1].[Medicaid,Medicare,Private/Commercial Flag].[All]" allUniqueName="[PT Q1 1].[Medicaid,Medicare,Private/Commercial Flag].[All]" dimensionUniqueName="[PT Q1 1]" displayFolder="" count="0" memberValueDatatype="20" unbalanced="0"/>
    <cacheHierarchy uniqueName="[PT Q1 1].[Medicaid,Private/Commercial Flag]" caption="Medicaid,Private/Commercial Flag" attribute="1" defaultMemberUniqueName="[PT Q1 1].[Medicaid,Private/Commercial Flag].[All]" allUniqueName="[PT Q1 1].[Medicaid,Private/Commercial Flag].[All]" dimensionUniqueName="[PT Q1 1]" displayFolder="" count="0" memberValueDatatype="20" unbalanced="0"/>
    <cacheHierarchy uniqueName="[PT Q1 1].[Medicare Flag]" caption="Medicare Flag" attribute="1" defaultMemberUniqueName="[PT Q1 1].[Medicare Flag].[All]" allUniqueName="[PT Q1 1].[Medicare Flag].[All]" dimensionUniqueName="[PT Q1 1]" displayFolder="" count="0" memberValueDatatype="20" unbalanced="0"/>
    <cacheHierarchy uniqueName="[PT Q1 1].[Medicare,No Insurance Flag]" caption="Medicare,No Insurance Flag" attribute="1" defaultMemberUniqueName="[PT Q1 1].[Medicare,No Insurance Flag].[All]" allUniqueName="[PT Q1 1].[Medicare,No Insurance Flag].[All]" dimensionUniqueName="[PT Q1 1]" displayFolder="" count="0" memberValueDatatype="20" unbalanced="0"/>
    <cacheHierarchy uniqueName="[PT Q1 1].[Medicare,Private/Commercial Flag]" caption="Medicare,Private/Commercial Flag" attribute="1" defaultMemberUniqueName="[PT Q1 1].[Medicare,Private/Commercial Flag].[All]" allUniqueName="[PT Q1 1].[Medicare,Private/Commercial Flag].[All]" dimensionUniqueName="[PT Q1 1]" displayFolder="" count="0" memberValueDatatype="20" unbalanced="0"/>
    <cacheHierarchy uniqueName="[PT Q1 1].[No Insurance Flag]" caption="No Insurance Flag" attribute="1" defaultMemberUniqueName="[PT Q1 1].[No Insurance Flag].[All]" allUniqueName="[PT Q1 1].[No Insurance Flag].[All]" dimensionUniqueName="[PT Q1 1]" displayFolder="" count="0" memberValueDatatype="20" unbalanced="0"/>
    <cacheHierarchy uniqueName="[PT Q1 1].[Private/Commercial Flag]" caption="Private/Commercial Flag" attribute="1" defaultMemberUniqueName="[PT Q1 1].[Private/Commercial Flag].[All]" allUniqueName="[PT Q1 1].[Private/Commercial Flag].[All]" dimensionUniqueName="[PT Q1 1]" displayFolder="" count="0" memberValueDatatype="20" unbalanced="0"/>
    <cacheHierarchy uniqueName="[PT Q1 1].[Reliable Internet Flag]" caption="Reliable Internet Flag" attribute="1" defaultMemberUniqueName="[PT Q1 1].[Reliable Internet Flag].[All]" allUniqueName="[PT Q1 1].[Reliable Internet Flag].[All]" dimensionUniqueName="[PT Q1 1]" displayFolder="" count="0" memberValueDatatype="2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OTHER]" caption="OTHER" attribute="1" defaultMemberUniqueName="[PT Q2].[OTHER].[All]" allUniqueName="[PT Q2].[OTHER].[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5"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What type of insurance do you have?]" caption="What type of insurance do you have?" attribute="1" defaultMemberUniqueName="[PT Q2].[What type of insurance do you have?].[All]" allUniqueName="[PT Q2].[What type of insurance do you have?].[All]" dimensionUniqueName="[PT Q2]" displayFolder="" count="0" memberValueDatatype="130" unbalanced="0"/>
    <cacheHierarchy uniqueName="[PT Q2].[Do you have access to reliable internet in your home?]" caption="Do you have access to reliable internet in your home?" attribute="1" defaultMemberUniqueName="[PT Q2].[Do you have access to reliable internet in your home?].[All]" allUniqueName="[PT Q2].[Do you have access to reliable internet in your hom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immigration status)]" caption="Fear (e.g. not ready to face/discuss health problem; immigration status)" attribute="1" defaultMemberUniqueName="[PT Q3].[Fear (e.g. not ready to face/discuss health problem; immigration status)].[All]" allUniqueName="[PT Q3].[Fear (e.g. not ready to face/discuss health problem; immigration status)].[All]" dimensionUniqueName="[PT Q3]" displayFolder="" count="0" memberValueDatatype="130" unbalanced="0"/>
    <cacheHierarchy uniqueName="[PT Q3].[OTHER]" caption="OTHER" attribute="1" defaultMemberUniqueName="[PT Q3].[OTHER].[All]" allUniqueName="[PT Q3].[OTHER].[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immigration status)14]" caption="Fear (e.g. not ready to face/discuss health problem;immigration status)14" attribute="1" defaultMemberUniqueName="[PT Q3].[Fear (e.g. not ready to face/discuss health problem;immigration status)14].[All]" allUniqueName="[PT Q3].[Fear (e.g. not ready to face/discuss health problem;immigration status)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What type of insurance do you have?]" caption="What type of insurance do you have?" attribute="1" defaultMemberUniqueName="[PT Q3].[What type of insurance do you have?].[All]" allUniqueName="[PT Q3].[What type of insurance do you have?].[All]" dimensionUniqueName="[PT Q3]" displayFolder="" count="0" memberValueDatatype="130" unbalanced="0"/>
    <cacheHierarchy uniqueName="[PT Q3].[Do you have access to reliable internet in your home?]" caption="Do you have access to reliable internet in your home?" attribute="1" defaultMemberUniqueName="[PT Q3].[Do you have access to reliable internet in your home?].[All]" allUniqueName="[PT Q3].[Do you have access to reliable internet in your hom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OTHER]" caption="OTHER" attribute="1" defaultMemberUniqueName="[PT Q4].[OTHER].[All]" allUniqueName="[PT Q4].[OTHER].[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What type of insurance do you have?]" caption="What type of insurance do you have?" attribute="1" defaultMemberUniqueName="[PT Q4].[What type of insurance do you have?].[All]" allUniqueName="[PT Q4].[What type of insurance do you have?].[All]" dimensionUniqueName="[PT Q4]" displayFolder="" count="0" memberValueDatatype="130" unbalanced="0"/>
    <cacheHierarchy uniqueName="[PT Q4].[Do you have access to reliable internet in your home?]" caption="Do you have access to reliable internet in your home?" attribute="1" defaultMemberUniqueName="[PT Q4].[Do you have access to reliable internet in your home?].[All]" allUniqueName="[PT Q4].[Do you have access to reliable internet in your hom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OTHER]" caption="OTHER" attribute="1" defaultMemberUniqueName="[PT Q5].[OTHER].[All]" allUniqueName="[PT Q5].[OTHER].[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2" memberValueDatatype="130" unbalanced="0">
      <fieldsUsage count="2">
        <fieldUsage x="-1"/>
        <fieldUsage x="21"/>
      </fieldsUsage>
    </cacheHierarchy>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2" memberValueDatatype="130" unbalanced="0">
      <fieldsUsage count="2">
        <fieldUsage x="-1"/>
        <fieldUsage x="19"/>
      </fieldsUsage>
    </cacheHierarchy>
    <cacheHierarchy uniqueName="[PT Q5].[Town and ZIP code where you live:]" caption="Town and ZIP code where you live:" attribute="1" defaultMemberUniqueName="[PT Q5].[Town and ZIP code where you live:].[All]" allUniqueName="[PT Q5].[Town and ZIP code where you live:].[All]" dimensionUniqueName="[PT Q5]" displayFolder="" count="2" memberValueDatatype="130" unbalanced="0">
      <fieldsUsage count="2">
        <fieldUsage x="-1"/>
        <fieldUsage x="0"/>
      </fieldsUsage>
    </cacheHierarchy>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2" memberValueDatatype="130" unbalanced="0">
      <fieldsUsage count="2">
        <fieldUsage x="-1"/>
        <fieldUsage x="25"/>
      </fieldsUsage>
    </cacheHierarchy>
    <cacheHierarchy uniqueName="[PT Q5].[Are you Hispanic or Latino?]" caption="Are you Hispanic or Latino?" attribute="1" defaultMemberUniqueName="[PT Q5].[Are you Hispanic or Latino?].[All]" allUniqueName="[PT Q5].[Are you Hispanic or Latino?].[All]" dimensionUniqueName="[PT Q5]" displayFolder="" count="2" memberValueDatatype="130" unbalanced="0">
      <fieldsUsage count="2">
        <fieldUsage x="-1"/>
        <fieldUsage x="20"/>
      </fieldsUsage>
    </cacheHierarchy>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2" memberValueDatatype="130" unbalanced="0">
      <fieldsUsage count="2">
        <fieldUsage x="-1"/>
        <fieldUsage x="22"/>
      </fieldsUsage>
    </cacheHierarchy>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2" memberValueDatatype="130" unbalanced="0">
      <fieldsUsage count="2">
        <fieldUsage x="-1"/>
        <fieldUsage x="24"/>
      </fieldsUsage>
    </cacheHierarchy>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2" memberValueDatatype="130" unbalanced="0">
      <fieldsUsage count="2">
        <fieldUsage x="-1"/>
        <fieldUsage x="23"/>
      </fieldsUsage>
    </cacheHierarchy>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2" memberValueDatatype="130" unbalanced="0">
      <fieldsUsage count="2">
        <fieldUsage x="-1"/>
        <fieldUsage x="26"/>
      </fieldsUsage>
    </cacheHierarchy>
    <cacheHierarchy uniqueName="[PT Q5].[What type of insurance do you have?]" caption="What type of insurance do you have?" attribute="1" defaultMemberUniqueName="[PT Q5].[What type of insurance do you have?].[All]" allUniqueName="[PT Q5].[What type of insurance do you have?].[All]" dimensionUniqueName="[PT Q5]" displayFolder="" count="0" memberValueDatatype="130" unbalanced="0"/>
    <cacheHierarchy uniqueName="[PT Q5].[Do you have access to reliable internet in your home?]" caption="Do you have access to reliable internet in your home?" attribute="1" defaultMemberUniqueName="[PT Q5].[Do you have access to reliable internet in your home?].[All]" allUniqueName="[PT Q5].[Do you have access to reliable internet in your hom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What type of insurance do you have?]" caption="What type of insurance do you have?" attribute="1" defaultMemberUniqueName="[PT Q6].[What type of insurance do you have?].[All]" allUniqueName="[PT Q6].[What type of insurance do you have?].[All]" dimensionUniqueName="[PT Q6]" displayFolder="" count="0" memberValueDatatype="130" unbalanced="0"/>
    <cacheHierarchy uniqueName="[PT Q6].[Do you have access to reliable internet in your home?]" caption="Do you have access to reliable internet in your home?" attribute="1" defaultMemberUniqueName="[PT Q6].[Do you have access to reliable internet in your home?].[All]" allUniqueName="[PT Q6].[Do you have access to reliable internet in your hom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198"/>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198"/>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216"/>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217"/>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222"/>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207"/>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209"/>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224"/>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226"/>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227"/>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218"/>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220"/>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225"/>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228"/>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219"/>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221"/>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223"/>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24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248"/>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26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26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269"/>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26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26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27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26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27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26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292"/>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292"/>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309"/>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312"/>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315"/>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318"/>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310"/>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313"/>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316"/>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319"/>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320"/>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311"/>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314"/>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317"/>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340"/>
        </ext>
      </extLst>
    </cacheHierarchy>
    <cacheHierarchy uniqueName="[Measures].[Count of RespondentID 5]" caption="Count of RespondentID 5" measure="1" displayFolder="" measureGroup="PT Q5" count="0" oneField="1">
      <fieldsUsage count="1">
        <fieldUsage x="1"/>
      </fieldsUsage>
      <extLst>
        <ext xmlns:x15="http://schemas.microsoft.com/office/spreadsheetml/2010/11/main" uri="{B97F6D7D-B522-45F9-BDA1-12C45D357490}">
          <x15:cacheHierarchy aggregatedColumn="340"/>
        </ext>
      </extLst>
    </cacheHierarchy>
    <cacheHierarchy uniqueName="[Measures].[Sum of Blood pressure5]" caption="Sum of Blood pressure5" measure="1" displayFolder="" measureGroup="PT Q5" count="0" oneField="1">
      <fieldsUsage count="1">
        <fieldUsage x="2"/>
      </fieldsUsage>
      <extLst>
        <ext xmlns:x15="http://schemas.microsoft.com/office/spreadsheetml/2010/11/main" uri="{B97F6D7D-B522-45F9-BDA1-12C45D357490}">
          <x15:cacheHierarchy aggregatedColumn="363"/>
        </ext>
      </extLst>
    </cacheHierarchy>
    <cacheHierarchy uniqueName="[Measures].[Sum of Cancer8]" caption="Sum of Cancer8" measure="1" displayFolder="" measureGroup="PT Q5" count="0" oneField="1">
      <fieldsUsage count="1">
        <fieldUsage x="3"/>
      </fieldsUsage>
      <extLst>
        <ext xmlns:x15="http://schemas.microsoft.com/office/spreadsheetml/2010/11/main" uri="{B97F6D7D-B522-45F9-BDA1-12C45D357490}">
          <x15:cacheHierarchy aggregatedColumn="366"/>
        </ext>
      </extLst>
    </cacheHierarchy>
    <cacheHierarchy uniqueName="[Measures].[Sum of Cholesterol11]" caption="Sum of Cholesterol11" measure="1" displayFolder="" measureGroup="PT Q5" count="0" oneField="1">
      <fieldsUsage count="1">
        <fieldUsage x="4"/>
      </fieldsUsage>
      <extLst>
        <ext xmlns:x15="http://schemas.microsoft.com/office/spreadsheetml/2010/11/main" uri="{B97F6D7D-B522-45F9-BDA1-12C45D357490}">
          <x15:cacheHierarchy aggregatedColumn="369"/>
        </ext>
      </extLst>
    </cacheHierarchy>
    <cacheHierarchy uniqueName="[Measures].[Sum of Dental screenings14]" caption="Sum of Dental screenings14" measure="1" displayFolder="" measureGroup="PT Q5" count="0" oneField="1">
      <fieldsUsage count="1">
        <fieldUsage x="5"/>
      </fieldsUsage>
      <extLst>
        <ext xmlns:x15="http://schemas.microsoft.com/office/spreadsheetml/2010/11/main" uri="{B97F6D7D-B522-45F9-BDA1-12C45D357490}">
          <x15:cacheHierarchy aggregatedColumn="372"/>
        </ext>
      </extLst>
    </cacheHierarchy>
    <cacheHierarchy uniqueName="[Measures].[Sum of Disease outbreak information20]" caption="Sum of Disease outbreak information20" measure="1" displayFolder="" measureGroup="PT Q5" count="0" oneField="1">
      <fieldsUsage count="1">
        <fieldUsage x="6"/>
      </fieldsUsage>
      <extLst>
        <ext xmlns:x15="http://schemas.microsoft.com/office/spreadsheetml/2010/11/main" uri="{B97F6D7D-B522-45F9-BDA1-12C45D357490}">
          <x15:cacheHierarchy aggregatedColumn="378"/>
        </ext>
      </extLst>
    </cacheHierarchy>
    <cacheHierarchy uniqueName="[Measures].[Sum of Drug and alcohol22]" caption="Sum of Drug and alcohol22" measure="1" displayFolder="" measureGroup="PT Q5" count="0" oneField="1">
      <fieldsUsage count="1">
        <fieldUsage x="7"/>
      </fieldsUsage>
      <extLst>
        <ext xmlns:x15="http://schemas.microsoft.com/office/spreadsheetml/2010/11/main" uri="{B97F6D7D-B522-45F9-BDA1-12C45D357490}">
          <x15:cacheHierarchy aggregatedColumn="380"/>
        </ext>
      </extLst>
    </cacheHierarchy>
    <cacheHierarchy uniqueName="[Measures].[Sum of Eating disorders6]" caption="Sum of Eating disorders6" measure="1" displayFolder="" measureGroup="PT Q5" count="0" oneField="1">
      <fieldsUsage count="1">
        <fieldUsage x="8"/>
      </fieldsUsage>
      <extLst>
        <ext xmlns:x15="http://schemas.microsoft.com/office/spreadsheetml/2010/11/main" uri="{B97F6D7D-B522-45F9-BDA1-12C45D357490}">
          <x15:cacheHierarchy aggregatedColumn="364"/>
        </ext>
      </extLst>
    </cacheHierarchy>
    <cacheHierarchy uniqueName="[Measures].[Sum of Emergency preparedness9]" caption="Sum of Emergency preparedness9" measure="1" displayFolder="" measureGroup="PT Q5" count="0" oneField="1">
      <fieldsUsage count="1">
        <fieldUsage x="9"/>
      </fieldsUsage>
      <extLst>
        <ext xmlns:x15="http://schemas.microsoft.com/office/spreadsheetml/2010/11/main" uri="{B97F6D7D-B522-45F9-BDA1-12C45D357490}">
          <x15:cacheHierarchy aggregatedColumn="367"/>
        </ext>
      </extLst>
    </cacheHierarchy>
    <cacheHierarchy uniqueName="[Measures].[Sum of Exercisephysical activity12]" caption="Sum of Exercisephysical activity12" measure="1" displayFolder="" measureGroup="PT Q5" count="0" oneField="1">
      <fieldsUsage count="1">
        <fieldUsage x="10"/>
      </fieldsUsage>
      <extLst>
        <ext xmlns:x15="http://schemas.microsoft.com/office/spreadsheetml/2010/11/main" uri="{B97F6D7D-B522-45F9-BDA1-12C45D357490}">
          <x15:cacheHierarchy aggregatedColumn="370"/>
        </ext>
      </extLst>
    </cacheHierarchy>
    <cacheHierarchy uniqueName="[Measures].[Sum of Heart disease15]" caption="Sum of Heart disease15" measure="1" displayFolder="" measureGroup="PT Q5" count="0" oneField="1">
      <fieldsUsage count="1">
        <fieldUsage x="11"/>
      </fieldsUsage>
      <extLst>
        <ext xmlns:x15="http://schemas.microsoft.com/office/spreadsheetml/2010/11/main" uri="{B97F6D7D-B522-45F9-BDA1-12C45D357490}">
          <x15:cacheHierarchy aggregatedColumn="373"/>
        </ext>
      </extLst>
    </cacheHierarchy>
    <cacheHierarchy uniqueName="[Measures].[Sum of HIVAIDS  Sexually Transmitted Diseases (STDs)18]" caption="Sum of HIVAIDS  Sexually Transmitted Diseases (STDs)18" measure="1" displayFolder="" measureGroup="PT Q5" count="0" oneField="1">
      <fieldsUsage count="1">
        <fieldUsage x="12"/>
      </fieldsUsage>
      <extLst>
        <ext xmlns:x15="http://schemas.microsoft.com/office/spreadsheetml/2010/11/main" uri="{B97F6D7D-B522-45F9-BDA1-12C45D357490}">
          <x15:cacheHierarchy aggregatedColumn="376"/>
        </ext>
      </extLst>
    </cacheHierarchy>
    <cacheHierarchy uniqueName="[Measures].[Sum of Importance of routine well checkups21]" caption="Sum of Importance of routine well checkups21" measure="1" displayFolder="" measureGroup="PT Q5" count="0" oneField="1">
      <fieldsUsage count="1">
        <fieldUsage x="13"/>
      </fieldsUsage>
      <extLst>
        <ext xmlns:x15="http://schemas.microsoft.com/office/spreadsheetml/2010/11/main" uri="{B97F6D7D-B522-45F9-BDA1-12C45D357490}">
          <x15:cacheHierarchy aggregatedColumn="379"/>
        </ext>
      </extLst>
    </cacheHierarchy>
    <cacheHierarchy uniqueName="[Measures].[Sum of Mental healthdepression7]" caption="Sum of Mental healthdepression7" measure="1" displayFolder="" measureGroup="PT Q5" count="0" oneField="1">
      <fieldsUsage count="1">
        <fieldUsage x="14"/>
      </fieldsUsage>
      <extLst>
        <ext xmlns:x15="http://schemas.microsoft.com/office/spreadsheetml/2010/11/main" uri="{B97F6D7D-B522-45F9-BDA1-12C45D357490}">
          <x15:cacheHierarchy aggregatedColumn="365"/>
        </ext>
      </extLst>
    </cacheHierarchy>
    <cacheHierarchy uniqueName="[Measures].[Sum of Nutrition10]" caption="Sum of Nutrition10" measure="1" displayFolder="" measureGroup="PT Q5" count="0" oneField="1">
      <fieldsUsage count="1">
        <fieldUsage x="15"/>
      </fieldsUsage>
      <extLst>
        <ext xmlns:x15="http://schemas.microsoft.com/office/spreadsheetml/2010/11/main" uri="{B97F6D7D-B522-45F9-BDA1-12C45D357490}">
          <x15:cacheHierarchy aggregatedColumn="368"/>
        </ext>
      </extLst>
    </cacheHierarchy>
    <cacheHierarchy uniqueName="[Measures].[Sum of Prenatal care13]" caption="Sum of Prenatal care13" measure="1" displayFolder="" measureGroup="PT Q5" count="0" oneField="1">
      <fieldsUsage count="1">
        <fieldUsage x="16"/>
      </fieldsUsage>
      <extLst>
        <ext xmlns:x15="http://schemas.microsoft.com/office/spreadsheetml/2010/11/main" uri="{B97F6D7D-B522-45F9-BDA1-12C45D357490}">
          <x15:cacheHierarchy aggregatedColumn="371"/>
        </ext>
      </extLst>
    </cacheHierarchy>
    <cacheHierarchy uniqueName="[Measures].[Sum of Suicide prevention16]" caption="Sum of Suicide prevention16" measure="1" displayFolder="" measureGroup="PT Q5" count="0" oneField="1">
      <fieldsUsage count="1">
        <fieldUsage x="17"/>
      </fieldsUsage>
      <extLst>
        <ext xmlns:x15="http://schemas.microsoft.com/office/spreadsheetml/2010/11/main" uri="{B97F6D7D-B522-45F9-BDA1-12C45D357490}">
          <x15:cacheHierarchy aggregatedColumn="374"/>
        </ext>
      </extLst>
    </cacheHierarchy>
    <cacheHierarchy uniqueName="[Measures].[Sum of Vaccinationimmunizations19]" caption="Sum of Vaccinationimmunizations19" measure="1" displayFolder="" measureGroup="PT Q5" count="0" oneField="1">
      <fieldsUsage count="1">
        <fieldUsage x="18"/>
      </fieldsUsage>
      <extLst>
        <ext xmlns:x15="http://schemas.microsoft.com/office/spreadsheetml/2010/11/main" uri="{B97F6D7D-B522-45F9-BDA1-12C45D357490}">
          <x15:cacheHierarchy aggregatedColumn="377"/>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401"/>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404"/>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407"/>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410"/>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412"/>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402"/>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405"/>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408"/>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411"/>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413"/>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403"/>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406"/>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409"/>
        </ext>
      </extLst>
    </cacheHierarchy>
    <cacheHierarchy uniqueName="[Measures].[Sum of Fear (eg not ready to facediscuss health problemimmigration status)14]" caption="Sum of Fear (eg not ready to facediscuss health problemimmigration status)14" measure="1" displayFolder="" measureGroup="PT Q3" count="0">
      <extLst>
        <ext xmlns:x15="http://schemas.microsoft.com/office/spreadsheetml/2010/11/main" uri="{B97F6D7D-B522-45F9-BDA1-12C45D357490}">
          <x15:cacheHierarchy aggregatedColumn="272"/>
        </ext>
      </extLst>
    </cacheHierarchy>
    <cacheHierarchy uniqueName="[Measures].[Sum of RespondentID 7]" caption="Sum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Women’s health  wellness10 3]" caption="Sum of Women’s health  wellness10 3" measure="1" displayFolder="" measureGroup="PT Q1 1" count="0">
      <extLst>
        <ext xmlns:x15="http://schemas.microsoft.com/office/spreadsheetml/2010/11/main" uri="{B97F6D7D-B522-45F9-BDA1-12C45D357490}">
          <x15:cacheHierarchy aggregatedColumn="121"/>
        </ext>
      </extLst>
    </cacheHierarchy>
    <cacheHierarchy uniqueName="[Measures].[Count of RespondentID 7]" caption="Count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Asthmalung disease3 3]" caption="Sum of Asthmalung disease3 3" measure="1" displayFolder="" measureGroup="PT Q1 1" count="0">
      <extLst>
        <ext xmlns:x15="http://schemas.microsoft.com/office/spreadsheetml/2010/11/main" uri="{B97F6D7D-B522-45F9-BDA1-12C45D357490}">
          <x15:cacheHierarchy aggregatedColumn="114"/>
        </ext>
      </extLst>
    </cacheHierarchy>
    <cacheHierarchy uniqueName="[Measures].[Sum of Cancer4 3]" caption="Sum of Cancer4 3" measure="1" displayFolder="" measureGroup="PT Q1 1" count="0">
      <extLst>
        <ext xmlns:x15="http://schemas.microsoft.com/office/spreadsheetml/2010/11/main" uri="{B97F6D7D-B522-45F9-BDA1-12C45D357490}">
          <x15:cacheHierarchy aggregatedColumn="115"/>
        </ext>
      </extLst>
    </cacheHierarchy>
    <cacheHierarchy uniqueName="[Measures].[Sum of Heart disease  stroke5 3]" caption="Sum of Heart disease  stroke5 3" measure="1" displayFolder="" measureGroup="PT Q1 1" count="0">
      <extLst>
        <ext xmlns:x15="http://schemas.microsoft.com/office/spreadsheetml/2010/11/main" uri="{B97F6D7D-B522-45F9-BDA1-12C45D357490}">
          <x15:cacheHierarchy aggregatedColumn="116"/>
        </ext>
      </extLst>
    </cacheHierarchy>
    <cacheHierarchy uniqueName="[Measures].[Sum of Safety6 3]" caption="Sum of Safety6 3" measure="1" displayFolder="" measureGroup="PT Q1 1" count="0">
      <extLst>
        <ext xmlns:x15="http://schemas.microsoft.com/office/spreadsheetml/2010/11/main" uri="{B97F6D7D-B522-45F9-BDA1-12C45D357490}">
          <x15:cacheHierarchy aggregatedColumn="117"/>
        </ext>
      </extLst>
    </cacheHierarchy>
    <cacheHierarchy uniqueName="[Measures].[Sum of HIVAIDS  Sexually Transmitted Diseases (STDs)7 3]" caption="Sum of HIVAIDS  Sexually Transmitted Diseases (STDs)7 3" measure="1" displayFolder="" measureGroup="PT Q1 1" count="0">
      <extLst>
        <ext xmlns:x15="http://schemas.microsoft.com/office/spreadsheetml/2010/11/main" uri="{B97F6D7D-B522-45F9-BDA1-12C45D357490}">
          <x15:cacheHierarchy aggregatedColumn="118"/>
        </ext>
      </extLst>
    </cacheHierarchy>
    <cacheHierarchy uniqueName="[Measures].[Sum of Vaccine preventable diseases8 3]" caption="Sum of Vaccine preventable diseases8 3" measure="1" displayFolder="" measureGroup="PT Q1 1" count="0">
      <extLst>
        <ext xmlns:x15="http://schemas.microsoft.com/office/spreadsheetml/2010/11/main" uri="{B97F6D7D-B522-45F9-BDA1-12C45D357490}">
          <x15:cacheHierarchy aggregatedColumn="119"/>
        </ext>
      </extLst>
    </cacheHierarchy>
    <cacheHierarchy uniqueName="[Measures].[Sum of Child health  wellness9 3]" caption="Sum of Child health  wellness9 3" measure="1" displayFolder="" measureGroup="PT Q1 1" count="0">
      <extLst>
        <ext xmlns:x15="http://schemas.microsoft.com/office/spreadsheetml/2010/11/main" uri="{B97F6D7D-B522-45F9-BDA1-12C45D357490}">
          <x15:cacheHierarchy aggregatedColumn="120"/>
        </ext>
      </extLst>
    </cacheHierarchy>
    <cacheHierarchy uniqueName="[Measures].[Sum of Diabetes11 3]" caption="Sum of Diabetes11 3" measure="1" displayFolder="" measureGroup="PT Q1 1" count="0">
      <extLst>
        <ext xmlns:x15="http://schemas.microsoft.com/office/spreadsheetml/2010/11/main" uri="{B97F6D7D-B522-45F9-BDA1-12C45D357490}">
          <x15:cacheHierarchy aggregatedColumn="122"/>
        </ext>
      </extLst>
    </cacheHierarchy>
    <cacheHierarchy uniqueName="[Measures].[Sum of Mental health depressionsuicide12 3]" caption="Sum of Mental health depressionsuicide12 3" measure="1" displayFolder="" measureGroup="PT Q1 1" count="0">
      <extLst>
        <ext xmlns:x15="http://schemas.microsoft.com/office/spreadsheetml/2010/11/main" uri="{B97F6D7D-B522-45F9-BDA1-12C45D357490}">
          <x15:cacheHierarchy aggregatedColumn="123"/>
        </ext>
      </extLst>
    </cacheHierarchy>
    <cacheHierarchy uniqueName="[Measures].[Sum of Drugs  alcohol abuse13 3]" caption="Sum of Drugs  alcohol abuse13 3" measure="1" displayFolder="" measureGroup="PT Q1 1" count="0">
      <extLst>
        <ext xmlns:x15="http://schemas.microsoft.com/office/spreadsheetml/2010/11/main" uri="{B97F6D7D-B522-45F9-BDA1-12C45D357490}">
          <x15:cacheHierarchy aggregatedColumn="124"/>
        </ext>
      </extLst>
    </cacheHierarchy>
    <cacheHierarchy uniqueName="[Measures].[Sum of Environmental hazards14 3]" caption="Sum of Environmental hazards14 3" measure="1" displayFolder="" measureGroup="PT Q1 1" count="0">
      <extLst>
        <ext xmlns:x15="http://schemas.microsoft.com/office/spreadsheetml/2010/11/main" uri="{B97F6D7D-B522-45F9-BDA1-12C45D357490}">
          <x15:cacheHierarchy aggregatedColumn="125"/>
        </ext>
      </extLst>
    </cacheHierarchy>
    <cacheHierarchy uniqueName="[Measures].[Sum of Obesityweight loss issues15 3]" caption="Sum of Obesityweight loss issues15 3" measure="1" displayFolder="" measureGroup="PT Q1 1" count="0">
      <extLst>
        <ext xmlns:x15="http://schemas.microsoft.com/office/spreadsheetml/2010/11/main" uri="{B97F6D7D-B522-45F9-BDA1-12C45D357490}">
          <x15:cacheHierarchy aggregatedColumn="126"/>
        </ext>
      </extLst>
    </cacheHierarchy>
    <cacheHierarchy uniqueName="[Measures].[Sum of What is your age]" caption="Sum of What is your age" measure="1" displayFolder="" measureGroup="PT Q1 1" count="0">
      <extLst>
        <ext xmlns:x15="http://schemas.microsoft.com/office/spreadsheetml/2010/11/main" uri="{B97F6D7D-B522-45F9-BDA1-12C45D357490}">
          <x15:cacheHierarchy aggregatedColumn="134"/>
        </ext>
      </extLst>
    </cacheHierarchy>
    <cacheHierarchy uniqueName="[Measures].[Average of What is your age]" caption="Average of What is your age" measure="1" displayFolder="" measureGroup="PT Q1 1" count="0">
      <extLst>
        <ext xmlns:x15="http://schemas.microsoft.com/office/spreadsheetml/2010/11/main" uri="{B97F6D7D-B522-45F9-BDA1-12C45D357490}">
          <x15:cacheHierarchy aggregatedColumn="134"/>
        </ext>
      </extLst>
    </cacheHierarchy>
    <cacheHierarchy uniqueName="[Measures].[Count of What race do you consider yourself]" caption="Count of What race do you consider yourself" measure="1" displayFolder="" measureGroup="PT Q1 1" count="0">
      <extLst>
        <ext xmlns:x15="http://schemas.microsoft.com/office/spreadsheetml/2010/11/main" uri="{B97F6D7D-B522-45F9-BDA1-12C45D357490}">
          <x15:cacheHierarchy aggregatedColumn="137"/>
        </ext>
      </extLst>
    </cacheHierarchy>
    <cacheHierarchy uniqueName="[Measures].[Count of Do you currently have health insurance]" caption="Count of Do you currently have health insurance" measure="1" displayFolder="" measureGroup="PT Q1 1" count="0">
      <extLst>
        <ext xmlns:x15="http://schemas.microsoft.com/office/spreadsheetml/2010/11/main" uri="{B97F6D7D-B522-45F9-BDA1-12C45D357490}">
          <x15:cacheHierarchy aggregatedColumn="143"/>
        </ext>
      </extLst>
    </cacheHierarchy>
    <cacheHierarchy uniqueName="[Measures].[Count of What type of insurance do you have]" caption="Count of What type of insurance do you have" measure="1" displayFolder="" measureGroup="PT Q1 1" count="0">
      <extLst>
        <ext xmlns:x15="http://schemas.microsoft.com/office/spreadsheetml/2010/11/main" uri="{B97F6D7D-B522-45F9-BDA1-12C45D357490}">
          <x15:cacheHierarchy aggregatedColumn="144"/>
        </ext>
      </extLst>
    </cacheHierarchy>
    <cacheHierarchy uniqueName="[Measures].[Count of Do you have access to reliable internet in your home]" caption="Count of Do you have access to reliable internet in your home" measure="1" displayFolder="" measureGroup="PT Q1 1" count="0">
      <extLst>
        <ext xmlns:x15="http://schemas.microsoft.com/office/spreadsheetml/2010/11/main" uri="{B97F6D7D-B522-45F9-BDA1-12C45D357490}">
          <x15:cacheHierarchy aggregatedColumn="145"/>
        </ext>
      </extLst>
    </cacheHierarchy>
    <cacheHierarchy uniqueName="[Measures].[Sum of Female Flag]" caption="Sum of Female Flag" measure="1" displayFolder="" measureGroup="PT Q1 1" count="0">
      <extLst>
        <ext xmlns:x15="http://schemas.microsoft.com/office/spreadsheetml/2010/11/main" uri="{B97F6D7D-B522-45F9-BDA1-12C45D357490}">
          <x15:cacheHierarchy aggregatedColumn="146"/>
        </ext>
      </extLst>
    </cacheHierarchy>
    <cacheHierarchy uniqueName="[Measures].[Sum of Male Flag]" caption="Sum of Male Flag" measure="1" displayFolder="" measureGroup="PT Q1 1" count="0">
      <extLst>
        <ext xmlns:x15="http://schemas.microsoft.com/office/spreadsheetml/2010/11/main" uri="{B97F6D7D-B522-45F9-BDA1-12C45D357490}">
          <x15:cacheHierarchy aggregatedColumn="147"/>
        </ext>
      </extLst>
    </cacheHierarchy>
    <cacheHierarchy uniqueName="[Measures].[Sum of WhiteCaucasian Flag]" caption="Sum of WhiteCaucasian Flag" measure="1" displayFolder="" measureGroup="PT Q1 1" count="0">
      <extLst>
        <ext xmlns:x15="http://schemas.microsoft.com/office/spreadsheetml/2010/11/main" uri="{B97F6D7D-B522-45F9-BDA1-12C45D357490}">
          <x15:cacheHierarchy aggregatedColumn="150"/>
        </ext>
      </extLst>
    </cacheHierarchy>
    <cacheHierarchy uniqueName="[Measures].[Sum of BlackAfrican American Flag]" caption="Sum of BlackAfrican American Flag" measure="1" displayFolder="" measureGroup="PT Q1 1" count="0">
      <extLst>
        <ext xmlns:x15="http://schemas.microsoft.com/office/spreadsheetml/2010/11/main" uri="{B97F6D7D-B522-45F9-BDA1-12C45D357490}">
          <x15:cacheHierarchy aggregatedColumn="151"/>
        </ext>
      </extLst>
    </cacheHierarchy>
    <cacheHierarchy uniqueName="[Measures].[Total Respondents]" caption="Total Respondents" measure="1" displayFolder="" measureGroup="PT Q1" count="0"/>
    <cacheHierarchy uniqueName="[Measures].[Woman]" caption="Woman" measure="1" displayFolder="" measureGroup="PT Q1" count="0"/>
    <cacheHierarchy uniqueName="[Measures].[Man]" caption="Man" measure="1" displayFolder="" measureGroup="PT Q1" count="0"/>
    <cacheHierarchy uniqueName="[Measures].[Transgender]" caption="Transgender" measure="1" displayFolder="" measureGroup="PT Q1" count="0"/>
    <cacheHierarchy uniqueName="[Measures].[Other Gender]" caption="Other Gender" measure="1" displayFolder="" measureGroup="PT Q1" count="0"/>
    <cacheHierarchy uniqueName="[Measures].[Ethnicity]" caption="Ethnicity" measure="1" displayFolder="" measureGroup="PT Q1" count="0"/>
    <cacheHierarchy uniqueName="[Measures].[White]" caption="White" measure="1" displayFolder="" measureGroup="PT Q1" count="0"/>
    <cacheHierarchy uniqueName="[Measures].[Black/African American]" caption="Black/African American" measure="1" displayFolder="" measureGroup="PT Q1" count="0"/>
    <cacheHierarchy uniqueName="[Measures].[Native Hawaiian/Pacific Islander]" caption="Native Hawaiian/Pacific Islander" measure="1" displayFolder="" measureGroup="PT Q1" count="0"/>
    <cacheHierarchy uniqueName="[Measures].[American Indian/Alaska Native]" caption="American Indian/Alaska Native" measure="1" displayFolder="" measureGroup="PT Q1" count="0"/>
    <cacheHierarchy uniqueName="[Measures].[Multi-racial]" caption="Multi-racial" measure="1" displayFolder="" measureGroup="PT Q1" count="0"/>
    <cacheHierarchy uniqueName="[Measures].[Other Race]" caption="Other Race" measure="1" displayFolder="" measureGroup="PT Q1" count="0"/>
    <cacheHierarchy uniqueName="[Measures].[Income $0-$19,999]" caption="Income $0-$19,999" measure="1" displayFolder="" measureGroup="PT Q1" count="0"/>
    <cacheHierarchy uniqueName="[Measures].[Income $20,000 to $34,999]" caption="Income $20,000 to $34,999" measure="1" displayFolder="" measureGroup="PT Q1" count="0"/>
    <cacheHierarchy uniqueName="[Measures].[Income $35,000 to $49,999]" caption="Income $35,000 to $49,999" measure="1" displayFolder="" measureGroup="PT Q1" count="0"/>
    <cacheHierarchy uniqueName="[Measures].[income $50,000 to $74,999]" caption="income $50,000 to $74,999" measure="1" displayFolder="" measureGroup="PT Q1" count="0"/>
    <cacheHierarchy uniqueName="[Measures].[Income $75,000 to $125,000]" caption="Income $75,000 to $125,000" measure="1" displayFolder="" measureGroup="PT Q1" count="0"/>
    <cacheHierarchy uniqueName="[Measures].[Income Over $125,000]" caption="Income Over $125,000" measure="1" displayFolder="" measureGroup="PT Q1" count="0"/>
    <cacheHierarchy uniqueName="[Measures].[Age 18-24]" caption="Age 18-24" measure="1" displayFolder="" measureGroup="PT Q1" count="0"/>
    <cacheHierarchy uniqueName="[Measures].[Age 25 to 34]" caption="Age 25 to 34" measure="1" displayFolder="" measureGroup="PT Q1" count="0"/>
    <cacheHierarchy uniqueName="[Measures].[Age 35 to 44]" caption="Age 35 to 44" measure="1" displayFolder="" measureGroup="PT Q1" count="0"/>
    <cacheHierarchy uniqueName="[Measures].[Age 45 to 54]" caption="Age 45 to 54" measure="1" displayFolder="" measureGroup="PT Q1" count="0"/>
    <cacheHierarchy uniqueName="[Measures].[Age 55 to 64]" caption="Age 55 to 64" measure="1" displayFolder="" measureGroup="PT Q1" count="0"/>
    <cacheHierarchy uniqueName="[Measures].[Age 65+]" caption="Age 65+" measure="1" displayFolder="" measureGroup="PT Q1" count="0"/>
    <cacheHierarchy uniqueName="[Measures].[K-8 Grade]" caption="K-8 Grade" measure="1" displayFolder="" measureGroup="PT Q1" count="0"/>
    <cacheHierarchy uniqueName="[Measures].[High School]" caption="High School" measure="1" displayFolder="" measureGroup="PT Q1" count="0"/>
    <cacheHierarchy uniqueName="[Measures].[Some High School]" caption="Some High School" measure="1" displayFolder="" measureGroup="PT Q1" count="0"/>
    <cacheHierarchy uniqueName="[Measures].[College]" caption="College" measure="1" displayFolder="" measureGroup="PT Q1" count="0"/>
    <cacheHierarchy uniqueName="[Measures].[Some College]" caption="Some College" measure="1" displayFolder="" measureGroup="PT Q1" count="0"/>
    <cacheHierarchy uniqueName="[Measures].[Technical School]" caption="Technical School" measure="1" displayFolder="" measureGroup="PT Q1" count="0"/>
    <cacheHierarchy uniqueName="[Measures].[Graduate School]" caption="Graduate School" measure="1" displayFolder="" measureGroup="PT Q1" count="0"/>
    <cacheHierarchy uniqueName="[Measures].[Doctorate]" caption="Doctorate" measure="1" displayFolder="" measureGroup="PT Q1" count="0"/>
    <cacheHierarchy uniqueName="[Measures].[GED]" caption="GED" measure="1" displayFolder="" measureGroup="PT Q1" count="0"/>
    <cacheHierarchy uniqueName="[Measures].[Employed for Wages]" caption="Employed for Wages" measure="1" displayFolder="" measureGroup="PT Q1" count="0"/>
    <cacheHierarchy uniqueName="[Measures].[Self-employed]" caption="Self-employed" measure="1" displayFolder="" measureGroup="PT Q1" count="0"/>
    <cacheHierarchy uniqueName="[Measures].[Student]" caption="Student" measure="1" displayFolder="" measureGroup="PT Q1" count="0"/>
    <cacheHierarchy uniqueName="[Measures].[Retired]" caption="Retired" measure="1" displayFolder="" measureGroup="PT Q1" count="0"/>
    <cacheHierarchy uniqueName="[Measures].[Military]" caption="Military" measure="1" displayFolder="" measureGroup="PT Q1" count="0"/>
    <cacheHierarchy uniqueName="[Measures].[Out of Work and Looking]" caption="Out of Work and Looking" measure="1" displayFolder="" measureGroup="PT Q1" count="0"/>
    <cacheHierarchy uniqueName="[Measures].[Out of Work Not Looking]" caption="Out of Work Not Looking" measure="1" displayFolder="" measureGroup="PT Q1" count="0"/>
    <cacheHierarchy uniqueName="[Measures].[Health Insurance Yes]" caption="Health Insurance Yes" measure="1" displayFolder="" measureGroup="PT Q1" count="0"/>
    <cacheHierarchy uniqueName="[Measures].[Health Insurance No]" caption="Health Insurance No" measure="1" displayFolder="" measureGroup="PT Q1" count="0"/>
    <cacheHierarchy uniqueName="[Measures].[Health Insurance In the Past]" caption="Health Insurance In the Past" measure="1" displayFolder="" measureGroup="PT Q1" count="0"/>
    <cacheHierarchy uniqueName="[Measures].[Medicare]" caption="Medicare" measure="1" displayFolder="" measureGroup="PT Q1" count="0"/>
    <cacheHierarchy uniqueName="[Measures].[Medicaid]" caption="Medicaid" measure="1" displayFolder="" measureGroup="PT Q1" count="0"/>
    <cacheHierarchy uniqueName="[Measures].[Private/Commerical]" caption="Private/Commerical" measure="1" displayFolder="" measureGroup="PT Q1" count="0"/>
    <cacheHierarchy uniqueName="[Measures].[Not Insured]" caption="Not Insured" measure="1" displayFolder="" measureGroup="PT Q1" count="0"/>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PT Q1 1]" caption="__XL_Count PT Q1 1" measure="1" displayFolder="" measureGroup="PT Q1 1" count="0" hidden="1"/>
    <cacheHierarchy uniqueName="[Measures].[__XL_Count of Models]" caption="__XL_Count of Models" measure="1" displayFolder="" count="0" hidden="1"/>
  </cacheHierarchies>
  <kpis count="0"/>
  <dimensions count="8">
    <dimension measure="1" name="Measures" uniqueName="[Measures]" caption="Measures"/>
    <dimension name="PT Q1" uniqueName="[PT Q1]" caption="PT Q1"/>
    <dimension name="PT Q1 1" uniqueName="[PT Q1 1]" caption="PT Q1 1"/>
    <dimension name="PT Q2" uniqueName="[PT Q2]" caption="PT Q2"/>
    <dimension name="PT Q3" uniqueName="[PT Q3]" caption="PT Q3"/>
    <dimension name="PT Q4" uniqueName="[PT Q4]" caption="PT Q4"/>
    <dimension name="PT Q5" uniqueName="[PT Q5]" caption="PT Q5"/>
    <dimension name="PT Q6" uniqueName="[PT Q6]" caption="PT Q6"/>
  </dimensions>
  <measureGroups count="7">
    <measureGroup name="PT Q1" caption="PT Q1"/>
    <measureGroup name="PT Q1 1" caption="PT Q1 1"/>
    <measureGroup name="PT Q2" caption="PT Q2"/>
    <measureGroup name="PT Q3" caption="PT Q3"/>
    <measureGroup name="PT Q4" caption="PT Q4"/>
    <measureGroup name="PT Q5" caption="PT Q5"/>
    <measureGroup name="PT Q6" caption="PT Q6"/>
  </measureGroups>
  <maps count="7">
    <map measureGroup="0" dimension="1"/>
    <map measureGroup="1" dimension="2"/>
    <map measureGroup="2" dimension="3"/>
    <map measureGroup="3" dimension="4"/>
    <map measureGroup="4" dimension="5"/>
    <map measureGroup="5" dimension="6"/>
    <map measureGroup="6" dimension="7"/>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Melissa Bauer" refreshedDate="44946.532991898152" createdVersion="5" refreshedVersion="5" minRefreshableVersion="3" recordCount="0" supportSubquery="1" supportAdvancedDrill="1">
  <cacheSource type="external" connectionId="8"/>
  <cacheFields count="23">
    <cacheField name="[Measures].[Count of RespondentID 6]" caption="Count of RespondentID 6" numFmtId="0" hierarchy="505" level="32767"/>
    <cacheField name="[PT Q6].[Town and ZIP code where you live:].[Town and ZIP code where you live:]" caption="Town and ZIP code where you live:" numFmtId="0" hierarchy="418" level="1">
      <sharedItems count="145">
        <s v="0"/>
        <s v="10001"/>
        <s v="11003"/>
        <s v="11231"/>
        <s v="11236"/>
        <s v="11355"/>
        <s v="11367"/>
        <s v="11372"/>
        <s v="11375"/>
        <s v="11414"/>
        <s v="11428"/>
        <s v="11429"/>
        <s v="11456"/>
        <s v="11692"/>
        <s v="22407"/>
        <s v="Albertson, 11507"/>
        <s v="Alden Manor, 11003"/>
        <s v="Allenwood, 11021"/>
        <s v="Amagansett, 11930"/>
        <s v="Amityville, 11701"/>
        <s v="Amityville, 11708"/>
        <s v="Aquebogue, 11931"/>
        <s v="Atlantic Beach, 11509"/>
        <s v="Babylon, 11702"/>
        <s v="Babylon, 11703"/>
        <s v="Babylon, 11704"/>
        <s v="Baiting Hollow, 11933"/>
        <s v="Baxter Estates, 11050"/>
        <s v="Bay Shore, 11706"/>
        <s v="Bellerose Terrace, 11001"/>
        <s v="Bellmore, 11710"/>
        <s v="Bethpage, 11714"/>
        <s v="Bohemia, 11716"/>
        <s v="Brentwood, 11717"/>
        <s v="Brightwaters, 11718"/>
        <s v="Brookville, 11545"/>
        <s v="Carle Place, 11514"/>
        <s v="Centereach, 11720"/>
        <s v="Centerport, 11721"/>
        <s v="Central Islip, 11722"/>
        <s v="Cold Spring Harbor, 11724"/>
        <s v="Commack, 11725"/>
        <s v="Copiague, 11726"/>
        <s v="Coram, 11727"/>
        <s v="Deer Park, 11729"/>
        <s v="Dix Hills, 11746"/>
        <s v="East Hills, 11576"/>
        <s v="East Islip, 11730"/>
        <s v="East Meadow, 11554"/>
        <s v="East Northport, 11731"/>
        <s v="Farmingdale, 11735"/>
        <s v="Farmingville, 11738"/>
        <s v="Floral Park, 11001"/>
        <s v="Floral Park, 11002"/>
        <s v="Franklin Square, 11010"/>
        <s v="Freeport, 11520"/>
        <s v="Garden City South, 11530"/>
        <s v="Garden City, 11530"/>
        <s v="Garden City, 11531"/>
        <s v="Garden City, 11536"/>
        <s v="Great Neck, 11026"/>
        <s v="Greenlawn, 11740"/>
        <s v="Halesite, 11743"/>
        <s v="Hauppauge, 11788"/>
        <s v="Head of the Harbor, 11780"/>
        <s v="Hempstead, 11549"/>
        <s v="Hempstead, 11550"/>
        <s v="Herricks, 11040"/>
        <s v="Hewlett Neck, 11598"/>
        <s v="Hicksville, 11801"/>
        <s v="Holtsville, 11742"/>
        <s v="Huntington Station, 11746"/>
        <s v="Huntington Station, 11747"/>
        <s v="Huntington, 11743"/>
        <s v="Islip Manor, 11751"/>
        <s v="Islip, 11751"/>
        <s v="Jericho, 11753"/>
        <s v="Kings Park, 11754"/>
        <s v="Lake Grove, 11755"/>
        <s v="Lake Ronkonkoma, 11779"/>
        <s v="Lake Success, 11020"/>
        <s v="Lakeview, 11552"/>
        <s v="Lawrence, 11559"/>
        <s v="Levittown, 11756"/>
        <s v="Lido Beach, 11561"/>
        <s v="Lindenhurst, 11757"/>
        <s v="Long Beach, 11561"/>
        <s v="Lynbrook, 11563"/>
        <s v="Malverne, 11565"/>
        <s v="Manhasset, 11030"/>
        <s v="Manorville, 11949"/>
        <s v="Massapequa Park, 11762"/>
        <s v="Massapequa, 11758"/>
        <s v="Mastic, 11950"/>
        <s v="Medford, 11763"/>
        <s v="Melville, 11747"/>
        <s v="Merrick, 11566"/>
        <s v="Middle Island, 11953"/>
        <s v="Miller Place, 11764"/>
        <s v="Mineola, 11501"/>
        <s v="Moriches, 11955"/>
        <s v="Nesconset, 11767"/>
        <s v="New Cassel, 11590"/>
        <s v="New Hyde Park, 11040"/>
        <s v="North Babylon, 11703"/>
        <s v="North Massapequa, 11758"/>
        <s v="North New Hyde Park, 11040"/>
        <s v="Northport, 11768"/>
        <s v="Oakdale, 11769"/>
        <s v="Oceanside, 11572"/>
        <s v="Patchogue, 11772"/>
        <s v="Peconic, 11958"/>
        <s v="Plainview, 11803"/>
        <s v="Port Jefferson Station, 11776"/>
        <s v="Ridge, 11961"/>
        <s v="Riverhead, 11901"/>
        <s v="Rockville Centre, 11570"/>
        <s v="Rocky Point, 11778"/>
        <s v="Ronkonkoma, 11779"/>
        <s v="Roslyn, 11576"/>
        <s v="Saint James, 11780"/>
        <s v="Sayville, 11782"/>
        <s v="Seaford, 11783"/>
        <s v="Selden, 11784"/>
        <s v="Setauket, 11733"/>
        <s v="Shirley, 11967"/>
        <s v="Smithtown, 11745"/>
        <s v="Smithtown, 11787"/>
        <s v="South Huntington, 11746"/>
        <s v="Stony Brook, 11790"/>
        <s v="Syosset, 11773"/>
        <s v="Syosset, 11791"/>
        <s v="Uniondale, 11553"/>
        <s v="Valley Stream, 11580"/>
        <s v="Wading River, 11792"/>
        <s v="Wantagh, 11793"/>
        <s v="West Babylon, 11704"/>
        <s v="West Hempstead, 11552"/>
        <s v="West Islip, 11795"/>
        <s v="West Sayville, 11796"/>
        <s v="Westbury, 11590"/>
        <s v="Williston Park, 11596"/>
        <s v="Woodbury, 11797"/>
        <s v="Woodsburgh, 11598"/>
        <s v="Yaphank, 11980"/>
      </sharedItems>
    </cacheField>
    <cacheField name="[Measures].[Count of Doctorhealth professional]" caption="Count of Doctorhealth professional" numFmtId="0" hierarchy="506" level="32767"/>
    <cacheField name="[Measures].[Count of Family or friends]" caption="Count of Family or friends" numFmtId="0" hierarchy="507" level="32767"/>
    <cacheField name="[Measures].[Count of Health Department]" caption="Count of Health Department" numFmtId="0" hierarchy="508" level="32767"/>
    <cacheField name="[Measures].[Count of Hospital]" caption="Count of Hospital" numFmtId="0" hierarchy="509" level="32767"/>
    <cacheField name="[Measures].[Count of Internet]" caption="Count of Internet" numFmtId="0" hierarchy="510" level="32767"/>
    <cacheField name="[Measures].[Count of Library]" caption="Count of Library" numFmtId="0" hierarchy="511" level="32767"/>
    <cacheField name="[Measures].[Count of Newspapermagazines]" caption="Count of Newspapermagazines" numFmtId="0" hierarchy="512" level="32767"/>
    <cacheField name="[Measures].[Count of Radio]" caption="Count of Radio" numFmtId="0" hierarchy="513" level="32767"/>
    <cacheField name="[Measures].[Count of Religious organization]" caption="Count of Religious organization" numFmtId="0" hierarchy="514" level="32767"/>
    <cacheField name="[Measures].[Count of Schoolcollege]" caption="Count of Schoolcollege" numFmtId="0" hierarchy="515" level="32767"/>
    <cacheField name="[Measures].[Count of Social Media (Facebook Twitter etc)]" caption="Count of Social Media (Facebook Twitter etc)" numFmtId="0" hierarchy="516" level="32767"/>
    <cacheField name="[Measures].[Count of Television]" caption="Count of Television" numFmtId="0" hierarchy="517" level="32767"/>
    <cacheField name="[Measures].[Count of Worksite]" caption="Count of Worksite" numFmtId="0" hierarchy="518" level="32767"/>
    <cacheField name="[PT Q6].[County where you live:].[County where you live:]" caption="County where you live:" numFmtId="0" hierarchy="417" level="1">
      <sharedItems containsSemiMixedTypes="0" containsNonDate="0" containsString="0"/>
    </cacheField>
    <cacheField name="[PT Q6].[I identify as:].[I identify as:]" caption="I identify as:" numFmtId="0" hierarchy="415" level="1">
      <sharedItems containsSemiMixedTypes="0" containsNonDate="0" containsString="0"/>
    </cacheField>
    <cacheField name="[PT Q6].[Are you Hispanic or Latino?].[Are you Hispanic or Latino?]" caption="Are you Hispanic or Latino?" numFmtId="0" hierarchy="420" level="1">
      <sharedItems containsSemiMixedTypes="0" containsNonDate="0" containsString="0"/>
    </cacheField>
    <cacheField name="[PT Q6].[What is your annual household income from all sources?].[What is your annual household income from all sources?]" caption="What is your annual household income from all sources?" numFmtId="0" hierarchy="422" level="1">
      <sharedItems containsSemiMixedTypes="0" containsNonDate="0" containsString="0"/>
    </cacheField>
    <cacheField name="[PT Q6].[What is your current employment status?].[What is your current employment status?]" caption="What is your current employment status?" numFmtId="0" hierarchy="424" level="1">
      <sharedItems containsSemiMixedTypes="0" containsNonDate="0" containsString="0"/>
    </cacheField>
    <cacheField name="[PT Q6].[What is your highest level of education?].[What is your highest level of education?]" caption="What is your highest level of education?" numFmtId="0" hierarchy="423" level="1">
      <sharedItems containsSemiMixedTypes="0" containsNonDate="0" containsString="0"/>
    </cacheField>
    <cacheField name="[PT Q6].[What race do you consider yourself?].[What race do you consider yourself?]" caption="What race do you consider yourself?" numFmtId="0" hierarchy="419" level="1">
      <sharedItems containsSemiMixedTypes="0" containsNonDate="0" containsString="0"/>
    </cacheField>
    <cacheField name="[PT Q6].[Do you currently have health insurance?].[Do you currently have health insurance?]" caption="Do you currently have health insurance?" numFmtId="0" hierarchy="425" level="1">
      <sharedItems containsSemiMixedTypes="0" containsNonDate="0" containsString="0"/>
    </cacheField>
  </cacheFields>
  <cacheHierarchies count="600">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What type of insurance do you have?]" caption="What type of insurance do you have?" attribute="1" defaultMemberUniqueName="[PT Q1].[What type of insurance do you have?].[All]" allUniqueName="[PT Q1].[What type of insurance do you have?].[All]" dimensionUniqueName="[PT Q1]" displayFolder="" count="0" memberValueDatatype="130" unbalanced="0"/>
    <cacheHierarchy uniqueName="[PT Q1].[Do you have a smartphone]" caption="Do you have a smartphone" attribute="1" defaultMemberUniqueName="[PT Q1].[Do you have a smartphone].[All]" allUniqueName="[PT Q1].[Do you have a smartphone].[All]" dimensionUniqueName="[PT Q1]" displayFolder="" count="0" memberValueDatatype="130" unbalanced="0"/>
    <cacheHierarchy uniqueName="[PT Q1].[Woman Flag]" caption="Woman Flag" attribute="1" defaultMemberUniqueName="[PT Q1].[Woman Flag].[All]" allUniqueName="[PT Q1].[Woman Flag].[All]" dimensionUniqueName="[PT Q1]" displayFolder="" count="0" memberValueDatatype="20" unbalanced="0"/>
    <cacheHierarchy uniqueName="[PT Q1].[Man Flag]" caption="Man Flag" attribute="1" defaultMemberUniqueName="[PT Q1].[Man Flag].[All]" allUniqueName="[PT Q1].[Man Flag].[All]" dimensionUniqueName="[PT Q1]" displayFolder="" count="0" memberValueDatatype="20" unbalanced="0"/>
    <cacheHierarchy uniqueName="[PT Q1].[Transgender Flag]" caption="Transgender Flag" attribute="1" defaultMemberUniqueName="[PT Q1].[Transgender Flag].[All]" allUniqueName="[PT Q1].[Transgender Flag].[All]" dimensionUniqueName="[PT Q1]" displayFolder="" count="0" memberValueDatatype="20" unbalanced="0"/>
    <cacheHierarchy uniqueName="[PT Q1].[Other Gender Flag]" caption="Other Gender Flag" attribute="1" defaultMemberUniqueName="[PT Q1].[Other Gender Flag].[All]" allUniqueName="[PT Q1].[Other Gender Flag].[All]" dimensionUniqueName="[PT Q1]" displayFolder="" count="0" memberValueDatatype="20" unbalanced="0"/>
    <cacheHierarchy uniqueName="[PT Q1].[Hispanic Flag]" caption="Hispanic Flag" attribute="1" defaultMemberUniqueName="[PT Q1].[Hispanic Flag].[All]" allUniqueName="[PT Q1].[Hispanic Flag].[All]" dimensionUniqueName="[PT Q1]" displayFolder="" count="0" memberValueDatatype="20" unbalanced="0"/>
    <cacheHierarchy uniqueName="[PT Q1].[White Flag]" caption="White Flag" attribute="1" defaultMemberUniqueName="[PT Q1].[White Flag].[All]" allUniqueName="[PT Q1].[White Flag].[All]" dimensionUniqueName="[PT Q1]" displayFolder="" count="0" memberValueDatatype="20" unbalanced="0"/>
    <cacheHierarchy uniqueName="[PT Q1].[Black or African American Flag]" caption="Black or African American Flag" attribute="1" defaultMemberUniqueName="[PT Q1].[Black or African American Flag].[All]" allUniqueName="[PT Q1].[Black or African American Flag].[All]" dimensionUniqueName="[PT Q1]" displayFolder="" count="0" memberValueDatatype="20" unbalanced="0"/>
    <cacheHierarchy uniqueName="[PT Q1].[Native Hawaiian and Other Pacific Islander Flag]" caption="Native Hawaiian and Other Pacific Islander Flag" attribute="1" defaultMemberUniqueName="[PT Q1].[Native Hawaiian and Other Pacific Islander Flag].[All]" allUniqueName="[PT Q1].[Native Hawaiian and Other Pacific Islander Flag].[All]" dimensionUniqueName="[PT Q1]" displayFolder="" count="0" memberValueDatatype="20" unbalanced="0"/>
    <cacheHierarchy uniqueName="[PT Q1].[American Indian and Alaska Native Flag]" caption="American Indian and Alaska Native Flag" attribute="1" defaultMemberUniqueName="[PT Q1].[American Indian and Alaska Native Flag].[All]" allUniqueName="[PT Q1].[American Indian and Alaska Native Flag].[All]" dimensionUniqueName="[PT Q1]" displayFolder="" count="0" memberValueDatatype="20" unbalanced="0"/>
    <cacheHierarchy uniqueName="[PT Q1].[Two or more races Flag]" caption="Two or more races Flag" attribute="1" defaultMemberUniqueName="[PT Q1].[Two or more races Flag].[All]" allUniqueName="[PT Q1].[Two or more races Flag].[All]" dimensionUniqueName="[PT Q1]" displayFolder="" count="0" memberValueDatatype="20" unbalanced="0"/>
    <cacheHierarchy uniqueName="[PT Q1].[Other Race Flag]" caption="Other Race Flag" attribute="1" defaultMemberUniqueName="[PT Q1].[Other Race Flag].[All]" allUniqueName="[PT Q1].[Other Race Flag].[All]" dimensionUniqueName="[PT Q1]" displayFolder="" count="0" memberValueDatatype="20" unbalanced="0"/>
    <cacheHierarchy uniqueName="[PT Q1].[$0-$19,999 Flag]" caption="$0-$19,999 Flag" attribute="1" defaultMemberUniqueName="[PT Q1].[$0-$19,999 Flag].[All]" allUniqueName="[PT Q1].[$0-$19,999 Flag].[All]" dimensionUniqueName="[PT Q1]" displayFolder="" count="0" memberValueDatatype="20" unbalanced="0"/>
    <cacheHierarchy uniqueName="[PT Q1].[$20,000 to $34,999 Flag]" caption="$20,000 to $34,999 Flag" attribute="1" defaultMemberUniqueName="[PT Q1].[$20,000 to $34,999 Flag].[All]" allUniqueName="[PT Q1].[$20,000 to $34,999 Flag].[All]" dimensionUniqueName="[PT Q1]" displayFolder="" count="0" memberValueDatatype="20" unbalanced="0"/>
    <cacheHierarchy uniqueName="[PT Q1].[$35,000 to $49,999 Flag]" caption="$35,000 to $49,999 Flag" attribute="1" defaultMemberUniqueName="[PT Q1].[$35,000 to $49,999 Flag].[All]" allUniqueName="[PT Q1].[$35,000 to $49,999 Flag].[All]" dimensionUniqueName="[PT Q1]" displayFolder="" count="0" memberValueDatatype="20" unbalanced="0"/>
    <cacheHierarchy uniqueName="[PT Q1].[$50,000 to $74,999 Flag]" caption="$50,000 to $74,999 Flag" attribute="1" defaultMemberUniqueName="[PT Q1].[$50,000 to $74,999 Flag].[All]" allUniqueName="[PT Q1].[$50,000 to $74,999 Flag].[All]" dimensionUniqueName="[PT Q1]" displayFolder="" count="0" memberValueDatatype="20" unbalanced="0"/>
    <cacheHierarchy uniqueName="[PT Q1].[$75,000 to $125,000 Flag]" caption="$75,000 to $125,000 Flag" attribute="1" defaultMemberUniqueName="[PT Q1].[$75,000 to $125,000 Flag].[All]" allUniqueName="[PT Q1].[$75,000 to $125,000 Flag].[All]" dimensionUniqueName="[PT Q1]" displayFolder="" count="0" memberValueDatatype="20" unbalanced="0"/>
    <cacheHierarchy uniqueName="[PT Q1].[Over $125,000 Flag]" caption="Over $125,000 Flag" attribute="1" defaultMemberUniqueName="[PT Q1].[Over $125,000 Flag].[All]" allUniqueName="[PT Q1].[Over $125,000 Flag].[All]" dimensionUniqueName="[PT Q1]" displayFolder="" count="0" memberValueDatatype="20" unbalanced="0"/>
    <cacheHierarchy uniqueName="[PT Q1].[18 TO 24 Flag]" caption="18 TO 24 Flag" attribute="1" defaultMemberUniqueName="[PT Q1].[18 TO 24 Flag].[All]" allUniqueName="[PT Q1].[18 TO 24 Flag].[All]" dimensionUniqueName="[PT Q1]" displayFolder="" count="0" memberValueDatatype="20" unbalanced="0"/>
    <cacheHierarchy uniqueName="[PT Q1].[25 to 34 Flag]" caption="25 to 34 Flag" attribute="1" defaultMemberUniqueName="[PT Q1].[25 to 34 Flag].[All]" allUniqueName="[PT Q1].[25 to 34 Flag].[All]" dimensionUniqueName="[PT Q1]" displayFolder="" count="0" memberValueDatatype="20" unbalanced="0"/>
    <cacheHierarchy uniqueName="[PT Q1].[35 to 44 Flag]" caption="35 to 44 Flag" attribute="1" defaultMemberUniqueName="[PT Q1].[35 to 44 Flag].[All]" allUniqueName="[PT Q1].[35 to 44 Flag].[All]" dimensionUniqueName="[PT Q1]" displayFolder="" count="0" memberValueDatatype="20" unbalanced="0"/>
    <cacheHierarchy uniqueName="[PT Q1].[45 to 54 Flag]" caption="45 to 54 Flag" attribute="1" defaultMemberUniqueName="[PT Q1].[45 to 54 Flag].[All]" allUniqueName="[PT Q1].[45 to 54 Flag].[All]" dimensionUniqueName="[PT Q1]" displayFolder="" count="0" memberValueDatatype="20" unbalanced="0"/>
    <cacheHierarchy uniqueName="[PT Q1].[55 to 64 Flag]" caption="55 to 64 Flag" attribute="1" defaultMemberUniqueName="[PT Q1].[55 to 64 Flag].[All]" allUniqueName="[PT Q1].[55 to 64 Flag].[All]" dimensionUniqueName="[PT Q1]" displayFolder="" count="0" memberValueDatatype="20" unbalanced="0"/>
    <cacheHierarchy uniqueName="[PT Q1].[65 Plus Flag]" caption="65 Plus Flag" attribute="1" defaultMemberUniqueName="[PT Q1].[65 Plus Flag].[All]" allUniqueName="[PT Q1].[65 Plus Flag].[All]" dimensionUniqueName="[PT Q1]" displayFolder="" count="0" memberValueDatatype="20" unbalanced="0"/>
    <cacheHierarchy uniqueName="[PT Q1].[K-8 grade Flag]" caption="K-8 grade Flag" attribute="1" defaultMemberUniqueName="[PT Q1].[K-8 grade Flag].[All]" allUniqueName="[PT Q1].[K-8 grade Flag].[All]" dimensionUniqueName="[PT Q1]" displayFolder="" count="0" memberValueDatatype="20" unbalanced="0"/>
    <cacheHierarchy uniqueName="[PT Q1].[Some High School Flag]" caption="Some High School Flag" attribute="1" defaultMemberUniqueName="[PT Q1].[Some High School Flag].[All]" allUniqueName="[PT Q1].[Some High School Flag].[All]" dimensionUniqueName="[PT Q1]" displayFolder="" count="0" memberValueDatatype="20" unbalanced="0"/>
    <cacheHierarchy uniqueName="[PT Q1].[High School Graduate Flag]" caption="High School Graduate Flag" attribute="1" defaultMemberUniqueName="[PT Q1].[High School Graduate Flag].[All]" allUniqueName="[PT Q1].[High School Graduate Flag].[All]" dimensionUniqueName="[PT Q1]" displayFolder="" count="0" memberValueDatatype="20" unbalanced="0"/>
    <cacheHierarchy uniqueName="[PT Q1].[Technical School Flag]" caption="Technical School Flag" attribute="1" defaultMemberUniqueName="[PT Q1].[Technical School Flag].[All]" allUniqueName="[PT Q1].[Technical School Flag].[All]" dimensionUniqueName="[PT Q1]" displayFolder="" count="0" memberValueDatatype="20" unbalanced="0"/>
    <cacheHierarchy uniqueName="[PT Q1].[Some College Flag]" caption="Some College Flag" attribute="1" defaultMemberUniqueName="[PT Q1].[Some College Flag].[All]" allUniqueName="[PT Q1].[Some College Flag].[All]" dimensionUniqueName="[PT Q1]" displayFolder="" count="0" memberValueDatatype="20" unbalanced="0"/>
    <cacheHierarchy uniqueName="[PT Q1].[College Graduate Flag]" caption="College Graduate Flag" attribute="1" defaultMemberUniqueName="[PT Q1].[College Graduate Flag].[All]" allUniqueName="[PT Q1].[College Graduate Flag].[All]" dimensionUniqueName="[PT Q1]" displayFolder="" count="0" memberValueDatatype="20" unbalanced="0"/>
    <cacheHierarchy uniqueName="[PT Q1].[Graduate School Flag]" caption="Graduate School Flag" attribute="1" defaultMemberUniqueName="[PT Q1].[Graduate School Flag].[All]" allUniqueName="[PT Q1].[Graduate School Flag].[All]" dimensionUniqueName="[PT Q1]" displayFolder="" count="0" memberValueDatatype="20" unbalanced="0"/>
    <cacheHierarchy uniqueName="[PT Q1].[Doctorate Flag]" caption="Doctorate Flag" attribute="1" defaultMemberUniqueName="[PT Q1].[Doctorate Flag].[All]" allUniqueName="[PT Q1].[Doctorate Flag].[All]" dimensionUniqueName="[PT Q1]" displayFolder="" count="0" memberValueDatatype="20" unbalanced="0"/>
    <cacheHierarchy uniqueName="[PT Q1].[GED Flag]" caption="GED Flag" attribute="1" defaultMemberUniqueName="[PT Q1].[GED Flag].[All]" allUniqueName="[PT Q1].[GED Flag].[All]" dimensionUniqueName="[PT Q1]" displayFolder="" count="0" memberValueDatatype="20" unbalanced="0"/>
    <cacheHierarchy uniqueName="[PT Q1].[Employed for Wages Flag]" caption="Employed for Wages Flag" attribute="1" defaultMemberUniqueName="[PT Q1].[Employed for Wages Flag].[All]" allUniqueName="[PT Q1].[Employed for Wages Flag].[All]" dimensionUniqueName="[PT Q1]" displayFolder="" count="0" memberValueDatatype="20" unbalanced="0"/>
    <cacheHierarchy uniqueName="[PT Q1].[Self-employed Flag]" caption="Self-employed Flag" attribute="1" defaultMemberUniqueName="[PT Q1].[Self-employed Flag].[All]" allUniqueName="[PT Q1].[Self-employed Flag].[All]" dimensionUniqueName="[PT Q1]" displayFolder="" count="0" memberValueDatatype="20" unbalanced="0"/>
    <cacheHierarchy uniqueName="[PT Q1].[Student Flag]" caption="Student Flag" attribute="1" defaultMemberUniqueName="[PT Q1].[Student Flag].[All]" allUniqueName="[PT Q1].[Student Flag].[All]" dimensionUniqueName="[PT Q1]" displayFolder="" count="0" memberValueDatatype="20" unbalanced="0"/>
    <cacheHierarchy uniqueName="[PT Q1].[Retired Flag]" caption="Retired Flag" attribute="1" defaultMemberUniqueName="[PT Q1].[Retired Flag].[All]" allUniqueName="[PT Q1].[Retired Flag].[All]" dimensionUniqueName="[PT Q1]" displayFolder="" count="0" memberValueDatatype="20" unbalanced="0"/>
    <cacheHierarchy uniqueName="[PT Q1].[Military Flag]" caption="Military Flag" attribute="1" defaultMemberUniqueName="[PT Q1].[Military Flag].[All]" allUniqueName="[PT Q1].[Military Flag].[All]" dimensionUniqueName="[PT Q1]" displayFolder="" count="0" memberValueDatatype="20" unbalanced="0"/>
    <cacheHierarchy uniqueName="[PT Q1].[Out of Work and Looking Flag]" caption="Out of Work and Looking Flag" attribute="1" defaultMemberUniqueName="[PT Q1].[Out of Work and Looking Flag].[All]" allUniqueName="[PT Q1].[Out of Work and Looking Flag].[All]" dimensionUniqueName="[PT Q1]" displayFolder="" count="0" memberValueDatatype="20" unbalanced="0"/>
    <cacheHierarchy uniqueName="[PT Q1].[Out of Work Not Looking Flag]" caption="Out of Work Not Looking Flag" attribute="1" defaultMemberUniqueName="[PT Q1].[Out of Work Not Looking Flag].[All]" allUniqueName="[PT Q1].[Out of Work Not Looking Flag].[All]" dimensionUniqueName="[PT Q1]" displayFolder="" count="0" memberValueDatatype="20" unbalanced="0"/>
    <cacheHierarchy uniqueName="[PT Q1].[Health Insurance Yes Flag]" caption="Health Insurance Yes Flag" attribute="1" defaultMemberUniqueName="[PT Q1].[Health Insurance Yes Flag].[All]" allUniqueName="[PT Q1].[Health Insurance Yes Flag].[All]" dimensionUniqueName="[PT Q1]" displayFolder="" count="0" memberValueDatatype="20" unbalanced="0"/>
    <cacheHierarchy uniqueName="[PT Q1].[Health Insurance No Flag]" caption="Health Insurance No Flag" attribute="1" defaultMemberUniqueName="[PT Q1].[Health Insurance No Flag].[All]" allUniqueName="[PT Q1].[Health Insurance No Flag].[All]" dimensionUniqueName="[PT Q1]" displayFolder="" count="0" memberValueDatatype="20" unbalanced="0"/>
    <cacheHierarchy uniqueName="[PT Q1].[Health Insurance In the Past Flag]" caption="Health Insurance In the Past Flag" attribute="1" defaultMemberUniqueName="[PT Q1].[Health Insurance In the Past Flag].[All]" allUniqueName="[PT Q1].[Health Insurance In the Past Flag].[All]" dimensionUniqueName="[PT Q1]" displayFolder="" count="0" memberValueDatatype="20" unbalanced="0"/>
    <cacheHierarchy uniqueName="[PT Q1].[Medicare Flag]" caption="Medicare Flag" attribute="1" defaultMemberUniqueName="[PT Q1].[Medicare Flag].[All]" allUniqueName="[PT Q1].[Medicare Flag].[All]" dimensionUniqueName="[PT Q1]" displayFolder="" count="0" memberValueDatatype="20" unbalanced="0"/>
    <cacheHierarchy uniqueName="[PT Q1].[Medicaid Flag]" caption="Medicaid Flag" attribute="1" defaultMemberUniqueName="[PT Q1].[Medicaid Flag].[All]" allUniqueName="[PT Q1].[Medicaid Flag].[All]" dimensionUniqueName="[PT Q1]" displayFolder="" count="0" memberValueDatatype="20" unbalanced="0"/>
    <cacheHierarchy uniqueName="[PT Q1].[Private/Commercial Flag]" caption="Private/Commercial Flag" attribute="1" defaultMemberUniqueName="[PT Q1].[Private/Commercial Flag].[All]" allUniqueName="[PT Q1].[Private/Commercial Flag].[All]" dimensionUniqueName="[PT Q1]" displayFolder="" count="0" memberValueDatatype="20" unbalanced="0"/>
    <cacheHierarchy uniqueName="[PT Q1].[No Insurance Flag]" caption="No Insurance Flag" attribute="1" defaultMemberUniqueName="[PT Q1].[No Insurance Flag].[All]" allUniqueName="[PT Q1].[No Insurance Flag].[All]" dimensionUniqueName="[PT Q1]" displayFolder="" count="0" memberValueDatatype="20" unbalanced="0"/>
    <cacheHierarchy uniqueName="[PT Q1 1].[RespondentID]" caption="RespondentID" attribute="1" defaultMemberUniqueName="[PT Q1 1].[RespondentID].[All]" allUniqueName="[PT Q1 1].[RespondentID].[All]" dimensionUniqueName="[PT Q1 1]" displayFolder="" count="0" memberValueDatatype="5" unbalanced="0"/>
    <cacheHierarchy uniqueName="[PT Q1 1].[Asthma/lung disease]" caption="Asthma/lung disease" attribute="1" defaultMemberUniqueName="[PT Q1 1].[Asthma/lung disease].[All]" allUniqueName="[PT Q1 1].[Asthma/lung disease].[All]" dimensionUniqueName="[PT Q1 1]" displayFolder="" count="0" memberValueDatatype="130" unbalanced="0"/>
    <cacheHierarchy uniqueName="[PT Q1 1].[Cancer]" caption="Cancer" attribute="1" defaultMemberUniqueName="[PT Q1 1].[Cancer].[All]" allUniqueName="[PT Q1 1].[Cancer].[All]" dimensionUniqueName="[PT Q1 1]" displayFolder="" count="0" memberValueDatatype="130" unbalanced="0"/>
    <cacheHierarchy uniqueName="[PT Q1 1].[Heart disease &amp; stroke]" caption="Heart disease &amp; stroke" attribute="1" defaultMemberUniqueName="[PT Q1 1].[Heart disease &amp; stroke].[All]" allUniqueName="[PT Q1 1].[Heart disease &amp; stroke].[All]" dimensionUniqueName="[PT Q1 1]" displayFolder="" count="0" memberValueDatatype="130" unbalanced="0"/>
    <cacheHierarchy uniqueName="[PT Q1 1].[Safety]" caption="Safety" attribute="1" defaultMemberUniqueName="[PT Q1 1].[Safety].[All]" allUniqueName="[PT Q1 1].[Safety].[All]" dimensionUniqueName="[PT Q1 1]" displayFolder="" count="0" memberValueDatatype="130" unbalanced="0"/>
    <cacheHierarchy uniqueName="[PT Q1 1].[HIV/AIDS &amp; Sexually Transmitted Diseases (STDs)]" caption="HIV/AIDS &amp; Sexually Transmitted Diseases (STDs)" attribute="1" defaultMemberUniqueName="[PT Q1 1].[HIV/AIDS &amp; Sexually Transmitted Diseases (STDs)].[All]" allUniqueName="[PT Q1 1].[HIV/AIDS &amp; Sexually Transmitted Diseases (STDs)].[All]" dimensionUniqueName="[PT Q1 1]" displayFolder="" count="0" memberValueDatatype="130" unbalanced="0"/>
    <cacheHierarchy uniqueName="[PT Q1 1].[Vaccine preventable diseases]" caption="Vaccine preventable diseases" attribute="1" defaultMemberUniqueName="[PT Q1 1].[Vaccine preventable diseases].[All]" allUniqueName="[PT Q1 1].[Vaccine preventable diseases].[All]" dimensionUniqueName="[PT Q1 1]" displayFolder="" count="0" memberValueDatatype="130" unbalanced="0"/>
    <cacheHierarchy uniqueName="[PT Q1 1].[Child health &amp; wellness]" caption="Child health &amp; wellness" attribute="1" defaultMemberUniqueName="[PT Q1 1].[Child health &amp; wellness].[All]" allUniqueName="[PT Q1 1].[Child health &amp; wellness].[All]" dimensionUniqueName="[PT Q1 1]" displayFolder="" count="0" memberValueDatatype="130" unbalanced="0"/>
    <cacheHierarchy uniqueName="[PT Q1 1].[Women’s health &amp; wellness]" caption="Women’s health &amp; wellness" attribute="1" defaultMemberUniqueName="[PT Q1 1].[Women’s health &amp; wellness].[All]" allUniqueName="[PT Q1 1].[Women’s health &amp; wellness].[All]" dimensionUniqueName="[PT Q1 1]" displayFolder="" count="0" memberValueDatatype="130" unbalanced="0"/>
    <cacheHierarchy uniqueName="[PT Q1 1].[Diabetes]" caption="Diabetes" attribute="1" defaultMemberUniqueName="[PT Q1 1].[Diabetes].[All]" allUniqueName="[PT Q1 1].[Diabetes].[All]" dimensionUniqueName="[PT Q1 1]" displayFolder="" count="0" memberValueDatatype="130" unbalanced="0"/>
    <cacheHierarchy uniqueName="[PT Q1 1].[Mental health depression/suicide]" caption="Mental health depression/suicide" attribute="1" defaultMemberUniqueName="[PT Q1 1].[Mental health depression/suicide].[All]" allUniqueName="[PT Q1 1].[Mental health depression/suicide].[All]" dimensionUniqueName="[PT Q1 1]" displayFolder="" count="0" memberValueDatatype="130" unbalanced="0"/>
    <cacheHierarchy uniqueName="[PT Q1 1].[Drugs &amp; alcohol abuse]" caption="Drugs &amp; alcohol abuse" attribute="1" defaultMemberUniqueName="[PT Q1 1].[Drugs &amp; alcohol abuse].[All]" allUniqueName="[PT Q1 1].[Drugs &amp; alcohol abuse].[All]" dimensionUniqueName="[PT Q1 1]" displayFolder="" count="0" memberValueDatatype="130" unbalanced="0"/>
    <cacheHierarchy uniqueName="[PT Q1 1].[Environmental hazards]" caption="Environmental hazards" attribute="1" defaultMemberUniqueName="[PT Q1 1].[Environmental hazards].[All]" allUniqueName="[PT Q1 1].[Environmental hazards].[All]" dimensionUniqueName="[PT Q1 1]" displayFolder="" count="0" memberValueDatatype="130" unbalanced="0"/>
    <cacheHierarchy uniqueName="[PT Q1 1].[Obesity/weight loss issues]" caption="Obesity/weight loss issues" attribute="1" defaultMemberUniqueName="[PT Q1 1].[Obesity/weight loss issues].[All]" allUniqueName="[PT Q1 1].[Obesity/weight loss issues].[All]" dimensionUniqueName="[PT Q1 1]" displayFolder="" count="0" memberValueDatatype="130" unbalanced="0"/>
    <cacheHierarchy uniqueName="[PT Q1 1].[Column1]" caption="Column1" attribute="1" defaultMemberUniqueName="[PT Q1 1].[Column1].[All]" allUniqueName="[PT Q1 1].[Column1].[All]" dimensionUniqueName="[PT Q1 1]" displayFolder="" count="0" memberValueDatatype="130" unbalanced="0"/>
    <cacheHierarchy uniqueName="[PT Q1 1].[Count of Selection]" caption="Count of Selection" attribute="1" defaultMemberUniqueName="[PT Q1 1].[Count of Selection].[All]" allUniqueName="[PT Q1 1].[Count of Selection].[All]" dimensionUniqueName="[PT Q1 1]" displayFolder="" count="0" memberValueDatatype="20" unbalanced="0"/>
    <cacheHierarchy uniqueName="[PT Q1 1].[Weight]" caption="Weight" attribute="1" defaultMemberUniqueName="[PT Q1 1].[Weight].[All]" allUniqueName="[PT Q1 1].[Weight].[All]" dimensionUniqueName="[PT Q1 1]" displayFolder="" count="0" memberValueDatatype="130" unbalanced="0"/>
    <cacheHierarchy uniqueName="[PT Q1 1].[Column2]" caption="Column2" attribute="1" defaultMemberUniqueName="[PT Q1 1].[Column2].[All]" allUniqueName="[PT Q1 1].[Column2].[All]" dimensionUniqueName="[PT Q1 1]" displayFolder="" count="0" memberValueDatatype="130" unbalanced="0"/>
    <cacheHierarchy uniqueName="[PT Q1 1].[Asthma/lung disease3]" caption="Asthma/lung disease3" attribute="1" defaultMemberUniqueName="[PT Q1 1].[Asthma/lung disease3].[All]" allUniqueName="[PT Q1 1].[Asthma/lung disease3].[All]" dimensionUniqueName="[PT Q1 1]" displayFolder="" count="0" memberValueDatatype="5" unbalanced="0"/>
    <cacheHierarchy uniqueName="[PT Q1 1].[Cancer4]" caption="Cancer4" attribute="1" defaultMemberUniqueName="[PT Q1 1].[Cancer4].[All]" allUniqueName="[PT Q1 1].[Cancer4].[All]" dimensionUniqueName="[PT Q1 1]" displayFolder="" count="0" memberValueDatatype="5" unbalanced="0"/>
    <cacheHierarchy uniqueName="[PT Q1 1].[Heart disease &amp; stroke5]" caption="Heart disease &amp; stroke5" attribute="1" defaultMemberUniqueName="[PT Q1 1].[Heart disease &amp; stroke5].[All]" allUniqueName="[PT Q1 1].[Heart disease &amp; stroke5].[All]" dimensionUniqueName="[PT Q1 1]" displayFolder="" count="0" memberValueDatatype="5" unbalanced="0"/>
    <cacheHierarchy uniqueName="[PT Q1 1].[Safety6]" caption="Safety6" attribute="1" defaultMemberUniqueName="[PT Q1 1].[Safety6].[All]" allUniqueName="[PT Q1 1].[Safety6].[All]" dimensionUniqueName="[PT Q1 1]" displayFolder="" count="0" memberValueDatatype="5" unbalanced="0"/>
    <cacheHierarchy uniqueName="[PT Q1 1].[HIV/AIDS &amp; Sexually Transmitted Diseases (STDs)7]" caption="HIV/AIDS &amp; Sexually Transmitted Diseases (STDs)7" attribute="1" defaultMemberUniqueName="[PT Q1 1].[HIV/AIDS &amp; Sexually Transmitted Diseases (STDs)7].[All]" allUniqueName="[PT Q1 1].[HIV/AIDS &amp; Sexually Transmitted Diseases (STDs)7].[All]" dimensionUniqueName="[PT Q1 1]" displayFolder="" count="0" memberValueDatatype="5" unbalanced="0"/>
    <cacheHierarchy uniqueName="[PT Q1 1].[Vaccine preventable diseases8]" caption="Vaccine preventable diseases8" attribute="1" defaultMemberUniqueName="[PT Q1 1].[Vaccine preventable diseases8].[All]" allUniqueName="[PT Q1 1].[Vaccine preventable diseases8].[All]" dimensionUniqueName="[PT Q1 1]" displayFolder="" count="0" memberValueDatatype="5" unbalanced="0"/>
    <cacheHierarchy uniqueName="[PT Q1 1].[Child health &amp; wellness9]" caption="Child health &amp; wellness9" attribute="1" defaultMemberUniqueName="[PT Q1 1].[Child health &amp; wellness9].[All]" allUniqueName="[PT Q1 1].[Child health &amp; wellness9].[All]" dimensionUniqueName="[PT Q1 1]" displayFolder="" count="0" memberValueDatatype="5" unbalanced="0"/>
    <cacheHierarchy uniqueName="[PT Q1 1].[Women’s health &amp; wellness10]" caption="Women’s health &amp; wellness10" attribute="1" defaultMemberUniqueName="[PT Q1 1].[Women’s health &amp; wellness10].[All]" allUniqueName="[PT Q1 1].[Women’s health &amp; wellness10].[All]" dimensionUniqueName="[PT Q1 1]" displayFolder="" count="0" memberValueDatatype="5" unbalanced="0"/>
    <cacheHierarchy uniqueName="[PT Q1 1].[Diabetes11]" caption="Diabetes11" attribute="1" defaultMemberUniqueName="[PT Q1 1].[Diabetes11].[All]" allUniqueName="[PT Q1 1].[Diabetes11].[All]" dimensionUniqueName="[PT Q1 1]" displayFolder="" count="0" memberValueDatatype="5" unbalanced="0"/>
    <cacheHierarchy uniqueName="[PT Q1 1].[Mental health depression/suicide12]" caption="Mental health depression/suicide12" attribute="1" defaultMemberUniqueName="[PT Q1 1].[Mental health depression/suicide12].[All]" allUniqueName="[PT Q1 1].[Mental health depression/suicide12].[All]" dimensionUniqueName="[PT Q1 1]" displayFolder="" count="0" memberValueDatatype="5" unbalanced="0"/>
    <cacheHierarchy uniqueName="[PT Q1 1].[Drugs &amp; alcohol abuse13]" caption="Drugs &amp; alcohol abuse13" attribute="1" defaultMemberUniqueName="[PT Q1 1].[Drugs &amp; alcohol abuse13].[All]" allUniqueName="[PT Q1 1].[Drugs &amp; alcohol abuse13].[All]" dimensionUniqueName="[PT Q1 1]" displayFolder="" count="0" memberValueDatatype="5" unbalanced="0"/>
    <cacheHierarchy uniqueName="[PT Q1 1].[Environmental hazards14]" caption="Environmental hazards14" attribute="1" defaultMemberUniqueName="[PT Q1 1].[Environmental hazards14].[All]" allUniqueName="[PT Q1 1].[Environmental hazards14].[All]" dimensionUniqueName="[PT Q1 1]" displayFolder="" count="0" memberValueDatatype="5" unbalanced="0"/>
    <cacheHierarchy uniqueName="[PT Q1 1].[Obesity/weight loss issues15]" caption="Obesity/weight loss issues15" attribute="1" defaultMemberUniqueName="[PT Q1 1].[Obesity/weight loss issues15].[All]" allUniqueName="[PT Q1 1].[Obesity/weight loss issues15].[All]" dimensionUniqueName="[PT Q1 1]" displayFolder="" count="0" memberValueDatatype="5" unbalanced="0"/>
    <cacheHierarchy uniqueName="[PT Q1 1].[Column3]" caption="Column3" attribute="1" defaultMemberUniqueName="[PT Q1 1].[Column3].[All]" allUniqueName="[PT Q1 1].[Column3].[All]" dimensionUniqueName="[PT Q1 1]" displayFolder="" count="0" memberValueDatatype="130" unbalanced="0"/>
    <cacheHierarchy uniqueName="[PT Q1 1].[Column4]" caption="Column4" attribute="1" defaultMemberUniqueName="[PT Q1 1].[Column4].[All]" allUniqueName="[PT Q1 1].[Column4].[All]" dimensionUniqueName="[PT Q1 1]" displayFolder="" count="0" memberValueDatatype="130" unbalanced="0"/>
    <cacheHierarchy uniqueName="[PT Q1 1].[Observed]" caption="Observed" attribute="1" defaultMemberUniqueName="[PT Q1 1].[Observed].[All]" allUniqueName="[PT Q1 1].[Observed].[All]" dimensionUniqueName="[PT Q1 1]" displayFolder="" count="0" memberValueDatatype="5" unbalanced="0"/>
    <cacheHierarchy uniqueName="[PT Q1 1].[Expected]" caption="Expected" attribute="1" defaultMemberUniqueName="[PT Q1 1].[Expected].[All]" allUniqueName="[PT Q1 1].[Expected].[All]" dimensionUniqueName="[PT Q1 1]" displayFolder="" count="0" memberValueDatatype="20" unbalanced="0"/>
    <cacheHierarchy uniqueName="[PT Q1 1].[Column18]" caption="Column18" attribute="1" defaultMemberUniqueName="[PT Q1 1].[Column18].[All]" allUniqueName="[PT Q1 1].[Column18].[All]" dimensionUniqueName="[PT Q1 1]" displayFolder="" count="0" memberValueDatatype="130" unbalanced="0"/>
    <cacheHierarchy uniqueName="[PT Q1 1].[Column5]" caption="Column5" attribute="1" defaultMemberUniqueName="[PT Q1 1].[Column5].[All]" allUniqueName="[PT Q1 1].[Column5].[All]" dimensionUniqueName="[PT Q1 1]" displayFolder="" count="0" memberValueDatatype="130" unbalanced="0"/>
    <cacheHierarchy uniqueName="[PT Q1 1].[I identify as:]" caption="I identify as:" attribute="1" defaultMemberUniqueName="[PT Q1 1].[I identify as:].[All]" allUniqueName="[PT Q1 1].[I identify as:].[All]" dimensionUniqueName="[PT Q1 1]" displayFolder="" count="0" memberValueDatatype="130" unbalanced="0"/>
    <cacheHierarchy uniqueName="[PT Q1 1].[What is your age?]" caption="What is your age?" attribute="1" defaultMemberUniqueName="[PT Q1 1].[What is your age?].[All]" allUniqueName="[PT Q1 1].[What is your age?].[All]" dimensionUniqueName="[PT Q1 1]" displayFolder="" count="0" memberValueDatatype="20" unbalanced="0"/>
    <cacheHierarchy uniqueName="[PT Q1 1].[County where you live:]" caption="County where you live:" attribute="1" defaultMemberUniqueName="[PT Q1 1].[County where you live:].[All]" allUniqueName="[PT Q1 1].[County where you live:].[All]" dimensionUniqueName="[PT Q1 1]" displayFolder="" count="0" memberValueDatatype="130" unbalanced="0"/>
    <cacheHierarchy uniqueName="[PT Q1 1].[Town and ZIP code where you live:]" caption="Town and ZIP code where you live:" attribute="1" defaultMemberUniqueName="[PT Q1 1].[Town and ZIP code where you live:].[All]" allUniqueName="[PT Q1 1].[Town and ZIP code where you live:].[All]" dimensionUniqueName="[PT Q1 1]" displayFolder="" count="0" memberValueDatatype="130" unbalanced="0"/>
    <cacheHierarchy uniqueName="[PT Q1 1].[What race do you consider yourself?]" caption="What race do you consider yourself?" attribute="1" defaultMemberUniqueName="[PT Q1 1].[What race do you consider yourself?].[All]" allUniqueName="[PT Q1 1].[What race do you consider yourself?].[All]" dimensionUniqueName="[PT Q1 1]" displayFolder="" count="0" memberValueDatatype="130" unbalanced="0"/>
    <cacheHierarchy uniqueName="[PT Q1 1].[Are you Hispanic or Latino?]" caption="Are you Hispanic or Latino?" attribute="1" defaultMemberUniqueName="[PT Q1 1].[Are you Hispanic or Latino?].[All]" allUniqueName="[PT Q1 1].[Are you Hispanic or Latino?].[All]" dimensionUniqueName="[PT Q1 1]" displayFolder="" count="0" memberValueDatatype="130" unbalanced="0"/>
    <cacheHierarchy uniqueName="[PT Q1 1].[What language do you speak when you are at home (select all that apply)]" caption="What language do you speak when you are at home (select all that apply)" attribute="1" defaultMemberUniqueName="[PT Q1 1].[What language do you speak when you are at home (select all that apply)].[All]" allUniqueName="[PT Q1 1].[What language do you speak when you are at home (select all that apply)].[All]" dimensionUniqueName="[PT Q1 1]" displayFolder="" count="0" memberValueDatatype="130" unbalanced="0"/>
    <cacheHierarchy uniqueName="[PT Q1 1].[What is your annual household income from all sources?]" caption="What is your annual household income from all sources?" attribute="1" defaultMemberUniqueName="[PT Q1 1].[What is your annual household income from all sources?].[All]" allUniqueName="[PT Q1 1].[What is your annual household income from all sources?].[All]" dimensionUniqueName="[PT Q1 1]" displayFolder="" count="0" memberValueDatatype="130" unbalanced="0"/>
    <cacheHierarchy uniqueName="[PT Q1 1].[What is your highest level of education?]" caption="What is your highest level of education?" attribute="1" defaultMemberUniqueName="[PT Q1 1].[What is your highest level of education?].[All]" allUniqueName="[PT Q1 1].[What is your highest level of education?].[All]" dimensionUniqueName="[PT Q1 1]" displayFolder="" count="0" memberValueDatatype="130" unbalanced="0"/>
    <cacheHierarchy uniqueName="[PT Q1 1].[What is your current employment status?]" caption="What is your current employment status?" attribute="1" defaultMemberUniqueName="[PT Q1 1].[What is your current employment status?].[All]" allUniqueName="[PT Q1 1].[What is your current employment status?].[All]" dimensionUniqueName="[PT Q1 1]" displayFolder="" count="0" memberValueDatatype="130" unbalanced="0"/>
    <cacheHierarchy uniqueName="[PT Q1 1].[Do you currently have health insurance?]" caption="Do you currently have health insurance?" attribute="1" defaultMemberUniqueName="[PT Q1 1].[Do you currently have health insurance?].[All]" allUniqueName="[PT Q1 1].[Do you currently have health insurance?].[All]" dimensionUniqueName="[PT Q1 1]" displayFolder="" count="0" memberValueDatatype="130" unbalanced="0"/>
    <cacheHierarchy uniqueName="[PT Q1 1].[What type of insurance do you have?]" caption="What type of insurance do you have?" attribute="1" defaultMemberUniqueName="[PT Q1 1].[What type of insurance do you have?].[All]" allUniqueName="[PT Q1 1].[What type of insurance do you have?].[All]" dimensionUniqueName="[PT Q1 1]" displayFolder="" count="0" memberValueDatatype="130" unbalanced="0"/>
    <cacheHierarchy uniqueName="[PT Q1 1].[Do you have access to reliable internet in your home?]" caption="Do you have access to reliable internet in your home?" attribute="1" defaultMemberUniqueName="[PT Q1 1].[Do you have access to reliable internet in your home?].[All]" allUniqueName="[PT Q1 1].[Do you have access to reliable internet in your home?].[All]" dimensionUniqueName="[PT Q1 1]" displayFolder="" count="0" memberValueDatatype="130" unbalanced="0"/>
    <cacheHierarchy uniqueName="[PT Q1 1].[Female Flag]" caption="Female Flag" attribute="1" defaultMemberUniqueName="[PT Q1 1].[Female Flag].[All]" allUniqueName="[PT Q1 1].[Female Flag].[All]" dimensionUniqueName="[PT Q1 1]" displayFolder="" count="0" memberValueDatatype="20" unbalanced="0"/>
    <cacheHierarchy uniqueName="[PT Q1 1].[Male Flag]" caption="Male Flag" attribute="1" defaultMemberUniqueName="[PT Q1 1].[Male Flag].[All]" allUniqueName="[PT Q1 1].[Male Flag].[All]" dimensionUniqueName="[PT Q1 1]" displayFolder="" count="0" memberValueDatatype="20" unbalanced="0"/>
    <cacheHierarchy uniqueName="[PT Q1 1].[Other Flag]" caption="Other Flag" attribute="1" defaultMemberUniqueName="[PT Q1 1].[Other Flag].[All]" allUniqueName="[PT Q1 1].[Other Flag].[All]" dimensionUniqueName="[PT Q1 1]" displayFolder="" count="0" memberValueDatatype="20" unbalanced="0"/>
    <cacheHierarchy uniqueName="[PT Q1 1].[Hispanic Flag]" caption="Hispanic Flag" attribute="1" defaultMemberUniqueName="[PT Q1 1].[Hispanic Flag].[All]" allUniqueName="[PT Q1 1].[Hispanic Flag].[All]" dimensionUniqueName="[PT Q1 1]" displayFolder="" count="0" memberValueDatatype="20" unbalanced="0"/>
    <cacheHierarchy uniqueName="[PT Q1 1].[White/Caucasian Flag]" caption="White/Caucasian Flag" attribute="1" defaultMemberUniqueName="[PT Q1 1].[White/Caucasian Flag].[All]" allUniqueName="[PT Q1 1].[White/Caucasian Flag].[All]" dimensionUniqueName="[PT Q1 1]" displayFolder="" count="0" memberValueDatatype="20" unbalanced="0"/>
    <cacheHierarchy uniqueName="[PT Q1 1].[Black/African American Flag]" caption="Black/African American Flag" attribute="1" defaultMemberUniqueName="[PT Q1 1].[Black/African American Flag].[All]" allUniqueName="[PT Q1 1].[Black/African American Flag].[All]" dimensionUniqueName="[PT Q1 1]" displayFolder="" count="0" memberValueDatatype="20" unbalanced="0"/>
    <cacheHierarchy uniqueName="[PT Q1 1].[Asian/Pacific Islander Flag]" caption="Asian/Pacific Islander Flag" attribute="1" defaultMemberUniqueName="[PT Q1 1].[Asian/Pacific Islander Flag].[All]" allUniqueName="[PT Q1 1].[Asian/Pacific Islander Flag].[All]" dimensionUniqueName="[PT Q1 1]" displayFolder="" count="0" memberValueDatatype="20" unbalanced="0"/>
    <cacheHierarchy uniqueName="[PT Q1 1].[Native American Flag]" caption="Native American Flag" attribute="1" defaultMemberUniqueName="[PT Q1 1].[Native American Flag].[All]" allUniqueName="[PT Q1 1].[Native American Flag].[All]" dimensionUniqueName="[PT Q1 1]" displayFolder="" count="0" memberValueDatatype="20" unbalanced="0"/>
    <cacheHierarchy uniqueName="[PT Q1 1].[Multi-racial Flag]" caption="Multi-racial Flag" attribute="1" defaultMemberUniqueName="[PT Q1 1].[Multi-racial Flag].[All]" allUniqueName="[PT Q1 1].[Multi-racial Flag].[All]" dimensionUniqueName="[PT Q1 1]" displayFolder="" count="0" memberValueDatatype="20" unbalanced="0"/>
    <cacheHierarchy uniqueName="[PT Q1 1].[Other Race Flag]" caption="Other Race Flag" attribute="1" defaultMemberUniqueName="[PT Q1 1].[Other Race Flag].[All]" allUniqueName="[PT Q1 1].[Other Race Flag].[All]" dimensionUniqueName="[PT Q1 1]" displayFolder="" count="0" memberValueDatatype="20" unbalanced="0"/>
    <cacheHierarchy uniqueName="[PT Q1 1].[$0-$19,999 Flag]" caption="$0-$19,999 Flag" attribute="1" defaultMemberUniqueName="[PT Q1 1].[$0-$19,999 Flag].[All]" allUniqueName="[PT Q1 1].[$0-$19,999 Flag].[All]" dimensionUniqueName="[PT Q1 1]" displayFolder="" count="0" memberValueDatatype="20" unbalanced="0"/>
    <cacheHierarchy uniqueName="[PT Q1 1].[$20,000 to $34,999 Flag]" caption="$20,000 to $34,999 Flag" attribute="1" defaultMemberUniqueName="[PT Q1 1].[$20,000 to $34,999 Flag].[All]" allUniqueName="[PT Q1 1].[$20,000 to $34,999 Flag].[All]" dimensionUniqueName="[PT Q1 1]" displayFolder="" count="0" memberValueDatatype="20" unbalanced="0"/>
    <cacheHierarchy uniqueName="[PT Q1 1].[$35,000 to $49,999 Flag]" caption="$35,000 to $49,999 Flag" attribute="1" defaultMemberUniqueName="[PT Q1 1].[$35,000 to $49,999 Flag].[All]" allUniqueName="[PT Q1 1].[$35,000 to $49,999 Flag].[All]" dimensionUniqueName="[PT Q1 1]" displayFolder="" count="0" memberValueDatatype="20" unbalanced="0"/>
    <cacheHierarchy uniqueName="[PT Q1 1].[$50,000 to $74,999 Flag]" caption="$50,000 to $74,999 Flag" attribute="1" defaultMemberUniqueName="[PT Q1 1].[$50,000 to $74,999 Flag].[All]" allUniqueName="[PT Q1 1].[$50,000 to $74,999 Flag].[All]" dimensionUniqueName="[PT Q1 1]" displayFolder="" count="0" memberValueDatatype="20" unbalanced="0"/>
    <cacheHierarchy uniqueName="[PT Q1 1].[$75,000 to $125,000 Flag]" caption="$75,000 to $125,000 Flag" attribute="1" defaultMemberUniqueName="[PT Q1 1].[$75,000 to $125,000 Flag].[All]" allUniqueName="[PT Q1 1].[$75,000 to $125,000 Flag].[All]" dimensionUniqueName="[PT Q1 1]" displayFolder="" count="0" memberValueDatatype="20" unbalanced="0"/>
    <cacheHierarchy uniqueName="[PT Q1 1].[Over $125,000 Flag]" caption="Over $125,000 Flag" attribute="1" defaultMemberUniqueName="[PT Q1 1].[Over $125,000 Flag].[All]" allUniqueName="[PT Q1 1].[Over $125,000 Flag].[All]" dimensionUniqueName="[PT Q1 1]" displayFolder="" count="0" memberValueDatatype="20" unbalanced="0"/>
    <cacheHierarchy uniqueName="[PT Q1 1].[18-24 Flag]" caption="18-24 Flag" attribute="1" defaultMemberUniqueName="[PT Q1 1].[18-24 Flag].[All]" allUniqueName="[PT Q1 1].[18-24 Flag].[All]" dimensionUniqueName="[PT Q1 1]" displayFolder="" count="0" memberValueDatatype="20" unbalanced="0"/>
    <cacheHierarchy uniqueName="[PT Q1 1].[25-34 Flag]" caption="25-34 Flag" attribute="1" defaultMemberUniqueName="[PT Q1 1].[25-34 Flag].[All]" allUniqueName="[PT Q1 1].[25-34 Flag].[All]" dimensionUniqueName="[PT Q1 1]" displayFolder="" count="0" memberValueDatatype="20" unbalanced="0"/>
    <cacheHierarchy uniqueName="[PT Q1 1].[35-44 Flag]" caption="35-44 Flag" attribute="1" defaultMemberUniqueName="[PT Q1 1].[35-44 Flag].[All]" allUniqueName="[PT Q1 1].[35-44 Flag].[All]" dimensionUniqueName="[PT Q1 1]" displayFolder="" count="0" memberValueDatatype="20" unbalanced="0"/>
    <cacheHierarchy uniqueName="[PT Q1 1].[45-54 Flag]" caption="45-54 Flag" attribute="1" defaultMemberUniqueName="[PT Q1 1].[45-54 Flag].[All]" allUniqueName="[PT Q1 1].[45-54 Flag].[All]" dimensionUniqueName="[PT Q1 1]" displayFolder="" count="0" memberValueDatatype="20" unbalanced="0"/>
    <cacheHierarchy uniqueName="[PT Q1 1].[55-64 Flag]" caption="55-64 Flag" attribute="1" defaultMemberUniqueName="[PT Q1 1].[55-64 Flag].[All]" allUniqueName="[PT Q1 1].[55-64 Flag].[All]" dimensionUniqueName="[PT Q1 1]" displayFolder="" count="0" memberValueDatatype="20" unbalanced="0"/>
    <cacheHierarchy uniqueName="[PT Q1 1].[65+ Flag]" caption="65+ Flag" attribute="1" defaultMemberUniqueName="[PT Q1 1].[65+ Flag].[All]" allUniqueName="[PT Q1 1].[65+ Flag].[All]" dimensionUniqueName="[PT Q1 1]" displayFolder="" count="0" memberValueDatatype="20" unbalanced="0"/>
    <cacheHierarchy uniqueName="[PT Q1 1].[K-8th Flag]" caption="K-8th Flag" attribute="1" defaultMemberUniqueName="[PT Q1 1].[K-8th Flag].[All]" allUniqueName="[PT Q1 1].[K-8th Flag].[All]" dimensionUniqueName="[PT Q1 1]" displayFolder="" count="0" memberValueDatatype="20" unbalanced="0"/>
    <cacheHierarchy uniqueName="[PT Q1 1].[Some high school Flag]" caption="Some high school Flag" attribute="1" defaultMemberUniqueName="[PT Q1 1].[Some high school Flag].[All]" allUniqueName="[PT Q1 1].[Some high school Flag].[All]" dimensionUniqueName="[PT Q1 1]" displayFolder="" count="0" memberValueDatatype="20" unbalanced="0"/>
    <cacheHierarchy uniqueName="[PT Q1 1].[High school graduate Flag]" caption="High school graduate Flag" attribute="1" defaultMemberUniqueName="[PT Q1 1].[High school graduate Flag].[All]" allUniqueName="[PT Q1 1].[High school graduate Flag].[All]" dimensionUniqueName="[PT Q1 1]" displayFolder="" count="0" memberValueDatatype="20" unbalanced="0"/>
    <cacheHierarchy uniqueName="[PT Q1 1].[Technical school Flag]" caption="Technical school Flag" attribute="1" defaultMemberUniqueName="[PT Q1 1].[Technical school Flag].[All]" allUniqueName="[PT Q1 1].[Technical school Flag].[All]" dimensionUniqueName="[PT Q1 1]" displayFolder="" count="0" memberValueDatatype="20" unbalanced="0"/>
    <cacheHierarchy uniqueName="[PT Q1 1].[Some college Flag]" caption="Some college Flag" attribute="1" defaultMemberUniqueName="[PT Q1 1].[Some college Flag].[All]" allUniqueName="[PT Q1 1].[Some college Flag].[All]" dimensionUniqueName="[PT Q1 1]" displayFolder="" count="0" memberValueDatatype="20" unbalanced="0"/>
    <cacheHierarchy uniqueName="[PT Q1 1].[College graduate Flag]" caption="College graduate Flag" attribute="1" defaultMemberUniqueName="[PT Q1 1].[College graduate Flag].[All]" allUniqueName="[PT Q1 1].[College graduate Flag].[All]" dimensionUniqueName="[PT Q1 1]" displayFolder="" count="0" memberValueDatatype="20" unbalanced="0"/>
    <cacheHierarchy uniqueName="[PT Q1 1].[Graduate school Flag]" caption="Graduate school Flag" attribute="1" defaultMemberUniqueName="[PT Q1 1].[Graduate school Flag].[All]" allUniqueName="[PT Q1 1].[Graduate school Flag].[All]" dimensionUniqueName="[PT Q1 1]" displayFolder="" count="0" memberValueDatatype="20" unbalanced="0"/>
    <cacheHierarchy uniqueName="[PT Q1 1].[Doctorate Flag]" caption="Doctorate Flag" attribute="1" defaultMemberUniqueName="[PT Q1 1].[Doctorate Flag].[All]" allUniqueName="[PT Q1 1].[Doctorate Flag].[All]" dimensionUniqueName="[PT Q1 1]" displayFolder="" count="0" memberValueDatatype="20" unbalanced="0"/>
    <cacheHierarchy uniqueName="[PT Q1 1].[GED Flag]" caption="GED Flag" attribute="1" defaultMemberUniqueName="[PT Q1 1].[GED Flag].[All]" allUniqueName="[PT Q1 1].[GED Flag].[All]" dimensionUniqueName="[PT Q1 1]" displayFolder="" count="0" memberValueDatatype="20" unbalanced="0"/>
    <cacheHierarchy uniqueName="[PT Q1 1].[None Flag]" caption="None Flag" attribute="1" defaultMemberUniqueName="[PT Q1 1].[None Flag].[All]" allUniqueName="[PT Q1 1].[None Flag].[All]" dimensionUniqueName="[PT Q1 1]" displayFolder="" count="0" memberValueDatatype="20" unbalanced="0"/>
    <cacheHierarchy uniqueName="[PT Q1 1].[Employed for Wages Flag]" caption="Employed for Wages Flag" attribute="1" defaultMemberUniqueName="[PT Q1 1].[Employed for Wages Flag].[All]" allUniqueName="[PT Q1 1].[Employed for Wages Flag].[All]" dimensionUniqueName="[PT Q1 1]" displayFolder="" count="0" memberValueDatatype="20" unbalanced="0"/>
    <cacheHierarchy uniqueName="[PT Q1 1].[Self-employed Flag]" caption="Self-employed Flag" attribute="1" defaultMemberUniqueName="[PT Q1 1].[Self-employed Flag].[All]" allUniqueName="[PT Q1 1].[Self-employed Flag].[All]" dimensionUniqueName="[PT Q1 1]" displayFolder="" count="0" memberValueDatatype="20" unbalanced="0"/>
    <cacheHierarchy uniqueName="[PT Q1 1].[Student Flag]" caption="Student Flag" attribute="1" defaultMemberUniqueName="[PT Q1 1].[Student Flag].[All]" allUniqueName="[PT Q1 1].[Student Flag].[All]" dimensionUniqueName="[PT Q1 1]" displayFolder="" count="0" memberValueDatatype="20" unbalanced="0"/>
    <cacheHierarchy uniqueName="[PT Q1 1].[Retired Flag]" caption="Retired Flag" attribute="1" defaultMemberUniqueName="[PT Q1 1].[Retired Flag].[All]" allUniqueName="[PT Q1 1].[Retired Flag].[All]" dimensionUniqueName="[PT Q1 1]" displayFolder="" count="0" memberValueDatatype="20" unbalanced="0"/>
    <cacheHierarchy uniqueName="[PT Q1 1].[Military Flag]" caption="Military Flag" attribute="1" defaultMemberUniqueName="[PT Q1 1].[Military Flag].[All]" allUniqueName="[PT Q1 1].[Military Flag].[All]" dimensionUniqueName="[PT Q1 1]" displayFolder="" count="0" memberValueDatatype="20" unbalanced="0"/>
    <cacheHierarchy uniqueName="[PT Q1 1].[Out of work and looking for work Flag]" caption="Out of work and looking for work Flag" attribute="1" defaultMemberUniqueName="[PT Q1 1].[Out of work and looking for work Flag].[All]" allUniqueName="[PT Q1 1].[Out of work and looking for work Flag].[All]" dimensionUniqueName="[PT Q1 1]" displayFolder="" count="0" memberValueDatatype="20" unbalanced="0"/>
    <cacheHierarchy uniqueName="[PT Q1 1].[Out of work, but not currently looking Flag]" caption="Out of work, but not currently looking Flag" attribute="1" defaultMemberUniqueName="[PT Q1 1].[Out of work, but not currently looking Flag].[All]" allUniqueName="[PT Q1 1].[Out of work, but not currently looking Flag].[All]" dimensionUniqueName="[PT Q1 1]" displayFolder="" count="0" memberValueDatatype="20" unbalanced="0"/>
    <cacheHierarchy uniqueName="[PT Q1 1].[Currently Insured Flag]" caption="Currently Insured Flag" attribute="1" defaultMemberUniqueName="[PT Q1 1].[Currently Insured Flag].[All]" allUniqueName="[PT Q1 1].[Currently Insured Flag].[All]" dimensionUniqueName="[PT Q1 1]" displayFolder="" count="0" memberValueDatatype="20" unbalanced="0"/>
    <cacheHierarchy uniqueName="[PT Q1 1].[Previously Insured Flag]" caption="Previously Insured Flag" attribute="1" defaultMemberUniqueName="[PT Q1 1].[Previously Insured Flag].[All]" allUniqueName="[PT Q1 1].[Previously Insured Flag].[All]" dimensionUniqueName="[PT Q1 1]" displayFolder="" count="0" memberValueDatatype="20" unbalanced="0"/>
    <cacheHierarchy uniqueName="[PT Q1 1].[Not Insured Flag]" caption="Not Insured Flag" attribute="1" defaultMemberUniqueName="[PT Q1 1].[Not Insured Flag].[All]" allUniqueName="[PT Q1 1].[Not Insured Flag].[All]" dimensionUniqueName="[PT Q1 1]" displayFolder="" count="0" memberValueDatatype="20" unbalanced="0"/>
    <cacheHierarchy uniqueName="[PT Q1 1].[Medicaid Flag]" caption="Medicaid Flag" attribute="1" defaultMemberUniqueName="[PT Q1 1].[Medicaid Flag].[All]" allUniqueName="[PT Q1 1].[Medicaid Flag].[All]" dimensionUniqueName="[PT Q1 1]" displayFolder="" count="0" memberValueDatatype="20" unbalanced="0"/>
    <cacheHierarchy uniqueName="[PT Q1 1].[Medicaid,Medicare Flag]" caption="Medicaid,Medicare Flag" attribute="1" defaultMemberUniqueName="[PT Q1 1].[Medicaid,Medicare Flag].[All]" allUniqueName="[PT Q1 1].[Medicaid,Medicare Flag].[All]" dimensionUniqueName="[PT Q1 1]" displayFolder="" count="0" memberValueDatatype="20" unbalanced="0"/>
    <cacheHierarchy uniqueName="[PT Q1 1].[Medicaid,Medicare,Private/Commercial Flag]" caption="Medicaid,Medicare,Private/Commercial Flag" attribute="1" defaultMemberUniqueName="[PT Q1 1].[Medicaid,Medicare,Private/Commercial Flag].[All]" allUniqueName="[PT Q1 1].[Medicaid,Medicare,Private/Commercial Flag].[All]" dimensionUniqueName="[PT Q1 1]" displayFolder="" count="0" memberValueDatatype="20" unbalanced="0"/>
    <cacheHierarchy uniqueName="[PT Q1 1].[Medicaid,Private/Commercial Flag]" caption="Medicaid,Private/Commercial Flag" attribute="1" defaultMemberUniqueName="[PT Q1 1].[Medicaid,Private/Commercial Flag].[All]" allUniqueName="[PT Q1 1].[Medicaid,Private/Commercial Flag].[All]" dimensionUniqueName="[PT Q1 1]" displayFolder="" count="0" memberValueDatatype="20" unbalanced="0"/>
    <cacheHierarchy uniqueName="[PT Q1 1].[Medicare Flag]" caption="Medicare Flag" attribute="1" defaultMemberUniqueName="[PT Q1 1].[Medicare Flag].[All]" allUniqueName="[PT Q1 1].[Medicare Flag].[All]" dimensionUniqueName="[PT Q1 1]" displayFolder="" count="0" memberValueDatatype="20" unbalanced="0"/>
    <cacheHierarchy uniqueName="[PT Q1 1].[Medicare,No Insurance Flag]" caption="Medicare,No Insurance Flag" attribute="1" defaultMemberUniqueName="[PT Q1 1].[Medicare,No Insurance Flag].[All]" allUniqueName="[PT Q1 1].[Medicare,No Insurance Flag].[All]" dimensionUniqueName="[PT Q1 1]" displayFolder="" count="0" memberValueDatatype="20" unbalanced="0"/>
    <cacheHierarchy uniqueName="[PT Q1 1].[Medicare,Private/Commercial Flag]" caption="Medicare,Private/Commercial Flag" attribute="1" defaultMemberUniqueName="[PT Q1 1].[Medicare,Private/Commercial Flag].[All]" allUniqueName="[PT Q1 1].[Medicare,Private/Commercial Flag].[All]" dimensionUniqueName="[PT Q1 1]" displayFolder="" count="0" memberValueDatatype="20" unbalanced="0"/>
    <cacheHierarchy uniqueName="[PT Q1 1].[No Insurance Flag]" caption="No Insurance Flag" attribute="1" defaultMemberUniqueName="[PT Q1 1].[No Insurance Flag].[All]" allUniqueName="[PT Q1 1].[No Insurance Flag].[All]" dimensionUniqueName="[PT Q1 1]" displayFolder="" count="0" memberValueDatatype="20" unbalanced="0"/>
    <cacheHierarchy uniqueName="[PT Q1 1].[Private/Commercial Flag]" caption="Private/Commercial Flag" attribute="1" defaultMemberUniqueName="[PT Q1 1].[Private/Commercial Flag].[All]" allUniqueName="[PT Q1 1].[Private/Commercial Flag].[All]" dimensionUniqueName="[PT Q1 1]" displayFolder="" count="0" memberValueDatatype="20" unbalanced="0"/>
    <cacheHierarchy uniqueName="[PT Q1 1].[Reliable Internet Flag]" caption="Reliable Internet Flag" attribute="1" defaultMemberUniqueName="[PT Q1 1].[Reliable Internet Flag].[All]" allUniqueName="[PT Q1 1].[Reliable Internet Flag].[All]" dimensionUniqueName="[PT Q1 1]" displayFolder="" count="0" memberValueDatatype="2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OTHER]" caption="OTHER" attribute="1" defaultMemberUniqueName="[PT Q2].[OTHER].[All]" allUniqueName="[PT Q2].[OTHER].[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5"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What type of insurance do you have?]" caption="What type of insurance do you have?" attribute="1" defaultMemberUniqueName="[PT Q2].[What type of insurance do you have?].[All]" allUniqueName="[PT Q2].[What type of insurance do you have?].[All]" dimensionUniqueName="[PT Q2]" displayFolder="" count="0" memberValueDatatype="130" unbalanced="0"/>
    <cacheHierarchy uniqueName="[PT Q2].[Do you have access to reliable internet in your home?]" caption="Do you have access to reliable internet in your home?" attribute="1" defaultMemberUniqueName="[PT Q2].[Do you have access to reliable internet in your home?].[All]" allUniqueName="[PT Q2].[Do you have access to reliable internet in your hom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immigration status)]" caption="Fear (e.g. not ready to face/discuss health problem; immigration status)" attribute="1" defaultMemberUniqueName="[PT Q3].[Fear (e.g. not ready to face/discuss health problem; immigration status)].[All]" allUniqueName="[PT Q3].[Fear (e.g. not ready to face/discuss health problem; immigration status)].[All]" dimensionUniqueName="[PT Q3]" displayFolder="" count="0" memberValueDatatype="130" unbalanced="0"/>
    <cacheHierarchy uniqueName="[PT Q3].[OTHER]" caption="OTHER" attribute="1" defaultMemberUniqueName="[PT Q3].[OTHER].[All]" allUniqueName="[PT Q3].[OTHER].[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immigration status)14]" caption="Fear (e.g. not ready to face/discuss health problem;immigration status)14" attribute="1" defaultMemberUniqueName="[PT Q3].[Fear (e.g. not ready to face/discuss health problem;immigration status)14].[All]" allUniqueName="[PT Q3].[Fear (e.g. not ready to face/discuss health problem;immigration status)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What type of insurance do you have?]" caption="What type of insurance do you have?" attribute="1" defaultMemberUniqueName="[PT Q3].[What type of insurance do you have?].[All]" allUniqueName="[PT Q3].[What type of insurance do you have?].[All]" dimensionUniqueName="[PT Q3]" displayFolder="" count="0" memberValueDatatype="130" unbalanced="0"/>
    <cacheHierarchy uniqueName="[PT Q3].[Do you have access to reliable internet in your home?]" caption="Do you have access to reliable internet in your home?" attribute="1" defaultMemberUniqueName="[PT Q3].[Do you have access to reliable internet in your home?].[All]" allUniqueName="[PT Q3].[Do you have access to reliable internet in your hom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OTHER]" caption="OTHER" attribute="1" defaultMemberUniqueName="[PT Q4].[OTHER].[All]" allUniqueName="[PT Q4].[OTHER].[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What type of insurance do you have?]" caption="What type of insurance do you have?" attribute="1" defaultMemberUniqueName="[PT Q4].[What type of insurance do you have?].[All]" allUniqueName="[PT Q4].[What type of insurance do you have?].[All]" dimensionUniqueName="[PT Q4]" displayFolder="" count="0" memberValueDatatype="130" unbalanced="0"/>
    <cacheHierarchy uniqueName="[PT Q4].[Do you have access to reliable internet in your home?]" caption="Do you have access to reliable internet in your home?" attribute="1" defaultMemberUniqueName="[PT Q4].[Do you have access to reliable internet in your home?].[All]" allUniqueName="[PT Q4].[Do you have access to reliable internet in your hom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OTHER]" caption="OTHER" attribute="1" defaultMemberUniqueName="[PT Q5].[OTHER].[All]" allUniqueName="[PT Q5].[OTHER].[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What type of insurance do you have?]" caption="What type of insurance do you have?" attribute="1" defaultMemberUniqueName="[PT Q5].[What type of insurance do you have?].[All]" allUniqueName="[PT Q5].[What type of insurance do you have?].[All]" dimensionUniqueName="[PT Q5]" displayFolder="" count="0" memberValueDatatype="130" unbalanced="0"/>
    <cacheHierarchy uniqueName="[PT Q5].[Do you have access to reliable internet in your home?]" caption="Do you have access to reliable internet in your home?" attribute="1" defaultMemberUniqueName="[PT Q5].[Do you have access to reliable internet in your home?].[All]" allUniqueName="[PT Q5].[Do you have access to reliable internet in your hom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2" memberValueDatatype="130" unbalanced="0">
      <fieldsUsage count="2">
        <fieldUsage x="-1"/>
        <fieldUsage x="16"/>
      </fieldsUsage>
    </cacheHierarchy>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2" memberValueDatatype="130" unbalanced="0">
      <fieldsUsage count="2">
        <fieldUsage x="-1"/>
        <fieldUsage x="15"/>
      </fieldsUsage>
    </cacheHierarchy>
    <cacheHierarchy uniqueName="[PT Q6].[Town and ZIP code where you live:]" caption="Town and ZIP code where you live:" attribute="1" defaultMemberUniqueName="[PT Q6].[Town and ZIP code where you live:].[All]" allUniqueName="[PT Q6].[Town and ZIP code where you live:].[All]" dimensionUniqueName="[PT Q6]" displayFolder="" count="2" memberValueDatatype="130" unbalanced="0">
      <fieldsUsage count="2">
        <fieldUsage x="-1"/>
        <fieldUsage x="1"/>
      </fieldsUsage>
    </cacheHierarchy>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2" memberValueDatatype="130" unbalanced="0">
      <fieldsUsage count="2">
        <fieldUsage x="-1"/>
        <fieldUsage x="21"/>
      </fieldsUsage>
    </cacheHierarchy>
    <cacheHierarchy uniqueName="[PT Q6].[Are you Hispanic or Latino?]" caption="Are you Hispanic or Latino?" attribute="1" defaultMemberUniqueName="[PT Q6].[Are you Hispanic or Latino?].[All]" allUniqueName="[PT Q6].[Are you Hispanic or Latino?].[All]" dimensionUniqueName="[PT Q6]" displayFolder="" count="2" memberValueDatatype="130" unbalanced="0">
      <fieldsUsage count="2">
        <fieldUsage x="-1"/>
        <fieldUsage x="17"/>
      </fieldsUsage>
    </cacheHierarchy>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2" memberValueDatatype="130" unbalanced="0">
      <fieldsUsage count="2">
        <fieldUsage x="-1"/>
        <fieldUsage x="18"/>
      </fieldsUsage>
    </cacheHierarchy>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2" memberValueDatatype="130" unbalanced="0">
      <fieldsUsage count="2">
        <fieldUsage x="-1"/>
        <fieldUsage x="20"/>
      </fieldsUsage>
    </cacheHierarchy>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2" memberValueDatatype="130" unbalanced="0">
      <fieldsUsage count="2">
        <fieldUsage x="-1"/>
        <fieldUsage x="19"/>
      </fieldsUsage>
    </cacheHierarchy>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2" memberValueDatatype="130" unbalanced="0">
      <fieldsUsage count="2">
        <fieldUsage x="-1"/>
        <fieldUsage x="22"/>
      </fieldsUsage>
    </cacheHierarchy>
    <cacheHierarchy uniqueName="[PT Q6].[What type of insurance do you have?]" caption="What type of insurance do you have?" attribute="1" defaultMemberUniqueName="[PT Q6].[What type of insurance do you have?].[All]" allUniqueName="[PT Q6].[What type of insurance do you have?].[All]" dimensionUniqueName="[PT Q6]" displayFolder="" count="0" memberValueDatatype="130" unbalanced="0"/>
    <cacheHierarchy uniqueName="[PT Q6].[Do you have access to reliable internet in your home?]" caption="Do you have access to reliable internet in your home?" attribute="1" defaultMemberUniqueName="[PT Q6].[Do you have access to reliable internet in your home?].[All]" allUniqueName="[PT Q6].[Do you have access to reliable internet in your hom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198"/>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198"/>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216"/>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217"/>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222"/>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207"/>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209"/>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224"/>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226"/>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227"/>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218"/>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220"/>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225"/>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228"/>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219"/>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221"/>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223"/>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24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248"/>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26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26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269"/>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26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26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27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26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27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26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292"/>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292"/>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309"/>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312"/>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315"/>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318"/>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310"/>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313"/>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316"/>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319"/>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320"/>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311"/>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314"/>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317"/>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340"/>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340"/>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363"/>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366"/>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369"/>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372"/>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378"/>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380"/>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364"/>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367"/>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370"/>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373"/>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376"/>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379"/>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365"/>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368"/>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371"/>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374"/>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377"/>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RespondentID 6]" caption="Count of RespondentID 6" measure="1" displayFolder="" measureGroup="PT Q6" count="0" oneField="1">
      <fieldsUsage count="1">
        <fieldUsage x="0"/>
      </fieldsUsage>
      <extLst>
        <ext xmlns:x15="http://schemas.microsoft.com/office/spreadsheetml/2010/11/main" uri="{B97F6D7D-B522-45F9-BDA1-12C45D357490}">
          <x15:cacheHierarchy aggregatedColumn="400"/>
        </ext>
      </extLst>
    </cacheHierarchy>
    <cacheHierarchy uniqueName="[Measures].[Count of Doctorhealth professional]" caption="Count of Doctorhealth professional" measure="1" displayFolder="" measureGroup="PT Q6" count="0" oneField="1">
      <fieldsUsage count="1">
        <fieldUsage x="2"/>
      </fieldsUsage>
      <extLst>
        <ext xmlns:x15="http://schemas.microsoft.com/office/spreadsheetml/2010/11/main" uri="{B97F6D7D-B522-45F9-BDA1-12C45D357490}">
          <x15:cacheHierarchy aggregatedColumn="401"/>
        </ext>
      </extLst>
    </cacheHierarchy>
    <cacheHierarchy uniqueName="[Measures].[Count of Family or friends]" caption="Count of Family or friends" measure="1" displayFolder="" measureGroup="PT Q6" count="0" oneField="1">
      <fieldsUsage count="1">
        <fieldUsage x="3"/>
      </fieldsUsage>
      <extLst>
        <ext xmlns:x15="http://schemas.microsoft.com/office/spreadsheetml/2010/11/main" uri="{B97F6D7D-B522-45F9-BDA1-12C45D357490}">
          <x15:cacheHierarchy aggregatedColumn="404"/>
        </ext>
      </extLst>
    </cacheHierarchy>
    <cacheHierarchy uniqueName="[Measures].[Count of Health Department]" caption="Count of Health Department" measure="1" displayFolder="" measureGroup="PT Q6" count="0" oneField="1">
      <fieldsUsage count="1">
        <fieldUsage x="4"/>
      </fieldsUsage>
      <extLst>
        <ext xmlns:x15="http://schemas.microsoft.com/office/spreadsheetml/2010/11/main" uri="{B97F6D7D-B522-45F9-BDA1-12C45D357490}">
          <x15:cacheHierarchy aggregatedColumn="407"/>
        </ext>
      </extLst>
    </cacheHierarchy>
    <cacheHierarchy uniqueName="[Measures].[Count of Hospital]" caption="Count of Hospital" measure="1" displayFolder="" measureGroup="PT Q6" count="0" oneField="1">
      <fieldsUsage count="1">
        <fieldUsage x="5"/>
      </fieldsUsage>
      <extLst>
        <ext xmlns:x15="http://schemas.microsoft.com/office/spreadsheetml/2010/11/main" uri="{B97F6D7D-B522-45F9-BDA1-12C45D357490}">
          <x15:cacheHierarchy aggregatedColumn="410"/>
        </ext>
      </extLst>
    </cacheHierarchy>
    <cacheHierarchy uniqueName="[Measures].[Count of Internet]" caption="Count of Internet" measure="1" displayFolder="" measureGroup="PT Q6" count="0" oneField="1">
      <fieldsUsage count="1">
        <fieldUsage x="6"/>
      </fieldsUsage>
      <extLst>
        <ext xmlns:x15="http://schemas.microsoft.com/office/spreadsheetml/2010/11/main" uri="{B97F6D7D-B522-45F9-BDA1-12C45D357490}">
          <x15:cacheHierarchy aggregatedColumn="412"/>
        </ext>
      </extLst>
    </cacheHierarchy>
    <cacheHierarchy uniqueName="[Measures].[Count of Library]" caption="Count of Library" measure="1" displayFolder="" measureGroup="PT Q6" count="0" oneField="1">
      <fieldsUsage count="1">
        <fieldUsage x="7"/>
      </fieldsUsage>
      <extLst>
        <ext xmlns:x15="http://schemas.microsoft.com/office/spreadsheetml/2010/11/main" uri="{B97F6D7D-B522-45F9-BDA1-12C45D357490}">
          <x15:cacheHierarchy aggregatedColumn="402"/>
        </ext>
      </extLst>
    </cacheHierarchy>
    <cacheHierarchy uniqueName="[Measures].[Count of Newspapermagazines]" caption="Count of Newspapermagazines" measure="1" displayFolder="" measureGroup="PT Q6" count="0" oneField="1">
      <fieldsUsage count="1">
        <fieldUsage x="8"/>
      </fieldsUsage>
      <extLst>
        <ext xmlns:x15="http://schemas.microsoft.com/office/spreadsheetml/2010/11/main" uri="{B97F6D7D-B522-45F9-BDA1-12C45D357490}">
          <x15:cacheHierarchy aggregatedColumn="405"/>
        </ext>
      </extLst>
    </cacheHierarchy>
    <cacheHierarchy uniqueName="[Measures].[Count of Radio]" caption="Count of Radio" measure="1" displayFolder="" measureGroup="PT Q6" count="0" oneField="1">
      <fieldsUsage count="1">
        <fieldUsage x="9"/>
      </fieldsUsage>
      <extLst>
        <ext xmlns:x15="http://schemas.microsoft.com/office/spreadsheetml/2010/11/main" uri="{B97F6D7D-B522-45F9-BDA1-12C45D357490}">
          <x15:cacheHierarchy aggregatedColumn="408"/>
        </ext>
      </extLst>
    </cacheHierarchy>
    <cacheHierarchy uniqueName="[Measures].[Count of Religious organization]" caption="Count of Religious organization" measure="1" displayFolder="" measureGroup="PT Q6" count="0" oneField="1">
      <fieldsUsage count="1">
        <fieldUsage x="10"/>
      </fieldsUsage>
      <extLst>
        <ext xmlns:x15="http://schemas.microsoft.com/office/spreadsheetml/2010/11/main" uri="{B97F6D7D-B522-45F9-BDA1-12C45D357490}">
          <x15:cacheHierarchy aggregatedColumn="411"/>
        </ext>
      </extLst>
    </cacheHierarchy>
    <cacheHierarchy uniqueName="[Measures].[Count of Schoolcollege]" caption="Count of Schoolcollege" measure="1" displayFolder="" measureGroup="PT Q6" count="0" oneField="1">
      <fieldsUsage count="1">
        <fieldUsage x="11"/>
      </fieldsUsage>
      <extLst>
        <ext xmlns:x15="http://schemas.microsoft.com/office/spreadsheetml/2010/11/main" uri="{B97F6D7D-B522-45F9-BDA1-12C45D357490}">
          <x15:cacheHierarchy aggregatedColumn="413"/>
        </ext>
      </extLst>
    </cacheHierarchy>
    <cacheHierarchy uniqueName="[Measures].[Count of Social Media (Facebook Twitter etc)]" caption="Count of Social Media (Facebook Twitter etc)" measure="1" displayFolder="" measureGroup="PT Q6" count="0" oneField="1">
      <fieldsUsage count="1">
        <fieldUsage x="12"/>
      </fieldsUsage>
      <extLst>
        <ext xmlns:x15="http://schemas.microsoft.com/office/spreadsheetml/2010/11/main" uri="{B97F6D7D-B522-45F9-BDA1-12C45D357490}">
          <x15:cacheHierarchy aggregatedColumn="403"/>
        </ext>
      </extLst>
    </cacheHierarchy>
    <cacheHierarchy uniqueName="[Measures].[Count of Television]" caption="Count of Television" measure="1" displayFolder="" measureGroup="PT Q6" count="0" oneField="1">
      <fieldsUsage count="1">
        <fieldUsage x="13"/>
      </fieldsUsage>
      <extLst>
        <ext xmlns:x15="http://schemas.microsoft.com/office/spreadsheetml/2010/11/main" uri="{B97F6D7D-B522-45F9-BDA1-12C45D357490}">
          <x15:cacheHierarchy aggregatedColumn="406"/>
        </ext>
      </extLst>
    </cacheHierarchy>
    <cacheHierarchy uniqueName="[Measures].[Count of Worksite]" caption="Count of Worksite" measure="1" displayFolder="" measureGroup="PT Q6" count="0" oneField="1">
      <fieldsUsage count="1">
        <fieldUsage x="14"/>
      </fieldsUsage>
      <extLst>
        <ext xmlns:x15="http://schemas.microsoft.com/office/spreadsheetml/2010/11/main" uri="{B97F6D7D-B522-45F9-BDA1-12C45D357490}">
          <x15:cacheHierarchy aggregatedColumn="409"/>
        </ext>
      </extLst>
    </cacheHierarchy>
    <cacheHierarchy uniqueName="[Measures].[Sum of Fear (eg not ready to facediscuss health problemimmigration status)14]" caption="Sum of Fear (eg not ready to facediscuss health problemimmigration status)14" measure="1" displayFolder="" measureGroup="PT Q3" count="0">
      <extLst>
        <ext xmlns:x15="http://schemas.microsoft.com/office/spreadsheetml/2010/11/main" uri="{B97F6D7D-B522-45F9-BDA1-12C45D357490}">
          <x15:cacheHierarchy aggregatedColumn="272"/>
        </ext>
      </extLst>
    </cacheHierarchy>
    <cacheHierarchy uniqueName="[Measures].[Sum of RespondentID 7]" caption="Sum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Women’s health  wellness10 3]" caption="Sum of Women’s health  wellness10 3" measure="1" displayFolder="" measureGroup="PT Q1 1" count="0">
      <extLst>
        <ext xmlns:x15="http://schemas.microsoft.com/office/spreadsheetml/2010/11/main" uri="{B97F6D7D-B522-45F9-BDA1-12C45D357490}">
          <x15:cacheHierarchy aggregatedColumn="121"/>
        </ext>
      </extLst>
    </cacheHierarchy>
    <cacheHierarchy uniqueName="[Measures].[Count of RespondentID 7]" caption="Count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Asthmalung disease3 3]" caption="Sum of Asthmalung disease3 3" measure="1" displayFolder="" measureGroup="PT Q1 1" count="0">
      <extLst>
        <ext xmlns:x15="http://schemas.microsoft.com/office/spreadsheetml/2010/11/main" uri="{B97F6D7D-B522-45F9-BDA1-12C45D357490}">
          <x15:cacheHierarchy aggregatedColumn="114"/>
        </ext>
      </extLst>
    </cacheHierarchy>
    <cacheHierarchy uniqueName="[Measures].[Sum of Cancer4 3]" caption="Sum of Cancer4 3" measure="1" displayFolder="" measureGroup="PT Q1 1" count="0">
      <extLst>
        <ext xmlns:x15="http://schemas.microsoft.com/office/spreadsheetml/2010/11/main" uri="{B97F6D7D-B522-45F9-BDA1-12C45D357490}">
          <x15:cacheHierarchy aggregatedColumn="115"/>
        </ext>
      </extLst>
    </cacheHierarchy>
    <cacheHierarchy uniqueName="[Measures].[Sum of Heart disease  stroke5 3]" caption="Sum of Heart disease  stroke5 3" measure="1" displayFolder="" measureGroup="PT Q1 1" count="0">
      <extLst>
        <ext xmlns:x15="http://schemas.microsoft.com/office/spreadsheetml/2010/11/main" uri="{B97F6D7D-B522-45F9-BDA1-12C45D357490}">
          <x15:cacheHierarchy aggregatedColumn="116"/>
        </ext>
      </extLst>
    </cacheHierarchy>
    <cacheHierarchy uniqueName="[Measures].[Sum of Safety6 3]" caption="Sum of Safety6 3" measure="1" displayFolder="" measureGroup="PT Q1 1" count="0">
      <extLst>
        <ext xmlns:x15="http://schemas.microsoft.com/office/spreadsheetml/2010/11/main" uri="{B97F6D7D-B522-45F9-BDA1-12C45D357490}">
          <x15:cacheHierarchy aggregatedColumn="117"/>
        </ext>
      </extLst>
    </cacheHierarchy>
    <cacheHierarchy uniqueName="[Measures].[Sum of HIVAIDS  Sexually Transmitted Diseases (STDs)7 3]" caption="Sum of HIVAIDS  Sexually Transmitted Diseases (STDs)7 3" measure="1" displayFolder="" measureGroup="PT Q1 1" count="0">
      <extLst>
        <ext xmlns:x15="http://schemas.microsoft.com/office/spreadsheetml/2010/11/main" uri="{B97F6D7D-B522-45F9-BDA1-12C45D357490}">
          <x15:cacheHierarchy aggregatedColumn="118"/>
        </ext>
      </extLst>
    </cacheHierarchy>
    <cacheHierarchy uniqueName="[Measures].[Sum of Vaccine preventable diseases8 3]" caption="Sum of Vaccine preventable diseases8 3" measure="1" displayFolder="" measureGroup="PT Q1 1" count="0">
      <extLst>
        <ext xmlns:x15="http://schemas.microsoft.com/office/spreadsheetml/2010/11/main" uri="{B97F6D7D-B522-45F9-BDA1-12C45D357490}">
          <x15:cacheHierarchy aggregatedColumn="119"/>
        </ext>
      </extLst>
    </cacheHierarchy>
    <cacheHierarchy uniqueName="[Measures].[Sum of Child health  wellness9 3]" caption="Sum of Child health  wellness9 3" measure="1" displayFolder="" measureGroup="PT Q1 1" count="0">
      <extLst>
        <ext xmlns:x15="http://schemas.microsoft.com/office/spreadsheetml/2010/11/main" uri="{B97F6D7D-B522-45F9-BDA1-12C45D357490}">
          <x15:cacheHierarchy aggregatedColumn="120"/>
        </ext>
      </extLst>
    </cacheHierarchy>
    <cacheHierarchy uniqueName="[Measures].[Sum of Diabetes11 3]" caption="Sum of Diabetes11 3" measure="1" displayFolder="" measureGroup="PT Q1 1" count="0">
      <extLst>
        <ext xmlns:x15="http://schemas.microsoft.com/office/spreadsheetml/2010/11/main" uri="{B97F6D7D-B522-45F9-BDA1-12C45D357490}">
          <x15:cacheHierarchy aggregatedColumn="122"/>
        </ext>
      </extLst>
    </cacheHierarchy>
    <cacheHierarchy uniqueName="[Measures].[Sum of Mental health depressionsuicide12 3]" caption="Sum of Mental health depressionsuicide12 3" measure="1" displayFolder="" measureGroup="PT Q1 1" count="0">
      <extLst>
        <ext xmlns:x15="http://schemas.microsoft.com/office/spreadsheetml/2010/11/main" uri="{B97F6D7D-B522-45F9-BDA1-12C45D357490}">
          <x15:cacheHierarchy aggregatedColumn="123"/>
        </ext>
      </extLst>
    </cacheHierarchy>
    <cacheHierarchy uniqueName="[Measures].[Sum of Drugs  alcohol abuse13 3]" caption="Sum of Drugs  alcohol abuse13 3" measure="1" displayFolder="" measureGroup="PT Q1 1" count="0">
      <extLst>
        <ext xmlns:x15="http://schemas.microsoft.com/office/spreadsheetml/2010/11/main" uri="{B97F6D7D-B522-45F9-BDA1-12C45D357490}">
          <x15:cacheHierarchy aggregatedColumn="124"/>
        </ext>
      </extLst>
    </cacheHierarchy>
    <cacheHierarchy uniqueName="[Measures].[Sum of Environmental hazards14 3]" caption="Sum of Environmental hazards14 3" measure="1" displayFolder="" measureGroup="PT Q1 1" count="0">
      <extLst>
        <ext xmlns:x15="http://schemas.microsoft.com/office/spreadsheetml/2010/11/main" uri="{B97F6D7D-B522-45F9-BDA1-12C45D357490}">
          <x15:cacheHierarchy aggregatedColumn="125"/>
        </ext>
      </extLst>
    </cacheHierarchy>
    <cacheHierarchy uniqueName="[Measures].[Sum of Obesityweight loss issues15 3]" caption="Sum of Obesityweight loss issues15 3" measure="1" displayFolder="" measureGroup="PT Q1 1" count="0">
      <extLst>
        <ext xmlns:x15="http://schemas.microsoft.com/office/spreadsheetml/2010/11/main" uri="{B97F6D7D-B522-45F9-BDA1-12C45D357490}">
          <x15:cacheHierarchy aggregatedColumn="126"/>
        </ext>
      </extLst>
    </cacheHierarchy>
    <cacheHierarchy uniqueName="[Measures].[Sum of What is your age]" caption="Sum of What is your age" measure="1" displayFolder="" measureGroup="PT Q1 1" count="0">
      <extLst>
        <ext xmlns:x15="http://schemas.microsoft.com/office/spreadsheetml/2010/11/main" uri="{B97F6D7D-B522-45F9-BDA1-12C45D357490}">
          <x15:cacheHierarchy aggregatedColumn="134"/>
        </ext>
      </extLst>
    </cacheHierarchy>
    <cacheHierarchy uniqueName="[Measures].[Average of What is your age]" caption="Average of What is your age" measure="1" displayFolder="" measureGroup="PT Q1 1" count="0">
      <extLst>
        <ext xmlns:x15="http://schemas.microsoft.com/office/spreadsheetml/2010/11/main" uri="{B97F6D7D-B522-45F9-BDA1-12C45D357490}">
          <x15:cacheHierarchy aggregatedColumn="134"/>
        </ext>
      </extLst>
    </cacheHierarchy>
    <cacheHierarchy uniqueName="[Measures].[Count of What race do you consider yourself]" caption="Count of What race do you consider yourself" measure="1" displayFolder="" measureGroup="PT Q1 1" count="0">
      <extLst>
        <ext xmlns:x15="http://schemas.microsoft.com/office/spreadsheetml/2010/11/main" uri="{B97F6D7D-B522-45F9-BDA1-12C45D357490}">
          <x15:cacheHierarchy aggregatedColumn="137"/>
        </ext>
      </extLst>
    </cacheHierarchy>
    <cacheHierarchy uniqueName="[Measures].[Count of Do you currently have health insurance]" caption="Count of Do you currently have health insurance" measure="1" displayFolder="" measureGroup="PT Q1 1" count="0">
      <extLst>
        <ext xmlns:x15="http://schemas.microsoft.com/office/spreadsheetml/2010/11/main" uri="{B97F6D7D-B522-45F9-BDA1-12C45D357490}">
          <x15:cacheHierarchy aggregatedColumn="143"/>
        </ext>
      </extLst>
    </cacheHierarchy>
    <cacheHierarchy uniqueName="[Measures].[Count of What type of insurance do you have]" caption="Count of What type of insurance do you have" measure="1" displayFolder="" measureGroup="PT Q1 1" count="0">
      <extLst>
        <ext xmlns:x15="http://schemas.microsoft.com/office/spreadsheetml/2010/11/main" uri="{B97F6D7D-B522-45F9-BDA1-12C45D357490}">
          <x15:cacheHierarchy aggregatedColumn="144"/>
        </ext>
      </extLst>
    </cacheHierarchy>
    <cacheHierarchy uniqueName="[Measures].[Count of Do you have access to reliable internet in your home]" caption="Count of Do you have access to reliable internet in your home" measure="1" displayFolder="" measureGroup="PT Q1 1" count="0">
      <extLst>
        <ext xmlns:x15="http://schemas.microsoft.com/office/spreadsheetml/2010/11/main" uri="{B97F6D7D-B522-45F9-BDA1-12C45D357490}">
          <x15:cacheHierarchy aggregatedColumn="145"/>
        </ext>
      </extLst>
    </cacheHierarchy>
    <cacheHierarchy uniqueName="[Measures].[Sum of Female Flag]" caption="Sum of Female Flag" measure="1" displayFolder="" measureGroup="PT Q1 1" count="0">
      <extLst>
        <ext xmlns:x15="http://schemas.microsoft.com/office/spreadsheetml/2010/11/main" uri="{B97F6D7D-B522-45F9-BDA1-12C45D357490}">
          <x15:cacheHierarchy aggregatedColumn="146"/>
        </ext>
      </extLst>
    </cacheHierarchy>
    <cacheHierarchy uniqueName="[Measures].[Sum of Male Flag]" caption="Sum of Male Flag" measure="1" displayFolder="" measureGroup="PT Q1 1" count="0">
      <extLst>
        <ext xmlns:x15="http://schemas.microsoft.com/office/spreadsheetml/2010/11/main" uri="{B97F6D7D-B522-45F9-BDA1-12C45D357490}">
          <x15:cacheHierarchy aggregatedColumn="147"/>
        </ext>
      </extLst>
    </cacheHierarchy>
    <cacheHierarchy uniqueName="[Measures].[Sum of WhiteCaucasian Flag]" caption="Sum of WhiteCaucasian Flag" measure="1" displayFolder="" measureGroup="PT Q1 1" count="0">
      <extLst>
        <ext xmlns:x15="http://schemas.microsoft.com/office/spreadsheetml/2010/11/main" uri="{B97F6D7D-B522-45F9-BDA1-12C45D357490}">
          <x15:cacheHierarchy aggregatedColumn="150"/>
        </ext>
      </extLst>
    </cacheHierarchy>
    <cacheHierarchy uniqueName="[Measures].[Sum of BlackAfrican American Flag]" caption="Sum of BlackAfrican American Flag" measure="1" displayFolder="" measureGroup="PT Q1 1" count="0">
      <extLst>
        <ext xmlns:x15="http://schemas.microsoft.com/office/spreadsheetml/2010/11/main" uri="{B97F6D7D-B522-45F9-BDA1-12C45D357490}">
          <x15:cacheHierarchy aggregatedColumn="151"/>
        </ext>
      </extLst>
    </cacheHierarchy>
    <cacheHierarchy uniqueName="[Measures].[Total Respondents]" caption="Total Respondents" measure="1" displayFolder="" measureGroup="PT Q1" count="0"/>
    <cacheHierarchy uniqueName="[Measures].[Woman]" caption="Woman" measure="1" displayFolder="" measureGroup="PT Q1" count="0"/>
    <cacheHierarchy uniqueName="[Measures].[Man]" caption="Man" measure="1" displayFolder="" measureGroup="PT Q1" count="0"/>
    <cacheHierarchy uniqueName="[Measures].[Transgender]" caption="Transgender" measure="1" displayFolder="" measureGroup="PT Q1" count="0"/>
    <cacheHierarchy uniqueName="[Measures].[Other Gender]" caption="Other Gender" measure="1" displayFolder="" measureGroup="PT Q1" count="0"/>
    <cacheHierarchy uniqueName="[Measures].[Ethnicity]" caption="Ethnicity" measure="1" displayFolder="" measureGroup="PT Q1" count="0"/>
    <cacheHierarchy uniqueName="[Measures].[White]" caption="White" measure="1" displayFolder="" measureGroup="PT Q1" count="0"/>
    <cacheHierarchy uniqueName="[Measures].[Black/African American]" caption="Black/African American" measure="1" displayFolder="" measureGroup="PT Q1" count="0"/>
    <cacheHierarchy uniqueName="[Measures].[Native Hawaiian/Pacific Islander]" caption="Native Hawaiian/Pacific Islander" measure="1" displayFolder="" measureGroup="PT Q1" count="0"/>
    <cacheHierarchy uniqueName="[Measures].[American Indian/Alaska Native]" caption="American Indian/Alaska Native" measure="1" displayFolder="" measureGroup="PT Q1" count="0"/>
    <cacheHierarchy uniqueName="[Measures].[Multi-racial]" caption="Multi-racial" measure="1" displayFolder="" measureGroup="PT Q1" count="0"/>
    <cacheHierarchy uniqueName="[Measures].[Other Race]" caption="Other Race" measure="1" displayFolder="" measureGroup="PT Q1" count="0"/>
    <cacheHierarchy uniqueName="[Measures].[Income $0-$19,999]" caption="Income $0-$19,999" measure="1" displayFolder="" measureGroup="PT Q1" count="0"/>
    <cacheHierarchy uniqueName="[Measures].[Income $20,000 to $34,999]" caption="Income $20,000 to $34,999" measure="1" displayFolder="" measureGroup="PT Q1" count="0"/>
    <cacheHierarchy uniqueName="[Measures].[Income $35,000 to $49,999]" caption="Income $35,000 to $49,999" measure="1" displayFolder="" measureGroup="PT Q1" count="0"/>
    <cacheHierarchy uniqueName="[Measures].[income $50,000 to $74,999]" caption="income $50,000 to $74,999" measure="1" displayFolder="" measureGroup="PT Q1" count="0"/>
    <cacheHierarchy uniqueName="[Measures].[Income $75,000 to $125,000]" caption="Income $75,000 to $125,000" measure="1" displayFolder="" measureGroup="PT Q1" count="0"/>
    <cacheHierarchy uniqueName="[Measures].[Income Over $125,000]" caption="Income Over $125,000" measure="1" displayFolder="" measureGroup="PT Q1" count="0"/>
    <cacheHierarchy uniqueName="[Measures].[Age 18-24]" caption="Age 18-24" measure="1" displayFolder="" measureGroup="PT Q1" count="0"/>
    <cacheHierarchy uniqueName="[Measures].[Age 25 to 34]" caption="Age 25 to 34" measure="1" displayFolder="" measureGroup="PT Q1" count="0"/>
    <cacheHierarchy uniqueName="[Measures].[Age 35 to 44]" caption="Age 35 to 44" measure="1" displayFolder="" measureGroup="PT Q1" count="0"/>
    <cacheHierarchy uniqueName="[Measures].[Age 45 to 54]" caption="Age 45 to 54" measure="1" displayFolder="" measureGroup="PT Q1" count="0"/>
    <cacheHierarchy uniqueName="[Measures].[Age 55 to 64]" caption="Age 55 to 64" measure="1" displayFolder="" measureGroup="PT Q1" count="0"/>
    <cacheHierarchy uniqueName="[Measures].[Age 65+]" caption="Age 65+" measure="1" displayFolder="" measureGroup="PT Q1" count="0"/>
    <cacheHierarchy uniqueName="[Measures].[K-8 Grade]" caption="K-8 Grade" measure="1" displayFolder="" measureGroup="PT Q1" count="0"/>
    <cacheHierarchy uniqueName="[Measures].[High School]" caption="High School" measure="1" displayFolder="" measureGroup="PT Q1" count="0"/>
    <cacheHierarchy uniqueName="[Measures].[Some High School]" caption="Some High School" measure="1" displayFolder="" measureGroup="PT Q1" count="0"/>
    <cacheHierarchy uniqueName="[Measures].[College]" caption="College" measure="1" displayFolder="" measureGroup="PT Q1" count="0"/>
    <cacheHierarchy uniqueName="[Measures].[Some College]" caption="Some College" measure="1" displayFolder="" measureGroup="PT Q1" count="0"/>
    <cacheHierarchy uniqueName="[Measures].[Technical School]" caption="Technical School" measure="1" displayFolder="" measureGroup="PT Q1" count="0"/>
    <cacheHierarchy uniqueName="[Measures].[Graduate School]" caption="Graduate School" measure="1" displayFolder="" measureGroup="PT Q1" count="0"/>
    <cacheHierarchy uniqueName="[Measures].[Doctorate]" caption="Doctorate" measure="1" displayFolder="" measureGroup="PT Q1" count="0"/>
    <cacheHierarchy uniqueName="[Measures].[GED]" caption="GED" measure="1" displayFolder="" measureGroup="PT Q1" count="0"/>
    <cacheHierarchy uniqueName="[Measures].[Employed for Wages]" caption="Employed for Wages" measure="1" displayFolder="" measureGroup="PT Q1" count="0"/>
    <cacheHierarchy uniqueName="[Measures].[Self-employed]" caption="Self-employed" measure="1" displayFolder="" measureGroup="PT Q1" count="0"/>
    <cacheHierarchy uniqueName="[Measures].[Student]" caption="Student" measure="1" displayFolder="" measureGroup="PT Q1" count="0"/>
    <cacheHierarchy uniqueName="[Measures].[Retired]" caption="Retired" measure="1" displayFolder="" measureGroup="PT Q1" count="0"/>
    <cacheHierarchy uniqueName="[Measures].[Military]" caption="Military" measure="1" displayFolder="" measureGroup="PT Q1" count="0"/>
    <cacheHierarchy uniqueName="[Measures].[Out of Work and Looking]" caption="Out of Work and Looking" measure="1" displayFolder="" measureGroup="PT Q1" count="0"/>
    <cacheHierarchy uniqueName="[Measures].[Out of Work Not Looking]" caption="Out of Work Not Looking" measure="1" displayFolder="" measureGroup="PT Q1" count="0"/>
    <cacheHierarchy uniqueName="[Measures].[Health Insurance Yes]" caption="Health Insurance Yes" measure="1" displayFolder="" measureGroup="PT Q1" count="0"/>
    <cacheHierarchy uniqueName="[Measures].[Health Insurance No]" caption="Health Insurance No" measure="1" displayFolder="" measureGroup="PT Q1" count="0"/>
    <cacheHierarchy uniqueName="[Measures].[Health Insurance In the Past]" caption="Health Insurance In the Past" measure="1" displayFolder="" measureGroup="PT Q1" count="0"/>
    <cacheHierarchy uniqueName="[Measures].[Medicare]" caption="Medicare" measure="1" displayFolder="" measureGroup="PT Q1" count="0"/>
    <cacheHierarchy uniqueName="[Measures].[Medicaid]" caption="Medicaid" measure="1" displayFolder="" measureGroup="PT Q1" count="0"/>
    <cacheHierarchy uniqueName="[Measures].[Private/Commerical]" caption="Private/Commerical" measure="1" displayFolder="" measureGroup="PT Q1" count="0"/>
    <cacheHierarchy uniqueName="[Measures].[Not Insured]" caption="Not Insured" measure="1" displayFolder="" measureGroup="PT Q1" count="0"/>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PT Q1 1]" caption="__XL_Count PT Q1 1" measure="1" displayFolder="" measureGroup="PT Q1 1" count="0" hidden="1"/>
    <cacheHierarchy uniqueName="[Measures].[__XL_Count of Models]" caption="__XL_Count of Models" measure="1" displayFolder="" count="0" hidden="1"/>
  </cacheHierarchies>
  <kpis count="0"/>
  <dimensions count="8">
    <dimension measure="1" name="Measures" uniqueName="[Measures]" caption="Measures"/>
    <dimension name="PT Q1" uniqueName="[PT Q1]" caption="PT Q1"/>
    <dimension name="PT Q1 1" uniqueName="[PT Q1 1]" caption="PT Q1 1"/>
    <dimension name="PT Q2" uniqueName="[PT Q2]" caption="PT Q2"/>
    <dimension name="PT Q3" uniqueName="[PT Q3]" caption="PT Q3"/>
    <dimension name="PT Q4" uniqueName="[PT Q4]" caption="PT Q4"/>
    <dimension name="PT Q5" uniqueName="[PT Q5]" caption="PT Q5"/>
    <dimension name="PT Q6" uniqueName="[PT Q6]" caption="PT Q6"/>
  </dimensions>
  <measureGroups count="7">
    <measureGroup name="PT Q1" caption="PT Q1"/>
    <measureGroup name="PT Q1 1" caption="PT Q1 1"/>
    <measureGroup name="PT Q2" caption="PT Q2"/>
    <measureGroup name="PT Q3" caption="PT Q3"/>
    <measureGroup name="PT Q4" caption="PT Q4"/>
    <measureGroup name="PT Q5" caption="PT Q5"/>
    <measureGroup name="PT Q6" caption="PT Q6"/>
  </measureGroups>
  <maps count="7">
    <map measureGroup="0" dimension="1"/>
    <map measureGroup="1" dimension="2"/>
    <map measureGroup="2" dimension="3"/>
    <map measureGroup="3" dimension="4"/>
    <map measureGroup="4" dimension="5"/>
    <map measureGroup="5" dimension="6"/>
    <map measureGroup="6" dimension="7"/>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Melissa Bauer" refreshedDate="44960.486453587961" createdVersion="5" refreshedVersion="5" minRefreshableVersion="3" recordCount="0" supportSubquery="1" supportAdvancedDrill="1">
  <cacheSource type="external" connectionId="8"/>
  <cacheFields count="15">
    <cacheField name="[PT Q1].[Town and ZIP code where you live:].[Town and ZIP code where you live:]" caption="Town and ZIP code where you live:" numFmtId="0" hierarchy="40" level="1">
      <sharedItems count="145">
        <s v="0"/>
        <s v="10001"/>
        <s v="11003"/>
        <s v="11231"/>
        <s v="11236"/>
        <s v="11355"/>
        <s v="11367"/>
        <s v="11372"/>
        <s v="11375"/>
        <s v="11414"/>
        <s v="11428"/>
        <s v="11429"/>
        <s v="11456"/>
        <s v="11692"/>
        <s v="22407"/>
        <s v="Albertson, 11507"/>
        <s v="Alden Manor, 11003"/>
        <s v="Allenwood, 11021"/>
        <s v="Amagansett, 11930"/>
        <s v="Amityville, 11701"/>
        <s v="Amityville, 11708"/>
        <s v="Aquebogue, 11931"/>
        <s v="Atlantic Beach, 11509"/>
        <s v="Babylon, 11702"/>
        <s v="Babylon, 11703"/>
        <s v="Babylon, 11704"/>
        <s v="Baiting Hollow, 11933"/>
        <s v="Baxter Estates, 11050"/>
        <s v="Bay Shore, 11706"/>
        <s v="Bellerose Terrace, 11001"/>
        <s v="Bellmore, 11710"/>
        <s v="Bethpage, 11714"/>
        <s v="Bohemia, 11716"/>
        <s v="Brentwood, 11717"/>
        <s v="Brightwaters, 11718"/>
        <s v="Brookville, 11545"/>
        <s v="Carle Place, 11514"/>
        <s v="Centereach, 11720"/>
        <s v="Centerport, 11721"/>
        <s v="Central Islip, 11722"/>
        <s v="Cold Spring Harbor, 11724"/>
        <s v="Commack, 11725"/>
        <s v="Copiague, 11726"/>
        <s v="Coram, 11727"/>
        <s v="Deer Park, 11729"/>
        <s v="Dix Hills, 11746"/>
        <s v="East Hills, 11576"/>
        <s v="East Islip, 11730"/>
        <s v="East Meadow, 11554"/>
        <s v="East Northport, 11731"/>
        <s v="Farmingdale, 11735"/>
        <s v="Farmingville, 11738"/>
        <s v="Floral Park, 11001"/>
        <s v="Floral Park, 11002"/>
        <s v="Franklin Square, 11010"/>
        <s v="Freeport, 11520"/>
        <s v="Garden City South, 11530"/>
        <s v="Garden City, 11530"/>
        <s v="Garden City, 11531"/>
        <s v="Garden City, 11536"/>
        <s v="Great Neck, 11026"/>
        <s v="Greenlawn, 11740"/>
        <s v="Halesite, 11743"/>
        <s v="Hauppauge, 11788"/>
        <s v="Head of the Harbor, 11780"/>
        <s v="Hempstead, 11549"/>
        <s v="Hempstead, 11550"/>
        <s v="Herricks, 11040"/>
        <s v="Hewlett Neck, 11598"/>
        <s v="Hicksville, 11801"/>
        <s v="Holtsville, 11742"/>
        <s v="Huntington Station, 11746"/>
        <s v="Huntington Station, 11747"/>
        <s v="Huntington, 11743"/>
        <s v="Islip Manor, 11751"/>
        <s v="Islip, 11751"/>
        <s v="Jericho, 11753"/>
        <s v="Kings Park, 11754"/>
        <s v="Lake Grove, 11755"/>
        <s v="Lake Ronkonkoma, 11779"/>
        <s v="Lake Success, 11020"/>
        <s v="Lakeview, 11552"/>
        <s v="Lawrence, 11559"/>
        <s v="Levittown, 11756"/>
        <s v="Lido Beach, 11561"/>
        <s v="Lindenhurst, 11757"/>
        <s v="Long Beach, 11561"/>
        <s v="Lynbrook, 11563"/>
        <s v="Malverne, 11565"/>
        <s v="Manhasset, 11030"/>
        <s v="Manorville, 11949"/>
        <s v="Massapequa Park, 11762"/>
        <s v="Massapequa, 11758"/>
        <s v="Mastic, 11950"/>
        <s v="Medford, 11763"/>
        <s v="Melville, 11747"/>
        <s v="Merrick, 11566"/>
        <s v="Middle Island, 11953"/>
        <s v="Miller Place, 11764"/>
        <s v="Mineola, 11501"/>
        <s v="Moriches, 11955"/>
        <s v="Nesconset, 11767"/>
        <s v="New Cassel, 11590"/>
        <s v="New Hyde Park, 11040"/>
        <s v="North Babylon, 11703"/>
        <s v="North Massapequa, 11758"/>
        <s v="North New Hyde Park, 11040"/>
        <s v="Northport, 11768"/>
        <s v="Oakdale, 11769"/>
        <s v="Oceanside, 11572"/>
        <s v="Patchogue, 11772"/>
        <s v="Peconic, 11958"/>
        <s v="Plainview, 11803"/>
        <s v="Port Jefferson Station, 11776"/>
        <s v="Ridge, 11961"/>
        <s v="Riverhead, 11901"/>
        <s v="Rockville Centre, 11570"/>
        <s v="Rocky Point, 11778"/>
        <s v="Ronkonkoma, 11779"/>
        <s v="Roslyn, 11576"/>
        <s v="Saint James, 11780"/>
        <s v="Sayville, 11782"/>
        <s v="Seaford, 11783"/>
        <s v="Selden, 11784"/>
        <s v="Setauket, 11733"/>
        <s v="Shirley, 11967"/>
        <s v="Smithtown, 11745"/>
        <s v="Smithtown, 11787"/>
        <s v="South Huntington, 11746"/>
        <s v="Stony Brook, 11790"/>
        <s v="Syosset, 11773"/>
        <s v="Syosset, 11791"/>
        <s v="Uniondale, 11553"/>
        <s v="Valley Stream, 11580"/>
        <s v="Wading River, 11792"/>
        <s v="Wantagh, 11793"/>
        <s v="West Babylon, 11704"/>
        <s v="West Hempstead, 11552"/>
        <s v="West Islip, 11795"/>
        <s v="West Sayville, 11796"/>
        <s v="Westbury, 11590"/>
        <s v="Williston Park, 11596"/>
        <s v="Woodbury, 11797"/>
        <s v="Woodsburgh, 11598"/>
        <s v="Yaphank, 11980"/>
      </sharedItems>
    </cacheField>
    <cacheField name="[Measures].[Sum of Women’s health  wellness10]" caption="Sum of Women’s health  wellness10" numFmtId="0" hierarchy="429" level="32767"/>
    <cacheField name="[Measures].[Count of RespondentID]" caption="Count of RespondentID" numFmtId="0" hierarchy="430" level="32767"/>
    <cacheField name="[Measures].[Sum of Asthmalung disease3]" caption="Sum of Asthmalung disease3" numFmtId="0" hierarchy="431" level="32767"/>
    <cacheField name="[Measures].[Sum of Cancer4]" caption="Sum of Cancer4" numFmtId="0" hierarchy="432" level="32767"/>
    <cacheField name="[Measures].[Sum of Heart disease  stroke5]" caption="Sum of Heart disease  stroke5" numFmtId="0" hierarchy="433" level="32767"/>
    <cacheField name="[Measures].[Sum of Safety6]" caption="Sum of Safety6" numFmtId="0" hierarchy="434" level="32767"/>
    <cacheField name="[Measures].[Sum of HIVAIDS  Sexually Transmitted Diseases (STDs)7]" caption="Sum of HIVAIDS  Sexually Transmitted Diseases (STDs)7" numFmtId="0" hierarchy="435" level="32767"/>
    <cacheField name="[Measures].[Sum of Vaccine preventable diseases8]" caption="Sum of Vaccine preventable diseases8" numFmtId="0" hierarchy="436" level="32767"/>
    <cacheField name="[Measures].[Sum of Child health  wellness9]" caption="Sum of Child health  wellness9" numFmtId="0" hierarchy="437" level="32767"/>
    <cacheField name="[Measures].[Sum of Diabetes11]" caption="Sum of Diabetes11" numFmtId="0" hierarchy="438" level="32767"/>
    <cacheField name="[Measures].[Sum of Mental health depressionsuicide12]" caption="Sum of Mental health depressionsuicide12" numFmtId="0" hierarchy="439" level="32767"/>
    <cacheField name="[Measures].[Sum of Drugs  alcohol abuse13]" caption="Sum of Drugs  alcohol abuse13" numFmtId="0" hierarchy="440" level="32767"/>
    <cacheField name="[Measures].[Sum of Environmental hazards14]" caption="Sum of Environmental hazards14" numFmtId="0" hierarchy="441" level="32767"/>
    <cacheField name="[Measures].[Sum of Obesityweight loss issues15]" caption="Sum of Obesityweight loss issues15" numFmtId="0" hierarchy="442" level="32767"/>
  </cacheFields>
  <cacheHierarchies count="600">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2"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2"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2" memberValueDatatype="130" unbalanced="0">
      <fieldsUsage count="2">
        <fieldUsage x="-1"/>
        <fieldUsage x="0"/>
      </fieldsUsage>
    </cacheHierarchy>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2"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2"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2"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2"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2"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2" memberValueDatatype="130" unbalanced="0"/>
    <cacheHierarchy uniqueName="[PT Q1].[What type of insurance do you have?]" caption="What type of insurance do you have?" attribute="1" defaultMemberUniqueName="[PT Q1].[What type of insurance do you have?].[All]" allUniqueName="[PT Q1].[What type of insurance do you have?].[All]" dimensionUniqueName="[PT Q1]" displayFolder="" count="0" memberValueDatatype="130" unbalanced="0"/>
    <cacheHierarchy uniqueName="[PT Q1].[Do you have a smartphone]" caption="Do you have a smartphone" attribute="1" defaultMemberUniqueName="[PT Q1].[Do you have a smartphone].[All]" allUniqueName="[PT Q1].[Do you have a smartphone].[All]" dimensionUniqueName="[PT Q1]" displayFolder="" count="0" memberValueDatatype="130" unbalanced="0"/>
    <cacheHierarchy uniqueName="[PT Q1].[Woman Flag]" caption="Woman Flag" attribute="1" defaultMemberUniqueName="[PT Q1].[Woman Flag].[All]" allUniqueName="[PT Q1].[Woman Flag].[All]" dimensionUniqueName="[PT Q1]" displayFolder="" count="0" memberValueDatatype="20" unbalanced="0"/>
    <cacheHierarchy uniqueName="[PT Q1].[Man Flag]" caption="Man Flag" attribute="1" defaultMemberUniqueName="[PT Q1].[Man Flag].[All]" allUniqueName="[PT Q1].[Man Flag].[All]" dimensionUniqueName="[PT Q1]" displayFolder="" count="0" memberValueDatatype="20" unbalanced="0"/>
    <cacheHierarchy uniqueName="[PT Q1].[Transgender Flag]" caption="Transgender Flag" attribute="1" defaultMemberUniqueName="[PT Q1].[Transgender Flag].[All]" allUniqueName="[PT Q1].[Transgender Flag].[All]" dimensionUniqueName="[PT Q1]" displayFolder="" count="0" memberValueDatatype="20" unbalanced="0"/>
    <cacheHierarchy uniqueName="[PT Q1].[Other Gender Flag]" caption="Other Gender Flag" attribute="1" defaultMemberUniqueName="[PT Q1].[Other Gender Flag].[All]" allUniqueName="[PT Q1].[Other Gender Flag].[All]" dimensionUniqueName="[PT Q1]" displayFolder="" count="0" memberValueDatatype="20" unbalanced="0"/>
    <cacheHierarchy uniqueName="[PT Q1].[Hispanic Flag]" caption="Hispanic Flag" attribute="1" defaultMemberUniqueName="[PT Q1].[Hispanic Flag].[All]" allUniqueName="[PT Q1].[Hispanic Flag].[All]" dimensionUniqueName="[PT Q1]" displayFolder="" count="0" memberValueDatatype="20" unbalanced="0"/>
    <cacheHierarchy uniqueName="[PT Q1].[White Flag]" caption="White Flag" attribute="1" defaultMemberUniqueName="[PT Q1].[White Flag].[All]" allUniqueName="[PT Q1].[White Flag].[All]" dimensionUniqueName="[PT Q1]" displayFolder="" count="0" memberValueDatatype="20" unbalanced="0"/>
    <cacheHierarchy uniqueName="[PT Q1].[Black or African American Flag]" caption="Black or African American Flag" attribute="1" defaultMemberUniqueName="[PT Q1].[Black or African American Flag].[All]" allUniqueName="[PT Q1].[Black or African American Flag].[All]" dimensionUniqueName="[PT Q1]" displayFolder="" count="0" memberValueDatatype="20" unbalanced="0"/>
    <cacheHierarchy uniqueName="[PT Q1].[Native Hawaiian and Other Pacific Islander Flag]" caption="Native Hawaiian and Other Pacific Islander Flag" attribute="1" defaultMemberUniqueName="[PT Q1].[Native Hawaiian and Other Pacific Islander Flag].[All]" allUniqueName="[PT Q1].[Native Hawaiian and Other Pacific Islander Flag].[All]" dimensionUniqueName="[PT Q1]" displayFolder="" count="0" memberValueDatatype="20" unbalanced="0"/>
    <cacheHierarchy uniqueName="[PT Q1].[American Indian and Alaska Native Flag]" caption="American Indian and Alaska Native Flag" attribute="1" defaultMemberUniqueName="[PT Q1].[American Indian and Alaska Native Flag].[All]" allUniqueName="[PT Q1].[American Indian and Alaska Native Flag].[All]" dimensionUniqueName="[PT Q1]" displayFolder="" count="0" memberValueDatatype="20" unbalanced="0"/>
    <cacheHierarchy uniqueName="[PT Q1].[Two or more races Flag]" caption="Two or more races Flag" attribute="1" defaultMemberUniqueName="[PT Q1].[Two or more races Flag].[All]" allUniqueName="[PT Q1].[Two or more races Flag].[All]" dimensionUniqueName="[PT Q1]" displayFolder="" count="0" memberValueDatatype="20" unbalanced="0"/>
    <cacheHierarchy uniqueName="[PT Q1].[Other Race Flag]" caption="Other Race Flag" attribute="1" defaultMemberUniqueName="[PT Q1].[Other Race Flag].[All]" allUniqueName="[PT Q1].[Other Race Flag].[All]" dimensionUniqueName="[PT Q1]" displayFolder="" count="0" memberValueDatatype="20" unbalanced="0"/>
    <cacheHierarchy uniqueName="[PT Q1].[$0-$19,999 Flag]" caption="$0-$19,999 Flag" attribute="1" defaultMemberUniqueName="[PT Q1].[$0-$19,999 Flag].[All]" allUniqueName="[PT Q1].[$0-$19,999 Flag].[All]" dimensionUniqueName="[PT Q1]" displayFolder="" count="0" memberValueDatatype="20" unbalanced="0"/>
    <cacheHierarchy uniqueName="[PT Q1].[$20,000 to $34,999 Flag]" caption="$20,000 to $34,999 Flag" attribute="1" defaultMemberUniqueName="[PT Q1].[$20,000 to $34,999 Flag].[All]" allUniqueName="[PT Q1].[$20,000 to $34,999 Flag].[All]" dimensionUniqueName="[PT Q1]" displayFolder="" count="0" memberValueDatatype="20" unbalanced="0"/>
    <cacheHierarchy uniqueName="[PT Q1].[$35,000 to $49,999 Flag]" caption="$35,000 to $49,999 Flag" attribute="1" defaultMemberUniqueName="[PT Q1].[$35,000 to $49,999 Flag].[All]" allUniqueName="[PT Q1].[$35,000 to $49,999 Flag].[All]" dimensionUniqueName="[PT Q1]" displayFolder="" count="0" memberValueDatatype="20" unbalanced="0"/>
    <cacheHierarchy uniqueName="[PT Q1].[$50,000 to $74,999 Flag]" caption="$50,000 to $74,999 Flag" attribute="1" defaultMemberUniqueName="[PT Q1].[$50,000 to $74,999 Flag].[All]" allUniqueName="[PT Q1].[$50,000 to $74,999 Flag].[All]" dimensionUniqueName="[PT Q1]" displayFolder="" count="0" memberValueDatatype="20" unbalanced="0"/>
    <cacheHierarchy uniqueName="[PT Q1].[$75,000 to $125,000 Flag]" caption="$75,000 to $125,000 Flag" attribute="1" defaultMemberUniqueName="[PT Q1].[$75,000 to $125,000 Flag].[All]" allUniqueName="[PT Q1].[$75,000 to $125,000 Flag].[All]" dimensionUniqueName="[PT Q1]" displayFolder="" count="0" memberValueDatatype="20" unbalanced="0"/>
    <cacheHierarchy uniqueName="[PT Q1].[Over $125,000 Flag]" caption="Over $125,000 Flag" attribute="1" defaultMemberUniqueName="[PT Q1].[Over $125,000 Flag].[All]" allUniqueName="[PT Q1].[Over $125,000 Flag].[All]" dimensionUniqueName="[PT Q1]" displayFolder="" count="0" memberValueDatatype="20" unbalanced="0"/>
    <cacheHierarchy uniqueName="[PT Q1].[18 TO 24 Flag]" caption="18 TO 24 Flag" attribute="1" defaultMemberUniqueName="[PT Q1].[18 TO 24 Flag].[All]" allUniqueName="[PT Q1].[18 TO 24 Flag].[All]" dimensionUniqueName="[PT Q1]" displayFolder="" count="0" memberValueDatatype="20" unbalanced="0"/>
    <cacheHierarchy uniqueName="[PT Q1].[25 to 34 Flag]" caption="25 to 34 Flag" attribute="1" defaultMemberUniqueName="[PT Q1].[25 to 34 Flag].[All]" allUniqueName="[PT Q1].[25 to 34 Flag].[All]" dimensionUniqueName="[PT Q1]" displayFolder="" count="0" memberValueDatatype="20" unbalanced="0"/>
    <cacheHierarchy uniqueName="[PT Q1].[35 to 44 Flag]" caption="35 to 44 Flag" attribute="1" defaultMemberUniqueName="[PT Q1].[35 to 44 Flag].[All]" allUniqueName="[PT Q1].[35 to 44 Flag].[All]" dimensionUniqueName="[PT Q1]" displayFolder="" count="0" memberValueDatatype="20" unbalanced="0"/>
    <cacheHierarchy uniqueName="[PT Q1].[45 to 54 Flag]" caption="45 to 54 Flag" attribute="1" defaultMemberUniqueName="[PT Q1].[45 to 54 Flag].[All]" allUniqueName="[PT Q1].[45 to 54 Flag].[All]" dimensionUniqueName="[PT Q1]" displayFolder="" count="0" memberValueDatatype="20" unbalanced="0"/>
    <cacheHierarchy uniqueName="[PT Q1].[55 to 64 Flag]" caption="55 to 64 Flag" attribute="1" defaultMemberUniqueName="[PT Q1].[55 to 64 Flag].[All]" allUniqueName="[PT Q1].[55 to 64 Flag].[All]" dimensionUniqueName="[PT Q1]" displayFolder="" count="0" memberValueDatatype="20" unbalanced="0"/>
    <cacheHierarchy uniqueName="[PT Q1].[65 Plus Flag]" caption="65 Plus Flag" attribute="1" defaultMemberUniqueName="[PT Q1].[65 Plus Flag].[All]" allUniqueName="[PT Q1].[65 Plus Flag].[All]" dimensionUniqueName="[PT Q1]" displayFolder="" count="0" memberValueDatatype="20" unbalanced="0"/>
    <cacheHierarchy uniqueName="[PT Q1].[K-8 grade Flag]" caption="K-8 grade Flag" attribute="1" defaultMemberUniqueName="[PT Q1].[K-8 grade Flag].[All]" allUniqueName="[PT Q1].[K-8 grade Flag].[All]" dimensionUniqueName="[PT Q1]" displayFolder="" count="0" memberValueDatatype="20" unbalanced="0"/>
    <cacheHierarchy uniqueName="[PT Q1].[Some High School Flag]" caption="Some High School Flag" attribute="1" defaultMemberUniqueName="[PT Q1].[Some High School Flag].[All]" allUniqueName="[PT Q1].[Some High School Flag].[All]" dimensionUniqueName="[PT Q1]" displayFolder="" count="0" memberValueDatatype="20" unbalanced="0"/>
    <cacheHierarchy uniqueName="[PT Q1].[High School Graduate Flag]" caption="High School Graduate Flag" attribute="1" defaultMemberUniqueName="[PT Q1].[High School Graduate Flag].[All]" allUniqueName="[PT Q1].[High School Graduate Flag].[All]" dimensionUniqueName="[PT Q1]" displayFolder="" count="0" memberValueDatatype="20" unbalanced="0"/>
    <cacheHierarchy uniqueName="[PT Q1].[Technical School Flag]" caption="Technical School Flag" attribute="1" defaultMemberUniqueName="[PT Q1].[Technical School Flag].[All]" allUniqueName="[PT Q1].[Technical School Flag].[All]" dimensionUniqueName="[PT Q1]" displayFolder="" count="0" memberValueDatatype="20" unbalanced="0"/>
    <cacheHierarchy uniqueName="[PT Q1].[Some College Flag]" caption="Some College Flag" attribute="1" defaultMemberUniqueName="[PT Q1].[Some College Flag].[All]" allUniqueName="[PT Q1].[Some College Flag].[All]" dimensionUniqueName="[PT Q1]" displayFolder="" count="0" memberValueDatatype="20" unbalanced="0"/>
    <cacheHierarchy uniqueName="[PT Q1].[College Graduate Flag]" caption="College Graduate Flag" attribute="1" defaultMemberUniqueName="[PT Q1].[College Graduate Flag].[All]" allUniqueName="[PT Q1].[College Graduate Flag].[All]" dimensionUniqueName="[PT Q1]" displayFolder="" count="0" memberValueDatatype="20" unbalanced="0"/>
    <cacheHierarchy uniqueName="[PT Q1].[Graduate School Flag]" caption="Graduate School Flag" attribute="1" defaultMemberUniqueName="[PT Q1].[Graduate School Flag].[All]" allUniqueName="[PT Q1].[Graduate School Flag].[All]" dimensionUniqueName="[PT Q1]" displayFolder="" count="0" memberValueDatatype="20" unbalanced="0"/>
    <cacheHierarchy uniqueName="[PT Q1].[Doctorate Flag]" caption="Doctorate Flag" attribute="1" defaultMemberUniqueName="[PT Q1].[Doctorate Flag].[All]" allUniqueName="[PT Q1].[Doctorate Flag].[All]" dimensionUniqueName="[PT Q1]" displayFolder="" count="0" memberValueDatatype="20" unbalanced="0"/>
    <cacheHierarchy uniqueName="[PT Q1].[GED Flag]" caption="GED Flag" attribute="1" defaultMemberUniqueName="[PT Q1].[GED Flag].[All]" allUniqueName="[PT Q1].[GED Flag].[All]" dimensionUniqueName="[PT Q1]" displayFolder="" count="0" memberValueDatatype="20" unbalanced="0"/>
    <cacheHierarchy uniqueName="[PT Q1].[Employed for Wages Flag]" caption="Employed for Wages Flag" attribute="1" defaultMemberUniqueName="[PT Q1].[Employed for Wages Flag].[All]" allUniqueName="[PT Q1].[Employed for Wages Flag].[All]" dimensionUniqueName="[PT Q1]" displayFolder="" count="0" memberValueDatatype="20" unbalanced="0"/>
    <cacheHierarchy uniqueName="[PT Q1].[Self-employed Flag]" caption="Self-employed Flag" attribute="1" defaultMemberUniqueName="[PT Q1].[Self-employed Flag].[All]" allUniqueName="[PT Q1].[Self-employed Flag].[All]" dimensionUniqueName="[PT Q1]" displayFolder="" count="0" memberValueDatatype="20" unbalanced="0"/>
    <cacheHierarchy uniqueName="[PT Q1].[Student Flag]" caption="Student Flag" attribute="1" defaultMemberUniqueName="[PT Q1].[Student Flag].[All]" allUniqueName="[PT Q1].[Student Flag].[All]" dimensionUniqueName="[PT Q1]" displayFolder="" count="0" memberValueDatatype="20" unbalanced="0"/>
    <cacheHierarchy uniqueName="[PT Q1].[Retired Flag]" caption="Retired Flag" attribute="1" defaultMemberUniqueName="[PT Q1].[Retired Flag].[All]" allUniqueName="[PT Q1].[Retired Flag].[All]" dimensionUniqueName="[PT Q1]" displayFolder="" count="0" memberValueDatatype="20" unbalanced="0"/>
    <cacheHierarchy uniqueName="[PT Q1].[Military Flag]" caption="Military Flag" attribute="1" defaultMemberUniqueName="[PT Q1].[Military Flag].[All]" allUniqueName="[PT Q1].[Military Flag].[All]" dimensionUniqueName="[PT Q1]" displayFolder="" count="0" memberValueDatatype="20" unbalanced="0"/>
    <cacheHierarchy uniqueName="[PT Q1].[Out of Work and Looking Flag]" caption="Out of Work and Looking Flag" attribute="1" defaultMemberUniqueName="[PT Q1].[Out of Work and Looking Flag].[All]" allUniqueName="[PT Q1].[Out of Work and Looking Flag].[All]" dimensionUniqueName="[PT Q1]" displayFolder="" count="0" memberValueDatatype="20" unbalanced="0"/>
    <cacheHierarchy uniqueName="[PT Q1].[Out of Work Not Looking Flag]" caption="Out of Work Not Looking Flag" attribute="1" defaultMemberUniqueName="[PT Q1].[Out of Work Not Looking Flag].[All]" allUniqueName="[PT Q1].[Out of Work Not Looking Flag].[All]" dimensionUniqueName="[PT Q1]" displayFolder="" count="0" memberValueDatatype="20" unbalanced="0"/>
    <cacheHierarchy uniqueName="[PT Q1].[Health Insurance Yes Flag]" caption="Health Insurance Yes Flag" attribute="1" defaultMemberUniqueName="[PT Q1].[Health Insurance Yes Flag].[All]" allUniqueName="[PT Q1].[Health Insurance Yes Flag].[All]" dimensionUniqueName="[PT Q1]" displayFolder="" count="0" memberValueDatatype="20" unbalanced="0"/>
    <cacheHierarchy uniqueName="[PT Q1].[Health Insurance No Flag]" caption="Health Insurance No Flag" attribute="1" defaultMemberUniqueName="[PT Q1].[Health Insurance No Flag].[All]" allUniqueName="[PT Q1].[Health Insurance No Flag].[All]" dimensionUniqueName="[PT Q1]" displayFolder="" count="0" memberValueDatatype="20" unbalanced="0"/>
    <cacheHierarchy uniqueName="[PT Q1].[Health Insurance In the Past Flag]" caption="Health Insurance In the Past Flag" attribute="1" defaultMemberUniqueName="[PT Q1].[Health Insurance In the Past Flag].[All]" allUniqueName="[PT Q1].[Health Insurance In the Past Flag].[All]" dimensionUniqueName="[PT Q1]" displayFolder="" count="0" memberValueDatatype="20" unbalanced="0"/>
    <cacheHierarchy uniqueName="[PT Q1].[Medicare Flag]" caption="Medicare Flag" attribute="1" defaultMemberUniqueName="[PT Q1].[Medicare Flag].[All]" allUniqueName="[PT Q1].[Medicare Flag].[All]" dimensionUniqueName="[PT Q1]" displayFolder="" count="0" memberValueDatatype="20" unbalanced="0"/>
    <cacheHierarchy uniqueName="[PT Q1].[Medicaid Flag]" caption="Medicaid Flag" attribute="1" defaultMemberUniqueName="[PT Q1].[Medicaid Flag].[All]" allUniqueName="[PT Q1].[Medicaid Flag].[All]" dimensionUniqueName="[PT Q1]" displayFolder="" count="0" memberValueDatatype="20" unbalanced="0"/>
    <cacheHierarchy uniqueName="[PT Q1].[Private/Commercial Flag]" caption="Private/Commercial Flag" attribute="1" defaultMemberUniqueName="[PT Q1].[Private/Commercial Flag].[All]" allUniqueName="[PT Q1].[Private/Commercial Flag].[All]" dimensionUniqueName="[PT Q1]" displayFolder="" count="0" memberValueDatatype="20" unbalanced="0"/>
    <cacheHierarchy uniqueName="[PT Q1].[No Insurance Flag]" caption="No Insurance Flag" attribute="1" defaultMemberUniqueName="[PT Q1].[No Insurance Flag].[All]" allUniqueName="[PT Q1].[No Insurance Flag].[All]" dimensionUniqueName="[PT Q1]" displayFolder="" count="0" memberValueDatatype="20" unbalanced="0"/>
    <cacheHierarchy uniqueName="[PT Q1 1].[RespondentID]" caption="RespondentID" attribute="1" defaultMemberUniqueName="[PT Q1 1].[RespondentID].[All]" allUniqueName="[PT Q1 1].[RespondentID].[All]" dimensionUniqueName="[PT Q1 1]" displayFolder="" count="0" memberValueDatatype="5" unbalanced="0"/>
    <cacheHierarchy uniqueName="[PT Q1 1].[Asthma/lung disease]" caption="Asthma/lung disease" attribute="1" defaultMemberUniqueName="[PT Q1 1].[Asthma/lung disease].[All]" allUniqueName="[PT Q1 1].[Asthma/lung disease].[All]" dimensionUniqueName="[PT Q1 1]" displayFolder="" count="0" memberValueDatatype="130" unbalanced="0"/>
    <cacheHierarchy uniqueName="[PT Q1 1].[Cancer]" caption="Cancer" attribute="1" defaultMemberUniqueName="[PT Q1 1].[Cancer].[All]" allUniqueName="[PT Q1 1].[Cancer].[All]" dimensionUniqueName="[PT Q1 1]" displayFolder="" count="0" memberValueDatatype="130" unbalanced="0"/>
    <cacheHierarchy uniqueName="[PT Q1 1].[Heart disease &amp; stroke]" caption="Heart disease &amp; stroke" attribute="1" defaultMemberUniqueName="[PT Q1 1].[Heart disease &amp; stroke].[All]" allUniqueName="[PT Q1 1].[Heart disease &amp; stroke].[All]" dimensionUniqueName="[PT Q1 1]" displayFolder="" count="0" memberValueDatatype="130" unbalanced="0"/>
    <cacheHierarchy uniqueName="[PT Q1 1].[Safety]" caption="Safety" attribute="1" defaultMemberUniqueName="[PT Q1 1].[Safety].[All]" allUniqueName="[PT Q1 1].[Safety].[All]" dimensionUniqueName="[PT Q1 1]" displayFolder="" count="0" memberValueDatatype="130" unbalanced="0"/>
    <cacheHierarchy uniqueName="[PT Q1 1].[HIV/AIDS &amp; Sexually Transmitted Diseases (STDs)]" caption="HIV/AIDS &amp; Sexually Transmitted Diseases (STDs)" attribute="1" defaultMemberUniqueName="[PT Q1 1].[HIV/AIDS &amp; Sexually Transmitted Diseases (STDs)].[All]" allUniqueName="[PT Q1 1].[HIV/AIDS &amp; Sexually Transmitted Diseases (STDs)].[All]" dimensionUniqueName="[PT Q1 1]" displayFolder="" count="0" memberValueDatatype="130" unbalanced="0"/>
    <cacheHierarchy uniqueName="[PT Q1 1].[Vaccine preventable diseases]" caption="Vaccine preventable diseases" attribute="1" defaultMemberUniqueName="[PT Q1 1].[Vaccine preventable diseases].[All]" allUniqueName="[PT Q1 1].[Vaccine preventable diseases].[All]" dimensionUniqueName="[PT Q1 1]" displayFolder="" count="0" memberValueDatatype="130" unbalanced="0"/>
    <cacheHierarchy uniqueName="[PT Q1 1].[Child health &amp; wellness]" caption="Child health &amp; wellness" attribute="1" defaultMemberUniqueName="[PT Q1 1].[Child health &amp; wellness].[All]" allUniqueName="[PT Q1 1].[Child health &amp; wellness].[All]" dimensionUniqueName="[PT Q1 1]" displayFolder="" count="0" memberValueDatatype="130" unbalanced="0"/>
    <cacheHierarchy uniqueName="[PT Q1 1].[Women’s health &amp; wellness]" caption="Women’s health &amp; wellness" attribute="1" defaultMemberUniqueName="[PT Q1 1].[Women’s health &amp; wellness].[All]" allUniqueName="[PT Q1 1].[Women’s health &amp; wellness].[All]" dimensionUniqueName="[PT Q1 1]" displayFolder="" count="0" memberValueDatatype="130" unbalanced="0"/>
    <cacheHierarchy uniqueName="[PT Q1 1].[Diabetes]" caption="Diabetes" attribute="1" defaultMemberUniqueName="[PT Q1 1].[Diabetes].[All]" allUniqueName="[PT Q1 1].[Diabetes].[All]" dimensionUniqueName="[PT Q1 1]" displayFolder="" count="0" memberValueDatatype="130" unbalanced="0"/>
    <cacheHierarchy uniqueName="[PT Q1 1].[Mental health depression/suicide]" caption="Mental health depression/suicide" attribute="1" defaultMemberUniqueName="[PT Q1 1].[Mental health depression/suicide].[All]" allUniqueName="[PT Q1 1].[Mental health depression/suicide].[All]" dimensionUniqueName="[PT Q1 1]" displayFolder="" count="0" memberValueDatatype="130" unbalanced="0"/>
    <cacheHierarchy uniqueName="[PT Q1 1].[Drugs &amp; alcohol abuse]" caption="Drugs &amp; alcohol abuse" attribute="1" defaultMemberUniqueName="[PT Q1 1].[Drugs &amp; alcohol abuse].[All]" allUniqueName="[PT Q1 1].[Drugs &amp; alcohol abuse].[All]" dimensionUniqueName="[PT Q1 1]" displayFolder="" count="0" memberValueDatatype="130" unbalanced="0"/>
    <cacheHierarchy uniqueName="[PT Q1 1].[Environmental hazards]" caption="Environmental hazards" attribute="1" defaultMemberUniqueName="[PT Q1 1].[Environmental hazards].[All]" allUniqueName="[PT Q1 1].[Environmental hazards].[All]" dimensionUniqueName="[PT Q1 1]" displayFolder="" count="0" memberValueDatatype="130" unbalanced="0"/>
    <cacheHierarchy uniqueName="[PT Q1 1].[Obesity/weight loss issues]" caption="Obesity/weight loss issues" attribute="1" defaultMemberUniqueName="[PT Q1 1].[Obesity/weight loss issues].[All]" allUniqueName="[PT Q1 1].[Obesity/weight loss issues].[All]" dimensionUniqueName="[PT Q1 1]" displayFolder="" count="0" memberValueDatatype="130" unbalanced="0"/>
    <cacheHierarchy uniqueName="[PT Q1 1].[Column1]" caption="Column1" attribute="1" defaultMemberUniqueName="[PT Q1 1].[Column1].[All]" allUniqueName="[PT Q1 1].[Column1].[All]" dimensionUniqueName="[PT Q1 1]" displayFolder="" count="0" memberValueDatatype="130" unbalanced="0"/>
    <cacheHierarchy uniqueName="[PT Q1 1].[Count of Selection]" caption="Count of Selection" attribute="1" defaultMemberUniqueName="[PT Q1 1].[Count of Selection].[All]" allUniqueName="[PT Q1 1].[Count of Selection].[All]" dimensionUniqueName="[PT Q1 1]" displayFolder="" count="0" memberValueDatatype="20" unbalanced="0"/>
    <cacheHierarchy uniqueName="[PT Q1 1].[Weight]" caption="Weight" attribute="1" defaultMemberUniqueName="[PT Q1 1].[Weight].[All]" allUniqueName="[PT Q1 1].[Weight].[All]" dimensionUniqueName="[PT Q1 1]" displayFolder="" count="0" memberValueDatatype="130" unbalanced="0"/>
    <cacheHierarchy uniqueName="[PT Q1 1].[Column2]" caption="Column2" attribute="1" defaultMemberUniqueName="[PT Q1 1].[Column2].[All]" allUniqueName="[PT Q1 1].[Column2].[All]" dimensionUniqueName="[PT Q1 1]" displayFolder="" count="0" memberValueDatatype="130" unbalanced="0"/>
    <cacheHierarchy uniqueName="[PT Q1 1].[Asthma/lung disease3]" caption="Asthma/lung disease3" attribute="1" defaultMemberUniqueName="[PT Q1 1].[Asthma/lung disease3].[All]" allUniqueName="[PT Q1 1].[Asthma/lung disease3].[All]" dimensionUniqueName="[PT Q1 1]" displayFolder="" count="0" memberValueDatatype="5" unbalanced="0"/>
    <cacheHierarchy uniqueName="[PT Q1 1].[Cancer4]" caption="Cancer4" attribute="1" defaultMemberUniqueName="[PT Q1 1].[Cancer4].[All]" allUniqueName="[PT Q1 1].[Cancer4].[All]" dimensionUniqueName="[PT Q1 1]" displayFolder="" count="0" memberValueDatatype="5" unbalanced="0"/>
    <cacheHierarchy uniqueName="[PT Q1 1].[Heart disease &amp; stroke5]" caption="Heart disease &amp; stroke5" attribute="1" defaultMemberUniqueName="[PT Q1 1].[Heart disease &amp; stroke5].[All]" allUniqueName="[PT Q1 1].[Heart disease &amp; stroke5].[All]" dimensionUniqueName="[PT Q1 1]" displayFolder="" count="0" memberValueDatatype="5" unbalanced="0"/>
    <cacheHierarchy uniqueName="[PT Q1 1].[Safety6]" caption="Safety6" attribute="1" defaultMemberUniqueName="[PT Q1 1].[Safety6].[All]" allUniqueName="[PT Q1 1].[Safety6].[All]" dimensionUniqueName="[PT Q1 1]" displayFolder="" count="0" memberValueDatatype="5" unbalanced="0"/>
    <cacheHierarchy uniqueName="[PT Q1 1].[HIV/AIDS &amp; Sexually Transmitted Diseases (STDs)7]" caption="HIV/AIDS &amp; Sexually Transmitted Diseases (STDs)7" attribute="1" defaultMemberUniqueName="[PT Q1 1].[HIV/AIDS &amp; Sexually Transmitted Diseases (STDs)7].[All]" allUniqueName="[PT Q1 1].[HIV/AIDS &amp; Sexually Transmitted Diseases (STDs)7].[All]" dimensionUniqueName="[PT Q1 1]" displayFolder="" count="0" memberValueDatatype="5" unbalanced="0"/>
    <cacheHierarchy uniqueName="[PT Q1 1].[Vaccine preventable diseases8]" caption="Vaccine preventable diseases8" attribute="1" defaultMemberUniqueName="[PT Q1 1].[Vaccine preventable diseases8].[All]" allUniqueName="[PT Q1 1].[Vaccine preventable diseases8].[All]" dimensionUniqueName="[PT Q1 1]" displayFolder="" count="0" memberValueDatatype="5" unbalanced="0"/>
    <cacheHierarchy uniqueName="[PT Q1 1].[Child health &amp; wellness9]" caption="Child health &amp; wellness9" attribute="1" defaultMemberUniqueName="[PT Q1 1].[Child health &amp; wellness9].[All]" allUniqueName="[PT Q1 1].[Child health &amp; wellness9].[All]" dimensionUniqueName="[PT Q1 1]" displayFolder="" count="0" memberValueDatatype="5" unbalanced="0"/>
    <cacheHierarchy uniqueName="[PT Q1 1].[Women’s health &amp; wellness10]" caption="Women’s health &amp; wellness10" attribute="1" defaultMemberUniqueName="[PT Q1 1].[Women’s health &amp; wellness10].[All]" allUniqueName="[PT Q1 1].[Women’s health &amp; wellness10].[All]" dimensionUniqueName="[PT Q1 1]" displayFolder="" count="0" memberValueDatatype="5" unbalanced="0"/>
    <cacheHierarchy uniqueName="[PT Q1 1].[Diabetes11]" caption="Diabetes11" attribute="1" defaultMemberUniqueName="[PT Q1 1].[Diabetes11].[All]" allUniqueName="[PT Q1 1].[Diabetes11].[All]" dimensionUniqueName="[PT Q1 1]" displayFolder="" count="0" memberValueDatatype="5" unbalanced="0"/>
    <cacheHierarchy uniqueName="[PT Q1 1].[Mental health depression/suicide12]" caption="Mental health depression/suicide12" attribute="1" defaultMemberUniqueName="[PT Q1 1].[Mental health depression/suicide12].[All]" allUniqueName="[PT Q1 1].[Mental health depression/suicide12].[All]" dimensionUniqueName="[PT Q1 1]" displayFolder="" count="0" memberValueDatatype="5" unbalanced="0"/>
    <cacheHierarchy uniqueName="[PT Q1 1].[Drugs &amp; alcohol abuse13]" caption="Drugs &amp; alcohol abuse13" attribute="1" defaultMemberUniqueName="[PT Q1 1].[Drugs &amp; alcohol abuse13].[All]" allUniqueName="[PT Q1 1].[Drugs &amp; alcohol abuse13].[All]" dimensionUniqueName="[PT Q1 1]" displayFolder="" count="0" memberValueDatatype="5" unbalanced="0"/>
    <cacheHierarchy uniqueName="[PT Q1 1].[Environmental hazards14]" caption="Environmental hazards14" attribute="1" defaultMemberUniqueName="[PT Q1 1].[Environmental hazards14].[All]" allUniqueName="[PT Q1 1].[Environmental hazards14].[All]" dimensionUniqueName="[PT Q1 1]" displayFolder="" count="0" memberValueDatatype="5" unbalanced="0"/>
    <cacheHierarchy uniqueName="[PT Q1 1].[Obesity/weight loss issues15]" caption="Obesity/weight loss issues15" attribute="1" defaultMemberUniqueName="[PT Q1 1].[Obesity/weight loss issues15].[All]" allUniqueName="[PT Q1 1].[Obesity/weight loss issues15].[All]" dimensionUniqueName="[PT Q1 1]" displayFolder="" count="0" memberValueDatatype="5" unbalanced="0"/>
    <cacheHierarchy uniqueName="[PT Q1 1].[Column3]" caption="Column3" attribute="1" defaultMemberUniqueName="[PT Q1 1].[Column3].[All]" allUniqueName="[PT Q1 1].[Column3].[All]" dimensionUniqueName="[PT Q1 1]" displayFolder="" count="0" memberValueDatatype="130" unbalanced="0"/>
    <cacheHierarchy uniqueName="[PT Q1 1].[Column4]" caption="Column4" attribute="1" defaultMemberUniqueName="[PT Q1 1].[Column4].[All]" allUniqueName="[PT Q1 1].[Column4].[All]" dimensionUniqueName="[PT Q1 1]" displayFolder="" count="0" memberValueDatatype="130" unbalanced="0"/>
    <cacheHierarchy uniqueName="[PT Q1 1].[Observed]" caption="Observed" attribute="1" defaultMemberUniqueName="[PT Q1 1].[Observed].[All]" allUniqueName="[PT Q1 1].[Observed].[All]" dimensionUniqueName="[PT Q1 1]" displayFolder="" count="0" memberValueDatatype="5" unbalanced="0"/>
    <cacheHierarchy uniqueName="[PT Q1 1].[Expected]" caption="Expected" attribute="1" defaultMemberUniqueName="[PT Q1 1].[Expected].[All]" allUniqueName="[PT Q1 1].[Expected].[All]" dimensionUniqueName="[PT Q1 1]" displayFolder="" count="0" memberValueDatatype="20" unbalanced="0"/>
    <cacheHierarchy uniqueName="[PT Q1 1].[Column18]" caption="Column18" attribute="1" defaultMemberUniqueName="[PT Q1 1].[Column18].[All]" allUniqueName="[PT Q1 1].[Column18].[All]" dimensionUniqueName="[PT Q1 1]" displayFolder="" count="0" memberValueDatatype="130" unbalanced="0"/>
    <cacheHierarchy uniqueName="[PT Q1 1].[Column5]" caption="Column5" attribute="1" defaultMemberUniqueName="[PT Q1 1].[Column5].[All]" allUniqueName="[PT Q1 1].[Column5].[All]" dimensionUniqueName="[PT Q1 1]" displayFolder="" count="0" memberValueDatatype="130" unbalanced="0"/>
    <cacheHierarchy uniqueName="[PT Q1 1].[I identify as:]" caption="I identify as:" attribute="1" defaultMemberUniqueName="[PT Q1 1].[I identify as:].[All]" allUniqueName="[PT Q1 1].[I identify as:].[All]" dimensionUniqueName="[PT Q1 1]" displayFolder="" count="0" memberValueDatatype="130" unbalanced="0"/>
    <cacheHierarchy uniqueName="[PT Q1 1].[What is your age?]" caption="What is your age?" attribute="1" defaultMemberUniqueName="[PT Q1 1].[What is your age?].[All]" allUniqueName="[PT Q1 1].[What is your age?].[All]" dimensionUniqueName="[PT Q1 1]" displayFolder="" count="0" memberValueDatatype="20" unbalanced="0"/>
    <cacheHierarchy uniqueName="[PT Q1 1].[County where you live:]" caption="County where you live:" attribute="1" defaultMemberUniqueName="[PT Q1 1].[County where you live:].[All]" allUniqueName="[PT Q1 1].[County where you live:].[All]" dimensionUniqueName="[PT Q1 1]" displayFolder="" count="0" memberValueDatatype="130" unbalanced="0"/>
    <cacheHierarchy uniqueName="[PT Q1 1].[Town and ZIP code where you live:]" caption="Town and ZIP code where you live:" attribute="1" defaultMemberUniqueName="[PT Q1 1].[Town and ZIP code where you live:].[All]" allUniqueName="[PT Q1 1].[Town and ZIP code where you live:].[All]" dimensionUniqueName="[PT Q1 1]" displayFolder="" count="0" memberValueDatatype="130" unbalanced="0"/>
    <cacheHierarchy uniqueName="[PT Q1 1].[What race do you consider yourself?]" caption="What race do you consider yourself?" attribute="1" defaultMemberUniqueName="[PT Q1 1].[What race do you consider yourself?].[All]" allUniqueName="[PT Q1 1].[What race do you consider yourself?].[All]" dimensionUniqueName="[PT Q1 1]" displayFolder="" count="0" memberValueDatatype="130" unbalanced="0"/>
    <cacheHierarchy uniqueName="[PT Q1 1].[Are you Hispanic or Latino?]" caption="Are you Hispanic or Latino?" attribute="1" defaultMemberUniqueName="[PT Q1 1].[Are you Hispanic or Latino?].[All]" allUniqueName="[PT Q1 1].[Are you Hispanic or Latino?].[All]" dimensionUniqueName="[PT Q1 1]" displayFolder="" count="0" memberValueDatatype="130" unbalanced="0"/>
    <cacheHierarchy uniqueName="[PT Q1 1].[What language do you speak when you are at home (select all that apply)]" caption="What language do you speak when you are at home (select all that apply)" attribute="1" defaultMemberUniqueName="[PT Q1 1].[What language do you speak when you are at home (select all that apply)].[All]" allUniqueName="[PT Q1 1].[What language do you speak when you are at home (select all that apply)].[All]" dimensionUniqueName="[PT Q1 1]" displayFolder="" count="0" memberValueDatatype="130" unbalanced="0"/>
    <cacheHierarchy uniqueName="[PT Q1 1].[What is your annual household income from all sources?]" caption="What is your annual household income from all sources?" attribute="1" defaultMemberUniqueName="[PT Q1 1].[What is your annual household income from all sources?].[All]" allUniqueName="[PT Q1 1].[What is your annual household income from all sources?].[All]" dimensionUniqueName="[PT Q1 1]" displayFolder="" count="0" memberValueDatatype="130" unbalanced="0"/>
    <cacheHierarchy uniqueName="[PT Q1 1].[What is your highest level of education?]" caption="What is your highest level of education?" attribute="1" defaultMemberUniqueName="[PT Q1 1].[What is your highest level of education?].[All]" allUniqueName="[PT Q1 1].[What is your highest level of education?].[All]" dimensionUniqueName="[PT Q1 1]" displayFolder="" count="0" memberValueDatatype="130" unbalanced="0"/>
    <cacheHierarchy uniqueName="[PT Q1 1].[What is your current employment status?]" caption="What is your current employment status?" attribute="1" defaultMemberUniqueName="[PT Q1 1].[What is your current employment status?].[All]" allUniqueName="[PT Q1 1].[What is your current employment status?].[All]" dimensionUniqueName="[PT Q1 1]" displayFolder="" count="0" memberValueDatatype="130" unbalanced="0"/>
    <cacheHierarchy uniqueName="[PT Q1 1].[Do you currently have health insurance?]" caption="Do you currently have health insurance?" attribute="1" defaultMemberUniqueName="[PT Q1 1].[Do you currently have health insurance?].[All]" allUniqueName="[PT Q1 1].[Do you currently have health insurance?].[All]" dimensionUniqueName="[PT Q1 1]" displayFolder="" count="0" memberValueDatatype="130" unbalanced="0"/>
    <cacheHierarchy uniqueName="[PT Q1 1].[What type of insurance do you have?]" caption="What type of insurance do you have?" attribute="1" defaultMemberUniqueName="[PT Q1 1].[What type of insurance do you have?].[All]" allUniqueName="[PT Q1 1].[What type of insurance do you have?].[All]" dimensionUniqueName="[PT Q1 1]" displayFolder="" count="0" memberValueDatatype="130" unbalanced="0"/>
    <cacheHierarchy uniqueName="[PT Q1 1].[Do you have access to reliable internet in your home?]" caption="Do you have access to reliable internet in your home?" attribute="1" defaultMemberUniqueName="[PT Q1 1].[Do you have access to reliable internet in your home?].[All]" allUniqueName="[PT Q1 1].[Do you have access to reliable internet in your home?].[All]" dimensionUniqueName="[PT Q1 1]" displayFolder="" count="0" memberValueDatatype="130" unbalanced="0"/>
    <cacheHierarchy uniqueName="[PT Q1 1].[Female Flag]" caption="Female Flag" attribute="1" defaultMemberUniqueName="[PT Q1 1].[Female Flag].[All]" allUniqueName="[PT Q1 1].[Female Flag].[All]" dimensionUniqueName="[PT Q1 1]" displayFolder="" count="0" memberValueDatatype="20" unbalanced="0"/>
    <cacheHierarchy uniqueName="[PT Q1 1].[Male Flag]" caption="Male Flag" attribute="1" defaultMemberUniqueName="[PT Q1 1].[Male Flag].[All]" allUniqueName="[PT Q1 1].[Male Flag].[All]" dimensionUniqueName="[PT Q1 1]" displayFolder="" count="0" memberValueDatatype="20" unbalanced="0"/>
    <cacheHierarchy uniqueName="[PT Q1 1].[Other Flag]" caption="Other Flag" attribute="1" defaultMemberUniqueName="[PT Q1 1].[Other Flag].[All]" allUniqueName="[PT Q1 1].[Other Flag].[All]" dimensionUniqueName="[PT Q1 1]" displayFolder="" count="0" memberValueDatatype="20" unbalanced="0"/>
    <cacheHierarchy uniqueName="[PT Q1 1].[Hispanic Flag]" caption="Hispanic Flag" attribute="1" defaultMemberUniqueName="[PT Q1 1].[Hispanic Flag].[All]" allUniqueName="[PT Q1 1].[Hispanic Flag].[All]" dimensionUniqueName="[PT Q1 1]" displayFolder="" count="0" memberValueDatatype="20" unbalanced="0"/>
    <cacheHierarchy uniqueName="[PT Q1 1].[White/Caucasian Flag]" caption="White/Caucasian Flag" attribute="1" defaultMemberUniqueName="[PT Q1 1].[White/Caucasian Flag].[All]" allUniqueName="[PT Q1 1].[White/Caucasian Flag].[All]" dimensionUniqueName="[PT Q1 1]" displayFolder="" count="0" memberValueDatatype="20" unbalanced="0"/>
    <cacheHierarchy uniqueName="[PT Q1 1].[Black/African American Flag]" caption="Black/African American Flag" attribute="1" defaultMemberUniqueName="[PT Q1 1].[Black/African American Flag].[All]" allUniqueName="[PT Q1 1].[Black/African American Flag].[All]" dimensionUniqueName="[PT Q1 1]" displayFolder="" count="0" memberValueDatatype="20" unbalanced="0"/>
    <cacheHierarchy uniqueName="[PT Q1 1].[Asian/Pacific Islander Flag]" caption="Asian/Pacific Islander Flag" attribute="1" defaultMemberUniqueName="[PT Q1 1].[Asian/Pacific Islander Flag].[All]" allUniqueName="[PT Q1 1].[Asian/Pacific Islander Flag].[All]" dimensionUniqueName="[PT Q1 1]" displayFolder="" count="0" memberValueDatatype="20" unbalanced="0"/>
    <cacheHierarchy uniqueName="[PT Q1 1].[Native American Flag]" caption="Native American Flag" attribute="1" defaultMemberUniqueName="[PT Q1 1].[Native American Flag].[All]" allUniqueName="[PT Q1 1].[Native American Flag].[All]" dimensionUniqueName="[PT Q1 1]" displayFolder="" count="0" memberValueDatatype="20" unbalanced="0"/>
    <cacheHierarchy uniqueName="[PT Q1 1].[Multi-racial Flag]" caption="Multi-racial Flag" attribute="1" defaultMemberUniqueName="[PT Q1 1].[Multi-racial Flag].[All]" allUniqueName="[PT Q1 1].[Multi-racial Flag].[All]" dimensionUniqueName="[PT Q1 1]" displayFolder="" count="0" memberValueDatatype="20" unbalanced="0"/>
    <cacheHierarchy uniqueName="[PT Q1 1].[Other Race Flag]" caption="Other Race Flag" attribute="1" defaultMemberUniqueName="[PT Q1 1].[Other Race Flag].[All]" allUniqueName="[PT Q1 1].[Other Race Flag].[All]" dimensionUniqueName="[PT Q1 1]" displayFolder="" count="0" memberValueDatatype="20" unbalanced="0"/>
    <cacheHierarchy uniqueName="[PT Q1 1].[$0-$19,999 Flag]" caption="$0-$19,999 Flag" attribute="1" defaultMemberUniqueName="[PT Q1 1].[$0-$19,999 Flag].[All]" allUniqueName="[PT Q1 1].[$0-$19,999 Flag].[All]" dimensionUniqueName="[PT Q1 1]" displayFolder="" count="0" memberValueDatatype="20" unbalanced="0"/>
    <cacheHierarchy uniqueName="[PT Q1 1].[$20,000 to $34,999 Flag]" caption="$20,000 to $34,999 Flag" attribute="1" defaultMemberUniqueName="[PT Q1 1].[$20,000 to $34,999 Flag].[All]" allUniqueName="[PT Q1 1].[$20,000 to $34,999 Flag].[All]" dimensionUniqueName="[PT Q1 1]" displayFolder="" count="0" memberValueDatatype="20" unbalanced="0"/>
    <cacheHierarchy uniqueName="[PT Q1 1].[$35,000 to $49,999 Flag]" caption="$35,000 to $49,999 Flag" attribute="1" defaultMemberUniqueName="[PT Q1 1].[$35,000 to $49,999 Flag].[All]" allUniqueName="[PT Q1 1].[$35,000 to $49,999 Flag].[All]" dimensionUniqueName="[PT Q1 1]" displayFolder="" count="0" memberValueDatatype="20" unbalanced="0"/>
    <cacheHierarchy uniqueName="[PT Q1 1].[$50,000 to $74,999 Flag]" caption="$50,000 to $74,999 Flag" attribute="1" defaultMemberUniqueName="[PT Q1 1].[$50,000 to $74,999 Flag].[All]" allUniqueName="[PT Q1 1].[$50,000 to $74,999 Flag].[All]" dimensionUniqueName="[PT Q1 1]" displayFolder="" count="0" memberValueDatatype="20" unbalanced="0"/>
    <cacheHierarchy uniqueName="[PT Q1 1].[$75,000 to $125,000 Flag]" caption="$75,000 to $125,000 Flag" attribute="1" defaultMemberUniqueName="[PT Q1 1].[$75,000 to $125,000 Flag].[All]" allUniqueName="[PT Q1 1].[$75,000 to $125,000 Flag].[All]" dimensionUniqueName="[PT Q1 1]" displayFolder="" count="0" memberValueDatatype="20" unbalanced="0"/>
    <cacheHierarchy uniqueName="[PT Q1 1].[Over $125,000 Flag]" caption="Over $125,000 Flag" attribute="1" defaultMemberUniqueName="[PT Q1 1].[Over $125,000 Flag].[All]" allUniqueName="[PT Q1 1].[Over $125,000 Flag].[All]" dimensionUniqueName="[PT Q1 1]" displayFolder="" count="0" memberValueDatatype="20" unbalanced="0"/>
    <cacheHierarchy uniqueName="[PT Q1 1].[18-24 Flag]" caption="18-24 Flag" attribute="1" defaultMemberUniqueName="[PT Q1 1].[18-24 Flag].[All]" allUniqueName="[PT Q1 1].[18-24 Flag].[All]" dimensionUniqueName="[PT Q1 1]" displayFolder="" count="0" memberValueDatatype="20" unbalanced="0"/>
    <cacheHierarchy uniqueName="[PT Q1 1].[25-34 Flag]" caption="25-34 Flag" attribute="1" defaultMemberUniqueName="[PT Q1 1].[25-34 Flag].[All]" allUniqueName="[PT Q1 1].[25-34 Flag].[All]" dimensionUniqueName="[PT Q1 1]" displayFolder="" count="0" memberValueDatatype="20" unbalanced="0"/>
    <cacheHierarchy uniqueName="[PT Q1 1].[35-44 Flag]" caption="35-44 Flag" attribute="1" defaultMemberUniqueName="[PT Q1 1].[35-44 Flag].[All]" allUniqueName="[PT Q1 1].[35-44 Flag].[All]" dimensionUniqueName="[PT Q1 1]" displayFolder="" count="0" memberValueDatatype="20" unbalanced="0"/>
    <cacheHierarchy uniqueName="[PT Q1 1].[45-54 Flag]" caption="45-54 Flag" attribute="1" defaultMemberUniqueName="[PT Q1 1].[45-54 Flag].[All]" allUniqueName="[PT Q1 1].[45-54 Flag].[All]" dimensionUniqueName="[PT Q1 1]" displayFolder="" count="0" memberValueDatatype="20" unbalanced="0"/>
    <cacheHierarchy uniqueName="[PT Q1 1].[55-64 Flag]" caption="55-64 Flag" attribute="1" defaultMemberUniqueName="[PT Q1 1].[55-64 Flag].[All]" allUniqueName="[PT Q1 1].[55-64 Flag].[All]" dimensionUniqueName="[PT Q1 1]" displayFolder="" count="0" memberValueDatatype="20" unbalanced="0"/>
    <cacheHierarchy uniqueName="[PT Q1 1].[65+ Flag]" caption="65+ Flag" attribute="1" defaultMemberUniqueName="[PT Q1 1].[65+ Flag].[All]" allUniqueName="[PT Q1 1].[65+ Flag].[All]" dimensionUniqueName="[PT Q1 1]" displayFolder="" count="0" memberValueDatatype="20" unbalanced="0"/>
    <cacheHierarchy uniqueName="[PT Q1 1].[K-8th Flag]" caption="K-8th Flag" attribute="1" defaultMemberUniqueName="[PT Q1 1].[K-8th Flag].[All]" allUniqueName="[PT Q1 1].[K-8th Flag].[All]" dimensionUniqueName="[PT Q1 1]" displayFolder="" count="0" memberValueDatatype="20" unbalanced="0"/>
    <cacheHierarchy uniqueName="[PT Q1 1].[Some high school Flag]" caption="Some high school Flag" attribute="1" defaultMemberUniqueName="[PT Q1 1].[Some high school Flag].[All]" allUniqueName="[PT Q1 1].[Some high school Flag].[All]" dimensionUniqueName="[PT Q1 1]" displayFolder="" count="0" memberValueDatatype="20" unbalanced="0"/>
    <cacheHierarchy uniqueName="[PT Q1 1].[High school graduate Flag]" caption="High school graduate Flag" attribute="1" defaultMemberUniqueName="[PT Q1 1].[High school graduate Flag].[All]" allUniqueName="[PT Q1 1].[High school graduate Flag].[All]" dimensionUniqueName="[PT Q1 1]" displayFolder="" count="0" memberValueDatatype="20" unbalanced="0"/>
    <cacheHierarchy uniqueName="[PT Q1 1].[Technical school Flag]" caption="Technical school Flag" attribute="1" defaultMemberUniqueName="[PT Q1 1].[Technical school Flag].[All]" allUniqueName="[PT Q1 1].[Technical school Flag].[All]" dimensionUniqueName="[PT Q1 1]" displayFolder="" count="0" memberValueDatatype="20" unbalanced="0"/>
    <cacheHierarchy uniqueName="[PT Q1 1].[Some college Flag]" caption="Some college Flag" attribute="1" defaultMemberUniqueName="[PT Q1 1].[Some college Flag].[All]" allUniqueName="[PT Q1 1].[Some college Flag].[All]" dimensionUniqueName="[PT Q1 1]" displayFolder="" count="0" memberValueDatatype="20" unbalanced="0"/>
    <cacheHierarchy uniqueName="[PT Q1 1].[College graduate Flag]" caption="College graduate Flag" attribute="1" defaultMemberUniqueName="[PT Q1 1].[College graduate Flag].[All]" allUniqueName="[PT Q1 1].[College graduate Flag].[All]" dimensionUniqueName="[PT Q1 1]" displayFolder="" count="0" memberValueDatatype="20" unbalanced="0"/>
    <cacheHierarchy uniqueName="[PT Q1 1].[Graduate school Flag]" caption="Graduate school Flag" attribute="1" defaultMemberUniqueName="[PT Q1 1].[Graduate school Flag].[All]" allUniqueName="[PT Q1 1].[Graduate school Flag].[All]" dimensionUniqueName="[PT Q1 1]" displayFolder="" count="0" memberValueDatatype="20" unbalanced="0"/>
    <cacheHierarchy uniqueName="[PT Q1 1].[Doctorate Flag]" caption="Doctorate Flag" attribute="1" defaultMemberUniqueName="[PT Q1 1].[Doctorate Flag].[All]" allUniqueName="[PT Q1 1].[Doctorate Flag].[All]" dimensionUniqueName="[PT Q1 1]" displayFolder="" count="0" memberValueDatatype="20" unbalanced="0"/>
    <cacheHierarchy uniqueName="[PT Q1 1].[GED Flag]" caption="GED Flag" attribute="1" defaultMemberUniqueName="[PT Q1 1].[GED Flag].[All]" allUniqueName="[PT Q1 1].[GED Flag].[All]" dimensionUniqueName="[PT Q1 1]" displayFolder="" count="0" memberValueDatatype="20" unbalanced="0"/>
    <cacheHierarchy uniqueName="[PT Q1 1].[None Flag]" caption="None Flag" attribute="1" defaultMemberUniqueName="[PT Q1 1].[None Flag].[All]" allUniqueName="[PT Q1 1].[None Flag].[All]" dimensionUniqueName="[PT Q1 1]" displayFolder="" count="0" memberValueDatatype="20" unbalanced="0"/>
    <cacheHierarchy uniqueName="[PT Q1 1].[Employed for Wages Flag]" caption="Employed for Wages Flag" attribute="1" defaultMemberUniqueName="[PT Q1 1].[Employed for Wages Flag].[All]" allUniqueName="[PT Q1 1].[Employed for Wages Flag].[All]" dimensionUniqueName="[PT Q1 1]" displayFolder="" count="0" memberValueDatatype="20" unbalanced="0"/>
    <cacheHierarchy uniqueName="[PT Q1 1].[Self-employed Flag]" caption="Self-employed Flag" attribute="1" defaultMemberUniqueName="[PT Q1 1].[Self-employed Flag].[All]" allUniqueName="[PT Q1 1].[Self-employed Flag].[All]" dimensionUniqueName="[PT Q1 1]" displayFolder="" count="0" memberValueDatatype="20" unbalanced="0"/>
    <cacheHierarchy uniqueName="[PT Q1 1].[Student Flag]" caption="Student Flag" attribute="1" defaultMemberUniqueName="[PT Q1 1].[Student Flag].[All]" allUniqueName="[PT Q1 1].[Student Flag].[All]" dimensionUniqueName="[PT Q1 1]" displayFolder="" count="0" memberValueDatatype="20" unbalanced="0"/>
    <cacheHierarchy uniqueName="[PT Q1 1].[Retired Flag]" caption="Retired Flag" attribute="1" defaultMemberUniqueName="[PT Q1 1].[Retired Flag].[All]" allUniqueName="[PT Q1 1].[Retired Flag].[All]" dimensionUniqueName="[PT Q1 1]" displayFolder="" count="0" memberValueDatatype="20" unbalanced="0"/>
    <cacheHierarchy uniqueName="[PT Q1 1].[Military Flag]" caption="Military Flag" attribute="1" defaultMemberUniqueName="[PT Q1 1].[Military Flag].[All]" allUniqueName="[PT Q1 1].[Military Flag].[All]" dimensionUniqueName="[PT Q1 1]" displayFolder="" count="0" memberValueDatatype="20" unbalanced="0"/>
    <cacheHierarchy uniqueName="[PT Q1 1].[Out of work and looking for work Flag]" caption="Out of work and looking for work Flag" attribute="1" defaultMemberUniqueName="[PT Q1 1].[Out of work and looking for work Flag].[All]" allUniqueName="[PT Q1 1].[Out of work and looking for work Flag].[All]" dimensionUniqueName="[PT Q1 1]" displayFolder="" count="0" memberValueDatatype="20" unbalanced="0"/>
    <cacheHierarchy uniqueName="[PT Q1 1].[Out of work, but not currently looking Flag]" caption="Out of work, but not currently looking Flag" attribute="1" defaultMemberUniqueName="[PT Q1 1].[Out of work, but not currently looking Flag].[All]" allUniqueName="[PT Q1 1].[Out of work, but not currently looking Flag].[All]" dimensionUniqueName="[PT Q1 1]" displayFolder="" count="0" memberValueDatatype="20" unbalanced="0"/>
    <cacheHierarchy uniqueName="[PT Q1 1].[Currently Insured Flag]" caption="Currently Insured Flag" attribute="1" defaultMemberUniqueName="[PT Q1 1].[Currently Insured Flag].[All]" allUniqueName="[PT Q1 1].[Currently Insured Flag].[All]" dimensionUniqueName="[PT Q1 1]" displayFolder="" count="0" memberValueDatatype="20" unbalanced="0"/>
    <cacheHierarchy uniqueName="[PT Q1 1].[Previously Insured Flag]" caption="Previously Insured Flag" attribute="1" defaultMemberUniqueName="[PT Q1 1].[Previously Insured Flag].[All]" allUniqueName="[PT Q1 1].[Previously Insured Flag].[All]" dimensionUniqueName="[PT Q1 1]" displayFolder="" count="0" memberValueDatatype="20" unbalanced="0"/>
    <cacheHierarchy uniqueName="[PT Q1 1].[Not Insured Flag]" caption="Not Insured Flag" attribute="1" defaultMemberUniqueName="[PT Q1 1].[Not Insured Flag].[All]" allUniqueName="[PT Q1 1].[Not Insured Flag].[All]" dimensionUniqueName="[PT Q1 1]" displayFolder="" count="0" memberValueDatatype="20" unbalanced="0"/>
    <cacheHierarchy uniqueName="[PT Q1 1].[Medicaid Flag]" caption="Medicaid Flag" attribute="1" defaultMemberUniqueName="[PT Q1 1].[Medicaid Flag].[All]" allUniqueName="[PT Q1 1].[Medicaid Flag].[All]" dimensionUniqueName="[PT Q1 1]" displayFolder="" count="0" memberValueDatatype="20" unbalanced="0"/>
    <cacheHierarchy uniqueName="[PT Q1 1].[Medicaid,Medicare Flag]" caption="Medicaid,Medicare Flag" attribute="1" defaultMemberUniqueName="[PT Q1 1].[Medicaid,Medicare Flag].[All]" allUniqueName="[PT Q1 1].[Medicaid,Medicare Flag].[All]" dimensionUniqueName="[PT Q1 1]" displayFolder="" count="0" memberValueDatatype="20" unbalanced="0"/>
    <cacheHierarchy uniqueName="[PT Q1 1].[Medicaid,Medicare,Private/Commercial Flag]" caption="Medicaid,Medicare,Private/Commercial Flag" attribute="1" defaultMemberUniqueName="[PT Q1 1].[Medicaid,Medicare,Private/Commercial Flag].[All]" allUniqueName="[PT Q1 1].[Medicaid,Medicare,Private/Commercial Flag].[All]" dimensionUniqueName="[PT Q1 1]" displayFolder="" count="0" memberValueDatatype="20" unbalanced="0"/>
    <cacheHierarchy uniqueName="[PT Q1 1].[Medicaid,Private/Commercial Flag]" caption="Medicaid,Private/Commercial Flag" attribute="1" defaultMemberUniqueName="[PT Q1 1].[Medicaid,Private/Commercial Flag].[All]" allUniqueName="[PT Q1 1].[Medicaid,Private/Commercial Flag].[All]" dimensionUniqueName="[PT Q1 1]" displayFolder="" count="0" memberValueDatatype="20" unbalanced="0"/>
    <cacheHierarchy uniqueName="[PT Q1 1].[Medicare Flag]" caption="Medicare Flag" attribute="1" defaultMemberUniqueName="[PT Q1 1].[Medicare Flag].[All]" allUniqueName="[PT Q1 1].[Medicare Flag].[All]" dimensionUniqueName="[PT Q1 1]" displayFolder="" count="0" memberValueDatatype="20" unbalanced="0"/>
    <cacheHierarchy uniqueName="[PT Q1 1].[Medicare,No Insurance Flag]" caption="Medicare,No Insurance Flag" attribute="1" defaultMemberUniqueName="[PT Q1 1].[Medicare,No Insurance Flag].[All]" allUniqueName="[PT Q1 1].[Medicare,No Insurance Flag].[All]" dimensionUniqueName="[PT Q1 1]" displayFolder="" count="0" memberValueDatatype="20" unbalanced="0"/>
    <cacheHierarchy uniqueName="[PT Q1 1].[Medicare,Private/Commercial Flag]" caption="Medicare,Private/Commercial Flag" attribute="1" defaultMemberUniqueName="[PT Q1 1].[Medicare,Private/Commercial Flag].[All]" allUniqueName="[PT Q1 1].[Medicare,Private/Commercial Flag].[All]" dimensionUniqueName="[PT Q1 1]" displayFolder="" count="0" memberValueDatatype="20" unbalanced="0"/>
    <cacheHierarchy uniqueName="[PT Q1 1].[No Insurance Flag]" caption="No Insurance Flag" attribute="1" defaultMemberUniqueName="[PT Q1 1].[No Insurance Flag].[All]" allUniqueName="[PT Q1 1].[No Insurance Flag].[All]" dimensionUniqueName="[PT Q1 1]" displayFolder="" count="0" memberValueDatatype="20" unbalanced="0"/>
    <cacheHierarchy uniqueName="[PT Q1 1].[Private/Commercial Flag]" caption="Private/Commercial Flag" attribute="1" defaultMemberUniqueName="[PT Q1 1].[Private/Commercial Flag].[All]" allUniqueName="[PT Q1 1].[Private/Commercial Flag].[All]" dimensionUniqueName="[PT Q1 1]" displayFolder="" count="0" memberValueDatatype="20" unbalanced="0"/>
    <cacheHierarchy uniqueName="[PT Q1 1].[Reliable Internet Flag]" caption="Reliable Internet Flag" attribute="1" defaultMemberUniqueName="[PT Q1 1].[Reliable Internet Flag].[All]" allUniqueName="[PT Q1 1].[Reliable Internet Flag].[All]" dimensionUniqueName="[PT Q1 1]" displayFolder="" count="0" memberValueDatatype="2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OTHER]" caption="OTHER" attribute="1" defaultMemberUniqueName="[PT Q2].[OTHER].[All]" allUniqueName="[PT Q2].[OTHER].[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5"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What type of insurance do you have?]" caption="What type of insurance do you have?" attribute="1" defaultMemberUniqueName="[PT Q2].[What type of insurance do you have?].[All]" allUniqueName="[PT Q2].[What type of insurance do you have?].[All]" dimensionUniqueName="[PT Q2]" displayFolder="" count="0" memberValueDatatype="130" unbalanced="0"/>
    <cacheHierarchy uniqueName="[PT Q2].[Do you have access to reliable internet in your home?]" caption="Do you have access to reliable internet in your home?" attribute="1" defaultMemberUniqueName="[PT Q2].[Do you have access to reliable internet in your home?].[All]" allUniqueName="[PT Q2].[Do you have access to reliable internet in your hom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immigration status)]" caption="Fear (e.g. not ready to face/discuss health problem; immigration status)" attribute="1" defaultMemberUniqueName="[PT Q3].[Fear (e.g. not ready to face/discuss health problem; immigration status)].[All]" allUniqueName="[PT Q3].[Fear (e.g. not ready to face/discuss health problem; immigration status)].[All]" dimensionUniqueName="[PT Q3]" displayFolder="" count="0" memberValueDatatype="130" unbalanced="0"/>
    <cacheHierarchy uniqueName="[PT Q3].[OTHER]" caption="OTHER" attribute="1" defaultMemberUniqueName="[PT Q3].[OTHER].[All]" allUniqueName="[PT Q3].[OTHER].[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immigration status)14]" caption="Fear (e.g. not ready to face/discuss health problem;immigration status)14" attribute="1" defaultMemberUniqueName="[PT Q3].[Fear (e.g. not ready to face/discuss health problem;immigration status)14].[All]" allUniqueName="[PT Q3].[Fear (e.g. not ready to face/discuss health problem;immigration status)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What type of insurance do you have?]" caption="What type of insurance do you have?" attribute="1" defaultMemberUniqueName="[PT Q3].[What type of insurance do you have?].[All]" allUniqueName="[PT Q3].[What type of insurance do you have?].[All]" dimensionUniqueName="[PT Q3]" displayFolder="" count="0" memberValueDatatype="130" unbalanced="0"/>
    <cacheHierarchy uniqueName="[PT Q3].[Do you have access to reliable internet in your home?]" caption="Do you have access to reliable internet in your home?" attribute="1" defaultMemberUniqueName="[PT Q3].[Do you have access to reliable internet in your home?].[All]" allUniqueName="[PT Q3].[Do you have access to reliable internet in your hom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OTHER]" caption="OTHER" attribute="1" defaultMemberUniqueName="[PT Q4].[OTHER].[All]" allUniqueName="[PT Q4].[OTHER].[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What type of insurance do you have?]" caption="What type of insurance do you have?" attribute="1" defaultMemberUniqueName="[PT Q4].[What type of insurance do you have?].[All]" allUniqueName="[PT Q4].[What type of insurance do you have?].[All]" dimensionUniqueName="[PT Q4]" displayFolder="" count="0" memberValueDatatype="130" unbalanced="0"/>
    <cacheHierarchy uniqueName="[PT Q4].[Do you have access to reliable internet in your home?]" caption="Do you have access to reliable internet in your home?" attribute="1" defaultMemberUniqueName="[PT Q4].[Do you have access to reliable internet in your home?].[All]" allUniqueName="[PT Q4].[Do you have access to reliable internet in your hom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OTHER]" caption="OTHER" attribute="1" defaultMemberUniqueName="[PT Q5].[OTHER].[All]" allUniqueName="[PT Q5].[OTHER].[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What type of insurance do you have?]" caption="What type of insurance do you have?" attribute="1" defaultMemberUniqueName="[PT Q5].[What type of insurance do you have?].[All]" allUniqueName="[PT Q5].[What type of insurance do you have?].[All]" dimensionUniqueName="[PT Q5]" displayFolder="" count="0" memberValueDatatype="130" unbalanced="0"/>
    <cacheHierarchy uniqueName="[PT Q5].[Do you have access to reliable internet in your home?]" caption="Do you have access to reliable internet in your home?" attribute="1" defaultMemberUniqueName="[PT Q5].[Do you have access to reliable internet in your home?].[All]" allUniqueName="[PT Q5].[Do you have access to reliable internet in your hom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What type of insurance do you have?]" caption="What type of insurance do you have?" attribute="1" defaultMemberUniqueName="[PT Q6].[What type of insurance do you have?].[All]" allUniqueName="[PT Q6].[What type of insurance do you have?].[All]" dimensionUniqueName="[PT Q6]" displayFolder="" count="0" memberValueDatatype="130" unbalanced="0"/>
    <cacheHierarchy uniqueName="[PT Q6].[Do you have access to reliable internet in your home?]" caption="Do you have access to reliable internet in your home?" attribute="1" defaultMemberUniqueName="[PT Q6].[Do you have access to reliable internet in your home?].[All]" allUniqueName="[PT Q6].[Do you have access to reliable internet in your hom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oneField="1">
      <fieldsUsage count="1">
        <fieldUsage x="1"/>
      </fieldsUsage>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oneField="1">
      <fieldsUsage count="1">
        <fieldUsage x="2"/>
      </fieldsUsage>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oneField="1">
      <fieldsUsage count="1">
        <fieldUsage x="3"/>
      </fieldsUsage>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oneField="1">
      <fieldsUsage count="1">
        <fieldUsage x="4"/>
      </fieldsUsage>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oneField="1">
      <fieldsUsage count="1">
        <fieldUsage x="5"/>
      </fieldsUsage>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oneField="1">
      <fieldsUsage count="1">
        <fieldUsage x="6"/>
      </fieldsUsage>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oneField="1">
      <fieldsUsage count="1">
        <fieldUsage x="7"/>
      </fieldsUsage>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oneField="1">
      <fieldsUsage count="1">
        <fieldUsage x="8"/>
      </fieldsUsage>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oneField="1">
      <fieldsUsage count="1">
        <fieldUsage x="9"/>
      </fieldsUsage>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oneField="1">
      <fieldsUsage count="1">
        <fieldUsage x="10"/>
      </fieldsUsage>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oneField="1">
      <fieldsUsage count="1">
        <fieldUsage x="11"/>
      </fieldsUsage>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oneField="1">
      <fieldsUsage count="1">
        <fieldUsage x="12"/>
      </fieldsUsage>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oneField="1">
      <fieldsUsage count="1">
        <fieldUsage x="13"/>
      </fieldsUsage>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oneField="1">
      <fieldsUsage count="1">
        <fieldUsage x="14"/>
      </fieldsUsage>
      <extLst>
        <ext xmlns:x15="http://schemas.microsoft.com/office/spreadsheetml/2010/11/main" uri="{B97F6D7D-B522-45F9-BDA1-12C45D357490}">
          <x15:cacheHierarchy aggregatedColumn="30"/>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198"/>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198"/>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216"/>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217"/>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222"/>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207"/>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209"/>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224"/>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226"/>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227"/>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218"/>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220"/>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225"/>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228"/>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219"/>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221"/>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223"/>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24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248"/>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26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26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269"/>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26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26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27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26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27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26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292"/>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292"/>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309"/>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312"/>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315"/>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318"/>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310"/>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313"/>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316"/>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319"/>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320"/>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311"/>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314"/>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317"/>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340"/>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340"/>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363"/>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366"/>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369"/>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372"/>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378"/>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380"/>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364"/>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367"/>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370"/>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373"/>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376"/>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379"/>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365"/>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368"/>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371"/>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374"/>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377"/>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401"/>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404"/>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407"/>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410"/>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412"/>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402"/>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405"/>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408"/>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411"/>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413"/>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403"/>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406"/>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409"/>
        </ext>
      </extLst>
    </cacheHierarchy>
    <cacheHierarchy uniqueName="[Measures].[Sum of Fear (eg not ready to facediscuss health problemimmigration status)14]" caption="Sum of Fear (eg not ready to facediscuss health problemimmigration status)14" measure="1" displayFolder="" measureGroup="PT Q3" count="0">
      <extLst>
        <ext xmlns:x15="http://schemas.microsoft.com/office/spreadsheetml/2010/11/main" uri="{B97F6D7D-B522-45F9-BDA1-12C45D357490}">
          <x15:cacheHierarchy aggregatedColumn="272"/>
        </ext>
      </extLst>
    </cacheHierarchy>
    <cacheHierarchy uniqueName="[Measures].[Sum of RespondentID 7]" caption="Sum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Women’s health  wellness10 3]" caption="Sum of Women’s health  wellness10 3" measure="1" displayFolder="" measureGroup="PT Q1 1" count="0">
      <extLst>
        <ext xmlns:x15="http://schemas.microsoft.com/office/spreadsheetml/2010/11/main" uri="{B97F6D7D-B522-45F9-BDA1-12C45D357490}">
          <x15:cacheHierarchy aggregatedColumn="121"/>
        </ext>
      </extLst>
    </cacheHierarchy>
    <cacheHierarchy uniqueName="[Measures].[Count of RespondentID 7]" caption="Count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Asthmalung disease3 3]" caption="Sum of Asthmalung disease3 3" measure="1" displayFolder="" measureGroup="PT Q1 1" count="0">
      <extLst>
        <ext xmlns:x15="http://schemas.microsoft.com/office/spreadsheetml/2010/11/main" uri="{B97F6D7D-B522-45F9-BDA1-12C45D357490}">
          <x15:cacheHierarchy aggregatedColumn="114"/>
        </ext>
      </extLst>
    </cacheHierarchy>
    <cacheHierarchy uniqueName="[Measures].[Sum of Cancer4 3]" caption="Sum of Cancer4 3" measure="1" displayFolder="" measureGroup="PT Q1 1" count="0">
      <extLst>
        <ext xmlns:x15="http://schemas.microsoft.com/office/spreadsheetml/2010/11/main" uri="{B97F6D7D-B522-45F9-BDA1-12C45D357490}">
          <x15:cacheHierarchy aggregatedColumn="115"/>
        </ext>
      </extLst>
    </cacheHierarchy>
    <cacheHierarchy uniqueName="[Measures].[Sum of Heart disease  stroke5 3]" caption="Sum of Heart disease  stroke5 3" measure="1" displayFolder="" measureGroup="PT Q1 1" count="0">
      <extLst>
        <ext xmlns:x15="http://schemas.microsoft.com/office/spreadsheetml/2010/11/main" uri="{B97F6D7D-B522-45F9-BDA1-12C45D357490}">
          <x15:cacheHierarchy aggregatedColumn="116"/>
        </ext>
      </extLst>
    </cacheHierarchy>
    <cacheHierarchy uniqueName="[Measures].[Sum of Safety6 3]" caption="Sum of Safety6 3" measure="1" displayFolder="" measureGroup="PT Q1 1" count="0">
      <extLst>
        <ext xmlns:x15="http://schemas.microsoft.com/office/spreadsheetml/2010/11/main" uri="{B97F6D7D-B522-45F9-BDA1-12C45D357490}">
          <x15:cacheHierarchy aggregatedColumn="117"/>
        </ext>
      </extLst>
    </cacheHierarchy>
    <cacheHierarchy uniqueName="[Measures].[Sum of HIVAIDS  Sexually Transmitted Diseases (STDs)7 3]" caption="Sum of HIVAIDS  Sexually Transmitted Diseases (STDs)7 3" measure="1" displayFolder="" measureGroup="PT Q1 1" count="0">
      <extLst>
        <ext xmlns:x15="http://schemas.microsoft.com/office/spreadsheetml/2010/11/main" uri="{B97F6D7D-B522-45F9-BDA1-12C45D357490}">
          <x15:cacheHierarchy aggregatedColumn="118"/>
        </ext>
      </extLst>
    </cacheHierarchy>
    <cacheHierarchy uniqueName="[Measures].[Sum of Vaccine preventable diseases8 3]" caption="Sum of Vaccine preventable diseases8 3" measure="1" displayFolder="" measureGroup="PT Q1 1" count="0">
      <extLst>
        <ext xmlns:x15="http://schemas.microsoft.com/office/spreadsheetml/2010/11/main" uri="{B97F6D7D-B522-45F9-BDA1-12C45D357490}">
          <x15:cacheHierarchy aggregatedColumn="119"/>
        </ext>
      </extLst>
    </cacheHierarchy>
    <cacheHierarchy uniqueName="[Measures].[Sum of Child health  wellness9 3]" caption="Sum of Child health  wellness9 3" measure="1" displayFolder="" measureGroup="PT Q1 1" count="0">
      <extLst>
        <ext xmlns:x15="http://schemas.microsoft.com/office/spreadsheetml/2010/11/main" uri="{B97F6D7D-B522-45F9-BDA1-12C45D357490}">
          <x15:cacheHierarchy aggregatedColumn="120"/>
        </ext>
      </extLst>
    </cacheHierarchy>
    <cacheHierarchy uniqueName="[Measures].[Sum of Diabetes11 3]" caption="Sum of Diabetes11 3" measure="1" displayFolder="" measureGroup="PT Q1 1" count="0">
      <extLst>
        <ext xmlns:x15="http://schemas.microsoft.com/office/spreadsheetml/2010/11/main" uri="{B97F6D7D-B522-45F9-BDA1-12C45D357490}">
          <x15:cacheHierarchy aggregatedColumn="122"/>
        </ext>
      </extLst>
    </cacheHierarchy>
    <cacheHierarchy uniqueName="[Measures].[Sum of Mental health depressionsuicide12 3]" caption="Sum of Mental health depressionsuicide12 3" measure="1" displayFolder="" measureGroup="PT Q1 1" count="0">
      <extLst>
        <ext xmlns:x15="http://schemas.microsoft.com/office/spreadsheetml/2010/11/main" uri="{B97F6D7D-B522-45F9-BDA1-12C45D357490}">
          <x15:cacheHierarchy aggregatedColumn="123"/>
        </ext>
      </extLst>
    </cacheHierarchy>
    <cacheHierarchy uniqueName="[Measures].[Sum of Drugs  alcohol abuse13 3]" caption="Sum of Drugs  alcohol abuse13 3" measure="1" displayFolder="" measureGroup="PT Q1 1" count="0">
      <extLst>
        <ext xmlns:x15="http://schemas.microsoft.com/office/spreadsheetml/2010/11/main" uri="{B97F6D7D-B522-45F9-BDA1-12C45D357490}">
          <x15:cacheHierarchy aggregatedColumn="124"/>
        </ext>
      </extLst>
    </cacheHierarchy>
    <cacheHierarchy uniqueName="[Measures].[Sum of Environmental hazards14 3]" caption="Sum of Environmental hazards14 3" measure="1" displayFolder="" measureGroup="PT Q1 1" count="0">
      <extLst>
        <ext xmlns:x15="http://schemas.microsoft.com/office/spreadsheetml/2010/11/main" uri="{B97F6D7D-B522-45F9-BDA1-12C45D357490}">
          <x15:cacheHierarchy aggregatedColumn="125"/>
        </ext>
      </extLst>
    </cacheHierarchy>
    <cacheHierarchy uniqueName="[Measures].[Sum of Obesityweight loss issues15 3]" caption="Sum of Obesityweight loss issues15 3" measure="1" displayFolder="" measureGroup="PT Q1 1" count="0">
      <extLst>
        <ext xmlns:x15="http://schemas.microsoft.com/office/spreadsheetml/2010/11/main" uri="{B97F6D7D-B522-45F9-BDA1-12C45D357490}">
          <x15:cacheHierarchy aggregatedColumn="126"/>
        </ext>
      </extLst>
    </cacheHierarchy>
    <cacheHierarchy uniqueName="[Measures].[Sum of What is your age]" caption="Sum of What is your age" measure="1" displayFolder="" measureGroup="PT Q1 1" count="0">
      <extLst>
        <ext xmlns:x15="http://schemas.microsoft.com/office/spreadsheetml/2010/11/main" uri="{B97F6D7D-B522-45F9-BDA1-12C45D357490}">
          <x15:cacheHierarchy aggregatedColumn="134"/>
        </ext>
      </extLst>
    </cacheHierarchy>
    <cacheHierarchy uniqueName="[Measures].[Average of What is your age]" caption="Average of What is your age" measure="1" displayFolder="" measureGroup="PT Q1 1" count="0">
      <extLst>
        <ext xmlns:x15="http://schemas.microsoft.com/office/spreadsheetml/2010/11/main" uri="{B97F6D7D-B522-45F9-BDA1-12C45D357490}">
          <x15:cacheHierarchy aggregatedColumn="134"/>
        </ext>
      </extLst>
    </cacheHierarchy>
    <cacheHierarchy uniqueName="[Measures].[Count of What race do you consider yourself]" caption="Count of What race do you consider yourself" measure="1" displayFolder="" measureGroup="PT Q1 1" count="0">
      <extLst>
        <ext xmlns:x15="http://schemas.microsoft.com/office/spreadsheetml/2010/11/main" uri="{B97F6D7D-B522-45F9-BDA1-12C45D357490}">
          <x15:cacheHierarchy aggregatedColumn="137"/>
        </ext>
      </extLst>
    </cacheHierarchy>
    <cacheHierarchy uniqueName="[Measures].[Count of Do you currently have health insurance]" caption="Count of Do you currently have health insurance" measure="1" displayFolder="" measureGroup="PT Q1 1" count="0">
      <extLst>
        <ext xmlns:x15="http://schemas.microsoft.com/office/spreadsheetml/2010/11/main" uri="{B97F6D7D-B522-45F9-BDA1-12C45D357490}">
          <x15:cacheHierarchy aggregatedColumn="143"/>
        </ext>
      </extLst>
    </cacheHierarchy>
    <cacheHierarchy uniqueName="[Measures].[Count of What type of insurance do you have]" caption="Count of What type of insurance do you have" measure="1" displayFolder="" measureGroup="PT Q1 1" count="0">
      <extLst>
        <ext xmlns:x15="http://schemas.microsoft.com/office/spreadsheetml/2010/11/main" uri="{B97F6D7D-B522-45F9-BDA1-12C45D357490}">
          <x15:cacheHierarchy aggregatedColumn="144"/>
        </ext>
      </extLst>
    </cacheHierarchy>
    <cacheHierarchy uniqueName="[Measures].[Count of Do you have access to reliable internet in your home]" caption="Count of Do you have access to reliable internet in your home" measure="1" displayFolder="" measureGroup="PT Q1 1" count="0">
      <extLst>
        <ext xmlns:x15="http://schemas.microsoft.com/office/spreadsheetml/2010/11/main" uri="{B97F6D7D-B522-45F9-BDA1-12C45D357490}">
          <x15:cacheHierarchy aggregatedColumn="145"/>
        </ext>
      </extLst>
    </cacheHierarchy>
    <cacheHierarchy uniqueName="[Measures].[Sum of Female Flag]" caption="Sum of Female Flag" measure="1" displayFolder="" measureGroup="PT Q1 1" count="0">
      <extLst>
        <ext xmlns:x15="http://schemas.microsoft.com/office/spreadsheetml/2010/11/main" uri="{B97F6D7D-B522-45F9-BDA1-12C45D357490}">
          <x15:cacheHierarchy aggregatedColumn="146"/>
        </ext>
      </extLst>
    </cacheHierarchy>
    <cacheHierarchy uniqueName="[Measures].[Sum of Male Flag]" caption="Sum of Male Flag" measure="1" displayFolder="" measureGroup="PT Q1 1" count="0">
      <extLst>
        <ext xmlns:x15="http://schemas.microsoft.com/office/spreadsheetml/2010/11/main" uri="{B97F6D7D-B522-45F9-BDA1-12C45D357490}">
          <x15:cacheHierarchy aggregatedColumn="147"/>
        </ext>
      </extLst>
    </cacheHierarchy>
    <cacheHierarchy uniqueName="[Measures].[Sum of WhiteCaucasian Flag]" caption="Sum of WhiteCaucasian Flag" measure="1" displayFolder="" measureGroup="PT Q1 1" count="0">
      <extLst>
        <ext xmlns:x15="http://schemas.microsoft.com/office/spreadsheetml/2010/11/main" uri="{B97F6D7D-B522-45F9-BDA1-12C45D357490}">
          <x15:cacheHierarchy aggregatedColumn="150"/>
        </ext>
      </extLst>
    </cacheHierarchy>
    <cacheHierarchy uniqueName="[Measures].[Sum of BlackAfrican American Flag]" caption="Sum of BlackAfrican American Flag" measure="1" displayFolder="" measureGroup="PT Q1 1" count="0">
      <extLst>
        <ext xmlns:x15="http://schemas.microsoft.com/office/spreadsheetml/2010/11/main" uri="{B97F6D7D-B522-45F9-BDA1-12C45D357490}">
          <x15:cacheHierarchy aggregatedColumn="151"/>
        </ext>
      </extLst>
    </cacheHierarchy>
    <cacheHierarchy uniqueName="[Measures].[Total Respondents]" caption="Total Respondents" measure="1" displayFolder="" measureGroup="PT Q1" count="0"/>
    <cacheHierarchy uniqueName="[Measures].[Woman]" caption="Woman" measure="1" displayFolder="" measureGroup="PT Q1" count="0"/>
    <cacheHierarchy uniqueName="[Measures].[Man]" caption="Man" measure="1" displayFolder="" measureGroup="PT Q1" count="0"/>
    <cacheHierarchy uniqueName="[Measures].[Transgender]" caption="Transgender" measure="1" displayFolder="" measureGroup="PT Q1" count="0"/>
    <cacheHierarchy uniqueName="[Measures].[Other Gender]" caption="Other Gender" measure="1" displayFolder="" measureGroup="PT Q1" count="0"/>
    <cacheHierarchy uniqueName="[Measures].[Ethnicity]" caption="Ethnicity" measure="1" displayFolder="" measureGroup="PT Q1" count="0"/>
    <cacheHierarchy uniqueName="[Measures].[White]" caption="White" measure="1" displayFolder="" measureGroup="PT Q1" count="0"/>
    <cacheHierarchy uniqueName="[Measures].[Black/African American]" caption="Black/African American" measure="1" displayFolder="" measureGroup="PT Q1" count="0"/>
    <cacheHierarchy uniqueName="[Measures].[Native Hawaiian/Pacific Islander]" caption="Native Hawaiian/Pacific Islander" measure="1" displayFolder="" measureGroup="PT Q1" count="0"/>
    <cacheHierarchy uniqueName="[Measures].[American Indian/Alaska Native]" caption="American Indian/Alaska Native" measure="1" displayFolder="" measureGroup="PT Q1" count="0"/>
    <cacheHierarchy uniqueName="[Measures].[Multi-racial]" caption="Multi-racial" measure="1" displayFolder="" measureGroup="PT Q1" count="0"/>
    <cacheHierarchy uniqueName="[Measures].[Other Race]" caption="Other Race" measure="1" displayFolder="" measureGroup="PT Q1" count="0"/>
    <cacheHierarchy uniqueName="[Measures].[Income $0-$19,999]" caption="Income $0-$19,999" measure="1" displayFolder="" measureGroup="PT Q1" count="0"/>
    <cacheHierarchy uniqueName="[Measures].[Income $20,000 to $34,999]" caption="Income $20,000 to $34,999" measure="1" displayFolder="" measureGroup="PT Q1" count="0"/>
    <cacheHierarchy uniqueName="[Measures].[Income $35,000 to $49,999]" caption="Income $35,000 to $49,999" measure="1" displayFolder="" measureGroup="PT Q1" count="0"/>
    <cacheHierarchy uniqueName="[Measures].[income $50,000 to $74,999]" caption="income $50,000 to $74,999" measure="1" displayFolder="" measureGroup="PT Q1" count="0"/>
    <cacheHierarchy uniqueName="[Measures].[Income $75,000 to $125,000]" caption="Income $75,000 to $125,000" measure="1" displayFolder="" measureGroup="PT Q1" count="0"/>
    <cacheHierarchy uniqueName="[Measures].[Income Over $125,000]" caption="Income Over $125,000" measure="1" displayFolder="" measureGroup="PT Q1" count="0"/>
    <cacheHierarchy uniqueName="[Measures].[Age 18-24]" caption="Age 18-24" measure="1" displayFolder="" measureGroup="PT Q1" count="0"/>
    <cacheHierarchy uniqueName="[Measures].[Age 25 to 34]" caption="Age 25 to 34" measure="1" displayFolder="" measureGroup="PT Q1" count="0"/>
    <cacheHierarchy uniqueName="[Measures].[Age 35 to 44]" caption="Age 35 to 44" measure="1" displayFolder="" measureGroup="PT Q1" count="0"/>
    <cacheHierarchy uniqueName="[Measures].[Age 45 to 54]" caption="Age 45 to 54" measure="1" displayFolder="" measureGroup="PT Q1" count="0"/>
    <cacheHierarchy uniqueName="[Measures].[Age 55 to 64]" caption="Age 55 to 64" measure="1" displayFolder="" measureGroup="PT Q1" count="0"/>
    <cacheHierarchy uniqueName="[Measures].[Age 65+]" caption="Age 65+" measure="1" displayFolder="" measureGroup="PT Q1" count="0"/>
    <cacheHierarchy uniqueName="[Measures].[K-8 Grade]" caption="K-8 Grade" measure="1" displayFolder="" measureGroup="PT Q1" count="0"/>
    <cacheHierarchy uniqueName="[Measures].[High School]" caption="High School" measure="1" displayFolder="" measureGroup="PT Q1" count="0"/>
    <cacheHierarchy uniqueName="[Measures].[Some High School]" caption="Some High School" measure="1" displayFolder="" measureGroup="PT Q1" count="0"/>
    <cacheHierarchy uniqueName="[Measures].[College]" caption="College" measure="1" displayFolder="" measureGroup="PT Q1" count="0"/>
    <cacheHierarchy uniqueName="[Measures].[Some College]" caption="Some College" measure="1" displayFolder="" measureGroup="PT Q1" count="0"/>
    <cacheHierarchy uniqueName="[Measures].[Technical School]" caption="Technical School" measure="1" displayFolder="" measureGroup="PT Q1" count="0"/>
    <cacheHierarchy uniqueName="[Measures].[Graduate School]" caption="Graduate School" measure="1" displayFolder="" measureGroup="PT Q1" count="0"/>
    <cacheHierarchy uniqueName="[Measures].[Doctorate]" caption="Doctorate" measure="1" displayFolder="" measureGroup="PT Q1" count="0"/>
    <cacheHierarchy uniqueName="[Measures].[GED]" caption="GED" measure="1" displayFolder="" measureGroup="PT Q1" count="0"/>
    <cacheHierarchy uniqueName="[Measures].[Employed for Wages]" caption="Employed for Wages" measure="1" displayFolder="" measureGroup="PT Q1" count="0"/>
    <cacheHierarchy uniqueName="[Measures].[Self-employed]" caption="Self-employed" measure="1" displayFolder="" measureGroup="PT Q1" count="0"/>
    <cacheHierarchy uniqueName="[Measures].[Student]" caption="Student" measure="1" displayFolder="" measureGroup="PT Q1" count="0"/>
    <cacheHierarchy uniqueName="[Measures].[Retired]" caption="Retired" measure="1" displayFolder="" measureGroup="PT Q1" count="0"/>
    <cacheHierarchy uniqueName="[Measures].[Military]" caption="Military" measure="1" displayFolder="" measureGroup="PT Q1" count="0"/>
    <cacheHierarchy uniqueName="[Measures].[Out of Work and Looking]" caption="Out of Work and Looking" measure="1" displayFolder="" measureGroup="PT Q1" count="0"/>
    <cacheHierarchy uniqueName="[Measures].[Out of Work Not Looking]" caption="Out of Work Not Looking" measure="1" displayFolder="" measureGroup="PT Q1" count="0"/>
    <cacheHierarchy uniqueName="[Measures].[Health Insurance Yes]" caption="Health Insurance Yes" measure="1" displayFolder="" measureGroup="PT Q1" count="0"/>
    <cacheHierarchy uniqueName="[Measures].[Health Insurance No]" caption="Health Insurance No" measure="1" displayFolder="" measureGroup="PT Q1" count="0"/>
    <cacheHierarchy uniqueName="[Measures].[Health Insurance In the Past]" caption="Health Insurance In the Past" measure="1" displayFolder="" measureGroup="PT Q1" count="0"/>
    <cacheHierarchy uniqueName="[Measures].[Medicare]" caption="Medicare" measure="1" displayFolder="" measureGroup="PT Q1" count="0"/>
    <cacheHierarchy uniqueName="[Measures].[Medicaid]" caption="Medicaid" measure="1" displayFolder="" measureGroup="PT Q1" count="0"/>
    <cacheHierarchy uniqueName="[Measures].[Private/Commerical]" caption="Private/Commerical" measure="1" displayFolder="" measureGroup="PT Q1" count="0"/>
    <cacheHierarchy uniqueName="[Measures].[Not Insured]" caption="Not Insured" measure="1" displayFolder="" measureGroup="PT Q1" count="0"/>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PT Q1 1]" caption="__XL_Count PT Q1 1" measure="1" displayFolder="" measureGroup="PT Q1 1" count="0" hidden="1"/>
    <cacheHierarchy uniqueName="[Measures].[__XL_Count of Models]" caption="__XL_Count of Models" measure="1" displayFolder="" count="0" hidden="1"/>
  </cacheHierarchies>
  <kpis count="0"/>
  <dimensions count="8">
    <dimension measure="1" name="Measures" uniqueName="[Measures]" caption="Measures"/>
    <dimension name="PT Q1" uniqueName="[PT Q1]" caption="PT Q1"/>
    <dimension name="PT Q1 1" uniqueName="[PT Q1 1]" caption="PT Q1 1"/>
    <dimension name="PT Q2" uniqueName="[PT Q2]" caption="PT Q2"/>
    <dimension name="PT Q3" uniqueName="[PT Q3]" caption="PT Q3"/>
    <dimension name="PT Q4" uniqueName="[PT Q4]" caption="PT Q4"/>
    <dimension name="PT Q5" uniqueName="[PT Q5]" caption="PT Q5"/>
    <dimension name="PT Q6" uniqueName="[PT Q6]" caption="PT Q6"/>
  </dimensions>
  <measureGroups count="7">
    <measureGroup name="PT Q1" caption="PT Q1"/>
    <measureGroup name="PT Q1 1" caption="PT Q1 1"/>
    <measureGroup name="PT Q2" caption="PT Q2"/>
    <measureGroup name="PT Q3" caption="PT Q3"/>
    <measureGroup name="PT Q4" caption="PT Q4"/>
    <measureGroup name="PT Q5" caption="PT Q5"/>
    <measureGroup name="PT Q6" caption="PT Q6"/>
  </measureGroups>
  <maps count="7">
    <map measureGroup="0" dimension="1"/>
    <map measureGroup="1" dimension="2"/>
    <map measureGroup="2" dimension="3"/>
    <map measureGroup="3" dimension="4"/>
    <map measureGroup="4" dimension="5"/>
    <map measureGroup="5" dimension="6"/>
    <map measureGroup="6" dimension="7"/>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Melissa Bauer" refreshedDate="44960.490458680557" createdVersion="5" refreshedVersion="5" minRefreshableVersion="3" recordCount="0" supportSubquery="1" supportAdvancedDrill="1">
  <cacheSource type="external" connectionId="8"/>
  <cacheFields count="49">
    <cacheField name="[Measures].[Woman]" caption="Woman" numFmtId="0" hierarchy="546" level="32767"/>
    <cacheField name="[Measures].[Man]" caption="Man" numFmtId="0" hierarchy="547" level="32767"/>
    <cacheField name="[Measures].[Transgender]" caption="Transgender" numFmtId="0" hierarchy="548" level="32767"/>
    <cacheField name="[Measures].[Other Gender]" caption="Other Gender" numFmtId="0" hierarchy="549" level="32767"/>
    <cacheField name="[Measures].[Ethnicity]" caption="Ethnicity" numFmtId="0" hierarchy="550" level="32767"/>
    <cacheField name="[Measures].[White]" caption="White" numFmtId="0" hierarchy="551" level="32767"/>
    <cacheField name="[Measures].[Black/African American]" caption="Black/African American" numFmtId="0" hierarchy="552" level="32767"/>
    <cacheField name="[Measures].[Native Hawaiian/Pacific Islander]" caption="Native Hawaiian/Pacific Islander" numFmtId="0" hierarchy="553" level="32767"/>
    <cacheField name="[Measures].[American Indian/Alaska Native]" caption="American Indian/Alaska Native" numFmtId="0" hierarchy="554" level="32767"/>
    <cacheField name="[Measures].[Multi-racial]" caption="Multi-racial" numFmtId="0" hierarchy="555" level="32767"/>
    <cacheField name="[Measures].[Other Race]" caption="Other Race" numFmtId="0" hierarchy="556" level="32767"/>
    <cacheField name="[Measures].[Income $0-$19,999]" caption="Income $0-$19,999" numFmtId="0" hierarchy="557" level="32767"/>
    <cacheField name="[Measures].[Income $20,000 to $34,999]" caption="Income $20,000 to $34,999" numFmtId="0" hierarchy="558" level="32767"/>
    <cacheField name="[Measures].[Income $35,000 to $49,999]" caption="Income $35,000 to $49,999" numFmtId="0" hierarchy="559" level="32767"/>
    <cacheField name="[Measures].[income $50,000 to $74,999]" caption="income $50,000 to $74,999" numFmtId="0" hierarchy="560" level="32767"/>
    <cacheField name="[Measures].[Income $75,000 to $125,000]" caption="Income $75,000 to $125,000" numFmtId="0" hierarchy="561" level="32767"/>
    <cacheField name="[Measures].[Income Over $125,000]" caption="Income Over $125,000" numFmtId="0" hierarchy="562" level="32767"/>
    <cacheField name="[Measures].[Age 18-24]" caption="Age 18-24" numFmtId="0" hierarchy="563" level="32767"/>
    <cacheField name="[Measures].[Age 25 to 34]" caption="Age 25 to 34" numFmtId="0" hierarchy="564" level="32767"/>
    <cacheField name="[Measures].[Age 35 to 44]" caption="Age 35 to 44" numFmtId="0" hierarchy="565" level="32767"/>
    <cacheField name="[Measures].[Age 45 to 54]" caption="Age 45 to 54" numFmtId="0" hierarchy="566" level="32767"/>
    <cacheField name="[Measures].[Age 55 to 64]" caption="Age 55 to 64" numFmtId="0" hierarchy="567" level="32767"/>
    <cacheField name="[Measures].[Age 65+]" caption="Age 65+" numFmtId="0" hierarchy="568" level="32767"/>
    <cacheField name="[Measures].[K-8 Grade]" caption="K-8 Grade" numFmtId="0" hierarchy="569" level="32767"/>
    <cacheField name="[Measures].[High School]" caption="High School" numFmtId="0" hierarchy="570" level="32767"/>
    <cacheField name="[Measures].[Some High School]" caption="Some High School" numFmtId="0" hierarchy="571" level="32767"/>
    <cacheField name="[Measures].[College]" caption="College" numFmtId="0" hierarchy="572" level="32767"/>
    <cacheField name="[Measures].[Some College]" caption="Some College" numFmtId="0" hierarchy="573" level="32767"/>
    <cacheField name="[Measures].[Technical School]" caption="Technical School" numFmtId="0" hierarchy="574" level="32767"/>
    <cacheField name="[Measures].[Graduate School]" caption="Graduate School" numFmtId="0" hierarchy="575" level="32767"/>
    <cacheField name="[Measures].[Doctorate]" caption="Doctorate" numFmtId="0" hierarchy="576" level="32767"/>
    <cacheField name="[Measures].[GED]" caption="GED" numFmtId="0" hierarchy="577" level="32767"/>
    <cacheField name="[Measures].[Employed for Wages]" caption="Employed for Wages" numFmtId="0" hierarchy="578" level="32767"/>
    <cacheField name="[Measures].[Self-employed]" caption="Self-employed" numFmtId="0" hierarchy="579" level="32767"/>
    <cacheField name="[Measures].[Student]" caption="Student" numFmtId="0" hierarchy="580" level="32767"/>
    <cacheField name="[Measures].[Retired]" caption="Retired" numFmtId="0" hierarchy="581" level="32767"/>
    <cacheField name="[Measures].[Military]" caption="Military" numFmtId="0" hierarchy="582" level="32767"/>
    <cacheField name="[Measures].[Out of Work and Looking]" caption="Out of Work and Looking" numFmtId="0" hierarchy="583" level="32767"/>
    <cacheField name="[Measures].[Out of Work Not Looking]" caption="Out of Work Not Looking" numFmtId="0" hierarchy="584" level="32767"/>
    <cacheField name="[Measures].[Health Insurance Yes]" caption="Health Insurance Yes" numFmtId="0" hierarchy="585" level="32767"/>
    <cacheField name="[Measures].[Health Insurance No]" caption="Health Insurance No" numFmtId="0" hierarchy="586" level="32767"/>
    <cacheField name="[Measures].[Health Insurance In the Past]" caption="Health Insurance In the Past" numFmtId="0" hierarchy="587" level="32767"/>
    <cacheField name="[Measures].[Medicare]" caption="Medicare" numFmtId="0" hierarchy="588" level="32767"/>
    <cacheField name="[Measures].[Medicaid]" caption="Medicaid" numFmtId="0" hierarchy="589" level="32767"/>
    <cacheField name="[Measures].[Private/Commerical]" caption="Private/Commerical" numFmtId="0" hierarchy="590" level="32767"/>
    <cacheField name="[Measures].[Not Insured]" caption="Not Insured" numFmtId="0" hierarchy="591" level="32767"/>
    <cacheField name="[PT Q1].[Town and ZIP code where you live:].[Town and ZIP code where you live:]" caption="Town and ZIP code where you live:" numFmtId="0" hierarchy="40" level="1">
      <sharedItems count="137">
        <s v="10001"/>
        <s v="11003"/>
        <s v="11231"/>
        <s v="11236"/>
        <s v="11355"/>
        <s v="11367"/>
        <s v="11372"/>
        <s v="11375"/>
        <s v="11414"/>
        <s v="11428"/>
        <s v="11429"/>
        <s v="11456"/>
        <s v="11692"/>
        <s v="22407"/>
        <s v="Albertson, 11507"/>
        <s v="Alden Manor, 11003"/>
        <s v="Amagansett, 11930"/>
        <s v="Amityville, 11701"/>
        <s v="Amityville, 11708"/>
        <s v="Aquebogue, 11931"/>
        <s v="Babylon, 11702"/>
        <s v="Babylon, 11703"/>
        <s v="Babylon, 11704"/>
        <s v="Baiting Hollow, 11933"/>
        <s v="Baxter Estates, 11050"/>
        <s v="Bay Shore, 11706"/>
        <s v="Bellerose Terrace, 11001"/>
        <s v="Bellmore, 11710"/>
        <s v="Bethpage, 11714"/>
        <s v="Bohemia, 11716"/>
        <s v="Brentwood, 11717"/>
        <s v="Brightwaters, 11718"/>
        <s v="Carle Place, 11514"/>
        <s v="Centereach, 11720"/>
        <s v="Centerport, 11721"/>
        <s v="Central Islip, 11722"/>
        <s v="Cold Spring Harbor, 11724"/>
        <s v="Commack, 11725"/>
        <s v="Copiague, 11726"/>
        <s v="Coram, 11727"/>
        <s v="Deer Park, 11729"/>
        <s v="Dix Hills, 11746"/>
        <s v="East Islip, 11730"/>
        <s v="East Meadow, 11554"/>
        <s v="East Northport, 11731"/>
        <s v="Farmingdale, 11735"/>
        <s v="Farmingville, 11738"/>
        <s v="Floral Park, 11001"/>
        <s v="Floral Park, 11002"/>
        <s v="Franklin Square, 11010"/>
        <s v="Freeport, 11520"/>
        <s v="Garden City, 11530"/>
        <s v="Garden City, 11531"/>
        <s v="Great Neck, 11026"/>
        <s v="Greenlawn, 11740"/>
        <s v="Halesite, 11743"/>
        <s v="Hauppauge, 11788"/>
        <s v="Head of the Harbor, 11780"/>
        <s v="Hempstead, 11550"/>
        <s v="Herricks, 11040"/>
        <s v="Hewlett Neck, 11598"/>
        <s v="Hicksville, 11801"/>
        <s v="Holtsville, 11742"/>
        <s v="Huntington Station, 11746"/>
        <s v="Huntington Station, 11747"/>
        <s v="Huntington, 11743"/>
        <s v="Islip Manor, 11751"/>
        <s v="Islip, 11751"/>
        <s v="Jericho, 11753"/>
        <s v="Kings Park, 11754"/>
        <s v="Lake Grove, 11755"/>
        <s v="Lake Ronkonkoma, 11779"/>
        <s v="Lake Success, 11020"/>
        <s v="Lakeview, 11552"/>
        <s v="Lawrence, 11559"/>
        <s v="Levittown, 11756"/>
        <s v="Lido Beach, 11561"/>
        <s v="Lindenhurst, 11757"/>
        <s v="Long Beach, 11561"/>
        <s v="Lynbrook, 11563"/>
        <s v="Malverne, 11565"/>
        <s v="Manhasset, 11030"/>
        <s v="Manorville, 11949"/>
        <s v="Massapequa Park, 11762"/>
        <s v="Massapequa, 11758"/>
        <s v="Mastic, 11950"/>
        <s v="Medford, 11763"/>
        <s v="Melville, 11747"/>
        <s v="Merrick, 11566"/>
        <s v="Middle Island, 11953"/>
        <s v="Miller Place, 11764"/>
        <s v="Mineola, 11501"/>
        <s v="Moriches, 11955"/>
        <s v="Nesconset, 11767"/>
        <s v="New Cassel, 11590"/>
        <s v="New Hyde Park, 11040"/>
        <s v="North Babylon, 11703"/>
        <s v="North Massapequa, 11758"/>
        <s v="North New Hyde Park, 11040"/>
        <s v="Northport, 11768"/>
        <s v="Oakdale, 11769"/>
        <s v="Oceanside, 11572"/>
        <s v="Patchogue, 11772"/>
        <s v="Peconic, 11958"/>
        <s v="Plainview, 11803"/>
        <s v="Port Jefferson Station, 11776"/>
        <s v="Ridge, 11961"/>
        <s v="Riverhead, 11901"/>
        <s v="Rockville Centre, 11570"/>
        <s v="Rocky Point, 11778"/>
        <s v="Ronkonkoma, 11779"/>
        <s v="Roslyn, 11576"/>
        <s v="Saint James, 11780"/>
        <s v="Sayville, 11782"/>
        <s v="Seaford, 11783"/>
        <s v="Selden, 11784"/>
        <s v="Setauket, 11733"/>
        <s v="Shirley, 11967"/>
        <s v="Smithtown, 11745"/>
        <s v="Smithtown, 11787"/>
        <s v="South Huntington, 11746"/>
        <s v="Stony Brook, 11790"/>
        <s v="Syosset, 11773"/>
        <s v="Syosset, 11791"/>
        <s v="Uniondale, 11553"/>
        <s v="Valley Stream, 11580"/>
        <s v="Wading River, 11792"/>
        <s v="Wantagh, 11793"/>
        <s v="West Babylon, 11704"/>
        <s v="West Hempstead, 11552"/>
        <s v="West Islip, 11795"/>
        <s v="West Sayville, 11796"/>
        <s v="Westbury, 11590"/>
        <s v="Williston Park, 11596"/>
        <s v="Woodbury, 11797"/>
        <s v="Woodsburgh, 11598"/>
        <s v="Yaphank, 11980"/>
      </sharedItems>
    </cacheField>
    <cacheField name="[Measures].[Total Respondents]" caption="Total Respondents" numFmtId="0" hierarchy="545" level="32767"/>
    <cacheField name="[PT Q1].[County where you live:].[County where you live:]" caption="County where you live:" numFmtId="0" hierarchy="39" level="1">
      <sharedItems containsSemiMixedTypes="0" containsNonDate="0" containsString="0"/>
    </cacheField>
  </cacheFields>
  <cacheHierarchies count="600">
    <cacheHierarchy uniqueName="[PT Q1].[RespondentID]" caption="RespondentID" attribute="1" defaultMemberUniqueName="[PT Q1].[RespondentID].[All]" allUniqueName="[PT Q1].[RespondentID].[All]" dimensionUniqueName="[PT Q1]" displayFolder="" count="2" memberValueDatatype="5" unbalanced="0"/>
    <cacheHierarchy uniqueName="[PT Q1].[Asthma/lung disease]" caption="Asthma/lung disease" attribute="1" defaultMemberUniqueName="[PT Q1].[Asthma/lung disease].[All]" allUniqueName="[PT Q1].[Asthma/lung disease].[All]" dimensionUniqueName="[PT Q1]" displayFolder="" count="2" memberValueDatatype="130" unbalanced="0"/>
    <cacheHierarchy uniqueName="[PT Q1].[Cancer]" caption="Cancer" attribute="1" defaultMemberUniqueName="[PT Q1].[Cancer].[All]" allUniqueName="[PT Q1].[Cancer].[All]" dimensionUniqueName="[PT Q1]" displayFolder="" count="2"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2" memberValueDatatype="130" unbalanced="0"/>
    <cacheHierarchy uniqueName="[PT Q1].[Safety]" caption="Safety" attribute="1" defaultMemberUniqueName="[PT Q1].[Safety].[All]" allUniqueName="[PT Q1].[Safety].[All]" dimensionUniqueName="[PT Q1]" displayFolder="" count="2"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2"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2"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2"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2" memberValueDatatype="130" unbalanced="0"/>
    <cacheHierarchy uniqueName="[PT Q1].[Diabetes]" caption="Diabetes" attribute="1" defaultMemberUniqueName="[PT Q1].[Diabetes].[All]" allUniqueName="[PT Q1].[Diabetes].[All]" dimensionUniqueName="[PT Q1]" displayFolder="" count="2"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2" memberValueDatatype="130" unbalanced="0"/>
    <cacheHierarchy uniqueName="[PT Q1].[Drugs &amp; alcohol abuse]" caption="Drugs &amp; alcohol abuse" attribute="1" defaultMemberUniqueName="[PT Q1].[Drugs &amp; alcohol abuse].[All]" allUniqueName="[PT Q1].[Drugs &amp; alcohol abuse].[All]" dimensionUniqueName="[PT Q1]" displayFolder="" count="2" memberValueDatatype="130" unbalanced="0"/>
    <cacheHierarchy uniqueName="[PT Q1].[Environmental hazards]" caption="Environmental hazards" attribute="1" defaultMemberUniqueName="[PT Q1].[Environmental hazards].[All]" allUniqueName="[PT Q1].[Environmental hazards].[All]" dimensionUniqueName="[PT Q1]" displayFolder="" count="2"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2" memberValueDatatype="130" unbalanced="0"/>
    <cacheHierarchy uniqueName="[PT Q1].[Column1]" caption="Column1" attribute="1" defaultMemberUniqueName="[PT Q1].[Column1].[All]" allUniqueName="[PT Q1].[Column1].[All]" dimensionUniqueName="[PT Q1]" displayFolder="" count="2" memberValueDatatype="130" unbalanced="0"/>
    <cacheHierarchy uniqueName="[PT Q1].[Count of Selection]" caption="Count of Selection" attribute="1" defaultMemberUniqueName="[PT Q1].[Count of Selection].[All]" allUniqueName="[PT Q1].[Count of Selection].[All]" dimensionUniqueName="[PT Q1]" displayFolder="" count="2" memberValueDatatype="20" unbalanced="0"/>
    <cacheHierarchy uniqueName="[PT Q1].[Weight]" caption="Weight" attribute="1" defaultMemberUniqueName="[PT Q1].[Weight].[All]" allUniqueName="[PT Q1].[Weight].[All]" dimensionUniqueName="[PT Q1]" displayFolder="" count="2" memberValueDatatype="130" unbalanced="0"/>
    <cacheHierarchy uniqueName="[PT Q1].[Column2]" caption="Column2" attribute="1" defaultMemberUniqueName="[PT Q1].[Column2].[All]" allUniqueName="[PT Q1].[Column2].[All]" dimensionUniqueName="[PT Q1]" displayFolder="" count="2" memberValueDatatype="130" unbalanced="0"/>
    <cacheHierarchy uniqueName="[PT Q1].[Asthma/lung disease3]" caption="Asthma/lung disease3" attribute="1" defaultMemberUniqueName="[PT Q1].[Asthma/lung disease3].[All]" allUniqueName="[PT Q1].[Asthma/lung disease3].[All]" dimensionUniqueName="[PT Q1]" displayFolder="" count="2" memberValueDatatype="5" unbalanced="0"/>
    <cacheHierarchy uniqueName="[PT Q1].[Cancer4]" caption="Cancer4" attribute="1" defaultMemberUniqueName="[PT Q1].[Cancer4].[All]" allUniqueName="[PT Q1].[Cancer4].[All]" dimensionUniqueName="[PT Q1]" displayFolder="" count="2"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2" memberValueDatatype="5" unbalanced="0"/>
    <cacheHierarchy uniqueName="[PT Q1].[Safety6]" caption="Safety6" attribute="1" defaultMemberUniqueName="[PT Q1].[Safety6].[All]" allUniqueName="[PT Q1].[Safety6].[All]" dimensionUniqueName="[PT Q1]" displayFolder="" count="2"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2"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2"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2"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2" memberValueDatatype="5" unbalanced="0"/>
    <cacheHierarchy uniqueName="[PT Q1].[Diabetes11]" caption="Diabetes11" attribute="1" defaultMemberUniqueName="[PT Q1].[Diabetes11].[All]" allUniqueName="[PT Q1].[Diabetes11].[All]" dimensionUniqueName="[PT Q1]" displayFolder="" count="2"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2"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2" memberValueDatatype="5" unbalanced="0"/>
    <cacheHierarchy uniqueName="[PT Q1].[Environmental hazards14]" caption="Environmental hazards14" attribute="1" defaultMemberUniqueName="[PT Q1].[Environmental hazards14].[All]" allUniqueName="[PT Q1].[Environmental hazards14].[All]" dimensionUniqueName="[PT Q1]" displayFolder="" count="2"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2" memberValueDatatype="5" unbalanced="0"/>
    <cacheHierarchy uniqueName="[PT Q1].[Column3]" caption="Column3" attribute="1" defaultMemberUniqueName="[PT Q1].[Column3].[All]" allUniqueName="[PT Q1].[Column3].[All]" dimensionUniqueName="[PT Q1]" displayFolder="" count="2" memberValueDatatype="130" unbalanced="0"/>
    <cacheHierarchy uniqueName="[PT Q1].[Column4]" caption="Column4" attribute="1" defaultMemberUniqueName="[PT Q1].[Column4].[All]" allUniqueName="[PT Q1].[Column4].[All]" dimensionUniqueName="[PT Q1]" displayFolder="" count="2" memberValueDatatype="130" unbalanced="0"/>
    <cacheHierarchy uniqueName="[PT Q1].[Observed]" caption="Observed" attribute="1" defaultMemberUniqueName="[PT Q1].[Observed].[All]" allUniqueName="[PT Q1].[Observed].[All]" dimensionUniqueName="[PT Q1]" displayFolder="" count="2" memberValueDatatype="5" unbalanced="0"/>
    <cacheHierarchy uniqueName="[PT Q1].[Expected]" caption="Expected" attribute="1" defaultMemberUniqueName="[PT Q1].[Expected].[All]" allUniqueName="[PT Q1].[Expected].[All]" dimensionUniqueName="[PT Q1]" displayFolder="" count="2" memberValueDatatype="20" unbalanced="0"/>
    <cacheHierarchy uniqueName="[PT Q1].[Column18]" caption="Column18" attribute="1" defaultMemberUniqueName="[PT Q1].[Column18].[All]" allUniqueName="[PT Q1].[Column18].[All]" dimensionUniqueName="[PT Q1]" displayFolder="" count="2" memberValueDatatype="130" unbalanced="0"/>
    <cacheHierarchy uniqueName="[PT Q1].[Column5]" caption="Column5" attribute="1" defaultMemberUniqueName="[PT Q1].[Column5].[All]" allUniqueName="[PT Q1].[Column5].[All]" dimensionUniqueName="[PT Q1]" displayFolder="" count="2" memberValueDatatype="130" unbalanced="0"/>
    <cacheHierarchy uniqueName="[PT Q1].[I identify as:]" caption="I identify as:" attribute="1" defaultMemberUniqueName="[PT Q1].[I identify as:].[All]" allUniqueName="[PT Q1].[I identify as:].[All]" dimensionUniqueName="[PT Q1]" displayFolder="" count="2" memberValueDatatype="130" unbalanced="0"/>
    <cacheHierarchy uniqueName="[PT Q1].[What is your age?]" caption="What is your age?" attribute="1" defaultMemberUniqueName="[PT Q1].[What is your age?].[All]" allUniqueName="[PT Q1].[What is your age?].[All]" dimensionUniqueName="[PT Q1]" displayFolder="" count="2" memberValueDatatype="20" unbalanced="0"/>
    <cacheHierarchy uniqueName="[PT Q1].[County where you live:]" caption="County where you live:" attribute="1" defaultMemberUniqueName="[PT Q1].[County where you live:].[All]" allUniqueName="[PT Q1].[County where you live:].[All]" dimensionUniqueName="[PT Q1]" displayFolder="" count="2" memberValueDatatype="130" unbalanced="0">
      <fieldsUsage count="2">
        <fieldUsage x="-1"/>
        <fieldUsage x="48"/>
      </fieldsUsage>
    </cacheHierarchy>
    <cacheHierarchy uniqueName="[PT Q1].[Town and ZIP code where you live:]" caption="Town and ZIP code where you live:" attribute="1" defaultMemberUniqueName="[PT Q1].[Town and ZIP code where you live:].[All]" allUniqueName="[PT Q1].[Town and ZIP code where you live:].[All]" dimensionUniqueName="[PT Q1]" displayFolder="" count="2" memberValueDatatype="130" unbalanced="0">
      <fieldsUsage count="2">
        <fieldUsage x="-1"/>
        <fieldUsage x="46"/>
      </fieldsUsage>
    </cacheHierarchy>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2"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2"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2"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2"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2"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2"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2" memberValueDatatype="130" unbalanced="0"/>
    <cacheHierarchy uniqueName="[PT Q1].[What type of insurance do you have?]" caption="What type of insurance do you have?" attribute="1" defaultMemberUniqueName="[PT Q1].[What type of insurance do you have?].[All]" allUniqueName="[PT Q1].[What type of insurance do you have?].[All]" dimensionUniqueName="[PT Q1]" displayFolder="" count="2" memberValueDatatype="130" unbalanced="0"/>
    <cacheHierarchy uniqueName="[PT Q1].[Do you have a smartphone]" caption="Do you have a smartphone" attribute="1" defaultMemberUniqueName="[PT Q1].[Do you have a smartphone].[All]" allUniqueName="[PT Q1].[Do you have a smartphone].[All]" dimensionUniqueName="[PT Q1]" displayFolder="" count="2" memberValueDatatype="130" unbalanced="0"/>
    <cacheHierarchy uniqueName="[PT Q1].[Woman Flag]" caption="Woman Flag" attribute="1" defaultMemberUniqueName="[PT Q1].[Woman Flag].[All]" allUniqueName="[PT Q1].[Woman Flag].[All]" dimensionUniqueName="[PT Q1]" displayFolder="" count="2" memberValueDatatype="20" unbalanced="0"/>
    <cacheHierarchy uniqueName="[PT Q1].[Man Flag]" caption="Man Flag" attribute="1" defaultMemberUniqueName="[PT Q1].[Man Flag].[All]" allUniqueName="[PT Q1].[Man Flag].[All]" dimensionUniqueName="[PT Q1]" displayFolder="" count="2" memberValueDatatype="20" unbalanced="0"/>
    <cacheHierarchy uniqueName="[PT Q1].[Transgender Flag]" caption="Transgender Flag" attribute="1" defaultMemberUniqueName="[PT Q1].[Transgender Flag].[All]" allUniqueName="[PT Q1].[Transgender Flag].[All]" dimensionUniqueName="[PT Q1]" displayFolder="" count="2" memberValueDatatype="20" unbalanced="0"/>
    <cacheHierarchy uniqueName="[PT Q1].[Other Gender Flag]" caption="Other Gender Flag" attribute="1" defaultMemberUniqueName="[PT Q1].[Other Gender Flag].[All]" allUniqueName="[PT Q1].[Other Gender Flag].[All]" dimensionUniqueName="[PT Q1]" displayFolder="" count="2" memberValueDatatype="20" unbalanced="0"/>
    <cacheHierarchy uniqueName="[PT Q1].[Hispanic Flag]" caption="Hispanic Flag" attribute="1" defaultMemberUniqueName="[PT Q1].[Hispanic Flag].[All]" allUniqueName="[PT Q1].[Hispanic Flag].[All]" dimensionUniqueName="[PT Q1]" displayFolder="" count="2" memberValueDatatype="20" unbalanced="0"/>
    <cacheHierarchy uniqueName="[PT Q1].[White Flag]" caption="White Flag" attribute="1" defaultMemberUniqueName="[PT Q1].[White Flag].[All]" allUniqueName="[PT Q1].[White Flag].[All]" dimensionUniqueName="[PT Q1]" displayFolder="" count="2" memberValueDatatype="20" unbalanced="0"/>
    <cacheHierarchy uniqueName="[PT Q1].[Black or African American Flag]" caption="Black or African American Flag" attribute="1" defaultMemberUniqueName="[PT Q1].[Black or African American Flag].[All]" allUniqueName="[PT Q1].[Black or African American Flag].[All]" dimensionUniqueName="[PT Q1]" displayFolder="" count="2" memberValueDatatype="20" unbalanced="0"/>
    <cacheHierarchy uniqueName="[PT Q1].[Native Hawaiian and Other Pacific Islander Flag]" caption="Native Hawaiian and Other Pacific Islander Flag" attribute="1" defaultMemberUniqueName="[PT Q1].[Native Hawaiian and Other Pacific Islander Flag].[All]" allUniqueName="[PT Q1].[Native Hawaiian and Other Pacific Islander Flag].[All]" dimensionUniqueName="[PT Q1]" displayFolder="" count="2" memberValueDatatype="20" unbalanced="0"/>
    <cacheHierarchy uniqueName="[PT Q1].[American Indian and Alaska Native Flag]" caption="American Indian and Alaska Native Flag" attribute="1" defaultMemberUniqueName="[PT Q1].[American Indian and Alaska Native Flag].[All]" allUniqueName="[PT Q1].[American Indian and Alaska Native Flag].[All]" dimensionUniqueName="[PT Q1]" displayFolder="" count="2" memberValueDatatype="20" unbalanced="0"/>
    <cacheHierarchy uniqueName="[PT Q1].[Two or more races Flag]" caption="Two or more races Flag" attribute="1" defaultMemberUniqueName="[PT Q1].[Two or more races Flag].[All]" allUniqueName="[PT Q1].[Two or more races Flag].[All]" dimensionUniqueName="[PT Q1]" displayFolder="" count="2" memberValueDatatype="20" unbalanced="0"/>
    <cacheHierarchy uniqueName="[PT Q1].[Other Race Flag]" caption="Other Race Flag" attribute="1" defaultMemberUniqueName="[PT Q1].[Other Race Flag].[All]" allUniqueName="[PT Q1].[Other Race Flag].[All]" dimensionUniqueName="[PT Q1]" displayFolder="" count="2" memberValueDatatype="20" unbalanced="0"/>
    <cacheHierarchy uniqueName="[PT Q1].[$0-$19,999 Flag]" caption="$0-$19,999 Flag" attribute="1" defaultMemberUniqueName="[PT Q1].[$0-$19,999 Flag].[All]" allUniqueName="[PT Q1].[$0-$19,999 Flag].[All]" dimensionUniqueName="[PT Q1]" displayFolder="" count="2" memberValueDatatype="20" unbalanced="0"/>
    <cacheHierarchy uniqueName="[PT Q1].[$20,000 to $34,999 Flag]" caption="$20,000 to $34,999 Flag" attribute="1" defaultMemberUniqueName="[PT Q1].[$20,000 to $34,999 Flag].[All]" allUniqueName="[PT Q1].[$20,000 to $34,999 Flag].[All]" dimensionUniqueName="[PT Q1]" displayFolder="" count="2" memberValueDatatype="20" unbalanced="0"/>
    <cacheHierarchy uniqueName="[PT Q1].[$35,000 to $49,999 Flag]" caption="$35,000 to $49,999 Flag" attribute="1" defaultMemberUniqueName="[PT Q1].[$35,000 to $49,999 Flag].[All]" allUniqueName="[PT Q1].[$35,000 to $49,999 Flag].[All]" dimensionUniqueName="[PT Q1]" displayFolder="" count="2" memberValueDatatype="20" unbalanced="0"/>
    <cacheHierarchy uniqueName="[PT Q1].[$50,000 to $74,999 Flag]" caption="$50,000 to $74,999 Flag" attribute="1" defaultMemberUniqueName="[PT Q1].[$50,000 to $74,999 Flag].[All]" allUniqueName="[PT Q1].[$50,000 to $74,999 Flag].[All]" dimensionUniqueName="[PT Q1]" displayFolder="" count="2" memberValueDatatype="20" unbalanced="0"/>
    <cacheHierarchy uniqueName="[PT Q1].[$75,000 to $125,000 Flag]" caption="$75,000 to $125,000 Flag" attribute="1" defaultMemberUniqueName="[PT Q1].[$75,000 to $125,000 Flag].[All]" allUniqueName="[PT Q1].[$75,000 to $125,000 Flag].[All]" dimensionUniqueName="[PT Q1]" displayFolder="" count="2" memberValueDatatype="20" unbalanced="0"/>
    <cacheHierarchy uniqueName="[PT Q1].[Over $125,000 Flag]" caption="Over $125,000 Flag" attribute="1" defaultMemberUniqueName="[PT Q1].[Over $125,000 Flag].[All]" allUniqueName="[PT Q1].[Over $125,000 Flag].[All]" dimensionUniqueName="[PT Q1]" displayFolder="" count="2" memberValueDatatype="20" unbalanced="0"/>
    <cacheHierarchy uniqueName="[PT Q1].[18 TO 24 Flag]" caption="18 TO 24 Flag" attribute="1" defaultMemberUniqueName="[PT Q1].[18 TO 24 Flag].[All]" allUniqueName="[PT Q1].[18 TO 24 Flag].[All]" dimensionUniqueName="[PT Q1]" displayFolder="" count="2" memberValueDatatype="20" unbalanced="0"/>
    <cacheHierarchy uniqueName="[PT Q1].[25 to 34 Flag]" caption="25 to 34 Flag" attribute="1" defaultMemberUniqueName="[PT Q1].[25 to 34 Flag].[All]" allUniqueName="[PT Q1].[25 to 34 Flag].[All]" dimensionUniqueName="[PT Q1]" displayFolder="" count="2" memberValueDatatype="20" unbalanced="0"/>
    <cacheHierarchy uniqueName="[PT Q1].[35 to 44 Flag]" caption="35 to 44 Flag" attribute="1" defaultMemberUniqueName="[PT Q1].[35 to 44 Flag].[All]" allUniqueName="[PT Q1].[35 to 44 Flag].[All]" dimensionUniqueName="[PT Q1]" displayFolder="" count="2" memberValueDatatype="20" unbalanced="0"/>
    <cacheHierarchy uniqueName="[PT Q1].[45 to 54 Flag]" caption="45 to 54 Flag" attribute="1" defaultMemberUniqueName="[PT Q1].[45 to 54 Flag].[All]" allUniqueName="[PT Q1].[45 to 54 Flag].[All]" dimensionUniqueName="[PT Q1]" displayFolder="" count="2" memberValueDatatype="20" unbalanced="0"/>
    <cacheHierarchy uniqueName="[PT Q1].[55 to 64 Flag]" caption="55 to 64 Flag" attribute="1" defaultMemberUniqueName="[PT Q1].[55 to 64 Flag].[All]" allUniqueName="[PT Q1].[55 to 64 Flag].[All]" dimensionUniqueName="[PT Q1]" displayFolder="" count="2" memberValueDatatype="20" unbalanced="0"/>
    <cacheHierarchy uniqueName="[PT Q1].[65 Plus Flag]" caption="65 Plus Flag" attribute="1" defaultMemberUniqueName="[PT Q1].[65 Plus Flag].[All]" allUniqueName="[PT Q1].[65 Plus Flag].[All]" dimensionUniqueName="[PT Q1]" displayFolder="" count="2" memberValueDatatype="20" unbalanced="0"/>
    <cacheHierarchy uniqueName="[PT Q1].[K-8 grade Flag]" caption="K-8 grade Flag" attribute="1" defaultMemberUniqueName="[PT Q1].[K-8 grade Flag].[All]" allUniqueName="[PT Q1].[K-8 grade Flag].[All]" dimensionUniqueName="[PT Q1]" displayFolder="" count="2" memberValueDatatype="20" unbalanced="0"/>
    <cacheHierarchy uniqueName="[PT Q1].[Some High School Flag]" caption="Some High School Flag" attribute="1" defaultMemberUniqueName="[PT Q1].[Some High School Flag].[All]" allUniqueName="[PT Q1].[Some High School Flag].[All]" dimensionUniqueName="[PT Q1]" displayFolder="" count="2" memberValueDatatype="20" unbalanced="0"/>
    <cacheHierarchy uniqueName="[PT Q1].[High School Graduate Flag]" caption="High School Graduate Flag" attribute="1" defaultMemberUniqueName="[PT Q1].[High School Graduate Flag].[All]" allUniqueName="[PT Q1].[High School Graduate Flag].[All]" dimensionUniqueName="[PT Q1]" displayFolder="" count="2" memberValueDatatype="20" unbalanced="0"/>
    <cacheHierarchy uniqueName="[PT Q1].[Technical School Flag]" caption="Technical School Flag" attribute="1" defaultMemberUniqueName="[PT Q1].[Technical School Flag].[All]" allUniqueName="[PT Q1].[Technical School Flag].[All]" dimensionUniqueName="[PT Q1]" displayFolder="" count="2" memberValueDatatype="20" unbalanced="0"/>
    <cacheHierarchy uniqueName="[PT Q1].[Some College Flag]" caption="Some College Flag" attribute="1" defaultMemberUniqueName="[PT Q1].[Some College Flag].[All]" allUniqueName="[PT Q1].[Some College Flag].[All]" dimensionUniqueName="[PT Q1]" displayFolder="" count="2" memberValueDatatype="20" unbalanced="0"/>
    <cacheHierarchy uniqueName="[PT Q1].[College Graduate Flag]" caption="College Graduate Flag" attribute="1" defaultMemberUniqueName="[PT Q1].[College Graduate Flag].[All]" allUniqueName="[PT Q1].[College Graduate Flag].[All]" dimensionUniqueName="[PT Q1]" displayFolder="" count="2" memberValueDatatype="20" unbalanced="0"/>
    <cacheHierarchy uniqueName="[PT Q1].[Graduate School Flag]" caption="Graduate School Flag" attribute="1" defaultMemberUniqueName="[PT Q1].[Graduate School Flag].[All]" allUniqueName="[PT Q1].[Graduate School Flag].[All]" dimensionUniqueName="[PT Q1]" displayFolder="" count="2" memberValueDatatype="20" unbalanced="0"/>
    <cacheHierarchy uniqueName="[PT Q1].[Doctorate Flag]" caption="Doctorate Flag" attribute="1" defaultMemberUniqueName="[PT Q1].[Doctorate Flag].[All]" allUniqueName="[PT Q1].[Doctorate Flag].[All]" dimensionUniqueName="[PT Q1]" displayFolder="" count="2" memberValueDatatype="20" unbalanced="0"/>
    <cacheHierarchy uniqueName="[PT Q1].[GED Flag]" caption="GED Flag" attribute="1" defaultMemberUniqueName="[PT Q1].[GED Flag].[All]" allUniqueName="[PT Q1].[GED Flag].[All]" dimensionUniqueName="[PT Q1]" displayFolder="" count="2" memberValueDatatype="20" unbalanced="0"/>
    <cacheHierarchy uniqueName="[PT Q1].[Employed for Wages Flag]" caption="Employed for Wages Flag" attribute="1" defaultMemberUniqueName="[PT Q1].[Employed for Wages Flag].[All]" allUniqueName="[PT Q1].[Employed for Wages Flag].[All]" dimensionUniqueName="[PT Q1]" displayFolder="" count="2" memberValueDatatype="20" unbalanced="0"/>
    <cacheHierarchy uniqueName="[PT Q1].[Self-employed Flag]" caption="Self-employed Flag" attribute="1" defaultMemberUniqueName="[PT Q1].[Self-employed Flag].[All]" allUniqueName="[PT Q1].[Self-employed Flag].[All]" dimensionUniqueName="[PT Q1]" displayFolder="" count="2" memberValueDatatype="20" unbalanced="0"/>
    <cacheHierarchy uniqueName="[PT Q1].[Student Flag]" caption="Student Flag" attribute="1" defaultMemberUniqueName="[PT Q1].[Student Flag].[All]" allUniqueName="[PT Q1].[Student Flag].[All]" dimensionUniqueName="[PT Q1]" displayFolder="" count="2" memberValueDatatype="20" unbalanced="0"/>
    <cacheHierarchy uniqueName="[PT Q1].[Retired Flag]" caption="Retired Flag" attribute="1" defaultMemberUniqueName="[PT Q1].[Retired Flag].[All]" allUniqueName="[PT Q1].[Retired Flag].[All]" dimensionUniqueName="[PT Q1]" displayFolder="" count="2" memberValueDatatype="20" unbalanced="0"/>
    <cacheHierarchy uniqueName="[PT Q1].[Military Flag]" caption="Military Flag" attribute="1" defaultMemberUniqueName="[PT Q1].[Military Flag].[All]" allUniqueName="[PT Q1].[Military Flag].[All]" dimensionUniqueName="[PT Q1]" displayFolder="" count="2" memberValueDatatype="20" unbalanced="0"/>
    <cacheHierarchy uniqueName="[PT Q1].[Out of Work and Looking Flag]" caption="Out of Work and Looking Flag" attribute="1" defaultMemberUniqueName="[PT Q1].[Out of Work and Looking Flag].[All]" allUniqueName="[PT Q1].[Out of Work and Looking Flag].[All]" dimensionUniqueName="[PT Q1]" displayFolder="" count="2" memberValueDatatype="20" unbalanced="0"/>
    <cacheHierarchy uniqueName="[PT Q1].[Out of Work Not Looking Flag]" caption="Out of Work Not Looking Flag" attribute="1" defaultMemberUniqueName="[PT Q1].[Out of Work Not Looking Flag].[All]" allUniqueName="[PT Q1].[Out of Work Not Looking Flag].[All]" dimensionUniqueName="[PT Q1]" displayFolder="" count="2" memberValueDatatype="20" unbalanced="0"/>
    <cacheHierarchy uniqueName="[PT Q1].[Health Insurance Yes Flag]" caption="Health Insurance Yes Flag" attribute="1" defaultMemberUniqueName="[PT Q1].[Health Insurance Yes Flag].[All]" allUniqueName="[PT Q1].[Health Insurance Yes Flag].[All]" dimensionUniqueName="[PT Q1]" displayFolder="" count="2" memberValueDatatype="20" unbalanced="0"/>
    <cacheHierarchy uniqueName="[PT Q1].[Health Insurance No Flag]" caption="Health Insurance No Flag" attribute="1" defaultMemberUniqueName="[PT Q1].[Health Insurance No Flag].[All]" allUniqueName="[PT Q1].[Health Insurance No Flag].[All]" dimensionUniqueName="[PT Q1]" displayFolder="" count="2" memberValueDatatype="20" unbalanced="0"/>
    <cacheHierarchy uniqueName="[PT Q1].[Health Insurance In the Past Flag]" caption="Health Insurance In the Past Flag" attribute="1" defaultMemberUniqueName="[PT Q1].[Health Insurance In the Past Flag].[All]" allUniqueName="[PT Q1].[Health Insurance In the Past Flag].[All]" dimensionUniqueName="[PT Q1]" displayFolder="" count="2" memberValueDatatype="20" unbalanced="0"/>
    <cacheHierarchy uniqueName="[PT Q1].[Medicare Flag]" caption="Medicare Flag" attribute="1" defaultMemberUniqueName="[PT Q1].[Medicare Flag].[All]" allUniqueName="[PT Q1].[Medicare Flag].[All]" dimensionUniqueName="[PT Q1]" displayFolder="" count="2" memberValueDatatype="20" unbalanced="0"/>
    <cacheHierarchy uniqueName="[PT Q1].[Medicaid Flag]" caption="Medicaid Flag" attribute="1" defaultMemberUniqueName="[PT Q1].[Medicaid Flag].[All]" allUniqueName="[PT Q1].[Medicaid Flag].[All]" dimensionUniqueName="[PT Q1]" displayFolder="" count="2" memberValueDatatype="20" unbalanced="0"/>
    <cacheHierarchy uniqueName="[PT Q1].[Private/Commercial Flag]" caption="Private/Commercial Flag" attribute="1" defaultMemberUniqueName="[PT Q1].[Private/Commercial Flag].[All]" allUniqueName="[PT Q1].[Private/Commercial Flag].[All]" dimensionUniqueName="[PT Q1]" displayFolder="" count="2" memberValueDatatype="20" unbalanced="0"/>
    <cacheHierarchy uniqueName="[PT Q1].[No Insurance Flag]" caption="No Insurance Flag" attribute="1" defaultMemberUniqueName="[PT Q1].[No Insurance Flag].[All]" allUniqueName="[PT Q1].[No Insurance Flag].[All]" dimensionUniqueName="[PT Q1]" displayFolder="" count="2" memberValueDatatype="20" unbalanced="0"/>
    <cacheHierarchy uniqueName="[PT Q1 1].[RespondentID]" caption="RespondentID" attribute="1" defaultMemberUniqueName="[PT Q1 1].[RespondentID].[All]" allUniqueName="[PT Q1 1].[RespondentID].[All]" dimensionUniqueName="[PT Q1 1]" displayFolder="" count="2" memberValueDatatype="5" unbalanced="0"/>
    <cacheHierarchy uniqueName="[PT Q1 1].[Asthma/lung disease]" caption="Asthma/lung disease" attribute="1" defaultMemberUniqueName="[PT Q1 1].[Asthma/lung disease].[All]" allUniqueName="[PT Q1 1].[Asthma/lung disease].[All]" dimensionUniqueName="[PT Q1 1]" displayFolder="" count="2" memberValueDatatype="130" unbalanced="0"/>
    <cacheHierarchy uniqueName="[PT Q1 1].[Cancer]" caption="Cancer" attribute="1" defaultMemberUniqueName="[PT Q1 1].[Cancer].[All]" allUniqueName="[PT Q1 1].[Cancer].[All]" dimensionUniqueName="[PT Q1 1]" displayFolder="" count="2" memberValueDatatype="130" unbalanced="0"/>
    <cacheHierarchy uniqueName="[PT Q1 1].[Heart disease &amp; stroke]" caption="Heart disease &amp; stroke" attribute="1" defaultMemberUniqueName="[PT Q1 1].[Heart disease &amp; stroke].[All]" allUniqueName="[PT Q1 1].[Heart disease &amp; stroke].[All]" dimensionUniqueName="[PT Q1 1]" displayFolder="" count="2" memberValueDatatype="130" unbalanced="0"/>
    <cacheHierarchy uniqueName="[PT Q1 1].[Safety]" caption="Safety" attribute="1" defaultMemberUniqueName="[PT Q1 1].[Safety].[All]" allUniqueName="[PT Q1 1].[Safety].[All]" dimensionUniqueName="[PT Q1 1]" displayFolder="" count="2" memberValueDatatype="130" unbalanced="0"/>
    <cacheHierarchy uniqueName="[PT Q1 1].[HIV/AIDS &amp; Sexually Transmitted Diseases (STDs)]" caption="HIV/AIDS &amp; Sexually Transmitted Diseases (STDs)" attribute="1" defaultMemberUniqueName="[PT Q1 1].[HIV/AIDS &amp; Sexually Transmitted Diseases (STDs)].[All]" allUniqueName="[PT Q1 1].[HIV/AIDS &amp; Sexually Transmitted Diseases (STDs)].[All]" dimensionUniqueName="[PT Q1 1]" displayFolder="" count="2" memberValueDatatype="130" unbalanced="0"/>
    <cacheHierarchy uniqueName="[PT Q1 1].[Vaccine preventable diseases]" caption="Vaccine preventable diseases" attribute="1" defaultMemberUniqueName="[PT Q1 1].[Vaccine preventable diseases].[All]" allUniqueName="[PT Q1 1].[Vaccine preventable diseases].[All]" dimensionUniqueName="[PT Q1 1]" displayFolder="" count="2" memberValueDatatype="130" unbalanced="0"/>
    <cacheHierarchy uniqueName="[PT Q1 1].[Child health &amp; wellness]" caption="Child health &amp; wellness" attribute="1" defaultMemberUniqueName="[PT Q1 1].[Child health &amp; wellness].[All]" allUniqueName="[PT Q1 1].[Child health &amp; wellness].[All]" dimensionUniqueName="[PT Q1 1]" displayFolder="" count="2" memberValueDatatype="130" unbalanced="0"/>
    <cacheHierarchy uniqueName="[PT Q1 1].[Women’s health &amp; wellness]" caption="Women’s health &amp; wellness" attribute="1" defaultMemberUniqueName="[PT Q1 1].[Women’s health &amp; wellness].[All]" allUniqueName="[PT Q1 1].[Women’s health &amp; wellness].[All]" dimensionUniqueName="[PT Q1 1]" displayFolder="" count="2" memberValueDatatype="130" unbalanced="0"/>
    <cacheHierarchy uniqueName="[PT Q1 1].[Diabetes]" caption="Diabetes" attribute="1" defaultMemberUniqueName="[PT Q1 1].[Diabetes].[All]" allUniqueName="[PT Q1 1].[Diabetes].[All]" dimensionUniqueName="[PT Q1 1]" displayFolder="" count="2" memberValueDatatype="130" unbalanced="0"/>
    <cacheHierarchy uniqueName="[PT Q1 1].[Mental health depression/suicide]" caption="Mental health depression/suicide" attribute="1" defaultMemberUniqueName="[PT Q1 1].[Mental health depression/suicide].[All]" allUniqueName="[PT Q1 1].[Mental health depression/suicide].[All]" dimensionUniqueName="[PT Q1 1]" displayFolder="" count="2" memberValueDatatype="130" unbalanced="0"/>
    <cacheHierarchy uniqueName="[PT Q1 1].[Drugs &amp; alcohol abuse]" caption="Drugs &amp; alcohol abuse" attribute="1" defaultMemberUniqueName="[PT Q1 1].[Drugs &amp; alcohol abuse].[All]" allUniqueName="[PT Q1 1].[Drugs &amp; alcohol abuse].[All]" dimensionUniqueName="[PT Q1 1]" displayFolder="" count="2" memberValueDatatype="130" unbalanced="0"/>
    <cacheHierarchy uniqueName="[PT Q1 1].[Environmental hazards]" caption="Environmental hazards" attribute="1" defaultMemberUniqueName="[PT Q1 1].[Environmental hazards].[All]" allUniqueName="[PT Q1 1].[Environmental hazards].[All]" dimensionUniqueName="[PT Q1 1]" displayFolder="" count="2" memberValueDatatype="130" unbalanced="0"/>
    <cacheHierarchy uniqueName="[PT Q1 1].[Obesity/weight loss issues]" caption="Obesity/weight loss issues" attribute="1" defaultMemberUniqueName="[PT Q1 1].[Obesity/weight loss issues].[All]" allUniqueName="[PT Q1 1].[Obesity/weight loss issues].[All]" dimensionUniqueName="[PT Q1 1]" displayFolder="" count="2" memberValueDatatype="130" unbalanced="0"/>
    <cacheHierarchy uniqueName="[PT Q1 1].[Column1]" caption="Column1" attribute="1" defaultMemberUniqueName="[PT Q1 1].[Column1].[All]" allUniqueName="[PT Q1 1].[Column1].[All]" dimensionUniqueName="[PT Q1 1]" displayFolder="" count="2" memberValueDatatype="130" unbalanced="0"/>
    <cacheHierarchy uniqueName="[PT Q1 1].[Count of Selection]" caption="Count of Selection" attribute="1" defaultMemberUniqueName="[PT Q1 1].[Count of Selection].[All]" allUniqueName="[PT Q1 1].[Count of Selection].[All]" dimensionUniqueName="[PT Q1 1]" displayFolder="" count="2" memberValueDatatype="20" unbalanced="0"/>
    <cacheHierarchy uniqueName="[PT Q1 1].[Weight]" caption="Weight" attribute="1" defaultMemberUniqueName="[PT Q1 1].[Weight].[All]" allUniqueName="[PT Q1 1].[Weight].[All]" dimensionUniqueName="[PT Q1 1]" displayFolder="" count="2" memberValueDatatype="130" unbalanced="0"/>
    <cacheHierarchy uniqueName="[PT Q1 1].[Column2]" caption="Column2" attribute="1" defaultMemberUniqueName="[PT Q1 1].[Column2].[All]" allUniqueName="[PT Q1 1].[Column2].[All]" dimensionUniqueName="[PT Q1 1]" displayFolder="" count="2" memberValueDatatype="130" unbalanced="0"/>
    <cacheHierarchy uniqueName="[PT Q1 1].[Asthma/lung disease3]" caption="Asthma/lung disease3" attribute="1" defaultMemberUniqueName="[PT Q1 1].[Asthma/lung disease3].[All]" allUniqueName="[PT Q1 1].[Asthma/lung disease3].[All]" dimensionUniqueName="[PT Q1 1]" displayFolder="" count="2" memberValueDatatype="5" unbalanced="0"/>
    <cacheHierarchy uniqueName="[PT Q1 1].[Cancer4]" caption="Cancer4" attribute="1" defaultMemberUniqueName="[PT Q1 1].[Cancer4].[All]" allUniqueName="[PT Q1 1].[Cancer4].[All]" dimensionUniqueName="[PT Q1 1]" displayFolder="" count="2" memberValueDatatype="5" unbalanced="0"/>
    <cacheHierarchy uniqueName="[PT Q1 1].[Heart disease &amp; stroke5]" caption="Heart disease &amp; stroke5" attribute="1" defaultMemberUniqueName="[PT Q1 1].[Heart disease &amp; stroke5].[All]" allUniqueName="[PT Q1 1].[Heart disease &amp; stroke5].[All]" dimensionUniqueName="[PT Q1 1]" displayFolder="" count="2" memberValueDatatype="5" unbalanced="0"/>
    <cacheHierarchy uniqueName="[PT Q1 1].[Safety6]" caption="Safety6" attribute="1" defaultMemberUniqueName="[PT Q1 1].[Safety6].[All]" allUniqueName="[PT Q1 1].[Safety6].[All]" dimensionUniqueName="[PT Q1 1]" displayFolder="" count="2" memberValueDatatype="5" unbalanced="0"/>
    <cacheHierarchy uniqueName="[PT Q1 1].[HIV/AIDS &amp; Sexually Transmitted Diseases (STDs)7]" caption="HIV/AIDS &amp; Sexually Transmitted Diseases (STDs)7" attribute="1" defaultMemberUniqueName="[PT Q1 1].[HIV/AIDS &amp; Sexually Transmitted Diseases (STDs)7].[All]" allUniqueName="[PT Q1 1].[HIV/AIDS &amp; Sexually Transmitted Diseases (STDs)7].[All]" dimensionUniqueName="[PT Q1 1]" displayFolder="" count="2" memberValueDatatype="5" unbalanced="0"/>
    <cacheHierarchy uniqueName="[PT Q1 1].[Vaccine preventable diseases8]" caption="Vaccine preventable diseases8" attribute="1" defaultMemberUniqueName="[PT Q1 1].[Vaccine preventable diseases8].[All]" allUniqueName="[PT Q1 1].[Vaccine preventable diseases8].[All]" dimensionUniqueName="[PT Q1 1]" displayFolder="" count="2" memberValueDatatype="5" unbalanced="0"/>
    <cacheHierarchy uniqueName="[PT Q1 1].[Child health &amp; wellness9]" caption="Child health &amp; wellness9" attribute="1" defaultMemberUniqueName="[PT Q1 1].[Child health &amp; wellness9].[All]" allUniqueName="[PT Q1 1].[Child health &amp; wellness9].[All]" dimensionUniqueName="[PT Q1 1]" displayFolder="" count="2" memberValueDatatype="5" unbalanced="0"/>
    <cacheHierarchy uniqueName="[PT Q1 1].[Women’s health &amp; wellness10]" caption="Women’s health &amp; wellness10" attribute="1" defaultMemberUniqueName="[PT Q1 1].[Women’s health &amp; wellness10].[All]" allUniqueName="[PT Q1 1].[Women’s health &amp; wellness10].[All]" dimensionUniqueName="[PT Q1 1]" displayFolder="" count="2" memberValueDatatype="5" unbalanced="0"/>
    <cacheHierarchy uniqueName="[PT Q1 1].[Diabetes11]" caption="Diabetes11" attribute="1" defaultMemberUniqueName="[PT Q1 1].[Diabetes11].[All]" allUniqueName="[PT Q1 1].[Diabetes11].[All]" dimensionUniqueName="[PT Q1 1]" displayFolder="" count="2" memberValueDatatype="5" unbalanced="0"/>
    <cacheHierarchy uniqueName="[PT Q1 1].[Mental health depression/suicide12]" caption="Mental health depression/suicide12" attribute="1" defaultMemberUniqueName="[PT Q1 1].[Mental health depression/suicide12].[All]" allUniqueName="[PT Q1 1].[Mental health depression/suicide12].[All]" dimensionUniqueName="[PT Q1 1]" displayFolder="" count="2" memberValueDatatype="5" unbalanced="0"/>
    <cacheHierarchy uniqueName="[PT Q1 1].[Drugs &amp; alcohol abuse13]" caption="Drugs &amp; alcohol abuse13" attribute="1" defaultMemberUniqueName="[PT Q1 1].[Drugs &amp; alcohol abuse13].[All]" allUniqueName="[PT Q1 1].[Drugs &amp; alcohol abuse13].[All]" dimensionUniqueName="[PT Q1 1]" displayFolder="" count="2" memberValueDatatype="5" unbalanced="0"/>
    <cacheHierarchy uniqueName="[PT Q1 1].[Environmental hazards14]" caption="Environmental hazards14" attribute="1" defaultMemberUniqueName="[PT Q1 1].[Environmental hazards14].[All]" allUniqueName="[PT Q1 1].[Environmental hazards14].[All]" dimensionUniqueName="[PT Q1 1]" displayFolder="" count="2" memberValueDatatype="5" unbalanced="0"/>
    <cacheHierarchy uniqueName="[PT Q1 1].[Obesity/weight loss issues15]" caption="Obesity/weight loss issues15" attribute="1" defaultMemberUniqueName="[PT Q1 1].[Obesity/weight loss issues15].[All]" allUniqueName="[PT Q1 1].[Obesity/weight loss issues15].[All]" dimensionUniqueName="[PT Q1 1]" displayFolder="" count="2" memberValueDatatype="5" unbalanced="0"/>
    <cacheHierarchy uniqueName="[PT Q1 1].[Column3]" caption="Column3" attribute="1" defaultMemberUniqueName="[PT Q1 1].[Column3].[All]" allUniqueName="[PT Q1 1].[Column3].[All]" dimensionUniqueName="[PT Q1 1]" displayFolder="" count="2" memberValueDatatype="130" unbalanced="0"/>
    <cacheHierarchy uniqueName="[PT Q1 1].[Column4]" caption="Column4" attribute="1" defaultMemberUniqueName="[PT Q1 1].[Column4].[All]" allUniqueName="[PT Q1 1].[Column4].[All]" dimensionUniqueName="[PT Q1 1]" displayFolder="" count="2" memberValueDatatype="130" unbalanced="0"/>
    <cacheHierarchy uniqueName="[PT Q1 1].[Observed]" caption="Observed" attribute="1" defaultMemberUniqueName="[PT Q1 1].[Observed].[All]" allUniqueName="[PT Q1 1].[Observed].[All]" dimensionUniqueName="[PT Q1 1]" displayFolder="" count="2" memberValueDatatype="5" unbalanced="0"/>
    <cacheHierarchy uniqueName="[PT Q1 1].[Expected]" caption="Expected" attribute="1" defaultMemberUniqueName="[PT Q1 1].[Expected].[All]" allUniqueName="[PT Q1 1].[Expected].[All]" dimensionUniqueName="[PT Q1 1]" displayFolder="" count="2" memberValueDatatype="20" unbalanced="0"/>
    <cacheHierarchy uniqueName="[PT Q1 1].[Column18]" caption="Column18" attribute="1" defaultMemberUniqueName="[PT Q1 1].[Column18].[All]" allUniqueName="[PT Q1 1].[Column18].[All]" dimensionUniqueName="[PT Q1 1]" displayFolder="" count="2" memberValueDatatype="130" unbalanced="0"/>
    <cacheHierarchy uniqueName="[PT Q1 1].[Column5]" caption="Column5" attribute="1" defaultMemberUniqueName="[PT Q1 1].[Column5].[All]" allUniqueName="[PT Q1 1].[Column5].[All]" dimensionUniqueName="[PT Q1 1]" displayFolder="" count="2" memberValueDatatype="130" unbalanced="0"/>
    <cacheHierarchy uniqueName="[PT Q1 1].[I identify as:]" caption="I identify as:" attribute="1" defaultMemberUniqueName="[PT Q1 1].[I identify as:].[All]" allUniqueName="[PT Q1 1].[I identify as:].[All]" dimensionUniqueName="[PT Q1 1]" displayFolder="" count="2" memberValueDatatype="130" unbalanced="0"/>
    <cacheHierarchy uniqueName="[PT Q1 1].[What is your age?]" caption="What is your age?" attribute="1" defaultMemberUniqueName="[PT Q1 1].[What is your age?].[All]" allUniqueName="[PT Q1 1].[What is your age?].[All]" dimensionUniqueName="[PT Q1 1]" displayFolder="" count="2" memberValueDatatype="20" unbalanced="0"/>
    <cacheHierarchy uniqueName="[PT Q1 1].[County where you live:]" caption="County where you live:" attribute="1" defaultMemberUniqueName="[PT Q1 1].[County where you live:].[All]" allUniqueName="[PT Q1 1].[County where you live:].[All]" dimensionUniqueName="[PT Q1 1]" displayFolder="" count="2" memberValueDatatype="130" unbalanced="0"/>
    <cacheHierarchy uniqueName="[PT Q1 1].[Town and ZIP code where you live:]" caption="Town and ZIP code where you live:" attribute="1" defaultMemberUniqueName="[PT Q1 1].[Town and ZIP code where you live:].[All]" allUniqueName="[PT Q1 1].[Town and ZIP code where you live:].[All]" dimensionUniqueName="[PT Q1 1]" displayFolder="" count="2" memberValueDatatype="130" unbalanced="0"/>
    <cacheHierarchy uniqueName="[PT Q1 1].[What race do you consider yourself?]" caption="What race do you consider yourself?" attribute="1" defaultMemberUniqueName="[PT Q1 1].[What race do you consider yourself?].[All]" allUniqueName="[PT Q1 1].[What race do you consider yourself?].[All]" dimensionUniqueName="[PT Q1 1]" displayFolder="" count="2" memberValueDatatype="130" unbalanced="0"/>
    <cacheHierarchy uniqueName="[PT Q1 1].[Are you Hispanic or Latino?]" caption="Are you Hispanic or Latino?" attribute="1" defaultMemberUniqueName="[PT Q1 1].[Are you Hispanic or Latino?].[All]" allUniqueName="[PT Q1 1].[Are you Hispanic or Latino?].[All]" dimensionUniqueName="[PT Q1 1]" displayFolder="" count="2" memberValueDatatype="130" unbalanced="0"/>
    <cacheHierarchy uniqueName="[PT Q1 1].[What language do you speak when you are at home (select all that apply)]" caption="What language do you speak when you are at home (select all that apply)" attribute="1" defaultMemberUniqueName="[PT Q1 1].[What language do you speak when you are at home (select all that apply)].[All]" allUniqueName="[PT Q1 1].[What language do you speak when you are at home (select all that apply)].[All]" dimensionUniqueName="[PT Q1 1]" displayFolder="" count="2" memberValueDatatype="130" unbalanced="0"/>
    <cacheHierarchy uniqueName="[PT Q1 1].[What is your annual household income from all sources?]" caption="What is your annual household income from all sources?" attribute="1" defaultMemberUniqueName="[PT Q1 1].[What is your annual household income from all sources?].[All]" allUniqueName="[PT Q1 1].[What is your annual household income from all sources?].[All]" dimensionUniqueName="[PT Q1 1]" displayFolder="" count="2" memberValueDatatype="130" unbalanced="0"/>
    <cacheHierarchy uniqueName="[PT Q1 1].[What is your highest level of education?]" caption="What is your highest level of education?" attribute="1" defaultMemberUniqueName="[PT Q1 1].[What is your highest level of education?].[All]" allUniqueName="[PT Q1 1].[What is your highest level of education?].[All]" dimensionUniqueName="[PT Q1 1]" displayFolder="" count="2" memberValueDatatype="130" unbalanced="0"/>
    <cacheHierarchy uniqueName="[PT Q1 1].[What is your current employment status?]" caption="What is your current employment status?" attribute="1" defaultMemberUniqueName="[PT Q1 1].[What is your current employment status?].[All]" allUniqueName="[PT Q1 1].[What is your current employment status?].[All]" dimensionUniqueName="[PT Q1 1]" displayFolder="" count="2" memberValueDatatype="130" unbalanced="0"/>
    <cacheHierarchy uniqueName="[PT Q1 1].[Do you currently have health insurance?]" caption="Do you currently have health insurance?" attribute="1" defaultMemberUniqueName="[PT Q1 1].[Do you currently have health insurance?].[All]" allUniqueName="[PT Q1 1].[Do you currently have health insurance?].[All]" dimensionUniqueName="[PT Q1 1]" displayFolder="" count="2" memberValueDatatype="130" unbalanced="0"/>
    <cacheHierarchy uniqueName="[PT Q1 1].[What type of insurance do you have?]" caption="What type of insurance do you have?" attribute="1" defaultMemberUniqueName="[PT Q1 1].[What type of insurance do you have?].[All]" allUniqueName="[PT Q1 1].[What type of insurance do you have?].[All]" dimensionUniqueName="[PT Q1 1]" displayFolder="" count="2" memberValueDatatype="130" unbalanced="0"/>
    <cacheHierarchy uniqueName="[PT Q1 1].[Do you have access to reliable internet in your home?]" caption="Do you have access to reliable internet in your home?" attribute="1" defaultMemberUniqueName="[PT Q1 1].[Do you have access to reliable internet in your home?].[All]" allUniqueName="[PT Q1 1].[Do you have access to reliable internet in your home?].[All]" dimensionUniqueName="[PT Q1 1]" displayFolder="" count="2" memberValueDatatype="130" unbalanced="0"/>
    <cacheHierarchy uniqueName="[PT Q1 1].[Female Flag]" caption="Female Flag" attribute="1" defaultMemberUniqueName="[PT Q1 1].[Female Flag].[All]" allUniqueName="[PT Q1 1].[Female Flag].[All]" dimensionUniqueName="[PT Q1 1]" displayFolder="" count="2" memberValueDatatype="20" unbalanced="0"/>
    <cacheHierarchy uniqueName="[PT Q1 1].[Male Flag]" caption="Male Flag" attribute="1" defaultMemberUniqueName="[PT Q1 1].[Male Flag].[All]" allUniqueName="[PT Q1 1].[Male Flag].[All]" dimensionUniqueName="[PT Q1 1]" displayFolder="" count="2" memberValueDatatype="20" unbalanced="0"/>
    <cacheHierarchy uniqueName="[PT Q1 1].[Other Flag]" caption="Other Flag" attribute="1" defaultMemberUniqueName="[PT Q1 1].[Other Flag].[All]" allUniqueName="[PT Q1 1].[Other Flag].[All]" dimensionUniqueName="[PT Q1 1]" displayFolder="" count="2" memberValueDatatype="20" unbalanced="0"/>
    <cacheHierarchy uniqueName="[PT Q1 1].[Hispanic Flag]" caption="Hispanic Flag" attribute="1" defaultMemberUniqueName="[PT Q1 1].[Hispanic Flag].[All]" allUniqueName="[PT Q1 1].[Hispanic Flag].[All]" dimensionUniqueName="[PT Q1 1]" displayFolder="" count="2" memberValueDatatype="20" unbalanced="0"/>
    <cacheHierarchy uniqueName="[PT Q1 1].[White/Caucasian Flag]" caption="White/Caucasian Flag" attribute="1" defaultMemberUniqueName="[PT Q1 1].[White/Caucasian Flag].[All]" allUniqueName="[PT Q1 1].[White/Caucasian Flag].[All]" dimensionUniqueName="[PT Q1 1]" displayFolder="" count="2" memberValueDatatype="20" unbalanced="0"/>
    <cacheHierarchy uniqueName="[PT Q1 1].[Black/African American Flag]" caption="Black/African American Flag" attribute="1" defaultMemberUniqueName="[PT Q1 1].[Black/African American Flag].[All]" allUniqueName="[PT Q1 1].[Black/African American Flag].[All]" dimensionUniqueName="[PT Q1 1]" displayFolder="" count="2" memberValueDatatype="20" unbalanced="0"/>
    <cacheHierarchy uniqueName="[PT Q1 1].[Asian/Pacific Islander Flag]" caption="Asian/Pacific Islander Flag" attribute="1" defaultMemberUniqueName="[PT Q1 1].[Asian/Pacific Islander Flag].[All]" allUniqueName="[PT Q1 1].[Asian/Pacific Islander Flag].[All]" dimensionUniqueName="[PT Q1 1]" displayFolder="" count="2" memberValueDatatype="20" unbalanced="0"/>
    <cacheHierarchy uniqueName="[PT Q1 1].[Native American Flag]" caption="Native American Flag" attribute="1" defaultMemberUniqueName="[PT Q1 1].[Native American Flag].[All]" allUniqueName="[PT Q1 1].[Native American Flag].[All]" dimensionUniqueName="[PT Q1 1]" displayFolder="" count="2" memberValueDatatype="20" unbalanced="0"/>
    <cacheHierarchy uniqueName="[PT Q1 1].[Multi-racial Flag]" caption="Multi-racial Flag" attribute="1" defaultMemberUniqueName="[PT Q1 1].[Multi-racial Flag].[All]" allUniqueName="[PT Q1 1].[Multi-racial Flag].[All]" dimensionUniqueName="[PT Q1 1]" displayFolder="" count="2" memberValueDatatype="20" unbalanced="0"/>
    <cacheHierarchy uniqueName="[PT Q1 1].[Other Race Flag]" caption="Other Race Flag" attribute="1" defaultMemberUniqueName="[PT Q1 1].[Other Race Flag].[All]" allUniqueName="[PT Q1 1].[Other Race Flag].[All]" dimensionUniqueName="[PT Q1 1]" displayFolder="" count="2" memberValueDatatype="20" unbalanced="0"/>
    <cacheHierarchy uniqueName="[PT Q1 1].[$0-$19,999 Flag]" caption="$0-$19,999 Flag" attribute="1" defaultMemberUniqueName="[PT Q1 1].[$0-$19,999 Flag].[All]" allUniqueName="[PT Q1 1].[$0-$19,999 Flag].[All]" dimensionUniqueName="[PT Q1 1]" displayFolder="" count="2" memberValueDatatype="20" unbalanced="0"/>
    <cacheHierarchy uniqueName="[PT Q1 1].[$20,000 to $34,999 Flag]" caption="$20,000 to $34,999 Flag" attribute="1" defaultMemberUniqueName="[PT Q1 1].[$20,000 to $34,999 Flag].[All]" allUniqueName="[PT Q1 1].[$20,000 to $34,999 Flag].[All]" dimensionUniqueName="[PT Q1 1]" displayFolder="" count="2" memberValueDatatype="20" unbalanced="0"/>
    <cacheHierarchy uniqueName="[PT Q1 1].[$35,000 to $49,999 Flag]" caption="$35,000 to $49,999 Flag" attribute="1" defaultMemberUniqueName="[PT Q1 1].[$35,000 to $49,999 Flag].[All]" allUniqueName="[PT Q1 1].[$35,000 to $49,999 Flag].[All]" dimensionUniqueName="[PT Q1 1]" displayFolder="" count="2" memberValueDatatype="20" unbalanced="0"/>
    <cacheHierarchy uniqueName="[PT Q1 1].[$50,000 to $74,999 Flag]" caption="$50,000 to $74,999 Flag" attribute="1" defaultMemberUniqueName="[PT Q1 1].[$50,000 to $74,999 Flag].[All]" allUniqueName="[PT Q1 1].[$50,000 to $74,999 Flag].[All]" dimensionUniqueName="[PT Q1 1]" displayFolder="" count="2" memberValueDatatype="20" unbalanced="0"/>
    <cacheHierarchy uniqueName="[PT Q1 1].[$75,000 to $125,000 Flag]" caption="$75,000 to $125,000 Flag" attribute="1" defaultMemberUniqueName="[PT Q1 1].[$75,000 to $125,000 Flag].[All]" allUniqueName="[PT Q1 1].[$75,000 to $125,000 Flag].[All]" dimensionUniqueName="[PT Q1 1]" displayFolder="" count="2" memberValueDatatype="20" unbalanced="0"/>
    <cacheHierarchy uniqueName="[PT Q1 1].[Over $125,000 Flag]" caption="Over $125,000 Flag" attribute="1" defaultMemberUniqueName="[PT Q1 1].[Over $125,000 Flag].[All]" allUniqueName="[PT Q1 1].[Over $125,000 Flag].[All]" dimensionUniqueName="[PT Q1 1]" displayFolder="" count="2" memberValueDatatype="20" unbalanced="0"/>
    <cacheHierarchy uniqueName="[PT Q1 1].[18-24 Flag]" caption="18-24 Flag" attribute="1" defaultMemberUniqueName="[PT Q1 1].[18-24 Flag].[All]" allUniqueName="[PT Q1 1].[18-24 Flag].[All]" dimensionUniqueName="[PT Q1 1]" displayFolder="" count="2" memberValueDatatype="20" unbalanced="0"/>
    <cacheHierarchy uniqueName="[PT Q1 1].[25-34 Flag]" caption="25-34 Flag" attribute="1" defaultMemberUniqueName="[PT Q1 1].[25-34 Flag].[All]" allUniqueName="[PT Q1 1].[25-34 Flag].[All]" dimensionUniqueName="[PT Q1 1]" displayFolder="" count="2" memberValueDatatype="20" unbalanced="0"/>
    <cacheHierarchy uniqueName="[PT Q1 1].[35-44 Flag]" caption="35-44 Flag" attribute="1" defaultMemberUniqueName="[PT Q1 1].[35-44 Flag].[All]" allUniqueName="[PT Q1 1].[35-44 Flag].[All]" dimensionUniqueName="[PT Q1 1]" displayFolder="" count="2" memberValueDatatype="20" unbalanced="0"/>
    <cacheHierarchy uniqueName="[PT Q1 1].[45-54 Flag]" caption="45-54 Flag" attribute="1" defaultMemberUniqueName="[PT Q1 1].[45-54 Flag].[All]" allUniqueName="[PT Q1 1].[45-54 Flag].[All]" dimensionUniqueName="[PT Q1 1]" displayFolder="" count="2" memberValueDatatype="20" unbalanced="0"/>
    <cacheHierarchy uniqueName="[PT Q1 1].[55-64 Flag]" caption="55-64 Flag" attribute="1" defaultMemberUniqueName="[PT Q1 1].[55-64 Flag].[All]" allUniqueName="[PT Q1 1].[55-64 Flag].[All]" dimensionUniqueName="[PT Q1 1]" displayFolder="" count="2" memberValueDatatype="20" unbalanced="0"/>
    <cacheHierarchy uniqueName="[PT Q1 1].[65+ Flag]" caption="65+ Flag" attribute="1" defaultMemberUniqueName="[PT Q1 1].[65+ Flag].[All]" allUniqueName="[PT Q1 1].[65+ Flag].[All]" dimensionUniqueName="[PT Q1 1]" displayFolder="" count="2" memberValueDatatype="20" unbalanced="0"/>
    <cacheHierarchy uniqueName="[PT Q1 1].[K-8th Flag]" caption="K-8th Flag" attribute="1" defaultMemberUniqueName="[PT Q1 1].[K-8th Flag].[All]" allUniqueName="[PT Q1 1].[K-8th Flag].[All]" dimensionUniqueName="[PT Q1 1]" displayFolder="" count="2" memberValueDatatype="20" unbalanced="0"/>
    <cacheHierarchy uniqueName="[PT Q1 1].[Some high school Flag]" caption="Some high school Flag" attribute="1" defaultMemberUniqueName="[PT Q1 1].[Some high school Flag].[All]" allUniqueName="[PT Q1 1].[Some high school Flag].[All]" dimensionUniqueName="[PT Q1 1]" displayFolder="" count="2" memberValueDatatype="20" unbalanced="0"/>
    <cacheHierarchy uniqueName="[PT Q1 1].[High school graduate Flag]" caption="High school graduate Flag" attribute="1" defaultMemberUniqueName="[PT Q1 1].[High school graduate Flag].[All]" allUniqueName="[PT Q1 1].[High school graduate Flag].[All]" dimensionUniqueName="[PT Q1 1]" displayFolder="" count="2" memberValueDatatype="20" unbalanced="0"/>
    <cacheHierarchy uniqueName="[PT Q1 1].[Technical school Flag]" caption="Technical school Flag" attribute="1" defaultMemberUniqueName="[PT Q1 1].[Technical school Flag].[All]" allUniqueName="[PT Q1 1].[Technical school Flag].[All]" dimensionUniqueName="[PT Q1 1]" displayFolder="" count="2" memberValueDatatype="20" unbalanced="0"/>
    <cacheHierarchy uniqueName="[PT Q1 1].[Some college Flag]" caption="Some college Flag" attribute="1" defaultMemberUniqueName="[PT Q1 1].[Some college Flag].[All]" allUniqueName="[PT Q1 1].[Some college Flag].[All]" dimensionUniqueName="[PT Q1 1]" displayFolder="" count="2" memberValueDatatype="20" unbalanced="0"/>
    <cacheHierarchy uniqueName="[PT Q1 1].[College graduate Flag]" caption="College graduate Flag" attribute="1" defaultMemberUniqueName="[PT Q1 1].[College graduate Flag].[All]" allUniqueName="[PT Q1 1].[College graduate Flag].[All]" dimensionUniqueName="[PT Q1 1]" displayFolder="" count="2" memberValueDatatype="20" unbalanced="0"/>
    <cacheHierarchy uniqueName="[PT Q1 1].[Graduate school Flag]" caption="Graduate school Flag" attribute="1" defaultMemberUniqueName="[PT Q1 1].[Graduate school Flag].[All]" allUniqueName="[PT Q1 1].[Graduate school Flag].[All]" dimensionUniqueName="[PT Q1 1]" displayFolder="" count="2" memberValueDatatype="20" unbalanced="0"/>
    <cacheHierarchy uniqueName="[PT Q1 1].[Doctorate Flag]" caption="Doctorate Flag" attribute="1" defaultMemberUniqueName="[PT Q1 1].[Doctorate Flag].[All]" allUniqueName="[PT Q1 1].[Doctorate Flag].[All]" dimensionUniqueName="[PT Q1 1]" displayFolder="" count="2" memberValueDatatype="20" unbalanced="0"/>
    <cacheHierarchy uniqueName="[PT Q1 1].[GED Flag]" caption="GED Flag" attribute="1" defaultMemberUniqueName="[PT Q1 1].[GED Flag].[All]" allUniqueName="[PT Q1 1].[GED Flag].[All]" dimensionUniqueName="[PT Q1 1]" displayFolder="" count="2" memberValueDatatype="20" unbalanced="0"/>
    <cacheHierarchy uniqueName="[PT Q1 1].[None Flag]" caption="None Flag" attribute="1" defaultMemberUniqueName="[PT Q1 1].[None Flag].[All]" allUniqueName="[PT Q1 1].[None Flag].[All]" dimensionUniqueName="[PT Q1 1]" displayFolder="" count="2" memberValueDatatype="20" unbalanced="0"/>
    <cacheHierarchy uniqueName="[PT Q1 1].[Employed for Wages Flag]" caption="Employed for Wages Flag" attribute="1" defaultMemberUniqueName="[PT Q1 1].[Employed for Wages Flag].[All]" allUniqueName="[PT Q1 1].[Employed for Wages Flag].[All]" dimensionUniqueName="[PT Q1 1]" displayFolder="" count="2" memberValueDatatype="20" unbalanced="0"/>
    <cacheHierarchy uniqueName="[PT Q1 1].[Self-employed Flag]" caption="Self-employed Flag" attribute="1" defaultMemberUniqueName="[PT Q1 1].[Self-employed Flag].[All]" allUniqueName="[PT Q1 1].[Self-employed Flag].[All]" dimensionUniqueName="[PT Q1 1]" displayFolder="" count="2" memberValueDatatype="20" unbalanced="0"/>
    <cacheHierarchy uniqueName="[PT Q1 1].[Student Flag]" caption="Student Flag" attribute="1" defaultMemberUniqueName="[PT Q1 1].[Student Flag].[All]" allUniqueName="[PT Q1 1].[Student Flag].[All]" dimensionUniqueName="[PT Q1 1]" displayFolder="" count="2" memberValueDatatype="20" unbalanced="0"/>
    <cacheHierarchy uniqueName="[PT Q1 1].[Retired Flag]" caption="Retired Flag" attribute="1" defaultMemberUniqueName="[PT Q1 1].[Retired Flag].[All]" allUniqueName="[PT Q1 1].[Retired Flag].[All]" dimensionUniqueName="[PT Q1 1]" displayFolder="" count="2" memberValueDatatype="20" unbalanced="0"/>
    <cacheHierarchy uniqueName="[PT Q1 1].[Military Flag]" caption="Military Flag" attribute="1" defaultMemberUniqueName="[PT Q1 1].[Military Flag].[All]" allUniqueName="[PT Q1 1].[Military Flag].[All]" dimensionUniqueName="[PT Q1 1]" displayFolder="" count="2" memberValueDatatype="20" unbalanced="0"/>
    <cacheHierarchy uniqueName="[PT Q1 1].[Out of work and looking for work Flag]" caption="Out of work and looking for work Flag" attribute="1" defaultMemberUniqueName="[PT Q1 1].[Out of work and looking for work Flag].[All]" allUniqueName="[PT Q1 1].[Out of work and looking for work Flag].[All]" dimensionUniqueName="[PT Q1 1]" displayFolder="" count="2" memberValueDatatype="20" unbalanced="0"/>
    <cacheHierarchy uniqueName="[PT Q1 1].[Out of work, but not currently looking Flag]" caption="Out of work, but not currently looking Flag" attribute="1" defaultMemberUniqueName="[PT Q1 1].[Out of work, but not currently looking Flag].[All]" allUniqueName="[PT Q1 1].[Out of work, but not currently looking Flag].[All]" dimensionUniqueName="[PT Q1 1]" displayFolder="" count="2" memberValueDatatype="20" unbalanced="0"/>
    <cacheHierarchy uniqueName="[PT Q1 1].[Currently Insured Flag]" caption="Currently Insured Flag" attribute="1" defaultMemberUniqueName="[PT Q1 1].[Currently Insured Flag].[All]" allUniqueName="[PT Q1 1].[Currently Insured Flag].[All]" dimensionUniqueName="[PT Q1 1]" displayFolder="" count="2" memberValueDatatype="20" unbalanced="0"/>
    <cacheHierarchy uniqueName="[PT Q1 1].[Previously Insured Flag]" caption="Previously Insured Flag" attribute="1" defaultMemberUniqueName="[PT Q1 1].[Previously Insured Flag].[All]" allUniqueName="[PT Q1 1].[Previously Insured Flag].[All]" dimensionUniqueName="[PT Q1 1]" displayFolder="" count="2" memberValueDatatype="20" unbalanced="0"/>
    <cacheHierarchy uniqueName="[PT Q1 1].[Not Insured Flag]" caption="Not Insured Flag" attribute="1" defaultMemberUniqueName="[PT Q1 1].[Not Insured Flag].[All]" allUniqueName="[PT Q1 1].[Not Insured Flag].[All]" dimensionUniqueName="[PT Q1 1]" displayFolder="" count="2" memberValueDatatype="20" unbalanced="0"/>
    <cacheHierarchy uniqueName="[PT Q1 1].[Medicaid Flag]" caption="Medicaid Flag" attribute="1" defaultMemberUniqueName="[PT Q1 1].[Medicaid Flag].[All]" allUniqueName="[PT Q1 1].[Medicaid Flag].[All]" dimensionUniqueName="[PT Q1 1]" displayFolder="" count="2" memberValueDatatype="20" unbalanced="0"/>
    <cacheHierarchy uniqueName="[PT Q1 1].[Medicaid,Medicare Flag]" caption="Medicaid,Medicare Flag" attribute="1" defaultMemberUniqueName="[PT Q1 1].[Medicaid,Medicare Flag].[All]" allUniqueName="[PT Q1 1].[Medicaid,Medicare Flag].[All]" dimensionUniqueName="[PT Q1 1]" displayFolder="" count="2" memberValueDatatype="20" unbalanced="0"/>
    <cacheHierarchy uniqueName="[PT Q1 1].[Medicaid,Medicare,Private/Commercial Flag]" caption="Medicaid,Medicare,Private/Commercial Flag" attribute="1" defaultMemberUniqueName="[PT Q1 1].[Medicaid,Medicare,Private/Commercial Flag].[All]" allUniqueName="[PT Q1 1].[Medicaid,Medicare,Private/Commercial Flag].[All]" dimensionUniqueName="[PT Q1 1]" displayFolder="" count="2" memberValueDatatype="20" unbalanced="0"/>
    <cacheHierarchy uniqueName="[PT Q1 1].[Medicaid,Private/Commercial Flag]" caption="Medicaid,Private/Commercial Flag" attribute="1" defaultMemberUniqueName="[PT Q1 1].[Medicaid,Private/Commercial Flag].[All]" allUniqueName="[PT Q1 1].[Medicaid,Private/Commercial Flag].[All]" dimensionUniqueName="[PT Q1 1]" displayFolder="" count="2" memberValueDatatype="20" unbalanced="0"/>
    <cacheHierarchy uniqueName="[PT Q1 1].[Medicare Flag]" caption="Medicare Flag" attribute="1" defaultMemberUniqueName="[PT Q1 1].[Medicare Flag].[All]" allUniqueName="[PT Q1 1].[Medicare Flag].[All]" dimensionUniqueName="[PT Q1 1]" displayFolder="" count="2" memberValueDatatype="20" unbalanced="0"/>
    <cacheHierarchy uniqueName="[PT Q1 1].[Medicare,No Insurance Flag]" caption="Medicare,No Insurance Flag" attribute="1" defaultMemberUniqueName="[PT Q1 1].[Medicare,No Insurance Flag].[All]" allUniqueName="[PT Q1 1].[Medicare,No Insurance Flag].[All]" dimensionUniqueName="[PT Q1 1]" displayFolder="" count="2" memberValueDatatype="20" unbalanced="0"/>
    <cacheHierarchy uniqueName="[PT Q1 1].[Medicare,Private/Commercial Flag]" caption="Medicare,Private/Commercial Flag" attribute="1" defaultMemberUniqueName="[PT Q1 1].[Medicare,Private/Commercial Flag].[All]" allUniqueName="[PT Q1 1].[Medicare,Private/Commercial Flag].[All]" dimensionUniqueName="[PT Q1 1]" displayFolder="" count="2" memberValueDatatype="20" unbalanced="0"/>
    <cacheHierarchy uniqueName="[PT Q1 1].[No Insurance Flag]" caption="No Insurance Flag" attribute="1" defaultMemberUniqueName="[PT Q1 1].[No Insurance Flag].[All]" allUniqueName="[PT Q1 1].[No Insurance Flag].[All]" dimensionUniqueName="[PT Q1 1]" displayFolder="" count="2" memberValueDatatype="20" unbalanced="0"/>
    <cacheHierarchy uniqueName="[PT Q1 1].[Private/Commercial Flag]" caption="Private/Commercial Flag" attribute="1" defaultMemberUniqueName="[PT Q1 1].[Private/Commercial Flag].[All]" allUniqueName="[PT Q1 1].[Private/Commercial Flag].[All]" dimensionUniqueName="[PT Q1 1]" displayFolder="" count="2" memberValueDatatype="20" unbalanced="0"/>
    <cacheHierarchy uniqueName="[PT Q1 1].[Reliable Internet Flag]" caption="Reliable Internet Flag" attribute="1" defaultMemberUniqueName="[PT Q1 1].[Reliable Internet Flag].[All]" allUniqueName="[PT Q1 1].[Reliable Internet Flag].[All]" dimensionUniqueName="[PT Q1 1]" displayFolder="" count="2" memberValueDatatype="20" unbalanced="0"/>
    <cacheHierarchy uniqueName="[PT Q2].[RespondentID]" caption="RespondentID" attribute="1" defaultMemberUniqueName="[PT Q2].[RespondentID].[All]" allUniqueName="[PT Q2].[RespondentID].[All]" dimensionUniqueName="[PT Q2]" displayFolder="" count="2" memberValueDatatype="5" unbalanced="0"/>
    <cacheHierarchy uniqueName="[PT Q2].[Asthma/lung disease]" caption="Asthma/lung disease" attribute="1" defaultMemberUniqueName="[PT Q2].[Asthma/lung disease].[All]" allUniqueName="[PT Q2].[Asthma/lung disease].[All]" dimensionUniqueName="[PT Q2]" displayFolder="" count="2" memberValueDatatype="130" unbalanced="0"/>
    <cacheHierarchy uniqueName="[PT Q2].[Cancer]" caption="Cancer" attribute="1" defaultMemberUniqueName="[PT Q2].[Cancer].[All]" allUniqueName="[PT Q2].[Cancer].[All]" dimensionUniqueName="[PT Q2]" displayFolder="" count="2"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2" memberValueDatatype="130" unbalanced="0"/>
    <cacheHierarchy uniqueName="[PT Q2].[Safety]" caption="Safety" attribute="1" defaultMemberUniqueName="[PT Q2].[Safety].[All]" allUniqueName="[PT Q2].[Safety].[All]" dimensionUniqueName="[PT Q2]" displayFolder="" count="2"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2"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2"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2"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2" memberValueDatatype="130" unbalanced="0"/>
    <cacheHierarchy uniqueName="[PT Q2].[Diabetes]" caption="Diabetes" attribute="1" defaultMemberUniqueName="[PT Q2].[Diabetes].[All]" allUniqueName="[PT Q2].[Diabetes].[All]" dimensionUniqueName="[PT Q2]" displayFolder="" count="2"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2" memberValueDatatype="130" unbalanced="0"/>
    <cacheHierarchy uniqueName="[PT Q2].[Drugs &amp; alcohol abuse]" caption="Drugs &amp; alcohol abuse" attribute="1" defaultMemberUniqueName="[PT Q2].[Drugs &amp; alcohol abuse].[All]" allUniqueName="[PT Q2].[Drugs &amp; alcohol abuse].[All]" dimensionUniqueName="[PT Q2]" displayFolder="" count="2" memberValueDatatype="130" unbalanced="0"/>
    <cacheHierarchy uniqueName="[PT Q2].[Environmental hazards]" caption="Environmental hazards" attribute="1" defaultMemberUniqueName="[PT Q2].[Environmental hazards].[All]" allUniqueName="[PT Q2].[Environmental hazards].[All]" dimensionUniqueName="[PT Q2]" displayFolder="" count="2"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2" memberValueDatatype="130" unbalanced="0"/>
    <cacheHierarchy uniqueName="[PT Q2].[OTHER]" caption="OTHER" attribute="1" defaultMemberUniqueName="[PT Q2].[OTHER].[All]" allUniqueName="[PT Q2].[OTHER].[All]" dimensionUniqueName="[PT Q2]" displayFolder="" count="2" memberValueDatatype="130" unbalanced="0"/>
    <cacheHierarchy uniqueName="[PT Q2].[Count of Selection]" caption="Count of Selection" attribute="1" defaultMemberUniqueName="[PT Q2].[Count of Selection].[All]" allUniqueName="[PT Q2].[Count of Selection].[All]" dimensionUniqueName="[PT Q2]" displayFolder="" count="2" memberValueDatatype="20" unbalanced="0"/>
    <cacheHierarchy uniqueName="[PT Q2].[Weight]" caption="Weight" attribute="1" defaultMemberUniqueName="[PT Q2].[Weight].[All]" allUniqueName="[PT Q2].[Weight].[All]" dimensionUniqueName="[PT Q2]" displayFolder="" count="2" memberValueDatatype="130" unbalanced="0"/>
    <cacheHierarchy uniqueName="[PT Q2].[Column2]" caption="Column2" attribute="1" defaultMemberUniqueName="[PT Q2].[Column2].[All]" allUniqueName="[PT Q2].[Column2].[All]" dimensionUniqueName="[PT Q2]" displayFolder="" count="2" memberValueDatatype="130" unbalanced="0"/>
    <cacheHierarchy uniqueName="[PT Q2].[Asthma/lung disease3]" caption="Asthma/lung disease3" attribute="1" defaultMemberUniqueName="[PT Q2].[Asthma/lung disease3].[All]" allUniqueName="[PT Q2].[Asthma/lung disease3].[All]" dimensionUniqueName="[PT Q2]" displayFolder="" count="2" memberValueDatatype="5" unbalanced="0"/>
    <cacheHierarchy uniqueName="[PT Q2].[Cancer4]" caption="Cancer4" attribute="1" defaultMemberUniqueName="[PT Q2].[Cancer4].[All]" allUniqueName="[PT Q2].[Cancer4].[All]" dimensionUniqueName="[PT Q2]" displayFolder="" count="2"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2" memberValueDatatype="5" unbalanced="0"/>
    <cacheHierarchy uniqueName="[PT Q2].[Safety6]" caption="Safety6" attribute="1" defaultMemberUniqueName="[PT Q2].[Safety6].[All]" allUniqueName="[PT Q2].[Safety6].[All]" dimensionUniqueName="[PT Q2]" displayFolder="" count="2"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2" memberValueDatatype="5" unbalanced="0"/>
    <cacheHierarchy uniqueName="[PT Q2].[Vaccine preventable diseases8]" caption="Vaccine preventable diseases8" attribute="1" defaultMemberUniqueName="[PT Q2].[Vaccine preventable diseases8].[All]" allUniqueName="[PT Q2].[Vaccine preventable diseases8].[All]" dimensionUniqueName="[PT Q2]" displayFolder="" count="2"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2"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2" memberValueDatatype="5" unbalanced="0"/>
    <cacheHierarchy uniqueName="[PT Q2].[Diabetes11]" caption="Diabetes11" attribute="1" defaultMemberUniqueName="[PT Q2].[Diabetes11].[All]" allUniqueName="[PT Q2].[Diabetes11].[All]" dimensionUniqueName="[PT Q2]" displayFolder="" count="2"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2"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2" memberValueDatatype="5" unbalanced="0"/>
    <cacheHierarchy uniqueName="[PT Q2].[Environmental hazards14]" caption="Environmental hazards14" attribute="1" defaultMemberUniqueName="[PT Q2].[Environmental hazards14].[All]" allUniqueName="[PT Q2].[Environmental hazards14].[All]" dimensionUniqueName="[PT Q2]" displayFolder="" count="2"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2" memberValueDatatype="5" unbalanced="0"/>
    <cacheHierarchy uniqueName="[PT Q2].[Column3]" caption="Column3" attribute="1" defaultMemberUniqueName="[PT Q2].[Column3].[All]" allUniqueName="[PT Q2].[Column3].[All]" dimensionUniqueName="[PT Q2]" displayFolder="" count="2" memberValueDatatype="130" unbalanced="0"/>
    <cacheHierarchy uniqueName="[PT Q2].[Column4]" caption="Column4" attribute="1" defaultMemberUniqueName="[PT Q2].[Column4].[All]" allUniqueName="[PT Q2].[Column4].[All]" dimensionUniqueName="[PT Q2]" displayFolder="" count="2" memberValueDatatype="130" unbalanced="0"/>
    <cacheHierarchy uniqueName="[PT Q2].[Observed]" caption="Observed" attribute="1" defaultMemberUniqueName="[PT Q2].[Observed].[All]" allUniqueName="[PT Q2].[Observed].[All]" dimensionUniqueName="[PT Q2]" displayFolder="" count="2" memberValueDatatype="5" unbalanced="0"/>
    <cacheHierarchy uniqueName="[PT Q2].[Expected]" caption="Expected" attribute="1" defaultMemberUniqueName="[PT Q2].[Expected].[All]" allUniqueName="[PT Q2].[Expected].[All]" dimensionUniqueName="[PT Q2]" displayFolder="" count="2" memberValueDatatype="20" unbalanced="0"/>
    <cacheHierarchy uniqueName="[PT Q2].[Column18]" caption="Column18" attribute="1" defaultMemberUniqueName="[PT Q2].[Column18].[All]" allUniqueName="[PT Q2].[Column18].[All]" dimensionUniqueName="[PT Q2]" displayFolder="" count="2" memberValueDatatype="130" unbalanced="0"/>
    <cacheHierarchy uniqueName="[PT Q2].[Column5]" caption="Column5" attribute="1" defaultMemberUniqueName="[PT Q2].[Column5].[All]" allUniqueName="[PT Q2].[Column5].[All]" dimensionUniqueName="[PT Q2]" displayFolder="" count="2" memberValueDatatype="130" unbalanced="0"/>
    <cacheHierarchy uniqueName="[PT Q2].[I identify as:]" caption="I identify as:" attribute="1" defaultMemberUniqueName="[PT Q2].[I identify as:].[All]" allUniqueName="[PT Q2].[I identify as:].[All]" dimensionUniqueName="[PT Q2]" displayFolder="" count="2" memberValueDatatype="130" unbalanced="0"/>
    <cacheHierarchy uniqueName="[PT Q2].[What is your age?]" caption="What is your age?" attribute="1" defaultMemberUniqueName="[PT Q2].[What is your age?].[All]" allUniqueName="[PT Q2].[What is your age?].[All]" dimensionUniqueName="[PT Q2]" displayFolder="" count="2" memberValueDatatype="20" unbalanced="0"/>
    <cacheHierarchy uniqueName="[PT Q2].[County where you live:]" caption="County where you live:" attribute="1" defaultMemberUniqueName="[PT Q2].[County where you live:].[All]" allUniqueName="[PT Q2].[County where you live:].[All]" dimensionUniqueName="[PT Q2]" displayFolder="" count="2"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2"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2"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2"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2"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2"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2"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2"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2" memberValueDatatype="130" unbalanced="0"/>
    <cacheHierarchy uniqueName="[PT Q2].[What type of insurance do you have?]" caption="What type of insurance do you have?" attribute="1" defaultMemberUniqueName="[PT Q2].[What type of insurance do you have?].[All]" allUniqueName="[PT Q2].[What type of insurance do you have?].[All]" dimensionUniqueName="[PT Q2]" displayFolder="" count="2" memberValueDatatype="130" unbalanced="0"/>
    <cacheHierarchy uniqueName="[PT Q2].[Do you have access to reliable internet in your home?]" caption="Do you have access to reliable internet in your home?" attribute="1" defaultMemberUniqueName="[PT Q2].[Do you have access to reliable internet in your home?].[All]" allUniqueName="[PT Q2].[Do you have access to reliable internet in your home?].[All]" dimensionUniqueName="[PT Q2]" displayFolder="" count="2" memberValueDatatype="130" unbalanced="0"/>
    <cacheHierarchy uniqueName="[PT Q3].[RespondentID]" caption="RespondentID" attribute="1" defaultMemberUniqueName="[PT Q3].[RespondentID].[All]" allUniqueName="[PT Q3].[RespondentID].[All]" dimensionUniqueName="[PT Q3]" displayFolder="" count="2"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2"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2"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2"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2" memberValueDatatype="130" unbalanced="0"/>
    <cacheHierarchy uniqueName="[PT Q3].[Language barriers]" caption="Language barriers" attribute="1" defaultMemberUniqueName="[PT Q3].[Language barriers].[All]" allUniqueName="[PT Q3].[Language barriers].[All]" dimensionUniqueName="[PT Q3]" displayFolder="" count="2" memberValueDatatype="130" unbalanced="0"/>
    <cacheHierarchy uniqueName="[PT Q3].[There are no barriers]" caption="There are no barriers" attribute="1" defaultMemberUniqueName="[PT Q3].[There are no barriers].[All]" allUniqueName="[PT Q3].[There are no barriers].[All]" dimensionUniqueName="[PT Q3]" displayFolder="" count="2"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2" memberValueDatatype="130" unbalanced="0"/>
    <cacheHierarchy uniqueName="[PT Q3].[No insurance]" caption="No insurance" attribute="1" defaultMemberUniqueName="[PT Q3].[No insurance].[All]" allUniqueName="[PT Q3].[No insurance].[All]" dimensionUniqueName="[PT Q3]" displayFolder="" count="2" memberValueDatatype="130" unbalanced="0"/>
    <cacheHierarchy uniqueName="[PT Q3].[Transportation]" caption="Transportation" attribute="1" defaultMemberUniqueName="[PT Q3].[Transportation].[All]" allUniqueName="[PT Q3].[Transportation].[All]" dimensionUniqueName="[PT Q3]" displayFolder="" count="2" memberValueDatatype="130" unbalanced="0"/>
    <cacheHierarchy uniqueName="[PT Q3].[Fear (e.g. not ready to face/discuss health problem; immigration status)]" caption="Fear (e.g. not ready to face/discuss health problem; immigration status)" attribute="1" defaultMemberUniqueName="[PT Q3].[Fear (e.g. not ready to face/discuss health problem; immigration status)].[All]" allUniqueName="[PT Q3].[Fear (e.g. not ready to face/discuss health problem; immigration status)].[All]" dimensionUniqueName="[PT Q3]" displayFolder="" count="2" memberValueDatatype="130" unbalanced="0"/>
    <cacheHierarchy uniqueName="[PT Q3].[OTHER]" caption="OTHER" attribute="1" defaultMemberUniqueName="[PT Q3].[OTHER].[All]" allUniqueName="[PT Q3].[OTHER].[All]" dimensionUniqueName="[PT Q3]" displayFolder="" count="2" memberValueDatatype="130" unbalanced="0"/>
    <cacheHierarchy uniqueName="[PT Q3].[Count of Selection]" caption="Count of Selection" attribute="1" defaultMemberUniqueName="[PT Q3].[Count of Selection].[All]" allUniqueName="[PT Q3].[Count of Selection].[All]" dimensionUniqueName="[PT Q3]" displayFolder="" count="2" memberValueDatatype="20" unbalanced="0"/>
    <cacheHierarchy uniqueName="[PT Q3].[Weight]" caption="Weight" attribute="1" defaultMemberUniqueName="[PT Q3].[Weight].[All]" allUniqueName="[PT Q3].[Weight].[All]" dimensionUniqueName="[PT Q3]" displayFolder="" count="2" memberValueDatatype="130" unbalanced="0"/>
    <cacheHierarchy uniqueName="[PT Q3].[Column4]" caption="Column4" attribute="1" defaultMemberUniqueName="[PT Q3].[Column4].[All]" allUniqueName="[PT Q3].[Column4].[All]" dimensionUniqueName="[PT Q3]" displayFolder="" count="2"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2"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2"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2"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2" memberValueDatatype="5" unbalanced="0"/>
    <cacheHierarchy uniqueName="[PT Q3].[Language barriers9]" caption="Language barriers9" attribute="1" defaultMemberUniqueName="[PT Q3].[Language barriers9].[All]" allUniqueName="[PT Q3].[Language barriers9].[All]" dimensionUniqueName="[PT Q3]" displayFolder="" count="2" memberValueDatatype="5" unbalanced="0"/>
    <cacheHierarchy uniqueName="[PT Q3].[There are no barriers10]" caption="There are no barriers10" attribute="1" defaultMemberUniqueName="[PT Q3].[There are no barriers10].[All]" allUniqueName="[PT Q3].[There are no barriers10].[All]" dimensionUniqueName="[PT Q3]" displayFolder="" count="2"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2" memberValueDatatype="5" unbalanced="0"/>
    <cacheHierarchy uniqueName="[PT Q3].[No insurance12]" caption="No insurance12" attribute="1" defaultMemberUniqueName="[PT Q3].[No insurance12].[All]" allUniqueName="[PT Q3].[No insurance12].[All]" dimensionUniqueName="[PT Q3]" displayFolder="" count="2" memberValueDatatype="5" unbalanced="0"/>
    <cacheHierarchy uniqueName="[PT Q3].[Transportation13]" caption="Transportation13" attribute="1" defaultMemberUniqueName="[PT Q3].[Transportation13].[All]" allUniqueName="[PT Q3].[Transportation13].[All]" dimensionUniqueName="[PT Q3]" displayFolder="" count="2" memberValueDatatype="5" unbalanced="0"/>
    <cacheHierarchy uniqueName="[PT Q3].[Fear (e.g. not ready to face/discuss health problem;immigration status)14]" caption="Fear (e.g. not ready to face/discuss health problem;immigration status)14" attribute="1" defaultMemberUniqueName="[PT Q3].[Fear (e.g. not ready to face/discuss health problem;immigration status)14].[All]" allUniqueName="[PT Q3].[Fear (e.g. not ready to face/discuss health problem;immigration status)14].[All]" dimensionUniqueName="[PT Q3]" displayFolder="" count="2" memberValueDatatype="5" unbalanced="0"/>
    <cacheHierarchy uniqueName="[PT Q3].[Column1]" caption="Column1" attribute="1" defaultMemberUniqueName="[PT Q3].[Column1].[All]" allUniqueName="[PT Q3].[Column1].[All]" dimensionUniqueName="[PT Q3]" displayFolder="" count="2" memberValueDatatype="130" unbalanced="0"/>
    <cacheHierarchy uniqueName="[PT Q3].[Column2]" caption="Column2" attribute="1" defaultMemberUniqueName="[PT Q3].[Column2].[All]" allUniqueName="[PT Q3].[Column2].[All]" dimensionUniqueName="[PT Q3]" displayFolder="" count="2" memberValueDatatype="130" unbalanced="0"/>
    <cacheHierarchy uniqueName="[PT Q3].[Observed]" caption="Observed" attribute="1" defaultMemberUniqueName="[PT Q3].[Observed].[All]" allUniqueName="[PT Q3].[Observed].[All]" dimensionUniqueName="[PT Q3]" displayFolder="" count="2" memberValueDatatype="5" unbalanced="0"/>
    <cacheHierarchy uniqueName="[PT Q3].[Expected]" caption="Expected" attribute="1" defaultMemberUniqueName="[PT Q3].[Expected].[All]" allUniqueName="[PT Q3].[Expected].[All]" dimensionUniqueName="[PT Q3]" displayFolder="" count="2" memberValueDatatype="20" unbalanced="0"/>
    <cacheHierarchy uniqueName="[PT Q3].[Column14]" caption="Column14" attribute="1" defaultMemberUniqueName="[PT Q3].[Column14].[All]" allUniqueName="[PT Q3].[Column14].[All]" dimensionUniqueName="[PT Q3]" displayFolder="" count="2" memberValueDatatype="130" unbalanced="0"/>
    <cacheHierarchy uniqueName="[PT Q3].[Column5]" caption="Column5" attribute="1" defaultMemberUniqueName="[PT Q3].[Column5].[All]" allUniqueName="[PT Q3].[Column5].[All]" dimensionUniqueName="[PT Q3]" displayFolder="" count="2" memberValueDatatype="130" unbalanced="0"/>
    <cacheHierarchy uniqueName="[PT Q3].[I identify as:]" caption="I identify as:" attribute="1" defaultMemberUniqueName="[PT Q3].[I identify as:].[All]" allUniqueName="[PT Q3].[I identify as:].[All]" dimensionUniqueName="[PT Q3]" displayFolder="" count="2" memberValueDatatype="130" unbalanced="0"/>
    <cacheHierarchy uniqueName="[PT Q3].[What is your age?]" caption="What is your age?" attribute="1" defaultMemberUniqueName="[PT Q3].[What is your age?].[All]" allUniqueName="[PT Q3].[What is your age?].[All]" dimensionUniqueName="[PT Q3]" displayFolder="" count="2" memberValueDatatype="20" unbalanced="0"/>
    <cacheHierarchy uniqueName="[PT Q3].[County where you live:]" caption="County where you live:" attribute="1" defaultMemberUniqueName="[PT Q3].[County where you live:].[All]" allUniqueName="[PT Q3].[County where you live:].[All]" dimensionUniqueName="[PT Q3]" displayFolder="" count="2"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2"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2"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2"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2"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2"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2"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2"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2" memberValueDatatype="130" unbalanced="0"/>
    <cacheHierarchy uniqueName="[PT Q3].[What type of insurance do you have?]" caption="What type of insurance do you have?" attribute="1" defaultMemberUniqueName="[PT Q3].[What type of insurance do you have?].[All]" allUniqueName="[PT Q3].[What type of insurance do you have?].[All]" dimensionUniqueName="[PT Q3]" displayFolder="" count="2" memberValueDatatype="130" unbalanced="0"/>
    <cacheHierarchy uniqueName="[PT Q3].[Do you have access to reliable internet in your home?]" caption="Do you have access to reliable internet in your home?" attribute="1" defaultMemberUniqueName="[PT Q3].[Do you have access to reliable internet in your home?].[All]" allUniqueName="[PT Q3].[Do you have access to reliable internet in your home?].[All]" dimensionUniqueName="[PT Q3]" displayFolder="" count="2" memberValueDatatype="130" unbalanced="0"/>
    <cacheHierarchy uniqueName="[PT Q4].[RespondentID]" caption="RespondentID" attribute="1" defaultMemberUniqueName="[PT Q4].[RespondentID].[All]" allUniqueName="[PT Q4].[RespondentID].[All]" dimensionUniqueName="[PT Q4]" displayFolder="" count="2" memberValueDatatype="5" unbalanced="0"/>
    <cacheHierarchy uniqueName="[PT Q4].[Clean air &amp; water]" caption="Clean air &amp; water" attribute="1" defaultMemberUniqueName="[PT Q4].[Clean air &amp; water].[All]" allUniqueName="[PT Q4].[Clean air &amp; water].[All]" dimensionUniqueName="[PT Q4]" displayFolder="" count="2" memberValueDatatype="130" unbalanced="0"/>
    <cacheHierarchy uniqueName="[PT Q4].[Mental health services]" caption="Mental health services" attribute="1" defaultMemberUniqueName="[PT Q4].[Mental health services].[All]" allUniqueName="[PT Q4].[Mental health services].[All]" dimensionUniqueName="[PT Q4]" displayFolder="" count="2"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2"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2" memberValueDatatype="130" unbalanced="0"/>
    <cacheHierarchy uniqueName="[PT Q4].[Recreation facilities]" caption="Recreation facilities" attribute="1" defaultMemberUniqueName="[PT Q4].[Recreation facilities].[All]" allUniqueName="[PT Q4].[Recreation facilities].[All]" dimensionUniqueName="[PT Q4]" displayFolder="" count="2" memberValueDatatype="130" unbalanced="0"/>
    <cacheHierarchy uniqueName="[PT Q4].[Transportation]" caption="Transportation" attribute="1" defaultMemberUniqueName="[PT Q4].[Transportation].[All]" allUniqueName="[PT Q4].[Transportation].[All]" dimensionUniqueName="[PT Q4]" displayFolder="" count="2" memberValueDatatype="130" unbalanced="0"/>
    <cacheHierarchy uniqueName="[PT Q4].[Healthier food choices]" caption="Healthier food choices" attribute="1" defaultMemberUniqueName="[PT Q4].[Healthier food choices].[All]" allUniqueName="[PT Q4].[Healthier food choices].[All]" dimensionUniqueName="[PT Q4]" displayFolder="" count="2" memberValueDatatype="130" unbalanced="0"/>
    <cacheHierarchy uniqueName="[PT Q4].[Safe childcare options]" caption="Safe childcare options" attribute="1" defaultMemberUniqueName="[PT Q4].[Safe childcare options].[All]" allUniqueName="[PT Q4].[Safe childcare options].[All]" dimensionUniqueName="[PT Q4]" displayFolder="" count="2" memberValueDatatype="130" unbalanced="0"/>
    <cacheHierarchy uniqueName="[PT Q4].[Weight loss programs]" caption="Weight loss programs" attribute="1" defaultMemberUniqueName="[PT Q4].[Weight loss programs].[All]" allUniqueName="[PT Q4].[Weight loss programs].[All]" dimensionUniqueName="[PT Q4]" displayFolder="" count="2" memberValueDatatype="130" unbalanced="0"/>
    <cacheHierarchy uniqueName="[PT Q4].[Job opportunities]" caption="Job opportunities" attribute="1" defaultMemberUniqueName="[PT Q4].[Job opportunities].[All]" allUniqueName="[PT Q4].[Job opportunities].[All]" dimensionUniqueName="[PT Q4]" displayFolder="" count="2" memberValueDatatype="130" unbalanced="0"/>
    <cacheHierarchy uniqueName="[PT Q4].[Safe places to walk/play]" caption="Safe places to walk/play" attribute="1" defaultMemberUniqueName="[PT Q4].[Safe places to walk/play].[All]" allUniqueName="[PT Q4].[Safe places to walk/play].[All]" dimensionUniqueName="[PT Q4]" displayFolder="" count="2" memberValueDatatype="130" unbalanced="0"/>
    <cacheHierarchy uniqueName="[PT Q4].[Safe worksites]" caption="Safe worksites" attribute="1" defaultMemberUniqueName="[PT Q4].[Safe worksites].[All]" allUniqueName="[PT Q4].[Safe worksites].[All]" dimensionUniqueName="[PT Q4]" displayFolder="" count="2" memberValueDatatype="130" unbalanced="0"/>
    <cacheHierarchy uniqueName="[PT Q4].[OTHER]" caption="OTHER" attribute="1" defaultMemberUniqueName="[PT Q4].[OTHER].[All]" allUniqueName="[PT Q4].[OTHER].[All]" dimensionUniqueName="[PT Q4]" displayFolder="" count="2" memberValueDatatype="130" unbalanced="0"/>
    <cacheHierarchy uniqueName="[PT Q4].[Count of Selection]" caption="Count of Selection" attribute="1" defaultMemberUniqueName="[PT Q4].[Count of Selection].[All]" allUniqueName="[PT Q4].[Count of Selection].[All]" dimensionUniqueName="[PT Q4]" displayFolder="" count="2" memberValueDatatype="20" unbalanced="0"/>
    <cacheHierarchy uniqueName="[PT Q4].[Weight]" caption="Weight" attribute="1" defaultMemberUniqueName="[PT Q4].[Weight].[All]" allUniqueName="[PT Q4].[Weight].[All]" dimensionUniqueName="[PT Q4]" displayFolder="" count="2" memberValueDatatype="130" unbalanced="0"/>
    <cacheHierarchy uniqueName="[PT Q4].[Column2]" caption="Column2" attribute="1" defaultMemberUniqueName="[PT Q4].[Column2].[All]" allUniqueName="[PT Q4].[Column2].[All]" dimensionUniqueName="[PT Q4]" displayFolder="" count="2" memberValueDatatype="130" unbalanced="0"/>
    <cacheHierarchy uniqueName="[PT Q4].[Clean air &amp; water5]" caption="Clean air &amp; water5" attribute="1" defaultMemberUniqueName="[PT Q4].[Clean air &amp; water5].[All]" allUniqueName="[PT Q4].[Clean air &amp; water5].[All]" dimensionUniqueName="[PT Q4]" displayFolder="" count="2" memberValueDatatype="5" unbalanced="0"/>
    <cacheHierarchy uniqueName="[PT Q4].[Mental health services6]" caption="Mental health services6" attribute="1" defaultMemberUniqueName="[PT Q4].[Mental health services6].[All]" allUniqueName="[PT Q4].[Mental health services6].[All]" dimensionUniqueName="[PT Q4]" displayFolder="" count="2"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2"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2" memberValueDatatype="5" unbalanced="0"/>
    <cacheHierarchy uniqueName="[PT Q4].[Recreation facilities9]" caption="Recreation facilities9" attribute="1" defaultMemberUniqueName="[PT Q4].[Recreation facilities9].[All]" allUniqueName="[PT Q4].[Recreation facilities9].[All]" dimensionUniqueName="[PT Q4]" displayFolder="" count="2" memberValueDatatype="5" unbalanced="0"/>
    <cacheHierarchy uniqueName="[PT Q4].[Transportation10]" caption="Transportation10" attribute="1" defaultMemberUniqueName="[PT Q4].[Transportation10].[All]" allUniqueName="[PT Q4].[Transportation10].[All]" dimensionUniqueName="[PT Q4]" displayFolder="" count="2" memberValueDatatype="5" unbalanced="0"/>
    <cacheHierarchy uniqueName="[PT Q4].[Healthier food choices11]" caption="Healthier food choices11" attribute="1" defaultMemberUniqueName="[PT Q4].[Healthier food choices11].[All]" allUniqueName="[PT Q4].[Healthier food choices11].[All]" dimensionUniqueName="[PT Q4]" displayFolder="" count="2" memberValueDatatype="5" unbalanced="0"/>
    <cacheHierarchy uniqueName="[PT Q4].[Safe childcare options12]" caption="Safe childcare options12" attribute="1" defaultMemberUniqueName="[PT Q4].[Safe childcare options12].[All]" allUniqueName="[PT Q4].[Safe childcare options12].[All]" dimensionUniqueName="[PT Q4]" displayFolder="" count="2" memberValueDatatype="5" unbalanced="0"/>
    <cacheHierarchy uniqueName="[PT Q4].[Weight loss programs13]" caption="Weight loss programs13" attribute="1" defaultMemberUniqueName="[PT Q4].[Weight loss programs13].[All]" allUniqueName="[PT Q4].[Weight loss programs13].[All]" dimensionUniqueName="[PT Q4]" displayFolder="" count="2" memberValueDatatype="5" unbalanced="0"/>
    <cacheHierarchy uniqueName="[PT Q4].[Job opportunities14]" caption="Job opportunities14" attribute="1" defaultMemberUniqueName="[PT Q4].[Job opportunities14].[All]" allUniqueName="[PT Q4].[Job opportunities14].[All]" dimensionUniqueName="[PT Q4]" displayFolder="" count="2"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2" memberValueDatatype="5" unbalanced="0"/>
    <cacheHierarchy uniqueName="[PT Q4].[Safe worksites16]" caption="Safe worksites16" attribute="1" defaultMemberUniqueName="[PT Q4].[Safe worksites16].[All]" allUniqueName="[PT Q4].[Safe worksites16].[All]" dimensionUniqueName="[PT Q4]" displayFolder="" count="2" memberValueDatatype="5" unbalanced="0"/>
    <cacheHierarchy uniqueName="[PT Q4].[Column3]" caption="Column3" attribute="1" defaultMemberUniqueName="[PT Q4].[Column3].[All]" allUniqueName="[PT Q4].[Column3].[All]" dimensionUniqueName="[PT Q4]" displayFolder="" count="2" memberValueDatatype="130" unbalanced="0"/>
    <cacheHierarchy uniqueName="[PT Q4].[Column4]" caption="Column4" attribute="1" defaultMemberUniqueName="[PT Q4].[Column4].[All]" allUniqueName="[PT Q4].[Column4].[All]" dimensionUniqueName="[PT Q4]" displayFolder="" count="2" memberValueDatatype="130" unbalanced="0"/>
    <cacheHierarchy uniqueName="[PT Q4].[Observed]" caption="Observed" attribute="1" defaultMemberUniqueName="[PT Q4].[Observed].[All]" allUniqueName="[PT Q4].[Observed].[All]" dimensionUniqueName="[PT Q4]" displayFolder="" count="2" memberValueDatatype="5" unbalanced="0"/>
    <cacheHierarchy uniqueName="[PT Q4].[Expected]" caption="Expected" attribute="1" defaultMemberUniqueName="[PT Q4].[Expected].[All]" allUniqueName="[PT Q4].[Expected].[All]" dimensionUniqueName="[PT Q4]" displayFolder="" count="2" memberValueDatatype="20" unbalanced="0"/>
    <cacheHierarchy uniqueName="[PT Q4].[Column5]" caption="Column5" attribute="1" defaultMemberUniqueName="[PT Q4].[Column5].[All]" allUniqueName="[PT Q4].[Column5].[All]" dimensionUniqueName="[PT Q4]" displayFolder="" count="2" memberValueDatatype="130" unbalanced="0"/>
    <cacheHierarchy uniqueName="[PT Q4].[Column6]" caption="Column6" attribute="1" defaultMemberUniqueName="[PT Q4].[Column6].[All]" allUniqueName="[PT Q4].[Column6].[All]" dimensionUniqueName="[PT Q4]" displayFolder="" count="2" memberValueDatatype="130" unbalanced="0"/>
    <cacheHierarchy uniqueName="[PT Q4].[I identify as:]" caption="I identify as:" attribute="1" defaultMemberUniqueName="[PT Q4].[I identify as:].[All]" allUniqueName="[PT Q4].[I identify as:].[All]" dimensionUniqueName="[PT Q4]" displayFolder="" count="2" memberValueDatatype="130" unbalanced="0"/>
    <cacheHierarchy uniqueName="[PT Q4].[What is your age?]" caption="What is your age?" attribute="1" defaultMemberUniqueName="[PT Q4].[What is your age?].[All]" allUniqueName="[PT Q4].[What is your age?].[All]" dimensionUniqueName="[PT Q4]" displayFolder="" count="2" memberValueDatatype="20" unbalanced="0"/>
    <cacheHierarchy uniqueName="[PT Q4].[County where you live:]" caption="County where you live:" attribute="1" defaultMemberUniqueName="[PT Q4].[County where you live:].[All]" allUniqueName="[PT Q4].[County where you live:].[All]" dimensionUniqueName="[PT Q4]" displayFolder="" count="2"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2"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2"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2"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2"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2"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2"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2"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2" memberValueDatatype="130" unbalanced="0"/>
    <cacheHierarchy uniqueName="[PT Q4].[What type of insurance do you have?]" caption="What type of insurance do you have?" attribute="1" defaultMemberUniqueName="[PT Q4].[What type of insurance do you have?].[All]" allUniqueName="[PT Q4].[What type of insurance do you have?].[All]" dimensionUniqueName="[PT Q4]" displayFolder="" count="2" memberValueDatatype="130" unbalanced="0"/>
    <cacheHierarchy uniqueName="[PT Q4].[Do you have access to reliable internet in your home?]" caption="Do you have access to reliable internet in your home?" attribute="1" defaultMemberUniqueName="[PT Q4].[Do you have access to reliable internet in your home?].[All]" allUniqueName="[PT Q4].[Do you have access to reliable internet in your home?].[All]" dimensionUniqueName="[PT Q4]" displayFolder="" count="2" memberValueDatatype="130" unbalanced="0"/>
    <cacheHierarchy uniqueName="[PT Q5].[RespondentID]" caption="RespondentID" attribute="1" defaultMemberUniqueName="[PT Q5].[RespondentID].[All]" allUniqueName="[PT Q5].[RespondentID].[All]" dimensionUniqueName="[PT Q5]" displayFolder="" count="2" memberValueDatatype="5" unbalanced="0"/>
    <cacheHierarchy uniqueName="[PT Q5].[Blood pressure]" caption="Blood pressure" attribute="1" defaultMemberUniqueName="[PT Q5].[Blood pressure].[All]" allUniqueName="[PT Q5].[Blood pressure].[All]" dimensionUniqueName="[PT Q5]" displayFolder="" count="2" memberValueDatatype="130" unbalanced="0"/>
    <cacheHierarchy uniqueName="[PT Q5].[Eating disorders]" caption="Eating disorders" attribute="1" defaultMemberUniqueName="[PT Q5].[Eating disorders].[All]" allUniqueName="[PT Q5].[Eating disorders].[All]" dimensionUniqueName="[PT Q5]" displayFolder="" count="2" memberValueDatatype="130" unbalanced="0"/>
    <cacheHierarchy uniqueName="[PT Q5].[Mental health/depression]" caption="Mental health/depression" attribute="1" defaultMemberUniqueName="[PT Q5].[Mental health/depression].[All]" allUniqueName="[PT Q5].[Mental health/depression].[All]" dimensionUniqueName="[PT Q5]" displayFolder="" count="2" memberValueDatatype="130" unbalanced="0"/>
    <cacheHierarchy uniqueName="[PT Q5].[Cancer]" caption="Cancer" attribute="1" defaultMemberUniqueName="[PT Q5].[Cancer].[All]" allUniqueName="[PT Q5].[Cancer].[All]" dimensionUniqueName="[PT Q5]" displayFolder="" count="2" memberValueDatatype="130" unbalanced="0"/>
    <cacheHierarchy uniqueName="[PT Q5].[Emergency preparedness]" caption="Emergency preparedness" attribute="1" defaultMemberUniqueName="[PT Q5].[Emergency preparedness].[All]" allUniqueName="[PT Q5].[Emergency preparedness].[All]" dimensionUniqueName="[PT Q5]" displayFolder="" count="2" memberValueDatatype="130" unbalanced="0"/>
    <cacheHierarchy uniqueName="[PT Q5].[Nutrition]" caption="Nutrition" attribute="1" defaultMemberUniqueName="[PT Q5].[Nutrition].[All]" allUniqueName="[PT Q5].[Nutrition].[All]" dimensionUniqueName="[PT Q5]" displayFolder="" count="2" memberValueDatatype="130" unbalanced="0"/>
    <cacheHierarchy uniqueName="[PT Q5].[Cholesterol]" caption="Cholesterol" attribute="1" defaultMemberUniqueName="[PT Q5].[Cholesterol].[All]" allUniqueName="[PT Q5].[Cholesterol].[All]" dimensionUniqueName="[PT Q5]" displayFolder="" count="2"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2" memberValueDatatype="130" unbalanced="0"/>
    <cacheHierarchy uniqueName="[PT Q5].[Prenatal care]" caption="Prenatal care" attribute="1" defaultMemberUniqueName="[PT Q5].[Prenatal care].[All]" allUniqueName="[PT Q5].[Prenatal care].[All]" dimensionUniqueName="[PT Q5]" displayFolder="" count="2" memberValueDatatype="130" unbalanced="0"/>
    <cacheHierarchy uniqueName="[PT Q5].[Dental screenings]" caption="Dental screenings" attribute="1" defaultMemberUniqueName="[PT Q5].[Dental screenings].[All]" allUniqueName="[PT Q5].[Dental screenings].[All]" dimensionUniqueName="[PT Q5]" displayFolder="" count="2" memberValueDatatype="130" unbalanced="0"/>
    <cacheHierarchy uniqueName="[PT Q5].[Heart disease]" caption="Heart disease" attribute="1" defaultMemberUniqueName="[PT Q5].[Heart disease].[All]" allUniqueName="[PT Q5].[Heart disease].[All]" dimensionUniqueName="[PT Q5]" displayFolder="" count="2" memberValueDatatype="130" unbalanced="0"/>
    <cacheHierarchy uniqueName="[PT Q5].[Suicide prevention]" caption="Suicide prevention" attribute="1" defaultMemberUniqueName="[PT Q5].[Suicide prevention].[All]" allUniqueName="[PT Q5].[Suicide prevention].[All]" dimensionUniqueName="[PT Q5]" displayFolder="" count="2" memberValueDatatype="130" unbalanced="0"/>
    <cacheHierarchy uniqueName="[PT Q5].[Diabetes]" caption="Diabetes" attribute="1" defaultMemberUniqueName="[PT Q5].[Diabetes].[All]" allUniqueName="[PT Q5].[Diabetes].[All]" dimensionUniqueName="[PT Q5]" displayFolder="" count="2"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2"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2"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2"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2" memberValueDatatype="130" unbalanced="0"/>
    <cacheHierarchy uniqueName="[PT Q5].[Drug and alcohol]" caption="Drug and alcohol" attribute="1" defaultMemberUniqueName="[PT Q5].[Drug and alcohol].[All]" allUniqueName="[PT Q5].[Drug and alcohol].[All]" dimensionUniqueName="[PT Q5]" displayFolder="" count="2" memberValueDatatype="130" unbalanced="0"/>
    <cacheHierarchy uniqueName="[PT Q5].[OTHER]" caption="OTHER" attribute="1" defaultMemberUniqueName="[PT Q5].[OTHER].[All]" allUniqueName="[PT Q5].[OTHER].[All]" dimensionUniqueName="[PT Q5]" displayFolder="" count="2" memberValueDatatype="130" unbalanced="0"/>
    <cacheHierarchy uniqueName="[PT Q5].[Count of Selection]" caption="Count of Selection" attribute="1" defaultMemberUniqueName="[PT Q5].[Count of Selection].[All]" allUniqueName="[PT Q5].[Count of Selection].[All]" dimensionUniqueName="[PT Q5]" displayFolder="" count="2" memberValueDatatype="20" unbalanced="0"/>
    <cacheHierarchy uniqueName="[PT Q5].[Weight]" caption="Weight" attribute="1" defaultMemberUniqueName="[PT Q5].[Weight].[All]" allUniqueName="[PT Q5].[Weight].[All]" dimensionUniqueName="[PT Q5]" displayFolder="" count="2" memberValueDatatype="130" unbalanced="0"/>
    <cacheHierarchy uniqueName="[PT Q5].[Column2]" caption="Column2" attribute="1" defaultMemberUniqueName="[PT Q5].[Column2].[All]" allUniqueName="[PT Q5].[Column2].[All]" dimensionUniqueName="[PT Q5]" displayFolder="" count="2" memberValueDatatype="130" unbalanced="0"/>
    <cacheHierarchy uniqueName="[PT Q5].[Blood pressure5]" caption="Blood pressure5" attribute="1" defaultMemberUniqueName="[PT Q5].[Blood pressure5].[All]" allUniqueName="[PT Q5].[Blood pressure5].[All]" dimensionUniqueName="[PT Q5]" displayFolder="" count="2" memberValueDatatype="5" unbalanced="0"/>
    <cacheHierarchy uniqueName="[PT Q5].[Eating disorders6]" caption="Eating disorders6" attribute="1" defaultMemberUniqueName="[PT Q5].[Eating disorders6].[All]" allUniqueName="[PT Q5].[Eating disorders6].[All]" dimensionUniqueName="[PT Q5]" displayFolder="" count="2" memberValueDatatype="5" unbalanced="0"/>
    <cacheHierarchy uniqueName="[PT Q5].[Mental health/depression7]" caption="Mental health/depression7" attribute="1" defaultMemberUniqueName="[PT Q5].[Mental health/depression7].[All]" allUniqueName="[PT Q5].[Mental health/depression7].[All]" dimensionUniqueName="[PT Q5]" displayFolder="" count="2" memberValueDatatype="5" unbalanced="0"/>
    <cacheHierarchy uniqueName="[PT Q5].[Cancer8]" caption="Cancer8" attribute="1" defaultMemberUniqueName="[PT Q5].[Cancer8].[All]" allUniqueName="[PT Q5].[Cancer8].[All]" dimensionUniqueName="[PT Q5]" displayFolder="" count="2" memberValueDatatype="5" unbalanced="0"/>
    <cacheHierarchy uniqueName="[PT Q5].[Emergency preparedness9]" caption="Emergency preparedness9" attribute="1" defaultMemberUniqueName="[PT Q5].[Emergency preparedness9].[All]" allUniqueName="[PT Q5].[Emergency preparedness9].[All]" dimensionUniqueName="[PT Q5]" displayFolder="" count="2" memberValueDatatype="5" unbalanced="0"/>
    <cacheHierarchy uniqueName="[PT Q5].[Nutrition10]" caption="Nutrition10" attribute="1" defaultMemberUniqueName="[PT Q5].[Nutrition10].[All]" allUniqueName="[PT Q5].[Nutrition10].[All]" dimensionUniqueName="[PT Q5]" displayFolder="" count="2" memberValueDatatype="5" unbalanced="0"/>
    <cacheHierarchy uniqueName="[PT Q5].[Cholesterol11]" caption="Cholesterol11" attribute="1" defaultMemberUniqueName="[PT Q5].[Cholesterol11].[All]" allUniqueName="[PT Q5].[Cholesterol11].[All]" dimensionUniqueName="[PT Q5]" displayFolder="" count="2"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2" memberValueDatatype="5" unbalanced="0"/>
    <cacheHierarchy uniqueName="[PT Q5].[Prenatal care13]" caption="Prenatal care13" attribute="1" defaultMemberUniqueName="[PT Q5].[Prenatal care13].[All]" allUniqueName="[PT Q5].[Prenatal care13].[All]" dimensionUniqueName="[PT Q5]" displayFolder="" count="2" memberValueDatatype="5" unbalanced="0"/>
    <cacheHierarchy uniqueName="[PT Q5].[Dental screenings14]" caption="Dental screenings14" attribute="1" defaultMemberUniqueName="[PT Q5].[Dental screenings14].[All]" allUniqueName="[PT Q5].[Dental screenings14].[All]" dimensionUniqueName="[PT Q5]" displayFolder="" count="2" memberValueDatatype="5" unbalanced="0"/>
    <cacheHierarchy uniqueName="[PT Q5].[Heart disease15]" caption="Heart disease15" attribute="1" defaultMemberUniqueName="[PT Q5].[Heart disease15].[All]" allUniqueName="[PT Q5].[Heart disease15].[All]" dimensionUniqueName="[PT Q5]" displayFolder="" count="2" memberValueDatatype="5" unbalanced="0"/>
    <cacheHierarchy uniqueName="[PT Q5].[Suicide prevention16]" caption="Suicide prevention16" attribute="1" defaultMemberUniqueName="[PT Q5].[Suicide prevention16].[All]" allUniqueName="[PT Q5].[Suicide prevention16].[All]" dimensionUniqueName="[PT Q5]" displayFolder="" count="2" memberValueDatatype="5" unbalanced="0"/>
    <cacheHierarchy uniqueName="[PT Q5].[Diabetes17]" caption="Diabetes17" attribute="1" defaultMemberUniqueName="[PT Q5].[Diabetes17].[All]" allUniqueName="[PT Q5].[Diabetes17].[All]" dimensionUniqueName="[PT Q5]" displayFolder="" count="2"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2"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2"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2"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2" memberValueDatatype="5" unbalanced="0"/>
    <cacheHierarchy uniqueName="[PT Q5].[Drug and alcohol22]" caption="Drug and alcohol22" attribute="1" defaultMemberUniqueName="[PT Q5].[Drug and alcohol22].[All]" allUniqueName="[PT Q5].[Drug and alcohol22].[All]" dimensionUniqueName="[PT Q5]" displayFolder="" count="2" memberValueDatatype="5" unbalanced="0"/>
    <cacheHierarchy uniqueName="[PT Q5].[Column3]" caption="Column3" attribute="1" defaultMemberUniqueName="[PT Q5].[Column3].[All]" allUniqueName="[PT Q5].[Column3].[All]" dimensionUniqueName="[PT Q5]" displayFolder="" count="2" memberValueDatatype="130" unbalanced="0"/>
    <cacheHierarchy uniqueName="[PT Q5].[Column4]" caption="Column4" attribute="1" defaultMemberUniqueName="[PT Q5].[Column4].[All]" allUniqueName="[PT Q5].[Column4].[All]" dimensionUniqueName="[PT Q5]" displayFolder="" count="2" memberValueDatatype="130" unbalanced="0"/>
    <cacheHierarchy uniqueName="[PT Q5].[Observed]" caption="Observed" attribute="1" defaultMemberUniqueName="[PT Q5].[Observed].[All]" allUniqueName="[PT Q5].[Observed].[All]" dimensionUniqueName="[PT Q5]" displayFolder="" count="2" memberValueDatatype="5" unbalanced="0"/>
    <cacheHierarchy uniqueName="[PT Q5].[Expected]" caption="Expected" attribute="1" defaultMemberUniqueName="[PT Q5].[Expected].[All]" allUniqueName="[PT Q5].[Expected].[All]" dimensionUniqueName="[PT Q5]" displayFolder="" count="2" memberValueDatatype="20" unbalanced="0"/>
    <cacheHierarchy uniqueName="[PT Q5].[Column22]" caption="Column22" attribute="1" defaultMemberUniqueName="[PT Q5].[Column22].[All]" allUniqueName="[PT Q5].[Column22].[All]" dimensionUniqueName="[PT Q5]" displayFolder="" count="2" memberValueDatatype="130" unbalanced="0"/>
    <cacheHierarchy uniqueName="[PT Q5].[Column5]" caption="Column5" attribute="1" defaultMemberUniqueName="[PT Q5].[Column5].[All]" allUniqueName="[PT Q5].[Column5].[All]" dimensionUniqueName="[PT Q5]" displayFolder="" count="2" memberValueDatatype="130" unbalanced="0"/>
    <cacheHierarchy uniqueName="[PT Q5].[I identify as:]" caption="I identify as:" attribute="1" defaultMemberUniqueName="[PT Q5].[I identify as:].[All]" allUniqueName="[PT Q5].[I identify as:].[All]" dimensionUniqueName="[PT Q5]" displayFolder="" count="2" memberValueDatatype="130" unbalanced="0"/>
    <cacheHierarchy uniqueName="[PT Q5].[What is your age?]" caption="What is your age?" attribute="1" defaultMemberUniqueName="[PT Q5].[What is your age?].[All]" allUniqueName="[PT Q5].[What is your age?].[All]" dimensionUniqueName="[PT Q5]" displayFolder="" count="2" memberValueDatatype="20" unbalanced="0"/>
    <cacheHierarchy uniqueName="[PT Q5].[County where you live:]" caption="County where you live:" attribute="1" defaultMemberUniqueName="[PT Q5].[County where you live:].[All]" allUniqueName="[PT Q5].[County where you live:].[All]" dimensionUniqueName="[PT Q5]" displayFolder="" count="2"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2"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2"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2"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2"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2"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2"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2"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2" memberValueDatatype="130" unbalanced="0"/>
    <cacheHierarchy uniqueName="[PT Q5].[What type of insurance do you have?]" caption="What type of insurance do you have?" attribute="1" defaultMemberUniqueName="[PT Q5].[What type of insurance do you have?].[All]" allUniqueName="[PT Q5].[What type of insurance do you have?].[All]" dimensionUniqueName="[PT Q5]" displayFolder="" count="2" memberValueDatatype="130" unbalanced="0"/>
    <cacheHierarchy uniqueName="[PT Q5].[Do you have access to reliable internet in your home?]" caption="Do you have access to reliable internet in your home?" attribute="1" defaultMemberUniqueName="[PT Q5].[Do you have access to reliable internet in your home?].[All]" allUniqueName="[PT Q5].[Do you have access to reliable internet in your home?].[All]" dimensionUniqueName="[PT Q5]" displayFolder="" count="2" memberValueDatatype="130" unbalanced="0"/>
    <cacheHierarchy uniqueName="[PT Q6].[RespondentID]" caption="RespondentID" attribute="1" defaultMemberUniqueName="[PT Q6].[RespondentID].[All]" allUniqueName="[PT Q6].[RespondentID].[All]" dimensionUniqueName="[PT Q6]" displayFolder="" count="2"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2" memberValueDatatype="130" unbalanced="0"/>
    <cacheHierarchy uniqueName="[PT Q6].[Library]" caption="Library" attribute="1" defaultMemberUniqueName="[PT Q6].[Library].[All]" allUniqueName="[PT Q6].[Library].[All]" dimensionUniqueName="[PT Q6]" displayFolder="" count="2"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2" memberValueDatatype="130" unbalanced="0"/>
    <cacheHierarchy uniqueName="[PT Q6].[Family or friends]" caption="Family or friends" attribute="1" defaultMemberUniqueName="[PT Q6].[Family or friends].[All]" allUniqueName="[PT Q6].[Family or friends].[All]" dimensionUniqueName="[PT Q6]" displayFolder="" count="2" memberValueDatatype="130" unbalanced="0"/>
    <cacheHierarchy uniqueName="[PT Q6].[Newspaper/magazines]" caption="Newspaper/magazines" attribute="1" defaultMemberUniqueName="[PT Q6].[Newspaper/magazines].[All]" allUniqueName="[PT Q6].[Newspaper/magazines].[All]" dimensionUniqueName="[PT Q6]" displayFolder="" count="2" memberValueDatatype="130" unbalanced="0"/>
    <cacheHierarchy uniqueName="[PT Q6].[Television]" caption="Television" attribute="1" defaultMemberUniqueName="[PT Q6].[Television].[All]" allUniqueName="[PT Q6].[Television].[All]" dimensionUniqueName="[PT Q6]" displayFolder="" count="2" memberValueDatatype="130" unbalanced="0"/>
    <cacheHierarchy uniqueName="[PT Q6].[Health Department]" caption="Health Department" attribute="1" defaultMemberUniqueName="[PT Q6].[Health Department].[All]" allUniqueName="[PT Q6].[Health Department].[All]" dimensionUniqueName="[PT Q6]" displayFolder="" count="2" memberValueDatatype="130" unbalanced="0"/>
    <cacheHierarchy uniqueName="[PT Q6].[Radio]" caption="Radio" attribute="1" defaultMemberUniqueName="[PT Q6].[Radio].[All]" allUniqueName="[PT Q6].[Radio].[All]" dimensionUniqueName="[PT Q6]" displayFolder="" count="2" memberValueDatatype="130" unbalanced="0"/>
    <cacheHierarchy uniqueName="[PT Q6].[Worksite]" caption="Worksite" attribute="1" defaultMemberUniqueName="[PT Q6].[Worksite].[All]" allUniqueName="[PT Q6].[Worksite].[All]" dimensionUniqueName="[PT Q6]" displayFolder="" count="2" memberValueDatatype="130" unbalanced="0"/>
    <cacheHierarchy uniqueName="[PT Q6].[Hospital]" caption="Hospital" attribute="1" defaultMemberUniqueName="[PT Q6].[Hospital].[All]" allUniqueName="[PT Q6].[Hospital].[All]" dimensionUniqueName="[PT Q6]" displayFolder="" count="2" memberValueDatatype="130" unbalanced="0"/>
    <cacheHierarchy uniqueName="[PT Q6].[Religious organization]" caption="Religious organization" attribute="1" defaultMemberUniqueName="[PT Q6].[Religious organization].[All]" allUniqueName="[PT Q6].[Religious organization].[All]" dimensionUniqueName="[PT Q6]" displayFolder="" count="2" memberValueDatatype="130" unbalanced="0"/>
    <cacheHierarchy uniqueName="[PT Q6].[Internet]" caption="Internet" attribute="1" defaultMemberUniqueName="[PT Q6].[Internet].[All]" allUniqueName="[PT Q6].[Internet].[All]" dimensionUniqueName="[PT Q6]" displayFolder="" count="2" memberValueDatatype="130" unbalanced="0"/>
    <cacheHierarchy uniqueName="[PT Q6].[School/college]" caption="School/college" attribute="1" defaultMemberUniqueName="[PT Q6].[School/college].[All]" allUniqueName="[PT Q6].[School/college].[All]" dimensionUniqueName="[PT Q6]" displayFolder="" count="2" memberValueDatatype="130" unbalanced="0"/>
    <cacheHierarchy uniqueName="[PT Q6].[Column1]" caption="Column1" attribute="1" defaultMemberUniqueName="[PT Q6].[Column1].[All]" allUniqueName="[PT Q6].[Column1].[All]" dimensionUniqueName="[PT Q6]" displayFolder="" count="2" memberValueDatatype="130" unbalanced="0"/>
    <cacheHierarchy uniqueName="[PT Q6].[I identify as:]" caption="I identify as:" attribute="1" defaultMemberUniqueName="[PT Q6].[I identify as:].[All]" allUniqueName="[PT Q6].[I identify as:].[All]" dimensionUniqueName="[PT Q6]" displayFolder="" count="2" memberValueDatatype="130" unbalanced="0"/>
    <cacheHierarchy uniqueName="[PT Q6].[What is your age?]" caption="What is your age?" attribute="1" defaultMemberUniqueName="[PT Q6].[What is your age?].[All]" allUniqueName="[PT Q6].[What is your age?].[All]" dimensionUniqueName="[PT Q6]" displayFolder="" count="2" memberValueDatatype="20" unbalanced="0"/>
    <cacheHierarchy uniqueName="[PT Q6].[County where you live:]" caption="County where you live:" attribute="1" defaultMemberUniqueName="[PT Q6].[County where you live:].[All]" allUniqueName="[PT Q6].[County where you live:].[All]" dimensionUniqueName="[PT Q6]" displayFolder="" count="2"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2"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2"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2"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2"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2"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2"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2"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2" memberValueDatatype="130" unbalanced="0"/>
    <cacheHierarchy uniqueName="[PT Q6].[What type of insurance do you have?]" caption="What type of insurance do you have?" attribute="1" defaultMemberUniqueName="[PT Q6].[What type of insurance do you have?].[All]" allUniqueName="[PT Q6].[What type of insurance do you have?].[All]" dimensionUniqueName="[PT Q6]" displayFolder="" count="2" memberValueDatatype="130" unbalanced="0"/>
    <cacheHierarchy uniqueName="[PT Q6].[Do you have access to reliable internet in your home?]" caption="Do you have access to reliable internet in your home?" attribute="1" defaultMemberUniqueName="[PT Q6].[Do you have access to reliable internet in your home?].[All]" allUniqueName="[PT Q6].[Do you have access to reliable internet in your home?].[All]" dimensionUniqueName="[PT Q6]" displayFolder="" count="2"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198"/>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198"/>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216"/>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217"/>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222"/>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207"/>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209"/>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224"/>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226"/>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227"/>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218"/>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220"/>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225"/>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228"/>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219"/>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221"/>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223"/>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24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248"/>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26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26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269"/>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26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26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27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26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27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26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292"/>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292"/>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309"/>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312"/>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315"/>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318"/>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310"/>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313"/>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316"/>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319"/>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320"/>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311"/>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314"/>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317"/>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340"/>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340"/>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363"/>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366"/>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369"/>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372"/>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378"/>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380"/>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364"/>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367"/>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370"/>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373"/>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376"/>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379"/>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365"/>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368"/>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371"/>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374"/>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377"/>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401"/>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404"/>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407"/>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410"/>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412"/>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402"/>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405"/>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408"/>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411"/>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413"/>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403"/>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406"/>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409"/>
        </ext>
      </extLst>
    </cacheHierarchy>
    <cacheHierarchy uniqueName="[Measures].[Sum of Fear (eg not ready to facediscuss health problemimmigration status)14]" caption="Sum of Fear (eg not ready to facediscuss health problemimmigration status)14" measure="1" displayFolder="" measureGroup="PT Q3" count="0">
      <extLst>
        <ext xmlns:x15="http://schemas.microsoft.com/office/spreadsheetml/2010/11/main" uri="{B97F6D7D-B522-45F9-BDA1-12C45D357490}">
          <x15:cacheHierarchy aggregatedColumn="272"/>
        </ext>
      </extLst>
    </cacheHierarchy>
    <cacheHierarchy uniqueName="[Measures].[Sum of RespondentID 7]" caption="Sum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Women’s health  wellness10 3]" caption="Sum of Women’s health  wellness10 3" measure="1" displayFolder="" measureGroup="PT Q1 1" count="0">
      <extLst>
        <ext xmlns:x15="http://schemas.microsoft.com/office/spreadsheetml/2010/11/main" uri="{B97F6D7D-B522-45F9-BDA1-12C45D357490}">
          <x15:cacheHierarchy aggregatedColumn="121"/>
        </ext>
      </extLst>
    </cacheHierarchy>
    <cacheHierarchy uniqueName="[Measures].[Count of RespondentID 7]" caption="Count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Asthmalung disease3 3]" caption="Sum of Asthmalung disease3 3" measure="1" displayFolder="" measureGroup="PT Q1 1" count="0">
      <extLst>
        <ext xmlns:x15="http://schemas.microsoft.com/office/spreadsheetml/2010/11/main" uri="{B97F6D7D-B522-45F9-BDA1-12C45D357490}">
          <x15:cacheHierarchy aggregatedColumn="114"/>
        </ext>
      </extLst>
    </cacheHierarchy>
    <cacheHierarchy uniqueName="[Measures].[Sum of Cancer4 3]" caption="Sum of Cancer4 3" measure="1" displayFolder="" measureGroup="PT Q1 1" count="0">
      <extLst>
        <ext xmlns:x15="http://schemas.microsoft.com/office/spreadsheetml/2010/11/main" uri="{B97F6D7D-B522-45F9-BDA1-12C45D357490}">
          <x15:cacheHierarchy aggregatedColumn="115"/>
        </ext>
      </extLst>
    </cacheHierarchy>
    <cacheHierarchy uniqueName="[Measures].[Sum of Heart disease  stroke5 3]" caption="Sum of Heart disease  stroke5 3" measure="1" displayFolder="" measureGroup="PT Q1 1" count="0">
      <extLst>
        <ext xmlns:x15="http://schemas.microsoft.com/office/spreadsheetml/2010/11/main" uri="{B97F6D7D-B522-45F9-BDA1-12C45D357490}">
          <x15:cacheHierarchy aggregatedColumn="116"/>
        </ext>
      </extLst>
    </cacheHierarchy>
    <cacheHierarchy uniqueName="[Measures].[Sum of Safety6 3]" caption="Sum of Safety6 3" measure="1" displayFolder="" measureGroup="PT Q1 1" count="0">
      <extLst>
        <ext xmlns:x15="http://schemas.microsoft.com/office/spreadsheetml/2010/11/main" uri="{B97F6D7D-B522-45F9-BDA1-12C45D357490}">
          <x15:cacheHierarchy aggregatedColumn="117"/>
        </ext>
      </extLst>
    </cacheHierarchy>
    <cacheHierarchy uniqueName="[Measures].[Sum of HIVAIDS  Sexually Transmitted Diseases (STDs)7 3]" caption="Sum of HIVAIDS  Sexually Transmitted Diseases (STDs)7 3" measure="1" displayFolder="" measureGroup="PT Q1 1" count="0">
      <extLst>
        <ext xmlns:x15="http://schemas.microsoft.com/office/spreadsheetml/2010/11/main" uri="{B97F6D7D-B522-45F9-BDA1-12C45D357490}">
          <x15:cacheHierarchy aggregatedColumn="118"/>
        </ext>
      </extLst>
    </cacheHierarchy>
    <cacheHierarchy uniqueName="[Measures].[Sum of Vaccine preventable diseases8 3]" caption="Sum of Vaccine preventable diseases8 3" measure="1" displayFolder="" measureGroup="PT Q1 1" count="0">
      <extLst>
        <ext xmlns:x15="http://schemas.microsoft.com/office/spreadsheetml/2010/11/main" uri="{B97F6D7D-B522-45F9-BDA1-12C45D357490}">
          <x15:cacheHierarchy aggregatedColumn="119"/>
        </ext>
      </extLst>
    </cacheHierarchy>
    <cacheHierarchy uniqueName="[Measures].[Sum of Child health  wellness9 3]" caption="Sum of Child health  wellness9 3" measure="1" displayFolder="" measureGroup="PT Q1 1" count="0">
      <extLst>
        <ext xmlns:x15="http://schemas.microsoft.com/office/spreadsheetml/2010/11/main" uri="{B97F6D7D-B522-45F9-BDA1-12C45D357490}">
          <x15:cacheHierarchy aggregatedColumn="120"/>
        </ext>
      </extLst>
    </cacheHierarchy>
    <cacheHierarchy uniqueName="[Measures].[Sum of Diabetes11 3]" caption="Sum of Diabetes11 3" measure="1" displayFolder="" measureGroup="PT Q1 1" count="0">
      <extLst>
        <ext xmlns:x15="http://schemas.microsoft.com/office/spreadsheetml/2010/11/main" uri="{B97F6D7D-B522-45F9-BDA1-12C45D357490}">
          <x15:cacheHierarchy aggregatedColumn="122"/>
        </ext>
      </extLst>
    </cacheHierarchy>
    <cacheHierarchy uniqueName="[Measures].[Sum of Mental health depressionsuicide12 3]" caption="Sum of Mental health depressionsuicide12 3" measure="1" displayFolder="" measureGroup="PT Q1 1" count="0">
      <extLst>
        <ext xmlns:x15="http://schemas.microsoft.com/office/spreadsheetml/2010/11/main" uri="{B97F6D7D-B522-45F9-BDA1-12C45D357490}">
          <x15:cacheHierarchy aggregatedColumn="123"/>
        </ext>
      </extLst>
    </cacheHierarchy>
    <cacheHierarchy uniqueName="[Measures].[Sum of Drugs  alcohol abuse13 3]" caption="Sum of Drugs  alcohol abuse13 3" measure="1" displayFolder="" measureGroup="PT Q1 1" count="0">
      <extLst>
        <ext xmlns:x15="http://schemas.microsoft.com/office/spreadsheetml/2010/11/main" uri="{B97F6D7D-B522-45F9-BDA1-12C45D357490}">
          <x15:cacheHierarchy aggregatedColumn="124"/>
        </ext>
      </extLst>
    </cacheHierarchy>
    <cacheHierarchy uniqueName="[Measures].[Sum of Environmental hazards14 3]" caption="Sum of Environmental hazards14 3" measure="1" displayFolder="" measureGroup="PT Q1 1" count="0">
      <extLst>
        <ext xmlns:x15="http://schemas.microsoft.com/office/spreadsheetml/2010/11/main" uri="{B97F6D7D-B522-45F9-BDA1-12C45D357490}">
          <x15:cacheHierarchy aggregatedColumn="125"/>
        </ext>
      </extLst>
    </cacheHierarchy>
    <cacheHierarchy uniqueName="[Measures].[Sum of Obesityweight loss issues15 3]" caption="Sum of Obesityweight loss issues15 3" measure="1" displayFolder="" measureGroup="PT Q1 1" count="0">
      <extLst>
        <ext xmlns:x15="http://schemas.microsoft.com/office/spreadsheetml/2010/11/main" uri="{B97F6D7D-B522-45F9-BDA1-12C45D357490}">
          <x15:cacheHierarchy aggregatedColumn="126"/>
        </ext>
      </extLst>
    </cacheHierarchy>
    <cacheHierarchy uniqueName="[Measures].[Sum of What is your age]" caption="Sum of What is your age" measure="1" displayFolder="" measureGroup="PT Q1 1" count="0">
      <extLst>
        <ext xmlns:x15="http://schemas.microsoft.com/office/spreadsheetml/2010/11/main" uri="{B97F6D7D-B522-45F9-BDA1-12C45D357490}">
          <x15:cacheHierarchy aggregatedColumn="134"/>
        </ext>
      </extLst>
    </cacheHierarchy>
    <cacheHierarchy uniqueName="[Measures].[Average of What is your age]" caption="Average of What is your age" measure="1" displayFolder="" measureGroup="PT Q1 1" count="0">
      <extLst>
        <ext xmlns:x15="http://schemas.microsoft.com/office/spreadsheetml/2010/11/main" uri="{B97F6D7D-B522-45F9-BDA1-12C45D357490}">
          <x15:cacheHierarchy aggregatedColumn="134"/>
        </ext>
      </extLst>
    </cacheHierarchy>
    <cacheHierarchy uniqueName="[Measures].[Count of What race do you consider yourself]" caption="Count of What race do you consider yourself" measure="1" displayFolder="" measureGroup="PT Q1 1" count="0">
      <extLst>
        <ext xmlns:x15="http://schemas.microsoft.com/office/spreadsheetml/2010/11/main" uri="{B97F6D7D-B522-45F9-BDA1-12C45D357490}">
          <x15:cacheHierarchy aggregatedColumn="137"/>
        </ext>
      </extLst>
    </cacheHierarchy>
    <cacheHierarchy uniqueName="[Measures].[Count of Do you currently have health insurance]" caption="Count of Do you currently have health insurance" measure="1" displayFolder="" measureGroup="PT Q1 1" count="0">
      <extLst>
        <ext xmlns:x15="http://schemas.microsoft.com/office/spreadsheetml/2010/11/main" uri="{B97F6D7D-B522-45F9-BDA1-12C45D357490}">
          <x15:cacheHierarchy aggregatedColumn="143"/>
        </ext>
      </extLst>
    </cacheHierarchy>
    <cacheHierarchy uniqueName="[Measures].[Count of What type of insurance do you have]" caption="Count of What type of insurance do you have" measure="1" displayFolder="" measureGroup="PT Q1 1" count="0">
      <extLst>
        <ext xmlns:x15="http://schemas.microsoft.com/office/spreadsheetml/2010/11/main" uri="{B97F6D7D-B522-45F9-BDA1-12C45D357490}">
          <x15:cacheHierarchy aggregatedColumn="144"/>
        </ext>
      </extLst>
    </cacheHierarchy>
    <cacheHierarchy uniqueName="[Measures].[Count of Do you have access to reliable internet in your home]" caption="Count of Do you have access to reliable internet in your home" measure="1" displayFolder="" measureGroup="PT Q1 1" count="0">
      <extLst>
        <ext xmlns:x15="http://schemas.microsoft.com/office/spreadsheetml/2010/11/main" uri="{B97F6D7D-B522-45F9-BDA1-12C45D357490}">
          <x15:cacheHierarchy aggregatedColumn="145"/>
        </ext>
      </extLst>
    </cacheHierarchy>
    <cacheHierarchy uniqueName="[Measures].[Sum of Female Flag]" caption="Sum of Female Flag" measure="1" displayFolder="" measureGroup="PT Q1 1" count="0">
      <extLst>
        <ext xmlns:x15="http://schemas.microsoft.com/office/spreadsheetml/2010/11/main" uri="{B97F6D7D-B522-45F9-BDA1-12C45D357490}">
          <x15:cacheHierarchy aggregatedColumn="146"/>
        </ext>
      </extLst>
    </cacheHierarchy>
    <cacheHierarchy uniqueName="[Measures].[Sum of Male Flag]" caption="Sum of Male Flag" measure="1" displayFolder="" measureGroup="PT Q1 1" count="0">
      <extLst>
        <ext xmlns:x15="http://schemas.microsoft.com/office/spreadsheetml/2010/11/main" uri="{B97F6D7D-B522-45F9-BDA1-12C45D357490}">
          <x15:cacheHierarchy aggregatedColumn="147"/>
        </ext>
      </extLst>
    </cacheHierarchy>
    <cacheHierarchy uniqueName="[Measures].[Sum of WhiteCaucasian Flag]" caption="Sum of WhiteCaucasian Flag" measure="1" displayFolder="" measureGroup="PT Q1 1" count="0">
      <extLst>
        <ext xmlns:x15="http://schemas.microsoft.com/office/spreadsheetml/2010/11/main" uri="{B97F6D7D-B522-45F9-BDA1-12C45D357490}">
          <x15:cacheHierarchy aggregatedColumn="150"/>
        </ext>
      </extLst>
    </cacheHierarchy>
    <cacheHierarchy uniqueName="[Measures].[Sum of BlackAfrican American Flag]" caption="Sum of BlackAfrican American Flag" measure="1" displayFolder="" measureGroup="PT Q1 1" count="0">
      <extLst>
        <ext xmlns:x15="http://schemas.microsoft.com/office/spreadsheetml/2010/11/main" uri="{B97F6D7D-B522-45F9-BDA1-12C45D357490}">
          <x15:cacheHierarchy aggregatedColumn="151"/>
        </ext>
      </extLst>
    </cacheHierarchy>
    <cacheHierarchy uniqueName="[Measures].[Total Respondents]" caption="Total Respondents" measure="1" displayFolder="" measureGroup="PT Q1" count="0" oneField="1">
      <fieldsUsage count="1">
        <fieldUsage x="47"/>
      </fieldsUsage>
    </cacheHierarchy>
    <cacheHierarchy uniqueName="[Measures].[Woman]" caption="Woman" measure="1" displayFolder="" measureGroup="PT Q1" count="0" oneField="1">
      <fieldsUsage count="1">
        <fieldUsage x="0"/>
      </fieldsUsage>
    </cacheHierarchy>
    <cacheHierarchy uniqueName="[Measures].[Man]" caption="Man" measure="1" displayFolder="" measureGroup="PT Q1" count="0" oneField="1">
      <fieldsUsage count="1">
        <fieldUsage x="1"/>
      </fieldsUsage>
    </cacheHierarchy>
    <cacheHierarchy uniqueName="[Measures].[Transgender]" caption="Transgender" measure="1" displayFolder="" measureGroup="PT Q1" count="0" oneField="1">
      <fieldsUsage count="1">
        <fieldUsage x="2"/>
      </fieldsUsage>
    </cacheHierarchy>
    <cacheHierarchy uniqueName="[Measures].[Other Gender]" caption="Other Gender" measure="1" displayFolder="" measureGroup="PT Q1" count="0" oneField="1">
      <fieldsUsage count="1">
        <fieldUsage x="3"/>
      </fieldsUsage>
    </cacheHierarchy>
    <cacheHierarchy uniqueName="[Measures].[Ethnicity]" caption="Ethnicity" measure="1" displayFolder="" measureGroup="PT Q1" count="0" oneField="1">
      <fieldsUsage count="1">
        <fieldUsage x="4"/>
      </fieldsUsage>
    </cacheHierarchy>
    <cacheHierarchy uniqueName="[Measures].[White]" caption="White" measure="1" displayFolder="" measureGroup="PT Q1" count="0" oneField="1">
      <fieldsUsage count="1">
        <fieldUsage x="5"/>
      </fieldsUsage>
    </cacheHierarchy>
    <cacheHierarchy uniqueName="[Measures].[Black/African American]" caption="Black/African American" measure="1" displayFolder="" measureGroup="PT Q1" count="0" oneField="1">
      <fieldsUsage count="1">
        <fieldUsage x="6"/>
      </fieldsUsage>
    </cacheHierarchy>
    <cacheHierarchy uniqueName="[Measures].[Native Hawaiian/Pacific Islander]" caption="Native Hawaiian/Pacific Islander" measure="1" displayFolder="" measureGroup="PT Q1" count="0" oneField="1">
      <fieldsUsage count="1">
        <fieldUsage x="7"/>
      </fieldsUsage>
    </cacheHierarchy>
    <cacheHierarchy uniqueName="[Measures].[American Indian/Alaska Native]" caption="American Indian/Alaska Native" measure="1" displayFolder="" measureGroup="PT Q1" count="0" oneField="1">
      <fieldsUsage count="1">
        <fieldUsage x="8"/>
      </fieldsUsage>
    </cacheHierarchy>
    <cacheHierarchy uniqueName="[Measures].[Multi-racial]" caption="Multi-racial" measure="1" displayFolder="" measureGroup="PT Q1" count="0" oneField="1">
      <fieldsUsage count="1">
        <fieldUsage x="9"/>
      </fieldsUsage>
    </cacheHierarchy>
    <cacheHierarchy uniqueName="[Measures].[Other Race]" caption="Other Race" measure="1" displayFolder="" measureGroup="PT Q1" count="0" oneField="1">
      <fieldsUsage count="1">
        <fieldUsage x="10"/>
      </fieldsUsage>
    </cacheHierarchy>
    <cacheHierarchy uniqueName="[Measures].[Income $0-$19,999]" caption="Income $0-$19,999" measure="1" displayFolder="" measureGroup="PT Q1" count="0" oneField="1">
      <fieldsUsage count="1">
        <fieldUsage x="11"/>
      </fieldsUsage>
    </cacheHierarchy>
    <cacheHierarchy uniqueName="[Measures].[Income $20,000 to $34,999]" caption="Income $20,000 to $34,999" measure="1" displayFolder="" measureGroup="PT Q1" count="0" oneField="1">
      <fieldsUsage count="1">
        <fieldUsage x="12"/>
      </fieldsUsage>
    </cacheHierarchy>
    <cacheHierarchy uniqueName="[Measures].[Income $35,000 to $49,999]" caption="Income $35,000 to $49,999" measure="1" displayFolder="" measureGroup="PT Q1" count="0" oneField="1">
      <fieldsUsage count="1">
        <fieldUsage x="13"/>
      </fieldsUsage>
    </cacheHierarchy>
    <cacheHierarchy uniqueName="[Measures].[income $50,000 to $74,999]" caption="income $50,000 to $74,999" measure="1" displayFolder="" measureGroup="PT Q1" count="0" oneField="1">
      <fieldsUsage count="1">
        <fieldUsage x="14"/>
      </fieldsUsage>
    </cacheHierarchy>
    <cacheHierarchy uniqueName="[Measures].[Income $75,000 to $125,000]" caption="Income $75,000 to $125,000" measure="1" displayFolder="" measureGroup="PT Q1" count="0" oneField="1">
      <fieldsUsage count="1">
        <fieldUsage x="15"/>
      </fieldsUsage>
    </cacheHierarchy>
    <cacheHierarchy uniqueName="[Measures].[Income Over $125,000]" caption="Income Over $125,000" measure="1" displayFolder="" measureGroup="PT Q1" count="0" oneField="1">
      <fieldsUsage count="1">
        <fieldUsage x="16"/>
      </fieldsUsage>
    </cacheHierarchy>
    <cacheHierarchy uniqueName="[Measures].[Age 18-24]" caption="Age 18-24" measure="1" displayFolder="" measureGroup="PT Q1" count="0" oneField="1">
      <fieldsUsage count="1">
        <fieldUsage x="17"/>
      </fieldsUsage>
    </cacheHierarchy>
    <cacheHierarchy uniqueName="[Measures].[Age 25 to 34]" caption="Age 25 to 34" measure="1" displayFolder="" measureGroup="PT Q1" count="0" oneField="1">
      <fieldsUsage count="1">
        <fieldUsage x="18"/>
      </fieldsUsage>
    </cacheHierarchy>
    <cacheHierarchy uniqueName="[Measures].[Age 35 to 44]" caption="Age 35 to 44" measure="1" displayFolder="" measureGroup="PT Q1" count="0" oneField="1">
      <fieldsUsage count="1">
        <fieldUsage x="19"/>
      </fieldsUsage>
    </cacheHierarchy>
    <cacheHierarchy uniqueName="[Measures].[Age 45 to 54]" caption="Age 45 to 54" measure="1" displayFolder="" measureGroup="PT Q1" count="0" oneField="1">
      <fieldsUsage count="1">
        <fieldUsage x="20"/>
      </fieldsUsage>
    </cacheHierarchy>
    <cacheHierarchy uniqueName="[Measures].[Age 55 to 64]" caption="Age 55 to 64" measure="1" displayFolder="" measureGroup="PT Q1" count="0" oneField="1">
      <fieldsUsage count="1">
        <fieldUsage x="21"/>
      </fieldsUsage>
    </cacheHierarchy>
    <cacheHierarchy uniqueName="[Measures].[Age 65+]" caption="Age 65+" measure="1" displayFolder="" measureGroup="PT Q1" count="0" oneField="1">
      <fieldsUsage count="1">
        <fieldUsage x="22"/>
      </fieldsUsage>
    </cacheHierarchy>
    <cacheHierarchy uniqueName="[Measures].[K-8 Grade]" caption="K-8 Grade" measure="1" displayFolder="" measureGroup="PT Q1" count="0" oneField="1">
      <fieldsUsage count="1">
        <fieldUsage x="23"/>
      </fieldsUsage>
    </cacheHierarchy>
    <cacheHierarchy uniqueName="[Measures].[High School]" caption="High School" measure="1" displayFolder="" measureGroup="PT Q1" count="0" oneField="1">
      <fieldsUsage count="1">
        <fieldUsage x="24"/>
      </fieldsUsage>
    </cacheHierarchy>
    <cacheHierarchy uniqueName="[Measures].[Some High School]" caption="Some High School" measure="1" displayFolder="" measureGroup="PT Q1" count="0" oneField="1">
      <fieldsUsage count="1">
        <fieldUsage x="25"/>
      </fieldsUsage>
    </cacheHierarchy>
    <cacheHierarchy uniqueName="[Measures].[College]" caption="College" measure="1" displayFolder="" measureGroup="PT Q1" count="0" oneField="1">
      <fieldsUsage count="1">
        <fieldUsage x="26"/>
      </fieldsUsage>
    </cacheHierarchy>
    <cacheHierarchy uniqueName="[Measures].[Some College]" caption="Some College" measure="1" displayFolder="" measureGroup="PT Q1" count="0" oneField="1">
      <fieldsUsage count="1">
        <fieldUsage x="27"/>
      </fieldsUsage>
    </cacheHierarchy>
    <cacheHierarchy uniqueName="[Measures].[Technical School]" caption="Technical School" measure="1" displayFolder="" measureGroup="PT Q1" count="0" oneField="1">
      <fieldsUsage count="1">
        <fieldUsage x="28"/>
      </fieldsUsage>
    </cacheHierarchy>
    <cacheHierarchy uniqueName="[Measures].[Graduate School]" caption="Graduate School" measure="1" displayFolder="" measureGroup="PT Q1" count="0" oneField="1">
      <fieldsUsage count="1">
        <fieldUsage x="29"/>
      </fieldsUsage>
    </cacheHierarchy>
    <cacheHierarchy uniqueName="[Measures].[Doctorate]" caption="Doctorate" measure="1" displayFolder="" measureGroup="PT Q1" count="0" oneField="1">
      <fieldsUsage count="1">
        <fieldUsage x="30"/>
      </fieldsUsage>
    </cacheHierarchy>
    <cacheHierarchy uniqueName="[Measures].[GED]" caption="GED" measure="1" displayFolder="" measureGroup="PT Q1" count="0" oneField="1">
      <fieldsUsage count="1">
        <fieldUsage x="31"/>
      </fieldsUsage>
    </cacheHierarchy>
    <cacheHierarchy uniqueName="[Measures].[Employed for Wages]" caption="Employed for Wages" measure="1" displayFolder="" measureGroup="PT Q1" count="0" oneField="1">
      <fieldsUsage count="1">
        <fieldUsage x="32"/>
      </fieldsUsage>
    </cacheHierarchy>
    <cacheHierarchy uniqueName="[Measures].[Self-employed]" caption="Self-employed" measure="1" displayFolder="" measureGroup="PT Q1" count="0" oneField="1">
      <fieldsUsage count="1">
        <fieldUsage x="33"/>
      </fieldsUsage>
    </cacheHierarchy>
    <cacheHierarchy uniqueName="[Measures].[Student]" caption="Student" measure="1" displayFolder="" measureGroup="PT Q1" count="0" oneField="1">
      <fieldsUsage count="1">
        <fieldUsage x="34"/>
      </fieldsUsage>
    </cacheHierarchy>
    <cacheHierarchy uniqueName="[Measures].[Retired]" caption="Retired" measure="1" displayFolder="" measureGroup="PT Q1" count="0" oneField="1">
      <fieldsUsage count="1">
        <fieldUsage x="35"/>
      </fieldsUsage>
    </cacheHierarchy>
    <cacheHierarchy uniqueName="[Measures].[Military]" caption="Military" measure="1" displayFolder="" measureGroup="PT Q1" count="0" oneField="1">
      <fieldsUsage count="1">
        <fieldUsage x="36"/>
      </fieldsUsage>
    </cacheHierarchy>
    <cacheHierarchy uniqueName="[Measures].[Out of Work and Looking]" caption="Out of Work and Looking" measure="1" displayFolder="" measureGroup="PT Q1" count="0" oneField="1">
      <fieldsUsage count="1">
        <fieldUsage x="37"/>
      </fieldsUsage>
    </cacheHierarchy>
    <cacheHierarchy uniqueName="[Measures].[Out of Work Not Looking]" caption="Out of Work Not Looking" measure="1" displayFolder="" measureGroup="PT Q1" count="0" oneField="1">
      <fieldsUsage count="1">
        <fieldUsage x="38"/>
      </fieldsUsage>
    </cacheHierarchy>
    <cacheHierarchy uniqueName="[Measures].[Health Insurance Yes]" caption="Health Insurance Yes" measure="1" displayFolder="" measureGroup="PT Q1" count="0" oneField="1">
      <fieldsUsage count="1">
        <fieldUsage x="39"/>
      </fieldsUsage>
    </cacheHierarchy>
    <cacheHierarchy uniqueName="[Measures].[Health Insurance No]" caption="Health Insurance No" measure="1" displayFolder="" measureGroup="PT Q1" count="0" oneField="1">
      <fieldsUsage count="1">
        <fieldUsage x="40"/>
      </fieldsUsage>
    </cacheHierarchy>
    <cacheHierarchy uniqueName="[Measures].[Health Insurance In the Past]" caption="Health Insurance In the Past" measure="1" displayFolder="" measureGroup="PT Q1" count="0" oneField="1">
      <fieldsUsage count="1">
        <fieldUsage x="41"/>
      </fieldsUsage>
    </cacheHierarchy>
    <cacheHierarchy uniqueName="[Measures].[Medicare]" caption="Medicare" measure="1" displayFolder="" measureGroup="PT Q1" count="0" oneField="1">
      <fieldsUsage count="1">
        <fieldUsage x="42"/>
      </fieldsUsage>
    </cacheHierarchy>
    <cacheHierarchy uniqueName="[Measures].[Medicaid]" caption="Medicaid" measure="1" displayFolder="" measureGroup="PT Q1" count="0" oneField="1">
      <fieldsUsage count="1">
        <fieldUsage x="43"/>
      </fieldsUsage>
    </cacheHierarchy>
    <cacheHierarchy uniqueName="[Measures].[Private/Commerical]" caption="Private/Commerical" measure="1" displayFolder="" measureGroup="PT Q1" count="0" oneField="1">
      <fieldsUsage count="1">
        <fieldUsage x="44"/>
      </fieldsUsage>
    </cacheHierarchy>
    <cacheHierarchy uniqueName="[Measures].[Not Insured]" caption="Not Insured" measure="1" displayFolder="" measureGroup="PT Q1" count="0" oneField="1">
      <fieldsUsage count="1">
        <fieldUsage x="45"/>
      </fieldsUsage>
    </cacheHierarchy>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PT Q1 1]" caption="__XL_Count PT Q1 1" measure="1" displayFolder="" measureGroup="PT Q1 1" count="0" hidden="1"/>
    <cacheHierarchy uniqueName="[Measures].[__XL_Count of Models]" caption="__XL_Count of Models" measure="1" displayFolder="" count="0" hidden="1"/>
  </cacheHierarchies>
  <kpis count="0"/>
  <dimensions count="8">
    <dimension measure="1" name="Measures" uniqueName="[Measures]" caption="Measures"/>
    <dimension name="PT Q1" uniqueName="[PT Q1]" caption="PT Q1"/>
    <dimension name="PT Q1 1" uniqueName="[PT Q1 1]" caption="PT Q1 1"/>
    <dimension name="PT Q2" uniqueName="[PT Q2]" caption="PT Q2"/>
    <dimension name="PT Q3" uniqueName="[PT Q3]" caption="PT Q3"/>
    <dimension name="PT Q4" uniqueName="[PT Q4]" caption="PT Q4"/>
    <dimension name="PT Q5" uniqueName="[PT Q5]" caption="PT Q5"/>
    <dimension name="PT Q6" uniqueName="[PT Q6]" caption="PT Q6"/>
  </dimensions>
  <measureGroups count="7">
    <measureGroup name="PT Q1" caption="PT Q1"/>
    <measureGroup name="PT Q1 1" caption="PT Q1 1"/>
    <measureGroup name="PT Q2" caption="PT Q2"/>
    <measureGroup name="PT Q3" caption="PT Q3"/>
    <measureGroup name="PT Q4" caption="PT Q4"/>
    <measureGroup name="PT Q5" caption="PT Q5"/>
    <measureGroup name="PT Q6" caption="PT Q6"/>
  </measureGroups>
  <maps count="7">
    <map measureGroup="0" dimension="1"/>
    <map measureGroup="1" dimension="2"/>
    <map measureGroup="2" dimension="3"/>
    <map measureGroup="3" dimension="4"/>
    <map measureGroup="4" dimension="5"/>
    <map measureGroup="5" dimension="6"/>
    <map measureGroup="6" dimension="7"/>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Melissa Bauer" refreshedDate="44946.532941087964" createdVersion="3" refreshedVersion="5" minRefreshableVersion="3" recordCount="0" supportSubquery="1" supportAdvancedDrill="1">
  <cacheSource type="external" connectionId="8">
    <extLst>
      <ext xmlns:x14="http://schemas.microsoft.com/office/spreadsheetml/2009/9/main" uri="{F057638F-6D5F-4e77-A914-E7F072B9BCA8}">
        <x14:sourceConnection name="ThisWorkbookDataModel"/>
      </ext>
    </extLst>
  </cacheSource>
  <cacheFields count="0"/>
  <cacheHierarchies count="600">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2"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2"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2"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2"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2"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2"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2"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2"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2" memberValueDatatype="130" unbalanced="0"/>
    <cacheHierarchy uniqueName="[PT Q1].[What type of insurance do you have?]" caption="What type of insurance do you have?" attribute="1" defaultMemberUniqueName="[PT Q1].[What type of insurance do you have?].[All]" allUniqueName="[PT Q1].[What type of insurance do you have?].[All]" dimensionUniqueName="[PT Q1]" displayFolder="" count="0" memberValueDatatype="130" unbalanced="0"/>
    <cacheHierarchy uniqueName="[PT Q1].[Do you have a smartphone]" caption="Do you have a smartphone" attribute="1" defaultMemberUniqueName="[PT Q1].[Do you have a smartphone].[All]" allUniqueName="[PT Q1].[Do you have a smartphone].[All]" dimensionUniqueName="[PT Q1]" displayFolder="" count="0" memberValueDatatype="130" unbalanced="0"/>
    <cacheHierarchy uniqueName="[PT Q1].[Woman Flag]" caption="Woman Flag" attribute="1" defaultMemberUniqueName="[PT Q1].[Woman Flag].[All]" allUniqueName="[PT Q1].[Woman Flag].[All]" dimensionUniqueName="[PT Q1]" displayFolder="" count="0" memberValueDatatype="20" unbalanced="0"/>
    <cacheHierarchy uniqueName="[PT Q1].[Man Flag]" caption="Man Flag" attribute="1" defaultMemberUniqueName="[PT Q1].[Man Flag].[All]" allUniqueName="[PT Q1].[Man Flag].[All]" dimensionUniqueName="[PT Q1]" displayFolder="" count="0" memberValueDatatype="20" unbalanced="0"/>
    <cacheHierarchy uniqueName="[PT Q1].[Transgender Flag]" caption="Transgender Flag" attribute="1" defaultMemberUniqueName="[PT Q1].[Transgender Flag].[All]" allUniqueName="[PT Q1].[Transgender Flag].[All]" dimensionUniqueName="[PT Q1]" displayFolder="" count="0" memberValueDatatype="20" unbalanced="0"/>
    <cacheHierarchy uniqueName="[PT Q1].[Other Gender Flag]" caption="Other Gender Flag" attribute="1" defaultMemberUniqueName="[PT Q1].[Other Gender Flag].[All]" allUniqueName="[PT Q1].[Other Gender Flag].[All]" dimensionUniqueName="[PT Q1]" displayFolder="" count="0" memberValueDatatype="20" unbalanced="0"/>
    <cacheHierarchy uniqueName="[PT Q1].[Hispanic Flag]" caption="Hispanic Flag" attribute="1" defaultMemberUniqueName="[PT Q1].[Hispanic Flag].[All]" allUniqueName="[PT Q1].[Hispanic Flag].[All]" dimensionUniqueName="[PT Q1]" displayFolder="" count="0" memberValueDatatype="20" unbalanced="0"/>
    <cacheHierarchy uniqueName="[PT Q1].[White Flag]" caption="White Flag" attribute="1" defaultMemberUniqueName="[PT Q1].[White Flag].[All]" allUniqueName="[PT Q1].[White Flag].[All]" dimensionUniqueName="[PT Q1]" displayFolder="" count="0" memberValueDatatype="20" unbalanced="0"/>
    <cacheHierarchy uniqueName="[PT Q1].[Black or African American Flag]" caption="Black or African American Flag" attribute="1" defaultMemberUniqueName="[PT Q1].[Black or African American Flag].[All]" allUniqueName="[PT Q1].[Black or African American Flag].[All]" dimensionUniqueName="[PT Q1]" displayFolder="" count="0" memberValueDatatype="20" unbalanced="0"/>
    <cacheHierarchy uniqueName="[PT Q1].[Native Hawaiian and Other Pacific Islander Flag]" caption="Native Hawaiian and Other Pacific Islander Flag" attribute="1" defaultMemberUniqueName="[PT Q1].[Native Hawaiian and Other Pacific Islander Flag].[All]" allUniqueName="[PT Q1].[Native Hawaiian and Other Pacific Islander Flag].[All]" dimensionUniqueName="[PT Q1]" displayFolder="" count="0" memberValueDatatype="20" unbalanced="0"/>
    <cacheHierarchy uniqueName="[PT Q1].[American Indian and Alaska Native Flag]" caption="American Indian and Alaska Native Flag" attribute="1" defaultMemberUniqueName="[PT Q1].[American Indian and Alaska Native Flag].[All]" allUniqueName="[PT Q1].[American Indian and Alaska Native Flag].[All]" dimensionUniqueName="[PT Q1]" displayFolder="" count="0" memberValueDatatype="20" unbalanced="0"/>
    <cacheHierarchy uniqueName="[PT Q1].[Two or more races Flag]" caption="Two or more races Flag" attribute="1" defaultMemberUniqueName="[PT Q1].[Two or more races Flag].[All]" allUniqueName="[PT Q1].[Two or more races Flag].[All]" dimensionUniqueName="[PT Q1]" displayFolder="" count="0" memberValueDatatype="20" unbalanced="0"/>
    <cacheHierarchy uniqueName="[PT Q1].[Other Race Flag]" caption="Other Race Flag" attribute="1" defaultMemberUniqueName="[PT Q1].[Other Race Flag].[All]" allUniqueName="[PT Q1].[Other Race Flag].[All]" dimensionUniqueName="[PT Q1]" displayFolder="" count="0" memberValueDatatype="20" unbalanced="0"/>
    <cacheHierarchy uniqueName="[PT Q1].[$0-$19,999 Flag]" caption="$0-$19,999 Flag" attribute="1" defaultMemberUniqueName="[PT Q1].[$0-$19,999 Flag].[All]" allUniqueName="[PT Q1].[$0-$19,999 Flag].[All]" dimensionUniqueName="[PT Q1]" displayFolder="" count="0" memberValueDatatype="20" unbalanced="0"/>
    <cacheHierarchy uniqueName="[PT Q1].[$20,000 to $34,999 Flag]" caption="$20,000 to $34,999 Flag" attribute="1" defaultMemberUniqueName="[PT Q1].[$20,000 to $34,999 Flag].[All]" allUniqueName="[PT Q1].[$20,000 to $34,999 Flag].[All]" dimensionUniqueName="[PT Q1]" displayFolder="" count="0" memberValueDatatype="20" unbalanced="0"/>
    <cacheHierarchy uniqueName="[PT Q1].[$35,000 to $49,999 Flag]" caption="$35,000 to $49,999 Flag" attribute="1" defaultMemberUniqueName="[PT Q1].[$35,000 to $49,999 Flag].[All]" allUniqueName="[PT Q1].[$35,000 to $49,999 Flag].[All]" dimensionUniqueName="[PT Q1]" displayFolder="" count="0" memberValueDatatype="20" unbalanced="0"/>
    <cacheHierarchy uniqueName="[PT Q1].[$50,000 to $74,999 Flag]" caption="$50,000 to $74,999 Flag" attribute="1" defaultMemberUniqueName="[PT Q1].[$50,000 to $74,999 Flag].[All]" allUniqueName="[PT Q1].[$50,000 to $74,999 Flag].[All]" dimensionUniqueName="[PT Q1]" displayFolder="" count="0" memberValueDatatype="20" unbalanced="0"/>
    <cacheHierarchy uniqueName="[PT Q1].[$75,000 to $125,000 Flag]" caption="$75,000 to $125,000 Flag" attribute="1" defaultMemberUniqueName="[PT Q1].[$75,000 to $125,000 Flag].[All]" allUniqueName="[PT Q1].[$75,000 to $125,000 Flag].[All]" dimensionUniqueName="[PT Q1]" displayFolder="" count="0" memberValueDatatype="20" unbalanced="0"/>
    <cacheHierarchy uniqueName="[PT Q1].[Over $125,000 Flag]" caption="Over $125,000 Flag" attribute="1" defaultMemberUniqueName="[PT Q1].[Over $125,000 Flag].[All]" allUniqueName="[PT Q1].[Over $125,000 Flag].[All]" dimensionUniqueName="[PT Q1]" displayFolder="" count="0" memberValueDatatype="20" unbalanced="0"/>
    <cacheHierarchy uniqueName="[PT Q1].[18 TO 24 Flag]" caption="18 TO 24 Flag" attribute="1" defaultMemberUniqueName="[PT Q1].[18 TO 24 Flag].[All]" allUniqueName="[PT Q1].[18 TO 24 Flag].[All]" dimensionUniqueName="[PT Q1]" displayFolder="" count="0" memberValueDatatype="20" unbalanced="0"/>
    <cacheHierarchy uniqueName="[PT Q1].[25 to 34 Flag]" caption="25 to 34 Flag" attribute="1" defaultMemberUniqueName="[PT Q1].[25 to 34 Flag].[All]" allUniqueName="[PT Q1].[25 to 34 Flag].[All]" dimensionUniqueName="[PT Q1]" displayFolder="" count="0" memberValueDatatype="20" unbalanced="0"/>
    <cacheHierarchy uniqueName="[PT Q1].[35 to 44 Flag]" caption="35 to 44 Flag" attribute="1" defaultMemberUniqueName="[PT Q1].[35 to 44 Flag].[All]" allUniqueName="[PT Q1].[35 to 44 Flag].[All]" dimensionUniqueName="[PT Q1]" displayFolder="" count="0" memberValueDatatype="20" unbalanced="0"/>
    <cacheHierarchy uniqueName="[PT Q1].[45 to 54 Flag]" caption="45 to 54 Flag" attribute="1" defaultMemberUniqueName="[PT Q1].[45 to 54 Flag].[All]" allUniqueName="[PT Q1].[45 to 54 Flag].[All]" dimensionUniqueName="[PT Q1]" displayFolder="" count="0" memberValueDatatype="20" unbalanced="0"/>
    <cacheHierarchy uniqueName="[PT Q1].[55 to 64 Flag]" caption="55 to 64 Flag" attribute="1" defaultMemberUniqueName="[PT Q1].[55 to 64 Flag].[All]" allUniqueName="[PT Q1].[55 to 64 Flag].[All]" dimensionUniqueName="[PT Q1]" displayFolder="" count="0" memberValueDatatype="20" unbalanced="0"/>
    <cacheHierarchy uniqueName="[PT Q1].[65 Plus Flag]" caption="65 Plus Flag" attribute="1" defaultMemberUniqueName="[PT Q1].[65 Plus Flag].[All]" allUniqueName="[PT Q1].[65 Plus Flag].[All]" dimensionUniqueName="[PT Q1]" displayFolder="" count="0" memberValueDatatype="20" unbalanced="0"/>
    <cacheHierarchy uniqueName="[PT Q1].[K-8 grade Flag]" caption="K-8 grade Flag" attribute="1" defaultMemberUniqueName="[PT Q1].[K-8 grade Flag].[All]" allUniqueName="[PT Q1].[K-8 grade Flag].[All]" dimensionUniqueName="[PT Q1]" displayFolder="" count="0" memberValueDatatype="20" unbalanced="0"/>
    <cacheHierarchy uniqueName="[PT Q1].[Some High School Flag]" caption="Some High School Flag" attribute="1" defaultMemberUniqueName="[PT Q1].[Some High School Flag].[All]" allUniqueName="[PT Q1].[Some High School Flag].[All]" dimensionUniqueName="[PT Q1]" displayFolder="" count="0" memberValueDatatype="20" unbalanced="0"/>
    <cacheHierarchy uniqueName="[PT Q1].[High School Graduate Flag]" caption="High School Graduate Flag" attribute="1" defaultMemberUniqueName="[PT Q1].[High School Graduate Flag].[All]" allUniqueName="[PT Q1].[High School Graduate Flag].[All]" dimensionUniqueName="[PT Q1]" displayFolder="" count="0" memberValueDatatype="20" unbalanced="0"/>
    <cacheHierarchy uniqueName="[PT Q1].[Technical School Flag]" caption="Technical School Flag" attribute="1" defaultMemberUniqueName="[PT Q1].[Technical School Flag].[All]" allUniqueName="[PT Q1].[Technical School Flag].[All]" dimensionUniqueName="[PT Q1]" displayFolder="" count="0" memberValueDatatype="20" unbalanced="0"/>
    <cacheHierarchy uniqueName="[PT Q1].[Some College Flag]" caption="Some College Flag" attribute="1" defaultMemberUniqueName="[PT Q1].[Some College Flag].[All]" allUniqueName="[PT Q1].[Some College Flag].[All]" dimensionUniqueName="[PT Q1]" displayFolder="" count="0" memberValueDatatype="20" unbalanced="0"/>
    <cacheHierarchy uniqueName="[PT Q1].[College Graduate Flag]" caption="College Graduate Flag" attribute="1" defaultMemberUniqueName="[PT Q1].[College Graduate Flag].[All]" allUniqueName="[PT Q1].[College Graduate Flag].[All]" dimensionUniqueName="[PT Q1]" displayFolder="" count="0" memberValueDatatype="20" unbalanced="0"/>
    <cacheHierarchy uniqueName="[PT Q1].[Graduate School Flag]" caption="Graduate School Flag" attribute="1" defaultMemberUniqueName="[PT Q1].[Graduate School Flag].[All]" allUniqueName="[PT Q1].[Graduate School Flag].[All]" dimensionUniqueName="[PT Q1]" displayFolder="" count="0" memberValueDatatype="20" unbalanced="0"/>
    <cacheHierarchy uniqueName="[PT Q1].[Doctorate Flag]" caption="Doctorate Flag" attribute="1" defaultMemberUniqueName="[PT Q1].[Doctorate Flag].[All]" allUniqueName="[PT Q1].[Doctorate Flag].[All]" dimensionUniqueName="[PT Q1]" displayFolder="" count="0" memberValueDatatype="20" unbalanced="0"/>
    <cacheHierarchy uniqueName="[PT Q1].[GED Flag]" caption="GED Flag" attribute="1" defaultMemberUniqueName="[PT Q1].[GED Flag].[All]" allUniqueName="[PT Q1].[GED Flag].[All]" dimensionUniqueName="[PT Q1]" displayFolder="" count="0" memberValueDatatype="20" unbalanced="0"/>
    <cacheHierarchy uniqueName="[PT Q1].[Employed for Wages Flag]" caption="Employed for Wages Flag" attribute="1" defaultMemberUniqueName="[PT Q1].[Employed for Wages Flag].[All]" allUniqueName="[PT Q1].[Employed for Wages Flag].[All]" dimensionUniqueName="[PT Q1]" displayFolder="" count="0" memberValueDatatype="20" unbalanced="0"/>
    <cacheHierarchy uniqueName="[PT Q1].[Self-employed Flag]" caption="Self-employed Flag" attribute="1" defaultMemberUniqueName="[PT Q1].[Self-employed Flag].[All]" allUniqueName="[PT Q1].[Self-employed Flag].[All]" dimensionUniqueName="[PT Q1]" displayFolder="" count="0" memberValueDatatype="20" unbalanced="0"/>
    <cacheHierarchy uniqueName="[PT Q1].[Student Flag]" caption="Student Flag" attribute="1" defaultMemberUniqueName="[PT Q1].[Student Flag].[All]" allUniqueName="[PT Q1].[Student Flag].[All]" dimensionUniqueName="[PT Q1]" displayFolder="" count="0" memberValueDatatype="20" unbalanced="0"/>
    <cacheHierarchy uniqueName="[PT Q1].[Retired Flag]" caption="Retired Flag" attribute="1" defaultMemberUniqueName="[PT Q1].[Retired Flag].[All]" allUniqueName="[PT Q1].[Retired Flag].[All]" dimensionUniqueName="[PT Q1]" displayFolder="" count="0" memberValueDatatype="20" unbalanced="0"/>
    <cacheHierarchy uniqueName="[PT Q1].[Military Flag]" caption="Military Flag" attribute="1" defaultMemberUniqueName="[PT Q1].[Military Flag].[All]" allUniqueName="[PT Q1].[Military Flag].[All]" dimensionUniqueName="[PT Q1]" displayFolder="" count="0" memberValueDatatype="20" unbalanced="0"/>
    <cacheHierarchy uniqueName="[PT Q1].[Out of Work and Looking Flag]" caption="Out of Work and Looking Flag" attribute="1" defaultMemberUniqueName="[PT Q1].[Out of Work and Looking Flag].[All]" allUniqueName="[PT Q1].[Out of Work and Looking Flag].[All]" dimensionUniqueName="[PT Q1]" displayFolder="" count="0" memberValueDatatype="20" unbalanced="0"/>
    <cacheHierarchy uniqueName="[PT Q1].[Out of Work Not Looking Flag]" caption="Out of Work Not Looking Flag" attribute="1" defaultMemberUniqueName="[PT Q1].[Out of Work Not Looking Flag].[All]" allUniqueName="[PT Q1].[Out of Work Not Looking Flag].[All]" dimensionUniqueName="[PT Q1]" displayFolder="" count="0" memberValueDatatype="20" unbalanced="0"/>
    <cacheHierarchy uniqueName="[PT Q1].[Health Insurance Yes Flag]" caption="Health Insurance Yes Flag" attribute="1" defaultMemberUniqueName="[PT Q1].[Health Insurance Yes Flag].[All]" allUniqueName="[PT Q1].[Health Insurance Yes Flag].[All]" dimensionUniqueName="[PT Q1]" displayFolder="" count="0" memberValueDatatype="20" unbalanced="0"/>
    <cacheHierarchy uniqueName="[PT Q1].[Health Insurance No Flag]" caption="Health Insurance No Flag" attribute="1" defaultMemberUniqueName="[PT Q1].[Health Insurance No Flag].[All]" allUniqueName="[PT Q1].[Health Insurance No Flag].[All]" dimensionUniqueName="[PT Q1]" displayFolder="" count="0" memberValueDatatype="20" unbalanced="0"/>
    <cacheHierarchy uniqueName="[PT Q1].[Health Insurance In the Past Flag]" caption="Health Insurance In the Past Flag" attribute="1" defaultMemberUniqueName="[PT Q1].[Health Insurance In the Past Flag].[All]" allUniqueName="[PT Q1].[Health Insurance In the Past Flag].[All]" dimensionUniqueName="[PT Q1]" displayFolder="" count="0" memberValueDatatype="20" unbalanced="0"/>
    <cacheHierarchy uniqueName="[PT Q1].[Medicare Flag]" caption="Medicare Flag" attribute="1" defaultMemberUniqueName="[PT Q1].[Medicare Flag].[All]" allUniqueName="[PT Q1].[Medicare Flag].[All]" dimensionUniqueName="[PT Q1]" displayFolder="" count="0" memberValueDatatype="20" unbalanced="0"/>
    <cacheHierarchy uniqueName="[PT Q1].[Medicaid Flag]" caption="Medicaid Flag" attribute="1" defaultMemberUniqueName="[PT Q1].[Medicaid Flag].[All]" allUniqueName="[PT Q1].[Medicaid Flag].[All]" dimensionUniqueName="[PT Q1]" displayFolder="" count="0" memberValueDatatype="20" unbalanced="0"/>
    <cacheHierarchy uniqueName="[PT Q1].[Private/Commercial Flag]" caption="Private/Commercial Flag" attribute="1" defaultMemberUniqueName="[PT Q1].[Private/Commercial Flag].[All]" allUniqueName="[PT Q1].[Private/Commercial Flag].[All]" dimensionUniqueName="[PT Q1]" displayFolder="" count="0" memberValueDatatype="20" unbalanced="0"/>
    <cacheHierarchy uniqueName="[PT Q1].[No Insurance Flag]" caption="No Insurance Flag" attribute="1" defaultMemberUniqueName="[PT Q1].[No Insurance Flag].[All]" allUniqueName="[PT Q1].[No Insurance Flag].[All]" dimensionUniqueName="[PT Q1]" displayFolder="" count="0" memberValueDatatype="20" unbalanced="0"/>
    <cacheHierarchy uniqueName="[PT Q1 1].[RespondentID]" caption="RespondentID" attribute="1" defaultMemberUniqueName="[PT Q1 1].[RespondentID].[All]" allUniqueName="[PT Q1 1].[RespondentID].[All]" dimensionUniqueName="[PT Q1 1]" displayFolder="" count="0" memberValueDatatype="5" unbalanced="0"/>
    <cacheHierarchy uniqueName="[PT Q1 1].[Asthma/lung disease]" caption="Asthma/lung disease" attribute="1" defaultMemberUniqueName="[PT Q1 1].[Asthma/lung disease].[All]" allUniqueName="[PT Q1 1].[Asthma/lung disease].[All]" dimensionUniqueName="[PT Q1 1]" displayFolder="" count="0" memberValueDatatype="130" unbalanced="0"/>
    <cacheHierarchy uniqueName="[PT Q1 1].[Cancer]" caption="Cancer" attribute="1" defaultMemberUniqueName="[PT Q1 1].[Cancer].[All]" allUniqueName="[PT Q1 1].[Cancer].[All]" dimensionUniqueName="[PT Q1 1]" displayFolder="" count="0" memberValueDatatype="130" unbalanced="0"/>
    <cacheHierarchy uniqueName="[PT Q1 1].[Heart disease &amp; stroke]" caption="Heart disease &amp; stroke" attribute="1" defaultMemberUniqueName="[PT Q1 1].[Heart disease &amp; stroke].[All]" allUniqueName="[PT Q1 1].[Heart disease &amp; stroke].[All]" dimensionUniqueName="[PT Q1 1]" displayFolder="" count="0" memberValueDatatype="130" unbalanced="0"/>
    <cacheHierarchy uniqueName="[PT Q1 1].[Safety]" caption="Safety" attribute="1" defaultMemberUniqueName="[PT Q1 1].[Safety].[All]" allUniqueName="[PT Q1 1].[Safety].[All]" dimensionUniqueName="[PT Q1 1]" displayFolder="" count="0" memberValueDatatype="130" unbalanced="0"/>
    <cacheHierarchy uniqueName="[PT Q1 1].[HIV/AIDS &amp; Sexually Transmitted Diseases (STDs)]" caption="HIV/AIDS &amp; Sexually Transmitted Diseases (STDs)" attribute="1" defaultMemberUniqueName="[PT Q1 1].[HIV/AIDS &amp; Sexually Transmitted Diseases (STDs)].[All]" allUniqueName="[PT Q1 1].[HIV/AIDS &amp; Sexually Transmitted Diseases (STDs)].[All]" dimensionUniqueName="[PT Q1 1]" displayFolder="" count="0" memberValueDatatype="130" unbalanced="0"/>
    <cacheHierarchy uniqueName="[PT Q1 1].[Vaccine preventable diseases]" caption="Vaccine preventable diseases" attribute="1" defaultMemberUniqueName="[PT Q1 1].[Vaccine preventable diseases].[All]" allUniqueName="[PT Q1 1].[Vaccine preventable diseases].[All]" dimensionUniqueName="[PT Q1 1]" displayFolder="" count="0" memberValueDatatype="130" unbalanced="0"/>
    <cacheHierarchy uniqueName="[PT Q1 1].[Child health &amp; wellness]" caption="Child health &amp; wellness" attribute="1" defaultMemberUniqueName="[PT Q1 1].[Child health &amp; wellness].[All]" allUniqueName="[PT Q1 1].[Child health &amp; wellness].[All]" dimensionUniqueName="[PT Q1 1]" displayFolder="" count="0" memberValueDatatype="130" unbalanced="0"/>
    <cacheHierarchy uniqueName="[PT Q1 1].[Women’s health &amp; wellness]" caption="Women’s health &amp; wellness" attribute="1" defaultMemberUniqueName="[PT Q1 1].[Women’s health &amp; wellness].[All]" allUniqueName="[PT Q1 1].[Women’s health &amp; wellness].[All]" dimensionUniqueName="[PT Q1 1]" displayFolder="" count="0" memberValueDatatype="130" unbalanced="0"/>
    <cacheHierarchy uniqueName="[PT Q1 1].[Diabetes]" caption="Diabetes" attribute="1" defaultMemberUniqueName="[PT Q1 1].[Diabetes].[All]" allUniqueName="[PT Q1 1].[Diabetes].[All]" dimensionUniqueName="[PT Q1 1]" displayFolder="" count="0" memberValueDatatype="130" unbalanced="0"/>
    <cacheHierarchy uniqueName="[PT Q1 1].[Mental health depression/suicide]" caption="Mental health depression/suicide" attribute="1" defaultMemberUniqueName="[PT Q1 1].[Mental health depression/suicide].[All]" allUniqueName="[PT Q1 1].[Mental health depression/suicide].[All]" dimensionUniqueName="[PT Q1 1]" displayFolder="" count="0" memberValueDatatype="130" unbalanced="0"/>
    <cacheHierarchy uniqueName="[PT Q1 1].[Drugs &amp; alcohol abuse]" caption="Drugs &amp; alcohol abuse" attribute="1" defaultMemberUniqueName="[PT Q1 1].[Drugs &amp; alcohol abuse].[All]" allUniqueName="[PT Q1 1].[Drugs &amp; alcohol abuse].[All]" dimensionUniqueName="[PT Q1 1]" displayFolder="" count="0" memberValueDatatype="130" unbalanced="0"/>
    <cacheHierarchy uniqueName="[PT Q1 1].[Environmental hazards]" caption="Environmental hazards" attribute="1" defaultMemberUniqueName="[PT Q1 1].[Environmental hazards].[All]" allUniqueName="[PT Q1 1].[Environmental hazards].[All]" dimensionUniqueName="[PT Q1 1]" displayFolder="" count="0" memberValueDatatype="130" unbalanced="0"/>
    <cacheHierarchy uniqueName="[PT Q1 1].[Obesity/weight loss issues]" caption="Obesity/weight loss issues" attribute="1" defaultMemberUniqueName="[PT Q1 1].[Obesity/weight loss issues].[All]" allUniqueName="[PT Q1 1].[Obesity/weight loss issues].[All]" dimensionUniqueName="[PT Q1 1]" displayFolder="" count="0" memberValueDatatype="130" unbalanced="0"/>
    <cacheHierarchy uniqueName="[PT Q1 1].[Column1]" caption="Column1" attribute="1" defaultMemberUniqueName="[PT Q1 1].[Column1].[All]" allUniqueName="[PT Q1 1].[Column1].[All]" dimensionUniqueName="[PT Q1 1]" displayFolder="" count="0" memberValueDatatype="130" unbalanced="0"/>
    <cacheHierarchy uniqueName="[PT Q1 1].[Count of Selection]" caption="Count of Selection" attribute="1" defaultMemberUniqueName="[PT Q1 1].[Count of Selection].[All]" allUniqueName="[PT Q1 1].[Count of Selection].[All]" dimensionUniqueName="[PT Q1 1]" displayFolder="" count="0" memberValueDatatype="20" unbalanced="0"/>
    <cacheHierarchy uniqueName="[PT Q1 1].[Weight]" caption="Weight" attribute="1" defaultMemberUniqueName="[PT Q1 1].[Weight].[All]" allUniqueName="[PT Q1 1].[Weight].[All]" dimensionUniqueName="[PT Q1 1]" displayFolder="" count="0" memberValueDatatype="130" unbalanced="0"/>
    <cacheHierarchy uniqueName="[PT Q1 1].[Column2]" caption="Column2" attribute="1" defaultMemberUniqueName="[PT Q1 1].[Column2].[All]" allUniqueName="[PT Q1 1].[Column2].[All]" dimensionUniqueName="[PT Q1 1]" displayFolder="" count="0" memberValueDatatype="130" unbalanced="0"/>
    <cacheHierarchy uniqueName="[PT Q1 1].[Asthma/lung disease3]" caption="Asthma/lung disease3" attribute="1" defaultMemberUniqueName="[PT Q1 1].[Asthma/lung disease3].[All]" allUniqueName="[PT Q1 1].[Asthma/lung disease3].[All]" dimensionUniqueName="[PT Q1 1]" displayFolder="" count="0" memberValueDatatype="5" unbalanced="0"/>
    <cacheHierarchy uniqueName="[PT Q1 1].[Cancer4]" caption="Cancer4" attribute="1" defaultMemberUniqueName="[PT Q1 1].[Cancer4].[All]" allUniqueName="[PT Q1 1].[Cancer4].[All]" dimensionUniqueName="[PT Q1 1]" displayFolder="" count="0" memberValueDatatype="5" unbalanced="0"/>
    <cacheHierarchy uniqueName="[PT Q1 1].[Heart disease &amp; stroke5]" caption="Heart disease &amp; stroke5" attribute="1" defaultMemberUniqueName="[PT Q1 1].[Heart disease &amp; stroke5].[All]" allUniqueName="[PT Q1 1].[Heart disease &amp; stroke5].[All]" dimensionUniqueName="[PT Q1 1]" displayFolder="" count="0" memberValueDatatype="5" unbalanced="0"/>
    <cacheHierarchy uniqueName="[PT Q1 1].[Safety6]" caption="Safety6" attribute="1" defaultMemberUniqueName="[PT Q1 1].[Safety6].[All]" allUniqueName="[PT Q1 1].[Safety6].[All]" dimensionUniqueName="[PT Q1 1]" displayFolder="" count="0" memberValueDatatype="5" unbalanced="0"/>
    <cacheHierarchy uniqueName="[PT Q1 1].[HIV/AIDS &amp; Sexually Transmitted Diseases (STDs)7]" caption="HIV/AIDS &amp; Sexually Transmitted Diseases (STDs)7" attribute="1" defaultMemberUniqueName="[PT Q1 1].[HIV/AIDS &amp; Sexually Transmitted Diseases (STDs)7].[All]" allUniqueName="[PT Q1 1].[HIV/AIDS &amp; Sexually Transmitted Diseases (STDs)7].[All]" dimensionUniqueName="[PT Q1 1]" displayFolder="" count="0" memberValueDatatype="5" unbalanced="0"/>
    <cacheHierarchy uniqueName="[PT Q1 1].[Vaccine preventable diseases8]" caption="Vaccine preventable diseases8" attribute="1" defaultMemberUniqueName="[PT Q1 1].[Vaccine preventable diseases8].[All]" allUniqueName="[PT Q1 1].[Vaccine preventable diseases8].[All]" dimensionUniqueName="[PT Q1 1]" displayFolder="" count="0" memberValueDatatype="5" unbalanced="0"/>
    <cacheHierarchy uniqueName="[PT Q1 1].[Child health &amp; wellness9]" caption="Child health &amp; wellness9" attribute="1" defaultMemberUniqueName="[PT Q1 1].[Child health &amp; wellness9].[All]" allUniqueName="[PT Q1 1].[Child health &amp; wellness9].[All]" dimensionUniqueName="[PT Q1 1]" displayFolder="" count="0" memberValueDatatype="5" unbalanced="0"/>
    <cacheHierarchy uniqueName="[PT Q1 1].[Women’s health &amp; wellness10]" caption="Women’s health &amp; wellness10" attribute="1" defaultMemberUniqueName="[PT Q1 1].[Women’s health &amp; wellness10].[All]" allUniqueName="[PT Q1 1].[Women’s health &amp; wellness10].[All]" dimensionUniqueName="[PT Q1 1]" displayFolder="" count="0" memberValueDatatype="5" unbalanced="0"/>
    <cacheHierarchy uniqueName="[PT Q1 1].[Diabetes11]" caption="Diabetes11" attribute="1" defaultMemberUniqueName="[PT Q1 1].[Diabetes11].[All]" allUniqueName="[PT Q1 1].[Diabetes11].[All]" dimensionUniqueName="[PT Q1 1]" displayFolder="" count="0" memberValueDatatype="5" unbalanced="0"/>
    <cacheHierarchy uniqueName="[PT Q1 1].[Mental health depression/suicide12]" caption="Mental health depression/suicide12" attribute="1" defaultMemberUniqueName="[PT Q1 1].[Mental health depression/suicide12].[All]" allUniqueName="[PT Q1 1].[Mental health depression/suicide12].[All]" dimensionUniqueName="[PT Q1 1]" displayFolder="" count="0" memberValueDatatype="5" unbalanced="0"/>
    <cacheHierarchy uniqueName="[PT Q1 1].[Drugs &amp; alcohol abuse13]" caption="Drugs &amp; alcohol abuse13" attribute="1" defaultMemberUniqueName="[PT Q1 1].[Drugs &amp; alcohol abuse13].[All]" allUniqueName="[PT Q1 1].[Drugs &amp; alcohol abuse13].[All]" dimensionUniqueName="[PT Q1 1]" displayFolder="" count="0" memberValueDatatype="5" unbalanced="0"/>
    <cacheHierarchy uniqueName="[PT Q1 1].[Environmental hazards14]" caption="Environmental hazards14" attribute="1" defaultMemberUniqueName="[PT Q1 1].[Environmental hazards14].[All]" allUniqueName="[PT Q1 1].[Environmental hazards14].[All]" dimensionUniqueName="[PT Q1 1]" displayFolder="" count="0" memberValueDatatype="5" unbalanced="0"/>
    <cacheHierarchy uniqueName="[PT Q1 1].[Obesity/weight loss issues15]" caption="Obesity/weight loss issues15" attribute="1" defaultMemberUniqueName="[PT Q1 1].[Obesity/weight loss issues15].[All]" allUniqueName="[PT Q1 1].[Obesity/weight loss issues15].[All]" dimensionUniqueName="[PT Q1 1]" displayFolder="" count="0" memberValueDatatype="5" unbalanced="0"/>
    <cacheHierarchy uniqueName="[PT Q1 1].[Column3]" caption="Column3" attribute="1" defaultMemberUniqueName="[PT Q1 1].[Column3].[All]" allUniqueName="[PT Q1 1].[Column3].[All]" dimensionUniqueName="[PT Q1 1]" displayFolder="" count="0" memberValueDatatype="130" unbalanced="0"/>
    <cacheHierarchy uniqueName="[PT Q1 1].[Column4]" caption="Column4" attribute="1" defaultMemberUniqueName="[PT Q1 1].[Column4].[All]" allUniqueName="[PT Q1 1].[Column4].[All]" dimensionUniqueName="[PT Q1 1]" displayFolder="" count="0" memberValueDatatype="130" unbalanced="0"/>
    <cacheHierarchy uniqueName="[PT Q1 1].[Observed]" caption="Observed" attribute="1" defaultMemberUniqueName="[PT Q1 1].[Observed].[All]" allUniqueName="[PT Q1 1].[Observed].[All]" dimensionUniqueName="[PT Q1 1]" displayFolder="" count="0" memberValueDatatype="5" unbalanced="0"/>
    <cacheHierarchy uniqueName="[PT Q1 1].[Expected]" caption="Expected" attribute="1" defaultMemberUniqueName="[PT Q1 1].[Expected].[All]" allUniqueName="[PT Q1 1].[Expected].[All]" dimensionUniqueName="[PT Q1 1]" displayFolder="" count="0" memberValueDatatype="20" unbalanced="0"/>
    <cacheHierarchy uniqueName="[PT Q1 1].[Column18]" caption="Column18" attribute="1" defaultMemberUniqueName="[PT Q1 1].[Column18].[All]" allUniqueName="[PT Q1 1].[Column18].[All]" dimensionUniqueName="[PT Q1 1]" displayFolder="" count="0" memberValueDatatype="130" unbalanced="0"/>
    <cacheHierarchy uniqueName="[PT Q1 1].[Column5]" caption="Column5" attribute="1" defaultMemberUniqueName="[PT Q1 1].[Column5].[All]" allUniqueName="[PT Q1 1].[Column5].[All]" dimensionUniqueName="[PT Q1 1]" displayFolder="" count="0" memberValueDatatype="130" unbalanced="0"/>
    <cacheHierarchy uniqueName="[PT Q1 1].[I identify as:]" caption="I identify as:" attribute="1" defaultMemberUniqueName="[PT Q1 1].[I identify as:].[All]" allUniqueName="[PT Q1 1].[I identify as:].[All]" dimensionUniqueName="[PT Q1 1]" displayFolder="" count="0" memberValueDatatype="130" unbalanced="0"/>
    <cacheHierarchy uniqueName="[PT Q1 1].[What is your age?]" caption="What is your age?" attribute="1" defaultMemberUniqueName="[PT Q1 1].[What is your age?].[All]" allUniqueName="[PT Q1 1].[What is your age?].[All]" dimensionUniqueName="[PT Q1 1]" displayFolder="" count="0" memberValueDatatype="20" unbalanced="0"/>
    <cacheHierarchy uniqueName="[PT Q1 1].[County where you live:]" caption="County where you live:" attribute="1" defaultMemberUniqueName="[PT Q1 1].[County where you live:].[All]" allUniqueName="[PT Q1 1].[County where you live:].[All]" dimensionUniqueName="[PT Q1 1]" displayFolder="" count="0" memberValueDatatype="130" unbalanced="0"/>
    <cacheHierarchy uniqueName="[PT Q1 1].[Town and ZIP code where you live:]" caption="Town and ZIP code where you live:" attribute="1" defaultMemberUniqueName="[PT Q1 1].[Town and ZIP code where you live:].[All]" allUniqueName="[PT Q1 1].[Town and ZIP code where you live:].[All]" dimensionUniqueName="[PT Q1 1]" displayFolder="" count="0" memberValueDatatype="130" unbalanced="0"/>
    <cacheHierarchy uniqueName="[PT Q1 1].[What race do you consider yourself?]" caption="What race do you consider yourself?" attribute="1" defaultMemberUniqueName="[PT Q1 1].[What race do you consider yourself?].[All]" allUniqueName="[PT Q1 1].[What race do you consider yourself?].[All]" dimensionUniqueName="[PT Q1 1]" displayFolder="" count="0" memberValueDatatype="130" unbalanced="0"/>
    <cacheHierarchy uniqueName="[PT Q1 1].[Are you Hispanic or Latino?]" caption="Are you Hispanic or Latino?" attribute="1" defaultMemberUniqueName="[PT Q1 1].[Are you Hispanic or Latino?].[All]" allUniqueName="[PT Q1 1].[Are you Hispanic or Latino?].[All]" dimensionUniqueName="[PT Q1 1]" displayFolder="" count="0" memberValueDatatype="130" unbalanced="0"/>
    <cacheHierarchy uniqueName="[PT Q1 1].[What language do you speak when you are at home (select all that apply)]" caption="What language do you speak when you are at home (select all that apply)" attribute="1" defaultMemberUniqueName="[PT Q1 1].[What language do you speak when you are at home (select all that apply)].[All]" allUniqueName="[PT Q1 1].[What language do you speak when you are at home (select all that apply)].[All]" dimensionUniqueName="[PT Q1 1]" displayFolder="" count="0" memberValueDatatype="130" unbalanced="0"/>
    <cacheHierarchy uniqueName="[PT Q1 1].[What is your annual household income from all sources?]" caption="What is your annual household income from all sources?" attribute="1" defaultMemberUniqueName="[PT Q1 1].[What is your annual household income from all sources?].[All]" allUniqueName="[PT Q1 1].[What is your annual household income from all sources?].[All]" dimensionUniqueName="[PT Q1 1]" displayFolder="" count="0" memberValueDatatype="130" unbalanced="0"/>
    <cacheHierarchy uniqueName="[PT Q1 1].[What is your highest level of education?]" caption="What is your highest level of education?" attribute="1" defaultMemberUniqueName="[PT Q1 1].[What is your highest level of education?].[All]" allUniqueName="[PT Q1 1].[What is your highest level of education?].[All]" dimensionUniqueName="[PT Q1 1]" displayFolder="" count="0" memberValueDatatype="130" unbalanced="0"/>
    <cacheHierarchy uniqueName="[PT Q1 1].[What is your current employment status?]" caption="What is your current employment status?" attribute="1" defaultMemberUniqueName="[PT Q1 1].[What is your current employment status?].[All]" allUniqueName="[PT Q1 1].[What is your current employment status?].[All]" dimensionUniqueName="[PT Q1 1]" displayFolder="" count="0" memberValueDatatype="130" unbalanced="0"/>
    <cacheHierarchy uniqueName="[PT Q1 1].[Do you currently have health insurance?]" caption="Do you currently have health insurance?" attribute="1" defaultMemberUniqueName="[PT Q1 1].[Do you currently have health insurance?].[All]" allUniqueName="[PT Q1 1].[Do you currently have health insurance?].[All]" dimensionUniqueName="[PT Q1 1]" displayFolder="" count="0" memberValueDatatype="130" unbalanced="0"/>
    <cacheHierarchy uniqueName="[PT Q1 1].[What type of insurance do you have?]" caption="What type of insurance do you have?" attribute="1" defaultMemberUniqueName="[PT Q1 1].[What type of insurance do you have?].[All]" allUniqueName="[PT Q1 1].[What type of insurance do you have?].[All]" dimensionUniqueName="[PT Q1 1]" displayFolder="" count="0" memberValueDatatype="130" unbalanced="0"/>
    <cacheHierarchy uniqueName="[PT Q1 1].[Do you have access to reliable internet in your home?]" caption="Do you have access to reliable internet in your home?" attribute="1" defaultMemberUniqueName="[PT Q1 1].[Do you have access to reliable internet in your home?].[All]" allUniqueName="[PT Q1 1].[Do you have access to reliable internet in your home?].[All]" dimensionUniqueName="[PT Q1 1]" displayFolder="" count="0" memberValueDatatype="130" unbalanced="0"/>
    <cacheHierarchy uniqueName="[PT Q1 1].[Female Flag]" caption="Female Flag" attribute="1" defaultMemberUniqueName="[PT Q1 1].[Female Flag].[All]" allUniqueName="[PT Q1 1].[Female Flag].[All]" dimensionUniqueName="[PT Q1 1]" displayFolder="" count="0" memberValueDatatype="20" unbalanced="0"/>
    <cacheHierarchy uniqueName="[PT Q1 1].[Male Flag]" caption="Male Flag" attribute="1" defaultMemberUniqueName="[PT Q1 1].[Male Flag].[All]" allUniqueName="[PT Q1 1].[Male Flag].[All]" dimensionUniqueName="[PT Q1 1]" displayFolder="" count="0" memberValueDatatype="20" unbalanced="0"/>
    <cacheHierarchy uniqueName="[PT Q1 1].[Other Flag]" caption="Other Flag" attribute="1" defaultMemberUniqueName="[PT Q1 1].[Other Flag].[All]" allUniqueName="[PT Q1 1].[Other Flag].[All]" dimensionUniqueName="[PT Q1 1]" displayFolder="" count="0" memberValueDatatype="20" unbalanced="0"/>
    <cacheHierarchy uniqueName="[PT Q1 1].[Hispanic Flag]" caption="Hispanic Flag" attribute="1" defaultMemberUniqueName="[PT Q1 1].[Hispanic Flag].[All]" allUniqueName="[PT Q1 1].[Hispanic Flag].[All]" dimensionUniqueName="[PT Q1 1]" displayFolder="" count="0" memberValueDatatype="20" unbalanced="0"/>
    <cacheHierarchy uniqueName="[PT Q1 1].[White/Caucasian Flag]" caption="White/Caucasian Flag" attribute="1" defaultMemberUniqueName="[PT Q1 1].[White/Caucasian Flag].[All]" allUniqueName="[PT Q1 1].[White/Caucasian Flag].[All]" dimensionUniqueName="[PT Q1 1]" displayFolder="" count="0" memberValueDatatype="20" unbalanced="0"/>
    <cacheHierarchy uniqueName="[PT Q1 1].[Black/African American Flag]" caption="Black/African American Flag" attribute="1" defaultMemberUniqueName="[PT Q1 1].[Black/African American Flag].[All]" allUniqueName="[PT Q1 1].[Black/African American Flag].[All]" dimensionUniqueName="[PT Q1 1]" displayFolder="" count="0" memberValueDatatype="20" unbalanced="0"/>
    <cacheHierarchy uniqueName="[PT Q1 1].[Asian/Pacific Islander Flag]" caption="Asian/Pacific Islander Flag" attribute="1" defaultMemberUniqueName="[PT Q1 1].[Asian/Pacific Islander Flag].[All]" allUniqueName="[PT Q1 1].[Asian/Pacific Islander Flag].[All]" dimensionUniqueName="[PT Q1 1]" displayFolder="" count="0" memberValueDatatype="20" unbalanced="0"/>
    <cacheHierarchy uniqueName="[PT Q1 1].[Native American Flag]" caption="Native American Flag" attribute="1" defaultMemberUniqueName="[PT Q1 1].[Native American Flag].[All]" allUniqueName="[PT Q1 1].[Native American Flag].[All]" dimensionUniqueName="[PT Q1 1]" displayFolder="" count="0" memberValueDatatype="20" unbalanced="0"/>
    <cacheHierarchy uniqueName="[PT Q1 1].[Multi-racial Flag]" caption="Multi-racial Flag" attribute="1" defaultMemberUniqueName="[PT Q1 1].[Multi-racial Flag].[All]" allUniqueName="[PT Q1 1].[Multi-racial Flag].[All]" dimensionUniqueName="[PT Q1 1]" displayFolder="" count="0" memberValueDatatype="20" unbalanced="0"/>
    <cacheHierarchy uniqueName="[PT Q1 1].[Other Race Flag]" caption="Other Race Flag" attribute="1" defaultMemberUniqueName="[PT Q1 1].[Other Race Flag].[All]" allUniqueName="[PT Q1 1].[Other Race Flag].[All]" dimensionUniqueName="[PT Q1 1]" displayFolder="" count="0" memberValueDatatype="20" unbalanced="0"/>
    <cacheHierarchy uniqueName="[PT Q1 1].[$0-$19,999 Flag]" caption="$0-$19,999 Flag" attribute="1" defaultMemberUniqueName="[PT Q1 1].[$0-$19,999 Flag].[All]" allUniqueName="[PT Q1 1].[$0-$19,999 Flag].[All]" dimensionUniqueName="[PT Q1 1]" displayFolder="" count="0" memberValueDatatype="20" unbalanced="0"/>
    <cacheHierarchy uniqueName="[PT Q1 1].[$20,000 to $34,999 Flag]" caption="$20,000 to $34,999 Flag" attribute="1" defaultMemberUniqueName="[PT Q1 1].[$20,000 to $34,999 Flag].[All]" allUniqueName="[PT Q1 1].[$20,000 to $34,999 Flag].[All]" dimensionUniqueName="[PT Q1 1]" displayFolder="" count="0" memberValueDatatype="20" unbalanced="0"/>
    <cacheHierarchy uniqueName="[PT Q1 1].[$35,000 to $49,999 Flag]" caption="$35,000 to $49,999 Flag" attribute="1" defaultMemberUniqueName="[PT Q1 1].[$35,000 to $49,999 Flag].[All]" allUniqueName="[PT Q1 1].[$35,000 to $49,999 Flag].[All]" dimensionUniqueName="[PT Q1 1]" displayFolder="" count="0" memberValueDatatype="20" unbalanced="0"/>
    <cacheHierarchy uniqueName="[PT Q1 1].[$50,000 to $74,999 Flag]" caption="$50,000 to $74,999 Flag" attribute="1" defaultMemberUniqueName="[PT Q1 1].[$50,000 to $74,999 Flag].[All]" allUniqueName="[PT Q1 1].[$50,000 to $74,999 Flag].[All]" dimensionUniqueName="[PT Q1 1]" displayFolder="" count="0" memberValueDatatype="20" unbalanced="0"/>
    <cacheHierarchy uniqueName="[PT Q1 1].[$75,000 to $125,000 Flag]" caption="$75,000 to $125,000 Flag" attribute="1" defaultMemberUniqueName="[PT Q1 1].[$75,000 to $125,000 Flag].[All]" allUniqueName="[PT Q1 1].[$75,000 to $125,000 Flag].[All]" dimensionUniqueName="[PT Q1 1]" displayFolder="" count="0" memberValueDatatype="20" unbalanced="0"/>
    <cacheHierarchy uniqueName="[PT Q1 1].[Over $125,000 Flag]" caption="Over $125,000 Flag" attribute="1" defaultMemberUniqueName="[PT Q1 1].[Over $125,000 Flag].[All]" allUniqueName="[PT Q1 1].[Over $125,000 Flag].[All]" dimensionUniqueName="[PT Q1 1]" displayFolder="" count="0" memberValueDatatype="20" unbalanced="0"/>
    <cacheHierarchy uniqueName="[PT Q1 1].[18-24 Flag]" caption="18-24 Flag" attribute="1" defaultMemberUniqueName="[PT Q1 1].[18-24 Flag].[All]" allUniqueName="[PT Q1 1].[18-24 Flag].[All]" dimensionUniqueName="[PT Q1 1]" displayFolder="" count="0" memberValueDatatype="20" unbalanced="0"/>
    <cacheHierarchy uniqueName="[PT Q1 1].[25-34 Flag]" caption="25-34 Flag" attribute="1" defaultMemberUniqueName="[PT Q1 1].[25-34 Flag].[All]" allUniqueName="[PT Q1 1].[25-34 Flag].[All]" dimensionUniqueName="[PT Q1 1]" displayFolder="" count="0" memberValueDatatype="20" unbalanced="0"/>
    <cacheHierarchy uniqueName="[PT Q1 1].[35-44 Flag]" caption="35-44 Flag" attribute="1" defaultMemberUniqueName="[PT Q1 1].[35-44 Flag].[All]" allUniqueName="[PT Q1 1].[35-44 Flag].[All]" dimensionUniqueName="[PT Q1 1]" displayFolder="" count="0" memberValueDatatype="20" unbalanced="0"/>
    <cacheHierarchy uniqueName="[PT Q1 1].[45-54 Flag]" caption="45-54 Flag" attribute="1" defaultMemberUniqueName="[PT Q1 1].[45-54 Flag].[All]" allUniqueName="[PT Q1 1].[45-54 Flag].[All]" dimensionUniqueName="[PT Q1 1]" displayFolder="" count="0" memberValueDatatype="20" unbalanced="0"/>
    <cacheHierarchy uniqueName="[PT Q1 1].[55-64 Flag]" caption="55-64 Flag" attribute="1" defaultMemberUniqueName="[PT Q1 1].[55-64 Flag].[All]" allUniqueName="[PT Q1 1].[55-64 Flag].[All]" dimensionUniqueName="[PT Q1 1]" displayFolder="" count="0" memberValueDatatype="20" unbalanced="0"/>
    <cacheHierarchy uniqueName="[PT Q1 1].[65+ Flag]" caption="65+ Flag" attribute="1" defaultMemberUniqueName="[PT Q1 1].[65+ Flag].[All]" allUniqueName="[PT Q1 1].[65+ Flag].[All]" dimensionUniqueName="[PT Q1 1]" displayFolder="" count="0" memberValueDatatype="20" unbalanced="0"/>
    <cacheHierarchy uniqueName="[PT Q1 1].[K-8th Flag]" caption="K-8th Flag" attribute="1" defaultMemberUniqueName="[PT Q1 1].[K-8th Flag].[All]" allUniqueName="[PT Q1 1].[K-8th Flag].[All]" dimensionUniqueName="[PT Q1 1]" displayFolder="" count="0" memberValueDatatype="20" unbalanced="0"/>
    <cacheHierarchy uniqueName="[PT Q1 1].[Some high school Flag]" caption="Some high school Flag" attribute="1" defaultMemberUniqueName="[PT Q1 1].[Some high school Flag].[All]" allUniqueName="[PT Q1 1].[Some high school Flag].[All]" dimensionUniqueName="[PT Q1 1]" displayFolder="" count="0" memberValueDatatype="20" unbalanced="0"/>
    <cacheHierarchy uniqueName="[PT Q1 1].[High school graduate Flag]" caption="High school graduate Flag" attribute="1" defaultMemberUniqueName="[PT Q1 1].[High school graduate Flag].[All]" allUniqueName="[PT Q1 1].[High school graduate Flag].[All]" dimensionUniqueName="[PT Q1 1]" displayFolder="" count="0" memberValueDatatype="20" unbalanced="0"/>
    <cacheHierarchy uniqueName="[PT Q1 1].[Technical school Flag]" caption="Technical school Flag" attribute="1" defaultMemberUniqueName="[PT Q1 1].[Technical school Flag].[All]" allUniqueName="[PT Q1 1].[Technical school Flag].[All]" dimensionUniqueName="[PT Q1 1]" displayFolder="" count="0" memberValueDatatype="20" unbalanced="0"/>
    <cacheHierarchy uniqueName="[PT Q1 1].[Some college Flag]" caption="Some college Flag" attribute="1" defaultMemberUniqueName="[PT Q1 1].[Some college Flag].[All]" allUniqueName="[PT Q1 1].[Some college Flag].[All]" dimensionUniqueName="[PT Q1 1]" displayFolder="" count="0" memberValueDatatype="20" unbalanced="0"/>
    <cacheHierarchy uniqueName="[PT Q1 1].[College graduate Flag]" caption="College graduate Flag" attribute="1" defaultMemberUniqueName="[PT Q1 1].[College graduate Flag].[All]" allUniqueName="[PT Q1 1].[College graduate Flag].[All]" dimensionUniqueName="[PT Q1 1]" displayFolder="" count="0" memberValueDatatype="20" unbalanced="0"/>
    <cacheHierarchy uniqueName="[PT Q1 1].[Graduate school Flag]" caption="Graduate school Flag" attribute="1" defaultMemberUniqueName="[PT Q1 1].[Graduate school Flag].[All]" allUniqueName="[PT Q1 1].[Graduate school Flag].[All]" dimensionUniqueName="[PT Q1 1]" displayFolder="" count="0" memberValueDatatype="20" unbalanced="0"/>
    <cacheHierarchy uniqueName="[PT Q1 1].[Doctorate Flag]" caption="Doctorate Flag" attribute="1" defaultMemberUniqueName="[PT Q1 1].[Doctorate Flag].[All]" allUniqueName="[PT Q1 1].[Doctorate Flag].[All]" dimensionUniqueName="[PT Q1 1]" displayFolder="" count="0" memberValueDatatype="20" unbalanced="0"/>
    <cacheHierarchy uniqueName="[PT Q1 1].[GED Flag]" caption="GED Flag" attribute="1" defaultMemberUniqueName="[PT Q1 1].[GED Flag].[All]" allUniqueName="[PT Q1 1].[GED Flag].[All]" dimensionUniqueName="[PT Q1 1]" displayFolder="" count="0" memberValueDatatype="20" unbalanced="0"/>
    <cacheHierarchy uniqueName="[PT Q1 1].[None Flag]" caption="None Flag" attribute="1" defaultMemberUniqueName="[PT Q1 1].[None Flag].[All]" allUniqueName="[PT Q1 1].[None Flag].[All]" dimensionUniqueName="[PT Q1 1]" displayFolder="" count="0" memberValueDatatype="20" unbalanced="0"/>
    <cacheHierarchy uniqueName="[PT Q1 1].[Employed for Wages Flag]" caption="Employed for Wages Flag" attribute="1" defaultMemberUniqueName="[PT Q1 1].[Employed for Wages Flag].[All]" allUniqueName="[PT Q1 1].[Employed for Wages Flag].[All]" dimensionUniqueName="[PT Q1 1]" displayFolder="" count="0" memberValueDatatype="20" unbalanced="0"/>
    <cacheHierarchy uniqueName="[PT Q1 1].[Self-employed Flag]" caption="Self-employed Flag" attribute="1" defaultMemberUniqueName="[PT Q1 1].[Self-employed Flag].[All]" allUniqueName="[PT Q1 1].[Self-employed Flag].[All]" dimensionUniqueName="[PT Q1 1]" displayFolder="" count="0" memberValueDatatype="20" unbalanced="0"/>
    <cacheHierarchy uniqueName="[PT Q1 1].[Student Flag]" caption="Student Flag" attribute="1" defaultMemberUniqueName="[PT Q1 1].[Student Flag].[All]" allUniqueName="[PT Q1 1].[Student Flag].[All]" dimensionUniqueName="[PT Q1 1]" displayFolder="" count="0" memberValueDatatype="20" unbalanced="0"/>
    <cacheHierarchy uniqueName="[PT Q1 1].[Retired Flag]" caption="Retired Flag" attribute="1" defaultMemberUniqueName="[PT Q1 1].[Retired Flag].[All]" allUniqueName="[PT Q1 1].[Retired Flag].[All]" dimensionUniqueName="[PT Q1 1]" displayFolder="" count="0" memberValueDatatype="20" unbalanced="0"/>
    <cacheHierarchy uniqueName="[PT Q1 1].[Military Flag]" caption="Military Flag" attribute="1" defaultMemberUniqueName="[PT Q1 1].[Military Flag].[All]" allUniqueName="[PT Q1 1].[Military Flag].[All]" dimensionUniqueName="[PT Q1 1]" displayFolder="" count="0" memberValueDatatype="20" unbalanced="0"/>
    <cacheHierarchy uniqueName="[PT Q1 1].[Out of work and looking for work Flag]" caption="Out of work and looking for work Flag" attribute="1" defaultMemberUniqueName="[PT Q1 1].[Out of work and looking for work Flag].[All]" allUniqueName="[PT Q1 1].[Out of work and looking for work Flag].[All]" dimensionUniqueName="[PT Q1 1]" displayFolder="" count="0" memberValueDatatype="20" unbalanced="0"/>
    <cacheHierarchy uniqueName="[PT Q1 1].[Out of work, but not currently looking Flag]" caption="Out of work, but not currently looking Flag" attribute="1" defaultMemberUniqueName="[PT Q1 1].[Out of work, but not currently looking Flag].[All]" allUniqueName="[PT Q1 1].[Out of work, but not currently looking Flag].[All]" dimensionUniqueName="[PT Q1 1]" displayFolder="" count="0" memberValueDatatype="20" unbalanced="0"/>
    <cacheHierarchy uniqueName="[PT Q1 1].[Currently Insured Flag]" caption="Currently Insured Flag" attribute="1" defaultMemberUniqueName="[PT Q1 1].[Currently Insured Flag].[All]" allUniqueName="[PT Q1 1].[Currently Insured Flag].[All]" dimensionUniqueName="[PT Q1 1]" displayFolder="" count="0" memberValueDatatype="20" unbalanced="0"/>
    <cacheHierarchy uniqueName="[PT Q1 1].[Previously Insured Flag]" caption="Previously Insured Flag" attribute="1" defaultMemberUniqueName="[PT Q1 1].[Previously Insured Flag].[All]" allUniqueName="[PT Q1 1].[Previously Insured Flag].[All]" dimensionUniqueName="[PT Q1 1]" displayFolder="" count="0" memberValueDatatype="20" unbalanced="0"/>
    <cacheHierarchy uniqueName="[PT Q1 1].[Not Insured Flag]" caption="Not Insured Flag" attribute="1" defaultMemberUniqueName="[PT Q1 1].[Not Insured Flag].[All]" allUniqueName="[PT Q1 1].[Not Insured Flag].[All]" dimensionUniqueName="[PT Q1 1]" displayFolder="" count="0" memberValueDatatype="20" unbalanced="0"/>
    <cacheHierarchy uniqueName="[PT Q1 1].[Medicaid Flag]" caption="Medicaid Flag" attribute="1" defaultMemberUniqueName="[PT Q1 1].[Medicaid Flag].[All]" allUniqueName="[PT Q1 1].[Medicaid Flag].[All]" dimensionUniqueName="[PT Q1 1]" displayFolder="" count="0" memberValueDatatype="20" unbalanced="0"/>
    <cacheHierarchy uniqueName="[PT Q1 1].[Medicaid,Medicare Flag]" caption="Medicaid,Medicare Flag" attribute="1" defaultMemberUniqueName="[PT Q1 1].[Medicaid,Medicare Flag].[All]" allUniqueName="[PT Q1 1].[Medicaid,Medicare Flag].[All]" dimensionUniqueName="[PT Q1 1]" displayFolder="" count="0" memberValueDatatype="20" unbalanced="0"/>
    <cacheHierarchy uniqueName="[PT Q1 1].[Medicaid,Medicare,Private/Commercial Flag]" caption="Medicaid,Medicare,Private/Commercial Flag" attribute="1" defaultMemberUniqueName="[PT Q1 1].[Medicaid,Medicare,Private/Commercial Flag].[All]" allUniqueName="[PT Q1 1].[Medicaid,Medicare,Private/Commercial Flag].[All]" dimensionUniqueName="[PT Q1 1]" displayFolder="" count="0" memberValueDatatype="20" unbalanced="0"/>
    <cacheHierarchy uniqueName="[PT Q1 1].[Medicaid,Private/Commercial Flag]" caption="Medicaid,Private/Commercial Flag" attribute="1" defaultMemberUniqueName="[PT Q1 1].[Medicaid,Private/Commercial Flag].[All]" allUniqueName="[PT Q1 1].[Medicaid,Private/Commercial Flag].[All]" dimensionUniqueName="[PT Q1 1]" displayFolder="" count="0" memberValueDatatype="20" unbalanced="0"/>
    <cacheHierarchy uniqueName="[PT Q1 1].[Medicare Flag]" caption="Medicare Flag" attribute="1" defaultMemberUniqueName="[PT Q1 1].[Medicare Flag].[All]" allUniqueName="[PT Q1 1].[Medicare Flag].[All]" dimensionUniqueName="[PT Q1 1]" displayFolder="" count="0" memberValueDatatype="20" unbalanced="0"/>
    <cacheHierarchy uniqueName="[PT Q1 1].[Medicare,No Insurance Flag]" caption="Medicare,No Insurance Flag" attribute="1" defaultMemberUniqueName="[PT Q1 1].[Medicare,No Insurance Flag].[All]" allUniqueName="[PT Q1 1].[Medicare,No Insurance Flag].[All]" dimensionUniqueName="[PT Q1 1]" displayFolder="" count="0" memberValueDatatype="20" unbalanced="0"/>
    <cacheHierarchy uniqueName="[PT Q1 1].[Medicare,Private/Commercial Flag]" caption="Medicare,Private/Commercial Flag" attribute="1" defaultMemberUniqueName="[PT Q1 1].[Medicare,Private/Commercial Flag].[All]" allUniqueName="[PT Q1 1].[Medicare,Private/Commercial Flag].[All]" dimensionUniqueName="[PT Q1 1]" displayFolder="" count="0" memberValueDatatype="20" unbalanced="0"/>
    <cacheHierarchy uniqueName="[PT Q1 1].[No Insurance Flag]" caption="No Insurance Flag" attribute="1" defaultMemberUniqueName="[PT Q1 1].[No Insurance Flag].[All]" allUniqueName="[PT Q1 1].[No Insurance Flag].[All]" dimensionUniqueName="[PT Q1 1]" displayFolder="" count="0" memberValueDatatype="20" unbalanced="0"/>
    <cacheHierarchy uniqueName="[PT Q1 1].[Private/Commercial Flag]" caption="Private/Commercial Flag" attribute="1" defaultMemberUniqueName="[PT Q1 1].[Private/Commercial Flag].[All]" allUniqueName="[PT Q1 1].[Private/Commercial Flag].[All]" dimensionUniqueName="[PT Q1 1]" displayFolder="" count="0" memberValueDatatype="20" unbalanced="0"/>
    <cacheHierarchy uniqueName="[PT Q1 1].[Reliable Internet Flag]" caption="Reliable Internet Flag" attribute="1" defaultMemberUniqueName="[PT Q1 1].[Reliable Internet Flag].[All]" allUniqueName="[PT Q1 1].[Reliable Internet Flag].[All]" dimensionUniqueName="[PT Q1 1]" displayFolder="" count="0" memberValueDatatype="2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OTHER]" caption="OTHER" attribute="1" defaultMemberUniqueName="[PT Q2].[OTHER].[All]" allUniqueName="[PT Q2].[OTHER].[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5"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What type of insurance do you have?]" caption="What type of insurance do you have?" attribute="1" defaultMemberUniqueName="[PT Q2].[What type of insurance do you have?].[All]" allUniqueName="[PT Q2].[What type of insurance do you have?].[All]" dimensionUniqueName="[PT Q2]" displayFolder="" count="0" memberValueDatatype="130" unbalanced="0"/>
    <cacheHierarchy uniqueName="[PT Q2].[Do you have access to reliable internet in your home?]" caption="Do you have access to reliable internet in your home?" attribute="1" defaultMemberUniqueName="[PT Q2].[Do you have access to reliable internet in your home?].[All]" allUniqueName="[PT Q2].[Do you have access to reliable internet in your hom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immigration status)]" caption="Fear (e.g. not ready to face/discuss health problem; immigration status)" attribute="1" defaultMemberUniqueName="[PT Q3].[Fear (e.g. not ready to face/discuss health problem; immigration status)].[All]" allUniqueName="[PT Q3].[Fear (e.g. not ready to face/discuss health problem; immigration status)].[All]" dimensionUniqueName="[PT Q3]" displayFolder="" count="0" memberValueDatatype="130" unbalanced="0"/>
    <cacheHierarchy uniqueName="[PT Q3].[OTHER]" caption="OTHER" attribute="1" defaultMemberUniqueName="[PT Q3].[OTHER].[All]" allUniqueName="[PT Q3].[OTHER].[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immigration status)14]" caption="Fear (e.g. not ready to face/discuss health problem;immigration status)14" attribute="1" defaultMemberUniqueName="[PT Q3].[Fear (e.g. not ready to face/discuss health problem;immigration status)14].[All]" allUniqueName="[PT Q3].[Fear (e.g. not ready to face/discuss health problem;immigration status)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What type of insurance do you have?]" caption="What type of insurance do you have?" attribute="1" defaultMemberUniqueName="[PT Q3].[What type of insurance do you have?].[All]" allUniqueName="[PT Q3].[What type of insurance do you have?].[All]" dimensionUniqueName="[PT Q3]" displayFolder="" count="0" memberValueDatatype="130" unbalanced="0"/>
    <cacheHierarchy uniqueName="[PT Q3].[Do you have access to reliable internet in your home?]" caption="Do you have access to reliable internet in your home?" attribute="1" defaultMemberUniqueName="[PT Q3].[Do you have access to reliable internet in your home?].[All]" allUniqueName="[PT Q3].[Do you have access to reliable internet in your hom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OTHER]" caption="OTHER" attribute="1" defaultMemberUniqueName="[PT Q4].[OTHER].[All]" allUniqueName="[PT Q4].[OTHER].[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What type of insurance do you have?]" caption="What type of insurance do you have?" attribute="1" defaultMemberUniqueName="[PT Q4].[What type of insurance do you have?].[All]" allUniqueName="[PT Q4].[What type of insurance do you have?].[All]" dimensionUniqueName="[PT Q4]" displayFolder="" count="0" memberValueDatatype="130" unbalanced="0"/>
    <cacheHierarchy uniqueName="[PT Q4].[Do you have access to reliable internet in your home?]" caption="Do you have access to reliable internet in your home?" attribute="1" defaultMemberUniqueName="[PT Q4].[Do you have access to reliable internet in your home?].[All]" allUniqueName="[PT Q4].[Do you have access to reliable internet in your hom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OTHER]" caption="OTHER" attribute="1" defaultMemberUniqueName="[PT Q5].[OTHER].[All]" allUniqueName="[PT Q5].[OTHER].[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What type of insurance do you have?]" caption="What type of insurance do you have?" attribute="1" defaultMemberUniqueName="[PT Q5].[What type of insurance do you have?].[All]" allUniqueName="[PT Q5].[What type of insurance do you have?].[All]" dimensionUniqueName="[PT Q5]" displayFolder="" count="0" memberValueDatatype="130" unbalanced="0"/>
    <cacheHierarchy uniqueName="[PT Q5].[Do you have access to reliable internet in your home?]" caption="Do you have access to reliable internet in your home?" attribute="1" defaultMemberUniqueName="[PT Q5].[Do you have access to reliable internet in your home?].[All]" allUniqueName="[PT Q5].[Do you have access to reliable internet in your hom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What type of insurance do you have?]" caption="What type of insurance do you have?" attribute="1" defaultMemberUniqueName="[PT Q6].[What type of insurance do you have?].[All]" allUniqueName="[PT Q6].[What type of insurance do you have?].[All]" dimensionUniqueName="[PT Q6]" displayFolder="" count="0" memberValueDatatype="130" unbalanced="0"/>
    <cacheHierarchy uniqueName="[PT Q6].[Do you have access to reliable internet in your home?]" caption="Do you have access to reliable internet in your home?" attribute="1" defaultMemberUniqueName="[PT Q6].[Do you have access to reliable internet in your home?].[All]" allUniqueName="[PT Q6].[Do you have access to reliable internet in your hom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198"/>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198"/>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216"/>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217"/>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222"/>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207"/>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209"/>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224"/>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226"/>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227"/>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218"/>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220"/>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225"/>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228"/>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219"/>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221"/>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223"/>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24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248"/>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26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26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269"/>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26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26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27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26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27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26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292"/>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292"/>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309"/>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312"/>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315"/>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318"/>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310"/>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313"/>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316"/>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319"/>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320"/>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311"/>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314"/>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317"/>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340"/>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340"/>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363"/>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366"/>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369"/>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372"/>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378"/>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380"/>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364"/>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367"/>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370"/>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373"/>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376"/>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379"/>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365"/>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368"/>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371"/>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374"/>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377"/>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401"/>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404"/>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407"/>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410"/>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412"/>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402"/>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405"/>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408"/>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411"/>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413"/>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403"/>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406"/>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409"/>
        </ext>
      </extLst>
    </cacheHierarchy>
    <cacheHierarchy uniqueName="[Measures].[Sum of Fear (eg not ready to facediscuss health problemimmigration status)14]" caption="Sum of Fear (eg not ready to facediscuss health problemimmigration status)14" measure="1" displayFolder="" measureGroup="PT Q3" count="0">
      <extLst>
        <ext xmlns:x15="http://schemas.microsoft.com/office/spreadsheetml/2010/11/main" uri="{B97F6D7D-B522-45F9-BDA1-12C45D357490}">
          <x15:cacheHierarchy aggregatedColumn="272"/>
        </ext>
      </extLst>
    </cacheHierarchy>
    <cacheHierarchy uniqueName="[Measures].[Sum of RespondentID 7]" caption="Sum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Women’s health  wellness10 3]" caption="Sum of Women’s health  wellness10 3" measure="1" displayFolder="" measureGroup="PT Q1 1" count="0">
      <extLst>
        <ext xmlns:x15="http://schemas.microsoft.com/office/spreadsheetml/2010/11/main" uri="{B97F6D7D-B522-45F9-BDA1-12C45D357490}">
          <x15:cacheHierarchy aggregatedColumn="121"/>
        </ext>
      </extLst>
    </cacheHierarchy>
    <cacheHierarchy uniqueName="[Measures].[Count of RespondentID 7]" caption="Count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Asthmalung disease3 3]" caption="Sum of Asthmalung disease3 3" measure="1" displayFolder="" measureGroup="PT Q1 1" count="0">
      <extLst>
        <ext xmlns:x15="http://schemas.microsoft.com/office/spreadsheetml/2010/11/main" uri="{B97F6D7D-B522-45F9-BDA1-12C45D357490}">
          <x15:cacheHierarchy aggregatedColumn="114"/>
        </ext>
      </extLst>
    </cacheHierarchy>
    <cacheHierarchy uniqueName="[Measures].[Sum of Cancer4 3]" caption="Sum of Cancer4 3" measure="1" displayFolder="" measureGroup="PT Q1 1" count="0">
      <extLst>
        <ext xmlns:x15="http://schemas.microsoft.com/office/spreadsheetml/2010/11/main" uri="{B97F6D7D-B522-45F9-BDA1-12C45D357490}">
          <x15:cacheHierarchy aggregatedColumn="115"/>
        </ext>
      </extLst>
    </cacheHierarchy>
    <cacheHierarchy uniqueName="[Measures].[Sum of Heart disease  stroke5 3]" caption="Sum of Heart disease  stroke5 3" measure="1" displayFolder="" measureGroup="PT Q1 1" count="0">
      <extLst>
        <ext xmlns:x15="http://schemas.microsoft.com/office/spreadsheetml/2010/11/main" uri="{B97F6D7D-B522-45F9-BDA1-12C45D357490}">
          <x15:cacheHierarchy aggregatedColumn="116"/>
        </ext>
      </extLst>
    </cacheHierarchy>
    <cacheHierarchy uniqueName="[Measures].[Sum of Safety6 3]" caption="Sum of Safety6 3" measure="1" displayFolder="" measureGroup="PT Q1 1" count="0">
      <extLst>
        <ext xmlns:x15="http://schemas.microsoft.com/office/spreadsheetml/2010/11/main" uri="{B97F6D7D-B522-45F9-BDA1-12C45D357490}">
          <x15:cacheHierarchy aggregatedColumn="117"/>
        </ext>
      </extLst>
    </cacheHierarchy>
    <cacheHierarchy uniqueName="[Measures].[Sum of HIVAIDS  Sexually Transmitted Diseases (STDs)7 3]" caption="Sum of HIVAIDS  Sexually Transmitted Diseases (STDs)7 3" measure="1" displayFolder="" measureGroup="PT Q1 1" count="0">
      <extLst>
        <ext xmlns:x15="http://schemas.microsoft.com/office/spreadsheetml/2010/11/main" uri="{B97F6D7D-B522-45F9-BDA1-12C45D357490}">
          <x15:cacheHierarchy aggregatedColumn="118"/>
        </ext>
      </extLst>
    </cacheHierarchy>
    <cacheHierarchy uniqueName="[Measures].[Sum of Vaccine preventable diseases8 3]" caption="Sum of Vaccine preventable diseases8 3" measure="1" displayFolder="" measureGroup="PT Q1 1" count="0">
      <extLst>
        <ext xmlns:x15="http://schemas.microsoft.com/office/spreadsheetml/2010/11/main" uri="{B97F6D7D-B522-45F9-BDA1-12C45D357490}">
          <x15:cacheHierarchy aggregatedColumn="119"/>
        </ext>
      </extLst>
    </cacheHierarchy>
    <cacheHierarchy uniqueName="[Measures].[Sum of Child health  wellness9 3]" caption="Sum of Child health  wellness9 3" measure="1" displayFolder="" measureGroup="PT Q1 1" count="0">
      <extLst>
        <ext xmlns:x15="http://schemas.microsoft.com/office/spreadsheetml/2010/11/main" uri="{B97F6D7D-B522-45F9-BDA1-12C45D357490}">
          <x15:cacheHierarchy aggregatedColumn="120"/>
        </ext>
      </extLst>
    </cacheHierarchy>
    <cacheHierarchy uniqueName="[Measures].[Sum of Diabetes11 3]" caption="Sum of Diabetes11 3" measure="1" displayFolder="" measureGroup="PT Q1 1" count="0">
      <extLst>
        <ext xmlns:x15="http://schemas.microsoft.com/office/spreadsheetml/2010/11/main" uri="{B97F6D7D-B522-45F9-BDA1-12C45D357490}">
          <x15:cacheHierarchy aggregatedColumn="122"/>
        </ext>
      </extLst>
    </cacheHierarchy>
    <cacheHierarchy uniqueName="[Measures].[Sum of Mental health depressionsuicide12 3]" caption="Sum of Mental health depressionsuicide12 3" measure="1" displayFolder="" measureGroup="PT Q1 1" count="0">
      <extLst>
        <ext xmlns:x15="http://schemas.microsoft.com/office/spreadsheetml/2010/11/main" uri="{B97F6D7D-B522-45F9-BDA1-12C45D357490}">
          <x15:cacheHierarchy aggregatedColumn="123"/>
        </ext>
      </extLst>
    </cacheHierarchy>
    <cacheHierarchy uniqueName="[Measures].[Sum of Drugs  alcohol abuse13 3]" caption="Sum of Drugs  alcohol abuse13 3" measure="1" displayFolder="" measureGroup="PT Q1 1" count="0">
      <extLst>
        <ext xmlns:x15="http://schemas.microsoft.com/office/spreadsheetml/2010/11/main" uri="{B97F6D7D-B522-45F9-BDA1-12C45D357490}">
          <x15:cacheHierarchy aggregatedColumn="124"/>
        </ext>
      </extLst>
    </cacheHierarchy>
    <cacheHierarchy uniqueName="[Measures].[Sum of Environmental hazards14 3]" caption="Sum of Environmental hazards14 3" measure="1" displayFolder="" measureGroup="PT Q1 1" count="0">
      <extLst>
        <ext xmlns:x15="http://schemas.microsoft.com/office/spreadsheetml/2010/11/main" uri="{B97F6D7D-B522-45F9-BDA1-12C45D357490}">
          <x15:cacheHierarchy aggregatedColumn="125"/>
        </ext>
      </extLst>
    </cacheHierarchy>
    <cacheHierarchy uniqueName="[Measures].[Sum of Obesityweight loss issues15 3]" caption="Sum of Obesityweight loss issues15 3" measure="1" displayFolder="" measureGroup="PT Q1 1" count="0">
      <extLst>
        <ext xmlns:x15="http://schemas.microsoft.com/office/spreadsheetml/2010/11/main" uri="{B97F6D7D-B522-45F9-BDA1-12C45D357490}">
          <x15:cacheHierarchy aggregatedColumn="126"/>
        </ext>
      </extLst>
    </cacheHierarchy>
    <cacheHierarchy uniqueName="[Measures].[Sum of What is your age]" caption="Sum of What is your age" measure="1" displayFolder="" measureGroup="PT Q1 1" count="0">
      <extLst>
        <ext xmlns:x15="http://schemas.microsoft.com/office/spreadsheetml/2010/11/main" uri="{B97F6D7D-B522-45F9-BDA1-12C45D357490}">
          <x15:cacheHierarchy aggregatedColumn="134"/>
        </ext>
      </extLst>
    </cacheHierarchy>
    <cacheHierarchy uniqueName="[Measures].[Average of What is your age]" caption="Average of What is your age" measure="1" displayFolder="" measureGroup="PT Q1 1" count="0">
      <extLst>
        <ext xmlns:x15="http://schemas.microsoft.com/office/spreadsheetml/2010/11/main" uri="{B97F6D7D-B522-45F9-BDA1-12C45D357490}">
          <x15:cacheHierarchy aggregatedColumn="134"/>
        </ext>
      </extLst>
    </cacheHierarchy>
    <cacheHierarchy uniqueName="[Measures].[Count of What race do you consider yourself]" caption="Count of What race do you consider yourself" measure="1" displayFolder="" measureGroup="PT Q1 1" count="0">
      <extLst>
        <ext xmlns:x15="http://schemas.microsoft.com/office/spreadsheetml/2010/11/main" uri="{B97F6D7D-B522-45F9-BDA1-12C45D357490}">
          <x15:cacheHierarchy aggregatedColumn="137"/>
        </ext>
      </extLst>
    </cacheHierarchy>
    <cacheHierarchy uniqueName="[Measures].[Count of Do you currently have health insurance]" caption="Count of Do you currently have health insurance" measure="1" displayFolder="" measureGroup="PT Q1 1" count="0">
      <extLst>
        <ext xmlns:x15="http://schemas.microsoft.com/office/spreadsheetml/2010/11/main" uri="{B97F6D7D-B522-45F9-BDA1-12C45D357490}">
          <x15:cacheHierarchy aggregatedColumn="143"/>
        </ext>
      </extLst>
    </cacheHierarchy>
    <cacheHierarchy uniqueName="[Measures].[Count of What type of insurance do you have]" caption="Count of What type of insurance do you have" measure="1" displayFolder="" measureGroup="PT Q1 1" count="0">
      <extLst>
        <ext xmlns:x15="http://schemas.microsoft.com/office/spreadsheetml/2010/11/main" uri="{B97F6D7D-B522-45F9-BDA1-12C45D357490}">
          <x15:cacheHierarchy aggregatedColumn="144"/>
        </ext>
      </extLst>
    </cacheHierarchy>
    <cacheHierarchy uniqueName="[Measures].[Count of Do you have access to reliable internet in your home]" caption="Count of Do you have access to reliable internet in your home" measure="1" displayFolder="" measureGroup="PT Q1 1" count="0">
      <extLst>
        <ext xmlns:x15="http://schemas.microsoft.com/office/spreadsheetml/2010/11/main" uri="{B97F6D7D-B522-45F9-BDA1-12C45D357490}">
          <x15:cacheHierarchy aggregatedColumn="145"/>
        </ext>
      </extLst>
    </cacheHierarchy>
    <cacheHierarchy uniqueName="[Measures].[Sum of Female Flag]" caption="Sum of Female Flag" measure="1" displayFolder="" measureGroup="PT Q1 1" count="0">
      <extLst>
        <ext xmlns:x15="http://schemas.microsoft.com/office/spreadsheetml/2010/11/main" uri="{B97F6D7D-B522-45F9-BDA1-12C45D357490}">
          <x15:cacheHierarchy aggregatedColumn="146"/>
        </ext>
      </extLst>
    </cacheHierarchy>
    <cacheHierarchy uniqueName="[Measures].[Sum of Male Flag]" caption="Sum of Male Flag" measure="1" displayFolder="" measureGroup="PT Q1 1" count="0">
      <extLst>
        <ext xmlns:x15="http://schemas.microsoft.com/office/spreadsheetml/2010/11/main" uri="{B97F6D7D-B522-45F9-BDA1-12C45D357490}">
          <x15:cacheHierarchy aggregatedColumn="147"/>
        </ext>
      </extLst>
    </cacheHierarchy>
    <cacheHierarchy uniqueName="[Measures].[Sum of WhiteCaucasian Flag]" caption="Sum of WhiteCaucasian Flag" measure="1" displayFolder="" measureGroup="PT Q1 1" count="0">
      <extLst>
        <ext xmlns:x15="http://schemas.microsoft.com/office/spreadsheetml/2010/11/main" uri="{B97F6D7D-B522-45F9-BDA1-12C45D357490}">
          <x15:cacheHierarchy aggregatedColumn="150"/>
        </ext>
      </extLst>
    </cacheHierarchy>
    <cacheHierarchy uniqueName="[Measures].[Sum of BlackAfrican American Flag]" caption="Sum of BlackAfrican American Flag" measure="1" displayFolder="" measureGroup="PT Q1 1" count="0">
      <extLst>
        <ext xmlns:x15="http://schemas.microsoft.com/office/spreadsheetml/2010/11/main" uri="{B97F6D7D-B522-45F9-BDA1-12C45D357490}">
          <x15:cacheHierarchy aggregatedColumn="151"/>
        </ext>
      </extLst>
    </cacheHierarchy>
    <cacheHierarchy uniqueName="[Measures].[Total Respondents]" caption="Total Respondents" measure="1" displayFolder="" measureGroup="PT Q1" count="0"/>
    <cacheHierarchy uniqueName="[Measures].[Woman]" caption="Woman" measure="1" displayFolder="" measureGroup="PT Q1" count="0"/>
    <cacheHierarchy uniqueName="[Measures].[Man]" caption="Man" measure="1" displayFolder="" measureGroup="PT Q1" count="0"/>
    <cacheHierarchy uniqueName="[Measures].[Transgender]" caption="Transgender" measure="1" displayFolder="" measureGroup="PT Q1" count="0"/>
    <cacheHierarchy uniqueName="[Measures].[Other Gender]" caption="Other Gender" measure="1" displayFolder="" measureGroup="PT Q1" count="0"/>
    <cacheHierarchy uniqueName="[Measures].[Ethnicity]" caption="Ethnicity" measure="1" displayFolder="" measureGroup="PT Q1" count="0"/>
    <cacheHierarchy uniqueName="[Measures].[White]" caption="White" measure="1" displayFolder="" measureGroup="PT Q1" count="0"/>
    <cacheHierarchy uniqueName="[Measures].[Black/African American]" caption="Black/African American" measure="1" displayFolder="" measureGroup="PT Q1" count="0"/>
    <cacheHierarchy uniqueName="[Measures].[Native Hawaiian/Pacific Islander]" caption="Native Hawaiian/Pacific Islander" measure="1" displayFolder="" measureGroup="PT Q1" count="0"/>
    <cacheHierarchy uniqueName="[Measures].[American Indian/Alaska Native]" caption="American Indian/Alaska Native" measure="1" displayFolder="" measureGroup="PT Q1" count="0"/>
    <cacheHierarchy uniqueName="[Measures].[Multi-racial]" caption="Multi-racial" measure="1" displayFolder="" measureGroup="PT Q1" count="0"/>
    <cacheHierarchy uniqueName="[Measures].[Other Race]" caption="Other Race" measure="1" displayFolder="" measureGroup="PT Q1" count="0"/>
    <cacheHierarchy uniqueName="[Measures].[Income $0-$19,999]" caption="Income $0-$19,999" measure="1" displayFolder="" measureGroup="PT Q1" count="0"/>
    <cacheHierarchy uniqueName="[Measures].[Income $20,000 to $34,999]" caption="Income $20,000 to $34,999" measure="1" displayFolder="" measureGroup="PT Q1" count="0"/>
    <cacheHierarchy uniqueName="[Measures].[Income $35,000 to $49,999]" caption="Income $35,000 to $49,999" measure="1" displayFolder="" measureGroup="PT Q1" count="0"/>
    <cacheHierarchy uniqueName="[Measures].[income $50,000 to $74,999]" caption="income $50,000 to $74,999" measure="1" displayFolder="" measureGroup="PT Q1" count="0"/>
    <cacheHierarchy uniqueName="[Measures].[Income $75,000 to $125,000]" caption="Income $75,000 to $125,000" measure="1" displayFolder="" measureGroup="PT Q1" count="0"/>
    <cacheHierarchy uniqueName="[Measures].[Income Over $125,000]" caption="Income Over $125,000" measure="1" displayFolder="" measureGroup="PT Q1" count="0"/>
    <cacheHierarchy uniqueName="[Measures].[Age 18-24]" caption="Age 18-24" measure="1" displayFolder="" measureGroup="PT Q1" count="0"/>
    <cacheHierarchy uniqueName="[Measures].[Age 25 to 34]" caption="Age 25 to 34" measure="1" displayFolder="" measureGroup="PT Q1" count="0"/>
    <cacheHierarchy uniqueName="[Measures].[Age 35 to 44]" caption="Age 35 to 44" measure="1" displayFolder="" measureGroup="PT Q1" count="0"/>
    <cacheHierarchy uniqueName="[Measures].[Age 45 to 54]" caption="Age 45 to 54" measure="1" displayFolder="" measureGroup="PT Q1" count="0"/>
    <cacheHierarchy uniqueName="[Measures].[Age 55 to 64]" caption="Age 55 to 64" measure="1" displayFolder="" measureGroup="PT Q1" count="0"/>
    <cacheHierarchy uniqueName="[Measures].[Age 65+]" caption="Age 65+" measure="1" displayFolder="" measureGroup="PT Q1" count="0"/>
    <cacheHierarchy uniqueName="[Measures].[K-8 Grade]" caption="K-8 Grade" measure="1" displayFolder="" measureGroup="PT Q1" count="0"/>
    <cacheHierarchy uniqueName="[Measures].[High School]" caption="High School" measure="1" displayFolder="" measureGroup="PT Q1" count="0"/>
    <cacheHierarchy uniqueName="[Measures].[Some High School]" caption="Some High School" measure="1" displayFolder="" measureGroup="PT Q1" count="0"/>
    <cacheHierarchy uniqueName="[Measures].[College]" caption="College" measure="1" displayFolder="" measureGroup="PT Q1" count="0"/>
    <cacheHierarchy uniqueName="[Measures].[Some College]" caption="Some College" measure="1" displayFolder="" measureGroup="PT Q1" count="0"/>
    <cacheHierarchy uniqueName="[Measures].[Technical School]" caption="Technical School" measure="1" displayFolder="" measureGroup="PT Q1" count="0"/>
    <cacheHierarchy uniqueName="[Measures].[Graduate School]" caption="Graduate School" measure="1" displayFolder="" measureGroup="PT Q1" count="0"/>
    <cacheHierarchy uniqueName="[Measures].[Doctorate]" caption="Doctorate" measure="1" displayFolder="" measureGroup="PT Q1" count="0"/>
    <cacheHierarchy uniqueName="[Measures].[GED]" caption="GED" measure="1" displayFolder="" measureGroup="PT Q1" count="0"/>
    <cacheHierarchy uniqueName="[Measures].[Employed for Wages]" caption="Employed for Wages" measure="1" displayFolder="" measureGroup="PT Q1" count="0"/>
    <cacheHierarchy uniqueName="[Measures].[Self-employed]" caption="Self-employed" measure="1" displayFolder="" measureGroup="PT Q1" count="0"/>
    <cacheHierarchy uniqueName="[Measures].[Student]" caption="Student" measure="1" displayFolder="" measureGroup="PT Q1" count="0"/>
    <cacheHierarchy uniqueName="[Measures].[Retired]" caption="Retired" measure="1" displayFolder="" measureGroup="PT Q1" count="0"/>
    <cacheHierarchy uniqueName="[Measures].[Military]" caption="Military" measure="1" displayFolder="" measureGroup="PT Q1" count="0"/>
    <cacheHierarchy uniqueName="[Measures].[Out of Work and Looking]" caption="Out of Work and Looking" measure="1" displayFolder="" measureGroup="PT Q1" count="0"/>
    <cacheHierarchy uniqueName="[Measures].[Out of Work Not Looking]" caption="Out of Work Not Looking" measure="1" displayFolder="" measureGroup="PT Q1" count="0"/>
    <cacheHierarchy uniqueName="[Measures].[Health Insurance Yes]" caption="Health Insurance Yes" measure="1" displayFolder="" measureGroup="PT Q1" count="0"/>
    <cacheHierarchy uniqueName="[Measures].[Health Insurance No]" caption="Health Insurance No" measure="1" displayFolder="" measureGroup="PT Q1" count="0"/>
    <cacheHierarchy uniqueName="[Measures].[Health Insurance In the Past]" caption="Health Insurance In the Past" measure="1" displayFolder="" measureGroup="PT Q1" count="0"/>
    <cacheHierarchy uniqueName="[Measures].[Medicare]" caption="Medicare" measure="1" displayFolder="" measureGroup="PT Q1" count="0"/>
    <cacheHierarchy uniqueName="[Measures].[Medicaid]" caption="Medicaid" measure="1" displayFolder="" measureGroup="PT Q1" count="0"/>
    <cacheHierarchy uniqueName="[Measures].[Private/Commerical]" caption="Private/Commerical" measure="1" displayFolder="" measureGroup="PT Q1" count="0"/>
    <cacheHierarchy uniqueName="[Measures].[Not Insured]" caption="Not Insured" measure="1" displayFolder="" measureGroup="PT Q1" count="0"/>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PT Q1 1]" caption="__XL_Count PT Q1 1" measure="1" displayFolder="" measureGroup="PT Q1 1"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1151"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Melissa Bauer" refreshedDate="44946.532951041663" createdVersion="3" refreshedVersion="5" minRefreshableVersion="3" recordCount="0" supportSubquery="1" supportAdvancedDrill="1">
  <cacheSource type="external" connectionId="8">
    <extLst>
      <ext xmlns:x14="http://schemas.microsoft.com/office/spreadsheetml/2009/9/main" uri="{F057638F-6D5F-4e77-A914-E7F072B9BCA8}">
        <x14:sourceConnection name="ThisWorkbookDataModel"/>
      </ext>
    </extLst>
  </cacheSource>
  <cacheFields count="0"/>
  <cacheHierarchies count="600">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What type of insurance do you have?]" caption="What type of insurance do you have?" attribute="1" defaultMemberUniqueName="[PT Q1].[What type of insurance do you have?].[All]" allUniqueName="[PT Q1].[What type of insurance do you have?].[All]" dimensionUniqueName="[PT Q1]" displayFolder="" count="0" memberValueDatatype="130" unbalanced="0"/>
    <cacheHierarchy uniqueName="[PT Q1].[Do you have a smartphone]" caption="Do you have a smartphone" attribute="1" defaultMemberUniqueName="[PT Q1].[Do you have a smartphone].[All]" allUniqueName="[PT Q1].[Do you have a smartphone].[All]" dimensionUniqueName="[PT Q1]" displayFolder="" count="0" memberValueDatatype="130" unbalanced="0"/>
    <cacheHierarchy uniqueName="[PT Q1].[Woman Flag]" caption="Woman Flag" attribute="1" defaultMemberUniqueName="[PT Q1].[Woman Flag].[All]" allUniqueName="[PT Q1].[Woman Flag].[All]" dimensionUniqueName="[PT Q1]" displayFolder="" count="0" memberValueDatatype="20" unbalanced="0"/>
    <cacheHierarchy uniqueName="[PT Q1].[Man Flag]" caption="Man Flag" attribute="1" defaultMemberUniqueName="[PT Q1].[Man Flag].[All]" allUniqueName="[PT Q1].[Man Flag].[All]" dimensionUniqueName="[PT Q1]" displayFolder="" count="0" memberValueDatatype="20" unbalanced="0"/>
    <cacheHierarchy uniqueName="[PT Q1].[Transgender Flag]" caption="Transgender Flag" attribute="1" defaultMemberUniqueName="[PT Q1].[Transgender Flag].[All]" allUniqueName="[PT Q1].[Transgender Flag].[All]" dimensionUniqueName="[PT Q1]" displayFolder="" count="0" memberValueDatatype="20" unbalanced="0"/>
    <cacheHierarchy uniqueName="[PT Q1].[Other Gender Flag]" caption="Other Gender Flag" attribute="1" defaultMemberUniqueName="[PT Q1].[Other Gender Flag].[All]" allUniqueName="[PT Q1].[Other Gender Flag].[All]" dimensionUniqueName="[PT Q1]" displayFolder="" count="0" memberValueDatatype="20" unbalanced="0"/>
    <cacheHierarchy uniqueName="[PT Q1].[Hispanic Flag]" caption="Hispanic Flag" attribute="1" defaultMemberUniqueName="[PT Q1].[Hispanic Flag].[All]" allUniqueName="[PT Q1].[Hispanic Flag].[All]" dimensionUniqueName="[PT Q1]" displayFolder="" count="0" memberValueDatatype="20" unbalanced="0"/>
    <cacheHierarchy uniqueName="[PT Q1].[White Flag]" caption="White Flag" attribute="1" defaultMemberUniqueName="[PT Q1].[White Flag].[All]" allUniqueName="[PT Q1].[White Flag].[All]" dimensionUniqueName="[PT Q1]" displayFolder="" count="0" memberValueDatatype="20" unbalanced="0"/>
    <cacheHierarchy uniqueName="[PT Q1].[Black or African American Flag]" caption="Black or African American Flag" attribute="1" defaultMemberUniqueName="[PT Q1].[Black or African American Flag].[All]" allUniqueName="[PT Q1].[Black or African American Flag].[All]" dimensionUniqueName="[PT Q1]" displayFolder="" count="0" memberValueDatatype="20" unbalanced="0"/>
    <cacheHierarchy uniqueName="[PT Q1].[Native Hawaiian and Other Pacific Islander Flag]" caption="Native Hawaiian and Other Pacific Islander Flag" attribute="1" defaultMemberUniqueName="[PT Q1].[Native Hawaiian and Other Pacific Islander Flag].[All]" allUniqueName="[PT Q1].[Native Hawaiian and Other Pacific Islander Flag].[All]" dimensionUniqueName="[PT Q1]" displayFolder="" count="0" memberValueDatatype="20" unbalanced="0"/>
    <cacheHierarchy uniqueName="[PT Q1].[American Indian and Alaska Native Flag]" caption="American Indian and Alaska Native Flag" attribute="1" defaultMemberUniqueName="[PT Q1].[American Indian and Alaska Native Flag].[All]" allUniqueName="[PT Q1].[American Indian and Alaska Native Flag].[All]" dimensionUniqueName="[PT Q1]" displayFolder="" count="0" memberValueDatatype="20" unbalanced="0"/>
    <cacheHierarchy uniqueName="[PT Q1].[Two or more races Flag]" caption="Two or more races Flag" attribute="1" defaultMemberUniqueName="[PT Q1].[Two or more races Flag].[All]" allUniqueName="[PT Q1].[Two or more races Flag].[All]" dimensionUniqueName="[PT Q1]" displayFolder="" count="0" memberValueDatatype="20" unbalanced="0"/>
    <cacheHierarchy uniqueName="[PT Q1].[Other Race Flag]" caption="Other Race Flag" attribute="1" defaultMemberUniqueName="[PT Q1].[Other Race Flag].[All]" allUniqueName="[PT Q1].[Other Race Flag].[All]" dimensionUniqueName="[PT Q1]" displayFolder="" count="0" memberValueDatatype="20" unbalanced="0"/>
    <cacheHierarchy uniqueName="[PT Q1].[$0-$19,999 Flag]" caption="$0-$19,999 Flag" attribute="1" defaultMemberUniqueName="[PT Q1].[$0-$19,999 Flag].[All]" allUniqueName="[PT Q1].[$0-$19,999 Flag].[All]" dimensionUniqueName="[PT Q1]" displayFolder="" count="0" memberValueDatatype="20" unbalanced="0"/>
    <cacheHierarchy uniqueName="[PT Q1].[$20,000 to $34,999 Flag]" caption="$20,000 to $34,999 Flag" attribute="1" defaultMemberUniqueName="[PT Q1].[$20,000 to $34,999 Flag].[All]" allUniqueName="[PT Q1].[$20,000 to $34,999 Flag].[All]" dimensionUniqueName="[PT Q1]" displayFolder="" count="0" memberValueDatatype="20" unbalanced="0"/>
    <cacheHierarchy uniqueName="[PT Q1].[$35,000 to $49,999 Flag]" caption="$35,000 to $49,999 Flag" attribute="1" defaultMemberUniqueName="[PT Q1].[$35,000 to $49,999 Flag].[All]" allUniqueName="[PT Q1].[$35,000 to $49,999 Flag].[All]" dimensionUniqueName="[PT Q1]" displayFolder="" count="0" memberValueDatatype="20" unbalanced="0"/>
    <cacheHierarchy uniqueName="[PT Q1].[$50,000 to $74,999 Flag]" caption="$50,000 to $74,999 Flag" attribute="1" defaultMemberUniqueName="[PT Q1].[$50,000 to $74,999 Flag].[All]" allUniqueName="[PT Q1].[$50,000 to $74,999 Flag].[All]" dimensionUniqueName="[PT Q1]" displayFolder="" count="0" memberValueDatatype="20" unbalanced="0"/>
    <cacheHierarchy uniqueName="[PT Q1].[$75,000 to $125,000 Flag]" caption="$75,000 to $125,000 Flag" attribute="1" defaultMemberUniqueName="[PT Q1].[$75,000 to $125,000 Flag].[All]" allUniqueName="[PT Q1].[$75,000 to $125,000 Flag].[All]" dimensionUniqueName="[PT Q1]" displayFolder="" count="0" memberValueDatatype="20" unbalanced="0"/>
    <cacheHierarchy uniqueName="[PT Q1].[Over $125,000 Flag]" caption="Over $125,000 Flag" attribute="1" defaultMemberUniqueName="[PT Q1].[Over $125,000 Flag].[All]" allUniqueName="[PT Q1].[Over $125,000 Flag].[All]" dimensionUniqueName="[PT Q1]" displayFolder="" count="0" memberValueDatatype="20" unbalanced="0"/>
    <cacheHierarchy uniqueName="[PT Q1].[18 TO 24 Flag]" caption="18 TO 24 Flag" attribute="1" defaultMemberUniqueName="[PT Q1].[18 TO 24 Flag].[All]" allUniqueName="[PT Q1].[18 TO 24 Flag].[All]" dimensionUniqueName="[PT Q1]" displayFolder="" count="0" memberValueDatatype="20" unbalanced="0"/>
    <cacheHierarchy uniqueName="[PT Q1].[25 to 34 Flag]" caption="25 to 34 Flag" attribute="1" defaultMemberUniqueName="[PT Q1].[25 to 34 Flag].[All]" allUniqueName="[PT Q1].[25 to 34 Flag].[All]" dimensionUniqueName="[PT Q1]" displayFolder="" count="0" memberValueDatatype="20" unbalanced="0"/>
    <cacheHierarchy uniqueName="[PT Q1].[35 to 44 Flag]" caption="35 to 44 Flag" attribute="1" defaultMemberUniqueName="[PT Q1].[35 to 44 Flag].[All]" allUniqueName="[PT Q1].[35 to 44 Flag].[All]" dimensionUniqueName="[PT Q1]" displayFolder="" count="0" memberValueDatatype="20" unbalanced="0"/>
    <cacheHierarchy uniqueName="[PT Q1].[45 to 54 Flag]" caption="45 to 54 Flag" attribute="1" defaultMemberUniqueName="[PT Q1].[45 to 54 Flag].[All]" allUniqueName="[PT Q1].[45 to 54 Flag].[All]" dimensionUniqueName="[PT Q1]" displayFolder="" count="0" memberValueDatatype="20" unbalanced="0"/>
    <cacheHierarchy uniqueName="[PT Q1].[55 to 64 Flag]" caption="55 to 64 Flag" attribute="1" defaultMemberUniqueName="[PT Q1].[55 to 64 Flag].[All]" allUniqueName="[PT Q1].[55 to 64 Flag].[All]" dimensionUniqueName="[PT Q1]" displayFolder="" count="0" memberValueDatatype="20" unbalanced="0"/>
    <cacheHierarchy uniqueName="[PT Q1].[65 Plus Flag]" caption="65 Plus Flag" attribute="1" defaultMemberUniqueName="[PT Q1].[65 Plus Flag].[All]" allUniqueName="[PT Q1].[65 Plus Flag].[All]" dimensionUniqueName="[PT Q1]" displayFolder="" count="0" memberValueDatatype="20" unbalanced="0"/>
    <cacheHierarchy uniqueName="[PT Q1].[K-8 grade Flag]" caption="K-8 grade Flag" attribute="1" defaultMemberUniqueName="[PT Q1].[K-8 grade Flag].[All]" allUniqueName="[PT Q1].[K-8 grade Flag].[All]" dimensionUniqueName="[PT Q1]" displayFolder="" count="0" memberValueDatatype="20" unbalanced="0"/>
    <cacheHierarchy uniqueName="[PT Q1].[Some High School Flag]" caption="Some High School Flag" attribute="1" defaultMemberUniqueName="[PT Q1].[Some High School Flag].[All]" allUniqueName="[PT Q1].[Some High School Flag].[All]" dimensionUniqueName="[PT Q1]" displayFolder="" count="0" memberValueDatatype="20" unbalanced="0"/>
    <cacheHierarchy uniqueName="[PT Q1].[High School Graduate Flag]" caption="High School Graduate Flag" attribute="1" defaultMemberUniqueName="[PT Q1].[High School Graduate Flag].[All]" allUniqueName="[PT Q1].[High School Graduate Flag].[All]" dimensionUniqueName="[PT Q1]" displayFolder="" count="0" memberValueDatatype="20" unbalanced="0"/>
    <cacheHierarchy uniqueName="[PT Q1].[Technical School Flag]" caption="Technical School Flag" attribute="1" defaultMemberUniqueName="[PT Q1].[Technical School Flag].[All]" allUniqueName="[PT Q1].[Technical School Flag].[All]" dimensionUniqueName="[PT Q1]" displayFolder="" count="0" memberValueDatatype="20" unbalanced="0"/>
    <cacheHierarchy uniqueName="[PT Q1].[Some College Flag]" caption="Some College Flag" attribute="1" defaultMemberUniqueName="[PT Q1].[Some College Flag].[All]" allUniqueName="[PT Q1].[Some College Flag].[All]" dimensionUniqueName="[PT Q1]" displayFolder="" count="0" memberValueDatatype="20" unbalanced="0"/>
    <cacheHierarchy uniqueName="[PT Q1].[College Graduate Flag]" caption="College Graduate Flag" attribute="1" defaultMemberUniqueName="[PT Q1].[College Graduate Flag].[All]" allUniqueName="[PT Q1].[College Graduate Flag].[All]" dimensionUniqueName="[PT Q1]" displayFolder="" count="0" memberValueDatatype="20" unbalanced="0"/>
    <cacheHierarchy uniqueName="[PT Q1].[Graduate School Flag]" caption="Graduate School Flag" attribute="1" defaultMemberUniqueName="[PT Q1].[Graduate School Flag].[All]" allUniqueName="[PT Q1].[Graduate School Flag].[All]" dimensionUniqueName="[PT Q1]" displayFolder="" count="0" memberValueDatatype="20" unbalanced="0"/>
    <cacheHierarchy uniqueName="[PT Q1].[Doctorate Flag]" caption="Doctorate Flag" attribute="1" defaultMemberUniqueName="[PT Q1].[Doctorate Flag].[All]" allUniqueName="[PT Q1].[Doctorate Flag].[All]" dimensionUniqueName="[PT Q1]" displayFolder="" count="0" memberValueDatatype="20" unbalanced="0"/>
    <cacheHierarchy uniqueName="[PT Q1].[GED Flag]" caption="GED Flag" attribute="1" defaultMemberUniqueName="[PT Q1].[GED Flag].[All]" allUniqueName="[PT Q1].[GED Flag].[All]" dimensionUniqueName="[PT Q1]" displayFolder="" count="0" memberValueDatatype="20" unbalanced="0"/>
    <cacheHierarchy uniqueName="[PT Q1].[Employed for Wages Flag]" caption="Employed for Wages Flag" attribute="1" defaultMemberUniqueName="[PT Q1].[Employed for Wages Flag].[All]" allUniqueName="[PT Q1].[Employed for Wages Flag].[All]" dimensionUniqueName="[PT Q1]" displayFolder="" count="0" memberValueDatatype="20" unbalanced="0"/>
    <cacheHierarchy uniqueName="[PT Q1].[Self-employed Flag]" caption="Self-employed Flag" attribute="1" defaultMemberUniqueName="[PT Q1].[Self-employed Flag].[All]" allUniqueName="[PT Q1].[Self-employed Flag].[All]" dimensionUniqueName="[PT Q1]" displayFolder="" count="0" memberValueDatatype="20" unbalanced="0"/>
    <cacheHierarchy uniqueName="[PT Q1].[Student Flag]" caption="Student Flag" attribute="1" defaultMemberUniqueName="[PT Q1].[Student Flag].[All]" allUniqueName="[PT Q1].[Student Flag].[All]" dimensionUniqueName="[PT Q1]" displayFolder="" count="0" memberValueDatatype="20" unbalanced="0"/>
    <cacheHierarchy uniqueName="[PT Q1].[Retired Flag]" caption="Retired Flag" attribute="1" defaultMemberUniqueName="[PT Q1].[Retired Flag].[All]" allUniqueName="[PT Q1].[Retired Flag].[All]" dimensionUniqueName="[PT Q1]" displayFolder="" count="0" memberValueDatatype="20" unbalanced="0"/>
    <cacheHierarchy uniqueName="[PT Q1].[Military Flag]" caption="Military Flag" attribute="1" defaultMemberUniqueName="[PT Q1].[Military Flag].[All]" allUniqueName="[PT Q1].[Military Flag].[All]" dimensionUniqueName="[PT Q1]" displayFolder="" count="0" memberValueDatatype="20" unbalanced="0"/>
    <cacheHierarchy uniqueName="[PT Q1].[Out of Work and Looking Flag]" caption="Out of Work and Looking Flag" attribute="1" defaultMemberUniqueName="[PT Q1].[Out of Work and Looking Flag].[All]" allUniqueName="[PT Q1].[Out of Work and Looking Flag].[All]" dimensionUniqueName="[PT Q1]" displayFolder="" count="0" memberValueDatatype="20" unbalanced="0"/>
    <cacheHierarchy uniqueName="[PT Q1].[Out of Work Not Looking Flag]" caption="Out of Work Not Looking Flag" attribute="1" defaultMemberUniqueName="[PT Q1].[Out of Work Not Looking Flag].[All]" allUniqueName="[PT Q1].[Out of Work Not Looking Flag].[All]" dimensionUniqueName="[PT Q1]" displayFolder="" count="0" memberValueDatatype="20" unbalanced="0"/>
    <cacheHierarchy uniqueName="[PT Q1].[Health Insurance Yes Flag]" caption="Health Insurance Yes Flag" attribute="1" defaultMemberUniqueName="[PT Q1].[Health Insurance Yes Flag].[All]" allUniqueName="[PT Q1].[Health Insurance Yes Flag].[All]" dimensionUniqueName="[PT Q1]" displayFolder="" count="0" memberValueDatatype="20" unbalanced="0"/>
    <cacheHierarchy uniqueName="[PT Q1].[Health Insurance No Flag]" caption="Health Insurance No Flag" attribute="1" defaultMemberUniqueName="[PT Q1].[Health Insurance No Flag].[All]" allUniqueName="[PT Q1].[Health Insurance No Flag].[All]" dimensionUniqueName="[PT Q1]" displayFolder="" count="0" memberValueDatatype="20" unbalanced="0"/>
    <cacheHierarchy uniqueName="[PT Q1].[Health Insurance In the Past Flag]" caption="Health Insurance In the Past Flag" attribute="1" defaultMemberUniqueName="[PT Q1].[Health Insurance In the Past Flag].[All]" allUniqueName="[PT Q1].[Health Insurance In the Past Flag].[All]" dimensionUniqueName="[PT Q1]" displayFolder="" count="0" memberValueDatatype="20" unbalanced="0"/>
    <cacheHierarchy uniqueName="[PT Q1].[Medicare Flag]" caption="Medicare Flag" attribute="1" defaultMemberUniqueName="[PT Q1].[Medicare Flag].[All]" allUniqueName="[PT Q1].[Medicare Flag].[All]" dimensionUniqueName="[PT Q1]" displayFolder="" count="0" memberValueDatatype="20" unbalanced="0"/>
    <cacheHierarchy uniqueName="[PT Q1].[Medicaid Flag]" caption="Medicaid Flag" attribute="1" defaultMemberUniqueName="[PT Q1].[Medicaid Flag].[All]" allUniqueName="[PT Q1].[Medicaid Flag].[All]" dimensionUniqueName="[PT Q1]" displayFolder="" count="0" memberValueDatatype="20" unbalanced="0"/>
    <cacheHierarchy uniqueName="[PT Q1].[Private/Commercial Flag]" caption="Private/Commercial Flag" attribute="1" defaultMemberUniqueName="[PT Q1].[Private/Commercial Flag].[All]" allUniqueName="[PT Q1].[Private/Commercial Flag].[All]" dimensionUniqueName="[PT Q1]" displayFolder="" count="0" memberValueDatatype="20" unbalanced="0"/>
    <cacheHierarchy uniqueName="[PT Q1].[No Insurance Flag]" caption="No Insurance Flag" attribute="1" defaultMemberUniqueName="[PT Q1].[No Insurance Flag].[All]" allUniqueName="[PT Q1].[No Insurance Flag].[All]" dimensionUniqueName="[PT Q1]" displayFolder="" count="0" memberValueDatatype="20" unbalanced="0"/>
    <cacheHierarchy uniqueName="[PT Q1 1].[RespondentID]" caption="RespondentID" attribute="1" defaultMemberUniqueName="[PT Q1 1].[RespondentID].[All]" allUniqueName="[PT Q1 1].[RespondentID].[All]" dimensionUniqueName="[PT Q1 1]" displayFolder="" count="0" memberValueDatatype="5" unbalanced="0"/>
    <cacheHierarchy uniqueName="[PT Q1 1].[Asthma/lung disease]" caption="Asthma/lung disease" attribute="1" defaultMemberUniqueName="[PT Q1 1].[Asthma/lung disease].[All]" allUniqueName="[PT Q1 1].[Asthma/lung disease].[All]" dimensionUniqueName="[PT Q1 1]" displayFolder="" count="0" memberValueDatatype="130" unbalanced="0"/>
    <cacheHierarchy uniqueName="[PT Q1 1].[Cancer]" caption="Cancer" attribute="1" defaultMemberUniqueName="[PT Q1 1].[Cancer].[All]" allUniqueName="[PT Q1 1].[Cancer].[All]" dimensionUniqueName="[PT Q1 1]" displayFolder="" count="0" memberValueDatatype="130" unbalanced="0"/>
    <cacheHierarchy uniqueName="[PT Q1 1].[Heart disease &amp; stroke]" caption="Heart disease &amp; stroke" attribute="1" defaultMemberUniqueName="[PT Q1 1].[Heart disease &amp; stroke].[All]" allUniqueName="[PT Q1 1].[Heart disease &amp; stroke].[All]" dimensionUniqueName="[PT Q1 1]" displayFolder="" count="0" memberValueDatatype="130" unbalanced="0"/>
    <cacheHierarchy uniqueName="[PT Q1 1].[Safety]" caption="Safety" attribute="1" defaultMemberUniqueName="[PT Q1 1].[Safety].[All]" allUniqueName="[PT Q1 1].[Safety].[All]" dimensionUniqueName="[PT Q1 1]" displayFolder="" count="0" memberValueDatatype="130" unbalanced="0"/>
    <cacheHierarchy uniqueName="[PT Q1 1].[HIV/AIDS &amp; Sexually Transmitted Diseases (STDs)]" caption="HIV/AIDS &amp; Sexually Transmitted Diseases (STDs)" attribute="1" defaultMemberUniqueName="[PT Q1 1].[HIV/AIDS &amp; Sexually Transmitted Diseases (STDs)].[All]" allUniqueName="[PT Q1 1].[HIV/AIDS &amp; Sexually Transmitted Diseases (STDs)].[All]" dimensionUniqueName="[PT Q1 1]" displayFolder="" count="0" memberValueDatatype="130" unbalanced="0"/>
    <cacheHierarchy uniqueName="[PT Q1 1].[Vaccine preventable diseases]" caption="Vaccine preventable diseases" attribute="1" defaultMemberUniqueName="[PT Q1 1].[Vaccine preventable diseases].[All]" allUniqueName="[PT Q1 1].[Vaccine preventable diseases].[All]" dimensionUniqueName="[PT Q1 1]" displayFolder="" count="0" memberValueDatatype="130" unbalanced="0"/>
    <cacheHierarchy uniqueName="[PT Q1 1].[Child health &amp; wellness]" caption="Child health &amp; wellness" attribute="1" defaultMemberUniqueName="[PT Q1 1].[Child health &amp; wellness].[All]" allUniqueName="[PT Q1 1].[Child health &amp; wellness].[All]" dimensionUniqueName="[PT Q1 1]" displayFolder="" count="0" memberValueDatatype="130" unbalanced="0"/>
    <cacheHierarchy uniqueName="[PT Q1 1].[Women’s health &amp; wellness]" caption="Women’s health &amp; wellness" attribute="1" defaultMemberUniqueName="[PT Q1 1].[Women’s health &amp; wellness].[All]" allUniqueName="[PT Q1 1].[Women’s health &amp; wellness].[All]" dimensionUniqueName="[PT Q1 1]" displayFolder="" count="0" memberValueDatatype="130" unbalanced="0"/>
    <cacheHierarchy uniqueName="[PT Q1 1].[Diabetes]" caption="Diabetes" attribute="1" defaultMemberUniqueName="[PT Q1 1].[Diabetes].[All]" allUniqueName="[PT Q1 1].[Diabetes].[All]" dimensionUniqueName="[PT Q1 1]" displayFolder="" count="0" memberValueDatatype="130" unbalanced="0"/>
    <cacheHierarchy uniqueName="[PT Q1 1].[Mental health depression/suicide]" caption="Mental health depression/suicide" attribute="1" defaultMemberUniqueName="[PT Q1 1].[Mental health depression/suicide].[All]" allUniqueName="[PT Q1 1].[Mental health depression/suicide].[All]" dimensionUniqueName="[PT Q1 1]" displayFolder="" count="0" memberValueDatatype="130" unbalanced="0"/>
    <cacheHierarchy uniqueName="[PT Q1 1].[Drugs &amp; alcohol abuse]" caption="Drugs &amp; alcohol abuse" attribute="1" defaultMemberUniqueName="[PT Q1 1].[Drugs &amp; alcohol abuse].[All]" allUniqueName="[PT Q1 1].[Drugs &amp; alcohol abuse].[All]" dimensionUniqueName="[PT Q1 1]" displayFolder="" count="0" memberValueDatatype="130" unbalanced="0"/>
    <cacheHierarchy uniqueName="[PT Q1 1].[Environmental hazards]" caption="Environmental hazards" attribute="1" defaultMemberUniqueName="[PT Q1 1].[Environmental hazards].[All]" allUniqueName="[PT Q1 1].[Environmental hazards].[All]" dimensionUniqueName="[PT Q1 1]" displayFolder="" count="0" memberValueDatatype="130" unbalanced="0"/>
    <cacheHierarchy uniqueName="[PT Q1 1].[Obesity/weight loss issues]" caption="Obesity/weight loss issues" attribute="1" defaultMemberUniqueName="[PT Q1 1].[Obesity/weight loss issues].[All]" allUniqueName="[PT Q1 1].[Obesity/weight loss issues].[All]" dimensionUniqueName="[PT Q1 1]" displayFolder="" count="0" memberValueDatatype="130" unbalanced="0"/>
    <cacheHierarchy uniqueName="[PT Q1 1].[Column1]" caption="Column1" attribute="1" defaultMemberUniqueName="[PT Q1 1].[Column1].[All]" allUniqueName="[PT Q1 1].[Column1].[All]" dimensionUniqueName="[PT Q1 1]" displayFolder="" count="0" memberValueDatatype="130" unbalanced="0"/>
    <cacheHierarchy uniqueName="[PT Q1 1].[Count of Selection]" caption="Count of Selection" attribute="1" defaultMemberUniqueName="[PT Q1 1].[Count of Selection].[All]" allUniqueName="[PT Q1 1].[Count of Selection].[All]" dimensionUniqueName="[PT Q1 1]" displayFolder="" count="0" memberValueDatatype="20" unbalanced="0"/>
    <cacheHierarchy uniqueName="[PT Q1 1].[Weight]" caption="Weight" attribute="1" defaultMemberUniqueName="[PT Q1 1].[Weight].[All]" allUniqueName="[PT Q1 1].[Weight].[All]" dimensionUniqueName="[PT Q1 1]" displayFolder="" count="0" memberValueDatatype="130" unbalanced="0"/>
    <cacheHierarchy uniqueName="[PT Q1 1].[Column2]" caption="Column2" attribute="1" defaultMemberUniqueName="[PT Q1 1].[Column2].[All]" allUniqueName="[PT Q1 1].[Column2].[All]" dimensionUniqueName="[PT Q1 1]" displayFolder="" count="0" memberValueDatatype="130" unbalanced="0"/>
    <cacheHierarchy uniqueName="[PT Q1 1].[Asthma/lung disease3]" caption="Asthma/lung disease3" attribute="1" defaultMemberUniqueName="[PT Q1 1].[Asthma/lung disease3].[All]" allUniqueName="[PT Q1 1].[Asthma/lung disease3].[All]" dimensionUniqueName="[PT Q1 1]" displayFolder="" count="0" memberValueDatatype="5" unbalanced="0"/>
    <cacheHierarchy uniqueName="[PT Q1 1].[Cancer4]" caption="Cancer4" attribute="1" defaultMemberUniqueName="[PT Q1 1].[Cancer4].[All]" allUniqueName="[PT Q1 1].[Cancer4].[All]" dimensionUniqueName="[PT Q1 1]" displayFolder="" count="0" memberValueDatatype="5" unbalanced="0"/>
    <cacheHierarchy uniqueName="[PT Q1 1].[Heart disease &amp; stroke5]" caption="Heart disease &amp; stroke5" attribute="1" defaultMemberUniqueName="[PT Q1 1].[Heart disease &amp; stroke5].[All]" allUniqueName="[PT Q1 1].[Heart disease &amp; stroke5].[All]" dimensionUniqueName="[PT Q1 1]" displayFolder="" count="0" memberValueDatatype="5" unbalanced="0"/>
    <cacheHierarchy uniqueName="[PT Q1 1].[Safety6]" caption="Safety6" attribute="1" defaultMemberUniqueName="[PT Q1 1].[Safety6].[All]" allUniqueName="[PT Q1 1].[Safety6].[All]" dimensionUniqueName="[PT Q1 1]" displayFolder="" count="0" memberValueDatatype="5" unbalanced="0"/>
    <cacheHierarchy uniqueName="[PT Q1 1].[HIV/AIDS &amp; Sexually Transmitted Diseases (STDs)7]" caption="HIV/AIDS &amp; Sexually Transmitted Diseases (STDs)7" attribute="1" defaultMemberUniqueName="[PT Q1 1].[HIV/AIDS &amp; Sexually Transmitted Diseases (STDs)7].[All]" allUniqueName="[PT Q1 1].[HIV/AIDS &amp; Sexually Transmitted Diseases (STDs)7].[All]" dimensionUniqueName="[PT Q1 1]" displayFolder="" count="0" memberValueDatatype="5" unbalanced="0"/>
    <cacheHierarchy uniqueName="[PT Q1 1].[Vaccine preventable diseases8]" caption="Vaccine preventable diseases8" attribute="1" defaultMemberUniqueName="[PT Q1 1].[Vaccine preventable diseases8].[All]" allUniqueName="[PT Q1 1].[Vaccine preventable diseases8].[All]" dimensionUniqueName="[PT Q1 1]" displayFolder="" count="0" memberValueDatatype="5" unbalanced="0"/>
    <cacheHierarchy uniqueName="[PT Q1 1].[Child health &amp; wellness9]" caption="Child health &amp; wellness9" attribute="1" defaultMemberUniqueName="[PT Q1 1].[Child health &amp; wellness9].[All]" allUniqueName="[PT Q1 1].[Child health &amp; wellness9].[All]" dimensionUniqueName="[PT Q1 1]" displayFolder="" count="0" memberValueDatatype="5" unbalanced="0"/>
    <cacheHierarchy uniqueName="[PT Q1 1].[Women’s health &amp; wellness10]" caption="Women’s health &amp; wellness10" attribute="1" defaultMemberUniqueName="[PT Q1 1].[Women’s health &amp; wellness10].[All]" allUniqueName="[PT Q1 1].[Women’s health &amp; wellness10].[All]" dimensionUniqueName="[PT Q1 1]" displayFolder="" count="0" memberValueDatatype="5" unbalanced="0"/>
    <cacheHierarchy uniqueName="[PT Q1 1].[Diabetes11]" caption="Diabetes11" attribute="1" defaultMemberUniqueName="[PT Q1 1].[Diabetes11].[All]" allUniqueName="[PT Q1 1].[Diabetes11].[All]" dimensionUniqueName="[PT Q1 1]" displayFolder="" count="0" memberValueDatatype="5" unbalanced="0"/>
    <cacheHierarchy uniqueName="[PT Q1 1].[Mental health depression/suicide12]" caption="Mental health depression/suicide12" attribute="1" defaultMemberUniqueName="[PT Q1 1].[Mental health depression/suicide12].[All]" allUniqueName="[PT Q1 1].[Mental health depression/suicide12].[All]" dimensionUniqueName="[PT Q1 1]" displayFolder="" count="0" memberValueDatatype="5" unbalanced="0"/>
    <cacheHierarchy uniqueName="[PT Q1 1].[Drugs &amp; alcohol abuse13]" caption="Drugs &amp; alcohol abuse13" attribute="1" defaultMemberUniqueName="[PT Q1 1].[Drugs &amp; alcohol abuse13].[All]" allUniqueName="[PT Q1 1].[Drugs &amp; alcohol abuse13].[All]" dimensionUniqueName="[PT Q1 1]" displayFolder="" count="0" memberValueDatatype="5" unbalanced="0"/>
    <cacheHierarchy uniqueName="[PT Q1 1].[Environmental hazards14]" caption="Environmental hazards14" attribute="1" defaultMemberUniqueName="[PT Q1 1].[Environmental hazards14].[All]" allUniqueName="[PT Q1 1].[Environmental hazards14].[All]" dimensionUniqueName="[PT Q1 1]" displayFolder="" count="0" memberValueDatatype="5" unbalanced="0"/>
    <cacheHierarchy uniqueName="[PT Q1 1].[Obesity/weight loss issues15]" caption="Obesity/weight loss issues15" attribute="1" defaultMemberUniqueName="[PT Q1 1].[Obesity/weight loss issues15].[All]" allUniqueName="[PT Q1 1].[Obesity/weight loss issues15].[All]" dimensionUniqueName="[PT Q1 1]" displayFolder="" count="0" memberValueDatatype="5" unbalanced="0"/>
    <cacheHierarchy uniqueName="[PT Q1 1].[Column3]" caption="Column3" attribute="1" defaultMemberUniqueName="[PT Q1 1].[Column3].[All]" allUniqueName="[PT Q1 1].[Column3].[All]" dimensionUniqueName="[PT Q1 1]" displayFolder="" count="0" memberValueDatatype="130" unbalanced="0"/>
    <cacheHierarchy uniqueName="[PT Q1 1].[Column4]" caption="Column4" attribute="1" defaultMemberUniqueName="[PT Q1 1].[Column4].[All]" allUniqueName="[PT Q1 1].[Column4].[All]" dimensionUniqueName="[PT Q1 1]" displayFolder="" count="0" memberValueDatatype="130" unbalanced="0"/>
    <cacheHierarchy uniqueName="[PT Q1 1].[Observed]" caption="Observed" attribute="1" defaultMemberUniqueName="[PT Q1 1].[Observed].[All]" allUniqueName="[PT Q1 1].[Observed].[All]" dimensionUniqueName="[PT Q1 1]" displayFolder="" count="0" memberValueDatatype="5" unbalanced="0"/>
    <cacheHierarchy uniqueName="[PT Q1 1].[Expected]" caption="Expected" attribute="1" defaultMemberUniqueName="[PT Q1 1].[Expected].[All]" allUniqueName="[PT Q1 1].[Expected].[All]" dimensionUniqueName="[PT Q1 1]" displayFolder="" count="0" memberValueDatatype="20" unbalanced="0"/>
    <cacheHierarchy uniqueName="[PT Q1 1].[Column18]" caption="Column18" attribute="1" defaultMemberUniqueName="[PT Q1 1].[Column18].[All]" allUniqueName="[PT Q1 1].[Column18].[All]" dimensionUniqueName="[PT Q1 1]" displayFolder="" count="0" memberValueDatatype="130" unbalanced="0"/>
    <cacheHierarchy uniqueName="[PT Q1 1].[Column5]" caption="Column5" attribute="1" defaultMemberUniqueName="[PT Q1 1].[Column5].[All]" allUniqueName="[PT Q1 1].[Column5].[All]" dimensionUniqueName="[PT Q1 1]" displayFolder="" count="0" memberValueDatatype="130" unbalanced="0"/>
    <cacheHierarchy uniqueName="[PT Q1 1].[I identify as:]" caption="I identify as:" attribute="1" defaultMemberUniqueName="[PT Q1 1].[I identify as:].[All]" allUniqueName="[PT Q1 1].[I identify as:].[All]" dimensionUniqueName="[PT Q1 1]" displayFolder="" count="0" memberValueDatatype="130" unbalanced="0"/>
    <cacheHierarchy uniqueName="[PT Q1 1].[What is your age?]" caption="What is your age?" attribute="1" defaultMemberUniqueName="[PT Q1 1].[What is your age?].[All]" allUniqueName="[PT Q1 1].[What is your age?].[All]" dimensionUniqueName="[PT Q1 1]" displayFolder="" count="0" memberValueDatatype="20" unbalanced="0"/>
    <cacheHierarchy uniqueName="[PT Q1 1].[County where you live:]" caption="County where you live:" attribute="1" defaultMemberUniqueName="[PT Q1 1].[County where you live:].[All]" allUniqueName="[PT Q1 1].[County where you live:].[All]" dimensionUniqueName="[PT Q1 1]" displayFolder="" count="0" memberValueDatatype="130" unbalanced="0"/>
    <cacheHierarchy uniqueName="[PT Q1 1].[Town and ZIP code where you live:]" caption="Town and ZIP code where you live:" attribute="1" defaultMemberUniqueName="[PT Q1 1].[Town and ZIP code where you live:].[All]" allUniqueName="[PT Q1 1].[Town and ZIP code where you live:].[All]" dimensionUniqueName="[PT Q1 1]" displayFolder="" count="0" memberValueDatatype="130" unbalanced="0"/>
    <cacheHierarchy uniqueName="[PT Q1 1].[What race do you consider yourself?]" caption="What race do you consider yourself?" attribute="1" defaultMemberUniqueName="[PT Q1 1].[What race do you consider yourself?].[All]" allUniqueName="[PT Q1 1].[What race do you consider yourself?].[All]" dimensionUniqueName="[PT Q1 1]" displayFolder="" count="0" memberValueDatatype="130" unbalanced="0"/>
    <cacheHierarchy uniqueName="[PT Q1 1].[Are you Hispanic or Latino?]" caption="Are you Hispanic or Latino?" attribute="1" defaultMemberUniqueName="[PT Q1 1].[Are you Hispanic or Latino?].[All]" allUniqueName="[PT Q1 1].[Are you Hispanic or Latino?].[All]" dimensionUniqueName="[PT Q1 1]" displayFolder="" count="0" memberValueDatatype="130" unbalanced="0"/>
    <cacheHierarchy uniqueName="[PT Q1 1].[What language do you speak when you are at home (select all that apply)]" caption="What language do you speak when you are at home (select all that apply)" attribute="1" defaultMemberUniqueName="[PT Q1 1].[What language do you speak when you are at home (select all that apply)].[All]" allUniqueName="[PT Q1 1].[What language do you speak when you are at home (select all that apply)].[All]" dimensionUniqueName="[PT Q1 1]" displayFolder="" count="0" memberValueDatatype="130" unbalanced="0"/>
    <cacheHierarchy uniqueName="[PT Q1 1].[What is your annual household income from all sources?]" caption="What is your annual household income from all sources?" attribute="1" defaultMemberUniqueName="[PT Q1 1].[What is your annual household income from all sources?].[All]" allUniqueName="[PT Q1 1].[What is your annual household income from all sources?].[All]" dimensionUniqueName="[PT Q1 1]" displayFolder="" count="0" memberValueDatatype="130" unbalanced="0"/>
    <cacheHierarchy uniqueName="[PT Q1 1].[What is your highest level of education?]" caption="What is your highest level of education?" attribute="1" defaultMemberUniqueName="[PT Q1 1].[What is your highest level of education?].[All]" allUniqueName="[PT Q1 1].[What is your highest level of education?].[All]" dimensionUniqueName="[PT Q1 1]" displayFolder="" count="0" memberValueDatatype="130" unbalanced="0"/>
    <cacheHierarchy uniqueName="[PT Q1 1].[What is your current employment status?]" caption="What is your current employment status?" attribute="1" defaultMemberUniqueName="[PT Q1 1].[What is your current employment status?].[All]" allUniqueName="[PT Q1 1].[What is your current employment status?].[All]" dimensionUniqueName="[PT Q1 1]" displayFolder="" count="0" memberValueDatatype="130" unbalanced="0"/>
    <cacheHierarchy uniqueName="[PT Q1 1].[Do you currently have health insurance?]" caption="Do you currently have health insurance?" attribute="1" defaultMemberUniqueName="[PT Q1 1].[Do you currently have health insurance?].[All]" allUniqueName="[PT Q1 1].[Do you currently have health insurance?].[All]" dimensionUniqueName="[PT Q1 1]" displayFolder="" count="0" memberValueDatatype="130" unbalanced="0"/>
    <cacheHierarchy uniqueName="[PT Q1 1].[What type of insurance do you have?]" caption="What type of insurance do you have?" attribute="1" defaultMemberUniqueName="[PT Q1 1].[What type of insurance do you have?].[All]" allUniqueName="[PT Q1 1].[What type of insurance do you have?].[All]" dimensionUniqueName="[PT Q1 1]" displayFolder="" count="0" memberValueDatatype="130" unbalanced="0"/>
    <cacheHierarchy uniqueName="[PT Q1 1].[Do you have access to reliable internet in your home?]" caption="Do you have access to reliable internet in your home?" attribute="1" defaultMemberUniqueName="[PT Q1 1].[Do you have access to reliable internet in your home?].[All]" allUniqueName="[PT Q1 1].[Do you have access to reliable internet in your home?].[All]" dimensionUniqueName="[PT Q1 1]" displayFolder="" count="0" memberValueDatatype="130" unbalanced="0"/>
    <cacheHierarchy uniqueName="[PT Q1 1].[Female Flag]" caption="Female Flag" attribute="1" defaultMemberUniqueName="[PT Q1 1].[Female Flag].[All]" allUniqueName="[PT Q1 1].[Female Flag].[All]" dimensionUniqueName="[PT Q1 1]" displayFolder="" count="0" memberValueDatatype="20" unbalanced="0"/>
    <cacheHierarchy uniqueName="[PT Q1 1].[Male Flag]" caption="Male Flag" attribute="1" defaultMemberUniqueName="[PT Q1 1].[Male Flag].[All]" allUniqueName="[PT Q1 1].[Male Flag].[All]" dimensionUniqueName="[PT Q1 1]" displayFolder="" count="0" memberValueDatatype="20" unbalanced="0"/>
    <cacheHierarchy uniqueName="[PT Q1 1].[Other Flag]" caption="Other Flag" attribute="1" defaultMemberUniqueName="[PT Q1 1].[Other Flag].[All]" allUniqueName="[PT Q1 1].[Other Flag].[All]" dimensionUniqueName="[PT Q1 1]" displayFolder="" count="0" memberValueDatatype="20" unbalanced="0"/>
    <cacheHierarchy uniqueName="[PT Q1 1].[Hispanic Flag]" caption="Hispanic Flag" attribute="1" defaultMemberUniqueName="[PT Q1 1].[Hispanic Flag].[All]" allUniqueName="[PT Q1 1].[Hispanic Flag].[All]" dimensionUniqueName="[PT Q1 1]" displayFolder="" count="0" memberValueDatatype="20" unbalanced="0"/>
    <cacheHierarchy uniqueName="[PT Q1 1].[White/Caucasian Flag]" caption="White/Caucasian Flag" attribute="1" defaultMemberUniqueName="[PT Q1 1].[White/Caucasian Flag].[All]" allUniqueName="[PT Q1 1].[White/Caucasian Flag].[All]" dimensionUniqueName="[PT Q1 1]" displayFolder="" count="0" memberValueDatatype="20" unbalanced="0"/>
    <cacheHierarchy uniqueName="[PT Q1 1].[Black/African American Flag]" caption="Black/African American Flag" attribute="1" defaultMemberUniqueName="[PT Q1 1].[Black/African American Flag].[All]" allUniqueName="[PT Q1 1].[Black/African American Flag].[All]" dimensionUniqueName="[PT Q1 1]" displayFolder="" count="0" memberValueDatatype="20" unbalanced="0"/>
    <cacheHierarchy uniqueName="[PT Q1 1].[Asian/Pacific Islander Flag]" caption="Asian/Pacific Islander Flag" attribute="1" defaultMemberUniqueName="[PT Q1 1].[Asian/Pacific Islander Flag].[All]" allUniqueName="[PT Q1 1].[Asian/Pacific Islander Flag].[All]" dimensionUniqueName="[PT Q1 1]" displayFolder="" count="0" memberValueDatatype="20" unbalanced="0"/>
    <cacheHierarchy uniqueName="[PT Q1 1].[Native American Flag]" caption="Native American Flag" attribute="1" defaultMemberUniqueName="[PT Q1 1].[Native American Flag].[All]" allUniqueName="[PT Q1 1].[Native American Flag].[All]" dimensionUniqueName="[PT Q1 1]" displayFolder="" count="0" memberValueDatatype="20" unbalanced="0"/>
    <cacheHierarchy uniqueName="[PT Q1 1].[Multi-racial Flag]" caption="Multi-racial Flag" attribute="1" defaultMemberUniqueName="[PT Q1 1].[Multi-racial Flag].[All]" allUniqueName="[PT Q1 1].[Multi-racial Flag].[All]" dimensionUniqueName="[PT Q1 1]" displayFolder="" count="0" memberValueDatatype="20" unbalanced="0"/>
    <cacheHierarchy uniqueName="[PT Q1 1].[Other Race Flag]" caption="Other Race Flag" attribute="1" defaultMemberUniqueName="[PT Q1 1].[Other Race Flag].[All]" allUniqueName="[PT Q1 1].[Other Race Flag].[All]" dimensionUniqueName="[PT Q1 1]" displayFolder="" count="0" memberValueDatatype="20" unbalanced="0"/>
    <cacheHierarchy uniqueName="[PT Q1 1].[$0-$19,999 Flag]" caption="$0-$19,999 Flag" attribute="1" defaultMemberUniqueName="[PT Q1 1].[$0-$19,999 Flag].[All]" allUniqueName="[PT Q1 1].[$0-$19,999 Flag].[All]" dimensionUniqueName="[PT Q1 1]" displayFolder="" count="0" memberValueDatatype="20" unbalanced="0"/>
    <cacheHierarchy uniqueName="[PT Q1 1].[$20,000 to $34,999 Flag]" caption="$20,000 to $34,999 Flag" attribute="1" defaultMemberUniqueName="[PT Q1 1].[$20,000 to $34,999 Flag].[All]" allUniqueName="[PT Q1 1].[$20,000 to $34,999 Flag].[All]" dimensionUniqueName="[PT Q1 1]" displayFolder="" count="0" memberValueDatatype="20" unbalanced="0"/>
    <cacheHierarchy uniqueName="[PT Q1 1].[$35,000 to $49,999 Flag]" caption="$35,000 to $49,999 Flag" attribute="1" defaultMemberUniqueName="[PT Q1 1].[$35,000 to $49,999 Flag].[All]" allUniqueName="[PT Q1 1].[$35,000 to $49,999 Flag].[All]" dimensionUniqueName="[PT Q1 1]" displayFolder="" count="0" memberValueDatatype="20" unbalanced="0"/>
    <cacheHierarchy uniqueName="[PT Q1 1].[$50,000 to $74,999 Flag]" caption="$50,000 to $74,999 Flag" attribute="1" defaultMemberUniqueName="[PT Q1 1].[$50,000 to $74,999 Flag].[All]" allUniqueName="[PT Q1 1].[$50,000 to $74,999 Flag].[All]" dimensionUniqueName="[PT Q1 1]" displayFolder="" count="0" memberValueDatatype="20" unbalanced="0"/>
    <cacheHierarchy uniqueName="[PT Q1 1].[$75,000 to $125,000 Flag]" caption="$75,000 to $125,000 Flag" attribute="1" defaultMemberUniqueName="[PT Q1 1].[$75,000 to $125,000 Flag].[All]" allUniqueName="[PT Q1 1].[$75,000 to $125,000 Flag].[All]" dimensionUniqueName="[PT Q1 1]" displayFolder="" count="0" memberValueDatatype="20" unbalanced="0"/>
    <cacheHierarchy uniqueName="[PT Q1 1].[Over $125,000 Flag]" caption="Over $125,000 Flag" attribute="1" defaultMemberUniqueName="[PT Q1 1].[Over $125,000 Flag].[All]" allUniqueName="[PT Q1 1].[Over $125,000 Flag].[All]" dimensionUniqueName="[PT Q1 1]" displayFolder="" count="0" memberValueDatatype="20" unbalanced="0"/>
    <cacheHierarchy uniqueName="[PT Q1 1].[18-24 Flag]" caption="18-24 Flag" attribute="1" defaultMemberUniqueName="[PT Q1 1].[18-24 Flag].[All]" allUniqueName="[PT Q1 1].[18-24 Flag].[All]" dimensionUniqueName="[PT Q1 1]" displayFolder="" count="0" memberValueDatatype="20" unbalanced="0"/>
    <cacheHierarchy uniqueName="[PT Q1 1].[25-34 Flag]" caption="25-34 Flag" attribute="1" defaultMemberUniqueName="[PT Q1 1].[25-34 Flag].[All]" allUniqueName="[PT Q1 1].[25-34 Flag].[All]" dimensionUniqueName="[PT Q1 1]" displayFolder="" count="0" memberValueDatatype="20" unbalanced="0"/>
    <cacheHierarchy uniqueName="[PT Q1 1].[35-44 Flag]" caption="35-44 Flag" attribute="1" defaultMemberUniqueName="[PT Q1 1].[35-44 Flag].[All]" allUniqueName="[PT Q1 1].[35-44 Flag].[All]" dimensionUniqueName="[PT Q1 1]" displayFolder="" count="0" memberValueDatatype="20" unbalanced="0"/>
    <cacheHierarchy uniqueName="[PT Q1 1].[45-54 Flag]" caption="45-54 Flag" attribute="1" defaultMemberUniqueName="[PT Q1 1].[45-54 Flag].[All]" allUniqueName="[PT Q1 1].[45-54 Flag].[All]" dimensionUniqueName="[PT Q1 1]" displayFolder="" count="0" memberValueDatatype="20" unbalanced="0"/>
    <cacheHierarchy uniqueName="[PT Q1 1].[55-64 Flag]" caption="55-64 Flag" attribute="1" defaultMemberUniqueName="[PT Q1 1].[55-64 Flag].[All]" allUniqueName="[PT Q1 1].[55-64 Flag].[All]" dimensionUniqueName="[PT Q1 1]" displayFolder="" count="0" memberValueDatatype="20" unbalanced="0"/>
    <cacheHierarchy uniqueName="[PT Q1 1].[65+ Flag]" caption="65+ Flag" attribute="1" defaultMemberUniqueName="[PT Q1 1].[65+ Flag].[All]" allUniqueName="[PT Q1 1].[65+ Flag].[All]" dimensionUniqueName="[PT Q1 1]" displayFolder="" count="0" memberValueDatatype="20" unbalanced="0"/>
    <cacheHierarchy uniqueName="[PT Q1 1].[K-8th Flag]" caption="K-8th Flag" attribute="1" defaultMemberUniqueName="[PT Q1 1].[K-8th Flag].[All]" allUniqueName="[PT Q1 1].[K-8th Flag].[All]" dimensionUniqueName="[PT Q1 1]" displayFolder="" count="0" memberValueDatatype="20" unbalanced="0"/>
    <cacheHierarchy uniqueName="[PT Q1 1].[Some high school Flag]" caption="Some high school Flag" attribute="1" defaultMemberUniqueName="[PT Q1 1].[Some high school Flag].[All]" allUniqueName="[PT Q1 1].[Some high school Flag].[All]" dimensionUniqueName="[PT Q1 1]" displayFolder="" count="0" memberValueDatatype="20" unbalanced="0"/>
    <cacheHierarchy uniqueName="[PT Q1 1].[High school graduate Flag]" caption="High school graduate Flag" attribute="1" defaultMemberUniqueName="[PT Q1 1].[High school graduate Flag].[All]" allUniqueName="[PT Q1 1].[High school graduate Flag].[All]" dimensionUniqueName="[PT Q1 1]" displayFolder="" count="0" memberValueDatatype="20" unbalanced="0"/>
    <cacheHierarchy uniqueName="[PT Q1 1].[Technical school Flag]" caption="Technical school Flag" attribute="1" defaultMemberUniqueName="[PT Q1 1].[Technical school Flag].[All]" allUniqueName="[PT Q1 1].[Technical school Flag].[All]" dimensionUniqueName="[PT Q1 1]" displayFolder="" count="0" memberValueDatatype="20" unbalanced="0"/>
    <cacheHierarchy uniqueName="[PT Q1 1].[Some college Flag]" caption="Some college Flag" attribute="1" defaultMemberUniqueName="[PT Q1 1].[Some college Flag].[All]" allUniqueName="[PT Q1 1].[Some college Flag].[All]" dimensionUniqueName="[PT Q1 1]" displayFolder="" count="0" memberValueDatatype="20" unbalanced="0"/>
    <cacheHierarchy uniqueName="[PT Q1 1].[College graduate Flag]" caption="College graduate Flag" attribute="1" defaultMemberUniqueName="[PT Q1 1].[College graduate Flag].[All]" allUniqueName="[PT Q1 1].[College graduate Flag].[All]" dimensionUniqueName="[PT Q1 1]" displayFolder="" count="0" memberValueDatatype="20" unbalanced="0"/>
    <cacheHierarchy uniqueName="[PT Q1 1].[Graduate school Flag]" caption="Graduate school Flag" attribute="1" defaultMemberUniqueName="[PT Q1 1].[Graduate school Flag].[All]" allUniqueName="[PT Q1 1].[Graduate school Flag].[All]" dimensionUniqueName="[PT Q1 1]" displayFolder="" count="0" memberValueDatatype="20" unbalanced="0"/>
    <cacheHierarchy uniqueName="[PT Q1 1].[Doctorate Flag]" caption="Doctorate Flag" attribute="1" defaultMemberUniqueName="[PT Q1 1].[Doctorate Flag].[All]" allUniqueName="[PT Q1 1].[Doctorate Flag].[All]" dimensionUniqueName="[PT Q1 1]" displayFolder="" count="0" memberValueDatatype="20" unbalanced="0"/>
    <cacheHierarchy uniqueName="[PT Q1 1].[GED Flag]" caption="GED Flag" attribute="1" defaultMemberUniqueName="[PT Q1 1].[GED Flag].[All]" allUniqueName="[PT Q1 1].[GED Flag].[All]" dimensionUniqueName="[PT Q1 1]" displayFolder="" count="0" memberValueDatatype="20" unbalanced="0"/>
    <cacheHierarchy uniqueName="[PT Q1 1].[None Flag]" caption="None Flag" attribute="1" defaultMemberUniqueName="[PT Q1 1].[None Flag].[All]" allUniqueName="[PT Q1 1].[None Flag].[All]" dimensionUniqueName="[PT Q1 1]" displayFolder="" count="0" memberValueDatatype="20" unbalanced="0"/>
    <cacheHierarchy uniqueName="[PT Q1 1].[Employed for Wages Flag]" caption="Employed for Wages Flag" attribute="1" defaultMemberUniqueName="[PT Q1 1].[Employed for Wages Flag].[All]" allUniqueName="[PT Q1 1].[Employed for Wages Flag].[All]" dimensionUniqueName="[PT Q1 1]" displayFolder="" count="0" memberValueDatatype="20" unbalanced="0"/>
    <cacheHierarchy uniqueName="[PT Q1 1].[Self-employed Flag]" caption="Self-employed Flag" attribute="1" defaultMemberUniqueName="[PT Q1 1].[Self-employed Flag].[All]" allUniqueName="[PT Q1 1].[Self-employed Flag].[All]" dimensionUniqueName="[PT Q1 1]" displayFolder="" count="0" memberValueDatatype="20" unbalanced="0"/>
    <cacheHierarchy uniqueName="[PT Q1 1].[Student Flag]" caption="Student Flag" attribute="1" defaultMemberUniqueName="[PT Q1 1].[Student Flag].[All]" allUniqueName="[PT Q1 1].[Student Flag].[All]" dimensionUniqueName="[PT Q1 1]" displayFolder="" count="0" memberValueDatatype="20" unbalanced="0"/>
    <cacheHierarchy uniqueName="[PT Q1 1].[Retired Flag]" caption="Retired Flag" attribute="1" defaultMemberUniqueName="[PT Q1 1].[Retired Flag].[All]" allUniqueName="[PT Q1 1].[Retired Flag].[All]" dimensionUniqueName="[PT Q1 1]" displayFolder="" count="0" memberValueDatatype="20" unbalanced="0"/>
    <cacheHierarchy uniqueName="[PT Q1 1].[Military Flag]" caption="Military Flag" attribute="1" defaultMemberUniqueName="[PT Q1 1].[Military Flag].[All]" allUniqueName="[PT Q1 1].[Military Flag].[All]" dimensionUniqueName="[PT Q1 1]" displayFolder="" count="0" memberValueDatatype="20" unbalanced="0"/>
    <cacheHierarchy uniqueName="[PT Q1 1].[Out of work and looking for work Flag]" caption="Out of work and looking for work Flag" attribute="1" defaultMemberUniqueName="[PT Q1 1].[Out of work and looking for work Flag].[All]" allUniqueName="[PT Q1 1].[Out of work and looking for work Flag].[All]" dimensionUniqueName="[PT Q1 1]" displayFolder="" count="0" memberValueDatatype="20" unbalanced="0"/>
    <cacheHierarchy uniqueName="[PT Q1 1].[Out of work, but not currently looking Flag]" caption="Out of work, but not currently looking Flag" attribute="1" defaultMemberUniqueName="[PT Q1 1].[Out of work, but not currently looking Flag].[All]" allUniqueName="[PT Q1 1].[Out of work, but not currently looking Flag].[All]" dimensionUniqueName="[PT Q1 1]" displayFolder="" count="0" memberValueDatatype="20" unbalanced="0"/>
    <cacheHierarchy uniqueName="[PT Q1 1].[Currently Insured Flag]" caption="Currently Insured Flag" attribute="1" defaultMemberUniqueName="[PT Q1 1].[Currently Insured Flag].[All]" allUniqueName="[PT Q1 1].[Currently Insured Flag].[All]" dimensionUniqueName="[PT Q1 1]" displayFolder="" count="0" memberValueDatatype="20" unbalanced="0"/>
    <cacheHierarchy uniqueName="[PT Q1 1].[Previously Insured Flag]" caption="Previously Insured Flag" attribute="1" defaultMemberUniqueName="[PT Q1 1].[Previously Insured Flag].[All]" allUniqueName="[PT Q1 1].[Previously Insured Flag].[All]" dimensionUniqueName="[PT Q1 1]" displayFolder="" count="0" memberValueDatatype="20" unbalanced="0"/>
    <cacheHierarchy uniqueName="[PT Q1 1].[Not Insured Flag]" caption="Not Insured Flag" attribute="1" defaultMemberUniqueName="[PT Q1 1].[Not Insured Flag].[All]" allUniqueName="[PT Q1 1].[Not Insured Flag].[All]" dimensionUniqueName="[PT Q1 1]" displayFolder="" count="0" memberValueDatatype="20" unbalanced="0"/>
    <cacheHierarchy uniqueName="[PT Q1 1].[Medicaid Flag]" caption="Medicaid Flag" attribute="1" defaultMemberUniqueName="[PT Q1 1].[Medicaid Flag].[All]" allUniqueName="[PT Q1 1].[Medicaid Flag].[All]" dimensionUniqueName="[PT Q1 1]" displayFolder="" count="0" memberValueDatatype="20" unbalanced="0"/>
    <cacheHierarchy uniqueName="[PT Q1 1].[Medicaid,Medicare Flag]" caption="Medicaid,Medicare Flag" attribute="1" defaultMemberUniqueName="[PT Q1 1].[Medicaid,Medicare Flag].[All]" allUniqueName="[PT Q1 1].[Medicaid,Medicare Flag].[All]" dimensionUniqueName="[PT Q1 1]" displayFolder="" count="0" memberValueDatatype="20" unbalanced="0"/>
    <cacheHierarchy uniqueName="[PT Q1 1].[Medicaid,Medicare,Private/Commercial Flag]" caption="Medicaid,Medicare,Private/Commercial Flag" attribute="1" defaultMemberUniqueName="[PT Q1 1].[Medicaid,Medicare,Private/Commercial Flag].[All]" allUniqueName="[PT Q1 1].[Medicaid,Medicare,Private/Commercial Flag].[All]" dimensionUniqueName="[PT Q1 1]" displayFolder="" count="0" memberValueDatatype="20" unbalanced="0"/>
    <cacheHierarchy uniqueName="[PT Q1 1].[Medicaid,Private/Commercial Flag]" caption="Medicaid,Private/Commercial Flag" attribute="1" defaultMemberUniqueName="[PT Q1 1].[Medicaid,Private/Commercial Flag].[All]" allUniqueName="[PT Q1 1].[Medicaid,Private/Commercial Flag].[All]" dimensionUniqueName="[PT Q1 1]" displayFolder="" count="0" memberValueDatatype="20" unbalanced="0"/>
    <cacheHierarchy uniqueName="[PT Q1 1].[Medicare Flag]" caption="Medicare Flag" attribute="1" defaultMemberUniqueName="[PT Q1 1].[Medicare Flag].[All]" allUniqueName="[PT Q1 1].[Medicare Flag].[All]" dimensionUniqueName="[PT Q1 1]" displayFolder="" count="0" memberValueDatatype="20" unbalanced="0"/>
    <cacheHierarchy uniqueName="[PT Q1 1].[Medicare,No Insurance Flag]" caption="Medicare,No Insurance Flag" attribute="1" defaultMemberUniqueName="[PT Q1 1].[Medicare,No Insurance Flag].[All]" allUniqueName="[PT Q1 1].[Medicare,No Insurance Flag].[All]" dimensionUniqueName="[PT Q1 1]" displayFolder="" count="0" memberValueDatatype="20" unbalanced="0"/>
    <cacheHierarchy uniqueName="[PT Q1 1].[Medicare,Private/Commercial Flag]" caption="Medicare,Private/Commercial Flag" attribute="1" defaultMemberUniqueName="[PT Q1 1].[Medicare,Private/Commercial Flag].[All]" allUniqueName="[PT Q1 1].[Medicare,Private/Commercial Flag].[All]" dimensionUniqueName="[PT Q1 1]" displayFolder="" count="0" memberValueDatatype="20" unbalanced="0"/>
    <cacheHierarchy uniqueName="[PT Q1 1].[No Insurance Flag]" caption="No Insurance Flag" attribute="1" defaultMemberUniqueName="[PT Q1 1].[No Insurance Flag].[All]" allUniqueName="[PT Q1 1].[No Insurance Flag].[All]" dimensionUniqueName="[PT Q1 1]" displayFolder="" count="0" memberValueDatatype="20" unbalanced="0"/>
    <cacheHierarchy uniqueName="[PT Q1 1].[Private/Commercial Flag]" caption="Private/Commercial Flag" attribute="1" defaultMemberUniqueName="[PT Q1 1].[Private/Commercial Flag].[All]" allUniqueName="[PT Q1 1].[Private/Commercial Flag].[All]" dimensionUniqueName="[PT Q1 1]" displayFolder="" count="0" memberValueDatatype="20" unbalanced="0"/>
    <cacheHierarchy uniqueName="[PT Q1 1].[Reliable Internet Flag]" caption="Reliable Internet Flag" attribute="1" defaultMemberUniqueName="[PT Q1 1].[Reliable Internet Flag].[All]" allUniqueName="[PT Q1 1].[Reliable Internet Flag].[All]" dimensionUniqueName="[PT Q1 1]" displayFolder="" count="0" memberValueDatatype="2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OTHER]" caption="OTHER" attribute="1" defaultMemberUniqueName="[PT Q2].[OTHER].[All]" allUniqueName="[PT Q2].[OTHER].[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5"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2"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2"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2"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2"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2"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2"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2"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2" memberValueDatatype="130" unbalanced="0"/>
    <cacheHierarchy uniqueName="[PT Q2].[What type of insurance do you have?]" caption="What type of insurance do you have?" attribute="1" defaultMemberUniqueName="[PT Q2].[What type of insurance do you have?].[All]" allUniqueName="[PT Q2].[What type of insurance do you have?].[All]" dimensionUniqueName="[PT Q2]" displayFolder="" count="0" memberValueDatatype="130" unbalanced="0"/>
    <cacheHierarchy uniqueName="[PT Q2].[Do you have access to reliable internet in your home?]" caption="Do you have access to reliable internet in your home?" attribute="1" defaultMemberUniqueName="[PT Q2].[Do you have access to reliable internet in your home?].[All]" allUniqueName="[PT Q2].[Do you have access to reliable internet in your hom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immigration status)]" caption="Fear (e.g. not ready to face/discuss health problem; immigration status)" attribute="1" defaultMemberUniqueName="[PT Q3].[Fear (e.g. not ready to face/discuss health problem; immigration status)].[All]" allUniqueName="[PT Q3].[Fear (e.g. not ready to face/discuss health problem; immigration status)].[All]" dimensionUniqueName="[PT Q3]" displayFolder="" count="0" memberValueDatatype="130" unbalanced="0"/>
    <cacheHierarchy uniqueName="[PT Q3].[OTHER]" caption="OTHER" attribute="1" defaultMemberUniqueName="[PT Q3].[OTHER].[All]" allUniqueName="[PT Q3].[OTHER].[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immigration status)14]" caption="Fear (e.g. not ready to face/discuss health problem;immigration status)14" attribute="1" defaultMemberUniqueName="[PT Q3].[Fear (e.g. not ready to face/discuss health problem;immigration status)14].[All]" allUniqueName="[PT Q3].[Fear (e.g. not ready to face/discuss health problem;immigration status)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What type of insurance do you have?]" caption="What type of insurance do you have?" attribute="1" defaultMemberUniqueName="[PT Q3].[What type of insurance do you have?].[All]" allUniqueName="[PT Q3].[What type of insurance do you have?].[All]" dimensionUniqueName="[PT Q3]" displayFolder="" count="0" memberValueDatatype="130" unbalanced="0"/>
    <cacheHierarchy uniqueName="[PT Q3].[Do you have access to reliable internet in your home?]" caption="Do you have access to reliable internet in your home?" attribute="1" defaultMemberUniqueName="[PT Q3].[Do you have access to reliable internet in your home?].[All]" allUniqueName="[PT Q3].[Do you have access to reliable internet in your hom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OTHER]" caption="OTHER" attribute="1" defaultMemberUniqueName="[PT Q4].[OTHER].[All]" allUniqueName="[PT Q4].[OTHER].[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What type of insurance do you have?]" caption="What type of insurance do you have?" attribute="1" defaultMemberUniqueName="[PT Q4].[What type of insurance do you have?].[All]" allUniqueName="[PT Q4].[What type of insurance do you have?].[All]" dimensionUniqueName="[PT Q4]" displayFolder="" count="0" memberValueDatatype="130" unbalanced="0"/>
    <cacheHierarchy uniqueName="[PT Q4].[Do you have access to reliable internet in your home?]" caption="Do you have access to reliable internet in your home?" attribute="1" defaultMemberUniqueName="[PT Q4].[Do you have access to reliable internet in your home?].[All]" allUniqueName="[PT Q4].[Do you have access to reliable internet in your hom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OTHER]" caption="OTHER" attribute="1" defaultMemberUniqueName="[PT Q5].[OTHER].[All]" allUniqueName="[PT Q5].[OTHER].[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What type of insurance do you have?]" caption="What type of insurance do you have?" attribute="1" defaultMemberUniqueName="[PT Q5].[What type of insurance do you have?].[All]" allUniqueName="[PT Q5].[What type of insurance do you have?].[All]" dimensionUniqueName="[PT Q5]" displayFolder="" count="0" memberValueDatatype="130" unbalanced="0"/>
    <cacheHierarchy uniqueName="[PT Q5].[Do you have access to reliable internet in your home?]" caption="Do you have access to reliable internet in your home?" attribute="1" defaultMemberUniqueName="[PT Q5].[Do you have access to reliable internet in your home?].[All]" allUniqueName="[PT Q5].[Do you have access to reliable internet in your hom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What type of insurance do you have?]" caption="What type of insurance do you have?" attribute="1" defaultMemberUniqueName="[PT Q6].[What type of insurance do you have?].[All]" allUniqueName="[PT Q6].[What type of insurance do you have?].[All]" dimensionUniqueName="[PT Q6]" displayFolder="" count="0" memberValueDatatype="130" unbalanced="0"/>
    <cacheHierarchy uniqueName="[PT Q6].[Do you have access to reliable internet in your home?]" caption="Do you have access to reliable internet in your home?" attribute="1" defaultMemberUniqueName="[PT Q6].[Do you have access to reliable internet in your home?].[All]" allUniqueName="[PT Q6].[Do you have access to reliable internet in your hom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198"/>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198"/>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216"/>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217"/>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222"/>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207"/>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209"/>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224"/>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226"/>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227"/>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218"/>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220"/>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225"/>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228"/>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219"/>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221"/>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223"/>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24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248"/>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26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26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269"/>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26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26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27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26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27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26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292"/>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292"/>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309"/>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312"/>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315"/>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318"/>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310"/>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313"/>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316"/>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319"/>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320"/>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311"/>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314"/>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317"/>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340"/>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340"/>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363"/>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366"/>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369"/>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372"/>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378"/>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380"/>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364"/>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367"/>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370"/>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373"/>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376"/>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379"/>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365"/>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368"/>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371"/>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374"/>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377"/>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401"/>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404"/>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407"/>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410"/>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412"/>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402"/>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405"/>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408"/>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411"/>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413"/>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403"/>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406"/>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409"/>
        </ext>
      </extLst>
    </cacheHierarchy>
    <cacheHierarchy uniqueName="[Measures].[Sum of Fear (eg not ready to facediscuss health problemimmigration status)14]" caption="Sum of Fear (eg not ready to facediscuss health problemimmigration status)14" measure="1" displayFolder="" measureGroup="PT Q3" count="0">
      <extLst>
        <ext xmlns:x15="http://schemas.microsoft.com/office/spreadsheetml/2010/11/main" uri="{B97F6D7D-B522-45F9-BDA1-12C45D357490}">
          <x15:cacheHierarchy aggregatedColumn="272"/>
        </ext>
      </extLst>
    </cacheHierarchy>
    <cacheHierarchy uniqueName="[Measures].[Sum of RespondentID 7]" caption="Sum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Women’s health  wellness10 3]" caption="Sum of Women’s health  wellness10 3" measure="1" displayFolder="" measureGroup="PT Q1 1" count="0">
      <extLst>
        <ext xmlns:x15="http://schemas.microsoft.com/office/spreadsheetml/2010/11/main" uri="{B97F6D7D-B522-45F9-BDA1-12C45D357490}">
          <x15:cacheHierarchy aggregatedColumn="121"/>
        </ext>
      </extLst>
    </cacheHierarchy>
    <cacheHierarchy uniqueName="[Measures].[Count of RespondentID 7]" caption="Count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Asthmalung disease3 3]" caption="Sum of Asthmalung disease3 3" measure="1" displayFolder="" measureGroup="PT Q1 1" count="0">
      <extLst>
        <ext xmlns:x15="http://schemas.microsoft.com/office/spreadsheetml/2010/11/main" uri="{B97F6D7D-B522-45F9-BDA1-12C45D357490}">
          <x15:cacheHierarchy aggregatedColumn="114"/>
        </ext>
      </extLst>
    </cacheHierarchy>
    <cacheHierarchy uniqueName="[Measures].[Sum of Cancer4 3]" caption="Sum of Cancer4 3" measure="1" displayFolder="" measureGroup="PT Q1 1" count="0">
      <extLst>
        <ext xmlns:x15="http://schemas.microsoft.com/office/spreadsheetml/2010/11/main" uri="{B97F6D7D-B522-45F9-BDA1-12C45D357490}">
          <x15:cacheHierarchy aggregatedColumn="115"/>
        </ext>
      </extLst>
    </cacheHierarchy>
    <cacheHierarchy uniqueName="[Measures].[Sum of Heart disease  stroke5 3]" caption="Sum of Heart disease  stroke5 3" measure="1" displayFolder="" measureGroup="PT Q1 1" count="0">
      <extLst>
        <ext xmlns:x15="http://schemas.microsoft.com/office/spreadsheetml/2010/11/main" uri="{B97F6D7D-B522-45F9-BDA1-12C45D357490}">
          <x15:cacheHierarchy aggregatedColumn="116"/>
        </ext>
      </extLst>
    </cacheHierarchy>
    <cacheHierarchy uniqueName="[Measures].[Sum of Safety6 3]" caption="Sum of Safety6 3" measure="1" displayFolder="" measureGroup="PT Q1 1" count="0">
      <extLst>
        <ext xmlns:x15="http://schemas.microsoft.com/office/spreadsheetml/2010/11/main" uri="{B97F6D7D-B522-45F9-BDA1-12C45D357490}">
          <x15:cacheHierarchy aggregatedColumn="117"/>
        </ext>
      </extLst>
    </cacheHierarchy>
    <cacheHierarchy uniqueName="[Measures].[Sum of HIVAIDS  Sexually Transmitted Diseases (STDs)7 3]" caption="Sum of HIVAIDS  Sexually Transmitted Diseases (STDs)7 3" measure="1" displayFolder="" measureGroup="PT Q1 1" count="0">
      <extLst>
        <ext xmlns:x15="http://schemas.microsoft.com/office/spreadsheetml/2010/11/main" uri="{B97F6D7D-B522-45F9-BDA1-12C45D357490}">
          <x15:cacheHierarchy aggregatedColumn="118"/>
        </ext>
      </extLst>
    </cacheHierarchy>
    <cacheHierarchy uniqueName="[Measures].[Sum of Vaccine preventable diseases8 3]" caption="Sum of Vaccine preventable diseases8 3" measure="1" displayFolder="" measureGroup="PT Q1 1" count="0">
      <extLst>
        <ext xmlns:x15="http://schemas.microsoft.com/office/spreadsheetml/2010/11/main" uri="{B97F6D7D-B522-45F9-BDA1-12C45D357490}">
          <x15:cacheHierarchy aggregatedColumn="119"/>
        </ext>
      </extLst>
    </cacheHierarchy>
    <cacheHierarchy uniqueName="[Measures].[Sum of Child health  wellness9 3]" caption="Sum of Child health  wellness9 3" measure="1" displayFolder="" measureGroup="PT Q1 1" count="0">
      <extLst>
        <ext xmlns:x15="http://schemas.microsoft.com/office/spreadsheetml/2010/11/main" uri="{B97F6D7D-B522-45F9-BDA1-12C45D357490}">
          <x15:cacheHierarchy aggregatedColumn="120"/>
        </ext>
      </extLst>
    </cacheHierarchy>
    <cacheHierarchy uniqueName="[Measures].[Sum of Diabetes11 3]" caption="Sum of Diabetes11 3" measure="1" displayFolder="" measureGroup="PT Q1 1" count="0">
      <extLst>
        <ext xmlns:x15="http://schemas.microsoft.com/office/spreadsheetml/2010/11/main" uri="{B97F6D7D-B522-45F9-BDA1-12C45D357490}">
          <x15:cacheHierarchy aggregatedColumn="122"/>
        </ext>
      </extLst>
    </cacheHierarchy>
    <cacheHierarchy uniqueName="[Measures].[Sum of Mental health depressionsuicide12 3]" caption="Sum of Mental health depressionsuicide12 3" measure="1" displayFolder="" measureGroup="PT Q1 1" count="0">
      <extLst>
        <ext xmlns:x15="http://schemas.microsoft.com/office/spreadsheetml/2010/11/main" uri="{B97F6D7D-B522-45F9-BDA1-12C45D357490}">
          <x15:cacheHierarchy aggregatedColumn="123"/>
        </ext>
      </extLst>
    </cacheHierarchy>
    <cacheHierarchy uniqueName="[Measures].[Sum of Drugs  alcohol abuse13 3]" caption="Sum of Drugs  alcohol abuse13 3" measure="1" displayFolder="" measureGroup="PT Q1 1" count="0">
      <extLst>
        <ext xmlns:x15="http://schemas.microsoft.com/office/spreadsheetml/2010/11/main" uri="{B97F6D7D-B522-45F9-BDA1-12C45D357490}">
          <x15:cacheHierarchy aggregatedColumn="124"/>
        </ext>
      </extLst>
    </cacheHierarchy>
    <cacheHierarchy uniqueName="[Measures].[Sum of Environmental hazards14 3]" caption="Sum of Environmental hazards14 3" measure="1" displayFolder="" measureGroup="PT Q1 1" count="0">
      <extLst>
        <ext xmlns:x15="http://schemas.microsoft.com/office/spreadsheetml/2010/11/main" uri="{B97F6D7D-B522-45F9-BDA1-12C45D357490}">
          <x15:cacheHierarchy aggregatedColumn="125"/>
        </ext>
      </extLst>
    </cacheHierarchy>
    <cacheHierarchy uniqueName="[Measures].[Sum of Obesityweight loss issues15 3]" caption="Sum of Obesityweight loss issues15 3" measure="1" displayFolder="" measureGroup="PT Q1 1" count="0">
      <extLst>
        <ext xmlns:x15="http://schemas.microsoft.com/office/spreadsheetml/2010/11/main" uri="{B97F6D7D-B522-45F9-BDA1-12C45D357490}">
          <x15:cacheHierarchy aggregatedColumn="126"/>
        </ext>
      </extLst>
    </cacheHierarchy>
    <cacheHierarchy uniqueName="[Measures].[Sum of What is your age]" caption="Sum of What is your age" measure="1" displayFolder="" measureGroup="PT Q1 1" count="0">
      <extLst>
        <ext xmlns:x15="http://schemas.microsoft.com/office/spreadsheetml/2010/11/main" uri="{B97F6D7D-B522-45F9-BDA1-12C45D357490}">
          <x15:cacheHierarchy aggregatedColumn="134"/>
        </ext>
      </extLst>
    </cacheHierarchy>
    <cacheHierarchy uniqueName="[Measures].[Average of What is your age]" caption="Average of What is your age" measure="1" displayFolder="" measureGroup="PT Q1 1" count="0">
      <extLst>
        <ext xmlns:x15="http://schemas.microsoft.com/office/spreadsheetml/2010/11/main" uri="{B97F6D7D-B522-45F9-BDA1-12C45D357490}">
          <x15:cacheHierarchy aggregatedColumn="134"/>
        </ext>
      </extLst>
    </cacheHierarchy>
    <cacheHierarchy uniqueName="[Measures].[Count of What race do you consider yourself]" caption="Count of What race do you consider yourself" measure="1" displayFolder="" measureGroup="PT Q1 1" count="0">
      <extLst>
        <ext xmlns:x15="http://schemas.microsoft.com/office/spreadsheetml/2010/11/main" uri="{B97F6D7D-B522-45F9-BDA1-12C45D357490}">
          <x15:cacheHierarchy aggregatedColumn="137"/>
        </ext>
      </extLst>
    </cacheHierarchy>
    <cacheHierarchy uniqueName="[Measures].[Count of Do you currently have health insurance]" caption="Count of Do you currently have health insurance" measure="1" displayFolder="" measureGroup="PT Q1 1" count="0">
      <extLst>
        <ext xmlns:x15="http://schemas.microsoft.com/office/spreadsheetml/2010/11/main" uri="{B97F6D7D-B522-45F9-BDA1-12C45D357490}">
          <x15:cacheHierarchy aggregatedColumn="143"/>
        </ext>
      </extLst>
    </cacheHierarchy>
    <cacheHierarchy uniqueName="[Measures].[Count of What type of insurance do you have]" caption="Count of What type of insurance do you have" measure="1" displayFolder="" measureGroup="PT Q1 1" count="0">
      <extLst>
        <ext xmlns:x15="http://schemas.microsoft.com/office/spreadsheetml/2010/11/main" uri="{B97F6D7D-B522-45F9-BDA1-12C45D357490}">
          <x15:cacheHierarchy aggregatedColumn="144"/>
        </ext>
      </extLst>
    </cacheHierarchy>
    <cacheHierarchy uniqueName="[Measures].[Count of Do you have access to reliable internet in your home]" caption="Count of Do you have access to reliable internet in your home" measure="1" displayFolder="" measureGroup="PT Q1 1" count="0">
      <extLst>
        <ext xmlns:x15="http://schemas.microsoft.com/office/spreadsheetml/2010/11/main" uri="{B97F6D7D-B522-45F9-BDA1-12C45D357490}">
          <x15:cacheHierarchy aggregatedColumn="145"/>
        </ext>
      </extLst>
    </cacheHierarchy>
    <cacheHierarchy uniqueName="[Measures].[Sum of Female Flag]" caption="Sum of Female Flag" measure="1" displayFolder="" measureGroup="PT Q1 1" count="0">
      <extLst>
        <ext xmlns:x15="http://schemas.microsoft.com/office/spreadsheetml/2010/11/main" uri="{B97F6D7D-B522-45F9-BDA1-12C45D357490}">
          <x15:cacheHierarchy aggregatedColumn="146"/>
        </ext>
      </extLst>
    </cacheHierarchy>
    <cacheHierarchy uniqueName="[Measures].[Sum of Male Flag]" caption="Sum of Male Flag" measure="1" displayFolder="" measureGroup="PT Q1 1" count="0">
      <extLst>
        <ext xmlns:x15="http://schemas.microsoft.com/office/spreadsheetml/2010/11/main" uri="{B97F6D7D-B522-45F9-BDA1-12C45D357490}">
          <x15:cacheHierarchy aggregatedColumn="147"/>
        </ext>
      </extLst>
    </cacheHierarchy>
    <cacheHierarchy uniqueName="[Measures].[Sum of WhiteCaucasian Flag]" caption="Sum of WhiteCaucasian Flag" measure="1" displayFolder="" measureGroup="PT Q1 1" count="0">
      <extLst>
        <ext xmlns:x15="http://schemas.microsoft.com/office/spreadsheetml/2010/11/main" uri="{B97F6D7D-B522-45F9-BDA1-12C45D357490}">
          <x15:cacheHierarchy aggregatedColumn="150"/>
        </ext>
      </extLst>
    </cacheHierarchy>
    <cacheHierarchy uniqueName="[Measures].[Sum of BlackAfrican American Flag]" caption="Sum of BlackAfrican American Flag" measure="1" displayFolder="" measureGroup="PT Q1 1" count="0">
      <extLst>
        <ext xmlns:x15="http://schemas.microsoft.com/office/spreadsheetml/2010/11/main" uri="{B97F6D7D-B522-45F9-BDA1-12C45D357490}">
          <x15:cacheHierarchy aggregatedColumn="151"/>
        </ext>
      </extLst>
    </cacheHierarchy>
    <cacheHierarchy uniqueName="[Measures].[Total Respondents]" caption="Total Respondents" measure="1" displayFolder="" measureGroup="PT Q1" count="0"/>
    <cacheHierarchy uniqueName="[Measures].[Woman]" caption="Woman" measure="1" displayFolder="" measureGroup="PT Q1" count="0"/>
    <cacheHierarchy uniqueName="[Measures].[Man]" caption="Man" measure="1" displayFolder="" measureGroup="PT Q1" count="0"/>
    <cacheHierarchy uniqueName="[Measures].[Transgender]" caption="Transgender" measure="1" displayFolder="" measureGroup="PT Q1" count="0"/>
    <cacheHierarchy uniqueName="[Measures].[Other Gender]" caption="Other Gender" measure="1" displayFolder="" measureGroup="PT Q1" count="0"/>
    <cacheHierarchy uniqueName="[Measures].[Ethnicity]" caption="Ethnicity" measure="1" displayFolder="" measureGroup="PT Q1" count="0"/>
    <cacheHierarchy uniqueName="[Measures].[White]" caption="White" measure="1" displayFolder="" measureGroup="PT Q1" count="0"/>
    <cacheHierarchy uniqueName="[Measures].[Black/African American]" caption="Black/African American" measure="1" displayFolder="" measureGroup="PT Q1" count="0"/>
    <cacheHierarchy uniqueName="[Measures].[Native Hawaiian/Pacific Islander]" caption="Native Hawaiian/Pacific Islander" measure="1" displayFolder="" measureGroup="PT Q1" count="0"/>
    <cacheHierarchy uniqueName="[Measures].[American Indian/Alaska Native]" caption="American Indian/Alaska Native" measure="1" displayFolder="" measureGroup="PT Q1" count="0"/>
    <cacheHierarchy uniqueName="[Measures].[Multi-racial]" caption="Multi-racial" measure="1" displayFolder="" measureGroup="PT Q1" count="0"/>
    <cacheHierarchy uniqueName="[Measures].[Other Race]" caption="Other Race" measure="1" displayFolder="" measureGroup="PT Q1" count="0"/>
    <cacheHierarchy uniqueName="[Measures].[Income $0-$19,999]" caption="Income $0-$19,999" measure="1" displayFolder="" measureGroup="PT Q1" count="0"/>
    <cacheHierarchy uniqueName="[Measures].[Income $20,000 to $34,999]" caption="Income $20,000 to $34,999" measure="1" displayFolder="" measureGroup="PT Q1" count="0"/>
    <cacheHierarchy uniqueName="[Measures].[Income $35,000 to $49,999]" caption="Income $35,000 to $49,999" measure="1" displayFolder="" measureGroup="PT Q1" count="0"/>
    <cacheHierarchy uniqueName="[Measures].[income $50,000 to $74,999]" caption="income $50,000 to $74,999" measure="1" displayFolder="" measureGroup="PT Q1" count="0"/>
    <cacheHierarchy uniqueName="[Measures].[Income $75,000 to $125,000]" caption="Income $75,000 to $125,000" measure="1" displayFolder="" measureGroup="PT Q1" count="0"/>
    <cacheHierarchy uniqueName="[Measures].[Income Over $125,000]" caption="Income Over $125,000" measure="1" displayFolder="" measureGroup="PT Q1" count="0"/>
    <cacheHierarchy uniqueName="[Measures].[Age 18-24]" caption="Age 18-24" measure="1" displayFolder="" measureGroup="PT Q1" count="0"/>
    <cacheHierarchy uniqueName="[Measures].[Age 25 to 34]" caption="Age 25 to 34" measure="1" displayFolder="" measureGroup="PT Q1" count="0"/>
    <cacheHierarchy uniqueName="[Measures].[Age 35 to 44]" caption="Age 35 to 44" measure="1" displayFolder="" measureGroup="PT Q1" count="0"/>
    <cacheHierarchy uniqueName="[Measures].[Age 45 to 54]" caption="Age 45 to 54" measure="1" displayFolder="" measureGroup="PT Q1" count="0"/>
    <cacheHierarchy uniqueName="[Measures].[Age 55 to 64]" caption="Age 55 to 64" measure="1" displayFolder="" measureGroup="PT Q1" count="0"/>
    <cacheHierarchy uniqueName="[Measures].[Age 65+]" caption="Age 65+" measure="1" displayFolder="" measureGroup="PT Q1" count="0"/>
    <cacheHierarchy uniqueName="[Measures].[K-8 Grade]" caption="K-8 Grade" measure="1" displayFolder="" measureGroup="PT Q1" count="0"/>
    <cacheHierarchy uniqueName="[Measures].[High School]" caption="High School" measure="1" displayFolder="" measureGroup="PT Q1" count="0"/>
    <cacheHierarchy uniqueName="[Measures].[Some High School]" caption="Some High School" measure="1" displayFolder="" measureGroup="PT Q1" count="0"/>
    <cacheHierarchy uniqueName="[Measures].[College]" caption="College" measure="1" displayFolder="" measureGroup="PT Q1" count="0"/>
    <cacheHierarchy uniqueName="[Measures].[Some College]" caption="Some College" measure="1" displayFolder="" measureGroup="PT Q1" count="0"/>
    <cacheHierarchy uniqueName="[Measures].[Technical School]" caption="Technical School" measure="1" displayFolder="" measureGroup="PT Q1" count="0"/>
    <cacheHierarchy uniqueName="[Measures].[Graduate School]" caption="Graduate School" measure="1" displayFolder="" measureGroup="PT Q1" count="0"/>
    <cacheHierarchy uniqueName="[Measures].[Doctorate]" caption="Doctorate" measure="1" displayFolder="" measureGroup="PT Q1" count="0"/>
    <cacheHierarchy uniqueName="[Measures].[GED]" caption="GED" measure="1" displayFolder="" measureGroup="PT Q1" count="0"/>
    <cacheHierarchy uniqueName="[Measures].[Employed for Wages]" caption="Employed for Wages" measure="1" displayFolder="" measureGroup="PT Q1" count="0"/>
    <cacheHierarchy uniqueName="[Measures].[Self-employed]" caption="Self-employed" measure="1" displayFolder="" measureGroup="PT Q1" count="0"/>
    <cacheHierarchy uniqueName="[Measures].[Student]" caption="Student" measure="1" displayFolder="" measureGroup="PT Q1" count="0"/>
    <cacheHierarchy uniqueName="[Measures].[Retired]" caption="Retired" measure="1" displayFolder="" measureGroup="PT Q1" count="0"/>
    <cacheHierarchy uniqueName="[Measures].[Military]" caption="Military" measure="1" displayFolder="" measureGroup="PT Q1" count="0"/>
    <cacheHierarchy uniqueName="[Measures].[Out of Work and Looking]" caption="Out of Work and Looking" measure="1" displayFolder="" measureGroup="PT Q1" count="0"/>
    <cacheHierarchy uniqueName="[Measures].[Out of Work Not Looking]" caption="Out of Work Not Looking" measure="1" displayFolder="" measureGroup="PT Q1" count="0"/>
    <cacheHierarchy uniqueName="[Measures].[Health Insurance Yes]" caption="Health Insurance Yes" measure="1" displayFolder="" measureGroup="PT Q1" count="0"/>
    <cacheHierarchy uniqueName="[Measures].[Health Insurance No]" caption="Health Insurance No" measure="1" displayFolder="" measureGroup="PT Q1" count="0"/>
    <cacheHierarchy uniqueName="[Measures].[Health Insurance In the Past]" caption="Health Insurance In the Past" measure="1" displayFolder="" measureGroup="PT Q1" count="0"/>
    <cacheHierarchy uniqueName="[Measures].[Medicare]" caption="Medicare" measure="1" displayFolder="" measureGroup="PT Q1" count="0"/>
    <cacheHierarchy uniqueName="[Measures].[Medicaid]" caption="Medicaid" measure="1" displayFolder="" measureGroup="PT Q1" count="0"/>
    <cacheHierarchy uniqueName="[Measures].[Private/Commerical]" caption="Private/Commerical" measure="1" displayFolder="" measureGroup="PT Q1" count="0"/>
    <cacheHierarchy uniqueName="[Measures].[Not Insured]" caption="Not Insured" measure="1" displayFolder="" measureGroup="PT Q1" count="0"/>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PT Q1 1]" caption="__XL_Count PT Q1 1" measure="1" displayFolder="" measureGroup="PT Q1 1"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1152"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Melissa Bauer" refreshedDate="44946.532960532408" createdVersion="3" refreshedVersion="5" minRefreshableVersion="3" recordCount="0" supportSubquery="1" supportAdvancedDrill="1">
  <cacheSource type="external" connectionId="8">
    <extLst>
      <ext xmlns:x14="http://schemas.microsoft.com/office/spreadsheetml/2009/9/main" uri="{F057638F-6D5F-4e77-A914-E7F072B9BCA8}">
        <x14:sourceConnection name="ThisWorkbookDataModel"/>
      </ext>
    </extLst>
  </cacheSource>
  <cacheFields count="0"/>
  <cacheHierarchies count="600">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What type of insurance do you have?]" caption="What type of insurance do you have?" attribute="1" defaultMemberUniqueName="[PT Q1].[What type of insurance do you have?].[All]" allUniqueName="[PT Q1].[What type of insurance do you have?].[All]" dimensionUniqueName="[PT Q1]" displayFolder="" count="0" memberValueDatatype="130" unbalanced="0"/>
    <cacheHierarchy uniqueName="[PT Q1].[Do you have a smartphone]" caption="Do you have a smartphone" attribute="1" defaultMemberUniqueName="[PT Q1].[Do you have a smartphone].[All]" allUniqueName="[PT Q1].[Do you have a smartphone].[All]" dimensionUniqueName="[PT Q1]" displayFolder="" count="0" memberValueDatatype="130" unbalanced="0"/>
    <cacheHierarchy uniqueName="[PT Q1].[Woman Flag]" caption="Woman Flag" attribute="1" defaultMemberUniqueName="[PT Q1].[Woman Flag].[All]" allUniqueName="[PT Q1].[Woman Flag].[All]" dimensionUniqueName="[PT Q1]" displayFolder="" count="0" memberValueDatatype="20" unbalanced="0"/>
    <cacheHierarchy uniqueName="[PT Q1].[Man Flag]" caption="Man Flag" attribute="1" defaultMemberUniqueName="[PT Q1].[Man Flag].[All]" allUniqueName="[PT Q1].[Man Flag].[All]" dimensionUniqueName="[PT Q1]" displayFolder="" count="0" memberValueDatatype="20" unbalanced="0"/>
    <cacheHierarchy uniqueName="[PT Q1].[Transgender Flag]" caption="Transgender Flag" attribute="1" defaultMemberUniqueName="[PT Q1].[Transgender Flag].[All]" allUniqueName="[PT Q1].[Transgender Flag].[All]" dimensionUniqueName="[PT Q1]" displayFolder="" count="0" memberValueDatatype="20" unbalanced="0"/>
    <cacheHierarchy uniqueName="[PT Q1].[Other Gender Flag]" caption="Other Gender Flag" attribute="1" defaultMemberUniqueName="[PT Q1].[Other Gender Flag].[All]" allUniqueName="[PT Q1].[Other Gender Flag].[All]" dimensionUniqueName="[PT Q1]" displayFolder="" count="0" memberValueDatatype="20" unbalanced="0"/>
    <cacheHierarchy uniqueName="[PT Q1].[Hispanic Flag]" caption="Hispanic Flag" attribute="1" defaultMemberUniqueName="[PT Q1].[Hispanic Flag].[All]" allUniqueName="[PT Q1].[Hispanic Flag].[All]" dimensionUniqueName="[PT Q1]" displayFolder="" count="0" memberValueDatatype="20" unbalanced="0"/>
    <cacheHierarchy uniqueName="[PT Q1].[White Flag]" caption="White Flag" attribute="1" defaultMemberUniqueName="[PT Q1].[White Flag].[All]" allUniqueName="[PT Q1].[White Flag].[All]" dimensionUniqueName="[PT Q1]" displayFolder="" count="0" memberValueDatatype="20" unbalanced="0"/>
    <cacheHierarchy uniqueName="[PT Q1].[Black or African American Flag]" caption="Black or African American Flag" attribute="1" defaultMemberUniqueName="[PT Q1].[Black or African American Flag].[All]" allUniqueName="[PT Q1].[Black or African American Flag].[All]" dimensionUniqueName="[PT Q1]" displayFolder="" count="0" memberValueDatatype="20" unbalanced="0"/>
    <cacheHierarchy uniqueName="[PT Q1].[Native Hawaiian and Other Pacific Islander Flag]" caption="Native Hawaiian and Other Pacific Islander Flag" attribute="1" defaultMemberUniqueName="[PT Q1].[Native Hawaiian and Other Pacific Islander Flag].[All]" allUniqueName="[PT Q1].[Native Hawaiian and Other Pacific Islander Flag].[All]" dimensionUniqueName="[PT Q1]" displayFolder="" count="0" memberValueDatatype="20" unbalanced="0"/>
    <cacheHierarchy uniqueName="[PT Q1].[American Indian and Alaska Native Flag]" caption="American Indian and Alaska Native Flag" attribute="1" defaultMemberUniqueName="[PT Q1].[American Indian and Alaska Native Flag].[All]" allUniqueName="[PT Q1].[American Indian and Alaska Native Flag].[All]" dimensionUniqueName="[PT Q1]" displayFolder="" count="0" memberValueDatatype="20" unbalanced="0"/>
    <cacheHierarchy uniqueName="[PT Q1].[Two or more races Flag]" caption="Two or more races Flag" attribute="1" defaultMemberUniqueName="[PT Q1].[Two or more races Flag].[All]" allUniqueName="[PT Q1].[Two or more races Flag].[All]" dimensionUniqueName="[PT Q1]" displayFolder="" count="0" memberValueDatatype="20" unbalanced="0"/>
    <cacheHierarchy uniqueName="[PT Q1].[Other Race Flag]" caption="Other Race Flag" attribute="1" defaultMemberUniqueName="[PT Q1].[Other Race Flag].[All]" allUniqueName="[PT Q1].[Other Race Flag].[All]" dimensionUniqueName="[PT Q1]" displayFolder="" count="0" memberValueDatatype="20" unbalanced="0"/>
    <cacheHierarchy uniqueName="[PT Q1].[$0-$19,999 Flag]" caption="$0-$19,999 Flag" attribute="1" defaultMemberUniqueName="[PT Q1].[$0-$19,999 Flag].[All]" allUniqueName="[PT Q1].[$0-$19,999 Flag].[All]" dimensionUniqueName="[PT Q1]" displayFolder="" count="0" memberValueDatatype="20" unbalanced="0"/>
    <cacheHierarchy uniqueName="[PT Q1].[$20,000 to $34,999 Flag]" caption="$20,000 to $34,999 Flag" attribute="1" defaultMemberUniqueName="[PT Q1].[$20,000 to $34,999 Flag].[All]" allUniqueName="[PT Q1].[$20,000 to $34,999 Flag].[All]" dimensionUniqueName="[PT Q1]" displayFolder="" count="0" memberValueDatatype="20" unbalanced="0"/>
    <cacheHierarchy uniqueName="[PT Q1].[$35,000 to $49,999 Flag]" caption="$35,000 to $49,999 Flag" attribute="1" defaultMemberUniqueName="[PT Q1].[$35,000 to $49,999 Flag].[All]" allUniqueName="[PT Q1].[$35,000 to $49,999 Flag].[All]" dimensionUniqueName="[PT Q1]" displayFolder="" count="0" memberValueDatatype="20" unbalanced="0"/>
    <cacheHierarchy uniqueName="[PT Q1].[$50,000 to $74,999 Flag]" caption="$50,000 to $74,999 Flag" attribute="1" defaultMemberUniqueName="[PT Q1].[$50,000 to $74,999 Flag].[All]" allUniqueName="[PT Q1].[$50,000 to $74,999 Flag].[All]" dimensionUniqueName="[PT Q1]" displayFolder="" count="0" memberValueDatatype="20" unbalanced="0"/>
    <cacheHierarchy uniqueName="[PT Q1].[$75,000 to $125,000 Flag]" caption="$75,000 to $125,000 Flag" attribute="1" defaultMemberUniqueName="[PT Q1].[$75,000 to $125,000 Flag].[All]" allUniqueName="[PT Q1].[$75,000 to $125,000 Flag].[All]" dimensionUniqueName="[PT Q1]" displayFolder="" count="0" memberValueDatatype="20" unbalanced="0"/>
    <cacheHierarchy uniqueName="[PT Q1].[Over $125,000 Flag]" caption="Over $125,000 Flag" attribute="1" defaultMemberUniqueName="[PT Q1].[Over $125,000 Flag].[All]" allUniqueName="[PT Q1].[Over $125,000 Flag].[All]" dimensionUniqueName="[PT Q1]" displayFolder="" count="0" memberValueDatatype="20" unbalanced="0"/>
    <cacheHierarchy uniqueName="[PT Q1].[18 TO 24 Flag]" caption="18 TO 24 Flag" attribute="1" defaultMemberUniqueName="[PT Q1].[18 TO 24 Flag].[All]" allUniqueName="[PT Q1].[18 TO 24 Flag].[All]" dimensionUniqueName="[PT Q1]" displayFolder="" count="0" memberValueDatatype="20" unbalanced="0"/>
    <cacheHierarchy uniqueName="[PT Q1].[25 to 34 Flag]" caption="25 to 34 Flag" attribute="1" defaultMemberUniqueName="[PT Q1].[25 to 34 Flag].[All]" allUniqueName="[PT Q1].[25 to 34 Flag].[All]" dimensionUniqueName="[PT Q1]" displayFolder="" count="0" memberValueDatatype="20" unbalanced="0"/>
    <cacheHierarchy uniqueName="[PT Q1].[35 to 44 Flag]" caption="35 to 44 Flag" attribute="1" defaultMemberUniqueName="[PT Q1].[35 to 44 Flag].[All]" allUniqueName="[PT Q1].[35 to 44 Flag].[All]" dimensionUniqueName="[PT Q1]" displayFolder="" count="0" memberValueDatatype="20" unbalanced="0"/>
    <cacheHierarchy uniqueName="[PT Q1].[45 to 54 Flag]" caption="45 to 54 Flag" attribute="1" defaultMemberUniqueName="[PT Q1].[45 to 54 Flag].[All]" allUniqueName="[PT Q1].[45 to 54 Flag].[All]" dimensionUniqueName="[PT Q1]" displayFolder="" count="0" memberValueDatatype="20" unbalanced="0"/>
    <cacheHierarchy uniqueName="[PT Q1].[55 to 64 Flag]" caption="55 to 64 Flag" attribute="1" defaultMemberUniqueName="[PT Q1].[55 to 64 Flag].[All]" allUniqueName="[PT Q1].[55 to 64 Flag].[All]" dimensionUniqueName="[PT Q1]" displayFolder="" count="0" memberValueDatatype="20" unbalanced="0"/>
    <cacheHierarchy uniqueName="[PT Q1].[65 Plus Flag]" caption="65 Plus Flag" attribute="1" defaultMemberUniqueName="[PT Q1].[65 Plus Flag].[All]" allUniqueName="[PT Q1].[65 Plus Flag].[All]" dimensionUniqueName="[PT Q1]" displayFolder="" count="0" memberValueDatatype="20" unbalanced="0"/>
    <cacheHierarchy uniqueName="[PT Q1].[K-8 grade Flag]" caption="K-8 grade Flag" attribute="1" defaultMemberUniqueName="[PT Q1].[K-8 grade Flag].[All]" allUniqueName="[PT Q1].[K-8 grade Flag].[All]" dimensionUniqueName="[PT Q1]" displayFolder="" count="0" memberValueDatatype="20" unbalanced="0"/>
    <cacheHierarchy uniqueName="[PT Q1].[Some High School Flag]" caption="Some High School Flag" attribute="1" defaultMemberUniqueName="[PT Q1].[Some High School Flag].[All]" allUniqueName="[PT Q1].[Some High School Flag].[All]" dimensionUniqueName="[PT Q1]" displayFolder="" count="0" memberValueDatatype="20" unbalanced="0"/>
    <cacheHierarchy uniqueName="[PT Q1].[High School Graduate Flag]" caption="High School Graduate Flag" attribute="1" defaultMemberUniqueName="[PT Q1].[High School Graduate Flag].[All]" allUniqueName="[PT Q1].[High School Graduate Flag].[All]" dimensionUniqueName="[PT Q1]" displayFolder="" count="0" memberValueDatatype="20" unbalanced="0"/>
    <cacheHierarchy uniqueName="[PT Q1].[Technical School Flag]" caption="Technical School Flag" attribute="1" defaultMemberUniqueName="[PT Q1].[Technical School Flag].[All]" allUniqueName="[PT Q1].[Technical School Flag].[All]" dimensionUniqueName="[PT Q1]" displayFolder="" count="0" memberValueDatatype="20" unbalanced="0"/>
    <cacheHierarchy uniqueName="[PT Q1].[Some College Flag]" caption="Some College Flag" attribute="1" defaultMemberUniqueName="[PT Q1].[Some College Flag].[All]" allUniqueName="[PT Q1].[Some College Flag].[All]" dimensionUniqueName="[PT Q1]" displayFolder="" count="0" memberValueDatatype="20" unbalanced="0"/>
    <cacheHierarchy uniqueName="[PT Q1].[College Graduate Flag]" caption="College Graduate Flag" attribute="1" defaultMemberUniqueName="[PT Q1].[College Graduate Flag].[All]" allUniqueName="[PT Q1].[College Graduate Flag].[All]" dimensionUniqueName="[PT Q1]" displayFolder="" count="0" memberValueDatatype="20" unbalanced="0"/>
    <cacheHierarchy uniqueName="[PT Q1].[Graduate School Flag]" caption="Graduate School Flag" attribute="1" defaultMemberUniqueName="[PT Q1].[Graduate School Flag].[All]" allUniqueName="[PT Q1].[Graduate School Flag].[All]" dimensionUniqueName="[PT Q1]" displayFolder="" count="0" memberValueDatatype="20" unbalanced="0"/>
    <cacheHierarchy uniqueName="[PT Q1].[Doctorate Flag]" caption="Doctorate Flag" attribute="1" defaultMemberUniqueName="[PT Q1].[Doctorate Flag].[All]" allUniqueName="[PT Q1].[Doctorate Flag].[All]" dimensionUniqueName="[PT Q1]" displayFolder="" count="0" memberValueDatatype="20" unbalanced="0"/>
    <cacheHierarchy uniqueName="[PT Q1].[GED Flag]" caption="GED Flag" attribute="1" defaultMemberUniqueName="[PT Q1].[GED Flag].[All]" allUniqueName="[PT Q1].[GED Flag].[All]" dimensionUniqueName="[PT Q1]" displayFolder="" count="0" memberValueDatatype="20" unbalanced="0"/>
    <cacheHierarchy uniqueName="[PT Q1].[Employed for Wages Flag]" caption="Employed for Wages Flag" attribute="1" defaultMemberUniqueName="[PT Q1].[Employed for Wages Flag].[All]" allUniqueName="[PT Q1].[Employed for Wages Flag].[All]" dimensionUniqueName="[PT Q1]" displayFolder="" count="0" memberValueDatatype="20" unbalanced="0"/>
    <cacheHierarchy uniqueName="[PT Q1].[Self-employed Flag]" caption="Self-employed Flag" attribute="1" defaultMemberUniqueName="[PT Q1].[Self-employed Flag].[All]" allUniqueName="[PT Q1].[Self-employed Flag].[All]" dimensionUniqueName="[PT Q1]" displayFolder="" count="0" memberValueDatatype="20" unbalanced="0"/>
    <cacheHierarchy uniqueName="[PT Q1].[Student Flag]" caption="Student Flag" attribute="1" defaultMemberUniqueName="[PT Q1].[Student Flag].[All]" allUniqueName="[PT Q1].[Student Flag].[All]" dimensionUniqueName="[PT Q1]" displayFolder="" count="0" memberValueDatatype="20" unbalanced="0"/>
    <cacheHierarchy uniqueName="[PT Q1].[Retired Flag]" caption="Retired Flag" attribute="1" defaultMemberUniqueName="[PT Q1].[Retired Flag].[All]" allUniqueName="[PT Q1].[Retired Flag].[All]" dimensionUniqueName="[PT Q1]" displayFolder="" count="0" memberValueDatatype="20" unbalanced="0"/>
    <cacheHierarchy uniqueName="[PT Q1].[Military Flag]" caption="Military Flag" attribute="1" defaultMemberUniqueName="[PT Q1].[Military Flag].[All]" allUniqueName="[PT Q1].[Military Flag].[All]" dimensionUniqueName="[PT Q1]" displayFolder="" count="0" memberValueDatatype="20" unbalanced="0"/>
    <cacheHierarchy uniqueName="[PT Q1].[Out of Work and Looking Flag]" caption="Out of Work and Looking Flag" attribute="1" defaultMemberUniqueName="[PT Q1].[Out of Work and Looking Flag].[All]" allUniqueName="[PT Q1].[Out of Work and Looking Flag].[All]" dimensionUniqueName="[PT Q1]" displayFolder="" count="0" memberValueDatatype="20" unbalanced="0"/>
    <cacheHierarchy uniqueName="[PT Q1].[Out of Work Not Looking Flag]" caption="Out of Work Not Looking Flag" attribute="1" defaultMemberUniqueName="[PT Q1].[Out of Work Not Looking Flag].[All]" allUniqueName="[PT Q1].[Out of Work Not Looking Flag].[All]" dimensionUniqueName="[PT Q1]" displayFolder="" count="0" memberValueDatatype="20" unbalanced="0"/>
    <cacheHierarchy uniqueName="[PT Q1].[Health Insurance Yes Flag]" caption="Health Insurance Yes Flag" attribute="1" defaultMemberUniqueName="[PT Q1].[Health Insurance Yes Flag].[All]" allUniqueName="[PT Q1].[Health Insurance Yes Flag].[All]" dimensionUniqueName="[PT Q1]" displayFolder="" count="0" memberValueDatatype="20" unbalanced="0"/>
    <cacheHierarchy uniqueName="[PT Q1].[Health Insurance No Flag]" caption="Health Insurance No Flag" attribute="1" defaultMemberUniqueName="[PT Q1].[Health Insurance No Flag].[All]" allUniqueName="[PT Q1].[Health Insurance No Flag].[All]" dimensionUniqueName="[PT Q1]" displayFolder="" count="0" memberValueDatatype="20" unbalanced="0"/>
    <cacheHierarchy uniqueName="[PT Q1].[Health Insurance In the Past Flag]" caption="Health Insurance In the Past Flag" attribute="1" defaultMemberUniqueName="[PT Q1].[Health Insurance In the Past Flag].[All]" allUniqueName="[PT Q1].[Health Insurance In the Past Flag].[All]" dimensionUniqueName="[PT Q1]" displayFolder="" count="0" memberValueDatatype="20" unbalanced="0"/>
    <cacheHierarchy uniqueName="[PT Q1].[Medicare Flag]" caption="Medicare Flag" attribute="1" defaultMemberUniqueName="[PT Q1].[Medicare Flag].[All]" allUniqueName="[PT Q1].[Medicare Flag].[All]" dimensionUniqueName="[PT Q1]" displayFolder="" count="0" memberValueDatatype="20" unbalanced="0"/>
    <cacheHierarchy uniqueName="[PT Q1].[Medicaid Flag]" caption="Medicaid Flag" attribute="1" defaultMemberUniqueName="[PT Q1].[Medicaid Flag].[All]" allUniqueName="[PT Q1].[Medicaid Flag].[All]" dimensionUniqueName="[PT Q1]" displayFolder="" count="0" memberValueDatatype="20" unbalanced="0"/>
    <cacheHierarchy uniqueName="[PT Q1].[Private/Commercial Flag]" caption="Private/Commercial Flag" attribute="1" defaultMemberUniqueName="[PT Q1].[Private/Commercial Flag].[All]" allUniqueName="[PT Q1].[Private/Commercial Flag].[All]" dimensionUniqueName="[PT Q1]" displayFolder="" count="0" memberValueDatatype="20" unbalanced="0"/>
    <cacheHierarchy uniqueName="[PT Q1].[No Insurance Flag]" caption="No Insurance Flag" attribute="1" defaultMemberUniqueName="[PT Q1].[No Insurance Flag].[All]" allUniqueName="[PT Q1].[No Insurance Flag].[All]" dimensionUniqueName="[PT Q1]" displayFolder="" count="0" memberValueDatatype="20" unbalanced="0"/>
    <cacheHierarchy uniqueName="[PT Q1 1].[RespondentID]" caption="RespondentID" attribute="1" defaultMemberUniqueName="[PT Q1 1].[RespondentID].[All]" allUniqueName="[PT Q1 1].[RespondentID].[All]" dimensionUniqueName="[PT Q1 1]" displayFolder="" count="0" memberValueDatatype="5" unbalanced="0"/>
    <cacheHierarchy uniqueName="[PT Q1 1].[Asthma/lung disease]" caption="Asthma/lung disease" attribute="1" defaultMemberUniqueName="[PT Q1 1].[Asthma/lung disease].[All]" allUniqueName="[PT Q1 1].[Asthma/lung disease].[All]" dimensionUniqueName="[PT Q1 1]" displayFolder="" count="0" memberValueDatatype="130" unbalanced="0"/>
    <cacheHierarchy uniqueName="[PT Q1 1].[Cancer]" caption="Cancer" attribute="1" defaultMemberUniqueName="[PT Q1 1].[Cancer].[All]" allUniqueName="[PT Q1 1].[Cancer].[All]" dimensionUniqueName="[PT Q1 1]" displayFolder="" count="0" memberValueDatatype="130" unbalanced="0"/>
    <cacheHierarchy uniqueName="[PT Q1 1].[Heart disease &amp; stroke]" caption="Heart disease &amp; stroke" attribute="1" defaultMemberUniqueName="[PT Q1 1].[Heart disease &amp; stroke].[All]" allUniqueName="[PT Q1 1].[Heart disease &amp; stroke].[All]" dimensionUniqueName="[PT Q1 1]" displayFolder="" count="0" memberValueDatatype="130" unbalanced="0"/>
    <cacheHierarchy uniqueName="[PT Q1 1].[Safety]" caption="Safety" attribute="1" defaultMemberUniqueName="[PT Q1 1].[Safety].[All]" allUniqueName="[PT Q1 1].[Safety].[All]" dimensionUniqueName="[PT Q1 1]" displayFolder="" count="0" memberValueDatatype="130" unbalanced="0"/>
    <cacheHierarchy uniqueName="[PT Q1 1].[HIV/AIDS &amp; Sexually Transmitted Diseases (STDs)]" caption="HIV/AIDS &amp; Sexually Transmitted Diseases (STDs)" attribute="1" defaultMemberUniqueName="[PT Q1 1].[HIV/AIDS &amp; Sexually Transmitted Diseases (STDs)].[All]" allUniqueName="[PT Q1 1].[HIV/AIDS &amp; Sexually Transmitted Diseases (STDs)].[All]" dimensionUniqueName="[PT Q1 1]" displayFolder="" count="0" memberValueDatatype="130" unbalanced="0"/>
    <cacheHierarchy uniqueName="[PT Q1 1].[Vaccine preventable diseases]" caption="Vaccine preventable diseases" attribute="1" defaultMemberUniqueName="[PT Q1 1].[Vaccine preventable diseases].[All]" allUniqueName="[PT Q1 1].[Vaccine preventable diseases].[All]" dimensionUniqueName="[PT Q1 1]" displayFolder="" count="0" memberValueDatatype="130" unbalanced="0"/>
    <cacheHierarchy uniqueName="[PT Q1 1].[Child health &amp; wellness]" caption="Child health &amp; wellness" attribute="1" defaultMemberUniqueName="[PT Q1 1].[Child health &amp; wellness].[All]" allUniqueName="[PT Q1 1].[Child health &amp; wellness].[All]" dimensionUniqueName="[PT Q1 1]" displayFolder="" count="0" memberValueDatatype="130" unbalanced="0"/>
    <cacheHierarchy uniqueName="[PT Q1 1].[Women’s health &amp; wellness]" caption="Women’s health &amp; wellness" attribute="1" defaultMemberUniqueName="[PT Q1 1].[Women’s health &amp; wellness].[All]" allUniqueName="[PT Q1 1].[Women’s health &amp; wellness].[All]" dimensionUniqueName="[PT Q1 1]" displayFolder="" count="0" memberValueDatatype="130" unbalanced="0"/>
    <cacheHierarchy uniqueName="[PT Q1 1].[Diabetes]" caption="Diabetes" attribute="1" defaultMemberUniqueName="[PT Q1 1].[Diabetes].[All]" allUniqueName="[PT Q1 1].[Diabetes].[All]" dimensionUniqueName="[PT Q1 1]" displayFolder="" count="0" memberValueDatatype="130" unbalanced="0"/>
    <cacheHierarchy uniqueName="[PT Q1 1].[Mental health depression/suicide]" caption="Mental health depression/suicide" attribute="1" defaultMemberUniqueName="[PT Q1 1].[Mental health depression/suicide].[All]" allUniqueName="[PT Q1 1].[Mental health depression/suicide].[All]" dimensionUniqueName="[PT Q1 1]" displayFolder="" count="0" memberValueDatatype="130" unbalanced="0"/>
    <cacheHierarchy uniqueName="[PT Q1 1].[Drugs &amp; alcohol abuse]" caption="Drugs &amp; alcohol abuse" attribute="1" defaultMemberUniqueName="[PT Q1 1].[Drugs &amp; alcohol abuse].[All]" allUniqueName="[PT Q1 1].[Drugs &amp; alcohol abuse].[All]" dimensionUniqueName="[PT Q1 1]" displayFolder="" count="0" memberValueDatatype="130" unbalanced="0"/>
    <cacheHierarchy uniqueName="[PT Q1 1].[Environmental hazards]" caption="Environmental hazards" attribute="1" defaultMemberUniqueName="[PT Q1 1].[Environmental hazards].[All]" allUniqueName="[PT Q1 1].[Environmental hazards].[All]" dimensionUniqueName="[PT Q1 1]" displayFolder="" count="0" memberValueDatatype="130" unbalanced="0"/>
    <cacheHierarchy uniqueName="[PT Q1 1].[Obesity/weight loss issues]" caption="Obesity/weight loss issues" attribute="1" defaultMemberUniqueName="[PT Q1 1].[Obesity/weight loss issues].[All]" allUniqueName="[PT Q1 1].[Obesity/weight loss issues].[All]" dimensionUniqueName="[PT Q1 1]" displayFolder="" count="0" memberValueDatatype="130" unbalanced="0"/>
    <cacheHierarchy uniqueName="[PT Q1 1].[Column1]" caption="Column1" attribute="1" defaultMemberUniqueName="[PT Q1 1].[Column1].[All]" allUniqueName="[PT Q1 1].[Column1].[All]" dimensionUniqueName="[PT Q1 1]" displayFolder="" count="0" memberValueDatatype="130" unbalanced="0"/>
    <cacheHierarchy uniqueName="[PT Q1 1].[Count of Selection]" caption="Count of Selection" attribute="1" defaultMemberUniqueName="[PT Q1 1].[Count of Selection].[All]" allUniqueName="[PT Q1 1].[Count of Selection].[All]" dimensionUniqueName="[PT Q1 1]" displayFolder="" count="0" memberValueDatatype="20" unbalanced="0"/>
    <cacheHierarchy uniqueName="[PT Q1 1].[Weight]" caption="Weight" attribute="1" defaultMemberUniqueName="[PT Q1 1].[Weight].[All]" allUniqueName="[PT Q1 1].[Weight].[All]" dimensionUniqueName="[PT Q1 1]" displayFolder="" count="0" memberValueDatatype="130" unbalanced="0"/>
    <cacheHierarchy uniqueName="[PT Q1 1].[Column2]" caption="Column2" attribute="1" defaultMemberUniqueName="[PT Q1 1].[Column2].[All]" allUniqueName="[PT Q1 1].[Column2].[All]" dimensionUniqueName="[PT Q1 1]" displayFolder="" count="0" memberValueDatatype="130" unbalanced="0"/>
    <cacheHierarchy uniqueName="[PT Q1 1].[Asthma/lung disease3]" caption="Asthma/lung disease3" attribute="1" defaultMemberUniqueName="[PT Q1 1].[Asthma/lung disease3].[All]" allUniqueName="[PT Q1 1].[Asthma/lung disease3].[All]" dimensionUniqueName="[PT Q1 1]" displayFolder="" count="0" memberValueDatatype="5" unbalanced="0"/>
    <cacheHierarchy uniqueName="[PT Q1 1].[Cancer4]" caption="Cancer4" attribute="1" defaultMemberUniqueName="[PT Q1 1].[Cancer4].[All]" allUniqueName="[PT Q1 1].[Cancer4].[All]" dimensionUniqueName="[PT Q1 1]" displayFolder="" count="0" memberValueDatatype="5" unbalanced="0"/>
    <cacheHierarchy uniqueName="[PT Q1 1].[Heart disease &amp; stroke5]" caption="Heart disease &amp; stroke5" attribute="1" defaultMemberUniqueName="[PT Q1 1].[Heart disease &amp; stroke5].[All]" allUniqueName="[PT Q1 1].[Heart disease &amp; stroke5].[All]" dimensionUniqueName="[PT Q1 1]" displayFolder="" count="0" memberValueDatatype="5" unbalanced="0"/>
    <cacheHierarchy uniqueName="[PT Q1 1].[Safety6]" caption="Safety6" attribute="1" defaultMemberUniqueName="[PT Q1 1].[Safety6].[All]" allUniqueName="[PT Q1 1].[Safety6].[All]" dimensionUniqueName="[PT Q1 1]" displayFolder="" count="0" memberValueDatatype="5" unbalanced="0"/>
    <cacheHierarchy uniqueName="[PT Q1 1].[HIV/AIDS &amp; Sexually Transmitted Diseases (STDs)7]" caption="HIV/AIDS &amp; Sexually Transmitted Diseases (STDs)7" attribute="1" defaultMemberUniqueName="[PT Q1 1].[HIV/AIDS &amp; Sexually Transmitted Diseases (STDs)7].[All]" allUniqueName="[PT Q1 1].[HIV/AIDS &amp; Sexually Transmitted Diseases (STDs)7].[All]" dimensionUniqueName="[PT Q1 1]" displayFolder="" count="0" memberValueDatatype="5" unbalanced="0"/>
    <cacheHierarchy uniqueName="[PT Q1 1].[Vaccine preventable diseases8]" caption="Vaccine preventable diseases8" attribute="1" defaultMemberUniqueName="[PT Q1 1].[Vaccine preventable diseases8].[All]" allUniqueName="[PT Q1 1].[Vaccine preventable diseases8].[All]" dimensionUniqueName="[PT Q1 1]" displayFolder="" count="0" memberValueDatatype="5" unbalanced="0"/>
    <cacheHierarchy uniqueName="[PT Q1 1].[Child health &amp; wellness9]" caption="Child health &amp; wellness9" attribute="1" defaultMemberUniqueName="[PT Q1 1].[Child health &amp; wellness9].[All]" allUniqueName="[PT Q1 1].[Child health &amp; wellness9].[All]" dimensionUniqueName="[PT Q1 1]" displayFolder="" count="0" memberValueDatatype="5" unbalanced="0"/>
    <cacheHierarchy uniqueName="[PT Q1 1].[Women’s health &amp; wellness10]" caption="Women’s health &amp; wellness10" attribute="1" defaultMemberUniqueName="[PT Q1 1].[Women’s health &amp; wellness10].[All]" allUniqueName="[PT Q1 1].[Women’s health &amp; wellness10].[All]" dimensionUniqueName="[PT Q1 1]" displayFolder="" count="0" memberValueDatatype="5" unbalanced="0"/>
    <cacheHierarchy uniqueName="[PT Q1 1].[Diabetes11]" caption="Diabetes11" attribute="1" defaultMemberUniqueName="[PT Q1 1].[Diabetes11].[All]" allUniqueName="[PT Q1 1].[Diabetes11].[All]" dimensionUniqueName="[PT Q1 1]" displayFolder="" count="0" memberValueDatatype="5" unbalanced="0"/>
    <cacheHierarchy uniqueName="[PT Q1 1].[Mental health depression/suicide12]" caption="Mental health depression/suicide12" attribute="1" defaultMemberUniqueName="[PT Q1 1].[Mental health depression/suicide12].[All]" allUniqueName="[PT Q1 1].[Mental health depression/suicide12].[All]" dimensionUniqueName="[PT Q1 1]" displayFolder="" count="0" memberValueDatatype="5" unbalanced="0"/>
    <cacheHierarchy uniqueName="[PT Q1 1].[Drugs &amp; alcohol abuse13]" caption="Drugs &amp; alcohol abuse13" attribute="1" defaultMemberUniqueName="[PT Q1 1].[Drugs &amp; alcohol abuse13].[All]" allUniqueName="[PT Q1 1].[Drugs &amp; alcohol abuse13].[All]" dimensionUniqueName="[PT Q1 1]" displayFolder="" count="0" memberValueDatatype="5" unbalanced="0"/>
    <cacheHierarchy uniqueName="[PT Q1 1].[Environmental hazards14]" caption="Environmental hazards14" attribute="1" defaultMemberUniqueName="[PT Q1 1].[Environmental hazards14].[All]" allUniqueName="[PT Q1 1].[Environmental hazards14].[All]" dimensionUniqueName="[PT Q1 1]" displayFolder="" count="0" memberValueDatatype="5" unbalanced="0"/>
    <cacheHierarchy uniqueName="[PT Q1 1].[Obesity/weight loss issues15]" caption="Obesity/weight loss issues15" attribute="1" defaultMemberUniqueName="[PT Q1 1].[Obesity/weight loss issues15].[All]" allUniqueName="[PT Q1 1].[Obesity/weight loss issues15].[All]" dimensionUniqueName="[PT Q1 1]" displayFolder="" count="0" memberValueDatatype="5" unbalanced="0"/>
    <cacheHierarchy uniqueName="[PT Q1 1].[Column3]" caption="Column3" attribute="1" defaultMemberUniqueName="[PT Q1 1].[Column3].[All]" allUniqueName="[PT Q1 1].[Column3].[All]" dimensionUniqueName="[PT Q1 1]" displayFolder="" count="0" memberValueDatatype="130" unbalanced="0"/>
    <cacheHierarchy uniqueName="[PT Q1 1].[Column4]" caption="Column4" attribute="1" defaultMemberUniqueName="[PT Q1 1].[Column4].[All]" allUniqueName="[PT Q1 1].[Column4].[All]" dimensionUniqueName="[PT Q1 1]" displayFolder="" count="0" memberValueDatatype="130" unbalanced="0"/>
    <cacheHierarchy uniqueName="[PT Q1 1].[Observed]" caption="Observed" attribute="1" defaultMemberUniqueName="[PT Q1 1].[Observed].[All]" allUniqueName="[PT Q1 1].[Observed].[All]" dimensionUniqueName="[PT Q1 1]" displayFolder="" count="0" memberValueDatatype="5" unbalanced="0"/>
    <cacheHierarchy uniqueName="[PT Q1 1].[Expected]" caption="Expected" attribute="1" defaultMemberUniqueName="[PT Q1 1].[Expected].[All]" allUniqueName="[PT Q1 1].[Expected].[All]" dimensionUniqueName="[PT Q1 1]" displayFolder="" count="0" memberValueDatatype="20" unbalanced="0"/>
    <cacheHierarchy uniqueName="[PT Q1 1].[Column18]" caption="Column18" attribute="1" defaultMemberUniqueName="[PT Q1 1].[Column18].[All]" allUniqueName="[PT Q1 1].[Column18].[All]" dimensionUniqueName="[PT Q1 1]" displayFolder="" count="0" memberValueDatatype="130" unbalanced="0"/>
    <cacheHierarchy uniqueName="[PT Q1 1].[Column5]" caption="Column5" attribute="1" defaultMemberUniqueName="[PT Q1 1].[Column5].[All]" allUniqueName="[PT Q1 1].[Column5].[All]" dimensionUniqueName="[PT Q1 1]" displayFolder="" count="0" memberValueDatatype="130" unbalanced="0"/>
    <cacheHierarchy uniqueName="[PT Q1 1].[I identify as:]" caption="I identify as:" attribute="1" defaultMemberUniqueName="[PT Q1 1].[I identify as:].[All]" allUniqueName="[PT Q1 1].[I identify as:].[All]" dimensionUniqueName="[PT Q1 1]" displayFolder="" count="0" memberValueDatatype="130" unbalanced="0"/>
    <cacheHierarchy uniqueName="[PT Q1 1].[What is your age?]" caption="What is your age?" attribute="1" defaultMemberUniqueName="[PT Q1 1].[What is your age?].[All]" allUniqueName="[PT Q1 1].[What is your age?].[All]" dimensionUniqueName="[PT Q1 1]" displayFolder="" count="0" memberValueDatatype="20" unbalanced="0"/>
    <cacheHierarchy uniqueName="[PT Q1 1].[County where you live:]" caption="County where you live:" attribute="1" defaultMemberUniqueName="[PT Q1 1].[County where you live:].[All]" allUniqueName="[PT Q1 1].[County where you live:].[All]" dimensionUniqueName="[PT Q1 1]" displayFolder="" count="0" memberValueDatatype="130" unbalanced="0"/>
    <cacheHierarchy uniqueName="[PT Q1 1].[Town and ZIP code where you live:]" caption="Town and ZIP code where you live:" attribute="1" defaultMemberUniqueName="[PT Q1 1].[Town and ZIP code where you live:].[All]" allUniqueName="[PT Q1 1].[Town and ZIP code where you live:].[All]" dimensionUniqueName="[PT Q1 1]" displayFolder="" count="0" memberValueDatatype="130" unbalanced="0"/>
    <cacheHierarchy uniqueName="[PT Q1 1].[What race do you consider yourself?]" caption="What race do you consider yourself?" attribute="1" defaultMemberUniqueName="[PT Q1 1].[What race do you consider yourself?].[All]" allUniqueName="[PT Q1 1].[What race do you consider yourself?].[All]" dimensionUniqueName="[PT Q1 1]" displayFolder="" count="0" memberValueDatatype="130" unbalanced="0"/>
    <cacheHierarchy uniqueName="[PT Q1 1].[Are you Hispanic or Latino?]" caption="Are you Hispanic or Latino?" attribute="1" defaultMemberUniqueName="[PT Q1 1].[Are you Hispanic or Latino?].[All]" allUniqueName="[PT Q1 1].[Are you Hispanic or Latino?].[All]" dimensionUniqueName="[PT Q1 1]" displayFolder="" count="0" memberValueDatatype="130" unbalanced="0"/>
    <cacheHierarchy uniqueName="[PT Q1 1].[What language do you speak when you are at home (select all that apply)]" caption="What language do you speak when you are at home (select all that apply)" attribute="1" defaultMemberUniqueName="[PT Q1 1].[What language do you speak when you are at home (select all that apply)].[All]" allUniqueName="[PT Q1 1].[What language do you speak when you are at home (select all that apply)].[All]" dimensionUniqueName="[PT Q1 1]" displayFolder="" count="0" memberValueDatatype="130" unbalanced="0"/>
    <cacheHierarchy uniqueName="[PT Q1 1].[What is your annual household income from all sources?]" caption="What is your annual household income from all sources?" attribute="1" defaultMemberUniqueName="[PT Q1 1].[What is your annual household income from all sources?].[All]" allUniqueName="[PT Q1 1].[What is your annual household income from all sources?].[All]" dimensionUniqueName="[PT Q1 1]" displayFolder="" count="0" memberValueDatatype="130" unbalanced="0"/>
    <cacheHierarchy uniqueName="[PT Q1 1].[What is your highest level of education?]" caption="What is your highest level of education?" attribute="1" defaultMemberUniqueName="[PT Q1 1].[What is your highest level of education?].[All]" allUniqueName="[PT Q1 1].[What is your highest level of education?].[All]" dimensionUniqueName="[PT Q1 1]" displayFolder="" count="0" memberValueDatatype="130" unbalanced="0"/>
    <cacheHierarchy uniqueName="[PT Q1 1].[What is your current employment status?]" caption="What is your current employment status?" attribute="1" defaultMemberUniqueName="[PT Q1 1].[What is your current employment status?].[All]" allUniqueName="[PT Q1 1].[What is your current employment status?].[All]" dimensionUniqueName="[PT Q1 1]" displayFolder="" count="0" memberValueDatatype="130" unbalanced="0"/>
    <cacheHierarchy uniqueName="[PT Q1 1].[Do you currently have health insurance?]" caption="Do you currently have health insurance?" attribute="1" defaultMemberUniqueName="[PT Q1 1].[Do you currently have health insurance?].[All]" allUniqueName="[PT Q1 1].[Do you currently have health insurance?].[All]" dimensionUniqueName="[PT Q1 1]" displayFolder="" count="0" memberValueDatatype="130" unbalanced="0"/>
    <cacheHierarchy uniqueName="[PT Q1 1].[What type of insurance do you have?]" caption="What type of insurance do you have?" attribute="1" defaultMemberUniqueName="[PT Q1 1].[What type of insurance do you have?].[All]" allUniqueName="[PT Q1 1].[What type of insurance do you have?].[All]" dimensionUniqueName="[PT Q1 1]" displayFolder="" count="0" memberValueDatatype="130" unbalanced="0"/>
    <cacheHierarchy uniqueName="[PT Q1 1].[Do you have access to reliable internet in your home?]" caption="Do you have access to reliable internet in your home?" attribute="1" defaultMemberUniqueName="[PT Q1 1].[Do you have access to reliable internet in your home?].[All]" allUniqueName="[PT Q1 1].[Do you have access to reliable internet in your home?].[All]" dimensionUniqueName="[PT Q1 1]" displayFolder="" count="0" memberValueDatatype="130" unbalanced="0"/>
    <cacheHierarchy uniqueName="[PT Q1 1].[Female Flag]" caption="Female Flag" attribute="1" defaultMemberUniqueName="[PT Q1 1].[Female Flag].[All]" allUniqueName="[PT Q1 1].[Female Flag].[All]" dimensionUniqueName="[PT Q1 1]" displayFolder="" count="0" memberValueDatatype="20" unbalanced="0"/>
    <cacheHierarchy uniqueName="[PT Q1 1].[Male Flag]" caption="Male Flag" attribute="1" defaultMemberUniqueName="[PT Q1 1].[Male Flag].[All]" allUniqueName="[PT Q1 1].[Male Flag].[All]" dimensionUniqueName="[PT Q1 1]" displayFolder="" count="0" memberValueDatatype="20" unbalanced="0"/>
    <cacheHierarchy uniqueName="[PT Q1 1].[Other Flag]" caption="Other Flag" attribute="1" defaultMemberUniqueName="[PT Q1 1].[Other Flag].[All]" allUniqueName="[PT Q1 1].[Other Flag].[All]" dimensionUniqueName="[PT Q1 1]" displayFolder="" count="0" memberValueDatatype="20" unbalanced="0"/>
    <cacheHierarchy uniqueName="[PT Q1 1].[Hispanic Flag]" caption="Hispanic Flag" attribute="1" defaultMemberUniqueName="[PT Q1 1].[Hispanic Flag].[All]" allUniqueName="[PT Q1 1].[Hispanic Flag].[All]" dimensionUniqueName="[PT Q1 1]" displayFolder="" count="0" memberValueDatatype="20" unbalanced="0"/>
    <cacheHierarchy uniqueName="[PT Q1 1].[White/Caucasian Flag]" caption="White/Caucasian Flag" attribute="1" defaultMemberUniqueName="[PT Q1 1].[White/Caucasian Flag].[All]" allUniqueName="[PT Q1 1].[White/Caucasian Flag].[All]" dimensionUniqueName="[PT Q1 1]" displayFolder="" count="0" memberValueDatatype="20" unbalanced="0"/>
    <cacheHierarchy uniqueName="[PT Q1 1].[Black/African American Flag]" caption="Black/African American Flag" attribute="1" defaultMemberUniqueName="[PT Q1 1].[Black/African American Flag].[All]" allUniqueName="[PT Q1 1].[Black/African American Flag].[All]" dimensionUniqueName="[PT Q1 1]" displayFolder="" count="0" memberValueDatatype="20" unbalanced="0"/>
    <cacheHierarchy uniqueName="[PT Q1 1].[Asian/Pacific Islander Flag]" caption="Asian/Pacific Islander Flag" attribute="1" defaultMemberUniqueName="[PT Q1 1].[Asian/Pacific Islander Flag].[All]" allUniqueName="[PT Q1 1].[Asian/Pacific Islander Flag].[All]" dimensionUniqueName="[PT Q1 1]" displayFolder="" count="0" memberValueDatatype="20" unbalanced="0"/>
    <cacheHierarchy uniqueName="[PT Q1 1].[Native American Flag]" caption="Native American Flag" attribute="1" defaultMemberUniqueName="[PT Q1 1].[Native American Flag].[All]" allUniqueName="[PT Q1 1].[Native American Flag].[All]" dimensionUniqueName="[PT Q1 1]" displayFolder="" count="0" memberValueDatatype="20" unbalanced="0"/>
    <cacheHierarchy uniqueName="[PT Q1 1].[Multi-racial Flag]" caption="Multi-racial Flag" attribute="1" defaultMemberUniqueName="[PT Q1 1].[Multi-racial Flag].[All]" allUniqueName="[PT Q1 1].[Multi-racial Flag].[All]" dimensionUniqueName="[PT Q1 1]" displayFolder="" count="0" memberValueDatatype="20" unbalanced="0"/>
    <cacheHierarchy uniqueName="[PT Q1 1].[Other Race Flag]" caption="Other Race Flag" attribute="1" defaultMemberUniqueName="[PT Q1 1].[Other Race Flag].[All]" allUniqueName="[PT Q1 1].[Other Race Flag].[All]" dimensionUniqueName="[PT Q1 1]" displayFolder="" count="0" memberValueDatatype="20" unbalanced="0"/>
    <cacheHierarchy uniqueName="[PT Q1 1].[$0-$19,999 Flag]" caption="$0-$19,999 Flag" attribute="1" defaultMemberUniqueName="[PT Q1 1].[$0-$19,999 Flag].[All]" allUniqueName="[PT Q1 1].[$0-$19,999 Flag].[All]" dimensionUniqueName="[PT Q1 1]" displayFolder="" count="0" memberValueDatatype="20" unbalanced="0"/>
    <cacheHierarchy uniqueName="[PT Q1 1].[$20,000 to $34,999 Flag]" caption="$20,000 to $34,999 Flag" attribute="1" defaultMemberUniqueName="[PT Q1 1].[$20,000 to $34,999 Flag].[All]" allUniqueName="[PT Q1 1].[$20,000 to $34,999 Flag].[All]" dimensionUniqueName="[PT Q1 1]" displayFolder="" count="0" memberValueDatatype="20" unbalanced="0"/>
    <cacheHierarchy uniqueName="[PT Q1 1].[$35,000 to $49,999 Flag]" caption="$35,000 to $49,999 Flag" attribute="1" defaultMemberUniqueName="[PT Q1 1].[$35,000 to $49,999 Flag].[All]" allUniqueName="[PT Q1 1].[$35,000 to $49,999 Flag].[All]" dimensionUniqueName="[PT Q1 1]" displayFolder="" count="0" memberValueDatatype="20" unbalanced="0"/>
    <cacheHierarchy uniqueName="[PT Q1 1].[$50,000 to $74,999 Flag]" caption="$50,000 to $74,999 Flag" attribute="1" defaultMemberUniqueName="[PT Q1 1].[$50,000 to $74,999 Flag].[All]" allUniqueName="[PT Q1 1].[$50,000 to $74,999 Flag].[All]" dimensionUniqueName="[PT Q1 1]" displayFolder="" count="0" memberValueDatatype="20" unbalanced="0"/>
    <cacheHierarchy uniqueName="[PT Q1 1].[$75,000 to $125,000 Flag]" caption="$75,000 to $125,000 Flag" attribute="1" defaultMemberUniqueName="[PT Q1 1].[$75,000 to $125,000 Flag].[All]" allUniqueName="[PT Q1 1].[$75,000 to $125,000 Flag].[All]" dimensionUniqueName="[PT Q1 1]" displayFolder="" count="0" memberValueDatatype="20" unbalanced="0"/>
    <cacheHierarchy uniqueName="[PT Q1 1].[Over $125,000 Flag]" caption="Over $125,000 Flag" attribute="1" defaultMemberUniqueName="[PT Q1 1].[Over $125,000 Flag].[All]" allUniqueName="[PT Q1 1].[Over $125,000 Flag].[All]" dimensionUniqueName="[PT Q1 1]" displayFolder="" count="0" memberValueDatatype="20" unbalanced="0"/>
    <cacheHierarchy uniqueName="[PT Q1 1].[18-24 Flag]" caption="18-24 Flag" attribute="1" defaultMemberUniqueName="[PT Q1 1].[18-24 Flag].[All]" allUniqueName="[PT Q1 1].[18-24 Flag].[All]" dimensionUniqueName="[PT Q1 1]" displayFolder="" count="0" memberValueDatatype="20" unbalanced="0"/>
    <cacheHierarchy uniqueName="[PT Q1 1].[25-34 Flag]" caption="25-34 Flag" attribute="1" defaultMemberUniqueName="[PT Q1 1].[25-34 Flag].[All]" allUniqueName="[PT Q1 1].[25-34 Flag].[All]" dimensionUniqueName="[PT Q1 1]" displayFolder="" count="0" memberValueDatatype="20" unbalanced="0"/>
    <cacheHierarchy uniqueName="[PT Q1 1].[35-44 Flag]" caption="35-44 Flag" attribute="1" defaultMemberUniqueName="[PT Q1 1].[35-44 Flag].[All]" allUniqueName="[PT Q1 1].[35-44 Flag].[All]" dimensionUniqueName="[PT Q1 1]" displayFolder="" count="0" memberValueDatatype="20" unbalanced="0"/>
    <cacheHierarchy uniqueName="[PT Q1 1].[45-54 Flag]" caption="45-54 Flag" attribute="1" defaultMemberUniqueName="[PT Q1 1].[45-54 Flag].[All]" allUniqueName="[PT Q1 1].[45-54 Flag].[All]" dimensionUniqueName="[PT Q1 1]" displayFolder="" count="0" memberValueDatatype="20" unbalanced="0"/>
    <cacheHierarchy uniqueName="[PT Q1 1].[55-64 Flag]" caption="55-64 Flag" attribute="1" defaultMemberUniqueName="[PT Q1 1].[55-64 Flag].[All]" allUniqueName="[PT Q1 1].[55-64 Flag].[All]" dimensionUniqueName="[PT Q1 1]" displayFolder="" count="0" memberValueDatatype="20" unbalanced="0"/>
    <cacheHierarchy uniqueName="[PT Q1 1].[65+ Flag]" caption="65+ Flag" attribute="1" defaultMemberUniqueName="[PT Q1 1].[65+ Flag].[All]" allUniqueName="[PT Q1 1].[65+ Flag].[All]" dimensionUniqueName="[PT Q1 1]" displayFolder="" count="0" memberValueDatatype="20" unbalanced="0"/>
    <cacheHierarchy uniqueName="[PT Q1 1].[K-8th Flag]" caption="K-8th Flag" attribute="1" defaultMemberUniqueName="[PT Q1 1].[K-8th Flag].[All]" allUniqueName="[PT Q1 1].[K-8th Flag].[All]" dimensionUniqueName="[PT Q1 1]" displayFolder="" count="0" memberValueDatatype="20" unbalanced="0"/>
    <cacheHierarchy uniqueName="[PT Q1 1].[Some high school Flag]" caption="Some high school Flag" attribute="1" defaultMemberUniqueName="[PT Q1 1].[Some high school Flag].[All]" allUniqueName="[PT Q1 1].[Some high school Flag].[All]" dimensionUniqueName="[PT Q1 1]" displayFolder="" count="0" memberValueDatatype="20" unbalanced="0"/>
    <cacheHierarchy uniqueName="[PT Q1 1].[High school graduate Flag]" caption="High school graduate Flag" attribute="1" defaultMemberUniqueName="[PT Q1 1].[High school graduate Flag].[All]" allUniqueName="[PT Q1 1].[High school graduate Flag].[All]" dimensionUniqueName="[PT Q1 1]" displayFolder="" count="0" memberValueDatatype="20" unbalanced="0"/>
    <cacheHierarchy uniqueName="[PT Q1 1].[Technical school Flag]" caption="Technical school Flag" attribute="1" defaultMemberUniqueName="[PT Q1 1].[Technical school Flag].[All]" allUniqueName="[PT Q1 1].[Technical school Flag].[All]" dimensionUniqueName="[PT Q1 1]" displayFolder="" count="0" memberValueDatatype="20" unbalanced="0"/>
    <cacheHierarchy uniqueName="[PT Q1 1].[Some college Flag]" caption="Some college Flag" attribute="1" defaultMemberUniqueName="[PT Q1 1].[Some college Flag].[All]" allUniqueName="[PT Q1 1].[Some college Flag].[All]" dimensionUniqueName="[PT Q1 1]" displayFolder="" count="0" memberValueDatatype="20" unbalanced="0"/>
    <cacheHierarchy uniqueName="[PT Q1 1].[College graduate Flag]" caption="College graduate Flag" attribute="1" defaultMemberUniqueName="[PT Q1 1].[College graduate Flag].[All]" allUniqueName="[PT Q1 1].[College graduate Flag].[All]" dimensionUniqueName="[PT Q1 1]" displayFolder="" count="0" memberValueDatatype="20" unbalanced="0"/>
    <cacheHierarchy uniqueName="[PT Q1 1].[Graduate school Flag]" caption="Graduate school Flag" attribute="1" defaultMemberUniqueName="[PT Q1 1].[Graduate school Flag].[All]" allUniqueName="[PT Q1 1].[Graduate school Flag].[All]" dimensionUniqueName="[PT Q1 1]" displayFolder="" count="0" memberValueDatatype="20" unbalanced="0"/>
    <cacheHierarchy uniqueName="[PT Q1 1].[Doctorate Flag]" caption="Doctorate Flag" attribute="1" defaultMemberUniqueName="[PT Q1 1].[Doctorate Flag].[All]" allUniqueName="[PT Q1 1].[Doctorate Flag].[All]" dimensionUniqueName="[PT Q1 1]" displayFolder="" count="0" memberValueDatatype="20" unbalanced="0"/>
    <cacheHierarchy uniqueName="[PT Q1 1].[GED Flag]" caption="GED Flag" attribute="1" defaultMemberUniqueName="[PT Q1 1].[GED Flag].[All]" allUniqueName="[PT Q1 1].[GED Flag].[All]" dimensionUniqueName="[PT Q1 1]" displayFolder="" count="0" memberValueDatatype="20" unbalanced="0"/>
    <cacheHierarchy uniqueName="[PT Q1 1].[None Flag]" caption="None Flag" attribute="1" defaultMemberUniqueName="[PT Q1 1].[None Flag].[All]" allUniqueName="[PT Q1 1].[None Flag].[All]" dimensionUniqueName="[PT Q1 1]" displayFolder="" count="0" memberValueDatatype="20" unbalanced="0"/>
    <cacheHierarchy uniqueName="[PT Q1 1].[Employed for Wages Flag]" caption="Employed for Wages Flag" attribute="1" defaultMemberUniqueName="[PT Q1 1].[Employed for Wages Flag].[All]" allUniqueName="[PT Q1 1].[Employed for Wages Flag].[All]" dimensionUniqueName="[PT Q1 1]" displayFolder="" count="0" memberValueDatatype="20" unbalanced="0"/>
    <cacheHierarchy uniqueName="[PT Q1 1].[Self-employed Flag]" caption="Self-employed Flag" attribute="1" defaultMemberUniqueName="[PT Q1 1].[Self-employed Flag].[All]" allUniqueName="[PT Q1 1].[Self-employed Flag].[All]" dimensionUniqueName="[PT Q1 1]" displayFolder="" count="0" memberValueDatatype="20" unbalanced="0"/>
    <cacheHierarchy uniqueName="[PT Q1 1].[Student Flag]" caption="Student Flag" attribute="1" defaultMemberUniqueName="[PT Q1 1].[Student Flag].[All]" allUniqueName="[PT Q1 1].[Student Flag].[All]" dimensionUniqueName="[PT Q1 1]" displayFolder="" count="0" memberValueDatatype="20" unbalanced="0"/>
    <cacheHierarchy uniqueName="[PT Q1 1].[Retired Flag]" caption="Retired Flag" attribute="1" defaultMemberUniqueName="[PT Q1 1].[Retired Flag].[All]" allUniqueName="[PT Q1 1].[Retired Flag].[All]" dimensionUniqueName="[PT Q1 1]" displayFolder="" count="0" memberValueDatatype="20" unbalanced="0"/>
    <cacheHierarchy uniqueName="[PT Q1 1].[Military Flag]" caption="Military Flag" attribute="1" defaultMemberUniqueName="[PT Q1 1].[Military Flag].[All]" allUniqueName="[PT Q1 1].[Military Flag].[All]" dimensionUniqueName="[PT Q1 1]" displayFolder="" count="0" memberValueDatatype="20" unbalanced="0"/>
    <cacheHierarchy uniqueName="[PT Q1 1].[Out of work and looking for work Flag]" caption="Out of work and looking for work Flag" attribute="1" defaultMemberUniqueName="[PT Q1 1].[Out of work and looking for work Flag].[All]" allUniqueName="[PT Q1 1].[Out of work and looking for work Flag].[All]" dimensionUniqueName="[PT Q1 1]" displayFolder="" count="0" memberValueDatatype="20" unbalanced="0"/>
    <cacheHierarchy uniqueName="[PT Q1 1].[Out of work, but not currently looking Flag]" caption="Out of work, but not currently looking Flag" attribute="1" defaultMemberUniqueName="[PT Q1 1].[Out of work, but not currently looking Flag].[All]" allUniqueName="[PT Q1 1].[Out of work, but not currently looking Flag].[All]" dimensionUniqueName="[PT Q1 1]" displayFolder="" count="0" memberValueDatatype="20" unbalanced="0"/>
    <cacheHierarchy uniqueName="[PT Q1 1].[Currently Insured Flag]" caption="Currently Insured Flag" attribute="1" defaultMemberUniqueName="[PT Q1 1].[Currently Insured Flag].[All]" allUniqueName="[PT Q1 1].[Currently Insured Flag].[All]" dimensionUniqueName="[PT Q1 1]" displayFolder="" count="0" memberValueDatatype="20" unbalanced="0"/>
    <cacheHierarchy uniqueName="[PT Q1 1].[Previously Insured Flag]" caption="Previously Insured Flag" attribute="1" defaultMemberUniqueName="[PT Q1 1].[Previously Insured Flag].[All]" allUniqueName="[PT Q1 1].[Previously Insured Flag].[All]" dimensionUniqueName="[PT Q1 1]" displayFolder="" count="0" memberValueDatatype="20" unbalanced="0"/>
    <cacheHierarchy uniqueName="[PT Q1 1].[Not Insured Flag]" caption="Not Insured Flag" attribute="1" defaultMemberUniqueName="[PT Q1 1].[Not Insured Flag].[All]" allUniqueName="[PT Q1 1].[Not Insured Flag].[All]" dimensionUniqueName="[PT Q1 1]" displayFolder="" count="0" memberValueDatatype="20" unbalanced="0"/>
    <cacheHierarchy uniqueName="[PT Q1 1].[Medicaid Flag]" caption="Medicaid Flag" attribute="1" defaultMemberUniqueName="[PT Q1 1].[Medicaid Flag].[All]" allUniqueName="[PT Q1 1].[Medicaid Flag].[All]" dimensionUniqueName="[PT Q1 1]" displayFolder="" count="0" memberValueDatatype="20" unbalanced="0"/>
    <cacheHierarchy uniqueName="[PT Q1 1].[Medicaid,Medicare Flag]" caption="Medicaid,Medicare Flag" attribute="1" defaultMemberUniqueName="[PT Q1 1].[Medicaid,Medicare Flag].[All]" allUniqueName="[PT Q1 1].[Medicaid,Medicare Flag].[All]" dimensionUniqueName="[PT Q1 1]" displayFolder="" count="0" memberValueDatatype="20" unbalanced="0"/>
    <cacheHierarchy uniqueName="[PT Q1 1].[Medicaid,Medicare,Private/Commercial Flag]" caption="Medicaid,Medicare,Private/Commercial Flag" attribute="1" defaultMemberUniqueName="[PT Q1 1].[Medicaid,Medicare,Private/Commercial Flag].[All]" allUniqueName="[PT Q1 1].[Medicaid,Medicare,Private/Commercial Flag].[All]" dimensionUniqueName="[PT Q1 1]" displayFolder="" count="0" memberValueDatatype="20" unbalanced="0"/>
    <cacheHierarchy uniqueName="[PT Q1 1].[Medicaid,Private/Commercial Flag]" caption="Medicaid,Private/Commercial Flag" attribute="1" defaultMemberUniqueName="[PT Q1 1].[Medicaid,Private/Commercial Flag].[All]" allUniqueName="[PT Q1 1].[Medicaid,Private/Commercial Flag].[All]" dimensionUniqueName="[PT Q1 1]" displayFolder="" count="0" memberValueDatatype="20" unbalanced="0"/>
    <cacheHierarchy uniqueName="[PT Q1 1].[Medicare Flag]" caption="Medicare Flag" attribute="1" defaultMemberUniqueName="[PT Q1 1].[Medicare Flag].[All]" allUniqueName="[PT Q1 1].[Medicare Flag].[All]" dimensionUniqueName="[PT Q1 1]" displayFolder="" count="0" memberValueDatatype="20" unbalanced="0"/>
    <cacheHierarchy uniqueName="[PT Q1 1].[Medicare,No Insurance Flag]" caption="Medicare,No Insurance Flag" attribute="1" defaultMemberUniqueName="[PT Q1 1].[Medicare,No Insurance Flag].[All]" allUniqueName="[PT Q1 1].[Medicare,No Insurance Flag].[All]" dimensionUniqueName="[PT Q1 1]" displayFolder="" count="0" memberValueDatatype="20" unbalanced="0"/>
    <cacheHierarchy uniqueName="[PT Q1 1].[Medicare,Private/Commercial Flag]" caption="Medicare,Private/Commercial Flag" attribute="1" defaultMemberUniqueName="[PT Q1 1].[Medicare,Private/Commercial Flag].[All]" allUniqueName="[PT Q1 1].[Medicare,Private/Commercial Flag].[All]" dimensionUniqueName="[PT Q1 1]" displayFolder="" count="0" memberValueDatatype="20" unbalanced="0"/>
    <cacheHierarchy uniqueName="[PT Q1 1].[No Insurance Flag]" caption="No Insurance Flag" attribute="1" defaultMemberUniqueName="[PT Q1 1].[No Insurance Flag].[All]" allUniqueName="[PT Q1 1].[No Insurance Flag].[All]" dimensionUniqueName="[PT Q1 1]" displayFolder="" count="0" memberValueDatatype="20" unbalanced="0"/>
    <cacheHierarchy uniqueName="[PT Q1 1].[Private/Commercial Flag]" caption="Private/Commercial Flag" attribute="1" defaultMemberUniqueName="[PT Q1 1].[Private/Commercial Flag].[All]" allUniqueName="[PT Q1 1].[Private/Commercial Flag].[All]" dimensionUniqueName="[PT Q1 1]" displayFolder="" count="0" memberValueDatatype="20" unbalanced="0"/>
    <cacheHierarchy uniqueName="[PT Q1 1].[Reliable Internet Flag]" caption="Reliable Internet Flag" attribute="1" defaultMemberUniqueName="[PT Q1 1].[Reliable Internet Flag].[All]" allUniqueName="[PT Q1 1].[Reliable Internet Flag].[All]" dimensionUniqueName="[PT Q1 1]" displayFolder="" count="0" memberValueDatatype="2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OTHER]" caption="OTHER" attribute="1" defaultMemberUniqueName="[PT Q2].[OTHER].[All]" allUniqueName="[PT Q2].[OTHER].[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5"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What type of insurance do you have?]" caption="What type of insurance do you have?" attribute="1" defaultMemberUniqueName="[PT Q2].[What type of insurance do you have?].[All]" allUniqueName="[PT Q2].[What type of insurance do you have?].[All]" dimensionUniqueName="[PT Q2]" displayFolder="" count="0" memberValueDatatype="130" unbalanced="0"/>
    <cacheHierarchy uniqueName="[PT Q2].[Do you have access to reliable internet in your home?]" caption="Do you have access to reliable internet in your home?" attribute="1" defaultMemberUniqueName="[PT Q2].[Do you have access to reliable internet in your home?].[All]" allUniqueName="[PT Q2].[Do you have access to reliable internet in your hom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immigration status)]" caption="Fear (e.g. not ready to face/discuss health problem; immigration status)" attribute="1" defaultMemberUniqueName="[PT Q3].[Fear (e.g. not ready to face/discuss health problem; immigration status)].[All]" allUniqueName="[PT Q3].[Fear (e.g. not ready to face/discuss health problem; immigration status)].[All]" dimensionUniqueName="[PT Q3]" displayFolder="" count="0" memberValueDatatype="130" unbalanced="0"/>
    <cacheHierarchy uniqueName="[PT Q3].[OTHER]" caption="OTHER" attribute="1" defaultMemberUniqueName="[PT Q3].[OTHER].[All]" allUniqueName="[PT Q3].[OTHER].[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immigration status)14]" caption="Fear (e.g. not ready to face/discuss health problem;immigration status)14" attribute="1" defaultMemberUniqueName="[PT Q3].[Fear (e.g. not ready to face/discuss health problem;immigration status)14].[All]" allUniqueName="[PT Q3].[Fear (e.g. not ready to face/discuss health problem;immigration status)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2"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2"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2"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2"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2"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2"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2"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2" memberValueDatatype="130" unbalanced="0"/>
    <cacheHierarchy uniqueName="[PT Q3].[What type of insurance do you have?]" caption="What type of insurance do you have?" attribute="1" defaultMemberUniqueName="[PT Q3].[What type of insurance do you have?].[All]" allUniqueName="[PT Q3].[What type of insurance do you have?].[All]" dimensionUniqueName="[PT Q3]" displayFolder="" count="0" memberValueDatatype="130" unbalanced="0"/>
    <cacheHierarchy uniqueName="[PT Q3].[Do you have access to reliable internet in your home?]" caption="Do you have access to reliable internet in your home?" attribute="1" defaultMemberUniqueName="[PT Q3].[Do you have access to reliable internet in your home?].[All]" allUniqueName="[PT Q3].[Do you have access to reliable internet in your hom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OTHER]" caption="OTHER" attribute="1" defaultMemberUniqueName="[PT Q4].[OTHER].[All]" allUniqueName="[PT Q4].[OTHER].[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What type of insurance do you have?]" caption="What type of insurance do you have?" attribute="1" defaultMemberUniqueName="[PT Q4].[What type of insurance do you have?].[All]" allUniqueName="[PT Q4].[What type of insurance do you have?].[All]" dimensionUniqueName="[PT Q4]" displayFolder="" count="0" memberValueDatatype="130" unbalanced="0"/>
    <cacheHierarchy uniqueName="[PT Q4].[Do you have access to reliable internet in your home?]" caption="Do you have access to reliable internet in your home?" attribute="1" defaultMemberUniqueName="[PT Q4].[Do you have access to reliable internet in your home?].[All]" allUniqueName="[PT Q4].[Do you have access to reliable internet in your hom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OTHER]" caption="OTHER" attribute="1" defaultMemberUniqueName="[PT Q5].[OTHER].[All]" allUniqueName="[PT Q5].[OTHER].[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What type of insurance do you have?]" caption="What type of insurance do you have?" attribute="1" defaultMemberUniqueName="[PT Q5].[What type of insurance do you have?].[All]" allUniqueName="[PT Q5].[What type of insurance do you have?].[All]" dimensionUniqueName="[PT Q5]" displayFolder="" count="0" memberValueDatatype="130" unbalanced="0"/>
    <cacheHierarchy uniqueName="[PT Q5].[Do you have access to reliable internet in your home?]" caption="Do you have access to reliable internet in your home?" attribute="1" defaultMemberUniqueName="[PT Q5].[Do you have access to reliable internet in your home?].[All]" allUniqueName="[PT Q5].[Do you have access to reliable internet in your hom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What type of insurance do you have?]" caption="What type of insurance do you have?" attribute="1" defaultMemberUniqueName="[PT Q6].[What type of insurance do you have?].[All]" allUniqueName="[PT Q6].[What type of insurance do you have?].[All]" dimensionUniqueName="[PT Q6]" displayFolder="" count="0" memberValueDatatype="130" unbalanced="0"/>
    <cacheHierarchy uniqueName="[PT Q6].[Do you have access to reliable internet in your home?]" caption="Do you have access to reliable internet in your home?" attribute="1" defaultMemberUniqueName="[PT Q6].[Do you have access to reliable internet in your home?].[All]" allUniqueName="[PT Q6].[Do you have access to reliable internet in your hom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198"/>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198"/>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216"/>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217"/>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222"/>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207"/>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209"/>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224"/>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226"/>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227"/>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218"/>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220"/>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225"/>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228"/>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219"/>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221"/>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223"/>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24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248"/>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26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26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269"/>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26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26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27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26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27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26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292"/>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292"/>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309"/>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312"/>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315"/>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318"/>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310"/>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313"/>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316"/>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319"/>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320"/>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311"/>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314"/>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317"/>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340"/>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340"/>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363"/>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366"/>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369"/>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372"/>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378"/>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380"/>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364"/>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367"/>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370"/>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373"/>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376"/>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379"/>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365"/>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368"/>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371"/>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374"/>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377"/>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401"/>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404"/>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407"/>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410"/>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412"/>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402"/>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405"/>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408"/>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411"/>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413"/>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403"/>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406"/>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409"/>
        </ext>
      </extLst>
    </cacheHierarchy>
    <cacheHierarchy uniqueName="[Measures].[Sum of Fear (eg not ready to facediscuss health problemimmigration status)14]" caption="Sum of Fear (eg not ready to facediscuss health problemimmigration status)14" measure="1" displayFolder="" measureGroup="PT Q3" count="0">
      <extLst>
        <ext xmlns:x15="http://schemas.microsoft.com/office/spreadsheetml/2010/11/main" uri="{B97F6D7D-B522-45F9-BDA1-12C45D357490}">
          <x15:cacheHierarchy aggregatedColumn="272"/>
        </ext>
      </extLst>
    </cacheHierarchy>
    <cacheHierarchy uniqueName="[Measures].[Sum of RespondentID 7]" caption="Sum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Women’s health  wellness10 3]" caption="Sum of Women’s health  wellness10 3" measure="1" displayFolder="" measureGroup="PT Q1 1" count="0">
      <extLst>
        <ext xmlns:x15="http://schemas.microsoft.com/office/spreadsheetml/2010/11/main" uri="{B97F6D7D-B522-45F9-BDA1-12C45D357490}">
          <x15:cacheHierarchy aggregatedColumn="121"/>
        </ext>
      </extLst>
    </cacheHierarchy>
    <cacheHierarchy uniqueName="[Measures].[Count of RespondentID 7]" caption="Count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Asthmalung disease3 3]" caption="Sum of Asthmalung disease3 3" measure="1" displayFolder="" measureGroup="PT Q1 1" count="0">
      <extLst>
        <ext xmlns:x15="http://schemas.microsoft.com/office/spreadsheetml/2010/11/main" uri="{B97F6D7D-B522-45F9-BDA1-12C45D357490}">
          <x15:cacheHierarchy aggregatedColumn="114"/>
        </ext>
      </extLst>
    </cacheHierarchy>
    <cacheHierarchy uniqueName="[Measures].[Sum of Cancer4 3]" caption="Sum of Cancer4 3" measure="1" displayFolder="" measureGroup="PT Q1 1" count="0">
      <extLst>
        <ext xmlns:x15="http://schemas.microsoft.com/office/spreadsheetml/2010/11/main" uri="{B97F6D7D-B522-45F9-BDA1-12C45D357490}">
          <x15:cacheHierarchy aggregatedColumn="115"/>
        </ext>
      </extLst>
    </cacheHierarchy>
    <cacheHierarchy uniqueName="[Measures].[Sum of Heart disease  stroke5 3]" caption="Sum of Heart disease  stroke5 3" measure="1" displayFolder="" measureGroup="PT Q1 1" count="0">
      <extLst>
        <ext xmlns:x15="http://schemas.microsoft.com/office/spreadsheetml/2010/11/main" uri="{B97F6D7D-B522-45F9-BDA1-12C45D357490}">
          <x15:cacheHierarchy aggregatedColumn="116"/>
        </ext>
      </extLst>
    </cacheHierarchy>
    <cacheHierarchy uniqueName="[Measures].[Sum of Safety6 3]" caption="Sum of Safety6 3" measure="1" displayFolder="" measureGroup="PT Q1 1" count="0">
      <extLst>
        <ext xmlns:x15="http://schemas.microsoft.com/office/spreadsheetml/2010/11/main" uri="{B97F6D7D-B522-45F9-BDA1-12C45D357490}">
          <x15:cacheHierarchy aggregatedColumn="117"/>
        </ext>
      </extLst>
    </cacheHierarchy>
    <cacheHierarchy uniqueName="[Measures].[Sum of HIVAIDS  Sexually Transmitted Diseases (STDs)7 3]" caption="Sum of HIVAIDS  Sexually Transmitted Diseases (STDs)7 3" measure="1" displayFolder="" measureGroup="PT Q1 1" count="0">
      <extLst>
        <ext xmlns:x15="http://schemas.microsoft.com/office/spreadsheetml/2010/11/main" uri="{B97F6D7D-B522-45F9-BDA1-12C45D357490}">
          <x15:cacheHierarchy aggregatedColumn="118"/>
        </ext>
      </extLst>
    </cacheHierarchy>
    <cacheHierarchy uniqueName="[Measures].[Sum of Vaccine preventable diseases8 3]" caption="Sum of Vaccine preventable diseases8 3" measure="1" displayFolder="" measureGroup="PT Q1 1" count="0">
      <extLst>
        <ext xmlns:x15="http://schemas.microsoft.com/office/spreadsheetml/2010/11/main" uri="{B97F6D7D-B522-45F9-BDA1-12C45D357490}">
          <x15:cacheHierarchy aggregatedColumn="119"/>
        </ext>
      </extLst>
    </cacheHierarchy>
    <cacheHierarchy uniqueName="[Measures].[Sum of Child health  wellness9 3]" caption="Sum of Child health  wellness9 3" measure="1" displayFolder="" measureGroup="PT Q1 1" count="0">
      <extLst>
        <ext xmlns:x15="http://schemas.microsoft.com/office/spreadsheetml/2010/11/main" uri="{B97F6D7D-B522-45F9-BDA1-12C45D357490}">
          <x15:cacheHierarchy aggregatedColumn="120"/>
        </ext>
      </extLst>
    </cacheHierarchy>
    <cacheHierarchy uniqueName="[Measures].[Sum of Diabetes11 3]" caption="Sum of Diabetes11 3" measure="1" displayFolder="" measureGroup="PT Q1 1" count="0">
      <extLst>
        <ext xmlns:x15="http://schemas.microsoft.com/office/spreadsheetml/2010/11/main" uri="{B97F6D7D-B522-45F9-BDA1-12C45D357490}">
          <x15:cacheHierarchy aggregatedColumn="122"/>
        </ext>
      </extLst>
    </cacheHierarchy>
    <cacheHierarchy uniqueName="[Measures].[Sum of Mental health depressionsuicide12 3]" caption="Sum of Mental health depressionsuicide12 3" measure="1" displayFolder="" measureGroup="PT Q1 1" count="0">
      <extLst>
        <ext xmlns:x15="http://schemas.microsoft.com/office/spreadsheetml/2010/11/main" uri="{B97F6D7D-B522-45F9-BDA1-12C45D357490}">
          <x15:cacheHierarchy aggregatedColumn="123"/>
        </ext>
      </extLst>
    </cacheHierarchy>
    <cacheHierarchy uniqueName="[Measures].[Sum of Drugs  alcohol abuse13 3]" caption="Sum of Drugs  alcohol abuse13 3" measure="1" displayFolder="" measureGroup="PT Q1 1" count="0">
      <extLst>
        <ext xmlns:x15="http://schemas.microsoft.com/office/spreadsheetml/2010/11/main" uri="{B97F6D7D-B522-45F9-BDA1-12C45D357490}">
          <x15:cacheHierarchy aggregatedColumn="124"/>
        </ext>
      </extLst>
    </cacheHierarchy>
    <cacheHierarchy uniqueName="[Measures].[Sum of Environmental hazards14 3]" caption="Sum of Environmental hazards14 3" measure="1" displayFolder="" measureGroup="PT Q1 1" count="0">
      <extLst>
        <ext xmlns:x15="http://schemas.microsoft.com/office/spreadsheetml/2010/11/main" uri="{B97F6D7D-B522-45F9-BDA1-12C45D357490}">
          <x15:cacheHierarchy aggregatedColumn="125"/>
        </ext>
      </extLst>
    </cacheHierarchy>
    <cacheHierarchy uniqueName="[Measures].[Sum of Obesityweight loss issues15 3]" caption="Sum of Obesityweight loss issues15 3" measure="1" displayFolder="" measureGroup="PT Q1 1" count="0">
      <extLst>
        <ext xmlns:x15="http://schemas.microsoft.com/office/spreadsheetml/2010/11/main" uri="{B97F6D7D-B522-45F9-BDA1-12C45D357490}">
          <x15:cacheHierarchy aggregatedColumn="126"/>
        </ext>
      </extLst>
    </cacheHierarchy>
    <cacheHierarchy uniqueName="[Measures].[Sum of What is your age]" caption="Sum of What is your age" measure="1" displayFolder="" measureGroup="PT Q1 1" count="0">
      <extLst>
        <ext xmlns:x15="http://schemas.microsoft.com/office/spreadsheetml/2010/11/main" uri="{B97F6D7D-B522-45F9-BDA1-12C45D357490}">
          <x15:cacheHierarchy aggregatedColumn="134"/>
        </ext>
      </extLst>
    </cacheHierarchy>
    <cacheHierarchy uniqueName="[Measures].[Average of What is your age]" caption="Average of What is your age" measure="1" displayFolder="" measureGroup="PT Q1 1" count="0">
      <extLst>
        <ext xmlns:x15="http://schemas.microsoft.com/office/spreadsheetml/2010/11/main" uri="{B97F6D7D-B522-45F9-BDA1-12C45D357490}">
          <x15:cacheHierarchy aggregatedColumn="134"/>
        </ext>
      </extLst>
    </cacheHierarchy>
    <cacheHierarchy uniqueName="[Measures].[Count of What race do you consider yourself]" caption="Count of What race do you consider yourself" measure="1" displayFolder="" measureGroup="PT Q1 1" count="0">
      <extLst>
        <ext xmlns:x15="http://schemas.microsoft.com/office/spreadsheetml/2010/11/main" uri="{B97F6D7D-B522-45F9-BDA1-12C45D357490}">
          <x15:cacheHierarchy aggregatedColumn="137"/>
        </ext>
      </extLst>
    </cacheHierarchy>
    <cacheHierarchy uniqueName="[Measures].[Count of Do you currently have health insurance]" caption="Count of Do you currently have health insurance" measure="1" displayFolder="" measureGroup="PT Q1 1" count="0">
      <extLst>
        <ext xmlns:x15="http://schemas.microsoft.com/office/spreadsheetml/2010/11/main" uri="{B97F6D7D-B522-45F9-BDA1-12C45D357490}">
          <x15:cacheHierarchy aggregatedColumn="143"/>
        </ext>
      </extLst>
    </cacheHierarchy>
    <cacheHierarchy uniqueName="[Measures].[Count of What type of insurance do you have]" caption="Count of What type of insurance do you have" measure="1" displayFolder="" measureGroup="PT Q1 1" count="0">
      <extLst>
        <ext xmlns:x15="http://schemas.microsoft.com/office/spreadsheetml/2010/11/main" uri="{B97F6D7D-B522-45F9-BDA1-12C45D357490}">
          <x15:cacheHierarchy aggregatedColumn="144"/>
        </ext>
      </extLst>
    </cacheHierarchy>
    <cacheHierarchy uniqueName="[Measures].[Count of Do you have access to reliable internet in your home]" caption="Count of Do you have access to reliable internet in your home" measure="1" displayFolder="" measureGroup="PT Q1 1" count="0">
      <extLst>
        <ext xmlns:x15="http://schemas.microsoft.com/office/spreadsheetml/2010/11/main" uri="{B97F6D7D-B522-45F9-BDA1-12C45D357490}">
          <x15:cacheHierarchy aggregatedColumn="145"/>
        </ext>
      </extLst>
    </cacheHierarchy>
    <cacheHierarchy uniqueName="[Measures].[Sum of Female Flag]" caption="Sum of Female Flag" measure="1" displayFolder="" measureGroup="PT Q1 1" count="0">
      <extLst>
        <ext xmlns:x15="http://schemas.microsoft.com/office/spreadsheetml/2010/11/main" uri="{B97F6D7D-B522-45F9-BDA1-12C45D357490}">
          <x15:cacheHierarchy aggregatedColumn="146"/>
        </ext>
      </extLst>
    </cacheHierarchy>
    <cacheHierarchy uniqueName="[Measures].[Sum of Male Flag]" caption="Sum of Male Flag" measure="1" displayFolder="" measureGroup="PT Q1 1" count="0">
      <extLst>
        <ext xmlns:x15="http://schemas.microsoft.com/office/spreadsheetml/2010/11/main" uri="{B97F6D7D-B522-45F9-BDA1-12C45D357490}">
          <x15:cacheHierarchy aggregatedColumn="147"/>
        </ext>
      </extLst>
    </cacheHierarchy>
    <cacheHierarchy uniqueName="[Measures].[Sum of WhiteCaucasian Flag]" caption="Sum of WhiteCaucasian Flag" measure="1" displayFolder="" measureGroup="PT Q1 1" count="0">
      <extLst>
        <ext xmlns:x15="http://schemas.microsoft.com/office/spreadsheetml/2010/11/main" uri="{B97F6D7D-B522-45F9-BDA1-12C45D357490}">
          <x15:cacheHierarchy aggregatedColumn="150"/>
        </ext>
      </extLst>
    </cacheHierarchy>
    <cacheHierarchy uniqueName="[Measures].[Sum of BlackAfrican American Flag]" caption="Sum of BlackAfrican American Flag" measure="1" displayFolder="" measureGroup="PT Q1 1" count="0">
      <extLst>
        <ext xmlns:x15="http://schemas.microsoft.com/office/spreadsheetml/2010/11/main" uri="{B97F6D7D-B522-45F9-BDA1-12C45D357490}">
          <x15:cacheHierarchy aggregatedColumn="151"/>
        </ext>
      </extLst>
    </cacheHierarchy>
    <cacheHierarchy uniqueName="[Measures].[Total Respondents]" caption="Total Respondents" measure="1" displayFolder="" measureGroup="PT Q1" count="0"/>
    <cacheHierarchy uniqueName="[Measures].[Woman]" caption="Woman" measure="1" displayFolder="" measureGroup="PT Q1" count="0"/>
    <cacheHierarchy uniqueName="[Measures].[Man]" caption="Man" measure="1" displayFolder="" measureGroup="PT Q1" count="0"/>
    <cacheHierarchy uniqueName="[Measures].[Transgender]" caption="Transgender" measure="1" displayFolder="" measureGroup="PT Q1" count="0"/>
    <cacheHierarchy uniqueName="[Measures].[Other Gender]" caption="Other Gender" measure="1" displayFolder="" measureGroup="PT Q1" count="0"/>
    <cacheHierarchy uniqueName="[Measures].[Ethnicity]" caption="Ethnicity" measure="1" displayFolder="" measureGroup="PT Q1" count="0"/>
    <cacheHierarchy uniqueName="[Measures].[White]" caption="White" measure="1" displayFolder="" measureGroup="PT Q1" count="0"/>
    <cacheHierarchy uniqueName="[Measures].[Black/African American]" caption="Black/African American" measure="1" displayFolder="" measureGroup="PT Q1" count="0"/>
    <cacheHierarchy uniqueName="[Measures].[Native Hawaiian/Pacific Islander]" caption="Native Hawaiian/Pacific Islander" measure="1" displayFolder="" measureGroup="PT Q1" count="0"/>
    <cacheHierarchy uniqueName="[Measures].[American Indian/Alaska Native]" caption="American Indian/Alaska Native" measure="1" displayFolder="" measureGroup="PT Q1" count="0"/>
    <cacheHierarchy uniqueName="[Measures].[Multi-racial]" caption="Multi-racial" measure="1" displayFolder="" measureGroup="PT Q1" count="0"/>
    <cacheHierarchy uniqueName="[Measures].[Other Race]" caption="Other Race" measure="1" displayFolder="" measureGroup="PT Q1" count="0"/>
    <cacheHierarchy uniqueName="[Measures].[Income $0-$19,999]" caption="Income $0-$19,999" measure="1" displayFolder="" measureGroup="PT Q1" count="0"/>
    <cacheHierarchy uniqueName="[Measures].[Income $20,000 to $34,999]" caption="Income $20,000 to $34,999" measure="1" displayFolder="" measureGroup="PT Q1" count="0"/>
    <cacheHierarchy uniqueName="[Measures].[Income $35,000 to $49,999]" caption="Income $35,000 to $49,999" measure="1" displayFolder="" measureGroup="PT Q1" count="0"/>
    <cacheHierarchy uniqueName="[Measures].[income $50,000 to $74,999]" caption="income $50,000 to $74,999" measure="1" displayFolder="" measureGroup="PT Q1" count="0"/>
    <cacheHierarchy uniqueName="[Measures].[Income $75,000 to $125,000]" caption="Income $75,000 to $125,000" measure="1" displayFolder="" measureGroup="PT Q1" count="0"/>
    <cacheHierarchy uniqueName="[Measures].[Income Over $125,000]" caption="Income Over $125,000" measure="1" displayFolder="" measureGroup="PT Q1" count="0"/>
    <cacheHierarchy uniqueName="[Measures].[Age 18-24]" caption="Age 18-24" measure="1" displayFolder="" measureGroup="PT Q1" count="0"/>
    <cacheHierarchy uniqueName="[Measures].[Age 25 to 34]" caption="Age 25 to 34" measure="1" displayFolder="" measureGroup="PT Q1" count="0"/>
    <cacheHierarchy uniqueName="[Measures].[Age 35 to 44]" caption="Age 35 to 44" measure="1" displayFolder="" measureGroup="PT Q1" count="0"/>
    <cacheHierarchy uniqueName="[Measures].[Age 45 to 54]" caption="Age 45 to 54" measure="1" displayFolder="" measureGroup="PT Q1" count="0"/>
    <cacheHierarchy uniqueName="[Measures].[Age 55 to 64]" caption="Age 55 to 64" measure="1" displayFolder="" measureGroup="PT Q1" count="0"/>
    <cacheHierarchy uniqueName="[Measures].[Age 65+]" caption="Age 65+" measure="1" displayFolder="" measureGroup="PT Q1" count="0"/>
    <cacheHierarchy uniqueName="[Measures].[K-8 Grade]" caption="K-8 Grade" measure="1" displayFolder="" measureGroup="PT Q1" count="0"/>
    <cacheHierarchy uniqueName="[Measures].[High School]" caption="High School" measure="1" displayFolder="" measureGroup="PT Q1" count="0"/>
    <cacheHierarchy uniqueName="[Measures].[Some High School]" caption="Some High School" measure="1" displayFolder="" measureGroup="PT Q1" count="0"/>
    <cacheHierarchy uniqueName="[Measures].[College]" caption="College" measure="1" displayFolder="" measureGroup="PT Q1" count="0"/>
    <cacheHierarchy uniqueName="[Measures].[Some College]" caption="Some College" measure="1" displayFolder="" measureGroup="PT Q1" count="0"/>
    <cacheHierarchy uniqueName="[Measures].[Technical School]" caption="Technical School" measure="1" displayFolder="" measureGroup="PT Q1" count="0"/>
    <cacheHierarchy uniqueName="[Measures].[Graduate School]" caption="Graduate School" measure="1" displayFolder="" measureGroup="PT Q1" count="0"/>
    <cacheHierarchy uniqueName="[Measures].[Doctorate]" caption="Doctorate" measure="1" displayFolder="" measureGroup="PT Q1" count="0"/>
    <cacheHierarchy uniqueName="[Measures].[GED]" caption="GED" measure="1" displayFolder="" measureGroup="PT Q1" count="0"/>
    <cacheHierarchy uniqueName="[Measures].[Employed for Wages]" caption="Employed for Wages" measure="1" displayFolder="" measureGroup="PT Q1" count="0"/>
    <cacheHierarchy uniqueName="[Measures].[Self-employed]" caption="Self-employed" measure="1" displayFolder="" measureGroup="PT Q1" count="0"/>
    <cacheHierarchy uniqueName="[Measures].[Student]" caption="Student" measure="1" displayFolder="" measureGroup="PT Q1" count="0"/>
    <cacheHierarchy uniqueName="[Measures].[Retired]" caption="Retired" measure="1" displayFolder="" measureGroup="PT Q1" count="0"/>
    <cacheHierarchy uniqueName="[Measures].[Military]" caption="Military" measure="1" displayFolder="" measureGroup="PT Q1" count="0"/>
    <cacheHierarchy uniqueName="[Measures].[Out of Work and Looking]" caption="Out of Work and Looking" measure="1" displayFolder="" measureGroup="PT Q1" count="0"/>
    <cacheHierarchy uniqueName="[Measures].[Out of Work Not Looking]" caption="Out of Work Not Looking" measure="1" displayFolder="" measureGroup="PT Q1" count="0"/>
    <cacheHierarchy uniqueName="[Measures].[Health Insurance Yes]" caption="Health Insurance Yes" measure="1" displayFolder="" measureGroup="PT Q1" count="0"/>
    <cacheHierarchy uniqueName="[Measures].[Health Insurance No]" caption="Health Insurance No" measure="1" displayFolder="" measureGroup="PT Q1" count="0"/>
    <cacheHierarchy uniqueName="[Measures].[Health Insurance In the Past]" caption="Health Insurance In the Past" measure="1" displayFolder="" measureGroup="PT Q1" count="0"/>
    <cacheHierarchy uniqueName="[Measures].[Medicare]" caption="Medicare" measure="1" displayFolder="" measureGroup="PT Q1" count="0"/>
    <cacheHierarchy uniqueName="[Measures].[Medicaid]" caption="Medicaid" measure="1" displayFolder="" measureGroup="PT Q1" count="0"/>
    <cacheHierarchy uniqueName="[Measures].[Private/Commerical]" caption="Private/Commerical" measure="1" displayFolder="" measureGroup="PT Q1" count="0"/>
    <cacheHierarchy uniqueName="[Measures].[Not Insured]" caption="Not Insured" measure="1" displayFolder="" measureGroup="PT Q1" count="0"/>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PT Q1 1]" caption="__XL_Count PT Q1 1" measure="1" displayFolder="" measureGroup="PT Q1 1"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1153"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Melissa Bauer" refreshedDate="44946.53297025463" createdVersion="3" refreshedVersion="5" minRefreshableVersion="3" recordCount="0" supportSubquery="1" supportAdvancedDrill="1">
  <cacheSource type="external" connectionId="8">
    <extLst>
      <ext xmlns:x14="http://schemas.microsoft.com/office/spreadsheetml/2009/9/main" uri="{F057638F-6D5F-4e77-A914-E7F072B9BCA8}">
        <x14:sourceConnection name="ThisWorkbookDataModel"/>
      </ext>
    </extLst>
  </cacheSource>
  <cacheFields count="0"/>
  <cacheHierarchies count="600">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What type of insurance do you have?]" caption="What type of insurance do you have?" attribute="1" defaultMemberUniqueName="[PT Q1].[What type of insurance do you have?].[All]" allUniqueName="[PT Q1].[What type of insurance do you have?].[All]" dimensionUniqueName="[PT Q1]" displayFolder="" count="0" memberValueDatatype="130" unbalanced="0"/>
    <cacheHierarchy uniqueName="[PT Q1].[Do you have a smartphone]" caption="Do you have a smartphone" attribute="1" defaultMemberUniqueName="[PT Q1].[Do you have a smartphone].[All]" allUniqueName="[PT Q1].[Do you have a smartphone].[All]" dimensionUniqueName="[PT Q1]" displayFolder="" count="0" memberValueDatatype="130" unbalanced="0"/>
    <cacheHierarchy uniqueName="[PT Q1].[Woman Flag]" caption="Woman Flag" attribute="1" defaultMemberUniqueName="[PT Q1].[Woman Flag].[All]" allUniqueName="[PT Q1].[Woman Flag].[All]" dimensionUniqueName="[PT Q1]" displayFolder="" count="0" memberValueDatatype="20" unbalanced="0"/>
    <cacheHierarchy uniqueName="[PT Q1].[Man Flag]" caption="Man Flag" attribute="1" defaultMemberUniqueName="[PT Q1].[Man Flag].[All]" allUniqueName="[PT Q1].[Man Flag].[All]" dimensionUniqueName="[PT Q1]" displayFolder="" count="0" memberValueDatatype="20" unbalanced="0"/>
    <cacheHierarchy uniqueName="[PT Q1].[Transgender Flag]" caption="Transgender Flag" attribute="1" defaultMemberUniqueName="[PT Q1].[Transgender Flag].[All]" allUniqueName="[PT Q1].[Transgender Flag].[All]" dimensionUniqueName="[PT Q1]" displayFolder="" count="0" memberValueDatatype="20" unbalanced="0"/>
    <cacheHierarchy uniqueName="[PT Q1].[Other Gender Flag]" caption="Other Gender Flag" attribute="1" defaultMemberUniqueName="[PT Q1].[Other Gender Flag].[All]" allUniqueName="[PT Q1].[Other Gender Flag].[All]" dimensionUniqueName="[PT Q1]" displayFolder="" count="0" memberValueDatatype="20" unbalanced="0"/>
    <cacheHierarchy uniqueName="[PT Q1].[Hispanic Flag]" caption="Hispanic Flag" attribute="1" defaultMemberUniqueName="[PT Q1].[Hispanic Flag].[All]" allUniqueName="[PT Q1].[Hispanic Flag].[All]" dimensionUniqueName="[PT Q1]" displayFolder="" count="0" memberValueDatatype="20" unbalanced="0"/>
    <cacheHierarchy uniqueName="[PT Q1].[White Flag]" caption="White Flag" attribute="1" defaultMemberUniqueName="[PT Q1].[White Flag].[All]" allUniqueName="[PT Q1].[White Flag].[All]" dimensionUniqueName="[PT Q1]" displayFolder="" count="0" memberValueDatatype="20" unbalanced="0"/>
    <cacheHierarchy uniqueName="[PT Q1].[Black or African American Flag]" caption="Black or African American Flag" attribute="1" defaultMemberUniqueName="[PT Q1].[Black or African American Flag].[All]" allUniqueName="[PT Q1].[Black or African American Flag].[All]" dimensionUniqueName="[PT Q1]" displayFolder="" count="0" memberValueDatatype="20" unbalanced="0"/>
    <cacheHierarchy uniqueName="[PT Q1].[Native Hawaiian and Other Pacific Islander Flag]" caption="Native Hawaiian and Other Pacific Islander Flag" attribute="1" defaultMemberUniqueName="[PT Q1].[Native Hawaiian and Other Pacific Islander Flag].[All]" allUniqueName="[PT Q1].[Native Hawaiian and Other Pacific Islander Flag].[All]" dimensionUniqueName="[PT Q1]" displayFolder="" count="0" memberValueDatatype="20" unbalanced="0"/>
    <cacheHierarchy uniqueName="[PT Q1].[American Indian and Alaska Native Flag]" caption="American Indian and Alaska Native Flag" attribute="1" defaultMemberUniqueName="[PT Q1].[American Indian and Alaska Native Flag].[All]" allUniqueName="[PT Q1].[American Indian and Alaska Native Flag].[All]" dimensionUniqueName="[PT Q1]" displayFolder="" count="0" memberValueDatatype="20" unbalanced="0"/>
    <cacheHierarchy uniqueName="[PT Q1].[Two or more races Flag]" caption="Two or more races Flag" attribute="1" defaultMemberUniqueName="[PT Q1].[Two or more races Flag].[All]" allUniqueName="[PT Q1].[Two or more races Flag].[All]" dimensionUniqueName="[PT Q1]" displayFolder="" count="0" memberValueDatatype="20" unbalanced="0"/>
    <cacheHierarchy uniqueName="[PT Q1].[Other Race Flag]" caption="Other Race Flag" attribute="1" defaultMemberUniqueName="[PT Q1].[Other Race Flag].[All]" allUniqueName="[PT Q1].[Other Race Flag].[All]" dimensionUniqueName="[PT Q1]" displayFolder="" count="0" memberValueDatatype="20" unbalanced="0"/>
    <cacheHierarchy uniqueName="[PT Q1].[$0-$19,999 Flag]" caption="$0-$19,999 Flag" attribute="1" defaultMemberUniqueName="[PT Q1].[$0-$19,999 Flag].[All]" allUniqueName="[PT Q1].[$0-$19,999 Flag].[All]" dimensionUniqueName="[PT Q1]" displayFolder="" count="0" memberValueDatatype="20" unbalanced="0"/>
    <cacheHierarchy uniqueName="[PT Q1].[$20,000 to $34,999 Flag]" caption="$20,000 to $34,999 Flag" attribute="1" defaultMemberUniqueName="[PT Q1].[$20,000 to $34,999 Flag].[All]" allUniqueName="[PT Q1].[$20,000 to $34,999 Flag].[All]" dimensionUniqueName="[PT Q1]" displayFolder="" count="0" memberValueDatatype="20" unbalanced="0"/>
    <cacheHierarchy uniqueName="[PT Q1].[$35,000 to $49,999 Flag]" caption="$35,000 to $49,999 Flag" attribute="1" defaultMemberUniqueName="[PT Q1].[$35,000 to $49,999 Flag].[All]" allUniqueName="[PT Q1].[$35,000 to $49,999 Flag].[All]" dimensionUniqueName="[PT Q1]" displayFolder="" count="0" memberValueDatatype="20" unbalanced="0"/>
    <cacheHierarchy uniqueName="[PT Q1].[$50,000 to $74,999 Flag]" caption="$50,000 to $74,999 Flag" attribute="1" defaultMemberUniqueName="[PT Q1].[$50,000 to $74,999 Flag].[All]" allUniqueName="[PT Q1].[$50,000 to $74,999 Flag].[All]" dimensionUniqueName="[PT Q1]" displayFolder="" count="0" memberValueDatatype="20" unbalanced="0"/>
    <cacheHierarchy uniqueName="[PT Q1].[$75,000 to $125,000 Flag]" caption="$75,000 to $125,000 Flag" attribute="1" defaultMemberUniqueName="[PT Q1].[$75,000 to $125,000 Flag].[All]" allUniqueName="[PT Q1].[$75,000 to $125,000 Flag].[All]" dimensionUniqueName="[PT Q1]" displayFolder="" count="0" memberValueDatatype="20" unbalanced="0"/>
    <cacheHierarchy uniqueName="[PT Q1].[Over $125,000 Flag]" caption="Over $125,000 Flag" attribute="1" defaultMemberUniqueName="[PT Q1].[Over $125,000 Flag].[All]" allUniqueName="[PT Q1].[Over $125,000 Flag].[All]" dimensionUniqueName="[PT Q1]" displayFolder="" count="0" memberValueDatatype="20" unbalanced="0"/>
    <cacheHierarchy uniqueName="[PT Q1].[18 TO 24 Flag]" caption="18 TO 24 Flag" attribute="1" defaultMemberUniqueName="[PT Q1].[18 TO 24 Flag].[All]" allUniqueName="[PT Q1].[18 TO 24 Flag].[All]" dimensionUniqueName="[PT Q1]" displayFolder="" count="0" memberValueDatatype="20" unbalanced="0"/>
    <cacheHierarchy uniqueName="[PT Q1].[25 to 34 Flag]" caption="25 to 34 Flag" attribute="1" defaultMemberUniqueName="[PT Q1].[25 to 34 Flag].[All]" allUniqueName="[PT Q1].[25 to 34 Flag].[All]" dimensionUniqueName="[PT Q1]" displayFolder="" count="0" memberValueDatatype="20" unbalanced="0"/>
    <cacheHierarchy uniqueName="[PT Q1].[35 to 44 Flag]" caption="35 to 44 Flag" attribute="1" defaultMemberUniqueName="[PT Q1].[35 to 44 Flag].[All]" allUniqueName="[PT Q1].[35 to 44 Flag].[All]" dimensionUniqueName="[PT Q1]" displayFolder="" count="0" memberValueDatatype="20" unbalanced="0"/>
    <cacheHierarchy uniqueName="[PT Q1].[45 to 54 Flag]" caption="45 to 54 Flag" attribute="1" defaultMemberUniqueName="[PT Q1].[45 to 54 Flag].[All]" allUniqueName="[PT Q1].[45 to 54 Flag].[All]" dimensionUniqueName="[PT Q1]" displayFolder="" count="0" memberValueDatatype="20" unbalanced="0"/>
    <cacheHierarchy uniqueName="[PT Q1].[55 to 64 Flag]" caption="55 to 64 Flag" attribute="1" defaultMemberUniqueName="[PT Q1].[55 to 64 Flag].[All]" allUniqueName="[PT Q1].[55 to 64 Flag].[All]" dimensionUniqueName="[PT Q1]" displayFolder="" count="0" memberValueDatatype="20" unbalanced="0"/>
    <cacheHierarchy uniqueName="[PT Q1].[65 Plus Flag]" caption="65 Plus Flag" attribute="1" defaultMemberUniqueName="[PT Q1].[65 Plus Flag].[All]" allUniqueName="[PT Q1].[65 Plus Flag].[All]" dimensionUniqueName="[PT Q1]" displayFolder="" count="0" memberValueDatatype="20" unbalanced="0"/>
    <cacheHierarchy uniqueName="[PT Q1].[K-8 grade Flag]" caption="K-8 grade Flag" attribute="1" defaultMemberUniqueName="[PT Q1].[K-8 grade Flag].[All]" allUniqueName="[PT Q1].[K-8 grade Flag].[All]" dimensionUniqueName="[PT Q1]" displayFolder="" count="0" memberValueDatatype="20" unbalanced="0"/>
    <cacheHierarchy uniqueName="[PT Q1].[Some High School Flag]" caption="Some High School Flag" attribute="1" defaultMemberUniqueName="[PT Q1].[Some High School Flag].[All]" allUniqueName="[PT Q1].[Some High School Flag].[All]" dimensionUniqueName="[PT Q1]" displayFolder="" count="0" memberValueDatatype="20" unbalanced="0"/>
    <cacheHierarchy uniqueName="[PT Q1].[High School Graduate Flag]" caption="High School Graduate Flag" attribute="1" defaultMemberUniqueName="[PT Q1].[High School Graduate Flag].[All]" allUniqueName="[PT Q1].[High School Graduate Flag].[All]" dimensionUniqueName="[PT Q1]" displayFolder="" count="0" memberValueDatatype="20" unbalanced="0"/>
    <cacheHierarchy uniqueName="[PT Q1].[Technical School Flag]" caption="Technical School Flag" attribute="1" defaultMemberUniqueName="[PT Q1].[Technical School Flag].[All]" allUniqueName="[PT Q1].[Technical School Flag].[All]" dimensionUniqueName="[PT Q1]" displayFolder="" count="0" memberValueDatatype="20" unbalanced="0"/>
    <cacheHierarchy uniqueName="[PT Q1].[Some College Flag]" caption="Some College Flag" attribute="1" defaultMemberUniqueName="[PT Q1].[Some College Flag].[All]" allUniqueName="[PT Q1].[Some College Flag].[All]" dimensionUniqueName="[PT Q1]" displayFolder="" count="0" memberValueDatatype="20" unbalanced="0"/>
    <cacheHierarchy uniqueName="[PT Q1].[College Graduate Flag]" caption="College Graduate Flag" attribute="1" defaultMemberUniqueName="[PT Q1].[College Graduate Flag].[All]" allUniqueName="[PT Q1].[College Graduate Flag].[All]" dimensionUniqueName="[PT Q1]" displayFolder="" count="0" memberValueDatatype="20" unbalanced="0"/>
    <cacheHierarchy uniqueName="[PT Q1].[Graduate School Flag]" caption="Graduate School Flag" attribute="1" defaultMemberUniqueName="[PT Q1].[Graduate School Flag].[All]" allUniqueName="[PT Q1].[Graduate School Flag].[All]" dimensionUniqueName="[PT Q1]" displayFolder="" count="0" memberValueDatatype="20" unbalanced="0"/>
    <cacheHierarchy uniqueName="[PT Q1].[Doctorate Flag]" caption="Doctorate Flag" attribute="1" defaultMemberUniqueName="[PT Q1].[Doctorate Flag].[All]" allUniqueName="[PT Q1].[Doctorate Flag].[All]" dimensionUniqueName="[PT Q1]" displayFolder="" count="0" memberValueDatatype="20" unbalanced="0"/>
    <cacheHierarchy uniqueName="[PT Q1].[GED Flag]" caption="GED Flag" attribute="1" defaultMemberUniqueName="[PT Q1].[GED Flag].[All]" allUniqueName="[PT Q1].[GED Flag].[All]" dimensionUniqueName="[PT Q1]" displayFolder="" count="0" memberValueDatatype="20" unbalanced="0"/>
    <cacheHierarchy uniqueName="[PT Q1].[Employed for Wages Flag]" caption="Employed for Wages Flag" attribute="1" defaultMemberUniqueName="[PT Q1].[Employed for Wages Flag].[All]" allUniqueName="[PT Q1].[Employed for Wages Flag].[All]" dimensionUniqueName="[PT Q1]" displayFolder="" count="0" memberValueDatatype="20" unbalanced="0"/>
    <cacheHierarchy uniqueName="[PT Q1].[Self-employed Flag]" caption="Self-employed Flag" attribute="1" defaultMemberUniqueName="[PT Q1].[Self-employed Flag].[All]" allUniqueName="[PT Q1].[Self-employed Flag].[All]" dimensionUniqueName="[PT Q1]" displayFolder="" count="0" memberValueDatatype="20" unbalanced="0"/>
    <cacheHierarchy uniqueName="[PT Q1].[Student Flag]" caption="Student Flag" attribute="1" defaultMemberUniqueName="[PT Q1].[Student Flag].[All]" allUniqueName="[PT Q1].[Student Flag].[All]" dimensionUniqueName="[PT Q1]" displayFolder="" count="0" memberValueDatatype="20" unbalanced="0"/>
    <cacheHierarchy uniqueName="[PT Q1].[Retired Flag]" caption="Retired Flag" attribute="1" defaultMemberUniqueName="[PT Q1].[Retired Flag].[All]" allUniqueName="[PT Q1].[Retired Flag].[All]" dimensionUniqueName="[PT Q1]" displayFolder="" count="0" memberValueDatatype="20" unbalanced="0"/>
    <cacheHierarchy uniqueName="[PT Q1].[Military Flag]" caption="Military Flag" attribute="1" defaultMemberUniqueName="[PT Q1].[Military Flag].[All]" allUniqueName="[PT Q1].[Military Flag].[All]" dimensionUniqueName="[PT Q1]" displayFolder="" count="0" memberValueDatatype="20" unbalanced="0"/>
    <cacheHierarchy uniqueName="[PT Q1].[Out of Work and Looking Flag]" caption="Out of Work and Looking Flag" attribute="1" defaultMemberUniqueName="[PT Q1].[Out of Work and Looking Flag].[All]" allUniqueName="[PT Q1].[Out of Work and Looking Flag].[All]" dimensionUniqueName="[PT Q1]" displayFolder="" count="0" memberValueDatatype="20" unbalanced="0"/>
    <cacheHierarchy uniqueName="[PT Q1].[Out of Work Not Looking Flag]" caption="Out of Work Not Looking Flag" attribute="1" defaultMemberUniqueName="[PT Q1].[Out of Work Not Looking Flag].[All]" allUniqueName="[PT Q1].[Out of Work Not Looking Flag].[All]" dimensionUniqueName="[PT Q1]" displayFolder="" count="0" memberValueDatatype="20" unbalanced="0"/>
    <cacheHierarchy uniqueName="[PT Q1].[Health Insurance Yes Flag]" caption="Health Insurance Yes Flag" attribute="1" defaultMemberUniqueName="[PT Q1].[Health Insurance Yes Flag].[All]" allUniqueName="[PT Q1].[Health Insurance Yes Flag].[All]" dimensionUniqueName="[PT Q1]" displayFolder="" count="0" memberValueDatatype="20" unbalanced="0"/>
    <cacheHierarchy uniqueName="[PT Q1].[Health Insurance No Flag]" caption="Health Insurance No Flag" attribute="1" defaultMemberUniqueName="[PT Q1].[Health Insurance No Flag].[All]" allUniqueName="[PT Q1].[Health Insurance No Flag].[All]" dimensionUniqueName="[PT Q1]" displayFolder="" count="0" memberValueDatatype="20" unbalanced="0"/>
    <cacheHierarchy uniqueName="[PT Q1].[Health Insurance In the Past Flag]" caption="Health Insurance In the Past Flag" attribute="1" defaultMemberUniqueName="[PT Q1].[Health Insurance In the Past Flag].[All]" allUniqueName="[PT Q1].[Health Insurance In the Past Flag].[All]" dimensionUniqueName="[PT Q1]" displayFolder="" count="0" memberValueDatatype="20" unbalanced="0"/>
    <cacheHierarchy uniqueName="[PT Q1].[Medicare Flag]" caption="Medicare Flag" attribute="1" defaultMemberUniqueName="[PT Q1].[Medicare Flag].[All]" allUniqueName="[PT Q1].[Medicare Flag].[All]" dimensionUniqueName="[PT Q1]" displayFolder="" count="0" memberValueDatatype="20" unbalanced="0"/>
    <cacheHierarchy uniqueName="[PT Q1].[Medicaid Flag]" caption="Medicaid Flag" attribute="1" defaultMemberUniqueName="[PT Q1].[Medicaid Flag].[All]" allUniqueName="[PT Q1].[Medicaid Flag].[All]" dimensionUniqueName="[PT Q1]" displayFolder="" count="0" memberValueDatatype="20" unbalanced="0"/>
    <cacheHierarchy uniqueName="[PT Q1].[Private/Commercial Flag]" caption="Private/Commercial Flag" attribute="1" defaultMemberUniqueName="[PT Q1].[Private/Commercial Flag].[All]" allUniqueName="[PT Q1].[Private/Commercial Flag].[All]" dimensionUniqueName="[PT Q1]" displayFolder="" count="0" memberValueDatatype="20" unbalanced="0"/>
    <cacheHierarchy uniqueName="[PT Q1].[No Insurance Flag]" caption="No Insurance Flag" attribute="1" defaultMemberUniqueName="[PT Q1].[No Insurance Flag].[All]" allUniqueName="[PT Q1].[No Insurance Flag].[All]" dimensionUniqueName="[PT Q1]" displayFolder="" count="0" memberValueDatatype="20" unbalanced="0"/>
    <cacheHierarchy uniqueName="[PT Q1 1].[RespondentID]" caption="RespondentID" attribute="1" defaultMemberUniqueName="[PT Q1 1].[RespondentID].[All]" allUniqueName="[PT Q1 1].[RespondentID].[All]" dimensionUniqueName="[PT Q1 1]" displayFolder="" count="0" memberValueDatatype="5" unbalanced="0"/>
    <cacheHierarchy uniqueName="[PT Q1 1].[Asthma/lung disease]" caption="Asthma/lung disease" attribute="1" defaultMemberUniqueName="[PT Q1 1].[Asthma/lung disease].[All]" allUniqueName="[PT Q1 1].[Asthma/lung disease].[All]" dimensionUniqueName="[PT Q1 1]" displayFolder="" count="0" memberValueDatatype="130" unbalanced="0"/>
    <cacheHierarchy uniqueName="[PT Q1 1].[Cancer]" caption="Cancer" attribute="1" defaultMemberUniqueName="[PT Q1 1].[Cancer].[All]" allUniqueName="[PT Q1 1].[Cancer].[All]" dimensionUniqueName="[PT Q1 1]" displayFolder="" count="0" memberValueDatatype="130" unbalanced="0"/>
    <cacheHierarchy uniqueName="[PT Q1 1].[Heart disease &amp; stroke]" caption="Heart disease &amp; stroke" attribute="1" defaultMemberUniqueName="[PT Q1 1].[Heart disease &amp; stroke].[All]" allUniqueName="[PT Q1 1].[Heart disease &amp; stroke].[All]" dimensionUniqueName="[PT Q1 1]" displayFolder="" count="0" memberValueDatatype="130" unbalanced="0"/>
    <cacheHierarchy uniqueName="[PT Q1 1].[Safety]" caption="Safety" attribute="1" defaultMemberUniqueName="[PT Q1 1].[Safety].[All]" allUniqueName="[PT Q1 1].[Safety].[All]" dimensionUniqueName="[PT Q1 1]" displayFolder="" count="0" memberValueDatatype="130" unbalanced="0"/>
    <cacheHierarchy uniqueName="[PT Q1 1].[HIV/AIDS &amp; Sexually Transmitted Diseases (STDs)]" caption="HIV/AIDS &amp; Sexually Transmitted Diseases (STDs)" attribute="1" defaultMemberUniqueName="[PT Q1 1].[HIV/AIDS &amp; Sexually Transmitted Diseases (STDs)].[All]" allUniqueName="[PT Q1 1].[HIV/AIDS &amp; Sexually Transmitted Diseases (STDs)].[All]" dimensionUniqueName="[PT Q1 1]" displayFolder="" count="0" memberValueDatatype="130" unbalanced="0"/>
    <cacheHierarchy uniqueName="[PT Q1 1].[Vaccine preventable diseases]" caption="Vaccine preventable diseases" attribute="1" defaultMemberUniqueName="[PT Q1 1].[Vaccine preventable diseases].[All]" allUniqueName="[PT Q1 1].[Vaccine preventable diseases].[All]" dimensionUniqueName="[PT Q1 1]" displayFolder="" count="0" memberValueDatatype="130" unbalanced="0"/>
    <cacheHierarchy uniqueName="[PT Q1 1].[Child health &amp; wellness]" caption="Child health &amp; wellness" attribute="1" defaultMemberUniqueName="[PT Q1 1].[Child health &amp; wellness].[All]" allUniqueName="[PT Q1 1].[Child health &amp; wellness].[All]" dimensionUniqueName="[PT Q1 1]" displayFolder="" count="0" memberValueDatatype="130" unbalanced="0"/>
    <cacheHierarchy uniqueName="[PT Q1 1].[Women’s health &amp; wellness]" caption="Women’s health &amp; wellness" attribute="1" defaultMemberUniqueName="[PT Q1 1].[Women’s health &amp; wellness].[All]" allUniqueName="[PT Q1 1].[Women’s health &amp; wellness].[All]" dimensionUniqueName="[PT Q1 1]" displayFolder="" count="0" memberValueDatatype="130" unbalanced="0"/>
    <cacheHierarchy uniqueName="[PT Q1 1].[Diabetes]" caption="Diabetes" attribute="1" defaultMemberUniqueName="[PT Q1 1].[Diabetes].[All]" allUniqueName="[PT Q1 1].[Diabetes].[All]" dimensionUniqueName="[PT Q1 1]" displayFolder="" count="0" memberValueDatatype="130" unbalanced="0"/>
    <cacheHierarchy uniqueName="[PT Q1 1].[Mental health depression/suicide]" caption="Mental health depression/suicide" attribute="1" defaultMemberUniqueName="[PT Q1 1].[Mental health depression/suicide].[All]" allUniqueName="[PT Q1 1].[Mental health depression/suicide].[All]" dimensionUniqueName="[PT Q1 1]" displayFolder="" count="0" memberValueDatatype="130" unbalanced="0"/>
    <cacheHierarchy uniqueName="[PT Q1 1].[Drugs &amp; alcohol abuse]" caption="Drugs &amp; alcohol abuse" attribute="1" defaultMemberUniqueName="[PT Q1 1].[Drugs &amp; alcohol abuse].[All]" allUniqueName="[PT Q1 1].[Drugs &amp; alcohol abuse].[All]" dimensionUniqueName="[PT Q1 1]" displayFolder="" count="0" memberValueDatatype="130" unbalanced="0"/>
    <cacheHierarchy uniqueName="[PT Q1 1].[Environmental hazards]" caption="Environmental hazards" attribute="1" defaultMemberUniqueName="[PT Q1 1].[Environmental hazards].[All]" allUniqueName="[PT Q1 1].[Environmental hazards].[All]" dimensionUniqueName="[PT Q1 1]" displayFolder="" count="0" memberValueDatatype="130" unbalanced="0"/>
    <cacheHierarchy uniqueName="[PT Q1 1].[Obesity/weight loss issues]" caption="Obesity/weight loss issues" attribute="1" defaultMemberUniqueName="[PT Q1 1].[Obesity/weight loss issues].[All]" allUniqueName="[PT Q1 1].[Obesity/weight loss issues].[All]" dimensionUniqueName="[PT Q1 1]" displayFolder="" count="0" memberValueDatatype="130" unbalanced="0"/>
    <cacheHierarchy uniqueName="[PT Q1 1].[Column1]" caption="Column1" attribute="1" defaultMemberUniqueName="[PT Q1 1].[Column1].[All]" allUniqueName="[PT Q1 1].[Column1].[All]" dimensionUniqueName="[PT Q1 1]" displayFolder="" count="0" memberValueDatatype="130" unbalanced="0"/>
    <cacheHierarchy uniqueName="[PT Q1 1].[Count of Selection]" caption="Count of Selection" attribute="1" defaultMemberUniqueName="[PT Q1 1].[Count of Selection].[All]" allUniqueName="[PT Q1 1].[Count of Selection].[All]" dimensionUniqueName="[PT Q1 1]" displayFolder="" count="0" memberValueDatatype="20" unbalanced="0"/>
    <cacheHierarchy uniqueName="[PT Q1 1].[Weight]" caption="Weight" attribute="1" defaultMemberUniqueName="[PT Q1 1].[Weight].[All]" allUniqueName="[PT Q1 1].[Weight].[All]" dimensionUniqueName="[PT Q1 1]" displayFolder="" count="0" memberValueDatatype="130" unbalanced="0"/>
    <cacheHierarchy uniqueName="[PT Q1 1].[Column2]" caption="Column2" attribute="1" defaultMemberUniqueName="[PT Q1 1].[Column2].[All]" allUniqueName="[PT Q1 1].[Column2].[All]" dimensionUniqueName="[PT Q1 1]" displayFolder="" count="0" memberValueDatatype="130" unbalanced="0"/>
    <cacheHierarchy uniqueName="[PT Q1 1].[Asthma/lung disease3]" caption="Asthma/lung disease3" attribute="1" defaultMemberUniqueName="[PT Q1 1].[Asthma/lung disease3].[All]" allUniqueName="[PT Q1 1].[Asthma/lung disease3].[All]" dimensionUniqueName="[PT Q1 1]" displayFolder="" count="0" memberValueDatatype="5" unbalanced="0"/>
    <cacheHierarchy uniqueName="[PT Q1 1].[Cancer4]" caption="Cancer4" attribute="1" defaultMemberUniqueName="[PT Q1 1].[Cancer4].[All]" allUniqueName="[PT Q1 1].[Cancer4].[All]" dimensionUniqueName="[PT Q1 1]" displayFolder="" count="0" memberValueDatatype="5" unbalanced="0"/>
    <cacheHierarchy uniqueName="[PT Q1 1].[Heart disease &amp; stroke5]" caption="Heart disease &amp; stroke5" attribute="1" defaultMemberUniqueName="[PT Q1 1].[Heart disease &amp; stroke5].[All]" allUniqueName="[PT Q1 1].[Heart disease &amp; stroke5].[All]" dimensionUniqueName="[PT Q1 1]" displayFolder="" count="0" memberValueDatatype="5" unbalanced="0"/>
    <cacheHierarchy uniqueName="[PT Q1 1].[Safety6]" caption="Safety6" attribute="1" defaultMemberUniqueName="[PT Q1 1].[Safety6].[All]" allUniqueName="[PT Q1 1].[Safety6].[All]" dimensionUniqueName="[PT Q1 1]" displayFolder="" count="0" memberValueDatatype="5" unbalanced="0"/>
    <cacheHierarchy uniqueName="[PT Q1 1].[HIV/AIDS &amp; Sexually Transmitted Diseases (STDs)7]" caption="HIV/AIDS &amp; Sexually Transmitted Diseases (STDs)7" attribute="1" defaultMemberUniqueName="[PT Q1 1].[HIV/AIDS &amp; Sexually Transmitted Diseases (STDs)7].[All]" allUniqueName="[PT Q1 1].[HIV/AIDS &amp; Sexually Transmitted Diseases (STDs)7].[All]" dimensionUniqueName="[PT Q1 1]" displayFolder="" count="0" memberValueDatatype="5" unbalanced="0"/>
    <cacheHierarchy uniqueName="[PT Q1 1].[Vaccine preventable diseases8]" caption="Vaccine preventable diseases8" attribute="1" defaultMemberUniqueName="[PT Q1 1].[Vaccine preventable diseases8].[All]" allUniqueName="[PT Q1 1].[Vaccine preventable diseases8].[All]" dimensionUniqueName="[PT Q1 1]" displayFolder="" count="0" memberValueDatatype="5" unbalanced="0"/>
    <cacheHierarchy uniqueName="[PT Q1 1].[Child health &amp; wellness9]" caption="Child health &amp; wellness9" attribute="1" defaultMemberUniqueName="[PT Q1 1].[Child health &amp; wellness9].[All]" allUniqueName="[PT Q1 1].[Child health &amp; wellness9].[All]" dimensionUniqueName="[PT Q1 1]" displayFolder="" count="0" memberValueDatatype="5" unbalanced="0"/>
    <cacheHierarchy uniqueName="[PT Q1 1].[Women’s health &amp; wellness10]" caption="Women’s health &amp; wellness10" attribute="1" defaultMemberUniqueName="[PT Q1 1].[Women’s health &amp; wellness10].[All]" allUniqueName="[PT Q1 1].[Women’s health &amp; wellness10].[All]" dimensionUniqueName="[PT Q1 1]" displayFolder="" count="0" memberValueDatatype="5" unbalanced="0"/>
    <cacheHierarchy uniqueName="[PT Q1 1].[Diabetes11]" caption="Diabetes11" attribute="1" defaultMemberUniqueName="[PT Q1 1].[Diabetes11].[All]" allUniqueName="[PT Q1 1].[Diabetes11].[All]" dimensionUniqueName="[PT Q1 1]" displayFolder="" count="0" memberValueDatatype="5" unbalanced="0"/>
    <cacheHierarchy uniqueName="[PT Q1 1].[Mental health depression/suicide12]" caption="Mental health depression/suicide12" attribute="1" defaultMemberUniqueName="[PT Q1 1].[Mental health depression/suicide12].[All]" allUniqueName="[PT Q1 1].[Mental health depression/suicide12].[All]" dimensionUniqueName="[PT Q1 1]" displayFolder="" count="0" memberValueDatatype="5" unbalanced="0"/>
    <cacheHierarchy uniqueName="[PT Q1 1].[Drugs &amp; alcohol abuse13]" caption="Drugs &amp; alcohol abuse13" attribute="1" defaultMemberUniqueName="[PT Q1 1].[Drugs &amp; alcohol abuse13].[All]" allUniqueName="[PT Q1 1].[Drugs &amp; alcohol abuse13].[All]" dimensionUniqueName="[PT Q1 1]" displayFolder="" count="0" memberValueDatatype="5" unbalanced="0"/>
    <cacheHierarchy uniqueName="[PT Q1 1].[Environmental hazards14]" caption="Environmental hazards14" attribute="1" defaultMemberUniqueName="[PT Q1 1].[Environmental hazards14].[All]" allUniqueName="[PT Q1 1].[Environmental hazards14].[All]" dimensionUniqueName="[PT Q1 1]" displayFolder="" count="0" memberValueDatatype="5" unbalanced="0"/>
    <cacheHierarchy uniqueName="[PT Q1 1].[Obesity/weight loss issues15]" caption="Obesity/weight loss issues15" attribute="1" defaultMemberUniqueName="[PT Q1 1].[Obesity/weight loss issues15].[All]" allUniqueName="[PT Q1 1].[Obesity/weight loss issues15].[All]" dimensionUniqueName="[PT Q1 1]" displayFolder="" count="0" memberValueDatatype="5" unbalanced="0"/>
    <cacheHierarchy uniqueName="[PT Q1 1].[Column3]" caption="Column3" attribute="1" defaultMemberUniqueName="[PT Q1 1].[Column3].[All]" allUniqueName="[PT Q1 1].[Column3].[All]" dimensionUniqueName="[PT Q1 1]" displayFolder="" count="0" memberValueDatatype="130" unbalanced="0"/>
    <cacheHierarchy uniqueName="[PT Q1 1].[Column4]" caption="Column4" attribute="1" defaultMemberUniqueName="[PT Q1 1].[Column4].[All]" allUniqueName="[PT Q1 1].[Column4].[All]" dimensionUniqueName="[PT Q1 1]" displayFolder="" count="0" memberValueDatatype="130" unbalanced="0"/>
    <cacheHierarchy uniqueName="[PT Q1 1].[Observed]" caption="Observed" attribute="1" defaultMemberUniqueName="[PT Q1 1].[Observed].[All]" allUniqueName="[PT Q1 1].[Observed].[All]" dimensionUniqueName="[PT Q1 1]" displayFolder="" count="0" memberValueDatatype="5" unbalanced="0"/>
    <cacheHierarchy uniqueName="[PT Q1 1].[Expected]" caption="Expected" attribute="1" defaultMemberUniqueName="[PT Q1 1].[Expected].[All]" allUniqueName="[PT Q1 1].[Expected].[All]" dimensionUniqueName="[PT Q1 1]" displayFolder="" count="0" memberValueDatatype="20" unbalanced="0"/>
    <cacheHierarchy uniqueName="[PT Q1 1].[Column18]" caption="Column18" attribute="1" defaultMemberUniqueName="[PT Q1 1].[Column18].[All]" allUniqueName="[PT Q1 1].[Column18].[All]" dimensionUniqueName="[PT Q1 1]" displayFolder="" count="0" memberValueDatatype="130" unbalanced="0"/>
    <cacheHierarchy uniqueName="[PT Q1 1].[Column5]" caption="Column5" attribute="1" defaultMemberUniqueName="[PT Q1 1].[Column5].[All]" allUniqueName="[PT Q1 1].[Column5].[All]" dimensionUniqueName="[PT Q1 1]" displayFolder="" count="0" memberValueDatatype="130" unbalanced="0"/>
    <cacheHierarchy uniqueName="[PT Q1 1].[I identify as:]" caption="I identify as:" attribute="1" defaultMemberUniqueName="[PT Q1 1].[I identify as:].[All]" allUniqueName="[PT Q1 1].[I identify as:].[All]" dimensionUniqueName="[PT Q1 1]" displayFolder="" count="0" memberValueDatatype="130" unbalanced="0"/>
    <cacheHierarchy uniqueName="[PT Q1 1].[What is your age?]" caption="What is your age?" attribute="1" defaultMemberUniqueName="[PT Q1 1].[What is your age?].[All]" allUniqueName="[PT Q1 1].[What is your age?].[All]" dimensionUniqueName="[PT Q1 1]" displayFolder="" count="0" memberValueDatatype="20" unbalanced="0"/>
    <cacheHierarchy uniqueName="[PT Q1 1].[County where you live:]" caption="County where you live:" attribute="1" defaultMemberUniqueName="[PT Q1 1].[County where you live:].[All]" allUniqueName="[PT Q1 1].[County where you live:].[All]" dimensionUniqueName="[PT Q1 1]" displayFolder="" count="0" memberValueDatatype="130" unbalanced="0"/>
    <cacheHierarchy uniqueName="[PT Q1 1].[Town and ZIP code where you live:]" caption="Town and ZIP code where you live:" attribute="1" defaultMemberUniqueName="[PT Q1 1].[Town and ZIP code where you live:].[All]" allUniqueName="[PT Q1 1].[Town and ZIP code where you live:].[All]" dimensionUniqueName="[PT Q1 1]" displayFolder="" count="0" memberValueDatatype="130" unbalanced="0"/>
    <cacheHierarchy uniqueName="[PT Q1 1].[What race do you consider yourself?]" caption="What race do you consider yourself?" attribute="1" defaultMemberUniqueName="[PT Q1 1].[What race do you consider yourself?].[All]" allUniqueName="[PT Q1 1].[What race do you consider yourself?].[All]" dimensionUniqueName="[PT Q1 1]" displayFolder="" count="0" memberValueDatatype="130" unbalanced="0"/>
    <cacheHierarchy uniqueName="[PT Q1 1].[Are you Hispanic or Latino?]" caption="Are you Hispanic or Latino?" attribute="1" defaultMemberUniqueName="[PT Q1 1].[Are you Hispanic or Latino?].[All]" allUniqueName="[PT Q1 1].[Are you Hispanic or Latino?].[All]" dimensionUniqueName="[PT Q1 1]" displayFolder="" count="0" memberValueDatatype="130" unbalanced="0"/>
    <cacheHierarchy uniqueName="[PT Q1 1].[What language do you speak when you are at home (select all that apply)]" caption="What language do you speak when you are at home (select all that apply)" attribute="1" defaultMemberUniqueName="[PT Q1 1].[What language do you speak when you are at home (select all that apply)].[All]" allUniqueName="[PT Q1 1].[What language do you speak when you are at home (select all that apply)].[All]" dimensionUniqueName="[PT Q1 1]" displayFolder="" count="0" memberValueDatatype="130" unbalanced="0"/>
    <cacheHierarchy uniqueName="[PT Q1 1].[What is your annual household income from all sources?]" caption="What is your annual household income from all sources?" attribute="1" defaultMemberUniqueName="[PT Q1 1].[What is your annual household income from all sources?].[All]" allUniqueName="[PT Q1 1].[What is your annual household income from all sources?].[All]" dimensionUniqueName="[PT Q1 1]" displayFolder="" count="0" memberValueDatatype="130" unbalanced="0"/>
    <cacheHierarchy uniqueName="[PT Q1 1].[What is your highest level of education?]" caption="What is your highest level of education?" attribute="1" defaultMemberUniqueName="[PT Q1 1].[What is your highest level of education?].[All]" allUniqueName="[PT Q1 1].[What is your highest level of education?].[All]" dimensionUniqueName="[PT Q1 1]" displayFolder="" count="0" memberValueDatatype="130" unbalanced="0"/>
    <cacheHierarchy uniqueName="[PT Q1 1].[What is your current employment status?]" caption="What is your current employment status?" attribute="1" defaultMemberUniqueName="[PT Q1 1].[What is your current employment status?].[All]" allUniqueName="[PT Q1 1].[What is your current employment status?].[All]" dimensionUniqueName="[PT Q1 1]" displayFolder="" count="0" memberValueDatatype="130" unbalanced="0"/>
    <cacheHierarchy uniqueName="[PT Q1 1].[Do you currently have health insurance?]" caption="Do you currently have health insurance?" attribute="1" defaultMemberUniqueName="[PT Q1 1].[Do you currently have health insurance?].[All]" allUniqueName="[PT Q1 1].[Do you currently have health insurance?].[All]" dimensionUniqueName="[PT Q1 1]" displayFolder="" count="0" memberValueDatatype="130" unbalanced="0"/>
    <cacheHierarchy uniqueName="[PT Q1 1].[What type of insurance do you have?]" caption="What type of insurance do you have?" attribute="1" defaultMemberUniqueName="[PT Q1 1].[What type of insurance do you have?].[All]" allUniqueName="[PT Q1 1].[What type of insurance do you have?].[All]" dimensionUniqueName="[PT Q1 1]" displayFolder="" count="0" memberValueDatatype="130" unbalanced="0"/>
    <cacheHierarchy uniqueName="[PT Q1 1].[Do you have access to reliable internet in your home?]" caption="Do you have access to reliable internet in your home?" attribute="1" defaultMemberUniqueName="[PT Q1 1].[Do you have access to reliable internet in your home?].[All]" allUniqueName="[PT Q1 1].[Do you have access to reliable internet in your home?].[All]" dimensionUniqueName="[PT Q1 1]" displayFolder="" count="0" memberValueDatatype="130" unbalanced="0"/>
    <cacheHierarchy uniqueName="[PT Q1 1].[Female Flag]" caption="Female Flag" attribute="1" defaultMemberUniqueName="[PT Q1 1].[Female Flag].[All]" allUniqueName="[PT Q1 1].[Female Flag].[All]" dimensionUniqueName="[PT Q1 1]" displayFolder="" count="0" memberValueDatatype="20" unbalanced="0"/>
    <cacheHierarchy uniqueName="[PT Q1 1].[Male Flag]" caption="Male Flag" attribute="1" defaultMemberUniqueName="[PT Q1 1].[Male Flag].[All]" allUniqueName="[PT Q1 1].[Male Flag].[All]" dimensionUniqueName="[PT Q1 1]" displayFolder="" count="0" memberValueDatatype="20" unbalanced="0"/>
    <cacheHierarchy uniqueName="[PT Q1 1].[Other Flag]" caption="Other Flag" attribute="1" defaultMemberUniqueName="[PT Q1 1].[Other Flag].[All]" allUniqueName="[PT Q1 1].[Other Flag].[All]" dimensionUniqueName="[PT Q1 1]" displayFolder="" count="0" memberValueDatatype="20" unbalanced="0"/>
    <cacheHierarchy uniqueName="[PT Q1 1].[Hispanic Flag]" caption="Hispanic Flag" attribute="1" defaultMemberUniqueName="[PT Q1 1].[Hispanic Flag].[All]" allUniqueName="[PT Q1 1].[Hispanic Flag].[All]" dimensionUniqueName="[PT Q1 1]" displayFolder="" count="0" memberValueDatatype="20" unbalanced="0"/>
    <cacheHierarchy uniqueName="[PT Q1 1].[White/Caucasian Flag]" caption="White/Caucasian Flag" attribute="1" defaultMemberUniqueName="[PT Q1 1].[White/Caucasian Flag].[All]" allUniqueName="[PT Q1 1].[White/Caucasian Flag].[All]" dimensionUniqueName="[PT Q1 1]" displayFolder="" count="0" memberValueDatatype="20" unbalanced="0"/>
    <cacheHierarchy uniqueName="[PT Q1 1].[Black/African American Flag]" caption="Black/African American Flag" attribute="1" defaultMemberUniqueName="[PT Q1 1].[Black/African American Flag].[All]" allUniqueName="[PT Q1 1].[Black/African American Flag].[All]" dimensionUniqueName="[PT Q1 1]" displayFolder="" count="0" memberValueDatatype="20" unbalanced="0"/>
    <cacheHierarchy uniqueName="[PT Q1 1].[Asian/Pacific Islander Flag]" caption="Asian/Pacific Islander Flag" attribute="1" defaultMemberUniqueName="[PT Q1 1].[Asian/Pacific Islander Flag].[All]" allUniqueName="[PT Q1 1].[Asian/Pacific Islander Flag].[All]" dimensionUniqueName="[PT Q1 1]" displayFolder="" count="0" memberValueDatatype="20" unbalanced="0"/>
    <cacheHierarchy uniqueName="[PT Q1 1].[Native American Flag]" caption="Native American Flag" attribute="1" defaultMemberUniqueName="[PT Q1 1].[Native American Flag].[All]" allUniqueName="[PT Q1 1].[Native American Flag].[All]" dimensionUniqueName="[PT Q1 1]" displayFolder="" count="0" memberValueDatatype="20" unbalanced="0"/>
    <cacheHierarchy uniqueName="[PT Q1 1].[Multi-racial Flag]" caption="Multi-racial Flag" attribute="1" defaultMemberUniqueName="[PT Q1 1].[Multi-racial Flag].[All]" allUniqueName="[PT Q1 1].[Multi-racial Flag].[All]" dimensionUniqueName="[PT Q1 1]" displayFolder="" count="0" memberValueDatatype="20" unbalanced="0"/>
    <cacheHierarchy uniqueName="[PT Q1 1].[Other Race Flag]" caption="Other Race Flag" attribute="1" defaultMemberUniqueName="[PT Q1 1].[Other Race Flag].[All]" allUniqueName="[PT Q1 1].[Other Race Flag].[All]" dimensionUniqueName="[PT Q1 1]" displayFolder="" count="0" memberValueDatatype="20" unbalanced="0"/>
    <cacheHierarchy uniqueName="[PT Q1 1].[$0-$19,999 Flag]" caption="$0-$19,999 Flag" attribute="1" defaultMemberUniqueName="[PT Q1 1].[$0-$19,999 Flag].[All]" allUniqueName="[PT Q1 1].[$0-$19,999 Flag].[All]" dimensionUniqueName="[PT Q1 1]" displayFolder="" count="0" memberValueDatatype="20" unbalanced="0"/>
    <cacheHierarchy uniqueName="[PT Q1 1].[$20,000 to $34,999 Flag]" caption="$20,000 to $34,999 Flag" attribute="1" defaultMemberUniqueName="[PT Q1 1].[$20,000 to $34,999 Flag].[All]" allUniqueName="[PT Q1 1].[$20,000 to $34,999 Flag].[All]" dimensionUniqueName="[PT Q1 1]" displayFolder="" count="0" memberValueDatatype="20" unbalanced="0"/>
    <cacheHierarchy uniqueName="[PT Q1 1].[$35,000 to $49,999 Flag]" caption="$35,000 to $49,999 Flag" attribute="1" defaultMemberUniqueName="[PT Q1 1].[$35,000 to $49,999 Flag].[All]" allUniqueName="[PT Q1 1].[$35,000 to $49,999 Flag].[All]" dimensionUniqueName="[PT Q1 1]" displayFolder="" count="0" memberValueDatatype="20" unbalanced="0"/>
    <cacheHierarchy uniqueName="[PT Q1 1].[$50,000 to $74,999 Flag]" caption="$50,000 to $74,999 Flag" attribute="1" defaultMemberUniqueName="[PT Q1 1].[$50,000 to $74,999 Flag].[All]" allUniqueName="[PT Q1 1].[$50,000 to $74,999 Flag].[All]" dimensionUniqueName="[PT Q1 1]" displayFolder="" count="0" memberValueDatatype="20" unbalanced="0"/>
    <cacheHierarchy uniqueName="[PT Q1 1].[$75,000 to $125,000 Flag]" caption="$75,000 to $125,000 Flag" attribute="1" defaultMemberUniqueName="[PT Q1 1].[$75,000 to $125,000 Flag].[All]" allUniqueName="[PT Q1 1].[$75,000 to $125,000 Flag].[All]" dimensionUniqueName="[PT Q1 1]" displayFolder="" count="0" memberValueDatatype="20" unbalanced="0"/>
    <cacheHierarchy uniqueName="[PT Q1 1].[Over $125,000 Flag]" caption="Over $125,000 Flag" attribute="1" defaultMemberUniqueName="[PT Q1 1].[Over $125,000 Flag].[All]" allUniqueName="[PT Q1 1].[Over $125,000 Flag].[All]" dimensionUniqueName="[PT Q1 1]" displayFolder="" count="0" memberValueDatatype="20" unbalanced="0"/>
    <cacheHierarchy uniqueName="[PT Q1 1].[18-24 Flag]" caption="18-24 Flag" attribute="1" defaultMemberUniqueName="[PT Q1 1].[18-24 Flag].[All]" allUniqueName="[PT Q1 1].[18-24 Flag].[All]" dimensionUniqueName="[PT Q1 1]" displayFolder="" count="0" memberValueDatatype="20" unbalanced="0"/>
    <cacheHierarchy uniqueName="[PT Q1 1].[25-34 Flag]" caption="25-34 Flag" attribute="1" defaultMemberUniqueName="[PT Q1 1].[25-34 Flag].[All]" allUniqueName="[PT Q1 1].[25-34 Flag].[All]" dimensionUniqueName="[PT Q1 1]" displayFolder="" count="0" memberValueDatatype="20" unbalanced="0"/>
    <cacheHierarchy uniqueName="[PT Q1 1].[35-44 Flag]" caption="35-44 Flag" attribute="1" defaultMemberUniqueName="[PT Q1 1].[35-44 Flag].[All]" allUniqueName="[PT Q1 1].[35-44 Flag].[All]" dimensionUniqueName="[PT Q1 1]" displayFolder="" count="0" memberValueDatatype="20" unbalanced="0"/>
    <cacheHierarchy uniqueName="[PT Q1 1].[45-54 Flag]" caption="45-54 Flag" attribute="1" defaultMemberUniqueName="[PT Q1 1].[45-54 Flag].[All]" allUniqueName="[PT Q1 1].[45-54 Flag].[All]" dimensionUniqueName="[PT Q1 1]" displayFolder="" count="0" memberValueDatatype="20" unbalanced="0"/>
    <cacheHierarchy uniqueName="[PT Q1 1].[55-64 Flag]" caption="55-64 Flag" attribute="1" defaultMemberUniqueName="[PT Q1 1].[55-64 Flag].[All]" allUniqueName="[PT Q1 1].[55-64 Flag].[All]" dimensionUniqueName="[PT Q1 1]" displayFolder="" count="0" memberValueDatatype="20" unbalanced="0"/>
    <cacheHierarchy uniqueName="[PT Q1 1].[65+ Flag]" caption="65+ Flag" attribute="1" defaultMemberUniqueName="[PT Q1 1].[65+ Flag].[All]" allUniqueName="[PT Q1 1].[65+ Flag].[All]" dimensionUniqueName="[PT Q1 1]" displayFolder="" count="0" memberValueDatatype="20" unbalanced="0"/>
    <cacheHierarchy uniqueName="[PT Q1 1].[K-8th Flag]" caption="K-8th Flag" attribute="1" defaultMemberUniqueName="[PT Q1 1].[K-8th Flag].[All]" allUniqueName="[PT Q1 1].[K-8th Flag].[All]" dimensionUniqueName="[PT Q1 1]" displayFolder="" count="0" memberValueDatatype="20" unbalanced="0"/>
    <cacheHierarchy uniqueName="[PT Q1 1].[Some high school Flag]" caption="Some high school Flag" attribute="1" defaultMemberUniqueName="[PT Q1 1].[Some high school Flag].[All]" allUniqueName="[PT Q1 1].[Some high school Flag].[All]" dimensionUniqueName="[PT Q1 1]" displayFolder="" count="0" memberValueDatatype="20" unbalanced="0"/>
    <cacheHierarchy uniqueName="[PT Q1 1].[High school graduate Flag]" caption="High school graduate Flag" attribute="1" defaultMemberUniqueName="[PT Q1 1].[High school graduate Flag].[All]" allUniqueName="[PT Q1 1].[High school graduate Flag].[All]" dimensionUniqueName="[PT Q1 1]" displayFolder="" count="0" memberValueDatatype="20" unbalanced="0"/>
    <cacheHierarchy uniqueName="[PT Q1 1].[Technical school Flag]" caption="Technical school Flag" attribute="1" defaultMemberUniqueName="[PT Q1 1].[Technical school Flag].[All]" allUniqueName="[PT Q1 1].[Technical school Flag].[All]" dimensionUniqueName="[PT Q1 1]" displayFolder="" count="0" memberValueDatatype="20" unbalanced="0"/>
    <cacheHierarchy uniqueName="[PT Q1 1].[Some college Flag]" caption="Some college Flag" attribute="1" defaultMemberUniqueName="[PT Q1 1].[Some college Flag].[All]" allUniqueName="[PT Q1 1].[Some college Flag].[All]" dimensionUniqueName="[PT Q1 1]" displayFolder="" count="0" memberValueDatatype="20" unbalanced="0"/>
    <cacheHierarchy uniqueName="[PT Q1 1].[College graduate Flag]" caption="College graduate Flag" attribute="1" defaultMemberUniqueName="[PT Q1 1].[College graduate Flag].[All]" allUniqueName="[PT Q1 1].[College graduate Flag].[All]" dimensionUniqueName="[PT Q1 1]" displayFolder="" count="0" memberValueDatatype="20" unbalanced="0"/>
    <cacheHierarchy uniqueName="[PT Q1 1].[Graduate school Flag]" caption="Graduate school Flag" attribute="1" defaultMemberUniqueName="[PT Q1 1].[Graduate school Flag].[All]" allUniqueName="[PT Q1 1].[Graduate school Flag].[All]" dimensionUniqueName="[PT Q1 1]" displayFolder="" count="0" memberValueDatatype="20" unbalanced="0"/>
    <cacheHierarchy uniqueName="[PT Q1 1].[Doctorate Flag]" caption="Doctorate Flag" attribute="1" defaultMemberUniqueName="[PT Q1 1].[Doctorate Flag].[All]" allUniqueName="[PT Q1 1].[Doctorate Flag].[All]" dimensionUniqueName="[PT Q1 1]" displayFolder="" count="0" memberValueDatatype="20" unbalanced="0"/>
    <cacheHierarchy uniqueName="[PT Q1 1].[GED Flag]" caption="GED Flag" attribute="1" defaultMemberUniqueName="[PT Q1 1].[GED Flag].[All]" allUniqueName="[PT Q1 1].[GED Flag].[All]" dimensionUniqueName="[PT Q1 1]" displayFolder="" count="0" memberValueDatatype="20" unbalanced="0"/>
    <cacheHierarchy uniqueName="[PT Q1 1].[None Flag]" caption="None Flag" attribute="1" defaultMemberUniqueName="[PT Q1 1].[None Flag].[All]" allUniqueName="[PT Q1 1].[None Flag].[All]" dimensionUniqueName="[PT Q1 1]" displayFolder="" count="0" memberValueDatatype="20" unbalanced="0"/>
    <cacheHierarchy uniqueName="[PT Q1 1].[Employed for Wages Flag]" caption="Employed for Wages Flag" attribute="1" defaultMemberUniqueName="[PT Q1 1].[Employed for Wages Flag].[All]" allUniqueName="[PT Q1 1].[Employed for Wages Flag].[All]" dimensionUniqueName="[PT Q1 1]" displayFolder="" count="0" memberValueDatatype="20" unbalanced="0"/>
    <cacheHierarchy uniqueName="[PT Q1 1].[Self-employed Flag]" caption="Self-employed Flag" attribute="1" defaultMemberUniqueName="[PT Q1 1].[Self-employed Flag].[All]" allUniqueName="[PT Q1 1].[Self-employed Flag].[All]" dimensionUniqueName="[PT Q1 1]" displayFolder="" count="0" memberValueDatatype="20" unbalanced="0"/>
    <cacheHierarchy uniqueName="[PT Q1 1].[Student Flag]" caption="Student Flag" attribute="1" defaultMemberUniqueName="[PT Q1 1].[Student Flag].[All]" allUniqueName="[PT Q1 1].[Student Flag].[All]" dimensionUniqueName="[PT Q1 1]" displayFolder="" count="0" memberValueDatatype="20" unbalanced="0"/>
    <cacheHierarchy uniqueName="[PT Q1 1].[Retired Flag]" caption="Retired Flag" attribute="1" defaultMemberUniqueName="[PT Q1 1].[Retired Flag].[All]" allUniqueName="[PT Q1 1].[Retired Flag].[All]" dimensionUniqueName="[PT Q1 1]" displayFolder="" count="0" memberValueDatatype="20" unbalanced="0"/>
    <cacheHierarchy uniqueName="[PT Q1 1].[Military Flag]" caption="Military Flag" attribute="1" defaultMemberUniqueName="[PT Q1 1].[Military Flag].[All]" allUniqueName="[PT Q1 1].[Military Flag].[All]" dimensionUniqueName="[PT Q1 1]" displayFolder="" count="0" memberValueDatatype="20" unbalanced="0"/>
    <cacheHierarchy uniqueName="[PT Q1 1].[Out of work and looking for work Flag]" caption="Out of work and looking for work Flag" attribute="1" defaultMemberUniqueName="[PT Q1 1].[Out of work and looking for work Flag].[All]" allUniqueName="[PT Q1 1].[Out of work and looking for work Flag].[All]" dimensionUniqueName="[PT Q1 1]" displayFolder="" count="0" memberValueDatatype="20" unbalanced="0"/>
    <cacheHierarchy uniqueName="[PT Q1 1].[Out of work, but not currently looking Flag]" caption="Out of work, but not currently looking Flag" attribute="1" defaultMemberUniqueName="[PT Q1 1].[Out of work, but not currently looking Flag].[All]" allUniqueName="[PT Q1 1].[Out of work, but not currently looking Flag].[All]" dimensionUniqueName="[PT Q1 1]" displayFolder="" count="0" memberValueDatatype="20" unbalanced="0"/>
    <cacheHierarchy uniqueName="[PT Q1 1].[Currently Insured Flag]" caption="Currently Insured Flag" attribute="1" defaultMemberUniqueName="[PT Q1 1].[Currently Insured Flag].[All]" allUniqueName="[PT Q1 1].[Currently Insured Flag].[All]" dimensionUniqueName="[PT Q1 1]" displayFolder="" count="0" memberValueDatatype="20" unbalanced="0"/>
    <cacheHierarchy uniqueName="[PT Q1 1].[Previously Insured Flag]" caption="Previously Insured Flag" attribute="1" defaultMemberUniqueName="[PT Q1 1].[Previously Insured Flag].[All]" allUniqueName="[PT Q1 1].[Previously Insured Flag].[All]" dimensionUniqueName="[PT Q1 1]" displayFolder="" count="0" memberValueDatatype="20" unbalanced="0"/>
    <cacheHierarchy uniqueName="[PT Q1 1].[Not Insured Flag]" caption="Not Insured Flag" attribute="1" defaultMemberUniqueName="[PT Q1 1].[Not Insured Flag].[All]" allUniqueName="[PT Q1 1].[Not Insured Flag].[All]" dimensionUniqueName="[PT Q1 1]" displayFolder="" count="0" memberValueDatatype="20" unbalanced="0"/>
    <cacheHierarchy uniqueName="[PT Q1 1].[Medicaid Flag]" caption="Medicaid Flag" attribute="1" defaultMemberUniqueName="[PT Q1 1].[Medicaid Flag].[All]" allUniqueName="[PT Q1 1].[Medicaid Flag].[All]" dimensionUniqueName="[PT Q1 1]" displayFolder="" count="0" memberValueDatatype="20" unbalanced="0"/>
    <cacheHierarchy uniqueName="[PT Q1 1].[Medicaid,Medicare Flag]" caption="Medicaid,Medicare Flag" attribute="1" defaultMemberUniqueName="[PT Q1 1].[Medicaid,Medicare Flag].[All]" allUniqueName="[PT Q1 1].[Medicaid,Medicare Flag].[All]" dimensionUniqueName="[PT Q1 1]" displayFolder="" count="0" memberValueDatatype="20" unbalanced="0"/>
    <cacheHierarchy uniqueName="[PT Q1 1].[Medicaid,Medicare,Private/Commercial Flag]" caption="Medicaid,Medicare,Private/Commercial Flag" attribute="1" defaultMemberUniqueName="[PT Q1 1].[Medicaid,Medicare,Private/Commercial Flag].[All]" allUniqueName="[PT Q1 1].[Medicaid,Medicare,Private/Commercial Flag].[All]" dimensionUniqueName="[PT Q1 1]" displayFolder="" count="0" memberValueDatatype="20" unbalanced="0"/>
    <cacheHierarchy uniqueName="[PT Q1 1].[Medicaid,Private/Commercial Flag]" caption="Medicaid,Private/Commercial Flag" attribute="1" defaultMemberUniqueName="[PT Q1 1].[Medicaid,Private/Commercial Flag].[All]" allUniqueName="[PT Q1 1].[Medicaid,Private/Commercial Flag].[All]" dimensionUniqueName="[PT Q1 1]" displayFolder="" count="0" memberValueDatatype="20" unbalanced="0"/>
    <cacheHierarchy uniqueName="[PT Q1 1].[Medicare Flag]" caption="Medicare Flag" attribute="1" defaultMemberUniqueName="[PT Q1 1].[Medicare Flag].[All]" allUniqueName="[PT Q1 1].[Medicare Flag].[All]" dimensionUniqueName="[PT Q1 1]" displayFolder="" count="0" memberValueDatatype="20" unbalanced="0"/>
    <cacheHierarchy uniqueName="[PT Q1 1].[Medicare,No Insurance Flag]" caption="Medicare,No Insurance Flag" attribute="1" defaultMemberUniqueName="[PT Q1 1].[Medicare,No Insurance Flag].[All]" allUniqueName="[PT Q1 1].[Medicare,No Insurance Flag].[All]" dimensionUniqueName="[PT Q1 1]" displayFolder="" count="0" memberValueDatatype="20" unbalanced="0"/>
    <cacheHierarchy uniqueName="[PT Q1 1].[Medicare,Private/Commercial Flag]" caption="Medicare,Private/Commercial Flag" attribute="1" defaultMemberUniqueName="[PT Q1 1].[Medicare,Private/Commercial Flag].[All]" allUniqueName="[PT Q1 1].[Medicare,Private/Commercial Flag].[All]" dimensionUniqueName="[PT Q1 1]" displayFolder="" count="0" memberValueDatatype="20" unbalanced="0"/>
    <cacheHierarchy uniqueName="[PT Q1 1].[No Insurance Flag]" caption="No Insurance Flag" attribute="1" defaultMemberUniqueName="[PT Q1 1].[No Insurance Flag].[All]" allUniqueName="[PT Q1 1].[No Insurance Flag].[All]" dimensionUniqueName="[PT Q1 1]" displayFolder="" count="0" memberValueDatatype="20" unbalanced="0"/>
    <cacheHierarchy uniqueName="[PT Q1 1].[Private/Commercial Flag]" caption="Private/Commercial Flag" attribute="1" defaultMemberUniqueName="[PT Q1 1].[Private/Commercial Flag].[All]" allUniqueName="[PT Q1 1].[Private/Commercial Flag].[All]" dimensionUniqueName="[PT Q1 1]" displayFolder="" count="0" memberValueDatatype="20" unbalanced="0"/>
    <cacheHierarchy uniqueName="[PT Q1 1].[Reliable Internet Flag]" caption="Reliable Internet Flag" attribute="1" defaultMemberUniqueName="[PT Q1 1].[Reliable Internet Flag].[All]" allUniqueName="[PT Q1 1].[Reliable Internet Flag].[All]" dimensionUniqueName="[PT Q1 1]" displayFolder="" count="0" memberValueDatatype="2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OTHER]" caption="OTHER" attribute="1" defaultMemberUniqueName="[PT Q2].[OTHER].[All]" allUniqueName="[PT Q2].[OTHER].[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5"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What type of insurance do you have?]" caption="What type of insurance do you have?" attribute="1" defaultMemberUniqueName="[PT Q2].[What type of insurance do you have?].[All]" allUniqueName="[PT Q2].[What type of insurance do you have?].[All]" dimensionUniqueName="[PT Q2]" displayFolder="" count="0" memberValueDatatype="130" unbalanced="0"/>
    <cacheHierarchy uniqueName="[PT Q2].[Do you have access to reliable internet in your home?]" caption="Do you have access to reliable internet in your home?" attribute="1" defaultMemberUniqueName="[PT Q2].[Do you have access to reliable internet in your home?].[All]" allUniqueName="[PT Q2].[Do you have access to reliable internet in your hom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immigration status)]" caption="Fear (e.g. not ready to face/discuss health problem; immigration status)" attribute="1" defaultMemberUniqueName="[PT Q3].[Fear (e.g. not ready to face/discuss health problem; immigration status)].[All]" allUniqueName="[PT Q3].[Fear (e.g. not ready to face/discuss health problem; immigration status)].[All]" dimensionUniqueName="[PT Q3]" displayFolder="" count="0" memberValueDatatype="130" unbalanced="0"/>
    <cacheHierarchy uniqueName="[PT Q3].[OTHER]" caption="OTHER" attribute="1" defaultMemberUniqueName="[PT Q3].[OTHER].[All]" allUniqueName="[PT Q3].[OTHER].[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immigration status)14]" caption="Fear (e.g. not ready to face/discuss health problem;immigration status)14" attribute="1" defaultMemberUniqueName="[PT Q3].[Fear (e.g. not ready to face/discuss health problem;immigration status)14].[All]" allUniqueName="[PT Q3].[Fear (e.g. not ready to face/discuss health problem;immigration status)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What type of insurance do you have?]" caption="What type of insurance do you have?" attribute="1" defaultMemberUniqueName="[PT Q3].[What type of insurance do you have?].[All]" allUniqueName="[PT Q3].[What type of insurance do you have?].[All]" dimensionUniqueName="[PT Q3]" displayFolder="" count="0" memberValueDatatype="130" unbalanced="0"/>
    <cacheHierarchy uniqueName="[PT Q3].[Do you have access to reliable internet in your home?]" caption="Do you have access to reliable internet in your home?" attribute="1" defaultMemberUniqueName="[PT Q3].[Do you have access to reliable internet in your home?].[All]" allUniqueName="[PT Q3].[Do you have access to reliable internet in your hom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OTHER]" caption="OTHER" attribute="1" defaultMemberUniqueName="[PT Q4].[OTHER].[All]" allUniqueName="[PT Q4].[OTHER].[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2"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2"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2"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2"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2"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2"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2"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2" memberValueDatatype="130" unbalanced="0"/>
    <cacheHierarchy uniqueName="[PT Q4].[What type of insurance do you have?]" caption="What type of insurance do you have?" attribute="1" defaultMemberUniqueName="[PT Q4].[What type of insurance do you have?].[All]" allUniqueName="[PT Q4].[What type of insurance do you have?].[All]" dimensionUniqueName="[PT Q4]" displayFolder="" count="0" memberValueDatatype="130" unbalanced="0"/>
    <cacheHierarchy uniqueName="[PT Q4].[Do you have access to reliable internet in your home?]" caption="Do you have access to reliable internet in your home?" attribute="1" defaultMemberUniqueName="[PT Q4].[Do you have access to reliable internet in your home?].[All]" allUniqueName="[PT Q4].[Do you have access to reliable internet in your hom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OTHER]" caption="OTHER" attribute="1" defaultMemberUniqueName="[PT Q5].[OTHER].[All]" allUniqueName="[PT Q5].[OTHER].[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What type of insurance do you have?]" caption="What type of insurance do you have?" attribute="1" defaultMemberUniqueName="[PT Q5].[What type of insurance do you have?].[All]" allUniqueName="[PT Q5].[What type of insurance do you have?].[All]" dimensionUniqueName="[PT Q5]" displayFolder="" count="0" memberValueDatatype="130" unbalanced="0"/>
    <cacheHierarchy uniqueName="[PT Q5].[Do you have access to reliable internet in your home?]" caption="Do you have access to reliable internet in your home?" attribute="1" defaultMemberUniqueName="[PT Q5].[Do you have access to reliable internet in your home?].[All]" allUniqueName="[PT Q5].[Do you have access to reliable internet in your hom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What type of insurance do you have?]" caption="What type of insurance do you have?" attribute="1" defaultMemberUniqueName="[PT Q6].[What type of insurance do you have?].[All]" allUniqueName="[PT Q6].[What type of insurance do you have?].[All]" dimensionUniqueName="[PT Q6]" displayFolder="" count="0" memberValueDatatype="130" unbalanced="0"/>
    <cacheHierarchy uniqueName="[PT Q6].[Do you have access to reliable internet in your home?]" caption="Do you have access to reliable internet in your home?" attribute="1" defaultMemberUniqueName="[PT Q6].[Do you have access to reliable internet in your home?].[All]" allUniqueName="[PT Q6].[Do you have access to reliable internet in your hom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198"/>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198"/>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216"/>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217"/>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222"/>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207"/>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209"/>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224"/>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226"/>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227"/>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218"/>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220"/>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225"/>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228"/>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219"/>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221"/>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223"/>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24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248"/>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26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26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269"/>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26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26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27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26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27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26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292"/>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292"/>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309"/>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312"/>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315"/>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318"/>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310"/>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313"/>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316"/>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319"/>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320"/>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311"/>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314"/>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317"/>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340"/>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340"/>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363"/>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366"/>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369"/>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372"/>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378"/>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380"/>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364"/>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367"/>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370"/>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373"/>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376"/>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379"/>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365"/>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368"/>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371"/>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374"/>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377"/>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401"/>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404"/>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407"/>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410"/>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412"/>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402"/>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405"/>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408"/>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411"/>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413"/>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403"/>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406"/>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409"/>
        </ext>
      </extLst>
    </cacheHierarchy>
    <cacheHierarchy uniqueName="[Measures].[Sum of Fear (eg not ready to facediscuss health problemimmigration status)14]" caption="Sum of Fear (eg not ready to facediscuss health problemimmigration status)14" measure="1" displayFolder="" measureGroup="PT Q3" count="0">
      <extLst>
        <ext xmlns:x15="http://schemas.microsoft.com/office/spreadsheetml/2010/11/main" uri="{B97F6D7D-B522-45F9-BDA1-12C45D357490}">
          <x15:cacheHierarchy aggregatedColumn="272"/>
        </ext>
      </extLst>
    </cacheHierarchy>
    <cacheHierarchy uniqueName="[Measures].[Sum of RespondentID 7]" caption="Sum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Women’s health  wellness10 3]" caption="Sum of Women’s health  wellness10 3" measure="1" displayFolder="" measureGroup="PT Q1 1" count="0">
      <extLst>
        <ext xmlns:x15="http://schemas.microsoft.com/office/spreadsheetml/2010/11/main" uri="{B97F6D7D-B522-45F9-BDA1-12C45D357490}">
          <x15:cacheHierarchy aggregatedColumn="121"/>
        </ext>
      </extLst>
    </cacheHierarchy>
    <cacheHierarchy uniqueName="[Measures].[Count of RespondentID 7]" caption="Count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Asthmalung disease3 3]" caption="Sum of Asthmalung disease3 3" measure="1" displayFolder="" measureGroup="PT Q1 1" count="0">
      <extLst>
        <ext xmlns:x15="http://schemas.microsoft.com/office/spreadsheetml/2010/11/main" uri="{B97F6D7D-B522-45F9-BDA1-12C45D357490}">
          <x15:cacheHierarchy aggregatedColumn="114"/>
        </ext>
      </extLst>
    </cacheHierarchy>
    <cacheHierarchy uniqueName="[Measures].[Sum of Cancer4 3]" caption="Sum of Cancer4 3" measure="1" displayFolder="" measureGroup="PT Q1 1" count="0">
      <extLst>
        <ext xmlns:x15="http://schemas.microsoft.com/office/spreadsheetml/2010/11/main" uri="{B97F6D7D-B522-45F9-BDA1-12C45D357490}">
          <x15:cacheHierarchy aggregatedColumn="115"/>
        </ext>
      </extLst>
    </cacheHierarchy>
    <cacheHierarchy uniqueName="[Measures].[Sum of Heart disease  stroke5 3]" caption="Sum of Heart disease  stroke5 3" measure="1" displayFolder="" measureGroup="PT Q1 1" count="0">
      <extLst>
        <ext xmlns:x15="http://schemas.microsoft.com/office/spreadsheetml/2010/11/main" uri="{B97F6D7D-B522-45F9-BDA1-12C45D357490}">
          <x15:cacheHierarchy aggregatedColumn="116"/>
        </ext>
      </extLst>
    </cacheHierarchy>
    <cacheHierarchy uniqueName="[Measures].[Sum of Safety6 3]" caption="Sum of Safety6 3" measure="1" displayFolder="" measureGroup="PT Q1 1" count="0">
      <extLst>
        <ext xmlns:x15="http://schemas.microsoft.com/office/spreadsheetml/2010/11/main" uri="{B97F6D7D-B522-45F9-BDA1-12C45D357490}">
          <x15:cacheHierarchy aggregatedColumn="117"/>
        </ext>
      </extLst>
    </cacheHierarchy>
    <cacheHierarchy uniqueName="[Measures].[Sum of HIVAIDS  Sexually Transmitted Diseases (STDs)7 3]" caption="Sum of HIVAIDS  Sexually Transmitted Diseases (STDs)7 3" measure="1" displayFolder="" measureGroup="PT Q1 1" count="0">
      <extLst>
        <ext xmlns:x15="http://schemas.microsoft.com/office/spreadsheetml/2010/11/main" uri="{B97F6D7D-B522-45F9-BDA1-12C45D357490}">
          <x15:cacheHierarchy aggregatedColumn="118"/>
        </ext>
      </extLst>
    </cacheHierarchy>
    <cacheHierarchy uniqueName="[Measures].[Sum of Vaccine preventable diseases8 3]" caption="Sum of Vaccine preventable diseases8 3" measure="1" displayFolder="" measureGroup="PT Q1 1" count="0">
      <extLst>
        <ext xmlns:x15="http://schemas.microsoft.com/office/spreadsheetml/2010/11/main" uri="{B97F6D7D-B522-45F9-BDA1-12C45D357490}">
          <x15:cacheHierarchy aggregatedColumn="119"/>
        </ext>
      </extLst>
    </cacheHierarchy>
    <cacheHierarchy uniqueName="[Measures].[Sum of Child health  wellness9 3]" caption="Sum of Child health  wellness9 3" measure="1" displayFolder="" measureGroup="PT Q1 1" count="0">
      <extLst>
        <ext xmlns:x15="http://schemas.microsoft.com/office/spreadsheetml/2010/11/main" uri="{B97F6D7D-B522-45F9-BDA1-12C45D357490}">
          <x15:cacheHierarchy aggregatedColumn="120"/>
        </ext>
      </extLst>
    </cacheHierarchy>
    <cacheHierarchy uniqueName="[Measures].[Sum of Diabetes11 3]" caption="Sum of Diabetes11 3" measure="1" displayFolder="" measureGroup="PT Q1 1" count="0">
      <extLst>
        <ext xmlns:x15="http://schemas.microsoft.com/office/spreadsheetml/2010/11/main" uri="{B97F6D7D-B522-45F9-BDA1-12C45D357490}">
          <x15:cacheHierarchy aggregatedColumn="122"/>
        </ext>
      </extLst>
    </cacheHierarchy>
    <cacheHierarchy uniqueName="[Measures].[Sum of Mental health depressionsuicide12 3]" caption="Sum of Mental health depressionsuicide12 3" measure="1" displayFolder="" measureGroup="PT Q1 1" count="0">
      <extLst>
        <ext xmlns:x15="http://schemas.microsoft.com/office/spreadsheetml/2010/11/main" uri="{B97F6D7D-B522-45F9-BDA1-12C45D357490}">
          <x15:cacheHierarchy aggregatedColumn="123"/>
        </ext>
      </extLst>
    </cacheHierarchy>
    <cacheHierarchy uniqueName="[Measures].[Sum of Drugs  alcohol abuse13 3]" caption="Sum of Drugs  alcohol abuse13 3" measure="1" displayFolder="" measureGroup="PT Q1 1" count="0">
      <extLst>
        <ext xmlns:x15="http://schemas.microsoft.com/office/spreadsheetml/2010/11/main" uri="{B97F6D7D-B522-45F9-BDA1-12C45D357490}">
          <x15:cacheHierarchy aggregatedColumn="124"/>
        </ext>
      </extLst>
    </cacheHierarchy>
    <cacheHierarchy uniqueName="[Measures].[Sum of Environmental hazards14 3]" caption="Sum of Environmental hazards14 3" measure="1" displayFolder="" measureGroup="PT Q1 1" count="0">
      <extLst>
        <ext xmlns:x15="http://schemas.microsoft.com/office/spreadsheetml/2010/11/main" uri="{B97F6D7D-B522-45F9-BDA1-12C45D357490}">
          <x15:cacheHierarchy aggregatedColumn="125"/>
        </ext>
      </extLst>
    </cacheHierarchy>
    <cacheHierarchy uniqueName="[Measures].[Sum of Obesityweight loss issues15 3]" caption="Sum of Obesityweight loss issues15 3" measure="1" displayFolder="" measureGroup="PT Q1 1" count="0">
      <extLst>
        <ext xmlns:x15="http://schemas.microsoft.com/office/spreadsheetml/2010/11/main" uri="{B97F6D7D-B522-45F9-BDA1-12C45D357490}">
          <x15:cacheHierarchy aggregatedColumn="126"/>
        </ext>
      </extLst>
    </cacheHierarchy>
    <cacheHierarchy uniqueName="[Measures].[Sum of What is your age]" caption="Sum of What is your age" measure="1" displayFolder="" measureGroup="PT Q1 1" count="0">
      <extLst>
        <ext xmlns:x15="http://schemas.microsoft.com/office/spreadsheetml/2010/11/main" uri="{B97F6D7D-B522-45F9-BDA1-12C45D357490}">
          <x15:cacheHierarchy aggregatedColumn="134"/>
        </ext>
      </extLst>
    </cacheHierarchy>
    <cacheHierarchy uniqueName="[Measures].[Average of What is your age]" caption="Average of What is your age" measure="1" displayFolder="" measureGroup="PT Q1 1" count="0">
      <extLst>
        <ext xmlns:x15="http://schemas.microsoft.com/office/spreadsheetml/2010/11/main" uri="{B97F6D7D-B522-45F9-BDA1-12C45D357490}">
          <x15:cacheHierarchy aggregatedColumn="134"/>
        </ext>
      </extLst>
    </cacheHierarchy>
    <cacheHierarchy uniqueName="[Measures].[Count of What race do you consider yourself]" caption="Count of What race do you consider yourself" measure="1" displayFolder="" measureGroup="PT Q1 1" count="0">
      <extLst>
        <ext xmlns:x15="http://schemas.microsoft.com/office/spreadsheetml/2010/11/main" uri="{B97F6D7D-B522-45F9-BDA1-12C45D357490}">
          <x15:cacheHierarchy aggregatedColumn="137"/>
        </ext>
      </extLst>
    </cacheHierarchy>
    <cacheHierarchy uniqueName="[Measures].[Count of Do you currently have health insurance]" caption="Count of Do you currently have health insurance" measure="1" displayFolder="" measureGroup="PT Q1 1" count="0">
      <extLst>
        <ext xmlns:x15="http://schemas.microsoft.com/office/spreadsheetml/2010/11/main" uri="{B97F6D7D-B522-45F9-BDA1-12C45D357490}">
          <x15:cacheHierarchy aggregatedColumn="143"/>
        </ext>
      </extLst>
    </cacheHierarchy>
    <cacheHierarchy uniqueName="[Measures].[Count of What type of insurance do you have]" caption="Count of What type of insurance do you have" measure="1" displayFolder="" measureGroup="PT Q1 1" count="0">
      <extLst>
        <ext xmlns:x15="http://schemas.microsoft.com/office/spreadsheetml/2010/11/main" uri="{B97F6D7D-B522-45F9-BDA1-12C45D357490}">
          <x15:cacheHierarchy aggregatedColumn="144"/>
        </ext>
      </extLst>
    </cacheHierarchy>
    <cacheHierarchy uniqueName="[Measures].[Count of Do you have access to reliable internet in your home]" caption="Count of Do you have access to reliable internet in your home" measure="1" displayFolder="" measureGroup="PT Q1 1" count="0">
      <extLst>
        <ext xmlns:x15="http://schemas.microsoft.com/office/spreadsheetml/2010/11/main" uri="{B97F6D7D-B522-45F9-BDA1-12C45D357490}">
          <x15:cacheHierarchy aggregatedColumn="145"/>
        </ext>
      </extLst>
    </cacheHierarchy>
    <cacheHierarchy uniqueName="[Measures].[Sum of Female Flag]" caption="Sum of Female Flag" measure="1" displayFolder="" measureGroup="PT Q1 1" count="0">
      <extLst>
        <ext xmlns:x15="http://schemas.microsoft.com/office/spreadsheetml/2010/11/main" uri="{B97F6D7D-B522-45F9-BDA1-12C45D357490}">
          <x15:cacheHierarchy aggregatedColumn="146"/>
        </ext>
      </extLst>
    </cacheHierarchy>
    <cacheHierarchy uniqueName="[Measures].[Sum of Male Flag]" caption="Sum of Male Flag" measure="1" displayFolder="" measureGroup="PT Q1 1" count="0">
      <extLst>
        <ext xmlns:x15="http://schemas.microsoft.com/office/spreadsheetml/2010/11/main" uri="{B97F6D7D-B522-45F9-BDA1-12C45D357490}">
          <x15:cacheHierarchy aggregatedColumn="147"/>
        </ext>
      </extLst>
    </cacheHierarchy>
    <cacheHierarchy uniqueName="[Measures].[Sum of WhiteCaucasian Flag]" caption="Sum of WhiteCaucasian Flag" measure="1" displayFolder="" measureGroup="PT Q1 1" count="0">
      <extLst>
        <ext xmlns:x15="http://schemas.microsoft.com/office/spreadsheetml/2010/11/main" uri="{B97F6D7D-B522-45F9-BDA1-12C45D357490}">
          <x15:cacheHierarchy aggregatedColumn="150"/>
        </ext>
      </extLst>
    </cacheHierarchy>
    <cacheHierarchy uniqueName="[Measures].[Sum of BlackAfrican American Flag]" caption="Sum of BlackAfrican American Flag" measure="1" displayFolder="" measureGroup="PT Q1 1" count="0">
      <extLst>
        <ext xmlns:x15="http://schemas.microsoft.com/office/spreadsheetml/2010/11/main" uri="{B97F6D7D-B522-45F9-BDA1-12C45D357490}">
          <x15:cacheHierarchy aggregatedColumn="151"/>
        </ext>
      </extLst>
    </cacheHierarchy>
    <cacheHierarchy uniqueName="[Measures].[Total Respondents]" caption="Total Respondents" measure="1" displayFolder="" measureGroup="PT Q1" count="0"/>
    <cacheHierarchy uniqueName="[Measures].[Woman]" caption="Woman" measure="1" displayFolder="" measureGroup="PT Q1" count="0"/>
    <cacheHierarchy uniqueName="[Measures].[Man]" caption="Man" measure="1" displayFolder="" measureGroup="PT Q1" count="0"/>
    <cacheHierarchy uniqueName="[Measures].[Transgender]" caption="Transgender" measure="1" displayFolder="" measureGroup="PT Q1" count="0"/>
    <cacheHierarchy uniqueName="[Measures].[Other Gender]" caption="Other Gender" measure="1" displayFolder="" measureGroup="PT Q1" count="0"/>
    <cacheHierarchy uniqueName="[Measures].[Ethnicity]" caption="Ethnicity" measure="1" displayFolder="" measureGroup="PT Q1" count="0"/>
    <cacheHierarchy uniqueName="[Measures].[White]" caption="White" measure="1" displayFolder="" measureGroup="PT Q1" count="0"/>
    <cacheHierarchy uniqueName="[Measures].[Black/African American]" caption="Black/African American" measure="1" displayFolder="" measureGroup="PT Q1" count="0"/>
    <cacheHierarchy uniqueName="[Measures].[Native Hawaiian/Pacific Islander]" caption="Native Hawaiian/Pacific Islander" measure="1" displayFolder="" measureGroup="PT Q1" count="0"/>
    <cacheHierarchy uniqueName="[Measures].[American Indian/Alaska Native]" caption="American Indian/Alaska Native" measure="1" displayFolder="" measureGroup="PT Q1" count="0"/>
    <cacheHierarchy uniqueName="[Measures].[Multi-racial]" caption="Multi-racial" measure="1" displayFolder="" measureGroup="PT Q1" count="0"/>
    <cacheHierarchy uniqueName="[Measures].[Other Race]" caption="Other Race" measure="1" displayFolder="" measureGroup="PT Q1" count="0"/>
    <cacheHierarchy uniqueName="[Measures].[Income $0-$19,999]" caption="Income $0-$19,999" measure="1" displayFolder="" measureGroup="PT Q1" count="0"/>
    <cacheHierarchy uniqueName="[Measures].[Income $20,000 to $34,999]" caption="Income $20,000 to $34,999" measure="1" displayFolder="" measureGroup="PT Q1" count="0"/>
    <cacheHierarchy uniqueName="[Measures].[Income $35,000 to $49,999]" caption="Income $35,000 to $49,999" measure="1" displayFolder="" measureGroup="PT Q1" count="0"/>
    <cacheHierarchy uniqueName="[Measures].[income $50,000 to $74,999]" caption="income $50,000 to $74,999" measure="1" displayFolder="" measureGroup="PT Q1" count="0"/>
    <cacheHierarchy uniqueName="[Measures].[Income $75,000 to $125,000]" caption="Income $75,000 to $125,000" measure="1" displayFolder="" measureGroup="PT Q1" count="0"/>
    <cacheHierarchy uniqueName="[Measures].[Income Over $125,000]" caption="Income Over $125,000" measure="1" displayFolder="" measureGroup="PT Q1" count="0"/>
    <cacheHierarchy uniqueName="[Measures].[Age 18-24]" caption="Age 18-24" measure="1" displayFolder="" measureGroup="PT Q1" count="0"/>
    <cacheHierarchy uniqueName="[Measures].[Age 25 to 34]" caption="Age 25 to 34" measure="1" displayFolder="" measureGroup="PT Q1" count="0"/>
    <cacheHierarchy uniqueName="[Measures].[Age 35 to 44]" caption="Age 35 to 44" measure="1" displayFolder="" measureGroup="PT Q1" count="0"/>
    <cacheHierarchy uniqueName="[Measures].[Age 45 to 54]" caption="Age 45 to 54" measure="1" displayFolder="" measureGroup="PT Q1" count="0"/>
    <cacheHierarchy uniqueName="[Measures].[Age 55 to 64]" caption="Age 55 to 64" measure="1" displayFolder="" measureGroup="PT Q1" count="0"/>
    <cacheHierarchy uniqueName="[Measures].[Age 65+]" caption="Age 65+" measure="1" displayFolder="" measureGroup="PT Q1" count="0"/>
    <cacheHierarchy uniqueName="[Measures].[K-8 Grade]" caption="K-8 Grade" measure="1" displayFolder="" measureGroup="PT Q1" count="0"/>
    <cacheHierarchy uniqueName="[Measures].[High School]" caption="High School" measure="1" displayFolder="" measureGroup="PT Q1" count="0"/>
    <cacheHierarchy uniqueName="[Measures].[Some High School]" caption="Some High School" measure="1" displayFolder="" measureGroup="PT Q1" count="0"/>
    <cacheHierarchy uniqueName="[Measures].[College]" caption="College" measure="1" displayFolder="" measureGroup="PT Q1" count="0"/>
    <cacheHierarchy uniqueName="[Measures].[Some College]" caption="Some College" measure="1" displayFolder="" measureGroup="PT Q1" count="0"/>
    <cacheHierarchy uniqueName="[Measures].[Technical School]" caption="Technical School" measure="1" displayFolder="" measureGroup="PT Q1" count="0"/>
    <cacheHierarchy uniqueName="[Measures].[Graduate School]" caption="Graduate School" measure="1" displayFolder="" measureGroup="PT Q1" count="0"/>
    <cacheHierarchy uniqueName="[Measures].[Doctorate]" caption="Doctorate" measure="1" displayFolder="" measureGroup="PT Q1" count="0"/>
    <cacheHierarchy uniqueName="[Measures].[GED]" caption="GED" measure="1" displayFolder="" measureGroup="PT Q1" count="0"/>
    <cacheHierarchy uniqueName="[Measures].[Employed for Wages]" caption="Employed for Wages" measure="1" displayFolder="" measureGroup="PT Q1" count="0"/>
    <cacheHierarchy uniqueName="[Measures].[Self-employed]" caption="Self-employed" measure="1" displayFolder="" measureGroup="PT Q1" count="0"/>
    <cacheHierarchy uniqueName="[Measures].[Student]" caption="Student" measure="1" displayFolder="" measureGroup="PT Q1" count="0"/>
    <cacheHierarchy uniqueName="[Measures].[Retired]" caption="Retired" measure="1" displayFolder="" measureGroup="PT Q1" count="0"/>
    <cacheHierarchy uniqueName="[Measures].[Military]" caption="Military" measure="1" displayFolder="" measureGroup="PT Q1" count="0"/>
    <cacheHierarchy uniqueName="[Measures].[Out of Work and Looking]" caption="Out of Work and Looking" measure="1" displayFolder="" measureGroup="PT Q1" count="0"/>
    <cacheHierarchy uniqueName="[Measures].[Out of Work Not Looking]" caption="Out of Work Not Looking" measure="1" displayFolder="" measureGroup="PT Q1" count="0"/>
    <cacheHierarchy uniqueName="[Measures].[Health Insurance Yes]" caption="Health Insurance Yes" measure="1" displayFolder="" measureGroup="PT Q1" count="0"/>
    <cacheHierarchy uniqueName="[Measures].[Health Insurance No]" caption="Health Insurance No" measure="1" displayFolder="" measureGroup="PT Q1" count="0"/>
    <cacheHierarchy uniqueName="[Measures].[Health Insurance In the Past]" caption="Health Insurance In the Past" measure="1" displayFolder="" measureGroup="PT Q1" count="0"/>
    <cacheHierarchy uniqueName="[Measures].[Medicare]" caption="Medicare" measure="1" displayFolder="" measureGroup="PT Q1" count="0"/>
    <cacheHierarchy uniqueName="[Measures].[Medicaid]" caption="Medicaid" measure="1" displayFolder="" measureGroup="PT Q1" count="0"/>
    <cacheHierarchy uniqueName="[Measures].[Private/Commerical]" caption="Private/Commerical" measure="1" displayFolder="" measureGroup="PT Q1" count="0"/>
    <cacheHierarchy uniqueName="[Measures].[Not Insured]" caption="Not Insured" measure="1" displayFolder="" measureGroup="PT Q1" count="0"/>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PT Q1 1]" caption="__XL_Count PT Q1 1" measure="1" displayFolder="" measureGroup="PT Q1 1"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1154"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saveData="0" refreshedBy="Melissa Bauer" refreshedDate="44946.532980208336" createdVersion="3" refreshedVersion="5" minRefreshableVersion="3" recordCount="0" supportSubquery="1" supportAdvancedDrill="1">
  <cacheSource type="external" connectionId="8">
    <extLst>
      <ext xmlns:x14="http://schemas.microsoft.com/office/spreadsheetml/2009/9/main" uri="{F057638F-6D5F-4e77-A914-E7F072B9BCA8}">
        <x14:sourceConnection name="ThisWorkbookDataModel"/>
      </ext>
    </extLst>
  </cacheSource>
  <cacheFields count="0"/>
  <cacheHierarchies count="600">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What type of insurance do you have?]" caption="What type of insurance do you have?" attribute="1" defaultMemberUniqueName="[PT Q1].[What type of insurance do you have?].[All]" allUniqueName="[PT Q1].[What type of insurance do you have?].[All]" dimensionUniqueName="[PT Q1]" displayFolder="" count="0" memberValueDatatype="130" unbalanced="0"/>
    <cacheHierarchy uniqueName="[PT Q1].[Do you have a smartphone]" caption="Do you have a smartphone" attribute="1" defaultMemberUniqueName="[PT Q1].[Do you have a smartphone].[All]" allUniqueName="[PT Q1].[Do you have a smartphone].[All]" dimensionUniqueName="[PT Q1]" displayFolder="" count="0" memberValueDatatype="130" unbalanced="0"/>
    <cacheHierarchy uniqueName="[PT Q1].[Woman Flag]" caption="Woman Flag" attribute="1" defaultMemberUniqueName="[PT Q1].[Woman Flag].[All]" allUniqueName="[PT Q1].[Woman Flag].[All]" dimensionUniqueName="[PT Q1]" displayFolder="" count="0" memberValueDatatype="20" unbalanced="0"/>
    <cacheHierarchy uniqueName="[PT Q1].[Man Flag]" caption="Man Flag" attribute="1" defaultMemberUniqueName="[PT Q1].[Man Flag].[All]" allUniqueName="[PT Q1].[Man Flag].[All]" dimensionUniqueName="[PT Q1]" displayFolder="" count="0" memberValueDatatype="20" unbalanced="0"/>
    <cacheHierarchy uniqueName="[PT Q1].[Transgender Flag]" caption="Transgender Flag" attribute="1" defaultMemberUniqueName="[PT Q1].[Transgender Flag].[All]" allUniqueName="[PT Q1].[Transgender Flag].[All]" dimensionUniqueName="[PT Q1]" displayFolder="" count="0" memberValueDatatype="20" unbalanced="0"/>
    <cacheHierarchy uniqueName="[PT Q1].[Other Gender Flag]" caption="Other Gender Flag" attribute="1" defaultMemberUniqueName="[PT Q1].[Other Gender Flag].[All]" allUniqueName="[PT Q1].[Other Gender Flag].[All]" dimensionUniqueName="[PT Q1]" displayFolder="" count="0" memberValueDatatype="20" unbalanced="0"/>
    <cacheHierarchy uniqueName="[PT Q1].[Hispanic Flag]" caption="Hispanic Flag" attribute="1" defaultMemberUniqueName="[PT Q1].[Hispanic Flag].[All]" allUniqueName="[PT Q1].[Hispanic Flag].[All]" dimensionUniqueName="[PT Q1]" displayFolder="" count="0" memberValueDatatype="20" unbalanced="0"/>
    <cacheHierarchy uniqueName="[PT Q1].[White Flag]" caption="White Flag" attribute="1" defaultMemberUniqueName="[PT Q1].[White Flag].[All]" allUniqueName="[PT Q1].[White Flag].[All]" dimensionUniqueName="[PT Q1]" displayFolder="" count="0" memberValueDatatype="20" unbalanced="0"/>
    <cacheHierarchy uniqueName="[PT Q1].[Black or African American Flag]" caption="Black or African American Flag" attribute="1" defaultMemberUniqueName="[PT Q1].[Black or African American Flag].[All]" allUniqueName="[PT Q1].[Black or African American Flag].[All]" dimensionUniqueName="[PT Q1]" displayFolder="" count="0" memberValueDatatype="20" unbalanced="0"/>
    <cacheHierarchy uniqueName="[PT Q1].[Native Hawaiian and Other Pacific Islander Flag]" caption="Native Hawaiian and Other Pacific Islander Flag" attribute="1" defaultMemberUniqueName="[PT Q1].[Native Hawaiian and Other Pacific Islander Flag].[All]" allUniqueName="[PT Q1].[Native Hawaiian and Other Pacific Islander Flag].[All]" dimensionUniqueName="[PT Q1]" displayFolder="" count="0" memberValueDatatype="20" unbalanced="0"/>
    <cacheHierarchy uniqueName="[PT Q1].[American Indian and Alaska Native Flag]" caption="American Indian and Alaska Native Flag" attribute="1" defaultMemberUniqueName="[PT Q1].[American Indian and Alaska Native Flag].[All]" allUniqueName="[PT Q1].[American Indian and Alaska Native Flag].[All]" dimensionUniqueName="[PT Q1]" displayFolder="" count="0" memberValueDatatype="20" unbalanced="0"/>
    <cacheHierarchy uniqueName="[PT Q1].[Two or more races Flag]" caption="Two or more races Flag" attribute="1" defaultMemberUniqueName="[PT Q1].[Two or more races Flag].[All]" allUniqueName="[PT Q1].[Two or more races Flag].[All]" dimensionUniqueName="[PT Q1]" displayFolder="" count="0" memberValueDatatype="20" unbalanced="0"/>
    <cacheHierarchy uniqueName="[PT Q1].[Other Race Flag]" caption="Other Race Flag" attribute="1" defaultMemberUniqueName="[PT Q1].[Other Race Flag].[All]" allUniqueName="[PT Q1].[Other Race Flag].[All]" dimensionUniqueName="[PT Q1]" displayFolder="" count="0" memberValueDatatype="20" unbalanced="0"/>
    <cacheHierarchy uniqueName="[PT Q1].[$0-$19,999 Flag]" caption="$0-$19,999 Flag" attribute="1" defaultMemberUniqueName="[PT Q1].[$0-$19,999 Flag].[All]" allUniqueName="[PT Q1].[$0-$19,999 Flag].[All]" dimensionUniqueName="[PT Q1]" displayFolder="" count="0" memberValueDatatype="20" unbalanced="0"/>
    <cacheHierarchy uniqueName="[PT Q1].[$20,000 to $34,999 Flag]" caption="$20,000 to $34,999 Flag" attribute="1" defaultMemberUniqueName="[PT Q1].[$20,000 to $34,999 Flag].[All]" allUniqueName="[PT Q1].[$20,000 to $34,999 Flag].[All]" dimensionUniqueName="[PT Q1]" displayFolder="" count="0" memberValueDatatype="20" unbalanced="0"/>
    <cacheHierarchy uniqueName="[PT Q1].[$35,000 to $49,999 Flag]" caption="$35,000 to $49,999 Flag" attribute="1" defaultMemberUniqueName="[PT Q1].[$35,000 to $49,999 Flag].[All]" allUniqueName="[PT Q1].[$35,000 to $49,999 Flag].[All]" dimensionUniqueName="[PT Q1]" displayFolder="" count="0" memberValueDatatype="20" unbalanced="0"/>
    <cacheHierarchy uniqueName="[PT Q1].[$50,000 to $74,999 Flag]" caption="$50,000 to $74,999 Flag" attribute="1" defaultMemberUniqueName="[PT Q1].[$50,000 to $74,999 Flag].[All]" allUniqueName="[PT Q1].[$50,000 to $74,999 Flag].[All]" dimensionUniqueName="[PT Q1]" displayFolder="" count="0" memberValueDatatype="20" unbalanced="0"/>
    <cacheHierarchy uniqueName="[PT Q1].[$75,000 to $125,000 Flag]" caption="$75,000 to $125,000 Flag" attribute="1" defaultMemberUniqueName="[PT Q1].[$75,000 to $125,000 Flag].[All]" allUniqueName="[PT Q1].[$75,000 to $125,000 Flag].[All]" dimensionUniqueName="[PT Q1]" displayFolder="" count="0" memberValueDatatype="20" unbalanced="0"/>
    <cacheHierarchy uniqueName="[PT Q1].[Over $125,000 Flag]" caption="Over $125,000 Flag" attribute="1" defaultMemberUniqueName="[PT Q1].[Over $125,000 Flag].[All]" allUniqueName="[PT Q1].[Over $125,000 Flag].[All]" dimensionUniqueName="[PT Q1]" displayFolder="" count="0" memberValueDatatype="20" unbalanced="0"/>
    <cacheHierarchy uniqueName="[PT Q1].[18 TO 24 Flag]" caption="18 TO 24 Flag" attribute="1" defaultMemberUniqueName="[PT Q1].[18 TO 24 Flag].[All]" allUniqueName="[PT Q1].[18 TO 24 Flag].[All]" dimensionUniqueName="[PT Q1]" displayFolder="" count="0" memberValueDatatype="20" unbalanced="0"/>
    <cacheHierarchy uniqueName="[PT Q1].[25 to 34 Flag]" caption="25 to 34 Flag" attribute="1" defaultMemberUniqueName="[PT Q1].[25 to 34 Flag].[All]" allUniqueName="[PT Q1].[25 to 34 Flag].[All]" dimensionUniqueName="[PT Q1]" displayFolder="" count="0" memberValueDatatype="20" unbalanced="0"/>
    <cacheHierarchy uniqueName="[PT Q1].[35 to 44 Flag]" caption="35 to 44 Flag" attribute="1" defaultMemberUniqueName="[PT Q1].[35 to 44 Flag].[All]" allUniqueName="[PT Q1].[35 to 44 Flag].[All]" dimensionUniqueName="[PT Q1]" displayFolder="" count="0" memberValueDatatype="20" unbalanced="0"/>
    <cacheHierarchy uniqueName="[PT Q1].[45 to 54 Flag]" caption="45 to 54 Flag" attribute="1" defaultMemberUniqueName="[PT Q1].[45 to 54 Flag].[All]" allUniqueName="[PT Q1].[45 to 54 Flag].[All]" dimensionUniqueName="[PT Q1]" displayFolder="" count="0" memberValueDatatype="20" unbalanced="0"/>
    <cacheHierarchy uniqueName="[PT Q1].[55 to 64 Flag]" caption="55 to 64 Flag" attribute="1" defaultMemberUniqueName="[PT Q1].[55 to 64 Flag].[All]" allUniqueName="[PT Q1].[55 to 64 Flag].[All]" dimensionUniqueName="[PT Q1]" displayFolder="" count="0" memberValueDatatype="20" unbalanced="0"/>
    <cacheHierarchy uniqueName="[PT Q1].[65 Plus Flag]" caption="65 Plus Flag" attribute="1" defaultMemberUniqueName="[PT Q1].[65 Plus Flag].[All]" allUniqueName="[PT Q1].[65 Plus Flag].[All]" dimensionUniqueName="[PT Q1]" displayFolder="" count="0" memberValueDatatype="20" unbalanced="0"/>
    <cacheHierarchy uniqueName="[PT Q1].[K-8 grade Flag]" caption="K-8 grade Flag" attribute="1" defaultMemberUniqueName="[PT Q1].[K-8 grade Flag].[All]" allUniqueName="[PT Q1].[K-8 grade Flag].[All]" dimensionUniqueName="[PT Q1]" displayFolder="" count="0" memberValueDatatype="20" unbalanced="0"/>
    <cacheHierarchy uniqueName="[PT Q1].[Some High School Flag]" caption="Some High School Flag" attribute="1" defaultMemberUniqueName="[PT Q1].[Some High School Flag].[All]" allUniqueName="[PT Q1].[Some High School Flag].[All]" dimensionUniqueName="[PT Q1]" displayFolder="" count="0" memberValueDatatype="20" unbalanced="0"/>
    <cacheHierarchy uniqueName="[PT Q1].[High School Graduate Flag]" caption="High School Graduate Flag" attribute="1" defaultMemberUniqueName="[PT Q1].[High School Graduate Flag].[All]" allUniqueName="[PT Q1].[High School Graduate Flag].[All]" dimensionUniqueName="[PT Q1]" displayFolder="" count="0" memberValueDatatype="20" unbalanced="0"/>
    <cacheHierarchy uniqueName="[PT Q1].[Technical School Flag]" caption="Technical School Flag" attribute="1" defaultMemberUniqueName="[PT Q1].[Technical School Flag].[All]" allUniqueName="[PT Q1].[Technical School Flag].[All]" dimensionUniqueName="[PT Q1]" displayFolder="" count="0" memberValueDatatype="20" unbalanced="0"/>
    <cacheHierarchy uniqueName="[PT Q1].[Some College Flag]" caption="Some College Flag" attribute="1" defaultMemberUniqueName="[PT Q1].[Some College Flag].[All]" allUniqueName="[PT Q1].[Some College Flag].[All]" dimensionUniqueName="[PT Q1]" displayFolder="" count="0" memberValueDatatype="20" unbalanced="0"/>
    <cacheHierarchy uniqueName="[PT Q1].[College Graduate Flag]" caption="College Graduate Flag" attribute="1" defaultMemberUniqueName="[PT Q1].[College Graduate Flag].[All]" allUniqueName="[PT Q1].[College Graduate Flag].[All]" dimensionUniqueName="[PT Q1]" displayFolder="" count="0" memberValueDatatype="20" unbalanced="0"/>
    <cacheHierarchy uniqueName="[PT Q1].[Graduate School Flag]" caption="Graduate School Flag" attribute="1" defaultMemberUniqueName="[PT Q1].[Graduate School Flag].[All]" allUniqueName="[PT Q1].[Graduate School Flag].[All]" dimensionUniqueName="[PT Q1]" displayFolder="" count="0" memberValueDatatype="20" unbalanced="0"/>
    <cacheHierarchy uniqueName="[PT Q1].[Doctorate Flag]" caption="Doctorate Flag" attribute="1" defaultMemberUniqueName="[PT Q1].[Doctorate Flag].[All]" allUniqueName="[PT Q1].[Doctorate Flag].[All]" dimensionUniqueName="[PT Q1]" displayFolder="" count="0" memberValueDatatype="20" unbalanced="0"/>
    <cacheHierarchy uniqueName="[PT Q1].[GED Flag]" caption="GED Flag" attribute="1" defaultMemberUniqueName="[PT Q1].[GED Flag].[All]" allUniqueName="[PT Q1].[GED Flag].[All]" dimensionUniqueName="[PT Q1]" displayFolder="" count="0" memberValueDatatype="20" unbalanced="0"/>
    <cacheHierarchy uniqueName="[PT Q1].[Employed for Wages Flag]" caption="Employed for Wages Flag" attribute="1" defaultMemberUniqueName="[PT Q1].[Employed for Wages Flag].[All]" allUniqueName="[PT Q1].[Employed for Wages Flag].[All]" dimensionUniqueName="[PT Q1]" displayFolder="" count="0" memberValueDatatype="20" unbalanced="0"/>
    <cacheHierarchy uniqueName="[PT Q1].[Self-employed Flag]" caption="Self-employed Flag" attribute="1" defaultMemberUniqueName="[PT Q1].[Self-employed Flag].[All]" allUniqueName="[PT Q1].[Self-employed Flag].[All]" dimensionUniqueName="[PT Q1]" displayFolder="" count="0" memberValueDatatype="20" unbalanced="0"/>
    <cacheHierarchy uniqueName="[PT Q1].[Student Flag]" caption="Student Flag" attribute="1" defaultMemberUniqueName="[PT Q1].[Student Flag].[All]" allUniqueName="[PT Q1].[Student Flag].[All]" dimensionUniqueName="[PT Q1]" displayFolder="" count="0" memberValueDatatype="20" unbalanced="0"/>
    <cacheHierarchy uniqueName="[PT Q1].[Retired Flag]" caption="Retired Flag" attribute="1" defaultMemberUniqueName="[PT Q1].[Retired Flag].[All]" allUniqueName="[PT Q1].[Retired Flag].[All]" dimensionUniqueName="[PT Q1]" displayFolder="" count="0" memberValueDatatype="20" unbalanced="0"/>
    <cacheHierarchy uniqueName="[PT Q1].[Military Flag]" caption="Military Flag" attribute="1" defaultMemberUniqueName="[PT Q1].[Military Flag].[All]" allUniqueName="[PT Q1].[Military Flag].[All]" dimensionUniqueName="[PT Q1]" displayFolder="" count="0" memberValueDatatype="20" unbalanced="0"/>
    <cacheHierarchy uniqueName="[PT Q1].[Out of Work and Looking Flag]" caption="Out of Work and Looking Flag" attribute="1" defaultMemberUniqueName="[PT Q1].[Out of Work and Looking Flag].[All]" allUniqueName="[PT Q1].[Out of Work and Looking Flag].[All]" dimensionUniqueName="[PT Q1]" displayFolder="" count="0" memberValueDatatype="20" unbalanced="0"/>
    <cacheHierarchy uniqueName="[PT Q1].[Out of Work Not Looking Flag]" caption="Out of Work Not Looking Flag" attribute="1" defaultMemberUniqueName="[PT Q1].[Out of Work Not Looking Flag].[All]" allUniqueName="[PT Q1].[Out of Work Not Looking Flag].[All]" dimensionUniqueName="[PT Q1]" displayFolder="" count="0" memberValueDatatype="20" unbalanced="0"/>
    <cacheHierarchy uniqueName="[PT Q1].[Health Insurance Yes Flag]" caption="Health Insurance Yes Flag" attribute="1" defaultMemberUniqueName="[PT Q1].[Health Insurance Yes Flag].[All]" allUniqueName="[PT Q1].[Health Insurance Yes Flag].[All]" dimensionUniqueName="[PT Q1]" displayFolder="" count="0" memberValueDatatype="20" unbalanced="0"/>
    <cacheHierarchy uniqueName="[PT Q1].[Health Insurance No Flag]" caption="Health Insurance No Flag" attribute="1" defaultMemberUniqueName="[PT Q1].[Health Insurance No Flag].[All]" allUniqueName="[PT Q1].[Health Insurance No Flag].[All]" dimensionUniqueName="[PT Q1]" displayFolder="" count="0" memberValueDatatype="20" unbalanced="0"/>
    <cacheHierarchy uniqueName="[PT Q1].[Health Insurance In the Past Flag]" caption="Health Insurance In the Past Flag" attribute="1" defaultMemberUniqueName="[PT Q1].[Health Insurance In the Past Flag].[All]" allUniqueName="[PT Q1].[Health Insurance In the Past Flag].[All]" dimensionUniqueName="[PT Q1]" displayFolder="" count="0" memberValueDatatype="20" unbalanced="0"/>
    <cacheHierarchy uniqueName="[PT Q1].[Medicare Flag]" caption="Medicare Flag" attribute="1" defaultMemberUniqueName="[PT Q1].[Medicare Flag].[All]" allUniqueName="[PT Q1].[Medicare Flag].[All]" dimensionUniqueName="[PT Q1]" displayFolder="" count="0" memberValueDatatype="20" unbalanced="0"/>
    <cacheHierarchy uniqueName="[PT Q1].[Medicaid Flag]" caption="Medicaid Flag" attribute="1" defaultMemberUniqueName="[PT Q1].[Medicaid Flag].[All]" allUniqueName="[PT Q1].[Medicaid Flag].[All]" dimensionUniqueName="[PT Q1]" displayFolder="" count="0" memberValueDatatype="20" unbalanced="0"/>
    <cacheHierarchy uniqueName="[PT Q1].[Private/Commercial Flag]" caption="Private/Commercial Flag" attribute="1" defaultMemberUniqueName="[PT Q1].[Private/Commercial Flag].[All]" allUniqueName="[PT Q1].[Private/Commercial Flag].[All]" dimensionUniqueName="[PT Q1]" displayFolder="" count="0" memberValueDatatype="20" unbalanced="0"/>
    <cacheHierarchy uniqueName="[PT Q1].[No Insurance Flag]" caption="No Insurance Flag" attribute="1" defaultMemberUniqueName="[PT Q1].[No Insurance Flag].[All]" allUniqueName="[PT Q1].[No Insurance Flag].[All]" dimensionUniqueName="[PT Q1]" displayFolder="" count="0" memberValueDatatype="20" unbalanced="0"/>
    <cacheHierarchy uniqueName="[PT Q1 1].[RespondentID]" caption="RespondentID" attribute="1" defaultMemberUniqueName="[PT Q1 1].[RespondentID].[All]" allUniqueName="[PT Q1 1].[RespondentID].[All]" dimensionUniqueName="[PT Q1 1]" displayFolder="" count="0" memberValueDatatype="5" unbalanced="0"/>
    <cacheHierarchy uniqueName="[PT Q1 1].[Asthma/lung disease]" caption="Asthma/lung disease" attribute="1" defaultMemberUniqueName="[PT Q1 1].[Asthma/lung disease].[All]" allUniqueName="[PT Q1 1].[Asthma/lung disease].[All]" dimensionUniqueName="[PT Q1 1]" displayFolder="" count="0" memberValueDatatype="130" unbalanced="0"/>
    <cacheHierarchy uniqueName="[PT Q1 1].[Cancer]" caption="Cancer" attribute="1" defaultMemberUniqueName="[PT Q1 1].[Cancer].[All]" allUniqueName="[PT Q1 1].[Cancer].[All]" dimensionUniqueName="[PT Q1 1]" displayFolder="" count="0" memberValueDatatype="130" unbalanced="0"/>
    <cacheHierarchy uniqueName="[PT Q1 1].[Heart disease &amp; stroke]" caption="Heart disease &amp; stroke" attribute="1" defaultMemberUniqueName="[PT Q1 1].[Heart disease &amp; stroke].[All]" allUniqueName="[PT Q1 1].[Heart disease &amp; stroke].[All]" dimensionUniqueName="[PT Q1 1]" displayFolder="" count="0" memberValueDatatype="130" unbalanced="0"/>
    <cacheHierarchy uniqueName="[PT Q1 1].[Safety]" caption="Safety" attribute="1" defaultMemberUniqueName="[PT Q1 1].[Safety].[All]" allUniqueName="[PT Q1 1].[Safety].[All]" dimensionUniqueName="[PT Q1 1]" displayFolder="" count="0" memberValueDatatype="130" unbalanced="0"/>
    <cacheHierarchy uniqueName="[PT Q1 1].[HIV/AIDS &amp; Sexually Transmitted Diseases (STDs)]" caption="HIV/AIDS &amp; Sexually Transmitted Diseases (STDs)" attribute="1" defaultMemberUniqueName="[PT Q1 1].[HIV/AIDS &amp; Sexually Transmitted Diseases (STDs)].[All]" allUniqueName="[PT Q1 1].[HIV/AIDS &amp; Sexually Transmitted Diseases (STDs)].[All]" dimensionUniqueName="[PT Q1 1]" displayFolder="" count="0" memberValueDatatype="130" unbalanced="0"/>
    <cacheHierarchy uniqueName="[PT Q1 1].[Vaccine preventable diseases]" caption="Vaccine preventable diseases" attribute="1" defaultMemberUniqueName="[PT Q1 1].[Vaccine preventable diseases].[All]" allUniqueName="[PT Q1 1].[Vaccine preventable diseases].[All]" dimensionUniqueName="[PT Q1 1]" displayFolder="" count="0" memberValueDatatype="130" unbalanced="0"/>
    <cacheHierarchy uniqueName="[PT Q1 1].[Child health &amp; wellness]" caption="Child health &amp; wellness" attribute="1" defaultMemberUniqueName="[PT Q1 1].[Child health &amp; wellness].[All]" allUniqueName="[PT Q1 1].[Child health &amp; wellness].[All]" dimensionUniqueName="[PT Q1 1]" displayFolder="" count="0" memberValueDatatype="130" unbalanced="0"/>
    <cacheHierarchy uniqueName="[PT Q1 1].[Women’s health &amp; wellness]" caption="Women’s health &amp; wellness" attribute="1" defaultMemberUniqueName="[PT Q1 1].[Women’s health &amp; wellness].[All]" allUniqueName="[PT Q1 1].[Women’s health &amp; wellness].[All]" dimensionUniqueName="[PT Q1 1]" displayFolder="" count="0" memberValueDatatype="130" unbalanced="0"/>
    <cacheHierarchy uniqueName="[PT Q1 1].[Diabetes]" caption="Diabetes" attribute="1" defaultMemberUniqueName="[PT Q1 1].[Diabetes].[All]" allUniqueName="[PT Q1 1].[Diabetes].[All]" dimensionUniqueName="[PT Q1 1]" displayFolder="" count="0" memberValueDatatype="130" unbalanced="0"/>
    <cacheHierarchy uniqueName="[PT Q1 1].[Mental health depression/suicide]" caption="Mental health depression/suicide" attribute="1" defaultMemberUniqueName="[PT Q1 1].[Mental health depression/suicide].[All]" allUniqueName="[PT Q1 1].[Mental health depression/suicide].[All]" dimensionUniqueName="[PT Q1 1]" displayFolder="" count="0" memberValueDatatype="130" unbalanced="0"/>
    <cacheHierarchy uniqueName="[PT Q1 1].[Drugs &amp; alcohol abuse]" caption="Drugs &amp; alcohol abuse" attribute="1" defaultMemberUniqueName="[PT Q1 1].[Drugs &amp; alcohol abuse].[All]" allUniqueName="[PT Q1 1].[Drugs &amp; alcohol abuse].[All]" dimensionUniqueName="[PT Q1 1]" displayFolder="" count="0" memberValueDatatype="130" unbalanced="0"/>
    <cacheHierarchy uniqueName="[PT Q1 1].[Environmental hazards]" caption="Environmental hazards" attribute="1" defaultMemberUniqueName="[PT Q1 1].[Environmental hazards].[All]" allUniqueName="[PT Q1 1].[Environmental hazards].[All]" dimensionUniqueName="[PT Q1 1]" displayFolder="" count="0" memberValueDatatype="130" unbalanced="0"/>
    <cacheHierarchy uniqueName="[PT Q1 1].[Obesity/weight loss issues]" caption="Obesity/weight loss issues" attribute="1" defaultMemberUniqueName="[PT Q1 1].[Obesity/weight loss issues].[All]" allUniqueName="[PT Q1 1].[Obesity/weight loss issues].[All]" dimensionUniqueName="[PT Q1 1]" displayFolder="" count="0" memberValueDatatype="130" unbalanced="0"/>
    <cacheHierarchy uniqueName="[PT Q1 1].[Column1]" caption="Column1" attribute="1" defaultMemberUniqueName="[PT Q1 1].[Column1].[All]" allUniqueName="[PT Q1 1].[Column1].[All]" dimensionUniqueName="[PT Q1 1]" displayFolder="" count="0" memberValueDatatype="130" unbalanced="0"/>
    <cacheHierarchy uniqueName="[PT Q1 1].[Count of Selection]" caption="Count of Selection" attribute="1" defaultMemberUniqueName="[PT Q1 1].[Count of Selection].[All]" allUniqueName="[PT Q1 1].[Count of Selection].[All]" dimensionUniqueName="[PT Q1 1]" displayFolder="" count="0" memberValueDatatype="20" unbalanced="0"/>
    <cacheHierarchy uniqueName="[PT Q1 1].[Weight]" caption="Weight" attribute="1" defaultMemberUniqueName="[PT Q1 1].[Weight].[All]" allUniqueName="[PT Q1 1].[Weight].[All]" dimensionUniqueName="[PT Q1 1]" displayFolder="" count="0" memberValueDatatype="130" unbalanced="0"/>
    <cacheHierarchy uniqueName="[PT Q1 1].[Column2]" caption="Column2" attribute="1" defaultMemberUniqueName="[PT Q1 1].[Column2].[All]" allUniqueName="[PT Q1 1].[Column2].[All]" dimensionUniqueName="[PT Q1 1]" displayFolder="" count="0" memberValueDatatype="130" unbalanced="0"/>
    <cacheHierarchy uniqueName="[PT Q1 1].[Asthma/lung disease3]" caption="Asthma/lung disease3" attribute="1" defaultMemberUniqueName="[PT Q1 1].[Asthma/lung disease3].[All]" allUniqueName="[PT Q1 1].[Asthma/lung disease3].[All]" dimensionUniqueName="[PT Q1 1]" displayFolder="" count="0" memberValueDatatype="5" unbalanced="0"/>
    <cacheHierarchy uniqueName="[PT Q1 1].[Cancer4]" caption="Cancer4" attribute="1" defaultMemberUniqueName="[PT Q1 1].[Cancer4].[All]" allUniqueName="[PT Q1 1].[Cancer4].[All]" dimensionUniqueName="[PT Q1 1]" displayFolder="" count="0" memberValueDatatype="5" unbalanced="0"/>
    <cacheHierarchy uniqueName="[PT Q1 1].[Heart disease &amp; stroke5]" caption="Heart disease &amp; stroke5" attribute="1" defaultMemberUniqueName="[PT Q1 1].[Heart disease &amp; stroke5].[All]" allUniqueName="[PT Q1 1].[Heart disease &amp; stroke5].[All]" dimensionUniqueName="[PT Q1 1]" displayFolder="" count="0" memberValueDatatype="5" unbalanced="0"/>
    <cacheHierarchy uniqueName="[PT Q1 1].[Safety6]" caption="Safety6" attribute="1" defaultMemberUniqueName="[PT Q1 1].[Safety6].[All]" allUniqueName="[PT Q1 1].[Safety6].[All]" dimensionUniqueName="[PT Q1 1]" displayFolder="" count="0" memberValueDatatype="5" unbalanced="0"/>
    <cacheHierarchy uniqueName="[PT Q1 1].[HIV/AIDS &amp; Sexually Transmitted Diseases (STDs)7]" caption="HIV/AIDS &amp; Sexually Transmitted Diseases (STDs)7" attribute="1" defaultMemberUniqueName="[PT Q1 1].[HIV/AIDS &amp; Sexually Transmitted Diseases (STDs)7].[All]" allUniqueName="[PT Q1 1].[HIV/AIDS &amp; Sexually Transmitted Diseases (STDs)7].[All]" dimensionUniqueName="[PT Q1 1]" displayFolder="" count="0" memberValueDatatype="5" unbalanced="0"/>
    <cacheHierarchy uniqueName="[PT Q1 1].[Vaccine preventable diseases8]" caption="Vaccine preventable diseases8" attribute="1" defaultMemberUniqueName="[PT Q1 1].[Vaccine preventable diseases8].[All]" allUniqueName="[PT Q1 1].[Vaccine preventable diseases8].[All]" dimensionUniqueName="[PT Q1 1]" displayFolder="" count="0" memberValueDatatype="5" unbalanced="0"/>
    <cacheHierarchy uniqueName="[PT Q1 1].[Child health &amp; wellness9]" caption="Child health &amp; wellness9" attribute="1" defaultMemberUniqueName="[PT Q1 1].[Child health &amp; wellness9].[All]" allUniqueName="[PT Q1 1].[Child health &amp; wellness9].[All]" dimensionUniqueName="[PT Q1 1]" displayFolder="" count="0" memberValueDatatype="5" unbalanced="0"/>
    <cacheHierarchy uniqueName="[PT Q1 1].[Women’s health &amp; wellness10]" caption="Women’s health &amp; wellness10" attribute="1" defaultMemberUniqueName="[PT Q1 1].[Women’s health &amp; wellness10].[All]" allUniqueName="[PT Q1 1].[Women’s health &amp; wellness10].[All]" dimensionUniqueName="[PT Q1 1]" displayFolder="" count="0" memberValueDatatype="5" unbalanced="0"/>
    <cacheHierarchy uniqueName="[PT Q1 1].[Diabetes11]" caption="Diabetes11" attribute="1" defaultMemberUniqueName="[PT Q1 1].[Diabetes11].[All]" allUniqueName="[PT Q1 1].[Diabetes11].[All]" dimensionUniqueName="[PT Q1 1]" displayFolder="" count="0" memberValueDatatype="5" unbalanced="0"/>
    <cacheHierarchy uniqueName="[PT Q1 1].[Mental health depression/suicide12]" caption="Mental health depression/suicide12" attribute="1" defaultMemberUniqueName="[PT Q1 1].[Mental health depression/suicide12].[All]" allUniqueName="[PT Q1 1].[Mental health depression/suicide12].[All]" dimensionUniqueName="[PT Q1 1]" displayFolder="" count="0" memberValueDatatype="5" unbalanced="0"/>
    <cacheHierarchy uniqueName="[PT Q1 1].[Drugs &amp; alcohol abuse13]" caption="Drugs &amp; alcohol abuse13" attribute="1" defaultMemberUniqueName="[PT Q1 1].[Drugs &amp; alcohol abuse13].[All]" allUniqueName="[PT Q1 1].[Drugs &amp; alcohol abuse13].[All]" dimensionUniqueName="[PT Q1 1]" displayFolder="" count="0" memberValueDatatype="5" unbalanced="0"/>
    <cacheHierarchy uniqueName="[PT Q1 1].[Environmental hazards14]" caption="Environmental hazards14" attribute="1" defaultMemberUniqueName="[PT Q1 1].[Environmental hazards14].[All]" allUniqueName="[PT Q1 1].[Environmental hazards14].[All]" dimensionUniqueName="[PT Q1 1]" displayFolder="" count="0" memberValueDatatype="5" unbalanced="0"/>
    <cacheHierarchy uniqueName="[PT Q1 1].[Obesity/weight loss issues15]" caption="Obesity/weight loss issues15" attribute="1" defaultMemberUniqueName="[PT Q1 1].[Obesity/weight loss issues15].[All]" allUniqueName="[PT Q1 1].[Obesity/weight loss issues15].[All]" dimensionUniqueName="[PT Q1 1]" displayFolder="" count="0" memberValueDatatype="5" unbalanced="0"/>
    <cacheHierarchy uniqueName="[PT Q1 1].[Column3]" caption="Column3" attribute="1" defaultMemberUniqueName="[PT Q1 1].[Column3].[All]" allUniqueName="[PT Q1 1].[Column3].[All]" dimensionUniqueName="[PT Q1 1]" displayFolder="" count="0" memberValueDatatype="130" unbalanced="0"/>
    <cacheHierarchy uniqueName="[PT Q1 1].[Column4]" caption="Column4" attribute="1" defaultMemberUniqueName="[PT Q1 1].[Column4].[All]" allUniqueName="[PT Q1 1].[Column4].[All]" dimensionUniqueName="[PT Q1 1]" displayFolder="" count="0" memberValueDatatype="130" unbalanced="0"/>
    <cacheHierarchy uniqueName="[PT Q1 1].[Observed]" caption="Observed" attribute="1" defaultMemberUniqueName="[PT Q1 1].[Observed].[All]" allUniqueName="[PT Q1 1].[Observed].[All]" dimensionUniqueName="[PT Q1 1]" displayFolder="" count="0" memberValueDatatype="5" unbalanced="0"/>
    <cacheHierarchy uniqueName="[PT Q1 1].[Expected]" caption="Expected" attribute="1" defaultMemberUniqueName="[PT Q1 1].[Expected].[All]" allUniqueName="[PT Q1 1].[Expected].[All]" dimensionUniqueName="[PT Q1 1]" displayFolder="" count="0" memberValueDatatype="20" unbalanced="0"/>
    <cacheHierarchy uniqueName="[PT Q1 1].[Column18]" caption="Column18" attribute="1" defaultMemberUniqueName="[PT Q1 1].[Column18].[All]" allUniqueName="[PT Q1 1].[Column18].[All]" dimensionUniqueName="[PT Q1 1]" displayFolder="" count="0" memberValueDatatype="130" unbalanced="0"/>
    <cacheHierarchy uniqueName="[PT Q1 1].[Column5]" caption="Column5" attribute="1" defaultMemberUniqueName="[PT Q1 1].[Column5].[All]" allUniqueName="[PT Q1 1].[Column5].[All]" dimensionUniqueName="[PT Q1 1]" displayFolder="" count="0" memberValueDatatype="130" unbalanced="0"/>
    <cacheHierarchy uniqueName="[PT Q1 1].[I identify as:]" caption="I identify as:" attribute="1" defaultMemberUniqueName="[PT Q1 1].[I identify as:].[All]" allUniqueName="[PT Q1 1].[I identify as:].[All]" dimensionUniqueName="[PT Q1 1]" displayFolder="" count="0" memberValueDatatype="130" unbalanced="0"/>
    <cacheHierarchy uniqueName="[PT Q1 1].[What is your age?]" caption="What is your age?" attribute="1" defaultMemberUniqueName="[PT Q1 1].[What is your age?].[All]" allUniqueName="[PT Q1 1].[What is your age?].[All]" dimensionUniqueName="[PT Q1 1]" displayFolder="" count="0" memberValueDatatype="20" unbalanced="0"/>
    <cacheHierarchy uniqueName="[PT Q1 1].[County where you live:]" caption="County where you live:" attribute="1" defaultMemberUniqueName="[PT Q1 1].[County where you live:].[All]" allUniqueName="[PT Q1 1].[County where you live:].[All]" dimensionUniqueName="[PT Q1 1]" displayFolder="" count="0" memberValueDatatype="130" unbalanced="0"/>
    <cacheHierarchy uniqueName="[PT Q1 1].[Town and ZIP code where you live:]" caption="Town and ZIP code where you live:" attribute="1" defaultMemberUniqueName="[PT Q1 1].[Town and ZIP code where you live:].[All]" allUniqueName="[PT Q1 1].[Town and ZIP code where you live:].[All]" dimensionUniqueName="[PT Q1 1]" displayFolder="" count="0" memberValueDatatype="130" unbalanced="0"/>
    <cacheHierarchy uniqueName="[PT Q1 1].[What race do you consider yourself?]" caption="What race do you consider yourself?" attribute="1" defaultMemberUniqueName="[PT Q1 1].[What race do you consider yourself?].[All]" allUniqueName="[PT Q1 1].[What race do you consider yourself?].[All]" dimensionUniqueName="[PT Q1 1]" displayFolder="" count="0" memberValueDatatype="130" unbalanced="0"/>
    <cacheHierarchy uniqueName="[PT Q1 1].[Are you Hispanic or Latino?]" caption="Are you Hispanic or Latino?" attribute="1" defaultMemberUniqueName="[PT Q1 1].[Are you Hispanic or Latino?].[All]" allUniqueName="[PT Q1 1].[Are you Hispanic or Latino?].[All]" dimensionUniqueName="[PT Q1 1]" displayFolder="" count="0" memberValueDatatype="130" unbalanced="0"/>
    <cacheHierarchy uniqueName="[PT Q1 1].[What language do you speak when you are at home (select all that apply)]" caption="What language do you speak when you are at home (select all that apply)" attribute="1" defaultMemberUniqueName="[PT Q1 1].[What language do you speak when you are at home (select all that apply)].[All]" allUniqueName="[PT Q1 1].[What language do you speak when you are at home (select all that apply)].[All]" dimensionUniqueName="[PT Q1 1]" displayFolder="" count="0" memberValueDatatype="130" unbalanced="0"/>
    <cacheHierarchy uniqueName="[PT Q1 1].[What is your annual household income from all sources?]" caption="What is your annual household income from all sources?" attribute="1" defaultMemberUniqueName="[PT Q1 1].[What is your annual household income from all sources?].[All]" allUniqueName="[PT Q1 1].[What is your annual household income from all sources?].[All]" dimensionUniqueName="[PT Q1 1]" displayFolder="" count="0" memberValueDatatype="130" unbalanced="0"/>
    <cacheHierarchy uniqueName="[PT Q1 1].[What is your highest level of education?]" caption="What is your highest level of education?" attribute="1" defaultMemberUniqueName="[PT Q1 1].[What is your highest level of education?].[All]" allUniqueName="[PT Q1 1].[What is your highest level of education?].[All]" dimensionUniqueName="[PT Q1 1]" displayFolder="" count="0" memberValueDatatype="130" unbalanced="0"/>
    <cacheHierarchy uniqueName="[PT Q1 1].[What is your current employment status?]" caption="What is your current employment status?" attribute="1" defaultMemberUniqueName="[PT Q1 1].[What is your current employment status?].[All]" allUniqueName="[PT Q1 1].[What is your current employment status?].[All]" dimensionUniqueName="[PT Q1 1]" displayFolder="" count="0" memberValueDatatype="130" unbalanced="0"/>
    <cacheHierarchy uniqueName="[PT Q1 1].[Do you currently have health insurance?]" caption="Do you currently have health insurance?" attribute="1" defaultMemberUniqueName="[PT Q1 1].[Do you currently have health insurance?].[All]" allUniqueName="[PT Q1 1].[Do you currently have health insurance?].[All]" dimensionUniqueName="[PT Q1 1]" displayFolder="" count="0" memberValueDatatype="130" unbalanced="0"/>
    <cacheHierarchy uniqueName="[PT Q1 1].[What type of insurance do you have?]" caption="What type of insurance do you have?" attribute="1" defaultMemberUniqueName="[PT Q1 1].[What type of insurance do you have?].[All]" allUniqueName="[PT Q1 1].[What type of insurance do you have?].[All]" dimensionUniqueName="[PT Q1 1]" displayFolder="" count="0" memberValueDatatype="130" unbalanced="0"/>
    <cacheHierarchy uniqueName="[PT Q1 1].[Do you have access to reliable internet in your home?]" caption="Do you have access to reliable internet in your home?" attribute="1" defaultMemberUniqueName="[PT Q1 1].[Do you have access to reliable internet in your home?].[All]" allUniqueName="[PT Q1 1].[Do you have access to reliable internet in your home?].[All]" dimensionUniqueName="[PT Q1 1]" displayFolder="" count="0" memberValueDatatype="130" unbalanced="0"/>
    <cacheHierarchy uniqueName="[PT Q1 1].[Female Flag]" caption="Female Flag" attribute="1" defaultMemberUniqueName="[PT Q1 1].[Female Flag].[All]" allUniqueName="[PT Q1 1].[Female Flag].[All]" dimensionUniqueName="[PT Q1 1]" displayFolder="" count="0" memberValueDatatype="20" unbalanced="0"/>
    <cacheHierarchy uniqueName="[PT Q1 1].[Male Flag]" caption="Male Flag" attribute="1" defaultMemberUniqueName="[PT Q1 1].[Male Flag].[All]" allUniqueName="[PT Q1 1].[Male Flag].[All]" dimensionUniqueName="[PT Q1 1]" displayFolder="" count="0" memberValueDatatype="20" unbalanced="0"/>
    <cacheHierarchy uniqueName="[PT Q1 1].[Other Flag]" caption="Other Flag" attribute="1" defaultMemberUniqueName="[PT Q1 1].[Other Flag].[All]" allUniqueName="[PT Q1 1].[Other Flag].[All]" dimensionUniqueName="[PT Q1 1]" displayFolder="" count="0" memberValueDatatype="20" unbalanced="0"/>
    <cacheHierarchy uniqueName="[PT Q1 1].[Hispanic Flag]" caption="Hispanic Flag" attribute="1" defaultMemberUniqueName="[PT Q1 1].[Hispanic Flag].[All]" allUniqueName="[PT Q1 1].[Hispanic Flag].[All]" dimensionUniqueName="[PT Q1 1]" displayFolder="" count="0" memberValueDatatype="20" unbalanced="0"/>
    <cacheHierarchy uniqueName="[PT Q1 1].[White/Caucasian Flag]" caption="White/Caucasian Flag" attribute="1" defaultMemberUniqueName="[PT Q1 1].[White/Caucasian Flag].[All]" allUniqueName="[PT Q1 1].[White/Caucasian Flag].[All]" dimensionUniqueName="[PT Q1 1]" displayFolder="" count="0" memberValueDatatype="20" unbalanced="0"/>
    <cacheHierarchy uniqueName="[PT Q1 1].[Black/African American Flag]" caption="Black/African American Flag" attribute="1" defaultMemberUniqueName="[PT Q1 1].[Black/African American Flag].[All]" allUniqueName="[PT Q1 1].[Black/African American Flag].[All]" dimensionUniqueName="[PT Q1 1]" displayFolder="" count="0" memberValueDatatype="20" unbalanced="0"/>
    <cacheHierarchy uniqueName="[PT Q1 1].[Asian/Pacific Islander Flag]" caption="Asian/Pacific Islander Flag" attribute="1" defaultMemberUniqueName="[PT Q1 1].[Asian/Pacific Islander Flag].[All]" allUniqueName="[PT Q1 1].[Asian/Pacific Islander Flag].[All]" dimensionUniqueName="[PT Q1 1]" displayFolder="" count="0" memberValueDatatype="20" unbalanced="0"/>
    <cacheHierarchy uniqueName="[PT Q1 1].[Native American Flag]" caption="Native American Flag" attribute="1" defaultMemberUniqueName="[PT Q1 1].[Native American Flag].[All]" allUniqueName="[PT Q1 1].[Native American Flag].[All]" dimensionUniqueName="[PT Q1 1]" displayFolder="" count="0" memberValueDatatype="20" unbalanced="0"/>
    <cacheHierarchy uniqueName="[PT Q1 1].[Multi-racial Flag]" caption="Multi-racial Flag" attribute="1" defaultMemberUniqueName="[PT Q1 1].[Multi-racial Flag].[All]" allUniqueName="[PT Q1 1].[Multi-racial Flag].[All]" dimensionUniqueName="[PT Q1 1]" displayFolder="" count="0" memberValueDatatype="20" unbalanced="0"/>
    <cacheHierarchy uniqueName="[PT Q1 1].[Other Race Flag]" caption="Other Race Flag" attribute="1" defaultMemberUniqueName="[PT Q1 1].[Other Race Flag].[All]" allUniqueName="[PT Q1 1].[Other Race Flag].[All]" dimensionUniqueName="[PT Q1 1]" displayFolder="" count="0" memberValueDatatype="20" unbalanced="0"/>
    <cacheHierarchy uniqueName="[PT Q1 1].[$0-$19,999 Flag]" caption="$0-$19,999 Flag" attribute="1" defaultMemberUniqueName="[PT Q1 1].[$0-$19,999 Flag].[All]" allUniqueName="[PT Q1 1].[$0-$19,999 Flag].[All]" dimensionUniqueName="[PT Q1 1]" displayFolder="" count="0" memberValueDatatype="20" unbalanced="0"/>
    <cacheHierarchy uniqueName="[PT Q1 1].[$20,000 to $34,999 Flag]" caption="$20,000 to $34,999 Flag" attribute="1" defaultMemberUniqueName="[PT Q1 1].[$20,000 to $34,999 Flag].[All]" allUniqueName="[PT Q1 1].[$20,000 to $34,999 Flag].[All]" dimensionUniqueName="[PT Q1 1]" displayFolder="" count="0" memberValueDatatype="20" unbalanced="0"/>
    <cacheHierarchy uniqueName="[PT Q1 1].[$35,000 to $49,999 Flag]" caption="$35,000 to $49,999 Flag" attribute="1" defaultMemberUniqueName="[PT Q1 1].[$35,000 to $49,999 Flag].[All]" allUniqueName="[PT Q1 1].[$35,000 to $49,999 Flag].[All]" dimensionUniqueName="[PT Q1 1]" displayFolder="" count="0" memberValueDatatype="20" unbalanced="0"/>
    <cacheHierarchy uniqueName="[PT Q1 1].[$50,000 to $74,999 Flag]" caption="$50,000 to $74,999 Flag" attribute="1" defaultMemberUniqueName="[PT Q1 1].[$50,000 to $74,999 Flag].[All]" allUniqueName="[PT Q1 1].[$50,000 to $74,999 Flag].[All]" dimensionUniqueName="[PT Q1 1]" displayFolder="" count="0" memberValueDatatype="20" unbalanced="0"/>
    <cacheHierarchy uniqueName="[PT Q1 1].[$75,000 to $125,000 Flag]" caption="$75,000 to $125,000 Flag" attribute="1" defaultMemberUniqueName="[PT Q1 1].[$75,000 to $125,000 Flag].[All]" allUniqueName="[PT Q1 1].[$75,000 to $125,000 Flag].[All]" dimensionUniqueName="[PT Q1 1]" displayFolder="" count="0" memberValueDatatype="20" unbalanced="0"/>
    <cacheHierarchy uniqueName="[PT Q1 1].[Over $125,000 Flag]" caption="Over $125,000 Flag" attribute="1" defaultMemberUniqueName="[PT Q1 1].[Over $125,000 Flag].[All]" allUniqueName="[PT Q1 1].[Over $125,000 Flag].[All]" dimensionUniqueName="[PT Q1 1]" displayFolder="" count="0" memberValueDatatype="20" unbalanced="0"/>
    <cacheHierarchy uniqueName="[PT Q1 1].[18-24 Flag]" caption="18-24 Flag" attribute="1" defaultMemberUniqueName="[PT Q1 1].[18-24 Flag].[All]" allUniqueName="[PT Q1 1].[18-24 Flag].[All]" dimensionUniqueName="[PT Q1 1]" displayFolder="" count="0" memberValueDatatype="20" unbalanced="0"/>
    <cacheHierarchy uniqueName="[PT Q1 1].[25-34 Flag]" caption="25-34 Flag" attribute="1" defaultMemberUniqueName="[PT Q1 1].[25-34 Flag].[All]" allUniqueName="[PT Q1 1].[25-34 Flag].[All]" dimensionUniqueName="[PT Q1 1]" displayFolder="" count="0" memberValueDatatype="20" unbalanced="0"/>
    <cacheHierarchy uniqueName="[PT Q1 1].[35-44 Flag]" caption="35-44 Flag" attribute="1" defaultMemberUniqueName="[PT Q1 1].[35-44 Flag].[All]" allUniqueName="[PT Q1 1].[35-44 Flag].[All]" dimensionUniqueName="[PT Q1 1]" displayFolder="" count="0" memberValueDatatype="20" unbalanced="0"/>
    <cacheHierarchy uniqueName="[PT Q1 1].[45-54 Flag]" caption="45-54 Flag" attribute="1" defaultMemberUniqueName="[PT Q1 1].[45-54 Flag].[All]" allUniqueName="[PT Q1 1].[45-54 Flag].[All]" dimensionUniqueName="[PT Q1 1]" displayFolder="" count="0" memberValueDatatype="20" unbalanced="0"/>
    <cacheHierarchy uniqueName="[PT Q1 1].[55-64 Flag]" caption="55-64 Flag" attribute="1" defaultMemberUniqueName="[PT Q1 1].[55-64 Flag].[All]" allUniqueName="[PT Q1 1].[55-64 Flag].[All]" dimensionUniqueName="[PT Q1 1]" displayFolder="" count="0" memberValueDatatype="20" unbalanced="0"/>
    <cacheHierarchy uniqueName="[PT Q1 1].[65+ Flag]" caption="65+ Flag" attribute="1" defaultMemberUniqueName="[PT Q1 1].[65+ Flag].[All]" allUniqueName="[PT Q1 1].[65+ Flag].[All]" dimensionUniqueName="[PT Q1 1]" displayFolder="" count="0" memberValueDatatype="20" unbalanced="0"/>
    <cacheHierarchy uniqueName="[PT Q1 1].[K-8th Flag]" caption="K-8th Flag" attribute="1" defaultMemberUniqueName="[PT Q1 1].[K-8th Flag].[All]" allUniqueName="[PT Q1 1].[K-8th Flag].[All]" dimensionUniqueName="[PT Q1 1]" displayFolder="" count="0" memberValueDatatype="20" unbalanced="0"/>
    <cacheHierarchy uniqueName="[PT Q1 1].[Some high school Flag]" caption="Some high school Flag" attribute="1" defaultMemberUniqueName="[PT Q1 1].[Some high school Flag].[All]" allUniqueName="[PT Q1 1].[Some high school Flag].[All]" dimensionUniqueName="[PT Q1 1]" displayFolder="" count="0" memberValueDatatype="20" unbalanced="0"/>
    <cacheHierarchy uniqueName="[PT Q1 1].[High school graduate Flag]" caption="High school graduate Flag" attribute="1" defaultMemberUniqueName="[PT Q1 1].[High school graduate Flag].[All]" allUniqueName="[PT Q1 1].[High school graduate Flag].[All]" dimensionUniqueName="[PT Q1 1]" displayFolder="" count="0" memberValueDatatype="20" unbalanced="0"/>
    <cacheHierarchy uniqueName="[PT Q1 1].[Technical school Flag]" caption="Technical school Flag" attribute="1" defaultMemberUniqueName="[PT Q1 1].[Technical school Flag].[All]" allUniqueName="[PT Q1 1].[Technical school Flag].[All]" dimensionUniqueName="[PT Q1 1]" displayFolder="" count="0" memberValueDatatype="20" unbalanced="0"/>
    <cacheHierarchy uniqueName="[PT Q1 1].[Some college Flag]" caption="Some college Flag" attribute="1" defaultMemberUniqueName="[PT Q1 1].[Some college Flag].[All]" allUniqueName="[PT Q1 1].[Some college Flag].[All]" dimensionUniqueName="[PT Q1 1]" displayFolder="" count="0" memberValueDatatype="20" unbalanced="0"/>
    <cacheHierarchy uniqueName="[PT Q1 1].[College graduate Flag]" caption="College graduate Flag" attribute="1" defaultMemberUniqueName="[PT Q1 1].[College graduate Flag].[All]" allUniqueName="[PT Q1 1].[College graduate Flag].[All]" dimensionUniqueName="[PT Q1 1]" displayFolder="" count="0" memberValueDatatype="20" unbalanced="0"/>
    <cacheHierarchy uniqueName="[PT Q1 1].[Graduate school Flag]" caption="Graduate school Flag" attribute="1" defaultMemberUniqueName="[PT Q1 1].[Graduate school Flag].[All]" allUniqueName="[PT Q1 1].[Graduate school Flag].[All]" dimensionUniqueName="[PT Q1 1]" displayFolder="" count="0" memberValueDatatype="20" unbalanced="0"/>
    <cacheHierarchy uniqueName="[PT Q1 1].[Doctorate Flag]" caption="Doctorate Flag" attribute="1" defaultMemberUniqueName="[PT Q1 1].[Doctorate Flag].[All]" allUniqueName="[PT Q1 1].[Doctorate Flag].[All]" dimensionUniqueName="[PT Q1 1]" displayFolder="" count="0" memberValueDatatype="20" unbalanced="0"/>
    <cacheHierarchy uniqueName="[PT Q1 1].[GED Flag]" caption="GED Flag" attribute="1" defaultMemberUniqueName="[PT Q1 1].[GED Flag].[All]" allUniqueName="[PT Q1 1].[GED Flag].[All]" dimensionUniqueName="[PT Q1 1]" displayFolder="" count="0" memberValueDatatype="20" unbalanced="0"/>
    <cacheHierarchy uniqueName="[PT Q1 1].[None Flag]" caption="None Flag" attribute="1" defaultMemberUniqueName="[PT Q1 1].[None Flag].[All]" allUniqueName="[PT Q1 1].[None Flag].[All]" dimensionUniqueName="[PT Q1 1]" displayFolder="" count="0" memberValueDatatype="20" unbalanced="0"/>
    <cacheHierarchy uniqueName="[PT Q1 1].[Employed for Wages Flag]" caption="Employed for Wages Flag" attribute="1" defaultMemberUniqueName="[PT Q1 1].[Employed for Wages Flag].[All]" allUniqueName="[PT Q1 1].[Employed for Wages Flag].[All]" dimensionUniqueName="[PT Q1 1]" displayFolder="" count="0" memberValueDatatype="20" unbalanced="0"/>
    <cacheHierarchy uniqueName="[PT Q1 1].[Self-employed Flag]" caption="Self-employed Flag" attribute="1" defaultMemberUniqueName="[PT Q1 1].[Self-employed Flag].[All]" allUniqueName="[PT Q1 1].[Self-employed Flag].[All]" dimensionUniqueName="[PT Q1 1]" displayFolder="" count="0" memberValueDatatype="20" unbalanced="0"/>
    <cacheHierarchy uniqueName="[PT Q1 1].[Student Flag]" caption="Student Flag" attribute="1" defaultMemberUniqueName="[PT Q1 1].[Student Flag].[All]" allUniqueName="[PT Q1 1].[Student Flag].[All]" dimensionUniqueName="[PT Q1 1]" displayFolder="" count="0" memberValueDatatype="20" unbalanced="0"/>
    <cacheHierarchy uniqueName="[PT Q1 1].[Retired Flag]" caption="Retired Flag" attribute="1" defaultMemberUniqueName="[PT Q1 1].[Retired Flag].[All]" allUniqueName="[PT Q1 1].[Retired Flag].[All]" dimensionUniqueName="[PT Q1 1]" displayFolder="" count="0" memberValueDatatype="20" unbalanced="0"/>
    <cacheHierarchy uniqueName="[PT Q1 1].[Military Flag]" caption="Military Flag" attribute="1" defaultMemberUniqueName="[PT Q1 1].[Military Flag].[All]" allUniqueName="[PT Q1 1].[Military Flag].[All]" dimensionUniqueName="[PT Q1 1]" displayFolder="" count="0" memberValueDatatype="20" unbalanced="0"/>
    <cacheHierarchy uniqueName="[PT Q1 1].[Out of work and looking for work Flag]" caption="Out of work and looking for work Flag" attribute="1" defaultMemberUniqueName="[PT Q1 1].[Out of work and looking for work Flag].[All]" allUniqueName="[PT Q1 1].[Out of work and looking for work Flag].[All]" dimensionUniqueName="[PT Q1 1]" displayFolder="" count="0" memberValueDatatype="20" unbalanced="0"/>
    <cacheHierarchy uniqueName="[PT Q1 1].[Out of work, but not currently looking Flag]" caption="Out of work, but not currently looking Flag" attribute="1" defaultMemberUniqueName="[PT Q1 1].[Out of work, but not currently looking Flag].[All]" allUniqueName="[PT Q1 1].[Out of work, but not currently looking Flag].[All]" dimensionUniqueName="[PT Q1 1]" displayFolder="" count="0" memberValueDatatype="20" unbalanced="0"/>
    <cacheHierarchy uniqueName="[PT Q1 1].[Currently Insured Flag]" caption="Currently Insured Flag" attribute="1" defaultMemberUniqueName="[PT Q1 1].[Currently Insured Flag].[All]" allUniqueName="[PT Q1 1].[Currently Insured Flag].[All]" dimensionUniqueName="[PT Q1 1]" displayFolder="" count="0" memberValueDatatype="20" unbalanced="0"/>
    <cacheHierarchy uniqueName="[PT Q1 1].[Previously Insured Flag]" caption="Previously Insured Flag" attribute="1" defaultMemberUniqueName="[PT Q1 1].[Previously Insured Flag].[All]" allUniqueName="[PT Q1 1].[Previously Insured Flag].[All]" dimensionUniqueName="[PT Q1 1]" displayFolder="" count="0" memberValueDatatype="20" unbalanced="0"/>
    <cacheHierarchy uniqueName="[PT Q1 1].[Not Insured Flag]" caption="Not Insured Flag" attribute="1" defaultMemberUniqueName="[PT Q1 1].[Not Insured Flag].[All]" allUniqueName="[PT Q1 1].[Not Insured Flag].[All]" dimensionUniqueName="[PT Q1 1]" displayFolder="" count="0" memberValueDatatype="20" unbalanced="0"/>
    <cacheHierarchy uniqueName="[PT Q1 1].[Medicaid Flag]" caption="Medicaid Flag" attribute="1" defaultMemberUniqueName="[PT Q1 1].[Medicaid Flag].[All]" allUniqueName="[PT Q1 1].[Medicaid Flag].[All]" dimensionUniqueName="[PT Q1 1]" displayFolder="" count="0" memberValueDatatype="20" unbalanced="0"/>
    <cacheHierarchy uniqueName="[PT Q1 1].[Medicaid,Medicare Flag]" caption="Medicaid,Medicare Flag" attribute="1" defaultMemberUniqueName="[PT Q1 1].[Medicaid,Medicare Flag].[All]" allUniqueName="[PT Q1 1].[Medicaid,Medicare Flag].[All]" dimensionUniqueName="[PT Q1 1]" displayFolder="" count="0" memberValueDatatype="20" unbalanced="0"/>
    <cacheHierarchy uniqueName="[PT Q1 1].[Medicaid,Medicare,Private/Commercial Flag]" caption="Medicaid,Medicare,Private/Commercial Flag" attribute="1" defaultMemberUniqueName="[PT Q1 1].[Medicaid,Medicare,Private/Commercial Flag].[All]" allUniqueName="[PT Q1 1].[Medicaid,Medicare,Private/Commercial Flag].[All]" dimensionUniqueName="[PT Q1 1]" displayFolder="" count="0" memberValueDatatype="20" unbalanced="0"/>
    <cacheHierarchy uniqueName="[PT Q1 1].[Medicaid,Private/Commercial Flag]" caption="Medicaid,Private/Commercial Flag" attribute="1" defaultMemberUniqueName="[PT Q1 1].[Medicaid,Private/Commercial Flag].[All]" allUniqueName="[PT Q1 1].[Medicaid,Private/Commercial Flag].[All]" dimensionUniqueName="[PT Q1 1]" displayFolder="" count="0" memberValueDatatype="20" unbalanced="0"/>
    <cacheHierarchy uniqueName="[PT Q1 1].[Medicare Flag]" caption="Medicare Flag" attribute="1" defaultMemberUniqueName="[PT Q1 1].[Medicare Flag].[All]" allUniqueName="[PT Q1 1].[Medicare Flag].[All]" dimensionUniqueName="[PT Q1 1]" displayFolder="" count="0" memberValueDatatype="20" unbalanced="0"/>
    <cacheHierarchy uniqueName="[PT Q1 1].[Medicare,No Insurance Flag]" caption="Medicare,No Insurance Flag" attribute="1" defaultMemberUniqueName="[PT Q1 1].[Medicare,No Insurance Flag].[All]" allUniqueName="[PT Q1 1].[Medicare,No Insurance Flag].[All]" dimensionUniqueName="[PT Q1 1]" displayFolder="" count="0" memberValueDatatype="20" unbalanced="0"/>
    <cacheHierarchy uniqueName="[PT Q1 1].[Medicare,Private/Commercial Flag]" caption="Medicare,Private/Commercial Flag" attribute="1" defaultMemberUniqueName="[PT Q1 1].[Medicare,Private/Commercial Flag].[All]" allUniqueName="[PT Q1 1].[Medicare,Private/Commercial Flag].[All]" dimensionUniqueName="[PT Q1 1]" displayFolder="" count="0" memberValueDatatype="20" unbalanced="0"/>
    <cacheHierarchy uniqueName="[PT Q1 1].[No Insurance Flag]" caption="No Insurance Flag" attribute="1" defaultMemberUniqueName="[PT Q1 1].[No Insurance Flag].[All]" allUniqueName="[PT Q1 1].[No Insurance Flag].[All]" dimensionUniqueName="[PT Q1 1]" displayFolder="" count="0" memberValueDatatype="20" unbalanced="0"/>
    <cacheHierarchy uniqueName="[PT Q1 1].[Private/Commercial Flag]" caption="Private/Commercial Flag" attribute="1" defaultMemberUniqueName="[PT Q1 1].[Private/Commercial Flag].[All]" allUniqueName="[PT Q1 1].[Private/Commercial Flag].[All]" dimensionUniqueName="[PT Q1 1]" displayFolder="" count="0" memberValueDatatype="20" unbalanced="0"/>
    <cacheHierarchy uniqueName="[PT Q1 1].[Reliable Internet Flag]" caption="Reliable Internet Flag" attribute="1" defaultMemberUniqueName="[PT Q1 1].[Reliable Internet Flag].[All]" allUniqueName="[PT Q1 1].[Reliable Internet Flag].[All]" dimensionUniqueName="[PT Q1 1]" displayFolder="" count="0" memberValueDatatype="2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OTHER]" caption="OTHER" attribute="1" defaultMemberUniqueName="[PT Q2].[OTHER].[All]" allUniqueName="[PT Q2].[OTHER].[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5"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What type of insurance do you have?]" caption="What type of insurance do you have?" attribute="1" defaultMemberUniqueName="[PT Q2].[What type of insurance do you have?].[All]" allUniqueName="[PT Q2].[What type of insurance do you have?].[All]" dimensionUniqueName="[PT Q2]" displayFolder="" count="0" memberValueDatatype="130" unbalanced="0"/>
    <cacheHierarchy uniqueName="[PT Q2].[Do you have access to reliable internet in your home?]" caption="Do you have access to reliable internet in your home?" attribute="1" defaultMemberUniqueName="[PT Q2].[Do you have access to reliable internet in your home?].[All]" allUniqueName="[PT Q2].[Do you have access to reliable internet in your hom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immigration status)]" caption="Fear (e.g. not ready to face/discuss health problem; immigration status)" attribute="1" defaultMemberUniqueName="[PT Q3].[Fear (e.g. not ready to face/discuss health problem; immigration status)].[All]" allUniqueName="[PT Q3].[Fear (e.g. not ready to face/discuss health problem; immigration status)].[All]" dimensionUniqueName="[PT Q3]" displayFolder="" count="0" memberValueDatatype="130" unbalanced="0"/>
    <cacheHierarchy uniqueName="[PT Q3].[OTHER]" caption="OTHER" attribute="1" defaultMemberUniqueName="[PT Q3].[OTHER].[All]" allUniqueName="[PT Q3].[OTHER].[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immigration status)14]" caption="Fear (e.g. not ready to face/discuss health problem;immigration status)14" attribute="1" defaultMemberUniqueName="[PT Q3].[Fear (e.g. not ready to face/discuss health problem;immigration status)14].[All]" allUniqueName="[PT Q3].[Fear (e.g. not ready to face/discuss health problem;immigration status)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What type of insurance do you have?]" caption="What type of insurance do you have?" attribute="1" defaultMemberUniqueName="[PT Q3].[What type of insurance do you have?].[All]" allUniqueName="[PT Q3].[What type of insurance do you have?].[All]" dimensionUniqueName="[PT Q3]" displayFolder="" count="0" memberValueDatatype="130" unbalanced="0"/>
    <cacheHierarchy uniqueName="[PT Q3].[Do you have access to reliable internet in your home?]" caption="Do you have access to reliable internet in your home?" attribute="1" defaultMemberUniqueName="[PT Q3].[Do you have access to reliable internet in your home?].[All]" allUniqueName="[PT Q3].[Do you have access to reliable internet in your hom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OTHER]" caption="OTHER" attribute="1" defaultMemberUniqueName="[PT Q4].[OTHER].[All]" allUniqueName="[PT Q4].[OTHER].[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What type of insurance do you have?]" caption="What type of insurance do you have?" attribute="1" defaultMemberUniqueName="[PT Q4].[What type of insurance do you have?].[All]" allUniqueName="[PT Q4].[What type of insurance do you have?].[All]" dimensionUniqueName="[PT Q4]" displayFolder="" count="0" memberValueDatatype="130" unbalanced="0"/>
    <cacheHierarchy uniqueName="[PT Q4].[Do you have access to reliable internet in your home?]" caption="Do you have access to reliable internet in your home?" attribute="1" defaultMemberUniqueName="[PT Q4].[Do you have access to reliable internet in your home?].[All]" allUniqueName="[PT Q4].[Do you have access to reliable internet in your hom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OTHER]" caption="OTHER" attribute="1" defaultMemberUniqueName="[PT Q5].[OTHER].[All]" allUniqueName="[PT Q5].[OTHER].[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2"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2"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2"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2"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2"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2"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2"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2" memberValueDatatype="130" unbalanced="0"/>
    <cacheHierarchy uniqueName="[PT Q5].[What type of insurance do you have?]" caption="What type of insurance do you have?" attribute="1" defaultMemberUniqueName="[PT Q5].[What type of insurance do you have?].[All]" allUniqueName="[PT Q5].[What type of insurance do you have?].[All]" dimensionUniqueName="[PT Q5]" displayFolder="" count="0" memberValueDatatype="130" unbalanced="0"/>
    <cacheHierarchy uniqueName="[PT Q5].[Do you have access to reliable internet in your home?]" caption="Do you have access to reliable internet in your home?" attribute="1" defaultMemberUniqueName="[PT Q5].[Do you have access to reliable internet in your home?].[All]" allUniqueName="[PT Q5].[Do you have access to reliable internet in your hom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What type of insurance do you have?]" caption="What type of insurance do you have?" attribute="1" defaultMemberUniqueName="[PT Q6].[What type of insurance do you have?].[All]" allUniqueName="[PT Q6].[What type of insurance do you have?].[All]" dimensionUniqueName="[PT Q6]" displayFolder="" count="0" memberValueDatatype="130" unbalanced="0"/>
    <cacheHierarchy uniqueName="[PT Q6].[Do you have access to reliable internet in your home?]" caption="Do you have access to reliable internet in your home?" attribute="1" defaultMemberUniqueName="[PT Q6].[Do you have access to reliable internet in your home?].[All]" allUniqueName="[PT Q6].[Do you have access to reliable internet in your hom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198"/>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198"/>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216"/>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217"/>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222"/>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207"/>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209"/>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224"/>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226"/>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227"/>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218"/>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220"/>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225"/>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228"/>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219"/>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221"/>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223"/>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24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248"/>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26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26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269"/>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26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26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27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26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27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26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292"/>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292"/>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309"/>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312"/>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315"/>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318"/>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310"/>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313"/>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316"/>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319"/>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320"/>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311"/>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314"/>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317"/>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340"/>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340"/>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363"/>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366"/>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369"/>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372"/>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378"/>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380"/>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364"/>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367"/>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370"/>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373"/>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376"/>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379"/>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365"/>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368"/>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371"/>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374"/>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377"/>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401"/>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404"/>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407"/>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410"/>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412"/>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402"/>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405"/>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408"/>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411"/>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413"/>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403"/>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406"/>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409"/>
        </ext>
      </extLst>
    </cacheHierarchy>
    <cacheHierarchy uniqueName="[Measures].[Sum of Fear (eg not ready to facediscuss health problemimmigration status)14]" caption="Sum of Fear (eg not ready to facediscuss health problemimmigration status)14" measure="1" displayFolder="" measureGroup="PT Q3" count="0">
      <extLst>
        <ext xmlns:x15="http://schemas.microsoft.com/office/spreadsheetml/2010/11/main" uri="{B97F6D7D-B522-45F9-BDA1-12C45D357490}">
          <x15:cacheHierarchy aggregatedColumn="272"/>
        </ext>
      </extLst>
    </cacheHierarchy>
    <cacheHierarchy uniqueName="[Measures].[Sum of RespondentID 7]" caption="Sum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Women’s health  wellness10 3]" caption="Sum of Women’s health  wellness10 3" measure="1" displayFolder="" measureGroup="PT Q1 1" count="0">
      <extLst>
        <ext xmlns:x15="http://schemas.microsoft.com/office/spreadsheetml/2010/11/main" uri="{B97F6D7D-B522-45F9-BDA1-12C45D357490}">
          <x15:cacheHierarchy aggregatedColumn="121"/>
        </ext>
      </extLst>
    </cacheHierarchy>
    <cacheHierarchy uniqueName="[Measures].[Count of RespondentID 7]" caption="Count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Asthmalung disease3 3]" caption="Sum of Asthmalung disease3 3" measure="1" displayFolder="" measureGroup="PT Q1 1" count="0">
      <extLst>
        <ext xmlns:x15="http://schemas.microsoft.com/office/spreadsheetml/2010/11/main" uri="{B97F6D7D-B522-45F9-BDA1-12C45D357490}">
          <x15:cacheHierarchy aggregatedColumn="114"/>
        </ext>
      </extLst>
    </cacheHierarchy>
    <cacheHierarchy uniqueName="[Measures].[Sum of Cancer4 3]" caption="Sum of Cancer4 3" measure="1" displayFolder="" measureGroup="PT Q1 1" count="0">
      <extLst>
        <ext xmlns:x15="http://schemas.microsoft.com/office/spreadsheetml/2010/11/main" uri="{B97F6D7D-B522-45F9-BDA1-12C45D357490}">
          <x15:cacheHierarchy aggregatedColumn="115"/>
        </ext>
      </extLst>
    </cacheHierarchy>
    <cacheHierarchy uniqueName="[Measures].[Sum of Heart disease  stroke5 3]" caption="Sum of Heart disease  stroke5 3" measure="1" displayFolder="" measureGroup="PT Q1 1" count="0">
      <extLst>
        <ext xmlns:x15="http://schemas.microsoft.com/office/spreadsheetml/2010/11/main" uri="{B97F6D7D-B522-45F9-BDA1-12C45D357490}">
          <x15:cacheHierarchy aggregatedColumn="116"/>
        </ext>
      </extLst>
    </cacheHierarchy>
    <cacheHierarchy uniqueName="[Measures].[Sum of Safety6 3]" caption="Sum of Safety6 3" measure="1" displayFolder="" measureGroup="PT Q1 1" count="0">
      <extLst>
        <ext xmlns:x15="http://schemas.microsoft.com/office/spreadsheetml/2010/11/main" uri="{B97F6D7D-B522-45F9-BDA1-12C45D357490}">
          <x15:cacheHierarchy aggregatedColumn="117"/>
        </ext>
      </extLst>
    </cacheHierarchy>
    <cacheHierarchy uniqueName="[Measures].[Sum of HIVAIDS  Sexually Transmitted Diseases (STDs)7 3]" caption="Sum of HIVAIDS  Sexually Transmitted Diseases (STDs)7 3" measure="1" displayFolder="" measureGroup="PT Q1 1" count="0">
      <extLst>
        <ext xmlns:x15="http://schemas.microsoft.com/office/spreadsheetml/2010/11/main" uri="{B97F6D7D-B522-45F9-BDA1-12C45D357490}">
          <x15:cacheHierarchy aggregatedColumn="118"/>
        </ext>
      </extLst>
    </cacheHierarchy>
    <cacheHierarchy uniqueName="[Measures].[Sum of Vaccine preventable diseases8 3]" caption="Sum of Vaccine preventable diseases8 3" measure="1" displayFolder="" measureGroup="PT Q1 1" count="0">
      <extLst>
        <ext xmlns:x15="http://schemas.microsoft.com/office/spreadsheetml/2010/11/main" uri="{B97F6D7D-B522-45F9-BDA1-12C45D357490}">
          <x15:cacheHierarchy aggregatedColumn="119"/>
        </ext>
      </extLst>
    </cacheHierarchy>
    <cacheHierarchy uniqueName="[Measures].[Sum of Child health  wellness9 3]" caption="Sum of Child health  wellness9 3" measure="1" displayFolder="" measureGroup="PT Q1 1" count="0">
      <extLst>
        <ext xmlns:x15="http://schemas.microsoft.com/office/spreadsheetml/2010/11/main" uri="{B97F6D7D-B522-45F9-BDA1-12C45D357490}">
          <x15:cacheHierarchy aggregatedColumn="120"/>
        </ext>
      </extLst>
    </cacheHierarchy>
    <cacheHierarchy uniqueName="[Measures].[Sum of Diabetes11 3]" caption="Sum of Diabetes11 3" measure="1" displayFolder="" measureGroup="PT Q1 1" count="0">
      <extLst>
        <ext xmlns:x15="http://schemas.microsoft.com/office/spreadsheetml/2010/11/main" uri="{B97F6D7D-B522-45F9-BDA1-12C45D357490}">
          <x15:cacheHierarchy aggregatedColumn="122"/>
        </ext>
      </extLst>
    </cacheHierarchy>
    <cacheHierarchy uniqueName="[Measures].[Sum of Mental health depressionsuicide12 3]" caption="Sum of Mental health depressionsuicide12 3" measure="1" displayFolder="" measureGroup="PT Q1 1" count="0">
      <extLst>
        <ext xmlns:x15="http://schemas.microsoft.com/office/spreadsheetml/2010/11/main" uri="{B97F6D7D-B522-45F9-BDA1-12C45D357490}">
          <x15:cacheHierarchy aggregatedColumn="123"/>
        </ext>
      </extLst>
    </cacheHierarchy>
    <cacheHierarchy uniqueName="[Measures].[Sum of Drugs  alcohol abuse13 3]" caption="Sum of Drugs  alcohol abuse13 3" measure="1" displayFolder="" measureGroup="PT Q1 1" count="0">
      <extLst>
        <ext xmlns:x15="http://schemas.microsoft.com/office/spreadsheetml/2010/11/main" uri="{B97F6D7D-B522-45F9-BDA1-12C45D357490}">
          <x15:cacheHierarchy aggregatedColumn="124"/>
        </ext>
      </extLst>
    </cacheHierarchy>
    <cacheHierarchy uniqueName="[Measures].[Sum of Environmental hazards14 3]" caption="Sum of Environmental hazards14 3" measure="1" displayFolder="" measureGroup="PT Q1 1" count="0">
      <extLst>
        <ext xmlns:x15="http://schemas.microsoft.com/office/spreadsheetml/2010/11/main" uri="{B97F6D7D-B522-45F9-BDA1-12C45D357490}">
          <x15:cacheHierarchy aggregatedColumn="125"/>
        </ext>
      </extLst>
    </cacheHierarchy>
    <cacheHierarchy uniqueName="[Measures].[Sum of Obesityweight loss issues15 3]" caption="Sum of Obesityweight loss issues15 3" measure="1" displayFolder="" measureGroup="PT Q1 1" count="0">
      <extLst>
        <ext xmlns:x15="http://schemas.microsoft.com/office/spreadsheetml/2010/11/main" uri="{B97F6D7D-B522-45F9-BDA1-12C45D357490}">
          <x15:cacheHierarchy aggregatedColumn="126"/>
        </ext>
      </extLst>
    </cacheHierarchy>
    <cacheHierarchy uniqueName="[Measures].[Sum of What is your age]" caption="Sum of What is your age" measure="1" displayFolder="" measureGroup="PT Q1 1" count="0">
      <extLst>
        <ext xmlns:x15="http://schemas.microsoft.com/office/spreadsheetml/2010/11/main" uri="{B97F6D7D-B522-45F9-BDA1-12C45D357490}">
          <x15:cacheHierarchy aggregatedColumn="134"/>
        </ext>
      </extLst>
    </cacheHierarchy>
    <cacheHierarchy uniqueName="[Measures].[Average of What is your age]" caption="Average of What is your age" measure="1" displayFolder="" measureGroup="PT Q1 1" count="0">
      <extLst>
        <ext xmlns:x15="http://schemas.microsoft.com/office/spreadsheetml/2010/11/main" uri="{B97F6D7D-B522-45F9-BDA1-12C45D357490}">
          <x15:cacheHierarchy aggregatedColumn="134"/>
        </ext>
      </extLst>
    </cacheHierarchy>
    <cacheHierarchy uniqueName="[Measures].[Count of What race do you consider yourself]" caption="Count of What race do you consider yourself" measure="1" displayFolder="" measureGroup="PT Q1 1" count="0">
      <extLst>
        <ext xmlns:x15="http://schemas.microsoft.com/office/spreadsheetml/2010/11/main" uri="{B97F6D7D-B522-45F9-BDA1-12C45D357490}">
          <x15:cacheHierarchy aggregatedColumn="137"/>
        </ext>
      </extLst>
    </cacheHierarchy>
    <cacheHierarchy uniqueName="[Measures].[Count of Do you currently have health insurance]" caption="Count of Do you currently have health insurance" measure="1" displayFolder="" measureGroup="PT Q1 1" count="0">
      <extLst>
        <ext xmlns:x15="http://schemas.microsoft.com/office/spreadsheetml/2010/11/main" uri="{B97F6D7D-B522-45F9-BDA1-12C45D357490}">
          <x15:cacheHierarchy aggregatedColumn="143"/>
        </ext>
      </extLst>
    </cacheHierarchy>
    <cacheHierarchy uniqueName="[Measures].[Count of What type of insurance do you have]" caption="Count of What type of insurance do you have" measure="1" displayFolder="" measureGroup="PT Q1 1" count="0">
      <extLst>
        <ext xmlns:x15="http://schemas.microsoft.com/office/spreadsheetml/2010/11/main" uri="{B97F6D7D-B522-45F9-BDA1-12C45D357490}">
          <x15:cacheHierarchy aggregatedColumn="144"/>
        </ext>
      </extLst>
    </cacheHierarchy>
    <cacheHierarchy uniqueName="[Measures].[Count of Do you have access to reliable internet in your home]" caption="Count of Do you have access to reliable internet in your home" measure="1" displayFolder="" measureGroup="PT Q1 1" count="0">
      <extLst>
        <ext xmlns:x15="http://schemas.microsoft.com/office/spreadsheetml/2010/11/main" uri="{B97F6D7D-B522-45F9-BDA1-12C45D357490}">
          <x15:cacheHierarchy aggregatedColumn="145"/>
        </ext>
      </extLst>
    </cacheHierarchy>
    <cacheHierarchy uniqueName="[Measures].[Sum of Female Flag]" caption="Sum of Female Flag" measure="1" displayFolder="" measureGroup="PT Q1 1" count="0">
      <extLst>
        <ext xmlns:x15="http://schemas.microsoft.com/office/spreadsheetml/2010/11/main" uri="{B97F6D7D-B522-45F9-BDA1-12C45D357490}">
          <x15:cacheHierarchy aggregatedColumn="146"/>
        </ext>
      </extLst>
    </cacheHierarchy>
    <cacheHierarchy uniqueName="[Measures].[Sum of Male Flag]" caption="Sum of Male Flag" measure="1" displayFolder="" measureGroup="PT Q1 1" count="0">
      <extLst>
        <ext xmlns:x15="http://schemas.microsoft.com/office/spreadsheetml/2010/11/main" uri="{B97F6D7D-B522-45F9-BDA1-12C45D357490}">
          <x15:cacheHierarchy aggregatedColumn="147"/>
        </ext>
      </extLst>
    </cacheHierarchy>
    <cacheHierarchy uniqueName="[Measures].[Sum of WhiteCaucasian Flag]" caption="Sum of WhiteCaucasian Flag" measure="1" displayFolder="" measureGroup="PT Q1 1" count="0">
      <extLst>
        <ext xmlns:x15="http://schemas.microsoft.com/office/spreadsheetml/2010/11/main" uri="{B97F6D7D-B522-45F9-BDA1-12C45D357490}">
          <x15:cacheHierarchy aggregatedColumn="150"/>
        </ext>
      </extLst>
    </cacheHierarchy>
    <cacheHierarchy uniqueName="[Measures].[Sum of BlackAfrican American Flag]" caption="Sum of BlackAfrican American Flag" measure="1" displayFolder="" measureGroup="PT Q1 1" count="0">
      <extLst>
        <ext xmlns:x15="http://schemas.microsoft.com/office/spreadsheetml/2010/11/main" uri="{B97F6D7D-B522-45F9-BDA1-12C45D357490}">
          <x15:cacheHierarchy aggregatedColumn="151"/>
        </ext>
      </extLst>
    </cacheHierarchy>
    <cacheHierarchy uniqueName="[Measures].[Total Respondents]" caption="Total Respondents" measure="1" displayFolder="" measureGroup="PT Q1" count="0"/>
    <cacheHierarchy uniqueName="[Measures].[Woman]" caption="Woman" measure="1" displayFolder="" measureGroup="PT Q1" count="0"/>
    <cacheHierarchy uniqueName="[Measures].[Man]" caption="Man" measure="1" displayFolder="" measureGroup="PT Q1" count="0"/>
    <cacheHierarchy uniqueName="[Measures].[Transgender]" caption="Transgender" measure="1" displayFolder="" measureGroup="PT Q1" count="0"/>
    <cacheHierarchy uniqueName="[Measures].[Other Gender]" caption="Other Gender" measure="1" displayFolder="" measureGroup="PT Q1" count="0"/>
    <cacheHierarchy uniqueName="[Measures].[Ethnicity]" caption="Ethnicity" measure="1" displayFolder="" measureGroup="PT Q1" count="0"/>
    <cacheHierarchy uniqueName="[Measures].[White]" caption="White" measure="1" displayFolder="" measureGroup="PT Q1" count="0"/>
    <cacheHierarchy uniqueName="[Measures].[Black/African American]" caption="Black/African American" measure="1" displayFolder="" measureGroup="PT Q1" count="0"/>
    <cacheHierarchy uniqueName="[Measures].[Native Hawaiian/Pacific Islander]" caption="Native Hawaiian/Pacific Islander" measure="1" displayFolder="" measureGroup="PT Q1" count="0"/>
    <cacheHierarchy uniqueName="[Measures].[American Indian/Alaska Native]" caption="American Indian/Alaska Native" measure="1" displayFolder="" measureGroup="PT Q1" count="0"/>
    <cacheHierarchy uniqueName="[Measures].[Multi-racial]" caption="Multi-racial" measure="1" displayFolder="" measureGroup="PT Q1" count="0"/>
    <cacheHierarchy uniqueName="[Measures].[Other Race]" caption="Other Race" measure="1" displayFolder="" measureGroup="PT Q1" count="0"/>
    <cacheHierarchy uniqueName="[Measures].[Income $0-$19,999]" caption="Income $0-$19,999" measure="1" displayFolder="" measureGroup="PT Q1" count="0"/>
    <cacheHierarchy uniqueName="[Measures].[Income $20,000 to $34,999]" caption="Income $20,000 to $34,999" measure="1" displayFolder="" measureGroup="PT Q1" count="0"/>
    <cacheHierarchy uniqueName="[Measures].[Income $35,000 to $49,999]" caption="Income $35,000 to $49,999" measure="1" displayFolder="" measureGroup="PT Q1" count="0"/>
    <cacheHierarchy uniqueName="[Measures].[income $50,000 to $74,999]" caption="income $50,000 to $74,999" measure="1" displayFolder="" measureGroup="PT Q1" count="0"/>
    <cacheHierarchy uniqueName="[Measures].[Income $75,000 to $125,000]" caption="Income $75,000 to $125,000" measure="1" displayFolder="" measureGroup="PT Q1" count="0"/>
    <cacheHierarchy uniqueName="[Measures].[Income Over $125,000]" caption="Income Over $125,000" measure="1" displayFolder="" measureGroup="PT Q1" count="0"/>
    <cacheHierarchy uniqueName="[Measures].[Age 18-24]" caption="Age 18-24" measure="1" displayFolder="" measureGroup="PT Q1" count="0"/>
    <cacheHierarchy uniqueName="[Measures].[Age 25 to 34]" caption="Age 25 to 34" measure="1" displayFolder="" measureGroup="PT Q1" count="0"/>
    <cacheHierarchy uniqueName="[Measures].[Age 35 to 44]" caption="Age 35 to 44" measure="1" displayFolder="" measureGroup="PT Q1" count="0"/>
    <cacheHierarchy uniqueName="[Measures].[Age 45 to 54]" caption="Age 45 to 54" measure="1" displayFolder="" measureGroup="PT Q1" count="0"/>
    <cacheHierarchy uniqueName="[Measures].[Age 55 to 64]" caption="Age 55 to 64" measure="1" displayFolder="" measureGroup="PT Q1" count="0"/>
    <cacheHierarchy uniqueName="[Measures].[Age 65+]" caption="Age 65+" measure="1" displayFolder="" measureGroup="PT Q1" count="0"/>
    <cacheHierarchy uniqueName="[Measures].[K-8 Grade]" caption="K-8 Grade" measure="1" displayFolder="" measureGroup="PT Q1" count="0"/>
    <cacheHierarchy uniqueName="[Measures].[High School]" caption="High School" measure="1" displayFolder="" measureGroup="PT Q1" count="0"/>
    <cacheHierarchy uniqueName="[Measures].[Some High School]" caption="Some High School" measure="1" displayFolder="" measureGroup="PT Q1" count="0"/>
    <cacheHierarchy uniqueName="[Measures].[College]" caption="College" measure="1" displayFolder="" measureGroup="PT Q1" count="0"/>
    <cacheHierarchy uniqueName="[Measures].[Some College]" caption="Some College" measure="1" displayFolder="" measureGroup="PT Q1" count="0"/>
    <cacheHierarchy uniqueName="[Measures].[Technical School]" caption="Technical School" measure="1" displayFolder="" measureGroup="PT Q1" count="0"/>
    <cacheHierarchy uniqueName="[Measures].[Graduate School]" caption="Graduate School" measure="1" displayFolder="" measureGroup="PT Q1" count="0"/>
    <cacheHierarchy uniqueName="[Measures].[Doctorate]" caption="Doctorate" measure="1" displayFolder="" measureGroup="PT Q1" count="0"/>
    <cacheHierarchy uniqueName="[Measures].[GED]" caption="GED" measure="1" displayFolder="" measureGroup="PT Q1" count="0"/>
    <cacheHierarchy uniqueName="[Measures].[Employed for Wages]" caption="Employed for Wages" measure="1" displayFolder="" measureGroup="PT Q1" count="0"/>
    <cacheHierarchy uniqueName="[Measures].[Self-employed]" caption="Self-employed" measure="1" displayFolder="" measureGroup="PT Q1" count="0"/>
    <cacheHierarchy uniqueName="[Measures].[Student]" caption="Student" measure="1" displayFolder="" measureGroup="PT Q1" count="0"/>
    <cacheHierarchy uniqueName="[Measures].[Retired]" caption="Retired" measure="1" displayFolder="" measureGroup="PT Q1" count="0"/>
    <cacheHierarchy uniqueName="[Measures].[Military]" caption="Military" measure="1" displayFolder="" measureGroup="PT Q1" count="0"/>
    <cacheHierarchy uniqueName="[Measures].[Out of Work and Looking]" caption="Out of Work and Looking" measure="1" displayFolder="" measureGroup="PT Q1" count="0"/>
    <cacheHierarchy uniqueName="[Measures].[Out of Work Not Looking]" caption="Out of Work Not Looking" measure="1" displayFolder="" measureGroup="PT Q1" count="0"/>
    <cacheHierarchy uniqueName="[Measures].[Health Insurance Yes]" caption="Health Insurance Yes" measure="1" displayFolder="" measureGroup="PT Q1" count="0"/>
    <cacheHierarchy uniqueName="[Measures].[Health Insurance No]" caption="Health Insurance No" measure="1" displayFolder="" measureGroup="PT Q1" count="0"/>
    <cacheHierarchy uniqueName="[Measures].[Health Insurance In the Past]" caption="Health Insurance In the Past" measure="1" displayFolder="" measureGroup="PT Q1" count="0"/>
    <cacheHierarchy uniqueName="[Measures].[Medicare]" caption="Medicare" measure="1" displayFolder="" measureGroup="PT Q1" count="0"/>
    <cacheHierarchy uniqueName="[Measures].[Medicaid]" caption="Medicaid" measure="1" displayFolder="" measureGroup="PT Q1" count="0"/>
    <cacheHierarchy uniqueName="[Measures].[Private/Commerical]" caption="Private/Commerical" measure="1" displayFolder="" measureGroup="PT Q1" count="0"/>
    <cacheHierarchy uniqueName="[Measures].[Not Insured]" caption="Not Insured" measure="1" displayFolder="" measureGroup="PT Q1" count="0"/>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PT Q1 1]" caption="__XL_Count PT Q1 1" measure="1" displayFolder="" measureGroup="PT Q1 1"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1155"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saveData="0" refreshedBy="Melissa Bauer" refreshedDate="44946.53299039352" createdVersion="3" refreshedVersion="5" minRefreshableVersion="3" recordCount="0" supportSubquery="1" supportAdvancedDrill="1">
  <cacheSource type="external" connectionId="8">
    <extLst>
      <ext xmlns:x14="http://schemas.microsoft.com/office/spreadsheetml/2009/9/main" uri="{F057638F-6D5F-4e77-A914-E7F072B9BCA8}">
        <x14:sourceConnection name="ThisWorkbookDataModel"/>
      </ext>
    </extLst>
  </cacheSource>
  <cacheFields count="0"/>
  <cacheHierarchies count="600">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What type of insurance do you have?]" caption="What type of insurance do you have?" attribute="1" defaultMemberUniqueName="[PT Q1].[What type of insurance do you have?].[All]" allUniqueName="[PT Q1].[What type of insurance do you have?].[All]" dimensionUniqueName="[PT Q1]" displayFolder="" count="0" memberValueDatatype="130" unbalanced="0"/>
    <cacheHierarchy uniqueName="[PT Q1].[Do you have a smartphone]" caption="Do you have a smartphone" attribute="1" defaultMemberUniqueName="[PT Q1].[Do you have a smartphone].[All]" allUniqueName="[PT Q1].[Do you have a smartphone].[All]" dimensionUniqueName="[PT Q1]" displayFolder="" count="0" memberValueDatatype="130" unbalanced="0"/>
    <cacheHierarchy uniqueName="[PT Q1].[Woman Flag]" caption="Woman Flag" attribute="1" defaultMemberUniqueName="[PT Q1].[Woman Flag].[All]" allUniqueName="[PT Q1].[Woman Flag].[All]" dimensionUniqueName="[PT Q1]" displayFolder="" count="0" memberValueDatatype="20" unbalanced="0"/>
    <cacheHierarchy uniqueName="[PT Q1].[Man Flag]" caption="Man Flag" attribute="1" defaultMemberUniqueName="[PT Q1].[Man Flag].[All]" allUniqueName="[PT Q1].[Man Flag].[All]" dimensionUniqueName="[PT Q1]" displayFolder="" count="0" memberValueDatatype="20" unbalanced="0"/>
    <cacheHierarchy uniqueName="[PT Q1].[Transgender Flag]" caption="Transgender Flag" attribute="1" defaultMemberUniqueName="[PT Q1].[Transgender Flag].[All]" allUniqueName="[PT Q1].[Transgender Flag].[All]" dimensionUniqueName="[PT Q1]" displayFolder="" count="0" memberValueDatatype="20" unbalanced="0"/>
    <cacheHierarchy uniqueName="[PT Q1].[Other Gender Flag]" caption="Other Gender Flag" attribute="1" defaultMemberUniqueName="[PT Q1].[Other Gender Flag].[All]" allUniqueName="[PT Q1].[Other Gender Flag].[All]" dimensionUniqueName="[PT Q1]" displayFolder="" count="0" memberValueDatatype="20" unbalanced="0"/>
    <cacheHierarchy uniqueName="[PT Q1].[Hispanic Flag]" caption="Hispanic Flag" attribute="1" defaultMemberUniqueName="[PT Q1].[Hispanic Flag].[All]" allUniqueName="[PT Q1].[Hispanic Flag].[All]" dimensionUniqueName="[PT Q1]" displayFolder="" count="0" memberValueDatatype="20" unbalanced="0"/>
    <cacheHierarchy uniqueName="[PT Q1].[White Flag]" caption="White Flag" attribute="1" defaultMemberUniqueName="[PT Q1].[White Flag].[All]" allUniqueName="[PT Q1].[White Flag].[All]" dimensionUniqueName="[PT Q1]" displayFolder="" count="0" memberValueDatatype="20" unbalanced="0"/>
    <cacheHierarchy uniqueName="[PT Q1].[Black or African American Flag]" caption="Black or African American Flag" attribute="1" defaultMemberUniqueName="[PT Q1].[Black or African American Flag].[All]" allUniqueName="[PT Q1].[Black or African American Flag].[All]" dimensionUniqueName="[PT Q1]" displayFolder="" count="0" memberValueDatatype="20" unbalanced="0"/>
    <cacheHierarchy uniqueName="[PT Q1].[Native Hawaiian and Other Pacific Islander Flag]" caption="Native Hawaiian and Other Pacific Islander Flag" attribute="1" defaultMemberUniqueName="[PT Q1].[Native Hawaiian and Other Pacific Islander Flag].[All]" allUniqueName="[PT Q1].[Native Hawaiian and Other Pacific Islander Flag].[All]" dimensionUniqueName="[PT Q1]" displayFolder="" count="0" memberValueDatatype="20" unbalanced="0"/>
    <cacheHierarchy uniqueName="[PT Q1].[American Indian and Alaska Native Flag]" caption="American Indian and Alaska Native Flag" attribute="1" defaultMemberUniqueName="[PT Q1].[American Indian and Alaska Native Flag].[All]" allUniqueName="[PT Q1].[American Indian and Alaska Native Flag].[All]" dimensionUniqueName="[PT Q1]" displayFolder="" count="0" memberValueDatatype="20" unbalanced="0"/>
    <cacheHierarchy uniqueName="[PT Q1].[Two or more races Flag]" caption="Two or more races Flag" attribute="1" defaultMemberUniqueName="[PT Q1].[Two or more races Flag].[All]" allUniqueName="[PT Q1].[Two or more races Flag].[All]" dimensionUniqueName="[PT Q1]" displayFolder="" count="0" memberValueDatatype="20" unbalanced="0"/>
    <cacheHierarchy uniqueName="[PT Q1].[Other Race Flag]" caption="Other Race Flag" attribute="1" defaultMemberUniqueName="[PT Q1].[Other Race Flag].[All]" allUniqueName="[PT Q1].[Other Race Flag].[All]" dimensionUniqueName="[PT Q1]" displayFolder="" count="0" memberValueDatatype="20" unbalanced="0"/>
    <cacheHierarchy uniqueName="[PT Q1].[$0-$19,999 Flag]" caption="$0-$19,999 Flag" attribute="1" defaultMemberUniqueName="[PT Q1].[$0-$19,999 Flag].[All]" allUniqueName="[PT Q1].[$0-$19,999 Flag].[All]" dimensionUniqueName="[PT Q1]" displayFolder="" count="0" memberValueDatatype="20" unbalanced="0"/>
    <cacheHierarchy uniqueName="[PT Q1].[$20,000 to $34,999 Flag]" caption="$20,000 to $34,999 Flag" attribute="1" defaultMemberUniqueName="[PT Q1].[$20,000 to $34,999 Flag].[All]" allUniqueName="[PT Q1].[$20,000 to $34,999 Flag].[All]" dimensionUniqueName="[PT Q1]" displayFolder="" count="0" memberValueDatatype="20" unbalanced="0"/>
    <cacheHierarchy uniqueName="[PT Q1].[$35,000 to $49,999 Flag]" caption="$35,000 to $49,999 Flag" attribute="1" defaultMemberUniqueName="[PT Q1].[$35,000 to $49,999 Flag].[All]" allUniqueName="[PT Q1].[$35,000 to $49,999 Flag].[All]" dimensionUniqueName="[PT Q1]" displayFolder="" count="0" memberValueDatatype="20" unbalanced="0"/>
    <cacheHierarchy uniqueName="[PT Q1].[$50,000 to $74,999 Flag]" caption="$50,000 to $74,999 Flag" attribute="1" defaultMemberUniqueName="[PT Q1].[$50,000 to $74,999 Flag].[All]" allUniqueName="[PT Q1].[$50,000 to $74,999 Flag].[All]" dimensionUniqueName="[PT Q1]" displayFolder="" count="0" memberValueDatatype="20" unbalanced="0"/>
    <cacheHierarchy uniqueName="[PT Q1].[$75,000 to $125,000 Flag]" caption="$75,000 to $125,000 Flag" attribute="1" defaultMemberUniqueName="[PT Q1].[$75,000 to $125,000 Flag].[All]" allUniqueName="[PT Q1].[$75,000 to $125,000 Flag].[All]" dimensionUniqueName="[PT Q1]" displayFolder="" count="0" memberValueDatatype="20" unbalanced="0"/>
    <cacheHierarchy uniqueName="[PT Q1].[Over $125,000 Flag]" caption="Over $125,000 Flag" attribute="1" defaultMemberUniqueName="[PT Q1].[Over $125,000 Flag].[All]" allUniqueName="[PT Q1].[Over $125,000 Flag].[All]" dimensionUniqueName="[PT Q1]" displayFolder="" count="0" memberValueDatatype="20" unbalanced="0"/>
    <cacheHierarchy uniqueName="[PT Q1].[18 TO 24 Flag]" caption="18 TO 24 Flag" attribute="1" defaultMemberUniqueName="[PT Q1].[18 TO 24 Flag].[All]" allUniqueName="[PT Q1].[18 TO 24 Flag].[All]" dimensionUniqueName="[PT Q1]" displayFolder="" count="0" memberValueDatatype="20" unbalanced="0"/>
    <cacheHierarchy uniqueName="[PT Q1].[25 to 34 Flag]" caption="25 to 34 Flag" attribute="1" defaultMemberUniqueName="[PT Q1].[25 to 34 Flag].[All]" allUniqueName="[PT Q1].[25 to 34 Flag].[All]" dimensionUniqueName="[PT Q1]" displayFolder="" count="0" memberValueDatatype="20" unbalanced="0"/>
    <cacheHierarchy uniqueName="[PT Q1].[35 to 44 Flag]" caption="35 to 44 Flag" attribute="1" defaultMemberUniqueName="[PT Q1].[35 to 44 Flag].[All]" allUniqueName="[PT Q1].[35 to 44 Flag].[All]" dimensionUniqueName="[PT Q1]" displayFolder="" count="0" memberValueDatatype="20" unbalanced="0"/>
    <cacheHierarchy uniqueName="[PT Q1].[45 to 54 Flag]" caption="45 to 54 Flag" attribute="1" defaultMemberUniqueName="[PT Q1].[45 to 54 Flag].[All]" allUniqueName="[PT Q1].[45 to 54 Flag].[All]" dimensionUniqueName="[PT Q1]" displayFolder="" count="0" memberValueDatatype="20" unbalanced="0"/>
    <cacheHierarchy uniqueName="[PT Q1].[55 to 64 Flag]" caption="55 to 64 Flag" attribute="1" defaultMemberUniqueName="[PT Q1].[55 to 64 Flag].[All]" allUniqueName="[PT Q1].[55 to 64 Flag].[All]" dimensionUniqueName="[PT Q1]" displayFolder="" count="0" memberValueDatatype="20" unbalanced="0"/>
    <cacheHierarchy uniqueName="[PT Q1].[65 Plus Flag]" caption="65 Plus Flag" attribute="1" defaultMemberUniqueName="[PT Q1].[65 Plus Flag].[All]" allUniqueName="[PT Q1].[65 Plus Flag].[All]" dimensionUniqueName="[PT Q1]" displayFolder="" count="0" memberValueDatatype="20" unbalanced="0"/>
    <cacheHierarchy uniqueName="[PT Q1].[K-8 grade Flag]" caption="K-8 grade Flag" attribute="1" defaultMemberUniqueName="[PT Q1].[K-8 grade Flag].[All]" allUniqueName="[PT Q1].[K-8 grade Flag].[All]" dimensionUniqueName="[PT Q1]" displayFolder="" count="0" memberValueDatatype="20" unbalanced="0"/>
    <cacheHierarchy uniqueName="[PT Q1].[Some High School Flag]" caption="Some High School Flag" attribute="1" defaultMemberUniqueName="[PT Q1].[Some High School Flag].[All]" allUniqueName="[PT Q1].[Some High School Flag].[All]" dimensionUniqueName="[PT Q1]" displayFolder="" count="0" memberValueDatatype="20" unbalanced="0"/>
    <cacheHierarchy uniqueName="[PT Q1].[High School Graduate Flag]" caption="High School Graduate Flag" attribute="1" defaultMemberUniqueName="[PT Q1].[High School Graduate Flag].[All]" allUniqueName="[PT Q1].[High School Graduate Flag].[All]" dimensionUniqueName="[PT Q1]" displayFolder="" count="0" memberValueDatatype="20" unbalanced="0"/>
    <cacheHierarchy uniqueName="[PT Q1].[Technical School Flag]" caption="Technical School Flag" attribute="1" defaultMemberUniqueName="[PT Q1].[Technical School Flag].[All]" allUniqueName="[PT Q1].[Technical School Flag].[All]" dimensionUniqueName="[PT Q1]" displayFolder="" count="0" memberValueDatatype="20" unbalanced="0"/>
    <cacheHierarchy uniqueName="[PT Q1].[Some College Flag]" caption="Some College Flag" attribute="1" defaultMemberUniqueName="[PT Q1].[Some College Flag].[All]" allUniqueName="[PT Q1].[Some College Flag].[All]" dimensionUniqueName="[PT Q1]" displayFolder="" count="0" memberValueDatatype="20" unbalanced="0"/>
    <cacheHierarchy uniqueName="[PT Q1].[College Graduate Flag]" caption="College Graduate Flag" attribute="1" defaultMemberUniqueName="[PT Q1].[College Graduate Flag].[All]" allUniqueName="[PT Q1].[College Graduate Flag].[All]" dimensionUniqueName="[PT Q1]" displayFolder="" count="0" memberValueDatatype="20" unbalanced="0"/>
    <cacheHierarchy uniqueName="[PT Q1].[Graduate School Flag]" caption="Graduate School Flag" attribute="1" defaultMemberUniqueName="[PT Q1].[Graduate School Flag].[All]" allUniqueName="[PT Q1].[Graduate School Flag].[All]" dimensionUniqueName="[PT Q1]" displayFolder="" count="0" memberValueDatatype="20" unbalanced="0"/>
    <cacheHierarchy uniqueName="[PT Q1].[Doctorate Flag]" caption="Doctorate Flag" attribute="1" defaultMemberUniqueName="[PT Q1].[Doctorate Flag].[All]" allUniqueName="[PT Q1].[Doctorate Flag].[All]" dimensionUniqueName="[PT Q1]" displayFolder="" count="0" memberValueDatatype="20" unbalanced="0"/>
    <cacheHierarchy uniqueName="[PT Q1].[GED Flag]" caption="GED Flag" attribute="1" defaultMemberUniqueName="[PT Q1].[GED Flag].[All]" allUniqueName="[PT Q1].[GED Flag].[All]" dimensionUniqueName="[PT Q1]" displayFolder="" count="0" memberValueDatatype="20" unbalanced="0"/>
    <cacheHierarchy uniqueName="[PT Q1].[Employed for Wages Flag]" caption="Employed for Wages Flag" attribute="1" defaultMemberUniqueName="[PT Q1].[Employed for Wages Flag].[All]" allUniqueName="[PT Q1].[Employed for Wages Flag].[All]" dimensionUniqueName="[PT Q1]" displayFolder="" count="0" memberValueDatatype="20" unbalanced="0"/>
    <cacheHierarchy uniqueName="[PT Q1].[Self-employed Flag]" caption="Self-employed Flag" attribute="1" defaultMemberUniqueName="[PT Q1].[Self-employed Flag].[All]" allUniqueName="[PT Q1].[Self-employed Flag].[All]" dimensionUniqueName="[PT Q1]" displayFolder="" count="0" memberValueDatatype="20" unbalanced="0"/>
    <cacheHierarchy uniqueName="[PT Q1].[Student Flag]" caption="Student Flag" attribute="1" defaultMemberUniqueName="[PT Q1].[Student Flag].[All]" allUniqueName="[PT Q1].[Student Flag].[All]" dimensionUniqueName="[PT Q1]" displayFolder="" count="0" memberValueDatatype="20" unbalanced="0"/>
    <cacheHierarchy uniqueName="[PT Q1].[Retired Flag]" caption="Retired Flag" attribute="1" defaultMemberUniqueName="[PT Q1].[Retired Flag].[All]" allUniqueName="[PT Q1].[Retired Flag].[All]" dimensionUniqueName="[PT Q1]" displayFolder="" count="0" memberValueDatatype="20" unbalanced="0"/>
    <cacheHierarchy uniqueName="[PT Q1].[Military Flag]" caption="Military Flag" attribute="1" defaultMemberUniqueName="[PT Q1].[Military Flag].[All]" allUniqueName="[PT Q1].[Military Flag].[All]" dimensionUniqueName="[PT Q1]" displayFolder="" count="0" memberValueDatatype="20" unbalanced="0"/>
    <cacheHierarchy uniqueName="[PT Q1].[Out of Work and Looking Flag]" caption="Out of Work and Looking Flag" attribute="1" defaultMemberUniqueName="[PT Q1].[Out of Work and Looking Flag].[All]" allUniqueName="[PT Q1].[Out of Work and Looking Flag].[All]" dimensionUniqueName="[PT Q1]" displayFolder="" count="0" memberValueDatatype="20" unbalanced="0"/>
    <cacheHierarchy uniqueName="[PT Q1].[Out of Work Not Looking Flag]" caption="Out of Work Not Looking Flag" attribute="1" defaultMemberUniqueName="[PT Q1].[Out of Work Not Looking Flag].[All]" allUniqueName="[PT Q1].[Out of Work Not Looking Flag].[All]" dimensionUniqueName="[PT Q1]" displayFolder="" count="0" memberValueDatatype="20" unbalanced="0"/>
    <cacheHierarchy uniqueName="[PT Q1].[Health Insurance Yes Flag]" caption="Health Insurance Yes Flag" attribute="1" defaultMemberUniqueName="[PT Q1].[Health Insurance Yes Flag].[All]" allUniqueName="[PT Q1].[Health Insurance Yes Flag].[All]" dimensionUniqueName="[PT Q1]" displayFolder="" count="0" memberValueDatatype="20" unbalanced="0"/>
    <cacheHierarchy uniqueName="[PT Q1].[Health Insurance No Flag]" caption="Health Insurance No Flag" attribute="1" defaultMemberUniqueName="[PT Q1].[Health Insurance No Flag].[All]" allUniqueName="[PT Q1].[Health Insurance No Flag].[All]" dimensionUniqueName="[PT Q1]" displayFolder="" count="0" memberValueDatatype="20" unbalanced="0"/>
    <cacheHierarchy uniqueName="[PT Q1].[Health Insurance In the Past Flag]" caption="Health Insurance In the Past Flag" attribute="1" defaultMemberUniqueName="[PT Q1].[Health Insurance In the Past Flag].[All]" allUniqueName="[PT Q1].[Health Insurance In the Past Flag].[All]" dimensionUniqueName="[PT Q1]" displayFolder="" count="0" memberValueDatatype="20" unbalanced="0"/>
    <cacheHierarchy uniqueName="[PT Q1].[Medicare Flag]" caption="Medicare Flag" attribute="1" defaultMemberUniqueName="[PT Q1].[Medicare Flag].[All]" allUniqueName="[PT Q1].[Medicare Flag].[All]" dimensionUniqueName="[PT Q1]" displayFolder="" count="0" memberValueDatatype="20" unbalanced="0"/>
    <cacheHierarchy uniqueName="[PT Q1].[Medicaid Flag]" caption="Medicaid Flag" attribute="1" defaultMemberUniqueName="[PT Q1].[Medicaid Flag].[All]" allUniqueName="[PT Q1].[Medicaid Flag].[All]" dimensionUniqueName="[PT Q1]" displayFolder="" count="0" memberValueDatatype="20" unbalanced="0"/>
    <cacheHierarchy uniqueName="[PT Q1].[Private/Commercial Flag]" caption="Private/Commercial Flag" attribute="1" defaultMemberUniqueName="[PT Q1].[Private/Commercial Flag].[All]" allUniqueName="[PT Q1].[Private/Commercial Flag].[All]" dimensionUniqueName="[PT Q1]" displayFolder="" count="0" memberValueDatatype="20" unbalanced="0"/>
    <cacheHierarchy uniqueName="[PT Q1].[No Insurance Flag]" caption="No Insurance Flag" attribute="1" defaultMemberUniqueName="[PT Q1].[No Insurance Flag].[All]" allUniqueName="[PT Q1].[No Insurance Flag].[All]" dimensionUniqueName="[PT Q1]" displayFolder="" count="0" memberValueDatatype="20" unbalanced="0"/>
    <cacheHierarchy uniqueName="[PT Q1 1].[RespondentID]" caption="RespondentID" attribute="1" defaultMemberUniqueName="[PT Q1 1].[RespondentID].[All]" allUniqueName="[PT Q1 1].[RespondentID].[All]" dimensionUniqueName="[PT Q1 1]" displayFolder="" count="0" memberValueDatatype="5" unbalanced="0"/>
    <cacheHierarchy uniqueName="[PT Q1 1].[Asthma/lung disease]" caption="Asthma/lung disease" attribute="1" defaultMemberUniqueName="[PT Q1 1].[Asthma/lung disease].[All]" allUniqueName="[PT Q1 1].[Asthma/lung disease].[All]" dimensionUniqueName="[PT Q1 1]" displayFolder="" count="0" memberValueDatatype="130" unbalanced="0"/>
    <cacheHierarchy uniqueName="[PT Q1 1].[Cancer]" caption="Cancer" attribute="1" defaultMemberUniqueName="[PT Q1 1].[Cancer].[All]" allUniqueName="[PT Q1 1].[Cancer].[All]" dimensionUniqueName="[PT Q1 1]" displayFolder="" count="0" memberValueDatatype="130" unbalanced="0"/>
    <cacheHierarchy uniqueName="[PT Q1 1].[Heart disease &amp; stroke]" caption="Heart disease &amp; stroke" attribute="1" defaultMemberUniqueName="[PT Q1 1].[Heart disease &amp; stroke].[All]" allUniqueName="[PT Q1 1].[Heart disease &amp; stroke].[All]" dimensionUniqueName="[PT Q1 1]" displayFolder="" count="0" memberValueDatatype="130" unbalanced="0"/>
    <cacheHierarchy uniqueName="[PT Q1 1].[Safety]" caption="Safety" attribute="1" defaultMemberUniqueName="[PT Q1 1].[Safety].[All]" allUniqueName="[PT Q1 1].[Safety].[All]" dimensionUniqueName="[PT Q1 1]" displayFolder="" count="0" memberValueDatatype="130" unbalanced="0"/>
    <cacheHierarchy uniqueName="[PT Q1 1].[HIV/AIDS &amp; Sexually Transmitted Diseases (STDs)]" caption="HIV/AIDS &amp; Sexually Transmitted Diseases (STDs)" attribute="1" defaultMemberUniqueName="[PT Q1 1].[HIV/AIDS &amp; Sexually Transmitted Diseases (STDs)].[All]" allUniqueName="[PT Q1 1].[HIV/AIDS &amp; Sexually Transmitted Diseases (STDs)].[All]" dimensionUniqueName="[PT Q1 1]" displayFolder="" count="0" memberValueDatatype="130" unbalanced="0"/>
    <cacheHierarchy uniqueName="[PT Q1 1].[Vaccine preventable diseases]" caption="Vaccine preventable diseases" attribute="1" defaultMemberUniqueName="[PT Q1 1].[Vaccine preventable diseases].[All]" allUniqueName="[PT Q1 1].[Vaccine preventable diseases].[All]" dimensionUniqueName="[PT Q1 1]" displayFolder="" count="0" memberValueDatatype="130" unbalanced="0"/>
    <cacheHierarchy uniqueName="[PT Q1 1].[Child health &amp; wellness]" caption="Child health &amp; wellness" attribute="1" defaultMemberUniqueName="[PT Q1 1].[Child health &amp; wellness].[All]" allUniqueName="[PT Q1 1].[Child health &amp; wellness].[All]" dimensionUniqueName="[PT Q1 1]" displayFolder="" count="0" memberValueDatatype="130" unbalanced="0"/>
    <cacheHierarchy uniqueName="[PT Q1 1].[Women’s health &amp; wellness]" caption="Women’s health &amp; wellness" attribute="1" defaultMemberUniqueName="[PT Q1 1].[Women’s health &amp; wellness].[All]" allUniqueName="[PT Q1 1].[Women’s health &amp; wellness].[All]" dimensionUniqueName="[PT Q1 1]" displayFolder="" count="0" memberValueDatatype="130" unbalanced="0"/>
    <cacheHierarchy uniqueName="[PT Q1 1].[Diabetes]" caption="Diabetes" attribute="1" defaultMemberUniqueName="[PT Q1 1].[Diabetes].[All]" allUniqueName="[PT Q1 1].[Diabetes].[All]" dimensionUniqueName="[PT Q1 1]" displayFolder="" count="0" memberValueDatatype="130" unbalanced="0"/>
    <cacheHierarchy uniqueName="[PT Q1 1].[Mental health depression/suicide]" caption="Mental health depression/suicide" attribute="1" defaultMemberUniqueName="[PT Q1 1].[Mental health depression/suicide].[All]" allUniqueName="[PT Q1 1].[Mental health depression/suicide].[All]" dimensionUniqueName="[PT Q1 1]" displayFolder="" count="0" memberValueDatatype="130" unbalanced="0"/>
    <cacheHierarchy uniqueName="[PT Q1 1].[Drugs &amp; alcohol abuse]" caption="Drugs &amp; alcohol abuse" attribute="1" defaultMemberUniqueName="[PT Q1 1].[Drugs &amp; alcohol abuse].[All]" allUniqueName="[PT Q1 1].[Drugs &amp; alcohol abuse].[All]" dimensionUniqueName="[PT Q1 1]" displayFolder="" count="0" memberValueDatatype="130" unbalanced="0"/>
    <cacheHierarchy uniqueName="[PT Q1 1].[Environmental hazards]" caption="Environmental hazards" attribute="1" defaultMemberUniqueName="[PT Q1 1].[Environmental hazards].[All]" allUniqueName="[PT Q1 1].[Environmental hazards].[All]" dimensionUniqueName="[PT Q1 1]" displayFolder="" count="0" memberValueDatatype="130" unbalanced="0"/>
    <cacheHierarchy uniqueName="[PT Q1 1].[Obesity/weight loss issues]" caption="Obesity/weight loss issues" attribute="1" defaultMemberUniqueName="[PT Q1 1].[Obesity/weight loss issues].[All]" allUniqueName="[PT Q1 1].[Obesity/weight loss issues].[All]" dimensionUniqueName="[PT Q1 1]" displayFolder="" count="0" memberValueDatatype="130" unbalanced="0"/>
    <cacheHierarchy uniqueName="[PT Q1 1].[Column1]" caption="Column1" attribute="1" defaultMemberUniqueName="[PT Q1 1].[Column1].[All]" allUniqueName="[PT Q1 1].[Column1].[All]" dimensionUniqueName="[PT Q1 1]" displayFolder="" count="0" memberValueDatatype="130" unbalanced="0"/>
    <cacheHierarchy uniqueName="[PT Q1 1].[Count of Selection]" caption="Count of Selection" attribute="1" defaultMemberUniqueName="[PT Q1 1].[Count of Selection].[All]" allUniqueName="[PT Q1 1].[Count of Selection].[All]" dimensionUniqueName="[PT Q1 1]" displayFolder="" count="0" memberValueDatatype="20" unbalanced="0"/>
    <cacheHierarchy uniqueName="[PT Q1 1].[Weight]" caption="Weight" attribute="1" defaultMemberUniqueName="[PT Q1 1].[Weight].[All]" allUniqueName="[PT Q1 1].[Weight].[All]" dimensionUniqueName="[PT Q1 1]" displayFolder="" count="0" memberValueDatatype="130" unbalanced="0"/>
    <cacheHierarchy uniqueName="[PT Q1 1].[Column2]" caption="Column2" attribute="1" defaultMemberUniqueName="[PT Q1 1].[Column2].[All]" allUniqueName="[PT Q1 1].[Column2].[All]" dimensionUniqueName="[PT Q1 1]" displayFolder="" count="0" memberValueDatatype="130" unbalanced="0"/>
    <cacheHierarchy uniqueName="[PT Q1 1].[Asthma/lung disease3]" caption="Asthma/lung disease3" attribute="1" defaultMemberUniqueName="[PT Q1 1].[Asthma/lung disease3].[All]" allUniqueName="[PT Q1 1].[Asthma/lung disease3].[All]" dimensionUniqueName="[PT Q1 1]" displayFolder="" count="0" memberValueDatatype="5" unbalanced="0"/>
    <cacheHierarchy uniqueName="[PT Q1 1].[Cancer4]" caption="Cancer4" attribute="1" defaultMemberUniqueName="[PT Q1 1].[Cancer4].[All]" allUniqueName="[PT Q1 1].[Cancer4].[All]" dimensionUniqueName="[PT Q1 1]" displayFolder="" count="0" memberValueDatatype="5" unbalanced="0"/>
    <cacheHierarchy uniqueName="[PT Q1 1].[Heart disease &amp; stroke5]" caption="Heart disease &amp; stroke5" attribute="1" defaultMemberUniqueName="[PT Q1 1].[Heart disease &amp; stroke5].[All]" allUniqueName="[PT Q1 1].[Heart disease &amp; stroke5].[All]" dimensionUniqueName="[PT Q1 1]" displayFolder="" count="0" memberValueDatatype="5" unbalanced="0"/>
    <cacheHierarchy uniqueName="[PT Q1 1].[Safety6]" caption="Safety6" attribute="1" defaultMemberUniqueName="[PT Q1 1].[Safety6].[All]" allUniqueName="[PT Q1 1].[Safety6].[All]" dimensionUniqueName="[PT Q1 1]" displayFolder="" count="0" memberValueDatatype="5" unbalanced="0"/>
    <cacheHierarchy uniqueName="[PT Q1 1].[HIV/AIDS &amp; Sexually Transmitted Diseases (STDs)7]" caption="HIV/AIDS &amp; Sexually Transmitted Diseases (STDs)7" attribute="1" defaultMemberUniqueName="[PT Q1 1].[HIV/AIDS &amp; Sexually Transmitted Diseases (STDs)7].[All]" allUniqueName="[PT Q1 1].[HIV/AIDS &amp; Sexually Transmitted Diseases (STDs)7].[All]" dimensionUniqueName="[PT Q1 1]" displayFolder="" count="0" memberValueDatatype="5" unbalanced="0"/>
    <cacheHierarchy uniqueName="[PT Q1 1].[Vaccine preventable diseases8]" caption="Vaccine preventable diseases8" attribute="1" defaultMemberUniqueName="[PT Q1 1].[Vaccine preventable diseases8].[All]" allUniqueName="[PT Q1 1].[Vaccine preventable diseases8].[All]" dimensionUniqueName="[PT Q1 1]" displayFolder="" count="0" memberValueDatatype="5" unbalanced="0"/>
    <cacheHierarchy uniqueName="[PT Q1 1].[Child health &amp; wellness9]" caption="Child health &amp; wellness9" attribute="1" defaultMemberUniqueName="[PT Q1 1].[Child health &amp; wellness9].[All]" allUniqueName="[PT Q1 1].[Child health &amp; wellness9].[All]" dimensionUniqueName="[PT Q1 1]" displayFolder="" count="0" memberValueDatatype="5" unbalanced="0"/>
    <cacheHierarchy uniqueName="[PT Q1 1].[Women’s health &amp; wellness10]" caption="Women’s health &amp; wellness10" attribute="1" defaultMemberUniqueName="[PT Q1 1].[Women’s health &amp; wellness10].[All]" allUniqueName="[PT Q1 1].[Women’s health &amp; wellness10].[All]" dimensionUniqueName="[PT Q1 1]" displayFolder="" count="0" memberValueDatatype="5" unbalanced="0"/>
    <cacheHierarchy uniqueName="[PT Q1 1].[Diabetes11]" caption="Diabetes11" attribute="1" defaultMemberUniqueName="[PT Q1 1].[Diabetes11].[All]" allUniqueName="[PT Q1 1].[Diabetes11].[All]" dimensionUniqueName="[PT Q1 1]" displayFolder="" count="0" memberValueDatatype="5" unbalanced="0"/>
    <cacheHierarchy uniqueName="[PT Q1 1].[Mental health depression/suicide12]" caption="Mental health depression/suicide12" attribute="1" defaultMemberUniqueName="[PT Q1 1].[Mental health depression/suicide12].[All]" allUniqueName="[PT Q1 1].[Mental health depression/suicide12].[All]" dimensionUniqueName="[PT Q1 1]" displayFolder="" count="0" memberValueDatatype="5" unbalanced="0"/>
    <cacheHierarchy uniqueName="[PT Q1 1].[Drugs &amp; alcohol abuse13]" caption="Drugs &amp; alcohol abuse13" attribute="1" defaultMemberUniqueName="[PT Q1 1].[Drugs &amp; alcohol abuse13].[All]" allUniqueName="[PT Q1 1].[Drugs &amp; alcohol abuse13].[All]" dimensionUniqueName="[PT Q1 1]" displayFolder="" count="0" memberValueDatatype="5" unbalanced="0"/>
    <cacheHierarchy uniqueName="[PT Q1 1].[Environmental hazards14]" caption="Environmental hazards14" attribute="1" defaultMemberUniqueName="[PT Q1 1].[Environmental hazards14].[All]" allUniqueName="[PT Q1 1].[Environmental hazards14].[All]" dimensionUniqueName="[PT Q1 1]" displayFolder="" count="0" memberValueDatatype="5" unbalanced="0"/>
    <cacheHierarchy uniqueName="[PT Q1 1].[Obesity/weight loss issues15]" caption="Obesity/weight loss issues15" attribute="1" defaultMemberUniqueName="[PT Q1 1].[Obesity/weight loss issues15].[All]" allUniqueName="[PT Q1 1].[Obesity/weight loss issues15].[All]" dimensionUniqueName="[PT Q1 1]" displayFolder="" count="0" memberValueDatatype="5" unbalanced="0"/>
    <cacheHierarchy uniqueName="[PT Q1 1].[Column3]" caption="Column3" attribute="1" defaultMemberUniqueName="[PT Q1 1].[Column3].[All]" allUniqueName="[PT Q1 1].[Column3].[All]" dimensionUniqueName="[PT Q1 1]" displayFolder="" count="0" memberValueDatatype="130" unbalanced="0"/>
    <cacheHierarchy uniqueName="[PT Q1 1].[Column4]" caption="Column4" attribute="1" defaultMemberUniqueName="[PT Q1 1].[Column4].[All]" allUniqueName="[PT Q1 1].[Column4].[All]" dimensionUniqueName="[PT Q1 1]" displayFolder="" count="0" memberValueDatatype="130" unbalanced="0"/>
    <cacheHierarchy uniqueName="[PT Q1 1].[Observed]" caption="Observed" attribute="1" defaultMemberUniqueName="[PT Q1 1].[Observed].[All]" allUniqueName="[PT Q1 1].[Observed].[All]" dimensionUniqueName="[PT Q1 1]" displayFolder="" count="0" memberValueDatatype="5" unbalanced="0"/>
    <cacheHierarchy uniqueName="[PT Q1 1].[Expected]" caption="Expected" attribute="1" defaultMemberUniqueName="[PT Q1 1].[Expected].[All]" allUniqueName="[PT Q1 1].[Expected].[All]" dimensionUniqueName="[PT Q1 1]" displayFolder="" count="0" memberValueDatatype="20" unbalanced="0"/>
    <cacheHierarchy uniqueName="[PT Q1 1].[Column18]" caption="Column18" attribute="1" defaultMemberUniqueName="[PT Q1 1].[Column18].[All]" allUniqueName="[PT Q1 1].[Column18].[All]" dimensionUniqueName="[PT Q1 1]" displayFolder="" count="0" memberValueDatatype="130" unbalanced="0"/>
    <cacheHierarchy uniqueName="[PT Q1 1].[Column5]" caption="Column5" attribute="1" defaultMemberUniqueName="[PT Q1 1].[Column5].[All]" allUniqueName="[PT Q1 1].[Column5].[All]" dimensionUniqueName="[PT Q1 1]" displayFolder="" count="0" memberValueDatatype="130" unbalanced="0"/>
    <cacheHierarchy uniqueName="[PT Q1 1].[I identify as:]" caption="I identify as:" attribute="1" defaultMemberUniqueName="[PT Q1 1].[I identify as:].[All]" allUniqueName="[PT Q1 1].[I identify as:].[All]" dimensionUniqueName="[PT Q1 1]" displayFolder="" count="0" memberValueDatatype="130" unbalanced="0"/>
    <cacheHierarchy uniqueName="[PT Q1 1].[What is your age?]" caption="What is your age?" attribute="1" defaultMemberUniqueName="[PT Q1 1].[What is your age?].[All]" allUniqueName="[PT Q1 1].[What is your age?].[All]" dimensionUniqueName="[PT Q1 1]" displayFolder="" count="0" memberValueDatatype="20" unbalanced="0"/>
    <cacheHierarchy uniqueName="[PT Q1 1].[County where you live:]" caption="County where you live:" attribute="1" defaultMemberUniqueName="[PT Q1 1].[County where you live:].[All]" allUniqueName="[PT Q1 1].[County where you live:].[All]" dimensionUniqueName="[PT Q1 1]" displayFolder="" count="0" memberValueDatatype="130" unbalanced="0"/>
    <cacheHierarchy uniqueName="[PT Q1 1].[Town and ZIP code where you live:]" caption="Town and ZIP code where you live:" attribute="1" defaultMemberUniqueName="[PT Q1 1].[Town and ZIP code where you live:].[All]" allUniqueName="[PT Q1 1].[Town and ZIP code where you live:].[All]" dimensionUniqueName="[PT Q1 1]" displayFolder="" count="0" memberValueDatatype="130" unbalanced="0"/>
    <cacheHierarchy uniqueName="[PT Q1 1].[What race do you consider yourself?]" caption="What race do you consider yourself?" attribute="1" defaultMemberUniqueName="[PT Q1 1].[What race do you consider yourself?].[All]" allUniqueName="[PT Q1 1].[What race do you consider yourself?].[All]" dimensionUniqueName="[PT Q1 1]" displayFolder="" count="0" memberValueDatatype="130" unbalanced="0"/>
    <cacheHierarchy uniqueName="[PT Q1 1].[Are you Hispanic or Latino?]" caption="Are you Hispanic or Latino?" attribute="1" defaultMemberUniqueName="[PT Q1 1].[Are you Hispanic or Latino?].[All]" allUniqueName="[PT Q1 1].[Are you Hispanic or Latino?].[All]" dimensionUniqueName="[PT Q1 1]" displayFolder="" count="0" memberValueDatatype="130" unbalanced="0"/>
    <cacheHierarchy uniqueName="[PT Q1 1].[What language do you speak when you are at home (select all that apply)]" caption="What language do you speak when you are at home (select all that apply)" attribute="1" defaultMemberUniqueName="[PT Q1 1].[What language do you speak when you are at home (select all that apply)].[All]" allUniqueName="[PT Q1 1].[What language do you speak when you are at home (select all that apply)].[All]" dimensionUniqueName="[PT Q1 1]" displayFolder="" count="0" memberValueDatatype="130" unbalanced="0"/>
    <cacheHierarchy uniqueName="[PT Q1 1].[What is your annual household income from all sources?]" caption="What is your annual household income from all sources?" attribute="1" defaultMemberUniqueName="[PT Q1 1].[What is your annual household income from all sources?].[All]" allUniqueName="[PT Q1 1].[What is your annual household income from all sources?].[All]" dimensionUniqueName="[PT Q1 1]" displayFolder="" count="0" memberValueDatatype="130" unbalanced="0"/>
    <cacheHierarchy uniqueName="[PT Q1 1].[What is your highest level of education?]" caption="What is your highest level of education?" attribute="1" defaultMemberUniqueName="[PT Q1 1].[What is your highest level of education?].[All]" allUniqueName="[PT Q1 1].[What is your highest level of education?].[All]" dimensionUniqueName="[PT Q1 1]" displayFolder="" count="0" memberValueDatatype="130" unbalanced="0"/>
    <cacheHierarchy uniqueName="[PT Q1 1].[What is your current employment status?]" caption="What is your current employment status?" attribute="1" defaultMemberUniqueName="[PT Q1 1].[What is your current employment status?].[All]" allUniqueName="[PT Q1 1].[What is your current employment status?].[All]" dimensionUniqueName="[PT Q1 1]" displayFolder="" count="0" memberValueDatatype="130" unbalanced="0"/>
    <cacheHierarchy uniqueName="[PT Q1 1].[Do you currently have health insurance?]" caption="Do you currently have health insurance?" attribute="1" defaultMemberUniqueName="[PT Q1 1].[Do you currently have health insurance?].[All]" allUniqueName="[PT Q1 1].[Do you currently have health insurance?].[All]" dimensionUniqueName="[PT Q1 1]" displayFolder="" count="0" memberValueDatatype="130" unbalanced="0"/>
    <cacheHierarchy uniqueName="[PT Q1 1].[What type of insurance do you have?]" caption="What type of insurance do you have?" attribute="1" defaultMemberUniqueName="[PT Q1 1].[What type of insurance do you have?].[All]" allUniqueName="[PT Q1 1].[What type of insurance do you have?].[All]" dimensionUniqueName="[PT Q1 1]" displayFolder="" count="0" memberValueDatatype="130" unbalanced="0"/>
    <cacheHierarchy uniqueName="[PT Q1 1].[Do you have access to reliable internet in your home?]" caption="Do you have access to reliable internet in your home?" attribute="1" defaultMemberUniqueName="[PT Q1 1].[Do you have access to reliable internet in your home?].[All]" allUniqueName="[PT Q1 1].[Do you have access to reliable internet in your home?].[All]" dimensionUniqueName="[PT Q1 1]" displayFolder="" count="0" memberValueDatatype="130" unbalanced="0"/>
    <cacheHierarchy uniqueName="[PT Q1 1].[Female Flag]" caption="Female Flag" attribute="1" defaultMemberUniqueName="[PT Q1 1].[Female Flag].[All]" allUniqueName="[PT Q1 1].[Female Flag].[All]" dimensionUniqueName="[PT Q1 1]" displayFolder="" count="0" memberValueDatatype="20" unbalanced="0"/>
    <cacheHierarchy uniqueName="[PT Q1 1].[Male Flag]" caption="Male Flag" attribute="1" defaultMemberUniqueName="[PT Q1 1].[Male Flag].[All]" allUniqueName="[PT Q1 1].[Male Flag].[All]" dimensionUniqueName="[PT Q1 1]" displayFolder="" count="0" memberValueDatatype="20" unbalanced="0"/>
    <cacheHierarchy uniqueName="[PT Q1 1].[Other Flag]" caption="Other Flag" attribute="1" defaultMemberUniqueName="[PT Q1 1].[Other Flag].[All]" allUniqueName="[PT Q1 1].[Other Flag].[All]" dimensionUniqueName="[PT Q1 1]" displayFolder="" count="0" memberValueDatatype="20" unbalanced="0"/>
    <cacheHierarchy uniqueName="[PT Q1 1].[Hispanic Flag]" caption="Hispanic Flag" attribute="1" defaultMemberUniqueName="[PT Q1 1].[Hispanic Flag].[All]" allUniqueName="[PT Q1 1].[Hispanic Flag].[All]" dimensionUniqueName="[PT Q1 1]" displayFolder="" count="0" memberValueDatatype="20" unbalanced="0"/>
    <cacheHierarchy uniqueName="[PT Q1 1].[White/Caucasian Flag]" caption="White/Caucasian Flag" attribute="1" defaultMemberUniqueName="[PT Q1 1].[White/Caucasian Flag].[All]" allUniqueName="[PT Q1 1].[White/Caucasian Flag].[All]" dimensionUniqueName="[PT Q1 1]" displayFolder="" count="0" memberValueDatatype="20" unbalanced="0"/>
    <cacheHierarchy uniqueName="[PT Q1 1].[Black/African American Flag]" caption="Black/African American Flag" attribute="1" defaultMemberUniqueName="[PT Q1 1].[Black/African American Flag].[All]" allUniqueName="[PT Q1 1].[Black/African American Flag].[All]" dimensionUniqueName="[PT Q1 1]" displayFolder="" count="0" memberValueDatatype="20" unbalanced="0"/>
    <cacheHierarchy uniqueName="[PT Q1 1].[Asian/Pacific Islander Flag]" caption="Asian/Pacific Islander Flag" attribute="1" defaultMemberUniqueName="[PT Q1 1].[Asian/Pacific Islander Flag].[All]" allUniqueName="[PT Q1 1].[Asian/Pacific Islander Flag].[All]" dimensionUniqueName="[PT Q1 1]" displayFolder="" count="0" memberValueDatatype="20" unbalanced="0"/>
    <cacheHierarchy uniqueName="[PT Q1 1].[Native American Flag]" caption="Native American Flag" attribute="1" defaultMemberUniqueName="[PT Q1 1].[Native American Flag].[All]" allUniqueName="[PT Q1 1].[Native American Flag].[All]" dimensionUniqueName="[PT Q1 1]" displayFolder="" count="0" memberValueDatatype="20" unbalanced="0"/>
    <cacheHierarchy uniqueName="[PT Q1 1].[Multi-racial Flag]" caption="Multi-racial Flag" attribute="1" defaultMemberUniqueName="[PT Q1 1].[Multi-racial Flag].[All]" allUniqueName="[PT Q1 1].[Multi-racial Flag].[All]" dimensionUniqueName="[PT Q1 1]" displayFolder="" count="0" memberValueDatatype="20" unbalanced="0"/>
    <cacheHierarchy uniqueName="[PT Q1 1].[Other Race Flag]" caption="Other Race Flag" attribute="1" defaultMemberUniqueName="[PT Q1 1].[Other Race Flag].[All]" allUniqueName="[PT Q1 1].[Other Race Flag].[All]" dimensionUniqueName="[PT Q1 1]" displayFolder="" count="0" memberValueDatatype="20" unbalanced="0"/>
    <cacheHierarchy uniqueName="[PT Q1 1].[$0-$19,999 Flag]" caption="$0-$19,999 Flag" attribute="1" defaultMemberUniqueName="[PT Q1 1].[$0-$19,999 Flag].[All]" allUniqueName="[PT Q1 1].[$0-$19,999 Flag].[All]" dimensionUniqueName="[PT Q1 1]" displayFolder="" count="0" memberValueDatatype="20" unbalanced="0"/>
    <cacheHierarchy uniqueName="[PT Q1 1].[$20,000 to $34,999 Flag]" caption="$20,000 to $34,999 Flag" attribute="1" defaultMemberUniqueName="[PT Q1 1].[$20,000 to $34,999 Flag].[All]" allUniqueName="[PT Q1 1].[$20,000 to $34,999 Flag].[All]" dimensionUniqueName="[PT Q1 1]" displayFolder="" count="0" memberValueDatatype="20" unbalanced="0"/>
    <cacheHierarchy uniqueName="[PT Q1 1].[$35,000 to $49,999 Flag]" caption="$35,000 to $49,999 Flag" attribute="1" defaultMemberUniqueName="[PT Q1 1].[$35,000 to $49,999 Flag].[All]" allUniqueName="[PT Q1 1].[$35,000 to $49,999 Flag].[All]" dimensionUniqueName="[PT Q1 1]" displayFolder="" count="0" memberValueDatatype="20" unbalanced="0"/>
    <cacheHierarchy uniqueName="[PT Q1 1].[$50,000 to $74,999 Flag]" caption="$50,000 to $74,999 Flag" attribute="1" defaultMemberUniqueName="[PT Q1 1].[$50,000 to $74,999 Flag].[All]" allUniqueName="[PT Q1 1].[$50,000 to $74,999 Flag].[All]" dimensionUniqueName="[PT Q1 1]" displayFolder="" count="0" memberValueDatatype="20" unbalanced="0"/>
    <cacheHierarchy uniqueName="[PT Q1 1].[$75,000 to $125,000 Flag]" caption="$75,000 to $125,000 Flag" attribute="1" defaultMemberUniqueName="[PT Q1 1].[$75,000 to $125,000 Flag].[All]" allUniqueName="[PT Q1 1].[$75,000 to $125,000 Flag].[All]" dimensionUniqueName="[PT Q1 1]" displayFolder="" count="0" memberValueDatatype="20" unbalanced="0"/>
    <cacheHierarchy uniqueName="[PT Q1 1].[Over $125,000 Flag]" caption="Over $125,000 Flag" attribute="1" defaultMemberUniqueName="[PT Q1 1].[Over $125,000 Flag].[All]" allUniqueName="[PT Q1 1].[Over $125,000 Flag].[All]" dimensionUniqueName="[PT Q1 1]" displayFolder="" count="0" memberValueDatatype="20" unbalanced="0"/>
    <cacheHierarchy uniqueName="[PT Q1 1].[18-24 Flag]" caption="18-24 Flag" attribute="1" defaultMemberUniqueName="[PT Q1 1].[18-24 Flag].[All]" allUniqueName="[PT Q1 1].[18-24 Flag].[All]" dimensionUniqueName="[PT Q1 1]" displayFolder="" count="0" memberValueDatatype="20" unbalanced="0"/>
    <cacheHierarchy uniqueName="[PT Q1 1].[25-34 Flag]" caption="25-34 Flag" attribute="1" defaultMemberUniqueName="[PT Q1 1].[25-34 Flag].[All]" allUniqueName="[PT Q1 1].[25-34 Flag].[All]" dimensionUniqueName="[PT Q1 1]" displayFolder="" count="0" memberValueDatatype="20" unbalanced="0"/>
    <cacheHierarchy uniqueName="[PT Q1 1].[35-44 Flag]" caption="35-44 Flag" attribute="1" defaultMemberUniqueName="[PT Q1 1].[35-44 Flag].[All]" allUniqueName="[PT Q1 1].[35-44 Flag].[All]" dimensionUniqueName="[PT Q1 1]" displayFolder="" count="0" memberValueDatatype="20" unbalanced="0"/>
    <cacheHierarchy uniqueName="[PT Q1 1].[45-54 Flag]" caption="45-54 Flag" attribute="1" defaultMemberUniqueName="[PT Q1 1].[45-54 Flag].[All]" allUniqueName="[PT Q1 1].[45-54 Flag].[All]" dimensionUniqueName="[PT Q1 1]" displayFolder="" count="0" memberValueDatatype="20" unbalanced="0"/>
    <cacheHierarchy uniqueName="[PT Q1 1].[55-64 Flag]" caption="55-64 Flag" attribute="1" defaultMemberUniqueName="[PT Q1 1].[55-64 Flag].[All]" allUniqueName="[PT Q1 1].[55-64 Flag].[All]" dimensionUniqueName="[PT Q1 1]" displayFolder="" count="0" memberValueDatatype="20" unbalanced="0"/>
    <cacheHierarchy uniqueName="[PT Q1 1].[65+ Flag]" caption="65+ Flag" attribute="1" defaultMemberUniqueName="[PT Q1 1].[65+ Flag].[All]" allUniqueName="[PT Q1 1].[65+ Flag].[All]" dimensionUniqueName="[PT Q1 1]" displayFolder="" count="0" memberValueDatatype="20" unbalanced="0"/>
    <cacheHierarchy uniqueName="[PT Q1 1].[K-8th Flag]" caption="K-8th Flag" attribute="1" defaultMemberUniqueName="[PT Q1 1].[K-8th Flag].[All]" allUniqueName="[PT Q1 1].[K-8th Flag].[All]" dimensionUniqueName="[PT Q1 1]" displayFolder="" count="0" memberValueDatatype="20" unbalanced="0"/>
    <cacheHierarchy uniqueName="[PT Q1 1].[Some high school Flag]" caption="Some high school Flag" attribute="1" defaultMemberUniqueName="[PT Q1 1].[Some high school Flag].[All]" allUniqueName="[PT Q1 1].[Some high school Flag].[All]" dimensionUniqueName="[PT Q1 1]" displayFolder="" count="0" memberValueDatatype="20" unbalanced="0"/>
    <cacheHierarchy uniqueName="[PT Q1 1].[High school graduate Flag]" caption="High school graduate Flag" attribute="1" defaultMemberUniqueName="[PT Q1 1].[High school graduate Flag].[All]" allUniqueName="[PT Q1 1].[High school graduate Flag].[All]" dimensionUniqueName="[PT Q1 1]" displayFolder="" count="0" memberValueDatatype="20" unbalanced="0"/>
    <cacheHierarchy uniqueName="[PT Q1 1].[Technical school Flag]" caption="Technical school Flag" attribute="1" defaultMemberUniqueName="[PT Q1 1].[Technical school Flag].[All]" allUniqueName="[PT Q1 1].[Technical school Flag].[All]" dimensionUniqueName="[PT Q1 1]" displayFolder="" count="0" memberValueDatatype="20" unbalanced="0"/>
    <cacheHierarchy uniqueName="[PT Q1 1].[Some college Flag]" caption="Some college Flag" attribute="1" defaultMemberUniqueName="[PT Q1 1].[Some college Flag].[All]" allUniqueName="[PT Q1 1].[Some college Flag].[All]" dimensionUniqueName="[PT Q1 1]" displayFolder="" count="0" memberValueDatatype="20" unbalanced="0"/>
    <cacheHierarchy uniqueName="[PT Q1 1].[College graduate Flag]" caption="College graduate Flag" attribute="1" defaultMemberUniqueName="[PT Q1 1].[College graduate Flag].[All]" allUniqueName="[PT Q1 1].[College graduate Flag].[All]" dimensionUniqueName="[PT Q1 1]" displayFolder="" count="0" memberValueDatatype="20" unbalanced="0"/>
    <cacheHierarchy uniqueName="[PT Q1 1].[Graduate school Flag]" caption="Graduate school Flag" attribute="1" defaultMemberUniqueName="[PT Q1 1].[Graduate school Flag].[All]" allUniqueName="[PT Q1 1].[Graduate school Flag].[All]" dimensionUniqueName="[PT Q1 1]" displayFolder="" count="0" memberValueDatatype="20" unbalanced="0"/>
    <cacheHierarchy uniqueName="[PT Q1 1].[Doctorate Flag]" caption="Doctorate Flag" attribute="1" defaultMemberUniqueName="[PT Q1 1].[Doctorate Flag].[All]" allUniqueName="[PT Q1 1].[Doctorate Flag].[All]" dimensionUniqueName="[PT Q1 1]" displayFolder="" count="0" memberValueDatatype="20" unbalanced="0"/>
    <cacheHierarchy uniqueName="[PT Q1 1].[GED Flag]" caption="GED Flag" attribute="1" defaultMemberUniqueName="[PT Q1 1].[GED Flag].[All]" allUniqueName="[PT Q1 1].[GED Flag].[All]" dimensionUniqueName="[PT Q1 1]" displayFolder="" count="0" memberValueDatatype="20" unbalanced="0"/>
    <cacheHierarchy uniqueName="[PT Q1 1].[None Flag]" caption="None Flag" attribute="1" defaultMemberUniqueName="[PT Q1 1].[None Flag].[All]" allUniqueName="[PT Q1 1].[None Flag].[All]" dimensionUniqueName="[PT Q1 1]" displayFolder="" count="0" memberValueDatatype="20" unbalanced="0"/>
    <cacheHierarchy uniqueName="[PT Q1 1].[Employed for Wages Flag]" caption="Employed for Wages Flag" attribute="1" defaultMemberUniqueName="[PT Q1 1].[Employed for Wages Flag].[All]" allUniqueName="[PT Q1 1].[Employed for Wages Flag].[All]" dimensionUniqueName="[PT Q1 1]" displayFolder="" count="0" memberValueDatatype="20" unbalanced="0"/>
    <cacheHierarchy uniqueName="[PT Q1 1].[Self-employed Flag]" caption="Self-employed Flag" attribute="1" defaultMemberUniqueName="[PT Q1 1].[Self-employed Flag].[All]" allUniqueName="[PT Q1 1].[Self-employed Flag].[All]" dimensionUniqueName="[PT Q1 1]" displayFolder="" count="0" memberValueDatatype="20" unbalanced="0"/>
    <cacheHierarchy uniqueName="[PT Q1 1].[Student Flag]" caption="Student Flag" attribute="1" defaultMemberUniqueName="[PT Q1 1].[Student Flag].[All]" allUniqueName="[PT Q1 1].[Student Flag].[All]" dimensionUniqueName="[PT Q1 1]" displayFolder="" count="0" memberValueDatatype="20" unbalanced="0"/>
    <cacheHierarchy uniqueName="[PT Q1 1].[Retired Flag]" caption="Retired Flag" attribute="1" defaultMemberUniqueName="[PT Q1 1].[Retired Flag].[All]" allUniqueName="[PT Q1 1].[Retired Flag].[All]" dimensionUniqueName="[PT Q1 1]" displayFolder="" count="0" memberValueDatatype="20" unbalanced="0"/>
    <cacheHierarchy uniqueName="[PT Q1 1].[Military Flag]" caption="Military Flag" attribute="1" defaultMemberUniqueName="[PT Q1 1].[Military Flag].[All]" allUniqueName="[PT Q1 1].[Military Flag].[All]" dimensionUniqueName="[PT Q1 1]" displayFolder="" count="0" memberValueDatatype="20" unbalanced="0"/>
    <cacheHierarchy uniqueName="[PT Q1 1].[Out of work and looking for work Flag]" caption="Out of work and looking for work Flag" attribute="1" defaultMemberUniqueName="[PT Q1 1].[Out of work and looking for work Flag].[All]" allUniqueName="[PT Q1 1].[Out of work and looking for work Flag].[All]" dimensionUniqueName="[PT Q1 1]" displayFolder="" count="0" memberValueDatatype="20" unbalanced="0"/>
    <cacheHierarchy uniqueName="[PT Q1 1].[Out of work, but not currently looking Flag]" caption="Out of work, but not currently looking Flag" attribute="1" defaultMemberUniqueName="[PT Q1 1].[Out of work, but not currently looking Flag].[All]" allUniqueName="[PT Q1 1].[Out of work, but not currently looking Flag].[All]" dimensionUniqueName="[PT Q1 1]" displayFolder="" count="0" memberValueDatatype="20" unbalanced="0"/>
    <cacheHierarchy uniqueName="[PT Q1 1].[Currently Insured Flag]" caption="Currently Insured Flag" attribute="1" defaultMemberUniqueName="[PT Q1 1].[Currently Insured Flag].[All]" allUniqueName="[PT Q1 1].[Currently Insured Flag].[All]" dimensionUniqueName="[PT Q1 1]" displayFolder="" count="0" memberValueDatatype="20" unbalanced="0"/>
    <cacheHierarchy uniqueName="[PT Q1 1].[Previously Insured Flag]" caption="Previously Insured Flag" attribute="1" defaultMemberUniqueName="[PT Q1 1].[Previously Insured Flag].[All]" allUniqueName="[PT Q1 1].[Previously Insured Flag].[All]" dimensionUniqueName="[PT Q1 1]" displayFolder="" count="0" memberValueDatatype="20" unbalanced="0"/>
    <cacheHierarchy uniqueName="[PT Q1 1].[Not Insured Flag]" caption="Not Insured Flag" attribute="1" defaultMemberUniqueName="[PT Q1 1].[Not Insured Flag].[All]" allUniqueName="[PT Q1 1].[Not Insured Flag].[All]" dimensionUniqueName="[PT Q1 1]" displayFolder="" count="0" memberValueDatatype="20" unbalanced="0"/>
    <cacheHierarchy uniqueName="[PT Q1 1].[Medicaid Flag]" caption="Medicaid Flag" attribute="1" defaultMemberUniqueName="[PT Q1 1].[Medicaid Flag].[All]" allUniqueName="[PT Q1 1].[Medicaid Flag].[All]" dimensionUniqueName="[PT Q1 1]" displayFolder="" count="0" memberValueDatatype="20" unbalanced="0"/>
    <cacheHierarchy uniqueName="[PT Q1 1].[Medicaid,Medicare Flag]" caption="Medicaid,Medicare Flag" attribute="1" defaultMemberUniqueName="[PT Q1 1].[Medicaid,Medicare Flag].[All]" allUniqueName="[PT Q1 1].[Medicaid,Medicare Flag].[All]" dimensionUniqueName="[PT Q1 1]" displayFolder="" count="0" memberValueDatatype="20" unbalanced="0"/>
    <cacheHierarchy uniqueName="[PT Q1 1].[Medicaid,Medicare,Private/Commercial Flag]" caption="Medicaid,Medicare,Private/Commercial Flag" attribute="1" defaultMemberUniqueName="[PT Q1 1].[Medicaid,Medicare,Private/Commercial Flag].[All]" allUniqueName="[PT Q1 1].[Medicaid,Medicare,Private/Commercial Flag].[All]" dimensionUniqueName="[PT Q1 1]" displayFolder="" count="0" memberValueDatatype="20" unbalanced="0"/>
    <cacheHierarchy uniqueName="[PT Q1 1].[Medicaid,Private/Commercial Flag]" caption="Medicaid,Private/Commercial Flag" attribute="1" defaultMemberUniqueName="[PT Q1 1].[Medicaid,Private/Commercial Flag].[All]" allUniqueName="[PT Q1 1].[Medicaid,Private/Commercial Flag].[All]" dimensionUniqueName="[PT Q1 1]" displayFolder="" count="0" memberValueDatatype="20" unbalanced="0"/>
    <cacheHierarchy uniqueName="[PT Q1 1].[Medicare Flag]" caption="Medicare Flag" attribute="1" defaultMemberUniqueName="[PT Q1 1].[Medicare Flag].[All]" allUniqueName="[PT Q1 1].[Medicare Flag].[All]" dimensionUniqueName="[PT Q1 1]" displayFolder="" count="0" memberValueDatatype="20" unbalanced="0"/>
    <cacheHierarchy uniqueName="[PT Q1 1].[Medicare,No Insurance Flag]" caption="Medicare,No Insurance Flag" attribute="1" defaultMemberUniqueName="[PT Q1 1].[Medicare,No Insurance Flag].[All]" allUniqueName="[PT Q1 1].[Medicare,No Insurance Flag].[All]" dimensionUniqueName="[PT Q1 1]" displayFolder="" count="0" memberValueDatatype="20" unbalanced="0"/>
    <cacheHierarchy uniqueName="[PT Q1 1].[Medicare,Private/Commercial Flag]" caption="Medicare,Private/Commercial Flag" attribute="1" defaultMemberUniqueName="[PT Q1 1].[Medicare,Private/Commercial Flag].[All]" allUniqueName="[PT Q1 1].[Medicare,Private/Commercial Flag].[All]" dimensionUniqueName="[PT Q1 1]" displayFolder="" count="0" memberValueDatatype="20" unbalanced="0"/>
    <cacheHierarchy uniqueName="[PT Q1 1].[No Insurance Flag]" caption="No Insurance Flag" attribute="1" defaultMemberUniqueName="[PT Q1 1].[No Insurance Flag].[All]" allUniqueName="[PT Q1 1].[No Insurance Flag].[All]" dimensionUniqueName="[PT Q1 1]" displayFolder="" count="0" memberValueDatatype="20" unbalanced="0"/>
    <cacheHierarchy uniqueName="[PT Q1 1].[Private/Commercial Flag]" caption="Private/Commercial Flag" attribute="1" defaultMemberUniqueName="[PT Q1 1].[Private/Commercial Flag].[All]" allUniqueName="[PT Q1 1].[Private/Commercial Flag].[All]" dimensionUniqueName="[PT Q1 1]" displayFolder="" count="0" memberValueDatatype="20" unbalanced="0"/>
    <cacheHierarchy uniqueName="[PT Q1 1].[Reliable Internet Flag]" caption="Reliable Internet Flag" attribute="1" defaultMemberUniqueName="[PT Q1 1].[Reliable Internet Flag].[All]" allUniqueName="[PT Q1 1].[Reliable Internet Flag].[All]" dimensionUniqueName="[PT Q1 1]" displayFolder="" count="0" memberValueDatatype="2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OTHER]" caption="OTHER" attribute="1" defaultMemberUniqueName="[PT Q2].[OTHER].[All]" allUniqueName="[PT Q2].[OTHER].[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5"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What type of insurance do you have?]" caption="What type of insurance do you have?" attribute="1" defaultMemberUniqueName="[PT Q2].[What type of insurance do you have?].[All]" allUniqueName="[PT Q2].[What type of insurance do you have?].[All]" dimensionUniqueName="[PT Q2]" displayFolder="" count="0" memberValueDatatype="130" unbalanced="0"/>
    <cacheHierarchy uniqueName="[PT Q2].[Do you have access to reliable internet in your home?]" caption="Do you have access to reliable internet in your home?" attribute="1" defaultMemberUniqueName="[PT Q2].[Do you have access to reliable internet in your home?].[All]" allUniqueName="[PT Q2].[Do you have access to reliable internet in your hom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immigration status)]" caption="Fear (e.g. not ready to face/discuss health problem; immigration status)" attribute="1" defaultMemberUniqueName="[PT Q3].[Fear (e.g. not ready to face/discuss health problem; immigration status)].[All]" allUniqueName="[PT Q3].[Fear (e.g. not ready to face/discuss health problem; immigration status)].[All]" dimensionUniqueName="[PT Q3]" displayFolder="" count="0" memberValueDatatype="130" unbalanced="0"/>
    <cacheHierarchy uniqueName="[PT Q3].[OTHER]" caption="OTHER" attribute="1" defaultMemberUniqueName="[PT Q3].[OTHER].[All]" allUniqueName="[PT Q3].[OTHER].[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immigration status)14]" caption="Fear (e.g. not ready to face/discuss health problem;immigration status)14" attribute="1" defaultMemberUniqueName="[PT Q3].[Fear (e.g. not ready to face/discuss health problem;immigration status)14].[All]" allUniqueName="[PT Q3].[Fear (e.g. not ready to face/discuss health problem;immigration status)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What type of insurance do you have?]" caption="What type of insurance do you have?" attribute="1" defaultMemberUniqueName="[PT Q3].[What type of insurance do you have?].[All]" allUniqueName="[PT Q3].[What type of insurance do you have?].[All]" dimensionUniqueName="[PT Q3]" displayFolder="" count="0" memberValueDatatype="130" unbalanced="0"/>
    <cacheHierarchy uniqueName="[PT Q3].[Do you have access to reliable internet in your home?]" caption="Do you have access to reliable internet in your home?" attribute="1" defaultMemberUniqueName="[PT Q3].[Do you have access to reliable internet in your home?].[All]" allUniqueName="[PT Q3].[Do you have access to reliable internet in your hom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OTHER]" caption="OTHER" attribute="1" defaultMemberUniqueName="[PT Q4].[OTHER].[All]" allUniqueName="[PT Q4].[OTHER].[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What type of insurance do you have?]" caption="What type of insurance do you have?" attribute="1" defaultMemberUniqueName="[PT Q4].[What type of insurance do you have?].[All]" allUniqueName="[PT Q4].[What type of insurance do you have?].[All]" dimensionUniqueName="[PT Q4]" displayFolder="" count="0" memberValueDatatype="130" unbalanced="0"/>
    <cacheHierarchy uniqueName="[PT Q4].[Do you have access to reliable internet in your home?]" caption="Do you have access to reliable internet in your home?" attribute="1" defaultMemberUniqueName="[PT Q4].[Do you have access to reliable internet in your home?].[All]" allUniqueName="[PT Q4].[Do you have access to reliable internet in your hom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OTHER]" caption="OTHER" attribute="1" defaultMemberUniqueName="[PT Q5].[OTHER].[All]" allUniqueName="[PT Q5].[OTHER].[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What type of insurance do you have?]" caption="What type of insurance do you have?" attribute="1" defaultMemberUniqueName="[PT Q5].[What type of insurance do you have?].[All]" allUniqueName="[PT Q5].[What type of insurance do you have?].[All]" dimensionUniqueName="[PT Q5]" displayFolder="" count="0" memberValueDatatype="130" unbalanced="0"/>
    <cacheHierarchy uniqueName="[PT Q5].[Do you have access to reliable internet in your home?]" caption="Do you have access to reliable internet in your home?" attribute="1" defaultMemberUniqueName="[PT Q5].[Do you have access to reliable internet in your home?].[All]" allUniqueName="[PT Q5].[Do you have access to reliable internet in your hom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2"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2"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2"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2"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2"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2"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2"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2" memberValueDatatype="130" unbalanced="0"/>
    <cacheHierarchy uniqueName="[PT Q6].[What type of insurance do you have?]" caption="What type of insurance do you have?" attribute="1" defaultMemberUniqueName="[PT Q6].[What type of insurance do you have?].[All]" allUniqueName="[PT Q6].[What type of insurance do you have?].[All]" dimensionUniqueName="[PT Q6]" displayFolder="" count="0" memberValueDatatype="130" unbalanced="0"/>
    <cacheHierarchy uniqueName="[PT Q6].[Do you have access to reliable internet in your home?]" caption="Do you have access to reliable internet in your home?" attribute="1" defaultMemberUniqueName="[PT Q6].[Do you have access to reliable internet in your home?].[All]" allUniqueName="[PT Q6].[Do you have access to reliable internet in your hom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198"/>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198"/>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216"/>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217"/>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222"/>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207"/>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209"/>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224"/>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226"/>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227"/>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218"/>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220"/>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225"/>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228"/>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219"/>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221"/>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223"/>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24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248"/>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26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26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269"/>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26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26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27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26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27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26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292"/>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292"/>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309"/>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312"/>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315"/>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318"/>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310"/>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313"/>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316"/>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319"/>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320"/>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311"/>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314"/>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317"/>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340"/>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340"/>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363"/>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366"/>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369"/>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372"/>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378"/>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380"/>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364"/>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367"/>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370"/>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373"/>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376"/>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379"/>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365"/>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368"/>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371"/>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374"/>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377"/>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400"/>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401"/>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404"/>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407"/>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410"/>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412"/>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402"/>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405"/>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408"/>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411"/>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413"/>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403"/>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406"/>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409"/>
        </ext>
      </extLst>
    </cacheHierarchy>
    <cacheHierarchy uniqueName="[Measures].[Sum of Fear (eg not ready to facediscuss health problemimmigration status)14]" caption="Sum of Fear (eg not ready to facediscuss health problemimmigration status)14" measure="1" displayFolder="" measureGroup="PT Q3" count="0">
      <extLst>
        <ext xmlns:x15="http://schemas.microsoft.com/office/spreadsheetml/2010/11/main" uri="{B97F6D7D-B522-45F9-BDA1-12C45D357490}">
          <x15:cacheHierarchy aggregatedColumn="272"/>
        </ext>
      </extLst>
    </cacheHierarchy>
    <cacheHierarchy uniqueName="[Measures].[Sum of RespondentID 7]" caption="Sum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Women’s health  wellness10 3]" caption="Sum of Women’s health  wellness10 3" measure="1" displayFolder="" measureGroup="PT Q1 1" count="0">
      <extLst>
        <ext xmlns:x15="http://schemas.microsoft.com/office/spreadsheetml/2010/11/main" uri="{B97F6D7D-B522-45F9-BDA1-12C45D357490}">
          <x15:cacheHierarchy aggregatedColumn="121"/>
        </ext>
      </extLst>
    </cacheHierarchy>
    <cacheHierarchy uniqueName="[Measures].[Count of RespondentID 7]" caption="Count of RespondentID 7" measure="1" displayFolder="" measureGroup="PT Q1 1" count="0">
      <extLst>
        <ext xmlns:x15="http://schemas.microsoft.com/office/spreadsheetml/2010/11/main" uri="{B97F6D7D-B522-45F9-BDA1-12C45D357490}">
          <x15:cacheHierarchy aggregatedColumn="96"/>
        </ext>
      </extLst>
    </cacheHierarchy>
    <cacheHierarchy uniqueName="[Measures].[Sum of Asthmalung disease3 3]" caption="Sum of Asthmalung disease3 3" measure="1" displayFolder="" measureGroup="PT Q1 1" count="0">
      <extLst>
        <ext xmlns:x15="http://schemas.microsoft.com/office/spreadsheetml/2010/11/main" uri="{B97F6D7D-B522-45F9-BDA1-12C45D357490}">
          <x15:cacheHierarchy aggregatedColumn="114"/>
        </ext>
      </extLst>
    </cacheHierarchy>
    <cacheHierarchy uniqueName="[Measures].[Sum of Cancer4 3]" caption="Sum of Cancer4 3" measure="1" displayFolder="" measureGroup="PT Q1 1" count="0">
      <extLst>
        <ext xmlns:x15="http://schemas.microsoft.com/office/spreadsheetml/2010/11/main" uri="{B97F6D7D-B522-45F9-BDA1-12C45D357490}">
          <x15:cacheHierarchy aggregatedColumn="115"/>
        </ext>
      </extLst>
    </cacheHierarchy>
    <cacheHierarchy uniqueName="[Measures].[Sum of Heart disease  stroke5 3]" caption="Sum of Heart disease  stroke5 3" measure="1" displayFolder="" measureGroup="PT Q1 1" count="0">
      <extLst>
        <ext xmlns:x15="http://schemas.microsoft.com/office/spreadsheetml/2010/11/main" uri="{B97F6D7D-B522-45F9-BDA1-12C45D357490}">
          <x15:cacheHierarchy aggregatedColumn="116"/>
        </ext>
      </extLst>
    </cacheHierarchy>
    <cacheHierarchy uniqueName="[Measures].[Sum of Safety6 3]" caption="Sum of Safety6 3" measure="1" displayFolder="" measureGroup="PT Q1 1" count="0">
      <extLst>
        <ext xmlns:x15="http://schemas.microsoft.com/office/spreadsheetml/2010/11/main" uri="{B97F6D7D-B522-45F9-BDA1-12C45D357490}">
          <x15:cacheHierarchy aggregatedColumn="117"/>
        </ext>
      </extLst>
    </cacheHierarchy>
    <cacheHierarchy uniqueName="[Measures].[Sum of HIVAIDS  Sexually Transmitted Diseases (STDs)7 3]" caption="Sum of HIVAIDS  Sexually Transmitted Diseases (STDs)7 3" measure="1" displayFolder="" measureGroup="PT Q1 1" count="0">
      <extLst>
        <ext xmlns:x15="http://schemas.microsoft.com/office/spreadsheetml/2010/11/main" uri="{B97F6D7D-B522-45F9-BDA1-12C45D357490}">
          <x15:cacheHierarchy aggregatedColumn="118"/>
        </ext>
      </extLst>
    </cacheHierarchy>
    <cacheHierarchy uniqueName="[Measures].[Sum of Vaccine preventable diseases8 3]" caption="Sum of Vaccine preventable diseases8 3" measure="1" displayFolder="" measureGroup="PT Q1 1" count="0">
      <extLst>
        <ext xmlns:x15="http://schemas.microsoft.com/office/spreadsheetml/2010/11/main" uri="{B97F6D7D-B522-45F9-BDA1-12C45D357490}">
          <x15:cacheHierarchy aggregatedColumn="119"/>
        </ext>
      </extLst>
    </cacheHierarchy>
    <cacheHierarchy uniqueName="[Measures].[Sum of Child health  wellness9 3]" caption="Sum of Child health  wellness9 3" measure="1" displayFolder="" measureGroup="PT Q1 1" count="0">
      <extLst>
        <ext xmlns:x15="http://schemas.microsoft.com/office/spreadsheetml/2010/11/main" uri="{B97F6D7D-B522-45F9-BDA1-12C45D357490}">
          <x15:cacheHierarchy aggregatedColumn="120"/>
        </ext>
      </extLst>
    </cacheHierarchy>
    <cacheHierarchy uniqueName="[Measures].[Sum of Diabetes11 3]" caption="Sum of Diabetes11 3" measure="1" displayFolder="" measureGroup="PT Q1 1" count="0">
      <extLst>
        <ext xmlns:x15="http://schemas.microsoft.com/office/spreadsheetml/2010/11/main" uri="{B97F6D7D-B522-45F9-BDA1-12C45D357490}">
          <x15:cacheHierarchy aggregatedColumn="122"/>
        </ext>
      </extLst>
    </cacheHierarchy>
    <cacheHierarchy uniqueName="[Measures].[Sum of Mental health depressionsuicide12 3]" caption="Sum of Mental health depressionsuicide12 3" measure="1" displayFolder="" measureGroup="PT Q1 1" count="0">
      <extLst>
        <ext xmlns:x15="http://schemas.microsoft.com/office/spreadsheetml/2010/11/main" uri="{B97F6D7D-B522-45F9-BDA1-12C45D357490}">
          <x15:cacheHierarchy aggregatedColumn="123"/>
        </ext>
      </extLst>
    </cacheHierarchy>
    <cacheHierarchy uniqueName="[Measures].[Sum of Drugs  alcohol abuse13 3]" caption="Sum of Drugs  alcohol abuse13 3" measure="1" displayFolder="" measureGroup="PT Q1 1" count="0">
      <extLst>
        <ext xmlns:x15="http://schemas.microsoft.com/office/spreadsheetml/2010/11/main" uri="{B97F6D7D-B522-45F9-BDA1-12C45D357490}">
          <x15:cacheHierarchy aggregatedColumn="124"/>
        </ext>
      </extLst>
    </cacheHierarchy>
    <cacheHierarchy uniqueName="[Measures].[Sum of Environmental hazards14 3]" caption="Sum of Environmental hazards14 3" measure="1" displayFolder="" measureGroup="PT Q1 1" count="0">
      <extLst>
        <ext xmlns:x15="http://schemas.microsoft.com/office/spreadsheetml/2010/11/main" uri="{B97F6D7D-B522-45F9-BDA1-12C45D357490}">
          <x15:cacheHierarchy aggregatedColumn="125"/>
        </ext>
      </extLst>
    </cacheHierarchy>
    <cacheHierarchy uniqueName="[Measures].[Sum of Obesityweight loss issues15 3]" caption="Sum of Obesityweight loss issues15 3" measure="1" displayFolder="" measureGroup="PT Q1 1" count="0">
      <extLst>
        <ext xmlns:x15="http://schemas.microsoft.com/office/spreadsheetml/2010/11/main" uri="{B97F6D7D-B522-45F9-BDA1-12C45D357490}">
          <x15:cacheHierarchy aggregatedColumn="126"/>
        </ext>
      </extLst>
    </cacheHierarchy>
    <cacheHierarchy uniqueName="[Measures].[Sum of What is your age]" caption="Sum of What is your age" measure="1" displayFolder="" measureGroup="PT Q1 1" count="0">
      <extLst>
        <ext xmlns:x15="http://schemas.microsoft.com/office/spreadsheetml/2010/11/main" uri="{B97F6D7D-B522-45F9-BDA1-12C45D357490}">
          <x15:cacheHierarchy aggregatedColumn="134"/>
        </ext>
      </extLst>
    </cacheHierarchy>
    <cacheHierarchy uniqueName="[Measures].[Average of What is your age]" caption="Average of What is your age" measure="1" displayFolder="" measureGroup="PT Q1 1" count="0">
      <extLst>
        <ext xmlns:x15="http://schemas.microsoft.com/office/spreadsheetml/2010/11/main" uri="{B97F6D7D-B522-45F9-BDA1-12C45D357490}">
          <x15:cacheHierarchy aggregatedColumn="134"/>
        </ext>
      </extLst>
    </cacheHierarchy>
    <cacheHierarchy uniqueName="[Measures].[Count of What race do you consider yourself]" caption="Count of What race do you consider yourself" measure="1" displayFolder="" measureGroup="PT Q1 1" count="0">
      <extLst>
        <ext xmlns:x15="http://schemas.microsoft.com/office/spreadsheetml/2010/11/main" uri="{B97F6D7D-B522-45F9-BDA1-12C45D357490}">
          <x15:cacheHierarchy aggregatedColumn="137"/>
        </ext>
      </extLst>
    </cacheHierarchy>
    <cacheHierarchy uniqueName="[Measures].[Count of Do you currently have health insurance]" caption="Count of Do you currently have health insurance" measure="1" displayFolder="" measureGroup="PT Q1 1" count="0">
      <extLst>
        <ext xmlns:x15="http://schemas.microsoft.com/office/spreadsheetml/2010/11/main" uri="{B97F6D7D-B522-45F9-BDA1-12C45D357490}">
          <x15:cacheHierarchy aggregatedColumn="143"/>
        </ext>
      </extLst>
    </cacheHierarchy>
    <cacheHierarchy uniqueName="[Measures].[Count of What type of insurance do you have]" caption="Count of What type of insurance do you have" measure="1" displayFolder="" measureGroup="PT Q1 1" count="0">
      <extLst>
        <ext xmlns:x15="http://schemas.microsoft.com/office/spreadsheetml/2010/11/main" uri="{B97F6D7D-B522-45F9-BDA1-12C45D357490}">
          <x15:cacheHierarchy aggregatedColumn="144"/>
        </ext>
      </extLst>
    </cacheHierarchy>
    <cacheHierarchy uniqueName="[Measures].[Count of Do you have access to reliable internet in your home]" caption="Count of Do you have access to reliable internet in your home" measure="1" displayFolder="" measureGroup="PT Q1 1" count="0">
      <extLst>
        <ext xmlns:x15="http://schemas.microsoft.com/office/spreadsheetml/2010/11/main" uri="{B97F6D7D-B522-45F9-BDA1-12C45D357490}">
          <x15:cacheHierarchy aggregatedColumn="145"/>
        </ext>
      </extLst>
    </cacheHierarchy>
    <cacheHierarchy uniqueName="[Measures].[Sum of Female Flag]" caption="Sum of Female Flag" measure="1" displayFolder="" measureGroup="PT Q1 1" count="0">
      <extLst>
        <ext xmlns:x15="http://schemas.microsoft.com/office/spreadsheetml/2010/11/main" uri="{B97F6D7D-B522-45F9-BDA1-12C45D357490}">
          <x15:cacheHierarchy aggregatedColumn="146"/>
        </ext>
      </extLst>
    </cacheHierarchy>
    <cacheHierarchy uniqueName="[Measures].[Sum of Male Flag]" caption="Sum of Male Flag" measure="1" displayFolder="" measureGroup="PT Q1 1" count="0">
      <extLst>
        <ext xmlns:x15="http://schemas.microsoft.com/office/spreadsheetml/2010/11/main" uri="{B97F6D7D-B522-45F9-BDA1-12C45D357490}">
          <x15:cacheHierarchy aggregatedColumn="147"/>
        </ext>
      </extLst>
    </cacheHierarchy>
    <cacheHierarchy uniqueName="[Measures].[Sum of WhiteCaucasian Flag]" caption="Sum of WhiteCaucasian Flag" measure="1" displayFolder="" measureGroup="PT Q1 1" count="0">
      <extLst>
        <ext xmlns:x15="http://schemas.microsoft.com/office/spreadsheetml/2010/11/main" uri="{B97F6D7D-B522-45F9-BDA1-12C45D357490}">
          <x15:cacheHierarchy aggregatedColumn="150"/>
        </ext>
      </extLst>
    </cacheHierarchy>
    <cacheHierarchy uniqueName="[Measures].[Sum of BlackAfrican American Flag]" caption="Sum of BlackAfrican American Flag" measure="1" displayFolder="" measureGroup="PT Q1 1" count="0">
      <extLst>
        <ext xmlns:x15="http://schemas.microsoft.com/office/spreadsheetml/2010/11/main" uri="{B97F6D7D-B522-45F9-BDA1-12C45D357490}">
          <x15:cacheHierarchy aggregatedColumn="151"/>
        </ext>
      </extLst>
    </cacheHierarchy>
    <cacheHierarchy uniqueName="[Measures].[Total Respondents]" caption="Total Respondents" measure="1" displayFolder="" measureGroup="PT Q1" count="0"/>
    <cacheHierarchy uniqueName="[Measures].[Woman]" caption="Woman" measure="1" displayFolder="" measureGroup="PT Q1" count="0"/>
    <cacheHierarchy uniqueName="[Measures].[Man]" caption="Man" measure="1" displayFolder="" measureGroup="PT Q1" count="0"/>
    <cacheHierarchy uniqueName="[Measures].[Transgender]" caption="Transgender" measure="1" displayFolder="" measureGroup="PT Q1" count="0"/>
    <cacheHierarchy uniqueName="[Measures].[Other Gender]" caption="Other Gender" measure="1" displayFolder="" measureGroup="PT Q1" count="0"/>
    <cacheHierarchy uniqueName="[Measures].[Ethnicity]" caption="Ethnicity" measure="1" displayFolder="" measureGroup="PT Q1" count="0"/>
    <cacheHierarchy uniqueName="[Measures].[White]" caption="White" measure="1" displayFolder="" measureGroup="PT Q1" count="0"/>
    <cacheHierarchy uniqueName="[Measures].[Black/African American]" caption="Black/African American" measure="1" displayFolder="" measureGroup="PT Q1" count="0"/>
    <cacheHierarchy uniqueName="[Measures].[Native Hawaiian/Pacific Islander]" caption="Native Hawaiian/Pacific Islander" measure="1" displayFolder="" measureGroup="PT Q1" count="0"/>
    <cacheHierarchy uniqueName="[Measures].[American Indian/Alaska Native]" caption="American Indian/Alaska Native" measure="1" displayFolder="" measureGroup="PT Q1" count="0"/>
    <cacheHierarchy uniqueName="[Measures].[Multi-racial]" caption="Multi-racial" measure="1" displayFolder="" measureGroup="PT Q1" count="0"/>
    <cacheHierarchy uniqueName="[Measures].[Other Race]" caption="Other Race" measure="1" displayFolder="" measureGroup="PT Q1" count="0"/>
    <cacheHierarchy uniqueName="[Measures].[Income $0-$19,999]" caption="Income $0-$19,999" measure="1" displayFolder="" measureGroup="PT Q1" count="0"/>
    <cacheHierarchy uniqueName="[Measures].[Income $20,000 to $34,999]" caption="Income $20,000 to $34,999" measure="1" displayFolder="" measureGroup="PT Q1" count="0"/>
    <cacheHierarchy uniqueName="[Measures].[Income $35,000 to $49,999]" caption="Income $35,000 to $49,999" measure="1" displayFolder="" measureGroup="PT Q1" count="0"/>
    <cacheHierarchy uniqueName="[Measures].[income $50,000 to $74,999]" caption="income $50,000 to $74,999" measure="1" displayFolder="" measureGroup="PT Q1" count="0"/>
    <cacheHierarchy uniqueName="[Measures].[Income $75,000 to $125,000]" caption="Income $75,000 to $125,000" measure="1" displayFolder="" measureGroup="PT Q1" count="0"/>
    <cacheHierarchy uniqueName="[Measures].[Income Over $125,000]" caption="Income Over $125,000" measure="1" displayFolder="" measureGroup="PT Q1" count="0"/>
    <cacheHierarchy uniqueName="[Measures].[Age 18-24]" caption="Age 18-24" measure="1" displayFolder="" measureGroup="PT Q1" count="0"/>
    <cacheHierarchy uniqueName="[Measures].[Age 25 to 34]" caption="Age 25 to 34" measure="1" displayFolder="" measureGroup="PT Q1" count="0"/>
    <cacheHierarchy uniqueName="[Measures].[Age 35 to 44]" caption="Age 35 to 44" measure="1" displayFolder="" measureGroup="PT Q1" count="0"/>
    <cacheHierarchy uniqueName="[Measures].[Age 45 to 54]" caption="Age 45 to 54" measure="1" displayFolder="" measureGroup="PT Q1" count="0"/>
    <cacheHierarchy uniqueName="[Measures].[Age 55 to 64]" caption="Age 55 to 64" measure="1" displayFolder="" measureGroup="PT Q1" count="0"/>
    <cacheHierarchy uniqueName="[Measures].[Age 65+]" caption="Age 65+" measure="1" displayFolder="" measureGroup="PT Q1" count="0"/>
    <cacheHierarchy uniqueName="[Measures].[K-8 Grade]" caption="K-8 Grade" measure="1" displayFolder="" measureGroup="PT Q1" count="0"/>
    <cacheHierarchy uniqueName="[Measures].[High School]" caption="High School" measure="1" displayFolder="" measureGroup="PT Q1" count="0"/>
    <cacheHierarchy uniqueName="[Measures].[Some High School]" caption="Some High School" measure="1" displayFolder="" measureGroup="PT Q1" count="0"/>
    <cacheHierarchy uniqueName="[Measures].[College]" caption="College" measure="1" displayFolder="" measureGroup="PT Q1" count="0"/>
    <cacheHierarchy uniqueName="[Measures].[Some College]" caption="Some College" measure="1" displayFolder="" measureGroup="PT Q1" count="0"/>
    <cacheHierarchy uniqueName="[Measures].[Technical School]" caption="Technical School" measure="1" displayFolder="" measureGroup="PT Q1" count="0"/>
    <cacheHierarchy uniqueName="[Measures].[Graduate School]" caption="Graduate School" measure="1" displayFolder="" measureGroup="PT Q1" count="0"/>
    <cacheHierarchy uniqueName="[Measures].[Doctorate]" caption="Doctorate" measure="1" displayFolder="" measureGroup="PT Q1" count="0"/>
    <cacheHierarchy uniqueName="[Measures].[GED]" caption="GED" measure="1" displayFolder="" measureGroup="PT Q1" count="0"/>
    <cacheHierarchy uniqueName="[Measures].[Employed for Wages]" caption="Employed for Wages" measure="1" displayFolder="" measureGroup="PT Q1" count="0"/>
    <cacheHierarchy uniqueName="[Measures].[Self-employed]" caption="Self-employed" measure="1" displayFolder="" measureGroup="PT Q1" count="0"/>
    <cacheHierarchy uniqueName="[Measures].[Student]" caption="Student" measure="1" displayFolder="" measureGroup="PT Q1" count="0"/>
    <cacheHierarchy uniqueName="[Measures].[Retired]" caption="Retired" measure="1" displayFolder="" measureGroup="PT Q1" count="0"/>
    <cacheHierarchy uniqueName="[Measures].[Military]" caption="Military" measure="1" displayFolder="" measureGroup="PT Q1" count="0"/>
    <cacheHierarchy uniqueName="[Measures].[Out of Work and Looking]" caption="Out of Work and Looking" measure="1" displayFolder="" measureGroup="PT Q1" count="0"/>
    <cacheHierarchy uniqueName="[Measures].[Out of Work Not Looking]" caption="Out of Work Not Looking" measure="1" displayFolder="" measureGroup="PT Q1" count="0"/>
    <cacheHierarchy uniqueName="[Measures].[Health Insurance Yes]" caption="Health Insurance Yes" measure="1" displayFolder="" measureGroup="PT Q1" count="0"/>
    <cacheHierarchy uniqueName="[Measures].[Health Insurance No]" caption="Health Insurance No" measure="1" displayFolder="" measureGroup="PT Q1" count="0"/>
    <cacheHierarchy uniqueName="[Measures].[Health Insurance In the Past]" caption="Health Insurance In the Past" measure="1" displayFolder="" measureGroup="PT Q1" count="0"/>
    <cacheHierarchy uniqueName="[Measures].[Medicare]" caption="Medicare" measure="1" displayFolder="" measureGroup="PT Q1" count="0"/>
    <cacheHierarchy uniqueName="[Measures].[Medicaid]" caption="Medicaid" measure="1" displayFolder="" measureGroup="PT Q1" count="0"/>
    <cacheHierarchy uniqueName="[Measures].[Private/Commerical]" caption="Private/Commerical" measure="1" displayFolder="" measureGroup="PT Q1" count="0"/>
    <cacheHierarchy uniqueName="[Measures].[Not Insured]" caption="Not Insured" measure="1" displayFolder="" measureGroup="PT Q1" count="0"/>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PT Q1 1]" caption="__XL_Count PT Q1 1" measure="1" displayFolder="" measureGroup="PT Q1 1"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1156"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1" cacheId="325" applyNumberFormats="0" applyBorderFormats="0" applyFontFormats="0" applyPatternFormats="0" applyAlignmentFormats="0" applyWidthHeightFormats="1" dataCaption="Values" tag="bb9c7d34-5bd4-4e12-a0b5-b25056707960" updatedVersion="5" minRefreshableVersion="3" useAutoFormatting="1" itemPrintTitles="1" createdVersion="5" indent="0" outline="1" outlineData="1" multipleFieldFilters="0" rowHeaderCaption="Zip Code">
  <location ref="B14:AW152" firstHeaderRow="0" firstDataRow="1" firstDataCol="1"/>
  <pivotFields count="49">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axis="axisRow" allDrilled="1" showAll="0" dataSourceSort="1" defaultAttributeDrillState="1">
      <items count="138">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s="1" x="87"/>
        <item s="1" x="88"/>
        <item s="1" x="89"/>
        <item s="1" x="90"/>
        <item s="1" x="91"/>
        <item s="1" x="92"/>
        <item s="1" x="93"/>
        <item s="1" x="94"/>
        <item s="1" x="95"/>
        <item s="1" x="96"/>
        <item s="1" x="97"/>
        <item s="1" x="98"/>
        <item s="1" x="99"/>
        <item s="1" x="100"/>
        <item s="1" x="101"/>
        <item s="1" x="102"/>
        <item s="1" x="103"/>
        <item s="1" x="104"/>
        <item s="1" x="105"/>
        <item s="1" x="106"/>
        <item s="1" x="107"/>
        <item s="1" x="108"/>
        <item s="1" x="109"/>
        <item s="1" x="110"/>
        <item s="1" x="111"/>
        <item s="1" x="112"/>
        <item s="1" x="113"/>
        <item s="1" x="114"/>
        <item s="1" x="115"/>
        <item s="1" x="116"/>
        <item s="1" x="117"/>
        <item s="1" x="118"/>
        <item s="1" x="119"/>
        <item s="1" x="120"/>
        <item s="1" x="121"/>
        <item s="1" x="122"/>
        <item s="1" x="123"/>
        <item s="1" x="124"/>
        <item s="1" x="125"/>
        <item s="1" x="126"/>
        <item s="1" x="127"/>
        <item s="1" x="128"/>
        <item s="1" x="129"/>
        <item s="1" x="130"/>
        <item s="1" x="131"/>
        <item s="1" x="132"/>
        <item s="1" x="133"/>
        <item s="1" x="134"/>
        <item s="1" x="135"/>
        <item s="1" x="136"/>
        <item t="default"/>
      </items>
    </pivotField>
    <pivotField dataField="1" showAll="0"/>
    <pivotField allDrilled="1" showAll="0" dataSourceSort="1" defaultAttributeDrillState="1"/>
  </pivotFields>
  <rowFields count="1">
    <field x="46"/>
  </rowFields>
  <rowItems count="1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t="grand">
      <x/>
    </i>
  </rowItems>
  <colFields count="1">
    <field x="-2"/>
  </colFields>
  <colItems count="47">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colItems>
  <dataFields count="47">
    <dataField fld="47" subtotal="count" baseField="0" baseItem="0"/>
    <dataField fld="0" subtotal="count" baseField="46" baseItem="0" numFmtId="164"/>
    <dataField fld="1" subtotal="count" baseField="46" baseItem="0" numFmtId="164"/>
    <dataField fld="2" subtotal="count" baseField="46" baseItem="0" numFmtId="164"/>
    <dataField fld="3" subtotal="count" baseField="46" baseItem="0" numFmtId="164"/>
    <dataField fld="4" subtotal="count" baseField="46" baseItem="0" numFmtId="164"/>
    <dataField fld="5" subtotal="count" baseField="46" baseItem="0" numFmtId="164"/>
    <dataField fld="6" subtotal="count" baseField="46" baseItem="0" numFmtId="164"/>
    <dataField fld="7" subtotal="count" baseField="46" baseItem="0" numFmtId="164"/>
    <dataField fld="8" subtotal="count" baseField="46" baseItem="0" numFmtId="164"/>
    <dataField fld="9" subtotal="count" baseField="46" baseItem="0" numFmtId="164"/>
    <dataField fld="10" subtotal="count" baseField="46" baseItem="0" numFmtId="164"/>
    <dataField fld="11" subtotal="count" baseField="46" baseItem="0" numFmtId="164"/>
    <dataField fld="12" subtotal="count" baseField="46" baseItem="0" numFmtId="164"/>
    <dataField fld="13" subtotal="count" baseField="46" baseItem="0" numFmtId="164"/>
    <dataField fld="14" subtotal="count" baseField="46" baseItem="0" numFmtId="164"/>
    <dataField fld="15" subtotal="count" baseField="46" baseItem="0" numFmtId="164"/>
    <dataField fld="16" subtotal="count" baseField="46" baseItem="0" numFmtId="164"/>
    <dataField fld="17" subtotal="count" baseField="46" baseItem="0" numFmtId="164"/>
    <dataField fld="18" subtotal="count" baseField="46" baseItem="0" numFmtId="164"/>
    <dataField fld="19" subtotal="count" baseField="46" baseItem="0" numFmtId="164"/>
    <dataField fld="20" subtotal="count" baseField="46" baseItem="0" numFmtId="164"/>
    <dataField fld="21" subtotal="count" baseField="46" baseItem="0" numFmtId="164"/>
    <dataField fld="22" subtotal="count" baseField="46" baseItem="0" numFmtId="164"/>
    <dataField fld="23" subtotal="count" baseField="46" baseItem="0" numFmtId="164"/>
    <dataField fld="24" subtotal="count" baseField="46" baseItem="0" numFmtId="164"/>
    <dataField fld="25" subtotal="count" baseField="46" baseItem="0" numFmtId="164"/>
    <dataField fld="26" subtotal="count" baseField="46" baseItem="0" numFmtId="164"/>
    <dataField fld="27" subtotal="count" baseField="46" baseItem="0" numFmtId="164"/>
    <dataField fld="28" subtotal="count" baseField="46" baseItem="0" numFmtId="164"/>
    <dataField fld="29" subtotal="count" baseField="46" baseItem="0" numFmtId="164"/>
    <dataField fld="30" subtotal="count" baseField="46" baseItem="0" numFmtId="164"/>
    <dataField fld="31" subtotal="count" baseField="46" baseItem="0" numFmtId="164"/>
    <dataField fld="32" subtotal="count" baseField="46" baseItem="0" numFmtId="164"/>
    <dataField fld="33" subtotal="count" baseField="46" baseItem="0" numFmtId="164"/>
    <dataField fld="34" subtotal="count" baseField="46" baseItem="0" numFmtId="164"/>
    <dataField fld="35" subtotal="count" baseField="46" baseItem="0" numFmtId="164"/>
    <dataField fld="36" subtotal="count" baseField="46" baseItem="0" numFmtId="164"/>
    <dataField fld="37" subtotal="count" baseField="46" baseItem="0" numFmtId="164"/>
    <dataField fld="38" subtotal="count" baseField="46" baseItem="0" numFmtId="164"/>
    <dataField fld="39" subtotal="count" baseField="46" baseItem="0" numFmtId="164"/>
    <dataField fld="40" subtotal="count" baseField="46" baseItem="0" numFmtId="164"/>
    <dataField fld="41" subtotal="count" baseField="46" baseItem="0" numFmtId="164"/>
    <dataField fld="42" subtotal="count" baseField="46" baseItem="0" numFmtId="164"/>
    <dataField fld="43" subtotal="count" baseField="46" baseItem="0" numFmtId="164"/>
    <dataField fld="44" subtotal="count" baseField="46" baseItem="0" numFmtId="164"/>
    <dataField fld="45" subtotal="count" baseField="46" baseItem="0" numFmtId="164"/>
  </dataFields>
  <pivotHierarchies count="60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3" level="1">
        <member name="[PT Q1].[County where you live:].&amp;[Nassau]"/>
        <member name="[PT Q1].[County where you live:].&amp;[Queens]"/>
        <member name="[PT Q1].[County where you live:].&amp;[Suffolk]"/>
      </members>
    </pivotHierarchy>
    <pivotHierarchy multipleItemSelectionAllowed="1" dragToData="1">
      <members count="144" level="1">
        <member name=""/>
        <member name=""/>
        <member name=""/>
        <member name=""/>
        <member name=""/>
        <member name=""/>
        <member name=""/>
        <member name=""/>
        <member name=""/>
        <member name=""/>
        <member name=""/>
        <member name=""/>
        <member name=""/>
        <member name=""/>
        <member name=""/>
        <member name=""/>
        <member name="[PT Q1].[Town and ZIP code where you live:].&amp;[Allenwood, 11021]"/>
        <member name=""/>
        <member name=""/>
        <member name=""/>
        <member name=""/>
        <member name="[PT Q1].[Town and ZIP code where you live:].&amp;[Atlantic Beach, 11509]"/>
        <member name=""/>
        <member name=""/>
        <member name=""/>
        <member name=""/>
        <member name=""/>
        <member name=""/>
        <member name=""/>
        <member name=""/>
        <member name=""/>
        <member name=""/>
        <member name=""/>
        <member name=""/>
        <member name="[PT Q1].[Town and ZIP code where you live:].&amp;[Brookville, 11545]"/>
        <member name=""/>
        <member name=""/>
        <member name=""/>
        <member name=""/>
        <member name=""/>
        <member name=""/>
        <member name=""/>
        <member name=""/>
        <member name=""/>
        <member name=""/>
        <member name="[PT Q1].[Town and ZIP code where you live:].&amp;[East Hills, 11576]"/>
        <member name=""/>
        <member name=""/>
        <member name=""/>
        <member name=""/>
        <member name=""/>
        <member name=""/>
        <member name=""/>
        <member name=""/>
        <member name=""/>
        <member name="[PT Q1].[Town and ZIP code where you live:].&amp;[Garden City South, 11530]"/>
        <member name=""/>
        <member name=""/>
        <member name="[PT Q1].[Town and ZIP code where you live:].&amp;[Garden City, 11536]"/>
        <member name=""/>
        <member name=""/>
        <member name=""/>
        <member name=""/>
        <member name=""/>
        <member name="[PT Q1].[Town and ZIP code where you live:].&amp;[Hempstead, 11549]"/>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T Q1]"/>
      </x15:pivotTableUISettings>
    </ext>
  </extLst>
</pivotTableDefinition>
</file>

<file path=xl/pivotTables/pivotTable2.xml><?xml version="1.0" encoding="utf-8"?>
<pivotTableDefinition xmlns="http://schemas.openxmlformats.org/spreadsheetml/2006/main" name="PivotTable12" cacheId="310" applyNumberFormats="0" applyBorderFormats="0" applyFontFormats="0" applyPatternFormats="0" applyAlignmentFormats="0" applyWidthHeightFormats="1" dataCaption="Values" tag="0e8fed05-5922-4d42-8fdd-814cb035673a" updatedVersion="5" minRefreshableVersion="3" useAutoFormatting="1" subtotalHiddenItems="1" colGrandTotals="0" itemPrintTitles="1" createdVersion="5" indent="0" outline="1" outlineData="1" multipleFieldFilters="0" rowHeaderCaption="Town, Zip Code">
  <location ref="C13:Q159" firstHeaderRow="0" firstDataRow="1" firstDataCol="1"/>
  <pivotFields count="15">
    <pivotField name="Town, Zip Code" axis="axisRow" allDrilled="1" showAll="0" dataSourceSort="1" defaultAttributeDrillState="1">
      <items count="1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1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Count of Respondents" fld="2" subtotal="count" baseField="0" baseItem="0"/>
    <dataField name="Asthma/Lung Disease" fld="3" baseField="0" baseItem="0" numFmtId="2"/>
    <dataField name="Cancer" fld="4" baseField="0" baseItem="0" numFmtId="2"/>
    <dataField name="Child Health &amp; Wellness" fld="9" baseField="0" baseItem="0" numFmtId="2"/>
    <dataField name="Diabetes" fld="10" baseField="0" baseItem="0" numFmtId="2"/>
    <dataField name="Drugs &amp; Alcohol Abuse" fld="12" baseField="0" baseItem="0" numFmtId="2"/>
    <dataField name="Environmental Hazards" fld="13" baseField="0" baseItem="1" numFmtId="2"/>
    <dataField name="Heart Disease &amp; Stroke" fld="5" baseField="0" baseItem="1" numFmtId="2"/>
    <dataField name="HIV/AIDS &amp; STDs" fld="7" baseField="0" baseItem="1" numFmtId="2"/>
    <dataField name="Mental Health Depression/Suicide" fld="11" baseField="0" baseItem="1" numFmtId="2"/>
    <dataField name="Obesity/Weight Loss Issues" fld="14" baseField="0" baseItem="1" numFmtId="2"/>
    <dataField name="Safety" fld="6" baseField="0" baseItem="1" numFmtId="2"/>
    <dataField name="Vaccine Preventable Diseases" fld="8" baseField="0" baseItem="1" numFmtId="2"/>
    <dataField name="Women’s Health &amp; Wellness" fld="1" baseField="0" baseItem="1" numFmtId="2"/>
  </dataFields>
  <formats count="15">
    <format dxfId="49">
      <pivotArea outline="0" fieldPosition="0">
        <references count="1">
          <reference field="4294967294" count="1">
            <x v="6"/>
          </reference>
        </references>
      </pivotArea>
    </format>
    <format dxfId="48">
      <pivotArea outline="0" fieldPosition="0">
        <references count="1">
          <reference field="4294967294" count="1">
            <x v="7"/>
          </reference>
        </references>
      </pivotArea>
    </format>
    <format dxfId="47">
      <pivotArea outline="0" fieldPosition="0">
        <references count="1">
          <reference field="4294967294" count="1">
            <x v="8"/>
          </reference>
        </references>
      </pivotArea>
    </format>
    <format dxfId="46">
      <pivotArea outline="0" fieldPosition="0">
        <references count="1">
          <reference field="4294967294" count="1">
            <x v="9"/>
          </reference>
        </references>
      </pivotArea>
    </format>
    <format dxfId="45">
      <pivotArea outline="0" fieldPosition="0">
        <references count="1">
          <reference field="4294967294" count="1">
            <x v="10"/>
          </reference>
        </references>
      </pivotArea>
    </format>
    <format dxfId="44">
      <pivotArea outline="0" fieldPosition="0">
        <references count="1">
          <reference field="4294967294" count="1">
            <x v="11"/>
          </reference>
        </references>
      </pivotArea>
    </format>
    <format dxfId="43">
      <pivotArea outline="0" fieldPosition="0">
        <references count="1">
          <reference field="4294967294" count="1">
            <x v="12"/>
          </reference>
        </references>
      </pivotArea>
    </format>
    <format dxfId="42">
      <pivotArea outline="0" fieldPosition="0">
        <references count="1">
          <reference field="4294967294" count="1">
            <x v="13"/>
          </reference>
        </references>
      </pivotArea>
    </format>
    <format dxfId="41">
      <pivotArea dataOnly="0" labelOnly="1" fieldPosition="0">
        <references count="1">
          <reference field="0" count="0"/>
        </references>
      </pivotArea>
    </format>
    <format dxfId="40">
      <pivotArea field="0" type="button" dataOnly="0" labelOnly="1" outline="0" axis="axisRow" fieldPosition="0"/>
    </format>
    <format dxfId="39">
      <pivotArea dataOnly="0" outline="0" fieldPosition="0">
        <references count="1">
          <reference field="4294967294" count="1">
            <x v="13"/>
          </reference>
        </references>
      </pivotArea>
    </format>
    <format dxfId="38">
      <pivotArea grandRow="1" outline="0" collapsedLevelsAreSubtotals="1" fieldPosition="0"/>
    </format>
    <format dxfId="37">
      <pivotArea dataOnly="0" labelOnly="1" grandRow="1" outline="0" fieldPosition="0"/>
    </format>
    <format dxfId="36">
      <pivotArea grandRow="1" outline="0" collapsedLevelsAreSubtotals="1" fieldPosition="0"/>
    </format>
    <format dxfId="35">
      <pivotArea dataOnly="0" labelOnly="1" grandRow="1" outline="0" fieldPosition="0"/>
    </format>
  </formats>
  <pivotHierarchies count="60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caption="Town, Zip Code"/>
    <pivotHierarchy multipleItemSelectionAllowed="1" dragToData="1"/>
    <pivotHierarchy multipleItemSelectionAllowed="1" dragToData="1"/>
    <pivotHierarchy dragToData="1"/>
    <pivotHierarchy multipleItemSelectionAllowed="1"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T Q1]"/>
      </x15:pivotTableUISettings>
    </ext>
  </extLst>
</pivotTableDefinition>
</file>

<file path=xl/pivotTables/pivotTable3.xml><?xml version="1.0" encoding="utf-8"?>
<pivotTableDefinition xmlns="http://schemas.openxmlformats.org/spreadsheetml/2006/main" name="PivotTable1" cacheId="1" applyNumberFormats="0" applyBorderFormats="0" applyFontFormats="0" applyPatternFormats="0" applyAlignmentFormats="0" applyWidthHeightFormats="1" dataCaption="Values" tag="7adb301a-b132-4bb9-9b1f-b005493ea52c" updatedVersion="5" minRefreshableVersion="3" useAutoFormatting="1" subtotalHiddenItems="1" itemPrintTitles="1" createdVersion="5" indent="0" outline="1" outlineData="1" multipleFieldFilters="0" rowHeaderCaption="Town, Zip Code">
  <location ref="C13:Q159" firstHeaderRow="0" firstDataRow="1" firstDataCol="1"/>
  <pivotFields count="23">
    <pivotField dataField="1" showAll="0"/>
    <pivotField axis="axisRow" allDrilled="1" showAll="0" dataSourceSort="1" defaultAttributeDrillState="1">
      <items count="1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1">
    <field x="1"/>
  </rowFields>
  <rowItems count="1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Count of Respondents" fld="0" subtotal="count" baseField="0" baseItem="3270240"/>
    <dataField name="Asthma/Lung Disease" fld="2" baseField="1" baseItem="0" numFmtId="2"/>
    <dataField name="Cancer" fld="3" baseField="1" baseItem="0" numFmtId="2"/>
    <dataField name="Child Health &amp; Wellness" fld="4" baseField="1" baseItem="0" numFmtId="2"/>
    <dataField name="Diabetes" fld="5" baseField="1" baseItem="0" numFmtId="2"/>
    <dataField name="Drugs &amp; Alcohol Abuse" fld="6" baseField="1" baseItem="0" numFmtId="2"/>
    <dataField name="Environmental Hazards" fld="7" baseField="1" baseItem="0" numFmtId="2"/>
    <dataField name="Heart Disease &amp; Stroke" fld="8" baseField="1" baseItem="0" numFmtId="2"/>
    <dataField name="HIV/AIDS &amp; STDs" fld="9" baseField="1" baseItem="0" numFmtId="2"/>
    <dataField name="Mental Health Depression/Suicide" fld="10" baseField="1" baseItem="0" numFmtId="2"/>
    <dataField name="Obesity/Weight Loss Issues" fld="11" baseField="1" baseItem="0" numFmtId="2"/>
    <dataField name="Safety" fld="12" baseField="1" baseItem="0" numFmtId="2"/>
    <dataField name="Vaccine Preventable Diseases" fld="13" baseField="1" baseItem="0" numFmtId="2"/>
    <dataField name="Women’s Health &amp; Wellness" fld="14" baseField="1" baseItem="0" numFmtId="2"/>
  </dataFields>
  <formats count="5">
    <format dxfId="34">
      <pivotArea field="1" type="button" dataOnly="0" labelOnly="1" outline="0" axis="axisRow" fieldPosition="0"/>
    </format>
    <format dxfId="33">
      <pivotArea dataOnly="0" labelOnly="1" fieldPosition="0">
        <references count="1">
          <reference field="1" count="0"/>
        </references>
      </pivotArea>
    </format>
    <format dxfId="32">
      <pivotArea dataOnly="0" outline="0" fieldPosition="0">
        <references count="1">
          <reference field="4294967294" count="1">
            <x v="13"/>
          </reference>
        </references>
      </pivotArea>
    </format>
    <format dxfId="31">
      <pivotArea grandRow="1" outline="0" collapsedLevelsAreSubtotals="1" fieldPosition="0"/>
    </format>
    <format dxfId="30">
      <pivotArea dataOnly="0" labelOnly="1" grandRow="1" outline="0" fieldPosition="0"/>
    </format>
  </formats>
  <pivotHierarchies count="60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multipleItemSelectionAllowed="1" dragToData="1"/>
    <pivotHierarchy multipleItemSelectionAllowed="1" dragToData="1"/>
    <pivotHierarchy dragToData="1"/>
    <pivotHierarchy multipleItemSelectionAllowed="1"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3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T Q2]"/>
      </x15:pivotTableUISettings>
    </ext>
  </extLst>
</pivotTableDefinition>
</file>

<file path=xl/pivotTables/pivotTable4.xml><?xml version="1.0" encoding="utf-8"?>
<pivotTableDefinition xmlns="http://schemas.openxmlformats.org/spreadsheetml/2006/main" name="PivotTable2" cacheId="2" applyNumberFormats="0" applyBorderFormats="0" applyFontFormats="0" applyPatternFormats="0" applyAlignmentFormats="0" applyWidthHeightFormats="1" dataCaption="Values" tag="cfe09429-1564-4a73-94f3-4b34531bf531" updatedVersion="5" minRefreshableVersion="3" useAutoFormatting="1" itemPrintTitles="1" createdVersion="5" indent="0" outline="1" outlineData="1" multipleFieldFilters="0" rowHeaderCaption="Town, Zip Code">
  <location ref="C13:N159" firstHeaderRow="0" firstDataRow="1" firstDataCol="1"/>
  <pivotFields count="20">
    <pivotField dataField="1" showAll="0"/>
    <pivotField axis="axisRow" allDrilled="1" showAll="0" dataSourceSort="1" defaultAttributeDrillState="1">
      <items count="1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1">
    <field x="1"/>
  </rowFields>
  <rowItems count="1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t="grand">
      <x/>
    </i>
  </rowItems>
  <colFields count="1">
    <field x="-2"/>
  </colFields>
  <colItems count="11">
    <i>
      <x/>
    </i>
    <i i="1">
      <x v="1"/>
    </i>
    <i i="2">
      <x v="2"/>
    </i>
    <i i="3">
      <x v="3"/>
    </i>
    <i i="4">
      <x v="4"/>
    </i>
    <i i="5">
      <x v="5"/>
    </i>
    <i i="6">
      <x v="6"/>
    </i>
    <i i="7">
      <x v="7"/>
    </i>
    <i i="8">
      <x v="8"/>
    </i>
    <i i="9">
      <x v="9"/>
    </i>
    <i i="10">
      <x v="10"/>
    </i>
  </colItems>
  <dataFields count="11">
    <dataField name="Count of Respondents" fld="0" subtotal="count" baseField="0" baseItem="3270240" numFmtId="1"/>
    <dataField name="Cultural/Religious Beliefs" fld="2" baseField="2" baseItem="0" numFmtId="2"/>
    <dataField name="Don’t Know How to Find Doctors" fld="3" baseField="2" baseItem="0" numFmtId="2"/>
    <dataField name="Don’t Understand Need to See a Doctor" fld="4" baseField="2" baseItem="0" numFmtId="2"/>
    <dataField name="Lack of Availability of Doctors" fld="5" baseField="2" baseItem="0" numFmtId="2"/>
    <dataField name="Language Barriers" fld="6" baseField="2" baseItem="0" numFmtId="2"/>
    <dataField name="No Insurance" fld="7" baseField="2" baseItem="0" numFmtId="2"/>
    <dataField name="There are no Barriers" fld="8" baseField="2" baseItem="0" numFmtId="2"/>
    <dataField name="Transportation" fld="9" baseField="2" baseItem="0" numFmtId="2"/>
    <dataField name="Unable to Pay Co-pays/Deductibles" fld="10" baseField="2" baseItem="0" numFmtId="2"/>
    <dataField name="Fear (e.g. not ready to face/discuss health problem;immigration status)" fld="12" baseField="0" baseItem="0" numFmtId="2"/>
  </dataFields>
  <formats count="6">
    <format dxfId="29">
      <pivotArea dataOnly="0" labelOnly="1" fieldPosition="0">
        <references count="1">
          <reference field="1" count="0"/>
        </references>
      </pivotArea>
    </format>
    <format dxfId="28">
      <pivotArea field="1" type="button" dataOnly="0" labelOnly="1" outline="0" axis="axisRow" fieldPosition="0"/>
    </format>
    <format dxfId="27">
      <pivotArea dataOnly="0" outline="0" fieldPosition="0">
        <references count="1">
          <reference field="4294967294" count="1">
            <x v="9"/>
          </reference>
        </references>
      </pivotArea>
    </format>
    <format dxfId="26">
      <pivotArea grandRow="1" outline="0" collapsedLevelsAreSubtotals="1" fieldPosition="0"/>
    </format>
    <format dxfId="25">
      <pivotArea dataOnly="0" labelOnly="1" grandRow="1" outline="0" fieldPosition="0"/>
    </format>
    <format dxfId="24">
      <pivotArea outline="0" collapsedLevelsAreSubtotals="1" fieldPosition="0">
        <references count="1">
          <reference field="4294967294" count="1" selected="0">
            <x v="10"/>
          </reference>
        </references>
      </pivotArea>
    </format>
  </formats>
  <pivotHierarchies count="60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multipleItemSelectionAllowed="1" dragToData="1"/>
    <pivotHierarchy multipleItemSelectionAllowed="1" dragToData="1"/>
    <pivotHierarchy dragToData="1"/>
    <pivotHierarchy multipleItemSelectionAllowed="1"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Fear (e.g. not ready to face/discuss health problem;immigration status)"/>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8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T Q3]"/>
      </x15:pivotTableUISettings>
    </ext>
  </extLst>
</pivotTableDefinition>
</file>

<file path=xl/pivotTables/pivotTable5.xml><?xml version="1.0" encoding="utf-8"?>
<pivotTableDefinition xmlns="http://schemas.openxmlformats.org/spreadsheetml/2006/main" name="PivotTable3" cacheId="3" applyNumberFormats="0" applyBorderFormats="0" applyFontFormats="0" applyPatternFormats="0" applyAlignmentFormats="0" applyWidthHeightFormats="1" dataCaption="Values" tag="0859bbf0-680f-436e-991c-6c5abf8c67cd" updatedVersion="5" minRefreshableVersion="3" useAutoFormatting="1" itemPrintTitles="1" createdVersion="5" indent="0" outline="1" outlineData="1" multipleFieldFilters="0" rowHeaderCaption="Town, Zip Code">
  <location ref="C13:P159" firstHeaderRow="0" firstDataRow="1" firstDataCol="1"/>
  <pivotFields count="22">
    <pivotField axis="axisRow" allDrilled="1" showAll="0" dataSourceSort="1" defaultAttributeDrillState="1">
      <items count="1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1">
    <field x="0"/>
  </rowFields>
  <rowItems count="1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t="grand">
      <x/>
    </i>
  </rowItems>
  <colFields count="1">
    <field x="-2"/>
  </colFields>
  <colItems count="13">
    <i>
      <x/>
    </i>
    <i i="1">
      <x v="1"/>
    </i>
    <i i="2">
      <x v="2"/>
    </i>
    <i i="3">
      <x v="3"/>
    </i>
    <i i="4">
      <x v="4"/>
    </i>
    <i i="5">
      <x v="5"/>
    </i>
    <i i="6">
      <x v="6"/>
    </i>
    <i i="7">
      <x v="7"/>
    </i>
    <i i="8">
      <x v="8"/>
    </i>
    <i i="9">
      <x v="9"/>
    </i>
    <i i="10">
      <x v="10"/>
    </i>
    <i i="11">
      <x v="11"/>
    </i>
    <i i="12">
      <x v="12"/>
    </i>
  </colItems>
  <dataFields count="13">
    <dataField name="Count of Respondents" fld="1" subtotal="count" baseField="1" baseItem="0" numFmtId="1"/>
    <dataField name="Clean Air &amp; Water" fld="2" baseField="0" baseItem="0" numFmtId="2"/>
    <dataField name="Drug &amp; Alcohol Rehabilitation Services" fld="3" baseField="0" baseItem="0" numFmtId="2"/>
    <dataField name="Healthier Food Choices" fld="4" baseField="0" baseItem="0" numFmtId="2"/>
    <dataField name="Job Opportunities" fld="5" baseField="0" baseItem="0" numFmtId="2"/>
    <dataField name="Mental Health Services" fld="6" baseField="0" baseItem="0" numFmtId="2"/>
    <dataField name="Recreation Facilities" fld="7" baseField="0" baseItem="0" numFmtId="2"/>
    <dataField name="Safe Childcare Options" fld="8" baseField="0" baseItem="0" numFmtId="2"/>
    <dataField name="Safe Places to Walk/Play" fld="9" baseField="0" baseItem="0" numFmtId="2"/>
    <dataField name="Safe Worksites" fld="10" baseField="0" baseItem="0" numFmtId="2"/>
    <dataField name="Smoking Cessation Programs" fld="11" baseField="0" baseItem="0" numFmtId="2"/>
    <dataField name="Transportation" fld="12" baseField="0" baseItem="0" numFmtId="2"/>
    <dataField name="Weight Loss Programs" fld="13" baseField="0" baseItem="0" numFmtId="2"/>
  </dataFields>
  <formats count="5">
    <format dxfId="23">
      <pivotArea field="0" type="button" dataOnly="0" labelOnly="1" outline="0" axis="axisRow" fieldPosition="0"/>
    </format>
    <format dxfId="22">
      <pivotArea dataOnly="0" labelOnly="1" fieldPosition="0">
        <references count="1">
          <reference field="0" count="0"/>
        </references>
      </pivotArea>
    </format>
    <format dxfId="21">
      <pivotArea dataOnly="0" outline="0" fieldPosition="0">
        <references count="1">
          <reference field="4294967294" count="1">
            <x v="12"/>
          </reference>
        </references>
      </pivotArea>
    </format>
    <format dxfId="20">
      <pivotArea grandRow="1" outline="0" collapsedLevelsAreSubtotals="1" fieldPosition="0"/>
    </format>
    <format dxfId="19">
      <pivotArea dataOnly="0" labelOnly="1" grandRow="1" outline="0" fieldPosition="0"/>
    </format>
  </formats>
  <pivotHierarchies count="60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multipleItemSelectionAllowed="1" dragToData="1"/>
    <pivotHierarchy multipleItemSelectionAllowed="1" dragToData="1"/>
    <pivotHierarchy dragToData="1"/>
    <pivotHierarchy multipleItemSelectionAllowed="1"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3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T Q4]"/>
      </x15:pivotTableUISettings>
    </ext>
  </extLst>
</pivotTableDefinition>
</file>

<file path=xl/pivotTables/pivotTable6.xml><?xml version="1.0" encoding="utf-8"?>
<pivotTableDefinition xmlns="http://schemas.openxmlformats.org/spreadsheetml/2006/main" name="PivotTable4" cacheId="4" applyNumberFormats="0" applyBorderFormats="0" applyFontFormats="0" applyPatternFormats="0" applyAlignmentFormats="0" applyWidthHeightFormats="1" dataCaption="Values" tag="72d6137d-09a0-4f60-bb14-e2917c17c478" updatedVersion="5" minRefreshableVersion="3" useAutoFormatting="1" subtotalHiddenItems="1" itemPrintTitles="1" createdVersion="5" indent="0" outline="1" outlineData="1" multipleFieldFilters="0" rowHeaderCaption="Town, Zip Code">
  <location ref="C13:U159" firstHeaderRow="0" firstDataRow="1" firstDataCol="1"/>
  <pivotFields count="27">
    <pivotField axis="axisRow" allDrilled="1" showAll="0" dataSourceSort="1" defaultAttributeDrillState="1">
      <items count="1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1">
    <field x="0"/>
  </rowFields>
  <rowItems count="1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t="grand">
      <x/>
    </i>
  </rowItems>
  <colFields count="1">
    <field x="-2"/>
  </colFields>
  <colItems count="18">
    <i>
      <x/>
    </i>
    <i i="1">
      <x v="1"/>
    </i>
    <i i="2">
      <x v="2"/>
    </i>
    <i i="3">
      <x v="3"/>
    </i>
    <i i="4">
      <x v="4"/>
    </i>
    <i i="5">
      <x v="5"/>
    </i>
    <i i="6">
      <x v="6"/>
    </i>
    <i i="7">
      <x v="7"/>
    </i>
    <i i="8">
      <x v="8"/>
    </i>
    <i i="9">
      <x v="9"/>
    </i>
    <i i="10">
      <x v="10"/>
    </i>
    <i i="11">
      <x v="11"/>
    </i>
    <i i="12">
      <x v="12"/>
    </i>
    <i i="13">
      <x v="13"/>
    </i>
    <i i="14">
      <x v="14"/>
    </i>
    <i i="15">
      <x v="15"/>
    </i>
    <i i="16">
      <x v="16"/>
    </i>
    <i i="17">
      <x v="17"/>
    </i>
  </colItems>
  <dataFields count="18">
    <dataField name="Count of Respondents" fld="1" subtotal="count" baseField="1" baseItem="0"/>
    <dataField name="Blood Pressure" fld="2" baseField="0" baseItem="0" numFmtId="2"/>
    <dataField name="Cancer" fld="3" baseField="0" baseItem="0" numFmtId="2"/>
    <dataField name="Cholesterol" fld="4" baseField="0" baseItem="0" numFmtId="2"/>
    <dataField name="Dental Screenings" fld="5" baseField="0" baseItem="0" numFmtId="2"/>
    <dataField name="Disease Outbreak Information" fld="6" baseField="0" baseItem="0" numFmtId="2"/>
    <dataField name="Drug &amp; Alcohol" fld="7" baseField="0" baseItem="0" numFmtId="2"/>
    <dataField name="Eating Disorders" fld="8" baseField="0" baseItem="0" numFmtId="2"/>
    <dataField name="Emergency Preparedness" fld="9" baseField="0" baseItem="0" numFmtId="2"/>
    <dataField name="Exercise/Physical Activity" fld="10" baseField="0" baseItem="0" numFmtId="2"/>
    <dataField name="Heart Disease" fld="11" baseField="0" baseItem="0" numFmtId="2"/>
    <dataField name="HIV/AIDS &amp; STDs" fld="12" baseField="0" baseItem="0" numFmtId="2"/>
    <dataField name="Importance of Routine Well Check Ups" fld="13" baseField="0" baseItem="0" numFmtId="2"/>
    <dataField name="Mental Health/Depression" fld="14" baseField="0" baseItem="0" numFmtId="2"/>
    <dataField name="Nutrition" fld="15" baseField="0" baseItem="0" numFmtId="2"/>
    <dataField name="Prenatal Care" fld="16" baseField="0" baseItem="0" numFmtId="2"/>
    <dataField name="Suicide Prevention" fld="17" baseField="0" baseItem="0" numFmtId="4"/>
    <dataField name="Vaccination Immunizations" fld="18" baseField="0" baseItem="0" numFmtId="2"/>
  </dataFields>
  <formats count="6">
    <format dxfId="18">
      <pivotArea field="0" type="button" dataOnly="0" labelOnly="1" outline="0" axis="axisRow" fieldPosition="0"/>
    </format>
    <format dxfId="17">
      <pivotArea dataOnly="0" labelOnly="1" fieldPosition="0">
        <references count="1">
          <reference field="0" count="0"/>
        </references>
      </pivotArea>
    </format>
    <format dxfId="16">
      <pivotArea dataOnly="0" outline="0" fieldPosition="0">
        <references count="1">
          <reference field="4294967294" count="1">
            <x v="17"/>
          </reference>
        </references>
      </pivotArea>
    </format>
    <format dxfId="15">
      <pivotArea grandRow="1" outline="0" collapsedLevelsAreSubtotals="1" fieldPosition="0"/>
    </format>
    <format dxfId="14">
      <pivotArea dataOnly="0" labelOnly="1" grandRow="1" outline="0" fieldPosition="0"/>
    </format>
    <format dxfId="13">
      <pivotArea outline="0" fieldPosition="0">
        <references count="1">
          <reference field="4294967294" count="1">
            <x v="16"/>
          </reference>
        </references>
      </pivotArea>
    </format>
  </formats>
  <pivotHierarchies count="60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multipleItemSelectionAllowed="1" dragToData="1"/>
    <pivotHierarchy multipleItemSelectionAllowed="1" dragToData="1"/>
    <pivotHierarchy dragToData="1"/>
    <pivotHierarchy multipleItemSelectionAllowed="1"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9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T Q5]"/>
      </x15:pivotTableUISettings>
    </ext>
  </extLst>
</pivotTableDefinition>
</file>

<file path=xl/pivotTables/pivotTable7.xml><?xml version="1.0" encoding="utf-8"?>
<pivotTableDefinition xmlns="http://schemas.openxmlformats.org/spreadsheetml/2006/main" name="PivotTable3" cacheId="5" applyNumberFormats="0" applyBorderFormats="0" applyFontFormats="0" applyPatternFormats="0" applyAlignmentFormats="0" applyWidthHeightFormats="1" dataCaption="Values" missingCaption="0" tag="99ef97b5-18e4-44c1-a1b0-68cccedd2291" updatedVersion="5" minRefreshableVersion="3" useAutoFormatting="1" subtotalHiddenItems="1" itemPrintTitles="1" createdVersion="5" indent="0" outline="1" outlineData="1" multipleFieldFilters="0" rowHeaderCaption="Town, Zip Code">
  <location ref="C13:Q159" firstHeaderRow="0" firstDataRow="1" firstDataCol="1"/>
  <pivotFields count="23">
    <pivotField dataField="1" showAll="0"/>
    <pivotField axis="axisRow" allDrilled="1" showAll="0" dataSourceSort="1" defaultAttributeDrillState="1">
      <items count="1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1">
    <field x="1"/>
  </rowFields>
  <rowItems count="1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Count of Respondents" fld="0" subtotal="count" baseField="0" baseItem="1237200"/>
    <dataField name="Doctor/Health Professional" fld="2" subtotal="count" baseField="1" baseItem="1"/>
    <dataField name="Family or Friends" fld="3" subtotal="count" baseField="1" baseItem="1"/>
    <dataField name="Health Department" fld="4" subtotal="count" baseField="1" baseItem="0"/>
    <dataField name="Hospital" fld="5" subtotal="count" baseField="1" baseItem="0"/>
    <dataField name="Internet" fld="6" subtotal="count" baseField="1" baseItem="0"/>
    <dataField name="Library" fld="7" subtotal="count" baseField="1" baseItem="0"/>
    <dataField name="Newspaper/Magazines" fld="8" subtotal="count" baseField="1" baseItem="0"/>
    <dataField name="Radio" fld="9" subtotal="count" baseField="1" baseItem="0"/>
    <dataField name="Religious Organization" fld="10" subtotal="count" baseField="1" baseItem="0"/>
    <dataField name="School/College" fld="11" subtotal="count" baseField="1" baseItem="0"/>
    <dataField name="Social Media (Facebook, Twitter, etc.)" fld="12" subtotal="count" baseField="1" baseItem="0"/>
    <dataField name="Television" fld="13" subtotal="count" baseField="1" baseItem="0"/>
    <dataField name="Worksite" fld="14" subtotal="count" baseField="1" baseItem="0"/>
  </dataFields>
  <formats count="3">
    <format dxfId="12">
      <pivotArea field="1" type="button" dataOnly="0" labelOnly="1" outline="0" axis="axisRow" fieldPosition="0"/>
    </format>
    <format dxfId="11">
      <pivotArea dataOnly="0" outline="0" fieldPosition="0">
        <references count="1">
          <reference field="4294967294" count="1">
            <x v="13"/>
          </reference>
        </references>
      </pivotArea>
    </format>
    <format dxfId="10">
      <pivotArea grandRow="1" outline="0" collapsedLevelsAreSubtotals="1" fieldPosition="0"/>
    </format>
  </formats>
  <pivotHierarchies count="60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multipleItemSelectionAllowed="1" dragToData="1"/>
    <pivotHierarchy multipleItemSelectionAllowed="1" dragToData="1"/>
    <pivotHierarchy dragToData="1"/>
    <pivotHierarchy multipleItemSelectionAllowed="1"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1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T Q6]"/>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Are_you_Hispanic_or_Latino?1" sourceName="[PT Q1].[Are you Hispanic or Latino?]">
  <pivotTables>
    <pivotTable tabId="12" name="PivotTable12"/>
  </pivotTables>
  <data>
    <olap pivotCacheId="1151">
      <levels count="2">
        <level uniqueName="[PT Q1].[Are you Hispanic or Latino?].[(All)]" sourceCaption="(All)" count="0"/>
        <level uniqueName="[PT Q1].[Are you Hispanic or Latino?].[Are you Hispanic or Latino?]" sourceCaption="Are you Hispanic or Latino?" count="4">
          <ranges>
            <range startItem="0">
              <i n="[PT Q1].[Are you Hispanic or Latino?].&amp;[0]" c="0"/>
              <i n="[PT Q1].[Are you Hispanic or Latino?].&amp;[Hispanic or Latino]" c="Hispanic or Latino"/>
              <i n="[PT Q1].[Are you Hispanic or Latino?].&amp;[Not Hispanic or Latino]" c="Not Hispanic or Latino"/>
              <i n="[PT Q1].[Are you Hispanic or Latino?].&amp;[Unknown]" c="Unknown"/>
            </range>
          </ranges>
        </level>
      </levels>
      <selections count="1">
        <selection n="[PT Q1].[Are you Hispanic or Latino?].[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I_identify_as1" sourceName="[PT Q1].[I identify as:]">
  <pivotTables>
    <pivotTable tabId="12" name="PivotTable12"/>
  </pivotTables>
  <data>
    <olap pivotCacheId="1151">
      <levels count="2">
        <level uniqueName="[PT Q1].[I identify as:].[(All)]" sourceCaption="(All)" count="0"/>
        <level uniqueName="[PT Q1].[I identify as:].[I identify as:]" sourceCaption="I identify as:" count="4">
          <ranges>
            <range startItem="0">
              <i n="[PT Q1].[I identify as:].&amp;[0]" c="0"/>
              <i n="[PT Q1].[I identify as:].&amp;[Man]" c="Man"/>
              <i n="[PT Q1].[I identify as:].&amp;[Transgender]" c="Transgender"/>
              <i n="[PT Q1].[I identify as:].&amp;[Woman]" c="Woman"/>
            </range>
          </ranges>
        </level>
      </levels>
      <selections count="1">
        <selection n="[PT Q1].[I identify as:].[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ounty_where_you_live1" sourceName="[PT Q1].[County where you live:]">
  <pivotTables>
    <pivotTable tabId="12" name="PivotTable12"/>
  </pivotTables>
  <data>
    <olap pivotCacheId="1151">
      <levels count="2">
        <level uniqueName="[PT Q1].[County where you live:].[(All)]" sourceCaption="(All)" count="0"/>
        <level uniqueName="[PT Q1].[County where you live:].[County where you live:]" sourceCaption="County where you live:" count="4">
          <ranges>
            <range startItem="0">
              <i n="[PT Q1].[County where you live:].&amp;[0]" c="0"/>
              <i n="[PT Q1].[County where you live:].&amp;[Nassau]" c="Nassau"/>
              <i n="[PT Q1].[County where you live:].&amp;[Queens]" c="Queens"/>
              <i n="[PT Q1].[County where you live:].&amp;[Suffolk]" c="Suffolk"/>
            </range>
          </ranges>
        </level>
      </levels>
      <selections count="1">
        <selection n="[PT Q1].[County where you live:].[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What_is_your_annual_household_income_from_all_sources?" sourceName="[PT Q1].[What is your annual household income from all sources?]">
  <pivotTables>
    <pivotTable tabId="12" name="PivotTable12"/>
  </pivotTables>
  <data>
    <olap pivotCacheId="1151">
      <levels count="2">
        <level uniqueName="[PT Q1].[What is your annual household income from all sources?].[(All)]" sourceCaption="(All)" count="0"/>
        <level uniqueName="[PT Q1].[What is your annual household income from all sources?].[What is your annual household income from all sources?]" sourceCaption="What is your annual household income from all sources?" count="7">
          <ranges>
            <range startItem="0">
              <i n="[PT Q1].[What is your annual household income from all sources?].&amp;[$0-$19,999]" c="$0-$19,999"/>
              <i n="[PT Q1].[What is your annual household income from all sources?].&amp;[$20,000 to $34,999]" c="$20,000 to $34,999"/>
              <i n="[PT Q1].[What is your annual household income from all sources?].&amp;[$35,000 to $49,999]" c="$35,000 to $49,999"/>
              <i n="[PT Q1].[What is your annual household income from all sources?].&amp;[$50,000 to $74,999]" c="$50,000 to $74,999"/>
              <i n="[PT Q1].[What is your annual household income from all sources?].&amp;[$75,000 to $125,000]" c="$75,000 to $125,000"/>
              <i n="[PT Q1].[What is your annual household income from all sources?].&amp;[0]" c="0"/>
              <i n="[PT Q1].[What is your annual household income from all sources?].&amp;[Over $125,000]" c="Over $125,000"/>
            </range>
          </ranges>
        </level>
      </levels>
      <selections count="1">
        <selection n="[PT Q1].[What is your annual household income from all sources?].[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What_is_your_current_employment_status?" sourceName="[PT Q1].[What is your current employment status?]">
  <pivotTables>
    <pivotTable tabId="12" name="PivotTable12"/>
  </pivotTables>
  <data>
    <olap pivotCacheId="1151">
      <levels count="2">
        <level uniqueName="[PT Q1].[What is your current employment status?].[(All)]" sourceCaption="(All)" count="0"/>
        <level uniqueName="[PT Q1].[What is your current employment status?].[What is your current employment status?]" sourceCaption="What is your current employment status?" count="8">
          <ranges>
            <range startItem="0">
              <i n="[PT Q1].[What is your current employment status?].&amp;[0]" c="0"/>
              <i n="[PT Q1].[What is your current employment status?].&amp;[Employed for wages]" c="Employed for wages"/>
              <i n="[PT Q1].[What is your current employment status?].&amp;[Military]" c="Military"/>
              <i n="[PT Q1].[What is your current employment status?].&amp;[Out of work and looking for work]" c="Out of work and looking for work"/>
              <i n="[PT Q1].[What is your current employment status?].&amp;[Out of work, but not currently looking]" c="Out of work, but not currently looking"/>
              <i n="[PT Q1].[What is your current employment status?].&amp;[Retired]" c="Retired"/>
              <i n="[PT Q1].[What is your current employment status?].&amp;[Self-employed]" c="Self-employed"/>
              <i n="[PT Q1].[What is your current employment status?].&amp;[Student]" c="Student"/>
            </range>
          </ranges>
        </level>
      </levels>
      <selections count="1">
        <selection n="[PT Q1].[What is your current employment status?].[All]"/>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What_is_your_highest_level_of_education?" sourceName="[PT Q1].[What is your highest level of education?]">
  <pivotTables>
    <pivotTable tabId="12" name="PivotTable12"/>
  </pivotTables>
  <data>
    <olap pivotCacheId="1151">
      <levels count="2">
        <level uniqueName="[PT Q1].[What is your highest level of education?].[(All)]" sourceCaption="(All)" count="0"/>
        <level uniqueName="[PT Q1].[What is your highest level of education?].[What is your highest level of education?]" sourceCaption="What is your highest level of education?" count="10">
          <ranges>
            <range startItem="0">
              <i n="[PT Q1].[What is your highest level of education?].&amp;[0]" c="0"/>
              <i n="[PT Q1].[What is your highest level of education?].&amp;[College graduate]" c="College graduate"/>
              <i n="[PT Q1].[What is your highest level of education?].&amp;[Doctorate]" c="Doctorate"/>
              <i n="[PT Q1].[What is your highest level of education?].&amp;[Graduate school]" c="Graduate school"/>
              <i n="[PT Q1].[What is your highest level of education?].&amp;[High school graduate]" c="High school graduate"/>
              <i n="[PT Q1].[What is your highest level of education?].&amp;[K-8 grade]" c="K-8 grade"/>
              <i n="[PT Q1].[What is your highest level of education?].&amp;[Other (please specify)]" c="Other (please specify)"/>
              <i n="[PT Q1].[What is your highest level of education?].&amp;[Some college]" c="Some college"/>
              <i n="[PT Q1].[What is your highest level of education?].&amp;[Some high school]" c="Some high school"/>
              <i n="[PT Q1].[What is your highest level of education?].&amp;[Technical school]" c="Technical school"/>
            </range>
          </ranges>
        </level>
      </levels>
      <selections count="1">
        <selection n="[PT Q1].[What is your highest level of education?].[All]"/>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What_race_do_you_consider_yourself?" sourceName="[PT Q1].[What race do you consider yourself?]">
  <pivotTables>
    <pivotTable tabId="12" name="PivotTable12"/>
  </pivotTables>
  <data>
    <olap pivotCacheId="1151">
      <levels count="2">
        <level uniqueName="[PT Q1].[What race do you consider yourself?].[(All)]" sourceCaption="(All)" count="0"/>
        <level uniqueName="[PT Q1].[What race do you consider yourself?].[What race do you consider yourself?]" sourceCaption="What race do you consider yourself?" count="9">
          <ranges>
            <range startItem="0">
              <i n="[PT Q1].[What race do you consider yourself?].&amp;[0]" c="0"/>
              <i n="[PT Q1].[What race do you consider yourself?].&amp;[American Indian and Alaska Native]" c="American Indian and Alaska Native"/>
              <i n="[PT Q1].[What race do you consider yourself?].&amp;[Asian]" c="Asian"/>
              <i n="[PT Q1].[What race do you consider yourself?].&amp;[Black or African American]" c="Black or African American"/>
              <i n="[PT Q1].[What race do you consider yourself?].&amp;[Black/African American]" c="Black/African American"/>
              <i n="[PT Q1].[What race do you consider yourself?].&amp;[Native Hawaiian and Other Pacific Islander]" c="Native Hawaiian and Other Pacific Islander"/>
              <i n="[PT Q1].[What race do you consider yourself?].&amp;[Other (please specify)]" c="Other (please specify)"/>
              <i n="[PT Q1].[What race do you consider yourself?].&amp;[Two or more races]" c="Two or more races"/>
              <i n="[PT Q1].[What race do you consider yourself?].&amp;[White]" c="White"/>
            </range>
          </ranges>
        </level>
      </levels>
      <selections count="1">
        <selection n="[PT Q1].[What race do you consider yourself?].[All]"/>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Do_you_currently_have_health_insurance?" sourceName="[PT Q1].[Do you currently have health insurance?]">
  <pivotTables>
    <pivotTable tabId="12" name="PivotTable12"/>
  </pivotTables>
  <data>
    <olap pivotCacheId="1151">
      <levels count="2">
        <level uniqueName="[PT Q1].[Do you currently have health insurance?].[(All)]" sourceCaption="(All)" count="0"/>
        <level uniqueName="[PT Q1].[Do you currently have health insurance?].[Do you currently have health insurance?]" sourceCaption="Do you currently have health insurance?" count="7">
          <ranges>
            <range startItem="0">
              <i n="[PT Q1].[Do you currently have health insurance?].&amp;[0]" c="0"/>
              <i n="[PT Q1].[Do you currently have health insurance?].&amp;[Employed for wages]" c="Employed for wages"/>
              <i n="[PT Q1].[Do you currently have health insurance?].&amp;[No]" c="No"/>
              <i n="[PT Q1].[Do you currently have health insurance?].&amp;[No, but I did in the past]" c="No, but I did in the past"/>
              <i n="[PT Q1].[Do you currently have health insurance?].&amp;[Out of work and looking for work]" c="Out of work and looking for work"/>
              <i n="[PT Q1].[Do you currently have health insurance?].&amp;[Retired]" c="Retired"/>
              <i n="[PT Q1].[Do you currently have health insurance?].&amp;[Yes]" c="Yes"/>
            </range>
          </ranges>
        </level>
      </levels>
      <selections count="1">
        <selection n="[PT Q1].[Do you currently have health insurance?].[All]"/>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I_identify_as" sourceName="[PT Q2].[I identify as:]">
  <pivotTables>
    <pivotTable tabId="20" name="PivotTable1"/>
  </pivotTables>
  <data>
    <olap pivotCacheId="1152">
      <levels count="2">
        <level uniqueName="[PT Q2].[I identify as:].[(All)]" sourceCaption="(All)" count="0"/>
        <level uniqueName="[PT Q2].[I identify as:].[I identify as:]" sourceCaption="I identify as:" count="4">
          <ranges>
            <range startItem="0">
              <i n="[PT Q2].[I identify as:].&amp;[0]" c="0"/>
              <i n="[PT Q2].[I identify as:].&amp;[Man]" c="Man"/>
              <i n="[PT Q2].[I identify as:].&amp;[Transgender]" c="Transgender"/>
              <i n="[PT Q2].[I identify as:].&amp;[Woman]" c="Woman"/>
            </range>
          </ranges>
        </level>
      </levels>
      <selections count="1">
        <selection n="[PT Q2].[I identify as:].[All]"/>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County_where_you_live" sourceName="[PT Q2].[County where you live:]">
  <pivotTables>
    <pivotTable tabId="20" name="PivotTable1"/>
  </pivotTables>
  <data>
    <olap pivotCacheId="1152">
      <levels count="2">
        <level uniqueName="[PT Q2].[County where you live:].[(All)]" sourceCaption="(All)" count="0"/>
        <level uniqueName="[PT Q2].[County where you live:].[County where you live:]" sourceCaption="County where you live:" count="4">
          <ranges>
            <range startItem="0">
              <i n="[PT Q2].[County where you live:].&amp;[0]" c="0"/>
              <i n="[PT Q2].[County where you live:].&amp;[Nassau]" c="Nassau"/>
              <i n="[PT Q2].[County where you live:].&amp;[Queens]" c="Queens"/>
              <i n="[PT Q2].[County where you live:].&amp;[Suffolk]" c="Suffolk"/>
            </range>
          </ranges>
        </level>
      </levels>
      <selections count="1">
        <selection n="[PT Q2].[County where you live:].[All]"/>
      </selections>
    </olap>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Are_you_Hispanic_or_Latino?" sourceName="[PT Q2].[Are you Hispanic or Latino?]">
  <pivotTables>
    <pivotTable tabId="20" name="PivotTable1"/>
  </pivotTables>
  <data>
    <olap pivotCacheId="1152">
      <levels count="2">
        <level uniqueName="[PT Q2].[Are you Hispanic or Latino?].[(All)]" sourceCaption="(All)" count="0"/>
        <level uniqueName="[PT Q2].[Are you Hispanic or Latino?].[Are you Hispanic or Latino?]" sourceCaption="Are you Hispanic or Latino?" count="4">
          <ranges>
            <range startItem="0">
              <i n="[PT Q2].[Are you Hispanic or Latino?].&amp;[0]" c="0"/>
              <i n="[PT Q2].[Are you Hispanic or Latino?].&amp;[Hispanic or Latino]" c="Hispanic or Latino"/>
              <i n="[PT Q2].[Are you Hispanic or Latino?].&amp;[Not Hispanic or Latino]" c="Not Hispanic or Latino"/>
              <i n="[PT Q2].[Are you Hispanic or Latino?].&amp;[Unknown]" c="Unknown"/>
            </range>
          </ranges>
        </level>
      </levels>
      <selections count="1">
        <selection n="[PT Q2].[Are you Hispanic or Latino?].[All]"/>
      </selections>
    </olap>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What_is_your_annual_household_income_from_all_sources?1" sourceName="[PT Q2].[What is your annual household income from all sources?]">
  <pivotTables>
    <pivotTable tabId="20" name="PivotTable1"/>
  </pivotTables>
  <data>
    <olap pivotCacheId="1152">
      <levels count="2">
        <level uniqueName="[PT Q2].[What is your annual household income from all sources?].[(All)]" sourceCaption="(All)" count="0"/>
        <level uniqueName="[PT Q2].[What is your annual household income from all sources?].[What is your annual household income from all sources?]" sourceCaption="What is your annual household income from all sources?" count="7">
          <ranges>
            <range startItem="0">
              <i n="[PT Q2].[What is your annual household income from all sources?].&amp;[$0-$19,999]" c="$0-$19,999"/>
              <i n="[PT Q2].[What is your annual household income from all sources?].&amp;[$20,000 to $34,999]" c="$20,000 to $34,999"/>
              <i n="[PT Q2].[What is your annual household income from all sources?].&amp;[$35,000 to $49,999]" c="$35,000 to $49,999"/>
              <i n="[PT Q2].[What is your annual household income from all sources?].&amp;[$50,000 to $74,999]" c="$50,000 to $74,999"/>
              <i n="[PT Q2].[What is your annual household income from all sources?].&amp;[$75,000 to $125,000]" c="$75,000 to $125,000"/>
              <i n="[PT Q2].[What is your annual household income from all sources?].&amp;[0]" c="0"/>
              <i n="[PT Q2].[What is your annual household income from all sources?].&amp;[Over $125,000]" c="Over $125,000"/>
            </range>
          </ranges>
        </level>
      </levels>
      <selections count="1">
        <selection n="[PT Q2].[What is your annual household income from all sources?].[All]"/>
      </selections>
    </olap>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What_is_your_current_employment_status?1" sourceName="[PT Q2].[What is your current employment status?]">
  <pivotTables>
    <pivotTable tabId="20" name="PivotTable1"/>
  </pivotTables>
  <data>
    <olap pivotCacheId="1152">
      <levels count="2">
        <level uniqueName="[PT Q2].[What is your current employment status?].[(All)]" sourceCaption="(All)" count="0"/>
        <level uniqueName="[PT Q2].[What is your current employment status?].[What is your current employment status?]" sourceCaption="What is your current employment status?" count="8">
          <ranges>
            <range startItem="0">
              <i n="[PT Q2].[What is your current employment status?].&amp;[0]" c="0"/>
              <i n="[PT Q2].[What is your current employment status?].&amp;[Employed for wages]" c="Employed for wages"/>
              <i n="[PT Q2].[What is your current employment status?].&amp;[Military]" c="Military"/>
              <i n="[PT Q2].[What is your current employment status?].&amp;[Out of work and looking for work]" c="Out of work and looking for work"/>
              <i n="[PT Q2].[What is your current employment status?].&amp;[Out of work, but not currently looking]" c="Out of work, but not currently looking"/>
              <i n="[PT Q2].[What is your current employment status?].&amp;[Retired]" c="Retired"/>
              <i n="[PT Q2].[What is your current employment status?].&amp;[Self-employed]" c="Self-employed"/>
              <i n="[PT Q2].[What is your current employment status?].&amp;[Student]" c="Student"/>
            </range>
          </ranges>
        </level>
      </levels>
      <selections count="1">
        <selection n="[PT Q2].[What is your current employment status?].[All]"/>
      </selections>
    </olap>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What_is_your_highest_level_of_education?1" sourceName="[PT Q2].[What is your highest level of education?]">
  <pivotTables>
    <pivotTable tabId="20" name="PivotTable1"/>
  </pivotTables>
  <data>
    <olap pivotCacheId="1152">
      <levels count="2">
        <level uniqueName="[PT Q2].[What is your highest level of education?].[(All)]" sourceCaption="(All)" count="0"/>
        <level uniqueName="[PT Q2].[What is your highest level of education?].[What is your highest level of education?]" sourceCaption="What is your highest level of education?" count="10">
          <ranges>
            <range startItem="0">
              <i n="[PT Q2].[What is your highest level of education?].&amp;[0]" c="0"/>
              <i n="[PT Q2].[What is your highest level of education?].&amp;[College graduate]" c="College graduate"/>
              <i n="[PT Q2].[What is your highest level of education?].&amp;[Doctorate]" c="Doctorate"/>
              <i n="[PT Q2].[What is your highest level of education?].&amp;[Graduate school]" c="Graduate school"/>
              <i n="[PT Q2].[What is your highest level of education?].&amp;[High school graduate]" c="High school graduate"/>
              <i n="[PT Q2].[What is your highest level of education?].&amp;[K-8 grade]" c="K-8 grade"/>
              <i n="[PT Q2].[What is your highest level of education?].&amp;[Other (please specify)]" c="Other (please specify)"/>
              <i n="[PT Q2].[What is your highest level of education?].&amp;[Some college]" c="Some college"/>
              <i n="[PT Q2].[What is your highest level of education?].&amp;[Some high school]" c="Some high school"/>
              <i n="[PT Q2].[What is your highest level of education?].&amp;[Technical school]" c="Technical school"/>
            </range>
          </ranges>
        </level>
      </levels>
      <selections count="1">
        <selection n="[PT Q2].[What is your highest level of education?].[All]"/>
      </selections>
    </olap>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What_race_do_you_consider_yourself?1" sourceName="[PT Q2].[What race do you consider yourself?]">
  <pivotTables>
    <pivotTable tabId="20" name="PivotTable1"/>
  </pivotTables>
  <data>
    <olap pivotCacheId="1152">
      <levels count="2">
        <level uniqueName="[PT Q2].[What race do you consider yourself?].[(All)]" sourceCaption="(All)" count="0"/>
        <level uniqueName="[PT Q2].[What race do you consider yourself?].[What race do you consider yourself?]" sourceCaption="What race do you consider yourself?" count="9">
          <ranges>
            <range startItem="0">
              <i n="[PT Q2].[What race do you consider yourself?].&amp;[0]" c="0"/>
              <i n="[PT Q2].[What race do you consider yourself?].&amp;[American Indian and Alaska Native]" c="American Indian and Alaska Native"/>
              <i n="[PT Q2].[What race do you consider yourself?].&amp;[Asian]" c="Asian"/>
              <i n="[PT Q2].[What race do you consider yourself?].&amp;[Black or African American]" c="Black or African American"/>
              <i n="[PT Q2].[What race do you consider yourself?].&amp;[Black/African American]" c="Black/African American"/>
              <i n="[PT Q2].[What race do you consider yourself?].&amp;[Native Hawaiian and Other Pacific Islander]" c="Native Hawaiian and Other Pacific Islander"/>
              <i n="[PT Q2].[What race do you consider yourself?].&amp;[Other (please specify)]" c="Other (please specify)"/>
              <i n="[PT Q2].[What race do you consider yourself?].&amp;[Two or more races]" c="Two or more races"/>
              <i n="[PT Q2].[What race do you consider yourself?].&amp;[White]" c="White"/>
            </range>
          </ranges>
        </level>
      </levels>
      <selections count="1">
        <selection n="[PT Q2].[What race do you consider yourself?].[All]"/>
      </selections>
    </olap>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Do_you_currently_have_health_insurance?1" sourceName="[PT Q2].[Do you currently have health insurance?]">
  <pivotTables>
    <pivotTable tabId="20" name="PivotTable1"/>
  </pivotTables>
  <data>
    <olap pivotCacheId="1152">
      <levels count="2">
        <level uniqueName="[PT Q2].[Do you currently have health insurance?].[(All)]" sourceCaption="(All)" count="0"/>
        <level uniqueName="[PT Q2].[Do you currently have health insurance?].[Do you currently have health insurance?]" sourceCaption="Do you currently have health insurance?" count="7">
          <ranges>
            <range startItem="0">
              <i n="[PT Q2].[Do you currently have health insurance?].&amp;[0]" c="0"/>
              <i n="[PT Q2].[Do you currently have health insurance?].&amp;[Employed for wages]" c="Employed for wages"/>
              <i n="[PT Q2].[Do you currently have health insurance?].&amp;[No]" c="No"/>
              <i n="[PT Q2].[Do you currently have health insurance?].&amp;[No, but I did in the past]" c="No, but I did in the past"/>
              <i n="[PT Q2].[Do you currently have health insurance?].&amp;[Out of work and looking for work]" c="Out of work and looking for work"/>
              <i n="[PT Q2].[Do you currently have health insurance?].&amp;[Retired]" c="Retired"/>
              <i n="[PT Q2].[Do you currently have health insurance?].&amp;[Yes]" c="Yes"/>
            </range>
          </ranges>
        </level>
      </levels>
      <selections count="1">
        <selection n="[PT Q2].[Do you currently have health insurance?].[All]"/>
      </selections>
    </olap>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I_identify_as2" sourceName="[PT Q3].[I identify as:]">
  <pivotTables>
    <pivotTable tabId="13" name="PivotTable2"/>
  </pivotTables>
  <data>
    <olap pivotCacheId="1153">
      <levels count="2">
        <level uniqueName="[PT Q3].[I identify as:].[(All)]" sourceCaption="(All)" count="0"/>
        <level uniqueName="[PT Q3].[I identify as:].[I identify as:]" sourceCaption="I identify as:" count="4">
          <ranges>
            <range startItem="0">
              <i n="[PT Q3].[I identify as:].&amp;[0]" c="0"/>
              <i n="[PT Q3].[I identify as:].&amp;[Man]" c="Man"/>
              <i n="[PT Q3].[I identify as:].&amp;[Transgender]" c="Transgender"/>
              <i n="[PT Q3].[I identify as:].&amp;[Woman]" c="Woman"/>
            </range>
          </ranges>
        </level>
      </levels>
      <selections count="1">
        <selection n="[PT Q3].[I identify as:].[All]"/>
      </selections>
    </olap>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County_where_you_live2" sourceName="[PT Q3].[County where you live:]">
  <pivotTables>
    <pivotTable tabId="13" name="PivotTable2"/>
  </pivotTables>
  <data>
    <olap pivotCacheId="1153">
      <levels count="2">
        <level uniqueName="[PT Q3].[County where you live:].[(All)]" sourceCaption="(All)" count="0"/>
        <level uniqueName="[PT Q3].[County where you live:].[County where you live:]" sourceCaption="County where you live:" count="4">
          <ranges>
            <range startItem="0">
              <i n="[PT Q3].[County where you live:].&amp;[0]" c="0"/>
              <i n="[PT Q3].[County where you live:].&amp;[Nassau]" c="Nassau"/>
              <i n="[PT Q3].[County where you live:].&amp;[Queens]" c="Queens"/>
              <i n="[PT Q3].[County where you live:].&amp;[Suffolk]" c="Suffolk"/>
            </range>
          </ranges>
        </level>
      </levels>
      <selections count="1">
        <selection n="[PT Q3].[County where you live:].[All]"/>
      </selections>
    </olap>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licer_Are_you_Hispanic_or_Latino?2" sourceName="[PT Q3].[Are you Hispanic or Latino?]">
  <pivotTables>
    <pivotTable tabId="13" name="PivotTable2"/>
  </pivotTables>
  <data>
    <olap pivotCacheId="1153">
      <levels count="2">
        <level uniqueName="[PT Q3].[Are you Hispanic or Latino?].[(All)]" sourceCaption="(All)" count="0"/>
        <level uniqueName="[PT Q3].[Are you Hispanic or Latino?].[Are you Hispanic or Latino?]" sourceCaption="Are you Hispanic or Latino?" count="4">
          <ranges>
            <range startItem="0">
              <i n="[PT Q3].[Are you Hispanic or Latino?].&amp;[0]" c="0"/>
              <i n="[PT Q3].[Are you Hispanic or Latino?].&amp;[Hispanic or Latino]" c="Hispanic or Latino"/>
              <i n="[PT Q3].[Are you Hispanic or Latino?].&amp;[Not Hispanic or Latino]" c="Not Hispanic or Latino"/>
              <i n="[PT Q3].[Are you Hispanic or Latino?].&amp;[Unknown]" c="Unknown"/>
            </range>
          </ranges>
        </level>
      </levels>
      <selections count="1">
        <selection n="[PT Q3].[Are you Hispanic or Latino?].[All]"/>
      </selections>
    </olap>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licer_What_is_your_annual_household_income_from_all_sources?2" sourceName="[PT Q3].[What is your annual household income from all sources?]">
  <pivotTables>
    <pivotTable tabId="13" name="PivotTable2"/>
  </pivotTables>
  <data>
    <olap pivotCacheId="1153">
      <levels count="2">
        <level uniqueName="[PT Q3].[What is your annual household income from all sources?].[(All)]" sourceCaption="(All)" count="0"/>
        <level uniqueName="[PT Q3].[What is your annual household income from all sources?].[What is your annual household income from all sources?]" sourceCaption="What is your annual household income from all sources?" count="7">
          <ranges>
            <range startItem="0">
              <i n="[PT Q3].[What is your annual household income from all sources?].&amp;[$0-$19,999]" c="$0-$19,999"/>
              <i n="[PT Q3].[What is your annual household income from all sources?].&amp;[$20,000 to $34,999]" c="$20,000 to $34,999"/>
              <i n="[PT Q3].[What is your annual household income from all sources?].&amp;[$35,000 to $49,999]" c="$35,000 to $49,999"/>
              <i n="[PT Q3].[What is your annual household income from all sources?].&amp;[$50,000 to $74,999]" c="$50,000 to $74,999"/>
              <i n="[PT Q3].[What is your annual household income from all sources?].&amp;[$75,000 to $125,000]" c="$75,000 to $125,000"/>
              <i n="[PT Q3].[What is your annual household income from all sources?].&amp;[0]" c="0"/>
              <i n="[PT Q3].[What is your annual household income from all sources?].&amp;[Over $125,000]" c="Over $125,000"/>
            </range>
          </ranges>
        </level>
      </levels>
      <selections count="1">
        <selection n="[PT Q3].[What is your annual household income from all sources?].[All]"/>
      </selections>
    </olap>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licer_What_is_your_current_employment_status?2" sourceName="[PT Q3].[What is your current employment status?]">
  <pivotTables>
    <pivotTable tabId="13" name="PivotTable2"/>
  </pivotTables>
  <data>
    <olap pivotCacheId="1153">
      <levels count="2">
        <level uniqueName="[PT Q3].[What is your current employment status?].[(All)]" sourceCaption="(All)" count="0"/>
        <level uniqueName="[PT Q3].[What is your current employment status?].[What is your current employment status?]" sourceCaption="What is your current employment status?" count="8">
          <ranges>
            <range startItem="0">
              <i n="[PT Q3].[What is your current employment status?].&amp;[0]" c="0"/>
              <i n="[PT Q3].[What is your current employment status?].&amp;[Employed for wages]" c="Employed for wages"/>
              <i n="[PT Q3].[What is your current employment status?].&amp;[Military]" c="Military"/>
              <i n="[PT Q3].[What is your current employment status?].&amp;[Out of work and looking for work]" c="Out of work and looking for work"/>
              <i n="[PT Q3].[What is your current employment status?].&amp;[Out of work, but not currently looking]" c="Out of work, but not currently looking"/>
              <i n="[PT Q3].[What is your current employment status?].&amp;[Retired]" c="Retired"/>
              <i n="[PT Q3].[What is your current employment status?].&amp;[Self-employed]" c="Self-employed"/>
              <i n="[PT Q3].[What is your current employment status?].&amp;[Student]" c="Student"/>
            </range>
          </ranges>
        </level>
      </levels>
      <selections count="1">
        <selection n="[PT Q3].[What is your current employment status?].[All]"/>
      </selections>
    </olap>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licer_What_is_your_highest_level_of_education?2" sourceName="[PT Q3].[What is your highest level of education?]">
  <pivotTables>
    <pivotTable tabId="13" name="PivotTable2"/>
  </pivotTables>
  <data>
    <olap pivotCacheId="1153">
      <levels count="2">
        <level uniqueName="[PT Q3].[What is your highest level of education?].[(All)]" sourceCaption="(All)" count="0"/>
        <level uniqueName="[PT Q3].[What is your highest level of education?].[What is your highest level of education?]" sourceCaption="What is your highest level of education?" count="10">
          <ranges>
            <range startItem="0">
              <i n="[PT Q3].[What is your highest level of education?].&amp;[0]" c="0"/>
              <i n="[PT Q3].[What is your highest level of education?].&amp;[College graduate]" c="College graduate"/>
              <i n="[PT Q3].[What is your highest level of education?].&amp;[Doctorate]" c="Doctorate"/>
              <i n="[PT Q3].[What is your highest level of education?].&amp;[Graduate school]" c="Graduate school"/>
              <i n="[PT Q3].[What is your highest level of education?].&amp;[High school graduate]" c="High school graduate"/>
              <i n="[PT Q3].[What is your highest level of education?].&amp;[K-8 grade]" c="K-8 grade"/>
              <i n="[PT Q3].[What is your highest level of education?].&amp;[Other (please specify)]" c="Other (please specify)"/>
              <i n="[PT Q3].[What is your highest level of education?].&amp;[Some college]" c="Some college"/>
              <i n="[PT Q3].[What is your highest level of education?].&amp;[Some high school]" c="Some high school"/>
              <i n="[PT Q3].[What is your highest level of education?].&amp;[Technical school]" c="Technical school"/>
            </range>
          </ranges>
        </level>
      </levels>
      <selections count="1">
        <selection n="[PT Q3].[What is your highest level of education?].[All]"/>
      </selections>
    </olap>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Slicer_What_race_do_you_consider_yourself?2" sourceName="[PT Q3].[What race do you consider yourself?]">
  <pivotTables>
    <pivotTable tabId="13" name="PivotTable2"/>
  </pivotTables>
  <data>
    <olap pivotCacheId="1153">
      <levels count="2">
        <level uniqueName="[PT Q3].[What race do you consider yourself?].[(All)]" sourceCaption="(All)" count="0"/>
        <level uniqueName="[PT Q3].[What race do you consider yourself?].[What race do you consider yourself?]" sourceCaption="What race do you consider yourself?" count="9">
          <ranges>
            <range startItem="0">
              <i n="[PT Q3].[What race do you consider yourself?].&amp;[0]" c="0"/>
              <i n="[PT Q3].[What race do you consider yourself?].&amp;[American Indian and Alaska Native]" c="American Indian and Alaska Native"/>
              <i n="[PT Q3].[What race do you consider yourself?].&amp;[Asian]" c="Asian"/>
              <i n="[PT Q3].[What race do you consider yourself?].&amp;[Black or African American]" c="Black or African American"/>
              <i n="[PT Q3].[What race do you consider yourself?].&amp;[Black/African American]" c="Black/African American"/>
              <i n="[PT Q3].[What race do you consider yourself?].&amp;[Native Hawaiian and Other Pacific Islander]" c="Native Hawaiian and Other Pacific Islander"/>
              <i n="[PT Q3].[What race do you consider yourself?].&amp;[Other (please specify)]" c="Other (please specify)"/>
              <i n="[PT Q3].[What race do you consider yourself?].&amp;[Two or more races]" c="Two or more races"/>
              <i n="[PT Q3].[What race do you consider yourself?].&amp;[White]" c="White"/>
            </range>
          </ranges>
        </level>
      </levels>
      <selections count="1">
        <selection n="[PT Q3].[What race do you consider yourself?].[All]"/>
      </selections>
    </olap>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Slicer_Do_you_currently_have_health_insurance?2" sourceName="[PT Q3].[Do you currently have health insurance?]">
  <pivotTables>
    <pivotTable tabId="13" name="PivotTable2"/>
  </pivotTables>
  <data>
    <olap pivotCacheId="1153">
      <levels count="2">
        <level uniqueName="[PT Q3].[Do you currently have health insurance?].[(All)]" sourceCaption="(All)" count="0"/>
        <level uniqueName="[PT Q3].[Do you currently have health insurance?].[Do you currently have health insurance?]" sourceCaption="Do you currently have health insurance?" count="7">
          <ranges>
            <range startItem="0">
              <i n="[PT Q3].[Do you currently have health insurance?].&amp;[0]" c="0"/>
              <i n="[PT Q3].[Do you currently have health insurance?].&amp;[Employed for wages]" c="Employed for wages"/>
              <i n="[PT Q3].[Do you currently have health insurance?].&amp;[No]" c="No"/>
              <i n="[PT Q3].[Do you currently have health insurance?].&amp;[No, but I did in the past]" c="No, but I did in the past"/>
              <i n="[PT Q3].[Do you currently have health insurance?].&amp;[Out of work and looking for work]" c="Out of work and looking for work"/>
              <i n="[PT Q3].[Do you currently have health insurance?].&amp;[Retired]" c="Retired"/>
              <i n="[PT Q3].[Do you currently have health insurance?].&amp;[Yes]" c="Yes"/>
            </range>
          </ranges>
        </level>
      </levels>
      <selections count="1">
        <selection n="[PT Q3].[Do you currently have health insurance?].[All]"/>
      </selections>
    </olap>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mc:Ignorable="x" name="Slicer_I_identify_as3" sourceName="[PT Q4].[I identify as:]">
  <pivotTables>
    <pivotTable tabId="14" name="PivotTable3"/>
  </pivotTables>
  <data>
    <olap pivotCacheId="1154">
      <levels count="2">
        <level uniqueName="[PT Q4].[I identify as:].[(All)]" sourceCaption="(All)" count="0"/>
        <level uniqueName="[PT Q4].[I identify as:].[I identify as:]" sourceCaption="I identify as:" count="4">
          <ranges>
            <range startItem="0">
              <i n="[PT Q4].[I identify as:].&amp;[0]" c="0"/>
              <i n="[PT Q4].[I identify as:].&amp;[Man]" c="Man"/>
              <i n="[PT Q4].[I identify as:].&amp;[Transgender]" c="Transgender"/>
              <i n="[PT Q4].[I identify as:].&amp;[Woman]" c="Woman"/>
            </range>
          </ranges>
        </level>
      </levels>
      <selections count="1">
        <selection n="[PT Q4].[I identify as:].[All]"/>
      </selections>
    </olap>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mc:Ignorable="x" name="Slicer_County_where_you_live3" sourceName="[PT Q4].[County where you live:]">
  <pivotTables>
    <pivotTable tabId="14" name="PivotTable3"/>
  </pivotTables>
  <data>
    <olap pivotCacheId="1154">
      <levels count="2">
        <level uniqueName="[PT Q4].[County where you live:].[(All)]" sourceCaption="(All)" count="0"/>
        <level uniqueName="[PT Q4].[County where you live:].[County where you live:]" sourceCaption="County where you live:" count="4">
          <ranges>
            <range startItem="0">
              <i n="[PT Q4].[County where you live:].&amp;[0]" c="0"/>
              <i n="[PT Q4].[County where you live:].&amp;[Nassau]" c="Nassau"/>
              <i n="[PT Q4].[County where you live:].&amp;[Queens]" c="Queens"/>
              <i n="[PT Q4].[County where you live:].&amp;[Suffolk]" c="Suffolk"/>
            </range>
          </ranges>
        </level>
      </levels>
      <selections count="1">
        <selection n="[PT Q4].[County where you live:].[All]"/>
      </selections>
    </olap>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mc:Ignorable="x" name="Slicer_Are_you_Hispanic_or_Latino?3" sourceName="[PT Q4].[Are you Hispanic or Latino?]">
  <pivotTables>
    <pivotTable tabId="14" name="PivotTable3"/>
  </pivotTables>
  <data>
    <olap pivotCacheId="1154">
      <levels count="2">
        <level uniqueName="[PT Q4].[Are you Hispanic or Latino?].[(All)]" sourceCaption="(All)" count="0"/>
        <level uniqueName="[PT Q4].[Are you Hispanic or Latino?].[Are you Hispanic or Latino?]" sourceCaption="Are you Hispanic or Latino?" count="4">
          <ranges>
            <range startItem="0">
              <i n="[PT Q4].[Are you Hispanic or Latino?].&amp;[0]" c="0"/>
              <i n="[PT Q4].[Are you Hispanic or Latino?].&amp;[Hispanic or Latino]" c="Hispanic or Latino"/>
              <i n="[PT Q4].[Are you Hispanic or Latino?].&amp;[Not Hispanic or Latino]" c="Not Hispanic or Latino"/>
              <i n="[PT Q4].[Are you Hispanic or Latino?].&amp;[Unknown]" c="Unknown"/>
            </range>
          </ranges>
        </level>
      </levels>
      <selections count="1">
        <selection n="[PT Q4].[Are you Hispanic or Latino?].[All]"/>
      </selections>
    </olap>
  </data>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mc:Ignorable="x" name="Slicer_What_is_your_annual_household_income_from_all_sources?3" sourceName="[PT Q4].[What is your annual household income from all sources?]">
  <pivotTables>
    <pivotTable tabId="14" name="PivotTable3"/>
  </pivotTables>
  <data>
    <olap pivotCacheId="1154">
      <levels count="2">
        <level uniqueName="[PT Q4].[What is your annual household income from all sources?].[(All)]" sourceCaption="(All)" count="0"/>
        <level uniqueName="[PT Q4].[What is your annual household income from all sources?].[What is your annual household income from all sources?]" sourceCaption="What is your annual household income from all sources?" count="7">
          <ranges>
            <range startItem="0">
              <i n="[PT Q4].[What is your annual household income from all sources?].&amp;[$0-$19,999]" c="$0-$19,999"/>
              <i n="[PT Q4].[What is your annual household income from all sources?].&amp;[$20,000 to $34,999]" c="$20,000 to $34,999"/>
              <i n="[PT Q4].[What is your annual household income from all sources?].&amp;[$35,000 to $49,999]" c="$35,000 to $49,999"/>
              <i n="[PT Q4].[What is your annual household income from all sources?].&amp;[$50,000 to $74,999]" c="$50,000 to $74,999"/>
              <i n="[PT Q4].[What is your annual household income from all sources?].&amp;[$75,000 to $125,000]" c="$75,000 to $125,000"/>
              <i n="[PT Q4].[What is your annual household income from all sources?].&amp;[0]" c="0"/>
              <i n="[PT Q4].[What is your annual household income from all sources?].&amp;[Over $125,000]" c="Over $125,000"/>
            </range>
          </ranges>
        </level>
      </levels>
      <selections count="1">
        <selection n="[PT Q4].[What is your annual household income from all sources?].[All]"/>
      </selections>
    </olap>
  </data>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mc:Ignorable="x" name="Slicer_What_is_your_current_employment_status?3" sourceName="[PT Q4].[What is your current employment status?]">
  <pivotTables>
    <pivotTable tabId="14" name="PivotTable3"/>
  </pivotTables>
  <data>
    <olap pivotCacheId="1154">
      <levels count="2">
        <level uniqueName="[PT Q4].[What is your current employment status?].[(All)]" sourceCaption="(All)" count="0"/>
        <level uniqueName="[PT Q4].[What is your current employment status?].[What is your current employment status?]" sourceCaption="What is your current employment status?" count="8">
          <ranges>
            <range startItem="0">
              <i n="[PT Q4].[What is your current employment status?].&amp;[0]" c="0"/>
              <i n="[PT Q4].[What is your current employment status?].&amp;[Employed for wages]" c="Employed for wages"/>
              <i n="[PT Q4].[What is your current employment status?].&amp;[Military]" c="Military"/>
              <i n="[PT Q4].[What is your current employment status?].&amp;[Out of work and looking for work]" c="Out of work and looking for work"/>
              <i n="[PT Q4].[What is your current employment status?].&amp;[Out of work, but not currently looking]" c="Out of work, but not currently looking"/>
              <i n="[PT Q4].[What is your current employment status?].&amp;[Retired]" c="Retired"/>
              <i n="[PT Q4].[What is your current employment status?].&amp;[Self-employed]" c="Self-employed"/>
              <i n="[PT Q4].[What is your current employment status?].&amp;[Student]" c="Student"/>
            </range>
          </ranges>
        </level>
      </levels>
      <selections count="1">
        <selection n="[PT Q4].[What is your current employment status?].[All]"/>
      </selections>
    </olap>
  </data>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mc:Ignorable="x" name="Slicer_What_is_your_highest_level_of_education?3" sourceName="[PT Q4].[What is your highest level of education?]">
  <pivotTables>
    <pivotTable tabId="14" name="PivotTable3"/>
  </pivotTables>
  <data>
    <olap pivotCacheId="1154">
      <levels count="2">
        <level uniqueName="[PT Q4].[What is your highest level of education?].[(All)]" sourceCaption="(All)" count="0"/>
        <level uniqueName="[PT Q4].[What is your highest level of education?].[What is your highest level of education?]" sourceCaption="What is your highest level of education?" count="10">
          <ranges>
            <range startItem="0">
              <i n="[PT Q4].[What is your highest level of education?].&amp;[0]" c="0"/>
              <i n="[PT Q4].[What is your highest level of education?].&amp;[College graduate]" c="College graduate"/>
              <i n="[PT Q4].[What is your highest level of education?].&amp;[Doctorate]" c="Doctorate"/>
              <i n="[PT Q4].[What is your highest level of education?].&amp;[Graduate school]" c="Graduate school"/>
              <i n="[PT Q4].[What is your highest level of education?].&amp;[High school graduate]" c="High school graduate"/>
              <i n="[PT Q4].[What is your highest level of education?].&amp;[K-8 grade]" c="K-8 grade"/>
              <i n="[PT Q4].[What is your highest level of education?].&amp;[Other (please specify)]" c="Other (please specify)"/>
              <i n="[PT Q4].[What is your highest level of education?].&amp;[Some college]" c="Some college"/>
              <i n="[PT Q4].[What is your highest level of education?].&amp;[Some high school]" c="Some high school"/>
              <i n="[PT Q4].[What is your highest level of education?].&amp;[Technical school]" c="Technical school"/>
            </range>
          </ranges>
        </level>
      </levels>
      <selections count="1">
        <selection n="[PT Q4].[What is your highest level of education?].[All]"/>
      </selections>
    </olap>
  </data>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mc:Ignorable="x" name="Slicer_What_race_do_you_consider_yourself?3" sourceName="[PT Q4].[What race do you consider yourself?]">
  <pivotTables>
    <pivotTable tabId="14" name="PivotTable3"/>
  </pivotTables>
  <data>
    <olap pivotCacheId="1154">
      <levels count="2">
        <level uniqueName="[PT Q4].[What race do you consider yourself?].[(All)]" sourceCaption="(All)" count="0"/>
        <level uniqueName="[PT Q4].[What race do you consider yourself?].[What race do you consider yourself?]" sourceCaption="What race do you consider yourself?" count="9">
          <ranges>
            <range startItem="0">
              <i n="[PT Q4].[What race do you consider yourself?].&amp;[0]" c="0"/>
              <i n="[PT Q4].[What race do you consider yourself?].&amp;[American Indian and Alaska Native]" c="American Indian and Alaska Native"/>
              <i n="[PT Q4].[What race do you consider yourself?].&amp;[Asian]" c="Asian"/>
              <i n="[PT Q4].[What race do you consider yourself?].&amp;[Black or African American]" c="Black or African American"/>
              <i n="[PT Q4].[What race do you consider yourself?].&amp;[Black/African American]" c="Black/African American"/>
              <i n="[PT Q4].[What race do you consider yourself?].&amp;[Native Hawaiian and Other Pacific Islander]" c="Native Hawaiian and Other Pacific Islander"/>
              <i n="[PT Q4].[What race do you consider yourself?].&amp;[Other (please specify)]" c="Other (please specify)"/>
              <i n="[PT Q4].[What race do you consider yourself?].&amp;[Two or more races]" c="Two or more races"/>
              <i n="[PT Q4].[What race do you consider yourself?].&amp;[White]" c="White"/>
            </range>
          </ranges>
        </level>
      </levels>
      <selections count="1">
        <selection n="[PT Q4].[What race do you consider yourself?].[All]"/>
      </selections>
    </olap>
  </data>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mc:Ignorable="x" name="Slicer_Do_you_currently_have_health_insurance?3" sourceName="[PT Q4].[Do you currently have health insurance?]">
  <pivotTables>
    <pivotTable tabId="14" name="PivotTable3"/>
  </pivotTables>
  <data>
    <olap pivotCacheId="1154">
      <levels count="2">
        <level uniqueName="[PT Q4].[Do you currently have health insurance?].[(All)]" sourceCaption="(All)" count="0"/>
        <level uniqueName="[PT Q4].[Do you currently have health insurance?].[Do you currently have health insurance?]" sourceCaption="Do you currently have health insurance?" count="7">
          <ranges>
            <range startItem="0">
              <i n="[PT Q4].[Do you currently have health insurance?].&amp;[0]" c="0"/>
              <i n="[PT Q4].[Do you currently have health insurance?].&amp;[Employed for wages]" c="Employed for wages"/>
              <i n="[PT Q4].[Do you currently have health insurance?].&amp;[No]" c="No"/>
              <i n="[PT Q4].[Do you currently have health insurance?].&amp;[No, but I did in the past]" c="No, but I did in the past"/>
              <i n="[PT Q4].[Do you currently have health insurance?].&amp;[Out of work and looking for work]" c="Out of work and looking for work"/>
              <i n="[PT Q4].[Do you currently have health insurance?].&amp;[Retired]" c="Retired"/>
              <i n="[PT Q4].[Do you currently have health insurance?].&amp;[Yes]" c="Yes"/>
            </range>
          </ranges>
        </level>
      </levels>
      <selections count="1">
        <selection n="[PT Q4].[Do you currently have health insurance?].[All]"/>
      </selections>
    </olap>
  </data>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mc:Ignorable="x" name="Slicer_Are_you_Hispanic_or_Latino?4" sourceName="[PT Q5].[Are you Hispanic or Latino?]">
  <pivotTables>
    <pivotTable tabId="15" name="PivotTable4"/>
  </pivotTables>
  <data>
    <olap pivotCacheId="1155">
      <levels count="2">
        <level uniqueName="[PT Q5].[Are you Hispanic or Latino?].[(All)]" sourceCaption="(All)" count="0"/>
        <level uniqueName="[PT Q5].[Are you Hispanic or Latino?].[Are you Hispanic or Latino?]" sourceCaption="Are you Hispanic or Latino?" count="4">
          <ranges>
            <range startItem="0">
              <i n="[PT Q5].[Are you Hispanic or Latino?].&amp;[0]" c="0"/>
              <i n="[PT Q5].[Are you Hispanic or Latino?].&amp;[Hispanic or Latino]" c="Hispanic or Latino"/>
              <i n="[PT Q5].[Are you Hispanic or Latino?].&amp;[Not Hispanic or Latino]" c="Not Hispanic or Latino"/>
              <i n="[PT Q5].[Are you Hispanic or Latino?].&amp;[Unknown]" c="Unknown"/>
            </range>
          </ranges>
        </level>
      </levels>
      <selections count="1">
        <selection n="[PT Q5].[Are you Hispanic or Latino?].[All]"/>
      </selections>
    </olap>
  </data>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mc:Ignorable="x" name="Slicer_I_identify_as4" sourceName="[PT Q5].[I identify as:]">
  <pivotTables>
    <pivotTable tabId="15" name="PivotTable4"/>
  </pivotTables>
  <data>
    <olap pivotCacheId="1155">
      <levels count="2">
        <level uniqueName="[PT Q5].[I identify as:].[(All)]" sourceCaption="(All)" count="0"/>
        <level uniqueName="[PT Q5].[I identify as:].[I identify as:]" sourceCaption="I identify as:" count="4">
          <ranges>
            <range startItem="0">
              <i n="[PT Q5].[I identify as:].&amp;[0]" c="0"/>
              <i n="[PT Q5].[I identify as:].&amp;[Man]" c="Man"/>
              <i n="[PT Q5].[I identify as:].&amp;[Transgender]" c="Transgender"/>
              <i n="[PT Q5].[I identify as:].&amp;[Woman]" c="Woman"/>
            </range>
          </ranges>
        </level>
      </levels>
      <selections count="1">
        <selection n="[PT Q5].[I identify as:].[All]"/>
      </selections>
    </olap>
  </data>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mc:Ignorable="x" name="Slicer_County_where_you_live4" sourceName="[PT Q5].[County where you live:]">
  <pivotTables>
    <pivotTable tabId="15" name="PivotTable4"/>
  </pivotTables>
  <data>
    <olap pivotCacheId="1155">
      <levels count="2">
        <level uniqueName="[PT Q5].[County where you live:].[(All)]" sourceCaption="(All)" count="0"/>
        <level uniqueName="[PT Q5].[County where you live:].[County where you live:]" sourceCaption="County where you live:" count="4">
          <ranges>
            <range startItem="0">
              <i n="[PT Q5].[County where you live:].&amp;[0]" c="0"/>
              <i n="[PT Q5].[County where you live:].&amp;[Nassau]" c="Nassau"/>
              <i n="[PT Q5].[County where you live:].&amp;[Queens]" c="Queens"/>
              <i n="[PT Q5].[County where you live:].&amp;[Suffolk]" c="Suffolk"/>
            </range>
          </ranges>
        </level>
      </levels>
      <selections count="1">
        <selection n="[PT Q5].[County where you live:].[All]"/>
      </selections>
    </olap>
  </data>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mc:Ignorable="x" name="Slicer_What_is_your_annual_household_income_from_all_sources?4" sourceName="[PT Q5].[What is your annual household income from all sources?]">
  <pivotTables>
    <pivotTable tabId="15" name="PivotTable4"/>
  </pivotTables>
  <data>
    <olap pivotCacheId="1155">
      <levels count="2">
        <level uniqueName="[PT Q5].[What is your annual household income from all sources?].[(All)]" sourceCaption="(All)" count="0"/>
        <level uniqueName="[PT Q5].[What is your annual household income from all sources?].[What is your annual household income from all sources?]" sourceCaption="What is your annual household income from all sources?" count="7">
          <ranges>
            <range startItem="0">
              <i n="[PT Q5].[What is your annual household income from all sources?].&amp;[$0-$19,999]" c="$0-$19,999"/>
              <i n="[PT Q5].[What is your annual household income from all sources?].&amp;[$20,000 to $34,999]" c="$20,000 to $34,999"/>
              <i n="[PT Q5].[What is your annual household income from all sources?].&amp;[$35,000 to $49,999]" c="$35,000 to $49,999"/>
              <i n="[PT Q5].[What is your annual household income from all sources?].&amp;[$50,000 to $74,999]" c="$50,000 to $74,999"/>
              <i n="[PT Q5].[What is your annual household income from all sources?].&amp;[$75,000 to $125,000]" c="$75,000 to $125,000"/>
              <i n="[PT Q5].[What is your annual household income from all sources?].&amp;[0]" c="0"/>
              <i n="[PT Q5].[What is your annual household income from all sources?].&amp;[Over $125,000]" c="Over $125,000"/>
            </range>
          </ranges>
        </level>
      </levels>
      <selections count="1">
        <selection n="[PT Q5].[What is your annual household income from all sources?].[All]"/>
      </selections>
    </olap>
  </data>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mc:Ignorable="x" name="Slicer_What_is_your_current_employment_status?4" sourceName="[PT Q5].[What is your current employment status?]">
  <pivotTables>
    <pivotTable tabId="15" name="PivotTable4"/>
  </pivotTables>
  <data>
    <olap pivotCacheId="1155">
      <levels count="2">
        <level uniqueName="[PT Q5].[What is your current employment status?].[(All)]" sourceCaption="(All)" count="0"/>
        <level uniqueName="[PT Q5].[What is your current employment status?].[What is your current employment status?]" sourceCaption="What is your current employment status?" count="8">
          <ranges>
            <range startItem="0">
              <i n="[PT Q5].[What is your current employment status?].&amp;[0]" c="0"/>
              <i n="[PT Q5].[What is your current employment status?].&amp;[Employed for wages]" c="Employed for wages"/>
              <i n="[PT Q5].[What is your current employment status?].&amp;[Military]" c="Military"/>
              <i n="[PT Q5].[What is your current employment status?].&amp;[Out of work and looking for work]" c="Out of work and looking for work"/>
              <i n="[PT Q5].[What is your current employment status?].&amp;[Out of work, but not currently looking]" c="Out of work, but not currently looking"/>
              <i n="[PT Q5].[What is your current employment status?].&amp;[Retired]" c="Retired"/>
              <i n="[PT Q5].[What is your current employment status?].&amp;[Self-employed]" c="Self-employed"/>
              <i n="[PT Q5].[What is your current employment status?].&amp;[Student]" c="Student"/>
            </range>
          </ranges>
        </level>
      </levels>
      <selections count="1">
        <selection n="[PT Q5].[What is your current employment status?].[All]"/>
      </selections>
    </olap>
  </data>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mc:Ignorable="x" name="Slicer_What_is_your_highest_level_of_education?4" sourceName="[PT Q5].[What is your highest level of education?]">
  <pivotTables>
    <pivotTable tabId="15" name="PivotTable4"/>
  </pivotTables>
  <data>
    <olap pivotCacheId="1155">
      <levels count="2">
        <level uniqueName="[PT Q5].[What is your highest level of education?].[(All)]" sourceCaption="(All)" count="0"/>
        <level uniqueName="[PT Q5].[What is your highest level of education?].[What is your highest level of education?]" sourceCaption="What is your highest level of education?" count="10">
          <ranges>
            <range startItem="0">
              <i n="[PT Q5].[What is your highest level of education?].&amp;[0]" c="0"/>
              <i n="[PT Q5].[What is your highest level of education?].&amp;[College graduate]" c="College graduate"/>
              <i n="[PT Q5].[What is your highest level of education?].&amp;[Doctorate]" c="Doctorate"/>
              <i n="[PT Q5].[What is your highest level of education?].&amp;[Graduate school]" c="Graduate school"/>
              <i n="[PT Q5].[What is your highest level of education?].&amp;[High school graduate]" c="High school graduate"/>
              <i n="[PT Q5].[What is your highest level of education?].&amp;[K-8 grade]" c="K-8 grade"/>
              <i n="[PT Q5].[What is your highest level of education?].&amp;[Other (please specify)]" c="Other (please specify)"/>
              <i n="[PT Q5].[What is your highest level of education?].&amp;[Some college]" c="Some college"/>
              <i n="[PT Q5].[What is your highest level of education?].&amp;[Some high school]" c="Some high school"/>
              <i n="[PT Q5].[What is your highest level of education?].&amp;[Technical school]" c="Technical school"/>
            </range>
          </ranges>
        </level>
      </levels>
      <selections count="1">
        <selection n="[PT Q5].[What is your highest level of education?].[All]"/>
      </selections>
    </olap>
  </data>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mc:Ignorable="x" name="Slicer_What_race_do_you_consider_yourself?4" sourceName="[PT Q5].[What race do you consider yourself?]">
  <pivotTables>
    <pivotTable tabId="15" name="PivotTable4"/>
  </pivotTables>
  <data>
    <olap pivotCacheId="1155">
      <levels count="2">
        <level uniqueName="[PT Q5].[What race do you consider yourself?].[(All)]" sourceCaption="(All)" count="0"/>
        <level uniqueName="[PT Q5].[What race do you consider yourself?].[What race do you consider yourself?]" sourceCaption="What race do you consider yourself?" count="9">
          <ranges>
            <range startItem="0">
              <i n="[PT Q5].[What race do you consider yourself?].&amp;[0]" c="0"/>
              <i n="[PT Q5].[What race do you consider yourself?].&amp;[American Indian and Alaska Native]" c="American Indian and Alaska Native"/>
              <i n="[PT Q5].[What race do you consider yourself?].&amp;[Asian]" c="Asian"/>
              <i n="[PT Q5].[What race do you consider yourself?].&amp;[Black or African American]" c="Black or African American"/>
              <i n="[PT Q5].[What race do you consider yourself?].&amp;[Black/African American]" c="Black/African American"/>
              <i n="[PT Q5].[What race do you consider yourself?].&amp;[Native Hawaiian and Other Pacific Islander]" c="Native Hawaiian and Other Pacific Islander"/>
              <i n="[PT Q5].[What race do you consider yourself?].&amp;[Other (please specify)]" c="Other (please specify)"/>
              <i n="[PT Q5].[What race do you consider yourself?].&amp;[Two or more races]" c="Two or more races"/>
              <i n="[PT Q5].[What race do you consider yourself?].&amp;[White]" c="White"/>
            </range>
          </ranges>
        </level>
      </levels>
      <selections count="1">
        <selection n="[PT Q5].[What race do you consider yourself?].[All]"/>
      </selections>
    </olap>
  </data>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mc:Ignorable="x" name="Slicer_Do_you_currently_have_health_insurance?4" sourceName="[PT Q5].[Do you currently have health insurance?]">
  <pivotTables>
    <pivotTable tabId="15" name="PivotTable4"/>
  </pivotTables>
  <data>
    <olap pivotCacheId="1155">
      <levels count="2">
        <level uniqueName="[PT Q5].[Do you currently have health insurance?].[(All)]" sourceCaption="(All)" count="0"/>
        <level uniqueName="[PT Q5].[Do you currently have health insurance?].[Do you currently have health insurance?]" sourceCaption="Do you currently have health insurance?" count="7">
          <ranges>
            <range startItem="0">
              <i n="[PT Q5].[Do you currently have health insurance?].&amp;[0]" c="0"/>
              <i n="[PT Q5].[Do you currently have health insurance?].&amp;[Employed for wages]" c="Employed for wages"/>
              <i n="[PT Q5].[Do you currently have health insurance?].&amp;[No]" c="No"/>
              <i n="[PT Q5].[Do you currently have health insurance?].&amp;[No, but I did in the past]" c="No, but I did in the past"/>
              <i n="[PT Q5].[Do you currently have health insurance?].&amp;[Out of work and looking for work]" c="Out of work and looking for work"/>
              <i n="[PT Q5].[Do you currently have health insurance?].&amp;[Retired]" c="Retired"/>
              <i n="[PT Q5].[Do you currently have health insurance?].&amp;[Yes]" c="Yes"/>
            </range>
          </ranges>
        </level>
      </levels>
      <selections count="1">
        <selection n="[PT Q5].[Do you currently have health insurance?].[All]"/>
      </selections>
    </olap>
  </data>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mc:Ignorable="x" name="Slicer_I_identify_as5" sourceName="[PT Q6].[I identify as:]">
  <pivotTables>
    <pivotTable tabId="27" name="PivotTable3"/>
  </pivotTables>
  <data>
    <olap pivotCacheId="1156">
      <levels count="2">
        <level uniqueName="[PT Q6].[I identify as:].[(All)]" sourceCaption="(All)" count="0"/>
        <level uniqueName="[PT Q6].[I identify as:].[I identify as:]" sourceCaption="I identify as:" count="4">
          <ranges>
            <range startItem="0">
              <i n="[PT Q6].[I identify as:].&amp;[0]" c="0"/>
              <i n="[PT Q6].[I identify as:].&amp;[Man]" c="Man"/>
              <i n="[PT Q6].[I identify as:].&amp;[Transgender]" c="Transgender"/>
              <i n="[PT Q6].[I identify as:].&amp;[Woman]" c="Woman"/>
            </range>
          </ranges>
        </level>
      </levels>
      <selections count="1">
        <selection n="[PT Q6].[I identify as:].[All]"/>
      </selections>
    </olap>
  </data>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mc:Ignorable="x" name="Slicer_Are_you_Hispanic_or_Latino?5" sourceName="[PT Q6].[Are you Hispanic or Latino?]">
  <pivotTables>
    <pivotTable tabId="27" name="PivotTable3"/>
  </pivotTables>
  <data>
    <olap pivotCacheId="1156">
      <levels count="2">
        <level uniqueName="[PT Q6].[Are you Hispanic or Latino?].[(All)]" sourceCaption="(All)" count="0"/>
        <level uniqueName="[PT Q6].[Are you Hispanic or Latino?].[Are you Hispanic or Latino?]" sourceCaption="Are you Hispanic or Latino?" count="4">
          <ranges>
            <range startItem="0">
              <i n="[PT Q6].[Are you Hispanic or Latino?].&amp;[0]" c="0"/>
              <i n="[PT Q6].[Are you Hispanic or Latino?].&amp;[Hispanic or Latino]" c="Hispanic or Latino"/>
              <i n="[PT Q6].[Are you Hispanic or Latino?].&amp;[Not Hispanic or Latino]" c="Not Hispanic or Latino"/>
              <i n="[PT Q6].[Are you Hispanic or Latino?].&amp;[Unknown]" c="Unknown"/>
            </range>
          </ranges>
        </level>
      </levels>
      <selections count="1">
        <selection n="[PT Q6].[Are you Hispanic or Latino?].[All]"/>
      </selections>
    </olap>
  </data>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mc:Ignorable="x" name="Slicer_County_where_you_live5" sourceName="[PT Q6].[County where you live:]">
  <pivotTables>
    <pivotTable tabId="27" name="PivotTable3"/>
  </pivotTables>
  <data>
    <olap pivotCacheId="1156">
      <levels count="2">
        <level uniqueName="[PT Q6].[County where you live:].[(All)]" sourceCaption="(All)" count="0"/>
        <level uniqueName="[PT Q6].[County where you live:].[County where you live:]" sourceCaption="County where you live:" count="4">
          <ranges>
            <range startItem="0">
              <i n="[PT Q6].[County where you live:].&amp;[0]" c="0"/>
              <i n="[PT Q6].[County where you live:].&amp;[Nassau]" c="Nassau"/>
              <i n="[PT Q6].[County where you live:].&amp;[Queens]" c="Queens"/>
              <i n="[PT Q6].[County where you live:].&amp;[Suffolk]" c="Suffolk"/>
            </range>
          </ranges>
        </level>
      </levels>
      <selections count="1">
        <selection n="[PT Q6].[County where you live:].[All]"/>
      </selections>
    </olap>
  </data>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mc:Ignorable="x" name="Slicer_What_is_your_annual_household_income_from_all_sources?5" sourceName="[PT Q6].[What is your annual household income from all sources?]">
  <pivotTables>
    <pivotTable tabId="27" name="PivotTable3"/>
  </pivotTables>
  <data>
    <olap pivotCacheId="1156">
      <levels count="2">
        <level uniqueName="[PT Q6].[What is your annual household income from all sources?].[(All)]" sourceCaption="(All)" count="0"/>
        <level uniqueName="[PT Q6].[What is your annual household income from all sources?].[What is your annual household income from all sources?]" sourceCaption="What is your annual household income from all sources?" count="7">
          <ranges>
            <range startItem="0">
              <i n="[PT Q6].[What is your annual household income from all sources?].&amp;[$0-$19,999]" c="$0-$19,999"/>
              <i n="[PT Q6].[What is your annual household income from all sources?].&amp;[$20,000 to $34,999]" c="$20,000 to $34,999"/>
              <i n="[PT Q6].[What is your annual household income from all sources?].&amp;[$35,000 to $49,999]" c="$35,000 to $49,999"/>
              <i n="[PT Q6].[What is your annual household income from all sources?].&amp;[$50,000 to $74,999]" c="$50,000 to $74,999"/>
              <i n="[PT Q6].[What is your annual household income from all sources?].&amp;[$75,000 to $125,000]" c="$75,000 to $125,000"/>
              <i n="[PT Q6].[What is your annual household income from all sources?].&amp;[0]" c="0"/>
              <i n="[PT Q6].[What is your annual household income from all sources?].&amp;[Over $125,000]" c="Over $125,000"/>
            </range>
          </ranges>
        </level>
      </levels>
      <selections count="1">
        <selection n="[PT Q6].[What is your annual household income from all sources?].[All]"/>
      </selections>
    </olap>
  </data>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mc:Ignorable="x" name="Slicer_What_is_your_current_employment_status?5" sourceName="[PT Q6].[What is your current employment status?]">
  <pivotTables>
    <pivotTable tabId="27" name="PivotTable3"/>
  </pivotTables>
  <data>
    <olap pivotCacheId="1156">
      <levels count="2">
        <level uniqueName="[PT Q6].[What is your current employment status?].[(All)]" sourceCaption="(All)" count="0"/>
        <level uniqueName="[PT Q6].[What is your current employment status?].[What is your current employment status?]" sourceCaption="What is your current employment status?" count="8">
          <ranges>
            <range startItem="0">
              <i n="[PT Q6].[What is your current employment status?].&amp;[0]" c="0"/>
              <i n="[PT Q6].[What is your current employment status?].&amp;[Employed for wages]" c="Employed for wages"/>
              <i n="[PT Q6].[What is your current employment status?].&amp;[Military]" c="Military"/>
              <i n="[PT Q6].[What is your current employment status?].&amp;[Out of work and looking for work]" c="Out of work and looking for work"/>
              <i n="[PT Q6].[What is your current employment status?].&amp;[Out of work, but not currently looking]" c="Out of work, but not currently looking"/>
              <i n="[PT Q6].[What is your current employment status?].&amp;[Retired]" c="Retired"/>
              <i n="[PT Q6].[What is your current employment status?].&amp;[Self-employed]" c="Self-employed"/>
              <i n="[PT Q6].[What is your current employment status?].&amp;[Student]" c="Student"/>
            </range>
          </ranges>
        </level>
      </levels>
      <selections count="1">
        <selection n="[PT Q6].[What is your current employment status?].[All]"/>
      </selections>
    </olap>
  </data>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mc:Ignorable="x" name="Slicer_What_is_your_highest_level_of_education?5" sourceName="[PT Q6].[What is your highest level of education?]">
  <pivotTables>
    <pivotTable tabId="27" name="PivotTable3"/>
  </pivotTables>
  <data>
    <olap pivotCacheId="1156">
      <levels count="2">
        <level uniqueName="[PT Q6].[What is your highest level of education?].[(All)]" sourceCaption="(All)" count="0"/>
        <level uniqueName="[PT Q6].[What is your highest level of education?].[What is your highest level of education?]" sourceCaption="What is your highest level of education?" count="10">
          <ranges>
            <range startItem="0">
              <i n="[PT Q6].[What is your highest level of education?].&amp;[0]" c="0"/>
              <i n="[PT Q6].[What is your highest level of education?].&amp;[College graduate]" c="College graduate"/>
              <i n="[PT Q6].[What is your highest level of education?].&amp;[Doctorate]" c="Doctorate"/>
              <i n="[PT Q6].[What is your highest level of education?].&amp;[Graduate school]" c="Graduate school"/>
              <i n="[PT Q6].[What is your highest level of education?].&amp;[High school graduate]" c="High school graduate"/>
              <i n="[PT Q6].[What is your highest level of education?].&amp;[K-8 grade]" c="K-8 grade"/>
              <i n="[PT Q6].[What is your highest level of education?].&amp;[Other (please specify)]" c="Other (please specify)"/>
              <i n="[PT Q6].[What is your highest level of education?].&amp;[Some college]" c="Some college"/>
              <i n="[PT Q6].[What is your highest level of education?].&amp;[Some high school]" c="Some high school"/>
              <i n="[PT Q6].[What is your highest level of education?].&amp;[Technical school]" c="Technical school"/>
            </range>
          </ranges>
        </level>
      </levels>
      <selections count="1">
        <selection n="[PT Q6].[What is your highest level of education?].[All]"/>
      </selections>
    </olap>
  </data>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mc:Ignorable="x" name="Slicer_What_race_do_you_consider_yourself?5" sourceName="[PT Q6].[What race do you consider yourself?]">
  <pivotTables>
    <pivotTable tabId="27" name="PivotTable3"/>
  </pivotTables>
  <data>
    <olap pivotCacheId="1156">
      <levels count="2">
        <level uniqueName="[PT Q6].[What race do you consider yourself?].[(All)]" sourceCaption="(All)" count="0"/>
        <level uniqueName="[PT Q6].[What race do you consider yourself?].[What race do you consider yourself?]" sourceCaption="What race do you consider yourself?" count="9">
          <ranges>
            <range startItem="0">
              <i n="[PT Q6].[What race do you consider yourself?].&amp;[0]" c="0"/>
              <i n="[PT Q6].[What race do you consider yourself?].&amp;[American Indian and Alaska Native]" c="American Indian and Alaska Native"/>
              <i n="[PT Q6].[What race do you consider yourself?].&amp;[Asian]" c="Asian"/>
              <i n="[PT Q6].[What race do you consider yourself?].&amp;[Black or African American]" c="Black or African American"/>
              <i n="[PT Q6].[What race do you consider yourself?].&amp;[Black/African American]" c="Black/African American"/>
              <i n="[PT Q6].[What race do you consider yourself?].&amp;[Native Hawaiian and Other Pacific Islander]" c="Native Hawaiian and Other Pacific Islander"/>
              <i n="[PT Q6].[What race do you consider yourself?].&amp;[Other (please specify)]" c="Other (please specify)"/>
              <i n="[PT Q6].[What race do you consider yourself?].&amp;[Two or more races]" c="Two or more races"/>
              <i n="[PT Q6].[What race do you consider yourself?].&amp;[White]" c="White"/>
            </range>
          </ranges>
        </level>
      </levels>
      <selections count="1">
        <selection n="[PT Q6].[What race do you consider yourself?].[All]"/>
      </selections>
    </olap>
  </data>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mc:Ignorable="x" name="Slicer_Do_you_currently_have_health_insurance?5" sourceName="[PT Q6].[Do you currently have health insurance?]">
  <pivotTables>
    <pivotTable tabId="27" name="PivotTable3"/>
  </pivotTables>
  <data>
    <olap pivotCacheId="1156">
      <levels count="2">
        <level uniqueName="[PT Q6].[Do you currently have health insurance?].[(All)]" sourceCaption="(All)" count="0"/>
        <level uniqueName="[PT Q6].[Do you currently have health insurance?].[Do you currently have health insurance?]" sourceCaption="Do you currently have health insurance?" count="7">
          <ranges>
            <range startItem="0">
              <i n="[PT Q6].[Do you currently have health insurance?].&amp;[0]" c="0"/>
              <i n="[PT Q6].[Do you currently have health insurance?].&amp;[Employed for wages]" c="Employed for wages"/>
              <i n="[PT Q6].[Do you currently have health insurance?].&amp;[No]" c="No"/>
              <i n="[PT Q6].[Do you currently have health insurance?].&amp;[No, but I did in the past]" c="No, but I did in the past"/>
              <i n="[PT Q6].[Do you currently have health insurance?].&amp;[Out of work and looking for work]" c="Out of work and looking for work"/>
              <i n="[PT Q6].[Do you currently have health insurance?].&amp;[Retired]" c="Retired"/>
              <i n="[PT Q6].[Do you currently have health insurance?].&amp;[Yes]" c="Yes"/>
            </range>
          </ranges>
        </level>
      </levels>
      <selections count="1">
        <selection n="[PT Q6].[Do you currently have health insurance?].[All]"/>
      </selections>
    </olap>
  </data>
</slicerCacheDefinition>
</file>

<file path=xl/slicerCaches/slicerCache49.xml><?xml version="1.0" encoding="utf-8"?>
<slicerCacheDefinition xmlns="http://schemas.microsoft.com/office/spreadsheetml/2009/9/main" xmlns:mc="http://schemas.openxmlformats.org/markup-compatibility/2006" xmlns:x="http://schemas.openxmlformats.org/spreadsheetml/2006/main" mc:Ignorable="x" name="Slicer_County_where_you_live6" sourceName="[PT Q1].[County where you live:]">
  <pivotTables>
    <pivotTable tabId="30" name="PivotTable1"/>
  </pivotTables>
  <data>
    <olap pivotCacheId="1151">
      <levels count="2">
        <level uniqueName="[PT Q1].[County where you live:].[(All)]" sourceCaption="(All)" count="0"/>
        <level uniqueName="[PT Q1].[County where you live:].[County where you live:]" sourceCaption="County where you live:" count="4">
          <ranges>
            <range startItem="0">
              <i n="[PT Q1].[County where you live:].&amp;[0]" c="0"/>
              <i n="[PT Q1].[County where you live:].&amp;[Nassau]" c="Nassau"/>
              <i n="[PT Q1].[County where you live:].&amp;[Queens]" c="Queens"/>
              <i n="[PT Q1].[County where you live:].&amp;[Suffolk]" c="Suffolk"/>
            </range>
          </ranges>
        </level>
      </levels>
      <selections count="3">
        <selection n="[PT Q1].[County where you live:].&amp;[Nassau]"/>
        <selection n="[PT Q1].[County where you live:].&amp;[Queens]"/>
        <selection n="[PT Q1].[County where you live:].&amp;[Suffolk]"/>
      </selections>
    </olap>
  </data>
</slicerCacheDefinition>
</file>

<file path=xl/slicerCaches/slicerCache50.xml><?xml version="1.0" encoding="utf-8"?>
<slicerCacheDefinition xmlns="http://schemas.microsoft.com/office/spreadsheetml/2009/9/main" xmlns:mc="http://schemas.openxmlformats.org/markup-compatibility/2006" xmlns:x="http://schemas.openxmlformats.org/spreadsheetml/2006/main" mc:Ignorable="x" name="Slicer_Town_and_ZIP_code_where_you_live" sourceName="[PT Q1].[Town and ZIP code where you live:]">
  <pivotTables>
    <pivotTable tabId="30" name="PivotTable1"/>
  </pivotTables>
  <data>
    <olap pivotCacheId="1151">
      <levels count="2">
        <level uniqueName="[PT Q1].[Town and ZIP code where you live:].[(All)]" sourceCaption="(All)" count="0"/>
        <level uniqueName="[PT Q1].[Town and ZIP code where you live:].[Town and ZIP code where you live:]" sourceCaption="Town and ZIP code where you live:" count="145">
          <ranges>
            <range startItem="0">
              <i n="[PT Q1].[Town and ZIP code where you live:].&amp;[0]" c="0"/>
              <i n="[PT Q1].[Town and ZIP code where you live:].&amp;[10001]" c="10001"/>
              <i n="[PT Q1].[Town and ZIP code where you live:].&amp;[11003]" c="11003"/>
              <i n="[PT Q1].[Town and ZIP code where you live:].&amp;[11231]" c="11231"/>
              <i n="[PT Q1].[Town and ZIP code where you live:].&amp;[11236]" c="11236"/>
              <i n="[PT Q1].[Town and ZIP code where you live:].&amp;[11355]" c="11355"/>
              <i n="[PT Q1].[Town and ZIP code where you live:].&amp;[11367]" c="11367"/>
              <i n="[PT Q1].[Town and ZIP code where you live:].&amp;[11372]" c="11372"/>
              <i n="[PT Q1].[Town and ZIP code where you live:].&amp;[11375]" c="11375"/>
              <i n="[PT Q1].[Town and ZIP code where you live:].&amp;[11414]" c="11414"/>
              <i n="[PT Q1].[Town and ZIP code where you live:].&amp;[11428]" c="11428"/>
              <i n="[PT Q1].[Town and ZIP code where you live:].&amp;[11429]" c="11429"/>
              <i n="[PT Q1].[Town and ZIP code where you live:].&amp;[11456]" c="11456"/>
              <i n="[PT Q1].[Town and ZIP code where you live:].&amp;[11692]" c="11692"/>
              <i n="[PT Q1].[Town and ZIP code where you live:].&amp;[22407]" c="22407"/>
              <i n="[PT Q1].[Town and ZIP code where you live:].&amp;[Albertson, 11507]" c="Albertson, 11507"/>
              <i n="[PT Q1].[Town and ZIP code where you live:].&amp;[Alden Manor, 11003]" c="Alden Manor, 11003"/>
              <i n="[PT Q1].[Town and ZIP code where you live:].&amp;[Amagansett, 11930]" c="Amagansett, 11930"/>
              <i n="[PT Q1].[Town and ZIP code where you live:].&amp;[Amityville, 11701]" c="Amityville, 11701"/>
              <i n="[PT Q1].[Town and ZIP code where you live:].&amp;[Amityville, 11708]" c="Amityville, 11708"/>
              <i n="[PT Q1].[Town and ZIP code where you live:].&amp;[Aquebogue, 11931]" c="Aquebogue, 11931"/>
              <i n="[PT Q1].[Town and ZIP code where you live:].&amp;[Babylon, 11702]" c="Babylon, 11702"/>
              <i n="[PT Q1].[Town and ZIP code where you live:].&amp;[Babylon, 11703]" c="Babylon, 11703"/>
              <i n="[PT Q1].[Town and ZIP code where you live:].&amp;[Babylon, 11704]" c="Babylon, 11704"/>
              <i n="[PT Q1].[Town and ZIP code where you live:].&amp;[Baiting Hollow, 11933]" c="Baiting Hollow, 11933"/>
              <i n="[PT Q1].[Town and ZIP code where you live:].&amp;[Baxter Estates, 11050]" c="Baxter Estates, 11050"/>
              <i n="[PT Q1].[Town and ZIP code where you live:].&amp;[Bay Shore, 11706]" c="Bay Shore, 11706"/>
              <i n="[PT Q1].[Town and ZIP code where you live:].&amp;[Bellerose Terrace, 11001]" c="Bellerose Terrace, 11001"/>
              <i n="[PT Q1].[Town and ZIP code where you live:].&amp;[Bellmore, 11710]" c="Bellmore, 11710"/>
              <i n="[PT Q1].[Town and ZIP code where you live:].&amp;[Bethpage, 11714]" c="Bethpage, 11714"/>
              <i n="[PT Q1].[Town and ZIP code where you live:].&amp;[Bohemia, 11716]" c="Bohemia, 11716"/>
              <i n="[PT Q1].[Town and ZIP code where you live:].&amp;[Brentwood, 11717]" c="Brentwood, 11717"/>
              <i n="[PT Q1].[Town and ZIP code where you live:].&amp;[Brightwaters, 11718]" c="Brightwaters, 11718"/>
              <i n="[PT Q1].[Town and ZIP code where you live:].&amp;[Carle Place, 11514]" c="Carle Place, 11514"/>
              <i n="[PT Q1].[Town and ZIP code where you live:].&amp;[Centereach, 11720]" c="Centereach, 11720"/>
              <i n="[PT Q1].[Town and ZIP code where you live:].&amp;[Centerport, 11721]" c="Centerport, 11721"/>
              <i n="[PT Q1].[Town and ZIP code where you live:].&amp;[Central Islip, 11722]" c="Central Islip, 11722"/>
              <i n="[PT Q1].[Town and ZIP code where you live:].&amp;[Cold Spring Harbor, 11724]" c="Cold Spring Harbor, 11724"/>
              <i n="[PT Q1].[Town and ZIP code where you live:].&amp;[Commack, 11725]" c="Commack, 11725"/>
              <i n="[PT Q1].[Town and ZIP code where you live:].&amp;[Copiague, 11726]" c="Copiague, 11726"/>
              <i n="[PT Q1].[Town and ZIP code where you live:].&amp;[Coram, 11727]" c="Coram, 11727"/>
              <i n="[PT Q1].[Town and ZIP code where you live:].&amp;[Deer Park, 11729]" c="Deer Park, 11729"/>
              <i n="[PT Q1].[Town and ZIP code where you live:].&amp;[Dix Hills, 11746]" c="Dix Hills, 11746"/>
              <i n="[PT Q1].[Town and ZIP code where you live:].&amp;[East Islip, 11730]" c="East Islip, 11730"/>
              <i n="[PT Q1].[Town and ZIP code where you live:].&amp;[East Meadow, 11554]" c="East Meadow, 11554"/>
              <i n="[PT Q1].[Town and ZIP code where you live:].&amp;[East Northport, 11731]" c="East Northport, 11731"/>
              <i n="[PT Q1].[Town and ZIP code where you live:].&amp;[Farmingdale, 11735]" c="Farmingdale, 11735"/>
              <i n="[PT Q1].[Town and ZIP code where you live:].&amp;[Farmingville, 11738]" c="Farmingville, 11738"/>
              <i n="[PT Q1].[Town and ZIP code where you live:].&amp;[Floral Park, 11001]" c="Floral Park, 11001"/>
              <i n="[PT Q1].[Town and ZIP code where you live:].&amp;[Floral Park, 11002]" c="Floral Park, 11002"/>
              <i n="[PT Q1].[Town and ZIP code where you live:].&amp;[Franklin Square, 11010]" c="Franklin Square, 11010"/>
              <i n="[PT Q1].[Town and ZIP code where you live:].&amp;[Freeport, 11520]" c="Freeport, 11520"/>
              <i n="[PT Q1].[Town and ZIP code where you live:].&amp;[Garden City, 11530]" c="Garden City, 11530"/>
              <i n="[PT Q1].[Town and ZIP code where you live:].&amp;[Garden City, 11531]" c="Garden City, 11531"/>
              <i n="[PT Q1].[Town and ZIP code where you live:].&amp;[Great Neck, 11026]" c="Great Neck, 11026"/>
              <i n="[PT Q1].[Town and ZIP code where you live:].&amp;[Greenlawn, 11740]" c="Greenlawn, 11740"/>
              <i n="[PT Q1].[Town and ZIP code where you live:].&amp;[Halesite, 11743]" c="Halesite, 11743"/>
              <i n="[PT Q1].[Town and ZIP code where you live:].&amp;[Hauppauge, 11788]" c="Hauppauge, 11788"/>
              <i n="[PT Q1].[Town and ZIP code where you live:].&amp;[Head of the Harbor, 11780]" c="Head of the Harbor, 11780"/>
              <i n="[PT Q1].[Town and ZIP code where you live:].&amp;[Hempstead, 11550]" c="Hempstead, 11550"/>
              <i n="[PT Q1].[Town and ZIP code where you live:].&amp;[Herricks, 11040]" c="Herricks, 11040"/>
              <i n="[PT Q1].[Town and ZIP code where you live:].&amp;[Hewlett Neck, 11598]" c="Hewlett Neck, 11598"/>
              <i n="[PT Q1].[Town and ZIP code where you live:].&amp;[Hicksville, 11801]" c="Hicksville, 11801"/>
              <i n="[PT Q1].[Town and ZIP code where you live:].&amp;[Holtsville, 11742]" c="Holtsville, 11742"/>
              <i n="[PT Q1].[Town and ZIP code where you live:].&amp;[Huntington Station, 11746]" c="Huntington Station, 11746"/>
              <i n="[PT Q1].[Town and ZIP code where you live:].&amp;[Huntington Station, 11747]" c="Huntington Station, 11747"/>
              <i n="[PT Q1].[Town and ZIP code where you live:].&amp;[Huntington, 11743]" c="Huntington, 11743"/>
              <i n="[PT Q1].[Town and ZIP code where you live:].&amp;[Islip Manor, 11751]" c="Islip Manor, 11751"/>
              <i n="[PT Q1].[Town and ZIP code where you live:].&amp;[Islip, 11751]" c="Islip, 11751"/>
              <i n="[PT Q1].[Town and ZIP code where you live:].&amp;[Jericho, 11753]" c="Jericho, 11753"/>
              <i n="[PT Q1].[Town and ZIP code where you live:].&amp;[Kings Park, 11754]" c="Kings Park, 11754"/>
              <i n="[PT Q1].[Town and ZIP code where you live:].&amp;[Lake Grove, 11755]" c="Lake Grove, 11755"/>
              <i n="[PT Q1].[Town and ZIP code where you live:].&amp;[Lake Ronkonkoma, 11779]" c="Lake Ronkonkoma, 11779"/>
              <i n="[PT Q1].[Town and ZIP code where you live:].&amp;[Lake Success, 11020]" c="Lake Success, 11020"/>
              <i n="[PT Q1].[Town and ZIP code where you live:].&amp;[Lakeview, 11552]" c="Lakeview, 11552"/>
              <i n="[PT Q1].[Town and ZIP code where you live:].&amp;[Lawrence, 11559]" c="Lawrence, 11559"/>
              <i n="[PT Q1].[Town and ZIP code where you live:].&amp;[Levittown, 11756]" c="Levittown, 11756"/>
              <i n="[PT Q1].[Town and ZIP code where you live:].&amp;[Lido Beach, 11561]" c="Lido Beach, 11561"/>
              <i n="[PT Q1].[Town and ZIP code where you live:].&amp;[Lindenhurst, 11757]" c="Lindenhurst, 11757"/>
              <i n="[PT Q1].[Town and ZIP code where you live:].&amp;[Long Beach, 11561]" c="Long Beach, 11561"/>
              <i n="[PT Q1].[Town and ZIP code where you live:].&amp;[Lynbrook, 11563]" c="Lynbrook, 11563"/>
              <i n="[PT Q1].[Town and ZIP code where you live:].&amp;[Malverne, 11565]" c="Malverne, 11565"/>
              <i n="[PT Q1].[Town and ZIP code where you live:].&amp;[Manhasset, 11030]" c="Manhasset, 11030"/>
              <i n="[PT Q1].[Town and ZIP code where you live:].&amp;[Manorville, 11949]" c="Manorville, 11949"/>
              <i n="[PT Q1].[Town and ZIP code where you live:].&amp;[Massapequa Park, 11762]" c="Massapequa Park, 11762"/>
              <i n="[PT Q1].[Town and ZIP code where you live:].&amp;[Massapequa, 11758]" c="Massapequa, 11758"/>
              <i n="[PT Q1].[Town and ZIP code where you live:].&amp;[Mastic, 11950]" c="Mastic, 11950"/>
              <i n="[PT Q1].[Town and ZIP code where you live:].&amp;[Medford, 11763]" c="Medford, 11763"/>
              <i n="[PT Q1].[Town and ZIP code where you live:].&amp;[Melville, 11747]" c="Melville, 11747"/>
              <i n="[PT Q1].[Town and ZIP code where you live:].&amp;[Merrick, 11566]" c="Merrick, 11566"/>
              <i n="[PT Q1].[Town and ZIP code where you live:].&amp;[Middle Island, 11953]" c="Middle Island, 11953"/>
              <i n="[PT Q1].[Town and ZIP code where you live:].&amp;[Miller Place, 11764]" c="Miller Place, 11764"/>
              <i n="[PT Q1].[Town and ZIP code where you live:].&amp;[Mineola, 11501]" c="Mineola, 11501"/>
              <i n="[PT Q1].[Town and ZIP code where you live:].&amp;[Moriches, 11955]" c="Moriches, 11955"/>
              <i n="[PT Q1].[Town and ZIP code where you live:].&amp;[Nesconset, 11767]" c="Nesconset, 11767"/>
              <i n="[PT Q1].[Town and ZIP code where you live:].&amp;[New Cassel, 11590]" c="New Cassel, 11590"/>
              <i n="[PT Q1].[Town and ZIP code where you live:].&amp;[New Hyde Park, 11040]" c="New Hyde Park, 11040"/>
              <i n="[PT Q1].[Town and ZIP code where you live:].&amp;[North Babylon, 11703]" c="North Babylon, 11703"/>
              <i n="[PT Q1].[Town and ZIP code where you live:].&amp;[North Massapequa, 11758]" c="North Massapequa, 11758"/>
              <i n="[PT Q1].[Town and ZIP code where you live:].&amp;[North New Hyde Park, 11040]" c="North New Hyde Park, 11040"/>
              <i n="[PT Q1].[Town and ZIP code where you live:].&amp;[Northport, 11768]" c="Northport, 11768"/>
              <i n="[PT Q1].[Town and ZIP code where you live:].&amp;[Oakdale, 11769]" c="Oakdale, 11769"/>
              <i n="[PT Q1].[Town and ZIP code where you live:].&amp;[Oceanside, 11572]" c="Oceanside, 11572"/>
              <i n="[PT Q1].[Town and ZIP code where you live:].&amp;[Patchogue, 11772]" c="Patchogue, 11772"/>
              <i n="[PT Q1].[Town and ZIP code where you live:].&amp;[Peconic, 11958]" c="Peconic, 11958"/>
              <i n="[PT Q1].[Town and ZIP code where you live:].&amp;[Plainview, 11803]" c="Plainview, 11803"/>
              <i n="[PT Q1].[Town and ZIP code where you live:].&amp;[Port Jefferson Station, 11776]" c="Port Jefferson Station, 11776"/>
              <i n="[PT Q1].[Town and ZIP code where you live:].&amp;[Ridge, 11961]" c="Ridge, 11961"/>
              <i n="[PT Q1].[Town and ZIP code where you live:].&amp;[Riverhead, 11901]" c="Riverhead, 11901"/>
              <i n="[PT Q1].[Town and ZIP code where you live:].&amp;[Rockville Centre, 11570]" c="Rockville Centre, 11570"/>
              <i n="[PT Q1].[Town and ZIP code where you live:].&amp;[Rocky Point, 11778]" c="Rocky Point, 11778"/>
              <i n="[PT Q1].[Town and ZIP code where you live:].&amp;[Ronkonkoma, 11779]" c="Ronkonkoma, 11779"/>
              <i n="[PT Q1].[Town and ZIP code where you live:].&amp;[Roslyn, 11576]" c="Roslyn, 11576"/>
              <i n="[PT Q1].[Town and ZIP code where you live:].&amp;[Saint James, 11780]" c="Saint James, 11780"/>
              <i n="[PT Q1].[Town and ZIP code where you live:].&amp;[Sayville, 11782]" c="Sayville, 11782"/>
              <i n="[PT Q1].[Town and ZIP code where you live:].&amp;[Seaford, 11783]" c="Seaford, 11783"/>
              <i n="[PT Q1].[Town and ZIP code where you live:].&amp;[Selden, 11784]" c="Selden, 11784"/>
              <i n="[PT Q1].[Town and ZIP code where you live:].&amp;[Setauket, 11733]" c="Setauket, 11733"/>
              <i n="[PT Q1].[Town and ZIP code where you live:].&amp;[Shirley, 11967]" c="Shirley, 11967"/>
              <i n="[PT Q1].[Town and ZIP code where you live:].&amp;[Smithtown, 11745]" c="Smithtown, 11745"/>
              <i n="[PT Q1].[Town and ZIP code where you live:].&amp;[Smithtown, 11787]" c="Smithtown, 11787"/>
              <i n="[PT Q1].[Town and ZIP code where you live:].&amp;[South Huntington, 11746]" c="South Huntington, 11746"/>
              <i n="[PT Q1].[Town and ZIP code where you live:].&amp;[Stony Brook, 11790]" c="Stony Brook, 11790"/>
              <i n="[PT Q1].[Town and ZIP code where you live:].&amp;[Syosset, 11773]" c="Syosset, 11773"/>
              <i n="[PT Q1].[Town and ZIP code where you live:].&amp;[Syosset, 11791]" c="Syosset, 11791"/>
              <i n="[PT Q1].[Town and ZIP code where you live:].&amp;[Uniondale, 11553]" c="Uniondale, 11553"/>
              <i n="[PT Q1].[Town and ZIP code where you live:].&amp;[Valley Stream, 11580]" c="Valley Stream, 11580"/>
              <i n="[PT Q1].[Town and ZIP code where you live:].&amp;[Wading River, 11792]" c="Wading River, 11792"/>
              <i n="[PT Q1].[Town and ZIP code where you live:].&amp;[Wantagh, 11793]" c="Wantagh, 11793"/>
              <i n="[PT Q1].[Town and ZIP code where you live:].&amp;[West Babylon, 11704]" c="West Babylon, 11704"/>
              <i n="[PT Q1].[Town and ZIP code where you live:].&amp;[West Hempstead, 11552]" c="West Hempstead, 11552"/>
              <i n="[PT Q1].[Town and ZIP code where you live:].&amp;[West Islip, 11795]" c="West Islip, 11795"/>
              <i n="[PT Q1].[Town and ZIP code where you live:].&amp;[West Sayville, 11796]" c="West Sayville, 11796"/>
              <i n="[PT Q1].[Town and ZIP code where you live:].&amp;[Westbury, 11590]" c="Westbury, 11590"/>
              <i n="[PT Q1].[Town and ZIP code where you live:].&amp;[Williston Park, 11596]" c="Williston Park, 11596"/>
              <i n="[PT Q1].[Town and ZIP code where you live:].&amp;[Woodbury, 11797]" c="Woodbury, 11797"/>
              <i n="[PT Q1].[Town and ZIP code where you live:].&amp;[Woodsburgh, 11598]" c="Woodsburgh, 11598"/>
              <i n="[PT Q1].[Town and ZIP code where you live:].&amp;[Yaphank, 11980]" c="Yaphank, 11980"/>
              <i n="[PT Q1].[Town and ZIP code where you live:].&amp;[Allenwood, 11021]" c="Allenwood, 11021" nd="1"/>
              <i n="[PT Q1].[Town and ZIP code where you live:].&amp;[Atlantic Beach, 11509]" c="Atlantic Beach, 11509" nd="1"/>
              <i n="[PT Q1].[Town and ZIP code where you live:].&amp;[Brookville, 11545]" c="Brookville, 11545" nd="1"/>
              <i n="[PT Q1].[Town and ZIP code where you live:].&amp;[East Hills, 11576]" c="East Hills, 11576" nd="1"/>
              <i n="[PT Q1].[Town and ZIP code where you live:].&amp;[Garden City South, 11530]" c="Garden City South, 11530" nd="1"/>
              <i n="[PT Q1].[Town and ZIP code where you live:].&amp;[Garden City, 11536]" c="Garden City, 11536" nd="1"/>
              <i n="[PT Q1].[Town and ZIP code where you live:].&amp;[Hempstead, 11549]" c="Hempstead, 11549" nd="1"/>
            </range>
          </ranges>
        </level>
      </levels>
      <selections count="144">
        <selection n="[PT Q1].[Town and ZIP code where you live:].&amp;[10001]"/>
        <selection n="[PT Q1].[Town and ZIP code where you live:].&amp;[11003]"/>
        <selection n="[PT Q1].[Town and ZIP code where you live:].&amp;[11231]"/>
        <selection n="[PT Q1].[Town and ZIP code where you live:].&amp;[11236]"/>
        <selection n="[PT Q1].[Town and ZIP code where you live:].&amp;[11355]"/>
        <selection n="[PT Q1].[Town and ZIP code where you live:].&amp;[11367]"/>
        <selection n="[PT Q1].[Town and ZIP code where you live:].&amp;[11372]"/>
        <selection n="[PT Q1].[Town and ZIP code where you live:].&amp;[11375]"/>
        <selection n="[PT Q1].[Town and ZIP code where you live:].&amp;[11414]"/>
        <selection n="[PT Q1].[Town and ZIP code where you live:].&amp;[11428]"/>
        <selection n="[PT Q1].[Town and ZIP code where you live:].&amp;[11429]"/>
        <selection n="[PT Q1].[Town and ZIP code where you live:].&amp;[11456]"/>
        <selection n="[PT Q1].[Town and ZIP code where you live:].&amp;[11692]"/>
        <selection n="[PT Q1].[Town and ZIP code where you live:].&amp;[22407]"/>
        <selection n="[PT Q1].[Town and ZIP code where you live:].&amp;[Albertson, 11507]"/>
        <selection n="[PT Q1].[Town and ZIP code where you live:].&amp;[Alden Manor, 11003]"/>
        <selection n="[PT Q1].[Town and ZIP code where you live:].&amp;[Allenwood, 11021]"/>
        <selection n="[PT Q1].[Town and ZIP code where you live:].&amp;[Amagansett, 11930]"/>
        <selection n="[PT Q1].[Town and ZIP code where you live:].&amp;[Amityville, 11701]"/>
        <selection n="[PT Q1].[Town and ZIP code where you live:].&amp;[Amityville, 11708]"/>
        <selection n="[PT Q1].[Town and ZIP code where you live:].&amp;[Aquebogue, 11931]"/>
        <selection n="[PT Q1].[Town and ZIP code where you live:].&amp;[Atlantic Beach, 11509]"/>
        <selection n="[PT Q1].[Town and ZIP code where you live:].&amp;[Babylon, 11702]"/>
        <selection n="[PT Q1].[Town and ZIP code where you live:].&amp;[Babylon, 11703]"/>
        <selection n="[PT Q1].[Town and ZIP code where you live:].&amp;[Babylon, 11704]"/>
        <selection n="[PT Q1].[Town and ZIP code where you live:].&amp;[Baiting Hollow, 11933]"/>
        <selection n="[PT Q1].[Town and ZIP code where you live:].&amp;[Baxter Estates, 11050]"/>
        <selection n="[PT Q1].[Town and ZIP code where you live:].&amp;[Bay Shore, 11706]"/>
        <selection n="[PT Q1].[Town and ZIP code where you live:].&amp;[Bellerose Terrace, 11001]"/>
        <selection n="[PT Q1].[Town and ZIP code where you live:].&amp;[Bellmore, 11710]"/>
        <selection n="[PT Q1].[Town and ZIP code where you live:].&amp;[Bethpage, 11714]"/>
        <selection n="[PT Q1].[Town and ZIP code where you live:].&amp;[Bohemia, 11716]"/>
        <selection n="[PT Q1].[Town and ZIP code where you live:].&amp;[Brentwood, 11717]"/>
        <selection n="[PT Q1].[Town and ZIP code where you live:].&amp;[Brightwaters, 11718]"/>
        <selection n="[PT Q1].[Town and ZIP code where you live:].&amp;[Brookville, 11545]"/>
        <selection n="[PT Q1].[Town and ZIP code where you live:].&amp;[Carle Place, 11514]"/>
        <selection n="[PT Q1].[Town and ZIP code where you live:].&amp;[Centereach, 11720]"/>
        <selection n="[PT Q1].[Town and ZIP code where you live:].&amp;[Centerport, 11721]"/>
        <selection n="[PT Q1].[Town and ZIP code where you live:].&amp;[Central Islip, 11722]"/>
        <selection n="[PT Q1].[Town and ZIP code where you live:].&amp;[Cold Spring Harbor, 11724]"/>
        <selection n="[PT Q1].[Town and ZIP code where you live:].&amp;[Commack, 11725]"/>
        <selection n="[PT Q1].[Town and ZIP code where you live:].&amp;[Copiague, 11726]"/>
        <selection n="[PT Q1].[Town and ZIP code where you live:].&amp;[Coram, 11727]"/>
        <selection n="[PT Q1].[Town and ZIP code where you live:].&amp;[Deer Park, 11729]"/>
        <selection n="[PT Q1].[Town and ZIP code where you live:].&amp;[Dix Hills, 11746]"/>
        <selection n="[PT Q1].[Town and ZIP code where you live:].&amp;[East Hills, 11576]"/>
        <selection n="[PT Q1].[Town and ZIP code where you live:].&amp;[East Islip, 11730]"/>
        <selection n="[PT Q1].[Town and ZIP code where you live:].&amp;[East Meadow, 11554]"/>
        <selection n="[PT Q1].[Town and ZIP code where you live:].&amp;[East Northport, 11731]"/>
        <selection n="[PT Q1].[Town and ZIP code where you live:].&amp;[Farmingdale, 11735]"/>
        <selection n="[PT Q1].[Town and ZIP code where you live:].&amp;[Farmingville, 11738]"/>
        <selection n="[PT Q1].[Town and ZIP code where you live:].&amp;[Floral Park, 11001]"/>
        <selection n="[PT Q1].[Town and ZIP code where you live:].&amp;[Floral Park, 11002]"/>
        <selection n="[PT Q1].[Town and ZIP code where you live:].&amp;[Franklin Square, 11010]"/>
        <selection n="[PT Q1].[Town and ZIP code where you live:].&amp;[Freeport, 11520]"/>
        <selection n="[PT Q1].[Town and ZIP code where you live:].&amp;[Garden City South, 11530]"/>
        <selection n="[PT Q1].[Town and ZIP code where you live:].&amp;[Garden City, 11530]"/>
        <selection n="[PT Q1].[Town and ZIP code where you live:].&amp;[Garden City, 11531]"/>
        <selection n="[PT Q1].[Town and ZIP code where you live:].&amp;[Garden City, 11536]"/>
        <selection n="[PT Q1].[Town and ZIP code where you live:].&amp;[Great Neck, 11026]"/>
        <selection n="[PT Q1].[Town and ZIP code where you live:].&amp;[Greenlawn, 11740]"/>
        <selection n="[PT Q1].[Town and ZIP code where you live:].&amp;[Halesite, 11743]"/>
        <selection n="[PT Q1].[Town and ZIP code where you live:].&amp;[Hauppauge, 11788]"/>
        <selection n="[PT Q1].[Town and ZIP code where you live:].&amp;[Head of the Harbor, 11780]"/>
        <selection n="[PT Q1].[Town and ZIP code where you live:].&amp;[Hempstead, 11549]"/>
        <selection n="[PT Q1].[Town and ZIP code where you live:].&amp;[Hempstead, 11550]"/>
        <selection n="[PT Q1].[Town and ZIP code where you live:].&amp;[Herricks, 11040]"/>
        <selection n="[PT Q1].[Town and ZIP code where you live:].&amp;[Hewlett Neck, 11598]"/>
        <selection n="[PT Q1].[Town and ZIP code where you live:].&amp;[Hicksville, 11801]"/>
        <selection n="[PT Q1].[Town and ZIP code where you live:].&amp;[Holtsville, 11742]"/>
        <selection n="[PT Q1].[Town and ZIP code where you live:].&amp;[Huntington Station, 11746]"/>
        <selection n="[PT Q1].[Town and ZIP code where you live:].&amp;[Huntington Station, 11747]"/>
        <selection n="[PT Q1].[Town and ZIP code where you live:].&amp;[Huntington, 11743]"/>
        <selection n="[PT Q1].[Town and ZIP code where you live:].&amp;[Islip Manor, 11751]"/>
        <selection n="[PT Q1].[Town and ZIP code where you live:].&amp;[Islip, 11751]"/>
        <selection n="[PT Q1].[Town and ZIP code where you live:].&amp;[Jericho, 11753]"/>
        <selection n="[PT Q1].[Town and ZIP code where you live:].&amp;[Kings Park, 11754]"/>
        <selection n="[PT Q1].[Town and ZIP code where you live:].&amp;[Lake Grove, 11755]"/>
        <selection n="[PT Q1].[Town and ZIP code where you live:].&amp;[Lake Ronkonkoma, 11779]"/>
        <selection n="[PT Q1].[Town and ZIP code where you live:].&amp;[Lake Success, 11020]"/>
        <selection n="[PT Q1].[Town and ZIP code where you live:].&amp;[Lakeview, 11552]"/>
        <selection n="[PT Q1].[Town and ZIP code where you live:].&amp;[Lawrence, 11559]"/>
        <selection n="[PT Q1].[Town and ZIP code where you live:].&amp;[Levittown, 11756]"/>
        <selection n="[PT Q1].[Town and ZIP code where you live:].&amp;[Lido Beach, 11561]"/>
        <selection n="[PT Q1].[Town and ZIP code where you live:].&amp;[Lindenhurst, 11757]"/>
        <selection n="[PT Q1].[Town and ZIP code where you live:].&amp;[Long Beach, 11561]"/>
        <selection n="[PT Q1].[Town and ZIP code where you live:].&amp;[Lynbrook, 11563]"/>
        <selection n="[PT Q1].[Town and ZIP code where you live:].&amp;[Malverne, 11565]"/>
        <selection n="[PT Q1].[Town and ZIP code where you live:].&amp;[Manhasset, 11030]"/>
        <selection n="[PT Q1].[Town and ZIP code where you live:].&amp;[Manorville, 11949]"/>
        <selection n="[PT Q1].[Town and ZIP code where you live:].&amp;[Massapequa Park, 11762]"/>
        <selection n="[PT Q1].[Town and ZIP code where you live:].&amp;[Massapequa, 11758]"/>
        <selection n="[PT Q1].[Town and ZIP code where you live:].&amp;[Mastic, 11950]"/>
        <selection n="[PT Q1].[Town and ZIP code where you live:].&amp;[Medford, 11763]"/>
        <selection n="[PT Q1].[Town and ZIP code where you live:].&amp;[Melville, 11747]"/>
        <selection n="[PT Q1].[Town and ZIP code where you live:].&amp;[Merrick, 11566]"/>
        <selection n="[PT Q1].[Town and ZIP code where you live:].&amp;[Middle Island, 11953]"/>
        <selection n="[PT Q1].[Town and ZIP code where you live:].&amp;[Miller Place, 11764]"/>
        <selection n="[PT Q1].[Town and ZIP code where you live:].&amp;[Mineola, 11501]"/>
        <selection n="[PT Q1].[Town and ZIP code where you live:].&amp;[Moriches, 11955]"/>
        <selection n="[PT Q1].[Town and ZIP code where you live:].&amp;[Nesconset, 11767]"/>
        <selection n="[PT Q1].[Town and ZIP code where you live:].&amp;[New Cassel, 11590]"/>
        <selection n="[PT Q1].[Town and ZIP code where you live:].&amp;[New Hyde Park, 11040]"/>
        <selection n="[PT Q1].[Town and ZIP code where you live:].&amp;[North Babylon, 11703]"/>
        <selection n="[PT Q1].[Town and ZIP code where you live:].&amp;[North Massapequa, 11758]"/>
        <selection n="[PT Q1].[Town and ZIP code where you live:].&amp;[North New Hyde Park, 11040]"/>
        <selection n="[PT Q1].[Town and ZIP code where you live:].&amp;[Northport, 11768]"/>
        <selection n="[PT Q1].[Town and ZIP code where you live:].&amp;[Oakdale, 11769]"/>
        <selection n="[PT Q1].[Town and ZIP code where you live:].&amp;[Oceanside, 11572]"/>
        <selection n="[PT Q1].[Town and ZIP code where you live:].&amp;[Patchogue, 11772]"/>
        <selection n="[PT Q1].[Town and ZIP code where you live:].&amp;[Peconic, 11958]"/>
        <selection n="[PT Q1].[Town and ZIP code where you live:].&amp;[Plainview, 11803]"/>
        <selection n="[PT Q1].[Town and ZIP code where you live:].&amp;[Port Jefferson Station, 11776]"/>
        <selection n="[PT Q1].[Town and ZIP code where you live:].&amp;[Ridge, 11961]"/>
        <selection n="[PT Q1].[Town and ZIP code where you live:].&amp;[Riverhead, 11901]"/>
        <selection n="[PT Q1].[Town and ZIP code where you live:].&amp;[Rockville Centre, 11570]"/>
        <selection n="[PT Q1].[Town and ZIP code where you live:].&amp;[Rocky Point, 11778]"/>
        <selection n="[PT Q1].[Town and ZIP code where you live:].&amp;[Ronkonkoma, 11779]"/>
        <selection n="[PT Q1].[Town and ZIP code where you live:].&amp;[Roslyn, 11576]"/>
        <selection n="[PT Q1].[Town and ZIP code where you live:].&amp;[Saint James, 11780]"/>
        <selection n="[PT Q1].[Town and ZIP code where you live:].&amp;[Sayville, 11782]"/>
        <selection n="[PT Q1].[Town and ZIP code where you live:].&amp;[Seaford, 11783]"/>
        <selection n="[PT Q1].[Town and ZIP code where you live:].&amp;[Selden, 11784]"/>
        <selection n="[PT Q1].[Town and ZIP code where you live:].&amp;[Setauket, 11733]"/>
        <selection n="[PT Q1].[Town and ZIP code where you live:].&amp;[Shirley, 11967]"/>
        <selection n="[PT Q1].[Town and ZIP code where you live:].&amp;[Smithtown, 11745]"/>
        <selection n="[PT Q1].[Town and ZIP code where you live:].&amp;[Smithtown, 11787]"/>
        <selection n="[PT Q1].[Town and ZIP code where you live:].&amp;[South Huntington, 11746]"/>
        <selection n="[PT Q1].[Town and ZIP code where you live:].&amp;[Stony Brook, 11790]"/>
        <selection n="[PT Q1].[Town and ZIP code where you live:].&amp;[Syosset, 11773]"/>
        <selection n="[PT Q1].[Town and ZIP code where you live:].&amp;[Syosset, 11791]"/>
        <selection n="[PT Q1].[Town and ZIP code where you live:].&amp;[Uniondale, 11553]"/>
        <selection n="[PT Q1].[Town and ZIP code where you live:].&amp;[Valley Stream, 11580]"/>
        <selection n="[PT Q1].[Town and ZIP code where you live:].&amp;[Wading River, 11792]"/>
        <selection n="[PT Q1].[Town and ZIP code where you live:].&amp;[Wantagh, 11793]"/>
        <selection n="[PT Q1].[Town and ZIP code where you live:].&amp;[West Babylon, 11704]"/>
        <selection n="[PT Q1].[Town and ZIP code where you live:].&amp;[West Hempstead, 11552]"/>
        <selection n="[PT Q1].[Town and ZIP code where you live:].&amp;[West Islip, 11795]"/>
        <selection n="[PT Q1].[Town and ZIP code where you live:].&amp;[West Sayville, 11796]"/>
        <selection n="[PT Q1].[Town and ZIP code where you live:].&amp;[Westbury, 11590]"/>
        <selection n="[PT Q1].[Town and ZIP code where you live:].&amp;[Williston Park, 11596]"/>
        <selection n="[PT Q1].[Town and ZIP code where you live:].&amp;[Woodbury, 11797]"/>
        <selection n="[PT Q1].[Town and ZIP code where you live:].&amp;[Woodsburgh, 11598]"/>
        <selection n="[PT Q1].[Town and ZIP code where you live:].&amp;[Yaphank, 11980]"/>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unty where you live: 6" cache="Slicer_County_where_you_live6" caption="County where you live:" level="1" rowHeight="241300"/>
  <slicer name="Town and ZIP code where you live:" cache="Slicer_Town_and_ZIP_code_where_you_live" caption="Zip code where you live:" level="1"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Are you Hispanic or Latino? 1" cache="Slicer_Are_you_Hispanic_or_Latino?1" caption="Are you Hispanic or Latino?" level="1" rowHeight="241300"/>
  <slicer name="I identify as: 1" cache="Slicer_I_identify_as1" caption="I identify as:" level="1" rowHeight="241300"/>
  <slicer name="County where you live: 1" cache="Slicer_County_where_you_live1" caption="County where you live:" level="1" rowHeight="241300"/>
  <slicer name="What is your annual household income from all sources?" cache="Slicer_What_is_your_annual_household_income_from_all_sources?" caption="What is your annual household income from all sources?" level="1" rowHeight="241300"/>
  <slicer name="What is your current employment status?" cache="Slicer_What_is_your_current_employment_status?" caption="What is your current employment status?" level="1" rowHeight="241300"/>
  <slicer name="What is your highest level of education?" cache="Slicer_What_is_your_highest_level_of_education?" caption="What is your highest level of education?" level="1" rowHeight="241300"/>
  <slicer name="What race do you consider yourself?" cache="Slicer_What_race_do_you_consider_yourself?" caption="What race do you consider yourself?" level="1" rowHeight="241300"/>
  <slicer name="Do you currently have health insurance?" cache="Slicer_Do_you_currently_have_health_insurance?" caption="Do you currently have health insurance?" level="1"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I identify as:" cache="Slicer_I_identify_as" caption="I identify as:" level="1" rowHeight="241300"/>
  <slicer name="County where you live:" cache="Slicer_County_where_you_live" caption="County where you live:" level="1" rowHeight="241300"/>
  <slicer name="Are you Hispanic or Latino?" cache="Slicer_Are_you_Hispanic_or_Latino?" caption="Are you Hispanic or Latino?" level="1" rowHeight="241300"/>
  <slicer name="What is your annual household income from all sources? 1" cache="Slicer_What_is_your_annual_household_income_from_all_sources?1" caption="What is your annual household income from all sources?" level="1" rowHeight="241300"/>
  <slicer name="What is your current employment status? 1" cache="Slicer_What_is_your_current_employment_status?1" caption="What is your current employment status?" level="1" rowHeight="241300"/>
  <slicer name="What is your highest level of education? 1" cache="Slicer_What_is_your_highest_level_of_education?1" caption="What is your highest level of education?" level="1" rowHeight="241300"/>
  <slicer name="What race do you consider yourself? 1" cache="Slicer_What_race_do_you_consider_yourself?1" caption="What race do you consider yourself?" level="1" rowHeight="241300"/>
  <slicer name="Do you currently have health insurance? 1" cache="Slicer_Do_you_currently_have_health_insurance?1" caption="Do you currently have health insurance?" level="1"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I identify as: 2" cache="Slicer_I_identify_as2" caption="I identify as:" level="1" rowHeight="241300"/>
  <slicer name="County where you live: 2" cache="Slicer_County_where_you_live2" caption="County where you live:" level="1" rowHeight="241300"/>
  <slicer name="Are you Hispanic or Latino? 2" cache="Slicer_Are_you_Hispanic_or_Latino?2" caption="Are you Hispanic or Latino?" level="1" rowHeight="241300"/>
  <slicer name="What is your annual household income from all sources? 2" cache="Slicer_What_is_your_annual_household_income_from_all_sources?2" caption="What is your annual household income from all sources?" level="1" rowHeight="241300"/>
  <slicer name="What is your current employment status? 2" cache="Slicer_What_is_your_current_employment_status?2" caption="What is your current employment status?" level="1" rowHeight="241300"/>
  <slicer name="What is your highest level of education? 2" cache="Slicer_What_is_your_highest_level_of_education?2" caption="What is your highest level of education?" level="1" rowHeight="241300"/>
  <slicer name="What race do you consider yourself? 2" cache="Slicer_What_race_do_you_consider_yourself?2" caption="What race do you consider yourself?" level="1" rowHeight="241300"/>
  <slicer name="Do you currently have health insurance? 2" cache="Slicer_Do_you_currently_have_health_insurance?2" caption="Do you currently have health insurance?" level="1" rowHeight="241300"/>
</slicers>
</file>

<file path=xl/slicers/slicer5.xml><?xml version="1.0" encoding="utf-8"?>
<slicers xmlns="http://schemas.microsoft.com/office/spreadsheetml/2009/9/main" xmlns:mc="http://schemas.openxmlformats.org/markup-compatibility/2006" xmlns:x="http://schemas.openxmlformats.org/spreadsheetml/2006/main" mc:Ignorable="x">
  <slicer name="I identify as: 3" cache="Slicer_I_identify_as3" caption="I identify as:" level="1" rowHeight="241300"/>
  <slicer name="County where you live: 3" cache="Slicer_County_where_you_live3" caption="County where you live:" level="1" rowHeight="241300"/>
  <slicer name="Are you Hispanic or Latino? 3" cache="Slicer_Are_you_Hispanic_or_Latino?3" caption="Are you Hispanic or Latino?" level="1" rowHeight="241300"/>
  <slicer name="What is your annual household income from all sources? 3" cache="Slicer_What_is_your_annual_household_income_from_all_sources?3" caption="What is your annual household income from all sources?" level="1" rowHeight="241300"/>
  <slicer name="What is your current employment status? 3" cache="Slicer_What_is_your_current_employment_status?3" caption="What is your current employment status?" level="1" rowHeight="241300"/>
  <slicer name="What is your highest level of education? 3" cache="Slicer_What_is_your_highest_level_of_education?3" caption="What is your highest level of education?" level="1" rowHeight="241300"/>
  <slicer name="What race do you consider yourself? 3" cache="Slicer_What_race_do_you_consider_yourself?3" caption="What race do you consider yourself?" level="1" rowHeight="241300"/>
  <slicer name="Do you currently have health insurance? 3" cache="Slicer_Do_you_currently_have_health_insurance?3" caption="Do you currently have health insurance?" level="1" rowHeight="241300"/>
</slicers>
</file>

<file path=xl/slicers/slicer6.xml><?xml version="1.0" encoding="utf-8"?>
<slicers xmlns="http://schemas.microsoft.com/office/spreadsheetml/2009/9/main" xmlns:mc="http://schemas.openxmlformats.org/markup-compatibility/2006" xmlns:x="http://schemas.openxmlformats.org/spreadsheetml/2006/main" mc:Ignorable="x">
  <slicer name="Are you Hispanic or Latino? 4" cache="Slicer_Are_you_Hispanic_or_Latino?4" caption="Are you Hispanic or Latino?" level="1" rowHeight="241300"/>
  <slicer name="I identify as: 4" cache="Slicer_I_identify_as4" caption="I identify as:" level="1" rowHeight="241300"/>
  <slicer name="County where you live: 4" cache="Slicer_County_where_you_live4" caption="County where you live:" level="1" rowHeight="241300"/>
  <slicer name="What is your annual household income from all sources? 4" cache="Slicer_What_is_your_annual_household_income_from_all_sources?4" caption="What is your annual household income from all sources?" level="1" rowHeight="241300"/>
  <slicer name="What is your current employment status? 4" cache="Slicer_What_is_your_current_employment_status?4" caption="What is your current employment status?" level="1" rowHeight="241300"/>
  <slicer name="What is your highest level of education? 4" cache="Slicer_What_is_your_highest_level_of_education?4" caption="What is your highest level of education?" level="1" rowHeight="241300"/>
  <slicer name="What race do you consider yourself? 4" cache="Slicer_What_race_do_you_consider_yourself?4" caption="What race do you consider yourself?" level="1" rowHeight="241300"/>
  <slicer name="Do you currently have health insurance? 4" cache="Slicer_Do_you_currently_have_health_insurance?4" caption="Do you currently have health insurance?" level="1" rowHeight="241300"/>
</slicers>
</file>

<file path=xl/slicers/slicer7.xml><?xml version="1.0" encoding="utf-8"?>
<slicers xmlns="http://schemas.microsoft.com/office/spreadsheetml/2009/9/main" xmlns:mc="http://schemas.openxmlformats.org/markup-compatibility/2006" xmlns:x="http://schemas.openxmlformats.org/spreadsheetml/2006/main" mc:Ignorable="x">
  <slicer name="I identify as: 5" cache="Slicer_I_identify_as5" caption="I identify as:" level="1" rowHeight="241300"/>
  <slicer name="Are you Hispanic or Latino? 5" cache="Slicer_Are_you_Hispanic_or_Latino?5" caption="Are you Hispanic or Latino?" level="1" rowHeight="241300"/>
  <slicer name="County where you live: 5" cache="Slicer_County_where_you_live5" caption="County where you live:" level="1" rowHeight="241300"/>
  <slicer name="What is your annual household income from all sources? 5" cache="Slicer_What_is_your_annual_household_income_from_all_sources?5" caption="What is your annual household income from all sources?" level="1" rowHeight="241300"/>
  <slicer name="What is your current employment status? 5" cache="Slicer_What_is_your_current_employment_status?5" caption="What is your current employment status?" level="1" rowHeight="241300"/>
  <slicer name="What is your highest level of education? 5" cache="Slicer_What_is_your_highest_level_of_education?5" caption="What is your highest level of education?" level="1" rowHeight="241300"/>
  <slicer name="What race do you consider yourself? 5" cache="Slicer_What_race_do_you_consider_yourself?5" caption="What race do you consider yourself?" level="1" rowHeight="241300"/>
  <slicer name="Do you currently have health insurance? 5" cache="Slicer_Do_you_currently_have_health_insurance?5" caption="Do you currently have health insurance?" level="1" rowHeight="241300"/>
</slicers>
</file>

<file path=xl/tables/table1.xml><?xml version="1.0" encoding="utf-8"?>
<table xmlns="http://schemas.openxmlformats.org/spreadsheetml/2006/main" id="1" name="Table1" displayName="Table1" ref="A1:AX530" totalsRowShown="0" headerRowDxfId="346" dataDxfId="345" headerRowCellStyle="Normal 3">
  <autoFilter ref="A1:AX530"/>
  <tableColumns count="50">
    <tableColumn id="1" name="RespondentID" dataDxfId="344"/>
    <tableColumn id="2" name="Asthma/lung disease" dataDxfId="343"/>
    <tableColumn id="3" name="Cancer" dataDxfId="342"/>
    <tableColumn id="4" name="Heart disease &amp; stroke" dataDxfId="341"/>
    <tableColumn id="5" name="Safety" dataDxfId="340"/>
    <tableColumn id="6" name="HIV/AIDS &amp; Sexually Transmitted Diseases (STDs)" dataDxfId="339"/>
    <tableColumn id="7" name="Vaccine preventable diseases" dataDxfId="338"/>
    <tableColumn id="8" name="Child health &amp; wellness" dataDxfId="337"/>
    <tableColumn id="9" name="Women’s health &amp; wellness" dataDxfId="336"/>
    <tableColumn id="10" name="Diabetes" dataDxfId="335"/>
    <tableColumn id="11" name="Mental health depression/suicide" dataDxfId="334"/>
    <tableColumn id="12" name="Drugs &amp; alcohol abuse" dataDxfId="333"/>
    <tableColumn id="13" name="Environmental hazards" dataDxfId="332"/>
    <tableColumn id="14" name="Obesity/weight loss issues" dataDxfId="331"/>
    <tableColumn id="15" name="Column1" dataDxfId="330"/>
    <tableColumn id="16" name="Count of Selection" dataDxfId="329">
      <calculatedColumnFormula>COUNTA(B2:N2)</calculatedColumnFormula>
    </tableColumn>
    <tableColumn id="17" name="Weight" dataDxfId="328">
      <calculatedColumnFormula>3/P2</calculatedColumnFormula>
    </tableColumn>
    <tableColumn id="18" name="Column2" dataDxfId="327"/>
    <tableColumn id="19" name="Asthma/lung disease3" dataDxfId="326">
      <calculatedColumnFormula>IF($P2&lt;3,IF($B2=$B$1,1,0),IF($B2=$B$1,$Q2,0))</calculatedColumnFormula>
    </tableColumn>
    <tableColumn id="20" name="Cancer4" dataDxfId="325">
      <calculatedColumnFormula>IF($P2&lt;3,IF($C2=$C$1,1,0),IF($C2=$C$1,$Q2,0))</calculatedColumnFormula>
    </tableColumn>
    <tableColumn id="21" name="Heart disease &amp; stroke5" dataDxfId="324">
      <calculatedColumnFormula>IF($P2&lt;3,IF($D2=$D$1,1,0),IF($D2=$D$1,$Q2,0))</calculatedColumnFormula>
    </tableColumn>
    <tableColumn id="22" name="Safety6" dataDxfId="323">
      <calculatedColumnFormula>IF($P2&lt;3,IF($E2=$E$1,1,0),IF($E2=$E$1,$Q2,0))</calculatedColumnFormula>
    </tableColumn>
    <tableColumn id="23" name="HIV/AIDS &amp; Sexually Transmitted Diseases (STDs)7" dataDxfId="322">
      <calculatedColumnFormula>IF($P2&lt;3,IF($F2=$F$1,1,0),IF($F2=$F$1,$Q2,0))</calculatedColumnFormula>
    </tableColumn>
    <tableColumn id="24" name="Vaccine preventable diseases8" dataDxfId="321">
      <calculatedColumnFormula>IF($P2&lt;3,IF($G2=$G$1,1,0),IF($G2=$G$1,$Q2,0))</calculatedColumnFormula>
    </tableColumn>
    <tableColumn id="25" name="Child health &amp; wellness9" dataDxfId="320">
      <calculatedColumnFormula>IF($P2&lt;3,IF($H2=$H$1,1,0),IF($H2=$H$1,$Q2,0))</calculatedColumnFormula>
    </tableColumn>
    <tableColumn id="26" name="Women’s health &amp; wellness10" dataDxfId="319">
      <calculatedColumnFormula>IF($P2&lt;3,IF($I2=$I$1,1,0),IF($I2=$I$1,$Q2,0))</calculatedColumnFormula>
    </tableColumn>
    <tableColumn id="27" name="Diabetes11" dataDxfId="318">
      <calculatedColumnFormula>IF($P2&lt;3,IF($J2=$J$1,1,0),IF($J2=$J$1,$Q2,0))</calculatedColumnFormula>
    </tableColumn>
    <tableColumn id="28" name="Mental health depression/suicide12" dataDxfId="317">
      <calculatedColumnFormula>IF($P2&lt;3,IF($K2=$K$1,1,0),IF($K2=$K$1,$Q2,0))</calculatedColumnFormula>
    </tableColumn>
    <tableColumn id="29" name="Drugs &amp; alcohol abuse13" dataDxfId="316">
      <calculatedColumnFormula>IF($P2&lt;3,IF($L2=$L$1,1,0),IF($L2=$L$1,$Q2,0))</calculatedColumnFormula>
    </tableColumn>
    <tableColumn id="30" name="Environmental hazards14" dataDxfId="315">
      <calculatedColumnFormula>IF($P2&lt;3,IF($M2=$M$1,1,0),IF($M2=$M$1,$Q2,0))</calculatedColumnFormula>
    </tableColumn>
    <tableColumn id="31" name="Obesity/weight loss issues15" dataDxfId="314">
      <calculatedColumnFormula>IF($P2&lt;3,IF($N2=$N$1,1,0),IF($N2=$N$1,$Q2,0))</calculatedColumnFormula>
    </tableColumn>
    <tableColumn id="32" name="Column3" dataDxfId="313"/>
    <tableColumn id="33" name="Column4" dataDxfId="312"/>
    <tableColumn id="34" name="Observed" dataDxfId="311">
      <calculatedColumnFormula>SUM(S2:AE2)</calculatedColumnFormula>
    </tableColumn>
    <tableColumn id="35" name="Expected" dataDxfId="310">
      <calculatedColumnFormula>P2</calculatedColumnFormula>
    </tableColumn>
    <tableColumn id="36" name="Column18" dataDxfId="309">
      <calculatedColumnFormula>IF(AH2=AI2,"Correct",IF(AH2=3,"Correct","Wrong"))</calculatedColumnFormula>
    </tableColumn>
    <tableColumn id="37" name="Column5" dataDxfId="308"/>
    <tableColumn id="38" name="I identify as:" dataDxfId="307">
      <calculatedColumnFormula>IFERROR(VLOOKUP(Table1[RespondentID],'All Data'!$A$3:$CO$999,87,FALSE),"unknown")</calculatedColumnFormula>
    </tableColumn>
    <tableColumn id="39" name="What is your age?" dataDxfId="306"/>
    <tableColumn id="40" name="County where you live:" dataDxfId="305"/>
    <tableColumn id="41" name="Town and ZIP code where you live:" dataDxfId="304"/>
    <tableColumn id="42" name="What race do you consider yourself?" dataDxfId="303"/>
    <tableColumn id="43" name="Are you Hispanic or Latino?" dataDxfId="302"/>
    <tableColumn id="44" name="What language do you speak when you are at home (select all that apply)" dataDxfId="301"/>
    <tableColumn id="45" name="What is your annual household income from all sources?" dataDxfId="300"/>
    <tableColumn id="46" name="What is your highest level of education?" dataDxfId="299"/>
    <tableColumn id="47" name="What is your current employment status?" dataDxfId="298"/>
    <tableColumn id="48" name="Do you currently have health insurance?" dataDxfId="297"/>
    <tableColumn id="50" name="What type of insurance do you have? " dataDxfId="296"/>
    <tableColumn id="49" name="Do you have a smartphone" dataDxfId="295"/>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AX530" totalsRowShown="0" headerRowDxfId="294" dataDxfId="293" headerRowCellStyle="Normal 3">
  <autoFilter ref="A1:AX530"/>
  <tableColumns count="50">
    <tableColumn id="1" name="RespondentID" dataDxfId="292"/>
    <tableColumn id="2" name="Asthma/lung disease" dataDxfId="291"/>
    <tableColumn id="3" name="Cancer" dataDxfId="290"/>
    <tableColumn id="4" name="Heart disease &amp; stroke" dataDxfId="289"/>
    <tableColumn id="5" name="Safety" dataDxfId="288"/>
    <tableColumn id="6" name="HIV/AIDS &amp; Sexually Transmitted Diseases (STDs)" dataDxfId="287"/>
    <tableColumn id="7" name="Vaccine preventable diseases" dataDxfId="286"/>
    <tableColumn id="8" name="Child health &amp; wellness" dataDxfId="285"/>
    <tableColumn id="9" name="Women’s health &amp; wellness" dataDxfId="284"/>
    <tableColumn id="10" name="Diabetes" dataDxfId="283"/>
    <tableColumn id="11" name="Mental health depression/suicide" dataDxfId="282"/>
    <tableColumn id="12" name="Drugs &amp; alcohol abuse" dataDxfId="281"/>
    <tableColumn id="13" name="Environmental hazards" dataDxfId="280"/>
    <tableColumn id="14" name="Obesity/weight loss issues" dataDxfId="279"/>
    <tableColumn id="15" name="OTHER" dataDxfId="278"/>
    <tableColumn id="16" name="Count of Selection" dataDxfId="277">
      <calculatedColumnFormula>COUNTA(B2:N2)</calculatedColumnFormula>
    </tableColumn>
    <tableColumn id="17" name="Weight" dataDxfId="276">
      <calculatedColumnFormula>3/P2</calculatedColumnFormula>
    </tableColumn>
    <tableColumn id="18" name="Column2" dataDxfId="275"/>
    <tableColumn id="19" name="Asthma/lung disease3" dataDxfId="274">
      <calculatedColumnFormula>IF($P2&lt;3,IF($B2=$B$1,1,0),IF($B2=$B$1,$Q2,0))</calculatedColumnFormula>
    </tableColumn>
    <tableColumn id="20" name="Cancer4" dataDxfId="273">
      <calculatedColumnFormula>IF($P2&lt;3,IF($C2=$C$1,1,0),IF($C2=$C$1,$Q2,0))</calculatedColumnFormula>
    </tableColumn>
    <tableColumn id="21" name="Heart disease &amp; stroke5" dataDxfId="272">
      <calculatedColumnFormula>IF($P2&lt;3,IF($D2=$D$1,1,0),IF($D2=$D$1,$Q2,0))</calculatedColumnFormula>
    </tableColumn>
    <tableColumn id="22" name="Safety6" dataDxfId="271">
      <calculatedColumnFormula>IF($P2&lt;3,IF($E2=$E$1,1,0),IF($E2=$E$1,$Q2,0))</calculatedColumnFormula>
    </tableColumn>
    <tableColumn id="23" name="HIV/AIDS &amp; Sexually Transmitted Diseases (STDs)7" dataDxfId="270">
      <calculatedColumnFormula>IF($P2&lt;3,IF($F2=$F$1,1,0),IF($F2=$F$1,$Q2,0))</calculatedColumnFormula>
    </tableColumn>
    <tableColumn id="24" name="Vaccine preventable diseases8" dataDxfId="269">
      <calculatedColumnFormula>IF($P2&lt;3,IF($G2=$G$1,1,0),IF($G2=$G$1,$Q2,0))</calculatedColumnFormula>
    </tableColumn>
    <tableColumn id="25" name="Child health &amp; wellness9" dataDxfId="268">
      <calculatedColumnFormula>IF($P2&lt;3,IF($H2=$H$1,1,0),IF($H2=$H$1,$Q2,0))</calculatedColumnFormula>
    </tableColumn>
    <tableColumn id="26" name="Women’s health &amp; wellness10" dataDxfId="267">
      <calculatedColumnFormula>IF($P2&lt;3,IF($I2=$I$1,1,0),IF($I2=$I$1,$Q2,0))</calculatedColumnFormula>
    </tableColumn>
    <tableColumn id="27" name="Diabetes11" dataDxfId="266">
      <calculatedColumnFormula>IF($P2&lt;3,IF($J2=$J$1,1,0),IF($J2=$J$1,$Q2,0))</calculatedColumnFormula>
    </tableColumn>
    <tableColumn id="28" name="Mental health depression/suicide12" dataDxfId="265">
      <calculatedColumnFormula>IF($P2&lt;3,IF($K2=$K$1,1,0),IF($K2=$K$1,$Q2,0))</calculatedColumnFormula>
    </tableColumn>
    <tableColumn id="29" name="Drugs &amp; alcohol abuse13" dataDxfId="264">
      <calculatedColumnFormula>IF($P2&lt;3,IF($L2=$L$1,1,0),IF($L2=$L$1,$Q2,0))</calculatedColumnFormula>
    </tableColumn>
    <tableColumn id="30" name="Environmental hazards14" dataDxfId="263">
      <calculatedColumnFormula>IF($P2&lt;3,IF($M2=$M$1,1,0),IF($M2=$M$1,$Q2,0))</calculatedColumnFormula>
    </tableColumn>
    <tableColumn id="31" name="Obesity/weight loss issues15" dataDxfId="262">
      <calculatedColumnFormula>IF($P2&lt;3,IF($N2=$N$1,1,0),IF($N2=$N$1,$Q2,0))</calculatedColumnFormula>
    </tableColumn>
    <tableColumn id="32" name="Column3" dataDxfId="261"/>
    <tableColumn id="33" name="Column4" dataDxfId="260"/>
    <tableColumn id="34" name="Observed" dataDxfId="259">
      <calculatedColumnFormula>SUM(S2:AE2)</calculatedColumnFormula>
    </tableColumn>
    <tableColumn id="35" name="Expected" dataDxfId="258">
      <calculatedColumnFormula>P2</calculatedColumnFormula>
    </tableColumn>
    <tableColumn id="36" name="Column18" dataDxfId="257">
      <calculatedColumnFormula>IF(AH2=AI2,"Correct",IF(AH2=3,"Correct","Wrong"))</calculatedColumnFormula>
    </tableColumn>
    <tableColumn id="37" name="Column5" dataDxfId="256"/>
    <tableColumn id="38" name="I identify as:" dataDxfId="255">
      <calculatedColumnFormula>IFERROR(VLOOKUP(Table2[RespondentID],'All Data'!A3:CO999,81,FALSE),"unknown")</calculatedColumnFormula>
    </tableColumn>
    <tableColumn id="39" name="What is your age?" dataDxfId="254">
      <calculatedColumnFormula>IFERROR(VLOOKUP(Table2[RespondentID],'All Data'!A3:CO999,82,FALSE),"unknown")</calculatedColumnFormula>
    </tableColumn>
    <tableColumn id="40" name="County where you live:" dataDxfId="253">
      <calculatedColumnFormula>IFERROR(VLOOKUP(Table2[RespondentID],'All Data'!A3:CO999,83,FALSE),"unknown")</calculatedColumnFormula>
    </tableColumn>
    <tableColumn id="41" name="Town and ZIP code where you live:" dataDxfId="252">
      <calculatedColumnFormula>IFERROR(VLOOKUP(Table2[RespondentID],'All Data'!A3:CO999,84,FALSE),"unknown")</calculatedColumnFormula>
    </tableColumn>
    <tableColumn id="42" name="What race do you consider yourself?" dataDxfId="251"/>
    <tableColumn id="43" name="Are you Hispanic or Latino?" dataDxfId="250">
      <calculatedColumnFormula>IFERROR(VLOOKUP(Table2[RespondentID],'All Data'!A3:CO999,86,FALSE),"unknown")</calculatedColumnFormula>
    </tableColumn>
    <tableColumn id="44" name="What language do you speak when you are at home (select all that apply)" dataDxfId="249">
      <calculatedColumnFormula>IFERROR(VLOOKUP(Table2[RespondentID],'All Data'!A3:CO999,87,FALSE),"unknown")</calculatedColumnFormula>
    </tableColumn>
    <tableColumn id="45" name="What is your annual household income from all sources?" dataDxfId="248">
      <calculatedColumnFormula>IFERROR(VLOOKUP(Table2[RespondentID],'All Data'!A3:CO999,88,FALSE),"unknown")</calculatedColumnFormula>
    </tableColumn>
    <tableColumn id="46" name="What is your highest level of education?" dataDxfId="247">
      <calculatedColumnFormula>IFERROR(VLOOKUP(Table2[RespondentID],'All Data'!A3:CO999,89,FALSE),"unknown")</calculatedColumnFormula>
    </tableColumn>
    <tableColumn id="47" name="What is your current employment status?" dataDxfId="246">
      <calculatedColumnFormula>IFERROR(VLOOKUP(Table2[RespondentID],'All Data'!A3:CO999,90,FALSE),"unknown")</calculatedColumnFormula>
    </tableColumn>
    <tableColumn id="48" name="Do you currently have health insurance?" dataDxfId="245">
      <calculatedColumnFormula>IFERROR(VLOOKUP(Table2[RespondentID],'All Data'!A3:CO999,91,FALSE),"unknown")</calculatedColumnFormula>
    </tableColumn>
    <tableColumn id="49" name="What type of insurance do you have? " dataDxfId="244">
      <calculatedColumnFormula>IFERROR(VLOOKUP(Table2[RespondentID],'All Data'!A3:CO999,92,FALSE),"unknown")</calculatedColumnFormula>
    </tableColumn>
    <tableColumn id="50" name="Do you have access to reliable internet in your home?" dataDxfId="243">
      <calculatedColumnFormula>IFERROR(VLOOKUP(Table2[RespondentID],'All Data'!A3:CO999,93,FALSE),"unknown")</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7" name="Table7" displayName="Table7" ref="A1:AR530" totalsRowShown="0" headerRowDxfId="242" dataDxfId="240" headerRowBorderDxfId="241" tableBorderDxfId="239" totalsRowBorderDxfId="238">
  <autoFilter ref="A1:AR530"/>
  <tableColumns count="44">
    <tableColumn id="1" name="RespondentID" dataDxfId="237"/>
    <tableColumn id="2" name="Cultural/religious beliefs" dataDxfId="236"/>
    <tableColumn id="3" name="Lack of availability of doctors" dataDxfId="235"/>
    <tableColumn id="4" name="Unable to pay co-pays/deductibles" dataDxfId="234"/>
    <tableColumn id="5" name="Don’t know how to find doctors" dataDxfId="233"/>
    <tableColumn id="6" name="Language barriers" dataDxfId="232"/>
    <tableColumn id="7" name="There are no barriers" dataDxfId="231"/>
    <tableColumn id="8" name="Don’t understand need to see a doctor" dataDxfId="230"/>
    <tableColumn id="9" name="No insurance" dataDxfId="229"/>
    <tableColumn id="10" name="Transportation" dataDxfId="228"/>
    <tableColumn id="11" name="Fear (e.g. not ready to face/discuss health problem; immigration status)" dataDxfId="227"/>
    <tableColumn id="12" name="OTHER" dataDxfId="226"/>
    <tableColumn id="13" name="Count of Selection" dataDxfId="225">
      <calculatedColumnFormula>COUNTA(B2:L2)</calculatedColumnFormula>
    </tableColumn>
    <tableColumn id="14" name="Weight" dataDxfId="224">
      <calculatedColumnFormula>3/M2</calculatedColumnFormula>
    </tableColumn>
    <tableColumn id="15" name="Column4" dataDxfId="223"/>
    <tableColumn id="16" name="Cultural/religious beliefs5" dataDxfId="222">
      <calculatedColumnFormula>IF($M2&lt;3,IF($B2=$B$1,1,0),IF($B2=$B$1,$N2,0))</calculatedColumnFormula>
    </tableColumn>
    <tableColumn id="17" name="Lack of availability of doctors6" dataDxfId="221">
      <calculatedColumnFormula>IF($M2&lt;3,IF($C2=$C$1,1,0),IF($C2=$C$1,$N2,0))</calculatedColumnFormula>
    </tableColumn>
    <tableColumn id="18" name="Unable to pay co-pays/deductibles7" dataDxfId="220">
      <calculatedColumnFormula>IF($M2&lt;3,IF($D2=$D$1,1,0),IF($D2=$D$1,$N2,0))</calculatedColumnFormula>
    </tableColumn>
    <tableColumn id="19" name="Don’t know how to find doctors8" dataDxfId="219">
      <calculatedColumnFormula>IF($M2&lt;3,IF($E2=$E$1,1,0),IF($E2=$E$1,$N2,0))</calculatedColumnFormula>
    </tableColumn>
    <tableColumn id="20" name="Language barriers9" dataDxfId="218">
      <calculatedColumnFormula>IF($M2&lt;3,IF($F2=$F$1,1,0),IF($F2=$F$1,$N2,0))</calculatedColumnFormula>
    </tableColumn>
    <tableColumn id="21" name="There are no barriers10" dataDxfId="217">
      <calculatedColumnFormula>IF($M2&lt;3,IF($G2=$G$1,1,0),IF($G2=$G$1,$N2,0))</calculatedColumnFormula>
    </tableColumn>
    <tableColumn id="22" name="Don’t understand need to see a doctor11" dataDxfId="216" dataCellStyle="Normal 2">
      <calculatedColumnFormula>IF($M2&lt;3,IF($H2=$H$1,1,0),IF($H2=$H$1,$N2,0))</calculatedColumnFormula>
    </tableColumn>
    <tableColumn id="23" name="No insurance12" dataDxfId="215">
      <calculatedColumnFormula>IF($M2&lt;3,IF($I2=$I$1,1,0),IF($I2=$I$1,$N2,0))</calculatedColumnFormula>
    </tableColumn>
    <tableColumn id="24" name="Transportation13" dataDxfId="214">
      <calculatedColumnFormula>IF($M2&lt;3,IF($J2=$J$1,1,0),IF($J2=$J$1,$N2,0))</calculatedColumnFormula>
    </tableColumn>
    <tableColumn id="25" name="Fear (e.g. not ready to face/discuss health problem;immigration status)14" dataDxfId="213">
      <calculatedColumnFormula>IF($M2&lt;3,IF($K2=$K$1,1,0),IF($K2=$K$1,$N2,0))</calculatedColumnFormula>
    </tableColumn>
    <tableColumn id="26" name="Column1" dataDxfId="212"/>
    <tableColumn id="27" name="Column2" dataDxfId="211"/>
    <tableColumn id="28" name="Observed" dataDxfId="210">
      <calculatedColumnFormula>SUM(P2:Z2)</calculatedColumnFormula>
    </tableColumn>
    <tableColumn id="29" name="Expected" dataDxfId="209">
      <calculatedColumnFormula>M2</calculatedColumnFormula>
    </tableColumn>
    <tableColumn id="30" name="Column14" dataDxfId="208">
      <calculatedColumnFormula>IF(AB2=AC2,"Correct",IF(AB2=3,"Correct","Wrong"))</calculatedColumnFormula>
    </tableColumn>
    <tableColumn id="31" name="Column5" dataDxfId="207"/>
    <tableColumn id="32" name="I identify as:" dataDxfId="206">
      <calculatedColumnFormula>IFERROR(VLOOKUP(Table1[RespondentID],'All Data'!$A$3:$CO$999,87,FALSE),"unknown")</calculatedColumnFormula>
    </tableColumn>
    <tableColumn id="33" name="What is your age?" dataDxfId="205">
      <calculatedColumnFormula>IFERROR(VLOOKUP(Table1[RespondentID],'All Data'!$A$3:$CO$999,88,FALSE),"unknown")</calculatedColumnFormula>
    </tableColumn>
    <tableColumn id="34" name="County where you live:" dataDxfId="204">
      <calculatedColumnFormula>IFERROR(VLOOKUP(Table1[RespondentID],'All Data'!$A$3:$CO$999,89,FALSE),"unknown")</calculatedColumnFormula>
    </tableColumn>
    <tableColumn id="35" name="Town and ZIP code where you live:" dataDxfId="203">
      <calculatedColumnFormula>IFERROR(VLOOKUP(Table1[RespondentID],'All Data'!$A$3:$CO$999,90,FALSE),"unknown")</calculatedColumnFormula>
    </tableColumn>
    <tableColumn id="36" name="What race do you consider yourself?" dataDxfId="202">
      <calculatedColumnFormula>IFERROR(VLOOKUP(Table1[RespondentID],'All Data'!$A$3:$CO$999,91,FALSE),"unknown")</calculatedColumnFormula>
    </tableColumn>
    <tableColumn id="37" name="Are you Hispanic or Latino?" dataDxfId="201">
      <calculatedColumnFormula>IFERROR(VLOOKUP(Table1[RespondentID],'All Data'!$A$3:$CO$999,92,FALSE),"unknown")</calculatedColumnFormula>
    </tableColumn>
    <tableColumn id="38" name="What language do you speak when you are at home (select all that apply)" dataDxfId="200">
      <calculatedColumnFormula>IFERROR(VLOOKUP(Table1[RespondentID],'All Data'!$A$3:$CO$999,93,FALSE),"unknown")</calculatedColumnFormula>
    </tableColumn>
    <tableColumn id="39" name="What is your annual household income from all sources?" dataDxfId="199">
      <calculatedColumnFormula>IFERROR(VLOOKUP(Table1[RespondentID],'All Data'!$A$3:$CW$999,94,FALSE),"unknown")</calculatedColumnFormula>
    </tableColumn>
    <tableColumn id="40" name="What is your highest level of education?" dataDxfId="198">
      <calculatedColumnFormula>IFERROR(VLOOKUP(Table1[RespondentID],'All Data'!$A$3:$CW$999,95,FALSE),"unknown")</calculatedColumnFormula>
    </tableColumn>
    <tableColumn id="41" name="What is your current employment status?" dataDxfId="197">
      <calculatedColumnFormula>IFERROR(VLOOKUP(Table1[RespondentID],'All Data'!$A$3:$CW$999,96,FALSE),"unknown")</calculatedColumnFormula>
    </tableColumn>
    <tableColumn id="42" name="Do you currently have health insurance?" dataDxfId="196">
      <calculatedColumnFormula>IFERROR(VLOOKUP(Table1[RespondentID],'All Data'!$A$3:$CW$999,97,FALSE),"unknown")</calculatedColumnFormula>
    </tableColumn>
    <tableColumn id="43" name="What type of insurance do you have? " dataDxfId="195">
      <calculatedColumnFormula>IFERROR(VLOOKUP(Table1[RespondentID],'All Data'!$A$3:$CW$999,98,FALSE),"unknown")</calculatedColumnFormula>
    </tableColumn>
    <tableColumn id="44" name="Do you have access to reliable internet in your home?" dataDxfId="194">
      <calculatedColumnFormula>IFERROR(VLOOKUP(Table1[RespondentID],'All Data'!$A$3:$CW$999,99,FALSE),"unknown")</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1:AV530" totalsRowShown="0" headerRowDxfId="193" dataDxfId="192" headerRowCellStyle="Normal 3">
  <autoFilter ref="A1:AV530"/>
  <tableColumns count="48">
    <tableColumn id="1" name="RespondentID"/>
    <tableColumn id="2" name="Clean air &amp; water" dataDxfId="191"/>
    <tableColumn id="3" name="Mental health services" dataDxfId="190"/>
    <tableColumn id="4" name="Smoking cessation programs" dataDxfId="189"/>
    <tableColumn id="5" name="Drug &amp; alcohol rehabilitation services" dataDxfId="188"/>
    <tableColumn id="6" name="Recreation facilities" dataDxfId="187"/>
    <tableColumn id="7" name="Transportation" dataDxfId="186"/>
    <tableColumn id="8" name="Healthier food choices" dataDxfId="185"/>
    <tableColumn id="9" name="Safe childcare options" dataDxfId="184"/>
    <tableColumn id="10" name="Weight loss programs" dataDxfId="183"/>
    <tableColumn id="11" name="Job opportunities" dataDxfId="182"/>
    <tableColumn id="12" name="Safe places to walk/play" dataDxfId="181"/>
    <tableColumn id="13" name="Safe worksites" dataDxfId="180"/>
    <tableColumn id="14" name="OTHER" dataDxfId="179"/>
    <tableColumn id="15" name="Count of Selection" dataDxfId="178">
      <calculatedColumnFormula>COUNTA(B2:N2)</calculatedColumnFormula>
    </tableColumn>
    <tableColumn id="16" name="Weight" dataDxfId="177">
      <calculatedColumnFormula>3/O2</calculatedColumnFormula>
    </tableColumn>
    <tableColumn id="17" name="Column2" dataDxfId="176"/>
    <tableColumn id="18" name="Clean air &amp; water5" dataDxfId="175">
      <calculatedColumnFormula>IF($O2&lt;3,IF($B2=$B$1,1,0),IF($B2=$B$1,$P2,0))</calculatedColumnFormula>
    </tableColumn>
    <tableColumn id="19" name="Mental health services6" dataDxfId="174">
      <calculatedColumnFormula>IF($O2&lt;3,IF($C2=$C$1,1,0),IF($C2=$C$1,$P2,0))</calculatedColumnFormula>
    </tableColumn>
    <tableColumn id="20" name="Smoking cessation programs7" dataDxfId="173">
      <calculatedColumnFormula>IF($O2&lt;3,IF($D2=$D$1,1,0),IF($D2=$D$1,$P2,0))</calculatedColumnFormula>
    </tableColumn>
    <tableColumn id="21" name="Drug &amp; alcohol rehabilitation services8" dataDxfId="172">
      <calculatedColumnFormula>IF($O2&lt;3,IF($E2=$E$1,1,0),IF($E2=$E$1,$P2,0))</calculatedColumnFormula>
    </tableColumn>
    <tableColumn id="22" name="Recreation facilities9" dataDxfId="171">
      <calculatedColumnFormula>IF($O2&lt;3,IF($F2=$F$1,1,0),IF($F2=$F$1,$P2,0))</calculatedColumnFormula>
    </tableColumn>
    <tableColumn id="23" name="Transportation10" dataDxfId="170">
      <calculatedColumnFormula>IF($O2&lt;3,IF($G2=$G$1,1,0),IF($G2=$G$1,$P2,0))</calculatedColumnFormula>
    </tableColumn>
    <tableColumn id="24" name="Healthier food choices11" dataDxfId="169">
      <calculatedColumnFormula>IF($O2&lt;3,IF($H2=$H$1,1,0),IF($H2=$H$1,$P2,0))</calculatedColumnFormula>
    </tableColumn>
    <tableColumn id="25" name="Safe childcare options12" dataDxfId="168">
      <calculatedColumnFormula>IF($O2&lt;3,IF($I2=$I$1,1,0),IF($I2=$I$1,$P2,0))</calculatedColumnFormula>
    </tableColumn>
    <tableColumn id="26" name="Weight loss programs13" dataDxfId="167">
      <calculatedColumnFormula>IF($O2&lt;3,IF($J2=$J$1,1,0),IF($J2=$J$1,$P2,0))</calculatedColumnFormula>
    </tableColumn>
    <tableColumn id="27" name="Job opportunities14" dataDxfId="166">
      <calculatedColumnFormula>IF($O2&lt;3,IF($K2=$K$1,1,0),IF($K2=$K$1,$P2,0))</calculatedColumnFormula>
    </tableColumn>
    <tableColumn id="28" name="Safe places to walk/play15" dataDxfId="165">
      <calculatedColumnFormula>IF($O2&lt;3,IF($L2=$L$1,1,0),IF($L2=$L$1,$P2,0))</calculatedColumnFormula>
    </tableColumn>
    <tableColumn id="29" name="Safe worksites16" dataDxfId="164">
      <calculatedColumnFormula>IF($O2&lt;3,IF($M2=$M$1,1,0),IF($M2=$M$1,$P2,0))</calculatedColumnFormula>
    </tableColumn>
    <tableColumn id="30" name="Column3" dataDxfId="163"/>
    <tableColumn id="31" name="Column4" dataDxfId="162"/>
    <tableColumn id="32" name="Observed" dataDxfId="161">
      <calculatedColumnFormula>SUM(R2:AD2)</calculatedColumnFormula>
    </tableColumn>
    <tableColumn id="33" name="Expected" dataDxfId="160">
      <calculatedColumnFormula>O2</calculatedColumnFormula>
    </tableColumn>
    <tableColumn id="34" name="Column5" dataDxfId="159">
      <calculatedColumnFormula>IF(AF2=AG2,"Correct",IF(AF2=3,"Correct","Wrong"))</calculatedColumnFormula>
    </tableColumn>
    <tableColumn id="35" name="Column6"/>
    <tableColumn id="36" name="I identify as:" dataDxfId="158">
      <calculatedColumnFormula>IFERROR(VLOOKUP(Table4[RespondentID],'All Data'!$A$3:$CO$999,81,FALSE),"unknown")</calculatedColumnFormula>
    </tableColumn>
    <tableColumn id="37" name="What is your age?" dataDxfId="157">
      <calculatedColumnFormula>IFERROR(VLOOKUP(Table4[RespondentID],'All Data'!$A$3:$CO$999,82,FALSE),"unknown")</calculatedColumnFormula>
    </tableColumn>
    <tableColumn id="38" name="County where you live:" dataDxfId="156">
      <calculatedColumnFormula>IFERROR(VLOOKUP(Table4[RespondentID],'All Data'!$A$3:$CO$999,83,FALSE),"unknown")</calculatedColumnFormula>
    </tableColumn>
    <tableColumn id="39" name="Town and ZIP code where you live:" dataDxfId="155">
      <calculatedColumnFormula>IFERROR(VLOOKUP(Table4[RespondentID],'All Data'!$A$3:$CO$999,84,FALSE),"unknown")</calculatedColumnFormula>
    </tableColumn>
    <tableColumn id="40" name="What race do you consider yourself?" dataDxfId="154">
      <calculatedColumnFormula>IFERROR(VLOOKUP(Table4[RespondentID],'All Data'!$A$3:$CO$999,85,FALSE),"unknown")</calculatedColumnFormula>
    </tableColumn>
    <tableColumn id="41" name="Are you Hispanic or Latino?" dataDxfId="153">
      <calculatedColumnFormula>IFERROR(VLOOKUP(Table4[RespondentID],'All Data'!$A$3:$CO$999,86,FALSE),"unknown")</calculatedColumnFormula>
    </tableColumn>
    <tableColumn id="42" name="What language do you speak when you are at home (select all that apply)" dataDxfId="152">
      <calculatedColumnFormula>IFERROR(VLOOKUP(Table4[RespondentID],'All Data'!$A$3:$CO$999,87,FALSE),"unknown")</calculatedColumnFormula>
    </tableColumn>
    <tableColumn id="43" name="What is your annual household income from all sources?" dataDxfId="151">
      <calculatedColumnFormula>IFERROR(VLOOKUP(Table4[RespondentID],'All Data'!$A$3:$CO$999,88,FALSE),"unknown")</calculatedColumnFormula>
    </tableColumn>
    <tableColumn id="44" name="What is your highest level of education?" dataDxfId="150">
      <calculatedColumnFormula>IFERROR(VLOOKUP(Table4[RespondentID],'All Data'!$A$3:$CO$999,89,FALSE),"unknown")</calculatedColumnFormula>
    </tableColumn>
    <tableColumn id="45" name="What is your current employment status?" dataDxfId="149">
      <calculatedColumnFormula>IFERROR(VLOOKUP(Table4[RespondentID],'All Data'!$A$3:$CO$999,90,FALSE),"unknown")</calculatedColumnFormula>
    </tableColumn>
    <tableColumn id="46" name="Do you currently have health insurance?" dataDxfId="148"/>
    <tableColumn id="47" name="What type of insurance do you have? " dataDxfId="147">
      <calculatedColumnFormula>IFERROR(VLOOKUP(Table4[RespondentID],'All Data'!$A$3:$CO$999,92,FALSE),"unknown")</calculatedColumnFormula>
    </tableColumn>
    <tableColumn id="48" name="Do you have access to reliable internet in your home?" dataDxfId="146">
      <calculatedColumnFormula>IFERROR(VLOOKUP(Table4[RespondentID],'All Data'!$A$3:$CO$999,93,FALSE),"unknown")</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0" name="Table10" displayName="Table10" ref="A1:BH530" totalsRowShown="0" headerRowDxfId="145" dataDxfId="144" tableBorderDxfId="143" headerRowCellStyle="Normal 3">
  <autoFilter ref="A1:BH530"/>
  <tableColumns count="60">
    <tableColumn id="1" name="RespondentID" dataDxfId="142"/>
    <tableColumn id="2" name="Blood pressure" dataDxfId="141"/>
    <tableColumn id="3" name="Eating disorders" dataDxfId="140"/>
    <tableColumn id="4" name="Mental health/depression" dataDxfId="139"/>
    <tableColumn id="5" name="Cancer" dataDxfId="138"/>
    <tableColumn id="6" name="Emergency preparedness" dataDxfId="137"/>
    <tableColumn id="7" name="Nutrition" dataDxfId="136"/>
    <tableColumn id="8" name="Cholesterol" dataDxfId="135"/>
    <tableColumn id="9" name="Exercise/physical activity" dataDxfId="134"/>
    <tableColumn id="10" name="Prenatal care" dataDxfId="133"/>
    <tableColumn id="11" name="Dental screenings" dataDxfId="132"/>
    <tableColumn id="12" name="Heart disease" dataDxfId="131"/>
    <tableColumn id="13" name="Suicide prevention" dataDxfId="130"/>
    <tableColumn id="14" name="Diabetes" dataDxfId="129"/>
    <tableColumn id="15" name="HIV/AIDS &amp; Sexually Transmitted Diseases (STDs)" dataDxfId="128"/>
    <tableColumn id="16" name="Vaccination/immunizations" dataDxfId="127"/>
    <tableColumn id="17" name="Disease outbreak information" dataDxfId="126"/>
    <tableColumn id="18" name="Importance of routine well checkups" dataDxfId="125"/>
    <tableColumn id="19" name="Drug and alcohol" dataDxfId="124"/>
    <tableColumn id="20" name="OTHER" dataDxfId="123"/>
    <tableColumn id="21" name="Count of Selection" dataDxfId="122">
      <calculatedColumnFormula>COUNTA(B2:T2)</calculatedColumnFormula>
    </tableColumn>
    <tableColumn id="22" name="Weight" dataDxfId="121">
      <calculatedColumnFormula>3/U2</calculatedColumnFormula>
    </tableColumn>
    <tableColumn id="23" name="Column2" dataDxfId="120"/>
    <tableColumn id="24" name="Blood pressure5" dataDxfId="119">
      <calculatedColumnFormula>IF($U2&lt;3,IF($B2=$B$1,1,0),IF($B2=$B$1,$V2,0))</calculatedColumnFormula>
    </tableColumn>
    <tableColumn id="25" name="Eating disorders6" dataDxfId="118">
      <calculatedColumnFormula>IF($U2&lt;3,IF($C2=$C$1,1,0),IF($C2=$C$1,$V2,0))</calculatedColumnFormula>
    </tableColumn>
    <tableColumn id="26" name="Mental health/depression7" dataDxfId="117">
      <calculatedColumnFormula>IF($U2&lt;3,IF($D2=$D$1,1,0),IF($D2=$D$1,$V2,0))</calculatedColumnFormula>
    </tableColumn>
    <tableColumn id="27" name="Cancer8" dataDxfId="116">
      <calculatedColumnFormula>IF($U2&lt;3,IF($E2=$E$1,1,0),IF($E2=$E$1,$V2,0))</calculatedColumnFormula>
    </tableColumn>
    <tableColumn id="28" name="Emergency preparedness9" dataDxfId="115">
      <calculatedColumnFormula>IF($U2&lt;3,IF($F2=$F$1,1,0),IF($F2=$F$1,$V2,0))</calculatedColumnFormula>
    </tableColumn>
    <tableColumn id="29" name="Nutrition10" dataDxfId="114">
      <calculatedColumnFormula>IF($U2&lt;3,IF($G2=$G$1,1,0),IF($G2=$G$1,$V2,0))</calculatedColumnFormula>
    </tableColumn>
    <tableColumn id="30" name="Cholesterol11" dataDxfId="113">
      <calculatedColumnFormula>IF($U2&lt;3,IF($H2=$H$1,1,0),IF($H2=$H$1,$V2,0))</calculatedColumnFormula>
    </tableColumn>
    <tableColumn id="31" name="Exercise/physical activity12" dataDxfId="112">
      <calculatedColumnFormula>IF($U2&lt;3,IF($I2=$I$1,1,0),IF($I2=$I$1,$V2,0))</calculatedColumnFormula>
    </tableColumn>
    <tableColumn id="32" name="Prenatal care13" dataDxfId="111">
      <calculatedColumnFormula>IF($U2&lt;3,IF($J2=$J$1,1,0),IF($J2=$J$1,$V2,0))</calculatedColumnFormula>
    </tableColumn>
    <tableColumn id="33" name="Dental screenings14" dataDxfId="110">
      <calculatedColumnFormula>IF($U2&lt;3,IF($K2=$K$1,1,0),IF($K2=$K$1,$V2,0))</calculatedColumnFormula>
    </tableColumn>
    <tableColumn id="34" name="Heart disease15" dataDxfId="109">
      <calculatedColumnFormula>IF($U2&lt;3,IF($L2=$L$1,1,0),IF($L2=$L$1,$V2,0))</calculatedColumnFormula>
    </tableColumn>
    <tableColumn id="35" name="Suicide prevention16" dataDxfId="108">
      <calculatedColumnFormula>IF($U2&lt;3,IF($M2=$M$1,1,0),IF($M2=$M$1,$V2,0))</calculatedColumnFormula>
    </tableColumn>
    <tableColumn id="36" name="Diabetes17" dataDxfId="107">
      <calculatedColumnFormula>IF($U2&lt;3,IF($N2=$N$1,1,0),IF($N2=$N$1,$V2,0))</calculatedColumnFormula>
    </tableColumn>
    <tableColumn id="37" name="HIV/AIDS &amp; Sexually Transmitted Diseases (STDs)18" dataDxfId="106">
      <calculatedColumnFormula>IF($U2&lt;3,IF($O2=$O$1,1,0),IF($O2=$O$1,$V2,0))</calculatedColumnFormula>
    </tableColumn>
    <tableColumn id="38" name="Vaccination/immunizations19" dataDxfId="105">
      <calculatedColumnFormula>IF($U2&lt;3,IF($P2=$P$1,1,0),IF($P2=$P$1,$V2,0))</calculatedColumnFormula>
    </tableColumn>
    <tableColumn id="39" name="Disease outbreak information20" dataDxfId="104">
      <calculatedColumnFormula>IF($U2&lt;3,IF($Q2=$Q$1,1,0),IF($Q2=$Q$1,$V2,0))</calculatedColumnFormula>
    </tableColumn>
    <tableColumn id="40" name="Importance of routine well checkups21" dataDxfId="103">
      <calculatedColumnFormula>IF($U2&lt;3,IF($R2=$R$1,1,0),IF($R2=$R$1,$V2,0))</calculatedColumnFormula>
    </tableColumn>
    <tableColumn id="41" name="Drug and alcohol22" dataDxfId="102">
      <calculatedColumnFormula>IF($U2&lt;3,IF($S2=$S$1,1,0),IF($S2=$S$1,$V2,0))</calculatedColumnFormula>
    </tableColumn>
    <tableColumn id="42" name="Column3" dataDxfId="101"/>
    <tableColumn id="43" name="Column4" dataDxfId="100"/>
    <tableColumn id="44" name="Observed" dataDxfId="99">
      <calculatedColumnFormula>SUM(X2:AP2)</calculatedColumnFormula>
    </tableColumn>
    <tableColumn id="45" name="Expected" dataDxfId="98">
      <calculatedColumnFormula>U2</calculatedColumnFormula>
    </tableColumn>
    <tableColumn id="46" name="Column22" dataDxfId="97">
      <calculatedColumnFormula>IF(AR2=AS2,"Correct",IF(AR2=3,"Correct","Wrong"))</calculatedColumnFormula>
    </tableColumn>
    <tableColumn id="47" name="Column5" dataDxfId="96"/>
    <tableColumn id="48" name="I identify as:" dataDxfId="95">
      <calculatedColumnFormula>IFERROR(VLOOKUP(Table1[RespondentID],'All Data'!$A$3:$CO$999,87,FALSE),"unknown")</calculatedColumnFormula>
    </tableColumn>
    <tableColumn id="49" name="What is your age?" dataDxfId="94">
      <calculatedColumnFormula>IFERROR(VLOOKUP(Table1[RespondentID],'All Data'!$A$3:$CO$999,88,FALSE),"unknown")</calculatedColumnFormula>
    </tableColumn>
    <tableColumn id="50" name="County where you live:" dataDxfId="93">
      <calculatedColumnFormula>IFERROR(VLOOKUP(Table1[RespondentID],'All Data'!$A$3:$CO$999,89,FALSE),"unknown")</calculatedColumnFormula>
    </tableColumn>
    <tableColumn id="51" name="Town and ZIP code where you live:" dataDxfId="92">
      <calculatedColumnFormula>IFERROR(VLOOKUP(Table1[RespondentID],'All Data'!$A$3:$CO$999,90,FALSE),"unknown")</calculatedColumnFormula>
    </tableColumn>
    <tableColumn id="52" name="What race do you consider yourself?" dataDxfId="91">
      <calculatedColumnFormula>IFERROR(VLOOKUP(Table1[RespondentID],'All Data'!$A$3:$CO$999,91,FALSE),"unknown")</calculatedColumnFormula>
    </tableColumn>
    <tableColumn id="53" name="Are you Hispanic or Latino?" dataDxfId="90">
      <calculatedColumnFormula>IFERROR(VLOOKUP(Table1[RespondentID],'All Data'!$A$3:$CO$999,92,FALSE),"unknown")</calculatedColumnFormula>
    </tableColumn>
    <tableColumn id="54" name="What language do you speak when you are at home (select all that apply)" dataDxfId="89">
      <calculatedColumnFormula>IFERROR(VLOOKUP(Table1[RespondentID],'All Data'!$A$3:$CO$999,93,FALSE),"unknown")</calculatedColumnFormula>
    </tableColumn>
    <tableColumn id="55" name="What is your annual household income from all sources?" dataDxfId="88">
      <calculatedColumnFormula>IFERROR(VLOOKUP(Table1[RespondentID],'All Data'!$A$3:$CW$999,94,FALSE),"unknown")</calculatedColumnFormula>
    </tableColumn>
    <tableColumn id="56" name="What is your highest level of education?" dataDxfId="87">
      <calculatedColumnFormula>IFERROR(VLOOKUP(Table1[RespondentID],'All Data'!$A$3:$CW$999,95,FALSE),"unknown")</calculatedColumnFormula>
    </tableColumn>
    <tableColumn id="57" name="What is your current employment status?" dataDxfId="86">
      <calculatedColumnFormula>IFERROR(VLOOKUP(Table1[RespondentID],'All Data'!$A$3:$CW$999,96,FALSE),"unknown")</calculatedColumnFormula>
    </tableColumn>
    <tableColumn id="58" name="Do you currently have health insurance?" dataDxfId="85">
      <calculatedColumnFormula>IFERROR(VLOOKUP(Table1[RespondentID],'All Data'!$A$3:$CW$999,97,FALSE),"unknown")</calculatedColumnFormula>
    </tableColumn>
    <tableColumn id="59" name="What type of insurance do you have? " dataDxfId="84">
      <calculatedColumnFormula>IFERROR(VLOOKUP(Table1[RespondentID],'All Data'!$A$3:$CW$999,98,FALSE),"unknown")</calculatedColumnFormula>
    </tableColumn>
    <tableColumn id="60" name="Do you have access to reliable internet in your home?" dataDxfId="83">
      <calculatedColumnFormula>IFERROR(VLOOKUP(Table1[RespondentID],'All Data'!$A$3:$CW$999,99,FALSE),"unknown")</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5" name="Table5" displayName="Table5" ref="A1:AB530" totalsRowShown="0" headerRowDxfId="82" dataDxfId="80" headerRowBorderDxfId="81" tableBorderDxfId="79" totalsRowBorderDxfId="78">
  <autoFilter ref="A1:AB530"/>
  <tableColumns count="28">
    <tableColumn id="1" name="RespondentID" dataDxfId="77"/>
    <tableColumn id="2" name="Doctor/health professional" dataDxfId="76"/>
    <tableColumn id="3" name="Library" dataDxfId="75"/>
    <tableColumn id="4" name="Social Media (Facebook, Twitter, etc.)" dataDxfId="74"/>
    <tableColumn id="5" name="Family or friends" dataDxfId="73"/>
    <tableColumn id="6" name="Newspaper/magazines" dataDxfId="72"/>
    <tableColumn id="7" name="Television" dataDxfId="71"/>
    <tableColumn id="8" name="Health Department" dataDxfId="70"/>
    <tableColumn id="9" name="Radio" dataDxfId="69"/>
    <tableColumn id="10" name="Worksite" dataDxfId="68"/>
    <tableColumn id="11" name="Hospital" dataDxfId="67"/>
    <tableColumn id="12" name="Religious organization" dataDxfId="66"/>
    <tableColumn id="13" name="Internet" dataDxfId="65"/>
    <tableColumn id="14" name="School/college" dataDxfId="64"/>
    <tableColumn id="28" name="Column1" dataDxfId="63"/>
    <tableColumn id="15" name="I identify as:" dataDxfId="62">
      <calculatedColumnFormula>IFERROR(VLOOKUP(Table1[RespondentID],'All Data'!$A$3:$CO$999,87,FALSE),"unknown")</calculatedColumnFormula>
    </tableColumn>
    <tableColumn id="16" name="What is your age?" dataDxfId="61">
      <calculatedColumnFormula>IFERROR(VLOOKUP(Table1[RespondentID],'All Data'!$A$3:$CO$999,88,FALSE),"unknown")</calculatedColumnFormula>
    </tableColumn>
    <tableColumn id="17" name="County where you live:" dataDxfId="60">
      <calculatedColumnFormula>IFERROR(VLOOKUP(Table1[RespondentID],'All Data'!$A$3:$CO$999,89,FALSE),"unknown")</calculatedColumnFormula>
    </tableColumn>
    <tableColumn id="18" name="Town and ZIP code where you live:" dataDxfId="59">
      <calculatedColumnFormula>IFERROR(VLOOKUP(Table1[RespondentID],'All Data'!$A$3:$CO$999,90,FALSE),"unknown")</calculatedColumnFormula>
    </tableColumn>
    <tableColumn id="19" name="What race do you consider yourself?" dataDxfId="58">
      <calculatedColumnFormula>IFERROR(VLOOKUP(Table1[RespondentID],'All Data'!$A$3:$CO$999,91,FALSE),"unknown")</calculatedColumnFormula>
    </tableColumn>
    <tableColumn id="20" name="Are you Hispanic or Latino?" dataDxfId="57">
      <calculatedColumnFormula>IFERROR(VLOOKUP(Table1[RespondentID],'All Data'!$A$3:$CO$999,92,FALSE),"unknown")</calculatedColumnFormula>
    </tableColumn>
    <tableColumn id="21" name="What language do you speak when you are at home (select all that apply)" dataDxfId="56">
      <calculatedColumnFormula>IFERROR(VLOOKUP(Table1[RespondentID],'All Data'!$A$3:$CO$999,93,FALSE),"unknown")</calculatedColumnFormula>
    </tableColumn>
    <tableColumn id="22" name="What is your annual household income from all sources?" dataDxfId="55">
      <calculatedColumnFormula>IFERROR(VLOOKUP(Table1[RespondentID],'All Data'!$A$3:$CW$999,94,FALSE),"unknown")</calculatedColumnFormula>
    </tableColumn>
    <tableColumn id="23" name="What is your highest level of education?" dataDxfId="54">
      <calculatedColumnFormula>IFERROR(VLOOKUP(Table1[RespondentID],'All Data'!$A$3:$CW$999,95,FALSE),"unknown")</calculatedColumnFormula>
    </tableColumn>
    <tableColumn id="24" name="What is your current employment status?" dataDxfId="53">
      <calculatedColumnFormula>IFERROR(VLOOKUP(Table1[RespondentID],'All Data'!$A$3:$CW$999,96,FALSE),"unknown")</calculatedColumnFormula>
    </tableColumn>
    <tableColumn id="25" name="Do you currently have health insurance?" dataDxfId="52">
      <calculatedColumnFormula>IFERROR(VLOOKUP(Table1[RespondentID],'All Data'!$A$3:$CW$999,97,FALSE),"unknown")</calculatedColumnFormula>
    </tableColumn>
    <tableColumn id="26" name="What type of insurance do you have? " dataDxfId="51">
      <calculatedColumnFormula>IFERROR(VLOOKUP(Table1[RespondentID],'All Data'!$A$3:$CW$999,98,FALSE),"unknown")</calculatedColumnFormula>
    </tableColumn>
    <tableColumn id="27" name="Do you have access to reliable internet in your home?" dataDxfId="50">
      <calculatedColumnFormula>IFERROR(VLOOKUP(Table1[RespondentID],'All Data'!$A$3:$CW$999,99,FALSE),"unknown")</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1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8.xml"/><Relationship Id="rId1" Type="http://schemas.openxmlformats.org/officeDocument/2006/relationships/pivotTable" Target="../pivotTables/pivotTable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pivotTable" Target="../pivotTables/pivotTable3.xml"/><Relationship Id="rId4" Type="http://schemas.microsoft.com/office/2007/relationships/slicer" Target="../slicers/slicer3.xml"/></Relationships>
</file>

<file path=xl/worksheets/_rels/sheet14.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10.xml"/><Relationship Id="rId1" Type="http://schemas.openxmlformats.org/officeDocument/2006/relationships/pivotTable" Target="../pivotTables/pivotTable4.xml"/></Relationships>
</file>

<file path=xl/worksheets/_rels/sheet15.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11.xml"/><Relationship Id="rId1" Type="http://schemas.openxmlformats.org/officeDocument/2006/relationships/pivotTable" Target="../pivotTables/pivotTable5.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7.bin"/><Relationship Id="rId1" Type="http://schemas.openxmlformats.org/officeDocument/2006/relationships/pivotTable" Target="../pivotTables/pivotTable6.xml"/><Relationship Id="rId4" Type="http://schemas.microsoft.com/office/2007/relationships/slicer" Target="../slicers/slicer6.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8.bin"/><Relationship Id="rId1" Type="http://schemas.openxmlformats.org/officeDocument/2006/relationships/pivotTable" Target="../pivotTables/pivotTable7.xml"/><Relationship Id="rId4" Type="http://schemas.microsoft.com/office/2007/relationships/slicer" Target="../slicers/slicer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249"/>
  <sheetViews>
    <sheetView workbookViewId="0">
      <pane xSplit="1" ySplit="2" topLeftCell="BZ186" activePane="bottomRight" state="frozen"/>
      <selection pane="topRight" activeCell="B1" sqref="B1"/>
      <selection pane="bottomLeft" activeCell="A3" sqref="A3"/>
      <selection pane="bottomRight" activeCell="CI1" sqref="CI1:CI1048576"/>
    </sheetView>
  </sheetViews>
  <sheetFormatPr defaultRowHeight="14.5"/>
  <cols>
    <col min="1" max="1" width="15.26953125" style="103" bestFit="1" customWidth="1"/>
    <col min="2" max="2" width="107.54296875" style="103" customWidth="1"/>
    <col min="3" max="3" width="7" style="103" customWidth="1"/>
    <col min="4" max="4" width="21.453125" style="103" customWidth="1"/>
    <col min="5" max="5" width="6.54296875" style="103" customWidth="1"/>
    <col min="6" max="6" width="46.54296875" style="103" customWidth="1"/>
    <col min="7" max="7" width="27.7265625" style="103" customWidth="1"/>
    <col min="8" max="8" width="22.26953125" style="103" customWidth="1"/>
    <col min="9" max="9" width="26.26953125" style="103" customWidth="1"/>
    <col min="10" max="10" width="8.81640625" style="103" customWidth="1"/>
    <col min="11" max="11" width="31.54296875" style="103" customWidth="1"/>
    <col min="12" max="13" width="21.54296875" style="103" customWidth="1"/>
    <col min="14" max="15" width="25" style="103" customWidth="1"/>
    <col min="16" max="16" width="83.54296875" style="104" customWidth="1"/>
    <col min="17" max="17" width="7.81640625" style="103" customWidth="1"/>
    <col min="18" max="18" width="22.453125" style="103" customWidth="1"/>
    <col min="19" max="19" width="7.453125" style="103" customWidth="1"/>
    <col min="20" max="20" width="47.54296875" style="103" customWidth="1"/>
    <col min="21" max="21" width="28.1796875" style="103" customWidth="1"/>
    <col min="22" max="22" width="23.26953125" style="103" customWidth="1"/>
    <col min="23" max="23" width="27.1796875" style="103" customWidth="1"/>
    <col min="24" max="24" width="10.7265625" style="103" customWidth="1"/>
    <col min="25" max="25" width="33.1796875" style="103" customWidth="1"/>
    <col min="26" max="27" width="23.54296875" style="103" customWidth="1"/>
    <col min="28" max="29" width="27" style="103" customWidth="1"/>
    <col min="30" max="30" width="93.1796875" style="104" customWidth="1"/>
    <col min="31" max="31" width="27.7265625" style="103" customWidth="1"/>
    <col min="32" max="32" width="32.26953125" style="103" customWidth="1"/>
    <col min="33" max="33" width="30" style="103" customWidth="1"/>
    <col min="34" max="34" width="17" style="103" customWidth="1"/>
    <col min="35" max="35" width="19.7265625" style="103" customWidth="1"/>
    <col min="36" max="36" width="36" style="103" customWidth="1"/>
    <col min="37" max="37" width="12.54296875" style="103" customWidth="1"/>
    <col min="38" max="38" width="14.26953125" style="103" customWidth="1"/>
    <col min="39" max="40" width="50.1796875" style="103" customWidth="1"/>
    <col min="41" max="41" width="100.7265625" style="104" customWidth="1"/>
    <col min="42" max="42" width="21.453125" style="103" customWidth="1"/>
    <col min="43" max="43" width="27" style="103" customWidth="1"/>
    <col min="44" max="44" width="35.453125" style="103" customWidth="1"/>
    <col min="45" max="45" width="18.81640625" style="103" customWidth="1"/>
    <col min="46" max="46" width="16.26953125" style="103" customWidth="1"/>
    <col min="47" max="47" width="21.1796875" style="103" customWidth="1"/>
    <col min="48" max="49" width="20.7265625" style="103" customWidth="1"/>
    <col min="50" max="50" width="16.81640625" style="103" customWidth="1"/>
    <col min="51" max="51" width="22.7265625" style="103" customWidth="1"/>
    <col min="52" max="53" width="14" style="103" customWidth="1"/>
    <col min="54" max="54" width="108.81640625" style="104" customWidth="1"/>
    <col min="55" max="55" width="15.453125" style="103" customWidth="1"/>
    <col min="56" max="56" width="24.54296875" style="103" customWidth="1"/>
    <col min="57" max="57" width="8.81640625" style="103" customWidth="1"/>
    <col min="58" max="58" width="23.7265625" style="103" customWidth="1"/>
    <col min="59" max="59" width="9.1796875" style="103" customWidth="1"/>
    <col min="60" max="60" width="11.26953125" style="103" customWidth="1"/>
    <col min="61" max="61" width="23.54296875" style="103" customWidth="1"/>
    <col min="62" max="62" width="12.54296875" style="103" customWidth="1"/>
    <col min="63" max="63" width="16.81640625" style="103" customWidth="1"/>
    <col min="64" max="64" width="13.1796875" style="103" customWidth="1"/>
    <col min="65" max="65" width="18" style="103" customWidth="1"/>
    <col min="66" max="66" width="10.7265625" style="103" customWidth="1"/>
    <col min="67" max="67" width="48.54296875" style="103" customWidth="1"/>
    <col min="68" max="68" width="26.453125" style="103" customWidth="1"/>
    <col min="69" max="69" width="27.81640625" style="103" customWidth="1"/>
    <col min="70" max="70" width="34.1796875" style="103" customWidth="1"/>
    <col min="71" max="72" width="16.453125" style="103" customWidth="1"/>
    <col min="73" max="73" width="84.81640625" style="104" bestFit="1" customWidth="1"/>
    <col min="74" max="74" width="7.26953125" style="103" bestFit="1" customWidth="1"/>
    <col min="75" max="75" width="36.7265625" style="103" bestFit="1" customWidth="1"/>
    <col min="76" max="76" width="16.54296875" style="103" bestFit="1" customWidth="1"/>
    <col min="77" max="77" width="21.7265625" style="103" bestFit="1" customWidth="1"/>
    <col min="78" max="78" width="10.1796875" style="103" bestFit="1" customWidth="1"/>
    <col min="79" max="79" width="18.7265625" style="103" bestFit="1" customWidth="1"/>
    <col min="80" max="80" width="6" style="103" bestFit="1" customWidth="1"/>
    <col min="81" max="81" width="9.26953125" style="103" bestFit="1" customWidth="1"/>
    <col min="82" max="82" width="8.453125" style="103" bestFit="1" customWidth="1"/>
    <col min="83" max="83" width="21.1796875" style="103" bestFit="1" customWidth="1"/>
    <col min="84" max="84" width="8.26953125" style="103" bestFit="1" customWidth="1"/>
    <col min="85" max="85" width="14.7265625" style="103" bestFit="1" customWidth="1"/>
    <col min="86" max="86" width="14.7265625" style="103" customWidth="1"/>
    <col min="87" max="87" width="11.81640625" style="104" bestFit="1" customWidth="1"/>
    <col min="88" max="88" width="21" style="103" bestFit="1" customWidth="1"/>
    <col min="89" max="89" width="22.26953125" style="103" bestFit="1" customWidth="1"/>
    <col min="90" max="90" width="34" style="103" bestFit="1" customWidth="1"/>
    <col min="91" max="91" width="35.81640625" style="103" bestFit="1" customWidth="1"/>
    <col min="92" max="92" width="26.81640625" style="103" bestFit="1" customWidth="1"/>
    <col min="93" max="93" width="88.7265625" style="103" bestFit="1" customWidth="1"/>
    <col min="94" max="94" width="55.26953125" style="103" bestFit="1" customWidth="1"/>
    <col min="95" max="95" width="41" style="103" bestFit="1" customWidth="1"/>
    <col min="96" max="96" width="40.26953125" style="103" bestFit="1" customWidth="1"/>
    <col min="97" max="97" width="39.1796875" style="103" bestFit="1" customWidth="1"/>
    <col min="98" max="98" width="39.1796875" style="103" customWidth="1"/>
    <col min="99" max="99" width="28.26953125" style="103" bestFit="1" customWidth="1"/>
    <col min="100" max="16384" width="8.7265625" style="103"/>
  </cols>
  <sheetData>
    <row r="1" spans="1:105">
      <c r="A1" s="1"/>
      <c r="B1" s="1" t="s">
        <v>1</v>
      </c>
      <c r="C1" s="1"/>
      <c r="D1" s="1"/>
      <c r="E1" s="1"/>
      <c r="F1" s="1"/>
      <c r="G1" s="1"/>
      <c r="H1" s="1"/>
      <c r="I1" s="1"/>
      <c r="J1" s="1"/>
      <c r="K1" s="1"/>
      <c r="L1" s="1"/>
      <c r="M1" s="1"/>
      <c r="N1" s="1"/>
      <c r="O1" s="1"/>
      <c r="P1" s="1" t="s">
        <v>2</v>
      </c>
      <c r="Q1" s="1"/>
      <c r="R1" s="1"/>
      <c r="S1" s="1"/>
      <c r="T1" s="1"/>
      <c r="U1" s="1"/>
      <c r="V1" s="1"/>
      <c r="W1" s="1"/>
      <c r="X1" s="1"/>
      <c r="Y1" s="1"/>
      <c r="Z1" s="1"/>
      <c r="AA1" s="1"/>
      <c r="AB1" s="1"/>
      <c r="AC1" s="1"/>
      <c r="AD1" s="1" t="s">
        <v>372</v>
      </c>
      <c r="AE1" s="1"/>
      <c r="AF1" s="1"/>
      <c r="AG1" s="1"/>
      <c r="AH1" s="1"/>
      <c r="AI1" s="1"/>
      <c r="AJ1" s="1"/>
      <c r="AK1" s="1"/>
      <c r="AL1" s="1"/>
      <c r="AM1" s="1"/>
      <c r="AN1" s="1"/>
      <c r="AO1" s="1" t="s">
        <v>3</v>
      </c>
      <c r="AP1" s="1"/>
      <c r="AQ1" s="1"/>
      <c r="AR1" s="1"/>
      <c r="AS1" s="1"/>
      <c r="AT1" s="1"/>
      <c r="AU1" s="1"/>
      <c r="AV1" s="1"/>
      <c r="AW1" s="1"/>
      <c r="AX1" s="1"/>
      <c r="AY1" s="1"/>
      <c r="AZ1" s="1"/>
      <c r="BA1" s="1"/>
      <c r="BB1" s="1" t="s">
        <v>4</v>
      </c>
      <c r="BC1" s="1"/>
      <c r="BD1" s="1"/>
      <c r="BE1" s="1"/>
      <c r="BF1" s="1"/>
      <c r="BG1" s="1"/>
      <c r="BH1" s="1"/>
      <c r="BI1" s="1"/>
      <c r="BJ1" s="1"/>
      <c r="BK1" s="1"/>
      <c r="BL1" s="1"/>
      <c r="BM1" s="1"/>
      <c r="BN1" s="1"/>
      <c r="BO1" s="1"/>
      <c r="BP1" s="1"/>
      <c r="BQ1" s="1"/>
      <c r="BR1" s="1"/>
      <c r="BS1" s="1"/>
      <c r="BT1" s="1"/>
      <c r="BU1" s="1" t="s">
        <v>5</v>
      </c>
      <c r="BV1" s="1"/>
      <c r="BW1" s="1"/>
      <c r="BX1" s="1"/>
      <c r="BY1" s="1"/>
      <c r="BZ1" s="1"/>
      <c r="CA1" s="1"/>
      <c r="CB1" s="1"/>
      <c r="CC1" s="1"/>
      <c r="CD1" s="1"/>
      <c r="CE1" s="1"/>
      <c r="CF1" s="1"/>
      <c r="CG1" s="1"/>
      <c r="CH1" s="1"/>
      <c r="CI1" s="1" t="s">
        <v>6</v>
      </c>
      <c r="CJ1" s="1" t="s">
        <v>7</v>
      </c>
      <c r="CK1" s="1" t="s">
        <v>8</v>
      </c>
      <c r="CL1" s="1" t="s">
        <v>188</v>
      </c>
      <c r="CM1" s="1" t="s">
        <v>9</v>
      </c>
      <c r="CN1" s="1" t="s">
        <v>10</v>
      </c>
      <c r="CO1" s="1" t="s">
        <v>11</v>
      </c>
      <c r="CP1" s="1" t="s">
        <v>12</v>
      </c>
      <c r="CQ1" s="1" t="s">
        <v>13</v>
      </c>
      <c r="CR1" s="1" t="s">
        <v>14</v>
      </c>
      <c r="CS1" s="1" t="s">
        <v>15</v>
      </c>
      <c r="CT1" s="1" t="s">
        <v>383</v>
      </c>
      <c r="CU1" s="1" t="s">
        <v>382</v>
      </c>
    </row>
    <row r="2" spans="1:105" s="106" customFormat="1" ht="16">
      <c r="A2" s="105" t="s">
        <v>0</v>
      </c>
      <c r="B2" s="105" t="s">
        <v>16</v>
      </c>
      <c r="C2" s="105" t="s">
        <v>17</v>
      </c>
      <c r="D2" s="105" t="s">
        <v>18</v>
      </c>
      <c r="E2" s="105" t="s">
        <v>19</v>
      </c>
      <c r="F2" s="105" t="s">
        <v>20</v>
      </c>
      <c r="G2" s="105" t="s">
        <v>21</v>
      </c>
      <c r="H2" s="105" t="s">
        <v>22</v>
      </c>
      <c r="I2" s="105" t="s">
        <v>23</v>
      </c>
      <c r="J2" s="105" t="s">
        <v>24</v>
      </c>
      <c r="K2" s="105" t="s">
        <v>25</v>
      </c>
      <c r="L2" s="105" t="s">
        <v>26</v>
      </c>
      <c r="M2" s="105" t="s">
        <v>27</v>
      </c>
      <c r="N2" s="105" t="s">
        <v>28</v>
      </c>
      <c r="O2" s="105" t="s">
        <v>106</v>
      </c>
      <c r="P2" s="105" t="s">
        <v>253</v>
      </c>
      <c r="Q2" s="105" t="s">
        <v>254</v>
      </c>
      <c r="R2" s="105" t="s">
        <v>255</v>
      </c>
      <c r="S2" s="105" t="s">
        <v>256</v>
      </c>
      <c r="T2" s="105" t="s">
        <v>257</v>
      </c>
      <c r="U2" s="105" t="s">
        <v>258</v>
      </c>
      <c r="V2" s="105" t="s">
        <v>259</v>
      </c>
      <c r="W2" s="105" t="s">
        <v>260</v>
      </c>
      <c r="X2" s="105" t="s">
        <v>261</v>
      </c>
      <c r="Y2" s="105" t="s">
        <v>262</v>
      </c>
      <c r="Z2" s="105" t="s">
        <v>263</v>
      </c>
      <c r="AA2" s="105" t="s">
        <v>264</v>
      </c>
      <c r="AB2" s="105" t="s">
        <v>265</v>
      </c>
      <c r="AC2" s="105" t="s">
        <v>373</v>
      </c>
      <c r="AD2" s="105" t="s">
        <v>29</v>
      </c>
      <c r="AE2" s="105" t="s">
        <v>30</v>
      </c>
      <c r="AF2" s="105" t="s">
        <v>31</v>
      </c>
      <c r="AG2" s="105" t="s">
        <v>32</v>
      </c>
      <c r="AH2" s="105" t="s">
        <v>33</v>
      </c>
      <c r="AI2" s="105" t="s">
        <v>34</v>
      </c>
      <c r="AJ2" s="105" t="s">
        <v>35</v>
      </c>
      <c r="AK2" s="105" t="s">
        <v>36</v>
      </c>
      <c r="AL2" s="105" t="s">
        <v>37</v>
      </c>
      <c r="AM2" s="105" t="s">
        <v>375</v>
      </c>
      <c r="AN2" s="105" t="s">
        <v>106</v>
      </c>
      <c r="AO2" s="105" t="s">
        <v>38</v>
      </c>
      <c r="AP2" s="105" t="s">
        <v>39</v>
      </c>
      <c r="AQ2" s="105" t="s">
        <v>40</v>
      </c>
      <c r="AR2" s="105" t="s">
        <v>41</v>
      </c>
      <c r="AS2" s="105" t="s">
        <v>42</v>
      </c>
      <c r="AT2" s="105" t="s">
        <v>266</v>
      </c>
      <c r="AU2" s="105" t="s">
        <v>43</v>
      </c>
      <c r="AV2" s="105" t="s">
        <v>44</v>
      </c>
      <c r="AW2" s="105" t="s">
        <v>45</v>
      </c>
      <c r="AX2" s="105" t="s">
        <v>46</v>
      </c>
      <c r="AY2" s="105" t="s">
        <v>47</v>
      </c>
      <c r="AZ2" s="105" t="s">
        <v>48</v>
      </c>
      <c r="BA2" s="105" t="s">
        <v>106</v>
      </c>
      <c r="BB2" s="105" t="s">
        <v>49</v>
      </c>
      <c r="BC2" s="105" t="s">
        <v>50</v>
      </c>
      <c r="BD2" s="105" t="s">
        <v>51</v>
      </c>
      <c r="BE2" s="105" t="s">
        <v>267</v>
      </c>
      <c r="BF2" s="105" t="s">
        <v>52</v>
      </c>
      <c r="BG2" s="105" t="s">
        <v>53</v>
      </c>
      <c r="BH2" s="105" t="s">
        <v>54</v>
      </c>
      <c r="BI2" s="105" t="s">
        <v>55</v>
      </c>
      <c r="BJ2" s="105" t="s">
        <v>56</v>
      </c>
      <c r="BK2" s="105" t="s">
        <v>57</v>
      </c>
      <c r="BL2" s="105" t="s">
        <v>58</v>
      </c>
      <c r="BM2" s="105" t="s">
        <v>59</v>
      </c>
      <c r="BN2" s="105" t="s">
        <v>246</v>
      </c>
      <c r="BO2" s="105" t="s">
        <v>247</v>
      </c>
      <c r="BP2" s="105" t="s">
        <v>60</v>
      </c>
      <c r="BQ2" s="105" t="s">
        <v>61</v>
      </c>
      <c r="BR2" s="105" t="s">
        <v>62</v>
      </c>
      <c r="BS2" s="105" t="s">
        <v>63</v>
      </c>
      <c r="BT2" s="105" t="s">
        <v>106</v>
      </c>
      <c r="BU2" s="105" t="s">
        <v>64</v>
      </c>
      <c r="BV2" s="105" t="s">
        <v>65</v>
      </c>
      <c r="BW2" s="105" t="s">
        <v>66</v>
      </c>
      <c r="BX2" s="105" t="s">
        <v>67</v>
      </c>
      <c r="BY2" s="105" t="s">
        <v>68</v>
      </c>
      <c r="BZ2" s="105" t="s">
        <v>69</v>
      </c>
      <c r="CA2" s="105" t="s">
        <v>70</v>
      </c>
      <c r="CB2" s="105" t="s">
        <v>71</v>
      </c>
      <c r="CC2" s="105" t="s">
        <v>72</v>
      </c>
      <c r="CD2" s="105" t="s">
        <v>73</v>
      </c>
      <c r="CE2" s="105" t="s">
        <v>74</v>
      </c>
      <c r="CF2" s="105" t="s">
        <v>75</v>
      </c>
      <c r="CG2" s="105" t="s">
        <v>76</v>
      </c>
      <c r="CH2" s="105" t="s">
        <v>106</v>
      </c>
      <c r="CI2" s="105" t="s">
        <v>77</v>
      </c>
      <c r="CJ2" s="105" t="s">
        <v>78</v>
      </c>
      <c r="CK2" s="105" t="s">
        <v>268</v>
      </c>
      <c r="CL2" s="105" t="s">
        <v>269</v>
      </c>
      <c r="CM2" s="105" t="s">
        <v>270</v>
      </c>
      <c r="CN2" s="105" t="s">
        <v>271</v>
      </c>
      <c r="CO2" s="105" t="s">
        <v>79</v>
      </c>
      <c r="CP2" s="105" t="s">
        <v>272</v>
      </c>
      <c r="CQ2" s="105" t="s">
        <v>273</v>
      </c>
      <c r="CR2" s="105" t="s">
        <v>274</v>
      </c>
      <c r="CS2" s="105" t="s">
        <v>275</v>
      </c>
      <c r="CT2" s="105"/>
      <c r="CU2" s="105" t="s">
        <v>276</v>
      </c>
    </row>
    <row r="3" spans="1:105">
      <c r="A3" s="5">
        <v>18025536856</v>
      </c>
      <c r="B3" s="5"/>
      <c r="C3" s="5"/>
      <c r="D3" s="5"/>
      <c r="E3" s="5"/>
      <c r="F3" s="5"/>
      <c r="G3" s="5" t="s">
        <v>21</v>
      </c>
      <c r="H3" s="5"/>
      <c r="I3" s="5"/>
      <c r="J3" s="5"/>
      <c r="K3" s="5"/>
      <c r="L3" s="5"/>
      <c r="M3" s="5"/>
      <c r="N3" s="5"/>
      <c r="O3" s="5"/>
      <c r="P3" s="5"/>
      <c r="Q3" s="5"/>
      <c r="R3" s="5"/>
      <c r="S3" s="5" t="s">
        <v>19</v>
      </c>
      <c r="T3" s="5"/>
      <c r="U3" s="5"/>
      <c r="V3" s="5"/>
      <c r="W3" s="5"/>
      <c r="X3" s="5"/>
      <c r="Y3" s="5"/>
      <c r="Z3" s="5"/>
      <c r="AA3" s="5" t="s">
        <v>27</v>
      </c>
      <c r="AB3" s="5"/>
      <c r="AC3" s="5"/>
      <c r="AD3" s="5"/>
      <c r="AE3" s="5"/>
      <c r="AF3" s="5"/>
      <c r="AG3" s="5"/>
      <c r="AH3" s="5"/>
      <c r="AI3" s="5"/>
      <c r="AJ3" s="5" t="s">
        <v>35</v>
      </c>
      <c r="AK3" s="5"/>
      <c r="AL3" s="5"/>
      <c r="AM3" s="5"/>
      <c r="AN3" s="5"/>
      <c r="AO3" s="5" t="s">
        <v>38</v>
      </c>
      <c r="AP3" s="5" t="s">
        <v>39</v>
      </c>
      <c r="AQ3" s="5"/>
      <c r="AR3" s="5"/>
      <c r="AS3" s="5"/>
      <c r="AT3" s="5"/>
      <c r="AU3" s="5"/>
      <c r="AV3" s="5"/>
      <c r="AW3" s="5"/>
      <c r="AX3" s="5"/>
      <c r="AY3" s="5"/>
      <c r="AZ3" s="5"/>
      <c r="BA3" s="5"/>
      <c r="BB3" s="5"/>
      <c r="BC3" s="5"/>
      <c r="BD3" s="5"/>
      <c r="BE3" s="5"/>
      <c r="BF3" s="5"/>
      <c r="BG3" s="5"/>
      <c r="BH3" s="5"/>
      <c r="BI3" s="5"/>
      <c r="BJ3" s="5" t="s">
        <v>56</v>
      </c>
      <c r="BK3" s="5"/>
      <c r="BL3" s="5"/>
      <c r="BM3" s="5" t="s">
        <v>59</v>
      </c>
      <c r="BN3" s="5"/>
      <c r="BO3" s="5"/>
      <c r="BP3" s="5"/>
      <c r="BQ3" s="5"/>
      <c r="BR3" s="5"/>
      <c r="BS3" s="5"/>
      <c r="BT3" s="5"/>
      <c r="BU3" s="5"/>
      <c r="BV3" s="5"/>
      <c r="BW3" s="5"/>
      <c r="BX3" s="5"/>
      <c r="BY3" s="5"/>
      <c r="BZ3" s="5" t="s">
        <v>69</v>
      </c>
      <c r="CA3" s="5"/>
      <c r="CB3" s="5"/>
      <c r="CC3" s="5"/>
      <c r="CD3" s="5" t="s">
        <v>73</v>
      </c>
      <c r="CE3" s="5"/>
      <c r="CF3" s="5"/>
      <c r="CG3" s="5"/>
      <c r="CH3" s="5"/>
      <c r="CI3" s="5" t="s">
        <v>414</v>
      </c>
      <c r="CJ3" s="5">
        <v>41</v>
      </c>
      <c r="CK3" s="5" t="s">
        <v>141</v>
      </c>
      <c r="CL3" s="5" t="s">
        <v>368</v>
      </c>
      <c r="CM3" s="5" t="s">
        <v>415</v>
      </c>
      <c r="CN3" s="5" t="s">
        <v>416</v>
      </c>
      <c r="CO3" s="5"/>
      <c r="CP3" s="5" t="s">
        <v>93</v>
      </c>
      <c r="CQ3" s="5" t="s">
        <v>106</v>
      </c>
      <c r="CR3" s="5" t="s">
        <v>105</v>
      </c>
      <c r="CS3" s="5" t="s">
        <v>86</v>
      </c>
      <c r="CT3" s="5" t="s">
        <v>385</v>
      </c>
      <c r="CU3" s="5"/>
      <c r="CV3" s="5"/>
      <c r="CW3" s="5"/>
      <c r="CX3" s="5"/>
      <c r="CY3" s="5"/>
      <c r="CZ3" s="5"/>
      <c r="DA3" s="5"/>
    </row>
    <row r="4" spans="1:105">
      <c r="A4" s="5">
        <v>18025536720</v>
      </c>
      <c r="B4" s="5" t="s">
        <v>16</v>
      </c>
      <c r="C4" s="5"/>
      <c r="D4" s="5"/>
      <c r="E4" s="5"/>
      <c r="F4" s="5"/>
      <c r="G4" s="5"/>
      <c r="H4" s="5"/>
      <c r="I4" s="5"/>
      <c r="J4" s="5"/>
      <c r="K4" s="5"/>
      <c r="L4" s="5"/>
      <c r="M4" s="5"/>
      <c r="N4" s="5"/>
      <c r="O4" s="5"/>
      <c r="P4" s="5" t="s">
        <v>16</v>
      </c>
      <c r="Q4" s="5"/>
      <c r="R4" s="5"/>
      <c r="S4" s="5"/>
      <c r="T4" s="5"/>
      <c r="U4" s="5"/>
      <c r="V4" s="5"/>
      <c r="W4" s="5"/>
      <c r="X4" s="5"/>
      <c r="Y4" s="5"/>
      <c r="Z4" s="5"/>
      <c r="AA4" s="5"/>
      <c r="AB4" s="5"/>
      <c r="AC4" s="5"/>
      <c r="AD4" s="5"/>
      <c r="AE4" s="5"/>
      <c r="AF4" s="5"/>
      <c r="AG4" s="5"/>
      <c r="AH4" s="5"/>
      <c r="AI4" s="5"/>
      <c r="AJ4" s="5"/>
      <c r="AK4" s="5"/>
      <c r="AL4" s="5"/>
      <c r="AM4" s="5" t="s">
        <v>375</v>
      </c>
      <c r="AN4" s="5"/>
      <c r="AO4" s="5" t="s">
        <v>38</v>
      </c>
      <c r="AP4" s="5"/>
      <c r="AQ4" s="5"/>
      <c r="AR4" s="5"/>
      <c r="AS4" s="5"/>
      <c r="AT4" s="5"/>
      <c r="AU4" s="5"/>
      <c r="AV4" s="5"/>
      <c r="AW4" s="5"/>
      <c r="AX4" s="5"/>
      <c r="AY4" s="5"/>
      <c r="AZ4" s="5" t="s">
        <v>48</v>
      </c>
      <c r="BA4" s="5"/>
      <c r="BB4" s="5"/>
      <c r="BC4" s="5"/>
      <c r="BD4" s="5"/>
      <c r="BE4" s="5"/>
      <c r="BF4" s="5"/>
      <c r="BG4" s="5" t="s">
        <v>53</v>
      </c>
      <c r="BH4" s="5"/>
      <c r="BI4" s="5"/>
      <c r="BJ4" s="5"/>
      <c r="BK4" s="5"/>
      <c r="BL4" s="5"/>
      <c r="BM4" s="5"/>
      <c r="BN4" s="5"/>
      <c r="BO4" s="5"/>
      <c r="BP4" s="5"/>
      <c r="BQ4" s="5"/>
      <c r="BR4" s="5"/>
      <c r="BS4" s="5"/>
      <c r="BT4" s="5"/>
      <c r="BU4" s="5" t="s">
        <v>64</v>
      </c>
      <c r="BV4" s="5"/>
      <c r="BW4" s="5"/>
      <c r="BX4" s="5" t="s">
        <v>67</v>
      </c>
      <c r="BY4" s="5"/>
      <c r="BZ4" s="5"/>
      <c r="CA4" s="5" t="s">
        <v>70</v>
      </c>
      <c r="CB4" s="5"/>
      <c r="CC4" s="5"/>
      <c r="CD4" s="5"/>
      <c r="CE4" s="5"/>
      <c r="CF4" s="5"/>
      <c r="CG4" s="5"/>
      <c r="CH4" s="5"/>
      <c r="CI4" s="5" t="s">
        <v>417</v>
      </c>
      <c r="CJ4" s="5">
        <v>45</v>
      </c>
      <c r="CK4" s="5" t="s">
        <v>141</v>
      </c>
      <c r="CL4" s="5" t="s">
        <v>181</v>
      </c>
      <c r="CM4" s="5" t="s">
        <v>106</v>
      </c>
      <c r="CN4" s="5" t="s">
        <v>416</v>
      </c>
      <c r="CO4" s="5"/>
      <c r="CP4" s="5" t="s">
        <v>90</v>
      </c>
      <c r="CQ4" s="5" t="s">
        <v>84</v>
      </c>
      <c r="CR4" s="5" t="s">
        <v>105</v>
      </c>
      <c r="CS4" s="5" t="s">
        <v>86</v>
      </c>
      <c r="CT4" s="5" t="s">
        <v>385</v>
      </c>
      <c r="CU4" s="5"/>
      <c r="CV4" s="107"/>
      <c r="CW4" s="107"/>
      <c r="CX4" s="107"/>
      <c r="CY4" s="107"/>
      <c r="CZ4" s="107"/>
      <c r="DA4" s="107"/>
    </row>
    <row r="5" spans="1:105">
      <c r="A5" s="5">
        <v>18025536611</v>
      </c>
      <c r="B5" s="5"/>
      <c r="C5" s="5"/>
      <c r="D5" s="5"/>
      <c r="E5" s="5"/>
      <c r="F5" s="5"/>
      <c r="G5" s="5"/>
      <c r="H5" s="5"/>
      <c r="I5" s="5" t="s">
        <v>23</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t="s">
        <v>375</v>
      </c>
      <c r="AN5" s="5"/>
      <c r="AO5" s="5"/>
      <c r="AP5" s="5"/>
      <c r="AQ5" s="5"/>
      <c r="AR5" s="5"/>
      <c r="AS5" s="5"/>
      <c r="AT5" s="5"/>
      <c r="AU5" s="5"/>
      <c r="AV5" s="5"/>
      <c r="AW5" s="5"/>
      <c r="AX5" s="5"/>
      <c r="AY5" s="5"/>
      <c r="AZ5" s="5"/>
      <c r="BA5" s="5"/>
      <c r="BB5" s="5"/>
      <c r="BC5" s="5"/>
      <c r="BD5" s="5"/>
      <c r="BE5" s="5"/>
      <c r="BF5" s="5"/>
      <c r="BG5" s="5"/>
      <c r="BH5" s="5"/>
      <c r="BI5" s="5"/>
      <c r="BJ5" s="5" t="s">
        <v>56</v>
      </c>
      <c r="BK5" s="5"/>
      <c r="BL5" s="5"/>
      <c r="BM5" s="5"/>
      <c r="BN5" s="5"/>
      <c r="BO5" s="5"/>
      <c r="BP5" s="5"/>
      <c r="BQ5" s="5"/>
      <c r="BR5" s="5"/>
      <c r="BS5" s="5"/>
      <c r="BT5" s="5"/>
      <c r="BU5" s="5"/>
      <c r="BV5" s="5"/>
      <c r="BW5" s="5"/>
      <c r="BX5" s="5"/>
      <c r="BY5" s="5"/>
      <c r="BZ5" s="5" t="s">
        <v>69</v>
      </c>
      <c r="CA5" s="5"/>
      <c r="CB5" s="5"/>
      <c r="CC5" s="5"/>
      <c r="CD5" s="5"/>
      <c r="CE5" s="5"/>
      <c r="CF5" s="5"/>
      <c r="CG5" s="5"/>
      <c r="CH5" s="5"/>
      <c r="CI5" s="5" t="s">
        <v>417</v>
      </c>
      <c r="CJ5" s="5">
        <v>41</v>
      </c>
      <c r="CK5" s="5" t="s">
        <v>141</v>
      </c>
      <c r="CL5" s="5" t="s">
        <v>368</v>
      </c>
      <c r="CM5" s="5" t="s">
        <v>415</v>
      </c>
      <c r="CN5" s="5" t="s">
        <v>416</v>
      </c>
      <c r="CO5" s="5"/>
      <c r="CP5" s="5" t="s">
        <v>90</v>
      </c>
      <c r="CQ5" s="5" t="s">
        <v>103</v>
      </c>
      <c r="CR5" s="5" t="s">
        <v>105</v>
      </c>
      <c r="CS5" s="5"/>
      <c r="CT5" s="5" t="s">
        <v>384</v>
      </c>
      <c r="CU5" s="5"/>
      <c r="CV5" s="107"/>
      <c r="CW5" s="107"/>
      <c r="CX5" s="107"/>
      <c r="CY5" s="107"/>
      <c r="CZ5" s="107"/>
      <c r="DA5" s="107"/>
    </row>
    <row r="6" spans="1:105">
      <c r="A6" s="5">
        <v>18025536366</v>
      </c>
      <c r="B6" s="5"/>
      <c r="C6" s="5"/>
      <c r="D6" s="5"/>
      <c r="E6" s="5"/>
      <c r="F6" s="5"/>
      <c r="G6" s="5"/>
      <c r="H6" s="5"/>
      <c r="I6" s="5"/>
      <c r="J6" s="5"/>
      <c r="K6" s="5" t="s">
        <v>25</v>
      </c>
      <c r="L6" s="5" t="s">
        <v>26</v>
      </c>
      <c r="M6" s="5"/>
      <c r="N6" s="5"/>
      <c r="O6" s="5"/>
      <c r="P6" s="5"/>
      <c r="Q6" s="5"/>
      <c r="R6" s="5"/>
      <c r="S6" s="5"/>
      <c r="T6" s="5"/>
      <c r="U6" s="5"/>
      <c r="V6" s="5"/>
      <c r="W6" s="5"/>
      <c r="X6" s="5" t="s">
        <v>24</v>
      </c>
      <c r="Y6" s="5"/>
      <c r="Z6" s="5"/>
      <c r="AA6" s="5"/>
      <c r="AB6" s="5"/>
      <c r="AC6" s="5"/>
      <c r="AD6" s="5"/>
      <c r="AE6" s="5"/>
      <c r="AF6" s="5"/>
      <c r="AG6" s="5"/>
      <c r="AH6" s="5"/>
      <c r="AI6" s="5" t="s">
        <v>34</v>
      </c>
      <c r="AJ6" s="5"/>
      <c r="AK6" s="5"/>
      <c r="AL6" s="5"/>
      <c r="AM6" s="5"/>
      <c r="AN6" s="5"/>
      <c r="AO6" s="5"/>
      <c r="AP6" s="5" t="s">
        <v>39</v>
      </c>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t="s">
        <v>62</v>
      </c>
      <c r="BS6" s="5"/>
      <c r="BT6" s="5"/>
      <c r="BU6" s="5" t="s">
        <v>64</v>
      </c>
      <c r="BV6" s="5"/>
      <c r="BW6" s="5" t="s">
        <v>66</v>
      </c>
      <c r="BX6" s="5"/>
      <c r="BY6" s="5"/>
      <c r="BZ6" s="5"/>
      <c r="CA6" s="5"/>
      <c r="CB6" s="5"/>
      <c r="CC6" s="5" t="s">
        <v>72</v>
      </c>
      <c r="CD6" s="5"/>
      <c r="CE6" s="5"/>
      <c r="CF6" s="5"/>
      <c r="CG6" s="5"/>
      <c r="CH6" s="5"/>
      <c r="CI6" s="5" t="s">
        <v>417</v>
      </c>
      <c r="CJ6" s="5">
        <v>49</v>
      </c>
      <c r="CK6" s="5" t="s">
        <v>141</v>
      </c>
      <c r="CL6" s="5" t="s">
        <v>181</v>
      </c>
      <c r="CM6" s="5" t="s">
        <v>418</v>
      </c>
      <c r="CN6" s="5" t="s">
        <v>416</v>
      </c>
      <c r="CO6" s="5" t="s">
        <v>82</v>
      </c>
      <c r="CP6" s="5" t="s">
        <v>90</v>
      </c>
      <c r="CQ6" s="5" t="s">
        <v>84</v>
      </c>
      <c r="CR6" s="5" t="s">
        <v>105</v>
      </c>
      <c r="CS6" s="5" t="s">
        <v>86</v>
      </c>
      <c r="CT6" s="5" t="s">
        <v>387</v>
      </c>
      <c r="CU6" s="5"/>
      <c r="CV6" s="107"/>
      <c r="CW6" s="107"/>
      <c r="CX6" s="107"/>
      <c r="CY6" s="107"/>
      <c r="CZ6" s="107"/>
      <c r="DA6" s="107"/>
    </row>
    <row r="7" spans="1:105">
      <c r="A7" s="5">
        <v>18025536248</v>
      </c>
      <c r="B7" s="5"/>
      <c r="C7" s="5"/>
      <c r="D7" s="5"/>
      <c r="E7" s="5" t="s">
        <v>19</v>
      </c>
      <c r="F7" s="5"/>
      <c r="G7" s="5"/>
      <c r="H7" s="5"/>
      <c r="I7" s="5" t="s">
        <v>23</v>
      </c>
      <c r="J7" s="5"/>
      <c r="K7" s="5"/>
      <c r="L7" s="5"/>
      <c r="M7" s="5"/>
      <c r="N7" s="5"/>
      <c r="O7" s="5"/>
      <c r="P7" s="5"/>
      <c r="Q7" s="5"/>
      <c r="R7" s="5"/>
      <c r="S7" s="5"/>
      <c r="T7" s="5"/>
      <c r="U7" s="5"/>
      <c r="V7" s="5"/>
      <c r="W7" s="5"/>
      <c r="X7" s="5" t="s">
        <v>24</v>
      </c>
      <c r="Y7" s="5"/>
      <c r="Z7" s="5"/>
      <c r="AA7" s="5"/>
      <c r="AB7" s="5"/>
      <c r="AC7" s="5"/>
      <c r="AD7" s="5"/>
      <c r="AE7" s="5"/>
      <c r="AF7" s="5"/>
      <c r="AG7" s="5"/>
      <c r="AH7" s="5"/>
      <c r="AI7" s="5"/>
      <c r="AJ7" s="5"/>
      <c r="AK7" s="5"/>
      <c r="AL7" s="5" t="s">
        <v>37</v>
      </c>
      <c r="AM7" s="5" t="s">
        <v>375</v>
      </c>
      <c r="AN7" s="5"/>
      <c r="AO7" s="5"/>
      <c r="AP7" s="5"/>
      <c r="AQ7" s="5" t="s">
        <v>40</v>
      </c>
      <c r="AR7" s="5"/>
      <c r="AS7" s="5"/>
      <c r="AT7" s="5"/>
      <c r="AU7" s="5"/>
      <c r="AV7" s="5"/>
      <c r="AW7" s="5"/>
      <c r="AX7" s="5" t="s">
        <v>46</v>
      </c>
      <c r="AY7" s="5"/>
      <c r="AZ7" s="5"/>
      <c r="BA7" s="5"/>
      <c r="BB7" s="5"/>
      <c r="BC7" s="5"/>
      <c r="BD7" s="5" t="s">
        <v>51</v>
      </c>
      <c r="BE7" s="5"/>
      <c r="BF7" s="5"/>
      <c r="BG7" s="5"/>
      <c r="BH7" s="5"/>
      <c r="BI7" s="5"/>
      <c r="BJ7" s="5"/>
      <c r="BK7" s="5"/>
      <c r="BL7" s="5" t="s">
        <v>58</v>
      </c>
      <c r="BM7" s="5"/>
      <c r="BN7" s="5"/>
      <c r="BO7" s="5"/>
      <c r="BP7" s="5"/>
      <c r="BQ7" s="5"/>
      <c r="BR7" s="5"/>
      <c r="BS7" s="5"/>
      <c r="BT7" s="5"/>
      <c r="BU7" s="5"/>
      <c r="BV7" s="5"/>
      <c r="BW7" s="5"/>
      <c r="BX7" s="5" t="s">
        <v>67</v>
      </c>
      <c r="BY7" s="5"/>
      <c r="BZ7" s="5" t="s">
        <v>69</v>
      </c>
      <c r="CA7" s="5"/>
      <c r="CB7" s="5"/>
      <c r="CC7" s="5"/>
      <c r="CD7" s="5"/>
      <c r="CE7" s="5"/>
      <c r="CF7" s="5"/>
      <c r="CG7" s="5"/>
      <c r="CH7" s="5"/>
      <c r="CI7" s="5" t="s">
        <v>414</v>
      </c>
      <c r="CJ7" s="5">
        <v>36</v>
      </c>
      <c r="CK7" s="5" t="s">
        <v>141</v>
      </c>
      <c r="CL7" s="5" t="s">
        <v>181</v>
      </c>
      <c r="CM7" s="5" t="s">
        <v>106</v>
      </c>
      <c r="CN7" s="5" t="s">
        <v>419</v>
      </c>
      <c r="CO7" s="5" t="s">
        <v>101</v>
      </c>
      <c r="CP7" s="5" t="s">
        <v>87</v>
      </c>
      <c r="CQ7" s="5" t="s">
        <v>102</v>
      </c>
      <c r="CR7" s="5" t="s">
        <v>92</v>
      </c>
      <c r="CS7" s="5" t="s">
        <v>86</v>
      </c>
      <c r="CT7" s="5" t="s">
        <v>387</v>
      </c>
      <c r="CU7" s="5"/>
      <c r="CV7" s="5"/>
      <c r="CW7" s="5"/>
      <c r="CX7" s="5"/>
      <c r="CY7" s="5"/>
      <c r="CZ7" s="5"/>
      <c r="DA7" s="5"/>
    </row>
    <row r="8" spans="1:105">
      <c r="A8" s="5">
        <v>18025536153</v>
      </c>
      <c r="B8" s="5"/>
      <c r="C8" s="5"/>
      <c r="D8" s="5" t="s">
        <v>18</v>
      </c>
      <c r="E8" s="5" t="s">
        <v>19</v>
      </c>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t="s">
        <v>34</v>
      </c>
      <c r="AJ8" s="5"/>
      <c r="AK8" s="5"/>
      <c r="AL8" s="5"/>
      <c r="AM8" s="5"/>
      <c r="AN8" s="5"/>
      <c r="AO8" s="5"/>
      <c r="AP8" s="5"/>
      <c r="AQ8" s="5"/>
      <c r="AR8" s="5"/>
      <c r="AS8" s="5"/>
      <c r="AT8" s="5"/>
      <c r="AU8" s="5"/>
      <c r="AV8" s="5"/>
      <c r="AW8" s="5"/>
      <c r="AX8" s="5" t="s">
        <v>46</v>
      </c>
      <c r="AY8" s="5"/>
      <c r="AZ8" s="5"/>
      <c r="BA8" s="5"/>
      <c r="BB8" s="5"/>
      <c r="BC8" s="5"/>
      <c r="BD8" s="5"/>
      <c r="BE8" s="5"/>
      <c r="BF8" s="5"/>
      <c r="BG8" s="5" t="s">
        <v>53</v>
      </c>
      <c r="BH8" s="5"/>
      <c r="BI8" s="5"/>
      <c r="BJ8" s="5"/>
      <c r="BK8" s="5"/>
      <c r="BL8" s="5"/>
      <c r="BM8" s="5"/>
      <c r="BN8" s="5"/>
      <c r="BO8" s="5"/>
      <c r="BP8" s="5"/>
      <c r="BQ8" s="5"/>
      <c r="BR8" s="5"/>
      <c r="BS8" s="5"/>
      <c r="BT8" s="5"/>
      <c r="BU8" s="5" t="s">
        <v>64</v>
      </c>
      <c r="BV8" s="5"/>
      <c r="BW8" s="5"/>
      <c r="BX8" s="5"/>
      <c r="BY8" s="5"/>
      <c r="BZ8" s="5"/>
      <c r="CA8" s="5"/>
      <c r="CB8" s="5"/>
      <c r="CC8" s="5"/>
      <c r="CD8" s="5"/>
      <c r="CE8" s="5"/>
      <c r="CF8" s="5"/>
      <c r="CG8" s="5"/>
      <c r="CH8" s="5"/>
      <c r="CI8" s="5" t="s">
        <v>417</v>
      </c>
      <c r="CJ8" s="5">
        <v>34</v>
      </c>
      <c r="CK8" s="5" t="s">
        <v>141</v>
      </c>
      <c r="CL8" s="5" t="s">
        <v>368</v>
      </c>
      <c r="CM8" s="5" t="s">
        <v>415</v>
      </c>
      <c r="CN8" s="5" t="s">
        <v>416</v>
      </c>
      <c r="CO8" s="5"/>
      <c r="CP8" s="5" t="s">
        <v>87</v>
      </c>
      <c r="CQ8" s="5" t="s">
        <v>103</v>
      </c>
      <c r="CR8" s="5"/>
      <c r="CS8" s="5" t="s">
        <v>86</v>
      </c>
      <c r="CT8" s="5" t="s">
        <v>384</v>
      </c>
      <c r="CU8" s="5"/>
      <c r="CV8" s="107"/>
      <c r="CW8" s="107"/>
      <c r="CX8" s="107"/>
      <c r="CY8" s="107"/>
      <c r="CZ8" s="107"/>
      <c r="DA8" s="107"/>
    </row>
    <row r="9" spans="1:105">
      <c r="A9" s="5">
        <v>18025536056</v>
      </c>
      <c r="B9" s="5"/>
      <c r="C9" s="5"/>
      <c r="D9" s="5"/>
      <c r="E9" s="5" t="s">
        <v>19</v>
      </c>
      <c r="F9" s="5"/>
      <c r="G9" s="5"/>
      <c r="H9" s="5"/>
      <c r="I9" s="5"/>
      <c r="J9" s="5"/>
      <c r="K9" s="5"/>
      <c r="L9" s="5"/>
      <c r="M9" s="5"/>
      <c r="N9" s="5"/>
      <c r="O9" s="5"/>
      <c r="P9" s="5"/>
      <c r="Q9" s="5"/>
      <c r="R9" s="5"/>
      <c r="S9" s="5" t="s">
        <v>19</v>
      </c>
      <c r="T9" s="5"/>
      <c r="U9" s="5"/>
      <c r="V9" s="5"/>
      <c r="W9" s="5"/>
      <c r="X9" s="5"/>
      <c r="Y9" s="5"/>
      <c r="Z9" s="5"/>
      <c r="AA9" s="5"/>
      <c r="AB9" s="5"/>
      <c r="AC9" s="5"/>
      <c r="AD9" s="5"/>
      <c r="AE9" s="5"/>
      <c r="AF9" s="5"/>
      <c r="AG9" s="5"/>
      <c r="AH9" s="5"/>
      <c r="AI9" s="5" t="s">
        <v>34</v>
      </c>
      <c r="AJ9" s="5"/>
      <c r="AK9" s="5"/>
      <c r="AL9" s="5"/>
      <c r="AM9" s="5"/>
      <c r="AN9" s="5"/>
      <c r="AO9" s="5"/>
      <c r="AP9" s="5" t="s">
        <v>39</v>
      </c>
      <c r="AQ9" s="5"/>
      <c r="AR9" s="5"/>
      <c r="AS9" s="5"/>
      <c r="AT9" s="5"/>
      <c r="AU9" s="5"/>
      <c r="AV9" s="5"/>
      <c r="AW9" s="5"/>
      <c r="AX9" s="5"/>
      <c r="AY9" s="5"/>
      <c r="AZ9" s="5"/>
      <c r="BA9" s="5"/>
      <c r="BB9" s="5"/>
      <c r="BC9" s="5"/>
      <c r="BD9" s="5"/>
      <c r="BE9" s="5"/>
      <c r="BF9" s="5"/>
      <c r="BG9" s="5" t="s">
        <v>53</v>
      </c>
      <c r="BH9" s="5"/>
      <c r="BI9" s="5"/>
      <c r="BJ9" s="5" t="s">
        <v>56</v>
      </c>
      <c r="BK9" s="5"/>
      <c r="BL9" s="5"/>
      <c r="BM9" s="5"/>
      <c r="BN9" s="5"/>
      <c r="BO9" s="5"/>
      <c r="BP9" s="5"/>
      <c r="BQ9" s="5"/>
      <c r="BR9" s="5"/>
      <c r="BS9" s="5"/>
      <c r="BT9" s="5"/>
      <c r="BU9" s="5"/>
      <c r="BV9" s="5"/>
      <c r="BW9" s="5" t="s">
        <v>66</v>
      </c>
      <c r="BX9" s="5"/>
      <c r="BY9" s="5"/>
      <c r="BZ9" s="5" t="s">
        <v>69</v>
      </c>
      <c r="CA9" s="5"/>
      <c r="CB9" s="5"/>
      <c r="CC9" s="5"/>
      <c r="CD9" s="5"/>
      <c r="CE9" s="5"/>
      <c r="CF9" s="5"/>
      <c r="CG9" s="5"/>
      <c r="CH9" s="5"/>
      <c r="CI9" s="5" t="s">
        <v>414</v>
      </c>
      <c r="CJ9" s="5">
        <v>30</v>
      </c>
      <c r="CK9" s="5" t="s">
        <v>141</v>
      </c>
      <c r="CL9" s="5" t="s">
        <v>368</v>
      </c>
      <c r="CM9" s="5" t="s">
        <v>420</v>
      </c>
      <c r="CN9" s="5" t="s">
        <v>416</v>
      </c>
      <c r="CO9" s="5" t="s">
        <v>82</v>
      </c>
      <c r="CP9" s="5" t="s">
        <v>93</v>
      </c>
      <c r="CQ9" s="5" t="s">
        <v>88</v>
      </c>
      <c r="CR9" s="5" t="s">
        <v>105</v>
      </c>
      <c r="CS9" s="5" t="s">
        <v>86</v>
      </c>
      <c r="CT9" s="5" t="s">
        <v>385</v>
      </c>
      <c r="CU9" s="5"/>
      <c r="CV9" s="107"/>
      <c r="CW9" s="107"/>
      <c r="CX9" s="107"/>
      <c r="CY9" s="107"/>
      <c r="CZ9" s="107"/>
      <c r="DA9" s="107"/>
    </row>
    <row r="10" spans="1:105">
      <c r="A10" s="5">
        <v>18025535944</v>
      </c>
      <c r="B10" s="5"/>
      <c r="C10" s="5"/>
      <c r="D10" s="5"/>
      <c r="E10" s="5"/>
      <c r="F10" s="5"/>
      <c r="G10" s="5"/>
      <c r="H10" s="5"/>
      <c r="I10" s="5"/>
      <c r="J10" s="5" t="s">
        <v>24</v>
      </c>
      <c r="K10" s="5"/>
      <c r="L10" s="5"/>
      <c r="M10" s="5"/>
      <c r="N10" s="5"/>
      <c r="O10" s="5"/>
      <c r="P10" s="5"/>
      <c r="Q10" s="5"/>
      <c r="R10" s="5"/>
      <c r="S10" s="5"/>
      <c r="T10" s="5"/>
      <c r="U10" s="5"/>
      <c r="V10" s="5"/>
      <c r="W10" s="5"/>
      <c r="X10" s="5"/>
      <c r="Y10" s="5"/>
      <c r="Z10" s="5"/>
      <c r="AA10" s="5"/>
      <c r="AB10" s="5" t="s">
        <v>28</v>
      </c>
      <c r="AC10" s="5"/>
      <c r="AD10" s="5"/>
      <c r="AE10" s="5"/>
      <c r="AF10" s="5" t="s">
        <v>31</v>
      </c>
      <c r="AG10" s="5"/>
      <c r="AH10" s="5"/>
      <c r="AI10" s="5"/>
      <c r="AJ10" s="5"/>
      <c r="AK10" s="5"/>
      <c r="AL10" s="5"/>
      <c r="AM10" s="5"/>
      <c r="AN10" s="5"/>
      <c r="AO10" s="5"/>
      <c r="AP10" s="5"/>
      <c r="AQ10" s="5"/>
      <c r="AR10" s="5"/>
      <c r="AS10" s="5"/>
      <c r="AT10" s="5"/>
      <c r="AU10" s="5"/>
      <c r="AV10" s="5"/>
      <c r="AW10" s="5" t="s">
        <v>45</v>
      </c>
      <c r="AX10" s="5"/>
      <c r="AY10" s="5"/>
      <c r="AZ10" s="5"/>
      <c r="BA10" s="5"/>
      <c r="BB10" s="5"/>
      <c r="BC10" s="5"/>
      <c r="BD10" s="5"/>
      <c r="BE10" s="5"/>
      <c r="BF10" s="5"/>
      <c r="BG10" s="5"/>
      <c r="BH10" s="5"/>
      <c r="BI10" s="5" t="s">
        <v>55</v>
      </c>
      <c r="BJ10" s="5"/>
      <c r="BK10" s="5"/>
      <c r="BL10" s="5"/>
      <c r="BM10" s="5"/>
      <c r="BN10" s="5"/>
      <c r="BO10" s="5"/>
      <c r="BP10" s="5"/>
      <c r="BQ10" s="5"/>
      <c r="BR10" s="5"/>
      <c r="BS10" s="5"/>
      <c r="BT10" s="5"/>
      <c r="BU10" s="5"/>
      <c r="BV10" s="5"/>
      <c r="BW10" s="5"/>
      <c r="BX10" s="5"/>
      <c r="BY10" s="5"/>
      <c r="BZ10" s="5" t="s">
        <v>69</v>
      </c>
      <c r="CA10" s="5"/>
      <c r="CB10" s="5"/>
      <c r="CC10" s="5"/>
      <c r="CD10" s="5"/>
      <c r="CE10" s="5"/>
      <c r="CF10" s="5"/>
      <c r="CG10" s="5"/>
      <c r="CH10" s="5"/>
      <c r="CI10" s="5" t="s">
        <v>417</v>
      </c>
      <c r="CJ10" s="5">
        <v>43</v>
      </c>
      <c r="CK10" s="5" t="s">
        <v>141</v>
      </c>
      <c r="CL10" s="5" t="s">
        <v>368</v>
      </c>
      <c r="CM10" s="5" t="s">
        <v>415</v>
      </c>
      <c r="CN10" s="5" t="s">
        <v>416</v>
      </c>
      <c r="CO10" s="5"/>
      <c r="CP10" s="5" t="s">
        <v>94</v>
      </c>
      <c r="CQ10" s="5" t="s">
        <v>106</v>
      </c>
      <c r="CR10" s="5" t="s">
        <v>92</v>
      </c>
      <c r="CS10" s="5" t="s">
        <v>86</v>
      </c>
      <c r="CT10" s="5" t="s">
        <v>384</v>
      </c>
      <c r="CU10" s="5"/>
      <c r="CV10" s="5"/>
      <c r="CW10" s="5"/>
      <c r="CX10" s="5"/>
      <c r="CY10" s="5"/>
      <c r="CZ10" s="5"/>
      <c r="DA10" s="5"/>
    </row>
    <row r="11" spans="1:105">
      <c r="A11" s="5">
        <v>18025535832</v>
      </c>
      <c r="B11" s="5"/>
      <c r="C11" s="5"/>
      <c r="D11" s="5"/>
      <c r="E11" s="5" t="s">
        <v>19</v>
      </c>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t="s">
        <v>34</v>
      </c>
      <c r="AJ11" s="5"/>
      <c r="AK11" s="5"/>
      <c r="AL11" s="5"/>
      <c r="AM11" s="5"/>
      <c r="AN11" s="5"/>
      <c r="AO11" s="5"/>
      <c r="AP11" s="5" t="s">
        <v>39</v>
      </c>
      <c r="AQ11" s="5"/>
      <c r="AR11" s="5"/>
      <c r="AS11" s="5"/>
      <c r="AT11" s="5"/>
      <c r="AU11" s="5"/>
      <c r="AV11" s="5"/>
      <c r="AW11" s="5"/>
      <c r="AX11" s="5"/>
      <c r="AY11" s="5"/>
      <c r="AZ11" s="5"/>
      <c r="BA11" s="5"/>
      <c r="BB11" s="5"/>
      <c r="BC11" s="5"/>
      <c r="BD11" s="5" t="s">
        <v>51</v>
      </c>
      <c r="BE11" s="5"/>
      <c r="BF11" s="5"/>
      <c r="BG11" s="5"/>
      <c r="BH11" s="5"/>
      <c r="BI11" s="5"/>
      <c r="BJ11" s="5"/>
      <c r="BK11" s="5"/>
      <c r="BL11" s="5"/>
      <c r="BM11" s="5"/>
      <c r="BN11" s="5"/>
      <c r="BO11" s="5" t="s">
        <v>20</v>
      </c>
      <c r="BP11" s="5"/>
      <c r="BQ11" s="5"/>
      <c r="BR11" s="5"/>
      <c r="BS11" s="5" t="s">
        <v>63</v>
      </c>
      <c r="BT11" s="5"/>
      <c r="BU11" s="5" t="s">
        <v>64</v>
      </c>
      <c r="BV11" s="5"/>
      <c r="BW11" s="5"/>
      <c r="BX11" s="5"/>
      <c r="BY11" s="5"/>
      <c r="BZ11" s="5"/>
      <c r="CA11" s="5"/>
      <c r="CB11" s="5"/>
      <c r="CC11" s="5"/>
      <c r="CD11" s="5"/>
      <c r="CE11" s="5"/>
      <c r="CF11" s="5"/>
      <c r="CG11" s="5"/>
      <c r="CH11" s="5"/>
      <c r="CI11" s="5" t="s">
        <v>417</v>
      </c>
      <c r="CJ11" s="5">
        <v>20</v>
      </c>
      <c r="CK11" s="5" t="s">
        <v>141</v>
      </c>
      <c r="CL11" s="5" t="s">
        <v>368</v>
      </c>
      <c r="CM11" s="5" t="s">
        <v>415</v>
      </c>
      <c r="CN11" s="5"/>
      <c r="CO11" s="5"/>
      <c r="CP11" s="5" t="s">
        <v>87</v>
      </c>
      <c r="CQ11" s="5" t="s">
        <v>95</v>
      </c>
      <c r="CR11" s="5" t="s">
        <v>89</v>
      </c>
      <c r="CS11" s="5" t="s">
        <v>86</v>
      </c>
      <c r="CT11" s="5" t="s">
        <v>385</v>
      </c>
      <c r="CU11" s="5"/>
      <c r="CV11" s="107"/>
      <c r="CW11" s="107"/>
      <c r="CX11" s="107"/>
      <c r="CY11" s="107"/>
      <c r="CZ11" s="107"/>
      <c r="DA11" s="107"/>
    </row>
    <row r="12" spans="1:105">
      <c r="A12" s="5">
        <v>18025535657</v>
      </c>
      <c r="B12" s="5"/>
      <c r="C12" s="5"/>
      <c r="D12" s="5"/>
      <c r="E12" s="5" t="s">
        <v>19</v>
      </c>
      <c r="F12" s="5"/>
      <c r="G12" s="5"/>
      <c r="H12" s="5"/>
      <c r="I12" s="5" t="s">
        <v>23</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t="s">
        <v>375</v>
      </c>
      <c r="AN12" s="5"/>
      <c r="AO12" s="5"/>
      <c r="AP12" s="5"/>
      <c r="AQ12" s="5"/>
      <c r="AR12" s="5"/>
      <c r="AS12" s="5"/>
      <c r="AT12" s="5"/>
      <c r="AU12" s="5" t="s">
        <v>43</v>
      </c>
      <c r="AV12" s="5"/>
      <c r="AW12" s="5"/>
      <c r="AX12" s="5" t="s">
        <v>46</v>
      </c>
      <c r="AY12" s="5" t="s">
        <v>47</v>
      </c>
      <c r="AZ12" s="5"/>
      <c r="BA12" s="5"/>
      <c r="BB12" s="5"/>
      <c r="BC12" s="5"/>
      <c r="BD12" s="5"/>
      <c r="BE12" s="5"/>
      <c r="BF12" s="5"/>
      <c r="BG12" s="5" t="s">
        <v>53</v>
      </c>
      <c r="BH12" s="5"/>
      <c r="BI12" s="5" t="s">
        <v>55</v>
      </c>
      <c r="BJ12" s="5"/>
      <c r="BK12" s="5"/>
      <c r="BL12" s="5"/>
      <c r="BM12" s="5"/>
      <c r="BN12" s="5"/>
      <c r="BO12" s="5"/>
      <c r="BP12" s="5"/>
      <c r="BQ12" s="5"/>
      <c r="BR12" s="5" t="s">
        <v>62</v>
      </c>
      <c r="BS12" s="5"/>
      <c r="BT12" s="5"/>
      <c r="BU12" s="5" t="s">
        <v>64</v>
      </c>
      <c r="BV12" s="5"/>
      <c r="BW12" s="5"/>
      <c r="BX12" s="5"/>
      <c r="BY12" s="5"/>
      <c r="BZ12" s="5" t="s">
        <v>69</v>
      </c>
      <c r="CA12" s="5"/>
      <c r="CB12" s="5"/>
      <c r="CC12" s="5"/>
      <c r="CD12" s="5"/>
      <c r="CE12" s="5"/>
      <c r="CF12" s="5"/>
      <c r="CG12" s="5"/>
      <c r="CH12" s="5"/>
      <c r="CI12" s="5"/>
      <c r="CJ12" s="5">
        <v>17</v>
      </c>
      <c r="CK12" s="5" t="s">
        <v>141</v>
      </c>
      <c r="CL12" s="5" t="s">
        <v>368</v>
      </c>
      <c r="CM12" s="5" t="s">
        <v>415</v>
      </c>
      <c r="CN12" s="5" t="s">
        <v>416</v>
      </c>
      <c r="CO12" s="5"/>
      <c r="CP12" s="5" t="s">
        <v>87</v>
      </c>
      <c r="CQ12" s="5" t="s">
        <v>104</v>
      </c>
      <c r="CR12" s="5" t="s">
        <v>96</v>
      </c>
      <c r="CS12" s="5" t="s">
        <v>86</v>
      </c>
      <c r="CT12" s="5" t="s">
        <v>385</v>
      </c>
      <c r="CU12" s="5"/>
      <c r="CV12" s="107"/>
      <c r="CW12" s="107"/>
      <c r="CX12" s="107"/>
      <c r="CY12" s="107"/>
      <c r="CZ12" s="107"/>
      <c r="DA12" s="107"/>
    </row>
    <row r="13" spans="1:105">
      <c r="A13" s="5">
        <v>18025535535</v>
      </c>
      <c r="B13" s="5"/>
      <c r="C13" s="5"/>
      <c r="D13" s="5"/>
      <c r="E13" s="5"/>
      <c r="F13" s="5"/>
      <c r="G13" s="5"/>
      <c r="H13" s="5" t="s">
        <v>22</v>
      </c>
      <c r="I13" s="5"/>
      <c r="J13" s="5"/>
      <c r="K13" s="5" t="s">
        <v>25</v>
      </c>
      <c r="L13" s="5" t="s">
        <v>26</v>
      </c>
      <c r="M13" s="5"/>
      <c r="N13" s="5"/>
      <c r="O13" s="5"/>
      <c r="P13" s="5"/>
      <c r="Q13" s="5"/>
      <c r="R13" s="5"/>
      <c r="S13" s="5" t="s">
        <v>19</v>
      </c>
      <c r="T13" s="5"/>
      <c r="U13" s="5"/>
      <c r="V13" s="5"/>
      <c r="W13" s="5"/>
      <c r="X13" s="5"/>
      <c r="Y13" s="5" t="s">
        <v>25</v>
      </c>
      <c r="Z13" s="5" t="s">
        <v>26</v>
      </c>
      <c r="AA13" s="5"/>
      <c r="AB13" s="5"/>
      <c r="AC13" s="5"/>
      <c r="AD13" s="5"/>
      <c r="AE13" s="5" t="s">
        <v>30</v>
      </c>
      <c r="AF13" s="5" t="s">
        <v>31</v>
      </c>
      <c r="AG13" s="5"/>
      <c r="AH13" s="5"/>
      <c r="AI13" s="5"/>
      <c r="AJ13" s="5"/>
      <c r="AK13" s="5" t="s">
        <v>36</v>
      </c>
      <c r="AL13" s="5"/>
      <c r="AM13" s="5"/>
      <c r="AN13" s="5"/>
      <c r="AO13" s="5"/>
      <c r="AP13" s="5" t="s">
        <v>39</v>
      </c>
      <c r="AQ13" s="5"/>
      <c r="AR13" s="5" t="s">
        <v>41</v>
      </c>
      <c r="AS13" s="5"/>
      <c r="AT13" s="5"/>
      <c r="AU13" s="5"/>
      <c r="AV13" s="5"/>
      <c r="AW13" s="5"/>
      <c r="AX13" s="5"/>
      <c r="AY13" s="5"/>
      <c r="AZ13" s="5" t="s">
        <v>48</v>
      </c>
      <c r="BA13" s="5"/>
      <c r="BB13" s="5"/>
      <c r="BC13" s="5"/>
      <c r="BD13" s="5" t="s">
        <v>51</v>
      </c>
      <c r="BE13" s="5"/>
      <c r="BF13" s="5"/>
      <c r="BG13" s="5"/>
      <c r="BH13" s="5"/>
      <c r="BI13" s="5"/>
      <c r="BJ13" s="5"/>
      <c r="BK13" s="5"/>
      <c r="BL13" s="5"/>
      <c r="BM13" s="5" t="s">
        <v>59</v>
      </c>
      <c r="BN13" s="5"/>
      <c r="BO13" s="5"/>
      <c r="BP13" s="5"/>
      <c r="BQ13" s="5" t="s">
        <v>61</v>
      </c>
      <c r="BR13" s="5"/>
      <c r="BS13" s="5"/>
      <c r="BT13" s="5"/>
      <c r="BU13" s="5" t="s">
        <v>64</v>
      </c>
      <c r="BV13" s="5"/>
      <c r="BW13" s="5"/>
      <c r="BX13" s="5"/>
      <c r="BY13" s="5"/>
      <c r="BZ13" s="5"/>
      <c r="CA13" s="5"/>
      <c r="CB13" s="5"/>
      <c r="CC13" s="5"/>
      <c r="CD13" s="5"/>
      <c r="CE13" s="5"/>
      <c r="CF13" s="5"/>
      <c r="CG13" s="5"/>
      <c r="CH13" s="5"/>
      <c r="CI13" s="5" t="s">
        <v>417</v>
      </c>
      <c r="CJ13" s="5">
        <v>38</v>
      </c>
      <c r="CK13" s="5" t="s">
        <v>141</v>
      </c>
      <c r="CL13" s="5" t="s">
        <v>421</v>
      </c>
      <c r="CM13" s="5" t="s">
        <v>418</v>
      </c>
      <c r="CN13" s="5" t="s">
        <v>416</v>
      </c>
      <c r="CO13" s="5" t="s">
        <v>82</v>
      </c>
      <c r="CP13" s="5" t="s">
        <v>83</v>
      </c>
      <c r="CQ13" s="5" t="s">
        <v>88</v>
      </c>
      <c r="CR13" s="5" t="s">
        <v>85</v>
      </c>
      <c r="CS13" s="5" t="s">
        <v>81</v>
      </c>
      <c r="CT13" s="5" t="s">
        <v>384</v>
      </c>
      <c r="CU13" s="5"/>
      <c r="CV13" s="5"/>
      <c r="CW13" s="5"/>
      <c r="CX13" s="5"/>
      <c r="CY13" s="5"/>
      <c r="CZ13" s="5"/>
      <c r="DA13" s="5"/>
    </row>
    <row r="14" spans="1:105">
      <c r="A14" s="5">
        <v>18025535409</v>
      </c>
      <c r="B14" s="5"/>
      <c r="C14" s="5"/>
      <c r="D14" s="5"/>
      <c r="E14" s="5"/>
      <c r="F14" s="5"/>
      <c r="G14" s="5"/>
      <c r="H14" s="5"/>
      <c r="I14" s="5"/>
      <c r="J14" s="5"/>
      <c r="K14" s="5" t="s">
        <v>25</v>
      </c>
      <c r="L14" s="5"/>
      <c r="M14" s="5" t="s">
        <v>27</v>
      </c>
      <c r="N14" s="5" t="s">
        <v>28</v>
      </c>
      <c r="O14" s="5"/>
      <c r="P14" s="5" t="s">
        <v>16</v>
      </c>
      <c r="Q14" s="5"/>
      <c r="R14" s="5"/>
      <c r="S14" s="5"/>
      <c r="T14" s="5"/>
      <c r="U14" s="5"/>
      <c r="V14" s="5"/>
      <c r="W14" s="5" t="s">
        <v>23</v>
      </c>
      <c r="X14" s="5"/>
      <c r="Y14" s="5"/>
      <c r="Z14" s="5"/>
      <c r="AA14" s="5"/>
      <c r="AB14" s="5" t="s">
        <v>28</v>
      </c>
      <c r="AC14" s="5"/>
      <c r="AD14" s="5"/>
      <c r="AE14" s="5"/>
      <c r="AF14" s="5" t="s">
        <v>31</v>
      </c>
      <c r="AG14" s="5"/>
      <c r="AH14" s="5"/>
      <c r="AI14" s="5"/>
      <c r="AJ14" s="5"/>
      <c r="AK14" s="5" t="s">
        <v>36</v>
      </c>
      <c r="AL14" s="5"/>
      <c r="AM14" s="5" t="s">
        <v>375</v>
      </c>
      <c r="AN14" s="5"/>
      <c r="AO14" s="5"/>
      <c r="AP14" s="5" t="s">
        <v>39</v>
      </c>
      <c r="AQ14" s="5"/>
      <c r="AR14" s="5"/>
      <c r="AS14" s="5"/>
      <c r="AT14" s="5"/>
      <c r="AU14" s="5"/>
      <c r="AV14" s="5"/>
      <c r="AW14" s="5"/>
      <c r="AX14" s="5"/>
      <c r="AY14" s="5" t="s">
        <v>47</v>
      </c>
      <c r="AZ14" s="5"/>
      <c r="BA14" s="5"/>
      <c r="BB14" s="5"/>
      <c r="BC14" s="5"/>
      <c r="BD14" s="5" t="s">
        <v>51</v>
      </c>
      <c r="BE14" s="5"/>
      <c r="BF14" s="5"/>
      <c r="BG14" s="5"/>
      <c r="BH14" s="5"/>
      <c r="BI14" s="5"/>
      <c r="BJ14" s="5"/>
      <c r="BK14" s="5"/>
      <c r="BL14" s="5"/>
      <c r="BM14" s="5" t="s">
        <v>59</v>
      </c>
      <c r="BN14" s="5"/>
      <c r="BO14" s="5"/>
      <c r="BP14" s="5"/>
      <c r="BQ14" s="5"/>
      <c r="BR14" s="5" t="s">
        <v>62</v>
      </c>
      <c r="BS14" s="5"/>
      <c r="BT14" s="5"/>
      <c r="BU14" s="5"/>
      <c r="BV14" s="5"/>
      <c r="BW14" s="5"/>
      <c r="BX14" s="5"/>
      <c r="BY14" s="5" t="s">
        <v>68</v>
      </c>
      <c r="BZ14" s="5" t="s">
        <v>69</v>
      </c>
      <c r="CA14" s="5"/>
      <c r="CB14" s="5"/>
      <c r="CC14" s="5"/>
      <c r="CD14" s="5"/>
      <c r="CE14" s="5"/>
      <c r="CF14" s="5" t="s">
        <v>75</v>
      </c>
      <c r="CG14" s="5"/>
      <c r="CH14" s="5"/>
      <c r="CI14" s="5" t="s">
        <v>417</v>
      </c>
      <c r="CJ14" s="5">
        <v>51</v>
      </c>
      <c r="CK14" s="5" t="s">
        <v>141</v>
      </c>
      <c r="CL14" s="5" t="s">
        <v>368</v>
      </c>
      <c r="CM14" s="5" t="s">
        <v>418</v>
      </c>
      <c r="CN14" s="5" t="s">
        <v>416</v>
      </c>
      <c r="CO14" s="5" t="s">
        <v>82</v>
      </c>
      <c r="CP14" s="5" t="s">
        <v>83</v>
      </c>
      <c r="CQ14" s="5" t="s">
        <v>95</v>
      </c>
      <c r="CR14" s="5" t="s">
        <v>85</v>
      </c>
      <c r="CS14" s="5" t="s">
        <v>86</v>
      </c>
      <c r="CT14" s="5" t="s">
        <v>384</v>
      </c>
      <c r="CU14" s="5"/>
      <c r="CV14" s="5"/>
      <c r="CW14" s="5"/>
      <c r="CX14" s="5"/>
      <c r="CY14" s="5"/>
      <c r="CZ14" s="5"/>
      <c r="DA14" s="5"/>
    </row>
    <row r="15" spans="1:105">
      <c r="A15" s="5">
        <v>18025535294</v>
      </c>
      <c r="B15" s="5"/>
      <c r="C15" s="5"/>
      <c r="D15" s="5"/>
      <c r="E15" s="5"/>
      <c r="F15" s="5"/>
      <c r="G15" s="5"/>
      <c r="H15" s="5"/>
      <c r="I15" s="5"/>
      <c r="J15" s="5"/>
      <c r="K15" s="5" t="s">
        <v>25</v>
      </c>
      <c r="L15" s="5" t="s">
        <v>26</v>
      </c>
      <c r="M15" s="5"/>
      <c r="N15" s="5" t="s">
        <v>28</v>
      </c>
      <c r="O15" s="5"/>
      <c r="P15" s="5"/>
      <c r="Q15" s="5" t="s">
        <v>17</v>
      </c>
      <c r="R15" s="5"/>
      <c r="S15" s="5" t="s">
        <v>19</v>
      </c>
      <c r="T15" s="5"/>
      <c r="U15" s="5"/>
      <c r="V15" s="5"/>
      <c r="W15" s="5"/>
      <c r="X15" s="5"/>
      <c r="Y15" s="5"/>
      <c r="Z15" s="5"/>
      <c r="AA15" s="5" t="s">
        <v>27</v>
      </c>
      <c r="AB15" s="5"/>
      <c r="AC15" s="5"/>
      <c r="AD15" s="5"/>
      <c r="AE15" s="5" t="s">
        <v>30</v>
      </c>
      <c r="AF15" s="5" t="s">
        <v>31</v>
      </c>
      <c r="AG15" s="5"/>
      <c r="AH15" s="5"/>
      <c r="AI15" s="5"/>
      <c r="AJ15" s="5"/>
      <c r="AK15" s="5" t="s">
        <v>36</v>
      </c>
      <c r="AL15" s="5"/>
      <c r="AM15" s="5"/>
      <c r="AN15" s="5"/>
      <c r="AO15" s="5"/>
      <c r="AP15" s="5"/>
      <c r="AQ15" s="5" t="s">
        <v>40</v>
      </c>
      <c r="AR15" s="5"/>
      <c r="AS15" s="5"/>
      <c r="AT15" s="5" t="s">
        <v>37</v>
      </c>
      <c r="AU15" s="5"/>
      <c r="AV15" s="5"/>
      <c r="AW15" s="5" t="s">
        <v>45</v>
      </c>
      <c r="AX15" s="5"/>
      <c r="AY15" s="5"/>
      <c r="AZ15" s="5"/>
      <c r="BA15" s="5"/>
      <c r="BB15" s="5"/>
      <c r="BC15" s="5"/>
      <c r="BD15" s="5"/>
      <c r="BE15" s="5"/>
      <c r="BF15" s="5"/>
      <c r="BG15" s="5" t="s">
        <v>53</v>
      </c>
      <c r="BH15" s="5"/>
      <c r="BI15" s="5"/>
      <c r="BJ15" s="5" t="s">
        <v>56</v>
      </c>
      <c r="BK15" s="5"/>
      <c r="BL15" s="5"/>
      <c r="BM15" s="5" t="s">
        <v>59</v>
      </c>
      <c r="BN15" s="5"/>
      <c r="BO15" s="5"/>
      <c r="BP15" s="5"/>
      <c r="BQ15" s="5"/>
      <c r="BR15" s="5"/>
      <c r="BS15" s="5"/>
      <c r="BT15" s="5"/>
      <c r="BU15" s="5" t="s">
        <v>64</v>
      </c>
      <c r="BV15" s="5"/>
      <c r="BW15" s="5" t="s">
        <v>66</v>
      </c>
      <c r="BX15" s="5" t="s">
        <v>67</v>
      </c>
      <c r="BY15" s="5"/>
      <c r="BZ15" s="5"/>
      <c r="CA15" s="5"/>
      <c r="CB15" s="5"/>
      <c r="CC15" s="5"/>
      <c r="CD15" s="5"/>
      <c r="CE15" s="5"/>
      <c r="CF15" s="5"/>
      <c r="CG15" s="5"/>
      <c r="CH15" s="5"/>
      <c r="CI15" s="5" t="s">
        <v>417</v>
      </c>
      <c r="CJ15" s="5">
        <v>59</v>
      </c>
      <c r="CK15" s="5" t="s">
        <v>141</v>
      </c>
      <c r="CL15" s="5" t="s">
        <v>368</v>
      </c>
      <c r="CM15" s="5" t="s">
        <v>418</v>
      </c>
      <c r="CN15" s="5"/>
      <c r="CO15" s="5" t="s">
        <v>82</v>
      </c>
      <c r="CP15" s="5" t="s">
        <v>93</v>
      </c>
      <c r="CQ15" s="5" t="s">
        <v>95</v>
      </c>
      <c r="CR15" s="5" t="s">
        <v>99</v>
      </c>
      <c r="CS15" s="5" t="s">
        <v>86</v>
      </c>
      <c r="CT15" s="5" t="s">
        <v>385</v>
      </c>
      <c r="CU15" s="5"/>
      <c r="CV15" s="5"/>
      <c r="CW15" s="5"/>
      <c r="CX15" s="5"/>
      <c r="CY15" s="5"/>
      <c r="CZ15" s="5"/>
      <c r="DA15" s="5"/>
    </row>
    <row r="16" spans="1:105">
      <c r="A16" s="5">
        <v>18025535123</v>
      </c>
      <c r="B16" s="5"/>
      <c r="C16" s="5"/>
      <c r="D16" s="5"/>
      <c r="E16" s="5"/>
      <c r="F16" s="5"/>
      <c r="G16" s="5"/>
      <c r="H16" s="5"/>
      <c r="I16" s="5"/>
      <c r="J16" s="5"/>
      <c r="K16" s="5" t="s">
        <v>25</v>
      </c>
      <c r="L16" s="5" t="s">
        <v>26</v>
      </c>
      <c r="M16" s="5"/>
      <c r="N16" s="5"/>
      <c r="O16" s="5"/>
      <c r="P16" s="5"/>
      <c r="Q16" s="5"/>
      <c r="R16" s="5"/>
      <c r="S16" s="5" t="s">
        <v>19</v>
      </c>
      <c r="T16" s="5"/>
      <c r="U16" s="5"/>
      <c r="V16" s="5"/>
      <c r="W16" s="5" t="s">
        <v>23</v>
      </c>
      <c r="X16" s="5"/>
      <c r="Y16" s="5"/>
      <c r="Z16" s="5"/>
      <c r="AA16" s="5"/>
      <c r="AB16" s="5"/>
      <c r="AC16" s="5"/>
      <c r="AD16" s="5"/>
      <c r="AE16" s="5"/>
      <c r="AF16" s="5"/>
      <c r="AG16" s="5"/>
      <c r="AH16" s="5"/>
      <c r="AI16" s="5"/>
      <c r="AJ16" s="5"/>
      <c r="AK16" s="5" t="s">
        <v>36</v>
      </c>
      <c r="AL16" s="5"/>
      <c r="AM16" s="5"/>
      <c r="AN16" s="5"/>
      <c r="AO16" s="5" t="s">
        <v>38</v>
      </c>
      <c r="AP16" s="5"/>
      <c r="AQ16" s="5"/>
      <c r="AR16" s="5"/>
      <c r="AS16" s="5"/>
      <c r="AT16" s="5"/>
      <c r="AU16" s="5"/>
      <c r="AV16" s="5" t="s">
        <v>44</v>
      </c>
      <c r="AW16" s="5"/>
      <c r="AX16" s="5"/>
      <c r="AY16" s="5" t="s">
        <v>47</v>
      </c>
      <c r="AZ16" s="5"/>
      <c r="BA16" s="5"/>
      <c r="BB16" s="5"/>
      <c r="BC16" s="5"/>
      <c r="BD16" s="5" t="s">
        <v>51</v>
      </c>
      <c r="BE16" s="5"/>
      <c r="BF16" s="5" t="s">
        <v>52</v>
      </c>
      <c r="BG16" s="5" t="s">
        <v>53</v>
      </c>
      <c r="BH16" s="5"/>
      <c r="BI16" s="5"/>
      <c r="BJ16" s="5" t="s">
        <v>56</v>
      </c>
      <c r="BK16" s="5"/>
      <c r="BL16" s="5"/>
      <c r="BM16" s="5"/>
      <c r="BN16" s="5"/>
      <c r="BO16" s="5"/>
      <c r="BP16" s="5"/>
      <c r="BQ16" s="5"/>
      <c r="BR16" s="5" t="s">
        <v>62</v>
      </c>
      <c r="BS16" s="5"/>
      <c r="BT16" s="5"/>
      <c r="BU16" s="5"/>
      <c r="BV16" s="5"/>
      <c r="BW16" s="5"/>
      <c r="BX16" s="5" t="s">
        <v>67</v>
      </c>
      <c r="BY16" s="5"/>
      <c r="BZ16" s="5"/>
      <c r="CA16" s="5"/>
      <c r="CB16" s="5"/>
      <c r="CC16" s="5"/>
      <c r="CD16" s="5"/>
      <c r="CE16" s="5"/>
      <c r="CF16" s="5" t="s">
        <v>75</v>
      </c>
      <c r="CG16" s="5"/>
      <c r="CH16" s="5"/>
      <c r="CI16" s="5" t="s">
        <v>417</v>
      </c>
      <c r="CJ16" s="5">
        <v>24</v>
      </c>
      <c r="CK16" s="5" t="s">
        <v>141</v>
      </c>
      <c r="CL16" s="5" t="s">
        <v>422</v>
      </c>
      <c r="CM16" s="5" t="s">
        <v>420</v>
      </c>
      <c r="CN16" s="5" t="s">
        <v>416</v>
      </c>
      <c r="CO16" s="5" t="s">
        <v>369</v>
      </c>
      <c r="CP16" s="5" t="s">
        <v>94</v>
      </c>
      <c r="CQ16" s="5" t="s">
        <v>111</v>
      </c>
      <c r="CR16" s="5" t="s">
        <v>85</v>
      </c>
      <c r="CS16" s="5" t="s">
        <v>86</v>
      </c>
      <c r="CT16" s="5"/>
      <c r="CU16" s="5"/>
      <c r="CV16" s="5"/>
      <c r="CW16" s="5"/>
      <c r="CX16" s="5"/>
      <c r="CY16" s="5"/>
      <c r="CZ16" s="5"/>
      <c r="DA16" s="5"/>
    </row>
    <row r="17" spans="1:105">
      <c r="A17" s="5">
        <v>18025534952</v>
      </c>
      <c r="B17" s="5"/>
      <c r="C17" s="5" t="s">
        <v>17</v>
      </c>
      <c r="D17" s="5"/>
      <c r="E17" s="5" t="s">
        <v>19</v>
      </c>
      <c r="F17" s="5"/>
      <c r="G17" s="5"/>
      <c r="H17" s="5"/>
      <c r="I17" s="5"/>
      <c r="J17" s="5"/>
      <c r="K17" s="5" t="s">
        <v>25</v>
      </c>
      <c r="L17" s="5" t="s">
        <v>26</v>
      </c>
      <c r="M17" s="5"/>
      <c r="N17" s="5" t="s">
        <v>28</v>
      </c>
      <c r="O17" s="5"/>
      <c r="P17" s="5"/>
      <c r="Q17" s="5"/>
      <c r="R17" s="5"/>
      <c r="S17" s="5" t="s">
        <v>19</v>
      </c>
      <c r="T17" s="5"/>
      <c r="U17" s="5"/>
      <c r="V17" s="5"/>
      <c r="W17" s="5" t="s">
        <v>23</v>
      </c>
      <c r="X17" s="5"/>
      <c r="Y17" s="5"/>
      <c r="Z17" s="5"/>
      <c r="AA17" s="5"/>
      <c r="AB17" s="5"/>
      <c r="AC17" s="5"/>
      <c r="AD17" s="5"/>
      <c r="AE17" s="5"/>
      <c r="AF17" s="5"/>
      <c r="AG17" s="5"/>
      <c r="AH17" s="5"/>
      <c r="AI17" s="5"/>
      <c r="AJ17" s="5"/>
      <c r="AK17" s="5" t="s">
        <v>36</v>
      </c>
      <c r="AL17" s="5"/>
      <c r="AM17" s="5" t="s">
        <v>375</v>
      </c>
      <c r="AN17" s="5"/>
      <c r="AO17" s="5" t="s">
        <v>38</v>
      </c>
      <c r="AP17" s="5"/>
      <c r="AQ17" s="5"/>
      <c r="AR17" s="5"/>
      <c r="AS17" s="5"/>
      <c r="AT17" s="5"/>
      <c r="AU17" s="5" t="s">
        <v>43</v>
      </c>
      <c r="AV17" s="5" t="s">
        <v>44</v>
      </c>
      <c r="AW17" s="5"/>
      <c r="AX17" s="5"/>
      <c r="AY17" s="5" t="s">
        <v>47</v>
      </c>
      <c r="AZ17" s="5"/>
      <c r="BA17" s="5"/>
      <c r="BB17" s="5"/>
      <c r="BC17" s="5"/>
      <c r="BD17" s="5"/>
      <c r="BE17" s="5"/>
      <c r="BF17" s="5" t="s">
        <v>52</v>
      </c>
      <c r="BG17" s="5" t="s">
        <v>53</v>
      </c>
      <c r="BH17" s="5"/>
      <c r="BI17" s="5"/>
      <c r="BJ17" s="5"/>
      <c r="BK17" s="5"/>
      <c r="BL17" s="5"/>
      <c r="BM17" s="5"/>
      <c r="BN17" s="5"/>
      <c r="BO17" s="5"/>
      <c r="BP17" s="5"/>
      <c r="BQ17" s="5"/>
      <c r="BR17" s="5" t="s">
        <v>62</v>
      </c>
      <c r="BS17" s="5"/>
      <c r="BT17" s="5"/>
      <c r="BU17" s="5"/>
      <c r="BV17" s="5"/>
      <c r="BW17" s="5"/>
      <c r="BX17" s="5" t="s">
        <v>67</v>
      </c>
      <c r="BY17" s="5"/>
      <c r="BZ17" s="5"/>
      <c r="CA17" s="5"/>
      <c r="CB17" s="5"/>
      <c r="CC17" s="5" t="s">
        <v>72</v>
      </c>
      <c r="CD17" s="5" t="s">
        <v>73</v>
      </c>
      <c r="CE17" s="5"/>
      <c r="CF17" s="5"/>
      <c r="CG17" s="5"/>
      <c r="CH17" s="5"/>
      <c r="CI17" s="5" t="s">
        <v>417</v>
      </c>
      <c r="CJ17" s="5">
        <v>31</v>
      </c>
      <c r="CK17" s="5" t="s">
        <v>141</v>
      </c>
      <c r="CL17" s="5" t="s">
        <v>143</v>
      </c>
      <c r="CM17" s="5" t="s">
        <v>418</v>
      </c>
      <c r="CN17" s="5"/>
      <c r="CO17" s="5" t="s">
        <v>82</v>
      </c>
      <c r="CP17" s="5" t="s">
        <v>83</v>
      </c>
      <c r="CQ17" s="5" t="s">
        <v>84</v>
      </c>
      <c r="CR17" s="5" t="s">
        <v>85</v>
      </c>
      <c r="CS17" s="5" t="s">
        <v>86</v>
      </c>
      <c r="CT17" s="5" t="s">
        <v>384</v>
      </c>
      <c r="CU17" s="5"/>
      <c r="CV17" s="107"/>
      <c r="CW17" s="107"/>
      <c r="CX17" s="107"/>
      <c r="CY17" s="107"/>
      <c r="CZ17" s="107"/>
      <c r="DA17" s="107"/>
    </row>
    <row r="18" spans="1:105">
      <c r="A18" s="5">
        <v>18025534839</v>
      </c>
      <c r="B18" s="5"/>
      <c r="C18" s="5"/>
      <c r="D18" s="5"/>
      <c r="E18" s="5" t="s">
        <v>19</v>
      </c>
      <c r="F18" s="5"/>
      <c r="G18" s="5"/>
      <c r="H18" s="5"/>
      <c r="I18" s="5"/>
      <c r="J18" s="5"/>
      <c r="K18" s="5" t="s">
        <v>25</v>
      </c>
      <c r="L18" s="5"/>
      <c r="M18" s="5"/>
      <c r="N18" s="5" t="s">
        <v>28</v>
      </c>
      <c r="O18" s="5"/>
      <c r="P18" s="5"/>
      <c r="Q18" s="5"/>
      <c r="R18" s="5"/>
      <c r="S18" s="5" t="s">
        <v>19</v>
      </c>
      <c r="T18" s="5"/>
      <c r="U18" s="5"/>
      <c r="V18" s="5"/>
      <c r="W18" s="5"/>
      <c r="X18" s="5"/>
      <c r="Y18" s="5" t="s">
        <v>25</v>
      </c>
      <c r="Z18" s="5"/>
      <c r="AA18" s="5"/>
      <c r="AB18" s="5" t="s">
        <v>28</v>
      </c>
      <c r="AC18" s="5"/>
      <c r="AD18" s="5"/>
      <c r="AE18" s="5"/>
      <c r="AF18" s="5" t="s">
        <v>31</v>
      </c>
      <c r="AG18" s="5" t="s">
        <v>32</v>
      </c>
      <c r="AH18" s="5"/>
      <c r="AI18" s="5"/>
      <c r="AJ18" s="5"/>
      <c r="AK18" s="5" t="s">
        <v>36</v>
      </c>
      <c r="AL18" s="5"/>
      <c r="AM18" s="5"/>
      <c r="AN18" s="5"/>
      <c r="AO18" s="5"/>
      <c r="AP18" s="5"/>
      <c r="AQ18" s="5"/>
      <c r="AR18" s="5"/>
      <c r="AS18" s="5"/>
      <c r="AT18" s="5" t="s">
        <v>37</v>
      </c>
      <c r="AU18" s="5"/>
      <c r="AV18" s="5"/>
      <c r="AW18" s="5"/>
      <c r="AX18" s="5" t="s">
        <v>46</v>
      </c>
      <c r="AY18" s="5"/>
      <c r="AZ18" s="5" t="s">
        <v>48</v>
      </c>
      <c r="BA18" s="5"/>
      <c r="BB18" s="5"/>
      <c r="BC18" s="5"/>
      <c r="BD18" s="5" t="s">
        <v>51</v>
      </c>
      <c r="BE18" s="5"/>
      <c r="BF18" s="5"/>
      <c r="BG18" s="5" t="s">
        <v>53</v>
      </c>
      <c r="BH18" s="5"/>
      <c r="BI18" s="5"/>
      <c r="BJ18" s="5"/>
      <c r="BK18" s="5"/>
      <c r="BL18" s="5"/>
      <c r="BM18" s="5" t="s">
        <v>59</v>
      </c>
      <c r="BN18" s="5"/>
      <c r="BO18" s="5"/>
      <c r="BP18" s="5"/>
      <c r="BQ18" s="5"/>
      <c r="BR18" s="5"/>
      <c r="BS18" s="5"/>
      <c r="BT18" s="5"/>
      <c r="BU18" s="5" t="s">
        <v>64</v>
      </c>
      <c r="BV18" s="5"/>
      <c r="BW18" s="5"/>
      <c r="BX18" s="5" t="s">
        <v>67</v>
      </c>
      <c r="BY18" s="5"/>
      <c r="BZ18" s="5"/>
      <c r="CA18" s="5"/>
      <c r="CB18" s="5"/>
      <c r="CC18" s="5"/>
      <c r="CD18" s="5"/>
      <c r="CE18" s="5"/>
      <c r="CF18" s="5"/>
      <c r="CG18" s="5"/>
      <c r="CH18" s="5"/>
      <c r="CI18" s="5" t="s">
        <v>417</v>
      </c>
      <c r="CJ18" s="5">
        <v>57</v>
      </c>
      <c r="CK18" s="5" t="s">
        <v>141</v>
      </c>
      <c r="CL18" s="5" t="s">
        <v>147</v>
      </c>
      <c r="CM18" s="5" t="s">
        <v>418</v>
      </c>
      <c r="CN18" s="5" t="s">
        <v>416</v>
      </c>
      <c r="CO18" s="5" t="s">
        <v>82</v>
      </c>
      <c r="CP18" s="5" t="s">
        <v>83</v>
      </c>
      <c r="CQ18" s="5" t="s">
        <v>102</v>
      </c>
      <c r="CR18" s="5" t="s">
        <v>85</v>
      </c>
      <c r="CS18" s="5" t="s">
        <v>86</v>
      </c>
      <c r="CT18" s="5" t="s">
        <v>384</v>
      </c>
      <c r="CU18" s="5"/>
      <c r="CV18" s="5"/>
      <c r="CW18" s="5"/>
      <c r="CX18" s="5"/>
      <c r="CY18" s="5"/>
      <c r="CZ18" s="5"/>
      <c r="DA18" s="5"/>
    </row>
    <row r="19" spans="1:105">
      <c r="A19" s="5">
        <v>18025534704</v>
      </c>
      <c r="B19" s="5"/>
      <c r="C19" s="5"/>
      <c r="D19" s="5"/>
      <c r="E19" s="5"/>
      <c r="F19" s="5"/>
      <c r="G19" s="5"/>
      <c r="H19" s="5" t="s">
        <v>22</v>
      </c>
      <c r="I19" s="5"/>
      <c r="J19" s="5"/>
      <c r="K19" s="5"/>
      <c r="L19" s="5" t="s">
        <v>26</v>
      </c>
      <c r="M19" s="5" t="s">
        <v>27</v>
      </c>
      <c r="N19" s="5"/>
      <c r="O19" s="5"/>
      <c r="P19" s="5"/>
      <c r="Q19" s="5" t="s">
        <v>17</v>
      </c>
      <c r="R19" s="5"/>
      <c r="S19" s="5"/>
      <c r="T19" s="5"/>
      <c r="U19" s="5"/>
      <c r="V19" s="5"/>
      <c r="W19" s="5"/>
      <c r="X19" s="5"/>
      <c r="Y19" s="5"/>
      <c r="Z19" s="5"/>
      <c r="AA19" s="5"/>
      <c r="AB19" s="5"/>
      <c r="AC19" s="5"/>
      <c r="AD19" s="5"/>
      <c r="AE19" s="5"/>
      <c r="AF19" s="5"/>
      <c r="AG19" s="5"/>
      <c r="AH19" s="5"/>
      <c r="AI19" s="5" t="s">
        <v>34</v>
      </c>
      <c r="AJ19" s="5"/>
      <c r="AK19" s="5"/>
      <c r="AL19" s="5"/>
      <c r="AM19" s="5"/>
      <c r="AN19" s="5"/>
      <c r="AO19" s="5"/>
      <c r="AP19" s="5"/>
      <c r="AQ19" s="5"/>
      <c r="AR19" s="5"/>
      <c r="AS19" s="5"/>
      <c r="AT19" s="5"/>
      <c r="AU19" s="5"/>
      <c r="AV19" s="5"/>
      <c r="AW19" s="5"/>
      <c r="AX19" s="5"/>
      <c r="AY19" s="5" t="s">
        <v>47</v>
      </c>
      <c r="AZ19" s="5"/>
      <c r="BA19" s="5"/>
      <c r="BB19" s="5"/>
      <c r="BC19" s="5"/>
      <c r="BD19" s="5"/>
      <c r="BE19" s="5"/>
      <c r="BF19" s="5"/>
      <c r="BG19" s="5"/>
      <c r="BH19" s="5"/>
      <c r="BI19" s="5"/>
      <c r="BJ19" s="5"/>
      <c r="BK19" s="5" t="s">
        <v>57</v>
      </c>
      <c r="BL19" s="5"/>
      <c r="BM19" s="5"/>
      <c r="BN19" s="5"/>
      <c r="BO19" s="5"/>
      <c r="BP19" s="5"/>
      <c r="BQ19" s="5"/>
      <c r="BR19" s="5"/>
      <c r="BS19" s="5" t="s">
        <v>63</v>
      </c>
      <c r="BT19" s="5"/>
      <c r="BU19" s="5" t="s">
        <v>64</v>
      </c>
      <c r="BV19" s="5"/>
      <c r="BW19" s="5"/>
      <c r="BX19" s="5"/>
      <c r="BY19" s="5"/>
      <c r="BZ19" s="5"/>
      <c r="CA19" s="5"/>
      <c r="CB19" s="5"/>
      <c r="CC19" s="5"/>
      <c r="CD19" s="5"/>
      <c r="CE19" s="5"/>
      <c r="CF19" s="5"/>
      <c r="CG19" s="5"/>
      <c r="CH19" s="5"/>
      <c r="CI19" s="5" t="s">
        <v>414</v>
      </c>
      <c r="CJ19" s="5">
        <v>48</v>
      </c>
      <c r="CK19" s="5" t="s">
        <v>141</v>
      </c>
      <c r="CL19" s="5" t="s">
        <v>368</v>
      </c>
      <c r="CM19" s="5" t="s">
        <v>418</v>
      </c>
      <c r="CN19" s="5" t="s">
        <v>416</v>
      </c>
      <c r="CO19" s="5" t="s">
        <v>82</v>
      </c>
      <c r="CP19" s="5" t="s">
        <v>83</v>
      </c>
      <c r="CQ19" s="5" t="s">
        <v>95</v>
      </c>
      <c r="CR19" s="5" t="s">
        <v>99</v>
      </c>
      <c r="CS19" s="5" t="s">
        <v>86</v>
      </c>
      <c r="CT19" s="5" t="s">
        <v>384</v>
      </c>
      <c r="CU19" s="5"/>
      <c r="CV19" s="5"/>
      <c r="CW19" s="5"/>
      <c r="CX19" s="5"/>
      <c r="CY19" s="5"/>
      <c r="CZ19" s="5"/>
      <c r="DA19" s="5"/>
    </row>
    <row r="20" spans="1:105">
      <c r="A20" s="5">
        <v>18025534585</v>
      </c>
      <c r="B20" s="5"/>
      <c r="C20" s="5" t="s">
        <v>17</v>
      </c>
      <c r="D20" s="5"/>
      <c r="E20" s="5"/>
      <c r="F20" s="5"/>
      <c r="G20" s="5"/>
      <c r="H20" s="5"/>
      <c r="I20" s="5" t="s">
        <v>23</v>
      </c>
      <c r="J20" s="5"/>
      <c r="K20" s="5" t="s">
        <v>25</v>
      </c>
      <c r="L20" s="5"/>
      <c r="M20" s="5"/>
      <c r="N20" s="5"/>
      <c r="O20" s="5"/>
      <c r="P20" s="5"/>
      <c r="Q20" s="5"/>
      <c r="R20" s="5"/>
      <c r="S20" s="5"/>
      <c r="T20" s="5"/>
      <c r="U20" s="5"/>
      <c r="V20" s="5"/>
      <c r="W20" s="5" t="s">
        <v>23</v>
      </c>
      <c r="X20" s="5" t="s">
        <v>24</v>
      </c>
      <c r="Y20" s="5" t="s">
        <v>25</v>
      </c>
      <c r="Z20" s="5"/>
      <c r="AA20" s="5"/>
      <c r="AB20" s="5"/>
      <c r="AC20" s="5"/>
      <c r="AD20" s="5"/>
      <c r="AE20" s="5" t="s">
        <v>30</v>
      </c>
      <c r="AF20" s="5"/>
      <c r="AG20" s="5" t="s">
        <v>32</v>
      </c>
      <c r="AH20" s="5"/>
      <c r="AI20" s="5"/>
      <c r="AJ20" s="5"/>
      <c r="AK20" s="5"/>
      <c r="AL20" s="5" t="s">
        <v>37</v>
      </c>
      <c r="AM20" s="5"/>
      <c r="AN20" s="5"/>
      <c r="AO20" s="5"/>
      <c r="AP20" s="5"/>
      <c r="AQ20" s="5"/>
      <c r="AR20" s="5" t="s">
        <v>41</v>
      </c>
      <c r="AS20" s="5" t="s">
        <v>42</v>
      </c>
      <c r="AT20" s="5"/>
      <c r="AU20" s="5" t="s">
        <v>43</v>
      </c>
      <c r="AV20" s="5"/>
      <c r="AW20" s="5"/>
      <c r="AX20" s="5"/>
      <c r="AY20" s="5" t="s">
        <v>47</v>
      </c>
      <c r="AZ20" s="5"/>
      <c r="BA20" s="5"/>
      <c r="BB20" s="5" t="s">
        <v>49</v>
      </c>
      <c r="BC20" s="5" t="s">
        <v>50</v>
      </c>
      <c r="BD20" s="5"/>
      <c r="BE20" s="5"/>
      <c r="BF20" s="5"/>
      <c r="BG20" s="5"/>
      <c r="BH20" s="5" t="s">
        <v>54</v>
      </c>
      <c r="BI20" s="5"/>
      <c r="BJ20" s="5"/>
      <c r="BK20" s="5"/>
      <c r="BL20" s="5"/>
      <c r="BM20" s="5"/>
      <c r="BN20" s="5"/>
      <c r="BO20" s="5"/>
      <c r="BP20" s="5"/>
      <c r="BQ20" s="5"/>
      <c r="BR20" s="5"/>
      <c r="BS20" s="5"/>
      <c r="BT20" s="5"/>
      <c r="BU20" s="5" t="s">
        <v>64</v>
      </c>
      <c r="BV20" s="5"/>
      <c r="BW20" s="5"/>
      <c r="BX20" s="5"/>
      <c r="BY20" s="5"/>
      <c r="BZ20" s="5"/>
      <c r="CA20" s="5"/>
      <c r="CB20" s="5"/>
      <c r="CC20" s="5" t="s">
        <v>72</v>
      </c>
      <c r="CD20" s="5"/>
      <c r="CE20" s="5" t="s">
        <v>74</v>
      </c>
      <c r="CF20" s="5"/>
      <c r="CG20" s="5"/>
      <c r="CH20" s="5"/>
      <c r="CI20" s="5" t="s">
        <v>417</v>
      </c>
      <c r="CJ20" s="5">
        <v>84</v>
      </c>
      <c r="CK20" s="5" t="s">
        <v>141</v>
      </c>
      <c r="CL20" s="5" t="s">
        <v>151</v>
      </c>
      <c r="CM20" s="5"/>
      <c r="CN20" s="5"/>
      <c r="CO20" s="5" t="s">
        <v>82</v>
      </c>
      <c r="CP20" s="5" t="s">
        <v>87</v>
      </c>
      <c r="CQ20" s="5" t="s">
        <v>102</v>
      </c>
      <c r="CR20" s="5" t="s">
        <v>99</v>
      </c>
      <c r="CS20" s="5" t="s">
        <v>86</v>
      </c>
      <c r="CT20" s="5" t="s">
        <v>385</v>
      </c>
      <c r="CU20" s="5"/>
      <c r="CV20" s="5"/>
      <c r="CW20" s="5"/>
      <c r="CX20" s="5"/>
      <c r="CY20" s="5"/>
      <c r="CZ20" s="5"/>
      <c r="DA20" s="5"/>
    </row>
    <row r="21" spans="1:105">
      <c r="A21" s="5">
        <v>18025500754</v>
      </c>
      <c r="B21" s="5"/>
      <c r="C21" s="5" t="s">
        <v>17</v>
      </c>
      <c r="D21" s="5"/>
      <c r="E21" s="5"/>
      <c r="F21" s="5"/>
      <c r="G21" s="5"/>
      <c r="H21" s="5"/>
      <c r="I21" s="5"/>
      <c r="J21" s="5"/>
      <c r="K21" s="5"/>
      <c r="L21" s="5"/>
      <c r="M21" s="5"/>
      <c r="N21" s="5"/>
      <c r="O21" s="5"/>
      <c r="P21" s="5"/>
      <c r="Q21" s="5" t="s">
        <v>17</v>
      </c>
      <c r="R21" s="5"/>
      <c r="S21" s="5"/>
      <c r="T21" s="5"/>
      <c r="U21" s="5"/>
      <c r="V21" s="5"/>
      <c r="W21" s="5"/>
      <c r="X21" s="5"/>
      <c r="Y21" s="5"/>
      <c r="Z21" s="5"/>
      <c r="AA21" s="5"/>
      <c r="AB21" s="5"/>
      <c r="AC21" s="5"/>
      <c r="AD21" s="5"/>
      <c r="AE21" s="5"/>
      <c r="AF21" s="5"/>
      <c r="AG21" s="5"/>
      <c r="AH21" s="5"/>
      <c r="AI21" s="5"/>
      <c r="AJ21" s="5"/>
      <c r="AK21" s="5"/>
      <c r="AL21" s="5"/>
      <c r="AM21" s="5" t="s">
        <v>375</v>
      </c>
      <c r="AN21" s="5"/>
      <c r="AO21" s="5"/>
      <c r="AP21" s="5"/>
      <c r="AQ21" s="5"/>
      <c r="AR21" s="5"/>
      <c r="AS21" s="5"/>
      <c r="AT21" s="5"/>
      <c r="AU21" s="5" t="s">
        <v>43</v>
      </c>
      <c r="AV21" s="5"/>
      <c r="AW21" s="5"/>
      <c r="AX21" s="5"/>
      <c r="AY21" s="5"/>
      <c r="AZ21" s="5"/>
      <c r="BA21" s="5"/>
      <c r="BB21" s="5"/>
      <c r="BC21" s="5"/>
      <c r="BD21" s="5"/>
      <c r="BE21" s="5"/>
      <c r="BF21" s="5"/>
      <c r="BG21" s="5"/>
      <c r="BH21" s="5"/>
      <c r="BI21" s="5"/>
      <c r="BJ21" s="5"/>
      <c r="BK21" s="5" t="s">
        <v>57</v>
      </c>
      <c r="BL21" s="5"/>
      <c r="BM21" s="5"/>
      <c r="BN21" s="5"/>
      <c r="BO21" s="5"/>
      <c r="BP21" s="5"/>
      <c r="BQ21" s="5"/>
      <c r="BR21" s="5"/>
      <c r="BS21" s="5"/>
      <c r="BT21" s="5"/>
      <c r="BU21" s="5"/>
      <c r="BV21" s="5"/>
      <c r="BW21" s="5"/>
      <c r="BX21" s="5" t="s">
        <v>67</v>
      </c>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row>
    <row r="22" spans="1:105">
      <c r="A22" s="5">
        <v>18025435174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t="s">
        <v>364</v>
      </c>
      <c r="CM22" s="5"/>
      <c r="CN22" s="5"/>
      <c r="CO22" s="5"/>
      <c r="CP22" s="5"/>
      <c r="CQ22" s="5"/>
      <c r="CR22" s="5"/>
      <c r="CS22" s="5"/>
      <c r="CT22" s="5"/>
      <c r="CU22" s="5"/>
      <c r="CV22" s="5"/>
      <c r="CW22" s="5"/>
      <c r="CX22" s="5"/>
      <c r="CY22" s="5"/>
      <c r="CZ22" s="5"/>
      <c r="DA22" s="5"/>
    </row>
    <row r="23" spans="1:105">
      <c r="A23" s="5">
        <v>18025209840</v>
      </c>
      <c r="B23" s="5"/>
      <c r="C23" s="5"/>
      <c r="D23" s="5"/>
      <c r="E23" s="5"/>
      <c r="F23" s="5"/>
      <c r="G23" s="5"/>
      <c r="H23" s="5"/>
      <c r="I23" s="5"/>
      <c r="J23" s="5"/>
      <c r="K23" s="5"/>
      <c r="L23" s="5"/>
      <c r="M23" s="5"/>
      <c r="N23" s="5"/>
      <c r="O23" s="5"/>
      <c r="P23" s="5"/>
      <c r="Q23" s="5"/>
      <c r="R23" s="5"/>
      <c r="S23" s="5"/>
      <c r="T23" s="5"/>
      <c r="U23" s="5"/>
      <c r="V23" s="5"/>
      <c r="W23" s="5"/>
      <c r="X23" s="5"/>
      <c r="Y23" s="5"/>
      <c r="Z23" s="5"/>
      <c r="AA23" s="5"/>
      <c r="AB23" s="5" t="s">
        <v>28</v>
      </c>
      <c r="AC23" s="5"/>
      <c r="AD23" s="5"/>
      <c r="AE23" s="5"/>
      <c r="AF23" s="5" t="s">
        <v>31</v>
      </c>
      <c r="AG23" s="5"/>
      <c r="AH23" s="5"/>
      <c r="AI23" s="5" t="s">
        <v>34</v>
      </c>
      <c r="AJ23" s="5"/>
      <c r="AK23" s="5"/>
      <c r="AL23" s="5"/>
      <c r="AM23" s="5" t="s">
        <v>375</v>
      </c>
      <c r="AN23" s="5"/>
      <c r="AO23" s="5" t="s">
        <v>38</v>
      </c>
      <c r="AP23" s="5"/>
      <c r="AQ23" s="5"/>
      <c r="AR23" s="5"/>
      <c r="AS23" s="5" t="s">
        <v>42</v>
      </c>
      <c r="AT23" s="5"/>
      <c r="AU23" s="5" t="s">
        <v>43</v>
      </c>
      <c r="AV23" s="5"/>
      <c r="AW23" s="5"/>
      <c r="AX23" s="5"/>
      <c r="AY23" s="5"/>
      <c r="AZ23" s="5"/>
      <c r="BA23" s="5"/>
      <c r="BB23" s="5"/>
      <c r="BC23" s="5"/>
      <c r="BD23" s="5"/>
      <c r="BE23" s="5"/>
      <c r="BF23" s="5"/>
      <c r="BG23" s="5"/>
      <c r="BH23" s="5"/>
      <c r="BI23" s="5" t="s">
        <v>55</v>
      </c>
      <c r="BJ23" s="5"/>
      <c r="BK23" s="5"/>
      <c r="BL23" s="5"/>
      <c r="BM23" s="5"/>
      <c r="BN23" s="5"/>
      <c r="BO23" s="5"/>
      <c r="BP23" s="5"/>
      <c r="BQ23" s="5" t="s">
        <v>61</v>
      </c>
      <c r="BR23" s="5"/>
      <c r="BS23" s="5"/>
      <c r="BT23" s="5"/>
      <c r="BU23" s="5"/>
      <c r="BV23" s="5"/>
      <c r="BW23" s="5"/>
      <c r="BX23" s="5"/>
      <c r="BY23" s="5"/>
      <c r="BZ23" s="5"/>
      <c r="CA23" s="5"/>
      <c r="CB23" s="5"/>
      <c r="CC23" s="5"/>
      <c r="CD23" s="5"/>
      <c r="CE23" s="5"/>
      <c r="CF23" s="5" t="s">
        <v>75</v>
      </c>
      <c r="CG23" s="5"/>
      <c r="CH23" s="5"/>
      <c r="CI23" s="5" t="s">
        <v>417</v>
      </c>
      <c r="CJ23" s="5">
        <v>60</v>
      </c>
      <c r="CK23" s="5" t="s">
        <v>80</v>
      </c>
      <c r="CL23" s="5" t="s">
        <v>118</v>
      </c>
      <c r="CM23" s="5" t="s">
        <v>418</v>
      </c>
      <c r="CN23" s="5" t="s">
        <v>416</v>
      </c>
      <c r="CO23" s="5" t="s">
        <v>82</v>
      </c>
      <c r="CP23" s="5" t="s">
        <v>97</v>
      </c>
      <c r="CQ23" s="5" t="s">
        <v>111</v>
      </c>
      <c r="CR23" s="5" t="s">
        <v>92</v>
      </c>
      <c r="CS23" s="5" t="s">
        <v>86</v>
      </c>
      <c r="CT23" s="5" t="s">
        <v>384</v>
      </c>
      <c r="CU23" s="5" t="s">
        <v>86</v>
      </c>
      <c r="CV23" s="5"/>
      <c r="CW23" s="5"/>
      <c r="CX23" s="5"/>
      <c r="CY23" s="5"/>
      <c r="CZ23" s="5"/>
      <c r="DA23" s="5"/>
    </row>
    <row r="24" spans="1:105">
      <c r="A24" s="5">
        <v>18025186517</v>
      </c>
      <c r="B24" s="5"/>
      <c r="C24" s="5" t="s">
        <v>17</v>
      </c>
      <c r="D24" s="5"/>
      <c r="E24" s="5"/>
      <c r="F24" s="5"/>
      <c r="G24" s="5"/>
      <c r="H24" s="5"/>
      <c r="I24" s="5"/>
      <c r="J24" s="5"/>
      <c r="K24" s="5" t="s">
        <v>25</v>
      </c>
      <c r="L24" s="5"/>
      <c r="M24" s="5" t="s">
        <v>27</v>
      </c>
      <c r="N24" s="5"/>
      <c r="O24" s="5"/>
      <c r="P24" s="5"/>
      <c r="Q24" s="5"/>
      <c r="R24" s="5"/>
      <c r="S24" s="5"/>
      <c r="T24" s="5"/>
      <c r="U24" s="5" t="s">
        <v>21</v>
      </c>
      <c r="V24" s="5" t="s">
        <v>22</v>
      </c>
      <c r="W24" s="5"/>
      <c r="X24" s="5"/>
      <c r="Y24" s="5" t="s">
        <v>25</v>
      </c>
      <c r="Z24" s="5"/>
      <c r="AA24" s="5"/>
      <c r="AB24" s="5"/>
      <c r="AC24" s="5"/>
      <c r="AD24" s="5"/>
      <c r="AE24" s="5" t="s">
        <v>30</v>
      </c>
      <c r="AF24" s="5"/>
      <c r="AG24" s="5"/>
      <c r="AH24" s="5"/>
      <c r="AI24" s="5"/>
      <c r="AJ24" s="5"/>
      <c r="AK24" s="5" t="s">
        <v>36</v>
      </c>
      <c r="AL24" s="5"/>
      <c r="AM24" s="5" t="s">
        <v>375</v>
      </c>
      <c r="AN24" s="5"/>
      <c r="AO24" s="5"/>
      <c r="AP24" s="5" t="s">
        <v>39</v>
      </c>
      <c r="AQ24" s="5"/>
      <c r="AR24" s="5"/>
      <c r="AS24" s="5"/>
      <c r="AT24" s="5" t="s">
        <v>37</v>
      </c>
      <c r="AU24" s="5"/>
      <c r="AV24" s="5"/>
      <c r="AW24" s="5"/>
      <c r="AX24" s="5" t="s">
        <v>46</v>
      </c>
      <c r="AY24" s="5"/>
      <c r="AZ24" s="5"/>
      <c r="BA24" s="5"/>
      <c r="BB24" s="5"/>
      <c r="BC24" s="5" t="s">
        <v>50</v>
      </c>
      <c r="BD24" s="5" t="s">
        <v>51</v>
      </c>
      <c r="BE24" s="5" t="s">
        <v>17</v>
      </c>
      <c r="BF24" s="5"/>
      <c r="BG24" s="5"/>
      <c r="BH24" s="5"/>
      <c r="BI24" s="5"/>
      <c r="BJ24" s="5"/>
      <c r="BK24" s="5"/>
      <c r="BL24" s="5"/>
      <c r="BM24" s="5"/>
      <c r="BN24" s="5"/>
      <c r="BO24" s="5"/>
      <c r="BP24" s="5"/>
      <c r="BQ24" s="5"/>
      <c r="BR24" s="5"/>
      <c r="BS24" s="5"/>
      <c r="BT24" s="5"/>
      <c r="BU24" s="5" t="s">
        <v>64</v>
      </c>
      <c r="BV24" s="5"/>
      <c r="BW24" s="5"/>
      <c r="BX24" s="5" t="s">
        <v>67</v>
      </c>
      <c r="BY24" s="5"/>
      <c r="BZ24" s="5"/>
      <c r="CA24" s="5"/>
      <c r="CB24" s="5"/>
      <c r="CC24" s="5"/>
      <c r="CD24" s="5"/>
      <c r="CE24" s="5"/>
      <c r="CF24" s="5" t="s">
        <v>75</v>
      </c>
      <c r="CG24" s="5"/>
      <c r="CH24" s="5"/>
      <c r="CI24" s="5" t="s">
        <v>417</v>
      </c>
      <c r="CJ24" s="5">
        <v>21</v>
      </c>
      <c r="CK24" s="5" t="s">
        <v>141</v>
      </c>
      <c r="CL24" s="5" t="s">
        <v>377</v>
      </c>
      <c r="CM24" s="5" t="s">
        <v>418</v>
      </c>
      <c r="CN24" s="5" t="s">
        <v>416</v>
      </c>
      <c r="CO24" s="5" t="s">
        <v>82</v>
      </c>
      <c r="CP24" s="5" t="s">
        <v>94</v>
      </c>
      <c r="CQ24" s="5" t="s">
        <v>88</v>
      </c>
      <c r="CR24" s="5" t="s">
        <v>85</v>
      </c>
      <c r="CS24" s="5" t="s">
        <v>86</v>
      </c>
      <c r="CT24" s="5"/>
      <c r="CU24" s="5"/>
      <c r="CV24" s="5"/>
      <c r="CW24" s="5"/>
      <c r="CX24" s="5"/>
      <c r="CY24" s="5"/>
      <c r="CZ24" s="5"/>
      <c r="DA24" s="5"/>
    </row>
    <row r="25" spans="1:105">
      <c r="A25" s="5">
        <v>18025186406</v>
      </c>
      <c r="B25" s="5"/>
      <c r="C25" s="5" t="s">
        <v>17</v>
      </c>
      <c r="D25" s="5" t="s">
        <v>18</v>
      </c>
      <c r="E25" s="5" t="s">
        <v>19</v>
      </c>
      <c r="F25" s="5"/>
      <c r="G25" s="5"/>
      <c r="H25" s="5"/>
      <c r="I25" s="5"/>
      <c r="J25" s="5"/>
      <c r="K25" s="5"/>
      <c r="L25" s="5"/>
      <c r="M25" s="5"/>
      <c r="N25" s="5"/>
      <c r="O25" s="5"/>
      <c r="P25" s="5"/>
      <c r="Q25" s="5" t="s">
        <v>17</v>
      </c>
      <c r="R25" s="5" t="s">
        <v>18</v>
      </c>
      <c r="S25" s="5"/>
      <c r="T25" s="5"/>
      <c r="U25" s="5"/>
      <c r="V25" s="5"/>
      <c r="W25" s="5"/>
      <c r="X25" s="5" t="s">
        <v>24</v>
      </c>
      <c r="Y25" s="5"/>
      <c r="Z25" s="5"/>
      <c r="AA25" s="5"/>
      <c r="AB25" s="5"/>
      <c r="AC25" s="5"/>
      <c r="AD25" s="5"/>
      <c r="AE25" s="5"/>
      <c r="AF25" s="5"/>
      <c r="AG25" s="5"/>
      <c r="AH25" s="5"/>
      <c r="AI25" s="5" t="s">
        <v>34</v>
      </c>
      <c r="AJ25" s="5"/>
      <c r="AK25" s="5"/>
      <c r="AL25" s="5"/>
      <c r="AM25" s="5"/>
      <c r="AN25" s="5"/>
      <c r="AO25" s="5"/>
      <c r="AP25" s="5"/>
      <c r="AQ25" s="5" t="s">
        <v>40</v>
      </c>
      <c r="AR25" s="5"/>
      <c r="AS25" s="5"/>
      <c r="AT25" s="5" t="s">
        <v>37</v>
      </c>
      <c r="AU25" s="5"/>
      <c r="AV25" s="5"/>
      <c r="AW25" s="5"/>
      <c r="AX25" s="5"/>
      <c r="AY25" s="5" t="s">
        <v>47</v>
      </c>
      <c r="AZ25" s="5"/>
      <c r="BA25" s="5"/>
      <c r="BB25" s="5"/>
      <c r="BC25" s="5"/>
      <c r="BD25" s="5"/>
      <c r="BE25" s="5" t="s">
        <v>17</v>
      </c>
      <c r="BF25" s="5"/>
      <c r="BG25" s="5"/>
      <c r="BH25" s="5"/>
      <c r="BI25" s="5"/>
      <c r="BJ25" s="5"/>
      <c r="BK25" s="5"/>
      <c r="BL25" s="5"/>
      <c r="BM25" s="5"/>
      <c r="BN25" s="5" t="s">
        <v>24</v>
      </c>
      <c r="BO25" s="5"/>
      <c r="BP25" s="5"/>
      <c r="BQ25" s="5"/>
      <c r="BR25" s="5" t="s">
        <v>62</v>
      </c>
      <c r="BS25" s="5"/>
      <c r="BT25" s="5"/>
      <c r="BU25" s="5" t="s">
        <v>64</v>
      </c>
      <c r="BV25" s="5"/>
      <c r="BW25" s="5"/>
      <c r="BX25" s="5"/>
      <c r="BY25" s="5"/>
      <c r="BZ25" s="5" t="s">
        <v>69</v>
      </c>
      <c r="CA25" s="5"/>
      <c r="CB25" s="5"/>
      <c r="CC25" s="5"/>
      <c r="CD25" s="5" t="s">
        <v>73</v>
      </c>
      <c r="CE25" s="5"/>
      <c r="CF25" s="5" t="s">
        <v>75</v>
      </c>
      <c r="CG25" s="5"/>
      <c r="CH25" s="5"/>
      <c r="CI25" s="5" t="s">
        <v>414</v>
      </c>
      <c r="CJ25" s="5">
        <v>56</v>
      </c>
      <c r="CK25" s="5" t="s">
        <v>141</v>
      </c>
      <c r="CL25" s="5" t="s">
        <v>164</v>
      </c>
      <c r="CM25" s="5" t="s">
        <v>418</v>
      </c>
      <c r="CN25" s="5" t="s">
        <v>416</v>
      </c>
      <c r="CO25" s="5" t="s">
        <v>82</v>
      </c>
      <c r="CP25" s="5" t="s">
        <v>83</v>
      </c>
      <c r="CQ25" s="5" t="s">
        <v>111</v>
      </c>
      <c r="CR25" s="5" t="s">
        <v>85</v>
      </c>
      <c r="CS25" s="5" t="s">
        <v>86</v>
      </c>
      <c r="CT25" s="5"/>
      <c r="CU25" s="5"/>
      <c r="CV25" s="5"/>
      <c r="CW25" s="5"/>
      <c r="CX25" s="5"/>
      <c r="CY25" s="5"/>
      <c r="CZ25" s="5"/>
      <c r="DA25" s="5"/>
    </row>
    <row r="26" spans="1:105">
      <c r="A26" s="5">
        <v>18025186288</v>
      </c>
      <c r="B26" s="5"/>
      <c r="C26" s="5" t="s">
        <v>17</v>
      </c>
      <c r="D26" s="5"/>
      <c r="E26" s="5"/>
      <c r="F26" s="5"/>
      <c r="G26" s="5"/>
      <c r="H26" s="5"/>
      <c r="I26" s="5"/>
      <c r="J26" s="5"/>
      <c r="K26" s="5" t="s">
        <v>25</v>
      </c>
      <c r="L26" s="5" t="s">
        <v>26</v>
      </c>
      <c r="M26" s="5"/>
      <c r="N26" s="5"/>
      <c r="O26" s="5"/>
      <c r="P26" s="5"/>
      <c r="Q26" s="5" t="s">
        <v>17</v>
      </c>
      <c r="R26" s="5"/>
      <c r="S26" s="5" t="s">
        <v>19</v>
      </c>
      <c r="T26" s="5"/>
      <c r="U26" s="5"/>
      <c r="V26" s="5"/>
      <c r="W26" s="5"/>
      <c r="X26" s="5"/>
      <c r="Y26" s="5" t="s">
        <v>25</v>
      </c>
      <c r="Z26" s="5"/>
      <c r="AA26" s="5"/>
      <c r="AB26" s="5"/>
      <c r="AC26" s="5"/>
      <c r="AD26" s="5"/>
      <c r="AE26" s="5" t="s">
        <v>30</v>
      </c>
      <c r="AF26" s="5"/>
      <c r="AG26" s="5"/>
      <c r="AH26" s="5"/>
      <c r="AI26" s="5"/>
      <c r="AJ26" s="5"/>
      <c r="AK26" s="5"/>
      <c r="AL26" s="5" t="s">
        <v>37</v>
      </c>
      <c r="AM26" s="5"/>
      <c r="AN26" s="5"/>
      <c r="AO26" s="5"/>
      <c r="AP26" s="5"/>
      <c r="AQ26" s="5"/>
      <c r="AR26" s="5"/>
      <c r="AS26" s="5"/>
      <c r="AT26" s="5"/>
      <c r="AU26" s="5" t="s">
        <v>43</v>
      </c>
      <c r="AV26" s="5"/>
      <c r="AW26" s="5"/>
      <c r="AX26" s="5"/>
      <c r="AY26" s="5"/>
      <c r="AZ26" s="5"/>
      <c r="BA26" s="5"/>
      <c r="BB26" s="5"/>
      <c r="BC26" s="5"/>
      <c r="BD26" s="5"/>
      <c r="BE26" s="5" t="s">
        <v>17</v>
      </c>
      <c r="BF26" s="5"/>
      <c r="BG26" s="5"/>
      <c r="BH26" s="5"/>
      <c r="BI26" s="5"/>
      <c r="BJ26" s="5"/>
      <c r="BK26" s="5"/>
      <c r="BL26" s="5"/>
      <c r="BM26" s="5"/>
      <c r="BN26" s="5"/>
      <c r="BO26" s="5"/>
      <c r="BP26" s="5"/>
      <c r="BQ26" s="5"/>
      <c r="BR26" s="5"/>
      <c r="BS26" s="5" t="s">
        <v>63</v>
      </c>
      <c r="BT26" s="5"/>
      <c r="BU26" s="5" t="s">
        <v>64</v>
      </c>
      <c r="BV26" s="5"/>
      <c r="BW26" s="5"/>
      <c r="BX26" s="5"/>
      <c r="BY26" s="5"/>
      <c r="BZ26" s="5"/>
      <c r="CA26" s="5"/>
      <c r="CB26" s="5"/>
      <c r="CC26" s="5"/>
      <c r="CD26" s="5"/>
      <c r="CE26" s="5"/>
      <c r="CF26" s="5"/>
      <c r="CG26" s="5"/>
      <c r="CH26" s="5"/>
      <c r="CI26" s="5" t="s">
        <v>417</v>
      </c>
      <c r="CJ26" s="5">
        <v>78</v>
      </c>
      <c r="CK26" s="5" t="s">
        <v>141</v>
      </c>
      <c r="CL26" s="5" t="s">
        <v>164</v>
      </c>
      <c r="CM26" s="5" t="s">
        <v>418</v>
      </c>
      <c r="CN26" s="5" t="s">
        <v>416</v>
      </c>
      <c r="CO26" s="5" t="s">
        <v>82</v>
      </c>
      <c r="CP26" s="5" t="s">
        <v>97</v>
      </c>
      <c r="CQ26" s="5" t="s">
        <v>88</v>
      </c>
      <c r="CR26" s="5" t="s">
        <v>99</v>
      </c>
      <c r="CS26" s="5" t="s">
        <v>86</v>
      </c>
      <c r="CT26" s="5"/>
      <c r="CU26" s="5"/>
      <c r="CV26" s="5"/>
      <c r="CW26" s="5"/>
      <c r="CX26" s="5"/>
      <c r="CY26" s="5"/>
      <c r="CZ26" s="5"/>
      <c r="DA26" s="5"/>
    </row>
    <row r="27" spans="1:105">
      <c r="A27" s="5">
        <v>18025186085</v>
      </c>
      <c r="B27" s="5" t="s">
        <v>16</v>
      </c>
      <c r="C27" s="5"/>
      <c r="D27" s="5"/>
      <c r="E27" s="5" t="s">
        <v>19</v>
      </c>
      <c r="F27" s="5" t="s">
        <v>20</v>
      </c>
      <c r="G27" s="5"/>
      <c r="H27" s="5"/>
      <c r="I27" s="5"/>
      <c r="J27" s="5"/>
      <c r="K27" s="5"/>
      <c r="L27" s="5"/>
      <c r="M27" s="5"/>
      <c r="N27" s="5"/>
      <c r="O27" s="5"/>
      <c r="P27" s="5"/>
      <c r="Q27" s="5"/>
      <c r="R27" s="5"/>
      <c r="S27" s="5"/>
      <c r="T27" s="5" t="s">
        <v>20</v>
      </c>
      <c r="U27" s="5" t="s">
        <v>21</v>
      </c>
      <c r="V27" s="5" t="s">
        <v>22</v>
      </c>
      <c r="W27" s="5"/>
      <c r="X27" s="5"/>
      <c r="Y27" s="5"/>
      <c r="Z27" s="5"/>
      <c r="AA27" s="5"/>
      <c r="AB27" s="5"/>
      <c r="AC27" s="5"/>
      <c r="AD27" s="5"/>
      <c r="AE27" s="5"/>
      <c r="AF27" s="5" t="s">
        <v>31</v>
      </c>
      <c r="AG27" s="5"/>
      <c r="AH27" s="5"/>
      <c r="AI27" s="5"/>
      <c r="AJ27" s="5" t="s">
        <v>35</v>
      </c>
      <c r="AK27" s="5" t="s">
        <v>36</v>
      </c>
      <c r="AL27" s="5"/>
      <c r="AM27" s="5"/>
      <c r="AN27" s="5"/>
      <c r="AO27" s="5"/>
      <c r="AP27" s="5" t="s">
        <v>39</v>
      </c>
      <c r="AQ27" s="5"/>
      <c r="AR27" s="5" t="s">
        <v>41</v>
      </c>
      <c r="AS27" s="5"/>
      <c r="AT27" s="5"/>
      <c r="AU27" s="5"/>
      <c r="AV27" s="5"/>
      <c r="AW27" s="5"/>
      <c r="AX27" s="5" t="s">
        <v>46</v>
      </c>
      <c r="AY27" s="5"/>
      <c r="AZ27" s="5"/>
      <c r="BA27" s="5"/>
      <c r="BB27" s="5"/>
      <c r="BC27" s="5"/>
      <c r="BD27" s="5"/>
      <c r="BE27" s="5" t="s">
        <v>17</v>
      </c>
      <c r="BF27" s="5"/>
      <c r="BG27" s="5"/>
      <c r="BH27" s="5"/>
      <c r="BI27" s="5" t="s">
        <v>55</v>
      </c>
      <c r="BJ27" s="5"/>
      <c r="BK27" s="5"/>
      <c r="BL27" s="5"/>
      <c r="BM27" s="5"/>
      <c r="BN27" s="5" t="s">
        <v>24</v>
      </c>
      <c r="BO27" s="5"/>
      <c r="BP27" s="5"/>
      <c r="BQ27" s="5"/>
      <c r="BR27" s="5"/>
      <c r="BS27" s="5"/>
      <c r="BT27" s="5"/>
      <c r="BU27" s="5" t="s">
        <v>64</v>
      </c>
      <c r="BV27" s="5" t="s">
        <v>65</v>
      </c>
      <c r="BW27" s="5"/>
      <c r="BX27" s="5"/>
      <c r="BY27" s="5" t="s">
        <v>68</v>
      </c>
      <c r="BZ27" s="5"/>
      <c r="CA27" s="5"/>
      <c r="CB27" s="5"/>
      <c r="CC27" s="5"/>
      <c r="CD27" s="5"/>
      <c r="CE27" s="5"/>
      <c r="CF27" s="5"/>
      <c r="CG27" s="5"/>
      <c r="CH27" s="5"/>
      <c r="CI27" s="5" t="s">
        <v>414</v>
      </c>
      <c r="CJ27" s="5">
        <v>56</v>
      </c>
      <c r="CK27" s="5" t="s">
        <v>141</v>
      </c>
      <c r="CL27" s="5" t="s">
        <v>377</v>
      </c>
      <c r="CM27" s="5" t="s">
        <v>418</v>
      </c>
      <c r="CN27" s="5" t="s">
        <v>416</v>
      </c>
      <c r="CO27" s="5" t="s">
        <v>82</v>
      </c>
      <c r="CP27" s="5" t="s">
        <v>94</v>
      </c>
      <c r="CQ27" s="5" t="s">
        <v>111</v>
      </c>
      <c r="CR27" s="5" t="s">
        <v>85</v>
      </c>
      <c r="CS27" s="5" t="s">
        <v>86</v>
      </c>
      <c r="CT27" s="5"/>
      <c r="CU27" s="5"/>
      <c r="CV27" s="5"/>
      <c r="CW27" s="5"/>
      <c r="CX27" s="5"/>
      <c r="CY27" s="5"/>
      <c r="CZ27" s="5"/>
      <c r="DA27" s="5"/>
    </row>
    <row r="28" spans="1:105">
      <c r="A28" s="5">
        <v>18025185956</v>
      </c>
      <c r="B28" s="5"/>
      <c r="C28" s="5" t="s">
        <v>17</v>
      </c>
      <c r="D28" s="5"/>
      <c r="E28" s="5"/>
      <c r="F28" s="5"/>
      <c r="G28" s="5"/>
      <c r="H28" s="5"/>
      <c r="I28" s="5"/>
      <c r="J28" s="5"/>
      <c r="K28" s="5" t="s">
        <v>25</v>
      </c>
      <c r="L28" s="5"/>
      <c r="M28" s="5"/>
      <c r="N28" s="5"/>
      <c r="O28" s="5"/>
      <c r="P28" s="5"/>
      <c r="Q28" s="5" t="s">
        <v>17</v>
      </c>
      <c r="R28" s="5"/>
      <c r="S28" s="5"/>
      <c r="T28" s="5"/>
      <c r="U28" s="5"/>
      <c r="V28" s="5"/>
      <c r="W28" s="5"/>
      <c r="X28" s="5"/>
      <c r="Y28" s="5" t="s">
        <v>25</v>
      </c>
      <c r="Z28" s="5"/>
      <c r="AA28" s="5"/>
      <c r="AB28" s="5"/>
      <c r="AC28" s="5"/>
      <c r="AD28" s="5"/>
      <c r="AE28" s="5"/>
      <c r="AF28" s="5"/>
      <c r="AG28" s="5"/>
      <c r="AH28" s="5"/>
      <c r="AI28" s="5" t="s">
        <v>34</v>
      </c>
      <c r="AJ28" s="5"/>
      <c r="AK28" s="5"/>
      <c r="AL28" s="5"/>
      <c r="AM28" s="5"/>
      <c r="AN28" s="5"/>
      <c r="AO28" s="5"/>
      <c r="AP28" s="5" t="s">
        <v>39</v>
      </c>
      <c r="AQ28" s="5"/>
      <c r="AR28" s="5"/>
      <c r="AS28" s="5"/>
      <c r="AT28" s="5"/>
      <c r="AU28" s="5"/>
      <c r="AV28" s="5"/>
      <c r="AW28" s="5"/>
      <c r="AX28" s="5"/>
      <c r="AY28" s="5"/>
      <c r="AZ28" s="5"/>
      <c r="BA28" s="5"/>
      <c r="BB28" s="5"/>
      <c r="BC28" s="5"/>
      <c r="BD28" s="5"/>
      <c r="BE28" s="5"/>
      <c r="BF28" s="5"/>
      <c r="BG28" s="5"/>
      <c r="BH28" s="5"/>
      <c r="BI28" s="5" t="s">
        <v>55</v>
      </c>
      <c r="BJ28" s="5"/>
      <c r="BK28" s="5"/>
      <c r="BL28" s="5"/>
      <c r="BM28" s="5" t="s">
        <v>59</v>
      </c>
      <c r="BN28" s="5"/>
      <c r="BO28" s="5"/>
      <c r="BP28" s="5" t="s">
        <v>60</v>
      </c>
      <c r="BQ28" s="5"/>
      <c r="BR28" s="5"/>
      <c r="BS28" s="5"/>
      <c r="BT28" s="5"/>
      <c r="BU28" s="5" t="s">
        <v>64</v>
      </c>
      <c r="BV28" s="5"/>
      <c r="BW28" s="5" t="s">
        <v>66</v>
      </c>
      <c r="BX28" s="5" t="s">
        <v>67</v>
      </c>
      <c r="BY28" s="5"/>
      <c r="BZ28" s="5" t="s">
        <v>69</v>
      </c>
      <c r="CA28" s="5"/>
      <c r="CB28" s="5"/>
      <c r="CC28" s="5" t="s">
        <v>72</v>
      </c>
      <c r="CD28" s="5"/>
      <c r="CE28" s="5"/>
      <c r="CF28" s="5" t="s">
        <v>75</v>
      </c>
      <c r="CG28" s="5"/>
      <c r="CH28" s="5"/>
      <c r="CI28" s="5" t="s">
        <v>414</v>
      </c>
      <c r="CJ28" s="5">
        <v>19</v>
      </c>
      <c r="CK28" s="5" t="s">
        <v>141</v>
      </c>
      <c r="CL28" s="5" t="s">
        <v>377</v>
      </c>
      <c r="CM28" s="5" t="s">
        <v>418</v>
      </c>
      <c r="CN28" s="5" t="s">
        <v>416</v>
      </c>
      <c r="CO28" s="5" t="s">
        <v>82</v>
      </c>
      <c r="CP28" s="5" t="s">
        <v>83</v>
      </c>
      <c r="CQ28" s="5" t="s">
        <v>88</v>
      </c>
      <c r="CR28" s="5" t="s">
        <v>89</v>
      </c>
      <c r="CS28" s="5" t="s">
        <v>86</v>
      </c>
      <c r="CT28" s="5"/>
      <c r="CU28" s="5"/>
      <c r="CV28" s="5"/>
      <c r="CW28" s="5"/>
      <c r="CX28" s="5"/>
      <c r="CY28" s="5"/>
      <c r="CZ28" s="5"/>
      <c r="DA28" s="5"/>
    </row>
    <row r="29" spans="1:105">
      <c r="A29" s="5">
        <v>18025185799</v>
      </c>
      <c r="B29" s="5" t="s">
        <v>16</v>
      </c>
      <c r="C29" s="5"/>
      <c r="D29" s="5"/>
      <c r="E29" s="5" t="s">
        <v>19</v>
      </c>
      <c r="F29" s="5"/>
      <c r="G29" s="5"/>
      <c r="H29" s="5"/>
      <c r="I29" s="5"/>
      <c r="J29" s="5"/>
      <c r="K29" s="5"/>
      <c r="L29" s="5" t="s">
        <v>26</v>
      </c>
      <c r="M29" s="5"/>
      <c r="N29" s="5"/>
      <c r="O29" s="5"/>
      <c r="P29" s="5"/>
      <c r="Q29" s="5"/>
      <c r="R29" s="5"/>
      <c r="S29" s="5" t="s">
        <v>19</v>
      </c>
      <c r="T29" s="5"/>
      <c r="U29" s="5"/>
      <c r="V29" s="5"/>
      <c r="W29" s="5"/>
      <c r="X29" s="5"/>
      <c r="Y29" s="5"/>
      <c r="Z29" s="5" t="s">
        <v>26</v>
      </c>
      <c r="AA29" s="5" t="s">
        <v>27</v>
      </c>
      <c r="AB29" s="5"/>
      <c r="AC29" s="5"/>
      <c r="AD29" s="5" t="s">
        <v>29</v>
      </c>
      <c r="AE29" s="5"/>
      <c r="AF29" s="5"/>
      <c r="AG29" s="5"/>
      <c r="AH29" s="5"/>
      <c r="AI29" s="5"/>
      <c r="AJ29" s="5"/>
      <c r="AK29" s="5"/>
      <c r="AL29" s="5"/>
      <c r="AM29" s="5"/>
      <c r="AN29" s="5"/>
      <c r="AO29" s="5"/>
      <c r="AP29" s="5"/>
      <c r="AQ29" s="5"/>
      <c r="AR29" s="5"/>
      <c r="AS29" s="5"/>
      <c r="AT29" s="5"/>
      <c r="AU29" s="5"/>
      <c r="AV29" s="5"/>
      <c r="AW29" s="5"/>
      <c r="AX29" s="5" t="s">
        <v>46</v>
      </c>
      <c r="AY29" s="5"/>
      <c r="AZ29" s="5" t="s">
        <v>48</v>
      </c>
      <c r="BA29" s="5"/>
      <c r="BB29" s="5"/>
      <c r="BC29" s="5"/>
      <c r="BD29" s="5"/>
      <c r="BE29" s="5"/>
      <c r="BF29" s="5"/>
      <c r="BG29" s="5"/>
      <c r="BH29" s="5"/>
      <c r="BI29" s="5"/>
      <c r="BJ29" s="5"/>
      <c r="BK29" s="5"/>
      <c r="BL29" s="5"/>
      <c r="BM29" s="5"/>
      <c r="BN29" s="5"/>
      <c r="BO29" s="5"/>
      <c r="BP29" s="5"/>
      <c r="BQ29" s="5"/>
      <c r="BR29" s="5"/>
      <c r="BS29" s="5" t="s">
        <v>63</v>
      </c>
      <c r="BT29" s="5"/>
      <c r="BU29" s="5"/>
      <c r="BV29" s="5"/>
      <c r="BW29" s="5"/>
      <c r="BX29" s="5" t="s">
        <v>67</v>
      </c>
      <c r="BY29" s="5"/>
      <c r="BZ29" s="5"/>
      <c r="CA29" s="5"/>
      <c r="CB29" s="5"/>
      <c r="CC29" s="5"/>
      <c r="CD29" s="5"/>
      <c r="CE29" s="5"/>
      <c r="CF29" s="5"/>
      <c r="CG29" s="5"/>
      <c r="CH29" s="5"/>
      <c r="CI29" s="5" t="s">
        <v>417</v>
      </c>
      <c r="CJ29" s="5">
        <v>26</v>
      </c>
      <c r="CK29" s="5" t="s">
        <v>141</v>
      </c>
      <c r="CL29" s="5" t="s">
        <v>379</v>
      </c>
      <c r="CM29" s="5" t="s">
        <v>423</v>
      </c>
      <c r="CN29" s="5" t="s">
        <v>416</v>
      </c>
      <c r="CO29" s="5" t="s">
        <v>424</v>
      </c>
      <c r="CP29" s="5" t="s">
        <v>93</v>
      </c>
      <c r="CQ29" s="5" t="s">
        <v>84</v>
      </c>
      <c r="CR29" s="5" t="s">
        <v>105</v>
      </c>
      <c r="CS29" s="5" t="s">
        <v>86</v>
      </c>
      <c r="CT29" s="5"/>
      <c r="CU29" s="5"/>
      <c r="CV29" s="5"/>
      <c r="CW29" s="5"/>
      <c r="CX29" s="5"/>
      <c r="CY29" s="5"/>
      <c r="CZ29" s="5"/>
      <c r="DA29" s="5"/>
    </row>
    <row r="30" spans="1:105">
      <c r="A30" s="5">
        <v>18025185651</v>
      </c>
      <c r="B30" s="5" t="s">
        <v>16</v>
      </c>
      <c r="C30" s="5"/>
      <c r="D30" s="5" t="s">
        <v>18</v>
      </c>
      <c r="E30" s="5"/>
      <c r="F30" s="5"/>
      <c r="G30" s="5"/>
      <c r="H30" s="5"/>
      <c r="I30" s="5"/>
      <c r="J30" s="5"/>
      <c r="K30" s="5" t="s">
        <v>25</v>
      </c>
      <c r="L30" s="5"/>
      <c r="M30" s="5"/>
      <c r="N30" s="5"/>
      <c r="O30" s="5"/>
      <c r="P30" s="5"/>
      <c r="Q30" s="5" t="s">
        <v>17</v>
      </c>
      <c r="R30" s="5"/>
      <c r="S30" s="5"/>
      <c r="T30" s="5"/>
      <c r="U30" s="5"/>
      <c r="V30" s="5"/>
      <c r="W30" s="5"/>
      <c r="X30" s="5"/>
      <c r="Y30" s="5" t="s">
        <v>25</v>
      </c>
      <c r="Z30" s="5"/>
      <c r="AA30" s="5"/>
      <c r="AB30" s="5"/>
      <c r="AC30" s="5"/>
      <c r="AD30" s="5"/>
      <c r="AE30" s="5"/>
      <c r="AF30" s="5"/>
      <c r="AG30" s="5"/>
      <c r="AH30" s="5"/>
      <c r="AI30" s="5" t="s">
        <v>34</v>
      </c>
      <c r="AJ30" s="5"/>
      <c r="AK30" s="5"/>
      <c r="AL30" s="5"/>
      <c r="AM30" s="5"/>
      <c r="AN30" s="5"/>
      <c r="AO30" s="5"/>
      <c r="AP30" s="5" t="s">
        <v>39</v>
      </c>
      <c r="AQ30" s="5"/>
      <c r="AR30" s="5"/>
      <c r="AS30" s="5"/>
      <c r="AT30" s="5"/>
      <c r="AU30" s="5"/>
      <c r="AV30" s="5"/>
      <c r="AW30" s="5"/>
      <c r="AX30" s="5"/>
      <c r="AY30" s="5"/>
      <c r="AZ30" s="5"/>
      <c r="BA30" s="5"/>
      <c r="BB30" s="5"/>
      <c r="BC30" s="5" t="s">
        <v>50</v>
      </c>
      <c r="BD30" s="5" t="s">
        <v>51</v>
      </c>
      <c r="BE30" s="5" t="s">
        <v>17</v>
      </c>
      <c r="BF30" s="5"/>
      <c r="BG30" s="5"/>
      <c r="BH30" s="5"/>
      <c r="BI30" s="5"/>
      <c r="BJ30" s="5"/>
      <c r="BK30" s="5"/>
      <c r="BL30" s="5"/>
      <c r="BM30" s="5" t="s">
        <v>59</v>
      </c>
      <c r="BN30" s="5"/>
      <c r="BO30" s="5"/>
      <c r="BP30" s="5"/>
      <c r="BQ30" s="5"/>
      <c r="BR30" s="5"/>
      <c r="BS30" s="5"/>
      <c r="BT30" s="5"/>
      <c r="BU30" s="5" t="s">
        <v>64</v>
      </c>
      <c r="BV30" s="5"/>
      <c r="BW30" s="5" t="s">
        <v>66</v>
      </c>
      <c r="BX30" s="5" t="s">
        <v>67</v>
      </c>
      <c r="BY30" s="5"/>
      <c r="BZ30" s="5"/>
      <c r="CA30" s="5"/>
      <c r="CB30" s="5"/>
      <c r="CC30" s="5"/>
      <c r="CD30" s="5"/>
      <c r="CE30" s="5"/>
      <c r="CF30" s="5" t="s">
        <v>75</v>
      </c>
      <c r="CG30" s="5" t="s">
        <v>76</v>
      </c>
      <c r="CH30" s="5"/>
      <c r="CI30" s="5" t="s">
        <v>417</v>
      </c>
      <c r="CJ30" s="5">
        <v>17</v>
      </c>
      <c r="CK30" s="5" t="s">
        <v>141</v>
      </c>
      <c r="CL30" s="5" t="s">
        <v>377</v>
      </c>
      <c r="CM30" s="5" t="s">
        <v>418</v>
      </c>
      <c r="CN30" s="5" t="s">
        <v>416</v>
      </c>
      <c r="CO30" s="5" t="s">
        <v>82</v>
      </c>
      <c r="CP30" s="5" t="s">
        <v>83</v>
      </c>
      <c r="CQ30" s="5" t="s">
        <v>104</v>
      </c>
      <c r="CR30" s="5" t="s">
        <v>89</v>
      </c>
      <c r="CS30" s="5" t="s">
        <v>86</v>
      </c>
      <c r="CT30" s="5"/>
      <c r="CU30" s="5"/>
      <c r="CV30" s="5"/>
      <c r="CW30" s="5"/>
      <c r="CX30" s="5"/>
      <c r="CY30" s="5"/>
      <c r="CZ30" s="5"/>
      <c r="DA30" s="5"/>
    </row>
    <row r="31" spans="1:105">
      <c r="A31" s="5">
        <v>18025185458</v>
      </c>
      <c r="B31" s="5"/>
      <c r="C31" s="5"/>
      <c r="D31" s="5"/>
      <c r="E31" s="5"/>
      <c r="F31" s="5"/>
      <c r="G31" s="5"/>
      <c r="H31" s="5"/>
      <c r="I31" s="5"/>
      <c r="J31" s="5" t="s">
        <v>24</v>
      </c>
      <c r="K31" s="5" t="s">
        <v>25</v>
      </c>
      <c r="L31" s="5"/>
      <c r="M31" s="5"/>
      <c r="N31" s="5" t="s">
        <v>28</v>
      </c>
      <c r="O31" s="5"/>
      <c r="P31" s="5"/>
      <c r="Q31" s="5"/>
      <c r="R31" s="5"/>
      <c r="S31" s="5"/>
      <c r="T31" s="5"/>
      <c r="U31" s="5"/>
      <c r="V31" s="5" t="s">
        <v>22</v>
      </c>
      <c r="W31" s="5" t="s">
        <v>23</v>
      </c>
      <c r="X31" s="5"/>
      <c r="Y31" s="5"/>
      <c r="Z31" s="5"/>
      <c r="AA31" s="5"/>
      <c r="AB31" s="5" t="s">
        <v>28</v>
      </c>
      <c r="AC31" s="5"/>
      <c r="AD31" s="5"/>
      <c r="AE31" s="5"/>
      <c r="AF31" s="5"/>
      <c r="AG31" s="5"/>
      <c r="AH31" s="5"/>
      <c r="AI31" s="5" t="s">
        <v>34</v>
      </c>
      <c r="AJ31" s="5"/>
      <c r="AK31" s="5"/>
      <c r="AL31" s="5"/>
      <c r="AM31" s="5"/>
      <c r="AN31" s="5"/>
      <c r="AO31" s="5"/>
      <c r="AP31" s="5"/>
      <c r="AQ31" s="5"/>
      <c r="AR31" s="5"/>
      <c r="AS31" s="5"/>
      <c r="AT31" s="5"/>
      <c r="AU31" s="5"/>
      <c r="AV31" s="5"/>
      <c r="AW31" s="5" t="s">
        <v>45</v>
      </c>
      <c r="AX31" s="5"/>
      <c r="AY31" s="5"/>
      <c r="AZ31" s="5"/>
      <c r="BA31" s="5"/>
      <c r="BB31" s="5" t="s">
        <v>49</v>
      </c>
      <c r="BC31" s="5" t="s">
        <v>50</v>
      </c>
      <c r="BD31" s="5"/>
      <c r="BE31" s="5"/>
      <c r="BF31" s="5"/>
      <c r="BG31" s="5" t="s">
        <v>53</v>
      </c>
      <c r="BH31" s="5" t="s">
        <v>54</v>
      </c>
      <c r="BI31" s="5" t="s">
        <v>55</v>
      </c>
      <c r="BJ31" s="5"/>
      <c r="BK31" s="5"/>
      <c r="BL31" s="5" t="s">
        <v>58</v>
      </c>
      <c r="BM31" s="5"/>
      <c r="BN31" s="5" t="s">
        <v>24</v>
      </c>
      <c r="BO31" s="5"/>
      <c r="BP31" s="5"/>
      <c r="BQ31" s="5"/>
      <c r="BR31" s="5" t="s">
        <v>62</v>
      </c>
      <c r="BS31" s="5"/>
      <c r="BT31" s="5"/>
      <c r="BU31" s="5" t="s">
        <v>64</v>
      </c>
      <c r="BV31" s="5"/>
      <c r="BW31" s="5"/>
      <c r="BX31" s="5"/>
      <c r="BY31" s="5"/>
      <c r="BZ31" s="5"/>
      <c r="CA31" s="5"/>
      <c r="CB31" s="5"/>
      <c r="CC31" s="5" t="s">
        <v>72</v>
      </c>
      <c r="CD31" s="5"/>
      <c r="CE31" s="5"/>
      <c r="CF31" s="5"/>
      <c r="CG31" s="5"/>
      <c r="CH31" s="5"/>
      <c r="CI31" s="5" t="s">
        <v>414</v>
      </c>
      <c r="CJ31" s="5">
        <v>38</v>
      </c>
      <c r="CK31" s="5" t="s">
        <v>141</v>
      </c>
      <c r="CL31" s="5" t="s">
        <v>425</v>
      </c>
      <c r="CM31" s="5" t="s">
        <v>418</v>
      </c>
      <c r="CN31" s="5" t="s">
        <v>416</v>
      </c>
      <c r="CO31" s="5" t="s">
        <v>82</v>
      </c>
      <c r="CP31" s="5" t="s">
        <v>97</v>
      </c>
      <c r="CQ31" s="5" t="s">
        <v>84</v>
      </c>
      <c r="CR31" s="5" t="s">
        <v>85</v>
      </c>
      <c r="CS31" s="5" t="s">
        <v>86</v>
      </c>
      <c r="CT31" s="5"/>
      <c r="CU31" s="5"/>
      <c r="CV31" s="5"/>
      <c r="CW31" s="5"/>
      <c r="CX31" s="5"/>
      <c r="CY31" s="5"/>
      <c r="CZ31" s="5"/>
      <c r="DA31" s="5"/>
    </row>
    <row r="32" spans="1:105">
      <c r="A32" s="5">
        <v>18025185352</v>
      </c>
      <c r="B32" s="5"/>
      <c r="C32" s="5"/>
      <c r="D32" s="5" t="s">
        <v>18</v>
      </c>
      <c r="E32" s="5"/>
      <c r="F32" s="5"/>
      <c r="G32" s="5"/>
      <c r="H32" s="5"/>
      <c r="I32" s="5"/>
      <c r="J32" s="5"/>
      <c r="K32" s="5"/>
      <c r="L32" s="5" t="s">
        <v>26</v>
      </c>
      <c r="M32" s="5"/>
      <c r="N32" s="5" t="s">
        <v>28</v>
      </c>
      <c r="O32" s="5"/>
      <c r="P32" s="5"/>
      <c r="Q32" s="5" t="s">
        <v>17</v>
      </c>
      <c r="R32" s="5" t="s">
        <v>18</v>
      </c>
      <c r="S32" s="5"/>
      <c r="T32" s="5"/>
      <c r="U32" s="5"/>
      <c r="V32" s="5"/>
      <c r="W32" s="5"/>
      <c r="X32" s="5"/>
      <c r="Y32" s="5"/>
      <c r="Z32" s="5"/>
      <c r="AA32" s="5" t="s">
        <v>27</v>
      </c>
      <c r="AB32" s="5"/>
      <c r="AC32" s="5"/>
      <c r="AD32" s="5"/>
      <c r="AE32" s="5"/>
      <c r="AF32" s="5"/>
      <c r="AG32" s="5"/>
      <c r="AH32" s="5"/>
      <c r="AI32" s="5"/>
      <c r="AJ32" s="5"/>
      <c r="AK32" s="5" t="s">
        <v>36</v>
      </c>
      <c r="AL32" s="5"/>
      <c r="AM32" s="5" t="s">
        <v>375</v>
      </c>
      <c r="AN32" s="5"/>
      <c r="AO32" s="5" t="s">
        <v>38</v>
      </c>
      <c r="AP32" s="5"/>
      <c r="AQ32" s="5"/>
      <c r="AR32" s="5"/>
      <c r="AS32" s="5"/>
      <c r="AT32" s="5"/>
      <c r="AU32" s="5" t="s">
        <v>43</v>
      </c>
      <c r="AV32" s="5"/>
      <c r="AW32" s="5"/>
      <c r="AX32" s="5"/>
      <c r="AY32" s="5" t="s">
        <v>47</v>
      </c>
      <c r="AZ32" s="5"/>
      <c r="BA32" s="5"/>
      <c r="BB32" s="5" t="s">
        <v>49</v>
      </c>
      <c r="BC32" s="5"/>
      <c r="BD32" s="5"/>
      <c r="BE32" s="5" t="s">
        <v>17</v>
      </c>
      <c r="BF32" s="5"/>
      <c r="BG32" s="5"/>
      <c r="BH32" s="5"/>
      <c r="BI32" s="5"/>
      <c r="BJ32" s="5"/>
      <c r="BK32" s="5"/>
      <c r="BL32" s="5"/>
      <c r="BM32" s="5"/>
      <c r="BN32" s="5"/>
      <c r="BO32" s="5"/>
      <c r="BP32" s="5"/>
      <c r="BQ32" s="5"/>
      <c r="BR32" s="5" t="s">
        <v>62</v>
      </c>
      <c r="BS32" s="5"/>
      <c r="BT32" s="5"/>
      <c r="BU32" s="5" t="s">
        <v>64</v>
      </c>
      <c r="BV32" s="5"/>
      <c r="BW32" s="5"/>
      <c r="BX32" s="5" t="s">
        <v>67</v>
      </c>
      <c r="BY32" s="5"/>
      <c r="BZ32" s="5"/>
      <c r="CA32" s="5" t="s">
        <v>70</v>
      </c>
      <c r="CB32" s="5"/>
      <c r="CC32" s="5"/>
      <c r="CD32" s="5" t="s">
        <v>73</v>
      </c>
      <c r="CE32" s="5"/>
      <c r="CF32" s="5" t="s">
        <v>75</v>
      </c>
      <c r="CG32" s="5"/>
      <c r="CH32" s="5"/>
      <c r="CI32" s="5" t="s">
        <v>414</v>
      </c>
      <c r="CJ32" s="5">
        <v>53</v>
      </c>
      <c r="CK32" s="5" t="s">
        <v>141</v>
      </c>
      <c r="CL32" s="5" t="s">
        <v>186</v>
      </c>
      <c r="CM32" s="5" t="s">
        <v>418</v>
      </c>
      <c r="CN32" s="5" t="s">
        <v>416</v>
      </c>
      <c r="CO32" s="5" t="s">
        <v>82</v>
      </c>
      <c r="CP32" s="5" t="s">
        <v>83</v>
      </c>
      <c r="CQ32" s="5" t="s">
        <v>84</v>
      </c>
      <c r="CR32" s="5" t="s">
        <v>85</v>
      </c>
      <c r="CS32" s="5" t="s">
        <v>86</v>
      </c>
      <c r="CT32" s="5"/>
      <c r="CU32" s="5"/>
      <c r="CV32" s="5"/>
      <c r="CW32" s="5"/>
      <c r="CX32" s="5"/>
      <c r="CY32" s="5"/>
      <c r="CZ32" s="5"/>
      <c r="DA32" s="5"/>
    </row>
    <row r="33" spans="1:105">
      <c r="A33" s="5">
        <v>18025185219</v>
      </c>
      <c r="B33" s="5"/>
      <c r="C33" s="5"/>
      <c r="D33" s="5" t="s">
        <v>18</v>
      </c>
      <c r="E33" s="5"/>
      <c r="F33" s="5"/>
      <c r="G33" s="5"/>
      <c r="H33" s="5"/>
      <c r="I33" s="5"/>
      <c r="J33" s="5"/>
      <c r="K33" s="5" t="s">
        <v>25</v>
      </c>
      <c r="L33" s="5"/>
      <c r="M33" s="5"/>
      <c r="N33" s="5" t="s">
        <v>28</v>
      </c>
      <c r="O33" s="5"/>
      <c r="P33" s="5"/>
      <c r="Q33" s="5"/>
      <c r="R33" s="5" t="s">
        <v>18</v>
      </c>
      <c r="S33" s="5"/>
      <c r="T33" s="5"/>
      <c r="U33" s="5"/>
      <c r="V33" s="5"/>
      <c r="W33" s="5"/>
      <c r="X33" s="5"/>
      <c r="Y33" s="5" t="s">
        <v>25</v>
      </c>
      <c r="Z33" s="5"/>
      <c r="AA33" s="5"/>
      <c r="AB33" s="5" t="s">
        <v>28</v>
      </c>
      <c r="AC33" s="5"/>
      <c r="AD33" s="5"/>
      <c r="AE33" s="5"/>
      <c r="AF33" s="5"/>
      <c r="AG33" s="5"/>
      <c r="AH33" s="5"/>
      <c r="AI33" s="5"/>
      <c r="AJ33" s="5" t="s">
        <v>35</v>
      </c>
      <c r="AK33" s="5"/>
      <c r="AL33" s="5"/>
      <c r="AM33" s="5"/>
      <c r="AN33" s="5"/>
      <c r="AO33" s="5"/>
      <c r="AP33" s="5"/>
      <c r="AQ33" s="5"/>
      <c r="AR33" s="5"/>
      <c r="AS33" s="5" t="s">
        <v>42</v>
      </c>
      <c r="AT33" s="5"/>
      <c r="AU33" s="5" t="s">
        <v>43</v>
      </c>
      <c r="AV33" s="5"/>
      <c r="AW33" s="5" t="s">
        <v>45</v>
      </c>
      <c r="AX33" s="5"/>
      <c r="AY33" s="5"/>
      <c r="AZ33" s="5"/>
      <c r="BA33" s="5"/>
      <c r="BB33" s="5" t="s">
        <v>49</v>
      </c>
      <c r="BC33" s="5"/>
      <c r="BD33" s="5" t="s">
        <v>51</v>
      </c>
      <c r="BE33" s="5"/>
      <c r="BF33" s="5"/>
      <c r="BG33" s="5"/>
      <c r="BH33" s="5"/>
      <c r="BI33" s="5"/>
      <c r="BJ33" s="5"/>
      <c r="BK33" s="5"/>
      <c r="BL33" s="5"/>
      <c r="BM33" s="5"/>
      <c r="BN33" s="5"/>
      <c r="BO33" s="5"/>
      <c r="BP33" s="5"/>
      <c r="BQ33" s="5"/>
      <c r="BR33" s="5" t="s">
        <v>62</v>
      </c>
      <c r="BS33" s="5"/>
      <c r="BT33" s="5"/>
      <c r="BU33" s="5" t="s">
        <v>64</v>
      </c>
      <c r="BV33" s="5"/>
      <c r="BW33" s="5"/>
      <c r="BX33" s="5" t="s">
        <v>67</v>
      </c>
      <c r="BY33" s="5"/>
      <c r="BZ33" s="5"/>
      <c r="CA33" s="5"/>
      <c r="CB33" s="5"/>
      <c r="CC33" s="5"/>
      <c r="CD33" s="5"/>
      <c r="CE33" s="5"/>
      <c r="CF33" s="5" t="s">
        <v>75</v>
      </c>
      <c r="CG33" s="5"/>
      <c r="CH33" s="5"/>
      <c r="CI33" s="5" t="s">
        <v>414</v>
      </c>
      <c r="CJ33" s="5">
        <v>40</v>
      </c>
      <c r="CK33" s="5" t="s">
        <v>141</v>
      </c>
      <c r="CL33" s="5" t="s">
        <v>150</v>
      </c>
      <c r="CM33" s="5" t="s">
        <v>418</v>
      </c>
      <c r="CN33" s="5" t="s">
        <v>419</v>
      </c>
      <c r="CO33" s="5" t="s">
        <v>82</v>
      </c>
      <c r="CP33" s="5" t="s">
        <v>83</v>
      </c>
      <c r="CQ33" s="5" t="s">
        <v>103</v>
      </c>
      <c r="CR33" s="5" t="s">
        <v>85</v>
      </c>
      <c r="CS33" s="5" t="s">
        <v>86</v>
      </c>
      <c r="CT33" s="5"/>
      <c r="CU33" s="5"/>
      <c r="CV33" s="5"/>
      <c r="CW33" s="5"/>
      <c r="CX33" s="5"/>
      <c r="CY33" s="5"/>
      <c r="CZ33" s="5"/>
      <c r="DA33" s="5"/>
    </row>
    <row r="34" spans="1:105">
      <c r="A34" s="5">
        <v>18025185091</v>
      </c>
      <c r="B34" s="5" t="s">
        <v>16</v>
      </c>
      <c r="C34" s="5" t="s">
        <v>17</v>
      </c>
      <c r="D34" s="5" t="s">
        <v>18</v>
      </c>
      <c r="E34" s="5"/>
      <c r="F34" s="5"/>
      <c r="G34" s="5"/>
      <c r="H34" s="5"/>
      <c r="I34" s="5"/>
      <c r="J34" s="5"/>
      <c r="K34" s="5"/>
      <c r="L34" s="5"/>
      <c r="M34" s="5"/>
      <c r="N34" s="5"/>
      <c r="O34" s="5"/>
      <c r="P34" s="5"/>
      <c r="Q34" s="5"/>
      <c r="R34" s="5" t="s">
        <v>18</v>
      </c>
      <c r="S34" s="5"/>
      <c r="T34" s="5"/>
      <c r="U34" s="5"/>
      <c r="V34" s="5"/>
      <c r="W34" s="5"/>
      <c r="X34" s="5"/>
      <c r="Y34" s="5"/>
      <c r="Z34" s="5"/>
      <c r="AA34" s="5"/>
      <c r="AB34" s="5" t="s">
        <v>28</v>
      </c>
      <c r="AC34" s="5"/>
      <c r="AD34" s="5"/>
      <c r="AE34" s="5"/>
      <c r="AF34" s="5"/>
      <c r="AG34" s="5"/>
      <c r="AH34" s="5"/>
      <c r="AI34" s="5"/>
      <c r="AJ34" s="5"/>
      <c r="AK34" s="5" t="s">
        <v>36</v>
      </c>
      <c r="AL34" s="5"/>
      <c r="AM34" s="5"/>
      <c r="AN34" s="5"/>
      <c r="AO34" s="5"/>
      <c r="AP34" s="5" t="s">
        <v>39</v>
      </c>
      <c r="AQ34" s="5" t="s">
        <v>40</v>
      </c>
      <c r="AR34" s="5"/>
      <c r="AS34" s="5"/>
      <c r="AT34" s="5"/>
      <c r="AU34" s="5"/>
      <c r="AV34" s="5"/>
      <c r="AW34" s="5"/>
      <c r="AX34" s="5" t="s">
        <v>46</v>
      </c>
      <c r="AY34" s="5"/>
      <c r="AZ34" s="5"/>
      <c r="BA34" s="5"/>
      <c r="BB34" s="5"/>
      <c r="BC34" s="5"/>
      <c r="BD34" s="5" t="s">
        <v>51</v>
      </c>
      <c r="BE34" s="5"/>
      <c r="BF34" s="5"/>
      <c r="BG34" s="5"/>
      <c r="BH34" s="5"/>
      <c r="BI34" s="5"/>
      <c r="BJ34" s="5"/>
      <c r="BK34" s="5"/>
      <c r="BL34" s="5"/>
      <c r="BM34" s="5" t="s">
        <v>59</v>
      </c>
      <c r="BN34" s="5"/>
      <c r="BO34" s="5"/>
      <c r="BP34" s="5"/>
      <c r="BQ34" s="5"/>
      <c r="BR34" s="5"/>
      <c r="BS34" s="5" t="s">
        <v>63</v>
      </c>
      <c r="BT34" s="5"/>
      <c r="BU34" s="5" t="s">
        <v>64</v>
      </c>
      <c r="BV34" s="5"/>
      <c r="BW34" s="5"/>
      <c r="BX34" s="5" t="s">
        <v>67</v>
      </c>
      <c r="BY34" s="5"/>
      <c r="BZ34" s="5"/>
      <c r="CA34" s="5"/>
      <c r="CB34" s="5"/>
      <c r="CC34" s="5"/>
      <c r="CD34" s="5"/>
      <c r="CE34" s="5"/>
      <c r="CF34" s="5" t="s">
        <v>75</v>
      </c>
      <c r="CG34" s="5"/>
      <c r="CH34" s="5"/>
      <c r="CI34" s="5" t="s">
        <v>417</v>
      </c>
      <c r="CJ34" s="5">
        <v>25</v>
      </c>
      <c r="CK34" s="5" t="s">
        <v>141</v>
      </c>
      <c r="CL34" s="5" t="s">
        <v>164</v>
      </c>
      <c r="CM34" s="5" t="s">
        <v>418</v>
      </c>
      <c r="CN34" s="5" t="s">
        <v>416</v>
      </c>
      <c r="CO34" s="5" t="s">
        <v>82</v>
      </c>
      <c r="CP34" s="5" t="s">
        <v>83</v>
      </c>
      <c r="CQ34" s="5" t="s">
        <v>103</v>
      </c>
      <c r="CR34" s="5" t="s">
        <v>85</v>
      </c>
      <c r="CS34" s="5" t="s">
        <v>86</v>
      </c>
      <c r="CT34" s="5"/>
      <c r="CU34" s="5"/>
      <c r="CV34" s="5"/>
      <c r="CW34" s="5"/>
      <c r="CX34" s="5"/>
      <c r="CY34" s="5"/>
      <c r="CZ34" s="5"/>
      <c r="DA34" s="5"/>
    </row>
    <row r="35" spans="1:105">
      <c r="A35" s="5">
        <v>18025184990</v>
      </c>
      <c r="B35" s="5"/>
      <c r="C35" s="5"/>
      <c r="D35" s="5"/>
      <c r="E35" s="5"/>
      <c r="F35" s="5"/>
      <c r="G35" s="5" t="s">
        <v>21</v>
      </c>
      <c r="H35" s="5"/>
      <c r="I35" s="5"/>
      <c r="J35" s="5"/>
      <c r="K35" s="5"/>
      <c r="L35" s="5" t="s">
        <v>26</v>
      </c>
      <c r="M35" s="5"/>
      <c r="N35" s="5" t="s">
        <v>28</v>
      </c>
      <c r="O35" s="5"/>
      <c r="P35" s="5"/>
      <c r="Q35" s="5"/>
      <c r="R35" s="5"/>
      <c r="S35" s="5"/>
      <c r="T35" s="5"/>
      <c r="U35" s="5"/>
      <c r="V35" s="5"/>
      <c r="W35" s="5" t="s">
        <v>23</v>
      </c>
      <c r="X35" s="5" t="s">
        <v>24</v>
      </c>
      <c r="Y35" s="5"/>
      <c r="Z35" s="5"/>
      <c r="AA35" s="5"/>
      <c r="AB35" s="5"/>
      <c r="AC35" s="5"/>
      <c r="AD35" s="5"/>
      <c r="AE35" s="5"/>
      <c r="AF35" s="5"/>
      <c r="AG35" s="5"/>
      <c r="AH35" s="5"/>
      <c r="AI35" s="5"/>
      <c r="AJ35" s="5"/>
      <c r="AK35" s="5" t="s">
        <v>36</v>
      </c>
      <c r="AL35" s="5"/>
      <c r="AM35" s="5" t="s">
        <v>375</v>
      </c>
      <c r="AN35" s="5"/>
      <c r="AO35" s="5"/>
      <c r="AP35" s="5"/>
      <c r="AQ35" s="5"/>
      <c r="AR35" s="5"/>
      <c r="AS35" s="5" t="s">
        <v>42</v>
      </c>
      <c r="AT35" s="5"/>
      <c r="AU35" s="5"/>
      <c r="AV35" s="5" t="s">
        <v>44</v>
      </c>
      <c r="AW35" s="5" t="s">
        <v>45</v>
      </c>
      <c r="AX35" s="5"/>
      <c r="AY35" s="5"/>
      <c r="AZ35" s="5"/>
      <c r="BA35" s="5"/>
      <c r="BB35" s="5"/>
      <c r="BC35" s="5"/>
      <c r="BD35" s="5"/>
      <c r="BE35" s="5"/>
      <c r="BF35" s="5"/>
      <c r="BG35" s="5"/>
      <c r="BH35" s="5" t="s">
        <v>54</v>
      </c>
      <c r="BI35" s="5"/>
      <c r="BJ35" s="5"/>
      <c r="BK35" s="5" t="s">
        <v>57</v>
      </c>
      <c r="BL35" s="5"/>
      <c r="BM35" s="5"/>
      <c r="BN35" s="5"/>
      <c r="BO35" s="5"/>
      <c r="BP35" s="5"/>
      <c r="BQ35" s="5"/>
      <c r="BR35" s="5"/>
      <c r="BS35" s="5"/>
      <c r="BT35" s="5"/>
      <c r="BU35" s="5"/>
      <c r="BV35" s="5"/>
      <c r="BW35" s="5" t="s">
        <v>66</v>
      </c>
      <c r="BX35" s="5"/>
      <c r="BY35" s="5"/>
      <c r="BZ35" s="5" t="s">
        <v>69</v>
      </c>
      <c r="CA35" s="5"/>
      <c r="CB35" s="5"/>
      <c r="CC35" s="5" t="s">
        <v>72</v>
      </c>
      <c r="CD35" s="5"/>
      <c r="CE35" s="5"/>
      <c r="CF35" s="5"/>
      <c r="CG35" s="5"/>
      <c r="CH35" s="5"/>
      <c r="CI35" s="5" t="s">
        <v>417</v>
      </c>
      <c r="CJ35" s="5">
        <v>26</v>
      </c>
      <c r="CK35" s="5" t="s">
        <v>141</v>
      </c>
      <c r="CL35" s="5" t="s">
        <v>186</v>
      </c>
      <c r="CM35" s="5" t="s">
        <v>418</v>
      </c>
      <c r="CN35" s="5" t="s">
        <v>416</v>
      </c>
      <c r="CO35" s="5" t="s">
        <v>82</v>
      </c>
      <c r="CP35" s="5" t="s">
        <v>94</v>
      </c>
      <c r="CQ35" s="5" t="s">
        <v>84</v>
      </c>
      <c r="CR35" s="5" t="s">
        <v>85</v>
      </c>
      <c r="CS35" s="5" t="s">
        <v>86</v>
      </c>
      <c r="CT35" s="5"/>
      <c r="CU35" s="5"/>
      <c r="CV35" s="5"/>
      <c r="CW35" s="5"/>
      <c r="CX35" s="5"/>
      <c r="CY35" s="5"/>
      <c r="CZ35" s="5"/>
      <c r="DA35" s="5"/>
    </row>
    <row r="36" spans="1:105">
      <c r="A36" s="5">
        <v>18025184829</v>
      </c>
      <c r="B36" s="5"/>
      <c r="C36" s="5"/>
      <c r="D36" s="5" t="s">
        <v>18</v>
      </c>
      <c r="E36" s="5"/>
      <c r="F36" s="5"/>
      <c r="G36" s="5" t="s">
        <v>21</v>
      </c>
      <c r="H36" s="5"/>
      <c r="I36" s="5"/>
      <c r="J36" s="5"/>
      <c r="K36" s="5" t="s">
        <v>25</v>
      </c>
      <c r="L36" s="5"/>
      <c r="M36" s="5"/>
      <c r="N36" s="5"/>
      <c r="O36" s="5"/>
      <c r="P36" s="5"/>
      <c r="Q36" s="5"/>
      <c r="R36" s="5" t="s">
        <v>18</v>
      </c>
      <c r="S36" s="5"/>
      <c r="T36" s="5"/>
      <c r="U36" s="5"/>
      <c r="V36" s="5"/>
      <c r="W36" s="5" t="s">
        <v>23</v>
      </c>
      <c r="X36" s="5"/>
      <c r="Y36" s="5"/>
      <c r="Z36" s="5"/>
      <c r="AA36" s="5" t="s">
        <v>27</v>
      </c>
      <c r="AB36" s="5"/>
      <c r="AC36" s="5"/>
      <c r="AD36" s="5" t="s">
        <v>29</v>
      </c>
      <c r="AE36" s="5" t="s">
        <v>30</v>
      </c>
      <c r="AF36" s="5"/>
      <c r="AG36" s="5"/>
      <c r="AH36" s="5"/>
      <c r="AI36" s="5"/>
      <c r="AJ36" s="5"/>
      <c r="AK36" s="5" t="s">
        <v>36</v>
      </c>
      <c r="AL36" s="5"/>
      <c r="AM36" s="5"/>
      <c r="AN36" s="5"/>
      <c r="AO36" s="5"/>
      <c r="AP36" s="5" t="s">
        <v>39</v>
      </c>
      <c r="AQ36" s="5"/>
      <c r="AR36" s="5"/>
      <c r="AS36" s="5"/>
      <c r="AT36" s="5"/>
      <c r="AU36" s="5" t="s">
        <v>43</v>
      </c>
      <c r="AV36" s="5"/>
      <c r="AW36" s="5" t="s">
        <v>45</v>
      </c>
      <c r="AX36" s="5"/>
      <c r="AY36" s="5"/>
      <c r="AZ36" s="5"/>
      <c r="BA36" s="5"/>
      <c r="BB36" s="5"/>
      <c r="BC36" s="5"/>
      <c r="BD36" s="5"/>
      <c r="BE36" s="5"/>
      <c r="BF36" s="5"/>
      <c r="BG36" s="5"/>
      <c r="BH36" s="5" t="s">
        <v>54</v>
      </c>
      <c r="BI36" s="5" t="s">
        <v>55</v>
      </c>
      <c r="BJ36" s="5"/>
      <c r="BK36" s="5"/>
      <c r="BL36" s="5" t="s">
        <v>58</v>
      </c>
      <c r="BM36" s="5"/>
      <c r="BN36" s="5"/>
      <c r="BO36" s="5"/>
      <c r="BP36" s="5"/>
      <c r="BQ36" s="5"/>
      <c r="BR36" s="5"/>
      <c r="BS36" s="5"/>
      <c r="BT36" s="5"/>
      <c r="BU36" s="5" t="s">
        <v>64</v>
      </c>
      <c r="BV36" s="5"/>
      <c r="BW36" s="5"/>
      <c r="BX36" s="5"/>
      <c r="BY36" s="5" t="s">
        <v>68</v>
      </c>
      <c r="BZ36" s="5" t="s">
        <v>69</v>
      </c>
      <c r="CA36" s="5" t="s">
        <v>70</v>
      </c>
      <c r="CB36" s="5"/>
      <c r="CC36" s="5" t="s">
        <v>72</v>
      </c>
      <c r="CD36" s="5"/>
      <c r="CE36" s="5"/>
      <c r="CF36" s="5"/>
      <c r="CG36" s="5" t="s">
        <v>76</v>
      </c>
      <c r="CH36" s="5"/>
      <c r="CI36" s="5" t="s">
        <v>417</v>
      </c>
      <c r="CJ36" s="5">
        <v>48</v>
      </c>
      <c r="CK36" s="5" t="s">
        <v>141</v>
      </c>
      <c r="CL36" s="5" t="s">
        <v>164</v>
      </c>
      <c r="CM36" s="5" t="s">
        <v>418</v>
      </c>
      <c r="CN36" s="5" t="s">
        <v>416</v>
      </c>
      <c r="CO36" s="5" t="s">
        <v>426</v>
      </c>
      <c r="CP36" s="5" t="s">
        <v>83</v>
      </c>
      <c r="CQ36" s="5" t="s">
        <v>103</v>
      </c>
      <c r="CR36" s="5" t="s">
        <v>85</v>
      </c>
      <c r="CS36" s="5" t="s">
        <v>86</v>
      </c>
      <c r="CT36" s="5"/>
      <c r="CU36" s="5"/>
      <c r="CV36" s="5"/>
      <c r="CW36" s="5"/>
      <c r="CX36" s="5"/>
      <c r="CY36" s="5"/>
      <c r="CZ36" s="5"/>
      <c r="DA36" s="5"/>
    </row>
    <row r="37" spans="1:105">
      <c r="A37" s="5">
        <v>18025184660</v>
      </c>
      <c r="B37" s="5" t="s">
        <v>16</v>
      </c>
      <c r="C37" s="5" t="s">
        <v>17</v>
      </c>
      <c r="D37" s="5"/>
      <c r="E37" s="5"/>
      <c r="F37" s="5"/>
      <c r="G37" s="5"/>
      <c r="H37" s="5"/>
      <c r="I37" s="5"/>
      <c r="J37" s="5"/>
      <c r="K37" s="5" t="s">
        <v>25</v>
      </c>
      <c r="L37" s="5"/>
      <c r="M37" s="5"/>
      <c r="N37" s="5"/>
      <c r="O37" s="5"/>
      <c r="P37" s="5" t="s">
        <v>16</v>
      </c>
      <c r="Q37" s="5" t="s">
        <v>17</v>
      </c>
      <c r="R37" s="5"/>
      <c r="S37" s="5"/>
      <c r="T37" s="5"/>
      <c r="U37" s="5"/>
      <c r="V37" s="5"/>
      <c r="W37" s="5"/>
      <c r="X37" s="5" t="s">
        <v>24</v>
      </c>
      <c r="Y37" s="5"/>
      <c r="Z37" s="5"/>
      <c r="AA37" s="5"/>
      <c r="AB37" s="5"/>
      <c r="AC37" s="5"/>
      <c r="AD37" s="5"/>
      <c r="AE37" s="5"/>
      <c r="AF37" s="5"/>
      <c r="AG37" s="5"/>
      <c r="AH37" s="5" t="s">
        <v>33</v>
      </c>
      <c r="AI37" s="5"/>
      <c r="AJ37" s="5"/>
      <c r="AK37" s="5" t="s">
        <v>36</v>
      </c>
      <c r="AL37" s="5"/>
      <c r="AM37" s="5"/>
      <c r="AN37" s="5"/>
      <c r="AO37" s="5"/>
      <c r="AP37" s="5"/>
      <c r="AQ37" s="5"/>
      <c r="AR37" s="5" t="s">
        <v>41</v>
      </c>
      <c r="AS37" s="5" t="s">
        <v>42</v>
      </c>
      <c r="AT37" s="5"/>
      <c r="AU37" s="5"/>
      <c r="AV37" s="5"/>
      <c r="AW37" s="5" t="s">
        <v>45</v>
      </c>
      <c r="AX37" s="5"/>
      <c r="AY37" s="5"/>
      <c r="AZ37" s="5"/>
      <c r="BA37" s="5"/>
      <c r="BB37" s="5"/>
      <c r="BC37" s="5" t="s">
        <v>50</v>
      </c>
      <c r="BD37" s="5"/>
      <c r="BE37" s="5" t="s">
        <v>17</v>
      </c>
      <c r="BF37" s="5"/>
      <c r="BG37" s="5" t="s">
        <v>53</v>
      </c>
      <c r="BH37" s="5"/>
      <c r="BI37" s="5"/>
      <c r="BJ37" s="5"/>
      <c r="BK37" s="5"/>
      <c r="BL37" s="5"/>
      <c r="BM37" s="5"/>
      <c r="BN37" s="5"/>
      <c r="BO37" s="5"/>
      <c r="BP37" s="5"/>
      <c r="BQ37" s="5"/>
      <c r="BR37" s="5"/>
      <c r="BS37" s="5"/>
      <c r="BT37" s="5"/>
      <c r="BU37" s="5" t="s">
        <v>64</v>
      </c>
      <c r="BV37" s="5"/>
      <c r="BW37" s="5"/>
      <c r="BX37" s="5" t="s">
        <v>67</v>
      </c>
      <c r="BY37" s="5"/>
      <c r="BZ37" s="5"/>
      <c r="CA37" s="5"/>
      <c r="CB37" s="5"/>
      <c r="CC37" s="5"/>
      <c r="CD37" s="5"/>
      <c r="CE37" s="5"/>
      <c r="CF37" s="5" t="s">
        <v>75</v>
      </c>
      <c r="CG37" s="5"/>
      <c r="CH37" s="5"/>
      <c r="CI37" s="5" t="s">
        <v>414</v>
      </c>
      <c r="CJ37" s="5">
        <v>47</v>
      </c>
      <c r="CK37" s="5" t="s">
        <v>141</v>
      </c>
      <c r="CL37" s="5" t="s">
        <v>186</v>
      </c>
      <c r="CM37" s="5" t="s">
        <v>418</v>
      </c>
      <c r="CN37" s="5" t="s">
        <v>416</v>
      </c>
      <c r="CO37" s="5" t="s">
        <v>82</v>
      </c>
      <c r="CP37" s="5" t="s">
        <v>83</v>
      </c>
      <c r="CQ37" s="5" t="s">
        <v>103</v>
      </c>
      <c r="CR37" s="5" t="s">
        <v>85</v>
      </c>
      <c r="CS37" s="5" t="s">
        <v>86</v>
      </c>
      <c r="CT37" s="5"/>
      <c r="CU37" s="5"/>
      <c r="CV37" s="5"/>
      <c r="CW37" s="5"/>
      <c r="CX37" s="5"/>
      <c r="CY37" s="5"/>
      <c r="CZ37" s="5"/>
      <c r="DA37" s="5"/>
    </row>
    <row r="38" spans="1:105">
      <c r="A38" s="5">
        <v>18025184519</v>
      </c>
      <c r="B38" s="5"/>
      <c r="C38" s="5"/>
      <c r="D38" s="5"/>
      <c r="E38" s="5"/>
      <c r="F38" s="5"/>
      <c r="G38" s="5"/>
      <c r="H38" s="5"/>
      <c r="I38" s="5"/>
      <c r="J38" s="5" t="s">
        <v>24</v>
      </c>
      <c r="K38" s="5" t="s">
        <v>25</v>
      </c>
      <c r="L38" s="5" t="s">
        <v>26</v>
      </c>
      <c r="M38" s="5"/>
      <c r="N38" s="5"/>
      <c r="O38" s="5"/>
      <c r="P38" s="5" t="s">
        <v>16</v>
      </c>
      <c r="Q38" s="5"/>
      <c r="R38" s="5"/>
      <c r="S38" s="5"/>
      <c r="T38" s="5"/>
      <c r="U38" s="5"/>
      <c r="V38" s="5"/>
      <c r="W38" s="5"/>
      <c r="X38" s="5"/>
      <c r="Y38" s="5"/>
      <c r="Z38" s="5"/>
      <c r="AA38" s="5"/>
      <c r="AB38" s="5"/>
      <c r="AC38" s="5"/>
      <c r="AD38" s="5"/>
      <c r="AE38" s="5"/>
      <c r="AF38" s="5" t="s">
        <v>31</v>
      </c>
      <c r="AG38" s="5"/>
      <c r="AH38" s="5"/>
      <c r="AI38" s="5"/>
      <c r="AJ38" s="5" t="s">
        <v>35</v>
      </c>
      <c r="AK38" s="5"/>
      <c r="AL38" s="5"/>
      <c r="AM38" s="5" t="s">
        <v>375</v>
      </c>
      <c r="AN38" s="5"/>
      <c r="AO38" s="5"/>
      <c r="AP38" s="5" t="s">
        <v>39</v>
      </c>
      <c r="AQ38" s="5"/>
      <c r="AR38" s="5" t="s">
        <v>41</v>
      </c>
      <c r="AS38" s="5"/>
      <c r="AT38" s="5"/>
      <c r="AU38" s="5"/>
      <c r="AV38" s="5"/>
      <c r="AW38" s="5"/>
      <c r="AX38" s="5"/>
      <c r="AY38" s="5"/>
      <c r="AZ38" s="5"/>
      <c r="BA38" s="5"/>
      <c r="BB38" s="5"/>
      <c r="BC38" s="5"/>
      <c r="BD38" s="5" t="s">
        <v>51</v>
      </c>
      <c r="BE38" s="5"/>
      <c r="BF38" s="5"/>
      <c r="BG38" s="5"/>
      <c r="BH38" s="5"/>
      <c r="BI38" s="5"/>
      <c r="BJ38" s="5"/>
      <c r="BK38" s="5"/>
      <c r="BL38" s="5" t="s">
        <v>58</v>
      </c>
      <c r="BM38" s="5"/>
      <c r="BN38" s="5"/>
      <c r="BO38" s="5"/>
      <c r="BP38" s="5"/>
      <c r="BQ38" s="5"/>
      <c r="BR38" s="5"/>
      <c r="BS38" s="5" t="s">
        <v>63</v>
      </c>
      <c r="BT38" s="5"/>
      <c r="BU38" s="5" t="s">
        <v>64</v>
      </c>
      <c r="BV38" s="5"/>
      <c r="BW38" s="5"/>
      <c r="BX38" s="5" t="s">
        <v>67</v>
      </c>
      <c r="BY38" s="5"/>
      <c r="BZ38" s="5"/>
      <c r="CA38" s="5"/>
      <c r="CB38" s="5"/>
      <c r="CC38" s="5"/>
      <c r="CD38" s="5"/>
      <c r="CE38" s="5"/>
      <c r="CF38" s="5"/>
      <c r="CG38" s="5"/>
      <c r="CH38" s="5"/>
      <c r="CI38" s="5" t="s">
        <v>417</v>
      </c>
      <c r="CJ38" s="5">
        <v>39</v>
      </c>
      <c r="CK38" s="5" t="s">
        <v>141</v>
      </c>
      <c r="CL38" s="5" t="s">
        <v>173</v>
      </c>
      <c r="CM38" s="5" t="s">
        <v>418</v>
      </c>
      <c r="CN38" s="5" t="s">
        <v>416</v>
      </c>
      <c r="CO38" s="5" t="s">
        <v>82</v>
      </c>
      <c r="CP38" s="5" t="s">
        <v>83</v>
      </c>
      <c r="CQ38" s="5" t="s">
        <v>103</v>
      </c>
      <c r="CR38" s="5" t="s">
        <v>85</v>
      </c>
      <c r="CS38" s="5" t="s">
        <v>86</v>
      </c>
      <c r="CT38" s="5"/>
      <c r="CU38" s="5"/>
      <c r="CV38" s="5"/>
      <c r="CW38" s="5"/>
      <c r="CX38" s="5"/>
      <c r="CY38" s="5"/>
      <c r="CZ38" s="5"/>
      <c r="DA38" s="5"/>
    </row>
    <row r="39" spans="1:105">
      <c r="A39" s="5">
        <v>18025184369</v>
      </c>
      <c r="B39" s="5"/>
      <c r="C39" s="5" t="s">
        <v>17</v>
      </c>
      <c r="D39" s="5"/>
      <c r="E39" s="5"/>
      <c r="F39" s="5"/>
      <c r="G39" s="5"/>
      <c r="H39" s="5"/>
      <c r="I39" s="5"/>
      <c r="J39" s="5"/>
      <c r="K39" s="5" t="s">
        <v>25</v>
      </c>
      <c r="L39" s="5" t="s">
        <v>26</v>
      </c>
      <c r="M39" s="5"/>
      <c r="N39" s="5"/>
      <c r="O39" s="5"/>
      <c r="P39" s="5"/>
      <c r="Q39" s="5" t="s">
        <v>17</v>
      </c>
      <c r="R39" s="5"/>
      <c r="S39" s="5"/>
      <c r="T39" s="5"/>
      <c r="U39" s="5"/>
      <c r="V39" s="5"/>
      <c r="W39" s="5"/>
      <c r="X39" s="5"/>
      <c r="Y39" s="5" t="s">
        <v>25</v>
      </c>
      <c r="Z39" s="5" t="s">
        <v>26</v>
      </c>
      <c r="AA39" s="5"/>
      <c r="AB39" s="5"/>
      <c r="AC39" s="5"/>
      <c r="AD39" s="5"/>
      <c r="AE39" s="5"/>
      <c r="AF39" s="5" t="s">
        <v>31</v>
      </c>
      <c r="AG39" s="5"/>
      <c r="AH39" s="5" t="s">
        <v>33</v>
      </c>
      <c r="AI39" s="5"/>
      <c r="AJ39" s="5"/>
      <c r="AK39" s="5"/>
      <c r="AL39" s="5"/>
      <c r="AM39" s="5" t="s">
        <v>375</v>
      </c>
      <c r="AN39" s="5"/>
      <c r="AO39" s="5"/>
      <c r="AP39" s="5" t="s">
        <v>39</v>
      </c>
      <c r="AQ39" s="5" t="s">
        <v>40</v>
      </c>
      <c r="AR39" s="5" t="s">
        <v>41</v>
      </c>
      <c r="AS39" s="5"/>
      <c r="AT39" s="5"/>
      <c r="AU39" s="5"/>
      <c r="AV39" s="5"/>
      <c r="AW39" s="5"/>
      <c r="AX39" s="5"/>
      <c r="AY39" s="5"/>
      <c r="AZ39" s="5"/>
      <c r="BA39" s="5"/>
      <c r="BB39" s="5"/>
      <c r="BC39" s="5"/>
      <c r="BD39" s="5" t="s">
        <v>51</v>
      </c>
      <c r="BE39" s="5"/>
      <c r="BF39" s="5"/>
      <c r="BG39" s="5"/>
      <c r="BH39" s="5"/>
      <c r="BI39" s="5"/>
      <c r="BJ39" s="5"/>
      <c r="BK39" s="5"/>
      <c r="BL39" s="5"/>
      <c r="BM39" s="5" t="s">
        <v>59</v>
      </c>
      <c r="BN39" s="5"/>
      <c r="BO39" s="5"/>
      <c r="BP39" s="5"/>
      <c r="BQ39" s="5"/>
      <c r="BR39" s="5"/>
      <c r="BS39" s="5" t="s">
        <v>63</v>
      </c>
      <c r="BT39" s="5"/>
      <c r="BU39" s="5" t="s">
        <v>64</v>
      </c>
      <c r="BV39" s="5"/>
      <c r="BW39" s="5"/>
      <c r="BX39" s="5"/>
      <c r="BY39" s="5"/>
      <c r="BZ39" s="5"/>
      <c r="CA39" s="5"/>
      <c r="CB39" s="5"/>
      <c r="CC39" s="5"/>
      <c r="CD39" s="5"/>
      <c r="CE39" s="5"/>
      <c r="CF39" s="5"/>
      <c r="CG39" s="5"/>
      <c r="CH39" s="5"/>
      <c r="CI39" s="5" t="s">
        <v>417</v>
      </c>
      <c r="CJ39" s="5">
        <v>52</v>
      </c>
      <c r="CK39" s="5" t="s">
        <v>141</v>
      </c>
      <c r="CL39" s="5" t="s">
        <v>164</v>
      </c>
      <c r="CM39" s="5" t="s">
        <v>418</v>
      </c>
      <c r="CN39" s="5" t="s">
        <v>419</v>
      </c>
      <c r="CO39" s="5" t="s">
        <v>427</v>
      </c>
      <c r="CP39" s="5" t="s">
        <v>94</v>
      </c>
      <c r="CQ39" s="5" t="s">
        <v>103</v>
      </c>
      <c r="CR39" s="5" t="s">
        <v>85</v>
      </c>
      <c r="CS39" s="5" t="s">
        <v>86</v>
      </c>
      <c r="CT39" s="5"/>
      <c r="CU39" s="5"/>
      <c r="CV39" s="5"/>
      <c r="CW39" s="5"/>
      <c r="CX39" s="5"/>
      <c r="CY39" s="5"/>
      <c r="CZ39" s="5"/>
      <c r="DA39" s="5"/>
    </row>
    <row r="40" spans="1:105">
      <c r="A40" s="5">
        <v>18025184067</v>
      </c>
      <c r="B40" s="5"/>
      <c r="C40" s="5"/>
      <c r="D40" s="5"/>
      <c r="E40" s="5" t="s">
        <v>19</v>
      </c>
      <c r="F40" s="5"/>
      <c r="G40" s="5"/>
      <c r="H40" s="5"/>
      <c r="I40" s="5"/>
      <c r="J40" s="5"/>
      <c r="K40" s="5"/>
      <c r="L40" s="5"/>
      <c r="M40" s="5"/>
      <c r="N40" s="5"/>
      <c r="O40" s="5"/>
      <c r="P40" s="5"/>
      <c r="Q40" s="5"/>
      <c r="R40" s="5"/>
      <c r="S40" s="5"/>
      <c r="T40" s="5"/>
      <c r="U40" s="5"/>
      <c r="V40" s="5"/>
      <c r="W40" s="5"/>
      <c r="X40" s="5"/>
      <c r="Y40" s="5"/>
      <c r="Z40" s="5"/>
      <c r="AA40" s="5"/>
      <c r="AB40" s="5"/>
      <c r="AC40" s="5"/>
      <c r="AD40" s="5"/>
      <c r="AE40" s="5"/>
      <c r="AF40" s="5" t="s">
        <v>31</v>
      </c>
      <c r="AG40" s="5"/>
      <c r="AH40" s="5"/>
      <c r="AI40" s="5"/>
      <c r="AJ40" s="5"/>
      <c r="AK40" s="5" t="s">
        <v>36</v>
      </c>
      <c r="AL40" s="5"/>
      <c r="AM40" s="5"/>
      <c r="AN40" s="5"/>
      <c r="AO40" s="5"/>
      <c r="AP40" s="5"/>
      <c r="AQ40" s="5"/>
      <c r="AR40" s="5"/>
      <c r="AS40" s="5"/>
      <c r="AT40" s="5"/>
      <c r="AU40" s="5" t="s">
        <v>43</v>
      </c>
      <c r="AV40" s="5"/>
      <c r="AW40" s="5"/>
      <c r="AX40" s="5"/>
      <c r="AY40" s="5"/>
      <c r="AZ40" s="5"/>
      <c r="BA40" s="5"/>
      <c r="BB40" s="5"/>
      <c r="BC40" s="5"/>
      <c r="BD40" s="5"/>
      <c r="BE40" s="5"/>
      <c r="BF40" s="5"/>
      <c r="BG40" s="5"/>
      <c r="BH40" s="5"/>
      <c r="BI40" s="5" t="s">
        <v>55</v>
      </c>
      <c r="BJ40" s="5"/>
      <c r="BK40" s="5"/>
      <c r="BL40" s="5"/>
      <c r="BM40" s="5"/>
      <c r="BN40" s="5"/>
      <c r="BO40" s="5"/>
      <c r="BP40" s="5"/>
      <c r="BQ40" s="5"/>
      <c r="BR40" s="5" t="s">
        <v>62</v>
      </c>
      <c r="BS40" s="5"/>
      <c r="BT40" s="5"/>
      <c r="BU40" s="5" t="s">
        <v>64</v>
      </c>
      <c r="BV40" s="5"/>
      <c r="BW40" s="5"/>
      <c r="BX40" s="5"/>
      <c r="BY40" s="5"/>
      <c r="BZ40" s="5"/>
      <c r="CA40" s="5" t="s">
        <v>70</v>
      </c>
      <c r="CB40" s="5"/>
      <c r="CC40" s="5"/>
      <c r="CD40" s="5"/>
      <c r="CE40" s="5"/>
      <c r="CF40" s="5" t="s">
        <v>75</v>
      </c>
      <c r="CG40" s="5"/>
      <c r="CH40" s="5"/>
      <c r="CI40" s="5" t="s">
        <v>417</v>
      </c>
      <c r="CJ40" s="5">
        <v>40</v>
      </c>
      <c r="CK40" s="5" t="s">
        <v>141</v>
      </c>
      <c r="CL40" s="5" t="s">
        <v>421</v>
      </c>
      <c r="CM40" s="5" t="s">
        <v>418</v>
      </c>
      <c r="CN40" s="5" t="s">
        <v>416</v>
      </c>
      <c r="CO40" s="5" t="s">
        <v>82</v>
      </c>
      <c r="CP40" s="5" t="s">
        <v>83</v>
      </c>
      <c r="CQ40" s="5" t="s">
        <v>106</v>
      </c>
      <c r="CR40" s="5" t="s">
        <v>85</v>
      </c>
      <c r="CS40" s="5" t="s">
        <v>86</v>
      </c>
      <c r="CT40" s="5"/>
      <c r="CU40" s="5"/>
      <c r="CV40" s="5"/>
      <c r="CW40" s="5"/>
      <c r="CX40" s="5"/>
      <c r="CY40" s="5"/>
      <c r="CZ40" s="5"/>
      <c r="DA40" s="5"/>
    </row>
    <row r="41" spans="1:105">
      <c r="A41" s="5">
        <v>18025183911</v>
      </c>
      <c r="B41" s="5" t="s">
        <v>16</v>
      </c>
      <c r="C41" s="5"/>
      <c r="D41" s="5"/>
      <c r="E41" s="5"/>
      <c r="F41" s="5"/>
      <c r="G41" s="5" t="s">
        <v>21</v>
      </c>
      <c r="H41" s="5"/>
      <c r="I41" s="5"/>
      <c r="J41" s="5"/>
      <c r="K41" s="5"/>
      <c r="L41" s="5" t="s">
        <v>26</v>
      </c>
      <c r="M41" s="5"/>
      <c r="N41" s="5"/>
      <c r="O41" s="5"/>
      <c r="P41" s="5" t="s">
        <v>16</v>
      </c>
      <c r="Q41" s="5" t="s">
        <v>17</v>
      </c>
      <c r="R41" s="5"/>
      <c r="S41" s="5"/>
      <c r="T41" s="5"/>
      <c r="U41" s="5" t="s">
        <v>21</v>
      </c>
      <c r="V41" s="5"/>
      <c r="W41" s="5"/>
      <c r="X41" s="5"/>
      <c r="Y41" s="5"/>
      <c r="Z41" s="5"/>
      <c r="AA41" s="5"/>
      <c r="AB41" s="5"/>
      <c r="AC41" s="5"/>
      <c r="AD41" s="5"/>
      <c r="AE41" s="5"/>
      <c r="AF41" s="5"/>
      <c r="AG41" s="5" t="s">
        <v>32</v>
      </c>
      <c r="AH41" s="5"/>
      <c r="AI41" s="5"/>
      <c r="AJ41" s="5" t="s">
        <v>35</v>
      </c>
      <c r="AK41" s="5"/>
      <c r="AL41" s="5"/>
      <c r="AM41" s="5" t="s">
        <v>375</v>
      </c>
      <c r="AN41" s="5"/>
      <c r="AO41" s="5"/>
      <c r="AP41" s="5" t="s">
        <v>39</v>
      </c>
      <c r="AQ41" s="5"/>
      <c r="AR41" s="5"/>
      <c r="AS41" s="5"/>
      <c r="AT41" s="5" t="s">
        <v>37</v>
      </c>
      <c r="AU41" s="5"/>
      <c r="AV41" s="5"/>
      <c r="AW41" s="5"/>
      <c r="AX41" s="5"/>
      <c r="AY41" s="5" t="s">
        <v>47</v>
      </c>
      <c r="AZ41" s="5"/>
      <c r="BA41" s="5"/>
      <c r="BB41" s="5" t="s">
        <v>49</v>
      </c>
      <c r="BC41" s="5"/>
      <c r="BD41" s="5"/>
      <c r="BE41" s="5" t="s">
        <v>17</v>
      </c>
      <c r="BF41" s="5"/>
      <c r="BG41" s="5"/>
      <c r="BH41" s="5"/>
      <c r="BI41" s="5"/>
      <c r="BJ41" s="5"/>
      <c r="BK41" s="5"/>
      <c r="BL41" s="5"/>
      <c r="BM41" s="5"/>
      <c r="BN41" s="5"/>
      <c r="BO41" s="5"/>
      <c r="BP41" s="5"/>
      <c r="BQ41" s="5" t="s">
        <v>61</v>
      </c>
      <c r="BR41" s="5"/>
      <c r="BS41" s="5"/>
      <c r="BT41" s="5"/>
      <c r="BU41" s="5" t="s">
        <v>64</v>
      </c>
      <c r="BV41" s="5"/>
      <c r="BW41" s="5"/>
      <c r="BX41" s="5"/>
      <c r="BY41" s="5" t="s">
        <v>68</v>
      </c>
      <c r="BZ41" s="5"/>
      <c r="CA41" s="5"/>
      <c r="CB41" s="5"/>
      <c r="CC41" s="5"/>
      <c r="CD41" s="5"/>
      <c r="CE41" s="5"/>
      <c r="CF41" s="5" t="s">
        <v>75</v>
      </c>
      <c r="CG41" s="5"/>
      <c r="CH41" s="5"/>
      <c r="CI41" s="5" t="s">
        <v>414</v>
      </c>
      <c r="CJ41" s="5">
        <v>46</v>
      </c>
      <c r="CK41" s="5" t="s">
        <v>141</v>
      </c>
      <c r="CL41" s="5" t="s">
        <v>164</v>
      </c>
      <c r="CM41" s="5" t="s">
        <v>418</v>
      </c>
      <c r="CN41" s="5" t="s">
        <v>416</v>
      </c>
      <c r="CO41" s="5" t="s">
        <v>82</v>
      </c>
      <c r="CP41" s="5" t="s">
        <v>94</v>
      </c>
      <c r="CQ41" s="5" t="s">
        <v>84</v>
      </c>
      <c r="CR41" s="5" t="s">
        <v>85</v>
      </c>
      <c r="CS41" s="5" t="s">
        <v>86</v>
      </c>
      <c r="CT41" s="5"/>
      <c r="CU41" s="5"/>
      <c r="CV41" s="5"/>
      <c r="CW41" s="5"/>
      <c r="CX41" s="5"/>
      <c r="CY41" s="5"/>
      <c r="CZ41" s="5"/>
      <c r="DA41" s="5"/>
    </row>
    <row r="42" spans="1:105">
      <c r="A42" s="5">
        <v>18025183737</v>
      </c>
      <c r="B42" s="5"/>
      <c r="C42" s="5"/>
      <c r="D42" s="5"/>
      <c r="E42" s="5" t="s">
        <v>19</v>
      </c>
      <c r="F42" s="5"/>
      <c r="G42" s="5" t="s">
        <v>21</v>
      </c>
      <c r="H42" s="5"/>
      <c r="I42" s="5"/>
      <c r="J42" s="5"/>
      <c r="K42" s="5"/>
      <c r="L42" s="5"/>
      <c r="M42" s="5" t="s">
        <v>27</v>
      </c>
      <c r="N42" s="5"/>
      <c r="O42" s="5"/>
      <c r="P42" s="5"/>
      <c r="Q42" s="5"/>
      <c r="R42" s="5"/>
      <c r="S42" s="5" t="s">
        <v>19</v>
      </c>
      <c r="T42" s="5"/>
      <c r="U42" s="5" t="s">
        <v>21</v>
      </c>
      <c r="V42" s="5"/>
      <c r="W42" s="5"/>
      <c r="X42" s="5"/>
      <c r="Y42" s="5" t="s">
        <v>25</v>
      </c>
      <c r="Z42" s="5"/>
      <c r="AA42" s="5"/>
      <c r="AB42" s="5"/>
      <c r="AC42" s="5"/>
      <c r="AD42" s="5"/>
      <c r="AE42" s="5"/>
      <c r="AF42" s="5" t="s">
        <v>31</v>
      </c>
      <c r="AG42" s="5"/>
      <c r="AH42" s="5"/>
      <c r="AI42" s="5"/>
      <c r="AJ42" s="5"/>
      <c r="AK42" s="5" t="s">
        <v>36</v>
      </c>
      <c r="AL42" s="5"/>
      <c r="AM42" s="5"/>
      <c r="AN42" s="5"/>
      <c r="AO42" s="5" t="s">
        <v>38</v>
      </c>
      <c r="AP42" s="5"/>
      <c r="AQ42" s="5"/>
      <c r="AR42" s="5"/>
      <c r="AS42" s="5"/>
      <c r="AT42" s="5"/>
      <c r="AU42" s="5"/>
      <c r="AV42" s="5"/>
      <c r="AW42" s="5"/>
      <c r="AX42" s="5"/>
      <c r="AY42" s="5" t="s">
        <v>47</v>
      </c>
      <c r="AZ42" s="5"/>
      <c r="BA42" s="5"/>
      <c r="BB42" s="5"/>
      <c r="BC42" s="5"/>
      <c r="BD42" s="5"/>
      <c r="BE42" s="5"/>
      <c r="BF42" s="5"/>
      <c r="BG42" s="5"/>
      <c r="BH42" s="5"/>
      <c r="BI42" s="5"/>
      <c r="BJ42" s="5"/>
      <c r="BK42" s="5"/>
      <c r="BL42" s="5"/>
      <c r="BM42" s="5"/>
      <c r="BN42" s="5"/>
      <c r="BO42" s="5"/>
      <c r="BP42" s="5" t="s">
        <v>60</v>
      </c>
      <c r="BQ42" s="5" t="s">
        <v>61</v>
      </c>
      <c r="BR42" s="5" t="s">
        <v>62</v>
      </c>
      <c r="BS42" s="5"/>
      <c r="BT42" s="5"/>
      <c r="BU42" s="5" t="s">
        <v>64</v>
      </c>
      <c r="BV42" s="5"/>
      <c r="BW42" s="5"/>
      <c r="BX42" s="5"/>
      <c r="BY42" s="5"/>
      <c r="BZ42" s="5"/>
      <c r="CA42" s="5"/>
      <c r="CB42" s="5"/>
      <c r="CC42" s="5"/>
      <c r="CD42" s="5" t="s">
        <v>73</v>
      </c>
      <c r="CE42" s="5"/>
      <c r="CF42" s="5"/>
      <c r="CG42" s="5"/>
      <c r="CH42" s="5"/>
      <c r="CI42" s="5" t="s">
        <v>417</v>
      </c>
      <c r="CJ42" s="5">
        <v>39</v>
      </c>
      <c r="CK42" s="5" t="s">
        <v>141</v>
      </c>
      <c r="CL42" s="5" t="s">
        <v>147</v>
      </c>
      <c r="CM42" s="5" t="s">
        <v>420</v>
      </c>
      <c r="CN42" s="5" t="s">
        <v>419</v>
      </c>
      <c r="CO42" s="5" t="s">
        <v>427</v>
      </c>
      <c r="CP42" s="5" t="s">
        <v>93</v>
      </c>
      <c r="CQ42" s="5" t="s">
        <v>102</v>
      </c>
      <c r="CR42" s="5" t="s">
        <v>85</v>
      </c>
      <c r="CS42" s="5" t="s">
        <v>86</v>
      </c>
      <c r="CT42" s="5"/>
      <c r="CU42" s="5"/>
      <c r="CV42" s="5"/>
      <c r="CW42" s="5"/>
      <c r="CX42" s="5"/>
      <c r="CY42" s="5"/>
      <c r="CZ42" s="5"/>
      <c r="DA42" s="5"/>
    </row>
    <row r="43" spans="1:105">
      <c r="A43" s="5">
        <v>18025183581</v>
      </c>
      <c r="B43" s="5"/>
      <c r="C43" s="5" t="s">
        <v>17</v>
      </c>
      <c r="D43" s="5" t="s">
        <v>18</v>
      </c>
      <c r="E43" s="5" t="s">
        <v>19</v>
      </c>
      <c r="F43" s="5"/>
      <c r="G43" s="5"/>
      <c r="H43" s="5"/>
      <c r="I43" s="5"/>
      <c r="J43" s="5"/>
      <c r="K43" s="5"/>
      <c r="L43" s="5"/>
      <c r="M43" s="5"/>
      <c r="N43" s="5"/>
      <c r="O43" s="5"/>
      <c r="P43" s="5"/>
      <c r="Q43" s="5" t="s">
        <v>17</v>
      </c>
      <c r="R43" s="5" t="s">
        <v>18</v>
      </c>
      <c r="S43" s="5"/>
      <c r="T43" s="5"/>
      <c r="U43" s="5"/>
      <c r="V43" s="5"/>
      <c r="W43" s="5"/>
      <c r="X43" s="5" t="s">
        <v>24</v>
      </c>
      <c r="Y43" s="5"/>
      <c r="Z43" s="5"/>
      <c r="AA43" s="5"/>
      <c r="AB43" s="5"/>
      <c r="AC43" s="5"/>
      <c r="AD43" s="5"/>
      <c r="AE43" s="5"/>
      <c r="AF43" s="5"/>
      <c r="AG43" s="5"/>
      <c r="AH43" s="5"/>
      <c r="AI43" s="5" t="s">
        <v>34</v>
      </c>
      <c r="AJ43" s="5"/>
      <c r="AK43" s="5"/>
      <c r="AL43" s="5"/>
      <c r="AM43" s="5"/>
      <c r="AN43" s="5"/>
      <c r="AO43" s="5"/>
      <c r="AP43" s="5"/>
      <c r="AQ43" s="5" t="s">
        <v>40</v>
      </c>
      <c r="AR43" s="5"/>
      <c r="AS43" s="5"/>
      <c r="AT43" s="5" t="s">
        <v>37</v>
      </c>
      <c r="AU43" s="5"/>
      <c r="AV43" s="5"/>
      <c r="AW43" s="5"/>
      <c r="AX43" s="5"/>
      <c r="AY43" s="5" t="s">
        <v>47</v>
      </c>
      <c r="AZ43" s="5"/>
      <c r="BA43" s="5"/>
      <c r="BB43" s="5"/>
      <c r="BC43" s="5"/>
      <c r="BD43" s="5"/>
      <c r="BE43" s="5" t="s">
        <v>17</v>
      </c>
      <c r="BF43" s="5"/>
      <c r="BG43" s="5"/>
      <c r="BH43" s="5"/>
      <c r="BI43" s="5"/>
      <c r="BJ43" s="5"/>
      <c r="BK43" s="5"/>
      <c r="BL43" s="5"/>
      <c r="BM43" s="5"/>
      <c r="BN43" s="5" t="s">
        <v>24</v>
      </c>
      <c r="BO43" s="5"/>
      <c r="BP43" s="5"/>
      <c r="BQ43" s="5"/>
      <c r="BR43" s="5" t="s">
        <v>62</v>
      </c>
      <c r="BS43" s="5"/>
      <c r="BT43" s="5"/>
      <c r="BU43" s="5" t="s">
        <v>64</v>
      </c>
      <c r="BV43" s="5"/>
      <c r="BW43" s="5"/>
      <c r="BX43" s="5"/>
      <c r="BY43" s="5"/>
      <c r="BZ43" s="5" t="s">
        <v>69</v>
      </c>
      <c r="CA43" s="5"/>
      <c r="CB43" s="5"/>
      <c r="CC43" s="5"/>
      <c r="CD43" s="5" t="s">
        <v>73</v>
      </c>
      <c r="CE43" s="5"/>
      <c r="CF43" s="5" t="s">
        <v>75</v>
      </c>
      <c r="CG43" s="5"/>
      <c r="CH43" s="5"/>
      <c r="CI43" s="5" t="s">
        <v>414</v>
      </c>
      <c r="CJ43" s="5">
        <v>56</v>
      </c>
      <c r="CK43" s="5" t="s">
        <v>141</v>
      </c>
      <c r="CL43" s="5" t="s">
        <v>164</v>
      </c>
      <c r="CM43" s="5" t="s">
        <v>418</v>
      </c>
      <c r="CN43" s="5" t="s">
        <v>416</v>
      </c>
      <c r="CO43" s="5" t="s">
        <v>82</v>
      </c>
      <c r="CP43" s="5" t="s">
        <v>83</v>
      </c>
      <c r="CQ43" s="5" t="s">
        <v>111</v>
      </c>
      <c r="CR43" s="5" t="s">
        <v>85</v>
      </c>
      <c r="CS43" s="5" t="s">
        <v>86</v>
      </c>
      <c r="CT43" s="5"/>
      <c r="CU43" s="5"/>
      <c r="CV43" s="5"/>
      <c r="CW43" s="5"/>
      <c r="CX43" s="5"/>
      <c r="CY43" s="5"/>
      <c r="CZ43" s="5"/>
      <c r="DA43" s="5"/>
    </row>
    <row r="44" spans="1:105">
      <c r="A44" s="5">
        <v>18025183430</v>
      </c>
      <c r="B44" s="5"/>
      <c r="C44" s="5"/>
      <c r="D44" s="5"/>
      <c r="E44" s="5"/>
      <c r="F44" s="5"/>
      <c r="G44" s="5"/>
      <c r="H44" s="5"/>
      <c r="I44" s="5"/>
      <c r="J44" s="5"/>
      <c r="K44" s="5" t="s">
        <v>25</v>
      </c>
      <c r="L44" s="5"/>
      <c r="M44" s="5"/>
      <c r="N44" s="5"/>
      <c r="O44" s="5"/>
      <c r="P44" s="5"/>
      <c r="Q44" s="5"/>
      <c r="R44" s="5"/>
      <c r="S44" s="5" t="s">
        <v>19</v>
      </c>
      <c r="T44" s="5" t="s">
        <v>20</v>
      </c>
      <c r="U44" s="5"/>
      <c r="V44" s="5"/>
      <c r="W44" s="5"/>
      <c r="X44" s="5"/>
      <c r="Y44" s="5"/>
      <c r="Z44" s="5" t="s">
        <v>26</v>
      </c>
      <c r="AA44" s="5"/>
      <c r="AB44" s="5"/>
      <c r="AC44" s="5"/>
      <c r="AD44" s="5" t="s">
        <v>29</v>
      </c>
      <c r="AE44" s="5"/>
      <c r="AF44" s="5"/>
      <c r="AG44" s="5" t="s">
        <v>32</v>
      </c>
      <c r="AH44" s="5"/>
      <c r="AI44" s="5"/>
      <c r="AJ44" s="5"/>
      <c r="AK44" s="5" t="s">
        <v>36</v>
      </c>
      <c r="AL44" s="5"/>
      <c r="AM44" s="5"/>
      <c r="AN44" s="5"/>
      <c r="AO44" s="5"/>
      <c r="AP44" s="5" t="s">
        <v>39</v>
      </c>
      <c r="AQ44" s="5"/>
      <c r="AR44" s="5" t="s">
        <v>41</v>
      </c>
      <c r="AS44" s="5"/>
      <c r="AT44" s="5"/>
      <c r="AU44" s="5"/>
      <c r="AV44" s="5"/>
      <c r="AW44" s="5"/>
      <c r="AX44" s="5" t="s">
        <v>46</v>
      </c>
      <c r="AY44" s="5"/>
      <c r="AZ44" s="5"/>
      <c r="BA44" s="5"/>
      <c r="BB44" s="5"/>
      <c r="BC44" s="5" t="s">
        <v>50</v>
      </c>
      <c r="BD44" s="5" t="s">
        <v>51</v>
      </c>
      <c r="BE44" s="5"/>
      <c r="BF44" s="5"/>
      <c r="BG44" s="5"/>
      <c r="BH44" s="5"/>
      <c r="BI44" s="5"/>
      <c r="BJ44" s="5"/>
      <c r="BK44" s="5"/>
      <c r="BL44" s="5"/>
      <c r="BM44" s="5" t="s">
        <v>59</v>
      </c>
      <c r="BN44" s="5"/>
      <c r="BO44" s="5"/>
      <c r="BP44" s="5"/>
      <c r="BQ44" s="5"/>
      <c r="BR44" s="5"/>
      <c r="BS44" s="5"/>
      <c r="BT44" s="5"/>
      <c r="BU44" s="5" t="s">
        <v>64</v>
      </c>
      <c r="BV44" s="5"/>
      <c r="BW44" s="5" t="s">
        <v>66</v>
      </c>
      <c r="BX44" s="5" t="s">
        <v>67</v>
      </c>
      <c r="BY44" s="5" t="s">
        <v>68</v>
      </c>
      <c r="BZ44" s="5" t="s">
        <v>69</v>
      </c>
      <c r="CA44" s="5"/>
      <c r="CB44" s="5" t="s">
        <v>71</v>
      </c>
      <c r="CC44" s="5" t="s">
        <v>72</v>
      </c>
      <c r="CD44" s="5"/>
      <c r="CE44" s="5"/>
      <c r="CF44" s="5" t="s">
        <v>75</v>
      </c>
      <c r="CG44" s="5"/>
      <c r="CH44" s="5"/>
      <c r="CI44" s="5" t="s">
        <v>417</v>
      </c>
      <c r="CJ44" s="5">
        <v>22</v>
      </c>
      <c r="CK44" s="5" t="s">
        <v>141</v>
      </c>
      <c r="CL44" s="5" t="s">
        <v>149</v>
      </c>
      <c r="CM44" s="5" t="s">
        <v>420</v>
      </c>
      <c r="CN44" s="5"/>
      <c r="CO44" s="5" t="s">
        <v>82</v>
      </c>
      <c r="CP44" s="5" t="s">
        <v>97</v>
      </c>
      <c r="CQ44" s="5" t="s">
        <v>84</v>
      </c>
      <c r="CR44" s="5" t="s">
        <v>85</v>
      </c>
      <c r="CS44" s="5" t="s">
        <v>86</v>
      </c>
      <c r="CT44" s="5" t="s">
        <v>384</v>
      </c>
      <c r="CU44" s="5"/>
      <c r="CV44" s="5"/>
      <c r="CW44" s="5"/>
      <c r="CX44" s="5"/>
      <c r="CY44" s="5"/>
      <c r="CZ44" s="5"/>
      <c r="DA44" s="5"/>
    </row>
    <row r="45" spans="1:105">
      <c r="A45" s="5">
        <v>18025183271</v>
      </c>
      <c r="B45" s="5"/>
      <c r="C45" s="5"/>
      <c r="D45" s="5"/>
      <c r="E45" s="5"/>
      <c r="F45" s="5"/>
      <c r="G45" s="5"/>
      <c r="H45" s="5"/>
      <c r="I45" s="5"/>
      <c r="J45" s="5"/>
      <c r="K45" s="5" t="s">
        <v>25</v>
      </c>
      <c r="L45" s="5"/>
      <c r="M45" s="5"/>
      <c r="N45" s="5"/>
      <c r="O45" s="5"/>
      <c r="P45" s="5" t="s">
        <v>16</v>
      </c>
      <c r="Q45" s="5"/>
      <c r="R45" s="5"/>
      <c r="S45" s="5"/>
      <c r="T45" s="5"/>
      <c r="U45" s="5"/>
      <c r="V45" s="5"/>
      <c r="W45" s="5" t="s">
        <v>23</v>
      </c>
      <c r="X45" s="5"/>
      <c r="Y45" s="5"/>
      <c r="Z45" s="5"/>
      <c r="AA45" s="5"/>
      <c r="AB45" s="5"/>
      <c r="AC45" s="5"/>
      <c r="AD45" s="5" t="s">
        <v>29</v>
      </c>
      <c r="AE45" s="5"/>
      <c r="AF45" s="5"/>
      <c r="AG45" s="5" t="s">
        <v>32</v>
      </c>
      <c r="AH45" s="5" t="s">
        <v>33</v>
      </c>
      <c r="AI45" s="5"/>
      <c r="AJ45" s="5"/>
      <c r="AK45" s="5"/>
      <c r="AL45" s="5"/>
      <c r="AM45" s="5"/>
      <c r="AN45" s="5"/>
      <c r="AO45" s="5" t="s">
        <v>38</v>
      </c>
      <c r="AP45" s="5" t="s">
        <v>39</v>
      </c>
      <c r="AQ45" s="5"/>
      <c r="AR45" s="5" t="s">
        <v>41</v>
      </c>
      <c r="AS45" s="5"/>
      <c r="AT45" s="5"/>
      <c r="AU45" s="5"/>
      <c r="AV45" s="5"/>
      <c r="AW45" s="5"/>
      <c r="AX45" s="5"/>
      <c r="AY45" s="5" t="s">
        <v>47</v>
      </c>
      <c r="AZ45" s="5"/>
      <c r="BA45" s="5"/>
      <c r="BB45" s="5"/>
      <c r="BC45" s="5" t="s">
        <v>50</v>
      </c>
      <c r="BD45" s="5" t="s">
        <v>51</v>
      </c>
      <c r="BE45" s="5"/>
      <c r="BF45" s="5"/>
      <c r="BG45" s="5"/>
      <c r="BH45" s="5"/>
      <c r="BI45" s="5"/>
      <c r="BJ45" s="5"/>
      <c r="BK45" s="5"/>
      <c r="BL45" s="5"/>
      <c r="BM45" s="5" t="s">
        <v>59</v>
      </c>
      <c r="BN45" s="5"/>
      <c r="BO45" s="5" t="s">
        <v>20</v>
      </c>
      <c r="BP45" s="5"/>
      <c r="BQ45" s="5"/>
      <c r="BR45" s="5"/>
      <c r="BS45" s="5"/>
      <c r="BT45" s="5"/>
      <c r="BU45" s="5"/>
      <c r="BV45" s="5"/>
      <c r="BW45" s="5" t="s">
        <v>66</v>
      </c>
      <c r="BX45" s="5"/>
      <c r="BY45" s="5"/>
      <c r="BZ45" s="5"/>
      <c r="CA45" s="5"/>
      <c r="CB45" s="5"/>
      <c r="CC45" s="5"/>
      <c r="CD45" s="5"/>
      <c r="CE45" s="5" t="s">
        <v>74</v>
      </c>
      <c r="CF45" s="5"/>
      <c r="CG45" s="5" t="s">
        <v>76</v>
      </c>
      <c r="CH45" s="5"/>
      <c r="CI45" s="5" t="s">
        <v>417</v>
      </c>
      <c r="CJ45" s="5">
        <v>28</v>
      </c>
      <c r="CK45" s="5" t="s">
        <v>141</v>
      </c>
      <c r="CL45" s="5" t="s">
        <v>362</v>
      </c>
      <c r="CM45" s="5" t="s">
        <v>418</v>
      </c>
      <c r="CN45" s="5"/>
      <c r="CO45" s="5" t="s">
        <v>82</v>
      </c>
      <c r="CP45" s="5" t="s">
        <v>93</v>
      </c>
      <c r="CQ45" s="5" t="s">
        <v>84</v>
      </c>
      <c r="CR45" s="5" t="s">
        <v>105</v>
      </c>
      <c r="CS45" s="5" t="s">
        <v>86</v>
      </c>
      <c r="CT45" s="5" t="s">
        <v>384</v>
      </c>
      <c r="CU45" s="5"/>
      <c r="CV45" s="5"/>
      <c r="CW45" s="5"/>
      <c r="CX45" s="5"/>
      <c r="CY45" s="5"/>
      <c r="CZ45" s="5"/>
      <c r="DA45" s="5"/>
    </row>
    <row r="46" spans="1:105">
      <c r="A46" s="5">
        <v>18025183125</v>
      </c>
      <c r="B46" s="5"/>
      <c r="C46" s="5"/>
      <c r="D46" s="5"/>
      <c r="E46" s="5"/>
      <c r="F46" s="5"/>
      <c r="G46" s="5"/>
      <c r="H46" s="5" t="s">
        <v>22</v>
      </c>
      <c r="I46" s="5"/>
      <c r="J46" s="5"/>
      <c r="K46" s="5"/>
      <c r="L46" s="5"/>
      <c r="M46" s="5"/>
      <c r="N46" s="5"/>
      <c r="O46" s="5"/>
      <c r="P46" s="5"/>
      <c r="Q46" s="5"/>
      <c r="R46" s="5"/>
      <c r="S46" s="5"/>
      <c r="T46" s="5"/>
      <c r="U46" s="5"/>
      <c r="V46" s="5"/>
      <c r="W46" s="5"/>
      <c r="X46" s="5"/>
      <c r="Y46" s="5" t="s">
        <v>25</v>
      </c>
      <c r="Z46" s="5"/>
      <c r="AA46" s="5"/>
      <c r="AB46" s="5"/>
      <c r="AC46" s="5"/>
      <c r="AD46" s="5"/>
      <c r="AE46" s="5" t="s">
        <v>30</v>
      </c>
      <c r="AF46" s="5"/>
      <c r="AG46" s="5"/>
      <c r="AH46" s="5"/>
      <c r="AI46" s="5"/>
      <c r="AJ46" s="5"/>
      <c r="AK46" s="5"/>
      <c r="AL46" s="5"/>
      <c r="AM46" s="5"/>
      <c r="AN46" s="5"/>
      <c r="AO46" s="5"/>
      <c r="AP46" s="5" t="s">
        <v>39</v>
      </c>
      <c r="AQ46" s="5"/>
      <c r="AR46" s="5"/>
      <c r="AS46" s="5"/>
      <c r="AT46" s="5"/>
      <c r="AU46" s="5"/>
      <c r="AV46" s="5"/>
      <c r="AW46" s="5"/>
      <c r="AX46" s="5"/>
      <c r="AY46" s="5"/>
      <c r="AZ46" s="5"/>
      <c r="BA46" s="5"/>
      <c r="BB46" s="5"/>
      <c r="BC46" s="5" t="s">
        <v>50</v>
      </c>
      <c r="BD46" s="5" t="s">
        <v>51</v>
      </c>
      <c r="BE46" s="5"/>
      <c r="BF46" s="5"/>
      <c r="BG46" s="5"/>
      <c r="BH46" s="5"/>
      <c r="BI46" s="5" t="s">
        <v>55</v>
      </c>
      <c r="BJ46" s="5"/>
      <c r="BK46" s="5"/>
      <c r="BL46" s="5"/>
      <c r="BM46" s="5" t="s">
        <v>59</v>
      </c>
      <c r="BN46" s="5"/>
      <c r="BO46" s="5"/>
      <c r="BP46" s="5"/>
      <c r="BQ46" s="5"/>
      <c r="BR46" s="5"/>
      <c r="BS46" s="5" t="s">
        <v>63</v>
      </c>
      <c r="BT46" s="5"/>
      <c r="BU46" s="5" t="s">
        <v>64</v>
      </c>
      <c r="BV46" s="5"/>
      <c r="BW46" s="5" t="s">
        <v>66</v>
      </c>
      <c r="BX46" s="5"/>
      <c r="BY46" s="5"/>
      <c r="BZ46" s="5"/>
      <c r="CA46" s="5"/>
      <c r="CB46" s="5"/>
      <c r="CC46" s="5"/>
      <c r="CD46" s="5" t="s">
        <v>73</v>
      </c>
      <c r="CE46" s="5" t="s">
        <v>74</v>
      </c>
      <c r="CF46" s="5" t="s">
        <v>75</v>
      </c>
      <c r="CG46" s="5" t="s">
        <v>76</v>
      </c>
      <c r="CH46" s="5"/>
      <c r="CI46" s="5" t="s">
        <v>414</v>
      </c>
      <c r="CJ46" s="5">
        <v>28</v>
      </c>
      <c r="CK46" s="5" t="s">
        <v>141</v>
      </c>
      <c r="CL46" s="5" t="s">
        <v>379</v>
      </c>
      <c r="CM46" s="5" t="s">
        <v>418</v>
      </c>
      <c r="CN46" s="5" t="s">
        <v>416</v>
      </c>
      <c r="CO46" s="5" t="s">
        <v>82</v>
      </c>
      <c r="CP46" s="5" t="s">
        <v>94</v>
      </c>
      <c r="CQ46" s="5" t="s">
        <v>88</v>
      </c>
      <c r="CR46" s="5" t="s">
        <v>92</v>
      </c>
      <c r="CS46" s="5"/>
      <c r="CT46" s="5"/>
      <c r="CU46" s="5"/>
      <c r="CV46" s="5"/>
      <c r="CW46" s="5"/>
      <c r="CX46" s="5"/>
      <c r="CY46" s="5"/>
      <c r="CZ46" s="5"/>
      <c r="DA46" s="5"/>
    </row>
    <row r="47" spans="1:105">
      <c r="A47" s="5">
        <v>18025182993</v>
      </c>
      <c r="B47" s="5"/>
      <c r="C47" s="5"/>
      <c r="D47" s="5"/>
      <c r="E47" s="5" t="s">
        <v>19</v>
      </c>
      <c r="F47" s="5"/>
      <c r="G47" s="5"/>
      <c r="H47" s="5"/>
      <c r="I47" s="5"/>
      <c r="J47" s="5"/>
      <c r="K47" s="5" t="s">
        <v>25</v>
      </c>
      <c r="L47" s="5" t="s">
        <v>26</v>
      </c>
      <c r="M47" s="5"/>
      <c r="N47" s="5"/>
      <c r="O47" s="5"/>
      <c r="P47" s="5"/>
      <c r="Q47" s="5"/>
      <c r="R47" s="5" t="s">
        <v>18</v>
      </c>
      <c r="S47" s="5"/>
      <c r="T47" s="5"/>
      <c r="U47" s="5"/>
      <c r="V47" s="5"/>
      <c r="W47" s="5"/>
      <c r="X47" s="5"/>
      <c r="Y47" s="5" t="s">
        <v>25</v>
      </c>
      <c r="Z47" s="5"/>
      <c r="AA47" s="5"/>
      <c r="AB47" s="5"/>
      <c r="AC47" s="5"/>
      <c r="AD47" s="5"/>
      <c r="AE47" s="5"/>
      <c r="AF47" s="5"/>
      <c r="AG47" s="5"/>
      <c r="AH47" s="5"/>
      <c r="AI47" s="5" t="s">
        <v>34</v>
      </c>
      <c r="AJ47" s="5"/>
      <c r="AK47" s="5"/>
      <c r="AL47" s="5"/>
      <c r="AM47" s="5"/>
      <c r="AN47" s="5"/>
      <c r="AO47" s="5" t="s">
        <v>38</v>
      </c>
      <c r="AP47" s="5" t="s">
        <v>39</v>
      </c>
      <c r="AQ47" s="5"/>
      <c r="AR47" s="5" t="s">
        <v>41</v>
      </c>
      <c r="AS47" s="5"/>
      <c r="AT47" s="5"/>
      <c r="AU47" s="5"/>
      <c r="AV47" s="5"/>
      <c r="AW47" s="5"/>
      <c r="AX47" s="5"/>
      <c r="AY47" s="5"/>
      <c r="AZ47" s="5"/>
      <c r="BA47" s="5"/>
      <c r="BB47" s="5"/>
      <c r="BC47" s="5"/>
      <c r="BD47" s="5" t="s">
        <v>51</v>
      </c>
      <c r="BE47" s="5"/>
      <c r="BF47" s="5"/>
      <c r="BG47" s="5"/>
      <c r="BH47" s="5"/>
      <c r="BI47" s="5"/>
      <c r="BJ47" s="5"/>
      <c r="BK47" s="5"/>
      <c r="BL47" s="5"/>
      <c r="BM47" s="5"/>
      <c r="BN47" s="5"/>
      <c r="BO47" s="5"/>
      <c r="BP47" s="5"/>
      <c r="BQ47" s="5"/>
      <c r="BR47" s="5"/>
      <c r="BS47" s="5"/>
      <c r="BT47" s="5"/>
      <c r="BU47" s="5" t="s">
        <v>64</v>
      </c>
      <c r="BV47" s="5"/>
      <c r="BW47" s="5"/>
      <c r="BX47" s="5"/>
      <c r="BY47" s="5"/>
      <c r="BZ47" s="5"/>
      <c r="CA47" s="5"/>
      <c r="CB47" s="5"/>
      <c r="CC47" s="5"/>
      <c r="CD47" s="5"/>
      <c r="CE47" s="5"/>
      <c r="CF47" s="5"/>
      <c r="CG47" s="5"/>
      <c r="CH47" s="5"/>
      <c r="CI47" s="5" t="s">
        <v>414</v>
      </c>
      <c r="CJ47" s="5">
        <v>60</v>
      </c>
      <c r="CK47" s="5" t="s">
        <v>141</v>
      </c>
      <c r="CL47" s="5" t="s">
        <v>379</v>
      </c>
      <c r="CM47" s="5" t="s">
        <v>420</v>
      </c>
      <c r="CN47" s="5" t="s">
        <v>419</v>
      </c>
      <c r="CO47" s="5" t="s">
        <v>82</v>
      </c>
      <c r="CP47" s="5" t="s">
        <v>83</v>
      </c>
      <c r="CQ47" s="5" t="s">
        <v>103</v>
      </c>
      <c r="CR47" s="5" t="s">
        <v>99</v>
      </c>
      <c r="CS47" s="5" t="s">
        <v>86</v>
      </c>
      <c r="CT47" s="5" t="s">
        <v>384</v>
      </c>
      <c r="CU47" s="5"/>
      <c r="CV47" s="5"/>
      <c r="CW47" s="5"/>
      <c r="CX47" s="5"/>
      <c r="CY47" s="5"/>
      <c r="CZ47" s="5"/>
      <c r="DA47" s="5"/>
    </row>
    <row r="48" spans="1:105">
      <c r="A48" s="5">
        <v>18025182885</v>
      </c>
      <c r="B48" s="5"/>
      <c r="C48" s="5"/>
      <c r="D48" s="5"/>
      <c r="E48" s="5"/>
      <c r="F48" s="5"/>
      <c r="G48" s="5"/>
      <c r="H48" s="5"/>
      <c r="I48" s="5" t="s">
        <v>23</v>
      </c>
      <c r="J48" s="5"/>
      <c r="K48" s="5" t="s">
        <v>25</v>
      </c>
      <c r="L48" s="5" t="s">
        <v>26</v>
      </c>
      <c r="M48" s="5"/>
      <c r="N48" s="5"/>
      <c r="O48" s="5"/>
      <c r="P48" s="5"/>
      <c r="Q48" s="5"/>
      <c r="R48" s="5" t="s">
        <v>18</v>
      </c>
      <c r="S48" s="5" t="s">
        <v>19</v>
      </c>
      <c r="T48" s="5"/>
      <c r="U48" s="5"/>
      <c r="V48" s="5"/>
      <c r="W48" s="5" t="s">
        <v>23</v>
      </c>
      <c r="X48" s="5"/>
      <c r="Y48" s="5"/>
      <c r="Z48" s="5"/>
      <c r="AA48" s="5"/>
      <c r="AB48" s="5"/>
      <c r="AC48" s="5"/>
      <c r="AD48" s="5"/>
      <c r="AE48" s="5"/>
      <c r="AF48" s="5"/>
      <c r="AG48" s="5" t="s">
        <v>32</v>
      </c>
      <c r="AH48" s="5"/>
      <c r="AI48" s="5"/>
      <c r="AJ48" s="5"/>
      <c r="AK48" s="5" t="s">
        <v>36</v>
      </c>
      <c r="AL48" s="5" t="s">
        <v>37</v>
      </c>
      <c r="AM48" s="5"/>
      <c r="AN48" s="5"/>
      <c r="AO48" s="5"/>
      <c r="AP48" s="5" t="s">
        <v>39</v>
      </c>
      <c r="AQ48" s="5"/>
      <c r="AR48" s="5" t="s">
        <v>41</v>
      </c>
      <c r="AS48" s="5"/>
      <c r="AT48" s="5"/>
      <c r="AU48" s="5"/>
      <c r="AV48" s="5"/>
      <c r="AW48" s="5"/>
      <c r="AX48" s="5"/>
      <c r="AY48" s="5" t="s">
        <v>47</v>
      </c>
      <c r="AZ48" s="5"/>
      <c r="BA48" s="5"/>
      <c r="BB48" s="5"/>
      <c r="BC48" s="5"/>
      <c r="BD48" s="5" t="s">
        <v>51</v>
      </c>
      <c r="BE48" s="5"/>
      <c r="BF48" s="5"/>
      <c r="BG48" s="5"/>
      <c r="BH48" s="5"/>
      <c r="BI48" s="5"/>
      <c r="BJ48" s="5"/>
      <c r="BK48" s="5"/>
      <c r="BL48" s="5" t="s">
        <v>58</v>
      </c>
      <c r="BM48" s="5"/>
      <c r="BN48" s="5"/>
      <c r="BO48" s="5"/>
      <c r="BP48" s="5"/>
      <c r="BQ48" s="5"/>
      <c r="BR48" s="5"/>
      <c r="BS48" s="5" t="s">
        <v>63</v>
      </c>
      <c r="BT48" s="5"/>
      <c r="BU48" s="5" t="s">
        <v>64</v>
      </c>
      <c r="BV48" s="5"/>
      <c r="BW48" s="5"/>
      <c r="BX48" s="5"/>
      <c r="BY48" s="5" t="s">
        <v>68</v>
      </c>
      <c r="BZ48" s="5"/>
      <c r="CA48" s="5"/>
      <c r="CB48" s="5"/>
      <c r="CC48" s="5"/>
      <c r="CD48" s="5"/>
      <c r="CE48" s="5"/>
      <c r="CF48" s="5" t="s">
        <v>75</v>
      </c>
      <c r="CG48" s="5"/>
      <c r="CH48" s="5"/>
      <c r="CI48" s="5"/>
      <c r="CJ48" s="5">
        <v>55</v>
      </c>
      <c r="CK48" s="5" t="s">
        <v>141</v>
      </c>
      <c r="CL48" s="5" t="s">
        <v>379</v>
      </c>
      <c r="CM48" s="5" t="s">
        <v>418</v>
      </c>
      <c r="CN48" s="5" t="s">
        <v>416</v>
      </c>
      <c r="CO48" s="5" t="s">
        <v>82</v>
      </c>
      <c r="CP48" s="5" t="s">
        <v>83</v>
      </c>
      <c r="CQ48" s="5" t="s">
        <v>84</v>
      </c>
      <c r="CR48" s="5" t="s">
        <v>85</v>
      </c>
      <c r="CS48" s="5" t="s">
        <v>86</v>
      </c>
      <c r="CT48" s="5"/>
      <c r="CU48" s="5"/>
      <c r="CV48" s="5"/>
      <c r="CW48" s="5"/>
      <c r="CX48" s="5"/>
      <c r="CY48" s="5"/>
      <c r="CZ48" s="5"/>
      <c r="DA48" s="5"/>
    </row>
    <row r="49" spans="1:105">
      <c r="A49" s="5">
        <v>18025182704</v>
      </c>
      <c r="B49" s="5"/>
      <c r="C49" s="5"/>
      <c r="D49" s="5"/>
      <c r="E49" s="5" t="s">
        <v>19</v>
      </c>
      <c r="F49" s="5" t="s">
        <v>20</v>
      </c>
      <c r="G49" s="5"/>
      <c r="H49" s="5"/>
      <c r="I49" s="5"/>
      <c r="J49" s="5"/>
      <c r="K49" s="5" t="s">
        <v>25</v>
      </c>
      <c r="L49" s="5" t="s">
        <v>26</v>
      </c>
      <c r="M49" s="5"/>
      <c r="N49" s="5"/>
      <c r="O49" s="5"/>
      <c r="P49" s="5" t="s">
        <v>16</v>
      </c>
      <c r="Q49" s="5"/>
      <c r="R49" s="5"/>
      <c r="S49" s="5"/>
      <c r="T49" s="5" t="s">
        <v>20</v>
      </c>
      <c r="U49" s="5"/>
      <c r="V49" s="5"/>
      <c r="W49" s="5" t="s">
        <v>23</v>
      </c>
      <c r="X49" s="5"/>
      <c r="Y49" s="5" t="s">
        <v>25</v>
      </c>
      <c r="Z49" s="5" t="s">
        <v>26</v>
      </c>
      <c r="AA49" s="5" t="s">
        <v>27</v>
      </c>
      <c r="AB49" s="5"/>
      <c r="AC49" s="5"/>
      <c r="AD49" s="5"/>
      <c r="AE49" s="5"/>
      <c r="AF49" s="5"/>
      <c r="AG49" s="5"/>
      <c r="AH49" s="5"/>
      <c r="AI49" s="5" t="s">
        <v>34</v>
      </c>
      <c r="AJ49" s="5"/>
      <c r="AK49" s="5"/>
      <c r="AL49" s="5"/>
      <c r="AM49" s="5"/>
      <c r="AN49" s="5"/>
      <c r="AO49" s="5" t="s">
        <v>38</v>
      </c>
      <c r="AP49" s="5" t="s">
        <v>39</v>
      </c>
      <c r="AQ49" s="5"/>
      <c r="AR49" s="5" t="s">
        <v>41</v>
      </c>
      <c r="AS49" s="5" t="s">
        <v>42</v>
      </c>
      <c r="AT49" s="5"/>
      <c r="AU49" s="5" t="s">
        <v>43</v>
      </c>
      <c r="AV49" s="5"/>
      <c r="AW49" s="5"/>
      <c r="AX49" s="5" t="s">
        <v>46</v>
      </c>
      <c r="AY49" s="5"/>
      <c r="AZ49" s="5"/>
      <c r="BA49" s="5"/>
      <c r="BB49" s="5"/>
      <c r="BC49" s="5"/>
      <c r="BD49" s="5" t="s">
        <v>51</v>
      </c>
      <c r="BE49" s="5"/>
      <c r="BF49" s="5"/>
      <c r="BG49" s="5"/>
      <c r="BH49" s="5"/>
      <c r="BI49" s="5"/>
      <c r="BJ49" s="5"/>
      <c r="BK49" s="5"/>
      <c r="BL49" s="5"/>
      <c r="BM49" s="5"/>
      <c r="BN49" s="5"/>
      <c r="BO49" s="5" t="s">
        <v>20</v>
      </c>
      <c r="BP49" s="5"/>
      <c r="BQ49" s="5"/>
      <c r="BR49" s="5" t="s">
        <v>62</v>
      </c>
      <c r="BS49" s="5" t="s">
        <v>63</v>
      </c>
      <c r="BT49" s="5"/>
      <c r="BU49" s="5" t="s">
        <v>64</v>
      </c>
      <c r="BV49" s="5" t="s">
        <v>65</v>
      </c>
      <c r="BW49" s="5" t="s">
        <v>66</v>
      </c>
      <c r="BX49" s="5" t="s">
        <v>67</v>
      </c>
      <c r="BY49" s="5" t="s">
        <v>68</v>
      </c>
      <c r="BZ49" s="5" t="s">
        <v>69</v>
      </c>
      <c r="CA49" s="5" t="s">
        <v>70</v>
      </c>
      <c r="CB49" s="5"/>
      <c r="CC49" s="5"/>
      <c r="CD49" s="5"/>
      <c r="CE49" s="5"/>
      <c r="CF49" s="5" t="s">
        <v>75</v>
      </c>
      <c r="CG49" s="5" t="s">
        <v>76</v>
      </c>
      <c r="CH49" s="5"/>
      <c r="CI49" s="5" t="s">
        <v>414</v>
      </c>
      <c r="CJ49" s="5">
        <v>19</v>
      </c>
      <c r="CK49" s="5" t="s">
        <v>80</v>
      </c>
      <c r="CL49" s="5" t="s">
        <v>119</v>
      </c>
      <c r="CM49" s="5" t="s">
        <v>418</v>
      </c>
      <c r="CN49" s="5"/>
      <c r="CO49" s="5" t="s">
        <v>82</v>
      </c>
      <c r="CP49" s="5" t="s">
        <v>97</v>
      </c>
      <c r="CQ49" s="5" t="s">
        <v>88</v>
      </c>
      <c r="CR49" s="5" t="s">
        <v>89</v>
      </c>
      <c r="CS49" s="5" t="s">
        <v>86</v>
      </c>
      <c r="CT49" s="5" t="s">
        <v>384</v>
      </c>
      <c r="CU49" s="5"/>
      <c r="CV49" s="5"/>
      <c r="CW49" s="5"/>
      <c r="CX49" s="5"/>
      <c r="CY49" s="5"/>
      <c r="CZ49" s="5"/>
      <c r="DA49" s="5"/>
    </row>
    <row r="50" spans="1:105">
      <c r="A50" s="5">
        <v>18025182523</v>
      </c>
      <c r="B50" s="5"/>
      <c r="C50" s="5"/>
      <c r="D50" s="5"/>
      <c r="E50" s="5"/>
      <c r="F50" s="5"/>
      <c r="G50" s="5"/>
      <c r="H50" s="5"/>
      <c r="I50" s="5"/>
      <c r="J50" s="5"/>
      <c r="K50" s="5"/>
      <c r="L50" s="5"/>
      <c r="M50" s="5" t="s">
        <v>27</v>
      </c>
      <c r="N50" s="5" t="s">
        <v>28</v>
      </c>
      <c r="O50" s="5"/>
      <c r="P50" s="5"/>
      <c r="Q50" s="5" t="s">
        <v>17</v>
      </c>
      <c r="R50" s="5"/>
      <c r="S50" s="5"/>
      <c r="T50" s="5"/>
      <c r="U50" s="5"/>
      <c r="V50" s="5"/>
      <c r="W50" s="5"/>
      <c r="X50" s="5" t="s">
        <v>24</v>
      </c>
      <c r="Y50" s="5"/>
      <c r="Z50" s="5"/>
      <c r="AA50" s="5"/>
      <c r="AB50" s="5"/>
      <c r="AC50" s="5"/>
      <c r="AD50" s="5" t="s">
        <v>29</v>
      </c>
      <c r="AE50" s="5"/>
      <c r="AF50" s="5"/>
      <c r="AG50" s="5"/>
      <c r="AH50" s="5" t="s">
        <v>33</v>
      </c>
      <c r="AI50" s="5"/>
      <c r="AJ50" s="5"/>
      <c r="AK50" s="5"/>
      <c r="AL50" s="5"/>
      <c r="AM50" s="5"/>
      <c r="AN50" s="5"/>
      <c r="AO50" s="5" t="s">
        <v>38</v>
      </c>
      <c r="AP50" s="5"/>
      <c r="AQ50" s="5"/>
      <c r="AR50" s="5"/>
      <c r="AS50" s="5"/>
      <c r="AT50" s="5"/>
      <c r="AU50" s="5"/>
      <c r="AV50" s="5"/>
      <c r="AW50" s="5"/>
      <c r="AX50" s="5" t="s">
        <v>46</v>
      </c>
      <c r="AY50" s="5"/>
      <c r="AZ50" s="5"/>
      <c r="BA50" s="5"/>
      <c r="BB50" s="5" t="s">
        <v>49</v>
      </c>
      <c r="BC50" s="5"/>
      <c r="BD50" s="5"/>
      <c r="BE50" s="5"/>
      <c r="BF50" s="5"/>
      <c r="BG50" s="5"/>
      <c r="BH50" s="5" t="s">
        <v>54</v>
      </c>
      <c r="BI50" s="5"/>
      <c r="BJ50" s="5"/>
      <c r="BK50" s="5"/>
      <c r="BL50" s="5"/>
      <c r="BM50" s="5"/>
      <c r="BN50" s="5" t="s">
        <v>24</v>
      </c>
      <c r="BO50" s="5"/>
      <c r="BP50" s="5"/>
      <c r="BQ50" s="5"/>
      <c r="BR50" s="5" t="s">
        <v>62</v>
      </c>
      <c r="BS50" s="5"/>
      <c r="BT50" s="5"/>
      <c r="BU50" s="5" t="s">
        <v>64</v>
      </c>
      <c r="BV50" s="5"/>
      <c r="BW50" s="5"/>
      <c r="BX50" s="5" t="s">
        <v>67</v>
      </c>
      <c r="BY50" s="5"/>
      <c r="BZ50" s="5"/>
      <c r="CA50" s="5"/>
      <c r="CB50" s="5"/>
      <c r="CC50" s="5"/>
      <c r="CD50" s="5"/>
      <c r="CE50" s="5"/>
      <c r="CF50" s="5"/>
      <c r="CG50" s="5"/>
      <c r="CH50" s="5"/>
      <c r="CI50" s="5"/>
      <c r="CJ50" s="5">
        <v>65</v>
      </c>
      <c r="CK50" s="5" t="s">
        <v>80</v>
      </c>
      <c r="CL50" s="5" t="s">
        <v>113</v>
      </c>
      <c r="CM50" s="5" t="s">
        <v>418</v>
      </c>
      <c r="CN50" s="5"/>
      <c r="CO50" s="5" t="s">
        <v>82</v>
      </c>
      <c r="CP50" s="5" t="s">
        <v>93</v>
      </c>
      <c r="CQ50" s="5" t="s">
        <v>84</v>
      </c>
      <c r="CR50" s="5" t="s">
        <v>99</v>
      </c>
      <c r="CS50" s="5" t="s">
        <v>86</v>
      </c>
      <c r="CT50" s="5" t="s">
        <v>384</v>
      </c>
      <c r="CU50" s="5"/>
      <c r="CV50" s="5"/>
      <c r="CW50" s="5"/>
      <c r="CX50" s="5"/>
      <c r="CY50" s="5"/>
      <c r="CZ50" s="5"/>
      <c r="DA50" s="5"/>
    </row>
    <row r="51" spans="1:105">
      <c r="A51" s="5">
        <v>18025182362</v>
      </c>
      <c r="B51" s="5"/>
      <c r="C51" s="5"/>
      <c r="D51" s="5"/>
      <c r="E51" s="5"/>
      <c r="F51" s="5"/>
      <c r="G51" s="5"/>
      <c r="H51" s="5"/>
      <c r="I51" s="5"/>
      <c r="J51" s="5"/>
      <c r="K51" s="5" t="s">
        <v>25</v>
      </c>
      <c r="L51" s="5"/>
      <c r="M51" s="5"/>
      <c r="N51" s="5"/>
      <c r="O51" s="5"/>
      <c r="P51" s="5"/>
      <c r="Q51" s="5"/>
      <c r="R51" s="5"/>
      <c r="S51" s="5"/>
      <c r="T51" s="5"/>
      <c r="U51" s="5"/>
      <c r="V51" s="5"/>
      <c r="W51" s="5"/>
      <c r="X51" s="5"/>
      <c r="Y51" s="5" t="s">
        <v>25</v>
      </c>
      <c r="Z51" s="5"/>
      <c r="AA51" s="5"/>
      <c r="AB51" s="5"/>
      <c r="AC51" s="5"/>
      <c r="AD51" s="5" t="s">
        <v>29</v>
      </c>
      <c r="AE51" s="5"/>
      <c r="AF51" s="5"/>
      <c r="AG51" s="5"/>
      <c r="AH51" s="5" t="s">
        <v>33</v>
      </c>
      <c r="AI51" s="5"/>
      <c r="AJ51" s="5"/>
      <c r="AK51" s="5" t="s">
        <v>36</v>
      </c>
      <c r="AL51" s="5"/>
      <c r="AM51" s="5"/>
      <c r="AN51" s="5"/>
      <c r="AO51" s="5"/>
      <c r="AP51" s="5" t="s">
        <v>39</v>
      </c>
      <c r="AQ51" s="5"/>
      <c r="AR51" s="5"/>
      <c r="AS51" s="5" t="s">
        <v>42</v>
      </c>
      <c r="AT51" s="5"/>
      <c r="AU51" s="5"/>
      <c r="AV51" s="5"/>
      <c r="AW51" s="5"/>
      <c r="AX51" s="5"/>
      <c r="AY51" s="5" t="s">
        <v>47</v>
      </c>
      <c r="AZ51" s="5"/>
      <c r="BA51" s="5"/>
      <c r="BB51" s="5"/>
      <c r="BC51" s="5"/>
      <c r="BD51" s="5" t="s">
        <v>51</v>
      </c>
      <c r="BE51" s="5"/>
      <c r="BF51" s="5"/>
      <c r="BG51" s="5"/>
      <c r="BH51" s="5"/>
      <c r="BI51" s="5"/>
      <c r="BJ51" s="5"/>
      <c r="BK51" s="5"/>
      <c r="BL51" s="5"/>
      <c r="BM51" s="5"/>
      <c r="BN51" s="5"/>
      <c r="BO51" s="5"/>
      <c r="BP51" s="5"/>
      <c r="BQ51" s="5"/>
      <c r="BR51" s="5"/>
      <c r="BS51" s="5"/>
      <c r="BT51" s="5"/>
      <c r="BU51" s="5" t="s">
        <v>64</v>
      </c>
      <c r="BV51" s="5"/>
      <c r="BW51" s="5" t="s">
        <v>66</v>
      </c>
      <c r="BX51" s="5"/>
      <c r="BY51" s="5"/>
      <c r="BZ51" s="5" t="s">
        <v>69</v>
      </c>
      <c r="CA51" s="5"/>
      <c r="CB51" s="5"/>
      <c r="CC51" s="5"/>
      <c r="CD51" s="5"/>
      <c r="CE51" s="5"/>
      <c r="CF51" s="5"/>
      <c r="CG51" s="5"/>
      <c r="CH51" s="5"/>
      <c r="CI51" s="5" t="s">
        <v>414</v>
      </c>
      <c r="CJ51" s="5">
        <v>30</v>
      </c>
      <c r="CK51" s="5" t="s">
        <v>141</v>
      </c>
      <c r="CL51" s="5" t="s">
        <v>155</v>
      </c>
      <c r="CM51" s="5"/>
      <c r="CN51" s="5"/>
      <c r="CO51" s="5" t="s">
        <v>101</v>
      </c>
      <c r="CP51" s="5" t="s">
        <v>97</v>
      </c>
      <c r="CQ51" s="5" t="s">
        <v>88</v>
      </c>
      <c r="CR51" s="5" t="s">
        <v>92</v>
      </c>
      <c r="CS51" s="5" t="s">
        <v>81</v>
      </c>
      <c r="CT51" s="5"/>
      <c r="CU51" s="5"/>
      <c r="CV51" s="5"/>
      <c r="CW51" s="5"/>
      <c r="CX51" s="5"/>
      <c r="CY51" s="5"/>
      <c r="CZ51" s="5"/>
      <c r="DA51" s="5"/>
    </row>
    <row r="52" spans="1:105">
      <c r="A52" s="5">
        <v>18025182185</v>
      </c>
      <c r="B52" s="5"/>
      <c r="C52" s="5"/>
      <c r="D52" s="5"/>
      <c r="E52" s="5"/>
      <c r="F52" s="5" t="s">
        <v>20</v>
      </c>
      <c r="G52" s="5"/>
      <c r="H52" s="5"/>
      <c r="I52" s="5"/>
      <c r="J52" s="5"/>
      <c r="K52" s="5" t="s">
        <v>25</v>
      </c>
      <c r="L52" s="5"/>
      <c r="M52" s="5"/>
      <c r="N52" s="5"/>
      <c r="O52" s="5"/>
      <c r="P52" s="5" t="s">
        <v>16</v>
      </c>
      <c r="Q52" s="5"/>
      <c r="R52" s="5"/>
      <c r="S52" s="5"/>
      <c r="T52" s="5"/>
      <c r="U52" s="5"/>
      <c r="V52" s="5" t="s">
        <v>22</v>
      </c>
      <c r="W52" s="5"/>
      <c r="X52" s="5" t="s">
        <v>24</v>
      </c>
      <c r="Y52" s="5"/>
      <c r="Z52" s="5"/>
      <c r="AA52" s="5"/>
      <c r="AB52" s="5"/>
      <c r="AC52" s="5"/>
      <c r="AD52" s="5" t="s">
        <v>29</v>
      </c>
      <c r="AE52" s="5"/>
      <c r="AF52" s="5"/>
      <c r="AG52" s="5"/>
      <c r="AH52" s="5"/>
      <c r="AI52" s="5"/>
      <c r="AJ52" s="5"/>
      <c r="AK52" s="5"/>
      <c r="AL52" s="5" t="s">
        <v>37</v>
      </c>
      <c r="AM52" s="5"/>
      <c r="AN52" s="5"/>
      <c r="AO52" s="5"/>
      <c r="AP52" s="5"/>
      <c r="AQ52" s="5"/>
      <c r="AR52" s="5"/>
      <c r="AS52" s="5"/>
      <c r="AT52" s="5"/>
      <c r="AU52" s="5" t="s">
        <v>43</v>
      </c>
      <c r="AV52" s="5"/>
      <c r="AW52" s="5"/>
      <c r="AX52" s="5"/>
      <c r="AY52" s="5"/>
      <c r="AZ52" s="5"/>
      <c r="BA52" s="5"/>
      <c r="BB52" s="5"/>
      <c r="BC52" s="5"/>
      <c r="BD52" s="5"/>
      <c r="BE52" s="5"/>
      <c r="BF52" s="5"/>
      <c r="BG52" s="5"/>
      <c r="BH52" s="5"/>
      <c r="BI52" s="5"/>
      <c r="BJ52" s="5"/>
      <c r="BK52" s="5"/>
      <c r="BL52" s="5"/>
      <c r="BM52" s="5"/>
      <c r="BN52" s="5" t="s">
        <v>24</v>
      </c>
      <c r="BO52" s="5"/>
      <c r="BP52" s="5"/>
      <c r="BQ52" s="5"/>
      <c r="BR52" s="5"/>
      <c r="BS52" s="5"/>
      <c r="BT52" s="5"/>
      <c r="BU52" s="5"/>
      <c r="BV52" s="5"/>
      <c r="BW52" s="5"/>
      <c r="BX52" s="5"/>
      <c r="BY52" s="5"/>
      <c r="BZ52" s="5" t="s">
        <v>69</v>
      </c>
      <c r="CA52" s="5"/>
      <c r="CB52" s="5"/>
      <c r="CC52" s="5"/>
      <c r="CD52" s="5"/>
      <c r="CE52" s="5" t="s">
        <v>74</v>
      </c>
      <c r="CF52" s="5" t="s">
        <v>75</v>
      </c>
      <c r="CG52" s="5"/>
      <c r="CH52" s="5"/>
      <c r="CI52" s="5" t="s">
        <v>417</v>
      </c>
      <c r="CJ52" s="5">
        <v>37</v>
      </c>
      <c r="CK52" s="5" t="s">
        <v>141</v>
      </c>
      <c r="CL52" s="5" t="s">
        <v>155</v>
      </c>
      <c r="CM52" s="5"/>
      <c r="CN52" s="5"/>
      <c r="CO52" s="5" t="s">
        <v>427</v>
      </c>
      <c r="CP52" s="5"/>
      <c r="CQ52" s="5" t="s">
        <v>103</v>
      </c>
      <c r="CR52" s="5" t="s">
        <v>85</v>
      </c>
      <c r="CS52" s="5" t="s">
        <v>86</v>
      </c>
      <c r="CT52" s="5" t="s">
        <v>384</v>
      </c>
      <c r="CU52" s="5"/>
      <c r="CV52" s="5"/>
      <c r="CW52" s="5"/>
      <c r="CX52" s="5"/>
      <c r="CY52" s="5"/>
      <c r="CZ52" s="5"/>
      <c r="DA52" s="5"/>
    </row>
    <row r="53" spans="1:105">
      <c r="A53" s="5">
        <v>18025182059</v>
      </c>
      <c r="B53" s="5"/>
      <c r="C53" s="5" t="s">
        <v>17</v>
      </c>
      <c r="D53" s="5"/>
      <c r="E53" s="5"/>
      <c r="F53" s="5"/>
      <c r="G53" s="5"/>
      <c r="H53" s="5"/>
      <c r="I53" s="5"/>
      <c r="J53" s="5"/>
      <c r="K53" s="5"/>
      <c r="L53" s="5"/>
      <c r="M53" s="5" t="s">
        <v>27</v>
      </c>
      <c r="N53" s="5"/>
      <c r="O53" s="5"/>
      <c r="P53" s="5"/>
      <c r="Q53" s="5" t="s">
        <v>17</v>
      </c>
      <c r="R53" s="5"/>
      <c r="S53" s="5"/>
      <c r="T53" s="5"/>
      <c r="U53" s="5"/>
      <c r="V53" s="5"/>
      <c r="W53" s="5"/>
      <c r="X53" s="5"/>
      <c r="Y53" s="5"/>
      <c r="Z53" s="5"/>
      <c r="AA53" s="5" t="s">
        <v>27</v>
      </c>
      <c r="AB53" s="5"/>
      <c r="AC53" s="5"/>
      <c r="AD53" s="5" t="s">
        <v>29</v>
      </c>
      <c r="AE53" s="5"/>
      <c r="AF53" s="5" t="s">
        <v>31</v>
      </c>
      <c r="AG53" s="5"/>
      <c r="AH53" s="5"/>
      <c r="AI53" s="5"/>
      <c r="AJ53" s="5"/>
      <c r="AK53" s="5"/>
      <c r="AL53" s="5"/>
      <c r="AM53" s="5" t="s">
        <v>375</v>
      </c>
      <c r="AN53" s="5"/>
      <c r="AO53" s="5"/>
      <c r="AP53" s="5" t="s">
        <v>39</v>
      </c>
      <c r="AQ53" s="5"/>
      <c r="AR53" s="5"/>
      <c r="AS53" s="5"/>
      <c r="AT53" s="5"/>
      <c r="AU53" s="5" t="s">
        <v>43</v>
      </c>
      <c r="AV53" s="5"/>
      <c r="AW53" s="5"/>
      <c r="AX53" s="5"/>
      <c r="AY53" s="5" t="s">
        <v>47</v>
      </c>
      <c r="AZ53" s="5"/>
      <c r="BA53" s="5"/>
      <c r="BB53" s="5"/>
      <c r="BC53" s="5"/>
      <c r="BD53" s="5" t="s">
        <v>51</v>
      </c>
      <c r="BE53" s="5"/>
      <c r="BF53" s="5"/>
      <c r="BG53" s="5"/>
      <c r="BH53" s="5"/>
      <c r="BI53" s="5" t="s">
        <v>55</v>
      </c>
      <c r="BJ53" s="5"/>
      <c r="BK53" s="5"/>
      <c r="BL53" s="5"/>
      <c r="BM53" s="5"/>
      <c r="BN53" s="5" t="s">
        <v>24</v>
      </c>
      <c r="BO53" s="5"/>
      <c r="BP53" s="5"/>
      <c r="BQ53" s="5"/>
      <c r="BR53" s="5"/>
      <c r="BS53" s="5"/>
      <c r="BT53" s="5"/>
      <c r="BU53" s="5" t="s">
        <v>64</v>
      </c>
      <c r="BV53" s="5"/>
      <c r="BW53" s="5" t="s">
        <v>66</v>
      </c>
      <c r="BX53" s="5"/>
      <c r="BY53" s="5"/>
      <c r="BZ53" s="5"/>
      <c r="CA53" s="5"/>
      <c r="CB53" s="5"/>
      <c r="CC53" s="5"/>
      <c r="CD53" s="5"/>
      <c r="CE53" s="5"/>
      <c r="CF53" s="5" t="s">
        <v>75</v>
      </c>
      <c r="CG53" s="5"/>
      <c r="CH53" s="5"/>
      <c r="CI53" s="5" t="s">
        <v>414</v>
      </c>
      <c r="CJ53" s="5">
        <v>58</v>
      </c>
      <c r="CK53" s="5" t="s">
        <v>141</v>
      </c>
      <c r="CL53" s="5" t="s">
        <v>377</v>
      </c>
      <c r="CM53" s="5" t="s">
        <v>418</v>
      </c>
      <c r="CN53" s="5" t="s">
        <v>416</v>
      </c>
      <c r="CO53" s="5" t="s">
        <v>82</v>
      </c>
      <c r="CP53" s="5" t="s">
        <v>83</v>
      </c>
      <c r="CQ53" s="5" t="s">
        <v>111</v>
      </c>
      <c r="CR53" s="5" t="s">
        <v>105</v>
      </c>
      <c r="CS53" s="5" t="s">
        <v>86</v>
      </c>
      <c r="CT53" s="5"/>
      <c r="CU53" s="5"/>
      <c r="CV53" s="5"/>
      <c r="CW53" s="5"/>
      <c r="CX53" s="5"/>
      <c r="CY53" s="5"/>
      <c r="CZ53" s="5"/>
      <c r="DA53" s="5"/>
    </row>
    <row r="54" spans="1:105">
      <c r="A54" s="5">
        <v>18025181795</v>
      </c>
      <c r="B54" s="5"/>
      <c r="C54" s="5" t="s">
        <v>17</v>
      </c>
      <c r="D54" s="5"/>
      <c r="E54" s="5"/>
      <c r="F54" s="5"/>
      <c r="G54" s="5"/>
      <c r="H54" s="5"/>
      <c r="I54" s="5"/>
      <c r="J54" s="5"/>
      <c r="K54" s="5"/>
      <c r="L54" s="5"/>
      <c r="M54" s="5" t="s">
        <v>27</v>
      </c>
      <c r="N54" s="5"/>
      <c r="O54" s="5"/>
      <c r="P54" s="5"/>
      <c r="Q54" s="5" t="s">
        <v>17</v>
      </c>
      <c r="R54" s="5"/>
      <c r="S54" s="5"/>
      <c r="T54" s="5"/>
      <c r="U54" s="5"/>
      <c r="V54" s="5"/>
      <c r="W54" s="5"/>
      <c r="X54" s="5"/>
      <c r="Y54" s="5"/>
      <c r="Z54" s="5"/>
      <c r="AA54" s="5" t="s">
        <v>27</v>
      </c>
      <c r="AB54" s="5"/>
      <c r="AC54" s="5"/>
      <c r="AD54" s="5" t="s">
        <v>29</v>
      </c>
      <c r="AE54" s="5"/>
      <c r="AF54" s="5" t="s">
        <v>31</v>
      </c>
      <c r="AG54" s="5"/>
      <c r="AH54" s="5"/>
      <c r="AI54" s="5"/>
      <c r="AJ54" s="5"/>
      <c r="AK54" s="5"/>
      <c r="AL54" s="5"/>
      <c r="AM54" s="5" t="s">
        <v>375</v>
      </c>
      <c r="AN54" s="5"/>
      <c r="AO54" s="5"/>
      <c r="AP54" s="5" t="s">
        <v>39</v>
      </c>
      <c r="AQ54" s="5"/>
      <c r="AR54" s="5"/>
      <c r="AS54" s="5"/>
      <c r="AT54" s="5"/>
      <c r="AU54" s="5" t="s">
        <v>43</v>
      </c>
      <c r="AV54" s="5"/>
      <c r="AW54" s="5"/>
      <c r="AX54" s="5"/>
      <c r="AY54" s="5" t="s">
        <v>47</v>
      </c>
      <c r="AZ54" s="5"/>
      <c r="BA54" s="5"/>
      <c r="BB54" s="5"/>
      <c r="BC54" s="5"/>
      <c r="BD54" s="5" t="s">
        <v>51</v>
      </c>
      <c r="BE54" s="5"/>
      <c r="BF54" s="5"/>
      <c r="BG54" s="5"/>
      <c r="BH54" s="5"/>
      <c r="BI54" s="5" t="s">
        <v>55</v>
      </c>
      <c r="BJ54" s="5"/>
      <c r="BK54" s="5"/>
      <c r="BL54" s="5"/>
      <c r="BM54" s="5"/>
      <c r="BN54" s="5" t="s">
        <v>24</v>
      </c>
      <c r="BO54" s="5"/>
      <c r="BP54" s="5"/>
      <c r="BQ54" s="5"/>
      <c r="BR54" s="5"/>
      <c r="BS54" s="5"/>
      <c r="BT54" s="5"/>
      <c r="BU54" s="5" t="s">
        <v>64</v>
      </c>
      <c r="BV54" s="5"/>
      <c r="BW54" s="5" t="s">
        <v>66</v>
      </c>
      <c r="BX54" s="5"/>
      <c r="BY54" s="5"/>
      <c r="BZ54" s="5"/>
      <c r="CA54" s="5"/>
      <c r="CB54" s="5"/>
      <c r="CC54" s="5"/>
      <c r="CD54" s="5"/>
      <c r="CE54" s="5"/>
      <c r="CF54" s="5" t="s">
        <v>75</v>
      </c>
      <c r="CG54" s="5"/>
      <c r="CH54" s="5"/>
      <c r="CI54" s="5" t="s">
        <v>414</v>
      </c>
      <c r="CJ54" s="5">
        <v>58</v>
      </c>
      <c r="CK54" s="5" t="s">
        <v>141</v>
      </c>
      <c r="CL54" s="5" t="s">
        <v>377</v>
      </c>
      <c r="CM54" s="5" t="s">
        <v>418</v>
      </c>
      <c r="CN54" s="5" t="s">
        <v>416</v>
      </c>
      <c r="CO54" s="5" t="s">
        <v>82</v>
      </c>
      <c r="CP54" s="5" t="s">
        <v>83</v>
      </c>
      <c r="CQ54" s="5" t="s">
        <v>111</v>
      </c>
      <c r="CR54" s="5" t="s">
        <v>85</v>
      </c>
      <c r="CS54" s="5" t="s">
        <v>86</v>
      </c>
      <c r="CT54" s="5"/>
      <c r="CU54" s="5"/>
      <c r="CV54" s="5"/>
      <c r="CW54" s="5"/>
      <c r="CX54" s="5"/>
      <c r="CY54" s="5"/>
      <c r="CZ54" s="5"/>
      <c r="DA54" s="5"/>
    </row>
    <row r="55" spans="1:105">
      <c r="A55" s="5">
        <v>18025181633</v>
      </c>
      <c r="B55" s="5"/>
      <c r="C55" s="5"/>
      <c r="D55" s="5" t="s">
        <v>18</v>
      </c>
      <c r="E55" s="5" t="s">
        <v>19</v>
      </c>
      <c r="F55" s="5"/>
      <c r="G55" s="5"/>
      <c r="H55" s="5"/>
      <c r="I55" s="5"/>
      <c r="J55" s="5"/>
      <c r="K55" s="5" t="s">
        <v>25</v>
      </c>
      <c r="L55" s="5"/>
      <c r="M55" s="5"/>
      <c r="N55" s="5"/>
      <c r="O55" s="5"/>
      <c r="P55" s="5" t="s">
        <v>16</v>
      </c>
      <c r="Q55" s="5"/>
      <c r="R55" s="5"/>
      <c r="S55" s="5" t="s">
        <v>19</v>
      </c>
      <c r="T55" s="5"/>
      <c r="U55" s="5"/>
      <c r="V55" s="5"/>
      <c r="W55" s="5"/>
      <c r="X55" s="5"/>
      <c r="Y55" s="5" t="s">
        <v>25</v>
      </c>
      <c r="Z55" s="5"/>
      <c r="AA55" s="5"/>
      <c r="AB55" s="5"/>
      <c r="AC55" s="5"/>
      <c r="AD55" s="5"/>
      <c r="AE55" s="5"/>
      <c r="AF55" s="5" t="s">
        <v>31</v>
      </c>
      <c r="AG55" s="5"/>
      <c r="AH55" s="5"/>
      <c r="AI55" s="5"/>
      <c r="AJ55" s="5" t="s">
        <v>35</v>
      </c>
      <c r="AK55" s="5" t="s">
        <v>36</v>
      </c>
      <c r="AL55" s="5"/>
      <c r="AM55" s="5"/>
      <c r="AN55" s="5"/>
      <c r="AO55" s="5"/>
      <c r="AP55" s="5" t="s">
        <v>39</v>
      </c>
      <c r="AQ55" s="5"/>
      <c r="AR55" s="5" t="s">
        <v>41</v>
      </c>
      <c r="AS55" s="5"/>
      <c r="AT55" s="5"/>
      <c r="AU55" s="5"/>
      <c r="AV55" s="5"/>
      <c r="AW55" s="5"/>
      <c r="AX55" s="5"/>
      <c r="AY55" s="5" t="s">
        <v>47</v>
      </c>
      <c r="AZ55" s="5"/>
      <c r="BA55" s="5"/>
      <c r="BB55" s="5"/>
      <c r="BC55" s="5"/>
      <c r="BD55" s="5" t="s">
        <v>51</v>
      </c>
      <c r="BE55" s="5"/>
      <c r="BF55" s="5"/>
      <c r="BG55" s="5"/>
      <c r="BH55" s="5"/>
      <c r="BI55" s="5"/>
      <c r="BJ55" s="5"/>
      <c r="BK55" s="5"/>
      <c r="BL55" s="5" t="s">
        <v>58</v>
      </c>
      <c r="BM55" s="5"/>
      <c r="BN55" s="5"/>
      <c r="BO55" s="5"/>
      <c r="BP55" s="5"/>
      <c r="BQ55" s="5"/>
      <c r="BR55" s="5"/>
      <c r="BS55" s="5" t="s">
        <v>63</v>
      </c>
      <c r="BT55" s="5"/>
      <c r="BU55" s="5"/>
      <c r="BV55" s="5"/>
      <c r="BW55" s="5" t="s">
        <v>66</v>
      </c>
      <c r="BX55" s="5"/>
      <c r="BY55" s="5"/>
      <c r="BZ55" s="5" t="s">
        <v>69</v>
      </c>
      <c r="CA55" s="5"/>
      <c r="CB55" s="5"/>
      <c r="CC55" s="5"/>
      <c r="CD55" s="5"/>
      <c r="CE55" s="5"/>
      <c r="CF55" s="5" t="s">
        <v>75</v>
      </c>
      <c r="CG55" s="5"/>
      <c r="CH55" s="5"/>
      <c r="CI55" s="5" t="s">
        <v>414</v>
      </c>
      <c r="CJ55" s="5">
        <v>26</v>
      </c>
      <c r="CK55" s="5" t="s">
        <v>356</v>
      </c>
      <c r="CL55" s="5">
        <v>11231</v>
      </c>
      <c r="CM55" s="5" t="s">
        <v>418</v>
      </c>
      <c r="CN55" s="5" t="s">
        <v>419</v>
      </c>
      <c r="CO55" s="5" t="s">
        <v>82</v>
      </c>
      <c r="CP55" s="5" t="s">
        <v>94</v>
      </c>
      <c r="CQ55" s="5" t="s">
        <v>84</v>
      </c>
      <c r="CR55" s="5" t="s">
        <v>85</v>
      </c>
      <c r="CS55" s="5" t="s">
        <v>86</v>
      </c>
      <c r="CT55" s="5" t="s">
        <v>384</v>
      </c>
      <c r="CU55" s="5"/>
      <c r="CV55" s="5"/>
      <c r="CW55" s="5"/>
      <c r="CX55" s="5"/>
      <c r="CY55" s="5"/>
      <c r="CZ55" s="5"/>
      <c r="DA55" s="5"/>
    </row>
    <row r="56" spans="1:105">
      <c r="A56" s="5">
        <v>18025180780</v>
      </c>
      <c r="B56" s="5"/>
      <c r="C56" s="5"/>
      <c r="D56" s="5" t="s">
        <v>18</v>
      </c>
      <c r="E56" s="5"/>
      <c r="F56" s="5"/>
      <c r="G56" s="5"/>
      <c r="H56" s="5"/>
      <c r="I56" s="5" t="s">
        <v>23</v>
      </c>
      <c r="J56" s="5"/>
      <c r="K56" s="5" t="s">
        <v>25</v>
      </c>
      <c r="L56" s="5" t="s">
        <v>26</v>
      </c>
      <c r="M56" s="5"/>
      <c r="N56" s="5"/>
      <c r="O56" s="5"/>
      <c r="P56" s="5"/>
      <c r="Q56" s="5"/>
      <c r="R56" s="5" t="s">
        <v>18</v>
      </c>
      <c r="S56" s="5"/>
      <c r="T56" s="5"/>
      <c r="U56" s="5"/>
      <c r="V56" s="5"/>
      <c r="W56" s="5"/>
      <c r="X56" s="5"/>
      <c r="Y56" s="5"/>
      <c r="Z56" s="5"/>
      <c r="AA56" s="5"/>
      <c r="AB56" s="5" t="s">
        <v>28</v>
      </c>
      <c r="AC56" s="5"/>
      <c r="AD56" s="5"/>
      <c r="AE56" s="5"/>
      <c r="AF56" s="5"/>
      <c r="AG56" s="5"/>
      <c r="AH56" s="5" t="s">
        <v>33</v>
      </c>
      <c r="AI56" s="5"/>
      <c r="AJ56" s="5"/>
      <c r="AK56" s="5" t="s">
        <v>36</v>
      </c>
      <c r="AL56" s="5" t="s">
        <v>37</v>
      </c>
      <c r="AM56" s="5"/>
      <c r="AN56" s="5"/>
      <c r="AO56" s="5"/>
      <c r="AP56" s="5" t="s">
        <v>39</v>
      </c>
      <c r="AQ56" s="5"/>
      <c r="AR56" s="5"/>
      <c r="AS56" s="5"/>
      <c r="AT56" s="5"/>
      <c r="AU56" s="5"/>
      <c r="AV56" s="5" t="s">
        <v>44</v>
      </c>
      <c r="AW56" s="5"/>
      <c r="AX56" s="5" t="s">
        <v>46</v>
      </c>
      <c r="AY56" s="5"/>
      <c r="AZ56" s="5"/>
      <c r="BA56" s="5"/>
      <c r="BB56" s="5" t="s">
        <v>49</v>
      </c>
      <c r="BC56" s="5"/>
      <c r="BD56" s="5"/>
      <c r="BE56" s="5" t="s">
        <v>17</v>
      </c>
      <c r="BF56" s="5"/>
      <c r="BG56" s="5"/>
      <c r="BH56" s="5"/>
      <c r="BI56" s="5"/>
      <c r="BJ56" s="5"/>
      <c r="BK56" s="5"/>
      <c r="BL56" s="5"/>
      <c r="BM56" s="5"/>
      <c r="BN56" s="5"/>
      <c r="BO56" s="5"/>
      <c r="BP56" s="5"/>
      <c r="BQ56" s="5"/>
      <c r="BR56" s="5"/>
      <c r="BS56" s="5" t="s">
        <v>63</v>
      </c>
      <c r="BT56" s="5"/>
      <c r="BU56" s="5" t="s">
        <v>64</v>
      </c>
      <c r="BV56" s="5"/>
      <c r="BW56" s="5"/>
      <c r="BX56" s="5" t="s">
        <v>67</v>
      </c>
      <c r="BY56" s="5"/>
      <c r="BZ56" s="5"/>
      <c r="CA56" s="5" t="s">
        <v>70</v>
      </c>
      <c r="CB56" s="5"/>
      <c r="CC56" s="5"/>
      <c r="CD56" s="5"/>
      <c r="CE56" s="5"/>
      <c r="CF56" s="5"/>
      <c r="CG56" s="5"/>
      <c r="CH56" s="5"/>
      <c r="CI56" s="5" t="s">
        <v>414</v>
      </c>
      <c r="CJ56" s="5">
        <v>42</v>
      </c>
      <c r="CK56" s="5" t="s">
        <v>80</v>
      </c>
      <c r="CL56" s="5" t="s">
        <v>139</v>
      </c>
      <c r="CM56" s="5" t="s">
        <v>415</v>
      </c>
      <c r="CN56" s="5" t="s">
        <v>416</v>
      </c>
      <c r="CO56" s="5" t="s">
        <v>428</v>
      </c>
      <c r="CP56" s="5" t="s">
        <v>93</v>
      </c>
      <c r="CQ56" s="5" t="s">
        <v>95</v>
      </c>
      <c r="CR56" s="5" t="s">
        <v>105</v>
      </c>
      <c r="CS56" s="5" t="s">
        <v>86</v>
      </c>
      <c r="CT56" s="5"/>
      <c r="CU56" s="5"/>
      <c r="CV56" s="5"/>
      <c r="CW56" s="5"/>
      <c r="CX56" s="5"/>
      <c r="CY56" s="5"/>
      <c r="CZ56" s="5"/>
      <c r="DA56" s="5"/>
    </row>
    <row r="57" spans="1:105">
      <c r="A57" s="5">
        <v>18025180610</v>
      </c>
      <c r="B57" s="5"/>
      <c r="C57" s="5" t="s">
        <v>17</v>
      </c>
      <c r="D57" s="5"/>
      <c r="E57" s="5" t="s">
        <v>19</v>
      </c>
      <c r="F57" s="5"/>
      <c r="G57" s="5"/>
      <c r="H57" s="5"/>
      <c r="I57" s="5"/>
      <c r="J57" s="5"/>
      <c r="K57" s="5" t="s">
        <v>25</v>
      </c>
      <c r="L57" s="5"/>
      <c r="M57" s="5"/>
      <c r="N57" s="5"/>
      <c r="O57" s="5"/>
      <c r="P57" s="5"/>
      <c r="Q57" s="5"/>
      <c r="R57" s="5"/>
      <c r="S57" s="5" t="s">
        <v>19</v>
      </c>
      <c r="T57" s="5"/>
      <c r="U57" s="5"/>
      <c r="V57" s="5" t="s">
        <v>22</v>
      </c>
      <c r="W57" s="5"/>
      <c r="X57" s="5"/>
      <c r="Y57" s="5" t="s">
        <v>25</v>
      </c>
      <c r="Z57" s="5"/>
      <c r="AA57" s="5"/>
      <c r="AB57" s="5"/>
      <c r="AC57" s="5"/>
      <c r="AD57" s="5"/>
      <c r="AE57" s="5"/>
      <c r="AF57" s="5" t="s">
        <v>31</v>
      </c>
      <c r="AG57" s="5"/>
      <c r="AH57" s="5"/>
      <c r="AI57" s="5"/>
      <c r="AJ57" s="5"/>
      <c r="AK57" s="5" t="s">
        <v>36</v>
      </c>
      <c r="AL57" s="5" t="s">
        <v>37</v>
      </c>
      <c r="AM57" s="5"/>
      <c r="AN57" s="5"/>
      <c r="AO57" s="5"/>
      <c r="AP57" s="5" t="s">
        <v>39</v>
      </c>
      <c r="AQ57" s="5"/>
      <c r="AR57" s="5"/>
      <c r="AS57" s="5"/>
      <c r="AT57" s="5"/>
      <c r="AU57" s="5" t="s">
        <v>43</v>
      </c>
      <c r="AV57" s="5" t="s">
        <v>44</v>
      </c>
      <c r="AW57" s="5"/>
      <c r="AX57" s="5"/>
      <c r="AY57" s="5"/>
      <c r="AZ57" s="5"/>
      <c r="BA57" s="5"/>
      <c r="BB57" s="5"/>
      <c r="BC57" s="5"/>
      <c r="BD57" s="5" t="s">
        <v>51</v>
      </c>
      <c r="BE57" s="5"/>
      <c r="BF57" s="5"/>
      <c r="BG57" s="5"/>
      <c r="BH57" s="5"/>
      <c r="BI57" s="5"/>
      <c r="BJ57" s="5"/>
      <c r="BK57" s="5"/>
      <c r="BL57" s="5"/>
      <c r="BM57" s="5"/>
      <c r="BN57" s="5"/>
      <c r="BO57" s="5"/>
      <c r="BP57" s="5"/>
      <c r="BQ57" s="5"/>
      <c r="BR57" s="5" t="s">
        <v>62</v>
      </c>
      <c r="BS57" s="5" t="s">
        <v>63</v>
      </c>
      <c r="BT57" s="5"/>
      <c r="BU57" s="5" t="s">
        <v>64</v>
      </c>
      <c r="BV57" s="5"/>
      <c r="BW57" s="5"/>
      <c r="BX57" s="5" t="s">
        <v>67</v>
      </c>
      <c r="BY57" s="5"/>
      <c r="BZ57" s="5"/>
      <c r="CA57" s="5" t="s">
        <v>70</v>
      </c>
      <c r="CB57" s="5"/>
      <c r="CC57" s="5"/>
      <c r="CD57" s="5"/>
      <c r="CE57" s="5"/>
      <c r="CF57" s="5" t="s">
        <v>75</v>
      </c>
      <c r="CG57" s="5"/>
      <c r="CH57" s="5"/>
      <c r="CI57" s="5" t="s">
        <v>417</v>
      </c>
      <c r="CJ57" s="5">
        <v>44</v>
      </c>
      <c r="CK57" s="5" t="s">
        <v>141</v>
      </c>
      <c r="CL57" s="5" t="s">
        <v>155</v>
      </c>
      <c r="CM57" s="5" t="s">
        <v>415</v>
      </c>
      <c r="CN57" s="5" t="s">
        <v>416</v>
      </c>
      <c r="CO57" s="5" t="s">
        <v>142</v>
      </c>
      <c r="CP57" s="5" t="s">
        <v>93</v>
      </c>
      <c r="CQ57" s="5" t="s">
        <v>84</v>
      </c>
      <c r="CR57" s="5" t="s">
        <v>85</v>
      </c>
      <c r="CS57" s="5" t="s">
        <v>86</v>
      </c>
      <c r="CT57" s="5"/>
      <c r="CU57" s="5"/>
      <c r="CV57" s="5"/>
      <c r="CW57" s="5"/>
      <c r="CX57" s="5"/>
      <c r="CY57" s="5"/>
      <c r="CZ57" s="5"/>
      <c r="DA57" s="5"/>
    </row>
    <row r="58" spans="1:105">
      <c r="A58" s="5">
        <v>18025180456</v>
      </c>
      <c r="B58" s="5"/>
      <c r="C58" s="5" t="s">
        <v>17</v>
      </c>
      <c r="D58" s="5"/>
      <c r="E58" s="5" t="s">
        <v>19</v>
      </c>
      <c r="F58" s="5"/>
      <c r="G58" s="5"/>
      <c r="H58" s="5" t="s">
        <v>22</v>
      </c>
      <c r="I58" s="5"/>
      <c r="J58" s="5"/>
      <c r="K58" s="5"/>
      <c r="L58" s="5"/>
      <c r="M58" s="5"/>
      <c r="N58" s="5"/>
      <c r="O58" s="5"/>
      <c r="P58" s="5"/>
      <c r="Q58" s="5"/>
      <c r="R58" s="5" t="s">
        <v>18</v>
      </c>
      <c r="S58" s="5"/>
      <c r="T58" s="5"/>
      <c r="U58" s="5"/>
      <c r="V58" s="5"/>
      <c r="W58" s="5"/>
      <c r="X58" s="5" t="s">
        <v>24</v>
      </c>
      <c r="Y58" s="5"/>
      <c r="Z58" s="5" t="s">
        <v>26</v>
      </c>
      <c r="AA58" s="5"/>
      <c r="AB58" s="5"/>
      <c r="AC58" s="5"/>
      <c r="AD58" s="5"/>
      <c r="AE58" s="5"/>
      <c r="AF58" s="5"/>
      <c r="AG58" s="5"/>
      <c r="AH58" s="5" t="s">
        <v>33</v>
      </c>
      <c r="AI58" s="5"/>
      <c r="AJ58" s="5"/>
      <c r="AK58" s="5" t="s">
        <v>36</v>
      </c>
      <c r="AL58" s="5" t="s">
        <v>37</v>
      </c>
      <c r="AM58" s="5"/>
      <c r="AN58" s="5"/>
      <c r="AO58" s="5"/>
      <c r="AP58" s="5" t="s">
        <v>39</v>
      </c>
      <c r="AQ58" s="5"/>
      <c r="AR58" s="5" t="s">
        <v>41</v>
      </c>
      <c r="AS58" s="5"/>
      <c r="AT58" s="5" t="s">
        <v>37</v>
      </c>
      <c r="AU58" s="5"/>
      <c r="AV58" s="5"/>
      <c r="AW58" s="5"/>
      <c r="AX58" s="5"/>
      <c r="AY58" s="5"/>
      <c r="AZ58" s="5"/>
      <c r="BA58" s="5"/>
      <c r="BB58" s="5"/>
      <c r="BC58" s="5"/>
      <c r="BD58" s="5"/>
      <c r="BE58" s="5"/>
      <c r="BF58" s="5"/>
      <c r="BG58" s="5" t="s">
        <v>53</v>
      </c>
      <c r="BH58" s="5"/>
      <c r="BI58" s="5"/>
      <c r="BJ58" s="5"/>
      <c r="BK58" s="5"/>
      <c r="BL58" s="5" t="s">
        <v>58</v>
      </c>
      <c r="BM58" s="5"/>
      <c r="BN58" s="5" t="s">
        <v>24</v>
      </c>
      <c r="BO58" s="5"/>
      <c r="BP58" s="5"/>
      <c r="BQ58" s="5"/>
      <c r="BR58" s="5"/>
      <c r="BS58" s="5"/>
      <c r="BT58" s="5"/>
      <c r="BU58" s="5" t="s">
        <v>64</v>
      </c>
      <c r="BV58" s="5"/>
      <c r="BW58" s="5"/>
      <c r="BX58" s="5" t="s">
        <v>67</v>
      </c>
      <c r="BY58" s="5"/>
      <c r="BZ58" s="5"/>
      <c r="CA58" s="5"/>
      <c r="CB58" s="5"/>
      <c r="CC58" s="5"/>
      <c r="CD58" s="5"/>
      <c r="CE58" s="5"/>
      <c r="CF58" s="5"/>
      <c r="CG58" s="5"/>
      <c r="CH58" s="5"/>
      <c r="CI58" s="5" t="s">
        <v>414</v>
      </c>
      <c r="CJ58" s="5">
        <v>65</v>
      </c>
      <c r="CK58" s="5" t="s">
        <v>141</v>
      </c>
      <c r="CL58" s="5" t="s">
        <v>155</v>
      </c>
      <c r="CM58" s="5" t="s">
        <v>415</v>
      </c>
      <c r="CN58" s="5" t="s">
        <v>416</v>
      </c>
      <c r="CO58" s="5" t="s">
        <v>142</v>
      </c>
      <c r="CP58" s="5" t="s">
        <v>93</v>
      </c>
      <c r="CQ58" s="5" t="s">
        <v>104</v>
      </c>
      <c r="CR58" s="5" t="s">
        <v>105</v>
      </c>
      <c r="CS58" s="5" t="s">
        <v>86</v>
      </c>
      <c r="CT58" s="5"/>
      <c r="CU58" s="5"/>
      <c r="CV58" s="5"/>
      <c r="CW58" s="5"/>
      <c r="CX58" s="5"/>
      <c r="CY58" s="5"/>
      <c r="CZ58" s="5"/>
      <c r="DA58" s="5"/>
    </row>
    <row r="59" spans="1:105">
      <c r="A59" s="5">
        <v>18025180354</v>
      </c>
      <c r="B59" s="5" t="s">
        <v>16</v>
      </c>
      <c r="C59" s="5" t="s">
        <v>17</v>
      </c>
      <c r="D59" s="5"/>
      <c r="E59" s="5"/>
      <c r="F59" s="5"/>
      <c r="G59" s="5"/>
      <c r="H59" s="5"/>
      <c r="I59" s="5"/>
      <c r="J59" s="5"/>
      <c r="K59" s="5" t="s">
        <v>25</v>
      </c>
      <c r="L59" s="5"/>
      <c r="M59" s="5"/>
      <c r="N59" s="5"/>
      <c r="O59" s="5"/>
      <c r="P59" s="5" t="s">
        <v>16</v>
      </c>
      <c r="Q59" s="5"/>
      <c r="R59" s="5"/>
      <c r="S59" s="5"/>
      <c r="T59" s="5"/>
      <c r="U59" s="5"/>
      <c r="V59" s="5" t="s">
        <v>22</v>
      </c>
      <c r="W59" s="5"/>
      <c r="X59" s="5"/>
      <c r="Y59" s="5" t="s">
        <v>25</v>
      </c>
      <c r="Z59" s="5"/>
      <c r="AA59" s="5"/>
      <c r="AB59" s="5"/>
      <c r="AC59" s="5"/>
      <c r="AD59" s="5"/>
      <c r="AE59" s="5"/>
      <c r="AF59" s="5" t="s">
        <v>31</v>
      </c>
      <c r="AG59" s="5"/>
      <c r="AH59" s="5"/>
      <c r="AI59" s="5"/>
      <c r="AJ59" s="5"/>
      <c r="AK59" s="5" t="s">
        <v>36</v>
      </c>
      <c r="AL59" s="5"/>
      <c r="AM59" s="5" t="s">
        <v>375</v>
      </c>
      <c r="AN59" s="5"/>
      <c r="AO59" s="5"/>
      <c r="AP59" s="5" t="s">
        <v>39</v>
      </c>
      <c r="AQ59" s="5"/>
      <c r="AR59" s="5"/>
      <c r="AS59" s="5"/>
      <c r="AT59" s="5"/>
      <c r="AU59" s="5" t="s">
        <v>43</v>
      </c>
      <c r="AV59" s="5"/>
      <c r="AW59" s="5"/>
      <c r="AX59" s="5" t="s">
        <v>46</v>
      </c>
      <c r="AY59" s="5"/>
      <c r="AZ59" s="5"/>
      <c r="BA59" s="5"/>
      <c r="BB59" s="5"/>
      <c r="BC59" s="5"/>
      <c r="BD59" s="5" t="s">
        <v>51</v>
      </c>
      <c r="BE59" s="5"/>
      <c r="BF59" s="5"/>
      <c r="BG59" s="5"/>
      <c r="BH59" s="5"/>
      <c r="BI59" s="5" t="s">
        <v>55</v>
      </c>
      <c r="BJ59" s="5"/>
      <c r="BK59" s="5"/>
      <c r="BL59" s="5"/>
      <c r="BM59" s="5"/>
      <c r="BN59" s="5"/>
      <c r="BO59" s="5"/>
      <c r="BP59" s="5"/>
      <c r="BQ59" s="5"/>
      <c r="BR59" s="5" t="s">
        <v>62</v>
      </c>
      <c r="BS59" s="5"/>
      <c r="BT59" s="5"/>
      <c r="BU59" s="5" t="s">
        <v>64</v>
      </c>
      <c r="BV59" s="5"/>
      <c r="BW59" s="5"/>
      <c r="BX59" s="5" t="s">
        <v>67</v>
      </c>
      <c r="BY59" s="5"/>
      <c r="BZ59" s="5"/>
      <c r="CA59" s="5"/>
      <c r="CB59" s="5"/>
      <c r="CC59" s="5"/>
      <c r="CD59" s="5"/>
      <c r="CE59" s="5"/>
      <c r="CF59" s="5" t="s">
        <v>75</v>
      </c>
      <c r="CG59" s="5" t="s">
        <v>76</v>
      </c>
      <c r="CH59" s="5"/>
      <c r="CI59" s="5" t="s">
        <v>414</v>
      </c>
      <c r="CJ59" s="5">
        <v>18</v>
      </c>
      <c r="CK59" s="5" t="s">
        <v>141</v>
      </c>
      <c r="CL59" s="5" t="s">
        <v>155</v>
      </c>
      <c r="CM59" s="5" t="s">
        <v>418</v>
      </c>
      <c r="CN59" s="5" t="s">
        <v>416</v>
      </c>
      <c r="CO59" s="5" t="s">
        <v>82</v>
      </c>
      <c r="CP59" s="5" t="s">
        <v>94</v>
      </c>
      <c r="CQ59" s="5" t="s">
        <v>95</v>
      </c>
      <c r="CR59" s="5" t="s">
        <v>85</v>
      </c>
      <c r="CS59" s="5" t="s">
        <v>86</v>
      </c>
      <c r="CT59" s="5"/>
      <c r="CU59" s="5"/>
      <c r="CV59" s="5"/>
      <c r="CW59" s="5"/>
      <c r="CX59" s="5"/>
      <c r="CY59" s="5"/>
      <c r="CZ59" s="5"/>
      <c r="DA59" s="5"/>
    </row>
    <row r="60" spans="1:105">
      <c r="A60" s="5">
        <v>18025180228</v>
      </c>
      <c r="B60" s="5"/>
      <c r="C60" s="5"/>
      <c r="D60" s="5"/>
      <c r="E60" s="5" t="s">
        <v>19</v>
      </c>
      <c r="F60" s="5"/>
      <c r="G60" s="5"/>
      <c r="H60" s="5"/>
      <c r="I60" s="5"/>
      <c r="J60" s="5"/>
      <c r="K60" s="5" t="s">
        <v>25</v>
      </c>
      <c r="L60" s="5" t="s">
        <v>26</v>
      </c>
      <c r="M60" s="5"/>
      <c r="N60" s="5"/>
      <c r="O60" s="5"/>
      <c r="P60" s="5"/>
      <c r="Q60" s="5"/>
      <c r="R60" s="5"/>
      <c r="S60" s="5" t="s">
        <v>19</v>
      </c>
      <c r="T60" s="5"/>
      <c r="U60" s="5"/>
      <c r="V60" s="5"/>
      <c r="W60" s="5" t="s">
        <v>23</v>
      </c>
      <c r="X60" s="5"/>
      <c r="Y60" s="5" t="s">
        <v>25</v>
      </c>
      <c r="Z60" s="5"/>
      <c r="AA60" s="5"/>
      <c r="AB60" s="5"/>
      <c r="AC60" s="5"/>
      <c r="AD60" s="5"/>
      <c r="AE60" s="5"/>
      <c r="AF60" s="5"/>
      <c r="AG60" s="5"/>
      <c r="AH60" s="5"/>
      <c r="AI60" s="5"/>
      <c r="AJ60" s="5" t="s">
        <v>35</v>
      </c>
      <c r="AK60" s="5" t="s">
        <v>36</v>
      </c>
      <c r="AL60" s="5"/>
      <c r="AM60" s="5" t="s">
        <v>375</v>
      </c>
      <c r="AN60" s="5"/>
      <c r="AO60" s="5"/>
      <c r="AP60" s="5" t="s">
        <v>39</v>
      </c>
      <c r="AQ60" s="5"/>
      <c r="AR60" s="5"/>
      <c r="AS60" s="5"/>
      <c r="AT60" s="5"/>
      <c r="AU60" s="5" t="s">
        <v>43</v>
      </c>
      <c r="AV60" s="5"/>
      <c r="AW60" s="5"/>
      <c r="AX60" s="5"/>
      <c r="AY60" s="5" t="s">
        <v>47</v>
      </c>
      <c r="AZ60" s="5"/>
      <c r="BA60" s="5"/>
      <c r="BB60" s="5"/>
      <c r="BC60" s="5" t="s">
        <v>50</v>
      </c>
      <c r="BD60" s="5" t="s">
        <v>51</v>
      </c>
      <c r="BE60" s="5" t="s">
        <v>17</v>
      </c>
      <c r="BF60" s="5"/>
      <c r="BG60" s="5"/>
      <c r="BH60" s="5"/>
      <c r="BI60" s="5"/>
      <c r="BJ60" s="5"/>
      <c r="BK60" s="5"/>
      <c r="BL60" s="5"/>
      <c r="BM60" s="5"/>
      <c r="BN60" s="5"/>
      <c r="BO60" s="5"/>
      <c r="BP60" s="5"/>
      <c r="BQ60" s="5"/>
      <c r="BR60" s="5"/>
      <c r="BS60" s="5"/>
      <c r="BT60" s="5"/>
      <c r="BU60" s="5"/>
      <c r="BV60" s="5"/>
      <c r="BW60" s="5" t="s">
        <v>66</v>
      </c>
      <c r="BX60" s="5" t="s">
        <v>67</v>
      </c>
      <c r="BY60" s="5"/>
      <c r="BZ60" s="5"/>
      <c r="CA60" s="5"/>
      <c r="CB60" s="5"/>
      <c r="CC60" s="5"/>
      <c r="CD60" s="5"/>
      <c r="CE60" s="5"/>
      <c r="CF60" s="5" t="s">
        <v>75</v>
      </c>
      <c r="CG60" s="5"/>
      <c r="CH60" s="5"/>
      <c r="CI60" s="5" t="s">
        <v>417</v>
      </c>
      <c r="CJ60" s="5">
        <v>18</v>
      </c>
      <c r="CK60" s="5" t="s">
        <v>141</v>
      </c>
      <c r="CL60" s="5" t="s">
        <v>377</v>
      </c>
      <c r="CM60" s="5" t="s">
        <v>418</v>
      </c>
      <c r="CN60" s="5" t="s">
        <v>416</v>
      </c>
      <c r="CO60" s="5" t="s">
        <v>82</v>
      </c>
      <c r="CP60" s="5" t="s">
        <v>94</v>
      </c>
      <c r="CQ60" s="5" t="s">
        <v>95</v>
      </c>
      <c r="CR60" s="5" t="s">
        <v>89</v>
      </c>
      <c r="CS60" s="5" t="s">
        <v>86</v>
      </c>
      <c r="CT60" s="5"/>
      <c r="CU60" s="5"/>
      <c r="CV60" s="5"/>
      <c r="CW60" s="5"/>
      <c r="CX60" s="5"/>
      <c r="CY60" s="5"/>
      <c r="CZ60" s="5"/>
      <c r="DA60" s="5"/>
    </row>
    <row r="61" spans="1:105">
      <c r="A61" s="5">
        <v>18025180094</v>
      </c>
      <c r="B61" s="5"/>
      <c r="C61" s="5"/>
      <c r="D61" s="5"/>
      <c r="E61" s="5"/>
      <c r="F61" s="5"/>
      <c r="G61" s="5"/>
      <c r="H61" s="5" t="s">
        <v>22</v>
      </c>
      <c r="I61" s="5" t="s">
        <v>23</v>
      </c>
      <c r="J61" s="5"/>
      <c r="K61" s="5" t="s">
        <v>25</v>
      </c>
      <c r="L61" s="5" t="s">
        <v>26</v>
      </c>
      <c r="M61" s="5"/>
      <c r="N61" s="5"/>
      <c r="O61" s="5"/>
      <c r="P61" s="5"/>
      <c r="Q61" s="5" t="s">
        <v>17</v>
      </c>
      <c r="R61" s="5"/>
      <c r="S61" s="5"/>
      <c r="T61" s="5"/>
      <c r="U61" s="5"/>
      <c r="V61" s="5"/>
      <c r="W61" s="5" t="s">
        <v>23</v>
      </c>
      <c r="X61" s="5"/>
      <c r="Y61" s="5"/>
      <c r="Z61" s="5"/>
      <c r="AA61" s="5"/>
      <c r="AB61" s="5"/>
      <c r="AC61" s="5"/>
      <c r="AD61" s="5"/>
      <c r="AE61" s="5"/>
      <c r="AF61" s="5" t="s">
        <v>31</v>
      </c>
      <c r="AG61" s="5"/>
      <c r="AH61" s="5" t="s">
        <v>33</v>
      </c>
      <c r="AI61" s="5"/>
      <c r="AJ61" s="5"/>
      <c r="AK61" s="5"/>
      <c r="AL61" s="5"/>
      <c r="AM61" s="5" t="s">
        <v>375</v>
      </c>
      <c r="AN61" s="5"/>
      <c r="AO61" s="5"/>
      <c r="AP61" s="5" t="s">
        <v>39</v>
      </c>
      <c r="AQ61" s="5"/>
      <c r="AR61" s="5"/>
      <c r="AS61" s="5"/>
      <c r="AT61" s="5" t="s">
        <v>37</v>
      </c>
      <c r="AU61" s="5"/>
      <c r="AV61" s="5"/>
      <c r="AW61" s="5"/>
      <c r="AX61" s="5"/>
      <c r="AY61" s="5" t="s">
        <v>47</v>
      </c>
      <c r="AZ61" s="5"/>
      <c r="BA61" s="5"/>
      <c r="BB61" s="5" t="s">
        <v>49</v>
      </c>
      <c r="BC61" s="5"/>
      <c r="BD61" s="5" t="s">
        <v>51</v>
      </c>
      <c r="BE61" s="5" t="s">
        <v>17</v>
      </c>
      <c r="BF61" s="5" t="s">
        <v>52</v>
      </c>
      <c r="BG61" s="5"/>
      <c r="BH61" s="5"/>
      <c r="BI61" s="5"/>
      <c r="BJ61" s="5"/>
      <c r="BK61" s="5"/>
      <c r="BL61" s="5"/>
      <c r="BM61" s="5"/>
      <c r="BN61" s="5"/>
      <c r="BO61" s="5"/>
      <c r="BP61" s="5"/>
      <c r="BQ61" s="5"/>
      <c r="BR61" s="5"/>
      <c r="BS61" s="5"/>
      <c r="BT61" s="5"/>
      <c r="BU61" s="5" t="s">
        <v>64</v>
      </c>
      <c r="BV61" s="5"/>
      <c r="BW61" s="5"/>
      <c r="BX61" s="5"/>
      <c r="BY61" s="5"/>
      <c r="BZ61" s="5"/>
      <c r="CA61" s="5"/>
      <c r="CB61" s="5"/>
      <c r="CC61" s="5"/>
      <c r="CD61" s="5"/>
      <c r="CE61" s="5"/>
      <c r="CF61" s="5"/>
      <c r="CG61" s="5"/>
      <c r="CH61" s="5"/>
      <c r="CI61" s="5" t="s">
        <v>417</v>
      </c>
      <c r="CJ61" s="5">
        <v>46</v>
      </c>
      <c r="CK61" s="5" t="s">
        <v>141</v>
      </c>
      <c r="CL61" s="5" t="s">
        <v>429</v>
      </c>
      <c r="CM61" s="5" t="s">
        <v>418</v>
      </c>
      <c r="CN61" s="5" t="s">
        <v>416</v>
      </c>
      <c r="CO61" s="5" t="s">
        <v>82</v>
      </c>
      <c r="CP61" s="5" t="s">
        <v>94</v>
      </c>
      <c r="CQ61" s="5" t="s">
        <v>103</v>
      </c>
      <c r="CR61" s="5" t="s">
        <v>85</v>
      </c>
      <c r="CS61" s="5" t="s">
        <v>86</v>
      </c>
      <c r="CT61" s="5"/>
      <c r="CU61" s="5"/>
      <c r="CV61" s="5"/>
      <c r="CW61" s="5"/>
      <c r="CX61" s="5"/>
      <c r="CY61" s="5"/>
      <c r="CZ61" s="5"/>
      <c r="DA61" s="5"/>
    </row>
    <row r="62" spans="1:105">
      <c r="A62" s="5">
        <v>18025179894</v>
      </c>
      <c r="B62" s="5"/>
      <c r="C62" s="5" t="s">
        <v>17</v>
      </c>
      <c r="D62" s="5"/>
      <c r="E62" s="5" t="s">
        <v>19</v>
      </c>
      <c r="F62" s="5"/>
      <c r="G62" s="5"/>
      <c r="H62" s="5" t="s">
        <v>22</v>
      </c>
      <c r="I62" s="5"/>
      <c r="J62" s="5"/>
      <c r="K62" s="5" t="s">
        <v>25</v>
      </c>
      <c r="L62" s="5"/>
      <c r="M62" s="5" t="s">
        <v>27</v>
      </c>
      <c r="N62" s="5"/>
      <c r="O62" s="5"/>
      <c r="P62" s="5" t="s">
        <v>16</v>
      </c>
      <c r="Q62" s="5"/>
      <c r="R62" s="5"/>
      <c r="S62" s="5" t="s">
        <v>19</v>
      </c>
      <c r="T62" s="5"/>
      <c r="U62" s="5"/>
      <c r="V62" s="5"/>
      <c r="W62" s="5"/>
      <c r="X62" s="5"/>
      <c r="Y62" s="5" t="s">
        <v>25</v>
      </c>
      <c r="Z62" s="5"/>
      <c r="AA62" s="5" t="s">
        <v>27</v>
      </c>
      <c r="AB62" s="5"/>
      <c r="AC62" s="5"/>
      <c r="AD62" s="5" t="s">
        <v>29</v>
      </c>
      <c r="AE62" s="5"/>
      <c r="AF62" s="5" t="s">
        <v>31</v>
      </c>
      <c r="AG62" s="5"/>
      <c r="AH62" s="5"/>
      <c r="AI62" s="5"/>
      <c r="AJ62" s="5"/>
      <c r="AK62" s="5"/>
      <c r="AL62" s="5"/>
      <c r="AM62" s="5" t="s">
        <v>375</v>
      </c>
      <c r="AN62" s="5"/>
      <c r="AO62" s="5" t="s">
        <v>38</v>
      </c>
      <c r="AP62" s="5" t="s">
        <v>39</v>
      </c>
      <c r="AQ62" s="5"/>
      <c r="AR62" s="5"/>
      <c r="AS62" s="5"/>
      <c r="AT62" s="5"/>
      <c r="AU62" s="5"/>
      <c r="AV62" s="5"/>
      <c r="AW62" s="5"/>
      <c r="AX62" s="5" t="s">
        <v>46</v>
      </c>
      <c r="AY62" s="5"/>
      <c r="AZ62" s="5"/>
      <c r="BA62" s="5"/>
      <c r="BB62" s="5"/>
      <c r="BC62" s="5"/>
      <c r="BD62" s="5" t="s">
        <v>51</v>
      </c>
      <c r="BE62" s="5" t="s">
        <v>17</v>
      </c>
      <c r="BF62" s="5"/>
      <c r="BG62" s="5"/>
      <c r="BH62" s="5"/>
      <c r="BI62" s="5"/>
      <c r="BJ62" s="5"/>
      <c r="BK62" s="5"/>
      <c r="BL62" s="5"/>
      <c r="BM62" s="5"/>
      <c r="BN62" s="5"/>
      <c r="BO62" s="5"/>
      <c r="BP62" s="5" t="s">
        <v>60</v>
      </c>
      <c r="BQ62" s="5"/>
      <c r="BR62" s="5"/>
      <c r="BS62" s="5"/>
      <c r="BT62" s="5"/>
      <c r="BU62" s="5" t="s">
        <v>64</v>
      </c>
      <c r="BV62" s="5"/>
      <c r="BW62" s="5"/>
      <c r="BX62" s="5" t="s">
        <v>67</v>
      </c>
      <c r="BY62" s="5"/>
      <c r="BZ62" s="5"/>
      <c r="CA62" s="5"/>
      <c r="CB62" s="5"/>
      <c r="CC62" s="5"/>
      <c r="CD62" s="5"/>
      <c r="CE62" s="5"/>
      <c r="CF62" s="5" t="s">
        <v>75</v>
      </c>
      <c r="CG62" s="5"/>
      <c r="CH62" s="5"/>
      <c r="CI62" s="5" t="s">
        <v>414</v>
      </c>
      <c r="CJ62" s="5">
        <v>18</v>
      </c>
      <c r="CK62" s="5" t="s">
        <v>141</v>
      </c>
      <c r="CL62" s="5" t="s">
        <v>377</v>
      </c>
      <c r="CM62" s="5" t="s">
        <v>418</v>
      </c>
      <c r="CN62" s="5" t="s">
        <v>416</v>
      </c>
      <c r="CO62" s="5" t="s">
        <v>82</v>
      </c>
      <c r="CP62" s="5" t="s">
        <v>83</v>
      </c>
      <c r="CQ62" s="5" t="s">
        <v>95</v>
      </c>
      <c r="CR62" s="5" t="s">
        <v>89</v>
      </c>
      <c r="CS62" s="5" t="s">
        <v>86</v>
      </c>
      <c r="CT62" s="5"/>
      <c r="CU62" s="5"/>
      <c r="CV62" s="5"/>
      <c r="CW62" s="5"/>
      <c r="CX62" s="5"/>
      <c r="CY62" s="5"/>
      <c r="CZ62" s="5"/>
      <c r="DA62" s="5"/>
    </row>
    <row r="63" spans="1:105">
      <c r="A63" s="5">
        <v>18025179745</v>
      </c>
      <c r="B63" s="5"/>
      <c r="C63" s="5" t="s">
        <v>17</v>
      </c>
      <c r="D63" s="5"/>
      <c r="E63" s="5" t="s">
        <v>19</v>
      </c>
      <c r="F63" s="5"/>
      <c r="G63" s="5"/>
      <c r="H63" s="5"/>
      <c r="I63" s="5"/>
      <c r="J63" s="5"/>
      <c r="K63" s="5" t="s">
        <v>25</v>
      </c>
      <c r="L63" s="5"/>
      <c r="M63" s="5"/>
      <c r="N63" s="5"/>
      <c r="O63" s="5"/>
      <c r="P63" s="5" t="s">
        <v>16</v>
      </c>
      <c r="Q63" s="5"/>
      <c r="R63" s="5" t="s">
        <v>18</v>
      </c>
      <c r="S63" s="5"/>
      <c r="T63" s="5"/>
      <c r="U63" s="5"/>
      <c r="V63" s="5"/>
      <c r="W63" s="5" t="s">
        <v>23</v>
      </c>
      <c r="X63" s="5"/>
      <c r="Y63" s="5"/>
      <c r="Z63" s="5"/>
      <c r="AA63" s="5"/>
      <c r="AB63" s="5"/>
      <c r="AC63" s="5"/>
      <c r="AD63" s="5"/>
      <c r="AE63" s="5"/>
      <c r="AF63" s="5"/>
      <c r="AG63" s="5"/>
      <c r="AH63" s="5" t="s">
        <v>33</v>
      </c>
      <c r="AI63" s="5"/>
      <c r="AJ63" s="5"/>
      <c r="AK63" s="5" t="s">
        <v>36</v>
      </c>
      <c r="AL63" s="5" t="s">
        <v>37</v>
      </c>
      <c r="AM63" s="5"/>
      <c r="AN63" s="5"/>
      <c r="AO63" s="5" t="s">
        <v>38</v>
      </c>
      <c r="AP63" s="5" t="s">
        <v>39</v>
      </c>
      <c r="AQ63" s="5"/>
      <c r="AR63" s="5"/>
      <c r="AS63" s="5"/>
      <c r="AT63" s="5" t="s">
        <v>37</v>
      </c>
      <c r="AU63" s="5"/>
      <c r="AV63" s="5"/>
      <c r="AW63" s="5"/>
      <c r="AX63" s="5"/>
      <c r="AY63" s="5"/>
      <c r="AZ63" s="5"/>
      <c r="BA63" s="5"/>
      <c r="BB63" s="5"/>
      <c r="BC63" s="5"/>
      <c r="BD63" s="5"/>
      <c r="BE63" s="5" t="s">
        <v>17</v>
      </c>
      <c r="BF63" s="5" t="s">
        <v>52</v>
      </c>
      <c r="BG63" s="5"/>
      <c r="BH63" s="5"/>
      <c r="BI63" s="5"/>
      <c r="BJ63" s="5"/>
      <c r="BK63" s="5"/>
      <c r="BL63" s="5"/>
      <c r="BM63" s="5"/>
      <c r="BN63" s="5"/>
      <c r="BO63" s="5"/>
      <c r="BP63" s="5"/>
      <c r="BQ63" s="5"/>
      <c r="BR63" s="5"/>
      <c r="BS63" s="5" t="s">
        <v>63</v>
      </c>
      <c r="BT63" s="5"/>
      <c r="BU63" s="5" t="s">
        <v>64</v>
      </c>
      <c r="BV63" s="5"/>
      <c r="BW63" s="5"/>
      <c r="BX63" s="5" t="s">
        <v>67</v>
      </c>
      <c r="BY63" s="5" t="s">
        <v>68</v>
      </c>
      <c r="BZ63" s="5" t="s">
        <v>69</v>
      </c>
      <c r="CA63" s="5"/>
      <c r="CB63" s="5"/>
      <c r="CC63" s="5"/>
      <c r="CD63" s="5"/>
      <c r="CE63" s="5"/>
      <c r="CF63" s="5" t="s">
        <v>75</v>
      </c>
      <c r="CG63" s="5"/>
      <c r="CH63" s="5"/>
      <c r="CI63" s="5" t="s">
        <v>414</v>
      </c>
      <c r="CJ63" s="5">
        <v>39</v>
      </c>
      <c r="CK63" s="5" t="s">
        <v>141</v>
      </c>
      <c r="CL63" s="5" t="s">
        <v>177</v>
      </c>
      <c r="CM63" s="5" t="s">
        <v>418</v>
      </c>
      <c r="CN63" s="5" t="s">
        <v>416</v>
      </c>
      <c r="CO63" s="5" t="s">
        <v>82</v>
      </c>
      <c r="CP63" s="5" t="s">
        <v>83</v>
      </c>
      <c r="CQ63" s="5" t="s">
        <v>103</v>
      </c>
      <c r="CR63" s="5" t="s">
        <v>85</v>
      </c>
      <c r="CS63" s="5" t="s">
        <v>86</v>
      </c>
      <c r="CT63" s="5"/>
      <c r="CU63" s="5"/>
      <c r="CV63" s="5"/>
      <c r="CW63" s="5"/>
      <c r="CX63" s="5"/>
      <c r="CY63" s="5"/>
      <c r="CZ63" s="5"/>
      <c r="DA63" s="5"/>
    </row>
    <row r="64" spans="1:105">
      <c r="A64" s="5">
        <v>18025179616</v>
      </c>
      <c r="B64" s="5"/>
      <c r="C64" s="5"/>
      <c r="D64" s="5"/>
      <c r="E64" s="5" t="s">
        <v>19</v>
      </c>
      <c r="F64" s="5"/>
      <c r="G64" s="5"/>
      <c r="H64" s="5" t="s">
        <v>22</v>
      </c>
      <c r="I64" s="5"/>
      <c r="J64" s="5"/>
      <c r="K64" s="5" t="s">
        <v>25</v>
      </c>
      <c r="L64" s="5"/>
      <c r="M64" s="5"/>
      <c r="N64" s="5"/>
      <c r="O64" s="5"/>
      <c r="P64" s="5"/>
      <c r="Q64" s="5"/>
      <c r="R64" s="5"/>
      <c r="S64" s="5" t="s">
        <v>19</v>
      </c>
      <c r="T64" s="5"/>
      <c r="U64" s="5"/>
      <c r="V64" s="5" t="s">
        <v>22</v>
      </c>
      <c r="W64" s="5" t="s">
        <v>23</v>
      </c>
      <c r="X64" s="5"/>
      <c r="Y64" s="5"/>
      <c r="Z64" s="5"/>
      <c r="AA64" s="5"/>
      <c r="AB64" s="5"/>
      <c r="AC64" s="5"/>
      <c r="AD64" s="5"/>
      <c r="AE64" s="5"/>
      <c r="AF64" s="5"/>
      <c r="AG64" s="5"/>
      <c r="AH64" s="5" t="s">
        <v>33</v>
      </c>
      <c r="AI64" s="5"/>
      <c r="AJ64" s="5"/>
      <c r="AK64" s="5" t="s">
        <v>36</v>
      </c>
      <c r="AL64" s="5" t="s">
        <v>37</v>
      </c>
      <c r="AM64" s="5"/>
      <c r="AN64" s="5"/>
      <c r="AO64" s="5"/>
      <c r="AP64" s="5" t="s">
        <v>39</v>
      </c>
      <c r="AQ64" s="5"/>
      <c r="AR64" s="5" t="s">
        <v>41</v>
      </c>
      <c r="AS64" s="5"/>
      <c r="AT64" s="5"/>
      <c r="AU64" s="5" t="s">
        <v>43</v>
      </c>
      <c r="AV64" s="5"/>
      <c r="AW64" s="5"/>
      <c r="AX64" s="5"/>
      <c r="AY64" s="5"/>
      <c r="AZ64" s="5"/>
      <c r="BA64" s="5"/>
      <c r="BB64" s="5"/>
      <c r="BC64" s="5"/>
      <c r="BD64" s="5"/>
      <c r="BE64" s="5"/>
      <c r="BF64" s="5"/>
      <c r="BG64" s="5" t="s">
        <v>53</v>
      </c>
      <c r="BH64" s="5"/>
      <c r="BI64" s="5"/>
      <c r="BJ64" s="5"/>
      <c r="BK64" s="5" t="s">
        <v>57</v>
      </c>
      <c r="BL64" s="5"/>
      <c r="BM64" s="5"/>
      <c r="BN64" s="5" t="s">
        <v>24</v>
      </c>
      <c r="BO64" s="5"/>
      <c r="BP64" s="5"/>
      <c r="BQ64" s="5"/>
      <c r="BR64" s="5"/>
      <c r="BS64" s="5"/>
      <c r="BT64" s="5"/>
      <c r="BU64" s="5" t="s">
        <v>64</v>
      </c>
      <c r="BV64" s="5"/>
      <c r="BW64" s="5"/>
      <c r="BX64" s="5"/>
      <c r="BY64" s="5"/>
      <c r="BZ64" s="5"/>
      <c r="CA64" s="5"/>
      <c r="CB64" s="5"/>
      <c r="CC64" s="5"/>
      <c r="CD64" s="5"/>
      <c r="CE64" s="5"/>
      <c r="CF64" s="5"/>
      <c r="CG64" s="5"/>
      <c r="CH64" s="5"/>
      <c r="CI64" s="5" t="s">
        <v>417</v>
      </c>
      <c r="CJ64" s="5">
        <v>40</v>
      </c>
      <c r="CK64" s="5" t="s">
        <v>141</v>
      </c>
      <c r="CL64" s="5" t="s">
        <v>430</v>
      </c>
      <c r="CM64" s="5" t="s">
        <v>415</v>
      </c>
      <c r="CN64" s="5" t="s">
        <v>416</v>
      </c>
      <c r="CO64" s="5" t="s">
        <v>428</v>
      </c>
      <c r="CP64" s="5" t="s">
        <v>94</v>
      </c>
      <c r="CQ64" s="5" t="s">
        <v>84</v>
      </c>
      <c r="CR64" s="5" t="s">
        <v>85</v>
      </c>
      <c r="CS64" s="5" t="s">
        <v>86</v>
      </c>
      <c r="CT64" s="5"/>
      <c r="CU64" s="5"/>
      <c r="CV64" s="5"/>
      <c r="CW64" s="5"/>
      <c r="CX64" s="5"/>
      <c r="CY64" s="5"/>
      <c r="CZ64" s="5"/>
      <c r="DA64" s="5"/>
    </row>
    <row r="65" spans="1:105">
      <c r="A65" s="5">
        <v>18025179232</v>
      </c>
      <c r="B65" s="5"/>
      <c r="C65" s="5"/>
      <c r="D65" s="5" t="s">
        <v>18</v>
      </c>
      <c r="E65" s="5"/>
      <c r="F65" s="5"/>
      <c r="G65" s="5" t="s">
        <v>21</v>
      </c>
      <c r="H65" s="5"/>
      <c r="I65" s="5"/>
      <c r="J65" s="5"/>
      <c r="K65" s="5"/>
      <c r="L65" s="5"/>
      <c r="M65" s="5" t="s">
        <v>27</v>
      </c>
      <c r="N65" s="5"/>
      <c r="O65" s="5"/>
      <c r="P65" s="5"/>
      <c r="Q65" s="5"/>
      <c r="R65" s="5"/>
      <c r="S65" s="5"/>
      <c r="T65" s="5"/>
      <c r="U65" s="5"/>
      <c r="V65" s="5"/>
      <c r="W65" s="5"/>
      <c r="X65" s="5"/>
      <c r="Y65" s="5" t="s">
        <v>25</v>
      </c>
      <c r="Z65" s="5"/>
      <c r="AA65" s="5"/>
      <c r="AB65" s="5"/>
      <c r="AC65" s="5"/>
      <c r="AD65" s="5"/>
      <c r="AE65" s="5"/>
      <c r="AF65" s="5"/>
      <c r="AG65" s="5"/>
      <c r="AH65" s="5"/>
      <c r="AI65" s="5"/>
      <c r="AJ65" s="5"/>
      <c r="AK65" s="5" t="s">
        <v>36</v>
      </c>
      <c r="AL65" s="5"/>
      <c r="AM65" s="5"/>
      <c r="AN65" s="5"/>
      <c r="AO65" s="5"/>
      <c r="AP65" s="5" t="s">
        <v>39</v>
      </c>
      <c r="AQ65" s="5"/>
      <c r="AR65" s="5"/>
      <c r="AS65" s="5"/>
      <c r="AT65" s="5"/>
      <c r="AU65" s="5" t="s">
        <v>43</v>
      </c>
      <c r="AV65" s="5"/>
      <c r="AW65" s="5" t="s">
        <v>45</v>
      </c>
      <c r="AX65" s="5"/>
      <c r="AY65" s="5"/>
      <c r="AZ65" s="5"/>
      <c r="BA65" s="5"/>
      <c r="BB65" s="5"/>
      <c r="BC65" s="5"/>
      <c r="BD65" s="5"/>
      <c r="BE65" s="5" t="s">
        <v>17</v>
      </c>
      <c r="BF65" s="5"/>
      <c r="BG65" s="5"/>
      <c r="BH65" s="5"/>
      <c r="BI65" s="5"/>
      <c r="BJ65" s="5"/>
      <c r="BK65" s="5"/>
      <c r="BL65" s="5"/>
      <c r="BM65" s="5"/>
      <c r="BN65" s="5"/>
      <c r="BO65" s="5" t="s">
        <v>20</v>
      </c>
      <c r="BP65" s="5" t="s">
        <v>60</v>
      </c>
      <c r="BQ65" s="5"/>
      <c r="BR65" s="5"/>
      <c r="BS65" s="5"/>
      <c r="BT65" s="5"/>
      <c r="BU65" s="5" t="s">
        <v>64</v>
      </c>
      <c r="BV65" s="5"/>
      <c r="BW65" s="5"/>
      <c r="BX65" s="5"/>
      <c r="BY65" s="5"/>
      <c r="BZ65" s="5"/>
      <c r="CA65" s="5" t="s">
        <v>70</v>
      </c>
      <c r="CB65" s="5"/>
      <c r="CC65" s="5"/>
      <c r="CD65" s="5"/>
      <c r="CE65" s="5"/>
      <c r="CF65" s="5" t="s">
        <v>75</v>
      </c>
      <c r="CG65" s="5"/>
      <c r="CH65" s="5"/>
      <c r="CI65" s="5" t="s">
        <v>417</v>
      </c>
      <c r="CJ65" s="5">
        <v>44</v>
      </c>
      <c r="CK65" s="5" t="s">
        <v>141</v>
      </c>
      <c r="CL65" s="5" t="s">
        <v>145</v>
      </c>
      <c r="CM65" s="5" t="s">
        <v>415</v>
      </c>
      <c r="CN65" s="5" t="s">
        <v>416</v>
      </c>
      <c r="CO65" s="5" t="s">
        <v>431</v>
      </c>
      <c r="CP65" s="5" t="s">
        <v>94</v>
      </c>
      <c r="CQ65" s="5" t="s">
        <v>84</v>
      </c>
      <c r="CR65" s="5" t="s">
        <v>105</v>
      </c>
      <c r="CS65" s="5" t="s">
        <v>86</v>
      </c>
      <c r="CT65" s="5"/>
      <c r="CU65" s="5"/>
      <c r="CV65" s="5"/>
      <c r="CW65" s="5"/>
      <c r="CX65" s="5"/>
      <c r="CY65" s="5"/>
      <c r="CZ65" s="5"/>
      <c r="DA65" s="5"/>
    </row>
    <row r="66" spans="1:105">
      <c r="A66" s="5">
        <v>18025179113</v>
      </c>
      <c r="B66" s="5"/>
      <c r="C66" s="5"/>
      <c r="D66" s="5"/>
      <c r="E66" s="5" t="s">
        <v>19</v>
      </c>
      <c r="F66" s="5"/>
      <c r="G66" s="5"/>
      <c r="H66" s="5"/>
      <c r="I66" s="5"/>
      <c r="J66" s="5"/>
      <c r="K66" s="5" t="s">
        <v>25</v>
      </c>
      <c r="L66" s="5"/>
      <c r="M66" s="5" t="s">
        <v>27</v>
      </c>
      <c r="N66" s="5"/>
      <c r="O66" s="5"/>
      <c r="P66" s="5"/>
      <c r="Q66" s="5"/>
      <c r="R66" s="5" t="s">
        <v>18</v>
      </c>
      <c r="S66" s="5"/>
      <c r="T66" s="5"/>
      <c r="U66" s="5"/>
      <c r="V66" s="5"/>
      <c r="W66" s="5"/>
      <c r="X66" s="5"/>
      <c r="Y66" s="5" t="s">
        <v>25</v>
      </c>
      <c r="Z66" s="5"/>
      <c r="AA66" s="5"/>
      <c r="AB66" s="5"/>
      <c r="AC66" s="5"/>
      <c r="AD66" s="5"/>
      <c r="AE66" s="5"/>
      <c r="AF66" s="5" t="s">
        <v>31</v>
      </c>
      <c r="AG66" s="5"/>
      <c r="AH66" s="5"/>
      <c r="AI66" s="5"/>
      <c r="AJ66" s="5"/>
      <c r="AK66" s="5"/>
      <c r="AL66" s="5"/>
      <c r="AM66" s="5"/>
      <c r="AN66" s="5"/>
      <c r="AO66" s="5"/>
      <c r="AP66" s="5"/>
      <c r="AQ66" s="5"/>
      <c r="AR66" s="5"/>
      <c r="AS66" s="5"/>
      <c r="AT66" s="5"/>
      <c r="AU66" s="5" t="s">
        <v>43</v>
      </c>
      <c r="AV66" s="5"/>
      <c r="AW66" s="5" t="s">
        <v>45</v>
      </c>
      <c r="AX66" s="5"/>
      <c r="AY66" s="5"/>
      <c r="AZ66" s="5"/>
      <c r="BA66" s="5"/>
      <c r="BB66" s="5" t="s">
        <v>49</v>
      </c>
      <c r="BC66" s="5"/>
      <c r="BD66" s="5"/>
      <c r="BE66" s="5"/>
      <c r="BF66" s="5"/>
      <c r="BG66" s="5"/>
      <c r="BH66" s="5" t="s">
        <v>54</v>
      </c>
      <c r="BI66" s="5"/>
      <c r="BJ66" s="5"/>
      <c r="BK66" s="5"/>
      <c r="BL66" s="5" t="s">
        <v>58</v>
      </c>
      <c r="BM66" s="5"/>
      <c r="BN66" s="5"/>
      <c r="BO66" s="5"/>
      <c r="BP66" s="5"/>
      <c r="BQ66" s="5"/>
      <c r="BR66" s="5"/>
      <c r="BS66" s="5"/>
      <c r="BT66" s="5"/>
      <c r="BU66" s="5"/>
      <c r="BV66" s="5"/>
      <c r="BW66" s="5"/>
      <c r="BX66" s="5"/>
      <c r="BY66" s="5"/>
      <c r="BZ66" s="5"/>
      <c r="CA66" s="5"/>
      <c r="CB66" s="5"/>
      <c r="CC66" s="5"/>
      <c r="CD66" s="5"/>
      <c r="CE66" s="5"/>
      <c r="CF66" s="5"/>
      <c r="CG66" s="5"/>
      <c r="CH66" s="5"/>
      <c r="CI66" s="5" t="s">
        <v>417</v>
      </c>
      <c r="CJ66" s="5">
        <v>53</v>
      </c>
      <c r="CK66" s="5" t="s">
        <v>141</v>
      </c>
      <c r="CL66" s="5" t="s">
        <v>150</v>
      </c>
      <c r="CM66" s="5" t="s">
        <v>415</v>
      </c>
      <c r="CN66" s="5" t="s">
        <v>416</v>
      </c>
      <c r="CO66" s="5" t="s">
        <v>82</v>
      </c>
      <c r="CP66" s="5" t="s">
        <v>94</v>
      </c>
      <c r="CQ66" s="5" t="s">
        <v>95</v>
      </c>
      <c r="CR66" s="5" t="s">
        <v>96</v>
      </c>
      <c r="CS66" s="5" t="s">
        <v>86</v>
      </c>
      <c r="CT66" s="5"/>
      <c r="CU66" s="5"/>
      <c r="CV66" s="5"/>
      <c r="CW66" s="5"/>
      <c r="CX66" s="5"/>
      <c r="CY66" s="5"/>
      <c r="CZ66" s="5"/>
      <c r="DA66" s="5"/>
    </row>
    <row r="67" spans="1:105">
      <c r="A67" s="5">
        <v>18025179000</v>
      </c>
      <c r="B67" s="5"/>
      <c r="C67" s="5" t="s">
        <v>17</v>
      </c>
      <c r="D67" s="5"/>
      <c r="E67" s="5"/>
      <c r="F67" s="5"/>
      <c r="G67" s="5" t="s">
        <v>21</v>
      </c>
      <c r="H67" s="5"/>
      <c r="I67" s="5"/>
      <c r="J67" s="5"/>
      <c r="K67" s="5"/>
      <c r="L67" s="5"/>
      <c r="M67" s="5" t="s">
        <v>27</v>
      </c>
      <c r="N67" s="5"/>
      <c r="O67" s="5"/>
      <c r="P67" s="5"/>
      <c r="Q67" s="5"/>
      <c r="R67" s="5"/>
      <c r="S67" s="5"/>
      <c r="T67" s="5" t="s">
        <v>20</v>
      </c>
      <c r="U67" s="5" t="s">
        <v>21</v>
      </c>
      <c r="V67" s="5"/>
      <c r="W67" s="5"/>
      <c r="X67" s="5"/>
      <c r="Y67" s="5" t="s">
        <v>25</v>
      </c>
      <c r="Z67" s="5"/>
      <c r="AA67" s="5"/>
      <c r="AB67" s="5"/>
      <c r="AC67" s="5"/>
      <c r="AD67" s="5" t="s">
        <v>29</v>
      </c>
      <c r="AE67" s="5"/>
      <c r="AF67" s="5"/>
      <c r="AG67" s="5"/>
      <c r="AH67" s="5" t="s">
        <v>33</v>
      </c>
      <c r="AI67" s="5"/>
      <c r="AJ67" s="5" t="s">
        <v>35</v>
      </c>
      <c r="AK67" s="5" t="s">
        <v>36</v>
      </c>
      <c r="AL67" s="5"/>
      <c r="AM67" s="5"/>
      <c r="AN67" s="5"/>
      <c r="AO67" s="5"/>
      <c r="AP67" s="5" t="s">
        <v>39</v>
      </c>
      <c r="AQ67" s="5"/>
      <c r="AR67" s="5"/>
      <c r="AS67" s="5"/>
      <c r="AT67" s="5"/>
      <c r="AU67" s="5" t="s">
        <v>43</v>
      </c>
      <c r="AV67" s="5"/>
      <c r="AW67" s="5" t="s">
        <v>45</v>
      </c>
      <c r="AX67" s="5"/>
      <c r="AY67" s="5"/>
      <c r="AZ67" s="5"/>
      <c r="BA67" s="5"/>
      <c r="BB67" s="5"/>
      <c r="BC67" s="5"/>
      <c r="BD67" s="5" t="s">
        <v>51</v>
      </c>
      <c r="BE67" s="5"/>
      <c r="BF67" s="5"/>
      <c r="BG67" s="5"/>
      <c r="BH67" s="5"/>
      <c r="BI67" s="5"/>
      <c r="BJ67" s="5"/>
      <c r="BK67" s="5"/>
      <c r="BL67" s="5"/>
      <c r="BM67" s="5"/>
      <c r="BN67" s="5"/>
      <c r="BO67" s="5"/>
      <c r="BP67" s="5" t="s">
        <v>60</v>
      </c>
      <c r="BQ67" s="5"/>
      <c r="BR67" s="5" t="s">
        <v>62</v>
      </c>
      <c r="BS67" s="5"/>
      <c r="BT67" s="5"/>
      <c r="BU67" s="5" t="s">
        <v>64</v>
      </c>
      <c r="BV67" s="5"/>
      <c r="BW67" s="5"/>
      <c r="BX67" s="5"/>
      <c r="BY67" s="5"/>
      <c r="BZ67" s="5"/>
      <c r="CA67" s="5" t="s">
        <v>70</v>
      </c>
      <c r="CB67" s="5"/>
      <c r="CC67" s="5"/>
      <c r="CD67" s="5"/>
      <c r="CE67" s="5"/>
      <c r="CF67" s="5" t="s">
        <v>75</v>
      </c>
      <c r="CG67" s="5"/>
      <c r="CH67" s="5"/>
      <c r="CI67" s="5" t="s">
        <v>414</v>
      </c>
      <c r="CJ67" s="5"/>
      <c r="CK67" s="5" t="s">
        <v>141</v>
      </c>
      <c r="CL67" s="5" t="s">
        <v>156</v>
      </c>
      <c r="CM67" s="5" t="s">
        <v>415</v>
      </c>
      <c r="CN67" s="5" t="s">
        <v>416</v>
      </c>
      <c r="CO67" s="5" t="s">
        <v>82</v>
      </c>
      <c r="CP67" s="5"/>
      <c r="CQ67" s="5" t="s">
        <v>84</v>
      </c>
      <c r="CR67" s="5" t="s">
        <v>105</v>
      </c>
      <c r="CS67" s="5" t="s">
        <v>86</v>
      </c>
      <c r="CT67" s="5"/>
      <c r="CU67" s="5"/>
      <c r="CV67" s="5"/>
      <c r="CW67" s="5"/>
      <c r="CX67" s="5"/>
      <c r="CY67" s="5"/>
      <c r="CZ67" s="5"/>
      <c r="DA67" s="5"/>
    </row>
    <row r="68" spans="1:105">
      <c r="A68" s="5">
        <v>18025178810</v>
      </c>
      <c r="B68" s="5"/>
      <c r="C68" s="5" t="s">
        <v>17</v>
      </c>
      <c r="D68" s="5"/>
      <c r="E68" s="5"/>
      <c r="F68" s="5"/>
      <c r="G68" s="5"/>
      <c r="H68" s="5"/>
      <c r="I68" s="5"/>
      <c r="J68" s="5"/>
      <c r="K68" s="5"/>
      <c r="L68" s="5"/>
      <c r="M68" s="5"/>
      <c r="N68" s="5" t="s">
        <v>28</v>
      </c>
      <c r="O68" s="5"/>
      <c r="P68" s="5"/>
      <c r="Q68" s="5"/>
      <c r="R68" s="5"/>
      <c r="S68" s="5"/>
      <c r="T68" s="5"/>
      <c r="U68" s="5"/>
      <c r="V68" s="5"/>
      <c r="W68" s="5" t="s">
        <v>23</v>
      </c>
      <c r="X68" s="5"/>
      <c r="Y68" s="5"/>
      <c r="Z68" s="5"/>
      <c r="AA68" s="5"/>
      <c r="AB68" s="5"/>
      <c r="AC68" s="5"/>
      <c r="AD68" s="5"/>
      <c r="AE68" s="5"/>
      <c r="AF68" s="5"/>
      <c r="AG68" s="5"/>
      <c r="AH68" s="5" t="s">
        <v>33</v>
      </c>
      <c r="AI68" s="5"/>
      <c r="AJ68" s="5"/>
      <c r="AK68" s="5" t="s">
        <v>36</v>
      </c>
      <c r="AL68" s="5"/>
      <c r="AM68" s="5"/>
      <c r="AN68" s="5"/>
      <c r="AO68" s="5"/>
      <c r="AP68" s="5" t="s">
        <v>39</v>
      </c>
      <c r="AQ68" s="5"/>
      <c r="AR68" s="5" t="s">
        <v>41</v>
      </c>
      <c r="AS68" s="5"/>
      <c r="AT68" s="5"/>
      <c r="AU68" s="5"/>
      <c r="AV68" s="5"/>
      <c r="AW68" s="5" t="s">
        <v>45</v>
      </c>
      <c r="AX68" s="5"/>
      <c r="AY68" s="5"/>
      <c r="AZ68" s="5"/>
      <c r="BA68" s="5"/>
      <c r="BB68" s="5"/>
      <c r="BC68" s="5"/>
      <c r="BD68" s="5"/>
      <c r="BE68" s="5"/>
      <c r="BF68" s="5"/>
      <c r="BG68" s="5"/>
      <c r="BH68" s="5"/>
      <c r="BI68" s="5"/>
      <c r="BJ68" s="5"/>
      <c r="BK68" s="5"/>
      <c r="BL68" s="5"/>
      <c r="BM68" s="5"/>
      <c r="BN68" s="5"/>
      <c r="BO68" s="5"/>
      <c r="BP68" s="5" t="s">
        <v>60</v>
      </c>
      <c r="BQ68" s="5"/>
      <c r="BR68" s="5"/>
      <c r="BS68" s="5" t="s">
        <v>63</v>
      </c>
      <c r="BT68" s="5"/>
      <c r="BU68" s="5"/>
      <c r="BV68" s="5"/>
      <c r="BW68" s="5"/>
      <c r="BX68" s="5"/>
      <c r="BY68" s="5"/>
      <c r="BZ68" s="5"/>
      <c r="CA68" s="5"/>
      <c r="CB68" s="5"/>
      <c r="CC68" s="5"/>
      <c r="CD68" s="5"/>
      <c r="CE68" s="5"/>
      <c r="CF68" s="5"/>
      <c r="CG68" s="5"/>
      <c r="CH68" s="5"/>
      <c r="CI68" s="5" t="s">
        <v>417</v>
      </c>
      <c r="CJ68" s="5">
        <v>32</v>
      </c>
      <c r="CK68" s="5" t="s">
        <v>141</v>
      </c>
      <c r="CL68" s="5" t="s">
        <v>150</v>
      </c>
      <c r="CM68" s="5" t="s">
        <v>420</v>
      </c>
      <c r="CN68" s="5" t="s">
        <v>419</v>
      </c>
      <c r="CO68" s="5" t="s">
        <v>427</v>
      </c>
      <c r="CP68" s="5" t="s">
        <v>83</v>
      </c>
      <c r="CQ68" s="5" t="s">
        <v>111</v>
      </c>
      <c r="CR68" s="5" t="s">
        <v>96</v>
      </c>
      <c r="CS68" s="5" t="s">
        <v>86</v>
      </c>
      <c r="CT68" s="5"/>
      <c r="CU68" s="5"/>
      <c r="CV68" s="5"/>
      <c r="CW68" s="5"/>
      <c r="CX68" s="5"/>
      <c r="CY68" s="5"/>
      <c r="CZ68" s="5"/>
      <c r="DA68" s="5"/>
    </row>
    <row r="69" spans="1:105">
      <c r="A69" s="5">
        <v>18025178531</v>
      </c>
      <c r="B69" s="5"/>
      <c r="C69" s="5" t="s">
        <v>17</v>
      </c>
      <c r="D69" s="5"/>
      <c r="E69" s="5"/>
      <c r="F69" s="5"/>
      <c r="G69" s="5"/>
      <c r="H69" s="5"/>
      <c r="I69" s="5" t="s">
        <v>23</v>
      </c>
      <c r="J69" s="5"/>
      <c r="K69" s="5"/>
      <c r="L69" s="5" t="s">
        <v>26</v>
      </c>
      <c r="M69" s="5"/>
      <c r="N69" s="5"/>
      <c r="O69" s="5"/>
      <c r="P69" s="5"/>
      <c r="Q69" s="5"/>
      <c r="R69" s="5"/>
      <c r="S69" s="5"/>
      <c r="T69" s="5"/>
      <c r="U69" s="5"/>
      <c r="V69" s="5"/>
      <c r="W69" s="5"/>
      <c r="X69" s="5"/>
      <c r="Y69" s="5" t="s">
        <v>25</v>
      </c>
      <c r="Z69" s="5"/>
      <c r="AA69" s="5"/>
      <c r="AB69" s="5"/>
      <c r="AC69" s="5"/>
      <c r="AD69" s="5"/>
      <c r="AE69" s="5" t="s">
        <v>30</v>
      </c>
      <c r="AF69" s="5" t="s">
        <v>31</v>
      </c>
      <c r="AG69" s="5"/>
      <c r="AH69" s="5" t="s">
        <v>33</v>
      </c>
      <c r="AI69" s="5"/>
      <c r="AJ69" s="5"/>
      <c r="AK69" s="5"/>
      <c r="AL69" s="5"/>
      <c r="AM69" s="5"/>
      <c r="AN69" s="5"/>
      <c r="AO69" s="5"/>
      <c r="AP69" s="5"/>
      <c r="AQ69" s="5"/>
      <c r="AR69" s="5"/>
      <c r="AS69" s="5"/>
      <c r="AT69" s="5"/>
      <c r="AU69" s="5"/>
      <c r="AV69" s="5" t="s">
        <v>44</v>
      </c>
      <c r="AW69" s="5"/>
      <c r="AX69" s="5"/>
      <c r="AY69" s="5"/>
      <c r="AZ69" s="5"/>
      <c r="BA69" s="5"/>
      <c r="BB69" s="5"/>
      <c r="BC69" s="5"/>
      <c r="BD69" s="5"/>
      <c r="BE69" s="5"/>
      <c r="BF69" s="5"/>
      <c r="BG69" s="5"/>
      <c r="BH69" s="5"/>
      <c r="BI69" s="5"/>
      <c r="BJ69" s="5"/>
      <c r="BK69" s="5"/>
      <c r="BL69" s="5"/>
      <c r="BM69" s="5"/>
      <c r="BN69" s="5"/>
      <c r="BO69" s="5"/>
      <c r="BP69" s="5" t="s">
        <v>60</v>
      </c>
      <c r="BQ69" s="5"/>
      <c r="BR69" s="5"/>
      <c r="BS69" s="5"/>
      <c r="BT69" s="5"/>
      <c r="BU69" s="5" t="s">
        <v>64</v>
      </c>
      <c r="BV69" s="5"/>
      <c r="BW69" s="5"/>
      <c r="BX69" s="5"/>
      <c r="BY69" s="5"/>
      <c r="BZ69" s="5"/>
      <c r="CA69" s="5"/>
      <c r="CB69" s="5"/>
      <c r="CC69" s="5"/>
      <c r="CD69" s="5"/>
      <c r="CE69" s="5"/>
      <c r="CF69" s="5"/>
      <c r="CG69" s="5"/>
      <c r="CH69" s="5"/>
      <c r="CI69" s="5" t="s">
        <v>414</v>
      </c>
      <c r="CJ69" s="5">
        <v>39</v>
      </c>
      <c r="CK69" s="5" t="s">
        <v>141</v>
      </c>
      <c r="CL69" s="5" t="s">
        <v>171</v>
      </c>
      <c r="CM69" s="5" t="s">
        <v>418</v>
      </c>
      <c r="CN69" s="5"/>
      <c r="CO69" s="5" t="s">
        <v>82</v>
      </c>
      <c r="CP69" s="5" t="s">
        <v>94</v>
      </c>
      <c r="CQ69" s="5" t="s">
        <v>84</v>
      </c>
      <c r="CR69" s="5" t="s">
        <v>85</v>
      </c>
      <c r="CS69" s="5" t="s">
        <v>86</v>
      </c>
      <c r="CT69" s="5"/>
      <c r="CU69" s="5"/>
      <c r="CV69" s="5"/>
      <c r="CW69" s="5"/>
      <c r="CX69" s="5"/>
      <c r="CY69" s="5"/>
      <c r="CZ69" s="5"/>
      <c r="DA69" s="5"/>
    </row>
    <row r="70" spans="1:105">
      <c r="A70" s="5">
        <v>18025178424</v>
      </c>
      <c r="B70" s="5"/>
      <c r="C70" s="5"/>
      <c r="D70" s="5"/>
      <c r="E70" s="5"/>
      <c r="F70" s="5"/>
      <c r="G70" s="5" t="s">
        <v>21</v>
      </c>
      <c r="H70" s="5"/>
      <c r="I70" s="5"/>
      <c r="J70" s="5"/>
      <c r="K70" s="5" t="s">
        <v>25</v>
      </c>
      <c r="L70" s="5" t="s">
        <v>26</v>
      </c>
      <c r="M70" s="5"/>
      <c r="N70" s="5"/>
      <c r="O70" s="5"/>
      <c r="P70" s="5"/>
      <c r="Q70" s="5" t="s">
        <v>17</v>
      </c>
      <c r="R70" s="5" t="s">
        <v>18</v>
      </c>
      <c r="S70" s="5"/>
      <c r="T70" s="5"/>
      <c r="U70" s="5"/>
      <c r="V70" s="5"/>
      <c r="W70" s="5" t="s">
        <v>23</v>
      </c>
      <c r="X70" s="5"/>
      <c r="Y70" s="5"/>
      <c r="Z70" s="5"/>
      <c r="AA70" s="5"/>
      <c r="AB70" s="5"/>
      <c r="AC70" s="5"/>
      <c r="AD70" s="5"/>
      <c r="AE70" s="5"/>
      <c r="AF70" s="5" t="s">
        <v>31</v>
      </c>
      <c r="AG70" s="5"/>
      <c r="AH70" s="5"/>
      <c r="AI70" s="5"/>
      <c r="AJ70" s="5"/>
      <c r="AK70" s="5" t="s">
        <v>36</v>
      </c>
      <c r="AL70" s="5"/>
      <c r="AM70" s="5" t="s">
        <v>375</v>
      </c>
      <c r="AN70" s="5"/>
      <c r="AO70" s="5"/>
      <c r="AP70" s="5"/>
      <c r="AQ70" s="5"/>
      <c r="AR70" s="5" t="s">
        <v>41</v>
      </c>
      <c r="AS70" s="5"/>
      <c r="AT70" s="5" t="s">
        <v>37</v>
      </c>
      <c r="AU70" s="5"/>
      <c r="AV70" s="5"/>
      <c r="AW70" s="5"/>
      <c r="AX70" s="5"/>
      <c r="AY70" s="5" t="s">
        <v>47</v>
      </c>
      <c r="AZ70" s="5"/>
      <c r="BA70" s="5"/>
      <c r="BB70" s="5"/>
      <c r="BC70" s="5"/>
      <c r="BD70" s="5" t="s">
        <v>51</v>
      </c>
      <c r="BE70" s="5"/>
      <c r="BF70" s="5" t="s">
        <v>52</v>
      </c>
      <c r="BG70" s="5"/>
      <c r="BH70" s="5"/>
      <c r="BI70" s="5"/>
      <c r="BJ70" s="5"/>
      <c r="BK70" s="5"/>
      <c r="BL70" s="5"/>
      <c r="BM70" s="5" t="s">
        <v>59</v>
      </c>
      <c r="BN70" s="5"/>
      <c r="BO70" s="5"/>
      <c r="BP70" s="5"/>
      <c r="BQ70" s="5"/>
      <c r="BR70" s="5"/>
      <c r="BS70" s="5"/>
      <c r="BT70" s="5"/>
      <c r="BU70" s="5" t="s">
        <v>64</v>
      </c>
      <c r="BV70" s="5"/>
      <c r="BW70" s="5"/>
      <c r="BX70" s="5"/>
      <c r="BY70" s="5" t="s">
        <v>68</v>
      </c>
      <c r="BZ70" s="5"/>
      <c r="CA70" s="5"/>
      <c r="CB70" s="5"/>
      <c r="CC70" s="5" t="s">
        <v>72</v>
      </c>
      <c r="CD70" s="5"/>
      <c r="CE70" s="5"/>
      <c r="CF70" s="5" t="s">
        <v>75</v>
      </c>
      <c r="CG70" s="5"/>
      <c r="CH70" s="5"/>
      <c r="CI70" s="5" t="s">
        <v>417</v>
      </c>
      <c r="CJ70" s="5">
        <v>59</v>
      </c>
      <c r="CK70" s="5" t="s">
        <v>141</v>
      </c>
      <c r="CL70" s="5" t="s">
        <v>186</v>
      </c>
      <c r="CM70" s="5" t="s">
        <v>418</v>
      </c>
      <c r="CN70" s="5" t="s">
        <v>416</v>
      </c>
      <c r="CO70" s="5" t="s">
        <v>82</v>
      </c>
      <c r="CP70" s="5" t="s">
        <v>83</v>
      </c>
      <c r="CQ70" s="5" t="s">
        <v>84</v>
      </c>
      <c r="CR70" s="5" t="s">
        <v>85</v>
      </c>
      <c r="CS70" s="5" t="s">
        <v>86</v>
      </c>
      <c r="CT70" s="5" t="s">
        <v>384</v>
      </c>
      <c r="CU70" s="5"/>
      <c r="CV70" s="5"/>
      <c r="CW70" s="5"/>
      <c r="CX70" s="5"/>
      <c r="CY70" s="5"/>
      <c r="CZ70" s="5"/>
      <c r="DA70" s="5"/>
    </row>
    <row r="71" spans="1:105">
      <c r="A71" s="5">
        <v>18025178298</v>
      </c>
      <c r="B71" s="5"/>
      <c r="C71" s="5" t="s">
        <v>17</v>
      </c>
      <c r="D71" s="5"/>
      <c r="E71" s="5"/>
      <c r="F71" s="5"/>
      <c r="G71" s="5"/>
      <c r="H71" s="5"/>
      <c r="I71" s="5" t="s">
        <v>23</v>
      </c>
      <c r="J71" s="5"/>
      <c r="K71" s="5" t="s">
        <v>25</v>
      </c>
      <c r="L71" s="5"/>
      <c r="M71" s="5"/>
      <c r="N71" s="5"/>
      <c r="O71" s="5"/>
      <c r="P71" s="5"/>
      <c r="Q71" s="5"/>
      <c r="R71" s="5"/>
      <c r="S71" s="5"/>
      <c r="T71" s="5"/>
      <c r="U71" s="5"/>
      <c r="V71" s="5"/>
      <c r="W71" s="5" t="s">
        <v>23</v>
      </c>
      <c r="X71" s="5"/>
      <c r="Y71" s="5"/>
      <c r="Z71" s="5"/>
      <c r="AA71" s="5"/>
      <c r="AB71" s="5"/>
      <c r="AC71" s="5"/>
      <c r="AD71" s="5"/>
      <c r="AE71" s="5"/>
      <c r="AF71" s="5"/>
      <c r="AG71" s="5"/>
      <c r="AH71" s="5" t="s">
        <v>33</v>
      </c>
      <c r="AI71" s="5"/>
      <c r="AJ71" s="5"/>
      <c r="AK71" s="5" t="s">
        <v>36</v>
      </c>
      <c r="AL71" s="5"/>
      <c r="AM71" s="5"/>
      <c r="AN71" s="5"/>
      <c r="AO71" s="5" t="s">
        <v>38</v>
      </c>
      <c r="AP71" s="5"/>
      <c r="AQ71" s="5"/>
      <c r="AR71" s="5"/>
      <c r="AS71" s="5"/>
      <c r="AT71" s="5"/>
      <c r="AU71" s="5" t="s">
        <v>43</v>
      </c>
      <c r="AV71" s="5"/>
      <c r="AW71" s="5"/>
      <c r="AX71" s="5"/>
      <c r="AY71" s="5"/>
      <c r="AZ71" s="5"/>
      <c r="BA71" s="5"/>
      <c r="BB71" s="5"/>
      <c r="BC71" s="5"/>
      <c r="BD71" s="5"/>
      <c r="BE71" s="5"/>
      <c r="BF71" s="5"/>
      <c r="BG71" s="5"/>
      <c r="BH71" s="5"/>
      <c r="BI71" s="5"/>
      <c r="BJ71" s="5"/>
      <c r="BK71" s="5"/>
      <c r="BL71" s="5"/>
      <c r="BM71" s="5"/>
      <c r="BN71" s="5"/>
      <c r="BO71" s="5"/>
      <c r="BP71" s="5" t="s">
        <v>60</v>
      </c>
      <c r="BQ71" s="5"/>
      <c r="BR71" s="5"/>
      <c r="BS71" s="5"/>
      <c r="BT71" s="5"/>
      <c r="BU71" s="5" t="s">
        <v>64</v>
      </c>
      <c r="BV71" s="5"/>
      <c r="BW71" s="5"/>
      <c r="BX71" s="5" t="s">
        <v>67</v>
      </c>
      <c r="BY71" s="5"/>
      <c r="BZ71" s="5"/>
      <c r="CA71" s="5"/>
      <c r="CB71" s="5"/>
      <c r="CC71" s="5"/>
      <c r="CD71" s="5"/>
      <c r="CE71" s="5"/>
      <c r="CF71" s="5" t="s">
        <v>75</v>
      </c>
      <c r="CG71" s="5"/>
      <c r="CH71" s="5"/>
      <c r="CI71" s="5" t="s">
        <v>417</v>
      </c>
      <c r="CJ71" s="5">
        <v>42</v>
      </c>
      <c r="CK71" s="5" t="s">
        <v>141</v>
      </c>
      <c r="CL71" s="5" t="s">
        <v>171</v>
      </c>
      <c r="CM71" s="5" t="s">
        <v>415</v>
      </c>
      <c r="CN71" s="5"/>
      <c r="CO71" s="5"/>
      <c r="CP71" s="5" t="s">
        <v>83</v>
      </c>
      <c r="CQ71" s="5" t="s">
        <v>103</v>
      </c>
      <c r="CR71" s="5" t="s">
        <v>96</v>
      </c>
      <c r="CS71" s="5" t="s">
        <v>86</v>
      </c>
      <c r="CT71" s="5"/>
      <c r="CU71" s="5"/>
      <c r="CV71" s="5"/>
      <c r="CW71" s="5"/>
      <c r="CX71" s="5"/>
      <c r="CY71" s="5"/>
      <c r="CZ71" s="5"/>
      <c r="DA71" s="5"/>
    </row>
    <row r="72" spans="1:105">
      <c r="A72" s="5">
        <v>18025178212</v>
      </c>
      <c r="B72" s="5"/>
      <c r="C72" s="5"/>
      <c r="D72" s="5"/>
      <c r="E72" s="5"/>
      <c r="F72" s="5"/>
      <c r="G72" s="5" t="s">
        <v>21</v>
      </c>
      <c r="H72" s="5"/>
      <c r="I72" s="5"/>
      <c r="J72" s="5"/>
      <c r="K72" s="5"/>
      <c r="L72" s="5"/>
      <c r="M72" s="5"/>
      <c r="N72" s="5"/>
      <c r="O72" s="5"/>
      <c r="P72" s="5"/>
      <c r="Q72" s="5"/>
      <c r="R72" s="5"/>
      <c r="S72" s="5"/>
      <c r="T72" s="5"/>
      <c r="U72" s="5" t="s">
        <v>21</v>
      </c>
      <c r="V72" s="5"/>
      <c r="W72" s="5" t="s">
        <v>23</v>
      </c>
      <c r="X72" s="5"/>
      <c r="Y72" s="5"/>
      <c r="Z72" s="5"/>
      <c r="AA72" s="5"/>
      <c r="AB72" s="5"/>
      <c r="AC72" s="5"/>
      <c r="AD72" s="5"/>
      <c r="AE72" s="5"/>
      <c r="AF72" s="5" t="s">
        <v>31</v>
      </c>
      <c r="AG72" s="5"/>
      <c r="AH72" s="5" t="s">
        <v>33</v>
      </c>
      <c r="AI72" s="5"/>
      <c r="AJ72" s="5"/>
      <c r="AK72" s="5"/>
      <c r="AL72" s="5"/>
      <c r="AM72" s="5"/>
      <c r="AN72" s="5"/>
      <c r="AO72" s="5"/>
      <c r="AP72" s="5"/>
      <c r="AQ72" s="5"/>
      <c r="AR72" s="5"/>
      <c r="AS72" s="5"/>
      <c r="AT72" s="5"/>
      <c r="AU72" s="5"/>
      <c r="AV72" s="5" t="s">
        <v>44</v>
      </c>
      <c r="AW72" s="5" t="s">
        <v>45</v>
      </c>
      <c r="AX72" s="5"/>
      <c r="AY72" s="5"/>
      <c r="AZ72" s="5"/>
      <c r="BA72" s="5"/>
      <c r="BB72" s="5"/>
      <c r="BC72" s="5"/>
      <c r="BD72" s="5"/>
      <c r="BE72" s="5"/>
      <c r="BF72" s="5"/>
      <c r="BG72" s="5"/>
      <c r="BH72" s="5"/>
      <c r="BI72" s="5"/>
      <c r="BJ72" s="5"/>
      <c r="BK72" s="5"/>
      <c r="BL72" s="5"/>
      <c r="BM72" s="5"/>
      <c r="BN72" s="5"/>
      <c r="BO72" s="5"/>
      <c r="BP72" s="5" t="s">
        <v>60</v>
      </c>
      <c r="BQ72" s="5"/>
      <c r="BR72" s="5"/>
      <c r="BS72" s="5"/>
      <c r="BT72" s="5"/>
      <c r="BU72" s="5" t="s">
        <v>64</v>
      </c>
      <c r="BV72" s="5"/>
      <c r="BW72" s="5"/>
      <c r="BX72" s="5"/>
      <c r="BY72" s="5"/>
      <c r="BZ72" s="5"/>
      <c r="CA72" s="5"/>
      <c r="CB72" s="5"/>
      <c r="CC72" s="5"/>
      <c r="CD72" s="5"/>
      <c r="CE72" s="5"/>
      <c r="CF72" s="5"/>
      <c r="CG72" s="5"/>
      <c r="CH72" s="5"/>
      <c r="CI72" s="5" t="s">
        <v>417</v>
      </c>
      <c r="CJ72" s="5">
        <v>46</v>
      </c>
      <c r="CK72" s="5" t="s">
        <v>141</v>
      </c>
      <c r="CL72" s="5" t="s">
        <v>156</v>
      </c>
      <c r="CM72" s="5" t="s">
        <v>415</v>
      </c>
      <c r="CN72" s="5" t="s">
        <v>416</v>
      </c>
      <c r="CO72" s="5"/>
      <c r="CP72" s="5" t="s">
        <v>94</v>
      </c>
      <c r="CQ72" s="5" t="s">
        <v>103</v>
      </c>
      <c r="CR72" s="5" t="s">
        <v>96</v>
      </c>
      <c r="CS72" s="5" t="s">
        <v>86</v>
      </c>
      <c r="CT72" s="5"/>
      <c r="CU72" s="5"/>
      <c r="CV72" s="5"/>
      <c r="CW72" s="5"/>
      <c r="CX72" s="5"/>
      <c r="CY72" s="5"/>
      <c r="CZ72" s="5"/>
      <c r="DA72" s="5"/>
    </row>
    <row r="73" spans="1:105">
      <c r="A73" s="5">
        <v>18025178011</v>
      </c>
      <c r="B73" s="5"/>
      <c r="C73" s="5"/>
      <c r="D73" s="5" t="s">
        <v>18</v>
      </c>
      <c r="E73" s="5"/>
      <c r="F73" s="5"/>
      <c r="G73" s="5"/>
      <c r="H73" s="5"/>
      <c r="I73" s="5"/>
      <c r="J73" s="5"/>
      <c r="K73" s="5"/>
      <c r="L73" s="5" t="s">
        <v>26</v>
      </c>
      <c r="M73" s="5"/>
      <c r="N73" s="5" t="s">
        <v>28</v>
      </c>
      <c r="O73" s="5"/>
      <c r="P73" s="5"/>
      <c r="Q73" s="5"/>
      <c r="R73" s="5" t="s">
        <v>18</v>
      </c>
      <c r="S73" s="5" t="s">
        <v>19</v>
      </c>
      <c r="T73" s="5"/>
      <c r="U73" s="5"/>
      <c r="V73" s="5"/>
      <c r="W73" s="5"/>
      <c r="X73" s="5"/>
      <c r="Y73" s="5"/>
      <c r="Z73" s="5"/>
      <c r="AA73" s="5" t="s">
        <v>27</v>
      </c>
      <c r="AB73" s="5"/>
      <c r="AC73" s="5"/>
      <c r="AD73" s="5"/>
      <c r="AE73" s="5"/>
      <c r="AF73" s="5"/>
      <c r="AG73" s="5"/>
      <c r="AH73" s="5" t="s">
        <v>33</v>
      </c>
      <c r="AI73" s="5"/>
      <c r="AJ73" s="5"/>
      <c r="AK73" s="5"/>
      <c r="AL73" s="5"/>
      <c r="AM73" s="5" t="s">
        <v>375</v>
      </c>
      <c r="AN73" s="5"/>
      <c r="AO73" s="5" t="s">
        <v>38</v>
      </c>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t="s">
        <v>60</v>
      </c>
      <c r="BQ73" s="5"/>
      <c r="BR73" s="5"/>
      <c r="BS73" s="5"/>
      <c r="BT73" s="5"/>
      <c r="BU73" s="5" t="s">
        <v>64</v>
      </c>
      <c r="BV73" s="5"/>
      <c r="BW73" s="5"/>
      <c r="BX73" s="5"/>
      <c r="BY73" s="5"/>
      <c r="BZ73" s="5"/>
      <c r="CA73" s="5"/>
      <c r="CB73" s="5"/>
      <c r="CC73" s="5"/>
      <c r="CD73" s="5"/>
      <c r="CE73" s="5"/>
      <c r="CF73" s="5" t="s">
        <v>75</v>
      </c>
      <c r="CG73" s="5"/>
      <c r="CH73" s="5"/>
      <c r="CI73" s="5" t="s">
        <v>414</v>
      </c>
      <c r="CJ73" s="5">
        <v>52</v>
      </c>
      <c r="CK73" s="5" t="s">
        <v>141</v>
      </c>
      <c r="CL73" s="5" t="s">
        <v>156</v>
      </c>
      <c r="CM73" s="5" t="s">
        <v>415</v>
      </c>
      <c r="CN73" s="5" t="s">
        <v>416</v>
      </c>
      <c r="CO73" s="5"/>
      <c r="CP73" s="5" t="s">
        <v>83</v>
      </c>
      <c r="CQ73" s="5" t="s">
        <v>84</v>
      </c>
      <c r="CR73" s="5" t="s">
        <v>105</v>
      </c>
      <c r="CS73" s="5" t="s">
        <v>86</v>
      </c>
      <c r="CT73" s="5"/>
      <c r="CU73" s="5"/>
      <c r="CV73" s="5"/>
      <c r="CW73" s="5"/>
      <c r="CX73" s="5"/>
      <c r="CY73" s="5"/>
      <c r="CZ73" s="5"/>
      <c r="DA73" s="5"/>
    </row>
    <row r="74" spans="1:105">
      <c r="A74" s="5">
        <v>18025177820</v>
      </c>
      <c r="B74" s="5"/>
      <c r="C74" s="5"/>
      <c r="D74" s="5"/>
      <c r="E74" s="5"/>
      <c r="F74" s="5" t="s">
        <v>20</v>
      </c>
      <c r="G74" s="5" t="s">
        <v>21</v>
      </c>
      <c r="H74" s="5"/>
      <c r="I74" s="5"/>
      <c r="J74" s="5"/>
      <c r="K74" s="5" t="s">
        <v>25</v>
      </c>
      <c r="L74" s="5"/>
      <c r="M74" s="5"/>
      <c r="N74" s="5"/>
      <c r="O74" s="5"/>
      <c r="P74" s="5"/>
      <c r="Q74" s="5"/>
      <c r="R74" s="5"/>
      <c r="S74" s="5"/>
      <c r="T74" s="5"/>
      <c r="U74" s="5"/>
      <c r="V74" s="5"/>
      <c r="W74" s="5" t="s">
        <v>23</v>
      </c>
      <c r="X74" s="5"/>
      <c r="Y74" s="5" t="s">
        <v>25</v>
      </c>
      <c r="Z74" s="5"/>
      <c r="AA74" s="5"/>
      <c r="AB74" s="5"/>
      <c r="AC74" s="5"/>
      <c r="AD74" s="5"/>
      <c r="AE74" s="5"/>
      <c r="AF74" s="5" t="s">
        <v>31</v>
      </c>
      <c r="AG74" s="5"/>
      <c r="AH74" s="5" t="s">
        <v>33</v>
      </c>
      <c r="AI74" s="5"/>
      <c r="AJ74" s="5"/>
      <c r="AK74" s="5"/>
      <c r="AL74" s="5"/>
      <c r="AM74" s="5" t="s">
        <v>375</v>
      </c>
      <c r="AN74" s="5"/>
      <c r="AO74" s="5"/>
      <c r="AP74" s="5" t="s">
        <v>39</v>
      </c>
      <c r="AQ74" s="5"/>
      <c r="AR74" s="5"/>
      <c r="AS74" s="5"/>
      <c r="AT74" s="5"/>
      <c r="AU74" s="5"/>
      <c r="AV74" s="5" t="s">
        <v>44</v>
      </c>
      <c r="AW74" s="5"/>
      <c r="AX74" s="5" t="s">
        <v>46</v>
      </c>
      <c r="AY74" s="5"/>
      <c r="AZ74" s="5"/>
      <c r="BA74" s="5"/>
      <c r="BB74" s="5"/>
      <c r="BC74" s="5"/>
      <c r="BD74" s="5" t="s">
        <v>51</v>
      </c>
      <c r="BE74" s="5"/>
      <c r="BF74" s="5"/>
      <c r="BG74" s="5"/>
      <c r="BH74" s="5"/>
      <c r="BI74" s="5"/>
      <c r="BJ74" s="5"/>
      <c r="BK74" s="5"/>
      <c r="BL74" s="5"/>
      <c r="BM74" s="5" t="s">
        <v>59</v>
      </c>
      <c r="BN74" s="5"/>
      <c r="BO74" s="5"/>
      <c r="BP74" s="5" t="s">
        <v>60</v>
      </c>
      <c r="BQ74" s="5"/>
      <c r="BR74" s="5"/>
      <c r="BS74" s="5"/>
      <c r="BT74" s="5"/>
      <c r="BU74" s="5" t="s">
        <v>64</v>
      </c>
      <c r="BV74" s="5"/>
      <c r="BW74" s="5"/>
      <c r="BX74" s="5"/>
      <c r="BY74" s="5"/>
      <c r="BZ74" s="5"/>
      <c r="CA74" s="5"/>
      <c r="CB74" s="5"/>
      <c r="CC74" s="5"/>
      <c r="CD74" s="5"/>
      <c r="CE74" s="5"/>
      <c r="CF74" s="5"/>
      <c r="CG74" s="5"/>
      <c r="CH74" s="5"/>
      <c r="CI74" s="5" t="s">
        <v>417</v>
      </c>
      <c r="CJ74" s="5">
        <v>18</v>
      </c>
      <c r="CK74" s="5" t="s">
        <v>141</v>
      </c>
      <c r="CL74" s="5" t="s">
        <v>156</v>
      </c>
      <c r="CM74" s="5" t="s">
        <v>415</v>
      </c>
      <c r="CN74" s="5" t="s">
        <v>416</v>
      </c>
      <c r="CO74" s="5"/>
      <c r="CP74" s="5" t="s">
        <v>83</v>
      </c>
      <c r="CQ74" s="5" t="s">
        <v>104</v>
      </c>
      <c r="CR74" s="5" t="s">
        <v>89</v>
      </c>
      <c r="CS74" s="5" t="s">
        <v>86</v>
      </c>
      <c r="CT74" s="5"/>
      <c r="CU74" s="5"/>
      <c r="CV74" s="5"/>
      <c r="CW74" s="5"/>
      <c r="CX74" s="5"/>
      <c r="CY74" s="5"/>
      <c r="CZ74" s="5"/>
      <c r="DA74" s="5"/>
    </row>
    <row r="75" spans="1:105">
      <c r="A75" s="5">
        <v>18025177600</v>
      </c>
      <c r="B75" s="5"/>
      <c r="C75" s="5" t="s">
        <v>17</v>
      </c>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t="s">
        <v>375</v>
      </c>
      <c r="AN75" s="5"/>
      <c r="AO75" s="5"/>
      <c r="AP75" s="5"/>
      <c r="AQ75" s="5"/>
      <c r="AR75" s="5"/>
      <c r="AS75" s="5"/>
      <c r="AT75" s="5"/>
      <c r="AU75" s="5"/>
      <c r="AV75" s="5"/>
      <c r="AW75" s="5"/>
      <c r="AX75" s="5"/>
      <c r="AY75" s="5"/>
      <c r="AZ75" s="5"/>
      <c r="BA75" s="5"/>
      <c r="BB75" s="5"/>
      <c r="BC75" s="5"/>
      <c r="BD75" s="5"/>
      <c r="BE75" s="5"/>
      <c r="BF75" s="5"/>
      <c r="BG75" s="5" t="s">
        <v>53</v>
      </c>
      <c r="BH75" s="5"/>
      <c r="BI75" s="5"/>
      <c r="BJ75" s="5"/>
      <c r="BK75" s="5"/>
      <c r="BL75" s="5"/>
      <c r="BM75" s="5"/>
      <c r="BN75" s="5"/>
      <c r="BO75" s="5"/>
      <c r="BP75" s="5"/>
      <c r="BQ75" s="5"/>
      <c r="BR75" s="5"/>
      <c r="BS75" s="5"/>
      <c r="BT75" s="5"/>
      <c r="BU75" s="5" t="s">
        <v>64</v>
      </c>
      <c r="BV75" s="5"/>
      <c r="BW75" s="5"/>
      <c r="BX75" s="5"/>
      <c r="BY75" s="5"/>
      <c r="BZ75" s="5"/>
      <c r="CA75" s="5"/>
      <c r="CB75" s="5"/>
      <c r="CC75" s="5"/>
      <c r="CD75" s="5"/>
      <c r="CE75" s="5"/>
      <c r="CF75" s="5"/>
      <c r="CG75" s="5"/>
      <c r="CH75" s="5"/>
      <c r="CI75" s="5" t="s">
        <v>417</v>
      </c>
      <c r="CJ75" s="5">
        <v>62</v>
      </c>
      <c r="CK75" s="5" t="s">
        <v>141</v>
      </c>
      <c r="CL75" s="5" t="s">
        <v>150</v>
      </c>
      <c r="CM75" s="5" t="s">
        <v>418</v>
      </c>
      <c r="CN75" s="5" t="s">
        <v>416</v>
      </c>
      <c r="CO75" s="5"/>
      <c r="CP75" s="5" t="s">
        <v>83</v>
      </c>
      <c r="CQ75" s="5" t="s">
        <v>88</v>
      </c>
      <c r="CR75" s="5" t="s">
        <v>105</v>
      </c>
      <c r="CS75" s="5" t="s">
        <v>86</v>
      </c>
      <c r="CT75" s="5" t="s">
        <v>384</v>
      </c>
      <c r="CU75" s="5"/>
      <c r="CV75" s="5"/>
      <c r="CW75" s="5"/>
      <c r="CX75" s="5"/>
      <c r="CY75" s="5"/>
      <c r="CZ75" s="5"/>
      <c r="DA75" s="5"/>
    </row>
    <row r="76" spans="1:105">
      <c r="A76" s="5">
        <v>18025177479</v>
      </c>
      <c r="B76" s="5"/>
      <c r="C76" s="5" t="s">
        <v>17</v>
      </c>
      <c r="D76" s="5"/>
      <c r="E76" s="5"/>
      <c r="F76" s="5"/>
      <c r="G76" s="5"/>
      <c r="H76" s="5"/>
      <c r="I76" s="5"/>
      <c r="J76" s="5" t="s">
        <v>24</v>
      </c>
      <c r="K76" s="5"/>
      <c r="L76" s="5"/>
      <c r="M76" s="5"/>
      <c r="N76" s="5" t="s">
        <v>28</v>
      </c>
      <c r="O76" s="5"/>
      <c r="P76" s="5" t="s">
        <v>16</v>
      </c>
      <c r="Q76" s="5"/>
      <c r="R76" s="5"/>
      <c r="S76" s="5"/>
      <c r="T76" s="5"/>
      <c r="U76" s="5"/>
      <c r="V76" s="5"/>
      <c r="W76" s="5"/>
      <c r="X76" s="5"/>
      <c r="Y76" s="5"/>
      <c r="Z76" s="5"/>
      <c r="AA76" s="5"/>
      <c r="AB76" s="5" t="s">
        <v>28</v>
      </c>
      <c r="AC76" s="5"/>
      <c r="AD76" s="5"/>
      <c r="AE76" s="5"/>
      <c r="AF76" s="5" t="s">
        <v>31</v>
      </c>
      <c r="AG76" s="5"/>
      <c r="AH76" s="5"/>
      <c r="AI76" s="5"/>
      <c r="AJ76" s="5" t="s">
        <v>35</v>
      </c>
      <c r="AK76" s="5" t="s">
        <v>36</v>
      </c>
      <c r="AL76" s="5"/>
      <c r="AM76" s="5"/>
      <c r="AN76" s="5"/>
      <c r="AO76" s="5" t="s">
        <v>38</v>
      </c>
      <c r="AP76" s="5"/>
      <c r="AQ76" s="5" t="s">
        <v>40</v>
      </c>
      <c r="AR76" s="5" t="s">
        <v>41</v>
      </c>
      <c r="AS76" s="5"/>
      <c r="AT76" s="5"/>
      <c r="AU76" s="5"/>
      <c r="AV76" s="5"/>
      <c r="AW76" s="5"/>
      <c r="AX76" s="5"/>
      <c r="AY76" s="5"/>
      <c r="AZ76" s="5"/>
      <c r="BA76" s="5"/>
      <c r="BB76" s="5" t="s">
        <v>49</v>
      </c>
      <c r="BC76" s="5"/>
      <c r="BD76" s="5"/>
      <c r="BE76" s="5"/>
      <c r="BF76" s="5"/>
      <c r="BG76" s="5"/>
      <c r="BH76" s="5"/>
      <c r="BI76" s="5" t="s">
        <v>55</v>
      </c>
      <c r="BJ76" s="5"/>
      <c r="BK76" s="5"/>
      <c r="BL76" s="5"/>
      <c r="BM76" s="5"/>
      <c r="BN76" s="5"/>
      <c r="BO76" s="5"/>
      <c r="BP76" s="5"/>
      <c r="BQ76" s="5"/>
      <c r="BR76" s="5"/>
      <c r="BS76" s="5" t="s">
        <v>63</v>
      </c>
      <c r="BT76" s="5"/>
      <c r="BU76" s="5" t="s">
        <v>64</v>
      </c>
      <c r="BV76" s="5"/>
      <c r="BW76" s="5"/>
      <c r="BX76" s="5"/>
      <c r="BY76" s="5"/>
      <c r="BZ76" s="5"/>
      <c r="CA76" s="5"/>
      <c r="CB76" s="5"/>
      <c r="CC76" s="5"/>
      <c r="CD76" s="5" t="s">
        <v>73</v>
      </c>
      <c r="CE76" s="5"/>
      <c r="CF76" s="5"/>
      <c r="CG76" s="5"/>
      <c r="CH76" s="5"/>
      <c r="CI76" s="5" t="s">
        <v>414</v>
      </c>
      <c r="CJ76" s="5">
        <v>64</v>
      </c>
      <c r="CK76" s="5" t="s">
        <v>141</v>
      </c>
      <c r="CL76" s="5" t="s">
        <v>153</v>
      </c>
      <c r="CM76" s="5" t="s">
        <v>418</v>
      </c>
      <c r="CN76" s="5" t="s">
        <v>416</v>
      </c>
      <c r="CO76" s="5" t="s">
        <v>82</v>
      </c>
      <c r="CP76" s="5" t="s">
        <v>94</v>
      </c>
      <c r="CQ76" s="5" t="s">
        <v>103</v>
      </c>
      <c r="CR76" s="5" t="s">
        <v>99</v>
      </c>
      <c r="CS76" s="5" t="s">
        <v>86</v>
      </c>
      <c r="CT76" s="5" t="s">
        <v>385</v>
      </c>
      <c r="CU76" s="5"/>
      <c r="CV76" s="5"/>
      <c r="CW76" s="5"/>
      <c r="CX76" s="5"/>
      <c r="CY76" s="5"/>
      <c r="CZ76" s="5"/>
      <c r="DA76" s="5"/>
    </row>
    <row r="77" spans="1:105">
      <c r="A77" s="5">
        <v>18025177067</v>
      </c>
      <c r="B77" s="5"/>
      <c r="C77" s="5" t="s">
        <v>17</v>
      </c>
      <c r="D77" s="5"/>
      <c r="E77" s="5"/>
      <c r="F77" s="5"/>
      <c r="G77" s="5"/>
      <c r="H77" s="5"/>
      <c r="I77" s="5"/>
      <c r="J77" s="5" t="s">
        <v>24</v>
      </c>
      <c r="K77" s="5" t="s">
        <v>25</v>
      </c>
      <c r="L77" s="5" t="s">
        <v>26</v>
      </c>
      <c r="M77" s="5"/>
      <c r="N77" s="5" t="s">
        <v>28</v>
      </c>
      <c r="O77" s="5"/>
      <c r="P77" s="5"/>
      <c r="Q77" s="5"/>
      <c r="R77" s="5"/>
      <c r="S77" s="5"/>
      <c r="T77" s="5"/>
      <c r="U77" s="5"/>
      <c r="V77" s="5"/>
      <c r="W77" s="5"/>
      <c r="X77" s="5"/>
      <c r="Y77" s="5"/>
      <c r="Z77" s="5"/>
      <c r="AA77" s="5"/>
      <c r="AB77" s="5" t="s">
        <v>28</v>
      </c>
      <c r="AC77" s="5"/>
      <c r="AD77" s="5"/>
      <c r="AE77" s="5"/>
      <c r="AF77" s="5"/>
      <c r="AG77" s="5"/>
      <c r="AH77" s="5"/>
      <c r="AI77" s="5"/>
      <c r="AJ77" s="5"/>
      <c r="AK77" s="5" t="s">
        <v>36</v>
      </c>
      <c r="AL77" s="5"/>
      <c r="AM77" s="5"/>
      <c r="AN77" s="5"/>
      <c r="AO77" s="5" t="s">
        <v>38</v>
      </c>
      <c r="AP77" s="5"/>
      <c r="AQ77" s="5"/>
      <c r="AR77" s="5"/>
      <c r="AS77" s="5" t="s">
        <v>42</v>
      </c>
      <c r="AT77" s="5"/>
      <c r="AU77" s="5" t="s">
        <v>43</v>
      </c>
      <c r="AV77" s="5"/>
      <c r="AW77" s="5" t="s">
        <v>45</v>
      </c>
      <c r="AX77" s="5"/>
      <c r="AY77" s="5"/>
      <c r="AZ77" s="5"/>
      <c r="BA77" s="5"/>
      <c r="BB77" s="5"/>
      <c r="BC77" s="5"/>
      <c r="BD77" s="5"/>
      <c r="BE77" s="5"/>
      <c r="BF77" s="5"/>
      <c r="BG77" s="5" t="s">
        <v>53</v>
      </c>
      <c r="BH77" s="5" t="s">
        <v>54</v>
      </c>
      <c r="BI77" s="5"/>
      <c r="BJ77" s="5"/>
      <c r="BK77" s="5"/>
      <c r="BL77" s="5"/>
      <c r="BM77" s="5"/>
      <c r="BN77" s="5" t="s">
        <v>24</v>
      </c>
      <c r="BO77" s="5"/>
      <c r="BP77" s="5"/>
      <c r="BQ77" s="5"/>
      <c r="BR77" s="5"/>
      <c r="BS77" s="5"/>
      <c r="BT77" s="5"/>
      <c r="BU77" s="5" t="s">
        <v>64</v>
      </c>
      <c r="BV77" s="5"/>
      <c r="BW77" s="5"/>
      <c r="BX77" s="5"/>
      <c r="BY77" s="5"/>
      <c r="BZ77" s="5"/>
      <c r="CA77" s="5"/>
      <c r="CB77" s="5"/>
      <c r="CC77" s="5"/>
      <c r="CD77" s="5"/>
      <c r="CE77" s="5"/>
      <c r="CF77" s="5" t="s">
        <v>75</v>
      </c>
      <c r="CG77" s="5"/>
      <c r="CH77" s="5"/>
      <c r="CI77" s="5" t="s">
        <v>414</v>
      </c>
      <c r="CJ77" s="5">
        <v>36</v>
      </c>
      <c r="CK77" s="5" t="s">
        <v>141</v>
      </c>
      <c r="CL77" s="5" t="s">
        <v>359</v>
      </c>
      <c r="CM77" s="5" t="s">
        <v>420</v>
      </c>
      <c r="CN77" s="5" t="s">
        <v>419</v>
      </c>
      <c r="CO77" s="5" t="s">
        <v>82</v>
      </c>
      <c r="CP77" s="5" t="s">
        <v>93</v>
      </c>
      <c r="CQ77" s="5" t="s">
        <v>84</v>
      </c>
      <c r="CR77" s="5" t="s">
        <v>105</v>
      </c>
      <c r="CS77" s="5" t="s">
        <v>86</v>
      </c>
      <c r="CT77" s="5" t="s">
        <v>384</v>
      </c>
      <c r="CU77" s="5"/>
      <c r="CV77" s="5"/>
      <c r="CW77" s="5"/>
      <c r="CX77" s="5"/>
      <c r="CY77" s="5"/>
      <c r="CZ77" s="5"/>
      <c r="DA77" s="5"/>
    </row>
    <row r="78" spans="1:105">
      <c r="A78" s="5">
        <v>18024285770</v>
      </c>
      <c r="B78" s="5"/>
      <c r="C78" s="5"/>
      <c r="D78" s="5"/>
      <c r="E78" s="5"/>
      <c r="F78" s="5"/>
      <c r="G78" s="5"/>
      <c r="H78" s="5"/>
      <c r="I78" s="5"/>
      <c r="J78" s="5"/>
      <c r="K78" s="5" t="s">
        <v>25</v>
      </c>
      <c r="L78" s="5"/>
      <c r="M78" s="5"/>
      <c r="N78" s="5"/>
      <c r="O78" s="5"/>
      <c r="P78" s="5"/>
      <c r="Q78" s="5"/>
      <c r="R78" s="5"/>
      <c r="S78" s="5"/>
      <c r="T78" s="5"/>
      <c r="U78" s="5"/>
      <c r="V78" s="5"/>
      <c r="W78" s="5"/>
      <c r="X78" s="5"/>
      <c r="Y78" s="5" t="s">
        <v>25</v>
      </c>
      <c r="Z78" s="5"/>
      <c r="AA78" s="5"/>
      <c r="AB78" s="5"/>
      <c r="AC78" s="5"/>
      <c r="AD78" s="5"/>
      <c r="AE78" s="5" t="s">
        <v>30</v>
      </c>
      <c r="AF78" s="5"/>
      <c r="AG78" s="5"/>
      <c r="AH78" s="5"/>
      <c r="AI78" s="5"/>
      <c r="AJ78" s="5"/>
      <c r="AK78" s="5"/>
      <c r="AL78" s="5"/>
      <c r="AM78" s="5"/>
      <c r="AN78" s="5"/>
      <c r="AO78" s="5"/>
      <c r="AP78" s="5" t="s">
        <v>39</v>
      </c>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t="s">
        <v>64</v>
      </c>
      <c r="BV78" s="5"/>
      <c r="BW78" s="5"/>
      <c r="BX78" s="5"/>
      <c r="BY78" s="5"/>
      <c r="BZ78" s="5"/>
      <c r="CA78" s="5"/>
      <c r="CB78" s="5"/>
      <c r="CC78" s="5"/>
      <c r="CD78" s="5"/>
      <c r="CE78" s="5"/>
      <c r="CF78" s="5"/>
      <c r="CG78" s="5"/>
      <c r="CH78" s="5"/>
      <c r="CI78" s="5" t="s">
        <v>414</v>
      </c>
      <c r="CJ78" s="5"/>
      <c r="CK78" s="5" t="s">
        <v>141</v>
      </c>
      <c r="CL78" s="5" t="s">
        <v>164</v>
      </c>
      <c r="CM78" s="5" t="s">
        <v>418</v>
      </c>
      <c r="CN78" s="5" t="s">
        <v>416</v>
      </c>
      <c r="CO78" s="5" t="s">
        <v>82</v>
      </c>
      <c r="CP78" s="5" t="s">
        <v>87</v>
      </c>
      <c r="CQ78" s="5" t="s">
        <v>95</v>
      </c>
      <c r="CR78" s="5" t="s">
        <v>96</v>
      </c>
      <c r="CS78" s="5" t="s">
        <v>86</v>
      </c>
      <c r="CT78" s="5" t="s">
        <v>387</v>
      </c>
      <c r="CU78" s="5" t="s">
        <v>86</v>
      </c>
      <c r="CV78" s="5"/>
      <c r="CW78" s="5"/>
      <c r="CX78" s="5"/>
      <c r="CY78" s="5"/>
      <c r="CZ78" s="5"/>
      <c r="DA78" s="5"/>
    </row>
    <row r="79" spans="1:105">
      <c r="A79" s="5">
        <v>18024204548</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t="s">
        <v>363</v>
      </c>
      <c r="CM79" s="5"/>
      <c r="CN79" s="5"/>
      <c r="CO79" s="5"/>
      <c r="CP79" s="5"/>
      <c r="CQ79" s="5"/>
      <c r="CR79" s="5"/>
      <c r="CS79" s="5"/>
      <c r="CT79" s="5"/>
      <c r="CU79" s="5"/>
      <c r="CV79" s="5"/>
      <c r="CW79" s="5"/>
      <c r="CX79" s="5"/>
      <c r="CY79" s="5"/>
      <c r="CZ79" s="5"/>
      <c r="DA79" s="5"/>
    </row>
    <row r="80" spans="1:105">
      <c r="A80" s="5">
        <v>18024007695</v>
      </c>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t="s">
        <v>364</v>
      </c>
      <c r="CM80" s="5"/>
      <c r="CN80" s="5"/>
      <c r="CO80" s="5"/>
      <c r="CP80" s="5"/>
      <c r="CQ80" s="5"/>
      <c r="CR80" s="5"/>
      <c r="CS80" s="5"/>
      <c r="CT80" s="5"/>
      <c r="CU80" s="5"/>
      <c r="CV80" s="5"/>
      <c r="CW80" s="5"/>
      <c r="CX80" s="5"/>
      <c r="CY80" s="5"/>
      <c r="CZ80" s="5"/>
      <c r="DA80" s="5"/>
    </row>
    <row r="81" spans="1:105">
      <c r="A81" s="5">
        <v>18023492246</v>
      </c>
      <c r="B81" s="5"/>
      <c r="C81" s="5"/>
      <c r="D81" s="5"/>
      <c r="E81" s="5"/>
      <c r="F81" s="5"/>
      <c r="G81" s="5"/>
      <c r="H81" s="5"/>
      <c r="I81" s="5"/>
      <c r="J81" s="5" t="s">
        <v>24</v>
      </c>
      <c r="K81" s="5"/>
      <c r="L81" s="5" t="s">
        <v>26</v>
      </c>
      <c r="M81" s="5"/>
      <c r="N81" s="5" t="s">
        <v>28</v>
      </c>
      <c r="O81" s="5"/>
      <c r="P81" s="5"/>
      <c r="Q81" s="5"/>
      <c r="R81" s="5"/>
      <c r="S81" s="5"/>
      <c r="T81" s="5"/>
      <c r="U81" s="5"/>
      <c r="V81" s="5"/>
      <c r="W81" s="5"/>
      <c r="X81" s="5" t="s">
        <v>24</v>
      </c>
      <c r="Y81" s="5"/>
      <c r="Z81" s="5"/>
      <c r="AA81" s="5"/>
      <c r="AB81" s="5"/>
      <c r="AC81" s="5"/>
      <c r="AD81" s="5"/>
      <c r="AE81" s="5"/>
      <c r="AF81" s="5"/>
      <c r="AG81" s="5"/>
      <c r="AH81" s="5"/>
      <c r="AI81" s="5"/>
      <c r="AJ81" s="5"/>
      <c r="AK81" s="5"/>
      <c r="AL81" s="5"/>
      <c r="AM81" s="5"/>
      <c r="AN81" s="5"/>
      <c r="AO81" s="5"/>
      <c r="AP81" s="5" t="s">
        <v>39</v>
      </c>
      <c r="AQ81" s="5"/>
      <c r="AR81" s="5" t="s">
        <v>41</v>
      </c>
      <c r="AS81" s="5"/>
      <c r="AT81" s="5"/>
      <c r="AU81" s="5"/>
      <c r="AV81" s="5"/>
      <c r="AW81" s="5" t="s">
        <v>45</v>
      </c>
      <c r="AX81" s="5"/>
      <c r="AY81" s="5"/>
      <c r="AZ81" s="5"/>
      <c r="BA81" s="5"/>
      <c r="BB81" s="5"/>
      <c r="BC81" s="5"/>
      <c r="BD81" s="5" t="s">
        <v>51</v>
      </c>
      <c r="BE81" s="5"/>
      <c r="BF81" s="5"/>
      <c r="BG81" s="5"/>
      <c r="BH81" s="5"/>
      <c r="BI81" s="5"/>
      <c r="BJ81" s="5"/>
      <c r="BK81" s="5"/>
      <c r="BL81" s="5"/>
      <c r="BM81" s="5"/>
      <c r="BN81" s="5" t="s">
        <v>24</v>
      </c>
      <c r="BO81" s="5"/>
      <c r="BP81" s="5"/>
      <c r="BQ81" s="5" t="s">
        <v>61</v>
      </c>
      <c r="BR81" s="5"/>
      <c r="BS81" s="5"/>
      <c r="BT81" s="5"/>
      <c r="BU81" s="5"/>
      <c r="BV81" s="5"/>
      <c r="BW81" s="5"/>
      <c r="BX81" s="5"/>
      <c r="BY81" s="5"/>
      <c r="BZ81" s="5"/>
      <c r="CA81" s="5"/>
      <c r="CB81" s="5"/>
      <c r="CC81" s="5"/>
      <c r="CD81" s="5"/>
      <c r="CE81" s="5"/>
      <c r="CF81" s="5" t="s">
        <v>75</v>
      </c>
      <c r="CG81" s="5"/>
      <c r="CH81" s="5"/>
      <c r="CI81" s="5"/>
      <c r="CJ81" s="5"/>
      <c r="CK81" s="5"/>
      <c r="CL81" s="5"/>
      <c r="CM81" s="5"/>
      <c r="CN81" s="5"/>
      <c r="CO81" s="5"/>
      <c r="CP81" s="5"/>
      <c r="CQ81" s="5"/>
      <c r="CR81" s="5"/>
      <c r="CS81" s="5"/>
      <c r="CT81" s="5"/>
      <c r="CU81" s="5"/>
      <c r="CV81" s="5"/>
      <c r="CW81" s="5"/>
      <c r="CX81" s="5"/>
      <c r="CY81" s="5"/>
      <c r="CZ81" s="5"/>
      <c r="DA81" s="5"/>
    </row>
    <row r="82" spans="1:105">
      <c r="A82" s="5">
        <v>18023288956</v>
      </c>
      <c r="B82" s="5"/>
      <c r="C82" s="5"/>
      <c r="D82" s="5" t="s">
        <v>18</v>
      </c>
      <c r="E82" s="5"/>
      <c r="F82" s="5"/>
      <c r="G82" s="5"/>
      <c r="H82" s="5"/>
      <c r="I82" s="5"/>
      <c r="J82" s="5" t="s">
        <v>24</v>
      </c>
      <c r="K82" s="5" t="s">
        <v>25</v>
      </c>
      <c r="L82" s="5"/>
      <c r="M82" s="5"/>
      <c r="N82" s="5"/>
      <c r="O82" s="5"/>
      <c r="P82" s="5"/>
      <c r="Q82" s="5"/>
      <c r="R82" s="5"/>
      <c r="S82" s="5"/>
      <c r="T82" s="5"/>
      <c r="U82" s="5" t="s">
        <v>21</v>
      </c>
      <c r="V82" s="5"/>
      <c r="W82" s="5"/>
      <c r="X82" s="5" t="s">
        <v>24</v>
      </c>
      <c r="Y82" s="5" t="s">
        <v>25</v>
      </c>
      <c r="Z82" s="5"/>
      <c r="AA82" s="5"/>
      <c r="AB82" s="5"/>
      <c r="AC82" s="5"/>
      <c r="AD82" s="5"/>
      <c r="AE82" s="5"/>
      <c r="AF82" s="5"/>
      <c r="AG82" s="5" t="s">
        <v>32</v>
      </c>
      <c r="AH82" s="5"/>
      <c r="AI82" s="5"/>
      <c r="AJ82" s="5"/>
      <c r="AK82" s="5" t="s">
        <v>36</v>
      </c>
      <c r="AL82" s="5"/>
      <c r="AM82" s="5" t="s">
        <v>375</v>
      </c>
      <c r="AN82" s="5"/>
      <c r="AO82" s="5"/>
      <c r="AP82" s="5"/>
      <c r="AQ82" s="5"/>
      <c r="AR82" s="5" t="s">
        <v>41</v>
      </c>
      <c r="AS82" s="5"/>
      <c r="AT82" s="5" t="s">
        <v>37</v>
      </c>
      <c r="AU82" s="5"/>
      <c r="AV82" s="5"/>
      <c r="AW82" s="5"/>
      <c r="AX82" s="5"/>
      <c r="AY82" s="5" t="s">
        <v>47</v>
      </c>
      <c r="AZ82" s="5"/>
      <c r="BA82" s="5"/>
      <c r="BB82" s="5"/>
      <c r="BC82" s="5"/>
      <c r="BD82" s="5"/>
      <c r="BE82" s="5"/>
      <c r="BF82" s="5" t="s">
        <v>52</v>
      </c>
      <c r="BG82" s="5"/>
      <c r="BH82" s="5" t="s">
        <v>54</v>
      </c>
      <c r="BI82" s="5"/>
      <c r="BJ82" s="5"/>
      <c r="BK82" s="5"/>
      <c r="BL82" s="5"/>
      <c r="BM82" s="5"/>
      <c r="BN82" s="5"/>
      <c r="BO82" s="5"/>
      <c r="BP82" s="5" t="s">
        <v>60</v>
      </c>
      <c r="BQ82" s="5"/>
      <c r="BR82" s="5"/>
      <c r="BS82" s="5"/>
      <c r="BT82" s="5"/>
      <c r="BU82" s="5" t="s">
        <v>64</v>
      </c>
      <c r="BV82" s="5"/>
      <c r="BW82" s="5"/>
      <c r="BX82" s="5"/>
      <c r="BY82" s="5"/>
      <c r="BZ82" s="5"/>
      <c r="CA82" s="5"/>
      <c r="CB82" s="5"/>
      <c r="CC82" s="5"/>
      <c r="CD82" s="5"/>
      <c r="CE82" s="5"/>
      <c r="CF82" s="5" t="s">
        <v>75</v>
      </c>
      <c r="CG82" s="5"/>
      <c r="CH82" s="5"/>
      <c r="CI82" s="5" t="s">
        <v>417</v>
      </c>
      <c r="CJ82" s="5">
        <v>33</v>
      </c>
      <c r="CK82" s="5" t="s">
        <v>141</v>
      </c>
      <c r="CL82" s="5" t="s">
        <v>145</v>
      </c>
      <c r="CM82" s="5" t="s">
        <v>415</v>
      </c>
      <c r="CN82" s="5"/>
      <c r="CO82" s="5" t="s">
        <v>82</v>
      </c>
      <c r="CP82" s="5" t="s">
        <v>93</v>
      </c>
      <c r="CQ82" s="5" t="s">
        <v>88</v>
      </c>
      <c r="CR82" s="5" t="s">
        <v>85</v>
      </c>
      <c r="CS82" s="5" t="s">
        <v>86</v>
      </c>
      <c r="CT82" s="5"/>
      <c r="CU82" s="5"/>
      <c r="CV82" s="5"/>
      <c r="CW82" s="5"/>
      <c r="CX82" s="5"/>
      <c r="CY82" s="5"/>
      <c r="CZ82" s="5"/>
      <c r="DA82" s="5"/>
    </row>
    <row r="83" spans="1:105">
      <c r="A83" s="5">
        <v>18023288812</v>
      </c>
      <c r="B83" s="5"/>
      <c r="C83" s="5"/>
      <c r="D83" s="5"/>
      <c r="E83" s="5"/>
      <c r="F83" s="5"/>
      <c r="G83" s="5"/>
      <c r="H83" s="5"/>
      <c r="I83" s="5"/>
      <c r="J83" s="5"/>
      <c r="K83" s="5" t="s">
        <v>25</v>
      </c>
      <c r="L83" s="5" t="s">
        <v>26</v>
      </c>
      <c r="M83" s="5"/>
      <c r="N83" s="5"/>
      <c r="O83" s="5"/>
      <c r="P83" s="5"/>
      <c r="Q83" s="5"/>
      <c r="R83" s="5"/>
      <c r="S83" s="5"/>
      <c r="T83" s="5"/>
      <c r="U83" s="5"/>
      <c r="V83" s="5"/>
      <c r="W83" s="5"/>
      <c r="X83" s="5"/>
      <c r="Y83" s="5" t="s">
        <v>25</v>
      </c>
      <c r="Z83" s="5"/>
      <c r="AA83" s="5"/>
      <c r="AB83" s="5"/>
      <c r="AC83" s="5"/>
      <c r="AD83" s="5"/>
      <c r="AE83" s="5"/>
      <c r="AF83" s="5" t="s">
        <v>31</v>
      </c>
      <c r="AG83" s="5"/>
      <c r="AH83" s="5"/>
      <c r="AI83" s="5"/>
      <c r="AJ83" s="5"/>
      <c r="AK83" s="5" t="s">
        <v>36</v>
      </c>
      <c r="AL83" s="5"/>
      <c r="AM83" s="5"/>
      <c r="AN83" s="5"/>
      <c r="AO83" s="5"/>
      <c r="AP83" s="5" t="s">
        <v>39</v>
      </c>
      <c r="AQ83" s="5"/>
      <c r="AR83" s="5"/>
      <c r="AS83" s="5"/>
      <c r="AT83" s="5"/>
      <c r="AU83" s="5"/>
      <c r="AV83" s="5"/>
      <c r="AW83" s="5"/>
      <c r="AX83" s="5" t="s">
        <v>46</v>
      </c>
      <c r="AY83" s="5"/>
      <c r="AZ83" s="5"/>
      <c r="BA83" s="5"/>
      <c r="BB83" s="5"/>
      <c r="BC83" s="5" t="s">
        <v>50</v>
      </c>
      <c r="BD83" s="5" t="s">
        <v>51</v>
      </c>
      <c r="BE83" s="5"/>
      <c r="BF83" s="5"/>
      <c r="BG83" s="5"/>
      <c r="BH83" s="5"/>
      <c r="BI83" s="5"/>
      <c r="BJ83" s="5"/>
      <c r="BK83" s="5"/>
      <c r="BL83" s="5"/>
      <c r="BM83" s="5"/>
      <c r="BN83" s="5"/>
      <c r="BO83" s="5"/>
      <c r="BP83" s="5" t="s">
        <v>60</v>
      </c>
      <c r="BQ83" s="5"/>
      <c r="BR83" s="5"/>
      <c r="BS83" s="5"/>
      <c r="BT83" s="5"/>
      <c r="BU83" s="5" t="s">
        <v>64</v>
      </c>
      <c r="BV83" s="5"/>
      <c r="BW83" s="5"/>
      <c r="BX83" s="5" t="s">
        <v>67</v>
      </c>
      <c r="BY83" s="5"/>
      <c r="BZ83" s="5"/>
      <c r="CA83" s="5"/>
      <c r="CB83" s="5"/>
      <c r="CC83" s="5"/>
      <c r="CD83" s="5"/>
      <c r="CE83" s="5"/>
      <c r="CF83" s="5" t="s">
        <v>75</v>
      </c>
      <c r="CG83" s="5"/>
      <c r="CH83" s="5"/>
      <c r="CI83" s="5" t="s">
        <v>414</v>
      </c>
      <c r="CJ83" s="5">
        <v>18</v>
      </c>
      <c r="CK83" s="5" t="s">
        <v>141</v>
      </c>
      <c r="CL83" s="5" t="s">
        <v>176</v>
      </c>
      <c r="CM83" s="5" t="s">
        <v>418</v>
      </c>
      <c r="CN83" s="5" t="s">
        <v>419</v>
      </c>
      <c r="CO83" s="5" t="s">
        <v>82</v>
      </c>
      <c r="CP83" s="5" t="s">
        <v>83</v>
      </c>
      <c r="CQ83" s="5" t="s">
        <v>95</v>
      </c>
      <c r="CR83" s="5" t="s">
        <v>96</v>
      </c>
      <c r="CS83" s="5" t="s">
        <v>86</v>
      </c>
      <c r="CT83" s="5" t="s">
        <v>387</v>
      </c>
      <c r="CU83" s="5"/>
      <c r="CV83" s="5"/>
      <c r="CW83" s="5"/>
      <c r="CX83" s="5"/>
      <c r="CY83" s="5"/>
      <c r="CZ83" s="5"/>
      <c r="DA83" s="5"/>
    </row>
    <row r="84" spans="1:105">
      <c r="A84" s="5">
        <v>18023288714</v>
      </c>
      <c r="B84" s="5"/>
      <c r="C84" s="5"/>
      <c r="D84" s="5"/>
      <c r="E84" s="5"/>
      <c r="F84" s="5"/>
      <c r="G84" s="5"/>
      <c r="H84" s="5" t="s">
        <v>22</v>
      </c>
      <c r="I84" s="5"/>
      <c r="J84" s="5"/>
      <c r="K84" s="5" t="s">
        <v>25</v>
      </c>
      <c r="L84" s="5" t="s">
        <v>26</v>
      </c>
      <c r="M84" s="5"/>
      <c r="N84" s="5"/>
      <c r="O84" s="5"/>
      <c r="P84" s="5"/>
      <c r="Q84" s="5"/>
      <c r="R84" s="5"/>
      <c r="S84" s="5"/>
      <c r="T84" s="5"/>
      <c r="U84" s="5"/>
      <c r="V84" s="5"/>
      <c r="W84" s="5"/>
      <c r="X84" s="5"/>
      <c r="Y84" s="5"/>
      <c r="Z84" s="5"/>
      <c r="AA84" s="5"/>
      <c r="AB84" s="5" t="s">
        <v>28</v>
      </c>
      <c r="AC84" s="5"/>
      <c r="AD84" s="5"/>
      <c r="AE84" s="5"/>
      <c r="AF84" s="5" t="s">
        <v>31</v>
      </c>
      <c r="AG84" s="5"/>
      <c r="AH84" s="5"/>
      <c r="AI84" s="5"/>
      <c r="AJ84" s="5"/>
      <c r="AK84" s="5" t="s">
        <v>36</v>
      </c>
      <c r="AL84" s="5"/>
      <c r="AM84" s="5" t="s">
        <v>375</v>
      </c>
      <c r="AN84" s="5"/>
      <c r="AO84" s="5"/>
      <c r="AP84" s="5" t="s">
        <v>39</v>
      </c>
      <c r="AQ84" s="5"/>
      <c r="AR84" s="5"/>
      <c r="AS84" s="5"/>
      <c r="AT84" s="5"/>
      <c r="AU84" s="5"/>
      <c r="AV84" s="5"/>
      <c r="AW84" s="5"/>
      <c r="AX84" s="5"/>
      <c r="AY84" s="5"/>
      <c r="AZ84" s="5"/>
      <c r="BA84" s="5"/>
      <c r="BB84" s="5"/>
      <c r="BC84" s="5"/>
      <c r="BD84" s="5" t="s">
        <v>51</v>
      </c>
      <c r="BE84" s="5"/>
      <c r="BF84" s="5"/>
      <c r="BG84" s="5"/>
      <c r="BH84" s="5"/>
      <c r="BI84" s="5"/>
      <c r="BJ84" s="5"/>
      <c r="BK84" s="5"/>
      <c r="BL84" s="5"/>
      <c r="BM84" s="5"/>
      <c r="BN84" s="5"/>
      <c r="BO84" s="5"/>
      <c r="BP84" s="5"/>
      <c r="BQ84" s="5"/>
      <c r="BR84" s="5" t="s">
        <v>62</v>
      </c>
      <c r="BS84" s="5" t="s">
        <v>63</v>
      </c>
      <c r="BT84" s="5"/>
      <c r="BU84" s="5" t="s">
        <v>64</v>
      </c>
      <c r="BV84" s="5"/>
      <c r="BW84" s="5" t="s">
        <v>66</v>
      </c>
      <c r="BX84" s="5" t="s">
        <v>67</v>
      </c>
      <c r="BY84" s="5" t="s">
        <v>68</v>
      </c>
      <c r="BZ84" s="5" t="s">
        <v>69</v>
      </c>
      <c r="CA84" s="5"/>
      <c r="CB84" s="5" t="s">
        <v>71</v>
      </c>
      <c r="CC84" s="5"/>
      <c r="CD84" s="5"/>
      <c r="CE84" s="5"/>
      <c r="CF84" s="5" t="s">
        <v>75</v>
      </c>
      <c r="CG84" s="5" t="s">
        <v>76</v>
      </c>
      <c r="CH84" s="5"/>
      <c r="CI84" s="5" t="s">
        <v>417</v>
      </c>
      <c r="CJ84" s="5">
        <v>53</v>
      </c>
      <c r="CK84" s="5" t="s">
        <v>141</v>
      </c>
      <c r="CL84" s="5" t="s">
        <v>176</v>
      </c>
      <c r="CM84" s="5" t="s">
        <v>418</v>
      </c>
      <c r="CN84" s="5" t="s">
        <v>419</v>
      </c>
      <c r="CO84" s="5" t="s">
        <v>82</v>
      </c>
      <c r="CP84" s="5" t="s">
        <v>83</v>
      </c>
      <c r="CQ84" s="5" t="s">
        <v>84</v>
      </c>
      <c r="CR84" s="5" t="s">
        <v>85</v>
      </c>
      <c r="CS84" s="5" t="s">
        <v>86</v>
      </c>
      <c r="CT84" s="5" t="s">
        <v>384</v>
      </c>
      <c r="CU84" s="5"/>
      <c r="CV84" s="5"/>
      <c r="CW84" s="5"/>
      <c r="CX84" s="5"/>
      <c r="CY84" s="5"/>
      <c r="CZ84" s="5"/>
      <c r="DA84" s="5"/>
    </row>
    <row r="85" spans="1:105">
      <c r="A85" s="5">
        <v>18023288631</v>
      </c>
      <c r="B85" s="5" t="s">
        <v>16</v>
      </c>
      <c r="C85" s="5" t="s">
        <v>17</v>
      </c>
      <c r="D85" s="5"/>
      <c r="E85" s="5"/>
      <c r="F85" s="5"/>
      <c r="G85" s="5" t="s">
        <v>21</v>
      </c>
      <c r="H85" s="5" t="s">
        <v>22</v>
      </c>
      <c r="I85" s="5"/>
      <c r="J85" s="5"/>
      <c r="K85" s="5" t="s">
        <v>25</v>
      </c>
      <c r="L85" s="5" t="s">
        <v>26</v>
      </c>
      <c r="M85" s="5"/>
      <c r="N85" s="5"/>
      <c r="O85" s="5"/>
      <c r="P85" s="5" t="s">
        <v>16</v>
      </c>
      <c r="Q85" s="5"/>
      <c r="R85" s="5"/>
      <c r="S85" s="5"/>
      <c r="T85" s="5"/>
      <c r="U85" s="5"/>
      <c r="V85" s="5"/>
      <c r="W85" s="5" t="s">
        <v>23</v>
      </c>
      <c r="X85" s="5"/>
      <c r="Y85" s="5" t="s">
        <v>25</v>
      </c>
      <c r="Z85" s="5"/>
      <c r="AA85" s="5"/>
      <c r="AB85" s="5"/>
      <c r="AC85" s="5"/>
      <c r="AD85" s="5" t="s">
        <v>29</v>
      </c>
      <c r="AE85" s="5"/>
      <c r="AF85" s="5"/>
      <c r="AG85" s="5"/>
      <c r="AH85" s="5"/>
      <c r="AI85" s="5" t="s">
        <v>34</v>
      </c>
      <c r="AJ85" s="5"/>
      <c r="AK85" s="5"/>
      <c r="AL85" s="5"/>
      <c r="AM85" s="5"/>
      <c r="AN85" s="5"/>
      <c r="AO85" s="5"/>
      <c r="AP85" s="5" t="s">
        <v>39</v>
      </c>
      <c r="AQ85" s="5"/>
      <c r="AR85" s="5"/>
      <c r="AS85" s="5" t="s">
        <v>42</v>
      </c>
      <c r="AT85" s="5"/>
      <c r="AU85" s="5"/>
      <c r="AV85" s="5"/>
      <c r="AW85" s="5" t="s">
        <v>45</v>
      </c>
      <c r="AX85" s="5"/>
      <c r="AY85" s="5"/>
      <c r="AZ85" s="5"/>
      <c r="BA85" s="5"/>
      <c r="BB85" s="5"/>
      <c r="BC85" s="5"/>
      <c r="BD85" s="5" t="s">
        <v>51</v>
      </c>
      <c r="BE85" s="5"/>
      <c r="BF85" s="5"/>
      <c r="BG85" s="5"/>
      <c r="BH85" s="5"/>
      <c r="BI85" s="5"/>
      <c r="BJ85" s="5"/>
      <c r="BK85" s="5"/>
      <c r="BL85" s="5"/>
      <c r="BM85" s="5" t="s">
        <v>59</v>
      </c>
      <c r="BN85" s="5"/>
      <c r="BO85" s="5"/>
      <c r="BP85" s="5"/>
      <c r="BQ85" s="5" t="s">
        <v>61</v>
      </c>
      <c r="BR85" s="5" t="s">
        <v>62</v>
      </c>
      <c r="BS85" s="5" t="s">
        <v>63</v>
      </c>
      <c r="BT85" s="5"/>
      <c r="BU85" s="5" t="s">
        <v>64</v>
      </c>
      <c r="BV85" s="5"/>
      <c r="BW85" s="5"/>
      <c r="BX85" s="5" t="s">
        <v>67</v>
      </c>
      <c r="BY85" s="5"/>
      <c r="BZ85" s="5" t="s">
        <v>69</v>
      </c>
      <c r="CA85" s="5" t="s">
        <v>70</v>
      </c>
      <c r="CB85" s="5"/>
      <c r="CC85" s="5"/>
      <c r="CD85" s="5"/>
      <c r="CE85" s="5"/>
      <c r="CF85" s="5" t="s">
        <v>75</v>
      </c>
      <c r="CG85" s="5"/>
      <c r="CH85" s="5"/>
      <c r="CI85" s="5" t="s">
        <v>414</v>
      </c>
      <c r="CJ85" s="5">
        <v>49</v>
      </c>
      <c r="CK85" s="5" t="s">
        <v>141</v>
      </c>
      <c r="CL85" s="5" t="s">
        <v>150</v>
      </c>
      <c r="CM85" s="5" t="s">
        <v>418</v>
      </c>
      <c r="CN85" s="5" t="s">
        <v>419</v>
      </c>
      <c r="CO85" s="5" t="s">
        <v>82</v>
      </c>
      <c r="CP85" s="5" t="s">
        <v>83</v>
      </c>
      <c r="CQ85" s="5" t="s">
        <v>103</v>
      </c>
      <c r="CR85" s="5" t="s">
        <v>85</v>
      </c>
      <c r="CS85" s="5" t="s">
        <v>86</v>
      </c>
      <c r="CT85" s="5" t="s">
        <v>384</v>
      </c>
      <c r="CU85" s="5"/>
      <c r="CV85" s="5"/>
      <c r="CW85" s="5"/>
      <c r="CX85" s="5"/>
      <c r="CY85" s="5"/>
      <c r="CZ85" s="5"/>
      <c r="DA85" s="5"/>
    </row>
    <row r="86" spans="1:105">
      <c r="A86" s="5">
        <v>18023288504</v>
      </c>
      <c r="B86" s="5"/>
      <c r="C86" s="5"/>
      <c r="D86" s="5"/>
      <c r="E86" s="5" t="s">
        <v>19</v>
      </c>
      <c r="F86" s="5"/>
      <c r="G86" s="5" t="s">
        <v>21</v>
      </c>
      <c r="H86" s="5"/>
      <c r="I86" s="5"/>
      <c r="J86" s="5"/>
      <c r="K86" s="5"/>
      <c r="L86" s="5" t="s">
        <v>26</v>
      </c>
      <c r="M86" s="5"/>
      <c r="N86" s="5"/>
      <c r="O86" s="5"/>
      <c r="P86" s="5"/>
      <c r="Q86" s="5"/>
      <c r="R86" s="5"/>
      <c r="S86" s="5"/>
      <c r="T86" s="5"/>
      <c r="U86" s="5"/>
      <c r="V86" s="5"/>
      <c r="W86" s="5" t="s">
        <v>23</v>
      </c>
      <c r="X86" s="5"/>
      <c r="Y86" s="5"/>
      <c r="Z86" s="5"/>
      <c r="AA86" s="5"/>
      <c r="AB86" s="5" t="s">
        <v>28</v>
      </c>
      <c r="AC86" s="5"/>
      <c r="AD86" s="5" t="s">
        <v>29</v>
      </c>
      <c r="AE86" s="5"/>
      <c r="AF86" s="5" t="s">
        <v>31</v>
      </c>
      <c r="AG86" s="5"/>
      <c r="AH86" s="5"/>
      <c r="AI86" s="5"/>
      <c r="AJ86" s="5"/>
      <c r="AK86" s="5"/>
      <c r="AL86" s="5"/>
      <c r="AM86" s="5"/>
      <c r="AN86" s="5"/>
      <c r="AO86" s="5"/>
      <c r="AP86" s="5" t="s">
        <v>39</v>
      </c>
      <c r="AQ86" s="5"/>
      <c r="AR86" s="5"/>
      <c r="AS86" s="5"/>
      <c r="AT86" s="5"/>
      <c r="AU86" s="5" t="s">
        <v>43</v>
      </c>
      <c r="AV86" s="5"/>
      <c r="AW86" s="5" t="s">
        <v>45</v>
      </c>
      <c r="AX86" s="5"/>
      <c r="AY86" s="5"/>
      <c r="AZ86" s="5"/>
      <c r="BA86" s="5"/>
      <c r="BB86" s="5"/>
      <c r="BC86" s="5"/>
      <c r="BD86" s="5"/>
      <c r="BE86" s="5"/>
      <c r="BF86" s="5"/>
      <c r="BG86" s="5" t="s">
        <v>53</v>
      </c>
      <c r="BH86" s="5"/>
      <c r="BI86" s="5"/>
      <c r="BJ86" s="5" t="s">
        <v>56</v>
      </c>
      <c r="BK86" s="5" t="s">
        <v>57</v>
      </c>
      <c r="BL86" s="5"/>
      <c r="BM86" s="5"/>
      <c r="BN86" s="5"/>
      <c r="BO86" s="5"/>
      <c r="BP86" s="5"/>
      <c r="BQ86" s="5"/>
      <c r="BR86" s="5"/>
      <c r="BS86" s="5"/>
      <c r="BT86" s="5"/>
      <c r="BU86" s="5" t="s">
        <v>64</v>
      </c>
      <c r="BV86" s="5"/>
      <c r="BW86" s="5"/>
      <c r="BX86" s="5" t="s">
        <v>67</v>
      </c>
      <c r="BY86" s="5"/>
      <c r="BZ86" s="5"/>
      <c r="CA86" s="5"/>
      <c r="CB86" s="5"/>
      <c r="CC86" s="5"/>
      <c r="CD86" s="5"/>
      <c r="CE86" s="5"/>
      <c r="CF86" s="5" t="s">
        <v>75</v>
      </c>
      <c r="CG86" s="5"/>
      <c r="CH86" s="5"/>
      <c r="CI86" s="5" t="s">
        <v>414</v>
      </c>
      <c r="CJ86" s="5">
        <v>59</v>
      </c>
      <c r="CK86" s="5" t="s">
        <v>141</v>
      </c>
      <c r="CL86" s="5" t="s">
        <v>145</v>
      </c>
      <c r="CM86" s="5" t="s">
        <v>418</v>
      </c>
      <c r="CN86" s="5" t="s">
        <v>419</v>
      </c>
      <c r="CO86" s="5" t="s">
        <v>82</v>
      </c>
      <c r="CP86" s="5" t="s">
        <v>83</v>
      </c>
      <c r="CQ86" s="5" t="s">
        <v>103</v>
      </c>
      <c r="CR86" s="5" t="s">
        <v>85</v>
      </c>
      <c r="CS86" s="5" t="s">
        <v>86</v>
      </c>
      <c r="CT86" s="5" t="s">
        <v>384</v>
      </c>
      <c r="CU86" s="5"/>
      <c r="CV86" s="5"/>
      <c r="CW86" s="5"/>
      <c r="CX86" s="5"/>
      <c r="CY86" s="5"/>
      <c r="CZ86" s="5"/>
      <c r="DA86" s="5"/>
    </row>
    <row r="87" spans="1:105">
      <c r="A87" s="5">
        <v>18023288405</v>
      </c>
      <c r="B87" s="5"/>
      <c r="C87" s="5" t="s">
        <v>17</v>
      </c>
      <c r="D87" s="5"/>
      <c r="E87" s="5"/>
      <c r="F87" s="5"/>
      <c r="G87" s="5"/>
      <c r="H87" s="5"/>
      <c r="I87" s="5"/>
      <c r="J87" s="5"/>
      <c r="K87" s="5" t="s">
        <v>25</v>
      </c>
      <c r="L87" s="5"/>
      <c r="M87" s="5" t="s">
        <v>27</v>
      </c>
      <c r="N87" s="5" t="s">
        <v>28</v>
      </c>
      <c r="O87" s="5"/>
      <c r="P87" s="5"/>
      <c r="Q87" s="5"/>
      <c r="R87" s="5"/>
      <c r="S87" s="5"/>
      <c r="T87" s="5"/>
      <c r="U87" s="5"/>
      <c r="V87" s="5"/>
      <c r="W87" s="5" t="s">
        <v>23</v>
      </c>
      <c r="X87" s="5"/>
      <c r="Y87" s="5"/>
      <c r="Z87" s="5"/>
      <c r="AA87" s="5"/>
      <c r="AB87" s="5"/>
      <c r="AC87" s="5"/>
      <c r="AD87" s="5"/>
      <c r="AE87" s="5"/>
      <c r="AF87" s="5"/>
      <c r="AG87" s="5"/>
      <c r="AH87" s="5"/>
      <c r="AI87" s="5"/>
      <c r="AJ87" s="5"/>
      <c r="AK87" s="5"/>
      <c r="AL87" s="5"/>
      <c r="AM87" s="5" t="s">
        <v>375</v>
      </c>
      <c r="AN87" s="5"/>
      <c r="AO87" s="5" t="s">
        <v>38</v>
      </c>
      <c r="AP87" s="5"/>
      <c r="AQ87" s="5"/>
      <c r="AR87" s="5"/>
      <c r="AS87" s="5"/>
      <c r="AT87" s="5"/>
      <c r="AU87" s="5"/>
      <c r="AV87" s="5"/>
      <c r="AW87" s="5"/>
      <c r="AX87" s="5"/>
      <c r="AY87" s="5"/>
      <c r="AZ87" s="5"/>
      <c r="BA87" s="5"/>
      <c r="BB87" s="5"/>
      <c r="BC87" s="5"/>
      <c r="BD87" s="5" t="s">
        <v>51</v>
      </c>
      <c r="BE87" s="5"/>
      <c r="BF87" s="5"/>
      <c r="BG87" s="5"/>
      <c r="BH87" s="5"/>
      <c r="BI87" s="5"/>
      <c r="BJ87" s="5"/>
      <c r="BK87" s="5"/>
      <c r="BL87" s="5" t="s">
        <v>58</v>
      </c>
      <c r="BM87" s="5"/>
      <c r="BN87" s="5" t="s">
        <v>24</v>
      </c>
      <c r="BO87" s="5"/>
      <c r="BP87" s="5"/>
      <c r="BQ87" s="5"/>
      <c r="BR87" s="5"/>
      <c r="BS87" s="5"/>
      <c r="BT87" s="5"/>
      <c r="BU87" s="5" t="s">
        <v>64</v>
      </c>
      <c r="BV87" s="5"/>
      <c r="BW87" s="5"/>
      <c r="BX87" s="5"/>
      <c r="BY87" s="5"/>
      <c r="BZ87" s="5"/>
      <c r="CA87" s="5"/>
      <c r="CB87" s="5"/>
      <c r="CC87" s="5"/>
      <c r="CD87" s="5"/>
      <c r="CE87" s="5"/>
      <c r="CF87" s="5"/>
      <c r="CG87" s="5"/>
      <c r="CH87" s="5"/>
      <c r="CI87" s="5" t="s">
        <v>414</v>
      </c>
      <c r="CJ87" s="5">
        <v>57</v>
      </c>
      <c r="CK87" s="5" t="s">
        <v>141</v>
      </c>
      <c r="CL87" s="5" t="s">
        <v>150</v>
      </c>
      <c r="CM87" s="5" t="s">
        <v>418</v>
      </c>
      <c r="CN87" s="5" t="s">
        <v>419</v>
      </c>
      <c r="CO87" s="5" t="s">
        <v>82</v>
      </c>
      <c r="CP87" s="5" t="s">
        <v>83</v>
      </c>
      <c r="CQ87" s="5" t="s">
        <v>103</v>
      </c>
      <c r="CR87" s="5" t="s">
        <v>85</v>
      </c>
      <c r="CS87" s="5" t="s">
        <v>86</v>
      </c>
      <c r="CT87" s="5" t="s">
        <v>384</v>
      </c>
      <c r="CU87" s="5"/>
      <c r="CV87" s="5"/>
      <c r="CW87" s="5"/>
      <c r="CX87" s="5"/>
      <c r="CY87" s="5"/>
      <c r="CZ87" s="5"/>
      <c r="DA87" s="5"/>
    </row>
    <row r="88" spans="1:105">
      <c r="A88" s="5">
        <v>18023288287</v>
      </c>
      <c r="B88" s="5"/>
      <c r="C88" s="5" t="s">
        <v>17</v>
      </c>
      <c r="D88" s="5"/>
      <c r="E88" s="5"/>
      <c r="F88" s="5"/>
      <c r="G88" s="5"/>
      <c r="H88" s="5"/>
      <c r="I88" s="5"/>
      <c r="J88" s="5"/>
      <c r="K88" s="5" t="s">
        <v>25</v>
      </c>
      <c r="L88" s="5"/>
      <c r="M88" s="5" t="s">
        <v>27</v>
      </c>
      <c r="N88" s="5"/>
      <c r="O88" s="5"/>
      <c r="P88" s="5"/>
      <c r="Q88" s="5" t="s">
        <v>17</v>
      </c>
      <c r="R88" s="5"/>
      <c r="S88" s="5"/>
      <c r="T88" s="5"/>
      <c r="U88" s="5"/>
      <c r="V88" s="5"/>
      <c r="W88" s="5" t="s">
        <v>23</v>
      </c>
      <c r="X88" s="5"/>
      <c r="Y88" s="5"/>
      <c r="Z88" s="5"/>
      <c r="AA88" s="5" t="s">
        <v>27</v>
      </c>
      <c r="AB88" s="5"/>
      <c r="AC88" s="5"/>
      <c r="AD88" s="5"/>
      <c r="AE88" s="5"/>
      <c r="AF88" s="5"/>
      <c r="AG88" s="5"/>
      <c r="AH88" s="5" t="s">
        <v>33</v>
      </c>
      <c r="AI88" s="5"/>
      <c r="AJ88" s="5" t="s">
        <v>35</v>
      </c>
      <c r="AK88" s="5"/>
      <c r="AL88" s="5"/>
      <c r="AM88" s="5" t="s">
        <v>375</v>
      </c>
      <c r="AN88" s="5"/>
      <c r="AO88" s="5"/>
      <c r="AP88" s="5" t="s">
        <v>39</v>
      </c>
      <c r="AQ88" s="5"/>
      <c r="AR88" s="5"/>
      <c r="AS88" s="5"/>
      <c r="AT88" s="5"/>
      <c r="AU88" s="5" t="s">
        <v>43</v>
      </c>
      <c r="AV88" s="5" t="s">
        <v>44</v>
      </c>
      <c r="AW88" s="5"/>
      <c r="AX88" s="5"/>
      <c r="AY88" s="5"/>
      <c r="AZ88" s="5"/>
      <c r="BA88" s="5"/>
      <c r="BB88" s="5"/>
      <c r="BC88" s="5"/>
      <c r="BD88" s="5" t="s">
        <v>51</v>
      </c>
      <c r="BE88" s="5"/>
      <c r="BF88" s="5"/>
      <c r="BG88" s="5" t="s">
        <v>53</v>
      </c>
      <c r="BH88" s="5"/>
      <c r="BI88" s="5"/>
      <c r="BJ88" s="5"/>
      <c r="BK88" s="5"/>
      <c r="BL88" s="5"/>
      <c r="BM88" s="5"/>
      <c r="BN88" s="5"/>
      <c r="BO88" s="5"/>
      <c r="BP88" s="5"/>
      <c r="BQ88" s="5"/>
      <c r="BR88" s="5"/>
      <c r="BS88" s="5" t="s">
        <v>63</v>
      </c>
      <c r="BT88" s="5"/>
      <c r="BU88" s="5" t="s">
        <v>64</v>
      </c>
      <c r="BV88" s="5"/>
      <c r="BW88" s="5"/>
      <c r="BX88" s="5"/>
      <c r="BY88" s="5" t="s">
        <v>68</v>
      </c>
      <c r="BZ88" s="5"/>
      <c r="CA88" s="5"/>
      <c r="CB88" s="5"/>
      <c r="CC88" s="5"/>
      <c r="CD88" s="5"/>
      <c r="CE88" s="5"/>
      <c r="CF88" s="5"/>
      <c r="CG88" s="5"/>
      <c r="CH88" s="5"/>
      <c r="CI88" s="5" t="s">
        <v>414</v>
      </c>
      <c r="CJ88" s="5">
        <v>50</v>
      </c>
      <c r="CK88" s="5" t="s">
        <v>141</v>
      </c>
      <c r="CL88" s="5" t="s">
        <v>158</v>
      </c>
      <c r="CM88" s="5" t="s">
        <v>418</v>
      </c>
      <c r="CN88" s="5" t="s">
        <v>416</v>
      </c>
      <c r="CO88" s="5" t="s">
        <v>427</v>
      </c>
      <c r="CP88" s="5" t="s">
        <v>83</v>
      </c>
      <c r="CQ88" s="5" t="s">
        <v>103</v>
      </c>
      <c r="CR88" s="5" t="s">
        <v>85</v>
      </c>
      <c r="CS88" s="5" t="s">
        <v>86</v>
      </c>
      <c r="CT88" s="5" t="s">
        <v>384</v>
      </c>
      <c r="CU88" s="5"/>
      <c r="CV88" s="5"/>
      <c r="CW88" s="5"/>
      <c r="CX88" s="5"/>
      <c r="CY88" s="5"/>
      <c r="CZ88" s="5"/>
      <c r="DA88" s="5"/>
    </row>
    <row r="89" spans="1:105">
      <c r="A89" s="5">
        <v>18023288205</v>
      </c>
      <c r="B89" s="5"/>
      <c r="C89" s="5" t="s">
        <v>17</v>
      </c>
      <c r="D89" s="5"/>
      <c r="E89" s="5"/>
      <c r="F89" s="5"/>
      <c r="G89" s="5" t="s">
        <v>21</v>
      </c>
      <c r="H89" s="5"/>
      <c r="I89" s="5"/>
      <c r="J89" s="5"/>
      <c r="K89" s="5" t="s">
        <v>25</v>
      </c>
      <c r="L89" s="5"/>
      <c r="M89" s="5"/>
      <c r="N89" s="5"/>
      <c r="O89" s="5"/>
      <c r="P89" s="5"/>
      <c r="Q89" s="5"/>
      <c r="R89" s="5"/>
      <c r="S89" s="5"/>
      <c r="T89" s="5"/>
      <c r="U89" s="5"/>
      <c r="V89" s="5"/>
      <c r="W89" s="5"/>
      <c r="X89" s="5" t="s">
        <v>24</v>
      </c>
      <c r="Y89" s="5" t="s">
        <v>25</v>
      </c>
      <c r="Z89" s="5"/>
      <c r="AA89" s="5"/>
      <c r="AB89" s="5" t="s">
        <v>28</v>
      </c>
      <c r="AC89" s="5"/>
      <c r="AD89" s="5"/>
      <c r="AE89" s="5" t="s">
        <v>30</v>
      </c>
      <c r="AF89" s="5" t="s">
        <v>31</v>
      </c>
      <c r="AG89" s="5"/>
      <c r="AH89" s="5"/>
      <c r="AI89" s="5"/>
      <c r="AJ89" s="5"/>
      <c r="AK89" s="5"/>
      <c r="AL89" s="5"/>
      <c r="AM89" s="5" t="s">
        <v>375</v>
      </c>
      <c r="AN89" s="5"/>
      <c r="AO89" s="5"/>
      <c r="AP89" s="5" t="s">
        <v>39</v>
      </c>
      <c r="AQ89" s="5"/>
      <c r="AR89" s="5"/>
      <c r="AS89" s="5" t="s">
        <v>42</v>
      </c>
      <c r="AT89" s="5"/>
      <c r="AU89" s="5"/>
      <c r="AV89" s="5"/>
      <c r="AW89" s="5" t="s">
        <v>45</v>
      </c>
      <c r="AX89" s="5"/>
      <c r="AY89" s="5"/>
      <c r="AZ89" s="5"/>
      <c r="BA89" s="5"/>
      <c r="BB89" s="5"/>
      <c r="BC89" s="5" t="s">
        <v>50</v>
      </c>
      <c r="BD89" s="5" t="s">
        <v>51</v>
      </c>
      <c r="BE89" s="5"/>
      <c r="BF89" s="5"/>
      <c r="BG89" s="5"/>
      <c r="BH89" s="5"/>
      <c r="BI89" s="5"/>
      <c r="BJ89" s="5"/>
      <c r="BK89" s="5"/>
      <c r="BL89" s="5"/>
      <c r="BM89" s="5"/>
      <c r="BN89" s="5"/>
      <c r="BO89" s="5"/>
      <c r="BP89" s="5"/>
      <c r="BQ89" s="5" t="s">
        <v>61</v>
      </c>
      <c r="BR89" s="5"/>
      <c r="BS89" s="5"/>
      <c r="BT89" s="5"/>
      <c r="BU89" s="5" t="s">
        <v>64</v>
      </c>
      <c r="BV89" s="5"/>
      <c r="BW89" s="5"/>
      <c r="BX89" s="5" t="s">
        <v>67</v>
      </c>
      <c r="BY89" s="5" t="s">
        <v>68</v>
      </c>
      <c r="BZ89" s="5"/>
      <c r="CA89" s="5" t="s">
        <v>70</v>
      </c>
      <c r="CB89" s="5"/>
      <c r="CC89" s="5"/>
      <c r="CD89" s="5"/>
      <c r="CE89" s="5"/>
      <c r="CF89" s="5" t="s">
        <v>75</v>
      </c>
      <c r="CG89" s="5"/>
      <c r="CH89" s="5"/>
      <c r="CI89" s="5" t="s">
        <v>414</v>
      </c>
      <c r="CJ89" s="5">
        <v>52</v>
      </c>
      <c r="CK89" s="5" t="s">
        <v>141</v>
      </c>
      <c r="CL89" s="5" t="s">
        <v>176</v>
      </c>
      <c r="CM89" s="5" t="s">
        <v>418</v>
      </c>
      <c r="CN89" s="5" t="s">
        <v>419</v>
      </c>
      <c r="CO89" s="5" t="s">
        <v>82</v>
      </c>
      <c r="CP89" s="5" t="s">
        <v>83</v>
      </c>
      <c r="CQ89" s="5" t="s">
        <v>103</v>
      </c>
      <c r="CR89" s="5" t="s">
        <v>85</v>
      </c>
      <c r="CS89" s="5" t="s">
        <v>86</v>
      </c>
      <c r="CT89" s="5" t="s">
        <v>384</v>
      </c>
      <c r="CU89" s="5"/>
      <c r="CV89" s="5"/>
      <c r="CW89" s="5"/>
      <c r="CX89" s="5"/>
      <c r="CY89" s="5"/>
      <c r="CZ89" s="5"/>
      <c r="DA89" s="5"/>
    </row>
    <row r="90" spans="1:105">
      <c r="A90" s="5">
        <v>18023288112</v>
      </c>
      <c r="B90" s="5"/>
      <c r="C90" s="5" t="s">
        <v>17</v>
      </c>
      <c r="D90" s="5"/>
      <c r="E90" s="5"/>
      <c r="F90" s="5"/>
      <c r="G90" s="5"/>
      <c r="H90" s="5"/>
      <c r="I90" s="5"/>
      <c r="J90" s="5"/>
      <c r="K90" s="5" t="s">
        <v>25</v>
      </c>
      <c r="L90" s="5" t="s">
        <v>26</v>
      </c>
      <c r="M90" s="5"/>
      <c r="N90" s="5"/>
      <c r="O90" s="5"/>
      <c r="P90" s="5"/>
      <c r="Q90" s="5"/>
      <c r="R90" s="5"/>
      <c r="S90" s="5"/>
      <c r="T90" s="5"/>
      <c r="U90" s="5" t="s">
        <v>21</v>
      </c>
      <c r="V90" s="5" t="s">
        <v>22</v>
      </c>
      <c r="W90" s="5"/>
      <c r="X90" s="5"/>
      <c r="Y90" s="5" t="s">
        <v>25</v>
      </c>
      <c r="Z90" s="5"/>
      <c r="AA90" s="5"/>
      <c r="AB90" s="5"/>
      <c r="AC90" s="5"/>
      <c r="AD90" s="5"/>
      <c r="AE90" s="5" t="s">
        <v>30</v>
      </c>
      <c r="AF90" s="5" t="s">
        <v>31</v>
      </c>
      <c r="AG90" s="5"/>
      <c r="AH90" s="5"/>
      <c r="AI90" s="5"/>
      <c r="AJ90" s="5"/>
      <c r="AK90" s="5"/>
      <c r="AL90" s="5"/>
      <c r="AM90" s="5" t="s">
        <v>375</v>
      </c>
      <c r="AN90" s="5"/>
      <c r="AO90" s="5"/>
      <c r="AP90" s="5" t="s">
        <v>39</v>
      </c>
      <c r="AQ90" s="5"/>
      <c r="AR90" s="5" t="s">
        <v>41</v>
      </c>
      <c r="AS90" s="5"/>
      <c r="AT90" s="5"/>
      <c r="AU90" s="5"/>
      <c r="AV90" s="5" t="s">
        <v>44</v>
      </c>
      <c r="AW90" s="5"/>
      <c r="AX90" s="5"/>
      <c r="AY90" s="5"/>
      <c r="AZ90" s="5"/>
      <c r="BA90" s="5"/>
      <c r="BB90" s="5"/>
      <c r="BC90" s="5"/>
      <c r="BD90" s="5" t="s">
        <v>51</v>
      </c>
      <c r="BE90" s="5"/>
      <c r="BF90" s="5"/>
      <c r="BG90" s="5"/>
      <c r="BH90" s="5"/>
      <c r="BI90" s="5"/>
      <c r="BJ90" s="5"/>
      <c r="BK90" s="5"/>
      <c r="BL90" s="5"/>
      <c r="BM90" s="5" t="s">
        <v>59</v>
      </c>
      <c r="BN90" s="5"/>
      <c r="BO90" s="5"/>
      <c r="BP90" s="5"/>
      <c r="BQ90" s="5"/>
      <c r="BR90" s="5"/>
      <c r="BS90" s="5" t="s">
        <v>63</v>
      </c>
      <c r="BT90" s="5"/>
      <c r="BU90" s="5" t="s">
        <v>64</v>
      </c>
      <c r="BV90" s="5"/>
      <c r="BW90" s="5"/>
      <c r="BX90" s="5" t="s">
        <v>67</v>
      </c>
      <c r="BY90" s="5"/>
      <c r="BZ90" s="5"/>
      <c r="CA90" s="5"/>
      <c r="CB90" s="5"/>
      <c r="CC90" s="5"/>
      <c r="CD90" s="5"/>
      <c r="CE90" s="5"/>
      <c r="CF90" s="5" t="s">
        <v>75</v>
      </c>
      <c r="CG90" s="5"/>
      <c r="CH90" s="5"/>
      <c r="CI90" s="5" t="s">
        <v>414</v>
      </c>
      <c r="CJ90" s="5">
        <v>48</v>
      </c>
      <c r="CK90" s="5" t="s">
        <v>141</v>
      </c>
      <c r="CL90" s="5" t="s">
        <v>156</v>
      </c>
      <c r="CM90" s="5" t="s">
        <v>418</v>
      </c>
      <c r="CN90" s="5" t="s">
        <v>419</v>
      </c>
      <c r="CO90" s="5" t="s">
        <v>82</v>
      </c>
      <c r="CP90" s="5" t="s">
        <v>83</v>
      </c>
      <c r="CQ90" s="5" t="s">
        <v>103</v>
      </c>
      <c r="CR90" s="5" t="s">
        <v>85</v>
      </c>
      <c r="CS90" s="5"/>
      <c r="CT90" s="5" t="s">
        <v>384</v>
      </c>
      <c r="CU90" s="5"/>
      <c r="CV90" s="5"/>
      <c r="CW90" s="5"/>
      <c r="CX90" s="5"/>
      <c r="CY90" s="5"/>
      <c r="CZ90" s="5"/>
      <c r="DA90" s="5"/>
    </row>
    <row r="91" spans="1:105">
      <c r="A91" s="5">
        <v>18023288040</v>
      </c>
      <c r="B91" s="5"/>
      <c r="C91" s="5" t="s">
        <v>17</v>
      </c>
      <c r="D91" s="5"/>
      <c r="E91" s="5"/>
      <c r="F91" s="5"/>
      <c r="G91" s="5"/>
      <c r="H91" s="5"/>
      <c r="I91" s="5"/>
      <c r="J91" s="5"/>
      <c r="K91" s="5"/>
      <c r="L91" s="5" t="s">
        <v>26</v>
      </c>
      <c r="M91" s="5" t="s">
        <v>27</v>
      </c>
      <c r="N91" s="5"/>
      <c r="O91" s="5"/>
      <c r="P91" s="5"/>
      <c r="Q91" s="5"/>
      <c r="R91" s="5"/>
      <c r="S91" s="5" t="s">
        <v>19</v>
      </c>
      <c r="T91" s="5"/>
      <c r="U91" s="5"/>
      <c r="V91" s="5"/>
      <c r="W91" s="5"/>
      <c r="X91" s="5"/>
      <c r="Y91" s="5" t="s">
        <v>25</v>
      </c>
      <c r="Z91" s="5"/>
      <c r="AA91" s="5"/>
      <c r="AB91" s="5" t="s">
        <v>28</v>
      </c>
      <c r="AC91" s="5"/>
      <c r="AD91" s="5"/>
      <c r="AE91" s="5"/>
      <c r="AF91" s="5"/>
      <c r="AG91" s="5"/>
      <c r="AH91" s="5"/>
      <c r="AI91" s="5"/>
      <c r="AJ91" s="5"/>
      <c r="AK91" s="5"/>
      <c r="AL91" s="5"/>
      <c r="AM91" s="5" t="s">
        <v>375</v>
      </c>
      <c r="AN91" s="5"/>
      <c r="AO91" s="5"/>
      <c r="AP91" s="5"/>
      <c r="AQ91" s="5" t="s">
        <v>40</v>
      </c>
      <c r="AR91" s="5"/>
      <c r="AS91" s="5"/>
      <c r="AT91" s="5"/>
      <c r="AU91" s="5"/>
      <c r="AV91" s="5"/>
      <c r="AW91" s="5"/>
      <c r="AX91" s="5"/>
      <c r="AY91" s="5" t="s">
        <v>47</v>
      </c>
      <c r="AZ91" s="5"/>
      <c r="BA91" s="5"/>
      <c r="BB91" s="5"/>
      <c r="BC91" s="5" t="s">
        <v>50</v>
      </c>
      <c r="BD91" s="5"/>
      <c r="BE91" s="5"/>
      <c r="BF91" s="5"/>
      <c r="BG91" s="5"/>
      <c r="BH91" s="5"/>
      <c r="BI91" s="5"/>
      <c r="BJ91" s="5"/>
      <c r="BK91" s="5"/>
      <c r="BL91" s="5"/>
      <c r="BM91" s="5"/>
      <c r="BN91" s="5"/>
      <c r="BO91" s="5"/>
      <c r="BP91" s="5"/>
      <c r="BQ91" s="5"/>
      <c r="BR91" s="5"/>
      <c r="BS91" s="5" t="s">
        <v>63</v>
      </c>
      <c r="BT91" s="5"/>
      <c r="BU91" s="5" t="s">
        <v>64</v>
      </c>
      <c r="BV91" s="5"/>
      <c r="BW91" s="5"/>
      <c r="BX91" s="5"/>
      <c r="BY91" s="5"/>
      <c r="BZ91" s="5"/>
      <c r="CA91" s="5"/>
      <c r="CB91" s="5"/>
      <c r="CC91" s="5"/>
      <c r="CD91" s="5"/>
      <c r="CE91" s="5"/>
      <c r="CF91" s="5"/>
      <c r="CG91" s="5"/>
      <c r="CH91" s="5"/>
      <c r="CI91" s="5" t="s">
        <v>414</v>
      </c>
      <c r="CJ91" s="5">
        <v>49</v>
      </c>
      <c r="CK91" s="5" t="s">
        <v>141</v>
      </c>
      <c r="CL91" s="5" t="s">
        <v>164</v>
      </c>
      <c r="CM91" s="5" t="s">
        <v>418</v>
      </c>
      <c r="CN91" s="5" t="s">
        <v>419</v>
      </c>
      <c r="CO91" s="5" t="s">
        <v>82</v>
      </c>
      <c r="CP91" s="5" t="s">
        <v>83</v>
      </c>
      <c r="CQ91" s="5" t="s">
        <v>103</v>
      </c>
      <c r="CR91" s="5" t="s">
        <v>85</v>
      </c>
      <c r="CS91" s="5"/>
      <c r="CT91" s="5" t="s">
        <v>384</v>
      </c>
      <c r="CU91" s="5"/>
      <c r="CV91" s="5"/>
      <c r="CW91" s="5"/>
      <c r="CX91" s="5"/>
      <c r="CY91" s="5"/>
      <c r="CZ91" s="5"/>
      <c r="DA91" s="5"/>
    </row>
    <row r="92" spans="1:105">
      <c r="A92" s="5">
        <v>18023287912</v>
      </c>
      <c r="B92" s="5"/>
      <c r="C92" s="5" t="s">
        <v>17</v>
      </c>
      <c r="D92" s="5"/>
      <c r="E92" s="5"/>
      <c r="F92" s="5"/>
      <c r="G92" s="5"/>
      <c r="H92" s="5"/>
      <c r="I92" s="5"/>
      <c r="J92" s="5"/>
      <c r="K92" s="5" t="s">
        <v>25</v>
      </c>
      <c r="L92" s="5"/>
      <c r="M92" s="5"/>
      <c r="N92" s="5"/>
      <c r="O92" s="5"/>
      <c r="P92" s="5"/>
      <c r="Q92" s="5"/>
      <c r="R92" s="5"/>
      <c r="S92" s="5"/>
      <c r="T92" s="5"/>
      <c r="U92" s="5"/>
      <c r="V92" s="5"/>
      <c r="W92" s="5"/>
      <c r="X92" s="5"/>
      <c r="Y92" s="5" t="s">
        <v>25</v>
      </c>
      <c r="Z92" s="5"/>
      <c r="AA92" s="5"/>
      <c r="AB92" s="5" t="s">
        <v>28</v>
      </c>
      <c r="AC92" s="5"/>
      <c r="AD92" s="5"/>
      <c r="AE92" s="5"/>
      <c r="AF92" s="5"/>
      <c r="AG92" s="5"/>
      <c r="AH92" s="5"/>
      <c r="AI92" s="5"/>
      <c r="AJ92" s="5"/>
      <c r="AK92" s="5"/>
      <c r="AL92" s="5"/>
      <c r="AM92" s="5" t="s">
        <v>375</v>
      </c>
      <c r="AN92" s="5"/>
      <c r="AO92" s="5"/>
      <c r="AP92" s="5" t="s">
        <v>39</v>
      </c>
      <c r="AQ92" s="5"/>
      <c r="AR92" s="5"/>
      <c r="AS92" s="5"/>
      <c r="AT92" s="5"/>
      <c r="AU92" s="5"/>
      <c r="AV92" s="5"/>
      <c r="AW92" s="5"/>
      <c r="AX92" s="5"/>
      <c r="AY92" s="5"/>
      <c r="AZ92" s="5"/>
      <c r="BA92" s="5"/>
      <c r="BB92" s="5"/>
      <c r="BC92" s="5"/>
      <c r="BD92" s="5" t="s">
        <v>51</v>
      </c>
      <c r="BE92" s="5"/>
      <c r="BF92" s="5"/>
      <c r="BG92" s="5"/>
      <c r="BH92" s="5"/>
      <c r="BI92" s="5"/>
      <c r="BJ92" s="5"/>
      <c r="BK92" s="5"/>
      <c r="BL92" s="5"/>
      <c r="BM92" s="5"/>
      <c r="BN92" s="5"/>
      <c r="BO92" s="5"/>
      <c r="BP92" s="5"/>
      <c r="BQ92" s="5"/>
      <c r="BR92" s="5"/>
      <c r="BS92" s="5" t="s">
        <v>63</v>
      </c>
      <c r="BT92" s="5"/>
      <c r="BU92" s="5" t="s">
        <v>64</v>
      </c>
      <c r="BV92" s="5"/>
      <c r="BW92" s="5"/>
      <c r="BX92" s="5"/>
      <c r="BY92" s="5"/>
      <c r="BZ92" s="5"/>
      <c r="CA92" s="5"/>
      <c r="CB92" s="5"/>
      <c r="CC92" s="5"/>
      <c r="CD92" s="5"/>
      <c r="CE92" s="5"/>
      <c r="CF92" s="5" t="s">
        <v>75</v>
      </c>
      <c r="CG92" s="5"/>
      <c r="CH92" s="5"/>
      <c r="CI92" s="5" t="s">
        <v>414</v>
      </c>
      <c r="CJ92" s="5">
        <v>47</v>
      </c>
      <c r="CK92" s="5" t="s">
        <v>141</v>
      </c>
      <c r="CL92" s="5" t="s">
        <v>160</v>
      </c>
      <c r="CM92" s="5" t="s">
        <v>418</v>
      </c>
      <c r="CN92" s="5" t="s">
        <v>419</v>
      </c>
      <c r="CO92" s="5" t="s">
        <v>82</v>
      </c>
      <c r="CP92" s="5" t="s">
        <v>83</v>
      </c>
      <c r="CQ92" s="5" t="s">
        <v>103</v>
      </c>
      <c r="CR92" s="5" t="s">
        <v>85</v>
      </c>
      <c r="CS92" s="5" t="s">
        <v>86</v>
      </c>
      <c r="CT92" s="5" t="s">
        <v>384</v>
      </c>
      <c r="CU92" s="5"/>
      <c r="CV92" s="5"/>
      <c r="CW92" s="5"/>
      <c r="CX92" s="5"/>
      <c r="CY92" s="5"/>
      <c r="CZ92" s="5"/>
      <c r="DA92" s="5"/>
    </row>
    <row r="93" spans="1:105">
      <c r="A93" s="5">
        <v>18023287497</v>
      </c>
      <c r="B93" s="5"/>
      <c r="C93" s="5" t="s">
        <v>17</v>
      </c>
      <c r="D93" s="5" t="s">
        <v>18</v>
      </c>
      <c r="E93" s="5"/>
      <c r="F93" s="5"/>
      <c r="G93" s="5"/>
      <c r="H93" s="5"/>
      <c r="I93" s="5"/>
      <c r="J93" s="5"/>
      <c r="K93" s="5" t="s">
        <v>25</v>
      </c>
      <c r="L93" s="5"/>
      <c r="M93" s="5"/>
      <c r="N93" s="5"/>
      <c r="O93" s="5"/>
      <c r="P93" s="5" t="s">
        <v>16</v>
      </c>
      <c r="Q93" s="5" t="s">
        <v>17</v>
      </c>
      <c r="R93" s="5" t="s">
        <v>18</v>
      </c>
      <c r="S93" s="5"/>
      <c r="T93" s="5"/>
      <c r="U93" s="5"/>
      <c r="V93" s="5"/>
      <c r="W93" s="5"/>
      <c r="X93" s="5"/>
      <c r="Y93" s="5"/>
      <c r="Z93" s="5"/>
      <c r="AA93" s="5"/>
      <c r="AB93" s="5"/>
      <c r="AC93" s="5"/>
      <c r="AD93" s="5" t="s">
        <v>29</v>
      </c>
      <c r="AE93" s="5"/>
      <c r="AF93" s="5"/>
      <c r="AG93" s="5"/>
      <c r="AH93" s="5"/>
      <c r="AI93" s="5"/>
      <c r="AJ93" s="5"/>
      <c r="AK93" s="5"/>
      <c r="AL93" s="5"/>
      <c r="AM93" s="5" t="s">
        <v>375</v>
      </c>
      <c r="AN93" s="5"/>
      <c r="AO93" s="5" t="s">
        <v>38</v>
      </c>
      <c r="AP93" s="5" t="s">
        <v>39</v>
      </c>
      <c r="AQ93" s="5"/>
      <c r="AR93" s="5" t="s">
        <v>41</v>
      </c>
      <c r="AS93" s="5"/>
      <c r="AT93" s="5"/>
      <c r="AU93" s="5"/>
      <c r="AV93" s="5"/>
      <c r="AW93" s="5"/>
      <c r="AX93" s="5"/>
      <c r="AY93" s="5"/>
      <c r="AZ93" s="5"/>
      <c r="BA93" s="5"/>
      <c r="BB93" s="5"/>
      <c r="BC93" s="5"/>
      <c r="BD93" s="5"/>
      <c r="BE93" s="5" t="s">
        <v>17</v>
      </c>
      <c r="BF93" s="5"/>
      <c r="BG93" s="5"/>
      <c r="BH93" s="5"/>
      <c r="BI93" s="5"/>
      <c r="BJ93" s="5"/>
      <c r="BK93" s="5"/>
      <c r="BL93" s="5" t="s">
        <v>58</v>
      </c>
      <c r="BM93" s="5"/>
      <c r="BN93" s="5"/>
      <c r="BO93" s="5"/>
      <c r="BP93" s="5"/>
      <c r="BQ93" s="5"/>
      <c r="BR93" s="5"/>
      <c r="BS93" s="5" t="s">
        <v>63</v>
      </c>
      <c r="BT93" s="5"/>
      <c r="BU93" s="5" t="s">
        <v>64</v>
      </c>
      <c r="BV93" s="5"/>
      <c r="BW93" s="5"/>
      <c r="BX93" s="5" t="s">
        <v>67</v>
      </c>
      <c r="BY93" s="5"/>
      <c r="BZ93" s="5"/>
      <c r="CA93" s="5"/>
      <c r="CB93" s="5"/>
      <c r="CC93" s="5"/>
      <c r="CD93" s="5"/>
      <c r="CE93" s="5"/>
      <c r="CF93" s="5" t="s">
        <v>75</v>
      </c>
      <c r="CG93" s="5"/>
      <c r="CH93" s="5"/>
      <c r="CI93" s="5" t="s">
        <v>417</v>
      </c>
      <c r="CJ93" s="5">
        <v>52</v>
      </c>
      <c r="CK93" s="5" t="s">
        <v>141</v>
      </c>
      <c r="CL93" s="5" t="s">
        <v>164</v>
      </c>
      <c r="CM93" s="5" t="s">
        <v>418</v>
      </c>
      <c r="CN93" s="5" t="s">
        <v>419</v>
      </c>
      <c r="CO93" s="5" t="s">
        <v>82</v>
      </c>
      <c r="CP93" s="5" t="s">
        <v>83</v>
      </c>
      <c r="CQ93" s="5" t="s">
        <v>84</v>
      </c>
      <c r="CR93" s="5" t="s">
        <v>85</v>
      </c>
      <c r="CS93" s="5"/>
      <c r="CT93" s="5"/>
      <c r="CU93" s="5"/>
      <c r="CV93" s="5"/>
      <c r="CW93" s="5"/>
      <c r="CX93" s="5"/>
      <c r="CY93" s="5"/>
      <c r="CZ93" s="5"/>
      <c r="DA93" s="5"/>
    </row>
    <row r="94" spans="1:105">
      <c r="A94" s="5">
        <v>18023287370</v>
      </c>
      <c r="B94" s="5"/>
      <c r="C94" s="5"/>
      <c r="D94" s="5" t="s">
        <v>18</v>
      </c>
      <c r="E94" s="5"/>
      <c r="F94" s="5"/>
      <c r="G94" s="5"/>
      <c r="H94" s="5"/>
      <c r="I94" s="5"/>
      <c r="J94" s="5"/>
      <c r="K94" s="5"/>
      <c r="L94" s="5" t="s">
        <v>26</v>
      </c>
      <c r="M94" s="5"/>
      <c r="N94" s="5" t="s">
        <v>28</v>
      </c>
      <c r="O94" s="5"/>
      <c r="P94" s="5"/>
      <c r="Q94" s="5"/>
      <c r="R94" s="5"/>
      <c r="S94" s="5"/>
      <c r="T94" s="5"/>
      <c r="U94" s="5"/>
      <c r="V94" s="5"/>
      <c r="W94" s="5" t="s">
        <v>23</v>
      </c>
      <c r="X94" s="5"/>
      <c r="Y94" s="5"/>
      <c r="Z94" s="5"/>
      <c r="AA94" s="5"/>
      <c r="AB94" s="5"/>
      <c r="AC94" s="5"/>
      <c r="AD94" s="5"/>
      <c r="AE94" s="5"/>
      <c r="AF94" s="5"/>
      <c r="AG94" s="5"/>
      <c r="AH94" s="5" t="s">
        <v>33</v>
      </c>
      <c r="AI94" s="5"/>
      <c r="AJ94" s="5" t="s">
        <v>35</v>
      </c>
      <c r="AK94" s="5" t="s">
        <v>36</v>
      </c>
      <c r="AL94" s="5"/>
      <c r="AM94" s="5"/>
      <c r="AN94" s="5"/>
      <c r="AO94" s="5" t="s">
        <v>38</v>
      </c>
      <c r="AP94" s="5"/>
      <c r="AQ94" s="5"/>
      <c r="AR94" s="5"/>
      <c r="AS94" s="5"/>
      <c r="AT94" s="5"/>
      <c r="AU94" s="5"/>
      <c r="AV94" s="5"/>
      <c r="AW94" s="5"/>
      <c r="AX94" s="5"/>
      <c r="AY94" s="5"/>
      <c r="AZ94" s="5"/>
      <c r="BA94" s="5"/>
      <c r="BB94" s="5"/>
      <c r="BC94" s="5"/>
      <c r="BD94" s="5"/>
      <c r="BE94" s="5"/>
      <c r="BF94" s="5"/>
      <c r="BG94" s="5"/>
      <c r="BH94" s="5"/>
      <c r="BI94" s="5" t="s">
        <v>55</v>
      </c>
      <c r="BJ94" s="5"/>
      <c r="BK94" s="5"/>
      <c r="BL94" s="5"/>
      <c r="BM94" s="5" t="s">
        <v>59</v>
      </c>
      <c r="BN94" s="5"/>
      <c r="BO94" s="5"/>
      <c r="BP94" s="5"/>
      <c r="BQ94" s="5"/>
      <c r="BR94" s="5"/>
      <c r="BS94" s="5"/>
      <c r="BT94" s="5"/>
      <c r="BU94" s="5"/>
      <c r="BV94" s="5"/>
      <c r="BW94" s="5" t="s">
        <v>66</v>
      </c>
      <c r="BX94" s="5"/>
      <c r="BY94" s="5"/>
      <c r="BZ94" s="5"/>
      <c r="CA94" s="5"/>
      <c r="CB94" s="5"/>
      <c r="CC94" s="5"/>
      <c r="CD94" s="5"/>
      <c r="CE94" s="5"/>
      <c r="CF94" s="5" t="s">
        <v>75</v>
      </c>
      <c r="CG94" s="5"/>
      <c r="CH94" s="5"/>
      <c r="CI94" s="5" t="s">
        <v>414</v>
      </c>
      <c r="CJ94" s="5">
        <v>23</v>
      </c>
      <c r="CK94" s="5" t="s">
        <v>141</v>
      </c>
      <c r="CL94" s="5" t="s">
        <v>154</v>
      </c>
      <c r="CM94" s="5"/>
      <c r="CN94" s="5" t="s">
        <v>416</v>
      </c>
      <c r="CO94" s="5" t="s">
        <v>101</v>
      </c>
      <c r="CP94" s="5" t="s">
        <v>90</v>
      </c>
      <c r="CQ94" s="5" t="s">
        <v>88</v>
      </c>
      <c r="CR94" s="5" t="s">
        <v>85</v>
      </c>
      <c r="CS94" s="5" t="s">
        <v>86</v>
      </c>
      <c r="CT94" s="5"/>
      <c r="CU94" s="5"/>
      <c r="CV94" s="5"/>
      <c r="CW94" s="5"/>
      <c r="CX94" s="5"/>
      <c r="CY94" s="5"/>
      <c r="CZ94" s="5"/>
      <c r="DA94" s="5"/>
    </row>
    <row r="95" spans="1:105">
      <c r="A95" s="5">
        <v>18023287265</v>
      </c>
      <c r="B95" s="5"/>
      <c r="C95" s="5" t="s">
        <v>17</v>
      </c>
      <c r="D95" s="5"/>
      <c r="E95" s="5"/>
      <c r="F95" s="5"/>
      <c r="G95" s="5"/>
      <c r="H95" s="5"/>
      <c r="I95" s="5"/>
      <c r="J95" s="5"/>
      <c r="K95" s="5" t="s">
        <v>25</v>
      </c>
      <c r="L95" s="5" t="s">
        <v>26</v>
      </c>
      <c r="M95" s="5"/>
      <c r="N95" s="5"/>
      <c r="O95" s="5"/>
      <c r="P95" s="5"/>
      <c r="Q95" s="5" t="s">
        <v>17</v>
      </c>
      <c r="R95" s="5"/>
      <c r="S95" s="5" t="s">
        <v>19</v>
      </c>
      <c r="T95" s="5"/>
      <c r="U95" s="5"/>
      <c r="V95" s="5"/>
      <c r="W95" s="5"/>
      <c r="X95" s="5" t="s">
        <v>24</v>
      </c>
      <c r="Y95" s="5"/>
      <c r="Z95" s="5"/>
      <c r="AA95" s="5"/>
      <c r="AB95" s="5"/>
      <c r="AC95" s="5"/>
      <c r="AD95" s="5"/>
      <c r="AE95" s="5"/>
      <c r="AF95" s="5" t="s">
        <v>31</v>
      </c>
      <c r="AG95" s="5"/>
      <c r="AH95" s="5"/>
      <c r="AI95" s="5"/>
      <c r="AJ95" s="5"/>
      <c r="AK95" s="5" t="s">
        <v>36</v>
      </c>
      <c r="AL95" s="5"/>
      <c r="AM95" s="5" t="s">
        <v>375</v>
      </c>
      <c r="AN95" s="5"/>
      <c r="AO95" s="5"/>
      <c r="AP95" s="5" t="s">
        <v>39</v>
      </c>
      <c r="AQ95" s="5"/>
      <c r="AR95" s="5" t="s">
        <v>41</v>
      </c>
      <c r="AS95" s="5"/>
      <c r="AT95" s="5"/>
      <c r="AU95" s="5"/>
      <c r="AV95" s="5"/>
      <c r="AW95" s="5"/>
      <c r="AX95" s="5" t="s">
        <v>46</v>
      </c>
      <c r="AY95" s="5"/>
      <c r="AZ95" s="5"/>
      <c r="BA95" s="5"/>
      <c r="BB95" s="5"/>
      <c r="BC95" s="5"/>
      <c r="BD95" s="5" t="s">
        <v>51</v>
      </c>
      <c r="BE95" s="5" t="s">
        <v>17</v>
      </c>
      <c r="BF95" s="5"/>
      <c r="BG95" s="5"/>
      <c r="BH95" s="5"/>
      <c r="BI95" s="5"/>
      <c r="BJ95" s="5"/>
      <c r="BK95" s="5"/>
      <c r="BL95" s="5" t="s">
        <v>58</v>
      </c>
      <c r="BM95" s="5"/>
      <c r="BN95" s="5"/>
      <c r="BO95" s="5"/>
      <c r="BP95" s="5"/>
      <c r="BQ95" s="5"/>
      <c r="BR95" s="5"/>
      <c r="BS95" s="5"/>
      <c r="BT95" s="5"/>
      <c r="BU95" s="5" t="s">
        <v>64</v>
      </c>
      <c r="BV95" s="5"/>
      <c r="BW95" s="5"/>
      <c r="BX95" s="5"/>
      <c r="BY95" s="5"/>
      <c r="BZ95" s="5"/>
      <c r="CA95" s="5"/>
      <c r="CB95" s="5"/>
      <c r="CC95" s="5"/>
      <c r="CD95" s="5" t="s">
        <v>73</v>
      </c>
      <c r="CE95" s="5"/>
      <c r="CF95" s="5"/>
      <c r="CG95" s="5"/>
      <c r="CH95" s="5"/>
      <c r="CI95" s="5" t="s">
        <v>417</v>
      </c>
      <c r="CJ95" s="5">
        <v>33</v>
      </c>
      <c r="CK95" s="5" t="s">
        <v>141</v>
      </c>
      <c r="CL95" s="5" t="s">
        <v>183</v>
      </c>
      <c r="CM95" s="5" t="s">
        <v>418</v>
      </c>
      <c r="CN95" s="5" t="s">
        <v>416</v>
      </c>
      <c r="CO95" s="5" t="s">
        <v>82</v>
      </c>
      <c r="CP95" s="5" t="s">
        <v>83</v>
      </c>
      <c r="CQ95" s="5" t="s">
        <v>84</v>
      </c>
      <c r="CR95" s="5" t="s">
        <v>85</v>
      </c>
      <c r="CS95" s="5" t="s">
        <v>86</v>
      </c>
      <c r="CT95" s="5"/>
      <c r="CU95" s="5"/>
      <c r="CV95" s="5"/>
      <c r="CW95" s="5"/>
      <c r="CX95" s="5"/>
      <c r="CY95" s="5"/>
      <c r="CZ95" s="5"/>
      <c r="DA95" s="5"/>
    </row>
    <row r="96" spans="1:105">
      <c r="A96" s="5">
        <v>18023287153</v>
      </c>
      <c r="B96" s="5"/>
      <c r="C96" s="5"/>
      <c r="D96" s="5"/>
      <c r="E96" s="5"/>
      <c r="F96" s="5"/>
      <c r="G96" s="5"/>
      <c r="H96" s="5"/>
      <c r="I96" s="5"/>
      <c r="J96" s="5"/>
      <c r="K96" s="5" t="s">
        <v>25</v>
      </c>
      <c r="L96" s="5" t="s">
        <v>26</v>
      </c>
      <c r="M96" s="5"/>
      <c r="N96" s="5"/>
      <c r="O96" s="5"/>
      <c r="P96" s="5"/>
      <c r="Q96" s="5"/>
      <c r="R96" s="5" t="s">
        <v>18</v>
      </c>
      <c r="S96" s="5"/>
      <c r="T96" s="5"/>
      <c r="U96" s="5"/>
      <c r="V96" s="5"/>
      <c r="W96" s="5"/>
      <c r="X96" s="5"/>
      <c r="Y96" s="5"/>
      <c r="Z96" s="5"/>
      <c r="AA96" s="5"/>
      <c r="AB96" s="5" t="s">
        <v>28</v>
      </c>
      <c r="AC96" s="5"/>
      <c r="AD96" s="5"/>
      <c r="AE96" s="5" t="s">
        <v>30</v>
      </c>
      <c r="AF96" s="5" t="s">
        <v>31</v>
      </c>
      <c r="AG96" s="5"/>
      <c r="AH96" s="5"/>
      <c r="AI96" s="5"/>
      <c r="AJ96" s="5"/>
      <c r="AK96" s="5"/>
      <c r="AL96" s="5"/>
      <c r="AM96" s="5" t="s">
        <v>375</v>
      </c>
      <c r="AN96" s="5"/>
      <c r="AO96" s="5" t="s">
        <v>38</v>
      </c>
      <c r="AP96" s="5" t="s">
        <v>39</v>
      </c>
      <c r="AQ96" s="5"/>
      <c r="AR96" s="5"/>
      <c r="AS96" s="5"/>
      <c r="AT96" s="5"/>
      <c r="AU96" s="5"/>
      <c r="AV96" s="5"/>
      <c r="AW96" s="5" t="s">
        <v>45</v>
      </c>
      <c r="AX96" s="5"/>
      <c r="AY96" s="5"/>
      <c r="AZ96" s="5"/>
      <c r="BA96" s="5"/>
      <c r="BB96" s="5"/>
      <c r="BC96" s="5"/>
      <c r="BD96" s="5" t="s">
        <v>51</v>
      </c>
      <c r="BE96" s="5"/>
      <c r="BF96" s="5"/>
      <c r="BG96" s="5"/>
      <c r="BH96" s="5"/>
      <c r="BI96" s="5"/>
      <c r="BJ96" s="5"/>
      <c r="BK96" s="5"/>
      <c r="BL96" s="5" t="s">
        <v>58</v>
      </c>
      <c r="BM96" s="5"/>
      <c r="BN96" s="5"/>
      <c r="BO96" s="5"/>
      <c r="BP96" s="5"/>
      <c r="BQ96" s="5"/>
      <c r="BR96" s="5"/>
      <c r="BS96" s="5" t="s">
        <v>63</v>
      </c>
      <c r="BT96" s="5"/>
      <c r="BU96" s="5" t="s">
        <v>64</v>
      </c>
      <c r="BV96" s="5"/>
      <c r="BW96" s="5"/>
      <c r="BX96" s="5"/>
      <c r="BY96" s="5"/>
      <c r="BZ96" s="5"/>
      <c r="CA96" s="5"/>
      <c r="CB96" s="5"/>
      <c r="CC96" s="5"/>
      <c r="CD96" s="5" t="s">
        <v>73</v>
      </c>
      <c r="CE96" s="5"/>
      <c r="CF96" s="5"/>
      <c r="CG96" s="5"/>
      <c r="CH96" s="5"/>
      <c r="CI96" s="5" t="s">
        <v>417</v>
      </c>
      <c r="CJ96" s="5">
        <v>60</v>
      </c>
      <c r="CK96" s="5" t="s">
        <v>141</v>
      </c>
      <c r="CL96" s="5" t="s">
        <v>164</v>
      </c>
      <c r="CM96" s="5" t="s">
        <v>418</v>
      </c>
      <c r="CN96" s="5" t="s">
        <v>419</v>
      </c>
      <c r="CO96" s="5" t="s">
        <v>82</v>
      </c>
      <c r="CP96" s="5" t="s">
        <v>94</v>
      </c>
      <c r="CQ96" s="5" t="s">
        <v>84</v>
      </c>
      <c r="CR96" s="5" t="s">
        <v>85</v>
      </c>
      <c r="CS96" s="5" t="s">
        <v>86</v>
      </c>
      <c r="CT96" s="5"/>
      <c r="CU96" s="5"/>
      <c r="CV96" s="5"/>
      <c r="CW96" s="5"/>
      <c r="CX96" s="5"/>
      <c r="CY96" s="5"/>
      <c r="CZ96" s="5"/>
      <c r="DA96" s="5"/>
    </row>
    <row r="97" spans="1:105">
      <c r="A97" s="5">
        <v>18023287064</v>
      </c>
      <c r="B97" s="5"/>
      <c r="C97" s="5"/>
      <c r="D97" s="5"/>
      <c r="E97" s="5"/>
      <c r="F97" s="5"/>
      <c r="G97" s="5"/>
      <c r="H97" s="5"/>
      <c r="I97" s="5"/>
      <c r="J97" s="5"/>
      <c r="K97" s="5" t="s">
        <v>25</v>
      </c>
      <c r="L97" s="5" t="s">
        <v>26</v>
      </c>
      <c r="M97" s="5"/>
      <c r="N97" s="5"/>
      <c r="O97" s="5"/>
      <c r="P97" s="5"/>
      <c r="Q97" s="5"/>
      <c r="R97" s="5" t="s">
        <v>18</v>
      </c>
      <c r="S97" s="5"/>
      <c r="T97" s="5"/>
      <c r="U97" s="5"/>
      <c r="V97" s="5"/>
      <c r="W97" s="5"/>
      <c r="X97" s="5"/>
      <c r="Y97" s="5"/>
      <c r="Z97" s="5"/>
      <c r="AA97" s="5"/>
      <c r="AB97" s="5"/>
      <c r="AC97" s="5"/>
      <c r="AD97" s="5"/>
      <c r="AE97" s="5"/>
      <c r="AF97" s="5" t="s">
        <v>31</v>
      </c>
      <c r="AG97" s="5"/>
      <c r="AH97" s="5"/>
      <c r="AI97" s="5"/>
      <c r="AJ97" s="5"/>
      <c r="AK97" s="5"/>
      <c r="AL97" s="5"/>
      <c r="AM97" s="5"/>
      <c r="AN97" s="5"/>
      <c r="AO97" s="5" t="s">
        <v>38</v>
      </c>
      <c r="AP97" s="5"/>
      <c r="AQ97" s="5"/>
      <c r="AR97" s="5" t="s">
        <v>41</v>
      </c>
      <c r="AS97" s="5"/>
      <c r="AT97" s="5"/>
      <c r="AU97" s="5"/>
      <c r="AV97" s="5"/>
      <c r="AW97" s="5"/>
      <c r="AX97" s="5"/>
      <c r="AY97" s="5"/>
      <c r="AZ97" s="5"/>
      <c r="BA97" s="5"/>
      <c r="BB97" s="5"/>
      <c r="BC97" s="5"/>
      <c r="BD97" s="5" t="s">
        <v>51</v>
      </c>
      <c r="BE97" s="5"/>
      <c r="BF97" s="5"/>
      <c r="BG97" s="5"/>
      <c r="BH97" s="5"/>
      <c r="BI97" s="5"/>
      <c r="BJ97" s="5"/>
      <c r="BK97" s="5"/>
      <c r="BL97" s="5"/>
      <c r="BM97" s="5"/>
      <c r="BN97" s="5"/>
      <c r="BO97" s="5"/>
      <c r="BP97" s="5"/>
      <c r="BQ97" s="5"/>
      <c r="BR97" s="5"/>
      <c r="BS97" s="5"/>
      <c r="BT97" s="5"/>
      <c r="BU97" s="5" t="s">
        <v>64</v>
      </c>
      <c r="BV97" s="5"/>
      <c r="BW97" s="5"/>
      <c r="BX97" s="5"/>
      <c r="BY97" s="5"/>
      <c r="BZ97" s="5"/>
      <c r="CA97" s="5"/>
      <c r="CB97" s="5"/>
      <c r="CC97" s="5" t="s">
        <v>72</v>
      </c>
      <c r="CD97" s="5"/>
      <c r="CE97" s="5"/>
      <c r="CF97" s="5" t="s">
        <v>75</v>
      </c>
      <c r="CG97" s="5"/>
      <c r="CH97" s="5"/>
      <c r="CI97" s="5" t="s">
        <v>414</v>
      </c>
      <c r="CJ97" s="5">
        <v>60</v>
      </c>
      <c r="CK97" s="5" t="s">
        <v>141</v>
      </c>
      <c r="CL97" s="5" t="s">
        <v>146</v>
      </c>
      <c r="CM97" s="5" t="s">
        <v>418</v>
      </c>
      <c r="CN97" s="5" t="s">
        <v>419</v>
      </c>
      <c r="CO97" s="5" t="s">
        <v>82</v>
      </c>
      <c r="CP97" s="5" t="s">
        <v>94</v>
      </c>
      <c r="CQ97" s="5" t="s">
        <v>102</v>
      </c>
      <c r="CR97" s="5" t="s">
        <v>85</v>
      </c>
      <c r="CS97" s="5" t="s">
        <v>86</v>
      </c>
      <c r="CT97" s="5"/>
      <c r="CU97" s="5"/>
      <c r="CV97" s="5"/>
      <c r="CW97" s="5"/>
      <c r="CX97" s="5"/>
      <c r="CY97" s="5"/>
      <c r="CZ97" s="5"/>
      <c r="DA97" s="5"/>
    </row>
    <row r="98" spans="1:105">
      <c r="A98" s="5">
        <v>18023286963</v>
      </c>
      <c r="B98" s="5"/>
      <c r="C98" s="5"/>
      <c r="D98" s="5"/>
      <c r="E98" s="5" t="s">
        <v>19</v>
      </c>
      <c r="F98" s="5"/>
      <c r="G98" s="5"/>
      <c r="H98" s="5"/>
      <c r="I98" s="5"/>
      <c r="J98" s="5"/>
      <c r="K98" s="5" t="s">
        <v>25</v>
      </c>
      <c r="L98" s="5" t="s">
        <v>26</v>
      </c>
      <c r="M98" s="5"/>
      <c r="N98" s="5"/>
      <c r="O98" s="5"/>
      <c r="P98" s="5"/>
      <c r="Q98" s="5"/>
      <c r="R98" s="5"/>
      <c r="S98" s="5" t="s">
        <v>19</v>
      </c>
      <c r="T98" s="5"/>
      <c r="U98" s="5"/>
      <c r="V98" s="5"/>
      <c r="W98" s="5" t="s">
        <v>23</v>
      </c>
      <c r="X98" s="5"/>
      <c r="Y98" s="5"/>
      <c r="Z98" s="5"/>
      <c r="AA98" s="5"/>
      <c r="AB98" s="5"/>
      <c r="AC98" s="5"/>
      <c r="AD98" s="5"/>
      <c r="AE98" s="5"/>
      <c r="AF98" s="5" t="s">
        <v>31</v>
      </c>
      <c r="AG98" s="5"/>
      <c r="AH98" s="5"/>
      <c r="AI98" s="5"/>
      <c r="AJ98" s="5"/>
      <c r="AK98" s="5" t="s">
        <v>36</v>
      </c>
      <c r="AL98" s="5"/>
      <c r="AM98" s="5" t="s">
        <v>375</v>
      </c>
      <c r="AN98" s="5"/>
      <c r="AO98" s="5" t="s">
        <v>38</v>
      </c>
      <c r="AP98" s="5" t="s">
        <v>39</v>
      </c>
      <c r="AQ98" s="5"/>
      <c r="AR98" s="5"/>
      <c r="AS98" s="5"/>
      <c r="AT98" s="5"/>
      <c r="AU98" s="5"/>
      <c r="AV98" s="5"/>
      <c r="AW98" s="5"/>
      <c r="AX98" s="5" t="s">
        <v>46</v>
      </c>
      <c r="AY98" s="5"/>
      <c r="AZ98" s="5"/>
      <c r="BA98" s="5"/>
      <c r="BB98" s="5"/>
      <c r="BC98" s="5" t="s">
        <v>50</v>
      </c>
      <c r="BD98" s="5" t="s">
        <v>51</v>
      </c>
      <c r="BE98" s="5"/>
      <c r="BF98" s="5"/>
      <c r="BG98" s="5"/>
      <c r="BH98" s="5"/>
      <c r="BI98" s="5"/>
      <c r="BJ98" s="5"/>
      <c r="BK98" s="5"/>
      <c r="BL98" s="5"/>
      <c r="BM98" s="5"/>
      <c r="BN98" s="5"/>
      <c r="BO98" s="5"/>
      <c r="BP98" s="5"/>
      <c r="BQ98" s="5"/>
      <c r="BR98" s="5" t="s">
        <v>62</v>
      </c>
      <c r="BS98" s="5"/>
      <c r="BT98" s="5"/>
      <c r="BU98" s="5" t="s">
        <v>64</v>
      </c>
      <c r="BV98" s="5"/>
      <c r="BW98" s="5"/>
      <c r="BX98" s="5"/>
      <c r="BY98" s="5"/>
      <c r="BZ98" s="5"/>
      <c r="CA98" s="5"/>
      <c r="CB98" s="5"/>
      <c r="CC98" s="5"/>
      <c r="CD98" s="5"/>
      <c r="CE98" s="5"/>
      <c r="CF98" s="5"/>
      <c r="CG98" s="5"/>
      <c r="CH98" s="5"/>
      <c r="CI98" s="5" t="s">
        <v>414</v>
      </c>
      <c r="CJ98" s="5">
        <v>50</v>
      </c>
      <c r="CK98" s="5" t="s">
        <v>141</v>
      </c>
      <c r="CL98" s="5" t="s">
        <v>164</v>
      </c>
      <c r="CM98" s="5" t="s">
        <v>418</v>
      </c>
      <c r="CN98" s="5" t="s">
        <v>419</v>
      </c>
      <c r="CO98" s="5" t="s">
        <v>82</v>
      </c>
      <c r="CP98" s="5" t="s">
        <v>83</v>
      </c>
      <c r="CQ98" s="5" t="s">
        <v>88</v>
      </c>
      <c r="CR98" s="5" t="s">
        <v>85</v>
      </c>
      <c r="CS98" s="5" t="s">
        <v>86</v>
      </c>
      <c r="CT98" s="5"/>
      <c r="CU98" s="5"/>
      <c r="CV98" s="5"/>
      <c r="CW98" s="5"/>
      <c r="CX98" s="5"/>
      <c r="CY98" s="5"/>
      <c r="CZ98" s="5"/>
      <c r="DA98" s="5"/>
    </row>
    <row r="99" spans="1:105">
      <c r="A99" s="5">
        <v>18023286873</v>
      </c>
      <c r="B99" s="5" t="s">
        <v>16</v>
      </c>
      <c r="C99" s="5"/>
      <c r="D99" s="5"/>
      <c r="E99" s="5"/>
      <c r="F99" s="5"/>
      <c r="G99" s="5"/>
      <c r="H99" s="5"/>
      <c r="I99" s="5"/>
      <c r="J99" s="5"/>
      <c r="K99" s="5"/>
      <c r="L99" s="5"/>
      <c r="M99" s="5"/>
      <c r="N99" s="5"/>
      <c r="O99" s="5"/>
      <c r="P99" s="5"/>
      <c r="Q99" s="5"/>
      <c r="R99" s="5"/>
      <c r="S99" s="5"/>
      <c r="T99" s="5"/>
      <c r="U99" s="5"/>
      <c r="V99" s="5"/>
      <c r="W99" s="5"/>
      <c r="X99" s="5"/>
      <c r="Y99" s="5" t="s">
        <v>25</v>
      </c>
      <c r="Z99" s="5"/>
      <c r="AA99" s="5"/>
      <c r="AB99" s="5"/>
      <c r="AC99" s="5"/>
      <c r="AD99" s="5"/>
      <c r="AE99" s="5"/>
      <c r="AF99" s="5" t="s">
        <v>31</v>
      </c>
      <c r="AG99" s="5"/>
      <c r="AH99" s="5"/>
      <c r="AI99" s="5"/>
      <c r="AJ99" s="5"/>
      <c r="AK99" s="5"/>
      <c r="AL99" s="5"/>
      <c r="AM99" s="5"/>
      <c r="AN99" s="5"/>
      <c r="AO99" s="5"/>
      <c r="AP99" s="5"/>
      <c r="AQ99" s="5" t="s">
        <v>40</v>
      </c>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t="s">
        <v>62</v>
      </c>
      <c r="BS99" s="5"/>
      <c r="BT99" s="5"/>
      <c r="BU99" s="5" t="s">
        <v>64</v>
      </c>
      <c r="BV99" s="5"/>
      <c r="BW99" s="5"/>
      <c r="BX99" s="5"/>
      <c r="BY99" s="5"/>
      <c r="BZ99" s="5"/>
      <c r="CA99" s="5"/>
      <c r="CB99" s="5"/>
      <c r="CC99" s="5"/>
      <c r="CD99" s="5"/>
      <c r="CE99" s="5"/>
      <c r="CF99" s="5" t="s">
        <v>75</v>
      </c>
      <c r="CG99" s="5"/>
      <c r="CH99" s="5"/>
      <c r="CI99" s="5" t="s">
        <v>414</v>
      </c>
      <c r="CJ99" s="5">
        <v>34</v>
      </c>
      <c r="CK99" s="5" t="s">
        <v>141</v>
      </c>
      <c r="CL99" s="5" t="s">
        <v>370</v>
      </c>
      <c r="CM99" s="5" t="s">
        <v>418</v>
      </c>
      <c r="CN99" s="5" t="s">
        <v>419</v>
      </c>
      <c r="CO99" s="5" t="s">
        <v>82</v>
      </c>
      <c r="CP99" s="5" t="s">
        <v>93</v>
      </c>
      <c r="CQ99" s="5" t="s">
        <v>84</v>
      </c>
      <c r="CR99" s="5" t="s">
        <v>85</v>
      </c>
      <c r="CS99" s="5" t="s">
        <v>86</v>
      </c>
      <c r="CT99" s="5"/>
      <c r="CU99" s="5"/>
      <c r="CV99" s="5"/>
      <c r="CW99" s="5"/>
      <c r="CX99" s="5"/>
      <c r="CY99" s="5"/>
      <c r="CZ99" s="5"/>
      <c r="DA99" s="5"/>
    </row>
    <row r="100" spans="1:105">
      <c r="A100" s="5">
        <v>18023000376</v>
      </c>
      <c r="B100" s="5"/>
      <c r="C100" s="5" t="s">
        <v>17</v>
      </c>
      <c r="D100" s="5"/>
      <c r="E100" s="5"/>
      <c r="F100" s="5"/>
      <c r="G100" s="5" t="s">
        <v>21</v>
      </c>
      <c r="H100" s="5"/>
      <c r="I100" s="5"/>
      <c r="J100" s="5"/>
      <c r="K100" s="5" t="s">
        <v>25</v>
      </c>
      <c r="L100" s="5"/>
      <c r="M100" s="5"/>
      <c r="N100" s="5"/>
      <c r="O100" s="5"/>
      <c r="P100" s="5"/>
      <c r="Q100" s="5"/>
      <c r="R100" s="5"/>
      <c r="S100" s="5"/>
      <c r="T100" s="5"/>
      <c r="U100" s="5" t="s">
        <v>21</v>
      </c>
      <c r="V100" s="5"/>
      <c r="W100" s="5"/>
      <c r="X100" s="5"/>
      <c r="Y100" s="5" t="s">
        <v>25</v>
      </c>
      <c r="Z100" s="5"/>
      <c r="AA100" s="5"/>
      <c r="AB100" s="5" t="s">
        <v>28</v>
      </c>
      <c r="AC100" s="5"/>
      <c r="AD100" s="5"/>
      <c r="AE100" s="5"/>
      <c r="AF100" s="5" t="s">
        <v>31</v>
      </c>
      <c r="AG100" s="5" t="s">
        <v>32</v>
      </c>
      <c r="AH100" s="5"/>
      <c r="AI100" s="5"/>
      <c r="AJ100" s="5"/>
      <c r="AK100" s="5"/>
      <c r="AL100" s="5"/>
      <c r="AM100" s="5" t="s">
        <v>375</v>
      </c>
      <c r="AN100" s="5"/>
      <c r="AO100" s="5"/>
      <c r="AP100" s="5" t="s">
        <v>39</v>
      </c>
      <c r="AQ100" s="5"/>
      <c r="AR100" s="5"/>
      <c r="AS100" s="5" t="s">
        <v>42</v>
      </c>
      <c r="AT100" s="5"/>
      <c r="AU100" s="5" t="s">
        <v>43</v>
      </c>
      <c r="AV100" s="5"/>
      <c r="AW100" s="5"/>
      <c r="AX100" s="5"/>
      <c r="AY100" s="5"/>
      <c r="AZ100" s="5"/>
      <c r="BA100" s="5"/>
      <c r="BB100" s="5"/>
      <c r="BC100" s="5"/>
      <c r="BD100" s="5" t="s">
        <v>51</v>
      </c>
      <c r="BE100" s="5"/>
      <c r="BF100" s="5"/>
      <c r="BG100" s="5"/>
      <c r="BH100" s="5"/>
      <c r="BI100" s="5"/>
      <c r="BJ100" s="5"/>
      <c r="BK100" s="5"/>
      <c r="BL100" s="5"/>
      <c r="BM100" s="5"/>
      <c r="BN100" s="5" t="s">
        <v>24</v>
      </c>
      <c r="BO100" s="5"/>
      <c r="BP100" s="5" t="s">
        <v>60</v>
      </c>
      <c r="BQ100" s="5"/>
      <c r="BR100" s="5"/>
      <c r="BS100" s="5"/>
      <c r="BT100" s="5"/>
      <c r="BU100" s="5" t="s">
        <v>64</v>
      </c>
      <c r="BV100" s="5"/>
      <c r="BW100" s="5" t="s">
        <v>66</v>
      </c>
      <c r="BX100" s="5"/>
      <c r="BY100" s="5"/>
      <c r="BZ100" s="5"/>
      <c r="CA100" s="5"/>
      <c r="CB100" s="5"/>
      <c r="CC100" s="5"/>
      <c r="CD100" s="5"/>
      <c r="CE100" s="5"/>
      <c r="CF100" s="5" t="s">
        <v>75</v>
      </c>
      <c r="CG100" s="5"/>
      <c r="CH100" s="5"/>
      <c r="CI100" s="5" t="s">
        <v>414</v>
      </c>
      <c r="CJ100" s="5">
        <v>30</v>
      </c>
      <c r="CK100" s="5" t="s">
        <v>141</v>
      </c>
      <c r="CL100" s="5" t="s">
        <v>357</v>
      </c>
      <c r="CM100" s="5" t="s">
        <v>418</v>
      </c>
      <c r="CN100" s="5" t="s">
        <v>419</v>
      </c>
      <c r="CO100" s="5" t="s">
        <v>82</v>
      </c>
      <c r="CP100" s="5" t="s">
        <v>94</v>
      </c>
      <c r="CQ100" s="5" t="s">
        <v>84</v>
      </c>
      <c r="CR100" s="5" t="s">
        <v>85</v>
      </c>
      <c r="CS100" s="5" t="s">
        <v>86</v>
      </c>
      <c r="CT100" s="5" t="s">
        <v>384</v>
      </c>
      <c r="CU100" s="5" t="s">
        <v>86</v>
      </c>
      <c r="CV100" s="5"/>
      <c r="CW100" s="5"/>
      <c r="CX100" s="5"/>
      <c r="CY100" s="5"/>
      <c r="CZ100" s="5"/>
      <c r="DA100" s="5"/>
    </row>
    <row r="101" spans="1:105">
      <c r="A101" s="5">
        <v>18022999885</v>
      </c>
      <c r="B101" s="5"/>
      <c r="C101" s="5"/>
      <c r="D101" s="5"/>
      <c r="E101" s="5"/>
      <c r="F101" s="5"/>
      <c r="G101" s="5"/>
      <c r="H101" s="5"/>
      <c r="I101" s="5"/>
      <c r="J101" s="5"/>
      <c r="K101" s="5" t="s">
        <v>25</v>
      </c>
      <c r="L101" s="5" t="s">
        <v>26</v>
      </c>
      <c r="M101" s="5"/>
      <c r="N101" s="5"/>
      <c r="O101" s="5"/>
      <c r="P101" s="5"/>
      <c r="Q101" s="5"/>
      <c r="R101" s="5"/>
      <c r="S101" s="5"/>
      <c r="T101" s="5"/>
      <c r="U101" s="5"/>
      <c r="V101" s="5"/>
      <c r="W101" s="5" t="s">
        <v>23</v>
      </c>
      <c r="X101" s="5"/>
      <c r="Y101" s="5" t="s">
        <v>25</v>
      </c>
      <c r="Z101" s="5"/>
      <c r="AA101" s="5"/>
      <c r="AB101" s="5"/>
      <c r="AC101" s="5"/>
      <c r="AD101" s="5"/>
      <c r="AE101" s="5" t="s">
        <v>30</v>
      </c>
      <c r="AF101" s="5" t="s">
        <v>31</v>
      </c>
      <c r="AG101" s="5"/>
      <c r="AH101" s="5"/>
      <c r="AI101" s="5"/>
      <c r="AJ101" s="5" t="s">
        <v>35</v>
      </c>
      <c r="AK101" s="5"/>
      <c r="AL101" s="5"/>
      <c r="AM101" s="5" t="s">
        <v>375</v>
      </c>
      <c r="AN101" s="5"/>
      <c r="AO101" s="5"/>
      <c r="AP101" s="5" t="s">
        <v>39</v>
      </c>
      <c r="AQ101" s="5"/>
      <c r="AR101" s="5"/>
      <c r="AS101" s="5"/>
      <c r="AT101" s="5"/>
      <c r="AU101" s="5" t="s">
        <v>43</v>
      </c>
      <c r="AV101" s="5"/>
      <c r="AW101" s="5"/>
      <c r="AX101" s="5"/>
      <c r="AY101" s="5"/>
      <c r="AZ101" s="5"/>
      <c r="BA101" s="5"/>
      <c r="BB101" s="5"/>
      <c r="BC101" s="5"/>
      <c r="BD101" s="5" t="s">
        <v>51</v>
      </c>
      <c r="BE101" s="5"/>
      <c r="BF101" s="5"/>
      <c r="BG101" s="5"/>
      <c r="BH101" s="5" t="s">
        <v>54</v>
      </c>
      <c r="BI101" s="5" t="s">
        <v>55</v>
      </c>
      <c r="BJ101" s="5"/>
      <c r="BK101" s="5"/>
      <c r="BL101" s="5"/>
      <c r="BM101" s="5"/>
      <c r="BN101" s="5"/>
      <c r="BO101" s="5"/>
      <c r="BP101" s="5"/>
      <c r="BQ101" s="5"/>
      <c r="BR101" s="5"/>
      <c r="BS101" s="5" t="s">
        <v>63</v>
      </c>
      <c r="BT101" s="5"/>
      <c r="BU101" s="5"/>
      <c r="BV101" s="5"/>
      <c r="BW101" s="5"/>
      <c r="BX101" s="5"/>
      <c r="BY101" s="5"/>
      <c r="BZ101" s="5" t="s">
        <v>69</v>
      </c>
      <c r="CA101" s="5"/>
      <c r="CB101" s="5"/>
      <c r="CC101" s="5"/>
      <c r="CD101" s="5"/>
      <c r="CE101" s="5"/>
      <c r="CF101" s="5"/>
      <c r="CG101" s="5"/>
      <c r="CH101" s="5"/>
      <c r="CI101" s="5" t="s">
        <v>414</v>
      </c>
      <c r="CJ101" s="5">
        <v>24</v>
      </c>
      <c r="CK101" s="5" t="s">
        <v>141</v>
      </c>
      <c r="CL101" s="5" t="s">
        <v>174</v>
      </c>
      <c r="CM101" s="5" t="s">
        <v>418</v>
      </c>
      <c r="CN101" s="5" t="s">
        <v>419</v>
      </c>
      <c r="CO101" s="5" t="s">
        <v>82</v>
      </c>
      <c r="CP101" s="5" t="s">
        <v>94</v>
      </c>
      <c r="CQ101" s="5" t="s">
        <v>84</v>
      </c>
      <c r="CR101" s="5" t="s">
        <v>85</v>
      </c>
      <c r="CS101" s="5" t="s">
        <v>86</v>
      </c>
      <c r="CT101" s="5" t="s">
        <v>384</v>
      </c>
      <c r="CU101" s="5" t="s">
        <v>86</v>
      </c>
      <c r="CV101" s="5"/>
      <c r="CW101" s="5"/>
      <c r="CX101" s="5"/>
      <c r="CY101" s="5"/>
      <c r="CZ101" s="5"/>
      <c r="DA101" s="5"/>
    </row>
    <row r="102" spans="1:105">
      <c r="A102" s="5">
        <v>18022879421</v>
      </c>
      <c r="B102" s="5"/>
      <c r="C102" s="5" t="s">
        <v>17</v>
      </c>
      <c r="D102" s="5" t="s">
        <v>18</v>
      </c>
      <c r="E102" s="5"/>
      <c r="F102" s="5"/>
      <c r="G102" s="5"/>
      <c r="H102" s="5"/>
      <c r="I102" s="5"/>
      <c r="J102" s="5"/>
      <c r="K102" s="5"/>
      <c r="L102" s="5" t="s">
        <v>26</v>
      </c>
      <c r="M102" s="5" t="s">
        <v>27</v>
      </c>
      <c r="N102" s="5"/>
      <c r="O102" s="5"/>
      <c r="P102" s="5"/>
      <c r="Q102" s="5" t="s">
        <v>17</v>
      </c>
      <c r="R102" s="5" t="s">
        <v>18</v>
      </c>
      <c r="S102" s="5" t="s">
        <v>19</v>
      </c>
      <c r="T102" s="5"/>
      <c r="U102" s="5"/>
      <c r="V102" s="5"/>
      <c r="W102" s="5"/>
      <c r="X102" s="5"/>
      <c r="Y102" s="5"/>
      <c r="Z102" s="5"/>
      <c r="AA102" s="5"/>
      <c r="AB102" s="5"/>
      <c r="AC102" s="5"/>
      <c r="AD102" s="5" t="s">
        <v>29</v>
      </c>
      <c r="AE102" s="5"/>
      <c r="AF102" s="5"/>
      <c r="AG102" s="5"/>
      <c r="AH102" s="5"/>
      <c r="AI102" s="5"/>
      <c r="AJ102" s="5"/>
      <c r="AK102" s="5" t="s">
        <v>36</v>
      </c>
      <c r="AL102" s="5"/>
      <c r="AM102" s="5" t="s">
        <v>375</v>
      </c>
      <c r="AN102" s="5"/>
      <c r="AO102" s="5" t="s">
        <v>38</v>
      </c>
      <c r="AP102" s="5" t="s">
        <v>39</v>
      </c>
      <c r="AQ102" s="5"/>
      <c r="AR102" s="5" t="s">
        <v>41</v>
      </c>
      <c r="AS102" s="5"/>
      <c r="AT102" s="5"/>
      <c r="AU102" s="5"/>
      <c r="AV102" s="5"/>
      <c r="AW102" s="5"/>
      <c r="AX102" s="5"/>
      <c r="AY102" s="5"/>
      <c r="AZ102" s="5"/>
      <c r="BA102" s="5"/>
      <c r="BB102" s="5"/>
      <c r="BC102" s="5"/>
      <c r="BD102" s="5" t="s">
        <v>51</v>
      </c>
      <c r="BE102" s="5" t="s">
        <v>17</v>
      </c>
      <c r="BF102" s="5"/>
      <c r="BG102" s="5"/>
      <c r="BH102" s="5"/>
      <c r="BI102" s="5"/>
      <c r="BJ102" s="5"/>
      <c r="BK102" s="5"/>
      <c r="BL102" s="5"/>
      <c r="BM102" s="5"/>
      <c r="BN102" s="5"/>
      <c r="BO102" s="5"/>
      <c r="BP102" s="5"/>
      <c r="BQ102" s="5"/>
      <c r="BR102" s="5"/>
      <c r="BS102" s="5" t="s">
        <v>63</v>
      </c>
      <c r="BT102" s="5"/>
      <c r="BU102" s="5" t="s">
        <v>64</v>
      </c>
      <c r="BV102" s="5"/>
      <c r="BW102" s="5"/>
      <c r="BX102" s="5"/>
      <c r="BY102" s="5"/>
      <c r="BZ102" s="5"/>
      <c r="CA102" s="5"/>
      <c r="CB102" s="5"/>
      <c r="CC102" s="5"/>
      <c r="CD102" s="5"/>
      <c r="CE102" s="5"/>
      <c r="CF102" s="5" t="s">
        <v>75</v>
      </c>
      <c r="CG102" s="5"/>
      <c r="CH102" s="5"/>
      <c r="CI102" s="5" t="s">
        <v>414</v>
      </c>
      <c r="CJ102" s="5">
        <v>52</v>
      </c>
      <c r="CK102" s="5" t="s">
        <v>141</v>
      </c>
      <c r="CL102" s="5" t="s">
        <v>164</v>
      </c>
      <c r="CM102" s="5" t="s">
        <v>418</v>
      </c>
      <c r="CN102" s="5" t="s">
        <v>419</v>
      </c>
      <c r="CO102" s="5" t="s">
        <v>82</v>
      </c>
      <c r="CP102" s="5" t="s">
        <v>83</v>
      </c>
      <c r="CQ102" s="5" t="s">
        <v>84</v>
      </c>
      <c r="CR102" s="5" t="s">
        <v>85</v>
      </c>
      <c r="CS102" s="5" t="s">
        <v>86</v>
      </c>
      <c r="CT102" s="5"/>
      <c r="CU102" s="5"/>
      <c r="CV102" s="5"/>
      <c r="CW102" s="5"/>
      <c r="CX102" s="5"/>
      <c r="CY102" s="5"/>
      <c r="CZ102" s="5"/>
      <c r="DA102" s="5"/>
    </row>
    <row r="103" spans="1:105">
      <c r="A103" s="5">
        <v>18022879253</v>
      </c>
      <c r="B103" s="5"/>
      <c r="C103" s="5"/>
      <c r="D103" s="5" t="s">
        <v>18</v>
      </c>
      <c r="E103" s="5"/>
      <c r="F103" s="5"/>
      <c r="G103" s="5"/>
      <c r="H103" s="5"/>
      <c r="I103" s="5" t="s">
        <v>23</v>
      </c>
      <c r="J103" s="5"/>
      <c r="K103" s="5" t="s">
        <v>25</v>
      </c>
      <c r="L103" s="5"/>
      <c r="M103" s="5"/>
      <c r="N103" s="5"/>
      <c r="O103" s="5"/>
      <c r="P103" s="5"/>
      <c r="Q103" s="5" t="s">
        <v>17</v>
      </c>
      <c r="R103" s="5" t="s">
        <v>18</v>
      </c>
      <c r="S103" s="5"/>
      <c r="T103" s="5"/>
      <c r="U103" s="5"/>
      <c r="V103" s="5"/>
      <c r="W103" s="5"/>
      <c r="X103" s="5"/>
      <c r="Y103" s="5" t="s">
        <v>25</v>
      </c>
      <c r="Z103" s="5"/>
      <c r="AA103" s="5"/>
      <c r="AB103" s="5"/>
      <c r="AC103" s="5"/>
      <c r="AD103" s="5"/>
      <c r="AE103" s="5"/>
      <c r="AF103" s="5"/>
      <c r="AG103" s="5"/>
      <c r="AH103" s="5"/>
      <c r="AI103" s="5"/>
      <c r="AJ103" s="5"/>
      <c r="AK103" s="5" t="s">
        <v>36</v>
      </c>
      <c r="AL103" s="5"/>
      <c r="AM103" s="5" t="s">
        <v>375</v>
      </c>
      <c r="AN103" s="5"/>
      <c r="AO103" s="5"/>
      <c r="AP103" s="5"/>
      <c r="AQ103" s="5" t="s">
        <v>40</v>
      </c>
      <c r="AR103" s="5"/>
      <c r="AS103" s="5"/>
      <c r="AT103" s="5"/>
      <c r="AU103" s="5" t="s">
        <v>43</v>
      </c>
      <c r="AV103" s="5" t="s">
        <v>44</v>
      </c>
      <c r="AW103" s="5"/>
      <c r="AX103" s="5"/>
      <c r="AY103" s="5"/>
      <c r="AZ103" s="5"/>
      <c r="BA103" s="5"/>
      <c r="BB103" s="5"/>
      <c r="BC103" s="5"/>
      <c r="BD103" s="5" t="s">
        <v>51</v>
      </c>
      <c r="BE103" s="5"/>
      <c r="BF103" s="5"/>
      <c r="BG103" s="5"/>
      <c r="BH103" s="5"/>
      <c r="BI103" s="5"/>
      <c r="BJ103" s="5"/>
      <c r="BK103" s="5"/>
      <c r="BL103" s="5"/>
      <c r="BM103" s="5"/>
      <c r="BN103" s="5"/>
      <c r="BO103" s="5"/>
      <c r="BP103" s="5"/>
      <c r="BQ103" s="5"/>
      <c r="BR103" s="5" t="s">
        <v>62</v>
      </c>
      <c r="BS103" s="5" t="s">
        <v>63</v>
      </c>
      <c r="BT103" s="5"/>
      <c r="BU103" s="5" t="s">
        <v>64</v>
      </c>
      <c r="BV103" s="5"/>
      <c r="BW103" s="5"/>
      <c r="BX103" s="5" t="s">
        <v>67</v>
      </c>
      <c r="BY103" s="5"/>
      <c r="BZ103" s="5"/>
      <c r="CA103" s="5"/>
      <c r="CB103" s="5"/>
      <c r="CC103" s="5"/>
      <c r="CD103" s="5"/>
      <c r="CE103" s="5"/>
      <c r="CF103" s="5"/>
      <c r="CG103" s="5"/>
      <c r="CH103" s="5"/>
      <c r="CI103" s="5" t="s">
        <v>417</v>
      </c>
      <c r="CJ103" s="5">
        <v>60</v>
      </c>
      <c r="CK103" s="5" t="s">
        <v>141</v>
      </c>
      <c r="CL103" s="5" t="s">
        <v>175</v>
      </c>
      <c r="CM103" s="5" t="s">
        <v>418</v>
      </c>
      <c r="CN103" s="5" t="s">
        <v>419</v>
      </c>
      <c r="CO103" s="5" t="s">
        <v>426</v>
      </c>
      <c r="CP103" s="5" t="s">
        <v>93</v>
      </c>
      <c r="CQ103" s="5" t="s">
        <v>88</v>
      </c>
      <c r="CR103" s="5" t="s">
        <v>85</v>
      </c>
      <c r="CS103" s="5" t="s">
        <v>81</v>
      </c>
      <c r="CT103" s="5"/>
      <c r="CU103" s="5"/>
      <c r="CV103" s="5"/>
      <c r="CW103" s="5"/>
      <c r="CX103" s="5"/>
      <c r="CY103" s="5"/>
      <c r="CZ103" s="5"/>
      <c r="DA103" s="5"/>
    </row>
    <row r="104" spans="1:105">
      <c r="A104" s="5">
        <v>18022879053</v>
      </c>
      <c r="B104" s="5"/>
      <c r="C104" s="5" t="s">
        <v>17</v>
      </c>
      <c r="D104" s="5"/>
      <c r="E104" s="5"/>
      <c r="F104" s="5"/>
      <c r="G104" s="5"/>
      <c r="H104" s="5"/>
      <c r="I104" s="5"/>
      <c r="J104" s="5"/>
      <c r="K104" s="5" t="s">
        <v>25</v>
      </c>
      <c r="L104" s="5" t="s">
        <v>26</v>
      </c>
      <c r="M104" s="5"/>
      <c r="N104" s="5"/>
      <c r="O104" s="5"/>
      <c r="P104" s="5"/>
      <c r="Q104" s="5" t="s">
        <v>17</v>
      </c>
      <c r="R104" s="5" t="s">
        <v>18</v>
      </c>
      <c r="S104" s="5"/>
      <c r="T104" s="5"/>
      <c r="U104" s="5"/>
      <c r="V104" s="5"/>
      <c r="W104" s="5"/>
      <c r="X104" s="5" t="s">
        <v>24</v>
      </c>
      <c r="Y104" s="5"/>
      <c r="Z104" s="5"/>
      <c r="AA104" s="5"/>
      <c r="AB104" s="5"/>
      <c r="AC104" s="5"/>
      <c r="AD104" s="5"/>
      <c r="AE104" s="5"/>
      <c r="AF104" s="5" t="s">
        <v>31</v>
      </c>
      <c r="AG104" s="5"/>
      <c r="AH104" s="5"/>
      <c r="AI104" s="5"/>
      <c r="AJ104" s="5"/>
      <c r="AK104" s="5" t="s">
        <v>36</v>
      </c>
      <c r="AL104" s="5" t="s">
        <v>37</v>
      </c>
      <c r="AM104" s="5"/>
      <c r="AN104" s="5"/>
      <c r="AO104" s="5" t="s">
        <v>38</v>
      </c>
      <c r="AP104" s="5"/>
      <c r="AQ104" s="5"/>
      <c r="AR104" s="5"/>
      <c r="AS104" s="5"/>
      <c r="AT104" s="5"/>
      <c r="AU104" s="5"/>
      <c r="AV104" s="5" t="s">
        <v>44</v>
      </c>
      <c r="AW104" s="5"/>
      <c r="AX104" s="5"/>
      <c r="AY104" s="5"/>
      <c r="AZ104" s="5" t="s">
        <v>48</v>
      </c>
      <c r="BA104" s="5"/>
      <c r="BB104" s="5"/>
      <c r="BC104" s="5"/>
      <c r="BD104" s="5"/>
      <c r="BE104" s="5"/>
      <c r="BF104" s="5"/>
      <c r="BG104" s="5"/>
      <c r="BH104" s="5"/>
      <c r="BI104" s="5"/>
      <c r="BJ104" s="5"/>
      <c r="BK104" s="5"/>
      <c r="BL104" s="5"/>
      <c r="BM104" s="5" t="s">
        <v>59</v>
      </c>
      <c r="BN104" s="5"/>
      <c r="BO104" s="5" t="s">
        <v>20</v>
      </c>
      <c r="BP104" s="5" t="s">
        <v>60</v>
      </c>
      <c r="BQ104" s="5"/>
      <c r="BR104" s="5"/>
      <c r="BS104" s="5"/>
      <c r="BT104" s="5"/>
      <c r="BU104" s="5" t="s">
        <v>64</v>
      </c>
      <c r="BV104" s="5"/>
      <c r="BW104" s="5" t="s">
        <v>66</v>
      </c>
      <c r="BX104" s="5" t="s">
        <v>67</v>
      </c>
      <c r="BY104" s="5"/>
      <c r="BZ104" s="5"/>
      <c r="CA104" s="5"/>
      <c r="CB104" s="5"/>
      <c r="CC104" s="5"/>
      <c r="CD104" s="5"/>
      <c r="CE104" s="5"/>
      <c r="CF104" s="5" t="s">
        <v>75</v>
      </c>
      <c r="CG104" s="5"/>
      <c r="CH104" s="5"/>
      <c r="CI104" s="5" t="s">
        <v>414</v>
      </c>
      <c r="CJ104" s="5">
        <v>54</v>
      </c>
      <c r="CK104" s="5" t="s">
        <v>141</v>
      </c>
      <c r="CL104" s="5" t="s">
        <v>147</v>
      </c>
      <c r="CM104" s="5" t="s">
        <v>418</v>
      </c>
      <c r="CN104" s="5" t="s">
        <v>419</v>
      </c>
      <c r="CO104" s="5" t="s">
        <v>82</v>
      </c>
      <c r="CP104" s="5" t="s">
        <v>93</v>
      </c>
      <c r="CQ104" s="5" t="s">
        <v>95</v>
      </c>
      <c r="CR104" s="5" t="s">
        <v>85</v>
      </c>
      <c r="CS104" s="5" t="s">
        <v>86</v>
      </c>
      <c r="CT104" s="5"/>
      <c r="CU104" s="5"/>
      <c r="CV104" s="5"/>
      <c r="CW104" s="5"/>
      <c r="CX104" s="5"/>
      <c r="CY104" s="5"/>
      <c r="CZ104" s="5"/>
      <c r="DA104" s="5"/>
    </row>
    <row r="105" spans="1:105">
      <c r="A105" s="5">
        <v>18022878819</v>
      </c>
      <c r="B105" s="5"/>
      <c r="C105" s="5" t="s">
        <v>17</v>
      </c>
      <c r="D105" s="5" t="s">
        <v>18</v>
      </c>
      <c r="E105" s="5"/>
      <c r="F105" s="5"/>
      <c r="G105" s="5"/>
      <c r="H105" s="5"/>
      <c r="I105" s="5"/>
      <c r="J105" s="5" t="s">
        <v>24</v>
      </c>
      <c r="K105" s="5"/>
      <c r="L105" s="5"/>
      <c r="M105" s="5"/>
      <c r="N105" s="5"/>
      <c r="O105" s="5"/>
      <c r="P105" s="5"/>
      <c r="Q105" s="5"/>
      <c r="R105" s="5"/>
      <c r="S105" s="5"/>
      <c r="T105" s="5"/>
      <c r="U105" s="5"/>
      <c r="V105" s="5"/>
      <c r="W105" s="5"/>
      <c r="X105" s="5"/>
      <c r="Y105" s="5"/>
      <c r="Z105" s="5"/>
      <c r="AA105" s="5"/>
      <c r="AB105" s="5" t="s">
        <v>28</v>
      </c>
      <c r="AC105" s="5"/>
      <c r="AD105" s="5"/>
      <c r="AE105" s="5"/>
      <c r="AF105" s="5" t="s">
        <v>31</v>
      </c>
      <c r="AG105" s="5"/>
      <c r="AH105" s="5"/>
      <c r="AI105" s="5"/>
      <c r="AJ105" s="5"/>
      <c r="AK105" s="5" t="s">
        <v>36</v>
      </c>
      <c r="AL105" s="5"/>
      <c r="AM105" s="5"/>
      <c r="AN105" s="5"/>
      <c r="AO105" s="5"/>
      <c r="AP105" s="5"/>
      <c r="AQ105" s="5"/>
      <c r="AR105" s="5"/>
      <c r="AS105" s="5"/>
      <c r="AT105" s="5"/>
      <c r="AU105" s="5"/>
      <c r="AV105" s="5"/>
      <c r="AW105" s="5"/>
      <c r="AX105" s="5" t="s">
        <v>46</v>
      </c>
      <c r="AY105" s="5"/>
      <c r="AZ105" s="5"/>
      <c r="BA105" s="5"/>
      <c r="BB105" s="5"/>
      <c r="BC105" s="5"/>
      <c r="BD105" s="5" t="s">
        <v>51</v>
      </c>
      <c r="BE105" s="5"/>
      <c r="BF105" s="5"/>
      <c r="BG105" s="5" t="s">
        <v>53</v>
      </c>
      <c r="BH105" s="5"/>
      <c r="BI105" s="5"/>
      <c r="BJ105" s="5"/>
      <c r="BK105" s="5"/>
      <c r="BL105" s="5" t="s">
        <v>58</v>
      </c>
      <c r="BM105" s="5"/>
      <c r="BN105" s="5"/>
      <c r="BO105" s="5"/>
      <c r="BP105" s="5"/>
      <c r="BQ105" s="5"/>
      <c r="BR105" s="5"/>
      <c r="BS105" s="5"/>
      <c r="BT105" s="5"/>
      <c r="BU105" s="5" t="s">
        <v>64</v>
      </c>
      <c r="BV105" s="5"/>
      <c r="BW105" s="5"/>
      <c r="BX105" s="5"/>
      <c r="BY105" s="5"/>
      <c r="BZ105" s="5"/>
      <c r="CA105" s="5"/>
      <c r="CB105" s="5"/>
      <c r="CC105" s="5"/>
      <c r="CD105" s="5" t="s">
        <v>73</v>
      </c>
      <c r="CE105" s="5"/>
      <c r="CF105" s="5" t="s">
        <v>75</v>
      </c>
      <c r="CG105" s="5"/>
      <c r="CH105" s="5"/>
      <c r="CI105" s="5" t="s">
        <v>417</v>
      </c>
      <c r="CJ105" s="5">
        <v>25</v>
      </c>
      <c r="CK105" s="5" t="s">
        <v>141</v>
      </c>
      <c r="CL105" s="5" t="s">
        <v>168</v>
      </c>
      <c r="CM105" s="5" t="s">
        <v>418</v>
      </c>
      <c r="CN105" s="5" t="s">
        <v>419</v>
      </c>
      <c r="CO105" s="5" t="s">
        <v>82</v>
      </c>
      <c r="CP105" s="5" t="s">
        <v>94</v>
      </c>
      <c r="CQ105" s="5" t="s">
        <v>84</v>
      </c>
      <c r="CR105" s="5" t="s">
        <v>85</v>
      </c>
      <c r="CS105" s="5" t="s">
        <v>86</v>
      </c>
      <c r="CT105" s="5"/>
      <c r="CU105" s="5"/>
      <c r="CV105" s="5"/>
      <c r="CW105" s="5"/>
      <c r="CX105" s="5"/>
      <c r="CY105" s="5"/>
      <c r="CZ105" s="5"/>
      <c r="DA105" s="5"/>
    </row>
    <row r="106" spans="1:105">
      <c r="A106" s="5">
        <v>18022878706</v>
      </c>
      <c r="B106" s="5"/>
      <c r="C106" s="5"/>
      <c r="D106" s="5"/>
      <c r="E106" s="5"/>
      <c r="F106" s="5"/>
      <c r="G106" s="5"/>
      <c r="H106" s="5"/>
      <c r="I106" s="5"/>
      <c r="J106" s="5"/>
      <c r="K106" s="5" t="s">
        <v>25</v>
      </c>
      <c r="L106" s="5" t="s">
        <v>26</v>
      </c>
      <c r="M106" s="5"/>
      <c r="N106" s="5" t="s">
        <v>28</v>
      </c>
      <c r="O106" s="5"/>
      <c r="P106" s="5"/>
      <c r="Q106" s="5"/>
      <c r="R106" s="5"/>
      <c r="S106" s="5" t="s">
        <v>19</v>
      </c>
      <c r="T106" s="5"/>
      <c r="U106" s="5"/>
      <c r="V106" s="5" t="s">
        <v>22</v>
      </c>
      <c r="W106" s="5"/>
      <c r="X106" s="5"/>
      <c r="Y106" s="5"/>
      <c r="Z106" s="5"/>
      <c r="AA106" s="5"/>
      <c r="AB106" s="5"/>
      <c r="AC106" s="5"/>
      <c r="AD106" s="5"/>
      <c r="AE106" s="5"/>
      <c r="AF106" s="5"/>
      <c r="AG106" s="5"/>
      <c r="AH106" s="5"/>
      <c r="AI106" s="5"/>
      <c r="AJ106" s="5"/>
      <c r="AK106" s="5" t="s">
        <v>36</v>
      </c>
      <c r="AL106" s="5"/>
      <c r="AM106" s="5" t="s">
        <v>375</v>
      </c>
      <c r="AN106" s="5"/>
      <c r="AO106" s="5"/>
      <c r="AP106" s="5"/>
      <c r="AQ106" s="5"/>
      <c r="AR106" s="5"/>
      <c r="AS106" s="5"/>
      <c r="AT106" s="5"/>
      <c r="AU106" s="5"/>
      <c r="AV106" s="5" t="s">
        <v>44</v>
      </c>
      <c r="AW106" s="5"/>
      <c r="AX106" s="5"/>
      <c r="AY106" s="5" t="s">
        <v>47</v>
      </c>
      <c r="AZ106" s="5"/>
      <c r="BA106" s="5"/>
      <c r="BB106" s="5"/>
      <c r="BC106" s="5"/>
      <c r="BD106" s="5" t="s">
        <v>51</v>
      </c>
      <c r="BE106" s="5"/>
      <c r="BF106" s="5"/>
      <c r="BG106" s="5" t="s">
        <v>53</v>
      </c>
      <c r="BH106" s="5"/>
      <c r="BI106" s="5"/>
      <c r="BJ106" s="5"/>
      <c r="BK106" s="5"/>
      <c r="BL106" s="5"/>
      <c r="BM106" s="5"/>
      <c r="BN106" s="5"/>
      <c r="BO106" s="5"/>
      <c r="BP106" s="5"/>
      <c r="BQ106" s="5"/>
      <c r="BR106" s="5"/>
      <c r="BS106" s="5"/>
      <c r="BT106" s="5"/>
      <c r="BU106" s="5" t="s">
        <v>64</v>
      </c>
      <c r="BV106" s="5"/>
      <c r="BW106" s="5"/>
      <c r="BX106" s="5"/>
      <c r="BY106" s="5"/>
      <c r="BZ106" s="5"/>
      <c r="CA106" s="5"/>
      <c r="CB106" s="5"/>
      <c r="CC106" s="5"/>
      <c r="CD106" s="5"/>
      <c r="CE106" s="5"/>
      <c r="CF106" s="5"/>
      <c r="CG106" s="5"/>
      <c r="CH106" s="5"/>
      <c r="CI106" s="5" t="s">
        <v>414</v>
      </c>
      <c r="CJ106" s="5">
        <v>32</v>
      </c>
      <c r="CK106" s="5" t="s">
        <v>141</v>
      </c>
      <c r="CL106" s="5" t="s">
        <v>164</v>
      </c>
      <c r="CM106" s="5" t="s">
        <v>418</v>
      </c>
      <c r="CN106" s="5" t="s">
        <v>419</v>
      </c>
      <c r="CO106" s="5" t="s">
        <v>82</v>
      </c>
      <c r="CP106" s="5" t="s">
        <v>83</v>
      </c>
      <c r="CQ106" s="5" t="s">
        <v>95</v>
      </c>
      <c r="CR106" s="5" t="s">
        <v>85</v>
      </c>
      <c r="CS106" s="5"/>
      <c r="CT106" s="5"/>
      <c r="CU106" s="5"/>
      <c r="CV106" s="5"/>
      <c r="CW106" s="5"/>
      <c r="CX106" s="5"/>
      <c r="CY106" s="5"/>
      <c r="CZ106" s="5"/>
      <c r="DA106" s="5"/>
    </row>
    <row r="107" spans="1:105">
      <c r="A107" s="5">
        <v>18022878547</v>
      </c>
      <c r="B107" s="5"/>
      <c r="C107" s="5" t="s">
        <v>17</v>
      </c>
      <c r="D107" s="5" t="s">
        <v>18</v>
      </c>
      <c r="E107" s="5"/>
      <c r="F107" s="5"/>
      <c r="G107" s="5"/>
      <c r="H107" s="5"/>
      <c r="I107" s="5"/>
      <c r="J107" s="5"/>
      <c r="K107" s="5" t="s">
        <v>25</v>
      </c>
      <c r="L107" s="5"/>
      <c r="M107" s="5"/>
      <c r="N107" s="5"/>
      <c r="O107" s="5"/>
      <c r="P107" s="5"/>
      <c r="Q107" s="5"/>
      <c r="R107" s="5"/>
      <c r="S107" s="5"/>
      <c r="T107" s="5"/>
      <c r="U107" s="5"/>
      <c r="V107" s="5"/>
      <c r="W107" s="5"/>
      <c r="X107" s="5"/>
      <c r="Y107" s="5" t="s">
        <v>25</v>
      </c>
      <c r="Z107" s="5"/>
      <c r="AA107" s="5"/>
      <c r="AB107" s="5"/>
      <c r="AC107" s="5"/>
      <c r="AD107" s="5"/>
      <c r="AE107" s="5"/>
      <c r="AF107" s="5"/>
      <c r="AG107" s="5" t="s">
        <v>32</v>
      </c>
      <c r="AH107" s="5"/>
      <c r="AI107" s="5"/>
      <c r="AJ107" s="5"/>
      <c r="AK107" s="5" t="s">
        <v>36</v>
      </c>
      <c r="AL107" s="5"/>
      <c r="AM107" s="5" t="s">
        <v>375</v>
      </c>
      <c r="AN107" s="5"/>
      <c r="AO107" s="5"/>
      <c r="AP107" s="5" t="s">
        <v>39</v>
      </c>
      <c r="AQ107" s="5"/>
      <c r="AR107" s="5"/>
      <c r="AS107" s="5"/>
      <c r="AT107" s="5"/>
      <c r="AU107" s="5"/>
      <c r="AV107" s="5"/>
      <c r="AW107" s="5"/>
      <c r="AX107" s="5"/>
      <c r="AY107" s="5"/>
      <c r="AZ107" s="5"/>
      <c r="BA107" s="5"/>
      <c r="BB107" s="5"/>
      <c r="BC107" s="5"/>
      <c r="BD107" s="5"/>
      <c r="BE107" s="5" t="s">
        <v>17</v>
      </c>
      <c r="BF107" s="5"/>
      <c r="BG107" s="5"/>
      <c r="BH107" s="5"/>
      <c r="BI107" s="5"/>
      <c r="BJ107" s="5"/>
      <c r="BK107" s="5" t="s">
        <v>57</v>
      </c>
      <c r="BL107" s="5" t="s">
        <v>58</v>
      </c>
      <c r="BM107" s="5"/>
      <c r="BN107" s="5"/>
      <c r="BO107" s="5"/>
      <c r="BP107" s="5"/>
      <c r="BQ107" s="5"/>
      <c r="BR107" s="5"/>
      <c r="BS107" s="5"/>
      <c r="BT107" s="5"/>
      <c r="BU107" s="5" t="s">
        <v>64</v>
      </c>
      <c r="BV107" s="5"/>
      <c r="BW107" s="5"/>
      <c r="BX107" s="5" t="s">
        <v>67</v>
      </c>
      <c r="BY107" s="5"/>
      <c r="BZ107" s="5"/>
      <c r="CA107" s="5" t="s">
        <v>70</v>
      </c>
      <c r="CB107" s="5"/>
      <c r="CC107" s="5"/>
      <c r="CD107" s="5"/>
      <c r="CE107" s="5"/>
      <c r="CF107" s="5"/>
      <c r="CG107" s="5"/>
      <c r="CH107" s="5"/>
      <c r="CI107" s="5" t="s">
        <v>414</v>
      </c>
      <c r="CJ107" s="5">
        <v>50</v>
      </c>
      <c r="CK107" s="5" t="s">
        <v>141</v>
      </c>
      <c r="CL107" s="5" t="s">
        <v>162</v>
      </c>
      <c r="CM107" s="5" t="s">
        <v>418</v>
      </c>
      <c r="CN107" s="5" t="s">
        <v>419</v>
      </c>
      <c r="CO107" s="5" t="s">
        <v>82</v>
      </c>
      <c r="CP107" s="5" t="s">
        <v>87</v>
      </c>
      <c r="CQ107" s="5" t="s">
        <v>95</v>
      </c>
      <c r="CR107" s="5" t="s">
        <v>96</v>
      </c>
      <c r="CS107" s="5" t="s">
        <v>86</v>
      </c>
      <c r="CT107" s="5"/>
      <c r="CU107" s="5"/>
      <c r="CV107" s="5"/>
      <c r="CW107" s="5"/>
      <c r="CX107" s="5"/>
      <c r="CY107" s="5"/>
      <c r="CZ107" s="5"/>
      <c r="DA107" s="5"/>
    </row>
    <row r="108" spans="1:105">
      <c r="A108" s="5">
        <v>18022878424</v>
      </c>
      <c r="B108" s="5"/>
      <c r="C108" s="5" t="s">
        <v>17</v>
      </c>
      <c r="D108" s="5"/>
      <c r="E108" s="5"/>
      <c r="F108" s="5"/>
      <c r="G108" s="5"/>
      <c r="H108" s="5"/>
      <c r="I108" s="5"/>
      <c r="J108" s="5"/>
      <c r="K108" s="5" t="s">
        <v>25</v>
      </c>
      <c r="L108" s="5"/>
      <c r="M108" s="5"/>
      <c r="N108" s="5" t="s">
        <v>28</v>
      </c>
      <c r="O108" s="5"/>
      <c r="P108" s="5"/>
      <c r="Q108" s="5"/>
      <c r="R108" s="5"/>
      <c r="S108" s="5"/>
      <c r="T108" s="5"/>
      <c r="U108" s="5"/>
      <c r="V108" s="5"/>
      <c r="W108" s="5"/>
      <c r="X108" s="5"/>
      <c r="Y108" s="5" t="s">
        <v>25</v>
      </c>
      <c r="Z108" s="5"/>
      <c r="AA108" s="5"/>
      <c r="AB108" s="5"/>
      <c r="AC108" s="5"/>
      <c r="AD108" s="5"/>
      <c r="AE108" s="5"/>
      <c r="AF108" s="5" t="s">
        <v>31</v>
      </c>
      <c r="AG108" s="5"/>
      <c r="AH108" s="5"/>
      <c r="AI108" s="5"/>
      <c r="AJ108" s="5"/>
      <c r="AK108" s="5" t="s">
        <v>36</v>
      </c>
      <c r="AL108" s="5"/>
      <c r="AM108" s="5" t="s">
        <v>375</v>
      </c>
      <c r="AN108" s="5"/>
      <c r="AO108" s="5"/>
      <c r="AP108" s="5" t="s">
        <v>39</v>
      </c>
      <c r="AQ108" s="5"/>
      <c r="AR108" s="5"/>
      <c r="AS108" s="5"/>
      <c r="AT108" s="5"/>
      <c r="AU108" s="5"/>
      <c r="AV108" s="5"/>
      <c r="AW108" s="5"/>
      <c r="AX108" s="5"/>
      <c r="AY108" s="5"/>
      <c r="AZ108" s="5"/>
      <c r="BA108" s="5"/>
      <c r="BB108" s="5"/>
      <c r="BC108" s="5"/>
      <c r="BD108" s="5" t="s">
        <v>51</v>
      </c>
      <c r="BE108" s="5" t="s">
        <v>17</v>
      </c>
      <c r="BF108" s="5"/>
      <c r="BG108" s="5"/>
      <c r="BH108" s="5"/>
      <c r="BI108" s="5"/>
      <c r="BJ108" s="5"/>
      <c r="BK108" s="5"/>
      <c r="BL108" s="5" t="s">
        <v>58</v>
      </c>
      <c r="BM108" s="5"/>
      <c r="BN108" s="5"/>
      <c r="BO108" s="5"/>
      <c r="BP108" s="5"/>
      <c r="BQ108" s="5"/>
      <c r="BR108" s="5"/>
      <c r="BS108" s="5"/>
      <c r="BT108" s="5"/>
      <c r="BU108" s="5" t="s">
        <v>64</v>
      </c>
      <c r="BV108" s="5"/>
      <c r="BW108" s="5"/>
      <c r="BX108" s="5"/>
      <c r="BY108" s="5"/>
      <c r="BZ108" s="5"/>
      <c r="CA108" s="5"/>
      <c r="CB108" s="5"/>
      <c r="CC108" s="5"/>
      <c r="CD108" s="5"/>
      <c r="CE108" s="5"/>
      <c r="CF108" s="5" t="s">
        <v>75</v>
      </c>
      <c r="CG108" s="5"/>
      <c r="CH108" s="5"/>
      <c r="CI108" s="5" t="s">
        <v>414</v>
      </c>
      <c r="CJ108" s="5">
        <v>26</v>
      </c>
      <c r="CK108" s="5" t="s">
        <v>141</v>
      </c>
      <c r="CL108" s="5" t="s">
        <v>432</v>
      </c>
      <c r="CM108" s="5" t="s">
        <v>418</v>
      </c>
      <c r="CN108" s="5" t="s">
        <v>419</v>
      </c>
      <c r="CO108" s="5" t="s">
        <v>82</v>
      </c>
      <c r="CP108" s="5" t="s">
        <v>83</v>
      </c>
      <c r="CQ108" s="5" t="s">
        <v>102</v>
      </c>
      <c r="CR108" s="5" t="s">
        <v>85</v>
      </c>
      <c r="CS108" s="5" t="s">
        <v>86</v>
      </c>
      <c r="CT108" s="5"/>
      <c r="CU108" s="5"/>
      <c r="CV108" s="5"/>
      <c r="CW108" s="5"/>
      <c r="CX108" s="5"/>
      <c r="CY108" s="5"/>
      <c r="CZ108" s="5"/>
      <c r="DA108" s="5"/>
    </row>
    <row r="109" spans="1:105">
      <c r="A109" s="5">
        <v>18022878292</v>
      </c>
      <c r="B109" s="5"/>
      <c r="C109" s="5" t="s">
        <v>17</v>
      </c>
      <c r="D109" s="5"/>
      <c r="E109" s="5"/>
      <c r="F109" s="5"/>
      <c r="G109" s="5"/>
      <c r="H109" s="5"/>
      <c r="I109" s="5"/>
      <c r="J109" s="5"/>
      <c r="K109" s="5" t="s">
        <v>25</v>
      </c>
      <c r="L109" s="5" t="s">
        <v>26</v>
      </c>
      <c r="M109" s="5"/>
      <c r="N109" s="5" t="s">
        <v>28</v>
      </c>
      <c r="O109" s="5"/>
      <c r="P109" s="5"/>
      <c r="Q109" s="5" t="s">
        <v>17</v>
      </c>
      <c r="R109" s="5"/>
      <c r="S109" s="5" t="s">
        <v>19</v>
      </c>
      <c r="T109" s="5"/>
      <c r="U109" s="5"/>
      <c r="V109" s="5"/>
      <c r="W109" s="5"/>
      <c r="X109" s="5"/>
      <c r="Y109" s="5"/>
      <c r="Z109" s="5"/>
      <c r="AA109" s="5"/>
      <c r="AB109" s="5"/>
      <c r="AC109" s="5"/>
      <c r="AD109" s="5"/>
      <c r="AE109" s="5"/>
      <c r="AF109" s="5" t="s">
        <v>31</v>
      </c>
      <c r="AG109" s="5"/>
      <c r="AH109" s="5"/>
      <c r="AI109" s="5"/>
      <c r="AJ109" s="5" t="s">
        <v>35</v>
      </c>
      <c r="AK109" s="5"/>
      <c r="AL109" s="5"/>
      <c r="AM109" s="5" t="s">
        <v>375</v>
      </c>
      <c r="AN109" s="5"/>
      <c r="AO109" s="5"/>
      <c r="AP109" s="5" t="s">
        <v>39</v>
      </c>
      <c r="AQ109" s="5" t="s">
        <v>40</v>
      </c>
      <c r="AR109" s="5" t="s">
        <v>41</v>
      </c>
      <c r="AS109" s="5"/>
      <c r="AT109" s="5"/>
      <c r="AU109" s="5"/>
      <c r="AV109" s="5"/>
      <c r="AW109" s="5"/>
      <c r="AX109" s="5"/>
      <c r="AY109" s="5"/>
      <c r="AZ109" s="5"/>
      <c r="BA109" s="5"/>
      <c r="BB109" s="5"/>
      <c r="BC109" s="5" t="s">
        <v>50</v>
      </c>
      <c r="BD109" s="5" t="s">
        <v>51</v>
      </c>
      <c r="BE109" s="5"/>
      <c r="BF109" s="5"/>
      <c r="BG109" s="5"/>
      <c r="BH109" s="5"/>
      <c r="BI109" s="5"/>
      <c r="BJ109" s="5"/>
      <c r="BK109" s="5"/>
      <c r="BL109" s="5"/>
      <c r="BM109" s="5"/>
      <c r="BN109" s="5"/>
      <c r="BO109" s="5"/>
      <c r="BP109" s="5"/>
      <c r="BQ109" s="5"/>
      <c r="BR109" s="5"/>
      <c r="BS109" s="5" t="s">
        <v>63</v>
      </c>
      <c r="BT109" s="5"/>
      <c r="BU109" s="5" t="s">
        <v>64</v>
      </c>
      <c r="BV109" s="5"/>
      <c r="BW109" s="5"/>
      <c r="BX109" s="5"/>
      <c r="BY109" s="5"/>
      <c r="BZ109" s="5"/>
      <c r="CA109" s="5"/>
      <c r="CB109" s="5"/>
      <c r="CC109" s="5"/>
      <c r="CD109" s="5"/>
      <c r="CE109" s="5"/>
      <c r="CF109" s="5" t="s">
        <v>75</v>
      </c>
      <c r="CG109" s="5"/>
      <c r="CH109" s="5"/>
      <c r="CI109" s="5" t="s">
        <v>414</v>
      </c>
      <c r="CJ109" s="5">
        <v>47</v>
      </c>
      <c r="CK109" s="5" t="s">
        <v>141</v>
      </c>
      <c r="CL109" s="5" t="s">
        <v>164</v>
      </c>
      <c r="CM109" s="5" t="s">
        <v>418</v>
      </c>
      <c r="CN109" s="5" t="s">
        <v>419</v>
      </c>
      <c r="CO109" s="5" t="s">
        <v>82</v>
      </c>
      <c r="CP109" s="5" t="s">
        <v>83</v>
      </c>
      <c r="CQ109" s="5" t="s">
        <v>88</v>
      </c>
      <c r="CR109" s="5" t="s">
        <v>85</v>
      </c>
      <c r="CS109" s="5" t="s">
        <v>86</v>
      </c>
      <c r="CT109" s="5"/>
      <c r="CU109" s="5"/>
      <c r="CV109" s="5"/>
      <c r="CW109" s="5"/>
      <c r="CX109" s="5"/>
      <c r="CY109" s="5"/>
      <c r="CZ109" s="5"/>
      <c r="DA109" s="5"/>
    </row>
    <row r="110" spans="1:105">
      <c r="A110" s="5">
        <v>18022878149</v>
      </c>
      <c r="B110" s="5"/>
      <c r="C110" s="5"/>
      <c r="D110" s="5"/>
      <c r="E110" s="5"/>
      <c r="F110" s="5"/>
      <c r="G110" s="5"/>
      <c r="H110" s="5"/>
      <c r="I110" s="5"/>
      <c r="J110" s="5"/>
      <c r="K110" s="5" t="s">
        <v>25</v>
      </c>
      <c r="L110" s="5" t="s">
        <v>26</v>
      </c>
      <c r="M110" s="5"/>
      <c r="N110" s="5"/>
      <c r="O110" s="5"/>
      <c r="P110" s="5"/>
      <c r="Q110" s="5" t="s">
        <v>17</v>
      </c>
      <c r="R110" s="5"/>
      <c r="S110" s="5"/>
      <c r="T110" s="5"/>
      <c r="U110" s="5"/>
      <c r="V110" s="5"/>
      <c r="W110" s="5"/>
      <c r="X110" s="5"/>
      <c r="Y110" s="5"/>
      <c r="Z110" s="5"/>
      <c r="AA110" s="5"/>
      <c r="AB110" s="5"/>
      <c r="AC110" s="5"/>
      <c r="AD110" s="5"/>
      <c r="AE110" s="5"/>
      <c r="AF110" s="5" t="s">
        <v>31</v>
      </c>
      <c r="AG110" s="5"/>
      <c r="AH110" s="5"/>
      <c r="AI110" s="5"/>
      <c r="AJ110" s="5"/>
      <c r="AK110" s="5" t="s">
        <v>36</v>
      </c>
      <c r="AL110" s="5"/>
      <c r="AM110" s="5"/>
      <c r="AN110" s="5"/>
      <c r="AO110" s="5"/>
      <c r="AP110" s="5"/>
      <c r="AQ110" s="5" t="s">
        <v>40</v>
      </c>
      <c r="AR110" s="5" t="s">
        <v>41</v>
      </c>
      <c r="AS110" s="5"/>
      <c r="AT110" s="5"/>
      <c r="AU110" s="5"/>
      <c r="AV110" s="5"/>
      <c r="AW110" s="5"/>
      <c r="AX110" s="5"/>
      <c r="AY110" s="5"/>
      <c r="AZ110" s="5"/>
      <c r="BA110" s="5"/>
      <c r="BB110" s="5"/>
      <c r="BC110" s="5"/>
      <c r="BD110" s="5"/>
      <c r="BE110" s="5"/>
      <c r="BF110" s="5"/>
      <c r="BG110" s="5" t="s">
        <v>53</v>
      </c>
      <c r="BH110" s="5"/>
      <c r="BI110" s="5" t="s">
        <v>55</v>
      </c>
      <c r="BJ110" s="5"/>
      <c r="BK110" s="5"/>
      <c r="BL110" s="5"/>
      <c r="BM110" s="5"/>
      <c r="BN110" s="5"/>
      <c r="BO110" s="5"/>
      <c r="BP110" s="5"/>
      <c r="BQ110" s="5"/>
      <c r="BR110" s="5"/>
      <c r="BS110" s="5" t="s">
        <v>63</v>
      </c>
      <c r="BT110" s="5"/>
      <c r="BU110" s="5" t="s">
        <v>64</v>
      </c>
      <c r="BV110" s="5"/>
      <c r="BW110" s="5"/>
      <c r="BX110" s="5"/>
      <c r="BY110" s="5"/>
      <c r="BZ110" s="5"/>
      <c r="CA110" s="5"/>
      <c r="CB110" s="5"/>
      <c r="CC110" s="5"/>
      <c r="CD110" s="5"/>
      <c r="CE110" s="5"/>
      <c r="CF110" s="5"/>
      <c r="CG110" s="5"/>
      <c r="CH110" s="5"/>
      <c r="CI110" s="5" t="s">
        <v>417</v>
      </c>
      <c r="CJ110" s="5">
        <v>49</v>
      </c>
      <c r="CK110" s="5" t="s">
        <v>141</v>
      </c>
      <c r="CL110" s="5" t="s">
        <v>164</v>
      </c>
      <c r="CM110" s="5" t="s">
        <v>418</v>
      </c>
      <c r="CN110" s="5"/>
      <c r="CO110" s="5" t="s">
        <v>82</v>
      </c>
      <c r="CP110" s="5" t="s">
        <v>83</v>
      </c>
      <c r="CQ110" s="5" t="s">
        <v>102</v>
      </c>
      <c r="CR110" s="5" t="s">
        <v>105</v>
      </c>
      <c r="CS110" s="5" t="s">
        <v>86</v>
      </c>
      <c r="CT110" s="5"/>
      <c r="CU110" s="5"/>
      <c r="CV110" s="5"/>
      <c r="CW110" s="5"/>
      <c r="CX110" s="5"/>
      <c r="CY110" s="5"/>
      <c r="CZ110" s="5"/>
      <c r="DA110" s="5"/>
    </row>
    <row r="111" spans="1:105">
      <c r="A111" s="5">
        <v>18022878031</v>
      </c>
      <c r="B111" s="5"/>
      <c r="C111" s="5"/>
      <c r="D111" s="5"/>
      <c r="E111" s="5"/>
      <c r="F111" s="5"/>
      <c r="G111" s="5"/>
      <c r="H111" s="5"/>
      <c r="I111" s="5"/>
      <c r="J111" s="5"/>
      <c r="K111" s="5"/>
      <c r="L111" s="5" t="s">
        <v>26</v>
      </c>
      <c r="M111" s="5"/>
      <c r="N111" s="5" t="s">
        <v>28</v>
      </c>
      <c r="O111" s="5"/>
      <c r="P111" s="5"/>
      <c r="Q111" s="5"/>
      <c r="R111" s="5"/>
      <c r="S111" s="5"/>
      <c r="T111" s="5"/>
      <c r="U111" s="5"/>
      <c r="V111" s="5"/>
      <c r="W111" s="5" t="s">
        <v>23</v>
      </c>
      <c r="X111" s="5"/>
      <c r="Y111" s="5"/>
      <c r="Z111" s="5"/>
      <c r="AA111" s="5"/>
      <c r="AB111" s="5"/>
      <c r="AC111" s="5"/>
      <c r="AD111" s="5" t="s">
        <v>29</v>
      </c>
      <c r="AE111" s="5"/>
      <c r="AF111" s="5"/>
      <c r="AG111" s="5"/>
      <c r="AH111" s="5"/>
      <c r="AI111" s="5"/>
      <c r="AJ111" s="5" t="s">
        <v>35</v>
      </c>
      <c r="AK111" s="5"/>
      <c r="AL111" s="5"/>
      <c r="AM111" s="5" t="s">
        <v>375</v>
      </c>
      <c r="AN111" s="5"/>
      <c r="AO111" s="5"/>
      <c r="AP111" s="5"/>
      <c r="AQ111" s="5"/>
      <c r="AR111" s="5"/>
      <c r="AS111" s="5" t="s">
        <v>42</v>
      </c>
      <c r="AT111" s="5"/>
      <c r="AU111" s="5" t="s">
        <v>43</v>
      </c>
      <c r="AV111" s="5"/>
      <c r="AW111" s="5" t="s">
        <v>45</v>
      </c>
      <c r="AX111" s="5"/>
      <c r="AY111" s="5"/>
      <c r="AZ111" s="5"/>
      <c r="BA111" s="5"/>
      <c r="BB111" s="5" t="s">
        <v>49</v>
      </c>
      <c r="BC111" s="5"/>
      <c r="BD111" s="5"/>
      <c r="BE111" s="5" t="s">
        <v>17</v>
      </c>
      <c r="BF111" s="5"/>
      <c r="BG111" s="5"/>
      <c r="BH111" s="5"/>
      <c r="BI111" s="5"/>
      <c r="BJ111" s="5"/>
      <c r="BK111" s="5"/>
      <c r="BL111" s="5"/>
      <c r="BM111" s="5"/>
      <c r="BN111" s="5"/>
      <c r="BO111" s="5"/>
      <c r="BP111" s="5"/>
      <c r="BQ111" s="5"/>
      <c r="BR111" s="5"/>
      <c r="BS111" s="5" t="s">
        <v>63</v>
      </c>
      <c r="BT111" s="5"/>
      <c r="BU111" s="5" t="s">
        <v>64</v>
      </c>
      <c r="BV111" s="5"/>
      <c r="BW111" s="5"/>
      <c r="BX111" s="5"/>
      <c r="BY111" s="5"/>
      <c r="BZ111" s="5"/>
      <c r="CA111" s="5" t="s">
        <v>70</v>
      </c>
      <c r="CB111" s="5"/>
      <c r="CC111" s="5"/>
      <c r="CD111" s="5" t="s">
        <v>73</v>
      </c>
      <c r="CE111" s="5"/>
      <c r="CF111" s="5"/>
      <c r="CG111" s="5"/>
      <c r="CH111" s="5"/>
      <c r="CI111" s="5" t="s">
        <v>414</v>
      </c>
      <c r="CJ111" s="5">
        <v>23</v>
      </c>
      <c r="CK111" s="5" t="s">
        <v>141</v>
      </c>
      <c r="CL111" s="5" t="s">
        <v>151</v>
      </c>
      <c r="CM111" s="5" t="s">
        <v>418</v>
      </c>
      <c r="CN111" s="5" t="s">
        <v>419</v>
      </c>
      <c r="CO111" s="5" t="s">
        <v>82</v>
      </c>
      <c r="CP111" s="5" t="s">
        <v>97</v>
      </c>
      <c r="CQ111" s="5" t="s">
        <v>88</v>
      </c>
      <c r="CR111" s="5" t="s">
        <v>89</v>
      </c>
      <c r="CS111" s="5" t="s">
        <v>86</v>
      </c>
      <c r="CT111" s="5"/>
      <c r="CU111" s="5"/>
      <c r="CV111" s="5"/>
      <c r="CW111" s="5"/>
      <c r="CX111" s="5"/>
      <c r="CY111" s="5"/>
      <c r="CZ111" s="5"/>
      <c r="DA111" s="5"/>
    </row>
    <row r="112" spans="1:105">
      <c r="A112" s="5">
        <v>18022877886</v>
      </c>
      <c r="B112" s="5"/>
      <c r="C112" s="5"/>
      <c r="D112" s="5"/>
      <c r="E112" s="5"/>
      <c r="F112" s="5"/>
      <c r="G112" s="5"/>
      <c r="H112" s="5"/>
      <c r="I112" s="5" t="s">
        <v>23</v>
      </c>
      <c r="J112" s="5"/>
      <c r="K112" s="5" t="s">
        <v>25</v>
      </c>
      <c r="L112" s="5" t="s">
        <v>26</v>
      </c>
      <c r="M112" s="5"/>
      <c r="N112" s="5"/>
      <c r="O112" s="5"/>
      <c r="P112" s="5"/>
      <c r="Q112" s="5"/>
      <c r="R112" s="5"/>
      <c r="S112" s="5"/>
      <c r="T112" s="5"/>
      <c r="U112" s="5"/>
      <c r="V112" s="5"/>
      <c r="W112" s="5" t="s">
        <v>23</v>
      </c>
      <c r="X112" s="5"/>
      <c r="Y112" s="5" t="s">
        <v>25</v>
      </c>
      <c r="Z112" s="5"/>
      <c r="AA112" s="5"/>
      <c r="AB112" s="5" t="s">
        <v>28</v>
      </c>
      <c r="AC112" s="5"/>
      <c r="AD112" s="5" t="s">
        <v>29</v>
      </c>
      <c r="AE112" s="5"/>
      <c r="AF112" s="5" t="s">
        <v>31</v>
      </c>
      <c r="AG112" s="5"/>
      <c r="AH112" s="5"/>
      <c r="AI112" s="5"/>
      <c r="AJ112" s="5"/>
      <c r="AK112" s="5"/>
      <c r="AL112" s="5"/>
      <c r="AM112" s="5" t="s">
        <v>375</v>
      </c>
      <c r="AN112" s="5"/>
      <c r="AO112" s="5"/>
      <c r="AP112" s="5"/>
      <c r="AQ112" s="5"/>
      <c r="AR112" s="5" t="s">
        <v>41</v>
      </c>
      <c r="AS112" s="5"/>
      <c r="AT112" s="5"/>
      <c r="AU112" s="5" t="s">
        <v>43</v>
      </c>
      <c r="AV112" s="5"/>
      <c r="AW112" s="5"/>
      <c r="AX112" s="5" t="s">
        <v>46</v>
      </c>
      <c r="AY112" s="5"/>
      <c r="AZ112" s="5"/>
      <c r="BA112" s="5"/>
      <c r="BB112" s="5"/>
      <c r="BC112" s="5"/>
      <c r="BD112" s="5" t="s">
        <v>51</v>
      </c>
      <c r="BE112" s="5"/>
      <c r="BF112" s="5"/>
      <c r="BG112" s="5" t="s">
        <v>53</v>
      </c>
      <c r="BH112" s="5"/>
      <c r="BI112" s="5"/>
      <c r="BJ112" s="5"/>
      <c r="BK112" s="5"/>
      <c r="BL112" s="5"/>
      <c r="BM112" s="5" t="s">
        <v>59</v>
      </c>
      <c r="BN112" s="5"/>
      <c r="BO112" s="5"/>
      <c r="BP112" s="5"/>
      <c r="BQ112" s="5"/>
      <c r="BR112" s="5"/>
      <c r="BS112" s="5"/>
      <c r="BT112" s="5"/>
      <c r="BU112" s="5"/>
      <c r="BV112" s="5" t="s">
        <v>65</v>
      </c>
      <c r="BW112" s="5"/>
      <c r="BX112" s="5"/>
      <c r="BY112" s="5"/>
      <c r="BZ112" s="5" t="s">
        <v>69</v>
      </c>
      <c r="CA112" s="5"/>
      <c r="CB112" s="5"/>
      <c r="CC112" s="5"/>
      <c r="CD112" s="5" t="s">
        <v>73</v>
      </c>
      <c r="CE112" s="5"/>
      <c r="CF112" s="5"/>
      <c r="CG112" s="5"/>
      <c r="CH112" s="5"/>
      <c r="CI112" s="5" t="s">
        <v>414</v>
      </c>
      <c r="CJ112" s="5">
        <v>18</v>
      </c>
      <c r="CK112" s="5" t="s">
        <v>141</v>
      </c>
      <c r="CL112" s="5" t="s">
        <v>179</v>
      </c>
      <c r="CM112" s="5" t="s">
        <v>418</v>
      </c>
      <c r="CN112" s="5" t="s">
        <v>419</v>
      </c>
      <c r="CO112" s="5" t="s">
        <v>82</v>
      </c>
      <c r="CP112" s="5" t="s">
        <v>94</v>
      </c>
      <c r="CQ112" s="5" t="s">
        <v>84</v>
      </c>
      <c r="CR112" s="5" t="s">
        <v>89</v>
      </c>
      <c r="CS112" s="5" t="s">
        <v>86</v>
      </c>
      <c r="CT112" s="5"/>
      <c r="CU112" s="5"/>
      <c r="CV112" s="5"/>
      <c r="CW112" s="5"/>
      <c r="CX112" s="5"/>
      <c r="CY112" s="5"/>
      <c r="CZ112" s="5"/>
      <c r="DA112" s="5"/>
    </row>
    <row r="113" spans="1:105">
      <c r="A113" s="5">
        <v>18022877779</v>
      </c>
      <c r="B113" s="5"/>
      <c r="C113" s="5"/>
      <c r="D113" s="5"/>
      <c r="E113" s="5"/>
      <c r="F113" s="5"/>
      <c r="G113" s="5"/>
      <c r="H113" s="5"/>
      <c r="I113" s="5"/>
      <c r="J113" s="5"/>
      <c r="K113" s="5" t="s">
        <v>25</v>
      </c>
      <c r="L113" s="5"/>
      <c r="M113" s="5"/>
      <c r="N113" s="5"/>
      <c r="O113" s="5"/>
      <c r="P113" s="5"/>
      <c r="Q113" s="5"/>
      <c r="R113" s="5"/>
      <c r="S113" s="5"/>
      <c r="T113" s="5" t="s">
        <v>20</v>
      </c>
      <c r="U113" s="5"/>
      <c r="V113" s="5"/>
      <c r="W113" s="5"/>
      <c r="X113" s="5"/>
      <c r="Y113" s="5" t="s">
        <v>25</v>
      </c>
      <c r="Z113" s="5" t="s">
        <v>26</v>
      </c>
      <c r="AA113" s="5"/>
      <c r="AB113" s="5"/>
      <c r="AC113" s="5"/>
      <c r="AD113" s="5" t="s">
        <v>29</v>
      </c>
      <c r="AE113" s="5"/>
      <c r="AF113" s="5"/>
      <c r="AG113" s="5"/>
      <c r="AH113" s="5"/>
      <c r="AI113" s="5"/>
      <c r="AJ113" s="5" t="s">
        <v>35</v>
      </c>
      <c r="AK113" s="5"/>
      <c r="AL113" s="5"/>
      <c r="AM113" s="5" t="s">
        <v>375</v>
      </c>
      <c r="AN113" s="5"/>
      <c r="AO113" s="5"/>
      <c r="AP113" s="5"/>
      <c r="AQ113" s="5"/>
      <c r="AR113" s="5"/>
      <c r="AS113" s="5"/>
      <c r="AT113" s="5"/>
      <c r="AU113" s="5"/>
      <c r="AV113" s="5"/>
      <c r="AW113" s="5"/>
      <c r="AX113" s="5"/>
      <c r="AY113" s="5"/>
      <c r="AZ113" s="5"/>
      <c r="BA113" s="5"/>
      <c r="BB113" s="5"/>
      <c r="BC113" s="5"/>
      <c r="BD113" s="5" t="s">
        <v>51</v>
      </c>
      <c r="BE113" s="5"/>
      <c r="BF113" s="5"/>
      <c r="BG113" s="5" t="s">
        <v>53</v>
      </c>
      <c r="BH113" s="5"/>
      <c r="BI113" s="5"/>
      <c r="BJ113" s="5"/>
      <c r="BK113" s="5"/>
      <c r="BL113" s="5"/>
      <c r="BM113" s="5" t="s">
        <v>59</v>
      </c>
      <c r="BN113" s="5"/>
      <c r="BO113" s="5"/>
      <c r="BP113" s="5"/>
      <c r="BQ113" s="5"/>
      <c r="BR113" s="5"/>
      <c r="BS113" s="5"/>
      <c r="BT113" s="5"/>
      <c r="BU113" s="5"/>
      <c r="BV113" s="5" t="s">
        <v>65</v>
      </c>
      <c r="BW113" s="5"/>
      <c r="BX113" s="5"/>
      <c r="BY113" s="5" t="s">
        <v>68</v>
      </c>
      <c r="BZ113" s="5"/>
      <c r="CA113" s="5"/>
      <c r="CB113" s="5" t="s">
        <v>71</v>
      </c>
      <c r="CC113" s="5"/>
      <c r="CD113" s="5"/>
      <c r="CE113" s="5"/>
      <c r="CF113" s="5"/>
      <c r="CG113" s="5"/>
      <c r="CH113" s="5"/>
      <c r="CI113" s="5"/>
      <c r="CJ113" s="5">
        <v>21</v>
      </c>
      <c r="CK113" s="5" t="s">
        <v>141</v>
      </c>
      <c r="CL113" s="5" t="s">
        <v>186</v>
      </c>
      <c r="CM113" s="5" t="s">
        <v>418</v>
      </c>
      <c r="CN113" s="5"/>
      <c r="CO113" s="5" t="s">
        <v>82</v>
      </c>
      <c r="CP113" s="5" t="s">
        <v>94</v>
      </c>
      <c r="CQ113" s="5" t="s">
        <v>102</v>
      </c>
      <c r="CR113" s="5" t="s">
        <v>85</v>
      </c>
      <c r="CS113" s="5" t="s">
        <v>86</v>
      </c>
      <c r="CT113" s="5"/>
      <c r="CU113" s="5"/>
      <c r="CV113" s="5"/>
      <c r="CW113" s="5"/>
      <c r="CX113" s="5"/>
      <c r="CY113" s="5"/>
      <c r="CZ113" s="5"/>
      <c r="DA113" s="5"/>
    </row>
    <row r="114" spans="1:105">
      <c r="A114" s="5">
        <v>18022877531</v>
      </c>
      <c r="B114" s="5"/>
      <c r="C114" s="5"/>
      <c r="D114" s="5"/>
      <c r="E114" s="5"/>
      <c r="F114" s="5"/>
      <c r="G114" s="5"/>
      <c r="H114" s="5"/>
      <c r="I114" s="5"/>
      <c r="J114" s="5"/>
      <c r="K114" s="5"/>
      <c r="L114" s="5" t="s">
        <v>26</v>
      </c>
      <c r="M114" s="5"/>
      <c r="N114" s="5"/>
      <c r="O114" s="5"/>
      <c r="P114" s="5"/>
      <c r="Q114" s="5"/>
      <c r="R114" s="5"/>
      <c r="S114" s="5"/>
      <c r="T114" s="5"/>
      <c r="U114" s="5"/>
      <c r="V114" s="5"/>
      <c r="W114" s="5"/>
      <c r="X114" s="5"/>
      <c r="Y114" s="5"/>
      <c r="Z114" s="5" t="s">
        <v>26</v>
      </c>
      <c r="AA114" s="5"/>
      <c r="AB114" s="5"/>
      <c r="AC114" s="5"/>
      <c r="AD114" s="5"/>
      <c r="AE114" s="5"/>
      <c r="AF114" s="5"/>
      <c r="AG114" s="5"/>
      <c r="AH114" s="5"/>
      <c r="AI114" s="5"/>
      <c r="AJ114" s="5"/>
      <c r="AK114" s="5" t="s">
        <v>36</v>
      </c>
      <c r="AL114" s="5"/>
      <c r="AM114" s="5"/>
      <c r="AN114" s="5"/>
      <c r="AO114" s="5"/>
      <c r="AP114" s="5"/>
      <c r="AQ114" s="5"/>
      <c r="AR114" s="5" t="s">
        <v>41</v>
      </c>
      <c r="AS114" s="5"/>
      <c r="AT114" s="5"/>
      <c r="AU114" s="5"/>
      <c r="AV114" s="5"/>
      <c r="AW114" s="5"/>
      <c r="AX114" s="5"/>
      <c r="AY114" s="5"/>
      <c r="AZ114" s="5"/>
      <c r="BA114" s="5"/>
      <c r="BB114" s="5"/>
      <c r="BC114" s="5"/>
      <c r="BD114" s="5"/>
      <c r="BE114" s="5" t="s">
        <v>17</v>
      </c>
      <c r="BF114" s="5"/>
      <c r="BG114" s="5"/>
      <c r="BH114" s="5"/>
      <c r="BI114" s="5"/>
      <c r="BJ114" s="5"/>
      <c r="BK114" s="5"/>
      <c r="BL114" s="5" t="s">
        <v>58</v>
      </c>
      <c r="BM114" s="5"/>
      <c r="BN114" s="5"/>
      <c r="BO114" s="5"/>
      <c r="BP114" s="5" t="s">
        <v>60</v>
      </c>
      <c r="BQ114" s="5"/>
      <c r="BR114" s="5"/>
      <c r="BS114" s="5"/>
      <c r="BT114" s="5"/>
      <c r="BU114" s="5" t="s">
        <v>64</v>
      </c>
      <c r="BV114" s="5"/>
      <c r="BW114" s="5"/>
      <c r="BX114" s="5"/>
      <c r="BY114" s="5"/>
      <c r="BZ114" s="5"/>
      <c r="CA114" s="5"/>
      <c r="CB114" s="5"/>
      <c r="CC114" s="5"/>
      <c r="CD114" s="5"/>
      <c r="CE114" s="5"/>
      <c r="CF114" s="5" t="s">
        <v>75</v>
      </c>
      <c r="CG114" s="5"/>
      <c r="CH114" s="5"/>
      <c r="CI114" s="5" t="s">
        <v>414</v>
      </c>
      <c r="CJ114" s="5">
        <v>37</v>
      </c>
      <c r="CK114" s="5" t="s">
        <v>141</v>
      </c>
      <c r="CL114" s="5" t="s">
        <v>164</v>
      </c>
      <c r="CM114" s="5" t="s">
        <v>418</v>
      </c>
      <c r="CN114" s="5" t="s">
        <v>419</v>
      </c>
      <c r="CO114" s="5" t="s">
        <v>82</v>
      </c>
      <c r="CP114" s="5" t="s">
        <v>94</v>
      </c>
      <c r="CQ114" s="5" t="s">
        <v>95</v>
      </c>
      <c r="CR114" s="5" t="s">
        <v>105</v>
      </c>
      <c r="CS114" s="5" t="s">
        <v>81</v>
      </c>
      <c r="CT114" s="5"/>
      <c r="CU114" s="5"/>
      <c r="CV114" s="5"/>
      <c r="CW114" s="5"/>
      <c r="CX114" s="5"/>
      <c r="CY114" s="5"/>
      <c r="CZ114" s="5"/>
      <c r="DA114" s="5"/>
    </row>
    <row r="115" spans="1:105">
      <c r="A115" s="5">
        <v>18022877402</v>
      </c>
      <c r="B115" s="5"/>
      <c r="C115" s="5" t="s">
        <v>17</v>
      </c>
      <c r="D115" s="5"/>
      <c r="E115" s="5"/>
      <c r="F115" s="5"/>
      <c r="G115" s="5" t="s">
        <v>21</v>
      </c>
      <c r="H115" s="5"/>
      <c r="I115" s="5"/>
      <c r="J115" s="5"/>
      <c r="K115" s="5"/>
      <c r="L115" s="5" t="s">
        <v>26</v>
      </c>
      <c r="M115" s="5"/>
      <c r="N115" s="5"/>
      <c r="O115" s="5"/>
      <c r="P115" s="5"/>
      <c r="Q115" s="5" t="s">
        <v>17</v>
      </c>
      <c r="R115" s="5"/>
      <c r="S115" s="5"/>
      <c r="T115" s="5"/>
      <c r="U115" s="5"/>
      <c r="V115" s="5"/>
      <c r="W115" s="5"/>
      <c r="X115" s="5"/>
      <c r="Y115" s="5"/>
      <c r="Z115" s="5"/>
      <c r="AA115" s="5"/>
      <c r="AB115" s="5"/>
      <c r="AC115" s="5"/>
      <c r="AD115" s="5"/>
      <c r="AE115" s="5"/>
      <c r="AF115" s="5"/>
      <c r="AG115" s="5"/>
      <c r="AH115" s="5"/>
      <c r="AI115" s="5"/>
      <c r="AJ115" s="5"/>
      <c r="AK115" s="5" t="s">
        <v>36</v>
      </c>
      <c r="AL115" s="5"/>
      <c r="AM115" s="5"/>
      <c r="AN115" s="5"/>
      <c r="AO115" s="5"/>
      <c r="AP115" s="5"/>
      <c r="AQ115" s="5"/>
      <c r="AR115" s="5" t="s">
        <v>41</v>
      </c>
      <c r="AS115" s="5"/>
      <c r="AT115" s="5"/>
      <c r="AU115" s="5"/>
      <c r="AV115" s="5"/>
      <c r="AW115" s="5"/>
      <c r="AX115" s="5"/>
      <c r="AY115" s="5"/>
      <c r="AZ115" s="5"/>
      <c r="BA115" s="5"/>
      <c r="BB115" s="5"/>
      <c r="BC115" s="5"/>
      <c r="BD115" s="5"/>
      <c r="BE115" s="5" t="s">
        <v>17</v>
      </c>
      <c r="BF115" s="5"/>
      <c r="BG115" s="5"/>
      <c r="BH115" s="5"/>
      <c r="BI115" s="5"/>
      <c r="BJ115" s="5"/>
      <c r="BK115" s="5"/>
      <c r="BL115" s="5" t="s">
        <v>58</v>
      </c>
      <c r="BM115" s="5"/>
      <c r="BN115" s="5"/>
      <c r="BO115" s="5"/>
      <c r="BP115" s="5"/>
      <c r="BQ115" s="5"/>
      <c r="BR115" s="5"/>
      <c r="BS115" s="5" t="s">
        <v>63</v>
      </c>
      <c r="BT115" s="5"/>
      <c r="BU115" s="5"/>
      <c r="BV115" s="5"/>
      <c r="BW115" s="5"/>
      <c r="BX115" s="5"/>
      <c r="BY115" s="5"/>
      <c r="BZ115" s="5"/>
      <c r="CA115" s="5"/>
      <c r="CB115" s="5"/>
      <c r="CC115" s="5"/>
      <c r="CD115" s="5"/>
      <c r="CE115" s="5"/>
      <c r="CF115" s="5" t="s">
        <v>75</v>
      </c>
      <c r="CG115" s="5"/>
      <c r="CH115" s="5"/>
      <c r="CI115" s="5" t="s">
        <v>414</v>
      </c>
      <c r="CJ115" s="5">
        <v>32</v>
      </c>
      <c r="CK115" s="5" t="s">
        <v>141</v>
      </c>
      <c r="CL115" s="5" t="s">
        <v>164</v>
      </c>
      <c r="CM115" s="5" t="s">
        <v>418</v>
      </c>
      <c r="CN115" s="5" t="s">
        <v>419</v>
      </c>
      <c r="CO115" s="5" t="s">
        <v>82</v>
      </c>
      <c r="CP115" s="5" t="s">
        <v>97</v>
      </c>
      <c r="CQ115" s="5"/>
      <c r="CR115" s="5" t="s">
        <v>85</v>
      </c>
      <c r="CS115" s="5" t="s">
        <v>81</v>
      </c>
      <c r="CT115" s="5"/>
      <c r="CU115" s="5"/>
      <c r="CV115" s="5"/>
      <c r="CW115" s="5"/>
      <c r="CX115" s="5"/>
      <c r="CY115" s="5"/>
      <c r="CZ115" s="5"/>
      <c r="DA115" s="5"/>
    </row>
    <row r="116" spans="1:105">
      <c r="A116" s="5">
        <v>18022877220</v>
      </c>
      <c r="B116" s="5"/>
      <c r="C116" s="5" t="s">
        <v>17</v>
      </c>
      <c r="D116" s="5"/>
      <c r="E116" s="5"/>
      <c r="F116" s="5"/>
      <c r="G116" s="5"/>
      <c r="H116" s="5"/>
      <c r="I116" s="5"/>
      <c r="J116" s="5"/>
      <c r="K116" s="5"/>
      <c r="L116" s="5" t="s">
        <v>26</v>
      </c>
      <c r="M116" s="5"/>
      <c r="N116" s="5"/>
      <c r="O116" s="5"/>
      <c r="P116" s="5"/>
      <c r="Q116" s="5" t="s">
        <v>17</v>
      </c>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t="s">
        <v>41</v>
      </c>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t="s">
        <v>63</v>
      </c>
      <c r="BT116" s="5"/>
      <c r="BU116" s="5" t="s">
        <v>64</v>
      </c>
      <c r="BV116" s="5"/>
      <c r="BW116" s="5"/>
      <c r="BX116" s="5"/>
      <c r="BY116" s="5"/>
      <c r="BZ116" s="5"/>
      <c r="CA116" s="5"/>
      <c r="CB116" s="5"/>
      <c r="CC116" s="5"/>
      <c r="CD116" s="5"/>
      <c r="CE116" s="5"/>
      <c r="CF116" s="5"/>
      <c r="CG116" s="5"/>
      <c r="CH116" s="5"/>
      <c r="CI116" s="5" t="s">
        <v>414</v>
      </c>
      <c r="CJ116" s="5">
        <v>63</v>
      </c>
      <c r="CK116" s="5" t="s">
        <v>141</v>
      </c>
      <c r="CL116" s="5" t="s">
        <v>150</v>
      </c>
      <c r="CM116" s="5" t="s">
        <v>418</v>
      </c>
      <c r="CN116" s="5" t="s">
        <v>419</v>
      </c>
      <c r="CO116" s="5" t="s">
        <v>82</v>
      </c>
      <c r="CP116" s="5" t="s">
        <v>83</v>
      </c>
      <c r="CQ116" s="5" t="s">
        <v>95</v>
      </c>
      <c r="CR116" s="5" t="s">
        <v>99</v>
      </c>
      <c r="CS116" s="5" t="s">
        <v>86</v>
      </c>
      <c r="CT116" s="5"/>
      <c r="CU116" s="5"/>
      <c r="CV116" s="5"/>
      <c r="CW116" s="5"/>
      <c r="CX116" s="5"/>
      <c r="CY116" s="5"/>
      <c r="CZ116" s="5"/>
      <c r="DA116" s="5"/>
    </row>
    <row r="117" spans="1:105">
      <c r="A117" s="5">
        <v>18022760139</v>
      </c>
      <c r="B117" s="5"/>
      <c r="C117" s="5"/>
      <c r="D117" s="5" t="s">
        <v>18</v>
      </c>
      <c r="E117" s="5"/>
      <c r="F117" s="5"/>
      <c r="G117" s="5"/>
      <c r="H117" s="5"/>
      <c r="I117" s="5"/>
      <c r="J117" s="5" t="s">
        <v>24</v>
      </c>
      <c r="K117" s="5"/>
      <c r="L117" s="5"/>
      <c r="M117" s="5"/>
      <c r="N117" s="5" t="s">
        <v>28</v>
      </c>
      <c r="O117" s="5"/>
      <c r="P117" s="5"/>
      <c r="Q117" s="5"/>
      <c r="R117" s="5"/>
      <c r="S117" s="5"/>
      <c r="T117" s="5"/>
      <c r="U117" s="5"/>
      <c r="V117" s="5"/>
      <c r="W117" s="5"/>
      <c r="X117" s="5" t="s">
        <v>24</v>
      </c>
      <c r="Y117" s="5"/>
      <c r="Z117" s="5"/>
      <c r="AA117" s="5"/>
      <c r="AB117" s="5" t="s">
        <v>28</v>
      </c>
      <c r="AC117" s="5"/>
      <c r="AD117" s="5"/>
      <c r="AE117" s="5"/>
      <c r="AF117" s="5"/>
      <c r="AG117" s="5"/>
      <c r="AH117" s="5"/>
      <c r="AI117" s="5" t="s">
        <v>34</v>
      </c>
      <c r="AJ117" s="5"/>
      <c r="AK117" s="5"/>
      <c r="AL117" s="5"/>
      <c r="AM117" s="5"/>
      <c r="AN117" s="5"/>
      <c r="AO117" s="5"/>
      <c r="AP117" s="5" t="s">
        <v>39</v>
      </c>
      <c r="AQ117" s="5"/>
      <c r="AR117" s="5" t="s">
        <v>41</v>
      </c>
      <c r="AS117" s="5"/>
      <c r="AT117" s="5"/>
      <c r="AU117" s="5"/>
      <c r="AV117" s="5"/>
      <c r="AW117" s="5" t="s">
        <v>45</v>
      </c>
      <c r="AX117" s="5"/>
      <c r="AY117" s="5"/>
      <c r="AZ117" s="5"/>
      <c r="BA117" s="5"/>
      <c r="BB117" s="5"/>
      <c r="BC117" s="5"/>
      <c r="BD117" s="5"/>
      <c r="BE117" s="5"/>
      <c r="BF117" s="5"/>
      <c r="BG117" s="5"/>
      <c r="BH117" s="5" t="s">
        <v>54</v>
      </c>
      <c r="BI117" s="5"/>
      <c r="BJ117" s="5"/>
      <c r="BK117" s="5"/>
      <c r="BL117" s="5"/>
      <c r="BM117" s="5"/>
      <c r="BN117" s="5" t="s">
        <v>24</v>
      </c>
      <c r="BO117" s="5"/>
      <c r="BP117" s="5"/>
      <c r="BQ117" s="5"/>
      <c r="BR117" s="5" t="s">
        <v>62</v>
      </c>
      <c r="BS117" s="5"/>
      <c r="BT117" s="5"/>
      <c r="BU117" s="5" t="s">
        <v>64</v>
      </c>
      <c r="BV117" s="5"/>
      <c r="BW117" s="5"/>
      <c r="BX117" s="5"/>
      <c r="BY117" s="5"/>
      <c r="BZ117" s="5"/>
      <c r="CA117" s="5"/>
      <c r="CB117" s="5"/>
      <c r="CC117" s="5"/>
      <c r="CD117" s="5"/>
      <c r="CE117" s="5"/>
      <c r="CF117" s="5" t="s">
        <v>75</v>
      </c>
      <c r="CG117" s="5"/>
      <c r="CH117" s="5"/>
      <c r="CI117" s="5" t="s">
        <v>414</v>
      </c>
      <c r="CJ117" s="5">
        <v>66</v>
      </c>
      <c r="CK117" s="5" t="s">
        <v>80</v>
      </c>
      <c r="CL117" s="5" t="s">
        <v>129</v>
      </c>
      <c r="CM117" s="5" t="s">
        <v>418</v>
      </c>
      <c r="CN117" s="5" t="s">
        <v>419</v>
      </c>
      <c r="CO117" s="5" t="s">
        <v>82</v>
      </c>
      <c r="CP117" s="5" t="s">
        <v>83</v>
      </c>
      <c r="CQ117" s="5" t="s">
        <v>103</v>
      </c>
      <c r="CR117" s="5" t="s">
        <v>85</v>
      </c>
      <c r="CS117" s="5" t="s">
        <v>86</v>
      </c>
      <c r="CT117" s="5" t="s">
        <v>433</v>
      </c>
      <c r="CU117" s="5" t="s">
        <v>86</v>
      </c>
      <c r="CV117" s="5"/>
      <c r="CW117" s="5"/>
      <c r="CX117" s="5"/>
      <c r="CY117" s="5"/>
      <c r="CZ117" s="5"/>
      <c r="DA117" s="5"/>
    </row>
    <row r="118" spans="1:105">
      <c r="A118" s="5">
        <v>18022520402</v>
      </c>
      <c r="B118" s="5"/>
      <c r="C118" s="5" t="s">
        <v>17</v>
      </c>
      <c r="D118" s="5"/>
      <c r="E118" s="5"/>
      <c r="F118" s="5"/>
      <c r="G118" s="5"/>
      <c r="H118" s="5"/>
      <c r="I118" s="5"/>
      <c r="J118" s="5"/>
      <c r="K118" s="5" t="s">
        <v>25</v>
      </c>
      <c r="L118" s="5" t="s">
        <v>26</v>
      </c>
      <c r="M118" s="5"/>
      <c r="N118" s="5"/>
      <c r="O118" s="5"/>
      <c r="P118" s="5"/>
      <c r="Q118" s="5" t="s">
        <v>17</v>
      </c>
      <c r="R118" s="5"/>
      <c r="S118" s="5"/>
      <c r="T118" s="5"/>
      <c r="U118" s="5"/>
      <c r="V118" s="5"/>
      <c r="W118" s="5"/>
      <c r="X118" s="5"/>
      <c r="Y118" s="5"/>
      <c r="Z118" s="5"/>
      <c r="AA118" s="5"/>
      <c r="AB118" s="5" t="s">
        <v>28</v>
      </c>
      <c r="AC118" s="5"/>
      <c r="AD118" s="5"/>
      <c r="AE118" s="5"/>
      <c r="AF118" s="5" t="s">
        <v>31</v>
      </c>
      <c r="AG118" s="5"/>
      <c r="AH118" s="5"/>
      <c r="AI118" s="5"/>
      <c r="AJ118" s="5"/>
      <c r="AK118" s="5"/>
      <c r="AL118" s="5"/>
      <c r="AM118" s="5" t="s">
        <v>375</v>
      </c>
      <c r="AN118" s="5"/>
      <c r="AO118" s="5"/>
      <c r="AP118" s="5" t="s">
        <v>39</v>
      </c>
      <c r="AQ118" s="5"/>
      <c r="AR118" s="5" t="s">
        <v>41</v>
      </c>
      <c r="AS118" s="5"/>
      <c r="AT118" s="5"/>
      <c r="AU118" s="5"/>
      <c r="AV118" s="5"/>
      <c r="AW118" s="5"/>
      <c r="AX118" s="5"/>
      <c r="AY118" s="5"/>
      <c r="AZ118" s="5"/>
      <c r="BA118" s="5"/>
      <c r="BB118" s="5"/>
      <c r="BC118" s="5"/>
      <c r="BD118" s="5" t="s">
        <v>51</v>
      </c>
      <c r="BE118" s="5" t="s">
        <v>17</v>
      </c>
      <c r="BF118" s="5"/>
      <c r="BG118" s="5"/>
      <c r="BH118" s="5"/>
      <c r="BI118" s="5"/>
      <c r="BJ118" s="5"/>
      <c r="BK118" s="5"/>
      <c r="BL118" s="5"/>
      <c r="BM118" s="5" t="s">
        <v>59</v>
      </c>
      <c r="BN118" s="5"/>
      <c r="BO118" s="5"/>
      <c r="BP118" s="5"/>
      <c r="BQ118" s="5"/>
      <c r="BR118" s="5"/>
      <c r="BS118" s="5"/>
      <c r="BT118" s="5"/>
      <c r="BU118" s="5" t="s">
        <v>64</v>
      </c>
      <c r="BV118" s="5"/>
      <c r="BW118" s="5"/>
      <c r="BX118" s="5"/>
      <c r="BY118" s="5"/>
      <c r="BZ118" s="5"/>
      <c r="CA118" s="5"/>
      <c r="CB118" s="5"/>
      <c r="CC118" s="5"/>
      <c r="CD118" s="5"/>
      <c r="CE118" s="5"/>
      <c r="CF118" s="5"/>
      <c r="CG118" s="5"/>
      <c r="CH118" s="5"/>
      <c r="CI118" s="5" t="s">
        <v>414</v>
      </c>
      <c r="CJ118" s="5">
        <v>55</v>
      </c>
      <c r="CK118" s="5" t="s">
        <v>141</v>
      </c>
      <c r="CL118" s="5" t="s">
        <v>156</v>
      </c>
      <c r="CM118" s="5" t="s">
        <v>418</v>
      </c>
      <c r="CN118" s="5" t="s">
        <v>419</v>
      </c>
      <c r="CO118" s="5" t="s">
        <v>82</v>
      </c>
      <c r="CP118" s="5" t="s">
        <v>83</v>
      </c>
      <c r="CQ118" s="5" t="s">
        <v>84</v>
      </c>
      <c r="CR118" s="5" t="s">
        <v>85</v>
      </c>
      <c r="CS118" s="5" t="s">
        <v>86</v>
      </c>
      <c r="CT118" s="5"/>
      <c r="CU118" s="5"/>
      <c r="CV118" s="5"/>
      <c r="CW118" s="5"/>
      <c r="CX118" s="5"/>
      <c r="CY118" s="5"/>
      <c r="CZ118" s="5"/>
      <c r="DA118" s="5"/>
    </row>
    <row r="119" spans="1:105">
      <c r="A119" s="5">
        <v>18022520259</v>
      </c>
      <c r="B119" s="5"/>
      <c r="C119" s="5"/>
      <c r="D119" s="5"/>
      <c r="E119" s="5" t="s">
        <v>19</v>
      </c>
      <c r="F119" s="5"/>
      <c r="G119" s="5"/>
      <c r="H119" s="5"/>
      <c r="I119" s="5"/>
      <c r="J119" s="5"/>
      <c r="K119" s="5" t="s">
        <v>25</v>
      </c>
      <c r="L119" s="5"/>
      <c r="M119" s="5" t="s">
        <v>27</v>
      </c>
      <c r="N119" s="5"/>
      <c r="O119" s="5"/>
      <c r="P119" s="5"/>
      <c r="Q119" s="5"/>
      <c r="R119" s="5"/>
      <c r="S119" s="5"/>
      <c r="T119" s="5"/>
      <c r="U119" s="5"/>
      <c r="V119" s="5"/>
      <c r="W119" s="5"/>
      <c r="X119" s="5"/>
      <c r="Y119" s="5" t="s">
        <v>25</v>
      </c>
      <c r="Z119" s="5"/>
      <c r="AA119" s="5"/>
      <c r="AB119" s="5"/>
      <c r="AC119" s="5"/>
      <c r="AD119" s="5"/>
      <c r="AE119" s="5"/>
      <c r="AF119" s="5" t="s">
        <v>31</v>
      </c>
      <c r="AG119" s="5"/>
      <c r="AH119" s="5"/>
      <c r="AI119" s="5"/>
      <c r="AJ119" s="5"/>
      <c r="AK119" s="5" t="s">
        <v>36</v>
      </c>
      <c r="AL119" s="5"/>
      <c r="AM119" s="5" t="s">
        <v>375</v>
      </c>
      <c r="AN119" s="5"/>
      <c r="AO119" s="5"/>
      <c r="AP119" s="5"/>
      <c r="AQ119" s="5"/>
      <c r="AR119" s="5"/>
      <c r="AS119" s="5" t="s">
        <v>42</v>
      </c>
      <c r="AT119" s="5"/>
      <c r="AU119" s="5"/>
      <c r="AV119" s="5" t="s">
        <v>44</v>
      </c>
      <c r="AW119" s="5"/>
      <c r="AX119" s="5"/>
      <c r="AY119" s="5" t="s">
        <v>47</v>
      </c>
      <c r="AZ119" s="5"/>
      <c r="BA119" s="5"/>
      <c r="BB119" s="5" t="s">
        <v>49</v>
      </c>
      <c r="BC119" s="5" t="s">
        <v>50</v>
      </c>
      <c r="BD119" s="5"/>
      <c r="BE119" s="5" t="s">
        <v>17</v>
      </c>
      <c r="BF119" s="5"/>
      <c r="BG119" s="5"/>
      <c r="BH119" s="5" t="s">
        <v>54</v>
      </c>
      <c r="BI119" s="5"/>
      <c r="BJ119" s="5"/>
      <c r="BK119" s="5"/>
      <c r="BL119" s="5"/>
      <c r="BM119" s="5"/>
      <c r="BN119" s="5"/>
      <c r="BO119" s="5"/>
      <c r="BP119" s="5"/>
      <c r="BQ119" s="5"/>
      <c r="BR119" s="5"/>
      <c r="BS119" s="5"/>
      <c r="BT119" s="5"/>
      <c r="BU119" s="5"/>
      <c r="BV119" s="5"/>
      <c r="BW119" s="5"/>
      <c r="BX119" s="5" t="s">
        <v>67</v>
      </c>
      <c r="BY119" s="5" t="s">
        <v>68</v>
      </c>
      <c r="BZ119" s="5"/>
      <c r="CA119" s="5"/>
      <c r="CB119" s="5"/>
      <c r="CC119" s="5"/>
      <c r="CD119" s="5"/>
      <c r="CE119" s="5"/>
      <c r="CF119" s="5"/>
      <c r="CG119" s="5"/>
      <c r="CH119" s="5"/>
      <c r="CI119" s="5" t="s">
        <v>434</v>
      </c>
      <c r="CJ119" s="5">
        <v>52</v>
      </c>
      <c r="CK119" s="5" t="s">
        <v>141</v>
      </c>
      <c r="CL119" s="5" t="s">
        <v>171</v>
      </c>
      <c r="CM119" s="5" t="s">
        <v>415</v>
      </c>
      <c r="CN119" s="5" t="s">
        <v>419</v>
      </c>
      <c r="CO119" s="5" t="s">
        <v>435</v>
      </c>
      <c r="CP119" s="5" t="s">
        <v>83</v>
      </c>
      <c r="CQ119" s="5" t="s">
        <v>111</v>
      </c>
      <c r="CR119" s="5" t="s">
        <v>105</v>
      </c>
      <c r="CS119" s="5" t="s">
        <v>86</v>
      </c>
      <c r="CT119" s="5"/>
      <c r="CU119" s="5"/>
      <c r="CV119" s="5"/>
      <c r="CW119" s="5"/>
      <c r="CX119" s="5"/>
      <c r="CY119" s="5"/>
      <c r="CZ119" s="5"/>
      <c r="DA119" s="5"/>
    </row>
    <row r="120" spans="1:105">
      <c r="A120" s="5">
        <v>18022520086</v>
      </c>
      <c r="B120" s="5"/>
      <c r="C120" s="5"/>
      <c r="D120" s="5"/>
      <c r="E120" s="5"/>
      <c r="F120" s="5"/>
      <c r="G120" s="5"/>
      <c r="H120" s="5"/>
      <c r="I120" s="5"/>
      <c r="J120" s="5" t="s">
        <v>24</v>
      </c>
      <c r="K120" s="5" t="s">
        <v>25</v>
      </c>
      <c r="L120" s="5" t="s">
        <v>26</v>
      </c>
      <c r="M120" s="5"/>
      <c r="N120" s="5"/>
      <c r="O120" s="5"/>
      <c r="P120" s="5"/>
      <c r="Q120" s="5"/>
      <c r="R120" s="5"/>
      <c r="S120" s="5"/>
      <c r="T120" s="5"/>
      <c r="U120" s="5"/>
      <c r="V120" s="5" t="s">
        <v>22</v>
      </c>
      <c r="W120" s="5" t="s">
        <v>23</v>
      </c>
      <c r="X120" s="5"/>
      <c r="Y120" s="5" t="s">
        <v>25</v>
      </c>
      <c r="Z120" s="5"/>
      <c r="AA120" s="5"/>
      <c r="AB120" s="5"/>
      <c r="AC120" s="5"/>
      <c r="AD120" s="5" t="s">
        <v>29</v>
      </c>
      <c r="AE120" s="5"/>
      <c r="AF120" s="5"/>
      <c r="AG120" s="5"/>
      <c r="AH120" s="5"/>
      <c r="AI120" s="5"/>
      <c r="AJ120" s="5" t="s">
        <v>35</v>
      </c>
      <c r="AK120" s="5"/>
      <c r="AL120" s="5"/>
      <c r="AM120" s="5" t="s">
        <v>375</v>
      </c>
      <c r="AN120" s="5"/>
      <c r="AO120" s="5" t="s">
        <v>38</v>
      </c>
      <c r="AP120" s="5" t="s">
        <v>39</v>
      </c>
      <c r="AQ120" s="5"/>
      <c r="AR120" s="5"/>
      <c r="AS120" s="5"/>
      <c r="AT120" s="5"/>
      <c r="AU120" s="5" t="s">
        <v>43</v>
      </c>
      <c r="AV120" s="5"/>
      <c r="AW120" s="5"/>
      <c r="AX120" s="5"/>
      <c r="AY120" s="5"/>
      <c r="AZ120" s="5"/>
      <c r="BA120" s="5"/>
      <c r="BB120" s="5"/>
      <c r="BC120" s="5" t="s">
        <v>50</v>
      </c>
      <c r="BD120" s="5" t="s">
        <v>51</v>
      </c>
      <c r="BE120" s="5"/>
      <c r="BF120" s="5" t="s">
        <v>52</v>
      </c>
      <c r="BG120" s="5"/>
      <c r="BH120" s="5"/>
      <c r="BI120" s="5"/>
      <c r="BJ120" s="5"/>
      <c r="BK120" s="5"/>
      <c r="BL120" s="5"/>
      <c r="BM120" s="5"/>
      <c r="BN120" s="5"/>
      <c r="BO120" s="5"/>
      <c r="BP120" s="5"/>
      <c r="BQ120" s="5"/>
      <c r="BR120" s="5"/>
      <c r="BS120" s="5"/>
      <c r="BT120" s="5"/>
      <c r="BU120" s="5" t="s">
        <v>64</v>
      </c>
      <c r="BV120" s="5"/>
      <c r="BW120" s="5"/>
      <c r="BX120" s="5" t="s">
        <v>67</v>
      </c>
      <c r="BY120" s="5"/>
      <c r="BZ120" s="5"/>
      <c r="CA120" s="5" t="s">
        <v>70</v>
      </c>
      <c r="CB120" s="5"/>
      <c r="CC120" s="5"/>
      <c r="CD120" s="5"/>
      <c r="CE120" s="5"/>
      <c r="CF120" s="5"/>
      <c r="CG120" s="5"/>
      <c r="CH120" s="5"/>
      <c r="CI120" s="5" t="s">
        <v>414</v>
      </c>
      <c r="CJ120" s="5">
        <v>29</v>
      </c>
      <c r="CK120" s="5" t="s">
        <v>141</v>
      </c>
      <c r="CL120" s="5" t="s">
        <v>171</v>
      </c>
      <c r="CM120" s="5" t="s">
        <v>436</v>
      </c>
      <c r="CN120" s="5" t="s">
        <v>419</v>
      </c>
      <c r="CO120" s="5" t="s">
        <v>437</v>
      </c>
      <c r="CP120" s="5" t="s">
        <v>83</v>
      </c>
      <c r="CQ120" s="5" t="s">
        <v>103</v>
      </c>
      <c r="CR120" s="5" t="s">
        <v>85</v>
      </c>
      <c r="CS120" s="5" t="s">
        <v>86</v>
      </c>
      <c r="CT120" s="5"/>
      <c r="CU120" s="5"/>
      <c r="CV120" s="5"/>
      <c r="CW120" s="5"/>
      <c r="CX120" s="5"/>
      <c r="CY120" s="5"/>
      <c r="CZ120" s="5"/>
      <c r="DA120" s="5"/>
    </row>
    <row r="121" spans="1:105">
      <c r="A121" s="5">
        <v>18022519957</v>
      </c>
      <c r="B121" s="5" t="s">
        <v>16</v>
      </c>
      <c r="C121" s="5" t="s">
        <v>17</v>
      </c>
      <c r="D121" s="5"/>
      <c r="E121" s="5"/>
      <c r="F121" s="5"/>
      <c r="G121" s="5"/>
      <c r="H121" s="5"/>
      <c r="I121" s="5"/>
      <c r="J121" s="5"/>
      <c r="K121" s="5" t="s">
        <v>25</v>
      </c>
      <c r="L121" s="5"/>
      <c r="M121" s="5"/>
      <c r="N121" s="5"/>
      <c r="O121" s="5"/>
      <c r="P121" s="5"/>
      <c r="Q121" s="5" t="s">
        <v>17</v>
      </c>
      <c r="R121" s="5"/>
      <c r="S121" s="5"/>
      <c r="T121" s="5"/>
      <c r="U121" s="5"/>
      <c r="V121" s="5"/>
      <c r="W121" s="5" t="s">
        <v>23</v>
      </c>
      <c r="X121" s="5" t="s">
        <v>24</v>
      </c>
      <c r="Y121" s="5"/>
      <c r="Z121" s="5"/>
      <c r="AA121" s="5"/>
      <c r="AB121" s="5"/>
      <c r="AC121" s="5"/>
      <c r="AD121" s="5"/>
      <c r="AE121" s="5" t="s">
        <v>30</v>
      </c>
      <c r="AF121" s="5"/>
      <c r="AG121" s="5"/>
      <c r="AH121" s="5"/>
      <c r="AI121" s="5"/>
      <c r="AJ121" s="5" t="s">
        <v>35</v>
      </c>
      <c r="AK121" s="5" t="s">
        <v>36</v>
      </c>
      <c r="AL121" s="5"/>
      <c r="AM121" s="5"/>
      <c r="AN121" s="5"/>
      <c r="AO121" s="5"/>
      <c r="AP121" s="5" t="s">
        <v>39</v>
      </c>
      <c r="AQ121" s="5"/>
      <c r="AR121" s="5"/>
      <c r="AS121" s="5"/>
      <c r="AT121" s="5" t="s">
        <v>37</v>
      </c>
      <c r="AU121" s="5" t="s">
        <v>43</v>
      </c>
      <c r="AV121" s="5"/>
      <c r="AW121" s="5"/>
      <c r="AX121" s="5"/>
      <c r="AY121" s="5"/>
      <c r="AZ121" s="5"/>
      <c r="BA121" s="5"/>
      <c r="BB121" s="5"/>
      <c r="BC121" s="5"/>
      <c r="BD121" s="5"/>
      <c r="BE121" s="5"/>
      <c r="BF121" s="5" t="s">
        <v>52</v>
      </c>
      <c r="BG121" s="5"/>
      <c r="BH121" s="5"/>
      <c r="BI121" s="5"/>
      <c r="BJ121" s="5"/>
      <c r="BK121" s="5"/>
      <c r="BL121" s="5" t="s">
        <v>58</v>
      </c>
      <c r="BM121" s="5"/>
      <c r="BN121" s="5" t="s">
        <v>24</v>
      </c>
      <c r="BO121" s="5"/>
      <c r="BP121" s="5"/>
      <c r="BQ121" s="5"/>
      <c r="BR121" s="5"/>
      <c r="BS121" s="5"/>
      <c r="BT121" s="5"/>
      <c r="BU121" s="5" t="s">
        <v>64</v>
      </c>
      <c r="BV121" s="5"/>
      <c r="BW121" s="5"/>
      <c r="BX121" s="5" t="s">
        <v>67</v>
      </c>
      <c r="BY121" s="5"/>
      <c r="BZ121" s="5"/>
      <c r="CA121" s="5"/>
      <c r="CB121" s="5"/>
      <c r="CC121" s="5"/>
      <c r="CD121" s="5"/>
      <c r="CE121" s="5"/>
      <c r="CF121" s="5" t="s">
        <v>75</v>
      </c>
      <c r="CG121" s="5"/>
      <c r="CH121" s="5"/>
      <c r="CI121" s="5" t="s">
        <v>414</v>
      </c>
      <c r="CJ121" s="5">
        <v>18</v>
      </c>
      <c r="CK121" s="5" t="s">
        <v>141</v>
      </c>
      <c r="CL121" s="5" t="s">
        <v>161</v>
      </c>
      <c r="CM121" s="5" t="s">
        <v>418</v>
      </c>
      <c r="CN121" s="5" t="s">
        <v>419</v>
      </c>
      <c r="CO121" s="5" t="s">
        <v>82</v>
      </c>
      <c r="CP121" s="5" t="s">
        <v>94</v>
      </c>
      <c r="CQ121" s="5" t="s">
        <v>95</v>
      </c>
      <c r="CR121" s="5" t="s">
        <v>89</v>
      </c>
      <c r="CS121" s="5" t="s">
        <v>86</v>
      </c>
      <c r="CT121" s="5"/>
      <c r="CU121" s="5"/>
      <c r="CV121" s="5"/>
      <c r="CW121" s="5"/>
      <c r="CX121" s="5"/>
      <c r="CY121" s="5"/>
      <c r="CZ121" s="5"/>
      <c r="DA121" s="5"/>
    </row>
    <row r="122" spans="1:105">
      <c r="A122" s="5">
        <v>18022519838</v>
      </c>
      <c r="B122" s="5"/>
      <c r="C122" s="5"/>
      <c r="D122" s="5"/>
      <c r="E122" s="5"/>
      <c r="F122" s="5"/>
      <c r="G122" s="5"/>
      <c r="H122" s="5" t="s">
        <v>22</v>
      </c>
      <c r="I122" s="5"/>
      <c r="J122" s="5"/>
      <c r="K122" s="5" t="s">
        <v>25</v>
      </c>
      <c r="L122" s="5" t="s">
        <v>26</v>
      </c>
      <c r="M122" s="5"/>
      <c r="N122" s="5"/>
      <c r="O122" s="5"/>
      <c r="P122" s="5"/>
      <c r="Q122" s="5"/>
      <c r="R122" s="5"/>
      <c r="S122" s="5" t="s">
        <v>19</v>
      </c>
      <c r="T122" s="5"/>
      <c r="U122" s="5"/>
      <c r="V122" s="5" t="s">
        <v>22</v>
      </c>
      <c r="W122" s="5" t="s">
        <v>23</v>
      </c>
      <c r="X122" s="5"/>
      <c r="Y122" s="5"/>
      <c r="Z122" s="5"/>
      <c r="AA122" s="5"/>
      <c r="AB122" s="5"/>
      <c r="AC122" s="5"/>
      <c r="AD122" s="5"/>
      <c r="AE122" s="5"/>
      <c r="AF122" s="5"/>
      <c r="AG122" s="5"/>
      <c r="AH122" s="5"/>
      <c r="AI122" s="5"/>
      <c r="AJ122" s="5" t="s">
        <v>35</v>
      </c>
      <c r="AK122" s="5"/>
      <c r="AL122" s="5"/>
      <c r="AM122" s="5" t="s">
        <v>375</v>
      </c>
      <c r="AN122" s="5"/>
      <c r="AO122" s="5"/>
      <c r="AP122" s="5"/>
      <c r="AQ122" s="5"/>
      <c r="AR122" s="5" t="s">
        <v>41</v>
      </c>
      <c r="AS122" s="5"/>
      <c r="AT122" s="5"/>
      <c r="AU122" s="5"/>
      <c r="AV122" s="5"/>
      <c r="AW122" s="5"/>
      <c r="AX122" s="5"/>
      <c r="AY122" s="5"/>
      <c r="AZ122" s="5"/>
      <c r="BA122" s="5"/>
      <c r="BB122" s="5"/>
      <c r="BC122" s="5"/>
      <c r="BD122" s="5" t="s">
        <v>51</v>
      </c>
      <c r="BE122" s="5"/>
      <c r="BF122" s="5"/>
      <c r="BG122" s="5"/>
      <c r="BH122" s="5"/>
      <c r="BI122" s="5"/>
      <c r="BJ122" s="5"/>
      <c r="BK122" s="5"/>
      <c r="BL122" s="5"/>
      <c r="BM122" s="5"/>
      <c r="BN122" s="5"/>
      <c r="BO122" s="5"/>
      <c r="BP122" s="5"/>
      <c r="BQ122" s="5"/>
      <c r="BR122" s="5" t="s">
        <v>62</v>
      </c>
      <c r="BS122" s="5" t="s">
        <v>63</v>
      </c>
      <c r="BT122" s="5"/>
      <c r="BU122" s="5" t="s">
        <v>64</v>
      </c>
      <c r="BV122" s="5"/>
      <c r="BW122" s="5"/>
      <c r="BX122" s="5" t="s">
        <v>67</v>
      </c>
      <c r="BY122" s="5"/>
      <c r="BZ122" s="5"/>
      <c r="CA122" s="5"/>
      <c r="CB122" s="5"/>
      <c r="CC122" s="5"/>
      <c r="CD122" s="5"/>
      <c r="CE122" s="5"/>
      <c r="CF122" s="5" t="s">
        <v>75</v>
      </c>
      <c r="CG122" s="5"/>
      <c r="CH122" s="5"/>
      <c r="CI122" s="5" t="s">
        <v>414</v>
      </c>
      <c r="CJ122" s="5"/>
      <c r="CK122" s="5" t="s">
        <v>141</v>
      </c>
      <c r="CL122" s="5" t="s">
        <v>171</v>
      </c>
      <c r="CM122" s="5" t="s">
        <v>418</v>
      </c>
      <c r="CN122" s="5"/>
      <c r="CO122" s="5" t="s">
        <v>82</v>
      </c>
      <c r="CP122" s="5"/>
      <c r="CQ122" s="5" t="s">
        <v>84</v>
      </c>
      <c r="CR122" s="5" t="s">
        <v>85</v>
      </c>
      <c r="CS122" s="5" t="s">
        <v>86</v>
      </c>
      <c r="CT122" s="5"/>
      <c r="CU122" s="5"/>
      <c r="CV122" s="5"/>
      <c r="CW122" s="5"/>
      <c r="CX122" s="5"/>
      <c r="CY122" s="5"/>
      <c r="CZ122" s="5"/>
      <c r="DA122" s="5"/>
    </row>
    <row r="123" spans="1:105">
      <c r="A123" s="5">
        <v>18022519606</v>
      </c>
      <c r="B123" s="5"/>
      <c r="C123" s="5"/>
      <c r="D123" s="5"/>
      <c r="E123" s="5"/>
      <c r="F123" s="5"/>
      <c r="G123" s="5"/>
      <c r="H123" s="5" t="s">
        <v>22</v>
      </c>
      <c r="I123" s="5"/>
      <c r="J123" s="5"/>
      <c r="K123" s="5" t="s">
        <v>25</v>
      </c>
      <c r="L123" s="5" t="s">
        <v>26</v>
      </c>
      <c r="M123" s="5"/>
      <c r="N123" s="5"/>
      <c r="O123" s="5"/>
      <c r="P123" s="5"/>
      <c r="Q123" s="5"/>
      <c r="R123" s="5"/>
      <c r="S123" s="5"/>
      <c r="T123" s="5"/>
      <c r="U123" s="5"/>
      <c r="V123" s="5"/>
      <c r="W123" s="5"/>
      <c r="X123" s="5"/>
      <c r="Y123" s="5" t="s">
        <v>25</v>
      </c>
      <c r="Z123" s="5"/>
      <c r="AA123" s="5" t="s">
        <v>27</v>
      </c>
      <c r="AB123" s="5" t="s">
        <v>28</v>
      </c>
      <c r="AC123" s="5"/>
      <c r="AD123" s="5"/>
      <c r="AE123" s="5" t="s">
        <v>30</v>
      </c>
      <c r="AF123" s="5"/>
      <c r="AG123" s="5" t="s">
        <v>32</v>
      </c>
      <c r="AH123" s="5"/>
      <c r="AI123" s="5"/>
      <c r="AJ123" s="5"/>
      <c r="AK123" s="5"/>
      <c r="AL123" s="5"/>
      <c r="AM123" s="5" t="s">
        <v>375</v>
      </c>
      <c r="AN123" s="5"/>
      <c r="AO123" s="5"/>
      <c r="AP123" s="5" t="s">
        <v>39</v>
      </c>
      <c r="AQ123" s="5"/>
      <c r="AR123" s="5"/>
      <c r="AS123" s="5"/>
      <c r="AT123" s="5"/>
      <c r="AU123" s="5"/>
      <c r="AV123" s="5"/>
      <c r="AW123" s="5"/>
      <c r="AX123" s="5"/>
      <c r="AY123" s="5"/>
      <c r="AZ123" s="5"/>
      <c r="BA123" s="5"/>
      <c r="BB123" s="5"/>
      <c r="BC123" s="5"/>
      <c r="BD123" s="5"/>
      <c r="BE123" s="5"/>
      <c r="BF123" s="5" t="s">
        <v>52</v>
      </c>
      <c r="BG123" s="5"/>
      <c r="BH123" s="5"/>
      <c r="BI123" s="5"/>
      <c r="BJ123" s="5"/>
      <c r="BK123" s="5"/>
      <c r="BL123" s="5"/>
      <c r="BM123" s="5" t="s">
        <v>59</v>
      </c>
      <c r="BN123" s="5"/>
      <c r="BO123" s="5"/>
      <c r="BP123" s="5"/>
      <c r="BQ123" s="5"/>
      <c r="BR123" s="5" t="s">
        <v>62</v>
      </c>
      <c r="BS123" s="5"/>
      <c r="BT123" s="5"/>
      <c r="BU123" s="5" t="s">
        <v>64</v>
      </c>
      <c r="BV123" s="5"/>
      <c r="BW123" s="5"/>
      <c r="BX123" s="5"/>
      <c r="BY123" s="5" t="s">
        <v>68</v>
      </c>
      <c r="BZ123" s="5"/>
      <c r="CA123" s="5"/>
      <c r="CB123" s="5" t="s">
        <v>71</v>
      </c>
      <c r="CC123" s="5"/>
      <c r="CD123" s="5"/>
      <c r="CE123" s="5"/>
      <c r="CF123" s="5"/>
      <c r="CG123" s="5"/>
      <c r="CH123" s="5"/>
      <c r="CI123" s="5" t="s">
        <v>417</v>
      </c>
      <c r="CJ123" s="5">
        <v>32</v>
      </c>
      <c r="CK123" s="5" t="s">
        <v>141</v>
      </c>
      <c r="CL123" s="5" t="s">
        <v>165</v>
      </c>
      <c r="CM123" s="5" t="s">
        <v>418</v>
      </c>
      <c r="CN123" s="5" t="s">
        <v>419</v>
      </c>
      <c r="CO123" s="5" t="s">
        <v>82</v>
      </c>
      <c r="CP123" s="5" t="s">
        <v>93</v>
      </c>
      <c r="CQ123" s="5" t="s">
        <v>103</v>
      </c>
      <c r="CR123" s="5" t="s">
        <v>85</v>
      </c>
      <c r="CS123" s="5" t="s">
        <v>86</v>
      </c>
      <c r="CT123" s="5"/>
      <c r="CU123" s="5"/>
      <c r="CV123" s="5"/>
      <c r="CW123" s="5"/>
      <c r="CX123" s="5"/>
      <c r="CY123" s="5"/>
      <c r="CZ123" s="5"/>
      <c r="DA123" s="5"/>
    </row>
    <row r="124" spans="1:105">
      <c r="A124" s="5">
        <v>18022519229</v>
      </c>
      <c r="B124" s="5"/>
      <c r="C124" s="5" t="s">
        <v>17</v>
      </c>
      <c r="D124" s="5" t="s">
        <v>18</v>
      </c>
      <c r="E124" s="5"/>
      <c r="F124" s="5"/>
      <c r="G124" s="5"/>
      <c r="H124" s="5"/>
      <c r="I124" s="5"/>
      <c r="J124" s="5"/>
      <c r="K124" s="5"/>
      <c r="L124" s="5"/>
      <c r="M124" s="5"/>
      <c r="N124" s="5"/>
      <c r="O124" s="5"/>
      <c r="P124" s="5"/>
      <c r="Q124" s="5"/>
      <c r="R124" s="5" t="s">
        <v>18</v>
      </c>
      <c r="S124" s="5"/>
      <c r="T124" s="5"/>
      <c r="U124" s="5"/>
      <c r="V124" s="5"/>
      <c r="W124" s="5"/>
      <c r="X124" s="5"/>
      <c r="Y124" s="5"/>
      <c r="Z124" s="5"/>
      <c r="AA124" s="5"/>
      <c r="AB124" s="5"/>
      <c r="AC124" s="5"/>
      <c r="AD124" s="5"/>
      <c r="AE124" s="5"/>
      <c r="AF124" s="5"/>
      <c r="AG124" s="5"/>
      <c r="AH124" s="5"/>
      <c r="AI124" s="5" t="s">
        <v>34</v>
      </c>
      <c r="AJ124" s="5"/>
      <c r="AK124" s="5"/>
      <c r="AL124" s="5"/>
      <c r="AM124" s="5"/>
      <c r="AN124" s="5"/>
      <c r="AO124" s="5"/>
      <c r="AP124" s="5"/>
      <c r="AQ124" s="5"/>
      <c r="AR124" s="5"/>
      <c r="AS124" s="5"/>
      <c r="AT124" s="5"/>
      <c r="AU124" s="5" t="s">
        <v>43</v>
      </c>
      <c r="AV124" s="5"/>
      <c r="AW124" s="5"/>
      <c r="AX124" s="5"/>
      <c r="AY124" s="5"/>
      <c r="AZ124" s="5"/>
      <c r="BA124" s="5"/>
      <c r="BB124" s="5"/>
      <c r="BC124" s="5"/>
      <c r="BD124" s="5" t="s">
        <v>51</v>
      </c>
      <c r="BE124" s="5"/>
      <c r="BF124" s="5" t="s">
        <v>52</v>
      </c>
      <c r="BG124" s="5"/>
      <c r="BH124" s="5"/>
      <c r="BI124" s="5"/>
      <c r="BJ124" s="5"/>
      <c r="BK124" s="5"/>
      <c r="BL124" s="5"/>
      <c r="BM124" s="5"/>
      <c r="BN124" s="5"/>
      <c r="BO124" s="5"/>
      <c r="BP124" s="5"/>
      <c r="BQ124" s="5"/>
      <c r="BR124" s="5"/>
      <c r="BS124" s="5"/>
      <c r="BT124" s="5"/>
      <c r="BU124" s="5" t="s">
        <v>64</v>
      </c>
      <c r="BV124" s="5"/>
      <c r="BW124" s="5"/>
      <c r="BX124" s="5"/>
      <c r="BY124" s="5"/>
      <c r="BZ124" s="5"/>
      <c r="CA124" s="5"/>
      <c r="CB124" s="5"/>
      <c r="CC124" s="5"/>
      <c r="CD124" s="5"/>
      <c r="CE124" s="5"/>
      <c r="CF124" s="5"/>
      <c r="CG124" s="5"/>
      <c r="CH124" s="5"/>
      <c r="CI124" s="5" t="s">
        <v>414</v>
      </c>
      <c r="CJ124" s="5">
        <v>45</v>
      </c>
      <c r="CK124" s="5" t="s">
        <v>141</v>
      </c>
      <c r="CL124" s="5" t="s">
        <v>171</v>
      </c>
      <c r="CM124" s="5" t="s">
        <v>418</v>
      </c>
      <c r="CN124" s="5"/>
      <c r="CO124" s="5" t="s">
        <v>82</v>
      </c>
      <c r="CP124" s="5" t="s">
        <v>93</v>
      </c>
      <c r="CQ124" s="5" t="s">
        <v>103</v>
      </c>
      <c r="CR124" s="5" t="s">
        <v>85</v>
      </c>
      <c r="CS124" s="5" t="s">
        <v>86</v>
      </c>
      <c r="CT124" s="5"/>
      <c r="CU124" s="5"/>
      <c r="CV124" s="5"/>
      <c r="CW124" s="5"/>
      <c r="CX124" s="5"/>
      <c r="CY124" s="5"/>
      <c r="CZ124" s="5"/>
      <c r="DA124" s="5"/>
    </row>
    <row r="125" spans="1:105">
      <c r="A125" s="5">
        <v>18022519049</v>
      </c>
      <c r="B125" s="5"/>
      <c r="C125" s="5"/>
      <c r="D125" s="5"/>
      <c r="E125" s="5"/>
      <c r="F125" s="5" t="s">
        <v>20</v>
      </c>
      <c r="G125" s="5"/>
      <c r="H125" s="5" t="s">
        <v>22</v>
      </c>
      <c r="I125" s="5"/>
      <c r="J125" s="5"/>
      <c r="K125" s="5" t="s">
        <v>25</v>
      </c>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t="s">
        <v>43</v>
      </c>
      <c r="AV125" s="5"/>
      <c r="AW125" s="5"/>
      <c r="AX125" s="5"/>
      <c r="AY125" s="5"/>
      <c r="AZ125" s="5"/>
      <c r="BA125" s="5"/>
      <c r="BB125" s="5"/>
      <c r="BC125" s="5"/>
      <c r="BD125" s="5" t="s">
        <v>51</v>
      </c>
      <c r="BE125" s="5"/>
      <c r="BF125" s="5" t="s">
        <v>52</v>
      </c>
      <c r="BG125" s="5"/>
      <c r="BH125" s="5"/>
      <c r="BI125" s="5"/>
      <c r="BJ125" s="5"/>
      <c r="BK125" s="5"/>
      <c r="BL125" s="5"/>
      <c r="BM125" s="5"/>
      <c r="BN125" s="5"/>
      <c r="BO125" s="5" t="s">
        <v>20</v>
      </c>
      <c r="BP125" s="5"/>
      <c r="BQ125" s="5"/>
      <c r="BR125" s="5"/>
      <c r="BS125" s="5"/>
      <c r="BT125" s="5"/>
      <c r="BU125" s="5" t="s">
        <v>64</v>
      </c>
      <c r="BV125" s="5"/>
      <c r="BW125" s="5"/>
      <c r="BX125" s="5" t="s">
        <v>67</v>
      </c>
      <c r="BY125" s="5"/>
      <c r="BZ125" s="5"/>
      <c r="CA125" s="5"/>
      <c r="CB125" s="5"/>
      <c r="CC125" s="5"/>
      <c r="CD125" s="5"/>
      <c r="CE125" s="5"/>
      <c r="CF125" s="5"/>
      <c r="CG125" s="5"/>
      <c r="CH125" s="5"/>
      <c r="CI125" s="5" t="s">
        <v>414</v>
      </c>
      <c r="CJ125" s="5">
        <v>44</v>
      </c>
      <c r="CK125" s="5" t="s">
        <v>141</v>
      </c>
      <c r="CL125" s="5" t="s">
        <v>171</v>
      </c>
      <c r="CM125" s="5" t="s">
        <v>418</v>
      </c>
      <c r="CN125" s="5" t="s">
        <v>419</v>
      </c>
      <c r="CO125" s="5" t="s">
        <v>82</v>
      </c>
      <c r="CP125" s="5" t="s">
        <v>83</v>
      </c>
      <c r="CQ125" s="5" t="s">
        <v>88</v>
      </c>
      <c r="CR125" s="5"/>
      <c r="CS125" s="5" t="s">
        <v>86</v>
      </c>
      <c r="CT125" s="5"/>
      <c r="CU125" s="5"/>
      <c r="CV125" s="5"/>
      <c r="CW125" s="5"/>
      <c r="CX125" s="5"/>
      <c r="CY125" s="5"/>
      <c r="CZ125" s="5"/>
      <c r="DA125" s="5"/>
    </row>
    <row r="126" spans="1:105">
      <c r="A126" s="5">
        <v>18022518816</v>
      </c>
      <c r="B126" s="5" t="s">
        <v>16</v>
      </c>
      <c r="C126" s="5"/>
      <c r="D126" s="5"/>
      <c r="E126" s="5"/>
      <c r="F126" s="5"/>
      <c r="G126" s="5"/>
      <c r="H126" s="5"/>
      <c r="I126" s="5"/>
      <c r="J126" s="5"/>
      <c r="K126" s="5" t="s">
        <v>25</v>
      </c>
      <c r="L126" s="5"/>
      <c r="M126" s="5"/>
      <c r="N126" s="5"/>
      <c r="O126" s="5"/>
      <c r="P126" s="5" t="s">
        <v>16</v>
      </c>
      <c r="Q126" s="5"/>
      <c r="R126" s="5"/>
      <c r="S126" s="5"/>
      <c r="T126" s="5"/>
      <c r="U126" s="5"/>
      <c r="V126" s="5"/>
      <c r="W126" s="5"/>
      <c r="X126" s="5"/>
      <c r="Y126" s="5" t="s">
        <v>25</v>
      </c>
      <c r="Z126" s="5"/>
      <c r="AA126" s="5"/>
      <c r="AB126" s="5"/>
      <c r="AC126" s="5"/>
      <c r="AD126" s="5"/>
      <c r="AE126" s="5"/>
      <c r="AF126" s="5" t="s">
        <v>31</v>
      </c>
      <c r="AG126" s="5"/>
      <c r="AH126" s="5"/>
      <c r="AI126" s="5"/>
      <c r="AJ126" s="5" t="s">
        <v>35</v>
      </c>
      <c r="AK126" s="5" t="s">
        <v>36</v>
      </c>
      <c r="AL126" s="5"/>
      <c r="AM126" s="5"/>
      <c r="AN126" s="5"/>
      <c r="AO126" s="5"/>
      <c r="AP126" s="5" t="s">
        <v>39</v>
      </c>
      <c r="AQ126" s="5"/>
      <c r="AR126" s="5"/>
      <c r="AS126" s="5"/>
      <c r="AT126" s="5"/>
      <c r="AU126" s="5"/>
      <c r="AV126" s="5"/>
      <c r="AW126" s="5"/>
      <c r="AX126" s="5"/>
      <c r="AY126" s="5"/>
      <c r="AZ126" s="5"/>
      <c r="BA126" s="5"/>
      <c r="BB126" s="5"/>
      <c r="BC126" s="5" t="s">
        <v>50</v>
      </c>
      <c r="BD126" s="5" t="s">
        <v>51</v>
      </c>
      <c r="BE126" s="5"/>
      <c r="BF126" s="5"/>
      <c r="BG126" s="5"/>
      <c r="BH126" s="5"/>
      <c r="BI126" s="5"/>
      <c r="BJ126" s="5"/>
      <c r="BK126" s="5"/>
      <c r="BL126" s="5"/>
      <c r="BM126" s="5" t="s">
        <v>59</v>
      </c>
      <c r="BN126" s="5"/>
      <c r="BO126" s="5"/>
      <c r="BP126" s="5"/>
      <c r="BQ126" s="5"/>
      <c r="BR126" s="5"/>
      <c r="BS126" s="5"/>
      <c r="BT126" s="5"/>
      <c r="BU126" s="5" t="s">
        <v>64</v>
      </c>
      <c r="BV126" s="5"/>
      <c r="BW126" s="5"/>
      <c r="BX126" s="5"/>
      <c r="BY126" s="5"/>
      <c r="BZ126" s="5"/>
      <c r="CA126" s="5"/>
      <c r="CB126" s="5"/>
      <c r="CC126" s="5"/>
      <c r="CD126" s="5"/>
      <c r="CE126" s="5"/>
      <c r="CF126" s="5"/>
      <c r="CG126" s="5"/>
      <c r="CH126" s="5"/>
      <c r="CI126" s="5" t="s">
        <v>414</v>
      </c>
      <c r="CJ126" s="5">
        <v>18</v>
      </c>
      <c r="CK126" s="5" t="s">
        <v>141</v>
      </c>
      <c r="CL126" s="5" t="s">
        <v>164</v>
      </c>
      <c r="CM126" s="5" t="s">
        <v>418</v>
      </c>
      <c r="CN126" s="5"/>
      <c r="CO126" s="5" t="s">
        <v>82</v>
      </c>
      <c r="CP126" s="5" t="s">
        <v>94</v>
      </c>
      <c r="CQ126" s="5" t="s">
        <v>104</v>
      </c>
      <c r="CR126" s="5"/>
      <c r="CS126" s="5" t="s">
        <v>86</v>
      </c>
      <c r="CT126" s="5"/>
      <c r="CU126" s="5"/>
      <c r="CV126" s="5"/>
      <c r="CW126" s="5"/>
      <c r="CX126" s="5"/>
      <c r="CY126" s="5"/>
      <c r="CZ126" s="5"/>
      <c r="DA126" s="5"/>
    </row>
    <row r="127" spans="1:105">
      <c r="A127" s="5">
        <v>18022518632</v>
      </c>
      <c r="B127" s="5"/>
      <c r="C127" s="5"/>
      <c r="D127" s="5" t="s">
        <v>18</v>
      </c>
      <c r="E127" s="5"/>
      <c r="F127" s="5"/>
      <c r="G127" s="5"/>
      <c r="H127" s="5"/>
      <c r="I127" s="5"/>
      <c r="J127" s="5"/>
      <c r="K127" s="5" t="s">
        <v>25</v>
      </c>
      <c r="L127" s="5" t="s">
        <v>26</v>
      </c>
      <c r="M127" s="5"/>
      <c r="N127" s="5"/>
      <c r="O127" s="5"/>
      <c r="P127" s="5"/>
      <c r="Q127" s="5"/>
      <c r="R127" s="5"/>
      <c r="S127" s="5"/>
      <c r="T127" s="5"/>
      <c r="U127" s="5"/>
      <c r="V127" s="5"/>
      <c r="W127" s="5"/>
      <c r="X127" s="5"/>
      <c r="Y127" s="5" t="s">
        <v>25</v>
      </c>
      <c r="Z127" s="5"/>
      <c r="AA127" s="5"/>
      <c r="AB127" s="5"/>
      <c r="AC127" s="5"/>
      <c r="AD127" s="5"/>
      <c r="AE127" s="5" t="s">
        <v>30</v>
      </c>
      <c r="AF127" s="5"/>
      <c r="AG127" s="5"/>
      <c r="AH127" s="5"/>
      <c r="AI127" s="5"/>
      <c r="AJ127" s="5"/>
      <c r="AK127" s="5"/>
      <c r="AL127" s="5"/>
      <c r="AM127" s="5"/>
      <c r="AN127" s="5"/>
      <c r="AO127" s="5"/>
      <c r="AP127" s="5" t="s">
        <v>39</v>
      </c>
      <c r="AQ127" s="5"/>
      <c r="AR127" s="5"/>
      <c r="AS127" s="5"/>
      <c r="AT127" s="5"/>
      <c r="AU127" s="5"/>
      <c r="AV127" s="5"/>
      <c r="AW127" s="5"/>
      <c r="AX127" s="5"/>
      <c r="AY127" s="5"/>
      <c r="AZ127" s="5"/>
      <c r="BA127" s="5"/>
      <c r="BB127" s="5"/>
      <c r="BC127" s="5" t="s">
        <v>50</v>
      </c>
      <c r="BD127" s="5" t="s">
        <v>51</v>
      </c>
      <c r="BE127" s="5"/>
      <c r="BF127" s="5"/>
      <c r="BG127" s="5"/>
      <c r="BH127" s="5"/>
      <c r="BI127" s="5"/>
      <c r="BJ127" s="5"/>
      <c r="BK127" s="5"/>
      <c r="BL127" s="5"/>
      <c r="BM127" s="5" t="s">
        <v>59</v>
      </c>
      <c r="BN127" s="5"/>
      <c r="BO127" s="5"/>
      <c r="BP127" s="5"/>
      <c r="BQ127" s="5" t="s">
        <v>61</v>
      </c>
      <c r="BR127" s="5"/>
      <c r="BS127" s="5"/>
      <c r="BT127" s="5"/>
      <c r="BU127" s="5" t="s">
        <v>64</v>
      </c>
      <c r="BV127" s="5"/>
      <c r="BW127" s="5"/>
      <c r="BX127" s="5"/>
      <c r="BY127" s="5"/>
      <c r="BZ127" s="5"/>
      <c r="CA127" s="5"/>
      <c r="CB127" s="5"/>
      <c r="CC127" s="5"/>
      <c r="CD127" s="5"/>
      <c r="CE127" s="5"/>
      <c r="CF127" s="5"/>
      <c r="CG127" s="5"/>
      <c r="CH127" s="5"/>
      <c r="CI127" s="5" t="s">
        <v>414</v>
      </c>
      <c r="CJ127" s="5">
        <v>18</v>
      </c>
      <c r="CK127" s="5" t="s">
        <v>141</v>
      </c>
      <c r="CL127" s="5" t="s">
        <v>156</v>
      </c>
      <c r="CM127" s="5" t="s">
        <v>418</v>
      </c>
      <c r="CN127" s="5" t="s">
        <v>419</v>
      </c>
      <c r="CO127" s="5" t="s">
        <v>82</v>
      </c>
      <c r="CP127" s="5"/>
      <c r="CQ127" s="5" t="s">
        <v>104</v>
      </c>
      <c r="CR127" s="5" t="s">
        <v>89</v>
      </c>
      <c r="CS127" s="5" t="s">
        <v>86</v>
      </c>
      <c r="CT127" s="5"/>
      <c r="CU127" s="5"/>
      <c r="CV127" s="5"/>
      <c r="CW127" s="5"/>
      <c r="CX127" s="5"/>
      <c r="CY127" s="5"/>
      <c r="CZ127" s="5"/>
      <c r="DA127" s="5"/>
    </row>
    <row r="128" spans="1:105">
      <c r="A128" s="5">
        <v>18022518486</v>
      </c>
      <c r="B128" s="5"/>
      <c r="C128" s="5"/>
      <c r="D128" s="5"/>
      <c r="E128" s="5"/>
      <c r="F128" s="5"/>
      <c r="G128" s="5"/>
      <c r="H128" s="5"/>
      <c r="I128" s="5"/>
      <c r="J128" s="5"/>
      <c r="K128" s="5" t="s">
        <v>25</v>
      </c>
      <c r="L128" s="5"/>
      <c r="M128" s="5"/>
      <c r="N128" s="5" t="s">
        <v>28</v>
      </c>
      <c r="O128" s="5"/>
      <c r="P128" s="5"/>
      <c r="Q128" s="5"/>
      <c r="R128" s="5"/>
      <c r="S128" s="5"/>
      <c r="T128" s="5"/>
      <c r="U128" s="5"/>
      <c r="V128" s="5"/>
      <c r="W128" s="5"/>
      <c r="X128" s="5"/>
      <c r="Y128" s="5" t="s">
        <v>25</v>
      </c>
      <c r="Z128" s="5"/>
      <c r="AA128" s="5"/>
      <c r="AB128" s="5" t="s">
        <v>28</v>
      </c>
      <c r="AC128" s="5"/>
      <c r="AD128" s="5"/>
      <c r="AE128" s="5"/>
      <c r="AF128" s="5"/>
      <c r="AG128" s="5"/>
      <c r="AH128" s="5"/>
      <c r="AI128" s="5"/>
      <c r="AJ128" s="5" t="s">
        <v>35</v>
      </c>
      <c r="AK128" s="5"/>
      <c r="AL128" s="5"/>
      <c r="AM128" s="5"/>
      <c r="AN128" s="5"/>
      <c r="AO128" s="5"/>
      <c r="AP128" s="5"/>
      <c r="AQ128" s="5"/>
      <c r="AR128" s="5" t="s">
        <v>41</v>
      </c>
      <c r="AS128" s="5"/>
      <c r="AT128" s="5"/>
      <c r="AU128" s="5"/>
      <c r="AV128" s="5" t="s">
        <v>44</v>
      </c>
      <c r="AW128" s="5"/>
      <c r="AX128" s="5"/>
      <c r="AY128" s="5" t="s">
        <v>47</v>
      </c>
      <c r="AZ128" s="5"/>
      <c r="BA128" s="5"/>
      <c r="BB128" s="5"/>
      <c r="BC128" s="5" t="s">
        <v>50</v>
      </c>
      <c r="BD128" s="5" t="s">
        <v>51</v>
      </c>
      <c r="BE128" s="5"/>
      <c r="BF128" s="5"/>
      <c r="BG128" s="5" t="s">
        <v>53</v>
      </c>
      <c r="BH128" s="5"/>
      <c r="BI128" s="5" t="s">
        <v>55</v>
      </c>
      <c r="BJ128" s="5"/>
      <c r="BK128" s="5"/>
      <c r="BL128" s="5"/>
      <c r="BM128" s="5" t="s">
        <v>59</v>
      </c>
      <c r="BN128" s="5"/>
      <c r="BO128" s="5"/>
      <c r="BP128" s="5"/>
      <c r="BQ128" s="5"/>
      <c r="BR128" s="5"/>
      <c r="BS128" s="5"/>
      <c r="BT128" s="5"/>
      <c r="BU128" s="5" t="s">
        <v>64</v>
      </c>
      <c r="BV128" s="5"/>
      <c r="BW128" s="5"/>
      <c r="BX128" s="5" t="s">
        <v>67</v>
      </c>
      <c r="BY128" s="5"/>
      <c r="BZ128" s="5"/>
      <c r="CA128" s="5"/>
      <c r="CB128" s="5"/>
      <c r="CC128" s="5"/>
      <c r="CD128" s="5"/>
      <c r="CE128" s="5"/>
      <c r="CF128" s="5" t="s">
        <v>75</v>
      </c>
      <c r="CG128" s="5" t="s">
        <v>76</v>
      </c>
      <c r="CH128" s="5"/>
      <c r="CI128" s="5" t="s">
        <v>414</v>
      </c>
      <c r="CJ128" s="5">
        <v>18</v>
      </c>
      <c r="CK128" s="5" t="s">
        <v>141</v>
      </c>
      <c r="CL128" s="5" t="s">
        <v>171</v>
      </c>
      <c r="CM128" s="5" t="s">
        <v>418</v>
      </c>
      <c r="CN128" s="5" t="s">
        <v>416</v>
      </c>
      <c r="CO128" s="5" t="s">
        <v>427</v>
      </c>
      <c r="CP128" s="5"/>
      <c r="CQ128" s="5" t="s">
        <v>104</v>
      </c>
      <c r="CR128" s="5" t="s">
        <v>85</v>
      </c>
      <c r="CS128" s="5" t="s">
        <v>86</v>
      </c>
      <c r="CT128" s="5"/>
      <c r="CU128" s="5"/>
      <c r="CV128" s="5"/>
      <c r="CW128" s="5"/>
      <c r="CX128" s="5"/>
      <c r="CY128" s="5"/>
      <c r="CZ128" s="5"/>
      <c r="DA128" s="5"/>
    </row>
    <row r="129" spans="1:105">
      <c r="A129" s="5">
        <v>18022518320</v>
      </c>
      <c r="B129" s="5"/>
      <c r="C129" s="5"/>
      <c r="D129" s="5" t="s">
        <v>18</v>
      </c>
      <c r="E129" s="5"/>
      <c r="F129" s="5"/>
      <c r="G129" s="5"/>
      <c r="H129" s="5"/>
      <c r="I129" s="5"/>
      <c r="J129" s="5" t="s">
        <v>24</v>
      </c>
      <c r="K129" s="5" t="s">
        <v>25</v>
      </c>
      <c r="L129" s="5"/>
      <c r="M129" s="5"/>
      <c r="N129" s="5"/>
      <c r="O129" s="5"/>
      <c r="P129" s="5" t="s">
        <v>16</v>
      </c>
      <c r="Q129" s="5"/>
      <c r="R129" s="5"/>
      <c r="S129" s="5"/>
      <c r="T129" s="5"/>
      <c r="U129" s="5"/>
      <c r="V129" s="5"/>
      <c r="W129" s="5"/>
      <c r="X129" s="5" t="s">
        <v>24</v>
      </c>
      <c r="Y129" s="5" t="s">
        <v>25</v>
      </c>
      <c r="Z129" s="5"/>
      <c r="AA129" s="5"/>
      <c r="AB129" s="5"/>
      <c r="AC129" s="5"/>
      <c r="AD129" s="5"/>
      <c r="AE129" s="5"/>
      <c r="AF129" s="5" t="s">
        <v>31</v>
      </c>
      <c r="AG129" s="5"/>
      <c r="AH129" s="5"/>
      <c r="AI129" s="5"/>
      <c r="AJ129" s="5"/>
      <c r="AK129" s="5" t="s">
        <v>36</v>
      </c>
      <c r="AL129" s="5" t="s">
        <v>37</v>
      </c>
      <c r="AM129" s="5"/>
      <c r="AN129" s="5"/>
      <c r="AO129" s="5"/>
      <c r="AP129" s="5" t="s">
        <v>39</v>
      </c>
      <c r="AQ129" s="5"/>
      <c r="AR129" s="5" t="s">
        <v>41</v>
      </c>
      <c r="AS129" s="5"/>
      <c r="AT129" s="5"/>
      <c r="AU129" s="5"/>
      <c r="AV129" s="5" t="s">
        <v>44</v>
      </c>
      <c r="AW129" s="5"/>
      <c r="AX129" s="5"/>
      <c r="AY129" s="5"/>
      <c r="AZ129" s="5"/>
      <c r="BA129" s="5"/>
      <c r="BB129" s="5"/>
      <c r="BC129" s="5"/>
      <c r="BD129" s="5" t="s">
        <v>51</v>
      </c>
      <c r="BE129" s="5"/>
      <c r="BF129" s="5"/>
      <c r="BG129" s="5"/>
      <c r="BH129" s="5"/>
      <c r="BI129" s="5" t="s">
        <v>55</v>
      </c>
      <c r="BJ129" s="5"/>
      <c r="BK129" s="5"/>
      <c r="BL129" s="5"/>
      <c r="BM129" s="5" t="s">
        <v>59</v>
      </c>
      <c r="BN129" s="5"/>
      <c r="BO129" s="5"/>
      <c r="BP129" s="5"/>
      <c r="BQ129" s="5"/>
      <c r="BR129" s="5"/>
      <c r="BS129" s="5"/>
      <c r="BT129" s="5"/>
      <c r="BU129" s="5" t="s">
        <v>64</v>
      </c>
      <c r="BV129" s="5"/>
      <c r="BW129" s="5"/>
      <c r="BX129" s="5"/>
      <c r="BY129" s="5"/>
      <c r="BZ129" s="5"/>
      <c r="CA129" s="5" t="s">
        <v>70</v>
      </c>
      <c r="CB129" s="5"/>
      <c r="CC129" s="5"/>
      <c r="CD129" s="5"/>
      <c r="CE129" s="5"/>
      <c r="CF129" s="5"/>
      <c r="CG129" s="5"/>
      <c r="CH129" s="5"/>
      <c r="CI129" s="5" t="s">
        <v>417</v>
      </c>
      <c r="CJ129" s="5">
        <v>18</v>
      </c>
      <c r="CK129" s="5" t="s">
        <v>141</v>
      </c>
      <c r="CL129" s="5" t="s">
        <v>171</v>
      </c>
      <c r="CM129" s="5" t="s">
        <v>418</v>
      </c>
      <c r="CN129" s="5" t="s">
        <v>419</v>
      </c>
      <c r="CO129" s="5" t="s">
        <v>82</v>
      </c>
      <c r="CP129" s="5" t="s">
        <v>93</v>
      </c>
      <c r="CQ129" s="5" t="s">
        <v>104</v>
      </c>
      <c r="CR129" s="5"/>
      <c r="CS129" s="5" t="s">
        <v>86</v>
      </c>
      <c r="CT129" s="5"/>
      <c r="CU129" s="5"/>
      <c r="CV129" s="5"/>
      <c r="CW129" s="5"/>
      <c r="CX129" s="5"/>
      <c r="CY129" s="5"/>
      <c r="CZ129" s="5"/>
      <c r="DA129" s="5"/>
    </row>
    <row r="130" spans="1:105">
      <c r="A130" s="5">
        <v>18022518124</v>
      </c>
      <c r="B130" s="5"/>
      <c r="C130" s="5" t="s">
        <v>17</v>
      </c>
      <c r="D130" s="5"/>
      <c r="E130" s="5"/>
      <c r="F130" s="5"/>
      <c r="G130" s="5"/>
      <c r="H130" s="5"/>
      <c r="I130" s="5"/>
      <c r="J130" s="5" t="s">
        <v>24</v>
      </c>
      <c r="K130" s="5" t="s">
        <v>25</v>
      </c>
      <c r="L130" s="5"/>
      <c r="M130" s="5"/>
      <c r="N130" s="5"/>
      <c r="O130" s="5"/>
      <c r="P130" s="5"/>
      <c r="Q130" s="5" t="s">
        <v>17</v>
      </c>
      <c r="R130" s="5"/>
      <c r="S130" s="5"/>
      <c r="T130" s="5"/>
      <c r="U130" s="5"/>
      <c r="V130" s="5"/>
      <c r="W130" s="5"/>
      <c r="X130" s="5"/>
      <c r="Y130" s="5" t="s">
        <v>25</v>
      </c>
      <c r="Z130" s="5" t="s">
        <v>26</v>
      </c>
      <c r="AA130" s="5"/>
      <c r="AB130" s="5"/>
      <c r="AC130" s="5"/>
      <c r="AD130" s="5" t="s">
        <v>29</v>
      </c>
      <c r="AE130" s="5"/>
      <c r="AF130" s="5"/>
      <c r="AG130" s="5"/>
      <c r="AH130" s="5"/>
      <c r="AI130" s="5"/>
      <c r="AJ130" s="5" t="s">
        <v>35</v>
      </c>
      <c r="AK130" s="5"/>
      <c r="AL130" s="5"/>
      <c r="AM130" s="5" t="s">
        <v>375</v>
      </c>
      <c r="AN130" s="5"/>
      <c r="AO130" s="5"/>
      <c r="AP130" s="5" t="s">
        <v>39</v>
      </c>
      <c r="AQ130" s="5"/>
      <c r="AR130" s="5" t="s">
        <v>41</v>
      </c>
      <c r="AS130" s="5"/>
      <c r="AT130" s="5"/>
      <c r="AU130" s="5"/>
      <c r="AV130" s="5"/>
      <c r="AW130" s="5"/>
      <c r="AX130" s="5" t="s">
        <v>46</v>
      </c>
      <c r="AY130" s="5"/>
      <c r="AZ130" s="5"/>
      <c r="BA130" s="5"/>
      <c r="BB130" s="5"/>
      <c r="BC130" s="5"/>
      <c r="BD130" s="5" t="s">
        <v>51</v>
      </c>
      <c r="BE130" s="5" t="s">
        <v>17</v>
      </c>
      <c r="BF130" s="5"/>
      <c r="BG130" s="5"/>
      <c r="BH130" s="5"/>
      <c r="BI130" s="5"/>
      <c r="BJ130" s="5"/>
      <c r="BK130" s="5"/>
      <c r="BL130" s="5"/>
      <c r="BM130" s="5"/>
      <c r="BN130" s="5" t="s">
        <v>24</v>
      </c>
      <c r="BO130" s="5"/>
      <c r="BP130" s="5"/>
      <c r="BQ130" s="5"/>
      <c r="BR130" s="5"/>
      <c r="BS130" s="5"/>
      <c r="BT130" s="5"/>
      <c r="BU130" s="5"/>
      <c r="BV130" s="5"/>
      <c r="BW130" s="5"/>
      <c r="BX130" s="5" t="s">
        <v>67</v>
      </c>
      <c r="BY130" s="5" t="s">
        <v>68</v>
      </c>
      <c r="BZ130" s="5" t="s">
        <v>69</v>
      </c>
      <c r="CA130" s="5"/>
      <c r="CB130" s="5"/>
      <c r="CC130" s="5"/>
      <c r="CD130" s="5"/>
      <c r="CE130" s="5"/>
      <c r="CF130" s="5"/>
      <c r="CG130" s="5"/>
      <c r="CH130" s="5"/>
      <c r="CI130" s="5" t="s">
        <v>417</v>
      </c>
      <c r="CJ130" s="5">
        <v>42</v>
      </c>
      <c r="CK130" s="5" t="s">
        <v>80</v>
      </c>
      <c r="CL130" s="5" t="s">
        <v>114</v>
      </c>
      <c r="CM130" s="5" t="s">
        <v>418</v>
      </c>
      <c r="CN130" s="5"/>
      <c r="CO130" s="5" t="s">
        <v>82</v>
      </c>
      <c r="CP130" s="5" t="s">
        <v>83</v>
      </c>
      <c r="CQ130" s="5" t="s">
        <v>111</v>
      </c>
      <c r="CR130" s="5" t="s">
        <v>85</v>
      </c>
      <c r="CS130" s="5" t="s">
        <v>86</v>
      </c>
      <c r="CT130" s="5"/>
      <c r="CU130" s="5"/>
      <c r="CV130" s="5"/>
      <c r="CW130" s="5"/>
      <c r="CX130" s="5"/>
      <c r="CY130" s="5"/>
      <c r="CZ130" s="5"/>
      <c r="DA130" s="5"/>
    </row>
    <row r="131" spans="1:105">
      <c r="A131" s="5">
        <v>18022517936</v>
      </c>
      <c r="B131" s="5"/>
      <c r="C131" s="5" t="s">
        <v>17</v>
      </c>
      <c r="D131" s="5"/>
      <c r="E131" s="5"/>
      <c r="F131" s="5"/>
      <c r="G131" s="5"/>
      <c r="H131" s="5"/>
      <c r="I131" s="5"/>
      <c r="J131" s="5" t="s">
        <v>24</v>
      </c>
      <c r="K131" s="5" t="s">
        <v>25</v>
      </c>
      <c r="L131" s="5"/>
      <c r="M131" s="5"/>
      <c r="N131" s="5"/>
      <c r="O131" s="5"/>
      <c r="P131" s="5"/>
      <c r="Q131" s="5" t="s">
        <v>17</v>
      </c>
      <c r="R131" s="5"/>
      <c r="S131" s="5"/>
      <c r="T131" s="5"/>
      <c r="U131" s="5"/>
      <c r="V131" s="5"/>
      <c r="W131" s="5" t="s">
        <v>23</v>
      </c>
      <c r="X131" s="5"/>
      <c r="Y131" s="5" t="s">
        <v>25</v>
      </c>
      <c r="Z131" s="5"/>
      <c r="AA131" s="5"/>
      <c r="AB131" s="5"/>
      <c r="AC131" s="5"/>
      <c r="AD131" s="5"/>
      <c r="AE131" s="5"/>
      <c r="AF131" s="5" t="s">
        <v>31</v>
      </c>
      <c r="AG131" s="5"/>
      <c r="AH131" s="5"/>
      <c r="AI131" s="5"/>
      <c r="AJ131" s="5" t="s">
        <v>35</v>
      </c>
      <c r="AK131" s="5"/>
      <c r="AL131" s="5"/>
      <c r="AM131" s="5"/>
      <c r="AN131" s="5"/>
      <c r="AO131" s="5"/>
      <c r="AP131" s="5" t="s">
        <v>39</v>
      </c>
      <c r="AQ131" s="5"/>
      <c r="AR131" s="5"/>
      <c r="AS131" s="5"/>
      <c r="AT131" s="5"/>
      <c r="AU131" s="5" t="s">
        <v>43</v>
      </c>
      <c r="AV131" s="5"/>
      <c r="AW131" s="5"/>
      <c r="AX131" s="5" t="s">
        <v>46</v>
      </c>
      <c r="AY131" s="5"/>
      <c r="AZ131" s="5"/>
      <c r="BA131" s="5"/>
      <c r="BB131" s="5"/>
      <c r="BC131" s="5"/>
      <c r="BD131" s="5"/>
      <c r="BE131" s="5"/>
      <c r="BF131" s="5" t="s">
        <v>52</v>
      </c>
      <c r="BG131" s="5" t="s">
        <v>53</v>
      </c>
      <c r="BH131" s="5"/>
      <c r="BI131" s="5"/>
      <c r="BJ131" s="5"/>
      <c r="BK131" s="5"/>
      <c r="BL131" s="5"/>
      <c r="BM131" s="5" t="s">
        <v>59</v>
      </c>
      <c r="BN131" s="5"/>
      <c r="BO131" s="5"/>
      <c r="BP131" s="5"/>
      <c r="BQ131" s="5"/>
      <c r="BR131" s="5"/>
      <c r="BS131" s="5"/>
      <c r="BT131" s="5"/>
      <c r="BU131" s="5" t="s">
        <v>64</v>
      </c>
      <c r="BV131" s="5"/>
      <c r="BW131" s="5"/>
      <c r="BX131" s="5" t="s">
        <v>67</v>
      </c>
      <c r="BY131" s="5"/>
      <c r="BZ131" s="5"/>
      <c r="CA131" s="5"/>
      <c r="CB131" s="5"/>
      <c r="CC131" s="5"/>
      <c r="CD131" s="5" t="s">
        <v>73</v>
      </c>
      <c r="CE131" s="5"/>
      <c r="CF131" s="5" t="s">
        <v>75</v>
      </c>
      <c r="CG131" s="5"/>
      <c r="CH131" s="5"/>
      <c r="CI131" s="5" t="s">
        <v>414</v>
      </c>
      <c r="CJ131" s="5">
        <v>18</v>
      </c>
      <c r="CK131" s="5" t="s">
        <v>141</v>
      </c>
      <c r="CL131" s="5" t="s">
        <v>161</v>
      </c>
      <c r="CM131" s="5" t="s">
        <v>418</v>
      </c>
      <c r="CN131" s="5" t="s">
        <v>419</v>
      </c>
      <c r="CO131" s="5" t="s">
        <v>82</v>
      </c>
      <c r="CP131" s="5" t="s">
        <v>94</v>
      </c>
      <c r="CQ131" s="5" t="s">
        <v>95</v>
      </c>
      <c r="CR131" s="5"/>
      <c r="CS131" s="5" t="s">
        <v>86</v>
      </c>
      <c r="CT131" s="5"/>
      <c r="CU131" s="5"/>
      <c r="CV131" s="5"/>
      <c r="CW131" s="5"/>
      <c r="CX131" s="5"/>
      <c r="CY131" s="5"/>
      <c r="CZ131" s="5"/>
      <c r="DA131" s="5"/>
    </row>
    <row r="132" spans="1:105">
      <c r="A132" s="5">
        <v>18022517728</v>
      </c>
      <c r="B132" s="5"/>
      <c r="C132" s="5"/>
      <c r="D132" s="5" t="s">
        <v>18</v>
      </c>
      <c r="E132" s="5"/>
      <c r="F132" s="5"/>
      <c r="G132" s="5"/>
      <c r="H132" s="5"/>
      <c r="I132" s="5"/>
      <c r="J132" s="5" t="s">
        <v>24</v>
      </c>
      <c r="K132" s="5" t="s">
        <v>25</v>
      </c>
      <c r="L132" s="5"/>
      <c r="M132" s="5"/>
      <c r="N132" s="5" t="s">
        <v>28</v>
      </c>
      <c r="O132" s="5"/>
      <c r="P132" s="5"/>
      <c r="Q132" s="5"/>
      <c r="R132" s="5" t="s">
        <v>18</v>
      </c>
      <c r="S132" s="5"/>
      <c r="T132" s="5"/>
      <c r="U132" s="5"/>
      <c r="V132" s="5"/>
      <c r="W132" s="5"/>
      <c r="X132" s="5"/>
      <c r="Y132" s="5" t="s">
        <v>25</v>
      </c>
      <c r="Z132" s="5"/>
      <c r="AA132" s="5"/>
      <c r="AB132" s="5" t="s">
        <v>28</v>
      </c>
      <c r="AC132" s="5"/>
      <c r="AD132" s="5"/>
      <c r="AE132" s="5"/>
      <c r="AF132" s="5"/>
      <c r="AG132" s="5" t="s">
        <v>32</v>
      </c>
      <c r="AH132" s="5"/>
      <c r="AI132" s="5"/>
      <c r="AJ132" s="5" t="s">
        <v>35</v>
      </c>
      <c r="AK132" s="5" t="s">
        <v>36</v>
      </c>
      <c r="AL132" s="5"/>
      <c r="AM132" s="5"/>
      <c r="AN132" s="5"/>
      <c r="AO132" s="5"/>
      <c r="AP132" s="5" t="s">
        <v>39</v>
      </c>
      <c r="AQ132" s="5"/>
      <c r="AR132" s="5"/>
      <c r="AS132" s="5"/>
      <c r="AT132" s="5"/>
      <c r="AU132" s="5" t="s">
        <v>43</v>
      </c>
      <c r="AV132" s="5"/>
      <c r="AW132" s="5" t="s">
        <v>45</v>
      </c>
      <c r="AX132" s="5"/>
      <c r="AY132" s="5"/>
      <c r="AZ132" s="5"/>
      <c r="BA132" s="5"/>
      <c r="BB132" s="5" t="s">
        <v>49</v>
      </c>
      <c r="BC132" s="5" t="s">
        <v>50</v>
      </c>
      <c r="BD132" s="5"/>
      <c r="BE132" s="5"/>
      <c r="BF132" s="5"/>
      <c r="BG132" s="5" t="s">
        <v>53</v>
      </c>
      <c r="BH132" s="5" t="s">
        <v>54</v>
      </c>
      <c r="BI132" s="5" t="s">
        <v>55</v>
      </c>
      <c r="BJ132" s="5" t="s">
        <v>56</v>
      </c>
      <c r="BK132" s="5"/>
      <c r="BL132" s="5" t="s">
        <v>58</v>
      </c>
      <c r="BM132" s="5"/>
      <c r="BN132" s="5" t="s">
        <v>24</v>
      </c>
      <c r="BO132" s="5"/>
      <c r="BP132" s="5"/>
      <c r="BQ132" s="5"/>
      <c r="BR132" s="5"/>
      <c r="BS132" s="5"/>
      <c r="BT132" s="5"/>
      <c r="BU132" s="5" t="s">
        <v>64</v>
      </c>
      <c r="BV132" s="5"/>
      <c r="BW132" s="5"/>
      <c r="BX132" s="5"/>
      <c r="BY132" s="5"/>
      <c r="BZ132" s="5"/>
      <c r="CA132" s="5" t="s">
        <v>70</v>
      </c>
      <c r="CB132" s="5"/>
      <c r="CC132" s="5"/>
      <c r="CD132" s="5"/>
      <c r="CE132" s="5"/>
      <c r="CF132" s="5"/>
      <c r="CG132" s="5"/>
      <c r="CH132" s="5"/>
      <c r="CI132" s="5" t="s">
        <v>414</v>
      </c>
      <c r="CJ132" s="5">
        <v>18</v>
      </c>
      <c r="CK132" s="5" t="s">
        <v>141</v>
      </c>
      <c r="CL132" s="5" t="s">
        <v>171</v>
      </c>
      <c r="CM132" s="5" t="s">
        <v>418</v>
      </c>
      <c r="CN132" s="5" t="s">
        <v>416</v>
      </c>
      <c r="CO132" s="5" t="s">
        <v>82</v>
      </c>
      <c r="CP132" s="5" t="s">
        <v>90</v>
      </c>
      <c r="CQ132" s="5" t="s">
        <v>95</v>
      </c>
      <c r="CR132" s="5" t="s">
        <v>89</v>
      </c>
      <c r="CS132" s="5" t="s">
        <v>86</v>
      </c>
      <c r="CT132" s="5"/>
      <c r="CU132" s="5"/>
      <c r="CV132" s="5"/>
      <c r="CW132" s="5"/>
      <c r="CX132" s="5"/>
      <c r="CY132" s="5"/>
      <c r="CZ132" s="5"/>
      <c r="DA132" s="5"/>
    </row>
    <row r="133" spans="1:105">
      <c r="A133" s="5">
        <v>18022517350</v>
      </c>
      <c r="B133" s="5"/>
      <c r="C133" s="5"/>
      <c r="D133" s="5" t="s">
        <v>18</v>
      </c>
      <c r="E133" s="5"/>
      <c r="F133" s="5"/>
      <c r="G133" s="5"/>
      <c r="H133" s="5"/>
      <c r="I133" s="5"/>
      <c r="J133" s="5"/>
      <c r="K133" s="5" t="s">
        <v>25</v>
      </c>
      <c r="L133" s="5" t="s">
        <v>26</v>
      </c>
      <c r="M133" s="5"/>
      <c r="N133" s="5"/>
      <c r="O133" s="5"/>
      <c r="P133" s="5"/>
      <c r="Q133" s="5" t="s">
        <v>17</v>
      </c>
      <c r="R133" s="5" t="s">
        <v>18</v>
      </c>
      <c r="S133" s="5"/>
      <c r="T133" s="5"/>
      <c r="U133" s="5"/>
      <c r="V133" s="5"/>
      <c r="W133" s="5"/>
      <c r="X133" s="5" t="s">
        <v>24</v>
      </c>
      <c r="Y133" s="5"/>
      <c r="Z133" s="5"/>
      <c r="AA133" s="5"/>
      <c r="AB133" s="5"/>
      <c r="AC133" s="5"/>
      <c r="AD133" s="5"/>
      <c r="AE133" s="5"/>
      <c r="AF133" s="5" t="s">
        <v>31</v>
      </c>
      <c r="AG133" s="5"/>
      <c r="AH133" s="5"/>
      <c r="AI133" s="5"/>
      <c r="AJ133" s="5"/>
      <c r="AK133" s="5" t="s">
        <v>36</v>
      </c>
      <c r="AL133" s="5"/>
      <c r="AM133" s="5"/>
      <c r="AN133" s="5"/>
      <c r="AO133" s="5"/>
      <c r="AP133" s="5"/>
      <c r="AQ133" s="5"/>
      <c r="AR133" s="5"/>
      <c r="AS133" s="5"/>
      <c r="AT133" s="5"/>
      <c r="AU133" s="5"/>
      <c r="AV133" s="5" t="s">
        <v>44</v>
      </c>
      <c r="AW133" s="5"/>
      <c r="AX133" s="5"/>
      <c r="AY133" s="5"/>
      <c r="AZ133" s="5"/>
      <c r="BA133" s="5"/>
      <c r="BB133" s="5"/>
      <c r="BC133" s="5"/>
      <c r="BD133" s="5"/>
      <c r="BE133" s="5"/>
      <c r="BF133" s="5" t="s">
        <v>52</v>
      </c>
      <c r="BG133" s="5"/>
      <c r="BH133" s="5"/>
      <c r="BI133" s="5"/>
      <c r="BJ133" s="5"/>
      <c r="BK133" s="5"/>
      <c r="BL133" s="5"/>
      <c r="BM133" s="5" t="s">
        <v>59</v>
      </c>
      <c r="BN133" s="5"/>
      <c r="BO133" s="5"/>
      <c r="BP133" s="5"/>
      <c r="BQ133" s="5"/>
      <c r="BR133" s="5" t="s">
        <v>62</v>
      </c>
      <c r="BS133" s="5"/>
      <c r="BT133" s="5"/>
      <c r="BU133" s="5" t="s">
        <v>64</v>
      </c>
      <c r="BV133" s="5"/>
      <c r="BW133" s="5" t="s">
        <v>66</v>
      </c>
      <c r="BX133" s="5" t="s">
        <v>67</v>
      </c>
      <c r="BY133" s="5"/>
      <c r="BZ133" s="5" t="s">
        <v>69</v>
      </c>
      <c r="CA133" s="5"/>
      <c r="CB133" s="5"/>
      <c r="CC133" s="5"/>
      <c r="CD133" s="5"/>
      <c r="CE133" s="5"/>
      <c r="CF133" s="5"/>
      <c r="CG133" s="5"/>
      <c r="CH133" s="5"/>
      <c r="CI133" s="5" t="s">
        <v>414</v>
      </c>
      <c r="CJ133" s="5">
        <v>18</v>
      </c>
      <c r="CK133" s="5" t="s">
        <v>141</v>
      </c>
      <c r="CL133" s="5" t="s">
        <v>171</v>
      </c>
      <c r="CM133" s="5" t="s">
        <v>418</v>
      </c>
      <c r="CN133" s="5" t="s">
        <v>419</v>
      </c>
      <c r="CO133" s="5" t="s">
        <v>82</v>
      </c>
      <c r="CP133" s="5" t="s">
        <v>83</v>
      </c>
      <c r="CQ133" s="5" t="s">
        <v>95</v>
      </c>
      <c r="CR133" s="5" t="s">
        <v>89</v>
      </c>
      <c r="CS133" s="5" t="s">
        <v>86</v>
      </c>
      <c r="CT133" s="5"/>
      <c r="CU133" s="5"/>
      <c r="CV133" s="5"/>
      <c r="CW133" s="5"/>
      <c r="CX133" s="5"/>
      <c r="CY133" s="5"/>
      <c r="CZ133" s="5"/>
      <c r="DA133" s="5"/>
    </row>
    <row r="134" spans="1:105">
      <c r="A134" s="5">
        <v>18022517003</v>
      </c>
      <c r="B134" s="5"/>
      <c r="C134" s="5"/>
      <c r="D134" s="5"/>
      <c r="E134" s="5"/>
      <c r="F134" s="5"/>
      <c r="G134" s="5"/>
      <c r="H134" s="5"/>
      <c r="I134" s="5"/>
      <c r="J134" s="5"/>
      <c r="K134" s="5"/>
      <c r="L134" s="5" t="s">
        <v>26</v>
      </c>
      <c r="M134" s="5"/>
      <c r="N134" s="5"/>
      <c r="O134" s="5"/>
      <c r="P134" s="5"/>
      <c r="Q134" s="5"/>
      <c r="R134" s="5"/>
      <c r="S134" s="5"/>
      <c r="T134" s="5"/>
      <c r="U134" s="5"/>
      <c r="V134" s="5"/>
      <c r="W134" s="5"/>
      <c r="X134" s="5"/>
      <c r="Y134" s="5" t="s">
        <v>25</v>
      </c>
      <c r="Z134" s="5"/>
      <c r="AA134" s="5"/>
      <c r="AB134" s="5"/>
      <c r="AC134" s="5"/>
      <c r="AD134" s="5"/>
      <c r="AE134" s="5"/>
      <c r="AF134" s="5"/>
      <c r="AG134" s="5"/>
      <c r="AH134" s="5"/>
      <c r="AI134" s="5" t="s">
        <v>34</v>
      </c>
      <c r="AJ134" s="5"/>
      <c r="AK134" s="5"/>
      <c r="AL134" s="5"/>
      <c r="AM134" s="5"/>
      <c r="AN134" s="5"/>
      <c r="AO134" s="5"/>
      <c r="AP134" s="5"/>
      <c r="AQ134" s="5"/>
      <c r="AR134" s="5"/>
      <c r="AS134" s="5"/>
      <c r="AT134" s="5" t="s">
        <v>37</v>
      </c>
      <c r="AU134" s="5"/>
      <c r="AV134" s="5"/>
      <c r="AW134" s="5" t="s">
        <v>45</v>
      </c>
      <c r="AX134" s="5"/>
      <c r="AY134" s="5"/>
      <c r="AZ134" s="5"/>
      <c r="BA134" s="5"/>
      <c r="BB134" s="5"/>
      <c r="BC134" s="5"/>
      <c r="BD134" s="5"/>
      <c r="BE134" s="5"/>
      <c r="BF134" s="5"/>
      <c r="BG134" s="5" t="s">
        <v>53</v>
      </c>
      <c r="BH134" s="5"/>
      <c r="BI134" s="5"/>
      <c r="BJ134" s="5"/>
      <c r="BK134" s="5"/>
      <c r="BL134" s="5"/>
      <c r="BM134" s="5"/>
      <c r="BN134" s="5"/>
      <c r="BO134" s="5"/>
      <c r="BP134" s="5"/>
      <c r="BQ134" s="5"/>
      <c r="BR134" s="5"/>
      <c r="BS134" s="5" t="s">
        <v>63</v>
      </c>
      <c r="BT134" s="5"/>
      <c r="BU134" s="5" t="s">
        <v>64</v>
      </c>
      <c r="BV134" s="5"/>
      <c r="BW134" s="5"/>
      <c r="BX134" s="5"/>
      <c r="BY134" s="5"/>
      <c r="BZ134" s="5"/>
      <c r="CA134" s="5"/>
      <c r="CB134" s="5"/>
      <c r="CC134" s="5"/>
      <c r="CD134" s="5"/>
      <c r="CE134" s="5"/>
      <c r="CF134" s="5" t="s">
        <v>75</v>
      </c>
      <c r="CG134" s="5"/>
      <c r="CH134" s="5"/>
      <c r="CI134" s="5" t="s">
        <v>417</v>
      </c>
      <c r="CJ134" s="5">
        <v>52</v>
      </c>
      <c r="CK134" s="5" t="s">
        <v>141</v>
      </c>
      <c r="CL134" s="5" t="s">
        <v>150</v>
      </c>
      <c r="CM134" s="5" t="s">
        <v>418</v>
      </c>
      <c r="CN134" s="5" t="s">
        <v>419</v>
      </c>
      <c r="CO134" s="5" t="s">
        <v>82</v>
      </c>
      <c r="CP134" s="5" t="s">
        <v>83</v>
      </c>
      <c r="CQ134" s="5" t="s">
        <v>103</v>
      </c>
      <c r="CR134" s="5" t="s">
        <v>85</v>
      </c>
      <c r="CS134" s="5" t="s">
        <v>86</v>
      </c>
      <c r="CT134" s="5" t="s">
        <v>384</v>
      </c>
      <c r="CU134" s="5"/>
      <c r="CV134" s="5"/>
      <c r="CW134" s="5"/>
      <c r="CX134" s="5"/>
      <c r="CY134" s="5"/>
      <c r="CZ134" s="5"/>
      <c r="DA134" s="5"/>
    </row>
    <row r="135" spans="1:105">
      <c r="A135" s="5">
        <v>18022515327</v>
      </c>
      <c r="B135" s="5"/>
      <c r="C135" s="5" t="s">
        <v>17</v>
      </c>
      <c r="D135" s="5"/>
      <c r="E135" s="5"/>
      <c r="F135" s="5"/>
      <c r="G135" s="5"/>
      <c r="H135" s="5" t="s">
        <v>22</v>
      </c>
      <c r="I135" s="5"/>
      <c r="J135" s="5"/>
      <c r="K135" s="5"/>
      <c r="L135" s="5" t="s">
        <v>26</v>
      </c>
      <c r="M135" s="5"/>
      <c r="N135" s="5"/>
      <c r="O135" s="5"/>
      <c r="P135" s="5"/>
      <c r="Q135" s="5" t="s">
        <v>17</v>
      </c>
      <c r="R135" s="5" t="s">
        <v>18</v>
      </c>
      <c r="S135" s="5"/>
      <c r="T135" s="5"/>
      <c r="U135" s="5"/>
      <c r="V135" s="5"/>
      <c r="W135" s="5"/>
      <c r="X135" s="5"/>
      <c r="Y135" s="5" t="s">
        <v>25</v>
      </c>
      <c r="Z135" s="5"/>
      <c r="AA135" s="5"/>
      <c r="AB135" s="5"/>
      <c r="AC135" s="5"/>
      <c r="AD135" s="5"/>
      <c r="AE135" s="5"/>
      <c r="AF135" s="5"/>
      <c r="AG135" s="5"/>
      <c r="AH135" s="5"/>
      <c r="AI135" s="5" t="s">
        <v>34</v>
      </c>
      <c r="AJ135" s="5"/>
      <c r="AK135" s="5" t="s">
        <v>36</v>
      </c>
      <c r="AL135" s="5"/>
      <c r="AM135" s="5" t="s">
        <v>375</v>
      </c>
      <c r="AN135" s="5"/>
      <c r="AO135" s="5"/>
      <c r="AP135" s="5"/>
      <c r="AQ135" s="5"/>
      <c r="AR135" s="5"/>
      <c r="AS135" s="5"/>
      <c r="AT135" s="5"/>
      <c r="AU135" s="5" t="s">
        <v>43</v>
      </c>
      <c r="AV135" s="5"/>
      <c r="AW135" s="5"/>
      <c r="AX135" s="5" t="s">
        <v>46</v>
      </c>
      <c r="AY135" s="5"/>
      <c r="AZ135" s="5" t="s">
        <v>48</v>
      </c>
      <c r="BA135" s="5"/>
      <c r="BB135" s="5"/>
      <c r="BC135" s="5"/>
      <c r="BD135" s="5"/>
      <c r="BE135" s="5"/>
      <c r="BF135" s="5" t="s">
        <v>52</v>
      </c>
      <c r="BG135" s="5"/>
      <c r="BH135" s="5"/>
      <c r="BI135" s="5"/>
      <c r="BJ135" s="5"/>
      <c r="BK135" s="5"/>
      <c r="BL135" s="5" t="s">
        <v>58</v>
      </c>
      <c r="BM135" s="5"/>
      <c r="BN135" s="5"/>
      <c r="BO135" s="5"/>
      <c r="BP135" s="5"/>
      <c r="BQ135" s="5"/>
      <c r="BR135" s="5"/>
      <c r="BS135" s="5" t="s">
        <v>63</v>
      </c>
      <c r="BT135" s="5"/>
      <c r="BU135" s="5" t="s">
        <v>64</v>
      </c>
      <c r="BV135" s="5"/>
      <c r="BW135" s="5"/>
      <c r="BX135" s="5"/>
      <c r="BY135" s="5"/>
      <c r="BZ135" s="5"/>
      <c r="CA135" s="5"/>
      <c r="CB135" s="5"/>
      <c r="CC135" s="5"/>
      <c r="CD135" s="5" t="s">
        <v>73</v>
      </c>
      <c r="CE135" s="5"/>
      <c r="CF135" s="5" t="s">
        <v>75</v>
      </c>
      <c r="CG135" s="5"/>
      <c r="CH135" s="5"/>
      <c r="CI135" s="5" t="s">
        <v>417</v>
      </c>
      <c r="CJ135" s="5">
        <v>47</v>
      </c>
      <c r="CK135" s="5" t="s">
        <v>141</v>
      </c>
      <c r="CL135" s="5" t="s">
        <v>164</v>
      </c>
      <c r="CM135" s="5" t="s">
        <v>436</v>
      </c>
      <c r="CN135" s="5" t="s">
        <v>419</v>
      </c>
      <c r="CO135" s="5" t="s">
        <v>366</v>
      </c>
      <c r="CP135" s="5" t="s">
        <v>94</v>
      </c>
      <c r="CQ135" s="5" t="s">
        <v>84</v>
      </c>
      <c r="CR135" s="5" t="s">
        <v>85</v>
      </c>
      <c r="CS135" s="5" t="s">
        <v>86</v>
      </c>
      <c r="CT135" s="5" t="s">
        <v>384</v>
      </c>
      <c r="CU135" s="5" t="s">
        <v>86</v>
      </c>
      <c r="CV135" s="5"/>
      <c r="CW135" s="5"/>
      <c r="CX135" s="5"/>
      <c r="CY135" s="5"/>
      <c r="CZ135" s="5"/>
      <c r="DA135" s="5"/>
    </row>
    <row r="136" spans="1:105">
      <c r="A136" s="5">
        <v>18022426389</v>
      </c>
      <c r="B136" s="5"/>
      <c r="C136" s="5" t="s">
        <v>17</v>
      </c>
      <c r="D136" s="5" t="s">
        <v>18</v>
      </c>
      <c r="E136" s="5"/>
      <c r="F136" s="5"/>
      <c r="G136" s="5"/>
      <c r="H136" s="5"/>
      <c r="I136" s="5"/>
      <c r="J136" s="5"/>
      <c r="K136" s="5" t="s">
        <v>25</v>
      </c>
      <c r="L136" s="5" t="s">
        <v>26</v>
      </c>
      <c r="M136" s="5"/>
      <c r="N136" s="5" t="s">
        <v>28</v>
      </c>
      <c r="O136" s="5"/>
      <c r="P136" s="5"/>
      <c r="Q136" s="5"/>
      <c r="R136" s="5"/>
      <c r="S136" s="5"/>
      <c r="T136" s="5"/>
      <c r="U136" s="5"/>
      <c r="V136" s="5" t="s">
        <v>22</v>
      </c>
      <c r="W136" s="5" t="s">
        <v>23</v>
      </c>
      <c r="X136" s="5"/>
      <c r="Y136" s="5" t="s">
        <v>25</v>
      </c>
      <c r="Z136" s="5"/>
      <c r="AA136" s="5"/>
      <c r="AB136" s="5"/>
      <c r="AC136" s="5"/>
      <c r="AD136" s="5"/>
      <c r="AE136" s="5" t="s">
        <v>30</v>
      </c>
      <c r="AF136" s="5"/>
      <c r="AG136" s="5"/>
      <c r="AH136" s="5"/>
      <c r="AI136" s="5"/>
      <c r="AJ136" s="5"/>
      <c r="AK136" s="5"/>
      <c r="AL136" s="5"/>
      <c r="AM136" s="5"/>
      <c r="AN136" s="5"/>
      <c r="AO136" s="5"/>
      <c r="AP136" s="5" t="s">
        <v>39</v>
      </c>
      <c r="AQ136" s="5"/>
      <c r="AR136" s="5" t="s">
        <v>41</v>
      </c>
      <c r="AS136" s="5"/>
      <c r="AT136" s="5"/>
      <c r="AU136" s="5"/>
      <c r="AV136" s="5" t="s">
        <v>44</v>
      </c>
      <c r="AW136" s="5"/>
      <c r="AX136" s="5"/>
      <c r="AY136" s="5"/>
      <c r="AZ136" s="5"/>
      <c r="BA136" s="5"/>
      <c r="BB136" s="5"/>
      <c r="BC136" s="5" t="s">
        <v>50</v>
      </c>
      <c r="BD136" s="5" t="s">
        <v>51</v>
      </c>
      <c r="BE136" s="5" t="s">
        <v>17</v>
      </c>
      <c r="BF136" s="5"/>
      <c r="BG136" s="5"/>
      <c r="BH136" s="5"/>
      <c r="BI136" s="5"/>
      <c r="BJ136" s="5"/>
      <c r="BK136" s="5"/>
      <c r="BL136" s="5" t="s">
        <v>58</v>
      </c>
      <c r="BM136" s="5" t="s">
        <v>59</v>
      </c>
      <c r="BN136" s="5"/>
      <c r="BO136" s="5"/>
      <c r="BP136" s="5"/>
      <c r="BQ136" s="5"/>
      <c r="BR136" s="5"/>
      <c r="BS136" s="5" t="s">
        <v>63</v>
      </c>
      <c r="BT136" s="5"/>
      <c r="BU136" s="5" t="s">
        <v>64</v>
      </c>
      <c r="BV136" s="5"/>
      <c r="BW136" s="5"/>
      <c r="BX136" s="5"/>
      <c r="BY136" s="5"/>
      <c r="BZ136" s="5"/>
      <c r="CA136" s="5"/>
      <c r="CB136" s="5"/>
      <c r="CC136" s="5"/>
      <c r="CD136" s="5"/>
      <c r="CE136" s="5"/>
      <c r="CF136" s="5" t="s">
        <v>75</v>
      </c>
      <c r="CG136" s="5"/>
      <c r="CH136" s="5"/>
      <c r="CI136" s="5" t="s">
        <v>414</v>
      </c>
      <c r="CJ136" s="5">
        <v>48</v>
      </c>
      <c r="CK136" s="5" t="s">
        <v>141</v>
      </c>
      <c r="CL136" s="5" t="s">
        <v>150</v>
      </c>
      <c r="CM136" s="5" t="s">
        <v>418</v>
      </c>
      <c r="CN136" s="5" t="s">
        <v>419</v>
      </c>
      <c r="CO136" s="5" t="s">
        <v>82</v>
      </c>
      <c r="CP136" s="5" t="s">
        <v>83</v>
      </c>
      <c r="CQ136" s="5" t="s">
        <v>106</v>
      </c>
      <c r="CR136" s="5" t="s">
        <v>85</v>
      </c>
      <c r="CS136" s="5" t="s">
        <v>86</v>
      </c>
      <c r="CT136" s="5" t="s">
        <v>384</v>
      </c>
      <c r="CU136" s="5" t="s">
        <v>86</v>
      </c>
      <c r="CV136" s="5"/>
      <c r="CW136" s="5"/>
      <c r="CX136" s="5"/>
      <c r="CY136" s="5"/>
      <c r="CZ136" s="5"/>
      <c r="DA136" s="5"/>
    </row>
    <row r="137" spans="1:105">
      <c r="A137" s="5">
        <v>18022425382</v>
      </c>
      <c r="B137" s="5"/>
      <c r="C137" s="5" t="s">
        <v>17</v>
      </c>
      <c r="D137" s="5"/>
      <c r="E137" s="5"/>
      <c r="F137" s="5"/>
      <c r="G137" s="5" t="s">
        <v>21</v>
      </c>
      <c r="H137" s="5"/>
      <c r="I137" s="5"/>
      <c r="J137" s="5"/>
      <c r="K137" s="5"/>
      <c r="L137" s="5"/>
      <c r="M137" s="5"/>
      <c r="N137" s="5"/>
      <c r="O137" s="5"/>
      <c r="P137" s="5"/>
      <c r="Q137" s="5"/>
      <c r="R137" s="5" t="s">
        <v>18</v>
      </c>
      <c r="S137" s="5"/>
      <c r="T137" s="5"/>
      <c r="U137" s="5"/>
      <c r="V137" s="5"/>
      <c r="W137" s="5"/>
      <c r="X137" s="5"/>
      <c r="Y137" s="5"/>
      <c r="Z137" s="5"/>
      <c r="AA137" s="5"/>
      <c r="AB137" s="5"/>
      <c r="AC137" s="5"/>
      <c r="AD137" s="5"/>
      <c r="AE137" s="5"/>
      <c r="AF137" s="5"/>
      <c r="AG137" s="5"/>
      <c r="AH137" s="5"/>
      <c r="AI137" s="5" t="s">
        <v>34</v>
      </c>
      <c r="AJ137" s="5"/>
      <c r="AK137" s="5"/>
      <c r="AL137" s="5"/>
      <c r="AM137" s="5"/>
      <c r="AN137" s="5"/>
      <c r="AO137" s="5" t="s">
        <v>38</v>
      </c>
      <c r="AP137" s="5"/>
      <c r="AQ137" s="5"/>
      <c r="AR137" s="5" t="s">
        <v>41</v>
      </c>
      <c r="AS137" s="5"/>
      <c r="AT137" s="5"/>
      <c r="AU137" s="5"/>
      <c r="AV137" s="5" t="s">
        <v>44</v>
      </c>
      <c r="AW137" s="5"/>
      <c r="AX137" s="5"/>
      <c r="AY137" s="5"/>
      <c r="AZ137" s="5"/>
      <c r="BA137" s="5"/>
      <c r="BB137" s="5"/>
      <c r="BC137" s="5"/>
      <c r="BD137" s="5"/>
      <c r="BE137" s="5"/>
      <c r="BF137" s="5"/>
      <c r="BG137" s="5"/>
      <c r="BH137" s="5"/>
      <c r="BI137" s="5" t="s">
        <v>55</v>
      </c>
      <c r="BJ137" s="5"/>
      <c r="BK137" s="5"/>
      <c r="BL137" s="5"/>
      <c r="BM137" s="5"/>
      <c r="BN137" s="5"/>
      <c r="BO137" s="5"/>
      <c r="BP137" s="5" t="s">
        <v>60</v>
      </c>
      <c r="BQ137" s="5" t="s">
        <v>61</v>
      </c>
      <c r="BR137" s="5"/>
      <c r="BS137" s="5"/>
      <c r="BT137" s="5"/>
      <c r="BU137" s="5" t="s">
        <v>64</v>
      </c>
      <c r="BV137" s="5"/>
      <c r="BW137" s="5"/>
      <c r="BX137" s="5"/>
      <c r="BY137" s="5"/>
      <c r="BZ137" s="5"/>
      <c r="CA137" s="5"/>
      <c r="CB137" s="5"/>
      <c r="CC137" s="5"/>
      <c r="CD137" s="5"/>
      <c r="CE137" s="5"/>
      <c r="CF137" s="5" t="s">
        <v>75</v>
      </c>
      <c r="CG137" s="5"/>
      <c r="CH137" s="5"/>
      <c r="CI137" s="5" t="s">
        <v>417</v>
      </c>
      <c r="CJ137" s="5">
        <v>50</v>
      </c>
      <c r="CK137" s="5" t="s">
        <v>141</v>
      </c>
      <c r="CL137" s="5" t="s">
        <v>362</v>
      </c>
      <c r="CM137" s="5" t="s">
        <v>418</v>
      </c>
      <c r="CN137" s="5" t="s">
        <v>419</v>
      </c>
      <c r="CO137" s="5" t="s">
        <v>82</v>
      </c>
      <c r="CP137" s="5" t="s">
        <v>83</v>
      </c>
      <c r="CQ137" s="5" t="s">
        <v>84</v>
      </c>
      <c r="CR137" s="5" t="s">
        <v>85</v>
      </c>
      <c r="CS137" s="5" t="s">
        <v>86</v>
      </c>
      <c r="CT137" s="5" t="s">
        <v>384</v>
      </c>
      <c r="CU137" s="5" t="s">
        <v>86</v>
      </c>
      <c r="CV137" s="5"/>
      <c r="CW137" s="5"/>
      <c r="CX137" s="5"/>
      <c r="CY137" s="5"/>
      <c r="CZ137" s="5"/>
      <c r="DA137" s="5"/>
    </row>
    <row r="138" spans="1:105">
      <c r="A138" s="5">
        <v>18022420665</v>
      </c>
      <c r="B138" s="5"/>
      <c r="C138" s="5" t="s">
        <v>17</v>
      </c>
      <c r="D138" s="5"/>
      <c r="E138" s="5"/>
      <c r="F138" s="5"/>
      <c r="G138" s="5"/>
      <c r="H138" s="5" t="s">
        <v>22</v>
      </c>
      <c r="I138" s="5"/>
      <c r="J138" s="5" t="s">
        <v>24</v>
      </c>
      <c r="K138" s="5"/>
      <c r="L138" s="5"/>
      <c r="M138" s="5"/>
      <c r="N138" s="5"/>
      <c r="O138" s="5"/>
      <c r="P138" s="5"/>
      <c r="Q138" s="5" t="s">
        <v>17</v>
      </c>
      <c r="R138" s="5"/>
      <c r="S138" s="5"/>
      <c r="T138" s="5"/>
      <c r="U138" s="5"/>
      <c r="V138" s="5"/>
      <c r="W138" s="5"/>
      <c r="X138" s="5" t="s">
        <v>24</v>
      </c>
      <c r="Y138" s="5"/>
      <c r="Z138" s="5" t="s">
        <v>26</v>
      </c>
      <c r="AA138" s="5"/>
      <c r="AB138" s="5"/>
      <c r="AC138" s="5"/>
      <c r="AD138" s="5"/>
      <c r="AE138" s="5"/>
      <c r="AF138" s="5"/>
      <c r="AG138" s="5"/>
      <c r="AH138" s="5"/>
      <c r="AI138" s="5"/>
      <c r="AJ138" s="5" t="s">
        <v>35</v>
      </c>
      <c r="AK138" s="5" t="s">
        <v>36</v>
      </c>
      <c r="AL138" s="5"/>
      <c r="AM138" s="5" t="s">
        <v>375</v>
      </c>
      <c r="AN138" s="5"/>
      <c r="AO138" s="5" t="s">
        <v>38</v>
      </c>
      <c r="AP138" s="5" t="s">
        <v>39</v>
      </c>
      <c r="AQ138" s="5"/>
      <c r="AR138" s="5" t="s">
        <v>41</v>
      </c>
      <c r="AS138" s="5"/>
      <c r="AT138" s="5"/>
      <c r="AU138" s="5"/>
      <c r="AV138" s="5"/>
      <c r="AW138" s="5"/>
      <c r="AX138" s="5" t="s">
        <v>46</v>
      </c>
      <c r="AY138" s="5" t="s">
        <v>47</v>
      </c>
      <c r="AZ138" s="5"/>
      <c r="BA138" s="5"/>
      <c r="BB138" s="5"/>
      <c r="BC138" s="5"/>
      <c r="BD138" s="5"/>
      <c r="BE138" s="5"/>
      <c r="BF138" s="5"/>
      <c r="BG138" s="5"/>
      <c r="BH138" s="5" t="s">
        <v>54</v>
      </c>
      <c r="BI138" s="5"/>
      <c r="BJ138" s="5"/>
      <c r="BK138" s="5" t="s">
        <v>57</v>
      </c>
      <c r="BL138" s="5" t="s">
        <v>58</v>
      </c>
      <c r="BM138" s="5"/>
      <c r="BN138" s="5"/>
      <c r="BO138" s="5"/>
      <c r="BP138" s="5"/>
      <c r="BQ138" s="5" t="s">
        <v>61</v>
      </c>
      <c r="BR138" s="5" t="s">
        <v>62</v>
      </c>
      <c r="BS138" s="5"/>
      <c r="BT138" s="5"/>
      <c r="BU138" s="5" t="s">
        <v>64</v>
      </c>
      <c r="BV138" s="5"/>
      <c r="BW138" s="5" t="s">
        <v>66</v>
      </c>
      <c r="BX138" s="5"/>
      <c r="BY138" s="5" t="s">
        <v>68</v>
      </c>
      <c r="BZ138" s="5"/>
      <c r="CA138" s="5"/>
      <c r="CB138" s="5"/>
      <c r="CC138" s="5"/>
      <c r="CD138" s="5"/>
      <c r="CE138" s="5"/>
      <c r="CF138" s="5" t="s">
        <v>75</v>
      </c>
      <c r="CG138" s="5" t="s">
        <v>76</v>
      </c>
      <c r="CH138" s="5"/>
      <c r="CI138" s="5" t="s">
        <v>414</v>
      </c>
      <c r="CJ138" s="5">
        <v>55</v>
      </c>
      <c r="CK138" s="5" t="s">
        <v>141</v>
      </c>
      <c r="CL138" s="5" t="s">
        <v>171</v>
      </c>
      <c r="CM138" s="5" t="s">
        <v>418</v>
      </c>
      <c r="CN138" s="5" t="s">
        <v>419</v>
      </c>
      <c r="CO138" s="5" t="s">
        <v>82</v>
      </c>
      <c r="CP138" s="5" t="s">
        <v>93</v>
      </c>
      <c r="CQ138" s="5" t="s">
        <v>84</v>
      </c>
      <c r="CR138" s="5" t="s">
        <v>85</v>
      </c>
      <c r="CS138" s="5" t="s">
        <v>86</v>
      </c>
      <c r="CT138" s="5" t="s">
        <v>384</v>
      </c>
      <c r="CU138" s="5" t="s">
        <v>86</v>
      </c>
      <c r="CV138" s="5"/>
      <c r="CW138" s="5"/>
      <c r="CX138" s="5"/>
      <c r="CY138" s="5"/>
      <c r="CZ138" s="5"/>
      <c r="DA138" s="5"/>
    </row>
    <row r="139" spans="1:105">
      <c r="A139" s="5">
        <v>18022420608</v>
      </c>
      <c r="B139" s="5"/>
      <c r="C139" s="5"/>
      <c r="D139" s="5"/>
      <c r="E139" s="5" t="s">
        <v>19</v>
      </c>
      <c r="F139" s="5"/>
      <c r="G139" s="5" t="s">
        <v>21</v>
      </c>
      <c r="H139" s="5" t="s">
        <v>22</v>
      </c>
      <c r="I139" s="5"/>
      <c r="J139" s="5"/>
      <c r="K139" s="5"/>
      <c r="L139" s="5" t="s">
        <v>26</v>
      </c>
      <c r="M139" s="5"/>
      <c r="N139" s="5"/>
      <c r="O139" s="5"/>
      <c r="P139" s="5"/>
      <c r="Q139" s="5"/>
      <c r="R139" s="5" t="s">
        <v>18</v>
      </c>
      <c r="S139" s="5"/>
      <c r="T139" s="5"/>
      <c r="U139" s="5"/>
      <c r="V139" s="5"/>
      <c r="W139" s="5" t="s">
        <v>23</v>
      </c>
      <c r="X139" s="5" t="s">
        <v>24</v>
      </c>
      <c r="Y139" s="5"/>
      <c r="Z139" s="5"/>
      <c r="AA139" s="5"/>
      <c r="AB139" s="5"/>
      <c r="AC139" s="5"/>
      <c r="AD139" s="5"/>
      <c r="AE139" s="5"/>
      <c r="AF139" s="5"/>
      <c r="AG139" s="5"/>
      <c r="AH139" s="5"/>
      <c r="AI139" s="5" t="s">
        <v>34</v>
      </c>
      <c r="AJ139" s="5"/>
      <c r="AK139" s="5"/>
      <c r="AL139" s="5"/>
      <c r="AM139" s="5"/>
      <c r="AN139" s="5"/>
      <c r="AO139" s="5" t="s">
        <v>38</v>
      </c>
      <c r="AP139" s="5" t="s">
        <v>39</v>
      </c>
      <c r="AQ139" s="5"/>
      <c r="AR139" s="5" t="s">
        <v>41</v>
      </c>
      <c r="AS139" s="5" t="s">
        <v>42</v>
      </c>
      <c r="AT139" s="5"/>
      <c r="AU139" s="5" t="s">
        <v>43</v>
      </c>
      <c r="AV139" s="5"/>
      <c r="AW139" s="5"/>
      <c r="AX139" s="5"/>
      <c r="AY139" s="5"/>
      <c r="AZ139" s="5"/>
      <c r="BA139" s="5"/>
      <c r="BB139" s="5"/>
      <c r="BC139" s="5"/>
      <c r="BD139" s="5" t="s">
        <v>51</v>
      </c>
      <c r="BE139" s="5" t="s">
        <v>17</v>
      </c>
      <c r="BF139" s="5"/>
      <c r="BG139" s="5"/>
      <c r="BH139" s="5" t="s">
        <v>54</v>
      </c>
      <c r="BI139" s="5"/>
      <c r="BJ139" s="5"/>
      <c r="BK139" s="5"/>
      <c r="BL139" s="5"/>
      <c r="BM139" s="5"/>
      <c r="BN139" s="5" t="s">
        <v>24</v>
      </c>
      <c r="BO139" s="5"/>
      <c r="BP139" s="5" t="s">
        <v>60</v>
      </c>
      <c r="BQ139" s="5" t="s">
        <v>61</v>
      </c>
      <c r="BR139" s="5" t="s">
        <v>62</v>
      </c>
      <c r="BS139" s="5"/>
      <c r="BT139" s="5"/>
      <c r="BU139" s="5" t="s">
        <v>64</v>
      </c>
      <c r="BV139" s="5"/>
      <c r="BW139" s="5"/>
      <c r="BX139" s="5" t="s">
        <v>67</v>
      </c>
      <c r="BY139" s="5"/>
      <c r="BZ139" s="5"/>
      <c r="CA139" s="5" t="s">
        <v>70</v>
      </c>
      <c r="CB139" s="5"/>
      <c r="CC139" s="5"/>
      <c r="CD139" s="5"/>
      <c r="CE139" s="5"/>
      <c r="CF139" s="5"/>
      <c r="CG139" s="5"/>
      <c r="CH139" s="5"/>
      <c r="CI139" s="5" t="s">
        <v>414</v>
      </c>
      <c r="CJ139" s="5">
        <v>81</v>
      </c>
      <c r="CK139" s="5" t="s">
        <v>141</v>
      </c>
      <c r="CL139" s="5" t="s">
        <v>368</v>
      </c>
      <c r="CM139" s="5" t="s">
        <v>418</v>
      </c>
      <c r="CN139" s="5" t="s">
        <v>416</v>
      </c>
      <c r="CO139" s="5" t="s">
        <v>427</v>
      </c>
      <c r="CP139" s="5" t="s">
        <v>83</v>
      </c>
      <c r="CQ139" s="5" t="s">
        <v>84</v>
      </c>
      <c r="CR139" s="5" t="s">
        <v>99</v>
      </c>
      <c r="CS139" s="5" t="s">
        <v>86</v>
      </c>
      <c r="CT139" s="5" t="s">
        <v>385</v>
      </c>
      <c r="CU139" s="5" t="s">
        <v>86</v>
      </c>
      <c r="CV139" s="5"/>
      <c r="CW139" s="5"/>
      <c r="CX139" s="5"/>
      <c r="CY139" s="5"/>
      <c r="CZ139" s="5"/>
      <c r="DA139" s="5"/>
    </row>
    <row r="140" spans="1:105">
      <c r="A140" s="5">
        <v>18022392509</v>
      </c>
      <c r="B140" s="5"/>
      <c r="C140" s="5"/>
      <c r="D140" s="5" t="s">
        <v>18</v>
      </c>
      <c r="E140" s="5"/>
      <c r="F140" s="5"/>
      <c r="G140" s="5"/>
      <c r="H140" s="5" t="s">
        <v>22</v>
      </c>
      <c r="I140" s="5"/>
      <c r="J140" s="5" t="s">
        <v>24</v>
      </c>
      <c r="K140" s="5"/>
      <c r="L140" s="5" t="s">
        <v>26</v>
      </c>
      <c r="M140" s="5"/>
      <c r="N140" s="5"/>
      <c r="O140" s="5"/>
      <c r="P140" s="5"/>
      <c r="Q140" s="5"/>
      <c r="R140" s="5" t="s">
        <v>18</v>
      </c>
      <c r="S140" s="5"/>
      <c r="T140" s="5"/>
      <c r="U140" s="5"/>
      <c r="V140" s="5"/>
      <c r="W140" s="5"/>
      <c r="X140" s="5" t="s">
        <v>24</v>
      </c>
      <c r="Y140" s="5"/>
      <c r="Z140" s="5"/>
      <c r="AA140" s="5"/>
      <c r="AB140" s="5" t="s">
        <v>28</v>
      </c>
      <c r="AC140" s="5"/>
      <c r="AD140" s="5"/>
      <c r="AE140" s="5"/>
      <c r="AF140" s="5"/>
      <c r="AG140" s="5"/>
      <c r="AH140" s="5"/>
      <c r="AI140" s="5" t="s">
        <v>34</v>
      </c>
      <c r="AJ140" s="5" t="s">
        <v>35</v>
      </c>
      <c r="AK140" s="5"/>
      <c r="AL140" s="5"/>
      <c r="AM140" s="5"/>
      <c r="AN140" s="5"/>
      <c r="AO140" s="5" t="s">
        <v>38</v>
      </c>
      <c r="AP140" s="5" t="s">
        <v>39</v>
      </c>
      <c r="AQ140" s="5"/>
      <c r="AR140" s="5"/>
      <c r="AS140" s="5"/>
      <c r="AT140" s="5"/>
      <c r="AU140" s="5" t="s">
        <v>43</v>
      </c>
      <c r="AV140" s="5" t="s">
        <v>44</v>
      </c>
      <c r="AW140" s="5" t="s">
        <v>45</v>
      </c>
      <c r="AX140" s="5"/>
      <c r="AY140" s="5" t="s">
        <v>47</v>
      </c>
      <c r="AZ140" s="5"/>
      <c r="BA140" s="5"/>
      <c r="BB140" s="5"/>
      <c r="BC140" s="5"/>
      <c r="BD140" s="5" t="s">
        <v>51</v>
      </c>
      <c r="BE140" s="5"/>
      <c r="BF140" s="5"/>
      <c r="BG140" s="5" t="s">
        <v>53</v>
      </c>
      <c r="BH140" s="5"/>
      <c r="BI140" s="5" t="s">
        <v>55</v>
      </c>
      <c r="BJ140" s="5"/>
      <c r="BK140" s="5"/>
      <c r="BL140" s="5"/>
      <c r="BM140" s="5" t="s">
        <v>59</v>
      </c>
      <c r="BN140" s="5" t="s">
        <v>24</v>
      </c>
      <c r="BO140" s="5"/>
      <c r="BP140" s="5" t="s">
        <v>60</v>
      </c>
      <c r="BQ140" s="5"/>
      <c r="BR140" s="5"/>
      <c r="BS140" s="5"/>
      <c r="BT140" s="5"/>
      <c r="BU140" s="5" t="s">
        <v>64</v>
      </c>
      <c r="BV140" s="5"/>
      <c r="BW140" s="5"/>
      <c r="BX140" s="5"/>
      <c r="BY140" s="5"/>
      <c r="BZ140" s="5"/>
      <c r="CA140" s="5"/>
      <c r="CB140" s="5"/>
      <c r="CC140" s="5"/>
      <c r="CD140" s="5"/>
      <c r="CE140" s="5"/>
      <c r="CF140" s="5" t="s">
        <v>75</v>
      </c>
      <c r="CG140" s="5"/>
      <c r="CH140" s="5"/>
      <c r="CI140" s="5" t="s">
        <v>417</v>
      </c>
      <c r="CJ140" s="5">
        <v>64</v>
      </c>
      <c r="CK140" s="5" t="s">
        <v>141</v>
      </c>
      <c r="CL140" s="5" t="s">
        <v>360</v>
      </c>
      <c r="CM140" s="5" t="s">
        <v>418</v>
      </c>
      <c r="CN140" s="5" t="s">
        <v>419</v>
      </c>
      <c r="CO140" s="5" t="s">
        <v>82</v>
      </c>
      <c r="CP140" s="5" t="s">
        <v>94</v>
      </c>
      <c r="CQ140" s="5" t="s">
        <v>95</v>
      </c>
      <c r="CR140" s="5" t="s">
        <v>85</v>
      </c>
      <c r="CS140" s="5" t="s">
        <v>86</v>
      </c>
      <c r="CT140" s="5" t="s">
        <v>384</v>
      </c>
      <c r="CU140" s="5" t="s">
        <v>86</v>
      </c>
      <c r="CV140" s="5"/>
      <c r="CW140" s="5"/>
      <c r="CX140" s="5"/>
      <c r="CY140" s="5"/>
      <c r="CZ140" s="5"/>
      <c r="DA140" s="5"/>
    </row>
    <row r="141" spans="1:105">
      <c r="A141" s="5">
        <v>18022346650</v>
      </c>
      <c r="B141" s="5"/>
      <c r="C141" s="5" t="s">
        <v>17</v>
      </c>
      <c r="D141" s="5" t="s">
        <v>18</v>
      </c>
      <c r="E141" s="5"/>
      <c r="F141" s="5"/>
      <c r="G141" s="5"/>
      <c r="H141" s="5"/>
      <c r="I141" s="5"/>
      <c r="J141" s="5"/>
      <c r="K141" s="5" t="s">
        <v>25</v>
      </c>
      <c r="L141" s="5"/>
      <c r="M141" s="5"/>
      <c r="N141" s="5"/>
      <c r="O141" s="5"/>
      <c r="P141" s="5" t="s">
        <v>16</v>
      </c>
      <c r="Q141" s="5"/>
      <c r="R141" s="5"/>
      <c r="S141" s="5"/>
      <c r="T141" s="5"/>
      <c r="U141" s="5"/>
      <c r="V141" s="5"/>
      <c r="W141" s="5"/>
      <c r="X141" s="5"/>
      <c r="Y141" s="5"/>
      <c r="Z141" s="5"/>
      <c r="AA141" s="5"/>
      <c r="AB141" s="5"/>
      <c r="AC141" s="5"/>
      <c r="AD141" s="5"/>
      <c r="AE141" s="5"/>
      <c r="AF141" s="5"/>
      <c r="AG141" s="5"/>
      <c r="AH141" s="5"/>
      <c r="AI141" s="5" t="s">
        <v>34</v>
      </c>
      <c r="AJ141" s="5"/>
      <c r="AK141" s="5"/>
      <c r="AL141" s="5"/>
      <c r="AM141" s="5"/>
      <c r="AN141" s="5"/>
      <c r="AO141" s="5" t="s">
        <v>38</v>
      </c>
      <c r="AP141" s="5" t="s">
        <v>39</v>
      </c>
      <c r="AQ141" s="5"/>
      <c r="AR141" s="5"/>
      <c r="AS141" s="5"/>
      <c r="AT141" s="5"/>
      <c r="AU141" s="5"/>
      <c r="AV141" s="5"/>
      <c r="AW141" s="5"/>
      <c r="AX141" s="5"/>
      <c r="AY141" s="5"/>
      <c r="AZ141" s="5"/>
      <c r="BA141" s="5"/>
      <c r="BB141" s="5"/>
      <c r="BC141" s="5"/>
      <c r="BD141" s="5" t="s">
        <v>51</v>
      </c>
      <c r="BE141" s="5"/>
      <c r="BF141" s="5" t="s">
        <v>52</v>
      </c>
      <c r="BG141" s="5"/>
      <c r="BH141" s="5"/>
      <c r="BI141" s="5" t="s">
        <v>55</v>
      </c>
      <c r="BJ141" s="5"/>
      <c r="BK141" s="5"/>
      <c r="BL141" s="5"/>
      <c r="BM141" s="5"/>
      <c r="BN141" s="5"/>
      <c r="BO141" s="5"/>
      <c r="BP141" s="5"/>
      <c r="BQ141" s="5"/>
      <c r="BR141" s="5" t="s">
        <v>62</v>
      </c>
      <c r="BS141" s="5"/>
      <c r="BT141" s="5"/>
      <c r="BU141" s="5" t="s">
        <v>64</v>
      </c>
      <c r="BV141" s="5"/>
      <c r="BW141" s="5"/>
      <c r="BX141" s="5"/>
      <c r="BY141" s="5"/>
      <c r="BZ141" s="5"/>
      <c r="CA141" s="5"/>
      <c r="CB141" s="5"/>
      <c r="CC141" s="5"/>
      <c r="CD141" s="5"/>
      <c r="CE141" s="5"/>
      <c r="CF141" s="5" t="s">
        <v>75</v>
      </c>
      <c r="CG141" s="5"/>
      <c r="CH141" s="5"/>
      <c r="CI141" s="5" t="s">
        <v>414</v>
      </c>
      <c r="CJ141" s="5">
        <v>37</v>
      </c>
      <c r="CK141" s="5" t="s">
        <v>141</v>
      </c>
      <c r="CL141" s="5" t="s">
        <v>185</v>
      </c>
      <c r="CM141" s="5" t="s">
        <v>106</v>
      </c>
      <c r="CN141" s="5" t="s">
        <v>416</v>
      </c>
      <c r="CO141" s="5" t="s">
        <v>427</v>
      </c>
      <c r="CP141" s="5" t="s">
        <v>83</v>
      </c>
      <c r="CQ141" s="5"/>
      <c r="CR141" s="5" t="s">
        <v>85</v>
      </c>
      <c r="CS141" s="5" t="s">
        <v>86</v>
      </c>
      <c r="CT141" s="5" t="s">
        <v>384</v>
      </c>
      <c r="CU141" s="5" t="s">
        <v>86</v>
      </c>
      <c r="CV141" s="5"/>
      <c r="CW141" s="5"/>
      <c r="CX141" s="5"/>
      <c r="CY141" s="5"/>
      <c r="CZ141" s="5"/>
      <c r="DA141" s="5"/>
    </row>
    <row r="142" spans="1:105">
      <c r="A142" s="5">
        <v>18022301049</v>
      </c>
      <c r="B142" s="5"/>
      <c r="C142" s="5"/>
      <c r="D142" s="5"/>
      <c r="E142" s="5" t="s">
        <v>19</v>
      </c>
      <c r="F142" s="5"/>
      <c r="G142" s="5"/>
      <c r="H142" s="5"/>
      <c r="I142" s="5" t="s">
        <v>23</v>
      </c>
      <c r="J142" s="5"/>
      <c r="K142" s="5" t="s">
        <v>25</v>
      </c>
      <c r="L142" s="5"/>
      <c r="M142" s="5"/>
      <c r="N142" s="5" t="s">
        <v>28</v>
      </c>
      <c r="O142" s="5"/>
      <c r="P142" s="5"/>
      <c r="Q142" s="5"/>
      <c r="R142" s="5"/>
      <c r="S142" s="5" t="s">
        <v>19</v>
      </c>
      <c r="T142" s="5"/>
      <c r="U142" s="5"/>
      <c r="V142" s="5"/>
      <c r="W142" s="5" t="s">
        <v>23</v>
      </c>
      <c r="X142" s="5"/>
      <c r="Y142" s="5" t="s">
        <v>25</v>
      </c>
      <c r="Z142" s="5"/>
      <c r="AA142" s="5"/>
      <c r="AB142" s="5"/>
      <c r="AC142" s="5"/>
      <c r="AD142" s="5"/>
      <c r="AE142" s="5"/>
      <c r="AF142" s="5"/>
      <c r="AG142" s="5"/>
      <c r="AH142" s="5"/>
      <c r="AI142" s="5" t="s">
        <v>34</v>
      </c>
      <c r="AJ142" s="5"/>
      <c r="AK142" s="5"/>
      <c r="AL142" s="5"/>
      <c r="AM142" s="5"/>
      <c r="AN142" s="5"/>
      <c r="AO142" s="5"/>
      <c r="AP142" s="5" t="s">
        <v>39</v>
      </c>
      <c r="AQ142" s="5"/>
      <c r="AR142" s="5" t="s">
        <v>41</v>
      </c>
      <c r="AS142" s="5"/>
      <c r="AT142" s="5"/>
      <c r="AU142" s="5"/>
      <c r="AV142" s="5" t="s">
        <v>44</v>
      </c>
      <c r="AW142" s="5"/>
      <c r="AX142" s="5"/>
      <c r="AY142" s="5" t="s">
        <v>47</v>
      </c>
      <c r="AZ142" s="5"/>
      <c r="BA142" s="5"/>
      <c r="BB142" s="5" t="s">
        <v>49</v>
      </c>
      <c r="BC142" s="5" t="s">
        <v>50</v>
      </c>
      <c r="BD142" s="5" t="s">
        <v>51</v>
      </c>
      <c r="BE142" s="5"/>
      <c r="BF142" s="5"/>
      <c r="BG142" s="5"/>
      <c r="BH142" s="5"/>
      <c r="BI142" s="5" t="s">
        <v>55</v>
      </c>
      <c r="BJ142" s="5"/>
      <c r="BK142" s="5"/>
      <c r="BL142" s="5"/>
      <c r="BM142" s="5" t="s">
        <v>59</v>
      </c>
      <c r="BN142" s="5"/>
      <c r="BO142" s="5"/>
      <c r="BP142" s="5" t="s">
        <v>60</v>
      </c>
      <c r="BQ142" s="5"/>
      <c r="BR142" s="5"/>
      <c r="BS142" s="5" t="s">
        <v>63</v>
      </c>
      <c r="BT142" s="5"/>
      <c r="BU142" s="5" t="s">
        <v>64</v>
      </c>
      <c r="BV142" s="5"/>
      <c r="BW142" s="5"/>
      <c r="BX142" s="5"/>
      <c r="BY142" s="5"/>
      <c r="BZ142" s="5"/>
      <c r="CA142" s="5" t="s">
        <v>70</v>
      </c>
      <c r="CB142" s="5"/>
      <c r="CC142" s="5"/>
      <c r="CD142" s="5" t="s">
        <v>73</v>
      </c>
      <c r="CE142" s="5"/>
      <c r="CF142" s="5"/>
      <c r="CG142" s="5" t="s">
        <v>76</v>
      </c>
      <c r="CH142" s="5"/>
      <c r="CI142" s="5" t="s">
        <v>414</v>
      </c>
      <c r="CJ142" s="5">
        <v>16</v>
      </c>
      <c r="CK142" s="5" t="s">
        <v>141</v>
      </c>
      <c r="CL142" s="5" t="s">
        <v>161</v>
      </c>
      <c r="CM142" s="5" t="s">
        <v>418</v>
      </c>
      <c r="CN142" s="5" t="s">
        <v>416</v>
      </c>
      <c r="CO142" s="5" t="s">
        <v>82</v>
      </c>
      <c r="CP142" s="5" t="s">
        <v>83</v>
      </c>
      <c r="CQ142" s="5" t="s">
        <v>104</v>
      </c>
      <c r="CR142" s="5" t="s">
        <v>89</v>
      </c>
      <c r="CS142" s="5" t="s">
        <v>86</v>
      </c>
      <c r="CT142" s="5" t="s">
        <v>387</v>
      </c>
      <c r="CU142" s="5" t="s">
        <v>86</v>
      </c>
      <c r="CV142" s="5"/>
      <c r="CW142" s="5"/>
      <c r="CX142" s="5"/>
      <c r="CY142" s="5"/>
      <c r="CZ142" s="5"/>
      <c r="DA142" s="5"/>
    </row>
    <row r="143" spans="1:105">
      <c r="A143" s="5">
        <v>18022218440</v>
      </c>
      <c r="B143" s="5"/>
      <c r="C143" s="5"/>
      <c r="D143" s="5" t="s">
        <v>18</v>
      </c>
      <c r="E143" s="5"/>
      <c r="F143" s="5"/>
      <c r="G143" s="5"/>
      <c r="H143" s="5" t="s">
        <v>22</v>
      </c>
      <c r="I143" s="5"/>
      <c r="J143" s="5" t="s">
        <v>24</v>
      </c>
      <c r="K143" s="5"/>
      <c r="L143" s="5"/>
      <c r="M143" s="5"/>
      <c r="N143" s="5" t="s">
        <v>28</v>
      </c>
      <c r="O143" s="5"/>
      <c r="P143" s="5" t="s">
        <v>16</v>
      </c>
      <c r="Q143" s="5"/>
      <c r="R143" s="5" t="s">
        <v>18</v>
      </c>
      <c r="S143" s="5"/>
      <c r="T143" s="5"/>
      <c r="U143" s="5"/>
      <c r="V143" s="5"/>
      <c r="W143" s="5"/>
      <c r="X143" s="5" t="s">
        <v>24</v>
      </c>
      <c r="Y143" s="5"/>
      <c r="Z143" s="5"/>
      <c r="AA143" s="5"/>
      <c r="AB143" s="5" t="s">
        <v>28</v>
      </c>
      <c r="AC143" s="5"/>
      <c r="AD143" s="5"/>
      <c r="AE143" s="5" t="s">
        <v>30</v>
      </c>
      <c r="AF143" s="5"/>
      <c r="AG143" s="5"/>
      <c r="AH143" s="5"/>
      <c r="AI143" s="5"/>
      <c r="AJ143" s="5"/>
      <c r="AK143" s="5"/>
      <c r="AL143" s="5"/>
      <c r="AM143" s="5"/>
      <c r="AN143" s="5"/>
      <c r="AO143" s="5"/>
      <c r="AP143" s="5"/>
      <c r="AQ143" s="5"/>
      <c r="AR143" s="5"/>
      <c r="AS143" s="5"/>
      <c r="AT143" s="5"/>
      <c r="AU143" s="5"/>
      <c r="AV143" s="5"/>
      <c r="AW143" s="5" t="s">
        <v>45</v>
      </c>
      <c r="AX143" s="5"/>
      <c r="AY143" s="5"/>
      <c r="AZ143" s="5"/>
      <c r="BA143" s="5"/>
      <c r="BB143" s="5" t="s">
        <v>49</v>
      </c>
      <c r="BC143" s="5"/>
      <c r="BD143" s="5"/>
      <c r="BE143" s="5" t="s">
        <v>17</v>
      </c>
      <c r="BF143" s="5"/>
      <c r="BG143" s="5" t="s">
        <v>53</v>
      </c>
      <c r="BH143" s="5" t="s">
        <v>54</v>
      </c>
      <c r="BI143" s="5"/>
      <c r="BJ143" s="5"/>
      <c r="BK143" s="5" t="s">
        <v>57</v>
      </c>
      <c r="BL143" s="5" t="s">
        <v>58</v>
      </c>
      <c r="BM143" s="5"/>
      <c r="BN143" s="5" t="s">
        <v>24</v>
      </c>
      <c r="BO143" s="5"/>
      <c r="BP143" s="5"/>
      <c r="BQ143" s="5"/>
      <c r="BR143" s="5" t="s">
        <v>62</v>
      </c>
      <c r="BS143" s="5"/>
      <c r="BT143" s="5"/>
      <c r="BU143" s="5" t="s">
        <v>64</v>
      </c>
      <c r="BV143" s="5"/>
      <c r="BW143" s="5"/>
      <c r="BX143" s="5" t="s">
        <v>67</v>
      </c>
      <c r="BY143" s="5"/>
      <c r="BZ143" s="5"/>
      <c r="CA143" s="5"/>
      <c r="CB143" s="5"/>
      <c r="CC143" s="5"/>
      <c r="CD143" s="5" t="s">
        <v>73</v>
      </c>
      <c r="CE143" s="5"/>
      <c r="CF143" s="5"/>
      <c r="CG143" s="5"/>
      <c r="CH143" s="5"/>
      <c r="CI143" s="5" t="s">
        <v>417</v>
      </c>
      <c r="CJ143" s="5">
        <v>42</v>
      </c>
      <c r="CK143" s="5" t="s">
        <v>141</v>
      </c>
      <c r="CL143" s="5" t="s">
        <v>156</v>
      </c>
      <c r="CM143" s="5" t="s">
        <v>418</v>
      </c>
      <c r="CN143" s="5" t="s">
        <v>419</v>
      </c>
      <c r="CO143" s="5"/>
      <c r="CP143" s="5" t="s">
        <v>83</v>
      </c>
      <c r="CQ143" s="5" t="s">
        <v>103</v>
      </c>
      <c r="CR143" s="5" t="s">
        <v>85</v>
      </c>
      <c r="CS143" s="5" t="s">
        <v>86</v>
      </c>
      <c r="CT143" s="5" t="s">
        <v>384</v>
      </c>
      <c r="CU143" s="5" t="s">
        <v>86</v>
      </c>
      <c r="CV143" s="5"/>
      <c r="CW143" s="5"/>
      <c r="CX143" s="5"/>
      <c r="CY143" s="5"/>
      <c r="CZ143" s="5"/>
      <c r="DA143" s="5"/>
    </row>
    <row r="144" spans="1:105">
      <c r="A144" s="5">
        <v>18022157625</v>
      </c>
      <c r="B144" s="5"/>
      <c r="C144" s="5" t="s">
        <v>17</v>
      </c>
      <c r="D144" s="5" t="s">
        <v>18</v>
      </c>
      <c r="E144" s="5"/>
      <c r="F144" s="5"/>
      <c r="G144" s="5"/>
      <c r="H144" s="5"/>
      <c r="I144" s="5"/>
      <c r="J144" s="5"/>
      <c r="K144" s="5" t="s">
        <v>25</v>
      </c>
      <c r="L144" s="5"/>
      <c r="M144" s="5"/>
      <c r="N144" s="5"/>
      <c r="O144" s="5"/>
      <c r="P144" s="5"/>
      <c r="Q144" s="5"/>
      <c r="R144" s="5"/>
      <c r="S144" s="5" t="s">
        <v>19</v>
      </c>
      <c r="T144" s="5"/>
      <c r="U144" s="5"/>
      <c r="V144" s="5" t="s">
        <v>22</v>
      </c>
      <c r="W144" s="5"/>
      <c r="X144" s="5"/>
      <c r="Y144" s="5" t="s">
        <v>25</v>
      </c>
      <c r="Z144" s="5"/>
      <c r="AA144" s="5"/>
      <c r="AB144" s="5"/>
      <c r="AC144" s="5"/>
      <c r="AD144" s="5"/>
      <c r="AE144" s="5"/>
      <c r="AF144" s="5" t="s">
        <v>31</v>
      </c>
      <c r="AG144" s="5"/>
      <c r="AH144" s="5" t="s">
        <v>33</v>
      </c>
      <c r="AI144" s="5"/>
      <c r="AJ144" s="5"/>
      <c r="AK144" s="5" t="s">
        <v>36</v>
      </c>
      <c r="AL144" s="5"/>
      <c r="AM144" s="5"/>
      <c r="AN144" s="5"/>
      <c r="AO144" s="5" t="s">
        <v>38</v>
      </c>
      <c r="AP144" s="5" t="s">
        <v>39</v>
      </c>
      <c r="AQ144" s="5"/>
      <c r="AR144" s="5"/>
      <c r="AS144" s="5"/>
      <c r="AT144" s="5" t="s">
        <v>37</v>
      </c>
      <c r="AU144" s="5"/>
      <c r="AV144" s="5"/>
      <c r="AW144" s="5"/>
      <c r="AX144" s="5"/>
      <c r="AY144" s="5"/>
      <c r="AZ144" s="5"/>
      <c r="BA144" s="5"/>
      <c r="BB144" s="5"/>
      <c r="BC144" s="5"/>
      <c r="BD144" s="5" t="s">
        <v>51</v>
      </c>
      <c r="BE144" s="5"/>
      <c r="BF144" s="5" t="s">
        <v>52</v>
      </c>
      <c r="BG144" s="5"/>
      <c r="BH144" s="5"/>
      <c r="BI144" s="5"/>
      <c r="BJ144" s="5"/>
      <c r="BK144" s="5"/>
      <c r="BL144" s="5"/>
      <c r="BM144" s="5"/>
      <c r="BN144" s="5"/>
      <c r="BO144" s="5"/>
      <c r="BP144" s="5"/>
      <c r="BQ144" s="5"/>
      <c r="BR144" s="5"/>
      <c r="BS144" s="5" t="s">
        <v>63</v>
      </c>
      <c r="BT144" s="5"/>
      <c r="BU144" s="5" t="s">
        <v>64</v>
      </c>
      <c r="BV144" s="5"/>
      <c r="BW144" s="5"/>
      <c r="BX144" s="5"/>
      <c r="BY144" s="5"/>
      <c r="BZ144" s="5"/>
      <c r="CA144" s="5"/>
      <c r="CB144" s="5"/>
      <c r="CC144" s="5"/>
      <c r="CD144" s="5"/>
      <c r="CE144" s="5"/>
      <c r="CF144" s="5"/>
      <c r="CG144" s="5"/>
      <c r="CH144" s="5"/>
      <c r="CI144" s="5" t="s">
        <v>414</v>
      </c>
      <c r="CJ144" s="5">
        <v>20</v>
      </c>
      <c r="CK144" s="5" t="s">
        <v>141</v>
      </c>
      <c r="CL144" s="5" t="s">
        <v>150</v>
      </c>
      <c r="CM144" s="5" t="s">
        <v>418</v>
      </c>
      <c r="CN144" s="5" t="s">
        <v>419</v>
      </c>
      <c r="CO144" s="5" t="s">
        <v>82</v>
      </c>
      <c r="CP144" s="5" t="s">
        <v>83</v>
      </c>
      <c r="CQ144" s="5" t="s">
        <v>95</v>
      </c>
      <c r="CR144" s="5" t="s">
        <v>85</v>
      </c>
      <c r="CS144" s="5" t="s">
        <v>86</v>
      </c>
      <c r="CT144" s="5" t="s">
        <v>385</v>
      </c>
      <c r="CU144" s="5"/>
      <c r="CV144" s="5"/>
      <c r="CW144" s="5"/>
      <c r="CX144" s="5"/>
      <c r="CY144" s="5"/>
      <c r="CZ144" s="5"/>
      <c r="DA144" s="5"/>
    </row>
    <row r="145" spans="1:105">
      <c r="A145" s="5">
        <v>18022157486</v>
      </c>
      <c r="B145" s="5"/>
      <c r="C145" s="5"/>
      <c r="D145" s="5" t="s">
        <v>18</v>
      </c>
      <c r="E145" s="5"/>
      <c r="F145" s="5"/>
      <c r="G145" s="5"/>
      <c r="H145" s="5"/>
      <c r="I145" s="5"/>
      <c r="J145" s="5"/>
      <c r="K145" s="5" t="s">
        <v>25</v>
      </c>
      <c r="L145" s="5" t="s">
        <v>26</v>
      </c>
      <c r="M145" s="5"/>
      <c r="N145" s="5"/>
      <c r="O145" s="5"/>
      <c r="P145" s="5"/>
      <c r="Q145" s="5"/>
      <c r="R145" s="5"/>
      <c r="S145" s="5" t="s">
        <v>19</v>
      </c>
      <c r="T145" s="5"/>
      <c r="U145" s="5"/>
      <c r="V145" s="5"/>
      <c r="W145" s="5"/>
      <c r="X145" s="5" t="s">
        <v>24</v>
      </c>
      <c r="Y145" s="5" t="s">
        <v>25</v>
      </c>
      <c r="Z145" s="5"/>
      <c r="AA145" s="5"/>
      <c r="AB145" s="5"/>
      <c r="AC145" s="5"/>
      <c r="AD145" s="5"/>
      <c r="AE145" s="5" t="s">
        <v>30</v>
      </c>
      <c r="AF145" s="5" t="s">
        <v>31</v>
      </c>
      <c r="AG145" s="5"/>
      <c r="AH145" s="5" t="s">
        <v>33</v>
      </c>
      <c r="AI145" s="5"/>
      <c r="AJ145" s="5"/>
      <c r="AK145" s="5"/>
      <c r="AL145" s="5"/>
      <c r="AM145" s="5"/>
      <c r="AN145" s="5"/>
      <c r="AO145" s="5"/>
      <c r="AP145" s="5" t="s">
        <v>39</v>
      </c>
      <c r="AQ145" s="5"/>
      <c r="AR145" s="5" t="s">
        <v>41</v>
      </c>
      <c r="AS145" s="5"/>
      <c r="AT145" s="5"/>
      <c r="AU145" s="5" t="s">
        <v>43</v>
      </c>
      <c r="AV145" s="5"/>
      <c r="AW145" s="5"/>
      <c r="AX145" s="5"/>
      <c r="AY145" s="5"/>
      <c r="AZ145" s="5"/>
      <c r="BA145" s="5"/>
      <c r="BB145" s="5"/>
      <c r="BC145" s="5"/>
      <c r="BD145" s="5" t="s">
        <v>51</v>
      </c>
      <c r="BE145" s="5"/>
      <c r="BF145" s="5"/>
      <c r="BG145" s="5" t="s">
        <v>53</v>
      </c>
      <c r="BH145" s="5"/>
      <c r="BI145" s="5"/>
      <c r="BJ145" s="5"/>
      <c r="BK145" s="5"/>
      <c r="BL145" s="5"/>
      <c r="BM145" s="5"/>
      <c r="BN145" s="5"/>
      <c r="BO145" s="5"/>
      <c r="BP145" s="5"/>
      <c r="BQ145" s="5"/>
      <c r="BR145" s="5"/>
      <c r="BS145" s="5" t="s">
        <v>63</v>
      </c>
      <c r="BT145" s="5"/>
      <c r="BU145" s="5" t="s">
        <v>64</v>
      </c>
      <c r="BV145" s="5"/>
      <c r="BW145" s="5" t="s">
        <v>66</v>
      </c>
      <c r="BX145" s="5" t="s">
        <v>67</v>
      </c>
      <c r="BY145" s="5"/>
      <c r="BZ145" s="5"/>
      <c r="CA145" s="5"/>
      <c r="CB145" s="5"/>
      <c r="CC145" s="5"/>
      <c r="CD145" s="5"/>
      <c r="CE145" s="5"/>
      <c r="CF145" s="5"/>
      <c r="CG145" s="5"/>
      <c r="CH145" s="5"/>
      <c r="CI145" s="5" t="s">
        <v>417</v>
      </c>
      <c r="CJ145" s="5">
        <v>18</v>
      </c>
      <c r="CK145" s="5" t="s">
        <v>141</v>
      </c>
      <c r="CL145" s="5" t="s">
        <v>150</v>
      </c>
      <c r="CM145" s="5" t="s">
        <v>418</v>
      </c>
      <c r="CN145" s="5"/>
      <c r="CO145" s="5" t="s">
        <v>427</v>
      </c>
      <c r="CP145" s="5" t="s">
        <v>87</v>
      </c>
      <c r="CQ145" s="5" t="s">
        <v>95</v>
      </c>
      <c r="CR145" s="5" t="s">
        <v>85</v>
      </c>
      <c r="CS145" s="5"/>
      <c r="CT145" s="5" t="s">
        <v>384</v>
      </c>
      <c r="CU145" s="5"/>
      <c r="CV145" s="5"/>
      <c r="CW145" s="5"/>
      <c r="CX145" s="5"/>
      <c r="CY145" s="5"/>
      <c r="CZ145" s="5"/>
      <c r="DA145" s="5"/>
    </row>
    <row r="146" spans="1:105">
      <c r="A146" s="5">
        <v>18022157371</v>
      </c>
      <c r="B146" s="5"/>
      <c r="C146" s="5" t="s">
        <v>17</v>
      </c>
      <c r="D146" s="5"/>
      <c r="E146" s="5"/>
      <c r="F146" s="5"/>
      <c r="G146" s="5"/>
      <c r="H146" s="5"/>
      <c r="I146" s="5"/>
      <c r="J146" s="5"/>
      <c r="K146" s="5" t="s">
        <v>25</v>
      </c>
      <c r="L146" s="5"/>
      <c r="M146" s="5"/>
      <c r="N146" s="5" t="s">
        <v>28</v>
      </c>
      <c r="O146" s="5"/>
      <c r="P146" s="5"/>
      <c r="Q146" s="5"/>
      <c r="R146" s="5"/>
      <c r="S146" s="5"/>
      <c r="T146" s="5"/>
      <c r="U146" s="5"/>
      <c r="V146" s="5"/>
      <c r="W146" s="5"/>
      <c r="X146" s="5"/>
      <c r="Y146" s="5" t="s">
        <v>25</v>
      </c>
      <c r="Z146" s="5"/>
      <c r="AA146" s="5" t="s">
        <v>27</v>
      </c>
      <c r="AB146" s="5" t="s">
        <v>28</v>
      </c>
      <c r="AC146" s="5"/>
      <c r="AD146" s="5"/>
      <c r="AE146" s="5"/>
      <c r="AF146" s="5"/>
      <c r="AG146" s="5"/>
      <c r="AH146" s="5"/>
      <c r="AI146" s="5"/>
      <c r="AJ146" s="5"/>
      <c r="AK146" s="5" t="s">
        <v>36</v>
      </c>
      <c r="AL146" s="5"/>
      <c r="AM146" s="5"/>
      <c r="AN146" s="5"/>
      <c r="AO146" s="5"/>
      <c r="AP146" s="5" t="s">
        <v>39</v>
      </c>
      <c r="AQ146" s="5"/>
      <c r="AR146" s="5"/>
      <c r="AS146" s="5" t="s">
        <v>42</v>
      </c>
      <c r="AT146" s="5"/>
      <c r="AU146" s="5" t="s">
        <v>43</v>
      </c>
      <c r="AV146" s="5"/>
      <c r="AW146" s="5"/>
      <c r="AX146" s="5"/>
      <c r="AY146" s="5"/>
      <c r="AZ146" s="5"/>
      <c r="BA146" s="5"/>
      <c r="BB146" s="5"/>
      <c r="BC146" s="5"/>
      <c r="BD146" s="5" t="s">
        <v>51</v>
      </c>
      <c r="BE146" s="5"/>
      <c r="BF146" s="5"/>
      <c r="BG146" s="5" t="s">
        <v>53</v>
      </c>
      <c r="BH146" s="5"/>
      <c r="BI146" s="5"/>
      <c r="BJ146" s="5"/>
      <c r="BK146" s="5"/>
      <c r="BL146" s="5"/>
      <c r="BM146" s="5"/>
      <c r="BN146" s="5"/>
      <c r="BO146" s="5"/>
      <c r="BP146" s="5"/>
      <c r="BQ146" s="5"/>
      <c r="BR146" s="5" t="s">
        <v>62</v>
      </c>
      <c r="BS146" s="5"/>
      <c r="BT146" s="5"/>
      <c r="BU146" s="5" t="s">
        <v>64</v>
      </c>
      <c r="BV146" s="5"/>
      <c r="BW146" s="5" t="s">
        <v>66</v>
      </c>
      <c r="BX146" s="5"/>
      <c r="BY146" s="5"/>
      <c r="BZ146" s="5"/>
      <c r="CA146" s="5"/>
      <c r="CB146" s="5"/>
      <c r="CC146" s="5"/>
      <c r="CD146" s="5"/>
      <c r="CE146" s="5"/>
      <c r="CF146" s="5" t="s">
        <v>75</v>
      </c>
      <c r="CG146" s="5"/>
      <c r="CH146" s="5"/>
      <c r="CI146" s="5" t="s">
        <v>414</v>
      </c>
      <c r="CJ146" s="5">
        <v>42</v>
      </c>
      <c r="CK146" s="5" t="s">
        <v>141</v>
      </c>
      <c r="CL146" s="5" t="s">
        <v>362</v>
      </c>
      <c r="CM146" s="5" t="s">
        <v>418</v>
      </c>
      <c r="CN146" s="5" t="s">
        <v>419</v>
      </c>
      <c r="CO146" s="5" t="s">
        <v>82</v>
      </c>
      <c r="CP146" s="5" t="s">
        <v>83</v>
      </c>
      <c r="CQ146" s="5" t="s">
        <v>103</v>
      </c>
      <c r="CR146" s="5" t="s">
        <v>85</v>
      </c>
      <c r="CS146" s="5" t="s">
        <v>86</v>
      </c>
      <c r="CT146" s="5" t="s">
        <v>384</v>
      </c>
      <c r="CU146" s="5"/>
      <c r="CV146" s="5"/>
      <c r="CW146" s="5"/>
      <c r="CX146" s="5"/>
      <c r="CY146" s="5"/>
      <c r="CZ146" s="5"/>
      <c r="DA146" s="5"/>
    </row>
    <row r="147" spans="1:105">
      <c r="A147" s="5">
        <v>18022157215</v>
      </c>
      <c r="B147" s="5" t="s">
        <v>16</v>
      </c>
      <c r="C147" s="5"/>
      <c r="D147" s="5"/>
      <c r="E147" s="5"/>
      <c r="F147" s="5"/>
      <c r="G147" s="5"/>
      <c r="H147" s="5"/>
      <c r="I147" s="5" t="s">
        <v>23</v>
      </c>
      <c r="J147" s="5"/>
      <c r="K147" s="5" t="s">
        <v>25</v>
      </c>
      <c r="L147" s="5"/>
      <c r="M147" s="5"/>
      <c r="N147" s="5"/>
      <c r="O147" s="5"/>
      <c r="P147" s="5" t="s">
        <v>16</v>
      </c>
      <c r="Q147" s="5"/>
      <c r="R147" s="5"/>
      <c r="S147" s="5"/>
      <c r="T147" s="5"/>
      <c r="U147" s="5"/>
      <c r="V147" s="5"/>
      <c r="W147" s="5" t="s">
        <v>23</v>
      </c>
      <c r="X147" s="5"/>
      <c r="Y147" s="5" t="s">
        <v>25</v>
      </c>
      <c r="Z147" s="5"/>
      <c r="AA147" s="5"/>
      <c r="AB147" s="5"/>
      <c r="AC147" s="5"/>
      <c r="AD147" s="5" t="s">
        <v>29</v>
      </c>
      <c r="AE147" s="5"/>
      <c r="AF147" s="5" t="s">
        <v>31</v>
      </c>
      <c r="AG147" s="5"/>
      <c r="AH147" s="5"/>
      <c r="AI147" s="5"/>
      <c r="AJ147" s="5"/>
      <c r="AK147" s="5" t="s">
        <v>36</v>
      </c>
      <c r="AL147" s="5"/>
      <c r="AM147" s="5"/>
      <c r="AN147" s="5"/>
      <c r="AO147" s="5"/>
      <c r="AP147" s="5" t="s">
        <v>39</v>
      </c>
      <c r="AQ147" s="5"/>
      <c r="AR147" s="5"/>
      <c r="AS147" s="5"/>
      <c r="AT147" s="5"/>
      <c r="AU147" s="5" t="s">
        <v>43</v>
      </c>
      <c r="AV147" s="5"/>
      <c r="AW147" s="5"/>
      <c r="AX147" s="5" t="s">
        <v>46</v>
      </c>
      <c r="AY147" s="5"/>
      <c r="AZ147" s="5"/>
      <c r="BA147" s="5"/>
      <c r="BB147" s="5"/>
      <c r="BC147" s="5" t="s">
        <v>50</v>
      </c>
      <c r="BD147" s="5"/>
      <c r="BE147" s="5"/>
      <c r="BF147" s="5"/>
      <c r="BG147" s="5"/>
      <c r="BH147" s="5"/>
      <c r="BI147" s="5"/>
      <c r="BJ147" s="5"/>
      <c r="BK147" s="5"/>
      <c r="BL147" s="5"/>
      <c r="BM147" s="5" t="s">
        <v>59</v>
      </c>
      <c r="BN147" s="5"/>
      <c r="BO147" s="5"/>
      <c r="BP147" s="5"/>
      <c r="BQ147" s="5"/>
      <c r="BR147" s="5"/>
      <c r="BS147" s="5" t="s">
        <v>63</v>
      </c>
      <c r="BT147" s="5"/>
      <c r="BU147" s="5" t="s">
        <v>64</v>
      </c>
      <c r="BV147" s="5"/>
      <c r="BW147" s="5" t="s">
        <v>66</v>
      </c>
      <c r="BX147" s="5"/>
      <c r="BY147" s="5"/>
      <c r="BZ147" s="5" t="s">
        <v>69</v>
      </c>
      <c r="CA147" s="5"/>
      <c r="CB147" s="5"/>
      <c r="CC147" s="5"/>
      <c r="CD147" s="5"/>
      <c r="CE147" s="5"/>
      <c r="CF147" s="5"/>
      <c r="CG147" s="5"/>
      <c r="CH147" s="5"/>
      <c r="CI147" s="5" t="s">
        <v>414</v>
      </c>
      <c r="CJ147" s="5">
        <v>18</v>
      </c>
      <c r="CK147" s="5" t="s">
        <v>141</v>
      </c>
      <c r="CL147" s="5" t="s">
        <v>150</v>
      </c>
      <c r="CM147" s="5" t="s">
        <v>418</v>
      </c>
      <c r="CN147" s="5" t="s">
        <v>419</v>
      </c>
      <c r="CO147" s="5" t="s">
        <v>82</v>
      </c>
      <c r="CP147" s="5" t="s">
        <v>83</v>
      </c>
      <c r="CQ147" s="5" t="s">
        <v>95</v>
      </c>
      <c r="CR147" s="5" t="s">
        <v>89</v>
      </c>
      <c r="CS147" s="5"/>
      <c r="CT147" s="5" t="s">
        <v>385</v>
      </c>
      <c r="CU147" s="5"/>
      <c r="CV147" s="5"/>
      <c r="CW147" s="5"/>
      <c r="CX147" s="5"/>
      <c r="CY147" s="5"/>
      <c r="CZ147" s="5"/>
      <c r="DA147" s="5"/>
    </row>
    <row r="148" spans="1:105">
      <c r="A148" s="5">
        <v>18022157058</v>
      </c>
      <c r="B148" s="5"/>
      <c r="C148" s="5"/>
      <c r="D148" s="5"/>
      <c r="E148" s="5"/>
      <c r="F148" s="5"/>
      <c r="G148" s="5"/>
      <c r="H148" s="5"/>
      <c r="I148" s="5"/>
      <c r="J148" s="5"/>
      <c r="K148" s="5" t="s">
        <v>25</v>
      </c>
      <c r="L148" s="5" t="s">
        <v>26</v>
      </c>
      <c r="M148" s="5"/>
      <c r="N148" s="5"/>
      <c r="O148" s="5"/>
      <c r="P148" s="5"/>
      <c r="Q148" s="5"/>
      <c r="R148" s="5"/>
      <c r="S148" s="5"/>
      <c r="T148" s="5"/>
      <c r="U148" s="5"/>
      <c r="V148" s="5" t="s">
        <v>22</v>
      </c>
      <c r="W148" s="5"/>
      <c r="X148" s="5"/>
      <c r="Y148" s="5" t="s">
        <v>25</v>
      </c>
      <c r="Z148" s="5"/>
      <c r="AA148" s="5"/>
      <c r="AB148" s="5"/>
      <c r="AC148" s="5"/>
      <c r="AD148" s="5"/>
      <c r="AE148" s="5" t="s">
        <v>30</v>
      </c>
      <c r="AF148" s="5"/>
      <c r="AG148" s="5"/>
      <c r="AH148" s="5"/>
      <c r="AI148" s="5"/>
      <c r="AJ148" s="5"/>
      <c r="AK148" s="5" t="s">
        <v>36</v>
      </c>
      <c r="AL148" s="5"/>
      <c r="AM148" s="5"/>
      <c r="AN148" s="5"/>
      <c r="AO148" s="5" t="s">
        <v>38</v>
      </c>
      <c r="AP148" s="5"/>
      <c r="AQ148" s="5"/>
      <c r="AR148" s="5" t="s">
        <v>41</v>
      </c>
      <c r="AS148" s="5"/>
      <c r="AT148" s="5"/>
      <c r="AU148" s="5" t="s">
        <v>43</v>
      </c>
      <c r="AV148" s="5"/>
      <c r="AW148" s="5"/>
      <c r="AX148" s="5" t="s">
        <v>46</v>
      </c>
      <c r="AY148" s="5"/>
      <c r="AZ148" s="5"/>
      <c r="BA148" s="5"/>
      <c r="BB148" s="5"/>
      <c r="BC148" s="5"/>
      <c r="BD148" s="5" t="s">
        <v>51</v>
      </c>
      <c r="BE148" s="5" t="s">
        <v>17</v>
      </c>
      <c r="BF148" s="5"/>
      <c r="BG148" s="5"/>
      <c r="BH148" s="5"/>
      <c r="BI148" s="5"/>
      <c r="BJ148" s="5"/>
      <c r="BK148" s="5"/>
      <c r="BL148" s="5"/>
      <c r="BM148" s="5"/>
      <c r="BN148" s="5"/>
      <c r="BO148" s="5"/>
      <c r="BP148" s="5"/>
      <c r="BQ148" s="5"/>
      <c r="BR148" s="5"/>
      <c r="BS148" s="5"/>
      <c r="BT148" s="5"/>
      <c r="BU148" s="5" t="s">
        <v>64</v>
      </c>
      <c r="BV148" s="5"/>
      <c r="BW148" s="5" t="s">
        <v>66</v>
      </c>
      <c r="BX148" s="5" t="s">
        <v>67</v>
      </c>
      <c r="BY148" s="5"/>
      <c r="BZ148" s="5"/>
      <c r="CA148" s="5"/>
      <c r="CB148" s="5"/>
      <c r="CC148" s="5"/>
      <c r="CD148" s="5"/>
      <c r="CE148" s="5"/>
      <c r="CF148" s="5"/>
      <c r="CG148" s="5"/>
      <c r="CH148" s="5"/>
      <c r="CI148" s="5" t="s">
        <v>414</v>
      </c>
      <c r="CJ148" s="5">
        <v>18</v>
      </c>
      <c r="CK148" s="5" t="s">
        <v>141</v>
      </c>
      <c r="CL148" s="5" t="s">
        <v>150</v>
      </c>
      <c r="CM148" s="5" t="s">
        <v>418</v>
      </c>
      <c r="CN148" s="5" t="s">
        <v>419</v>
      </c>
      <c r="CO148" s="5" t="s">
        <v>82</v>
      </c>
      <c r="CP148" s="5" t="s">
        <v>94</v>
      </c>
      <c r="CQ148" s="5" t="s">
        <v>104</v>
      </c>
      <c r="CR148" s="5" t="s">
        <v>105</v>
      </c>
      <c r="CS148" s="5" t="s">
        <v>86</v>
      </c>
      <c r="CT148" s="5"/>
      <c r="CU148" s="5"/>
      <c r="CV148" s="5"/>
      <c r="CW148" s="5"/>
      <c r="CX148" s="5"/>
      <c r="CY148" s="5"/>
      <c r="CZ148" s="5"/>
      <c r="DA148" s="5"/>
    </row>
    <row r="149" spans="1:105">
      <c r="A149" s="5">
        <v>18022156869</v>
      </c>
      <c r="B149" s="5"/>
      <c r="C149" s="5"/>
      <c r="D149" s="5"/>
      <c r="E149" s="5"/>
      <c r="F149" s="5"/>
      <c r="G149" s="5"/>
      <c r="H149" s="5"/>
      <c r="I149" s="5"/>
      <c r="J149" s="5"/>
      <c r="K149" s="5" t="s">
        <v>25</v>
      </c>
      <c r="L149" s="5" t="s">
        <v>26</v>
      </c>
      <c r="M149" s="5"/>
      <c r="N149" s="5"/>
      <c r="O149" s="5"/>
      <c r="P149" s="5"/>
      <c r="Q149" s="5"/>
      <c r="R149" s="5"/>
      <c r="S149" s="5"/>
      <c r="T149" s="5"/>
      <c r="U149" s="5"/>
      <c r="V149" s="5" t="s">
        <v>22</v>
      </c>
      <c r="W149" s="5" t="s">
        <v>23</v>
      </c>
      <c r="X149" s="5"/>
      <c r="Y149" s="5" t="s">
        <v>25</v>
      </c>
      <c r="Z149" s="5"/>
      <c r="AA149" s="5"/>
      <c r="AB149" s="5"/>
      <c r="AC149" s="5"/>
      <c r="AD149" s="5"/>
      <c r="AE149" s="5"/>
      <c r="AF149" s="5"/>
      <c r="AG149" s="5"/>
      <c r="AH149" s="5"/>
      <c r="AI149" s="5"/>
      <c r="AJ149" s="5" t="s">
        <v>35</v>
      </c>
      <c r="AK149" s="5"/>
      <c r="AL149" s="5"/>
      <c r="AM149" s="5" t="s">
        <v>375</v>
      </c>
      <c r="AN149" s="5"/>
      <c r="AO149" s="5"/>
      <c r="AP149" s="5" t="s">
        <v>39</v>
      </c>
      <c r="AQ149" s="5"/>
      <c r="AR149" s="5"/>
      <c r="AS149" s="5"/>
      <c r="AT149" s="5"/>
      <c r="AU149" s="5" t="s">
        <v>43</v>
      </c>
      <c r="AV149" s="5"/>
      <c r="AW149" s="5"/>
      <c r="AX149" s="5" t="s">
        <v>46</v>
      </c>
      <c r="AY149" s="5"/>
      <c r="AZ149" s="5"/>
      <c r="BA149" s="5"/>
      <c r="BB149" s="5"/>
      <c r="BC149" s="5" t="s">
        <v>50</v>
      </c>
      <c r="BD149" s="5"/>
      <c r="BE149" s="5"/>
      <c r="BF149" s="5"/>
      <c r="BG149" s="5"/>
      <c r="BH149" s="5"/>
      <c r="BI149" s="5"/>
      <c r="BJ149" s="5"/>
      <c r="BK149" s="5"/>
      <c r="BL149" s="5"/>
      <c r="BM149" s="5" t="s">
        <v>59</v>
      </c>
      <c r="BN149" s="5"/>
      <c r="BO149" s="5"/>
      <c r="BP149" s="5"/>
      <c r="BQ149" s="5"/>
      <c r="BR149" s="5"/>
      <c r="BS149" s="5" t="s">
        <v>63</v>
      </c>
      <c r="BT149" s="5"/>
      <c r="BU149" s="5" t="s">
        <v>64</v>
      </c>
      <c r="BV149" s="5"/>
      <c r="BW149" s="5" t="s">
        <v>66</v>
      </c>
      <c r="BX149" s="5" t="s">
        <v>67</v>
      </c>
      <c r="BY149" s="5"/>
      <c r="BZ149" s="5"/>
      <c r="CA149" s="5"/>
      <c r="CB149" s="5"/>
      <c r="CC149" s="5"/>
      <c r="CD149" s="5"/>
      <c r="CE149" s="5"/>
      <c r="CF149" s="5" t="s">
        <v>75</v>
      </c>
      <c r="CG149" s="5" t="s">
        <v>76</v>
      </c>
      <c r="CH149" s="5"/>
      <c r="CI149" s="5" t="s">
        <v>414</v>
      </c>
      <c r="CJ149" s="5">
        <v>18</v>
      </c>
      <c r="CK149" s="5" t="s">
        <v>141</v>
      </c>
      <c r="CL149" s="5" t="s">
        <v>150</v>
      </c>
      <c r="CM149" s="5" t="s">
        <v>418</v>
      </c>
      <c r="CN149" s="5" t="s">
        <v>419</v>
      </c>
      <c r="CO149" s="5" t="s">
        <v>82</v>
      </c>
      <c r="CP149" s="5" t="s">
        <v>83</v>
      </c>
      <c r="CQ149" s="5" t="s">
        <v>106</v>
      </c>
      <c r="CR149" s="5" t="s">
        <v>85</v>
      </c>
      <c r="CS149" s="5" t="s">
        <v>86</v>
      </c>
      <c r="CT149" s="5" t="s">
        <v>385</v>
      </c>
      <c r="CU149" s="5"/>
      <c r="CV149" s="5"/>
      <c r="CW149" s="5"/>
      <c r="CX149" s="5"/>
      <c r="CY149" s="5"/>
      <c r="CZ149" s="5"/>
      <c r="DA149" s="5"/>
    </row>
    <row r="150" spans="1:105">
      <c r="A150" s="5">
        <v>18022156726</v>
      </c>
      <c r="B150" s="5"/>
      <c r="C150" s="5" t="s">
        <v>17</v>
      </c>
      <c r="D150" s="5"/>
      <c r="E150" s="5"/>
      <c r="F150" s="5"/>
      <c r="G150" s="5"/>
      <c r="H150" s="5"/>
      <c r="I150" s="5"/>
      <c r="J150" s="5"/>
      <c r="K150" s="5"/>
      <c r="L150" s="5"/>
      <c r="M150" s="5"/>
      <c r="N150" s="5"/>
      <c r="O150" s="5"/>
      <c r="P150" s="5"/>
      <c r="Q150" s="5"/>
      <c r="R150" s="5"/>
      <c r="S150" s="5"/>
      <c r="T150" s="5"/>
      <c r="U150" s="5"/>
      <c r="V150" s="5"/>
      <c r="W150" s="5"/>
      <c r="X150" s="5" t="s">
        <v>24</v>
      </c>
      <c r="Y150" s="5"/>
      <c r="Z150" s="5"/>
      <c r="AA150" s="5"/>
      <c r="AB150" s="5"/>
      <c r="AC150" s="5"/>
      <c r="AD150" s="5"/>
      <c r="AE150" s="5"/>
      <c r="AF150" s="5"/>
      <c r="AG150" s="5"/>
      <c r="AH150" s="5"/>
      <c r="AI150" s="5" t="s">
        <v>34</v>
      </c>
      <c r="AJ150" s="5"/>
      <c r="AK150" s="5"/>
      <c r="AL150" s="5"/>
      <c r="AM150" s="5"/>
      <c r="AN150" s="5"/>
      <c r="AO150" s="5"/>
      <c r="AP150" s="5"/>
      <c r="AQ150" s="5"/>
      <c r="AR150" s="5"/>
      <c r="AS150" s="5"/>
      <c r="AT150" s="5"/>
      <c r="AU150" s="5"/>
      <c r="AV150" s="5"/>
      <c r="AW150" s="5" t="s">
        <v>45</v>
      </c>
      <c r="AX150" s="5"/>
      <c r="AY150" s="5"/>
      <c r="AZ150" s="5"/>
      <c r="BA150" s="5"/>
      <c r="BB150" s="5"/>
      <c r="BC150" s="5"/>
      <c r="BD150" s="5"/>
      <c r="BE150" s="5"/>
      <c r="BF150" s="5"/>
      <c r="BG150" s="5" t="s">
        <v>53</v>
      </c>
      <c r="BH150" s="5"/>
      <c r="BI150" s="5"/>
      <c r="BJ150" s="5"/>
      <c r="BK150" s="5"/>
      <c r="BL150" s="5"/>
      <c r="BM150" s="5"/>
      <c r="BN150" s="5"/>
      <c r="BO150" s="5"/>
      <c r="BP150" s="5"/>
      <c r="BQ150" s="5"/>
      <c r="BR150" s="5"/>
      <c r="BS150" s="5"/>
      <c r="BT150" s="5"/>
      <c r="BU150" s="5" t="s">
        <v>64</v>
      </c>
      <c r="BV150" s="5"/>
      <c r="BW150" s="5"/>
      <c r="BX150" s="5"/>
      <c r="BY150" s="5"/>
      <c r="BZ150" s="5"/>
      <c r="CA150" s="5"/>
      <c r="CB150" s="5"/>
      <c r="CC150" s="5"/>
      <c r="CD150" s="5"/>
      <c r="CE150" s="5"/>
      <c r="CF150" s="5"/>
      <c r="CG150" s="5"/>
      <c r="CH150" s="5"/>
      <c r="CI150" s="5" t="s">
        <v>414</v>
      </c>
      <c r="CJ150" s="5">
        <v>39</v>
      </c>
      <c r="CK150" s="5" t="s">
        <v>141</v>
      </c>
      <c r="CL150" s="5" t="s">
        <v>170</v>
      </c>
      <c r="CM150" s="5" t="s">
        <v>418</v>
      </c>
      <c r="CN150" s="5" t="s">
        <v>419</v>
      </c>
      <c r="CO150" s="5" t="s">
        <v>82</v>
      </c>
      <c r="CP150" s="5" t="s">
        <v>83</v>
      </c>
      <c r="CQ150" s="5" t="s">
        <v>103</v>
      </c>
      <c r="CR150" s="5" t="s">
        <v>85</v>
      </c>
      <c r="CS150" s="5" t="s">
        <v>86</v>
      </c>
      <c r="CT150" s="5"/>
      <c r="CU150" s="5"/>
      <c r="CV150" s="5"/>
      <c r="CW150" s="5"/>
      <c r="CX150" s="5"/>
      <c r="CY150" s="5"/>
      <c r="CZ150" s="5"/>
      <c r="DA150" s="5"/>
    </row>
    <row r="151" spans="1:105">
      <c r="A151" s="5">
        <v>18022156601</v>
      </c>
      <c r="B151" s="5"/>
      <c r="C151" s="5"/>
      <c r="D151" s="5" t="s">
        <v>18</v>
      </c>
      <c r="E151" s="5"/>
      <c r="F151" s="5"/>
      <c r="G151" s="5"/>
      <c r="H151" s="5"/>
      <c r="I151" s="5"/>
      <c r="J151" s="5"/>
      <c r="K151" s="5" t="s">
        <v>25</v>
      </c>
      <c r="L151" s="5" t="s">
        <v>26</v>
      </c>
      <c r="M151" s="5"/>
      <c r="N151" s="5"/>
      <c r="O151" s="5"/>
      <c r="P151" s="5"/>
      <c r="Q151" s="5"/>
      <c r="R151" s="5"/>
      <c r="S151" s="5"/>
      <c r="T151" s="5"/>
      <c r="U151" s="5"/>
      <c r="V151" s="5"/>
      <c r="W151" s="5" t="s">
        <v>23</v>
      </c>
      <c r="X151" s="5"/>
      <c r="Y151" s="5"/>
      <c r="Z151" s="5"/>
      <c r="AA151" s="5"/>
      <c r="AB151" s="5"/>
      <c r="AC151" s="5"/>
      <c r="AD151" s="5"/>
      <c r="AE151" s="5"/>
      <c r="AF151" s="5" t="s">
        <v>31</v>
      </c>
      <c r="AG151" s="5"/>
      <c r="AH151" s="5"/>
      <c r="AI151" s="5"/>
      <c r="AJ151" s="5" t="s">
        <v>35</v>
      </c>
      <c r="AK151" s="5"/>
      <c r="AL151" s="5"/>
      <c r="AM151" s="5"/>
      <c r="AN151" s="5"/>
      <c r="AO151" s="5"/>
      <c r="AP151" s="5"/>
      <c r="AQ151" s="5"/>
      <c r="AR151" s="5"/>
      <c r="AS151" s="5" t="s">
        <v>42</v>
      </c>
      <c r="AT151" s="5" t="s">
        <v>37</v>
      </c>
      <c r="AU151" s="5" t="s">
        <v>43</v>
      </c>
      <c r="AV151" s="5"/>
      <c r="AW151" s="5"/>
      <c r="AX151" s="5"/>
      <c r="AY151" s="5"/>
      <c r="AZ151" s="5"/>
      <c r="BA151" s="5"/>
      <c r="BB151" s="5"/>
      <c r="BC151" s="5"/>
      <c r="BD151" s="5" t="s">
        <v>51</v>
      </c>
      <c r="BE151" s="5"/>
      <c r="BF151" s="5"/>
      <c r="BG151" s="5" t="s">
        <v>53</v>
      </c>
      <c r="BH151" s="5"/>
      <c r="BI151" s="5" t="s">
        <v>55</v>
      </c>
      <c r="BJ151" s="5"/>
      <c r="BK151" s="5"/>
      <c r="BL151" s="5"/>
      <c r="BM151" s="5"/>
      <c r="BN151" s="5"/>
      <c r="BO151" s="5"/>
      <c r="BP151" s="5"/>
      <c r="BQ151" s="5"/>
      <c r="BR151" s="5"/>
      <c r="BS151" s="5"/>
      <c r="BT151" s="5"/>
      <c r="BU151" s="5" t="s">
        <v>64</v>
      </c>
      <c r="BV151" s="5"/>
      <c r="BW151" s="5" t="s">
        <v>66</v>
      </c>
      <c r="BX151" s="5" t="s">
        <v>67</v>
      </c>
      <c r="BY151" s="5"/>
      <c r="BZ151" s="5"/>
      <c r="CA151" s="5"/>
      <c r="CB151" s="5"/>
      <c r="CC151" s="5"/>
      <c r="CD151" s="5"/>
      <c r="CE151" s="5"/>
      <c r="CF151" s="5"/>
      <c r="CG151" s="5"/>
      <c r="CH151" s="5"/>
      <c r="CI151" s="5" t="s">
        <v>414</v>
      </c>
      <c r="CJ151" s="5">
        <v>49</v>
      </c>
      <c r="CK151" s="5" t="s">
        <v>141</v>
      </c>
      <c r="CL151" s="5" t="s">
        <v>150</v>
      </c>
      <c r="CM151" s="5" t="s">
        <v>418</v>
      </c>
      <c r="CN151" s="5" t="s">
        <v>419</v>
      </c>
      <c r="CO151" s="5" t="s">
        <v>82</v>
      </c>
      <c r="CP151" s="5" t="s">
        <v>83</v>
      </c>
      <c r="CQ151" s="5" t="s">
        <v>95</v>
      </c>
      <c r="CR151" s="5" t="s">
        <v>96</v>
      </c>
      <c r="CS151" s="5" t="s">
        <v>86</v>
      </c>
      <c r="CT151" s="5" t="s">
        <v>384</v>
      </c>
      <c r="CU151" s="5"/>
      <c r="CV151" s="5"/>
      <c r="CW151" s="5"/>
      <c r="CX151" s="5"/>
      <c r="CY151" s="5"/>
      <c r="CZ151" s="5"/>
      <c r="DA151" s="5"/>
    </row>
    <row r="152" spans="1:105">
      <c r="A152" s="5">
        <v>18022142040</v>
      </c>
      <c r="B152" s="5"/>
      <c r="C152" s="5" t="s">
        <v>17</v>
      </c>
      <c r="D152" s="5"/>
      <c r="E152" s="5"/>
      <c r="F152" s="5"/>
      <c r="G152" s="5"/>
      <c r="H152" s="5"/>
      <c r="I152" s="5"/>
      <c r="J152" s="5"/>
      <c r="K152" s="5" t="s">
        <v>25</v>
      </c>
      <c r="L152" s="5" t="s">
        <v>26</v>
      </c>
      <c r="M152" s="5"/>
      <c r="N152" s="5"/>
      <c r="O152" s="5"/>
      <c r="P152" s="5" t="s">
        <v>16</v>
      </c>
      <c r="Q152" s="5"/>
      <c r="R152" s="5"/>
      <c r="S152" s="5"/>
      <c r="T152" s="5"/>
      <c r="U152" s="5"/>
      <c r="V152" s="5"/>
      <c r="W152" s="5"/>
      <c r="X152" s="5"/>
      <c r="Y152" s="5"/>
      <c r="Z152" s="5"/>
      <c r="AA152" s="5"/>
      <c r="AB152" s="5"/>
      <c r="AC152" s="5"/>
      <c r="AD152" s="5"/>
      <c r="AE152" s="5"/>
      <c r="AF152" s="5"/>
      <c r="AG152" s="5"/>
      <c r="AH152" s="5"/>
      <c r="AI152" s="5" t="s">
        <v>34</v>
      </c>
      <c r="AJ152" s="5"/>
      <c r="AK152" s="5"/>
      <c r="AL152" s="5"/>
      <c r="AM152" s="5"/>
      <c r="AN152" s="5"/>
      <c r="AO152" s="5"/>
      <c r="AP152" s="5" t="s">
        <v>39</v>
      </c>
      <c r="AQ152" s="5"/>
      <c r="AR152" s="5" t="s">
        <v>41</v>
      </c>
      <c r="AS152" s="5"/>
      <c r="AT152" s="5"/>
      <c r="AU152" s="5"/>
      <c r="AV152" s="5" t="s">
        <v>44</v>
      </c>
      <c r="AW152" s="5"/>
      <c r="AX152" s="5"/>
      <c r="AY152" s="5"/>
      <c r="AZ152" s="5"/>
      <c r="BA152" s="5"/>
      <c r="BB152" s="5"/>
      <c r="BC152" s="5"/>
      <c r="BD152" s="5" t="s">
        <v>51</v>
      </c>
      <c r="BE152" s="5" t="s">
        <v>17</v>
      </c>
      <c r="BF152" s="5"/>
      <c r="BG152" s="5"/>
      <c r="BH152" s="5"/>
      <c r="BI152" s="5"/>
      <c r="BJ152" s="5"/>
      <c r="BK152" s="5"/>
      <c r="BL152" s="5"/>
      <c r="BM152" s="5"/>
      <c r="BN152" s="5"/>
      <c r="BO152" s="5"/>
      <c r="BP152" s="5" t="s">
        <v>60</v>
      </c>
      <c r="BQ152" s="5"/>
      <c r="BR152" s="5"/>
      <c r="BS152" s="5"/>
      <c r="BT152" s="5"/>
      <c r="BU152" s="5" t="s">
        <v>64</v>
      </c>
      <c r="BV152" s="5"/>
      <c r="BW152" s="5"/>
      <c r="BX152" s="5"/>
      <c r="BY152" s="5"/>
      <c r="BZ152" s="5" t="s">
        <v>69</v>
      </c>
      <c r="CA152" s="5" t="s">
        <v>70</v>
      </c>
      <c r="CB152" s="5"/>
      <c r="CC152" s="5"/>
      <c r="CD152" s="5"/>
      <c r="CE152" s="5"/>
      <c r="CF152" s="5"/>
      <c r="CG152" s="5"/>
      <c r="CH152" s="5"/>
      <c r="CI152" s="5" t="s">
        <v>417</v>
      </c>
      <c r="CJ152" s="5">
        <v>37</v>
      </c>
      <c r="CK152" s="5" t="s">
        <v>141</v>
      </c>
      <c r="CL152" s="5" t="s">
        <v>357</v>
      </c>
      <c r="CM152" s="5" t="s">
        <v>418</v>
      </c>
      <c r="CN152" s="5" t="s">
        <v>419</v>
      </c>
      <c r="CO152" s="5" t="s">
        <v>82</v>
      </c>
      <c r="CP152" s="5" t="s">
        <v>83</v>
      </c>
      <c r="CQ152" s="5" t="s">
        <v>103</v>
      </c>
      <c r="CR152" s="5" t="s">
        <v>85</v>
      </c>
      <c r="CS152" s="5" t="s">
        <v>86</v>
      </c>
      <c r="CT152" s="5" t="s">
        <v>384</v>
      </c>
      <c r="CU152" s="5" t="s">
        <v>86</v>
      </c>
      <c r="CV152" s="5"/>
      <c r="CW152" s="5"/>
      <c r="CX152" s="5"/>
      <c r="CY152" s="5"/>
      <c r="CZ152" s="5"/>
      <c r="DA152" s="5"/>
    </row>
    <row r="153" spans="1:105">
      <c r="A153" s="5">
        <v>18022097237</v>
      </c>
      <c r="B153" s="5" t="s">
        <v>16</v>
      </c>
      <c r="C153" s="5" t="s">
        <v>17</v>
      </c>
      <c r="D153" s="5"/>
      <c r="E153" s="5"/>
      <c r="F153" s="5"/>
      <c r="G153" s="5"/>
      <c r="H153" s="5"/>
      <c r="I153" s="5"/>
      <c r="J153" s="5"/>
      <c r="K153" s="5" t="s">
        <v>25</v>
      </c>
      <c r="L153" s="5"/>
      <c r="M153" s="5"/>
      <c r="N153" s="5"/>
      <c r="O153" s="5"/>
      <c r="P153" s="5"/>
      <c r="Q153" s="5"/>
      <c r="R153" s="5"/>
      <c r="S153" s="5"/>
      <c r="T153" s="5"/>
      <c r="U153" s="5"/>
      <c r="V153" s="5" t="s">
        <v>22</v>
      </c>
      <c r="W153" s="5" t="s">
        <v>23</v>
      </c>
      <c r="X153" s="5"/>
      <c r="Y153" s="5"/>
      <c r="Z153" s="5"/>
      <c r="AA153" s="5"/>
      <c r="AB153" s="5"/>
      <c r="AC153" s="5"/>
      <c r="AD153" s="5"/>
      <c r="AE153" s="5"/>
      <c r="AF153" s="5"/>
      <c r="AG153" s="5"/>
      <c r="AH153" s="5"/>
      <c r="AI153" s="5" t="s">
        <v>34</v>
      </c>
      <c r="AJ153" s="5"/>
      <c r="AK153" s="5"/>
      <c r="AL153" s="5"/>
      <c r="AM153" s="5"/>
      <c r="AN153" s="5"/>
      <c r="AO153" s="5"/>
      <c r="AP153" s="5"/>
      <c r="AQ153" s="5"/>
      <c r="AR153" s="5"/>
      <c r="AS153" s="5"/>
      <c r="AT153" s="5"/>
      <c r="AU153" s="5" t="s">
        <v>43</v>
      </c>
      <c r="AV153" s="5"/>
      <c r="AW153" s="5"/>
      <c r="AX153" s="5"/>
      <c r="AY153" s="5"/>
      <c r="AZ153" s="5"/>
      <c r="BA153" s="5"/>
      <c r="BB153" s="5"/>
      <c r="BC153" s="5"/>
      <c r="BD153" s="5" t="s">
        <v>51</v>
      </c>
      <c r="BE153" s="5"/>
      <c r="BF153" s="5"/>
      <c r="BG153" s="5" t="s">
        <v>53</v>
      </c>
      <c r="BH153" s="5"/>
      <c r="BI153" s="5" t="s">
        <v>55</v>
      </c>
      <c r="BJ153" s="5"/>
      <c r="BK153" s="5"/>
      <c r="BL153" s="5"/>
      <c r="BM153" s="5"/>
      <c r="BN153" s="5"/>
      <c r="BO153" s="5"/>
      <c r="BP153" s="5"/>
      <c r="BQ153" s="5"/>
      <c r="BR153" s="5"/>
      <c r="BS153" s="5"/>
      <c r="BT153" s="5"/>
      <c r="BU153" s="5" t="s">
        <v>64</v>
      </c>
      <c r="BV153" s="5"/>
      <c r="BW153" s="5"/>
      <c r="BX153" s="5"/>
      <c r="BY153" s="5"/>
      <c r="BZ153" s="5"/>
      <c r="CA153" s="5" t="s">
        <v>70</v>
      </c>
      <c r="CB153" s="5"/>
      <c r="CC153" s="5"/>
      <c r="CD153" s="5"/>
      <c r="CE153" s="5"/>
      <c r="CF153" s="5" t="s">
        <v>75</v>
      </c>
      <c r="CG153" s="5"/>
      <c r="CH153" s="5"/>
      <c r="CI153" s="5" t="s">
        <v>414</v>
      </c>
      <c r="CJ153" s="5">
        <v>38</v>
      </c>
      <c r="CK153" s="5" t="s">
        <v>141</v>
      </c>
      <c r="CL153" s="5" t="s">
        <v>186</v>
      </c>
      <c r="CM153" s="5" t="s">
        <v>418</v>
      </c>
      <c r="CN153" s="5" t="s">
        <v>419</v>
      </c>
      <c r="CO153" s="5" t="s">
        <v>82</v>
      </c>
      <c r="CP153" s="5" t="s">
        <v>83</v>
      </c>
      <c r="CQ153" s="5" t="s">
        <v>103</v>
      </c>
      <c r="CR153" s="5" t="s">
        <v>85</v>
      </c>
      <c r="CS153" s="5" t="s">
        <v>86</v>
      </c>
      <c r="CT153" s="5" t="s">
        <v>384</v>
      </c>
      <c r="CU153" s="5" t="s">
        <v>86</v>
      </c>
      <c r="CV153" s="5"/>
      <c r="CW153" s="5"/>
      <c r="CX153" s="5"/>
      <c r="CY153" s="5"/>
      <c r="CZ153" s="5"/>
      <c r="DA153" s="5"/>
    </row>
    <row r="154" spans="1:105">
      <c r="A154" s="5">
        <v>18022088692</v>
      </c>
      <c r="B154" s="5"/>
      <c r="C154" s="5" t="s">
        <v>17</v>
      </c>
      <c r="D154" s="5" t="s">
        <v>18</v>
      </c>
      <c r="E154" s="5"/>
      <c r="F154" s="5"/>
      <c r="G154" s="5"/>
      <c r="H154" s="5"/>
      <c r="I154" s="5"/>
      <c r="J154" s="5"/>
      <c r="K154" s="5"/>
      <c r="L154" s="5" t="s">
        <v>26</v>
      </c>
      <c r="M154" s="5"/>
      <c r="N154" s="5"/>
      <c r="O154" s="5"/>
      <c r="P154" s="5" t="s">
        <v>16</v>
      </c>
      <c r="Q154" s="5"/>
      <c r="R154" s="5" t="s">
        <v>18</v>
      </c>
      <c r="S154" s="5"/>
      <c r="T154" s="5"/>
      <c r="U154" s="5"/>
      <c r="V154" s="5"/>
      <c r="W154" s="5"/>
      <c r="X154" s="5"/>
      <c r="Y154" s="5"/>
      <c r="Z154" s="5"/>
      <c r="AA154" s="5"/>
      <c r="AB154" s="5" t="s">
        <v>28</v>
      </c>
      <c r="AC154" s="5"/>
      <c r="AD154" s="5"/>
      <c r="AE154" s="5"/>
      <c r="AF154" s="5"/>
      <c r="AG154" s="5"/>
      <c r="AH154" s="5"/>
      <c r="AI154" s="5" t="s">
        <v>34</v>
      </c>
      <c r="AJ154" s="5"/>
      <c r="AK154" s="5"/>
      <c r="AL154" s="5"/>
      <c r="AM154" s="5"/>
      <c r="AN154" s="5"/>
      <c r="AO154" s="5" t="s">
        <v>38</v>
      </c>
      <c r="AP154" s="5"/>
      <c r="AQ154" s="5"/>
      <c r="AR154" s="5"/>
      <c r="AS154" s="5"/>
      <c r="AT154" s="5"/>
      <c r="AU154" s="5"/>
      <c r="AV154" s="5"/>
      <c r="AW154" s="5"/>
      <c r="AX154" s="5"/>
      <c r="AY154" s="5"/>
      <c r="AZ154" s="5"/>
      <c r="BA154" s="5"/>
      <c r="BB154" s="5"/>
      <c r="BC154" s="5"/>
      <c r="BD154" s="5" t="s">
        <v>51</v>
      </c>
      <c r="BE154" s="5" t="s">
        <v>17</v>
      </c>
      <c r="BF154" s="5"/>
      <c r="BG154" s="5"/>
      <c r="BH154" s="5"/>
      <c r="BI154" s="5"/>
      <c r="BJ154" s="5"/>
      <c r="BK154" s="5"/>
      <c r="BL154" s="5"/>
      <c r="BM154" s="5"/>
      <c r="BN154" s="5"/>
      <c r="BO154" s="5"/>
      <c r="BP154" s="5"/>
      <c r="BQ154" s="5"/>
      <c r="BR154" s="5"/>
      <c r="BS154" s="5" t="s">
        <v>63</v>
      </c>
      <c r="BT154" s="5"/>
      <c r="BU154" s="5" t="s">
        <v>64</v>
      </c>
      <c r="BV154" s="5"/>
      <c r="BW154" s="5"/>
      <c r="BX154" s="5"/>
      <c r="BY154" s="5" t="s">
        <v>68</v>
      </c>
      <c r="BZ154" s="5" t="s">
        <v>69</v>
      </c>
      <c r="CA154" s="5"/>
      <c r="CB154" s="5"/>
      <c r="CC154" s="5"/>
      <c r="CD154" s="5"/>
      <c r="CE154" s="5"/>
      <c r="CF154" s="5" t="s">
        <v>75</v>
      </c>
      <c r="CG154" s="5"/>
      <c r="CH154" s="5"/>
      <c r="CI154" s="5" t="s">
        <v>414</v>
      </c>
      <c r="CJ154" s="5">
        <v>50</v>
      </c>
      <c r="CK154" s="5" t="s">
        <v>141</v>
      </c>
      <c r="CL154" s="5" t="s">
        <v>186</v>
      </c>
      <c r="CM154" s="5" t="s">
        <v>418</v>
      </c>
      <c r="CN154" s="5" t="s">
        <v>419</v>
      </c>
      <c r="CO154" s="5" t="s">
        <v>82</v>
      </c>
      <c r="CP154" s="5" t="s">
        <v>83</v>
      </c>
      <c r="CQ154" s="5" t="s">
        <v>103</v>
      </c>
      <c r="CR154" s="5" t="s">
        <v>85</v>
      </c>
      <c r="CS154" s="5" t="s">
        <v>86</v>
      </c>
      <c r="CT154" s="5" t="s">
        <v>384</v>
      </c>
      <c r="CU154" s="5" t="s">
        <v>86</v>
      </c>
      <c r="CV154" s="5"/>
      <c r="CW154" s="5"/>
      <c r="CX154" s="5"/>
      <c r="CY154" s="5"/>
      <c r="CZ154" s="5"/>
      <c r="DA154" s="5"/>
    </row>
    <row r="155" spans="1:105">
      <c r="A155" s="5">
        <v>18022063568</v>
      </c>
      <c r="B155" s="5"/>
      <c r="C155" s="5" t="s">
        <v>17</v>
      </c>
      <c r="D155" s="5"/>
      <c r="E155" s="5"/>
      <c r="F155" s="5"/>
      <c r="G155" s="5"/>
      <c r="H155" s="5"/>
      <c r="I155" s="5"/>
      <c r="J155" s="5"/>
      <c r="K155" s="5" t="s">
        <v>25</v>
      </c>
      <c r="L155" s="5" t="s">
        <v>26</v>
      </c>
      <c r="M155" s="5"/>
      <c r="N155" s="5"/>
      <c r="O155" s="5"/>
      <c r="P155" s="5"/>
      <c r="Q155" s="5" t="s">
        <v>17</v>
      </c>
      <c r="R155" s="5"/>
      <c r="S155" s="5"/>
      <c r="T155" s="5"/>
      <c r="U155" s="5" t="s">
        <v>21</v>
      </c>
      <c r="V155" s="5"/>
      <c r="W155" s="5" t="s">
        <v>23</v>
      </c>
      <c r="X155" s="5"/>
      <c r="Y155" s="5"/>
      <c r="Z155" s="5"/>
      <c r="AA155" s="5"/>
      <c r="AB155" s="5"/>
      <c r="AC155" s="5"/>
      <c r="AD155" s="5"/>
      <c r="AE155" s="5"/>
      <c r="AF155" s="5"/>
      <c r="AG155" s="5"/>
      <c r="AH155" s="5"/>
      <c r="AI155" s="5" t="s">
        <v>34</v>
      </c>
      <c r="AJ155" s="5"/>
      <c r="AK155" s="5"/>
      <c r="AL155" s="5"/>
      <c r="AM155" s="5"/>
      <c r="AN155" s="5"/>
      <c r="AO155" s="5"/>
      <c r="AP155" s="5" t="s">
        <v>39</v>
      </c>
      <c r="AQ155" s="5"/>
      <c r="AR155" s="5" t="s">
        <v>41</v>
      </c>
      <c r="AS155" s="5"/>
      <c r="AT155" s="5"/>
      <c r="AU155" s="5"/>
      <c r="AV155" s="5"/>
      <c r="AW155" s="5"/>
      <c r="AX155" s="5"/>
      <c r="AY155" s="5" t="s">
        <v>47</v>
      </c>
      <c r="AZ155" s="5"/>
      <c r="BA155" s="5"/>
      <c r="BB155" s="5"/>
      <c r="BC155" s="5"/>
      <c r="BD155" s="5" t="s">
        <v>51</v>
      </c>
      <c r="BE155" s="5" t="s">
        <v>17</v>
      </c>
      <c r="BF155" s="5"/>
      <c r="BG155" s="5"/>
      <c r="BH155" s="5"/>
      <c r="BI155" s="5"/>
      <c r="BJ155" s="5"/>
      <c r="BK155" s="5"/>
      <c r="BL155" s="5" t="s">
        <v>58</v>
      </c>
      <c r="BM155" s="5"/>
      <c r="BN155" s="5"/>
      <c r="BO155" s="5"/>
      <c r="BP155" s="5"/>
      <c r="BQ155" s="5"/>
      <c r="BR155" s="5"/>
      <c r="BS155" s="5"/>
      <c r="BT155" s="5"/>
      <c r="BU155" s="5" t="s">
        <v>64</v>
      </c>
      <c r="BV155" s="5"/>
      <c r="BW155" s="5"/>
      <c r="BX155" s="5"/>
      <c r="BY155" s="5" t="s">
        <v>68</v>
      </c>
      <c r="BZ155" s="5"/>
      <c r="CA155" s="5"/>
      <c r="CB155" s="5"/>
      <c r="CC155" s="5"/>
      <c r="CD155" s="5"/>
      <c r="CE155" s="5"/>
      <c r="CF155" s="5" t="s">
        <v>75</v>
      </c>
      <c r="CG155" s="5"/>
      <c r="CH155" s="5"/>
      <c r="CI155" s="5" t="s">
        <v>414</v>
      </c>
      <c r="CJ155" s="5">
        <v>66</v>
      </c>
      <c r="CK155" s="5" t="s">
        <v>141</v>
      </c>
      <c r="CL155" s="5" t="s">
        <v>376</v>
      </c>
      <c r="CM155" s="5" t="s">
        <v>418</v>
      </c>
      <c r="CN155" s="5" t="s">
        <v>419</v>
      </c>
      <c r="CO155" s="5" t="s">
        <v>82</v>
      </c>
      <c r="CP155" s="5" t="s">
        <v>94</v>
      </c>
      <c r="CQ155" s="5" t="s">
        <v>84</v>
      </c>
      <c r="CR155" s="5" t="s">
        <v>99</v>
      </c>
      <c r="CS155" s="5" t="s">
        <v>86</v>
      </c>
      <c r="CT155" s="5" t="s">
        <v>433</v>
      </c>
      <c r="CU155" s="5" t="s">
        <v>86</v>
      </c>
      <c r="CV155" s="5"/>
      <c r="CW155" s="5"/>
      <c r="CX155" s="5"/>
      <c r="CY155" s="5"/>
      <c r="CZ155" s="5"/>
      <c r="DA155" s="5"/>
    </row>
    <row r="156" spans="1:105">
      <c r="A156" s="5">
        <v>18021911363</v>
      </c>
      <c r="B156" s="5"/>
      <c r="C156" s="5"/>
      <c r="D156" s="5"/>
      <c r="E156" s="5"/>
      <c r="F156" s="5"/>
      <c r="G156" s="5" t="s">
        <v>21</v>
      </c>
      <c r="H156" s="5"/>
      <c r="I156" s="5"/>
      <c r="J156" s="5" t="s">
        <v>24</v>
      </c>
      <c r="K156" s="5" t="s">
        <v>25</v>
      </c>
      <c r="L156" s="5"/>
      <c r="M156" s="5"/>
      <c r="N156" s="5" t="s">
        <v>28</v>
      </c>
      <c r="O156" s="5"/>
      <c r="P156" s="5"/>
      <c r="Q156" s="5"/>
      <c r="R156" s="5"/>
      <c r="S156" s="5"/>
      <c r="T156" s="5"/>
      <c r="U156" s="5" t="s">
        <v>21</v>
      </c>
      <c r="V156" s="5"/>
      <c r="W156" s="5" t="s">
        <v>23</v>
      </c>
      <c r="X156" s="5"/>
      <c r="Y156" s="5"/>
      <c r="Z156" s="5"/>
      <c r="AA156" s="5"/>
      <c r="AB156" s="5" t="s">
        <v>28</v>
      </c>
      <c r="AC156" s="5"/>
      <c r="AD156" s="5"/>
      <c r="AE156" s="5"/>
      <c r="AF156" s="5"/>
      <c r="AG156" s="5"/>
      <c r="AH156" s="5"/>
      <c r="AI156" s="5"/>
      <c r="AJ156" s="5"/>
      <c r="AK156" s="5"/>
      <c r="AL156" s="5"/>
      <c r="AM156" s="5"/>
      <c r="AN156" s="5"/>
      <c r="AO156" s="5"/>
      <c r="AP156" s="5"/>
      <c r="AQ156" s="5"/>
      <c r="AR156" s="5"/>
      <c r="AS156" s="5" t="s">
        <v>42</v>
      </c>
      <c r="AT156" s="5"/>
      <c r="AU156" s="5" t="s">
        <v>43</v>
      </c>
      <c r="AV156" s="5"/>
      <c r="AW156" s="5" t="s">
        <v>45</v>
      </c>
      <c r="AX156" s="5"/>
      <c r="AY156" s="5" t="s">
        <v>47</v>
      </c>
      <c r="AZ156" s="5"/>
      <c r="BA156" s="5"/>
      <c r="BB156" s="5"/>
      <c r="BC156" s="5"/>
      <c r="BD156" s="5"/>
      <c r="BE156" s="5"/>
      <c r="BF156" s="5"/>
      <c r="BG156" s="5" t="s">
        <v>53</v>
      </c>
      <c r="BH156" s="5"/>
      <c r="BI156" s="5" t="s">
        <v>55</v>
      </c>
      <c r="BJ156" s="5"/>
      <c r="BK156" s="5"/>
      <c r="BL156" s="5"/>
      <c r="BM156" s="5"/>
      <c r="BN156" s="5" t="s">
        <v>24</v>
      </c>
      <c r="BO156" s="5"/>
      <c r="BP156" s="5"/>
      <c r="BQ156" s="5"/>
      <c r="BR156" s="5"/>
      <c r="BS156" s="5"/>
      <c r="BT156" s="5"/>
      <c r="BU156" s="5"/>
      <c r="BV156" s="5"/>
      <c r="BW156" s="5"/>
      <c r="BX156" s="5"/>
      <c r="BY156" s="5"/>
      <c r="BZ156" s="5"/>
      <c r="CA156" s="5"/>
      <c r="CB156" s="5"/>
      <c r="CC156" s="5"/>
      <c r="CD156" s="5"/>
      <c r="CE156" s="5"/>
      <c r="CF156" s="5" t="s">
        <v>75</v>
      </c>
      <c r="CG156" s="5"/>
      <c r="CH156" s="5"/>
      <c r="CI156" s="5" t="s">
        <v>414</v>
      </c>
      <c r="CJ156" s="5">
        <v>40</v>
      </c>
      <c r="CK156" s="5" t="s">
        <v>141</v>
      </c>
      <c r="CL156" s="5" t="s">
        <v>145</v>
      </c>
      <c r="CM156" s="5" t="s">
        <v>418</v>
      </c>
      <c r="CN156" s="5" t="s">
        <v>419</v>
      </c>
      <c r="CO156" s="5" t="s">
        <v>82</v>
      </c>
      <c r="CP156" s="5" t="s">
        <v>94</v>
      </c>
      <c r="CQ156" s="5" t="s">
        <v>103</v>
      </c>
      <c r="CR156" s="5" t="s">
        <v>85</v>
      </c>
      <c r="CS156" s="5" t="s">
        <v>86</v>
      </c>
      <c r="CT156" s="5" t="s">
        <v>384</v>
      </c>
      <c r="CU156" s="5" t="s">
        <v>86</v>
      </c>
      <c r="CV156" s="5"/>
      <c r="CW156" s="5"/>
      <c r="CX156" s="5"/>
      <c r="CY156" s="5"/>
      <c r="CZ156" s="5"/>
      <c r="DA156" s="5"/>
    </row>
    <row r="157" spans="1:105">
      <c r="A157" s="5">
        <v>18021903702</v>
      </c>
      <c r="B157" s="5"/>
      <c r="C157" s="5"/>
      <c r="D157" s="5"/>
      <c r="E157" s="5"/>
      <c r="F157" s="5"/>
      <c r="G157" s="5"/>
      <c r="H157" s="5" t="s">
        <v>22</v>
      </c>
      <c r="I157" s="5" t="s">
        <v>23</v>
      </c>
      <c r="J157" s="5"/>
      <c r="K157" s="5" t="s">
        <v>25</v>
      </c>
      <c r="L157" s="5"/>
      <c r="M157" s="5"/>
      <c r="N157" s="5"/>
      <c r="O157" s="5"/>
      <c r="P157" s="5"/>
      <c r="Q157" s="5"/>
      <c r="R157" s="5"/>
      <c r="S157" s="5" t="s">
        <v>19</v>
      </c>
      <c r="T157" s="5"/>
      <c r="U157" s="5"/>
      <c r="V157" s="5"/>
      <c r="W157" s="5" t="s">
        <v>23</v>
      </c>
      <c r="X157" s="5"/>
      <c r="Y157" s="5"/>
      <c r="Z157" s="5"/>
      <c r="AA157" s="5"/>
      <c r="AB157" s="5" t="s">
        <v>28</v>
      </c>
      <c r="AC157" s="5"/>
      <c r="AD157" s="5"/>
      <c r="AE157" s="5"/>
      <c r="AF157" s="5" t="s">
        <v>31</v>
      </c>
      <c r="AG157" s="5"/>
      <c r="AH157" s="5"/>
      <c r="AI157" s="5"/>
      <c r="AJ157" s="5"/>
      <c r="AK157" s="5"/>
      <c r="AL157" s="5"/>
      <c r="AM157" s="5"/>
      <c r="AN157" s="5"/>
      <c r="AO157" s="5"/>
      <c r="AP157" s="5" t="s">
        <v>39</v>
      </c>
      <c r="AQ157" s="5"/>
      <c r="AR157" s="5"/>
      <c r="AS157" s="5" t="s">
        <v>42</v>
      </c>
      <c r="AT157" s="5"/>
      <c r="AU157" s="5"/>
      <c r="AV157" s="5"/>
      <c r="AW157" s="5"/>
      <c r="AX157" s="5"/>
      <c r="AY157" s="5" t="s">
        <v>47</v>
      </c>
      <c r="AZ157" s="5"/>
      <c r="BA157" s="5"/>
      <c r="BB157" s="5"/>
      <c r="BC157" s="5"/>
      <c r="BD157" s="5" t="s">
        <v>51</v>
      </c>
      <c r="BE157" s="5"/>
      <c r="BF157" s="5"/>
      <c r="BG157" s="5"/>
      <c r="BH157" s="5"/>
      <c r="BI157" s="5"/>
      <c r="BJ157" s="5"/>
      <c r="BK157" s="5"/>
      <c r="BL157" s="5"/>
      <c r="BM157" s="5" t="s">
        <v>59</v>
      </c>
      <c r="BN157" s="5"/>
      <c r="BO157" s="5"/>
      <c r="BP157" s="5"/>
      <c r="BQ157" s="5"/>
      <c r="BR157" s="5"/>
      <c r="BS157" s="5"/>
      <c r="BT157" s="5"/>
      <c r="BU157" s="5" t="s">
        <v>64</v>
      </c>
      <c r="BV157" s="5"/>
      <c r="BW157" s="5" t="s">
        <v>66</v>
      </c>
      <c r="BX157" s="5"/>
      <c r="BY157" s="5"/>
      <c r="BZ157" s="5"/>
      <c r="CA157" s="5"/>
      <c r="CB157" s="5"/>
      <c r="CC157" s="5"/>
      <c r="CD157" s="5"/>
      <c r="CE157" s="5"/>
      <c r="CF157" s="5" t="s">
        <v>75</v>
      </c>
      <c r="CG157" s="5"/>
      <c r="CH157" s="5"/>
      <c r="CI157" s="5" t="s">
        <v>414</v>
      </c>
      <c r="CJ157" s="5">
        <v>49</v>
      </c>
      <c r="CK157" s="5" t="s">
        <v>141</v>
      </c>
      <c r="CL157" s="5" t="s">
        <v>144</v>
      </c>
      <c r="CM157" s="5" t="s">
        <v>106</v>
      </c>
      <c r="CN157" s="5" t="s">
        <v>416</v>
      </c>
      <c r="CO157" s="5" t="s">
        <v>82</v>
      </c>
      <c r="CP157" s="5" t="s">
        <v>83</v>
      </c>
      <c r="CQ157" s="5" t="s">
        <v>84</v>
      </c>
      <c r="CR157" s="5" t="s">
        <v>85</v>
      </c>
      <c r="CS157" s="5" t="s">
        <v>86</v>
      </c>
      <c r="CT157" s="5" t="s">
        <v>384</v>
      </c>
      <c r="CU157" s="5" t="s">
        <v>86</v>
      </c>
      <c r="CV157" s="5"/>
      <c r="CW157" s="5"/>
      <c r="CX157" s="5"/>
      <c r="CY157" s="5"/>
      <c r="CZ157" s="5"/>
      <c r="DA157" s="5"/>
    </row>
    <row r="158" spans="1:105">
      <c r="A158" s="5">
        <v>18021801473</v>
      </c>
      <c r="B158" s="5"/>
      <c r="C158" s="5" t="s">
        <v>17</v>
      </c>
      <c r="D158" s="5"/>
      <c r="E158" s="5"/>
      <c r="F158" s="5"/>
      <c r="G158" s="5" t="s">
        <v>21</v>
      </c>
      <c r="H158" s="5"/>
      <c r="I158" s="5"/>
      <c r="J158" s="5"/>
      <c r="K158" s="5" t="s">
        <v>25</v>
      </c>
      <c r="L158" s="5"/>
      <c r="M158" s="5"/>
      <c r="N158" s="5"/>
      <c r="O158" s="5"/>
      <c r="P158" s="5"/>
      <c r="Q158" s="5"/>
      <c r="R158" s="5"/>
      <c r="S158" s="5"/>
      <c r="T158" s="5"/>
      <c r="U158" s="5"/>
      <c r="V158" s="5"/>
      <c r="W158" s="5"/>
      <c r="X158" s="5" t="s">
        <v>24</v>
      </c>
      <c r="Y158" s="5"/>
      <c r="Z158" s="5"/>
      <c r="AA158" s="5"/>
      <c r="AB158" s="5"/>
      <c r="AC158" s="5"/>
      <c r="AD158" s="5"/>
      <c r="AE158" s="5"/>
      <c r="AF158" s="5" t="s">
        <v>31</v>
      </c>
      <c r="AG158" s="5"/>
      <c r="AH158" s="5"/>
      <c r="AI158" s="5"/>
      <c r="AJ158" s="5"/>
      <c r="AK158" s="5"/>
      <c r="AL158" s="5"/>
      <c r="AM158" s="5"/>
      <c r="AN158" s="5"/>
      <c r="AO158" s="5"/>
      <c r="AP158" s="5"/>
      <c r="AQ158" s="5"/>
      <c r="AR158" s="5"/>
      <c r="AS158" s="5"/>
      <c r="AT158" s="5" t="s">
        <v>37</v>
      </c>
      <c r="AU158" s="5"/>
      <c r="AV158" s="5" t="s">
        <v>44</v>
      </c>
      <c r="AW158" s="5"/>
      <c r="AX158" s="5" t="s">
        <v>46</v>
      </c>
      <c r="AY158" s="5"/>
      <c r="AZ158" s="5"/>
      <c r="BA158" s="5"/>
      <c r="BB158" s="5"/>
      <c r="BC158" s="5"/>
      <c r="BD158" s="5"/>
      <c r="BE158" s="5" t="s">
        <v>17</v>
      </c>
      <c r="BF158" s="5"/>
      <c r="BG158" s="5" t="s">
        <v>53</v>
      </c>
      <c r="BH158" s="5"/>
      <c r="BI158" s="5"/>
      <c r="BJ158" s="5" t="s">
        <v>56</v>
      </c>
      <c r="BK158" s="5"/>
      <c r="BL158" s="5"/>
      <c r="BM158" s="5"/>
      <c r="BN158" s="5"/>
      <c r="BO158" s="5"/>
      <c r="BP158" s="5"/>
      <c r="BQ158" s="5"/>
      <c r="BR158" s="5"/>
      <c r="BS158" s="5"/>
      <c r="BT158" s="5"/>
      <c r="BU158" s="5"/>
      <c r="BV158" s="5"/>
      <c r="BW158" s="5" t="s">
        <v>66</v>
      </c>
      <c r="BX158" s="5"/>
      <c r="BY158" s="5"/>
      <c r="BZ158" s="5"/>
      <c r="CA158" s="5"/>
      <c r="CB158" s="5"/>
      <c r="CC158" s="5"/>
      <c r="CD158" s="5"/>
      <c r="CE158" s="5"/>
      <c r="CF158" s="5"/>
      <c r="CG158" s="5"/>
      <c r="CH158" s="5"/>
      <c r="CI158" s="5" t="s">
        <v>414</v>
      </c>
      <c r="CJ158" s="5">
        <v>18</v>
      </c>
      <c r="CK158" s="5"/>
      <c r="CL158" s="5"/>
      <c r="CM158" s="5"/>
      <c r="CN158" s="5"/>
      <c r="CO158" s="5"/>
      <c r="CP158" s="5"/>
      <c r="CQ158" s="5"/>
      <c r="CR158" s="5"/>
      <c r="CS158" s="5"/>
      <c r="CT158" s="5"/>
      <c r="CU158" s="5"/>
      <c r="CV158" s="5"/>
      <c r="CW158" s="5"/>
      <c r="CX158" s="5"/>
      <c r="CY158" s="5"/>
      <c r="CZ158" s="5"/>
      <c r="DA158" s="5"/>
    </row>
    <row r="159" spans="1:105">
      <c r="A159" s="5">
        <v>18021801305</v>
      </c>
      <c r="B159" s="5"/>
      <c r="C159" s="5"/>
      <c r="D159" s="5" t="s">
        <v>18</v>
      </c>
      <c r="E159" s="5"/>
      <c r="F159" s="5"/>
      <c r="G159" s="5"/>
      <c r="H159" s="5"/>
      <c r="I159" s="5"/>
      <c r="J159" s="5" t="s">
        <v>24</v>
      </c>
      <c r="K159" s="5" t="s">
        <v>25</v>
      </c>
      <c r="L159" s="5"/>
      <c r="M159" s="5"/>
      <c r="N159" s="5"/>
      <c r="O159" s="5"/>
      <c r="P159" s="5"/>
      <c r="Q159" s="5"/>
      <c r="R159" s="5"/>
      <c r="S159" s="5" t="s">
        <v>19</v>
      </c>
      <c r="T159" s="5"/>
      <c r="U159" s="5"/>
      <c r="V159" s="5"/>
      <c r="W159" s="5"/>
      <c r="X159" s="5"/>
      <c r="Y159" s="5" t="s">
        <v>25</v>
      </c>
      <c r="Z159" s="5"/>
      <c r="AA159" s="5"/>
      <c r="AB159" s="5"/>
      <c r="AC159" s="5"/>
      <c r="AD159" s="5" t="s">
        <v>29</v>
      </c>
      <c r="AE159" s="5"/>
      <c r="AF159" s="5"/>
      <c r="AG159" s="5"/>
      <c r="AH159" s="5"/>
      <c r="AI159" s="5"/>
      <c r="AJ159" s="5" t="s">
        <v>35</v>
      </c>
      <c r="AK159" s="5" t="s">
        <v>36</v>
      </c>
      <c r="AL159" s="5"/>
      <c r="AM159" s="5"/>
      <c r="AN159" s="5"/>
      <c r="AO159" s="5"/>
      <c r="AP159" s="5" t="s">
        <v>39</v>
      </c>
      <c r="AQ159" s="5"/>
      <c r="AR159" s="5"/>
      <c r="AS159" s="5"/>
      <c r="AT159" s="5"/>
      <c r="AU159" s="5"/>
      <c r="AV159" s="5" t="s">
        <v>44</v>
      </c>
      <c r="AW159" s="5"/>
      <c r="AX159" s="5"/>
      <c r="AY159" s="5" t="s">
        <v>47</v>
      </c>
      <c r="AZ159" s="5"/>
      <c r="BA159" s="5"/>
      <c r="BB159" s="5"/>
      <c r="BC159" s="5"/>
      <c r="BD159" s="5" t="s">
        <v>51</v>
      </c>
      <c r="BE159" s="5"/>
      <c r="BF159" s="5"/>
      <c r="BG159" s="5"/>
      <c r="BH159" s="5"/>
      <c r="BI159" s="5" t="s">
        <v>55</v>
      </c>
      <c r="BJ159" s="5"/>
      <c r="BK159" s="5"/>
      <c r="BL159" s="5"/>
      <c r="BM159" s="5" t="s">
        <v>59</v>
      </c>
      <c r="BN159" s="5"/>
      <c r="BO159" s="5"/>
      <c r="BP159" s="5"/>
      <c r="BQ159" s="5"/>
      <c r="BR159" s="5"/>
      <c r="BS159" s="5"/>
      <c r="BT159" s="5"/>
      <c r="BU159" s="5" t="s">
        <v>64</v>
      </c>
      <c r="BV159" s="5"/>
      <c r="BW159" s="5" t="s">
        <v>66</v>
      </c>
      <c r="BX159" s="5"/>
      <c r="BY159" s="5"/>
      <c r="BZ159" s="5"/>
      <c r="CA159" s="5"/>
      <c r="CB159" s="5"/>
      <c r="CC159" s="5"/>
      <c r="CD159" s="5"/>
      <c r="CE159" s="5"/>
      <c r="CF159" s="5" t="s">
        <v>75</v>
      </c>
      <c r="CG159" s="5"/>
      <c r="CH159" s="5"/>
      <c r="CI159" s="5" t="s">
        <v>417</v>
      </c>
      <c r="CJ159" s="5">
        <v>18</v>
      </c>
      <c r="CK159" s="5" t="s">
        <v>141</v>
      </c>
      <c r="CL159" s="5" t="s">
        <v>171</v>
      </c>
      <c r="CM159" s="5" t="s">
        <v>436</v>
      </c>
      <c r="CN159" s="5" t="s">
        <v>419</v>
      </c>
      <c r="CO159" s="5" t="s">
        <v>82</v>
      </c>
      <c r="CP159" s="5" t="s">
        <v>83</v>
      </c>
      <c r="CQ159" s="5" t="s">
        <v>95</v>
      </c>
      <c r="CR159" s="5" t="s">
        <v>89</v>
      </c>
      <c r="CS159" s="5" t="s">
        <v>86</v>
      </c>
      <c r="CT159" s="5"/>
      <c r="CU159" s="5"/>
      <c r="CV159" s="5"/>
      <c r="CW159" s="5"/>
      <c r="CX159" s="5"/>
      <c r="CY159" s="5"/>
      <c r="CZ159" s="5"/>
      <c r="DA159" s="5"/>
    </row>
    <row r="160" spans="1:105">
      <c r="A160" s="5">
        <v>18021801172</v>
      </c>
      <c r="B160" s="5"/>
      <c r="C160" s="5"/>
      <c r="D160" s="5"/>
      <c r="E160" s="5" t="s">
        <v>19</v>
      </c>
      <c r="F160" s="5"/>
      <c r="G160" s="5"/>
      <c r="H160" s="5"/>
      <c r="I160" s="5"/>
      <c r="J160" s="5"/>
      <c r="K160" s="5"/>
      <c r="L160" s="5" t="s">
        <v>26</v>
      </c>
      <c r="M160" s="5"/>
      <c r="N160" s="5"/>
      <c r="O160" s="5"/>
      <c r="P160" s="5"/>
      <c r="Q160" s="5"/>
      <c r="R160" s="5"/>
      <c r="S160" s="5"/>
      <c r="T160" s="5"/>
      <c r="U160" s="5"/>
      <c r="V160" s="5"/>
      <c r="W160" s="5"/>
      <c r="X160" s="5" t="s">
        <v>24</v>
      </c>
      <c r="Y160" s="5"/>
      <c r="Z160" s="5"/>
      <c r="AA160" s="5" t="s">
        <v>27</v>
      </c>
      <c r="AB160" s="5" t="s">
        <v>28</v>
      </c>
      <c r="AC160" s="5"/>
      <c r="AD160" s="5"/>
      <c r="AE160" s="5"/>
      <c r="AF160" s="5"/>
      <c r="AG160" s="5" t="s">
        <v>32</v>
      </c>
      <c r="AH160" s="5"/>
      <c r="AI160" s="5"/>
      <c r="AJ160" s="5" t="s">
        <v>35</v>
      </c>
      <c r="AK160" s="5"/>
      <c r="AL160" s="5" t="s">
        <v>37</v>
      </c>
      <c r="AM160" s="5"/>
      <c r="AN160" s="5"/>
      <c r="AO160" s="5"/>
      <c r="AP160" s="5" t="s">
        <v>39</v>
      </c>
      <c r="AQ160" s="5"/>
      <c r="AR160" s="5"/>
      <c r="AS160" s="5" t="s">
        <v>42</v>
      </c>
      <c r="AT160" s="5"/>
      <c r="AU160" s="5"/>
      <c r="AV160" s="5" t="s">
        <v>44</v>
      </c>
      <c r="AW160" s="5"/>
      <c r="AX160" s="5"/>
      <c r="AY160" s="5"/>
      <c r="AZ160" s="5"/>
      <c r="BA160" s="5"/>
      <c r="BB160" s="5"/>
      <c r="BC160" s="5"/>
      <c r="BD160" s="5" t="s">
        <v>51</v>
      </c>
      <c r="BE160" s="5"/>
      <c r="BF160" s="5"/>
      <c r="BG160" s="5"/>
      <c r="BH160" s="5"/>
      <c r="BI160" s="5" t="s">
        <v>55</v>
      </c>
      <c r="BJ160" s="5"/>
      <c r="BK160" s="5" t="s">
        <v>57</v>
      </c>
      <c r="BL160" s="5"/>
      <c r="BM160" s="5"/>
      <c r="BN160" s="5"/>
      <c r="BO160" s="5"/>
      <c r="BP160" s="5"/>
      <c r="BQ160" s="5"/>
      <c r="BR160" s="5"/>
      <c r="BS160" s="5"/>
      <c r="BT160" s="5"/>
      <c r="BU160" s="5"/>
      <c r="BV160" s="5" t="s">
        <v>65</v>
      </c>
      <c r="BW160" s="5"/>
      <c r="BX160" s="5"/>
      <c r="BY160" s="5" t="s">
        <v>68</v>
      </c>
      <c r="BZ160" s="5"/>
      <c r="CA160" s="5" t="s">
        <v>70</v>
      </c>
      <c r="CB160" s="5" t="s">
        <v>71</v>
      </c>
      <c r="CC160" s="5"/>
      <c r="CD160" s="5" t="s">
        <v>73</v>
      </c>
      <c r="CE160" s="5" t="s">
        <v>74</v>
      </c>
      <c r="CF160" s="5" t="s">
        <v>75</v>
      </c>
      <c r="CG160" s="5" t="s">
        <v>76</v>
      </c>
      <c r="CH160" s="5"/>
      <c r="CI160" s="5" t="s">
        <v>434</v>
      </c>
      <c r="CJ160" s="5">
        <v>27</v>
      </c>
      <c r="CK160" s="5" t="s">
        <v>141</v>
      </c>
      <c r="CL160" s="5" t="s">
        <v>171</v>
      </c>
      <c r="CM160" s="5" t="s">
        <v>436</v>
      </c>
      <c r="CN160" s="5" t="s">
        <v>416</v>
      </c>
      <c r="CO160" s="5" t="s">
        <v>82</v>
      </c>
      <c r="CP160" s="5" t="s">
        <v>83</v>
      </c>
      <c r="CQ160" s="5" t="s">
        <v>88</v>
      </c>
      <c r="CR160" s="5" t="s">
        <v>105</v>
      </c>
      <c r="CS160" s="5" t="s">
        <v>86</v>
      </c>
      <c r="CT160" s="5"/>
      <c r="CU160" s="5"/>
      <c r="CV160" s="5"/>
      <c r="CW160" s="5"/>
      <c r="CX160" s="5"/>
      <c r="CY160" s="5"/>
      <c r="CZ160" s="5"/>
      <c r="DA160" s="5"/>
    </row>
    <row r="161" spans="1:105">
      <c r="A161" s="5">
        <v>18021800907</v>
      </c>
      <c r="B161" s="5"/>
      <c r="C161" s="5"/>
      <c r="D161" s="5"/>
      <c r="E161" s="5"/>
      <c r="F161" s="5"/>
      <c r="G161" s="5"/>
      <c r="H161" s="5"/>
      <c r="I161" s="5"/>
      <c r="J161" s="5"/>
      <c r="K161" s="5" t="s">
        <v>25</v>
      </c>
      <c r="L161" s="5" t="s">
        <v>26</v>
      </c>
      <c r="M161" s="5"/>
      <c r="N161" s="5" t="s">
        <v>28</v>
      </c>
      <c r="O161" s="5"/>
      <c r="P161" s="5"/>
      <c r="Q161" s="5"/>
      <c r="R161" s="5"/>
      <c r="S161" s="5" t="s">
        <v>19</v>
      </c>
      <c r="T161" s="5"/>
      <c r="U161" s="5"/>
      <c r="V161" s="5"/>
      <c r="W161" s="5"/>
      <c r="X161" s="5"/>
      <c r="Y161" s="5" t="s">
        <v>25</v>
      </c>
      <c r="Z161" s="5"/>
      <c r="AA161" s="5"/>
      <c r="AB161" s="5"/>
      <c r="AC161" s="5"/>
      <c r="AD161" s="5"/>
      <c r="AE161" s="5"/>
      <c r="AF161" s="5"/>
      <c r="AG161" s="5"/>
      <c r="AH161" s="5"/>
      <c r="AI161" s="5"/>
      <c r="AJ161" s="5"/>
      <c r="AK161" s="5" t="s">
        <v>36</v>
      </c>
      <c r="AL161" s="5" t="s">
        <v>37</v>
      </c>
      <c r="AM161" s="5" t="s">
        <v>375</v>
      </c>
      <c r="AN161" s="5"/>
      <c r="AO161" s="5"/>
      <c r="AP161" s="5" t="s">
        <v>39</v>
      </c>
      <c r="AQ161" s="5"/>
      <c r="AR161" s="5"/>
      <c r="AS161" s="5" t="s">
        <v>42</v>
      </c>
      <c r="AT161" s="5"/>
      <c r="AU161" s="5"/>
      <c r="AV161" s="5"/>
      <c r="AW161" s="5"/>
      <c r="AX161" s="5"/>
      <c r="AY161" s="5" t="s">
        <v>47</v>
      </c>
      <c r="AZ161" s="5"/>
      <c r="BA161" s="5"/>
      <c r="BB161" s="5" t="s">
        <v>49</v>
      </c>
      <c r="BC161" s="5"/>
      <c r="BD161" s="5"/>
      <c r="BE161" s="5"/>
      <c r="BF161" s="5"/>
      <c r="BG161" s="5"/>
      <c r="BH161" s="5" t="s">
        <v>54</v>
      </c>
      <c r="BI161" s="5"/>
      <c r="BJ161" s="5"/>
      <c r="BK161" s="5"/>
      <c r="BL161" s="5"/>
      <c r="BM161" s="5" t="s">
        <v>59</v>
      </c>
      <c r="BN161" s="5"/>
      <c r="BO161" s="5"/>
      <c r="BP161" s="5"/>
      <c r="BQ161" s="5"/>
      <c r="BR161" s="5"/>
      <c r="BS161" s="5"/>
      <c r="BT161" s="5"/>
      <c r="BU161" s="5" t="s">
        <v>64</v>
      </c>
      <c r="BV161" s="5"/>
      <c r="BW161" s="5" t="s">
        <v>66</v>
      </c>
      <c r="BX161" s="5" t="s">
        <v>67</v>
      </c>
      <c r="BY161" s="5"/>
      <c r="BZ161" s="5" t="s">
        <v>69</v>
      </c>
      <c r="CA161" s="5"/>
      <c r="CB161" s="5"/>
      <c r="CC161" s="5"/>
      <c r="CD161" s="5"/>
      <c r="CE161" s="5"/>
      <c r="CF161" s="5" t="s">
        <v>75</v>
      </c>
      <c r="CG161" s="5"/>
      <c r="CH161" s="5"/>
      <c r="CI161" s="5" t="s">
        <v>414</v>
      </c>
      <c r="CJ161" s="5">
        <v>43</v>
      </c>
      <c r="CK161" s="5" t="s">
        <v>141</v>
      </c>
      <c r="CL161" s="5" t="s">
        <v>171</v>
      </c>
      <c r="CM161" s="5" t="s">
        <v>436</v>
      </c>
      <c r="CN161" s="5" t="s">
        <v>419</v>
      </c>
      <c r="CO161" s="5" t="s">
        <v>428</v>
      </c>
      <c r="CP161" s="5" t="s">
        <v>93</v>
      </c>
      <c r="CQ161" s="5" t="s">
        <v>104</v>
      </c>
      <c r="CR161" s="5" t="s">
        <v>85</v>
      </c>
      <c r="CS161" s="5" t="s">
        <v>86</v>
      </c>
      <c r="CT161" s="5"/>
      <c r="CU161" s="5"/>
      <c r="CV161" s="5"/>
      <c r="CW161" s="5"/>
      <c r="CX161" s="5"/>
      <c r="CY161" s="5"/>
      <c r="CZ161" s="5"/>
      <c r="DA161" s="5"/>
    </row>
    <row r="162" spans="1:105">
      <c r="A162" s="5">
        <v>18021800772</v>
      </c>
      <c r="B162" s="5"/>
      <c r="C162" s="5"/>
      <c r="D162" s="5" t="s">
        <v>18</v>
      </c>
      <c r="E162" s="5"/>
      <c r="F162" s="5"/>
      <c r="G162" s="5" t="s">
        <v>21</v>
      </c>
      <c r="H162" s="5"/>
      <c r="I162" s="5"/>
      <c r="J162" s="5"/>
      <c r="K162" s="5" t="s">
        <v>25</v>
      </c>
      <c r="L162" s="5"/>
      <c r="M162" s="5"/>
      <c r="N162" s="5"/>
      <c r="O162" s="5"/>
      <c r="P162" s="5"/>
      <c r="Q162" s="5" t="s">
        <v>17</v>
      </c>
      <c r="R162" s="5" t="s">
        <v>18</v>
      </c>
      <c r="S162" s="5"/>
      <c r="T162" s="5"/>
      <c r="U162" s="5"/>
      <c r="V162" s="5"/>
      <c r="W162" s="5"/>
      <c r="X162" s="5" t="s">
        <v>24</v>
      </c>
      <c r="Y162" s="5"/>
      <c r="Z162" s="5"/>
      <c r="AA162" s="5"/>
      <c r="AB162" s="5"/>
      <c r="AC162" s="5"/>
      <c r="AD162" s="5"/>
      <c r="AE162" s="5"/>
      <c r="AF162" s="5" t="s">
        <v>31</v>
      </c>
      <c r="AG162" s="5"/>
      <c r="AH162" s="5"/>
      <c r="AI162" s="5"/>
      <c r="AJ162" s="5"/>
      <c r="AK162" s="5"/>
      <c r="AL162" s="5"/>
      <c r="AM162" s="5" t="s">
        <v>375</v>
      </c>
      <c r="AN162" s="5"/>
      <c r="AO162" s="5"/>
      <c r="AP162" s="5" t="s">
        <v>39</v>
      </c>
      <c r="AQ162" s="5"/>
      <c r="AR162" s="5"/>
      <c r="AS162" s="5"/>
      <c r="AT162" s="5"/>
      <c r="AU162" s="5"/>
      <c r="AV162" s="5" t="s">
        <v>44</v>
      </c>
      <c r="AW162" s="5"/>
      <c r="AX162" s="5" t="s">
        <v>46</v>
      </c>
      <c r="AY162" s="5"/>
      <c r="AZ162" s="5"/>
      <c r="BA162" s="5"/>
      <c r="BB162" s="5"/>
      <c r="BC162" s="5"/>
      <c r="BD162" s="5"/>
      <c r="BE162" s="5" t="s">
        <v>17</v>
      </c>
      <c r="BF162" s="5"/>
      <c r="BG162" s="5"/>
      <c r="BH162" s="5"/>
      <c r="BI162" s="5"/>
      <c r="BJ162" s="5"/>
      <c r="BK162" s="5"/>
      <c r="BL162" s="5" t="s">
        <v>58</v>
      </c>
      <c r="BM162" s="5"/>
      <c r="BN162" s="5" t="s">
        <v>24</v>
      </c>
      <c r="BO162" s="5"/>
      <c r="BP162" s="5" t="s">
        <v>60</v>
      </c>
      <c r="BQ162" s="5"/>
      <c r="BR162" s="5"/>
      <c r="BS162" s="5"/>
      <c r="BT162" s="5"/>
      <c r="BU162" s="5"/>
      <c r="BV162" s="5"/>
      <c r="BW162" s="5"/>
      <c r="BX162" s="5"/>
      <c r="BY162" s="5" t="s">
        <v>68</v>
      </c>
      <c r="BZ162" s="5" t="s">
        <v>69</v>
      </c>
      <c r="CA162" s="5"/>
      <c r="CB162" s="5"/>
      <c r="CC162" s="5"/>
      <c r="CD162" s="5"/>
      <c r="CE162" s="5"/>
      <c r="CF162" s="5"/>
      <c r="CG162" s="5"/>
      <c r="CH162" s="5"/>
      <c r="CI162" s="5" t="s">
        <v>417</v>
      </c>
      <c r="CJ162" s="5">
        <v>42</v>
      </c>
      <c r="CK162" s="5" t="s">
        <v>80</v>
      </c>
      <c r="CL162" s="5" t="s">
        <v>114</v>
      </c>
      <c r="CM162" s="5" t="s">
        <v>418</v>
      </c>
      <c r="CN162" s="5" t="s">
        <v>419</v>
      </c>
      <c r="CO162" s="5" t="s">
        <v>82</v>
      </c>
      <c r="CP162" s="5" t="s">
        <v>83</v>
      </c>
      <c r="CQ162" s="5" t="s">
        <v>111</v>
      </c>
      <c r="CR162" s="5" t="s">
        <v>85</v>
      </c>
      <c r="CS162" s="5" t="s">
        <v>86</v>
      </c>
      <c r="CT162" s="5"/>
      <c r="CU162" s="5"/>
      <c r="CV162" s="5"/>
      <c r="CW162" s="5"/>
      <c r="CX162" s="5"/>
      <c r="CY162" s="5"/>
      <c r="CZ162" s="5"/>
      <c r="DA162" s="5"/>
    </row>
    <row r="163" spans="1:105">
      <c r="A163" s="5">
        <v>18021800631</v>
      </c>
      <c r="B163" s="5"/>
      <c r="C163" s="5" t="s">
        <v>17</v>
      </c>
      <c r="D163" s="5"/>
      <c r="E163" s="5" t="s">
        <v>19</v>
      </c>
      <c r="F163" s="5"/>
      <c r="G163" s="5"/>
      <c r="H163" s="5"/>
      <c r="I163" s="5"/>
      <c r="J163" s="5"/>
      <c r="K163" s="5"/>
      <c r="L163" s="5"/>
      <c r="M163" s="5" t="s">
        <v>27</v>
      </c>
      <c r="N163" s="5"/>
      <c r="O163" s="5"/>
      <c r="P163" s="5"/>
      <c r="Q163" s="5" t="s">
        <v>17</v>
      </c>
      <c r="R163" s="5" t="s">
        <v>18</v>
      </c>
      <c r="S163" s="5"/>
      <c r="T163" s="5"/>
      <c r="U163" s="5"/>
      <c r="V163" s="5"/>
      <c r="W163" s="5"/>
      <c r="X163" s="5"/>
      <c r="Y163" s="5" t="s">
        <v>25</v>
      </c>
      <c r="Z163" s="5"/>
      <c r="AA163" s="5"/>
      <c r="AB163" s="5"/>
      <c r="AC163" s="5"/>
      <c r="AD163" s="5"/>
      <c r="AE163" s="5"/>
      <c r="AF163" s="5"/>
      <c r="AG163" s="5"/>
      <c r="AH163" s="5"/>
      <c r="AI163" s="5" t="s">
        <v>34</v>
      </c>
      <c r="AJ163" s="5" t="s">
        <v>35</v>
      </c>
      <c r="AK163" s="5"/>
      <c r="AL163" s="5"/>
      <c r="AM163" s="5" t="s">
        <v>375</v>
      </c>
      <c r="AN163" s="5"/>
      <c r="AO163" s="5" t="s">
        <v>38</v>
      </c>
      <c r="AP163" s="5"/>
      <c r="AQ163" s="5"/>
      <c r="AR163" s="5"/>
      <c r="AS163" s="5"/>
      <c r="AT163" s="5"/>
      <c r="AU163" s="5" t="s">
        <v>43</v>
      </c>
      <c r="AV163" s="5"/>
      <c r="AW163" s="5"/>
      <c r="AX163" s="5" t="s">
        <v>46</v>
      </c>
      <c r="AY163" s="5"/>
      <c r="AZ163" s="5"/>
      <c r="BA163" s="5"/>
      <c r="BB163" s="5"/>
      <c r="BC163" s="5"/>
      <c r="BD163" s="5"/>
      <c r="BE163" s="5" t="s">
        <v>17</v>
      </c>
      <c r="BF163" s="5"/>
      <c r="BG163" s="5"/>
      <c r="BH163" s="5"/>
      <c r="BI163" s="5" t="s">
        <v>55</v>
      </c>
      <c r="BJ163" s="5"/>
      <c r="BK163" s="5"/>
      <c r="BL163" s="5"/>
      <c r="BM163" s="5"/>
      <c r="BN163" s="5"/>
      <c r="BO163" s="5"/>
      <c r="BP163" s="5"/>
      <c r="BQ163" s="5"/>
      <c r="BR163" s="5" t="s">
        <v>62</v>
      </c>
      <c r="BS163" s="5"/>
      <c r="BT163" s="5"/>
      <c r="BU163" s="5" t="s">
        <v>64</v>
      </c>
      <c r="BV163" s="5"/>
      <c r="BW163" s="5"/>
      <c r="BX163" s="5" t="s">
        <v>67</v>
      </c>
      <c r="BY163" s="5"/>
      <c r="BZ163" s="5"/>
      <c r="CA163" s="5"/>
      <c r="CB163" s="5"/>
      <c r="CC163" s="5"/>
      <c r="CD163" s="5"/>
      <c r="CE163" s="5"/>
      <c r="CF163" s="5" t="s">
        <v>75</v>
      </c>
      <c r="CG163" s="5"/>
      <c r="CH163" s="5"/>
      <c r="CI163" s="5" t="s">
        <v>414</v>
      </c>
      <c r="CJ163" s="5">
        <v>54</v>
      </c>
      <c r="CK163" s="5" t="s">
        <v>80</v>
      </c>
      <c r="CL163" s="5" t="s">
        <v>116</v>
      </c>
      <c r="CM163" s="5" t="s">
        <v>418</v>
      </c>
      <c r="CN163" s="5" t="s">
        <v>419</v>
      </c>
      <c r="CO163" s="5" t="s">
        <v>82</v>
      </c>
      <c r="CP163" s="5" t="s">
        <v>83</v>
      </c>
      <c r="CQ163" s="5" t="s">
        <v>103</v>
      </c>
      <c r="CR163" s="5" t="s">
        <v>85</v>
      </c>
      <c r="CS163" s="5" t="s">
        <v>86</v>
      </c>
      <c r="CT163" s="5"/>
      <c r="CU163" s="5"/>
      <c r="CV163" s="5"/>
      <c r="CW163" s="5"/>
      <c r="CX163" s="5"/>
      <c r="CY163" s="5"/>
      <c r="CZ163" s="5"/>
      <c r="DA163" s="5"/>
    </row>
    <row r="164" spans="1:105">
      <c r="A164" s="5">
        <v>18021800480</v>
      </c>
      <c r="B164" s="5"/>
      <c r="C164" s="5"/>
      <c r="D164" s="5"/>
      <c r="E164" s="5"/>
      <c r="F164" s="5"/>
      <c r="G164" s="5"/>
      <c r="H164" s="5"/>
      <c r="I164" s="5"/>
      <c r="J164" s="5"/>
      <c r="K164" s="5" t="s">
        <v>25</v>
      </c>
      <c r="L164" s="5" t="s">
        <v>26</v>
      </c>
      <c r="M164" s="5"/>
      <c r="N164" s="5" t="s">
        <v>28</v>
      </c>
      <c r="O164" s="5"/>
      <c r="P164" s="5"/>
      <c r="Q164" s="5"/>
      <c r="R164" s="5"/>
      <c r="S164" s="5" t="s">
        <v>19</v>
      </c>
      <c r="T164" s="5"/>
      <c r="U164" s="5"/>
      <c r="V164" s="5"/>
      <c r="W164" s="5"/>
      <c r="X164" s="5"/>
      <c r="Y164" s="5"/>
      <c r="Z164" s="5"/>
      <c r="AA164" s="5"/>
      <c r="AB164" s="5"/>
      <c r="AC164" s="5"/>
      <c r="AD164" s="5"/>
      <c r="AE164" s="5"/>
      <c r="AF164" s="5"/>
      <c r="AG164" s="5"/>
      <c r="AH164" s="5"/>
      <c r="AI164" s="5"/>
      <c r="AJ164" s="5"/>
      <c r="AK164" s="5" t="s">
        <v>36</v>
      </c>
      <c r="AL164" s="5" t="s">
        <v>37</v>
      </c>
      <c r="AM164" s="5"/>
      <c r="AN164" s="5"/>
      <c r="AO164" s="5"/>
      <c r="AP164" s="5" t="s">
        <v>39</v>
      </c>
      <c r="AQ164" s="5"/>
      <c r="AR164" s="5" t="s">
        <v>41</v>
      </c>
      <c r="AS164" s="5"/>
      <c r="AT164" s="5"/>
      <c r="AU164" s="5"/>
      <c r="AV164" s="5"/>
      <c r="AW164" s="5"/>
      <c r="AX164" s="5"/>
      <c r="AY164" s="5"/>
      <c r="AZ164" s="5"/>
      <c r="BA164" s="5"/>
      <c r="BB164" s="5"/>
      <c r="BC164" s="5"/>
      <c r="BD164" s="5" t="s">
        <v>51</v>
      </c>
      <c r="BE164" s="5"/>
      <c r="BF164" s="5"/>
      <c r="BG164" s="5"/>
      <c r="BH164" s="5"/>
      <c r="BI164" s="5"/>
      <c r="BJ164" s="5"/>
      <c r="BK164" s="5"/>
      <c r="BL164" s="5"/>
      <c r="BM164" s="5" t="s">
        <v>59</v>
      </c>
      <c r="BN164" s="5"/>
      <c r="BO164" s="5"/>
      <c r="BP164" s="5"/>
      <c r="BQ164" s="5"/>
      <c r="BR164" s="5"/>
      <c r="BS164" s="5"/>
      <c r="BT164" s="5"/>
      <c r="BU164" s="5" t="s">
        <v>64</v>
      </c>
      <c r="BV164" s="5"/>
      <c r="BW164" s="5"/>
      <c r="BX164" s="5"/>
      <c r="BY164" s="5" t="s">
        <v>68</v>
      </c>
      <c r="BZ164" s="5" t="s">
        <v>69</v>
      </c>
      <c r="CA164" s="5" t="s">
        <v>70</v>
      </c>
      <c r="CB164" s="5"/>
      <c r="CC164" s="5"/>
      <c r="CD164" s="5"/>
      <c r="CE164" s="5"/>
      <c r="CF164" s="5" t="s">
        <v>75</v>
      </c>
      <c r="CG164" s="5"/>
      <c r="CH164" s="5"/>
      <c r="CI164" s="5" t="s">
        <v>417</v>
      </c>
      <c r="CJ164" s="5">
        <v>18</v>
      </c>
      <c r="CK164" s="5" t="s">
        <v>141</v>
      </c>
      <c r="CL164" s="5" t="s">
        <v>171</v>
      </c>
      <c r="CM164" s="5" t="s">
        <v>418</v>
      </c>
      <c r="CN164" s="5" t="s">
        <v>419</v>
      </c>
      <c r="CO164" s="5" t="s">
        <v>82</v>
      </c>
      <c r="CP164" s="5" t="s">
        <v>83</v>
      </c>
      <c r="CQ164" s="5" t="s">
        <v>95</v>
      </c>
      <c r="CR164" s="5" t="s">
        <v>85</v>
      </c>
      <c r="CS164" s="5" t="s">
        <v>86</v>
      </c>
      <c r="CT164" s="5"/>
      <c r="CU164" s="5"/>
      <c r="CV164" s="5"/>
      <c r="CW164" s="5"/>
      <c r="CX164" s="5"/>
      <c r="CY164" s="5"/>
      <c r="CZ164" s="5"/>
      <c r="DA164" s="5"/>
    </row>
    <row r="165" spans="1:105">
      <c r="A165" s="5">
        <v>18021800333</v>
      </c>
      <c r="B165" s="5"/>
      <c r="C165" s="5"/>
      <c r="D165" s="5"/>
      <c r="E165" s="5"/>
      <c r="F165" s="5"/>
      <c r="G165" s="5"/>
      <c r="H165" s="5" t="s">
        <v>22</v>
      </c>
      <c r="I165" s="5"/>
      <c r="J165" s="5"/>
      <c r="K165" s="5" t="s">
        <v>25</v>
      </c>
      <c r="L165" s="5" t="s">
        <v>26</v>
      </c>
      <c r="M165" s="5"/>
      <c r="N165" s="5"/>
      <c r="O165" s="5"/>
      <c r="P165" s="5"/>
      <c r="Q165" s="5"/>
      <c r="R165" s="5"/>
      <c r="S165" s="5"/>
      <c r="T165" s="5"/>
      <c r="U165" s="5"/>
      <c r="V165" s="5"/>
      <c r="W165" s="5"/>
      <c r="X165" s="5"/>
      <c r="Y165" s="5" t="s">
        <v>25</v>
      </c>
      <c r="Z165" s="5"/>
      <c r="AA165" s="5"/>
      <c r="AB165" s="5"/>
      <c r="AC165" s="5"/>
      <c r="AD165" s="5" t="s">
        <v>29</v>
      </c>
      <c r="AE165" s="5"/>
      <c r="AF165" s="5"/>
      <c r="AG165" s="5"/>
      <c r="AH165" s="5"/>
      <c r="AI165" s="5"/>
      <c r="AJ165" s="5" t="s">
        <v>35</v>
      </c>
      <c r="AK165" s="5" t="s">
        <v>36</v>
      </c>
      <c r="AL165" s="5"/>
      <c r="AM165" s="5"/>
      <c r="AN165" s="5"/>
      <c r="AO165" s="5"/>
      <c r="AP165" s="5" t="s">
        <v>39</v>
      </c>
      <c r="AQ165" s="5"/>
      <c r="AR165" s="5" t="s">
        <v>41</v>
      </c>
      <c r="AS165" s="5"/>
      <c r="AT165" s="5"/>
      <c r="AU165" s="5"/>
      <c r="AV165" s="5"/>
      <c r="AW165" s="5" t="s">
        <v>45</v>
      </c>
      <c r="AX165" s="5"/>
      <c r="AY165" s="5"/>
      <c r="AZ165" s="5"/>
      <c r="BA165" s="5"/>
      <c r="BB165" s="5"/>
      <c r="BC165" s="5"/>
      <c r="BD165" s="5" t="s">
        <v>51</v>
      </c>
      <c r="BE165" s="5" t="s">
        <v>17</v>
      </c>
      <c r="BF165" s="5"/>
      <c r="BG165" s="5"/>
      <c r="BH165" s="5"/>
      <c r="BI165" s="5" t="s">
        <v>55</v>
      </c>
      <c r="BJ165" s="5"/>
      <c r="BK165" s="5"/>
      <c r="BL165" s="5"/>
      <c r="BM165" s="5"/>
      <c r="BN165" s="5"/>
      <c r="BO165" s="5"/>
      <c r="BP165" s="5"/>
      <c r="BQ165" s="5"/>
      <c r="BR165" s="5"/>
      <c r="BS165" s="5"/>
      <c r="BT165" s="5"/>
      <c r="BU165" s="5" t="s">
        <v>64</v>
      </c>
      <c r="BV165" s="5"/>
      <c r="BW165" s="5"/>
      <c r="BX165" s="5"/>
      <c r="BY165" s="5"/>
      <c r="BZ165" s="5"/>
      <c r="CA165" s="5"/>
      <c r="CB165" s="5"/>
      <c r="CC165" s="5"/>
      <c r="CD165" s="5"/>
      <c r="CE165" s="5"/>
      <c r="CF165" s="5" t="s">
        <v>75</v>
      </c>
      <c r="CG165" s="5"/>
      <c r="CH165" s="5"/>
      <c r="CI165" s="5" t="s">
        <v>417</v>
      </c>
      <c r="CJ165" s="5">
        <v>18</v>
      </c>
      <c r="CK165" s="5" t="s">
        <v>141</v>
      </c>
      <c r="CL165" s="5" t="s">
        <v>161</v>
      </c>
      <c r="CM165" s="5" t="s">
        <v>436</v>
      </c>
      <c r="CN165" s="5" t="s">
        <v>419</v>
      </c>
      <c r="CO165" s="5" t="s">
        <v>438</v>
      </c>
      <c r="CP165" s="5" t="s">
        <v>83</v>
      </c>
      <c r="CQ165" s="5" t="s">
        <v>104</v>
      </c>
      <c r="CR165" s="5" t="s">
        <v>105</v>
      </c>
      <c r="CS165" s="5" t="s">
        <v>86</v>
      </c>
      <c r="CT165" s="5"/>
      <c r="CU165" s="5"/>
      <c r="CV165" s="5"/>
      <c r="CW165" s="5"/>
      <c r="CX165" s="5"/>
      <c r="CY165" s="5"/>
      <c r="CZ165" s="5"/>
      <c r="DA165" s="5"/>
    </row>
    <row r="166" spans="1:105">
      <c r="A166" s="5">
        <v>18021800200</v>
      </c>
      <c r="B166" s="5"/>
      <c r="C166" s="5"/>
      <c r="D166" s="5"/>
      <c r="E166" s="5"/>
      <c r="F166" s="5"/>
      <c r="G166" s="5"/>
      <c r="H166" s="5"/>
      <c r="I166" s="5"/>
      <c r="J166" s="5"/>
      <c r="K166" s="5" t="s">
        <v>25</v>
      </c>
      <c r="L166" s="5"/>
      <c r="M166" s="5"/>
      <c r="N166" s="5"/>
      <c r="O166" s="5"/>
      <c r="P166" s="5"/>
      <c r="Q166" s="5"/>
      <c r="R166" s="5"/>
      <c r="S166" s="5"/>
      <c r="T166" s="5"/>
      <c r="U166" s="5"/>
      <c r="V166" s="5"/>
      <c r="W166" s="5"/>
      <c r="X166" s="5"/>
      <c r="Y166" s="5" t="s">
        <v>25</v>
      </c>
      <c r="Z166" s="5"/>
      <c r="AA166" s="5"/>
      <c r="AB166" s="5"/>
      <c r="AC166" s="5"/>
      <c r="AD166" s="5"/>
      <c r="AE166" s="5"/>
      <c r="AF166" s="5"/>
      <c r="AG166" s="5"/>
      <c r="AH166" s="5"/>
      <c r="AI166" s="5"/>
      <c r="AJ166" s="5"/>
      <c r="AK166" s="5"/>
      <c r="AL166" s="5"/>
      <c r="AM166" s="5" t="s">
        <v>375</v>
      </c>
      <c r="AN166" s="5"/>
      <c r="AO166" s="5"/>
      <c r="AP166" s="5" t="s">
        <v>39</v>
      </c>
      <c r="AQ166" s="5"/>
      <c r="AR166" s="5"/>
      <c r="AS166" s="5"/>
      <c r="AT166" s="5" t="s">
        <v>37</v>
      </c>
      <c r="AU166" s="5"/>
      <c r="AV166" s="5"/>
      <c r="AW166" s="5"/>
      <c r="AX166" s="5"/>
      <c r="AY166" s="5" t="s">
        <v>47</v>
      </c>
      <c r="AZ166" s="5"/>
      <c r="BA166" s="5"/>
      <c r="BB166" s="5"/>
      <c r="BC166" s="5"/>
      <c r="BD166" s="5" t="s">
        <v>51</v>
      </c>
      <c r="BE166" s="5"/>
      <c r="BF166" s="5"/>
      <c r="BG166" s="5"/>
      <c r="BH166" s="5"/>
      <c r="BI166" s="5"/>
      <c r="BJ166" s="5"/>
      <c r="BK166" s="5"/>
      <c r="BL166" s="5"/>
      <c r="BM166" s="5"/>
      <c r="BN166" s="5"/>
      <c r="BO166" s="5"/>
      <c r="BP166" s="5" t="s">
        <v>60</v>
      </c>
      <c r="BQ166" s="5"/>
      <c r="BR166" s="5"/>
      <c r="BS166" s="5"/>
      <c r="BT166" s="5"/>
      <c r="BU166" s="5" t="s">
        <v>64</v>
      </c>
      <c r="BV166" s="5"/>
      <c r="BW166" s="5"/>
      <c r="BX166" s="5" t="s">
        <v>67</v>
      </c>
      <c r="BY166" s="5"/>
      <c r="BZ166" s="5"/>
      <c r="CA166" s="5"/>
      <c r="CB166" s="5"/>
      <c r="CC166" s="5"/>
      <c r="CD166" s="5" t="s">
        <v>73</v>
      </c>
      <c r="CE166" s="5"/>
      <c r="CF166" s="5"/>
      <c r="CG166" s="5"/>
      <c r="CH166" s="5"/>
      <c r="CI166" s="5" t="s">
        <v>417</v>
      </c>
      <c r="CJ166" s="5">
        <v>18</v>
      </c>
      <c r="CK166" s="5" t="s">
        <v>141</v>
      </c>
      <c r="CL166" s="5" t="s">
        <v>171</v>
      </c>
      <c r="CM166" s="5" t="s">
        <v>436</v>
      </c>
      <c r="CN166" s="5" t="s">
        <v>419</v>
      </c>
      <c r="CO166" s="5" t="s">
        <v>438</v>
      </c>
      <c r="CP166" s="5" t="s">
        <v>94</v>
      </c>
      <c r="CQ166" s="5" t="s">
        <v>104</v>
      </c>
      <c r="CR166" s="5" t="s">
        <v>89</v>
      </c>
      <c r="CS166" s="5" t="s">
        <v>86</v>
      </c>
      <c r="CT166" s="5"/>
      <c r="CU166" s="5"/>
      <c r="CV166" s="5"/>
      <c r="CW166" s="5"/>
      <c r="CX166" s="5"/>
      <c r="CY166" s="5"/>
      <c r="CZ166" s="5"/>
      <c r="DA166" s="5"/>
    </row>
    <row r="167" spans="1:105">
      <c r="A167" s="5">
        <v>18021800054</v>
      </c>
      <c r="B167" s="5"/>
      <c r="C167" s="5"/>
      <c r="D167" s="5"/>
      <c r="E167" s="5"/>
      <c r="F167" s="5" t="s">
        <v>20</v>
      </c>
      <c r="G167" s="5"/>
      <c r="H167" s="5"/>
      <c r="I167" s="5"/>
      <c r="J167" s="5"/>
      <c r="K167" s="5" t="s">
        <v>25</v>
      </c>
      <c r="L167" s="5" t="s">
        <v>26</v>
      </c>
      <c r="M167" s="5"/>
      <c r="N167" s="5"/>
      <c r="O167" s="5"/>
      <c r="P167" s="5"/>
      <c r="Q167" s="5"/>
      <c r="R167" s="5"/>
      <c r="S167" s="5"/>
      <c r="T167" s="5"/>
      <c r="U167" s="5"/>
      <c r="V167" s="5"/>
      <c r="W167" s="5"/>
      <c r="X167" s="5"/>
      <c r="Y167" s="5" t="s">
        <v>25</v>
      </c>
      <c r="Z167" s="5" t="s">
        <v>26</v>
      </c>
      <c r="AA167" s="5" t="s">
        <v>27</v>
      </c>
      <c r="AB167" s="5"/>
      <c r="AC167" s="5"/>
      <c r="AD167" s="5"/>
      <c r="AE167" s="5"/>
      <c r="AF167" s="5"/>
      <c r="AG167" s="5" t="s">
        <v>32</v>
      </c>
      <c r="AH167" s="5"/>
      <c r="AI167" s="5"/>
      <c r="AJ167" s="5"/>
      <c r="AK167" s="5" t="s">
        <v>36</v>
      </c>
      <c r="AL167" s="5"/>
      <c r="AM167" s="5" t="s">
        <v>375</v>
      </c>
      <c r="AN167" s="5"/>
      <c r="AO167" s="5"/>
      <c r="AP167" s="5"/>
      <c r="AQ167" s="5"/>
      <c r="AR167" s="5" t="s">
        <v>41</v>
      </c>
      <c r="AS167" s="5" t="s">
        <v>42</v>
      </c>
      <c r="AT167" s="5" t="s">
        <v>37</v>
      </c>
      <c r="AU167" s="5"/>
      <c r="AV167" s="5"/>
      <c r="AW167" s="5"/>
      <c r="AX167" s="5"/>
      <c r="AY167" s="5"/>
      <c r="AZ167" s="5"/>
      <c r="BA167" s="5"/>
      <c r="BB167" s="5"/>
      <c r="BC167" s="5"/>
      <c r="BD167" s="5"/>
      <c r="BE167" s="5"/>
      <c r="BF167" s="5"/>
      <c r="BG167" s="5"/>
      <c r="BH167" s="5"/>
      <c r="BI167" s="5"/>
      <c r="BJ167" s="5"/>
      <c r="BK167" s="5"/>
      <c r="BL167" s="5" t="s">
        <v>58</v>
      </c>
      <c r="BM167" s="5"/>
      <c r="BN167" s="5"/>
      <c r="BO167" s="5"/>
      <c r="BP167" s="5"/>
      <c r="BQ167" s="5"/>
      <c r="BR167" s="5" t="s">
        <v>62</v>
      </c>
      <c r="BS167" s="5" t="s">
        <v>63</v>
      </c>
      <c r="BT167" s="5"/>
      <c r="BU167" s="5"/>
      <c r="BV167" s="5"/>
      <c r="BW167" s="5"/>
      <c r="BX167" s="5"/>
      <c r="BY167" s="5"/>
      <c r="BZ167" s="5" t="s">
        <v>69</v>
      </c>
      <c r="CA167" s="5"/>
      <c r="CB167" s="5"/>
      <c r="CC167" s="5"/>
      <c r="CD167" s="5"/>
      <c r="CE167" s="5" t="s">
        <v>74</v>
      </c>
      <c r="CF167" s="5" t="s">
        <v>75</v>
      </c>
      <c r="CG167" s="5"/>
      <c r="CH167" s="5"/>
      <c r="CI167" s="5" t="s">
        <v>417</v>
      </c>
      <c r="CJ167" s="5">
        <v>18</v>
      </c>
      <c r="CK167" s="5" t="s">
        <v>141</v>
      </c>
      <c r="CL167" s="5" t="s">
        <v>171</v>
      </c>
      <c r="CM167" s="5" t="s">
        <v>418</v>
      </c>
      <c r="CN167" s="5" t="s">
        <v>419</v>
      </c>
      <c r="CO167" s="5" t="s">
        <v>82</v>
      </c>
      <c r="CP167" s="5" t="s">
        <v>83</v>
      </c>
      <c r="CQ167" s="5" t="s">
        <v>95</v>
      </c>
      <c r="CR167" s="5" t="s">
        <v>85</v>
      </c>
      <c r="CS167" s="5" t="s">
        <v>86</v>
      </c>
      <c r="CT167" s="5"/>
      <c r="CU167" s="5"/>
      <c r="CV167" s="5"/>
      <c r="CW167" s="5"/>
      <c r="CX167" s="5"/>
      <c r="CY167" s="5"/>
      <c r="CZ167" s="5"/>
      <c r="DA167" s="5"/>
    </row>
    <row r="168" spans="1:105">
      <c r="A168" s="5">
        <v>18021799930</v>
      </c>
      <c r="B168" s="5"/>
      <c r="C168" s="5"/>
      <c r="D168" s="5"/>
      <c r="E168" s="5"/>
      <c r="F168" s="5"/>
      <c r="G168" s="5" t="s">
        <v>21</v>
      </c>
      <c r="H168" s="5"/>
      <c r="I168" s="5"/>
      <c r="J168" s="5"/>
      <c r="K168" s="5" t="s">
        <v>25</v>
      </c>
      <c r="L168" s="5" t="s">
        <v>26</v>
      </c>
      <c r="M168" s="5"/>
      <c r="N168" s="5"/>
      <c r="O168" s="5"/>
      <c r="P168" s="5"/>
      <c r="Q168" s="5"/>
      <c r="R168" s="5"/>
      <c r="S168" s="5" t="s">
        <v>19</v>
      </c>
      <c r="T168" s="5"/>
      <c r="U168" s="5"/>
      <c r="V168" s="5"/>
      <c r="W168" s="5"/>
      <c r="X168" s="5"/>
      <c r="Y168" s="5"/>
      <c r="Z168" s="5"/>
      <c r="AA168" s="5"/>
      <c r="AB168" s="5"/>
      <c r="AC168" s="5"/>
      <c r="AD168" s="5"/>
      <c r="AE168" s="5"/>
      <c r="AF168" s="5" t="s">
        <v>31</v>
      </c>
      <c r="AG168" s="5"/>
      <c r="AH168" s="5"/>
      <c r="AI168" s="5"/>
      <c r="AJ168" s="5"/>
      <c r="AK168" s="5"/>
      <c r="AL168" s="5"/>
      <c r="AM168" s="5"/>
      <c r="AN168" s="5"/>
      <c r="AO168" s="5"/>
      <c r="AP168" s="5" t="s">
        <v>39</v>
      </c>
      <c r="AQ168" s="5"/>
      <c r="AR168" s="5"/>
      <c r="AS168" s="5"/>
      <c r="AT168" s="5" t="s">
        <v>37</v>
      </c>
      <c r="AU168" s="5"/>
      <c r="AV168" s="5"/>
      <c r="AW168" s="5"/>
      <c r="AX168" s="5"/>
      <c r="AY168" s="5"/>
      <c r="AZ168" s="5"/>
      <c r="BA168" s="5"/>
      <c r="BB168" s="5"/>
      <c r="BC168" s="5"/>
      <c r="BD168" s="5" t="s">
        <v>51</v>
      </c>
      <c r="BE168" s="5"/>
      <c r="BF168" s="5"/>
      <c r="BG168" s="5"/>
      <c r="BH168" s="5"/>
      <c r="BI168" s="5"/>
      <c r="BJ168" s="5"/>
      <c r="BK168" s="5"/>
      <c r="BL168" s="5"/>
      <c r="BM168" s="5" t="s">
        <v>59</v>
      </c>
      <c r="BN168" s="5"/>
      <c r="BO168" s="5"/>
      <c r="BP168" s="5" t="s">
        <v>60</v>
      </c>
      <c r="BQ168" s="5"/>
      <c r="BR168" s="5"/>
      <c r="BS168" s="5"/>
      <c r="BT168" s="5"/>
      <c r="BU168" s="5" t="s">
        <v>64</v>
      </c>
      <c r="BV168" s="5"/>
      <c r="BW168" s="5"/>
      <c r="BX168" s="5" t="s">
        <v>67</v>
      </c>
      <c r="BY168" s="5"/>
      <c r="BZ168" s="5"/>
      <c r="CA168" s="5" t="s">
        <v>70</v>
      </c>
      <c r="CB168" s="5"/>
      <c r="CC168" s="5"/>
      <c r="CD168" s="5" t="s">
        <v>73</v>
      </c>
      <c r="CE168" s="5"/>
      <c r="CF168" s="5" t="s">
        <v>75</v>
      </c>
      <c r="CG168" s="5" t="s">
        <v>76</v>
      </c>
      <c r="CH168" s="5"/>
      <c r="CI168" s="5" t="s">
        <v>417</v>
      </c>
      <c r="CJ168" s="5">
        <v>18</v>
      </c>
      <c r="CK168" s="5" t="s">
        <v>141</v>
      </c>
      <c r="CL168" s="5" t="s">
        <v>171</v>
      </c>
      <c r="CM168" s="5" t="s">
        <v>436</v>
      </c>
      <c r="CN168" s="5" t="s">
        <v>419</v>
      </c>
      <c r="CO168" s="5" t="s">
        <v>438</v>
      </c>
      <c r="CP168" s="5" t="s">
        <v>90</v>
      </c>
      <c r="CQ168" s="5" t="s">
        <v>104</v>
      </c>
      <c r="CR168" s="5" t="s">
        <v>85</v>
      </c>
      <c r="CS168" s="5" t="s">
        <v>86</v>
      </c>
      <c r="CT168" s="5"/>
      <c r="CU168" s="5"/>
      <c r="CV168" s="5"/>
      <c r="CW168" s="5"/>
      <c r="CX168" s="5"/>
      <c r="CY168" s="5"/>
      <c r="CZ168" s="5"/>
      <c r="DA168" s="5"/>
    </row>
    <row r="169" spans="1:105">
      <c r="A169" s="5">
        <v>18021799815</v>
      </c>
      <c r="B169" s="5"/>
      <c r="C169" s="5" t="s">
        <v>17</v>
      </c>
      <c r="D169" s="5"/>
      <c r="E169" s="5"/>
      <c r="F169" s="5"/>
      <c r="G169" s="5"/>
      <c r="H169" s="5" t="s">
        <v>22</v>
      </c>
      <c r="I169" s="5"/>
      <c r="J169" s="5"/>
      <c r="K169" s="5" t="s">
        <v>25</v>
      </c>
      <c r="L169" s="5"/>
      <c r="M169" s="5"/>
      <c r="N169" s="5"/>
      <c r="O169" s="5"/>
      <c r="P169" s="5"/>
      <c r="Q169" s="5" t="s">
        <v>17</v>
      </c>
      <c r="R169" s="5" t="s">
        <v>18</v>
      </c>
      <c r="S169" s="5"/>
      <c r="T169" s="5"/>
      <c r="U169" s="5"/>
      <c r="V169" s="5" t="s">
        <v>22</v>
      </c>
      <c r="W169" s="5"/>
      <c r="X169" s="5"/>
      <c r="Y169" s="5"/>
      <c r="Z169" s="5"/>
      <c r="AA169" s="5"/>
      <c r="AB169" s="5"/>
      <c r="AC169" s="5"/>
      <c r="AD169" s="5"/>
      <c r="AE169" s="5"/>
      <c r="AF169" s="5"/>
      <c r="AG169" s="5"/>
      <c r="AH169" s="5"/>
      <c r="AI169" s="5"/>
      <c r="AJ169" s="5"/>
      <c r="AK169" s="5" t="s">
        <v>36</v>
      </c>
      <c r="AL169" s="5" t="s">
        <v>37</v>
      </c>
      <c r="AM169" s="5" t="s">
        <v>375</v>
      </c>
      <c r="AN169" s="5"/>
      <c r="AO169" s="5"/>
      <c r="AP169" s="5"/>
      <c r="AQ169" s="5"/>
      <c r="AR169" s="5"/>
      <c r="AS169" s="5"/>
      <c r="AT169" s="5"/>
      <c r="AU169" s="5"/>
      <c r="AV169" s="5" t="s">
        <v>44</v>
      </c>
      <c r="AW169" s="5"/>
      <c r="AX169" s="5" t="s">
        <v>46</v>
      </c>
      <c r="AY169" s="5" t="s">
        <v>47</v>
      </c>
      <c r="AZ169" s="5"/>
      <c r="BA169" s="5"/>
      <c r="BB169" s="5"/>
      <c r="BC169" s="5"/>
      <c r="BD169" s="5"/>
      <c r="BE169" s="5"/>
      <c r="BF169" s="5" t="s">
        <v>52</v>
      </c>
      <c r="BG169" s="5"/>
      <c r="BH169" s="5"/>
      <c r="BI169" s="5"/>
      <c r="BJ169" s="5"/>
      <c r="BK169" s="5"/>
      <c r="BL169" s="5" t="s">
        <v>58</v>
      </c>
      <c r="BM169" s="5"/>
      <c r="BN169" s="5"/>
      <c r="BO169" s="5"/>
      <c r="BP169" s="5"/>
      <c r="BQ169" s="5"/>
      <c r="BR169" s="5"/>
      <c r="BS169" s="5" t="s">
        <v>63</v>
      </c>
      <c r="BT169" s="5"/>
      <c r="BU169" s="5" t="s">
        <v>64</v>
      </c>
      <c r="BV169" s="5"/>
      <c r="BW169" s="5"/>
      <c r="BX169" s="5"/>
      <c r="BY169" s="5"/>
      <c r="BZ169" s="5"/>
      <c r="CA169" s="5"/>
      <c r="CB169" s="5" t="s">
        <v>71</v>
      </c>
      <c r="CC169" s="5" t="s">
        <v>72</v>
      </c>
      <c r="CD169" s="5"/>
      <c r="CE169" s="5"/>
      <c r="CF169" s="5"/>
      <c r="CG169" s="5"/>
      <c r="CH169" s="5"/>
      <c r="CI169" s="5" t="s">
        <v>417</v>
      </c>
      <c r="CJ169" s="5">
        <v>18</v>
      </c>
      <c r="CK169" s="5" t="s">
        <v>141</v>
      </c>
      <c r="CL169" s="5" t="s">
        <v>171</v>
      </c>
      <c r="CM169" s="5" t="s">
        <v>418</v>
      </c>
      <c r="CN169" s="5" t="s">
        <v>419</v>
      </c>
      <c r="CO169" s="5" t="s">
        <v>82</v>
      </c>
      <c r="CP169" s="5" t="s">
        <v>83</v>
      </c>
      <c r="CQ169" s="5" t="s">
        <v>104</v>
      </c>
      <c r="CR169" s="5" t="s">
        <v>85</v>
      </c>
      <c r="CS169" s="5" t="s">
        <v>81</v>
      </c>
      <c r="CT169" s="5"/>
      <c r="CU169" s="5"/>
      <c r="CV169" s="5"/>
      <c r="CW169" s="5"/>
      <c r="CX169" s="5"/>
      <c r="CY169" s="5"/>
      <c r="CZ169" s="5"/>
      <c r="DA169" s="5"/>
    </row>
    <row r="170" spans="1:105">
      <c r="A170" s="5">
        <v>18021799565</v>
      </c>
      <c r="B170" s="5" t="s">
        <v>16</v>
      </c>
      <c r="C170" s="5" t="s">
        <v>17</v>
      </c>
      <c r="D170" s="5"/>
      <c r="E170" s="5"/>
      <c r="F170" s="5"/>
      <c r="G170" s="5"/>
      <c r="H170" s="5"/>
      <c r="I170" s="5"/>
      <c r="J170" s="5"/>
      <c r="K170" s="5"/>
      <c r="L170" s="5" t="s">
        <v>26</v>
      </c>
      <c r="M170" s="5"/>
      <c r="N170" s="5"/>
      <c r="O170" s="5"/>
      <c r="P170" s="5"/>
      <c r="Q170" s="5"/>
      <c r="R170" s="5" t="s">
        <v>18</v>
      </c>
      <c r="S170" s="5"/>
      <c r="T170" s="5"/>
      <c r="U170" s="5"/>
      <c r="V170" s="5"/>
      <c r="W170" s="5"/>
      <c r="X170" s="5"/>
      <c r="Y170" s="5" t="s">
        <v>25</v>
      </c>
      <c r="Z170" s="5" t="s">
        <v>26</v>
      </c>
      <c r="AA170" s="5"/>
      <c r="AB170" s="5"/>
      <c r="AC170" s="5"/>
      <c r="AD170" s="5" t="s">
        <v>29</v>
      </c>
      <c r="AE170" s="5"/>
      <c r="AF170" s="5"/>
      <c r="AG170" s="5"/>
      <c r="AH170" s="5"/>
      <c r="AI170" s="5"/>
      <c r="AJ170" s="5"/>
      <c r="AK170" s="5"/>
      <c r="AL170" s="5"/>
      <c r="AM170" s="5"/>
      <c r="AN170" s="5"/>
      <c r="AO170" s="5"/>
      <c r="AP170" s="5"/>
      <c r="AQ170" s="5"/>
      <c r="AR170" s="5" t="s">
        <v>41</v>
      </c>
      <c r="AS170" s="5"/>
      <c r="AT170" s="5"/>
      <c r="AU170" s="5" t="s">
        <v>43</v>
      </c>
      <c r="AV170" s="5"/>
      <c r="AW170" s="5"/>
      <c r="AX170" s="5" t="s">
        <v>46</v>
      </c>
      <c r="AY170" s="5"/>
      <c r="AZ170" s="5"/>
      <c r="BA170" s="5"/>
      <c r="BB170" s="5"/>
      <c r="BC170" s="5"/>
      <c r="BD170" s="5"/>
      <c r="BE170" s="5"/>
      <c r="BF170" s="5"/>
      <c r="BG170" s="5"/>
      <c r="BH170" s="5"/>
      <c r="BI170" s="5"/>
      <c r="BJ170" s="5"/>
      <c r="BK170" s="5" t="s">
        <v>57</v>
      </c>
      <c r="BL170" s="5"/>
      <c r="BM170" s="5"/>
      <c r="BN170" s="5" t="s">
        <v>24</v>
      </c>
      <c r="BO170" s="5"/>
      <c r="BP170" s="5"/>
      <c r="BQ170" s="5"/>
      <c r="BR170" s="5"/>
      <c r="BS170" s="5"/>
      <c r="BT170" s="5"/>
      <c r="BU170" s="5"/>
      <c r="BV170" s="5"/>
      <c r="BW170" s="5"/>
      <c r="BX170" s="5"/>
      <c r="BY170" s="5"/>
      <c r="BZ170" s="5"/>
      <c r="CA170" s="5" t="s">
        <v>70</v>
      </c>
      <c r="CB170" s="5"/>
      <c r="CC170" s="5"/>
      <c r="CD170" s="5" t="s">
        <v>73</v>
      </c>
      <c r="CE170" s="5"/>
      <c r="CF170" s="5" t="s">
        <v>75</v>
      </c>
      <c r="CG170" s="5"/>
      <c r="CH170" s="5"/>
      <c r="CI170" s="5" t="s">
        <v>417</v>
      </c>
      <c r="CJ170" s="5">
        <v>43</v>
      </c>
      <c r="CK170" s="5" t="s">
        <v>141</v>
      </c>
      <c r="CL170" s="5" t="s">
        <v>164</v>
      </c>
      <c r="CM170" s="5" t="s">
        <v>418</v>
      </c>
      <c r="CN170" s="5" t="s">
        <v>419</v>
      </c>
      <c r="CO170" s="5" t="s">
        <v>82</v>
      </c>
      <c r="CP170" s="5" t="s">
        <v>94</v>
      </c>
      <c r="CQ170" s="5" t="s">
        <v>111</v>
      </c>
      <c r="CR170" s="5" t="s">
        <v>85</v>
      </c>
      <c r="CS170" s="5" t="s">
        <v>86</v>
      </c>
      <c r="CT170" s="5"/>
      <c r="CU170" s="5"/>
      <c r="CV170" s="5"/>
      <c r="CW170" s="5"/>
      <c r="CX170" s="5"/>
      <c r="CY170" s="5"/>
      <c r="CZ170" s="5"/>
      <c r="DA170" s="5"/>
    </row>
    <row r="171" spans="1:105">
      <c r="A171" s="5">
        <v>18021799358</v>
      </c>
      <c r="B171" s="5"/>
      <c r="C171" s="5"/>
      <c r="D171" s="5"/>
      <c r="E171" s="5"/>
      <c r="F171" s="5" t="s">
        <v>20</v>
      </c>
      <c r="G171" s="5"/>
      <c r="H171" s="5"/>
      <c r="I171" s="5"/>
      <c r="J171" s="5"/>
      <c r="K171" s="5" t="s">
        <v>25</v>
      </c>
      <c r="L171" s="5"/>
      <c r="M171" s="5"/>
      <c r="N171" s="5"/>
      <c r="O171" s="5"/>
      <c r="P171" s="5"/>
      <c r="Q171" s="5"/>
      <c r="R171" s="5"/>
      <c r="S171" s="5"/>
      <c r="T171" s="5"/>
      <c r="U171" s="5"/>
      <c r="V171" s="5"/>
      <c r="W171" s="5"/>
      <c r="X171" s="5"/>
      <c r="Y171" s="5" t="s">
        <v>25</v>
      </c>
      <c r="Z171" s="5"/>
      <c r="AA171" s="5"/>
      <c r="AB171" s="5"/>
      <c r="AC171" s="5"/>
      <c r="AD171" s="5" t="s">
        <v>29</v>
      </c>
      <c r="AE171" s="5"/>
      <c r="AF171" s="5"/>
      <c r="AG171" s="5"/>
      <c r="AH171" s="5"/>
      <c r="AI171" s="5"/>
      <c r="AJ171" s="5" t="s">
        <v>35</v>
      </c>
      <c r="AK171" s="5"/>
      <c r="AL171" s="5"/>
      <c r="AM171" s="5"/>
      <c r="AN171" s="5"/>
      <c r="AO171" s="5"/>
      <c r="AP171" s="5" t="s">
        <v>39</v>
      </c>
      <c r="AQ171" s="5"/>
      <c r="AR171" s="5" t="s">
        <v>41</v>
      </c>
      <c r="AS171" s="5"/>
      <c r="AT171" s="5" t="s">
        <v>37</v>
      </c>
      <c r="AU171" s="5"/>
      <c r="AV171" s="5"/>
      <c r="AW171" s="5"/>
      <c r="AX171" s="5"/>
      <c r="AY171" s="5"/>
      <c r="AZ171" s="5"/>
      <c r="BA171" s="5"/>
      <c r="BB171" s="5" t="s">
        <v>49</v>
      </c>
      <c r="BC171" s="5"/>
      <c r="BD171" s="5"/>
      <c r="BE171" s="5"/>
      <c r="BF171" s="5"/>
      <c r="BG171" s="5" t="s">
        <v>53</v>
      </c>
      <c r="BH171" s="5" t="s">
        <v>54</v>
      </c>
      <c r="BI171" s="5"/>
      <c r="BJ171" s="5"/>
      <c r="BK171" s="5"/>
      <c r="BL171" s="5"/>
      <c r="BM171" s="5"/>
      <c r="BN171" s="5"/>
      <c r="BO171" s="5"/>
      <c r="BP171" s="5"/>
      <c r="BQ171" s="5"/>
      <c r="BR171" s="5"/>
      <c r="BS171" s="5"/>
      <c r="BT171" s="5"/>
      <c r="BU171" s="5"/>
      <c r="BV171" s="5"/>
      <c r="BW171" s="5"/>
      <c r="BX171" s="5" t="s">
        <v>67</v>
      </c>
      <c r="BY171" s="5"/>
      <c r="BZ171" s="5"/>
      <c r="CA171" s="5"/>
      <c r="CB171" s="5"/>
      <c r="CC171" s="5"/>
      <c r="CD171" s="5"/>
      <c r="CE171" s="5"/>
      <c r="CF171" s="5"/>
      <c r="CG171" s="5"/>
      <c r="CH171" s="5"/>
      <c r="CI171" s="5" t="s">
        <v>414</v>
      </c>
      <c r="CJ171" s="5">
        <v>29</v>
      </c>
      <c r="CK171" s="5" t="s">
        <v>141</v>
      </c>
      <c r="CL171" s="5" t="s">
        <v>185</v>
      </c>
      <c r="CM171" s="5" t="s">
        <v>439</v>
      </c>
      <c r="CN171" s="5"/>
      <c r="CO171" s="5" t="s">
        <v>365</v>
      </c>
      <c r="CP171" s="5"/>
      <c r="CQ171" s="5" t="s">
        <v>102</v>
      </c>
      <c r="CR171" s="5"/>
      <c r="CS171" s="5" t="s">
        <v>108</v>
      </c>
      <c r="CT171" s="5"/>
      <c r="CU171" s="5"/>
      <c r="CV171" s="5"/>
      <c r="CW171" s="5"/>
      <c r="CX171" s="5"/>
      <c r="CY171" s="5"/>
      <c r="CZ171" s="5"/>
      <c r="DA171" s="5"/>
    </row>
    <row r="172" spans="1:105">
      <c r="A172" s="5">
        <v>18021799148</v>
      </c>
      <c r="B172" s="5"/>
      <c r="C172" s="5"/>
      <c r="D172" s="5"/>
      <c r="E172" s="5"/>
      <c r="F172" s="5" t="s">
        <v>20</v>
      </c>
      <c r="G172" s="5" t="s">
        <v>21</v>
      </c>
      <c r="H172" s="5"/>
      <c r="I172" s="5"/>
      <c r="J172" s="5"/>
      <c r="K172" s="5" t="s">
        <v>25</v>
      </c>
      <c r="L172" s="5"/>
      <c r="M172" s="5"/>
      <c r="N172" s="5"/>
      <c r="O172" s="5"/>
      <c r="P172" s="5"/>
      <c r="Q172" s="5"/>
      <c r="R172" s="5"/>
      <c r="S172" s="5"/>
      <c r="T172" s="5"/>
      <c r="U172" s="5" t="s">
        <v>21</v>
      </c>
      <c r="V172" s="5"/>
      <c r="W172" s="5"/>
      <c r="X172" s="5"/>
      <c r="Y172" s="5"/>
      <c r="Z172" s="5" t="s">
        <v>26</v>
      </c>
      <c r="AA172" s="5"/>
      <c r="AB172" s="5"/>
      <c r="AC172" s="5"/>
      <c r="AD172" s="5"/>
      <c r="AE172" s="5"/>
      <c r="AF172" s="5"/>
      <c r="AG172" s="5"/>
      <c r="AH172" s="5"/>
      <c r="AI172" s="5"/>
      <c r="AJ172" s="5"/>
      <c r="AK172" s="5" t="s">
        <v>36</v>
      </c>
      <c r="AL172" s="5"/>
      <c r="AM172" s="5"/>
      <c r="AN172" s="5"/>
      <c r="AO172" s="5"/>
      <c r="AP172" s="5" t="s">
        <v>39</v>
      </c>
      <c r="AQ172" s="5"/>
      <c r="AR172" s="5"/>
      <c r="AS172" s="5" t="s">
        <v>42</v>
      </c>
      <c r="AT172" s="5" t="s">
        <v>37</v>
      </c>
      <c r="AU172" s="5"/>
      <c r="AV172" s="5"/>
      <c r="AW172" s="5"/>
      <c r="AX172" s="5"/>
      <c r="AY172" s="5"/>
      <c r="AZ172" s="5"/>
      <c r="BA172" s="5"/>
      <c r="BB172" s="5" t="s">
        <v>49</v>
      </c>
      <c r="BC172" s="5"/>
      <c r="BD172" s="5"/>
      <c r="BE172" s="5"/>
      <c r="BF172" s="5"/>
      <c r="BG172" s="5" t="s">
        <v>53</v>
      </c>
      <c r="BH172" s="5" t="s">
        <v>54</v>
      </c>
      <c r="BI172" s="5"/>
      <c r="BJ172" s="5"/>
      <c r="BK172" s="5"/>
      <c r="BL172" s="5"/>
      <c r="BM172" s="5"/>
      <c r="BN172" s="5"/>
      <c r="BO172" s="5"/>
      <c r="BP172" s="5"/>
      <c r="BQ172" s="5"/>
      <c r="BR172" s="5"/>
      <c r="BS172" s="5"/>
      <c r="BT172" s="5"/>
      <c r="BU172" s="5"/>
      <c r="BV172" s="5"/>
      <c r="BW172" s="5" t="s">
        <v>66</v>
      </c>
      <c r="BX172" s="5" t="s">
        <v>67</v>
      </c>
      <c r="BY172" s="5"/>
      <c r="BZ172" s="5" t="s">
        <v>69</v>
      </c>
      <c r="CA172" s="5"/>
      <c r="CB172" s="5"/>
      <c r="CC172" s="5"/>
      <c r="CD172" s="5"/>
      <c r="CE172" s="5"/>
      <c r="CF172" s="5"/>
      <c r="CG172" s="5"/>
      <c r="CH172" s="5"/>
      <c r="CI172" s="5"/>
      <c r="CJ172" s="5">
        <v>18</v>
      </c>
      <c r="CK172" s="5" t="s">
        <v>141</v>
      </c>
      <c r="CL172" s="5" t="s">
        <v>150</v>
      </c>
      <c r="CM172" s="5" t="s">
        <v>436</v>
      </c>
      <c r="CN172" s="5"/>
      <c r="CO172" s="5" t="s">
        <v>440</v>
      </c>
      <c r="CP172" s="5"/>
      <c r="CQ172" s="5" t="s">
        <v>104</v>
      </c>
      <c r="CR172" s="5"/>
      <c r="CS172" s="5"/>
      <c r="CT172" s="5"/>
      <c r="CU172" s="5"/>
      <c r="CV172" s="5"/>
      <c r="CW172" s="5"/>
      <c r="CX172" s="5"/>
      <c r="CY172" s="5"/>
      <c r="CZ172" s="5"/>
      <c r="DA172" s="5"/>
    </row>
    <row r="173" spans="1:105">
      <c r="A173" s="5">
        <v>18021798948</v>
      </c>
      <c r="B173" s="5"/>
      <c r="C173" s="5"/>
      <c r="D173" s="5"/>
      <c r="E173" s="5"/>
      <c r="F173" s="5" t="s">
        <v>20</v>
      </c>
      <c r="G173" s="5"/>
      <c r="H173" s="5"/>
      <c r="I173" s="5"/>
      <c r="J173" s="5"/>
      <c r="K173" s="5" t="s">
        <v>25</v>
      </c>
      <c r="L173" s="5"/>
      <c r="M173" s="5"/>
      <c r="N173" s="5"/>
      <c r="O173" s="5"/>
      <c r="P173" s="5"/>
      <c r="Q173" s="5"/>
      <c r="R173" s="5"/>
      <c r="S173" s="5"/>
      <c r="T173" s="5"/>
      <c r="U173" s="5"/>
      <c r="V173" s="5"/>
      <c r="W173" s="5"/>
      <c r="X173" s="5"/>
      <c r="Y173" s="5" t="s">
        <v>25</v>
      </c>
      <c r="Z173" s="5"/>
      <c r="AA173" s="5"/>
      <c r="AB173" s="5"/>
      <c r="AC173" s="5"/>
      <c r="AD173" s="5" t="s">
        <v>29</v>
      </c>
      <c r="AE173" s="5"/>
      <c r="AF173" s="5"/>
      <c r="AG173" s="5"/>
      <c r="AH173" s="5"/>
      <c r="AI173" s="5"/>
      <c r="AJ173" s="5" t="s">
        <v>35</v>
      </c>
      <c r="AK173" s="5"/>
      <c r="AL173" s="5"/>
      <c r="AM173" s="5"/>
      <c r="AN173" s="5"/>
      <c r="AO173" s="5"/>
      <c r="AP173" s="5" t="s">
        <v>39</v>
      </c>
      <c r="AQ173" s="5"/>
      <c r="AR173" s="5" t="s">
        <v>41</v>
      </c>
      <c r="AS173" s="5"/>
      <c r="AT173" s="5" t="s">
        <v>37</v>
      </c>
      <c r="AU173" s="5"/>
      <c r="AV173" s="5"/>
      <c r="AW173" s="5"/>
      <c r="AX173" s="5"/>
      <c r="AY173" s="5"/>
      <c r="AZ173" s="5"/>
      <c r="BA173" s="5"/>
      <c r="BB173" s="5" t="s">
        <v>49</v>
      </c>
      <c r="BC173" s="5"/>
      <c r="BD173" s="5"/>
      <c r="BE173" s="5"/>
      <c r="BF173" s="5"/>
      <c r="BG173" s="5" t="s">
        <v>53</v>
      </c>
      <c r="BH173" s="5" t="s">
        <v>54</v>
      </c>
      <c r="BI173" s="5"/>
      <c r="BJ173" s="5"/>
      <c r="BK173" s="5"/>
      <c r="BL173" s="5"/>
      <c r="BM173" s="5"/>
      <c r="BN173" s="5"/>
      <c r="BO173" s="5"/>
      <c r="BP173" s="5"/>
      <c r="BQ173" s="5"/>
      <c r="BR173" s="5"/>
      <c r="BS173" s="5"/>
      <c r="BT173" s="5"/>
      <c r="BU173" s="5"/>
      <c r="BV173" s="5"/>
      <c r="BW173" s="5"/>
      <c r="BX173" s="5" t="s">
        <v>67</v>
      </c>
      <c r="BY173" s="5"/>
      <c r="BZ173" s="5"/>
      <c r="CA173" s="5"/>
      <c r="CB173" s="5"/>
      <c r="CC173" s="5"/>
      <c r="CD173" s="5"/>
      <c r="CE173" s="5"/>
      <c r="CF173" s="5"/>
      <c r="CG173" s="5"/>
      <c r="CH173" s="5"/>
      <c r="CI173" s="5" t="s">
        <v>414</v>
      </c>
      <c r="CJ173" s="5">
        <v>29</v>
      </c>
      <c r="CK173" s="5" t="s">
        <v>141</v>
      </c>
      <c r="CL173" s="5" t="s">
        <v>185</v>
      </c>
      <c r="CM173" s="5" t="s">
        <v>439</v>
      </c>
      <c r="CN173" s="5"/>
      <c r="CO173" s="5" t="s">
        <v>365</v>
      </c>
      <c r="CP173" s="5"/>
      <c r="CQ173" s="5" t="s">
        <v>102</v>
      </c>
      <c r="CR173" s="5"/>
      <c r="CS173" s="5" t="s">
        <v>108</v>
      </c>
      <c r="CT173" s="5"/>
      <c r="CU173" s="5"/>
      <c r="CV173" s="5"/>
      <c r="CW173" s="5"/>
      <c r="CX173" s="5"/>
      <c r="CY173" s="5"/>
      <c r="CZ173" s="5"/>
      <c r="DA173" s="5"/>
    </row>
    <row r="174" spans="1:105">
      <c r="A174" s="5">
        <v>18021798764</v>
      </c>
      <c r="B174" s="5"/>
      <c r="C174" s="5"/>
      <c r="D174" s="5"/>
      <c r="E174" s="5" t="s">
        <v>19</v>
      </c>
      <c r="F174" s="5"/>
      <c r="G174" s="5"/>
      <c r="H174" s="5"/>
      <c r="I174" s="5"/>
      <c r="J174" s="5"/>
      <c r="K174" s="5"/>
      <c r="L174" s="5"/>
      <c r="M174" s="5"/>
      <c r="N174" s="5"/>
      <c r="O174" s="5"/>
      <c r="P174" s="5"/>
      <c r="Q174" s="5"/>
      <c r="R174" s="5"/>
      <c r="S174" s="5"/>
      <c r="T174" s="5"/>
      <c r="U174" s="5"/>
      <c r="V174" s="5"/>
      <c r="W174" s="5"/>
      <c r="X174" s="5"/>
      <c r="Y174" s="5" t="s">
        <v>25</v>
      </c>
      <c r="Z174" s="5"/>
      <c r="AA174" s="5"/>
      <c r="AB174" s="5"/>
      <c r="AC174" s="5"/>
      <c r="AD174" s="5"/>
      <c r="AE174" s="5"/>
      <c r="AF174" s="5" t="s">
        <v>31</v>
      </c>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t="s">
        <v>55</v>
      </c>
      <c r="BJ174" s="5"/>
      <c r="BK174" s="5"/>
      <c r="BL174" s="5"/>
      <c r="BM174" s="5"/>
      <c r="BN174" s="5" t="s">
        <v>24</v>
      </c>
      <c r="BO174" s="5"/>
      <c r="BP174" s="5"/>
      <c r="BQ174" s="5"/>
      <c r="BR174" s="5"/>
      <c r="BS174" s="5"/>
      <c r="BT174" s="5"/>
      <c r="BU174" s="5"/>
      <c r="BV174" s="5"/>
      <c r="BW174" s="5"/>
      <c r="BX174" s="5"/>
      <c r="BY174" s="5"/>
      <c r="BZ174" s="5"/>
      <c r="CA174" s="5"/>
      <c r="CB174" s="5"/>
      <c r="CC174" s="5"/>
      <c r="CD174" s="5"/>
      <c r="CE174" s="5" t="s">
        <v>74</v>
      </c>
      <c r="CF174" s="5"/>
      <c r="CG174" s="5"/>
      <c r="CH174" s="5"/>
      <c r="CI174" s="5" t="s">
        <v>417</v>
      </c>
      <c r="CJ174" s="5">
        <v>18</v>
      </c>
      <c r="CK174" s="5" t="s">
        <v>141</v>
      </c>
      <c r="CL174" s="5" t="s">
        <v>185</v>
      </c>
      <c r="CM174" s="5" t="s">
        <v>423</v>
      </c>
      <c r="CN174" s="5"/>
      <c r="CO174" s="5" t="s">
        <v>365</v>
      </c>
      <c r="CP174" s="5" t="s">
        <v>93</v>
      </c>
      <c r="CQ174" s="5" t="s">
        <v>104</v>
      </c>
      <c r="CR174" s="5"/>
      <c r="CS174" s="5" t="s">
        <v>108</v>
      </c>
      <c r="CT174" s="5"/>
      <c r="CU174" s="5"/>
      <c r="CV174" s="5"/>
      <c r="CW174" s="5"/>
      <c r="CX174" s="5"/>
      <c r="CY174" s="5"/>
      <c r="CZ174" s="5"/>
      <c r="DA174" s="5"/>
    </row>
    <row r="175" spans="1:105">
      <c r="A175" s="5">
        <v>18021798571</v>
      </c>
      <c r="B175" s="5"/>
      <c r="C175" s="5"/>
      <c r="D175" s="5"/>
      <c r="E175" s="5"/>
      <c r="F175" s="5"/>
      <c r="G175" s="5" t="s">
        <v>21</v>
      </c>
      <c r="H175" s="5"/>
      <c r="I175" s="5"/>
      <c r="J175" s="5"/>
      <c r="K175" s="5" t="s">
        <v>25</v>
      </c>
      <c r="L175" s="5"/>
      <c r="M175" s="5"/>
      <c r="N175" s="5"/>
      <c r="O175" s="5"/>
      <c r="P175" s="5"/>
      <c r="Q175" s="5"/>
      <c r="R175" s="5"/>
      <c r="S175" s="5"/>
      <c r="T175" s="5"/>
      <c r="U175" s="5" t="s">
        <v>21</v>
      </c>
      <c r="V175" s="5"/>
      <c r="W175" s="5"/>
      <c r="X175" s="5"/>
      <c r="Y175" s="5"/>
      <c r="Z175" s="5"/>
      <c r="AA175" s="5"/>
      <c r="AB175" s="5"/>
      <c r="AC175" s="5"/>
      <c r="AD175" s="5" t="s">
        <v>29</v>
      </c>
      <c r="AE175" s="5"/>
      <c r="AF175" s="5"/>
      <c r="AG175" s="5"/>
      <c r="AH175" s="5"/>
      <c r="AI175" s="5"/>
      <c r="AJ175" s="5"/>
      <c r="AK175" s="5"/>
      <c r="AL175" s="5"/>
      <c r="AM175" s="5"/>
      <c r="AN175" s="5"/>
      <c r="AO175" s="5" t="s">
        <v>38</v>
      </c>
      <c r="AP175" s="5"/>
      <c r="AQ175" s="5"/>
      <c r="AR175" s="5"/>
      <c r="AS175" s="5" t="s">
        <v>42</v>
      </c>
      <c r="AT175" s="5"/>
      <c r="AU175" s="5"/>
      <c r="AV175" s="5"/>
      <c r="AW175" s="5" t="s">
        <v>45</v>
      </c>
      <c r="AX175" s="5"/>
      <c r="AY175" s="5"/>
      <c r="AZ175" s="5"/>
      <c r="BA175" s="5"/>
      <c r="BB175" s="5"/>
      <c r="BC175" s="5"/>
      <c r="BD175" s="5"/>
      <c r="BE175" s="5"/>
      <c r="BF175" s="5"/>
      <c r="BG175" s="5"/>
      <c r="BH175" s="5" t="s">
        <v>54</v>
      </c>
      <c r="BI175" s="5"/>
      <c r="BJ175" s="5"/>
      <c r="BK175" s="5"/>
      <c r="BL175" s="5" t="s">
        <v>58</v>
      </c>
      <c r="BM175" s="5"/>
      <c r="BN175" s="5"/>
      <c r="BO175" s="5"/>
      <c r="BP175" s="5" t="s">
        <v>60</v>
      </c>
      <c r="BQ175" s="5"/>
      <c r="BR175" s="5"/>
      <c r="BS175" s="5"/>
      <c r="BT175" s="5"/>
      <c r="BU175" s="5" t="s">
        <v>64</v>
      </c>
      <c r="BV175" s="5"/>
      <c r="BW175" s="5"/>
      <c r="BX175" s="5"/>
      <c r="BY175" s="5"/>
      <c r="BZ175" s="5" t="s">
        <v>69</v>
      </c>
      <c r="CA175" s="5"/>
      <c r="CB175" s="5"/>
      <c r="CC175" s="5"/>
      <c r="CD175" s="5"/>
      <c r="CE175" s="5"/>
      <c r="CF175" s="5"/>
      <c r="CG175" s="5"/>
      <c r="CH175" s="5"/>
      <c r="CI175" s="5" t="s">
        <v>414</v>
      </c>
      <c r="CJ175" s="5">
        <v>21</v>
      </c>
      <c r="CK175" s="5" t="s">
        <v>80</v>
      </c>
      <c r="CL175" s="5" t="s">
        <v>441</v>
      </c>
      <c r="CM175" s="5" t="s">
        <v>418</v>
      </c>
      <c r="CN175" s="5"/>
      <c r="CO175" s="5" t="s">
        <v>366</v>
      </c>
      <c r="CP175" s="5" t="s">
        <v>94</v>
      </c>
      <c r="CQ175" s="5" t="s">
        <v>104</v>
      </c>
      <c r="CR175" s="5" t="s">
        <v>89</v>
      </c>
      <c r="CS175" s="5" t="s">
        <v>108</v>
      </c>
      <c r="CT175" s="5"/>
      <c r="CU175" s="5"/>
      <c r="CV175" s="5"/>
      <c r="CW175" s="5"/>
      <c r="CX175" s="5"/>
      <c r="CY175" s="5"/>
      <c r="CZ175" s="5"/>
      <c r="DA175" s="5"/>
    </row>
    <row r="176" spans="1:105">
      <c r="A176" s="5">
        <v>18021798337</v>
      </c>
      <c r="B176" s="5"/>
      <c r="C176" s="5"/>
      <c r="D176" s="5"/>
      <c r="E176" s="5"/>
      <c r="F176" s="5" t="s">
        <v>20</v>
      </c>
      <c r="G176" s="5"/>
      <c r="H176" s="5"/>
      <c r="I176" s="5"/>
      <c r="J176" s="5"/>
      <c r="K176" s="5" t="s">
        <v>25</v>
      </c>
      <c r="L176" s="5"/>
      <c r="M176" s="5"/>
      <c r="N176" s="5"/>
      <c r="O176" s="5"/>
      <c r="P176" s="5"/>
      <c r="Q176" s="5"/>
      <c r="R176" s="5"/>
      <c r="S176" s="5"/>
      <c r="T176" s="5"/>
      <c r="U176" s="5" t="s">
        <v>21</v>
      </c>
      <c r="V176" s="5"/>
      <c r="W176" s="5"/>
      <c r="X176" s="5"/>
      <c r="Y176" s="5"/>
      <c r="Z176" s="5"/>
      <c r="AA176" s="5"/>
      <c r="AB176" s="5"/>
      <c r="AC176" s="5"/>
      <c r="AD176" s="5" t="s">
        <v>29</v>
      </c>
      <c r="AE176" s="5"/>
      <c r="AF176" s="5"/>
      <c r="AG176" s="5"/>
      <c r="AH176" s="5"/>
      <c r="AI176" s="5"/>
      <c r="AJ176" s="5"/>
      <c r="AK176" s="5"/>
      <c r="AL176" s="5"/>
      <c r="AM176" s="5"/>
      <c r="AN176" s="5"/>
      <c r="AO176" s="5" t="s">
        <v>38</v>
      </c>
      <c r="AP176" s="5"/>
      <c r="AQ176" s="5"/>
      <c r="AR176" s="5"/>
      <c r="AS176" s="5" t="s">
        <v>42</v>
      </c>
      <c r="AT176" s="5"/>
      <c r="AU176" s="5"/>
      <c r="AV176" s="5"/>
      <c r="AW176" s="5" t="s">
        <v>45</v>
      </c>
      <c r="AX176" s="5"/>
      <c r="AY176" s="5"/>
      <c r="AZ176" s="5"/>
      <c r="BA176" s="5"/>
      <c r="BB176" s="5"/>
      <c r="BC176" s="5"/>
      <c r="BD176" s="5"/>
      <c r="BE176" s="5"/>
      <c r="BF176" s="5"/>
      <c r="BG176" s="5"/>
      <c r="BH176" s="5" t="s">
        <v>54</v>
      </c>
      <c r="BI176" s="5"/>
      <c r="BJ176" s="5"/>
      <c r="BK176" s="5"/>
      <c r="BL176" s="5" t="s">
        <v>58</v>
      </c>
      <c r="BM176" s="5"/>
      <c r="BN176" s="5"/>
      <c r="BO176" s="5"/>
      <c r="BP176" s="5" t="s">
        <v>60</v>
      </c>
      <c r="BQ176" s="5"/>
      <c r="BR176" s="5"/>
      <c r="BS176" s="5"/>
      <c r="BT176" s="5"/>
      <c r="BU176" s="5" t="s">
        <v>64</v>
      </c>
      <c r="BV176" s="5"/>
      <c r="BW176" s="5"/>
      <c r="BX176" s="5"/>
      <c r="BY176" s="5"/>
      <c r="BZ176" s="5" t="s">
        <v>69</v>
      </c>
      <c r="CA176" s="5"/>
      <c r="CB176" s="5"/>
      <c r="CC176" s="5"/>
      <c r="CD176" s="5"/>
      <c r="CE176" s="5"/>
      <c r="CF176" s="5"/>
      <c r="CG176" s="5"/>
      <c r="CH176" s="5"/>
      <c r="CI176" s="5" t="s">
        <v>417</v>
      </c>
      <c r="CJ176" s="5">
        <v>17</v>
      </c>
      <c r="CK176" s="5" t="s">
        <v>80</v>
      </c>
      <c r="CL176" s="5" t="s">
        <v>138</v>
      </c>
      <c r="CM176" s="5" t="s">
        <v>418</v>
      </c>
      <c r="CN176" s="5"/>
      <c r="CO176" s="5" t="s">
        <v>366</v>
      </c>
      <c r="CP176" s="5" t="s">
        <v>94</v>
      </c>
      <c r="CQ176" s="5" t="s">
        <v>104</v>
      </c>
      <c r="CR176" s="5" t="s">
        <v>89</v>
      </c>
      <c r="CS176" s="5" t="s">
        <v>108</v>
      </c>
      <c r="CT176" s="5"/>
      <c r="CU176" s="5"/>
      <c r="CV176" s="5"/>
      <c r="CW176" s="5"/>
      <c r="CX176" s="5"/>
      <c r="CY176" s="5"/>
      <c r="CZ176" s="5"/>
      <c r="DA176" s="5"/>
    </row>
    <row r="177" spans="1:105">
      <c r="A177" s="5">
        <v>18021797894</v>
      </c>
      <c r="B177" s="5"/>
      <c r="C177" s="5" t="s">
        <v>17</v>
      </c>
      <c r="D177" s="5"/>
      <c r="E177" s="5"/>
      <c r="F177" s="5" t="s">
        <v>20</v>
      </c>
      <c r="G177" s="5"/>
      <c r="H177" s="5"/>
      <c r="I177" s="5"/>
      <c r="J177" s="5"/>
      <c r="K177" s="5"/>
      <c r="L177" s="5"/>
      <c r="M177" s="5"/>
      <c r="N177" s="5"/>
      <c r="O177" s="5"/>
      <c r="P177" s="5"/>
      <c r="Q177" s="5"/>
      <c r="R177" s="5"/>
      <c r="S177" s="5"/>
      <c r="T177" s="5"/>
      <c r="U177" s="5"/>
      <c r="V177" s="5" t="s">
        <v>22</v>
      </c>
      <c r="W177" s="5"/>
      <c r="X177" s="5"/>
      <c r="Y177" s="5"/>
      <c r="Z177" s="5"/>
      <c r="AA177" s="5"/>
      <c r="AB177" s="5"/>
      <c r="AC177" s="5"/>
      <c r="AD177" s="5"/>
      <c r="AE177" s="5"/>
      <c r="AF177" s="5"/>
      <c r="AG177" s="5"/>
      <c r="AH177" s="5"/>
      <c r="AI177" s="5" t="s">
        <v>34</v>
      </c>
      <c r="AJ177" s="5"/>
      <c r="AK177" s="5"/>
      <c r="AL177" s="5"/>
      <c r="AM177" s="5"/>
      <c r="AN177" s="5"/>
      <c r="AO177" s="5"/>
      <c r="AP177" s="5"/>
      <c r="AQ177" s="5"/>
      <c r="AR177" s="5" t="s">
        <v>41</v>
      </c>
      <c r="AS177" s="5"/>
      <c r="AT177" s="5"/>
      <c r="AU177" s="5"/>
      <c r="AV177" s="5" t="s">
        <v>44</v>
      </c>
      <c r="AW177" s="5" t="s">
        <v>45</v>
      </c>
      <c r="AX177" s="5"/>
      <c r="AY177" s="5"/>
      <c r="AZ177" s="5" t="s">
        <v>48</v>
      </c>
      <c r="BA177" s="5"/>
      <c r="BB177" s="5" t="s">
        <v>49</v>
      </c>
      <c r="BC177" s="5" t="s">
        <v>50</v>
      </c>
      <c r="BD177" s="5"/>
      <c r="BE177" s="5"/>
      <c r="BF177" s="5"/>
      <c r="BG177" s="5" t="s">
        <v>53</v>
      </c>
      <c r="BH177" s="5"/>
      <c r="BI177" s="5"/>
      <c r="BJ177" s="5"/>
      <c r="BK177" s="5"/>
      <c r="BL177" s="5"/>
      <c r="BM177" s="5"/>
      <c r="BN177" s="5"/>
      <c r="BO177" s="5"/>
      <c r="BP177" s="5"/>
      <c r="BQ177" s="5"/>
      <c r="BR177" s="5"/>
      <c r="BS177" s="5"/>
      <c r="BT177" s="5"/>
      <c r="BU177" s="5"/>
      <c r="BV177" s="5"/>
      <c r="BW177" s="5"/>
      <c r="BX177" s="5" t="s">
        <v>67</v>
      </c>
      <c r="BY177" s="5"/>
      <c r="BZ177" s="5"/>
      <c r="CA177" s="5"/>
      <c r="CB177" s="5"/>
      <c r="CC177" s="5"/>
      <c r="CD177" s="5"/>
      <c r="CE177" s="5" t="s">
        <v>74</v>
      </c>
      <c r="CF177" s="5"/>
      <c r="CG177" s="5"/>
      <c r="CH177" s="5"/>
      <c r="CI177" s="5" t="s">
        <v>417</v>
      </c>
      <c r="CJ177" s="5">
        <v>18</v>
      </c>
      <c r="CK177" s="5" t="s">
        <v>141</v>
      </c>
      <c r="CL177" s="5" t="s">
        <v>171</v>
      </c>
      <c r="CM177" s="5" t="s">
        <v>423</v>
      </c>
      <c r="CN177" s="5"/>
      <c r="CO177" s="5" t="s">
        <v>366</v>
      </c>
      <c r="CP177" s="5" t="s">
        <v>94</v>
      </c>
      <c r="CQ177" s="5" t="s">
        <v>104</v>
      </c>
      <c r="CR177" s="5" t="s">
        <v>89</v>
      </c>
      <c r="CS177" s="5" t="s">
        <v>108</v>
      </c>
      <c r="CT177" s="5"/>
      <c r="CU177" s="5"/>
      <c r="CV177" s="5"/>
      <c r="CW177" s="5"/>
      <c r="CX177" s="5"/>
      <c r="CY177" s="5"/>
      <c r="CZ177" s="5"/>
      <c r="DA177" s="5"/>
    </row>
    <row r="178" spans="1:105">
      <c r="A178" s="5">
        <v>18021797663</v>
      </c>
      <c r="B178" s="5"/>
      <c r="C178" s="5"/>
      <c r="D178" s="5"/>
      <c r="E178" s="5"/>
      <c r="F178" s="5" t="s">
        <v>20</v>
      </c>
      <c r="G178" s="5"/>
      <c r="H178" s="5"/>
      <c r="I178" s="5"/>
      <c r="J178" s="5"/>
      <c r="K178" s="5"/>
      <c r="L178" s="5"/>
      <c r="M178" s="5"/>
      <c r="N178" s="5"/>
      <c r="O178" s="5"/>
      <c r="P178" s="5"/>
      <c r="Q178" s="5"/>
      <c r="R178" s="5"/>
      <c r="S178" s="5"/>
      <c r="T178" s="5"/>
      <c r="U178" s="5"/>
      <c r="V178" s="5"/>
      <c r="W178" s="5"/>
      <c r="X178" s="5"/>
      <c r="Y178" s="5" t="s">
        <v>25</v>
      </c>
      <c r="Z178" s="5"/>
      <c r="AA178" s="5"/>
      <c r="AB178" s="5"/>
      <c r="AC178" s="5"/>
      <c r="AD178" s="5" t="s">
        <v>29</v>
      </c>
      <c r="AE178" s="5"/>
      <c r="AF178" s="5"/>
      <c r="AG178" s="5"/>
      <c r="AH178" s="5" t="s">
        <v>33</v>
      </c>
      <c r="AI178" s="5"/>
      <c r="AJ178" s="5" t="s">
        <v>35</v>
      </c>
      <c r="AK178" s="5"/>
      <c r="AL178" s="5"/>
      <c r="AM178" s="5"/>
      <c r="AN178" s="5"/>
      <c r="AO178" s="5" t="s">
        <v>38</v>
      </c>
      <c r="AP178" s="5" t="s">
        <v>39</v>
      </c>
      <c r="AQ178" s="5"/>
      <c r="AR178" s="5"/>
      <c r="AS178" s="5"/>
      <c r="AT178" s="5"/>
      <c r="AU178" s="5"/>
      <c r="AV178" s="5"/>
      <c r="AW178" s="5"/>
      <c r="AX178" s="5" t="s">
        <v>46</v>
      </c>
      <c r="AY178" s="5"/>
      <c r="AZ178" s="5"/>
      <c r="BA178" s="5"/>
      <c r="BB178" s="5"/>
      <c r="BC178" s="5"/>
      <c r="BD178" s="5"/>
      <c r="BE178" s="5"/>
      <c r="BF178" s="5" t="s">
        <v>52</v>
      </c>
      <c r="BG178" s="5" t="s">
        <v>53</v>
      </c>
      <c r="BH178" s="5"/>
      <c r="BI178" s="5"/>
      <c r="BJ178" s="5"/>
      <c r="BK178" s="5"/>
      <c r="BL178" s="5"/>
      <c r="BM178" s="5"/>
      <c r="BN178" s="5" t="s">
        <v>24</v>
      </c>
      <c r="BO178" s="5"/>
      <c r="BP178" s="5"/>
      <c r="BQ178" s="5"/>
      <c r="BR178" s="5"/>
      <c r="BS178" s="5"/>
      <c r="BT178" s="5"/>
      <c r="BU178" s="5" t="s">
        <v>64</v>
      </c>
      <c r="BV178" s="5"/>
      <c r="BW178" s="5"/>
      <c r="BX178" s="5" t="s">
        <v>67</v>
      </c>
      <c r="BY178" s="5"/>
      <c r="BZ178" s="5"/>
      <c r="CA178" s="5"/>
      <c r="CB178" s="5"/>
      <c r="CC178" s="5"/>
      <c r="CD178" s="5"/>
      <c r="CE178" s="5"/>
      <c r="CF178" s="5"/>
      <c r="CG178" s="5"/>
      <c r="CH178" s="5"/>
      <c r="CI178" s="5" t="s">
        <v>414</v>
      </c>
      <c r="CJ178" s="5">
        <v>18</v>
      </c>
      <c r="CK178" s="5" t="s">
        <v>141</v>
      </c>
      <c r="CL178" s="5" t="s">
        <v>171</v>
      </c>
      <c r="CM178" s="5" t="s">
        <v>418</v>
      </c>
      <c r="CN178" s="5" t="s">
        <v>419</v>
      </c>
      <c r="CO178" s="5" t="s">
        <v>133</v>
      </c>
      <c r="CP178" s="5"/>
      <c r="CQ178" s="5"/>
      <c r="CR178" s="5" t="s">
        <v>89</v>
      </c>
      <c r="CS178" s="5"/>
      <c r="CT178" s="5"/>
      <c r="CU178" s="5"/>
      <c r="CV178" s="5"/>
      <c r="CW178" s="5"/>
      <c r="CX178" s="5"/>
      <c r="CY178" s="5"/>
      <c r="CZ178" s="5"/>
      <c r="DA178" s="5"/>
    </row>
    <row r="179" spans="1:105">
      <c r="A179" s="5">
        <v>18021797480</v>
      </c>
      <c r="B179" s="5"/>
      <c r="C179" s="5" t="s">
        <v>17</v>
      </c>
      <c r="D179" s="5"/>
      <c r="E179" s="5"/>
      <c r="F179" s="5"/>
      <c r="G179" s="5"/>
      <c r="H179" s="5"/>
      <c r="I179" s="5"/>
      <c r="J179" s="5" t="s">
        <v>24</v>
      </c>
      <c r="K179" s="5"/>
      <c r="L179" s="5" t="s">
        <v>26</v>
      </c>
      <c r="M179" s="5"/>
      <c r="N179" s="5"/>
      <c r="O179" s="5"/>
      <c r="P179" s="5"/>
      <c r="Q179" s="5"/>
      <c r="R179" s="5"/>
      <c r="S179" s="5"/>
      <c r="T179" s="5"/>
      <c r="U179" s="5"/>
      <c r="V179" s="5"/>
      <c r="W179" s="5"/>
      <c r="X179" s="5"/>
      <c r="Y179" s="5" t="s">
        <v>25</v>
      </c>
      <c r="Z179" s="5" t="s">
        <v>26</v>
      </c>
      <c r="AA179" s="5"/>
      <c r="AB179" s="5"/>
      <c r="AC179" s="5"/>
      <c r="AD179" s="5"/>
      <c r="AE179" s="5"/>
      <c r="AF179" s="5"/>
      <c r="AG179" s="5"/>
      <c r="AH179" s="5" t="s">
        <v>33</v>
      </c>
      <c r="AI179" s="5"/>
      <c r="AJ179" s="5"/>
      <c r="AK179" s="5"/>
      <c r="AL179" s="5"/>
      <c r="AM179" s="5"/>
      <c r="AN179" s="5"/>
      <c r="AO179" s="5"/>
      <c r="AP179" s="5"/>
      <c r="AQ179" s="5" t="s">
        <v>40</v>
      </c>
      <c r="AR179" s="5" t="s">
        <v>41</v>
      </c>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t="s">
        <v>61</v>
      </c>
      <c r="BR179" s="5"/>
      <c r="BS179" s="5"/>
      <c r="BT179" s="5"/>
      <c r="BU179" s="5"/>
      <c r="BV179" s="5"/>
      <c r="BW179" s="5"/>
      <c r="BX179" s="5" t="s">
        <v>67</v>
      </c>
      <c r="BY179" s="5"/>
      <c r="BZ179" s="5"/>
      <c r="CA179" s="5"/>
      <c r="CB179" s="5"/>
      <c r="CC179" s="5"/>
      <c r="CD179" s="5"/>
      <c r="CE179" s="5" t="s">
        <v>74</v>
      </c>
      <c r="CF179" s="5"/>
      <c r="CG179" s="5"/>
      <c r="CH179" s="5"/>
      <c r="CI179" s="5" t="s">
        <v>417</v>
      </c>
      <c r="CJ179" s="5">
        <v>61</v>
      </c>
      <c r="CK179" s="5" t="s">
        <v>141</v>
      </c>
      <c r="CL179" s="5" t="s">
        <v>156</v>
      </c>
      <c r="CM179" s="5" t="s">
        <v>436</v>
      </c>
      <c r="CN179" s="5"/>
      <c r="CO179" s="5" t="s">
        <v>366</v>
      </c>
      <c r="CP179" s="5" t="s">
        <v>87</v>
      </c>
      <c r="CQ179" s="5" t="s">
        <v>84</v>
      </c>
      <c r="CR179" s="5" t="s">
        <v>85</v>
      </c>
      <c r="CS179" s="5" t="s">
        <v>86</v>
      </c>
      <c r="CT179" s="5"/>
      <c r="CU179" s="5"/>
      <c r="CV179" s="5"/>
      <c r="CW179" s="5"/>
      <c r="CX179" s="5"/>
      <c r="CY179" s="5"/>
      <c r="CZ179" s="5"/>
      <c r="DA179" s="5"/>
    </row>
    <row r="180" spans="1:105">
      <c r="A180" s="5">
        <v>18021796836</v>
      </c>
      <c r="B180" s="5"/>
      <c r="C180" s="5" t="s">
        <v>17</v>
      </c>
      <c r="D180" s="5"/>
      <c r="E180" s="5"/>
      <c r="F180" s="5"/>
      <c r="G180" s="5"/>
      <c r="H180" s="5"/>
      <c r="I180" s="5"/>
      <c r="J180" s="5" t="s">
        <v>24</v>
      </c>
      <c r="K180" s="5"/>
      <c r="L180" s="5" t="s">
        <v>26</v>
      </c>
      <c r="M180" s="5"/>
      <c r="N180" s="5"/>
      <c r="O180" s="5"/>
      <c r="P180" s="5"/>
      <c r="Q180" s="5"/>
      <c r="R180" s="5"/>
      <c r="S180" s="5"/>
      <c r="T180" s="5"/>
      <c r="U180" s="5"/>
      <c r="V180" s="5"/>
      <c r="W180" s="5"/>
      <c r="X180" s="5"/>
      <c r="Y180" s="5" t="s">
        <v>25</v>
      </c>
      <c r="Z180" s="5" t="s">
        <v>26</v>
      </c>
      <c r="AA180" s="5"/>
      <c r="AB180" s="5"/>
      <c r="AC180" s="5"/>
      <c r="AD180" s="5"/>
      <c r="AE180" s="5"/>
      <c r="AF180" s="5"/>
      <c r="AG180" s="5"/>
      <c r="AH180" s="5" t="s">
        <v>33</v>
      </c>
      <c r="AI180" s="5"/>
      <c r="AJ180" s="5"/>
      <c r="AK180" s="5"/>
      <c r="AL180" s="5"/>
      <c r="AM180" s="5"/>
      <c r="AN180" s="5"/>
      <c r="AO180" s="5"/>
      <c r="AP180" s="5"/>
      <c r="AQ180" s="5" t="s">
        <v>40</v>
      </c>
      <c r="AR180" s="5" t="s">
        <v>41</v>
      </c>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t="s">
        <v>61</v>
      </c>
      <c r="BR180" s="5"/>
      <c r="BS180" s="5"/>
      <c r="BT180" s="5"/>
      <c r="BU180" s="5"/>
      <c r="BV180" s="5"/>
      <c r="BW180" s="5"/>
      <c r="BX180" s="5" t="s">
        <v>67</v>
      </c>
      <c r="BY180" s="5"/>
      <c r="BZ180" s="5"/>
      <c r="CA180" s="5"/>
      <c r="CB180" s="5"/>
      <c r="CC180" s="5"/>
      <c r="CD180" s="5"/>
      <c r="CE180" s="5" t="s">
        <v>74</v>
      </c>
      <c r="CF180" s="5"/>
      <c r="CG180" s="5"/>
      <c r="CH180" s="5"/>
      <c r="CI180" s="5" t="s">
        <v>414</v>
      </c>
      <c r="CJ180" s="5">
        <v>60</v>
      </c>
      <c r="CK180" s="5" t="s">
        <v>141</v>
      </c>
      <c r="CL180" s="5" t="s">
        <v>171</v>
      </c>
      <c r="CM180" s="5" t="s">
        <v>436</v>
      </c>
      <c r="CN180" s="5"/>
      <c r="CO180" s="5" t="s">
        <v>366</v>
      </c>
      <c r="CP180" s="5" t="s">
        <v>87</v>
      </c>
      <c r="CQ180" s="5" t="s">
        <v>84</v>
      </c>
      <c r="CR180" s="5" t="s">
        <v>85</v>
      </c>
      <c r="CS180" s="5" t="s">
        <v>86</v>
      </c>
      <c r="CT180" s="5"/>
      <c r="CU180" s="5"/>
      <c r="CV180" s="5"/>
      <c r="CW180" s="5"/>
      <c r="CX180" s="5"/>
      <c r="CY180" s="5"/>
      <c r="CZ180" s="5"/>
      <c r="DA180" s="5"/>
    </row>
    <row r="181" spans="1:105">
      <c r="A181" s="5">
        <v>18021796390</v>
      </c>
      <c r="B181" s="5"/>
      <c r="C181" s="5"/>
      <c r="D181" s="5"/>
      <c r="E181" s="5" t="s">
        <v>19</v>
      </c>
      <c r="F181" s="5"/>
      <c r="G181" s="5"/>
      <c r="H181" s="5" t="s">
        <v>22</v>
      </c>
      <c r="I181" s="5" t="s">
        <v>23</v>
      </c>
      <c r="J181" s="5"/>
      <c r="K181" s="5"/>
      <c r="L181" s="5"/>
      <c r="M181" s="5"/>
      <c r="N181" s="5"/>
      <c r="O181" s="5"/>
      <c r="P181" s="5"/>
      <c r="Q181" s="5"/>
      <c r="R181" s="5"/>
      <c r="S181" s="5" t="s">
        <v>19</v>
      </c>
      <c r="T181" s="5"/>
      <c r="U181" s="5" t="s">
        <v>21</v>
      </c>
      <c r="V181" s="5"/>
      <c r="W181" s="5" t="s">
        <v>23</v>
      </c>
      <c r="X181" s="5"/>
      <c r="Y181" s="5"/>
      <c r="Z181" s="5"/>
      <c r="AA181" s="5"/>
      <c r="AB181" s="5"/>
      <c r="AC181" s="5"/>
      <c r="AD181" s="5" t="s">
        <v>29</v>
      </c>
      <c r="AE181" s="5"/>
      <c r="AF181" s="5" t="s">
        <v>31</v>
      </c>
      <c r="AG181" s="5"/>
      <c r="AH181" s="5"/>
      <c r="AI181" s="5"/>
      <c r="AJ181" s="5"/>
      <c r="AK181" s="5" t="s">
        <v>36</v>
      </c>
      <c r="AL181" s="5"/>
      <c r="AM181" s="5"/>
      <c r="AN181" s="5"/>
      <c r="AO181" s="5"/>
      <c r="AP181" s="5"/>
      <c r="AQ181" s="5"/>
      <c r="AR181" s="5"/>
      <c r="AS181" s="5"/>
      <c r="AT181" s="5" t="s">
        <v>37</v>
      </c>
      <c r="AU181" s="5"/>
      <c r="AV181" s="5" t="s">
        <v>44</v>
      </c>
      <c r="AW181" s="5"/>
      <c r="AX181" s="5"/>
      <c r="AY181" s="5" t="s">
        <v>47</v>
      </c>
      <c r="AZ181" s="5"/>
      <c r="BA181" s="5"/>
      <c r="BB181" s="5"/>
      <c r="BC181" s="5"/>
      <c r="BD181" s="5"/>
      <c r="BE181" s="5" t="s">
        <v>17</v>
      </c>
      <c r="BF181" s="5"/>
      <c r="BG181" s="5"/>
      <c r="BH181" s="5"/>
      <c r="BI181" s="5"/>
      <c r="BJ181" s="5" t="s">
        <v>56</v>
      </c>
      <c r="BK181" s="5"/>
      <c r="BL181" s="5"/>
      <c r="BM181" s="5"/>
      <c r="BN181" s="5"/>
      <c r="BO181" s="5"/>
      <c r="BP181" s="5" t="s">
        <v>60</v>
      </c>
      <c r="BQ181" s="5"/>
      <c r="BR181" s="5"/>
      <c r="BS181" s="5"/>
      <c r="BT181" s="5"/>
      <c r="BU181" s="5" t="s">
        <v>64</v>
      </c>
      <c r="BV181" s="5"/>
      <c r="BW181" s="5" t="s">
        <v>66</v>
      </c>
      <c r="BX181" s="5" t="s">
        <v>67</v>
      </c>
      <c r="BY181" s="5" t="s">
        <v>68</v>
      </c>
      <c r="BZ181" s="5"/>
      <c r="CA181" s="5" t="s">
        <v>70</v>
      </c>
      <c r="CB181" s="5" t="s">
        <v>71</v>
      </c>
      <c r="CC181" s="5"/>
      <c r="CD181" s="5" t="s">
        <v>73</v>
      </c>
      <c r="CE181" s="5"/>
      <c r="CF181" s="5" t="s">
        <v>75</v>
      </c>
      <c r="CG181" s="5"/>
      <c r="CH181" s="5"/>
      <c r="CI181" s="5" t="s">
        <v>414</v>
      </c>
      <c r="CJ181" s="5">
        <v>26</v>
      </c>
      <c r="CK181" s="5" t="s">
        <v>141</v>
      </c>
      <c r="CL181" s="5" t="s">
        <v>184</v>
      </c>
      <c r="CM181" s="5" t="s">
        <v>418</v>
      </c>
      <c r="CN181" s="5" t="s">
        <v>419</v>
      </c>
      <c r="CO181" s="5" t="s">
        <v>82</v>
      </c>
      <c r="CP181" s="5" t="s">
        <v>83</v>
      </c>
      <c r="CQ181" s="5" t="s">
        <v>88</v>
      </c>
      <c r="CR181" s="5" t="s">
        <v>92</v>
      </c>
      <c r="CS181" s="5" t="s">
        <v>86</v>
      </c>
      <c r="CT181" s="5"/>
      <c r="CU181" s="5"/>
      <c r="CV181" s="5"/>
      <c r="CW181" s="5"/>
      <c r="CX181" s="5"/>
      <c r="CY181" s="5"/>
      <c r="CZ181" s="5"/>
      <c r="DA181" s="5"/>
    </row>
    <row r="182" spans="1:105">
      <c r="A182" s="5">
        <v>18021796214</v>
      </c>
      <c r="B182" s="5"/>
      <c r="C182" s="5"/>
      <c r="D182" s="5" t="s">
        <v>18</v>
      </c>
      <c r="E182" s="5" t="s">
        <v>19</v>
      </c>
      <c r="F182" s="5"/>
      <c r="G182" s="5"/>
      <c r="H182" s="5"/>
      <c r="I182" s="5"/>
      <c r="J182" s="5"/>
      <c r="K182" s="5"/>
      <c r="L182" s="5"/>
      <c r="M182" s="5"/>
      <c r="N182" s="5" t="s">
        <v>28</v>
      </c>
      <c r="O182" s="5"/>
      <c r="P182" s="5"/>
      <c r="Q182" s="5"/>
      <c r="R182" s="5"/>
      <c r="S182" s="5" t="s">
        <v>19</v>
      </c>
      <c r="T182" s="5"/>
      <c r="U182" s="5"/>
      <c r="V182" s="5"/>
      <c r="W182" s="5"/>
      <c r="X182" s="5"/>
      <c r="Y182" s="5"/>
      <c r="Z182" s="5"/>
      <c r="AA182" s="5" t="s">
        <v>27</v>
      </c>
      <c r="AB182" s="5" t="s">
        <v>28</v>
      </c>
      <c r="AC182" s="5"/>
      <c r="AD182" s="5" t="s">
        <v>29</v>
      </c>
      <c r="AE182" s="5"/>
      <c r="AF182" s="5"/>
      <c r="AG182" s="5"/>
      <c r="AH182" s="5"/>
      <c r="AI182" s="5" t="s">
        <v>34</v>
      </c>
      <c r="AJ182" s="5"/>
      <c r="AK182" s="5" t="s">
        <v>36</v>
      </c>
      <c r="AL182" s="5"/>
      <c r="AM182" s="5"/>
      <c r="AN182" s="5"/>
      <c r="AO182" s="5"/>
      <c r="AP182" s="5"/>
      <c r="AQ182" s="5"/>
      <c r="AR182" s="5"/>
      <c r="AS182" s="5"/>
      <c r="AT182" s="5"/>
      <c r="AU182" s="5"/>
      <c r="AV182" s="5"/>
      <c r="AW182" s="5" t="s">
        <v>45</v>
      </c>
      <c r="AX182" s="5" t="s">
        <v>46</v>
      </c>
      <c r="AY182" s="5" t="s">
        <v>47</v>
      </c>
      <c r="AZ182" s="5"/>
      <c r="BA182" s="5"/>
      <c r="BB182" s="5"/>
      <c r="BC182" s="5"/>
      <c r="BD182" s="5"/>
      <c r="BE182" s="5"/>
      <c r="BF182" s="5"/>
      <c r="BG182" s="5" t="s">
        <v>53</v>
      </c>
      <c r="BH182" s="5"/>
      <c r="BI182" s="5" t="s">
        <v>55</v>
      </c>
      <c r="BJ182" s="5"/>
      <c r="BK182" s="5"/>
      <c r="BL182" s="5"/>
      <c r="BM182" s="5"/>
      <c r="BN182" s="5"/>
      <c r="BO182" s="5"/>
      <c r="BP182" s="5"/>
      <c r="BQ182" s="5"/>
      <c r="BR182" s="5" t="s">
        <v>62</v>
      </c>
      <c r="BS182" s="5"/>
      <c r="BT182" s="5"/>
      <c r="BU182" s="5" t="s">
        <v>64</v>
      </c>
      <c r="BV182" s="5"/>
      <c r="BW182" s="5"/>
      <c r="BX182" s="5"/>
      <c r="BY182" s="5"/>
      <c r="BZ182" s="5"/>
      <c r="CA182" s="5" t="s">
        <v>70</v>
      </c>
      <c r="CB182" s="5"/>
      <c r="CC182" s="5"/>
      <c r="CD182" s="5"/>
      <c r="CE182" s="5"/>
      <c r="CF182" s="5"/>
      <c r="CG182" s="5"/>
      <c r="CH182" s="5"/>
      <c r="CI182" s="5" t="s">
        <v>417</v>
      </c>
      <c r="CJ182" s="5">
        <v>46</v>
      </c>
      <c r="CK182" s="5" t="s">
        <v>80</v>
      </c>
      <c r="CL182" s="5" t="s">
        <v>131</v>
      </c>
      <c r="CM182" s="5" t="s">
        <v>418</v>
      </c>
      <c r="CN182" s="5" t="s">
        <v>419</v>
      </c>
      <c r="CO182" s="5" t="s">
        <v>82</v>
      </c>
      <c r="CP182" s="5" t="s">
        <v>83</v>
      </c>
      <c r="CQ182" s="5" t="s">
        <v>103</v>
      </c>
      <c r="CR182" s="5" t="s">
        <v>85</v>
      </c>
      <c r="CS182" s="5" t="s">
        <v>86</v>
      </c>
      <c r="CT182" s="5"/>
      <c r="CU182" s="5"/>
      <c r="CV182" s="5"/>
      <c r="CW182" s="5"/>
      <c r="CX182" s="5"/>
      <c r="CY182" s="5"/>
      <c r="CZ182" s="5"/>
      <c r="DA182" s="5"/>
    </row>
    <row r="183" spans="1:105">
      <c r="A183" s="5">
        <v>18021795979</v>
      </c>
      <c r="B183" s="5"/>
      <c r="C183" s="5" t="s">
        <v>17</v>
      </c>
      <c r="D183" s="5" t="s">
        <v>18</v>
      </c>
      <c r="E183" s="5"/>
      <c r="F183" s="5"/>
      <c r="G183" s="5" t="s">
        <v>21</v>
      </c>
      <c r="H183" s="5"/>
      <c r="I183" s="5"/>
      <c r="J183" s="5"/>
      <c r="K183" s="5"/>
      <c r="L183" s="5"/>
      <c r="M183" s="5"/>
      <c r="N183" s="5"/>
      <c r="O183" s="5"/>
      <c r="P183" s="5"/>
      <c r="Q183" s="5" t="s">
        <v>17</v>
      </c>
      <c r="R183" s="5" t="s">
        <v>18</v>
      </c>
      <c r="S183" s="5"/>
      <c r="T183" s="5"/>
      <c r="U183" s="5" t="s">
        <v>21</v>
      </c>
      <c r="V183" s="5"/>
      <c r="W183" s="5"/>
      <c r="X183" s="5"/>
      <c r="Y183" s="5"/>
      <c r="Z183" s="5"/>
      <c r="AA183" s="5"/>
      <c r="AB183" s="5"/>
      <c r="AC183" s="5"/>
      <c r="AD183" s="5"/>
      <c r="AE183" s="5"/>
      <c r="AF183" s="5" t="s">
        <v>31</v>
      </c>
      <c r="AG183" s="5"/>
      <c r="AH183" s="5"/>
      <c r="AI183" s="5"/>
      <c r="AJ183" s="5" t="s">
        <v>35</v>
      </c>
      <c r="AK183" s="5"/>
      <c r="AL183" s="5"/>
      <c r="AM183" s="5" t="s">
        <v>375</v>
      </c>
      <c r="AN183" s="5"/>
      <c r="AO183" s="5" t="s">
        <v>38</v>
      </c>
      <c r="AP183" s="5"/>
      <c r="AQ183" s="5" t="s">
        <v>40</v>
      </c>
      <c r="AR183" s="5"/>
      <c r="AS183" s="5"/>
      <c r="AT183" s="5"/>
      <c r="AU183" s="5"/>
      <c r="AV183" s="5"/>
      <c r="AW183" s="5"/>
      <c r="AX183" s="5"/>
      <c r="AY183" s="5"/>
      <c r="AZ183" s="5" t="s">
        <v>48</v>
      </c>
      <c r="BA183" s="5"/>
      <c r="BB183" s="5"/>
      <c r="BC183" s="5"/>
      <c r="BD183" s="5"/>
      <c r="BE183" s="5" t="s">
        <v>17</v>
      </c>
      <c r="BF183" s="5"/>
      <c r="BG183" s="5"/>
      <c r="BH183" s="5"/>
      <c r="BI183" s="5"/>
      <c r="BJ183" s="5"/>
      <c r="BK183" s="5"/>
      <c r="BL183" s="5"/>
      <c r="BM183" s="5"/>
      <c r="BN183" s="5"/>
      <c r="BO183" s="5"/>
      <c r="BP183" s="5" t="s">
        <v>60</v>
      </c>
      <c r="BQ183" s="5" t="s">
        <v>61</v>
      </c>
      <c r="BR183" s="5"/>
      <c r="BS183" s="5"/>
      <c r="BT183" s="5"/>
      <c r="BU183" s="5" t="s">
        <v>64</v>
      </c>
      <c r="BV183" s="5"/>
      <c r="BW183" s="5"/>
      <c r="BX183" s="5"/>
      <c r="BY183" s="5"/>
      <c r="BZ183" s="5"/>
      <c r="CA183" s="5" t="s">
        <v>70</v>
      </c>
      <c r="CB183" s="5"/>
      <c r="CC183" s="5"/>
      <c r="CD183" s="5" t="s">
        <v>73</v>
      </c>
      <c r="CE183" s="5"/>
      <c r="CF183" s="5"/>
      <c r="CG183" s="5"/>
      <c r="CH183" s="5"/>
      <c r="CI183" s="5" t="s">
        <v>414</v>
      </c>
      <c r="CJ183" s="5">
        <v>34</v>
      </c>
      <c r="CK183" s="5" t="s">
        <v>141</v>
      </c>
      <c r="CL183" s="5" t="s">
        <v>160</v>
      </c>
      <c r="CM183" s="5" t="s">
        <v>418</v>
      </c>
      <c r="CN183" s="5" t="s">
        <v>419</v>
      </c>
      <c r="CO183" s="5" t="s">
        <v>82</v>
      </c>
      <c r="CP183" s="5" t="s">
        <v>97</v>
      </c>
      <c r="CQ183" s="5" t="s">
        <v>88</v>
      </c>
      <c r="CR183" s="5" t="s">
        <v>85</v>
      </c>
      <c r="CS183" s="5" t="s">
        <v>86</v>
      </c>
      <c r="CT183" s="5"/>
      <c r="CU183" s="5"/>
      <c r="CV183" s="5"/>
      <c r="CW183" s="5"/>
      <c r="CX183" s="5"/>
      <c r="CY183" s="5"/>
      <c r="CZ183" s="5"/>
      <c r="DA183" s="5"/>
    </row>
    <row r="184" spans="1:105">
      <c r="A184" s="5">
        <v>18021795763</v>
      </c>
      <c r="B184" s="5"/>
      <c r="C184" s="5" t="s">
        <v>17</v>
      </c>
      <c r="D184" s="5"/>
      <c r="E184" s="5"/>
      <c r="F184" s="5"/>
      <c r="G184" s="5"/>
      <c r="H184" s="5"/>
      <c r="I184" s="5"/>
      <c r="J184" s="5"/>
      <c r="K184" s="5" t="s">
        <v>25</v>
      </c>
      <c r="L184" s="5" t="s">
        <v>26</v>
      </c>
      <c r="M184" s="5"/>
      <c r="N184" s="5"/>
      <c r="O184" s="5"/>
      <c r="P184" s="5"/>
      <c r="Q184" s="5"/>
      <c r="R184" s="5"/>
      <c r="S184" s="5"/>
      <c r="T184" s="5"/>
      <c r="U184" s="5"/>
      <c r="V184" s="5"/>
      <c r="W184" s="5" t="s">
        <v>23</v>
      </c>
      <c r="X184" s="5"/>
      <c r="Y184" s="5" t="s">
        <v>25</v>
      </c>
      <c r="Z184" s="5"/>
      <c r="AA184" s="5"/>
      <c r="AB184" s="5"/>
      <c r="AC184" s="5"/>
      <c r="AD184" s="5" t="s">
        <v>29</v>
      </c>
      <c r="AE184" s="5"/>
      <c r="AF184" s="5"/>
      <c r="AG184" s="5"/>
      <c r="AH184" s="5"/>
      <c r="AI184" s="5"/>
      <c r="AJ184" s="5"/>
      <c r="AK184" s="5"/>
      <c r="AL184" s="5"/>
      <c r="AM184" s="5"/>
      <c r="AN184" s="5"/>
      <c r="AO184" s="5"/>
      <c r="AP184" s="5" t="s">
        <v>39</v>
      </c>
      <c r="AQ184" s="5" t="s">
        <v>40</v>
      </c>
      <c r="AR184" s="5"/>
      <c r="AS184" s="5"/>
      <c r="AT184" s="5"/>
      <c r="AU184" s="5" t="s">
        <v>43</v>
      </c>
      <c r="AV184" s="5"/>
      <c r="AW184" s="5"/>
      <c r="AX184" s="5"/>
      <c r="AY184" s="5"/>
      <c r="AZ184" s="5"/>
      <c r="BA184" s="5"/>
      <c r="BB184" s="5"/>
      <c r="BC184" s="5"/>
      <c r="BD184" s="5" t="s">
        <v>51</v>
      </c>
      <c r="BE184" s="5"/>
      <c r="BF184" s="5"/>
      <c r="BG184" s="5"/>
      <c r="BH184" s="5"/>
      <c r="BI184" s="5"/>
      <c r="BJ184" s="5"/>
      <c r="BK184" s="5"/>
      <c r="BL184" s="5"/>
      <c r="BM184" s="5" t="s">
        <v>59</v>
      </c>
      <c r="BN184" s="5"/>
      <c r="BO184" s="5"/>
      <c r="BP184" s="5" t="s">
        <v>60</v>
      </c>
      <c r="BQ184" s="5"/>
      <c r="BR184" s="5"/>
      <c r="BS184" s="5"/>
      <c r="BT184" s="5"/>
      <c r="BU184" s="5" t="s">
        <v>64</v>
      </c>
      <c r="BV184" s="5"/>
      <c r="BW184" s="5" t="s">
        <v>66</v>
      </c>
      <c r="BX184" s="5"/>
      <c r="BY184" s="5"/>
      <c r="BZ184" s="5"/>
      <c r="CA184" s="5"/>
      <c r="CB184" s="5"/>
      <c r="CC184" s="5"/>
      <c r="CD184" s="5"/>
      <c r="CE184" s="5"/>
      <c r="CF184" s="5" t="s">
        <v>75</v>
      </c>
      <c r="CG184" s="5"/>
      <c r="CH184" s="5"/>
      <c r="CI184" s="5" t="s">
        <v>414</v>
      </c>
      <c r="CJ184" s="5">
        <v>18</v>
      </c>
      <c r="CK184" s="5" t="s">
        <v>141</v>
      </c>
      <c r="CL184" s="5" t="s">
        <v>171</v>
      </c>
      <c r="CM184" s="5" t="s">
        <v>418</v>
      </c>
      <c r="CN184" s="5" t="s">
        <v>419</v>
      </c>
      <c r="CO184" s="5" t="s">
        <v>82</v>
      </c>
      <c r="CP184" s="5" t="s">
        <v>93</v>
      </c>
      <c r="CQ184" s="5" t="s">
        <v>95</v>
      </c>
      <c r="CR184" s="5" t="s">
        <v>89</v>
      </c>
      <c r="CS184" s="5" t="s">
        <v>86</v>
      </c>
      <c r="CT184" s="5"/>
      <c r="CU184" s="5"/>
      <c r="CV184" s="5"/>
      <c r="CW184" s="5"/>
      <c r="CX184" s="5"/>
      <c r="CY184" s="5"/>
      <c r="CZ184" s="5"/>
      <c r="DA184" s="5"/>
    </row>
    <row r="185" spans="1:105">
      <c r="A185" s="5">
        <v>18021795588</v>
      </c>
      <c r="B185" s="5"/>
      <c r="C185" s="5" t="s">
        <v>17</v>
      </c>
      <c r="D185" s="5"/>
      <c r="E185" s="5"/>
      <c r="F185" s="5"/>
      <c r="G185" s="5" t="s">
        <v>21</v>
      </c>
      <c r="H185" s="5"/>
      <c r="I185" s="5"/>
      <c r="J185" s="5" t="s">
        <v>24</v>
      </c>
      <c r="K185" s="5"/>
      <c r="L185" s="5"/>
      <c r="M185" s="5"/>
      <c r="N185" s="5"/>
      <c r="O185" s="5"/>
      <c r="P185" s="5"/>
      <c r="Q185" s="5" t="s">
        <v>17</v>
      </c>
      <c r="R185" s="5"/>
      <c r="S185" s="5" t="s">
        <v>19</v>
      </c>
      <c r="T185" s="5"/>
      <c r="U185" s="5" t="s">
        <v>21</v>
      </c>
      <c r="V185" s="5"/>
      <c r="W185" s="5"/>
      <c r="X185" s="5"/>
      <c r="Y185" s="5"/>
      <c r="Z185" s="5"/>
      <c r="AA185" s="5"/>
      <c r="AB185" s="5"/>
      <c r="AC185" s="5"/>
      <c r="AD185" s="5"/>
      <c r="AE185" s="5"/>
      <c r="AF185" s="5" t="s">
        <v>31</v>
      </c>
      <c r="AG185" s="5"/>
      <c r="AH185" s="5"/>
      <c r="AI185" s="5"/>
      <c r="AJ185" s="5"/>
      <c r="AK185" s="5" t="s">
        <v>36</v>
      </c>
      <c r="AL185" s="5" t="s">
        <v>37</v>
      </c>
      <c r="AM185" s="5"/>
      <c r="AN185" s="5"/>
      <c r="AO185" s="5" t="s">
        <v>38</v>
      </c>
      <c r="AP185" s="5"/>
      <c r="AQ185" s="5"/>
      <c r="AR185" s="5"/>
      <c r="AS185" s="5"/>
      <c r="AT185" s="5"/>
      <c r="AU185" s="5" t="s">
        <v>43</v>
      </c>
      <c r="AV185" s="5" t="s">
        <v>44</v>
      </c>
      <c r="AW185" s="5"/>
      <c r="AX185" s="5"/>
      <c r="AY185" s="5"/>
      <c r="AZ185" s="5"/>
      <c r="BA185" s="5"/>
      <c r="BB185" s="5" t="s">
        <v>49</v>
      </c>
      <c r="BC185" s="5"/>
      <c r="BD185" s="5"/>
      <c r="BE185" s="5"/>
      <c r="BF185" s="5"/>
      <c r="BG185" s="5" t="s">
        <v>53</v>
      </c>
      <c r="BH185" s="5" t="s">
        <v>54</v>
      </c>
      <c r="BI185" s="5"/>
      <c r="BJ185" s="5"/>
      <c r="BK185" s="5"/>
      <c r="BL185" s="5"/>
      <c r="BM185" s="5"/>
      <c r="BN185" s="5" t="s">
        <v>24</v>
      </c>
      <c r="BO185" s="5"/>
      <c r="BP185" s="5" t="s">
        <v>60</v>
      </c>
      <c r="BQ185" s="5"/>
      <c r="BR185" s="5"/>
      <c r="BS185" s="5"/>
      <c r="BT185" s="5"/>
      <c r="BU185" s="5" t="s">
        <v>64</v>
      </c>
      <c r="BV185" s="5"/>
      <c r="BW185" s="5"/>
      <c r="BX185" s="5"/>
      <c r="BY185" s="5"/>
      <c r="BZ185" s="5" t="s">
        <v>69</v>
      </c>
      <c r="CA185" s="5"/>
      <c r="CB185" s="5"/>
      <c r="CC185" s="5"/>
      <c r="CD185" s="5"/>
      <c r="CE185" s="5"/>
      <c r="CF185" s="5" t="s">
        <v>75</v>
      </c>
      <c r="CG185" s="5"/>
      <c r="CH185" s="5"/>
      <c r="CI185" s="5" t="s">
        <v>417</v>
      </c>
      <c r="CJ185" s="5">
        <v>64</v>
      </c>
      <c r="CK185" s="5" t="s">
        <v>141</v>
      </c>
      <c r="CL185" s="5" t="s">
        <v>177</v>
      </c>
      <c r="CM185" s="5" t="s">
        <v>418</v>
      </c>
      <c r="CN185" s="5" t="s">
        <v>419</v>
      </c>
      <c r="CO185" s="5" t="s">
        <v>82</v>
      </c>
      <c r="CP185" s="5" t="s">
        <v>83</v>
      </c>
      <c r="CQ185" s="5" t="s">
        <v>103</v>
      </c>
      <c r="CR185" s="5" t="s">
        <v>85</v>
      </c>
      <c r="CS185" s="5" t="s">
        <v>86</v>
      </c>
      <c r="CT185" s="5"/>
      <c r="CU185" s="5"/>
      <c r="CV185" s="5"/>
      <c r="CW185" s="5"/>
      <c r="CX185" s="5"/>
      <c r="CY185" s="5"/>
      <c r="CZ185" s="5"/>
      <c r="DA185" s="5"/>
    </row>
    <row r="186" spans="1:105">
      <c r="A186" s="5">
        <v>18021795380</v>
      </c>
      <c r="B186" s="5"/>
      <c r="C186" s="5"/>
      <c r="D186" s="5" t="s">
        <v>18</v>
      </c>
      <c r="E186" s="5"/>
      <c r="F186" s="5"/>
      <c r="G186" s="5"/>
      <c r="H186" s="5"/>
      <c r="I186" s="5"/>
      <c r="J186" s="5"/>
      <c r="K186" s="5" t="s">
        <v>25</v>
      </c>
      <c r="L186" s="5" t="s">
        <v>26</v>
      </c>
      <c r="M186" s="5"/>
      <c r="N186" s="5" t="s">
        <v>28</v>
      </c>
      <c r="O186" s="5"/>
      <c r="P186" s="5"/>
      <c r="Q186" s="5"/>
      <c r="R186" s="5" t="s">
        <v>18</v>
      </c>
      <c r="S186" s="5" t="s">
        <v>19</v>
      </c>
      <c r="T186" s="5"/>
      <c r="U186" s="5"/>
      <c r="V186" s="5"/>
      <c r="W186" s="5"/>
      <c r="X186" s="5"/>
      <c r="Y186" s="5"/>
      <c r="Z186" s="5"/>
      <c r="AA186" s="5"/>
      <c r="AB186" s="5" t="s">
        <v>28</v>
      </c>
      <c r="AC186" s="5"/>
      <c r="AD186" s="5" t="s">
        <v>29</v>
      </c>
      <c r="AE186" s="5"/>
      <c r="AF186" s="5" t="s">
        <v>31</v>
      </c>
      <c r="AG186" s="5"/>
      <c r="AH186" s="5"/>
      <c r="AI186" s="5"/>
      <c r="AJ186" s="5" t="s">
        <v>35</v>
      </c>
      <c r="AK186" s="5"/>
      <c r="AL186" s="5"/>
      <c r="AM186" s="5"/>
      <c r="AN186" s="5"/>
      <c r="AO186" s="5" t="s">
        <v>38</v>
      </c>
      <c r="AP186" s="5"/>
      <c r="AQ186" s="5"/>
      <c r="AR186" s="5"/>
      <c r="AS186" s="5"/>
      <c r="AT186" s="5"/>
      <c r="AU186" s="5" t="s">
        <v>43</v>
      </c>
      <c r="AV186" s="5"/>
      <c r="AW186" s="5"/>
      <c r="AX186" s="5" t="s">
        <v>46</v>
      </c>
      <c r="AY186" s="5"/>
      <c r="AZ186" s="5"/>
      <c r="BA186" s="5"/>
      <c r="BB186" s="5" t="s">
        <v>49</v>
      </c>
      <c r="BC186" s="5"/>
      <c r="BD186" s="5"/>
      <c r="BE186" s="5"/>
      <c r="BF186" s="5"/>
      <c r="BG186" s="5" t="s">
        <v>53</v>
      </c>
      <c r="BH186" s="5" t="s">
        <v>54</v>
      </c>
      <c r="BI186" s="5"/>
      <c r="BJ186" s="5"/>
      <c r="BK186" s="5"/>
      <c r="BL186" s="5"/>
      <c r="BM186" s="5"/>
      <c r="BN186" s="5"/>
      <c r="BO186" s="5"/>
      <c r="BP186" s="5"/>
      <c r="BQ186" s="5"/>
      <c r="BR186" s="5"/>
      <c r="BS186" s="5"/>
      <c r="BT186" s="5"/>
      <c r="BU186" s="5" t="s">
        <v>64</v>
      </c>
      <c r="BV186" s="5"/>
      <c r="BW186" s="5" t="s">
        <v>66</v>
      </c>
      <c r="BX186" s="5"/>
      <c r="BY186" s="5"/>
      <c r="BZ186" s="5" t="s">
        <v>69</v>
      </c>
      <c r="CA186" s="5"/>
      <c r="CB186" s="5"/>
      <c r="CC186" s="5"/>
      <c r="CD186" s="5"/>
      <c r="CE186" s="5"/>
      <c r="CF186" s="5"/>
      <c r="CG186" s="5"/>
      <c r="CH186" s="5"/>
      <c r="CI186" s="5" t="s">
        <v>417</v>
      </c>
      <c r="CJ186" s="5">
        <v>50</v>
      </c>
      <c r="CK186" s="5" t="s">
        <v>141</v>
      </c>
      <c r="CL186" s="5" t="s">
        <v>161</v>
      </c>
      <c r="CM186" s="5" t="s">
        <v>436</v>
      </c>
      <c r="CN186" s="5" t="s">
        <v>419</v>
      </c>
      <c r="CO186" s="5" t="s">
        <v>82</v>
      </c>
      <c r="CP186" s="5" t="s">
        <v>93</v>
      </c>
      <c r="CQ186" s="5" t="s">
        <v>88</v>
      </c>
      <c r="CR186" s="5" t="s">
        <v>85</v>
      </c>
      <c r="CS186" s="5" t="s">
        <v>86</v>
      </c>
      <c r="CT186" s="5"/>
      <c r="CU186" s="5"/>
      <c r="CV186" s="5"/>
      <c r="CW186" s="5"/>
      <c r="CX186" s="5"/>
      <c r="CY186" s="5"/>
      <c r="CZ186" s="5"/>
      <c r="DA186" s="5"/>
    </row>
    <row r="187" spans="1:105">
      <c r="A187" s="5">
        <v>18021795224</v>
      </c>
      <c r="B187" s="5"/>
      <c r="C187" s="5"/>
      <c r="D187" s="5"/>
      <c r="E187" s="5"/>
      <c r="F187" s="5"/>
      <c r="G187" s="5" t="s">
        <v>21</v>
      </c>
      <c r="H187" s="5"/>
      <c r="I187" s="5"/>
      <c r="J187" s="5"/>
      <c r="K187" s="5"/>
      <c r="L187" s="5" t="s">
        <v>26</v>
      </c>
      <c r="M187" s="5" t="s">
        <v>27</v>
      </c>
      <c r="N187" s="5"/>
      <c r="O187" s="5"/>
      <c r="P187" s="5"/>
      <c r="Q187" s="5"/>
      <c r="R187" s="5" t="s">
        <v>18</v>
      </c>
      <c r="S187" s="5"/>
      <c r="T187" s="5"/>
      <c r="U187" s="5"/>
      <c r="V187" s="5"/>
      <c r="W187" s="5" t="s">
        <v>23</v>
      </c>
      <c r="X187" s="5" t="s">
        <v>24</v>
      </c>
      <c r="Y187" s="5"/>
      <c r="Z187" s="5"/>
      <c r="AA187" s="5"/>
      <c r="AB187" s="5"/>
      <c r="AC187" s="5"/>
      <c r="AD187" s="5" t="s">
        <v>29</v>
      </c>
      <c r="AE187" s="5"/>
      <c r="AF187" s="5" t="s">
        <v>31</v>
      </c>
      <c r="AG187" s="5"/>
      <c r="AH187" s="5"/>
      <c r="AI187" s="5"/>
      <c r="AJ187" s="5"/>
      <c r="AK187" s="5" t="s">
        <v>36</v>
      </c>
      <c r="AL187" s="5"/>
      <c r="AM187" s="5"/>
      <c r="AN187" s="5"/>
      <c r="AO187" s="5" t="s">
        <v>38</v>
      </c>
      <c r="AP187" s="5"/>
      <c r="AQ187" s="5"/>
      <c r="AR187" s="5" t="s">
        <v>41</v>
      </c>
      <c r="AS187" s="5"/>
      <c r="AT187" s="5"/>
      <c r="AU187" s="5" t="s">
        <v>43</v>
      </c>
      <c r="AV187" s="5"/>
      <c r="AW187" s="5"/>
      <c r="AX187" s="5"/>
      <c r="AY187" s="5"/>
      <c r="AZ187" s="5"/>
      <c r="BA187" s="5"/>
      <c r="BB187" s="5" t="s">
        <v>49</v>
      </c>
      <c r="BC187" s="5"/>
      <c r="BD187" s="5"/>
      <c r="BE187" s="5"/>
      <c r="BF187" s="5"/>
      <c r="BG187" s="5" t="s">
        <v>53</v>
      </c>
      <c r="BH187" s="5"/>
      <c r="BI187" s="5"/>
      <c r="BJ187" s="5"/>
      <c r="BK187" s="5"/>
      <c r="BL187" s="5"/>
      <c r="BM187" s="5"/>
      <c r="BN187" s="5" t="s">
        <v>24</v>
      </c>
      <c r="BO187" s="5"/>
      <c r="BP187" s="5"/>
      <c r="BQ187" s="5"/>
      <c r="BR187" s="5"/>
      <c r="BS187" s="5"/>
      <c r="BT187" s="5"/>
      <c r="BU187" s="5" t="s">
        <v>64</v>
      </c>
      <c r="BV187" s="5"/>
      <c r="BW187" s="5"/>
      <c r="BX187" s="5" t="s">
        <v>67</v>
      </c>
      <c r="BY187" s="5" t="s">
        <v>68</v>
      </c>
      <c r="BZ187" s="5"/>
      <c r="CA187" s="5"/>
      <c r="CB187" s="5"/>
      <c r="CC187" s="5"/>
      <c r="CD187" s="5" t="s">
        <v>73</v>
      </c>
      <c r="CE187" s="5"/>
      <c r="CF187" s="5"/>
      <c r="CG187" s="5"/>
      <c r="CH187" s="5"/>
      <c r="CI187" s="5" t="s">
        <v>414</v>
      </c>
      <c r="CJ187" s="5">
        <v>86</v>
      </c>
      <c r="CK187" s="5" t="s">
        <v>141</v>
      </c>
      <c r="CL187" s="5" t="s">
        <v>161</v>
      </c>
      <c r="CM187" s="5" t="s">
        <v>436</v>
      </c>
      <c r="CN187" s="5" t="s">
        <v>419</v>
      </c>
      <c r="CO187" s="5" t="s">
        <v>82</v>
      </c>
      <c r="CP187" s="5" t="s">
        <v>93</v>
      </c>
      <c r="CQ187" s="5" t="s">
        <v>104</v>
      </c>
      <c r="CR187" s="5" t="s">
        <v>99</v>
      </c>
      <c r="CS187" s="5" t="s">
        <v>86</v>
      </c>
      <c r="CT187" s="5"/>
      <c r="CU187" s="5"/>
      <c r="CV187" s="5"/>
      <c r="CW187" s="5"/>
      <c r="CX187" s="5"/>
      <c r="CY187" s="5"/>
      <c r="CZ187" s="5"/>
      <c r="DA187" s="5"/>
    </row>
    <row r="188" spans="1:105">
      <c r="A188" s="5">
        <v>18021795037</v>
      </c>
      <c r="B188" s="5"/>
      <c r="C188" s="5"/>
      <c r="D188" s="5"/>
      <c r="E188" s="5"/>
      <c r="F188" s="5"/>
      <c r="G188" s="5" t="s">
        <v>21</v>
      </c>
      <c r="H188" s="5"/>
      <c r="I188" s="5"/>
      <c r="J188" s="5"/>
      <c r="K188" s="5" t="s">
        <v>25</v>
      </c>
      <c r="L188" s="5"/>
      <c r="M188" s="5"/>
      <c r="N188" s="5" t="s">
        <v>28</v>
      </c>
      <c r="O188" s="5"/>
      <c r="P188" s="5"/>
      <c r="Q188" s="5"/>
      <c r="R188" s="5"/>
      <c r="S188" s="5"/>
      <c r="T188" s="5"/>
      <c r="U188" s="5"/>
      <c r="V188" s="5"/>
      <c r="W188" s="5" t="s">
        <v>23</v>
      </c>
      <c r="X188" s="5"/>
      <c r="Y188" s="5" t="s">
        <v>25</v>
      </c>
      <c r="Z188" s="5"/>
      <c r="AA188" s="5"/>
      <c r="AB188" s="5" t="s">
        <v>28</v>
      </c>
      <c r="AC188" s="5"/>
      <c r="AD188" s="5"/>
      <c r="AE188" s="5"/>
      <c r="AF188" s="5" t="s">
        <v>31</v>
      </c>
      <c r="AG188" s="5" t="s">
        <v>32</v>
      </c>
      <c r="AH188" s="5"/>
      <c r="AI188" s="5"/>
      <c r="AJ188" s="5"/>
      <c r="AK188" s="5" t="s">
        <v>36</v>
      </c>
      <c r="AL188" s="5"/>
      <c r="AM188" s="5"/>
      <c r="AN188" s="5"/>
      <c r="AO188" s="5"/>
      <c r="AP188" s="5" t="s">
        <v>39</v>
      </c>
      <c r="AQ188" s="5"/>
      <c r="AR188" s="5"/>
      <c r="AS188" s="5"/>
      <c r="AT188" s="5"/>
      <c r="AU188" s="5" t="s">
        <v>43</v>
      </c>
      <c r="AV188" s="5" t="s">
        <v>44</v>
      </c>
      <c r="AW188" s="5"/>
      <c r="AX188" s="5"/>
      <c r="AY188" s="5"/>
      <c r="AZ188" s="5"/>
      <c r="BA188" s="5"/>
      <c r="BB188" s="5"/>
      <c r="BC188" s="5"/>
      <c r="BD188" s="5" t="s">
        <v>51</v>
      </c>
      <c r="BE188" s="5"/>
      <c r="BF188" s="5"/>
      <c r="BG188" s="5" t="s">
        <v>53</v>
      </c>
      <c r="BH188" s="5"/>
      <c r="BI188" s="5"/>
      <c r="BJ188" s="5"/>
      <c r="BK188" s="5"/>
      <c r="BL188" s="5"/>
      <c r="BM188" s="5"/>
      <c r="BN188" s="5"/>
      <c r="BO188" s="5"/>
      <c r="BP188" s="5" t="s">
        <v>60</v>
      </c>
      <c r="BQ188" s="5"/>
      <c r="BR188" s="5"/>
      <c r="BS188" s="5"/>
      <c r="BT188" s="5"/>
      <c r="BU188" s="5" t="s">
        <v>64</v>
      </c>
      <c r="BV188" s="5"/>
      <c r="BW188" s="5" t="s">
        <v>66</v>
      </c>
      <c r="BX188" s="5"/>
      <c r="BY188" s="5"/>
      <c r="BZ188" s="5"/>
      <c r="CA188" s="5"/>
      <c r="CB188" s="5"/>
      <c r="CC188" s="5"/>
      <c r="CD188" s="5"/>
      <c r="CE188" s="5"/>
      <c r="CF188" s="5" t="s">
        <v>75</v>
      </c>
      <c r="CG188" s="5"/>
      <c r="CH188" s="5"/>
      <c r="CI188" s="5" t="s">
        <v>414</v>
      </c>
      <c r="CJ188" s="5">
        <v>46</v>
      </c>
      <c r="CK188" s="5" t="s">
        <v>141</v>
      </c>
      <c r="CL188" s="5" t="s">
        <v>161</v>
      </c>
      <c r="CM188" s="5" t="s">
        <v>436</v>
      </c>
      <c r="CN188" s="5" t="s">
        <v>419</v>
      </c>
      <c r="CO188" s="5" t="s">
        <v>82</v>
      </c>
      <c r="CP188" s="5" t="s">
        <v>93</v>
      </c>
      <c r="CQ188" s="5" t="s">
        <v>88</v>
      </c>
      <c r="CR188" s="5" t="s">
        <v>85</v>
      </c>
      <c r="CS188" s="5" t="s">
        <v>86</v>
      </c>
      <c r="CT188" s="5"/>
      <c r="CU188" s="5"/>
      <c r="CV188" s="5"/>
      <c r="CW188" s="5"/>
      <c r="CX188" s="5"/>
      <c r="CY188" s="5"/>
      <c r="CZ188" s="5"/>
      <c r="DA188" s="5"/>
    </row>
    <row r="189" spans="1:105">
      <c r="A189" s="5">
        <v>18021794841</v>
      </c>
      <c r="B189" s="5"/>
      <c r="C189" s="5"/>
      <c r="D189" s="5"/>
      <c r="E189" s="5"/>
      <c r="F189" s="5"/>
      <c r="G189" s="5"/>
      <c r="H189" s="5" t="s">
        <v>22</v>
      </c>
      <c r="I189" s="5"/>
      <c r="J189" s="5"/>
      <c r="K189" s="5" t="s">
        <v>25</v>
      </c>
      <c r="L189" s="5" t="s">
        <v>26</v>
      </c>
      <c r="M189" s="5"/>
      <c r="N189" s="5"/>
      <c r="O189" s="5"/>
      <c r="P189" s="5"/>
      <c r="Q189" s="5"/>
      <c r="R189" s="5"/>
      <c r="S189" s="5"/>
      <c r="T189" s="5"/>
      <c r="U189" s="5"/>
      <c r="V189" s="5"/>
      <c r="W189" s="5"/>
      <c r="X189" s="5"/>
      <c r="Y189" s="5" t="s">
        <v>25</v>
      </c>
      <c r="Z189" s="5"/>
      <c r="AA189" s="5"/>
      <c r="AB189" s="5"/>
      <c r="AC189" s="5"/>
      <c r="AD189" s="5"/>
      <c r="AE189" s="5"/>
      <c r="AF189" s="5"/>
      <c r="AG189" s="5"/>
      <c r="AH189" s="5"/>
      <c r="AI189" s="5"/>
      <c r="AJ189" s="5"/>
      <c r="AK189" s="5"/>
      <c r="AL189" s="5" t="s">
        <v>37</v>
      </c>
      <c r="AM189" s="5" t="s">
        <v>375</v>
      </c>
      <c r="AN189" s="5"/>
      <c r="AO189" s="5"/>
      <c r="AP189" s="5"/>
      <c r="AQ189" s="5"/>
      <c r="AR189" s="5"/>
      <c r="AS189" s="5"/>
      <c r="AT189" s="5"/>
      <c r="AU189" s="5" t="s">
        <v>43</v>
      </c>
      <c r="AV189" s="5"/>
      <c r="AW189" s="5"/>
      <c r="AX189" s="5"/>
      <c r="AY189" s="5"/>
      <c r="AZ189" s="5"/>
      <c r="BA189" s="5"/>
      <c r="BB189" s="5"/>
      <c r="BC189" s="5"/>
      <c r="BD189" s="5"/>
      <c r="BE189" s="5"/>
      <c r="BF189" s="5"/>
      <c r="BG189" s="5" t="s">
        <v>53</v>
      </c>
      <c r="BH189" s="5"/>
      <c r="BI189" s="5"/>
      <c r="BJ189" s="5"/>
      <c r="BK189" s="5"/>
      <c r="BL189" s="5"/>
      <c r="BM189" s="5" t="s">
        <v>59</v>
      </c>
      <c r="BN189" s="5"/>
      <c r="BO189" s="5"/>
      <c r="BP189" s="5"/>
      <c r="BQ189" s="5"/>
      <c r="BR189" s="5"/>
      <c r="BS189" s="5" t="s">
        <v>63</v>
      </c>
      <c r="BT189" s="5"/>
      <c r="BU189" s="5"/>
      <c r="BV189" s="5"/>
      <c r="BW189" s="5"/>
      <c r="BX189" s="5"/>
      <c r="BY189" s="5"/>
      <c r="BZ189" s="5"/>
      <c r="CA189" s="5" t="s">
        <v>70</v>
      </c>
      <c r="CB189" s="5"/>
      <c r="CC189" s="5"/>
      <c r="CD189" s="5"/>
      <c r="CE189" s="5"/>
      <c r="CF189" s="5"/>
      <c r="CG189" s="5"/>
      <c r="CH189" s="5"/>
      <c r="CI189" s="5" t="s">
        <v>417</v>
      </c>
      <c r="CJ189" s="5">
        <v>18</v>
      </c>
      <c r="CK189" s="5" t="s">
        <v>141</v>
      </c>
      <c r="CL189" s="5" t="s">
        <v>156</v>
      </c>
      <c r="CM189" s="5" t="s">
        <v>418</v>
      </c>
      <c r="CN189" s="5" t="s">
        <v>419</v>
      </c>
      <c r="CO189" s="5" t="s">
        <v>82</v>
      </c>
      <c r="CP189" s="5" t="s">
        <v>83</v>
      </c>
      <c r="CQ189" s="5" t="s">
        <v>95</v>
      </c>
      <c r="CR189" s="5" t="s">
        <v>89</v>
      </c>
      <c r="CS189" s="5" t="s">
        <v>86</v>
      </c>
      <c r="CT189" s="5"/>
      <c r="CU189" s="5"/>
      <c r="CV189" s="5"/>
      <c r="CW189" s="5"/>
      <c r="CX189" s="5"/>
      <c r="CY189" s="5"/>
      <c r="CZ189" s="5"/>
      <c r="DA189" s="5"/>
    </row>
    <row r="190" spans="1:105">
      <c r="A190" s="5">
        <v>18021794694</v>
      </c>
      <c r="B190" s="5"/>
      <c r="C190" s="5"/>
      <c r="D190" s="5"/>
      <c r="E190" s="5"/>
      <c r="F190" s="5"/>
      <c r="G190" s="5"/>
      <c r="H190" s="5" t="s">
        <v>22</v>
      </c>
      <c r="I190" s="5"/>
      <c r="J190" s="5"/>
      <c r="K190" s="5" t="s">
        <v>25</v>
      </c>
      <c r="L190" s="5"/>
      <c r="M190" s="5"/>
      <c r="N190" s="5" t="s">
        <v>28</v>
      </c>
      <c r="O190" s="5"/>
      <c r="P190" s="5"/>
      <c r="Q190" s="5"/>
      <c r="R190" s="5" t="s">
        <v>18</v>
      </c>
      <c r="S190" s="5" t="s">
        <v>19</v>
      </c>
      <c r="T190" s="5"/>
      <c r="U190" s="5"/>
      <c r="V190" s="5"/>
      <c r="W190" s="5"/>
      <c r="X190" s="5"/>
      <c r="Y190" s="5" t="s">
        <v>25</v>
      </c>
      <c r="Z190" s="5"/>
      <c r="AA190" s="5"/>
      <c r="AB190" s="5"/>
      <c r="AC190" s="5"/>
      <c r="AD190" s="5"/>
      <c r="AE190" s="5"/>
      <c r="AF190" s="5"/>
      <c r="AG190" s="5"/>
      <c r="AH190" s="5" t="s">
        <v>33</v>
      </c>
      <c r="AI190" s="5"/>
      <c r="AJ190" s="5"/>
      <c r="AK190" s="5" t="s">
        <v>36</v>
      </c>
      <c r="AL190" s="5"/>
      <c r="AM190" s="5" t="s">
        <v>375</v>
      </c>
      <c r="AN190" s="5"/>
      <c r="AO190" s="5"/>
      <c r="AP190" s="5"/>
      <c r="AQ190" s="5"/>
      <c r="AR190" s="5" t="s">
        <v>41</v>
      </c>
      <c r="AS190" s="5"/>
      <c r="AT190" s="5"/>
      <c r="AU190" s="5"/>
      <c r="AV190" s="5" t="s">
        <v>44</v>
      </c>
      <c r="AW190" s="5" t="s">
        <v>45</v>
      </c>
      <c r="AX190" s="5"/>
      <c r="AY190" s="5"/>
      <c r="AZ190" s="5"/>
      <c r="BA190" s="5"/>
      <c r="BB190" s="5"/>
      <c r="BC190" s="5"/>
      <c r="BD190" s="5"/>
      <c r="BE190" s="5"/>
      <c r="BF190" s="5"/>
      <c r="BG190" s="5" t="s">
        <v>53</v>
      </c>
      <c r="BH190" s="5" t="s">
        <v>54</v>
      </c>
      <c r="BI190" s="5"/>
      <c r="BJ190" s="5"/>
      <c r="BK190" s="5"/>
      <c r="BL190" s="5" t="s">
        <v>58</v>
      </c>
      <c r="BM190" s="5"/>
      <c r="BN190" s="5"/>
      <c r="BO190" s="5"/>
      <c r="BP190" s="5"/>
      <c r="BQ190" s="5"/>
      <c r="BR190" s="5"/>
      <c r="BS190" s="5"/>
      <c r="BT190" s="5"/>
      <c r="BU190" s="5"/>
      <c r="BV190" s="5"/>
      <c r="BW190" s="5" t="s">
        <v>66</v>
      </c>
      <c r="BX190" s="5"/>
      <c r="BY190" s="5"/>
      <c r="BZ190" s="5" t="s">
        <v>69</v>
      </c>
      <c r="CA190" s="5"/>
      <c r="CB190" s="5"/>
      <c r="CC190" s="5"/>
      <c r="CD190" s="5"/>
      <c r="CE190" s="5"/>
      <c r="CF190" s="5" t="s">
        <v>75</v>
      </c>
      <c r="CG190" s="5"/>
      <c r="CH190" s="5"/>
      <c r="CI190" s="5" t="s">
        <v>417</v>
      </c>
      <c r="CJ190" s="5">
        <v>49</v>
      </c>
      <c r="CK190" s="5" t="s">
        <v>356</v>
      </c>
      <c r="CL190" s="5">
        <v>11372</v>
      </c>
      <c r="CM190" s="5"/>
      <c r="CN190" s="5" t="s">
        <v>416</v>
      </c>
      <c r="CO190" s="5" t="s">
        <v>427</v>
      </c>
      <c r="CP190" s="5" t="s">
        <v>94</v>
      </c>
      <c r="CQ190" s="5" t="s">
        <v>84</v>
      </c>
      <c r="CR190" s="5" t="s">
        <v>85</v>
      </c>
      <c r="CS190" s="5" t="s">
        <v>86</v>
      </c>
      <c r="CT190" s="5"/>
      <c r="CU190" s="5" t="s">
        <v>86</v>
      </c>
      <c r="CV190" s="5"/>
      <c r="CW190" s="5"/>
      <c r="CX190" s="5"/>
      <c r="CY190" s="5"/>
      <c r="CZ190" s="5"/>
      <c r="DA190" s="5"/>
    </row>
    <row r="191" spans="1:105">
      <c r="A191" s="5">
        <v>18021794399</v>
      </c>
      <c r="B191" s="5"/>
      <c r="C191" s="5"/>
      <c r="D191" s="5"/>
      <c r="E191" s="5"/>
      <c r="F191" s="5"/>
      <c r="G191" s="5"/>
      <c r="H191" s="5" t="s">
        <v>22</v>
      </c>
      <c r="I191" s="5"/>
      <c r="J191" s="5"/>
      <c r="K191" s="5" t="s">
        <v>25</v>
      </c>
      <c r="L191" s="5"/>
      <c r="M191" s="5"/>
      <c r="N191" s="5" t="s">
        <v>28</v>
      </c>
      <c r="O191" s="5"/>
      <c r="P191" s="5"/>
      <c r="Q191" s="5"/>
      <c r="R191" s="5" t="s">
        <v>18</v>
      </c>
      <c r="S191" s="5"/>
      <c r="T191" s="5"/>
      <c r="U191" s="5"/>
      <c r="V191" s="5"/>
      <c r="W191" s="5"/>
      <c r="X191" s="5"/>
      <c r="Y191" s="5" t="s">
        <v>25</v>
      </c>
      <c r="Z191" s="5"/>
      <c r="AA191" s="5"/>
      <c r="AB191" s="5" t="s">
        <v>28</v>
      </c>
      <c r="AC191" s="5"/>
      <c r="AD191" s="5"/>
      <c r="AE191" s="5"/>
      <c r="AF191" s="5" t="s">
        <v>31</v>
      </c>
      <c r="AG191" s="5"/>
      <c r="AH191" s="5" t="s">
        <v>33</v>
      </c>
      <c r="AI191" s="5"/>
      <c r="AJ191" s="5"/>
      <c r="AK191" s="5" t="s">
        <v>36</v>
      </c>
      <c r="AL191" s="5"/>
      <c r="AM191" s="5"/>
      <c r="AN191" s="5"/>
      <c r="AO191" s="5" t="s">
        <v>38</v>
      </c>
      <c r="AP191" s="5" t="s">
        <v>39</v>
      </c>
      <c r="AQ191" s="5"/>
      <c r="AR191" s="5"/>
      <c r="AS191" s="5"/>
      <c r="AT191" s="5"/>
      <c r="AU191" s="5" t="s">
        <v>43</v>
      </c>
      <c r="AV191" s="5"/>
      <c r="AW191" s="5"/>
      <c r="AX191" s="5"/>
      <c r="AY191" s="5"/>
      <c r="AZ191" s="5"/>
      <c r="BA191" s="5"/>
      <c r="BB191" s="5"/>
      <c r="BC191" s="5"/>
      <c r="BD191" s="5"/>
      <c r="BE191" s="5"/>
      <c r="BF191" s="5"/>
      <c r="BG191" s="5" t="s">
        <v>53</v>
      </c>
      <c r="BH191" s="5"/>
      <c r="BI191" s="5"/>
      <c r="BJ191" s="5"/>
      <c r="BK191" s="5"/>
      <c r="BL191" s="5"/>
      <c r="BM191" s="5"/>
      <c r="BN191" s="5"/>
      <c r="BO191" s="5"/>
      <c r="BP191" s="5" t="s">
        <v>60</v>
      </c>
      <c r="BQ191" s="5"/>
      <c r="BR191" s="5" t="s">
        <v>62</v>
      </c>
      <c r="BS191" s="5"/>
      <c r="BT191" s="5"/>
      <c r="BU191" s="5" t="s">
        <v>64</v>
      </c>
      <c r="BV191" s="5"/>
      <c r="BW191" s="5"/>
      <c r="BX191" s="5" t="s">
        <v>67</v>
      </c>
      <c r="BY191" s="5"/>
      <c r="BZ191" s="5"/>
      <c r="CA191" s="5"/>
      <c r="CB191" s="5"/>
      <c r="CC191" s="5"/>
      <c r="CD191" s="5"/>
      <c r="CE191" s="5"/>
      <c r="CF191" s="5" t="s">
        <v>75</v>
      </c>
      <c r="CG191" s="5"/>
      <c r="CH191" s="5"/>
      <c r="CI191" s="5" t="s">
        <v>414</v>
      </c>
      <c r="CJ191" s="5">
        <v>61</v>
      </c>
      <c r="CK191" s="5" t="s">
        <v>356</v>
      </c>
      <c r="CL191" s="5">
        <v>11372</v>
      </c>
      <c r="CM191" s="5" t="s">
        <v>436</v>
      </c>
      <c r="CN191" s="5" t="s">
        <v>419</v>
      </c>
      <c r="CO191" s="5" t="s">
        <v>427</v>
      </c>
      <c r="CP191" s="5" t="s">
        <v>94</v>
      </c>
      <c r="CQ191" s="5" t="s">
        <v>88</v>
      </c>
      <c r="CR191" s="5" t="s">
        <v>85</v>
      </c>
      <c r="CS191" s="5" t="s">
        <v>86</v>
      </c>
      <c r="CT191" s="5"/>
      <c r="CU191" s="5" t="s">
        <v>86</v>
      </c>
      <c r="CV191" s="5"/>
      <c r="CW191" s="5"/>
      <c r="CX191" s="5"/>
      <c r="CY191" s="5"/>
      <c r="CZ191" s="5"/>
      <c r="DA191" s="5"/>
    </row>
    <row r="192" spans="1:105">
      <c r="A192" s="5">
        <v>18021794261</v>
      </c>
      <c r="B192" s="5"/>
      <c r="C192" s="5" t="s">
        <v>17</v>
      </c>
      <c r="D192" s="5"/>
      <c r="E192" s="5"/>
      <c r="F192" s="5"/>
      <c r="G192" s="5"/>
      <c r="H192" s="5"/>
      <c r="I192" s="5"/>
      <c r="J192" s="5"/>
      <c r="K192" s="5" t="s">
        <v>25</v>
      </c>
      <c r="L192" s="5"/>
      <c r="M192" s="5"/>
      <c r="N192" s="5" t="s">
        <v>28</v>
      </c>
      <c r="O192" s="5"/>
      <c r="P192" s="5"/>
      <c r="Q192" s="5"/>
      <c r="R192" s="5"/>
      <c r="S192" s="5"/>
      <c r="T192" s="5"/>
      <c r="U192" s="5"/>
      <c r="V192" s="5"/>
      <c r="W192" s="5" t="s">
        <v>23</v>
      </c>
      <c r="X192" s="5"/>
      <c r="Y192" s="5"/>
      <c r="Z192" s="5"/>
      <c r="AA192" s="5"/>
      <c r="AB192" s="5"/>
      <c r="AC192" s="5"/>
      <c r="AD192" s="5"/>
      <c r="AE192" s="5" t="s">
        <v>30</v>
      </c>
      <c r="AF192" s="5"/>
      <c r="AG192" s="5"/>
      <c r="AH192" s="5"/>
      <c r="AI192" s="5"/>
      <c r="AJ192" s="5"/>
      <c r="AK192" s="5"/>
      <c r="AL192" s="5"/>
      <c r="AM192" s="5" t="s">
        <v>375</v>
      </c>
      <c r="AN192" s="5"/>
      <c r="AO192" s="5"/>
      <c r="AP192" s="5" t="s">
        <v>39</v>
      </c>
      <c r="AQ192" s="5"/>
      <c r="AR192" s="5" t="s">
        <v>41</v>
      </c>
      <c r="AS192" s="5"/>
      <c r="AT192" s="5"/>
      <c r="AU192" s="5"/>
      <c r="AV192" s="5"/>
      <c r="AW192" s="5"/>
      <c r="AX192" s="5"/>
      <c r="AY192" s="5"/>
      <c r="AZ192" s="5"/>
      <c r="BA192" s="5"/>
      <c r="BB192" s="5"/>
      <c r="BC192" s="5"/>
      <c r="BD192" s="5" t="s">
        <v>51</v>
      </c>
      <c r="BE192" s="5"/>
      <c r="BF192" s="5"/>
      <c r="BG192" s="5"/>
      <c r="BH192" s="5"/>
      <c r="BI192" s="5"/>
      <c r="BJ192" s="5"/>
      <c r="BK192" s="5"/>
      <c r="BL192" s="5"/>
      <c r="BM192" s="5"/>
      <c r="BN192" s="5"/>
      <c r="BO192" s="5"/>
      <c r="BP192" s="5"/>
      <c r="BQ192" s="5"/>
      <c r="BR192" s="5"/>
      <c r="BS192" s="5"/>
      <c r="BT192" s="5"/>
      <c r="BU192" s="5" t="s">
        <v>64</v>
      </c>
      <c r="BV192" s="5"/>
      <c r="BW192" s="5"/>
      <c r="BX192" s="5"/>
      <c r="BY192" s="5"/>
      <c r="BZ192" s="5"/>
      <c r="CA192" s="5"/>
      <c r="CB192" s="5"/>
      <c r="CC192" s="5"/>
      <c r="CD192" s="5"/>
      <c r="CE192" s="5"/>
      <c r="CF192" s="5"/>
      <c r="CG192" s="5"/>
      <c r="CH192" s="5"/>
      <c r="CI192" s="5" t="s">
        <v>414</v>
      </c>
      <c r="CJ192" s="5">
        <v>44</v>
      </c>
      <c r="CK192" s="5" t="s">
        <v>141</v>
      </c>
      <c r="CL192" s="5" t="s">
        <v>184</v>
      </c>
      <c r="CM192" s="5" t="s">
        <v>418</v>
      </c>
      <c r="CN192" s="5" t="s">
        <v>419</v>
      </c>
      <c r="CO192" s="5" t="s">
        <v>82</v>
      </c>
      <c r="CP192" s="5" t="s">
        <v>83</v>
      </c>
      <c r="CQ192" s="5" t="s">
        <v>103</v>
      </c>
      <c r="CR192" s="5" t="s">
        <v>85</v>
      </c>
      <c r="CS192" s="5" t="s">
        <v>86</v>
      </c>
      <c r="CT192" s="5"/>
      <c r="CU192" s="5"/>
      <c r="CV192" s="5"/>
      <c r="CW192" s="5"/>
      <c r="CX192" s="5"/>
      <c r="CY192" s="5"/>
      <c r="CZ192" s="5"/>
      <c r="DA192" s="5"/>
    </row>
    <row r="193" spans="1:105">
      <c r="A193" s="5">
        <v>18021634437</v>
      </c>
      <c r="B193" s="5"/>
      <c r="C193" s="5"/>
      <c r="D193" s="5"/>
      <c r="E193" s="5"/>
      <c r="F193" s="5"/>
      <c r="G193" s="5" t="s">
        <v>21</v>
      </c>
      <c r="H193" s="5"/>
      <c r="I193" s="5"/>
      <c r="J193" s="5"/>
      <c r="K193" s="5" t="s">
        <v>25</v>
      </c>
      <c r="L193" s="5" t="s">
        <v>26</v>
      </c>
      <c r="M193" s="5"/>
      <c r="N193" s="5"/>
      <c r="O193" s="5"/>
      <c r="P193" s="5"/>
      <c r="Q193" s="5"/>
      <c r="R193" s="5"/>
      <c r="S193" s="5" t="s">
        <v>19</v>
      </c>
      <c r="T193" s="5"/>
      <c r="U193" s="5" t="s">
        <v>21</v>
      </c>
      <c r="V193" s="5"/>
      <c r="W193" s="5"/>
      <c r="X193" s="5"/>
      <c r="Y193" s="5"/>
      <c r="Z193" s="5"/>
      <c r="AA193" s="5"/>
      <c r="AB193" s="5" t="s">
        <v>28</v>
      </c>
      <c r="AC193" s="5"/>
      <c r="AD193" s="5"/>
      <c r="AE193" s="5"/>
      <c r="AF193" s="5"/>
      <c r="AG193" s="5"/>
      <c r="AH193" s="5"/>
      <c r="AI193" s="5"/>
      <c r="AJ193" s="5"/>
      <c r="AK193" s="5"/>
      <c r="AL193" s="5"/>
      <c r="AM193" s="5" t="s">
        <v>375</v>
      </c>
      <c r="AN193" s="5"/>
      <c r="AO193" s="5"/>
      <c r="AP193" s="5"/>
      <c r="AQ193" s="5"/>
      <c r="AR193" s="5"/>
      <c r="AS193" s="5"/>
      <c r="AT193" s="5"/>
      <c r="AU193" s="5" t="s">
        <v>43</v>
      </c>
      <c r="AV193" s="5"/>
      <c r="AW193" s="5"/>
      <c r="AX193" s="5"/>
      <c r="AY193" s="5" t="s">
        <v>47</v>
      </c>
      <c r="AZ193" s="5"/>
      <c r="BA193" s="5"/>
      <c r="BB193" s="5"/>
      <c r="BC193" s="5"/>
      <c r="BD193" s="5" t="s">
        <v>51</v>
      </c>
      <c r="BE193" s="5"/>
      <c r="BF193" s="5"/>
      <c r="BG193" s="5"/>
      <c r="BH193" s="5"/>
      <c r="BI193" s="5"/>
      <c r="BJ193" s="5"/>
      <c r="BK193" s="5"/>
      <c r="BL193" s="5"/>
      <c r="BM193" s="5"/>
      <c r="BN193" s="5"/>
      <c r="BO193" s="5"/>
      <c r="BP193" s="5" t="s">
        <v>60</v>
      </c>
      <c r="BQ193" s="5" t="s">
        <v>61</v>
      </c>
      <c r="BR193" s="5"/>
      <c r="BS193" s="5"/>
      <c r="BT193" s="5"/>
      <c r="BU193" s="5" t="s">
        <v>64</v>
      </c>
      <c r="BV193" s="5"/>
      <c r="BW193" s="5" t="s">
        <v>66</v>
      </c>
      <c r="BX193" s="5"/>
      <c r="BY193" s="5"/>
      <c r="BZ193" s="5"/>
      <c r="CA193" s="5" t="s">
        <v>70</v>
      </c>
      <c r="CB193" s="5"/>
      <c r="CC193" s="5"/>
      <c r="CD193" s="5"/>
      <c r="CE193" s="5"/>
      <c r="CF193" s="5" t="s">
        <v>75</v>
      </c>
      <c r="CG193" s="5"/>
      <c r="CH193" s="5"/>
      <c r="CI193" s="5" t="s">
        <v>417</v>
      </c>
      <c r="CJ193" s="5">
        <v>47</v>
      </c>
      <c r="CK193" s="5" t="s">
        <v>141</v>
      </c>
      <c r="CL193" s="5" t="s">
        <v>357</v>
      </c>
      <c r="CM193" s="5" t="s">
        <v>418</v>
      </c>
      <c r="CN193" s="5" t="s">
        <v>419</v>
      </c>
      <c r="CO193" s="5" t="s">
        <v>427</v>
      </c>
      <c r="CP193" s="5" t="s">
        <v>83</v>
      </c>
      <c r="CQ193" s="5" t="s">
        <v>84</v>
      </c>
      <c r="CR193" s="5" t="s">
        <v>85</v>
      </c>
      <c r="CS193" s="5" t="s">
        <v>86</v>
      </c>
      <c r="CT193" s="5" t="s">
        <v>384</v>
      </c>
      <c r="CU193" s="5" t="s">
        <v>86</v>
      </c>
      <c r="CV193" s="5"/>
      <c r="CW193" s="5"/>
      <c r="CX193" s="5"/>
      <c r="CY193" s="5"/>
      <c r="CZ193" s="5"/>
      <c r="DA193" s="5"/>
    </row>
    <row r="194" spans="1:105">
      <c r="A194" s="5">
        <v>18021525704</v>
      </c>
      <c r="B194" s="5"/>
      <c r="C194" s="5"/>
      <c r="D194" s="5" t="s">
        <v>18</v>
      </c>
      <c r="E194" s="5"/>
      <c r="F194" s="5" t="s">
        <v>20</v>
      </c>
      <c r="G194" s="5"/>
      <c r="H194" s="5"/>
      <c r="I194" s="5"/>
      <c r="J194" s="5" t="s">
        <v>24</v>
      </c>
      <c r="K194" s="5"/>
      <c r="L194" s="5"/>
      <c r="M194" s="5"/>
      <c r="N194" s="5"/>
      <c r="O194" s="5"/>
      <c r="P194" s="5" t="s">
        <v>16</v>
      </c>
      <c r="Q194" s="5"/>
      <c r="R194" s="5"/>
      <c r="S194" s="5"/>
      <c r="T194" s="5"/>
      <c r="U194" s="5"/>
      <c r="V194" s="5" t="s">
        <v>22</v>
      </c>
      <c r="W194" s="5"/>
      <c r="X194" s="5" t="s">
        <v>24</v>
      </c>
      <c r="Y194" s="5"/>
      <c r="Z194" s="5"/>
      <c r="AA194" s="5"/>
      <c r="AB194" s="5"/>
      <c r="AC194" s="5"/>
      <c r="AD194" s="5"/>
      <c r="AE194" s="5"/>
      <c r="AF194" s="5"/>
      <c r="AG194" s="5" t="s">
        <v>32</v>
      </c>
      <c r="AH194" s="5"/>
      <c r="AI194" s="5"/>
      <c r="AJ194" s="5" t="s">
        <v>35</v>
      </c>
      <c r="AK194" s="5"/>
      <c r="AL194" s="5"/>
      <c r="AM194" s="5" t="s">
        <v>375</v>
      </c>
      <c r="AN194" s="5"/>
      <c r="AO194" s="5"/>
      <c r="AP194" s="5"/>
      <c r="AQ194" s="5"/>
      <c r="AR194" s="5" t="s">
        <v>41</v>
      </c>
      <c r="AS194" s="5"/>
      <c r="AT194" s="5"/>
      <c r="AU194" s="5" t="s">
        <v>43</v>
      </c>
      <c r="AV194" s="5"/>
      <c r="AW194" s="5"/>
      <c r="AX194" s="5" t="s">
        <v>46</v>
      </c>
      <c r="AY194" s="5"/>
      <c r="AZ194" s="5"/>
      <c r="BA194" s="5"/>
      <c r="BB194" s="5"/>
      <c r="BC194" s="5"/>
      <c r="BD194" s="5"/>
      <c r="BE194" s="5"/>
      <c r="BF194" s="5"/>
      <c r="BG194" s="5"/>
      <c r="BH194" s="5"/>
      <c r="BI194" s="5"/>
      <c r="BJ194" s="5"/>
      <c r="BK194" s="5" t="s">
        <v>57</v>
      </c>
      <c r="BL194" s="5"/>
      <c r="BM194" s="5"/>
      <c r="BN194" s="5" t="s">
        <v>24</v>
      </c>
      <c r="BO194" s="5"/>
      <c r="BP194" s="5"/>
      <c r="BQ194" s="5" t="s">
        <v>61</v>
      </c>
      <c r="BR194" s="5"/>
      <c r="BS194" s="5"/>
      <c r="BT194" s="5"/>
      <c r="BU194" s="5"/>
      <c r="BV194" s="5"/>
      <c r="BW194" s="5"/>
      <c r="BX194" s="5"/>
      <c r="BY194" s="5"/>
      <c r="BZ194" s="5"/>
      <c r="CA194" s="5" t="s">
        <v>70</v>
      </c>
      <c r="CB194" s="5"/>
      <c r="CC194" s="5"/>
      <c r="CD194" s="5" t="s">
        <v>73</v>
      </c>
      <c r="CE194" s="5"/>
      <c r="CF194" s="5"/>
      <c r="CG194" s="5"/>
      <c r="CH194" s="5"/>
      <c r="CI194" s="5" t="s">
        <v>414</v>
      </c>
      <c r="CJ194" s="5"/>
      <c r="CK194" s="5" t="s">
        <v>141</v>
      </c>
      <c r="CL194" s="5" t="s">
        <v>442</v>
      </c>
      <c r="CM194" s="5" t="s">
        <v>439</v>
      </c>
      <c r="CN194" s="5" t="s">
        <v>416</v>
      </c>
      <c r="CO194" s="5" t="s">
        <v>82</v>
      </c>
      <c r="CP194" s="5" t="s">
        <v>94</v>
      </c>
      <c r="CQ194" s="5" t="s">
        <v>95</v>
      </c>
      <c r="CR194" s="5" t="s">
        <v>105</v>
      </c>
      <c r="CS194" s="5" t="s">
        <v>86</v>
      </c>
      <c r="CT194" s="5" t="s">
        <v>387</v>
      </c>
      <c r="CU194" s="5" t="s">
        <v>86</v>
      </c>
      <c r="CV194" s="5"/>
      <c r="CW194" s="5"/>
      <c r="CX194" s="5"/>
      <c r="CY194" s="5"/>
      <c r="CZ194" s="5"/>
      <c r="DA194" s="5"/>
    </row>
    <row r="195" spans="1:105">
      <c r="A195" s="5">
        <v>18021525431</v>
      </c>
      <c r="B195" s="5"/>
      <c r="C195" s="5"/>
      <c r="D195" s="5" t="s">
        <v>18</v>
      </c>
      <c r="E195" s="5"/>
      <c r="F195" s="5"/>
      <c r="G195" s="5"/>
      <c r="H195" s="5"/>
      <c r="I195" s="5"/>
      <c r="J195" s="5" t="s">
        <v>24</v>
      </c>
      <c r="K195" s="5"/>
      <c r="L195" s="5" t="s">
        <v>26</v>
      </c>
      <c r="M195" s="5"/>
      <c r="N195" s="5"/>
      <c r="O195" s="5"/>
      <c r="P195" s="5" t="s">
        <v>16</v>
      </c>
      <c r="Q195" s="5" t="s">
        <v>17</v>
      </c>
      <c r="R195" s="5"/>
      <c r="S195" s="5"/>
      <c r="T195" s="5"/>
      <c r="U195" s="5"/>
      <c r="V195" s="5" t="s">
        <v>22</v>
      </c>
      <c r="W195" s="5"/>
      <c r="X195" s="5"/>
      <c r="Y195" s="5"/>
      <c r="Z195" s="5"/>
      <c r="AA195" s="5"/>
      <c r="AB195" s="5"/>
      <c r="AC195" s="5"/>
      <c r="AD195" s="5" t="s">
        <v>29</v>
      </c>
      <c r="AE195" s="5"/>
      <c r="AF195" s="5"/>
      <c r="AG195" s="5" t="s">
        <v>32</v>
      </c>
      <c r="AH195" s="5"/>
      <c r="AI195" s="5"/>
      <c r="AJ195" s="5" t="s">
        <v>35</v>
      </c>
      <c r="AK195" s="5"/>
      <c r="AL195" s="5"/>
      <c r="AM195" s="5"/>
      <c r="AN195" s="5"/>
      <c r="AO195" s="5"/>
      <c r="AP195" s="5"/>
      <c r="AQ195" s="5"/>
      <c r="AR195" s="5"/>
      <c r="AS195" s="5"/>
      <c r="AT195" s="5"/>
      <c r="AU195" s="5" t="s">
        <v>43</v>
      </c>
      <c r="AV195" s="5"/>
      <c r="AW195" s="5"/>
      <c r="AX195" s="5" t="s">
        <v>46</v>
      </c>
      <c r="AY195" s="5"/>
      <c r="AZ195" s="5"/>
      <c r="BA195" s="5"/>
      <c r="BB195" s="5"/>
      <c r="BC195" s="5"/>
      <c r="BD195" s="5"/>
      <c r="BE195" s="5" t="s">
        <v>17</v>
      </c>
      <c r="BF195" s="5"/>
      <c r="BG195" s="5"/>
      <c r="BH195" s="5" t="s">
        <v>54</v>
      </c>
      <c r="BI195" s="5"/>
      <c r="BJ195" s="5"/>
      <c r="BK195" s="5"/>
      <c r="BL195" s="5"/>
      <c r="BM195" s="5"/>
      <c r="BN195" s="5" t="s">
        <v>24</v>
      </c>
      <c r="BO195" s="5"/>
      <c r="BP195" s="5"/>
      <c r="BQ195" s="5"/>
      <c r="BR195" s="5"/>
      <c r="BS195" s="5"/>
      <c r="BT195" s="5"/>
      <c r="BU195" s="5"/>
      <c r="BV195" s="5"/>
      <c r="BW195" s="5"/>
      <c r="BX195" s="5" t="s">
        <v>67</v>
      </c>
      <c r="BY195" s="5"/>
      <c r="BZ195" s="5"/>
      <c r="CA195" s="5" t="s">
        <v>70</v>
      </c>
      <c r="CB195" s="5"/>
      <c r="CC195" s="5"/>
      <c r="CD195" s="5" t="s">
        <v>73</v>
      </c>
      <c r="CE195" s="5"/>
      <c r="CF195" s="5"/>
      <c r="CG195" s="5"/>
      <c r="CH195" s="5"/>
      <c r="CI195" s="5" t="s">
        <v>414</v>
      </c>
      <c r="CJ195" s="5"/>
      <c r="CK195" s="5" t="s">
        <v>141</v>
      </c>
      <c r="CL195" s="5" t="s">
        <v>182</v>
      </c>
      <c r="CM195" s="5" t="s">
        <v>423</v>
      </c>
      <c r="CN195" s="5" t="s">
        <v>416</v>
      </c>
      <c r="CO195" s="5" t="s">
        <v>133</v>
      </c>
      <c r="CP195" s="5" t="s">
        <v>90</v>
      </c>
      <c r="CQ195" s="5" t="s">
        <v>103</v>
      </c>
      <c r="CR195" s="5" t="s">
        <v>85</v>
      </c>
      <c r="CS195" s="5" t="s">
        <v>86</v>
      </c>
      <c r="CT195" s="5" t="s">
        <v>385</v>
      </c>
      <c r="CU195" s="5" t="s">
        <v>81</v>
      </c>
      <c r="CV195" s="5"/>
      <c r="CW195" s="5"/>
      <c r="CX195" s="5"/>
      <c r="CY195" s="5"/>
      <c r="CZ195" s="5"/>
      <c r="DA195" s="5"/>
    </row>
    <row r="196" spans="1:105">
      <c r="A196" s="5">
        <v>18021263997</v>
      </c>
      <c r="B196" s="5"/>
      <c r="C196" s="5"/>
      <c r="D196" s="5"/>
      <c r="E196" s="5"/>
      <c r="F196" s="5"/>
      <c r="G196" s="5" t="s">
        <v>21</v>
      </c>
      <c r="H196" s="5"/>
      <c r="I196" s="5"/>
      <c r="J196" s="5"/>
      <c r="K196" s="5"/>
      <c r="L196" s="5" t="s">
        <v>26</v>
      </c>
      <c r="M196" s="5" t="s">
        <v>27</v>
      </c>
      <c r="N196" s="5"/>
      <c r="O196" s="5"/>
      <c r="P196" s="5"/>
      <c r="Q196" s="5"/>
      <c r="R196" s="5"/>
      <c r="S196" s="5"/>
      <c r="T196" s="5"/>
      <c r="U196" s="5"/>
      <c r="V196" s="5"/>
      <c r="W196" s="5" t="s">
        <v>23</v>
      </c>
      <c r="X196" s="5"/>
      <c r="Y196" s="5"/>
      <c r="Z196" s="5"/>
      <c r="AA196" s="5"/>
      <c r="AB196" s="5" t="s">
        <v>28</v>
      </c>
      <c r="AC196" s="5"/>
      <c r="AD196" s="5"/>
      <c r="AE196" s="5"/>
      <c r="AF196" s="5"/>
      <c r="AG196" s="5"/>
      <c r="AH196" s="5"/>
      <c r="AI196" s="5" t="s">
        <v>34</v>
      </c>
      <c r="AJ196" s="5"/>
      <c r="AK196" s="5"/>
      <c r="AL196" s="5"/>
      <c r="AM196" s="5"/>
      <c r="AN196" s="5"/>
      <c r="AO196" s="5"/>
      <c r="AP196" s="5" t="s">
        <v>39</v>
      </c>
      <c r="AQ196" s="5"/>
      <c r="AR196" s="5" t="s">
        <v>41</v>
      </c>
      <c r="AS196" s="5"/>
      <c r="AT196" s="5" t="s">
        <v>37</v>
      </c>
      <c r="AU196" s="5"/>
      <c r="AV196" s="5"/>
      <c r="AW196" s="5"/>
      <c r="AX196" s="5"/>
      <c r="AY196" s="5"/>
      <c r="AZ196" s="5"/>
      <c r="BA196" s="5"/>
      <c r="BB196" s="5"/>
      <c r="BC196" s="5"/>
      <c r="BD196" s="5" t="s">
        <v>51</v>
      </c>
      <c r="BE196" s="5"/>
      <c r="BF196" s="5"/>
      <c r="BG196" s="5"/>
      <c r="BH196" s="5"/>
      <c r="BI196" s="5"/>
      <c r="BJ196" s="5"/>
      <c r="BK196" s="5"/>
      <c r="BL196" s="5"/>
      <c r="BM196" s="5"/>
      <c r="BN196" s="5"/>
      <c r="BO196" s="5"/>
      <c r="BP196" s="5"/>
      <c r="BQ196" s="5"/>
      <c r="BR196" s="5" t="s">
        <v>62</v>
      </c>
      <c r="BS196" s="5" t="s">
        <v>63</v>
      </c>
      <c r="BT196" s="5"/>
      <c r="BU196" s="5" t="s">
        <v>64</v>
      </c>
      <c r="BV196" s="5"/>
      <c r="BW196" s="5"/>
      <c r="BX196" s="5" t="s">
        <v>67</v>
      </c>
      <c r="BY196" s="5"/>
      <c r="BZ196" s="5"/>
      <c r="CA196" s="5" t="s">
        <v>70</v>
      </c>
      <c r="CB196" s="5"/>
      <c r="CC196" s="5"/>
      <c r="CD196" s="5"/>
      <c r="CE196" s="5"/>
      <c r="CF196" s="5" t="s">
        <v>75</v>
      </c>
      <c r="CG196" s="5"/>
      <c r="CH196" s="5"/>
      <c r="CI196" s="5" t="s">
        <v>414</v>
      </c>
      <c r="CJ196" s="5">
        <v>52</v>
      </c>
      <c r="CK196" s="5" t="s">
        <v>141</v>
      </c>
      <c r="CL196" s="5" t="s">
        <v>177</v>
      </c>
      <c r="CM196" s="5" t="s">
        <v>418</v>
      </c>
      <c r="CN196" s="5" t="s">
        <v>419</v>
      </c>
      <c r="CO196" s="5" t="s">
        <v>82</v>
      </c>
      <c r="CP196" s="5" t="s">
        <v>83</v>
      </c>
      <c r="CQ196" s="5" t="s">
        <v>103</v>
      </c>
      <c r="CR196" s="5" t="s">
        <v>85</v>
      </c>
      <c r="CS196" s="5" t="s">
        <v>86</v>
      </c>
      <c r="CT196" s="5" t="s">
        <v>384</v>
      </c>
      <c r="CU196" s="5" t="s">
        <v>86</v>
      </c>
      <c r="CV196" s="5"/>
      <c r="CW196" s="5"/>
      <c r="CX196" s="5"/>
      <c r="CY196" s="5"/>
      <c r="CZ196" s="5"/>
      <c r="DA196" s="5"/>
    </row>
    <row r="197" spans="1:105">
      <c r="A197" s="5">
        <v>18021096939</v>
      </c>
      <c r="B197" s="5" t="s">
        <v>16</v>
      </c>
      <c r="C197" s="5"/>
      <c r="D197" s="5"/>
      <c r="E197" s="5"/>
      <c r="F197" s="5" t="s">
        <v>20</v>
      </c>
      <c r="G197" s="5"/>
      <c r="H197" s="5"/>
      <c r="I197" s="5"/>
      <c r="J197" s="5"/>
      <c r="K197" s="5"/>
      <c r="L197" s="5"/>
      <c r="M197" s="5"/>
      <c r="N197" s="5" t="s">
        <v>28</v>
      </c>
      <c r="O197" s="5"/>
      <c r="P197" s="5"/>
      <c r="Q197" s="5" t="s">
        <v>17</v>
      </c>
      <c r="R197" s="5"/>
      <c r="S197" s="5"/>
      <c r="T197" s="5"/>
      <c r="U197" s="5"/>
      <c r="V197" s="5" t="s">
        <v>22</v>
      </c>
      <c r="W197" s="5"/>
      <c r="X197" s="5" t="s">
        <v>24</v>
      </c>
      <c r="Y197" s="5"/>
      <c r="Z197" s="5"/>
      <c r="AA197" s="5"/>
      <c r="AB197" s="5"/>
      <c r="AC197" s="5"/>
      <c r="AD197" s="5" t="s">
        <v>29</v>
      </c>
      <c r="AE197" s="5"/>
      <c r="AF197" s="5" t="s">
        <v>31</v>
      </c>
      <c r="AG197" s="5"/>
      <c r="AH197" s="5"/>
      <c r="AI197" s="5"/>
      <c r="AJ197" s="5" t="s">
        <v>35</v>
      </c>
      <c r="AK197" s="5"/>
      <c r="AL197" s="5"/>
      <c r="AM197" s="5"/>
      <c r="AN197" s="5"/>
      <c r="AO197" s="5"/>
      <c r="AP197" s="5"/>
      <c r="AQ197" s="5"/>
      <c r="AR197" s="5" t="s">
        <v>41</v>
      </c>
      <c r="AS197" s="5"/>
      <c r="AT197" s="5"/>
      <c r="AU197" s="5" t="s">
        <v>43</v>
      </c>
      <c r="AV197" s="5" t="s">
        <v>44</v>
      </c>
      <c r="AW197" s="5"/>
      <c r="AX197" s="5" t="s">
        <v>46</v>
      </c>
      <c r="AY197" s="5" t="s">
        <v>47</v>
      </c>
      <c r="AZ197" s="5"/>
      <c r="BA197" s="5"/>
      <c r="BB197" s="5"/>
      <c r="BC197" s="5"/>
      <c r="BD197" s="5"/>
      <c r="BE197" s="5"/>
      <c r="BF197" s="5"/>
      <c r="BG197" s="5"/>
      <c r="BH197" s="5"/>
      <c r="BI197" s="5" t="s">
        <v>55</v>
      </c>
      <c r="BJ197" s="5"/>
      <c r="BK197" s="5" t="s">
        <v>57</v>
      </c>
      <c r="BL197" s="5"/>
      <c r="BM197" s="5"/>
      <c r="BN197" s="5" t="s">
        <v>24</v>
      </c>
      <c r="BO197" s="5"/>
      <c r="BP197" s="5"/>
      <c r="BQ197" s="5"/>
      <c r="BR197" s="5"/>
      <c r="BS197" s="5"/>
      <c r="BT197" s="5"/>
      <c r="BU197" s="5"/>
      <c r="BV197" s="5"/>
      <c r="BW197" s="5"/>
      <c r="BX197" s="5"/>
      <c r="BY197" s="5" t="s">
        <v>68</v>
      </c>
      <c r="BZ197" s="5"/>
      <c r="CA197" s="5" t="s">
        <v>70</v>
      </c>
      <c r="CB197" s="5" t="s">
        <v>71</v>
      </c>
      <c r="CC197" s="5"/>
      <c r="CD197" s="5"/>
      <c r="CE197" s="5"/>
      <c r="CF197" s="5"/>
      <c r="CG197" s="5"/>
      <c r="CH197" s="5"/>
      <c r="CI197" s="5" t="s">
        <v>414</v>
      </c>
      <c r="CJ197" s="5">
        <v>16</v>
      </c>
      <c r="CK197" s="5" t="s">
        <v>141</v>
      </c>
      <c r="CL197" s="5" t="s">
        <v>173</v>
      </c>
      <c r="CM197" s="5" t="s">
        <v>436</v>
      </c>
      <c r="CN197" s="5" t="s">
        <v>419</v>
      </c>
      <c r="CO197" s="5" t="s">
        <v>428</v>
      </c>
      <c r="CP197" s="5" t="s">
        <v>94</v>
      </c>
      <c r="CQ197" s="5" t="s">
        <v>104</v>
      </c>
      <c r="CR197" s="5" t="s">
        <v>96</v>
      </c>
      <c r="CS197" s="5" t="s">
        <v>86</v>
      </c>
      <c r="CT197" s="5" t="s">
        <v>384</v>
      </c>
      <c r="CU197" s="5" t="s">
        <v>86</v>
      </c>
      <c r="CV197" s="5"/>
      <c r="CW197" s="5"/>
      <c r="CX197" s="5"/>
      <c r="CY197" s="5"/>
      <c r="CZ197" s="5"/>
      <c r="DA197" s="5"/>
    </row>
    <row r="198" spans="1:105">
      <c r="A198" s="5">
        <v>18020847868</v>
      </c>
      <c r="B198" s="5"/>
      <c r="C198" s="5" t="s">
        <v>17</v>
      </c>
      <c r="D198" s="5"/>
      <c r="E198" s="5"/>
      <c r="F198" s="5"/>
      <c r="G198" s="5" t="s">
        <v>21</v>
      </c>
      <c r="H198" s="5"/>
      <c r="I198" s="5"/>
      <c r="J198" s="5" t="s">
        <v>24</v>
      </c>
      <c r="K198" s="5"/>
      <c r="L198" s="5"/>
      <c r="M198" s="5"/>
      <c r="N198" s="5"/>
      <c r="O198" s="5"/>
      <c r="P198" s="5"/>
      <c r="Q198" s="5"/>
      <c r="R198" s="5" t="s">
        <v>18</v>
      </c>
      <c r="S198" s="5"/>
      <c r="T198" s="5" t="s">
        <v>20</v>
      </c>
      <c r="U198" s="5"/>
      <c r="V198" s="5"/>
      <c r="W198" s="5"/>
      <c r="X198" s="5"/>
      <c r="Y198" s="5"/>
      <c r="Z198" s="5"/>
      <c r="AA198" s="5"/>
      <c r="AB198" s="5"/>
      <c r="AC198" s="5"/>
      <c r="AD198" s="5"/>
      <c r="AE198" s="5"/>
      <c r="AF198" s="5" t="s">
        <v>31</v>
      </c>
      <c r="AG198" s="5"/>
      <c r="AH198" s="5"/>
      <c r="AI198" s="5"/>
      <c r="AJ198" s="5"/>
      <c r="AK198" s="5"/>
      <c r="AL198" s="5"/>
      <c r="AM198" s="5"/>
      <c r="AN198" s="5"/>
      <c r="AO198" s="5"/>
      <c r="AP198" s="5" t="s">
        <v>39</v>
      </c>
      <c r="AQ198" s="5"/>
      <c r="AR198" s="5"/>
      <c r="AS198" s="5"/>
      <c r="AT198" s="5"/>
      <c r="AU198" s="5"/>
      <c r="AV198" s="5"/>
      <c r="AW198" s="5"/>
      <c r="AX198" s="5"/>
      <c r="AY198" s="5" t="s">
        <v>47</v>
      </c>
      <c r="AZ198" s="5" t="s">
        <v>48</v>
      </c>
      <c r="BA198" s="5"/>
      <c r="BB198" s="5" t="s">
        <v>49</v>
      </c>
      <c r="BC198" s="5"/>
      <c r="BD198" s="5"/>
      <c r="BE198" s="5" t="s">
        <v>17</v>
      </c>
      <c r="BF198" s="5"/>
      <c r="BG198" s="5"/>
      <c r="BH198" s="5"/>
      <c r="BI198" s="5"/>
      <c r="BJ198" s="5"/>
      <c r="BK198" s="5"/>
      <c r="BL198" s="5"/>
      <c r="BM198" s="5"/>
      <c r="BN198" s="5"/>
      <c r="BO198" s="5"/>
      <c r="BP198" s="5"/>
      <c r="BQ198" s="5"/>
      <c r="BR198" s="5"/>
      <c r="BS198" s="5" t="s">
        <v>63</v>
      </c>
      <c r="BT198" s="5"/>
      <c r="BU198" s="5" t="s">
        <v>64</v>
      </c>
      <c r="BV198" s="5"/>
      <c r="BW198" s="5"/>
      <c r="BX198" s="5"/>
      <c r="BY198" s="5"/>
      <c r="BZ198" s="5"/>
      <c r="CA198" s="5"/>
      <c r="CB198" s="5"/>
      <c r="CC198" s="5"/>
      <c r="CD198" s="5"/>
      <c r="CE198" s="5"/>
      <c r="CF198" s="5" t="s">
        <v>75</v>
      </c>
      <c r="CG198" s="5"/>
      <c r="CH198" s="5"/>
      <c r="CI198" s="5" t="s">
        <v>414</v>
      </c>
      <c r="CJ198" s="5">
        <v>21</v>
      </c>
      <c r="CK198" s="5" t="s">
        <v>141</v>
      </c>
      <c r="CL198" s="5" t="s">
        <v>156</v>
      </c>
      <c r="CM198" s="5" t="s">
        <v>418</v>
      </c>
      <c r="CN198" s="5" t="s">
        <v>419</v>
      </c>
      <c r="CO198" s="5" t="s">
        <v>82</v>
      </c>
      <c r="CP198" s="5" t="s">
        <v>93</v>
      </c>
      <c r="CQ198" s="5" t="s">
        <v>88</v>
      </c>
      <c r="CR198" s="5" t="s">
        <v>85</v>
      </c>
      <c r="CS198" s="5" t="s">
        <v>86</v>
      </c>
      <c r="CT198" s="5" t="s">
        <v>443</v>
      </c>
      <c r="CU198" s="5" t="s">
        <v>86</v>
      </c>
      <c r="CV198" s="5"/>
      <c r="CW198" s="5"/>
      <c r="CX198" s="5"/>
      <c r="CY198" s="5"/>
      <c r="CZ198" s="5"/>
      <c r="DA198" s="5"/>
    </row>
    <row r="199" spans="1:105">
      <c r="A199" s="5">
        <v>18020259192</v>
      </c>
      <c r="B199" s="5"/>
      <c r="C199" s="5" t="s">
        <v>17</v>
      </c>
      <c r="D199" s="5" t="s">
        <v>18</v>
      </c>
      <c r="E199" s="5"/>
      <c r="F199" s="5"/>
      <c r="G199" s="5"/>
      <c r="H199" s="5"/>
      <c r="I199" s="5"/>
      <c r="J199" s="5" t="s">
        <v>24</v>
      </c>
      <c r="K199" s="5"/>
      <c r="L199" s="5"/>
      <c r="M199" s="5"/>
      <c r="N199" s="5"/>
      <c r="O199" s="5"/>
      <c r="P199" s="5"/>
      <c r="Q199" s="5"/>
      <c r="R199" s="5"/>
      <c r="S199" s="5"/>
      <c r="T199" s="5"/>
      <c r="U199" s="5"/>
      <c r="V199" s="5" t="s">
        <v>22</v>
      </c>
      <c r="W199" s="5"/>
      <c r="X199" s="5"/>
      <c r="Y199" s="5"/>
      <c r="Z199" s="5"/>
      <c r="AA199" s="5" t="s">
        <v>27</v>
      </c>
      <c r="AB199" s="5" t="s">
        <v>28</v>
      </c>
      <c r="AC199" s="5"/>
      <c r="AD199" s="5"/>
      <c r="AE199" s="5"/>
      <c r="AF199" s="5"/>
      <c r="AG199" s="5"/>
      <c r="AH199" s="5"/>
      <c r="AI199" s="5" t="s">
        <v>34</v>
      </c>
      <c r="AJ199" s="5"/>
      <c r="AK199" s="5"/>
      <c r="AL199" s="5"/>
      <c r="AM199" s="5"/>
      <c r="AN199" s="5"/>
      <c r="AO199" s="5"/>
      <c r="AP199" s="5"/>
      <c r="AQ199" s="5"/>
      <c r="AR199" s="5"/>
      <c r="AS199" s="5" t="s">
        <v>42</v>
      </c>
      <c r="AT199" s="5" t="s">
        <v>37</v>
      </c>
      <c r="AU199" s="5"/>
      <c r="AV199" s="5"/>
      <c r="AW199" s="5" t="s">
        <v>45</v>
      </c>
      <c r="AX199" s="5"/>
      <c r="AY199" s="5"/>
      <c r="AZ199" s="5"/>
      <c r="BA199" s="5"/>
      <c r="BB199" s="5" t="s">
        <v>49</v>
      </c>
      <c r="BC199" s="5"/>
      <c r="BD199" s="5"/>
      <c r="BE199" s="5" t="s">
        <v>17</v>
      </c>
      <c r="BF199" s="5"/>
      <c r="BG199" s="5"/>
      <c r="BH199" s="5"/>
      <c r="BI199" s="5"/>
      <c r="BJ199" s="5"/>
      <c r="BK199" s="5"/>
      <c r="BL199" s="5"/>
      <c r="BM199" s="5"/>
      <c r="BN199" s="5" t="s">
        <v>24</v>
      </c>
      <c r="BO199" s="5"/>
      <c r="BP199" s="5"/>
      <c r="BQ199" s="5"/>
      <c r="BR199" s="5"/>
      <c r="BS199" s="5"/>
      <c r="BT199" s="5"/>
      <c r="BU199" s="5" t="s">
        <v>64</v>
      </c>
      <c r="BV199" s="5"/>
      <c r="BW199" s="5"/>
      <c r="BX199" s="5" t="s">
        <v>67</v>
      </c>
      <c r="BY199" s="5"/>
      <c r="BZ199" s="5"/>
      <c r="CA199" s="5"/>
      <c r="CB199" s="5"/>
      <c r="CC199" s="5"/>
      <c r="CD199" s="5"/>
      <c r="CE199" s="5"/>
      <c r="CF199" s="5" t="s">
        <v>75</v>
      </c>
      <c r="CG199" s="5"/>
      <c r="CH199" s="5"/>
      <c r="CI199" s="5" t="s">
        <v>414</v>
      </c>
      <c r="CJ199" s="5">
        <v>39</v>
      </c>
      <c r="CK199" s="5" t="s">
        <v>80</v>
      </c>
      <c r="CL199" s="5" t="s">
        <v>110</v>
      </c>
      <c r="CM199" s="5" t="s">
        <v>436</v>
      </c>
      <c r="CN199" s="5" t="s">
        <v>419</v>
      </c>
      <c r="CO199" s="5" t="s">
        <v>82</v>
      </c>
      <c r="CP199" s="5" t="s">
        <v>83</v>
      </c>
      <c r="CQ199" s="5" t="s">
        <v>84</v>
      </c>
      <c r="CR199" s="5" t="s">
        <v>85</v>
      </c>
      <c r="CS199" s="5" t="s">
        <v>86</v>
      </c>
      <c r="CT199" s="5" t="s">
        <v>384</v>
      </c>
      <c r="CU199" s="5" t="s">
        <v>86</v>
      </c>
      <c r="CV199" s="5"/>
      <c r="CW199" s="5"/>
      <c r="CX199" s="5"/>
      <c r="CY199" s="5"/>
      <c r="CZ199" s="5"/>
      <c r="DA199" s="5"/>
    </row>
    <row r="200" spans="1:105">
      <c r="A200" s="5">
        <v>18020253334</v>
      </c>
      <c r="B200" s="5"/>
      <c r="C200" s="5" t="s">
        <v>17</v>
      </c>
      <c r="D200" s="5"/>
      <c r="E200" s="5"/>
      <c r="F200" s="5"/>
      <c r="G200" s="5"/>
      <c r="H200" s="5" t="s">
        <v>22</v>
      </c>
      <c r="I200" s="5"/>
      <c r="J200" s="5" t="s">
        <v>24</v>
      </c>
      <c r="K200" s="5"/>
      <c r="L200" s="5"/>
      <c r="M200" s="5"/>
      <c r="N200" s="5"/>
      <c r="O200" s="5"/>
      <c r="P200" s="5"/>
      <c r="Q200" s="5"/>
      <c r="R200" s="5" t="s">
        <v>18</v>
      </c>
      <c r="S200" s="5"/>
      <c r="T200" s="5"/>
      <c r="U200" s="5"/>
      <c r="V200" s="5"/>
      <c r="W200" s="5"/>
      <c r="X200" s="5" t="s">
        <v>24</v>
      </c>
      <c r="Y200" s="5"/>
      <c r="Z200" s="5"/>
      <c r="AA200" s="5"/>
      <c r="AB200" s="5" t="s">
        <v>28</v>
      </c>
      <c r="AC200" s="5"/>
      <c r="AD200" s="5"/>
      <c r="AE200" s="5"/>
      <c r="AF200" s="5"/>
      <c r="AG200" s="5"/>
      <c r="AH200" s="5"/>
      <c r="AI200" s="5" t="s">
        <v>34</v>
      </c>
      <c r="AJ200" s="5"/>
      <c r="AK200" s="5"/>
      <c r="AL200" s="5"/>
      <c r="AM200" s="5"/>
      <c r="AN200" s="5"/>
      <c r="AO200" s="5"/>
      <c r="AP200" s="5"/>
      <c r="AQ200" s="5"/>
      <c r="AR200" s="5"/>
      <c r="AS200" s="5"/>
      <c r="AT200" s="5"/>
      <c r="AU200" s="5"/>
      <c r="AV200" s="5" t="s">
        <v>44</v>
      </c>
      <c r="AW200" s="5"/>
      <c r="AX200" s="5"/>
      <c r="AY200" s="5" t="s">
        <v>47</v>
      </c>
      <c r="AZ200" s="5" t="s">
        <v>48</v>
      </c>
      <c r="BA200" s="5"/>
      <c r="BB200" s="5"/>
      <c r="BC200" s="5"/>
      <c r="BD200" s="5"/>
      <c r="BE200" s="5" t="s">
        <v>17</v>
      </c>
      <c r="BF200" s="5"/>
      <c r="BG200" s="5"/>
      <c r="BH200" s="5"/>
      <c r="BI200" s="5"/>
      <c r="BJ200" s="5"/>
      <c r="BK200" s="5"/>
      <c r="BL200" s="5" t="s">
        <v>58</v>
      </c>
      <c r="BM200" s="5"/>
      <c r="BN200" s="5"/>
      <c r="BO200" s="5"/>
      <c r="BP200" s="5"/>
      <c r="BQ200" s="5"/>
      <c r="BR200" s="5" t="s">
        <v>62</v>
      </c>
      <c r="BS200" s="5"/>
      <c r="BT200" s="5"/>
      <c r="BU200" s="5" t="s">
        <v>64</v>
      </c>
      <c r="BV200" s="5"/>
      <c r="BW200" s="5"/>
      <c r="BX200" s="5" t="s">
        <v>67</v>
      </c>
      <c r="BY200" s="5"/>
      <c r="BZ200" s="5"/>
      <c r="CA200" s="5"/>
      <c r="CB200" s="5"/>
      <c r="CC200" s="5"/>
      <c r="CD200" s="5" t="s">
        <v>73</v>
      </c>
      <c r="CE200" s="5"/>
      <c r="CF200" s="5" t="s">
        <v>75</v>
      </c>
      <c r="CG200" s="5"/>
      <c r="CH200" s="5"/>
      <c r="CI200" s="5" t="s">
        <v>417</v>
      </c>
      <c r="CJ200" s="5">
        <v>40</v>
      </c>
      <c r="CK200" s="5" t="s">
        <v>80</v>
      </c>
      <c r="CL200" s="5" t="s">
        <v>444</v>
      </c>
      <c r="CM200" s="5" t="s">
        <v>436</v>
      </c>
      <c r="CN200" s="5" t="s">
        <v>419</v>
      </c>
      <c r="CO200" s="5" t="s">
        <v>82</v>
      </c>
      <c r="CP200" s="5" t="s">
        <v>94</v>
      </c>
      <c r="CQ200" s="5" t="s">
        <v>84</v>
      </c>
      <c r="CR200" s="5" t="s">
        <v>85</v>
      </c>
      <c r="CS200" s="5" t="s">
        <v>86</v>
      </c>
      <c r="CT200" s="5" t="s">
        <v>384</v>
      </c>
      <c r="CU200" s="5" t="s">
        <v>86</v>
      </c>
      <c r="CV200" s="5"/>
      <c r="CW200" s="5"/>
      <c r="CX200" s="5"/>
      <c r="CY200" s="5"/>
      <c r="CZ200" s="5"/>
      <c r="DA200" s="5"/>
    </row>
    <row r="201" spans="1:105">
      <c r="A201" s="5">
        <v>18020047097</v>
      </c>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t="s">
        <v>128</v>
      </c>
      <c r="CM201" s="5"/>
      <c r="CN201" s="5"/>
      <c r="CO201" s="5"/>
      <c r="CP201" s="5"/>
      <c r="CQ201" s="5"/>
      <c r="CR201" s="5"/>
      <c r="CS201" s="5"/>
      <c r="CT201" s="5"/>
      <c r="CU201" s="5"/>
      <c r="CV201" s="5"/>
      <c r="CW201" s="5"/>
      <c r="CX201" s="5"/>
      <c r="CY201" s="5"/>
      <c r="CZ201" s="5"/>
      <c r="DA201" s="5"/>
    </row>
    <row r="202" spans="1:105">
      <c r="A202" s="5">
        <v>18019933763</v>
      </c>
      <c r="B202" s="5"/>
      <c r="C202" s="5"/>
      <c r="D202" s="5"/>
      <c r="E202" s="5"/>
      <c r="F202" s="5" t="s">
        <v>20</v>
      </c>
      <c r="G202" s="5"/>
      <c r="H202" s="5"/>
      <c r="I202" s="5"/>
      <c r="J202" s="5"/>
      <c r="K202" s="5" t="s">
        <v>25</v>
      </c>
      <c r="L202" s="5"/>
      <c r="M202" s="5"/>
      <c r="N202" s="5" t="s">
        <v>28</v>
      </c>
      <c r="O202" s="5"/>
      <c r="P202" s="5"/>
      <c r="Q202" s="5"/>
      <c r="R202" s="5"/>
      <c r="S202" s="5"/>
      <c r="T202" s="5" t="s">
        <v>20</v>
      </c>
      <c r="U202" s="5"/>
      <c r="V202" s="5"/>
      <c r="W202" s="5"/>
      <c r="X202" s="5"/>
      <c r="Y202" s="5" t="s">
        <v>25</v>
      </c>
      <c r="Z202" s="5"/>
      <c r="AA202" s="5"/>
      <c r="AB202" s="5" t="s">
        <v>28</v>
      </c>
      <c r="AC202" s="5"/>
      <c r="AD202" s="5"/>
      <c r="AE202" s="5"/>
      <c r="AF202" s="5"/>
      <c r="AG202" s="5"/>
      <c r="AH202" s="5"/>
      <c r="AI202" s="5" t="s">
        <v>34</v>
      </c>
      <c r="AJ202" s="5"/>
      <c r="AK202" s="5"/>
      <c r="AL202" s="5"/>
      <c r="AM202" s="5"/>
      <c r="AN202" s="5"/>
      <c r="AO202" s="5"/>
      <c r="AP202" s="5" t="s">
        <v>39</v>
      </c>
      <c r="AQ202" s="5"/>
      <c r="AR202" s="5"/>
      <c r="AS202" s="5" t="s">
        <v>42</v>
      </c>
      <c r="AT202" s="5"/>
      <c r="AU202" s="5"/>
      <c r="AV202" s="5"/>
      <c r="AW202" s="5"/>
      <c r="AX202" s="5"/>
      <c r="AY202" s="5" t="s">
        <v>47</v>
      </c>
      <c r="AZ202" s="5"/>
      <c r="BA202" s="5"/>
      <c r="BB202" s="5" t="s">
        <v>49</v>
      </c>
      <c r="BC202" s="5"/>
      <c r="BD202" s="5" t="s">
        <v>51</v>
      </c>
      <c r="BE202" s="5"/>
      <c r="BF202" s="5" t="s">
        <v>52</v>
      </c>
      <c r="BG202" s="5"/>
      <c r="BH202" s="5"/>
      <c r="BI202" s="5"/>
      <c r="BJ202" s="5"/>
      <c r="BK202" s="5"/>
      <c r="BL202" s="5"/>
      <c r="BM202" s="5"/>
      <c r="BN202" s="5"/>
      <c r="BO202" s="5"/>
      <c r="BP202" s="5"/>
      <c r="BQ202" s="5"/>
      <c r="BR202" s="5"/>
      <c r="BS202" s="5"/>
      <c r="BT202" s="5"/>
      <c r="BU202" s="5" t="s">
        <v>64</v>
      </c>
      <c r="BV202" s="5"/>
      <c r="BW202" s="5" t="s">
        <v>66</v>
      </c>
      <c r="BX202" s="5"/>
      <c r="BY202" s="5"/>
      <c r="BZ202" s="5"/>
      <c r="CA202" s="5"/>
      <c r="CB202" s="5"/>
      <c r="CC202" s="5"/>
      <c r="CD202" s="5"/>
      <c r="CE202" s="5"/>
      <c r="CF202" s="5"/>
      <c r="CG202" s="5" t="s">
        <v>76</v>
      </c>
      <c r="CH202" s="5"/>
      <c r="CI202" s="5" t="s">
        <v>417</v>
      </c>
      <c r="CJ202" s="5">
        <v>24</v>
      </c>
      <c r="CK202" s="5" t="s">
        <v>141</v>
      </c>
      <c r="CL202" s="5" t="s">
        <v>151</v>
      </c>
      <c r="CM202" s="5" t="s">
        <v>439</v>
      </c>
      <c r="CN202" s="5" t="s">
        <v>419</v>
      </c>
      <c r="CO202" s="5" t="s">
        <v>82</v>
      </c>
      <c r="CP202" s="5" t="s">
        <v>94</v>
      </c>
      <c r="CQ202" s="5" t="s">
        <v>84</v>
      </c>
      <c r="CR202" s="5" t="s">
        <v>85</v>
      </c>
      <c r="CS202" s="5" t="s">
        <v>86</v>
      </c>
      <c r="CT202" s="5" t="s">
        <v>385</v>
      </c>
      <c r="CU202" s="5" t="s">
        <v>86</v>
      </c>
      <c r="CV202" s="5"/>
      <c r="CW202" s="5"/>
      <c r="CX202" s="5"/>
      <c r="CY202" s="5"/>
      <c r="CZ202" s="5"/>
      <c r="DA202" s="5"/>
    </row>
    <row r="203" spans="1:105">
      <c r="A203" s="5">
        <v>18019511473</v>
      </c>
      <c r="B203" s="5"/>
      <c r="C203" s="5"/>
      <c r="D203" s="5" t="s">
        <v>18</v>
      </c>
      <c r="E203" s="5"/>
      <c r="F203" s="5"/>
      <c r="G203" s="5"/>
      <c r="H203" s="5"/>
      <c r="I203" s="5"/>
      <c r="J203" s="5"/>
      <c r="K203" s="5" t="s">
        <v>25</v>
      </c>
      <c r="L203" s="5" t="s">
        <v>26</v>
      </c>
      <c r="M203" s="5"/>
      <c r="N203" s="5"/>
      <c r="O203" s="5"/>
      <c r="P203" s="5"/>
      <c r="Q203" s="5"/>
      <c r="R203" s="5"/>
      <c r="S203" s="5"/>
      <c r="T203" s="5" t="s">
        <v>20</v>
      </c>
      <c r="U203" s="5"/>
      <c r="V203" s="5"/>
      <c r="W203" s="5"/>
      <c r="X203" s="5"/>
      <c r="Y203" s="5"/>
      <c r="Z203" s="5"/>
      <c r="AA203" s="5"/>
      <c r="AB203" s="5"/>
      <c r="AC203" s="5"/>
      <c r="AD203" s="5"/>
      <c r="AE203" s="5"/>
      <c r="AF203" s="5"/>
      <c r="AG203" s="5"/>
      <c r="AH203" s="5" t="s">
        <v>33</v>
      </c>
      <c r="AI203" s="5"/>
      <c r="AJ203" s="5"/>
      <c r="AK203" s="5"/>
      <c r="AL203" s="5"/>
      <c r="AM203" s="5" t="s">
        <v>375</v>
      </c>
      <c r="AN203" s="5"/>
      <c r="AO203" s="5"/>
      <c r="AP203" s="5" t="s">
        <v>39</v>
      </c>
      <c r="AQ203" s="5"/>
      <c r="AR203" s="5"/>
      <c r="AS203" s="5" t="s">
        <v>42</v>
      </c>
      <c r="AT203" s="5"/>
      <c r="AU203" s="5"/>
      <c r="AV203" s="5"/>
      <c r="AW203" s="5"/>
      <c r="AX203" s="5"/>
      <c r="AY203" s="5" t="s">
        <v>47</v>
      </c>
      <c r="AZ203" s="5"/>
      <c r="BA203" s="5"/>
      <c r="BB203" s="5"/>
      <c r="BC203" s="5"/>
      <c r="BD203" s="5"/>
      <c r="BE203" s="5"/>
      <c r="BF203" s="5"/>
      <c r="BG203" s="5"/>
      <c r="BH203" s="5"/>
      <c r="BI203" s="5"/>
      <c r="BJ203" s="5"/>
      <c r="BK203" s="5"/>
      <c r="BL203" s="5"/>
      <c r="BM203" s="5"/>
      <c r="BN203" s="5"/>
      <c r="BO203" s="5"/>
      <c r="BP203" s="5"/>
      <c r="BQ203" s="5"/>
      <c r="BR203" s="5"/>
      <c r="BS203" s="5" t="s">
        <v>63</v>
      </c>
      <c r="BT203" s="5"/>
      <c r="BU203" s="5"/>
      <c r="BV203" s="5"/>
      <c r="BW203" s="5"/>
      <c r="BX203" s="5" t="s">
        <v>67</v>
      </c>
      <c r="BY203" s="5"/>
      <c r="BZ203" s="5"/>
      <c r="CA203" s="5"/>
      <c r="CB203" s="5"/>
      <c r="CC203" s="5"/>
      <c r="CD203" s="5"/>
      <c r="CE203" s="5"/>
      <c r="CF203" s="5"/>
      <c r="CG203" s="5"/>
      <c r="CH203" s="5"/>
      <c r="CI203" s="5" t="s">
        <v>414</v>
      </c>
      <c r="CJ203" s="5"/>
      <c r="CK203" s="5" t="s">
        <v>141</v>
      </c>
      <c r="CL203" s="5" t="s">
        <v>164</v>
      </c>
      <c r="CM203" s="5" t="s">
        <v>418</v>
      </c>
      <c r="CN203" s="5" t="s">
        <v>419</v>
      </c>
      <c r="CO203" s="5" t="s">
        <v>82</v>
      </c>
      <c r="CP203" s="5" t="s">
        <v>83</v>
      </c>
      <c r="CQ203" s="5" t="s">
        <v>88</v>
      </c>
      <c r="CR203" s="5" t="s">
        <v>85</v>
      </c>
      <c r="CS203" s="5" t="s">
        <v>81</v>
      </c>
      <c r="CT203" s="5" t="s">
        <v>296</v>
      </c>
      <c r="CU203" s="5" t="s">
        <v>86</v>
      </c>
      <c r="CV203" s="5"/>
      <c r="CW203" s="5"/>
      <c r="CX203" s="5"/>
      <c r="CY203" s="5"/>
      <c r="CZ203" s="5"/>
      <c r="DA203" s="5"/>
    </row>
    <row r="204" spans="1:105">
      <c r="A204" s="5">
        <v>18019480989</v>
      </c>
      <c r="B204" s="5"/>
      <c r="C204" s="5"/>
      <c r="D204" s="5"/>
      <c r="E204" s="5"/>
      <c r="F204" s="5"/>
      <c r="G204" s="5"/>
      <c r="H204" s="5"/>
      <c r="I204" s="5"/>
      <c r="J204" s="5"/>
      <c r="K204" s="5" t="s">
        <v>25</v>
      </c>
      <c r="L204" s="5" t="s">
        <v>26</v>
      </c>
      <c r="M204" s="5"/>
      <c r="N204" s="5"/>
      <c r="O204" s="5"/>
      <c r="P204" s="5"/>
      <c r="Q204" s="5"/>
      <c r="R204" s="5"/>
      <c r="S204" s="5"/>
      <c r="T204" s="5"/>
      <c r="U204" s="5"/>
      <c r="V204" s="5"/>
      <c r="W204" s="5"/>
      <c r="X204" s="5"/>
      <c r="Y204" s="5"/>
      <c r="Z204" s="5"/>
      <c r="AA204" s="5"/>
      <c r="AB204" s="5" t="s">
        <v>28</v>
      </c>
      <c r="AC204" s="5"/>
      <c r="AD204" s="5"/>
      <c r="AE204" s="5"/>
      <c r="AF204" s="5"/>
      <c r="AG204" s="5"/>
      <c r="AH204" s="5"/>
      <c r="AI204" s="5"/>
      <c r="AJ204" s="5" t="s">
        <v>35</v>
      </c>
      <c r="AK204" s="5"/>
      <c r="AL204" s="5"/>
      <c r="AM204" s="5"/>
      <c r="AN204" s="5"/>
      <c r="AO204" s="5"/>
      <c r="AP204" s="5"/>
      <c r="AQ204" s="5" t="s">
        <v>40</v>
      </c>
      <c r="AR204" s="5"/>
      <c r="AS204" s="5"/>
      <c r="AT204" s="5"/>
      <c r="AU204" s="5"/>
      <c r="AV204" s="5"/>
      <c r="AW204" s="5"/>
      <c r="AX204" s="5"/>
      <c r="AY204" s="5" t="s">
        <v>47</v>
      </c>
      <c r="AZ204" s="5"/>
      <c r="BA204" s="5"/>
      <c r="BB204" s="5"/>
      <c r="BC204" s="5"/>
      <c r="BD204" s="5"/>
      <c r="BE204" s="5" t="s">
        <v>17</v>
      </c>
      <c r="BF204" s="5"/>
      <c r="BG204" s="5"/>
      <c r="BH204" s="5"/>
      <c r="BI204" s="5"/>
      <c r="BJ204" s="5"/>
      <c r="BK204" s="5"/>
      <c r="BL204" s="5" t="s">
        <v>58</v>
      </c>
      <c r="BM204" s="5" t="s">
        <v>59</v>
      </c>
      <c r="BN204" s="5"/>
      <c r="BO204" s="5"/>
      <c r="BP204" s="5"/>
      <c r="BQ204" s="5"/>
      <c r="BR204" s="5"/>
      <c r="BS204" s="5"/>
      <c r="BT204" s="5"/>
      <c r="BU204" s="5" t="s">
        <v>64</v>
      </c>
      <c r="BV204" s="5"/>
      <c r="BW204" s="5"/>
      <c r="BX204" s="5" t="s">
        <v>67</v>
      </c>
      <c r="BY204" s="5"/>
      <c r="BZ204" s="5"/>
      <c r="CA204" s="5"/>
      <c r="CB204" s="5"/>
      <c r="CC204" s="5"/>
      <c r="CD204" s="5" t="s">
        <v>73</v>
      </c>
      <c r="CE204" s="5"/>
      <c r="CF204" s="5"/>
      <c r="CG204" s="5"/>
      <c r="CH204" s="5"/>
      <c r="CI204" s="5" t="s">
        <v>414</v>
      </c>
      <c r="CJ204" s="5">
        <v>23</v>
      </c>
      <c r="CK204" s="5" t="s">
        <v>141</v>
      </c>
      <c r="CL204" s="5" t="s">
        <v>186</v>
      </c>
      <c r="CM204" s="5" t="s">
        <v>418</v>
      </c>
      <c r="CN204" s="5" t="s">
        <v>419</v>
      </c>
      <c r="CO204" s="5" t="s">
        <v>82</v>
      </c>
      <c r="CP204" s="5" t="s">
        <v>87</v>
      </c>
      <c r="CQ204" s="5" t="s">
        <v>103</v>
      </c>
      <c r="CR204" s="5" t="s">
        <v>85</v>
      </c>
      <c r="CS204" s="5" t="s">
        <v>86</v>
      </c>
      <c r="CT204" s="5"/>
      <c r="CU204" s="5"/>
      <c r="CV204" s="5"/>
      <c r="CW204" s="5"/>
      <c r="CX204" s="5"/>
      <c r="CY204" s="5"/>
      <c r="CZ204" s="5"/>
      <c r="DA204" s="5"/>
    </row>
    <row r="205" spans="1:105">
      <c r="A205" s="5">
        <v>18019480837</v>
      </c>
      <c r="B205" s="5"/>
      <c r="C205" s="5" t="s">
        <v>17</v>
      </c>
      <c r="D205" s="5"/>
      <c r="E205" s="5"/>
      <c r="F205" s="5"/>
      <c r="G205" s="5"/>
      <c r="H205" s="5"/>
      <c r="I205" s="5"/>
      <c r="J205" s="5"/>
      <c r="K205" s="5"/>
      <c r="L205" s="5"/>
      <c r="M205" s="5"/>
      <c r="N205" s="5"/>
      <c r="O205" s="5"/>
      <c r="P205" s="5"/>
      <c r="Q205" s="5" t="s">
        <v>17</v>
      </c>
      <c r="R205" s="5"/>
      <c r="S205" s="5"/>
      <c r="T205" s="5"/>
      <c r="U205" s="5"/>
      <c r="V205" s="5"/>
      <c r="W205" s="5"/>
      <c r="X205" s="5"/>
      <c r="Y205" s="5"/>
      <c r="Z205" s="5"/>
      <c r="AA205" s="5"/>
      <c r="AB205" s="5"/>
      <c r="AC205" s="5"/>
      <c r="AD205" s="5"/>
      <c r="AE205" s="5"/>
      <c r="AF205" s="5"/>
      <c r="AG205" s="5"/>
      <c r="AH205" s="5"/>
      <c r="AI205" s="5"/>
      <c r="AJ205" s="5"/>
      <c r="AK205" s="5" t="s">
        <v>36</v>
      </c>
      <c r="AL205" s="5"/>
      <c r="AM205" s="5"/>
      <c r="AN205" s="5"/>
      <c r="AO205" s="5" t="s">
        <v>38</v>
      </c>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t="s">
        <v>59</v>
      </c>
      <c r="BN205" s="5"/>
      <c r="BO205" s="5"/>
      <c r="BP205" s="5"/>
      <c r="BQ205" s="5"/>
      <c r="BR205" s="5"/>
      <c r="BS205" s="5"/>
      <c r="BT205" s="5"/>
      <c r="BU205" s="5"/>
      <c r="BV205" s="5"/>
      <c r="BW205" s="5"/>
      <c r="BX205" s="5"/>
      <c r="BY205" s="5"/>
      <c r="BZ205" s="5"/>
      <c r="CA205" s="5"/>
      <c r="CB205" s="5" t="s">
        <v>71</v>
      </c>
      <c r="CC205" s="5"/>
      <c r="CD205" s="5"/>
      <c r="CE205" s="5"/>
      <c r="CF205" s="5"/>
      <c r="CG205" s="5"/>
      <c r="CH205" s="5"/>
      <c r="CI205" s="5" t="s">
        <v>417</v>
      </c>
      <c r="CJ205" s="5">
        <v>49</v>
      </c>
      <c r="CK205" s="5" t="s">
        <v>141</v>
      </c>
      <c r="CL205" s="5" t="s">
        <v>164</v>
      </c>
      <c r="CM205" s="5" t="s">
        <v>418</v>
      </c>
      <c r="CN205" s="5" t="s">
        <v>419</v>
      </c>
      <c r="CO205" s="5" t="s">
        <v>82</v>
      </c>
      <c r="CP205" s="5" t="s">
        <v>93</v>
      </c>
      <c r="CQ205" s="5" t="s">
        <v>95</v>
      </c>
      <c r="CR205" s="5" t="s">
        <v>105</v>
      </c>
      <c r="CS205" s="5" t="s">
        <v>86</v>
      </c>
      <c r="CT205" s="5"/>
      <c r="CU205" s="5"/>
      <c r="CV205" s="5"/>
      <c r="CW205" s="5"/>
      <c r="CX205" s="5"/>
      <c r="CY205" s="5"/>
      <c r="CZ205" s="5"/>
      <c r="DA205" s="5"/>
    </row>
    <row r="206" spans="1:105">
      <c r="A206" s="5">
        <v>18019480727</v>
      </c>
      <c r="B206" s="5"/>
      <c r="C206" s="5" t="s">
        <v>17</v>
      </c>
      <c r="D206" s="5"/>
      <c r="E206" s="5"/>
      <c r="F206" s="5"/>
      <c r="G206" s="5"/>
      <c r="H206" s="5" t="s">
        <v>22</v>
      </c>
      <c r="I206" s="5"/>
      <c r="J206" s="5"/>
      <c r="K206" s="5"/>
      <c r="L206" s="5"/>
      <c r="M206" s="5" t="s">
        <v>27</v>
      </c>
      <c r="N206" s="5"/>
      <c r="O206" s="5"/>
      <c r="P206" s="5"/>
      <c r="Q206" s="5" t="s">
        <v>17</v>
      </c>
      <c r="R206" s="5"/>
      <c r="S206" s="5"/>
      <c r="T206" s="5"/>
      <c r="U206" s="5"/>
      <c r="V206" s="5" t="s">
        <v>22</v>
      </c>
      <c r="W206" s="5"/>
      <c r="X206" s="5"/>
      <c r="Y206" s="5"/>
      <c r="Z206" s="5"/>
      <c r="AA206" s="5" t="s">
        <v>27</v>
      </c>
      <c r="AB206" s="5"/>
      <c r="AC206" s="5"/>
      <c r="AD206" s="5"/>
      <c r="AE206" s="5"/>
      <c r="AF206" s="5" t="s">
        <v>31</v>
      </c>
      <c r="AG206" s="5"/>
      <c r="AH206" s="5"/>
      <c r="AI206" s="5"/>
      <c r="AJ206" s="5"/>
      <c r="AK206" s="5" t="s">
        <v>36</v>
      </c>
      <c r="AL206" s="5"/>
      <c r="AM206" s="5"/>
      <c r="AN206" s="5"/>
      <c r="AO206" s="5"/>
      <c r="AP206" s="5"/>
      <c r="AQ206" s="5"/>
      <c r="AR206" s="5"/>
      <c r="AS206" s="5"/>
      <c r="AT206" s="5"/>
      <c r="AU206" s="5" t="s">
        <v>43</v>
      </c>
      <c r="AV206" s="5"/>
      <c r="AW206" s="5"/>
      <c r="AX206" s="5" t="s">
        <v>46</v>
      </c>
      <c r="AY206" s="5" t="s">
        <v>47</v>
      </c>
      <c r="AZ206" s="5"/>
      <c r="BA206" s="5"/>
      <c r="BB206" s="5"/>
      <c r="BC206" s="5"/>
      <c r="BD206" s="5" t="s">
        <v>51</v>
      </c>
      <c r="BE206" s="5"/>
      <c r="BF206" s="5"/>
      <c r="BG206" s="5"/>
      <c r="BH206" s="5"/>
      <c r="BI206" s="5"/>
      <c r="BJ206" s="5"/>
      <c r="BK206" s="5"/>
      <c r="BL206" s="5"/>
      <c r="BM206" s="5"/>
      <c r="BN206" s="5"/>
      <c r="BO206" s="5"/>
      <c r="BP206" s="5" t="s">
        <v>60</v>
      </c>
      <c r="BQ206" s="5"/>
      <c r="BR206" s="5" t="s">
        <v>62</v>
      </c>
      <c r="BS206" s="5"/>
      <c r="BT206" s="5"/>
      <c r="BU206" s="5" t="s">
        <v>64</v>
      </c>
      <c r="BV206" s="5"/>
      <c r="BW206" s="5"/>
      <c r="BX206" s="5" t="s">
        <v>67</v>
      </c>
      <c r="BY206" s="5"/>
      <c r="BZ206" s="5" t="s">
        <v>69</v>
      </c>
      <c r="CA206" s="5"/>
      <c r="CB206" s="5"/>
      <c r="CC206" s="5"/>
      <c r="CD206" s="5"/>
      <c r="CE206" s="5"/>
      <c r="CF206" s="5"/>
      <c r="CG206" s="5"/>
      <c r="CH206" s="5"/>
      <c r="CI206" s="5" t="s">
        <v>414</v>
      </c>
      <c r="CJ206" s="5">
        <v>50</v>
      </c>
      <c r="CK206" s="5" t="s">
        <v>141</v>
      </c>
      <c r="CL206" s="5" t="s">
        <v>186</v>
      </c>
      <c r="CM206" s="5" t="s">
        <v>418</v>
      </c>
      <c r="CN206" s="5" t="s">
        <v>419</v>
      </c>
      <c r="CO206" s="5" t="s">
        <v>82</v>
      </c>
      <c r="CP206" s="5" t="s">
        <v>93</v>
      </c>
      <c r="CQ206" s="5" t="s">
        <v>88</v>
      </c>
      <c r="CR206" s="5" t="s">
        <v>96</v>
      </c>
      <c r="CS206" s="5" t="s">
        <v>86</v>
      </c>
      <c r="CT206" s="5"/>
      <c r="CU206" s="5"/>
      <c r="CV206" s="5"/>
      <c r="CW206" s="5"/>
      <c r="CX206" s="5"/>
      <c r="CY206" s="5"/>
      <c r="CZ206" s="5"/>
      <c r="DA206" s="5"/>
    </row>
    <row r="207" spans="1:105">
      <c r="A207" s="5">
        <v>18019480579</v>
      </c>
      <c r="B207" s="5"/>
      <c r="C207" s="5" t="s">
        <v>17</v>
      </c>
      <c r="D207" s="5"/>
      <c r="E207" s="5"/>
      <c r="F207" s="5"/>
      <c r="G207" s="5"/>
      <c r="H207" s="5"/>
      <c r="I207" s="5"/>
      <c r="J207" s="5"/>
      <c r="K207" s="5" t="s">
        <v>25</v>
      </c>
      <c r="L207" s="5" t="s">
        <v>26</v>
      </c>
      <c r="M207" s="5"/>
      <c r="N207" s="5"/>
      <c r="O207" s="5"/>
      <c r="P207" s="5" t="s">
        <v>16</v>
      </c>
      <c r="Q207" s="5"/>
      <c r="R207" s="5"/>
      <c r="S207" s="5"/>
      <c r="T207" s="5"/>
      <c r="U207" s="5"/>
      <c r="V207" s="5"/>
      <c r="W207" s="5"/>
      <c r="X207" s="5"/>
      <c r="Y207" s="5" t="s">
        <v>25</v>
      </c>
      <c r="Z207" s="5"/>
      <c r="AA207" s="5"/>
      <c r="AB207" s="5"/>
      <c r="AC207" s="5"/>
      <c r="AD207" s="5"/>
      <c r="AE207" s="5"/>
      <c r="AF207" s="5" t="s">
        <v>31</v>
      </c>
      <c r="AG207" s="5" t="s">
        <v>32</v>
      </c>
      <c r="AH207" s="5"/>
      <c r="AI207" s="5"/>
      <c r="AJ207" s="5"/>
      <c r="AK207" s="5" t="s">
        <v>36</v>
      </c>
      <c r="AL207" s="5"/>
      <c r="AM207" s="5"/>
      <c r="AN207" s="5"/>
      <c r="AO207" s="5"/>
      <c r="AP207" s="5" t="s">
        <v>39</v>
      </c>
      <c r="AQ207" s="5" t="s">
        <v>40</v>
      </c>
      <c r="AR207" s="5"/>
      <c r="AS207" s="5"/>
      <c r="AT207" s="5"/>
      <c r="AU207" s="5"/>
      <c r="AV207" s="5"/>
      <c r="AW207" s="5"/>
      <c r="AX207" s="5" t="s">
        <v>46</v>
      </c>
      <c r="AY207" s="5"/>
      <c r="AZ207" s="5"/>
      <c r="BA207" s="5"/>
      <c r="BB207" s="5" t="s">
        <v>49</v>
      </c>
      <c r="BC207" s="5" t="s">
        <v>50</v>
      </c>
      <c r="BD207" s="5"/>
      <c r="BE207" s="5"/>
      <c r="BF207" s="5"/>
      <c r="BG207" s="5"/>
      <c r="BH207" s="5" t="s">
        <v>54</v>
      </c>
      <c r="BI207" s="5"/>
      <c r="BJ207" s="5"/>
      <c r="BK207" s="5"/>
      <c r="BL207" s="5"/>
      <c r="BM207" s="5"/>
      <c r="BN207" s="5"/>
      <c r="BO207" s="5"/>
      <c r="BP207" s="5"/>
      <c r="BQ207" s="5"/>
      <c r="BR207" s="5"/>
      <c r="BS207" s="5"/>
      <c r="BT207" s="5"/>
      <c r="BU207" s="5" t="s">
        <v>64</v>
      </c>
      <c r="BV207" s="5"/>
      <c r="BW207" s="5"/>
      <c r="BX207" s="5"/>
      <c r="BY207" s="5"/>
      <c r="BZ207" s="5"/>
      <c r="CA207" s="5"/>
      <c r="CB207" s="5"/>
      <c r="CC207" s="5"/>
      <c r="CD207" s="5"/>
      <c r="CE207" s="5"/>
      <c r="CF207" s="5"/>
      <c r="CG207" s="5"/>
      <c r="CH207" s="5"/>
      <c r="CI207" s="5" t="s">
        <v>414</v>
      </c>
      <c r="CJ207" s="5">
        <v>45</v>
      </c>
      <c r="CK207" s="5" t="s">
        <v>141</v>
      </c>
      <c r="CL207" s="5" t="s">
        <v>186</v>
      </c>
      <c r="CM207" s="5" t="s">
        <v>418</v>
      </c>
      <c r="CN207" s="5" t="s">
        <v>419</v>
      </c>
      <c r="CO207" s="5" t="s">
        <v>82</v>
      </c>
      <c r="CP207" s="5" t="s">
        <v>90</v>
      </c>
      <c r="CQ207" s="5" t="s">
        <v>95</v>
      </c>
      <c r="CR207" s="5" t="s">
        <v>85</v>
      </c>
      <c r="CS207" s="5" t="s">
        <v>86</v>
      </c>
      <c r="CT207" s="5"/>
      <c r="CU207" s="5"/>
      <c r="CV207" s="5"/>
      <c r="CW207" s="5"/>
      <c r="CX207" s="5"/>
      <c r="CY207" s="5"/>
      <c r="CZ207" s="5"/>
      <c r="DA207" s="5"/>
    </row>
    <row r="208" spans="1:105">
      <c r="A208" s="5">
        <v>18019480437</v>
      </c>
      <c r="B208" s="5"/>
      <c r="C208" s="5" t="s">
        <v>17</v>
      </c>
      <c r="D208" s="5"/>
      <c r="E208" s="5"/>
      <c r="F208" s="5"/>
      <c r="G208" s="5"/>
      <c r="H208" s="5"/>
      <c r="I208" s="5"/>
      <c r="J208" s="5"/>
      <c r="K208" s="5"/>
      <c r="L208" s="5"/>
      <c r="M208" s="5"/>
      <c r="N208" s="5"/>
      <c r="O208" s="5"/>
      <c r="P208" s="5"/>
      <c r="Q208" s="5"/>
      <c r="R208" s="5"/>
      <c r="S208" s="5"/>
      <c r="T208" s="5"/>
      <c r="U208" s="5"/>
      <c r="V208" s="5"/>
      <c r="W208" s="5"/>
      <c r="X208" s="5" t="s">
        <v>24</v>
      </c>
      <c r="Y208" s="5"/>
      <c r="Z208" s="5"/>
      <c r="AA208" s="5"/>
      <c r="AB208" s="5"/>
      <c r="AC208" s="5"/>
      <c r="AD208" s="5"/>
      <c r="AE208" s="5"/>
      <c r="AF208" s="5"/>
      <c r="AG208" s="5"/>
      <c r="AH208" s="5"/>
      <c r="AI208" s="5"/>
      <c r="AJ208" s="5" t="s">
        <v>35</v>
      </c>
      <c r="AK208" s="5"/>
      <c r="AL208" s="5"/>
      <c r="AM208" s="5"/>
      <c r="AN208" s="5"/>
      <c r="AO208" s="5"/>
      <c r="AP208" s="5"/>
      <c r="AQ208" s="5"/>
      <c r="AR208" s="5" t="s">
        <v>41</v>
      </c>
      <c r="AS208" s="5"/>
      <c r="AT208" s="5"/>
      <c r="AU208" s="5"/>
      <c r="AV208" s="5"/>
      <c r="AW208" s="5"/>
      <c r="AX208" s="5"/>
      <c r="AY208" s="5"/>
      <c r="AZ208" s="5"/>
      <c r="BA208" s="5"/>
      <c r="BB208" s="5"/>
      <c r="BC208" s="5"/>
      <c r="BD208" s="5"/>
      <c r="BE208" s="5" t="s">
        <v>17</v>
      </c>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t="s">
        <v>75</v>
      </c>
      <c r="CG208" s="5"/>
      <c r="CH208" s="5"/>
      <c r="CI208" s="5" t="s">
        <v>417</v>
      </c>
      <c r="CJ208" s="5">
        <v>47</v>
      </c>
      <c r="CK208" s="5" t="s">
        <v>141</v>
      </c>
      <c r="CL208" s="5" t="s">
        <v>186</v>
      </c>
      <c r="CM208" s="5" t="s">
        <v>418</v>
      </c>
      <c r="CN208" s="5" t="s">
        <v>419</v>
      </c>
      <c r="CO208" s="5" t="s">
        <v>82</v>
      </c>
      <c r="CP208" s="5" t="s">
        <v>94</v>
      </c>
      <c r="CQ208" s="5" t="s">
        <v>95</v>
      </c>
      <c r="CR208" s="5" t="s">
        <v>105</v>
      </c>
      <c r="CS208" s="5" t="s">
        <v>81</v>
      </c>
      <c r="CT208" s="5"/>
      <c r="CU208" s="5"/>
      <c r="CV208" s="5"/>
      <c r="CW208" s="5"/>
      <c r="CX208" s="5"/>
      <c r="CY208" s="5"/>
      <c r="CZ208" s="5"/>
      <c r="DA208" s="5"/>
    </row>
    <row r="209" spans="1:105">
      <c r="A209" s="5">
        <v>18019480319</v>
      </c>
      <c r="B209" s="5"/>
      <c r="C209" s="5" t="s">
        <v>17</v>
      </c>
      <c r="D209" s="5" t="s">
        <v>18</v>
      </c>
      <c r="E209" s="5"/>
      <c r="F209" s="5"/>
      <c r="G209" s="5"/>
      <c r="H209" s="5"/>
      <c r="I209" s="5"/>
      <c r="J209" s="5"/>
      <c r="K209" s="5"/>
      <c r="L209" s="5" t="s">
        <v>26</v>
      </c>
      <c r="M209" s="5"/>
      <c r="N209" s="5"/>
      <c r="O209" s="5"/>
      <c r="P209" s="5"/>
      <c r="Q209" s="5" t="s">
        <v>17</v>
      </c>
      <c r="R209" s="5" t="s">
        <v>18</v>
      </c>
      <c r="S209" s="5"/>
      <c r="T209" s="5"/>
      <c r="U209" s="5"/>
      <c r="V209" s="5"/>
      <c r="W209" s="5"/>
      <c r="X209" s="5" t="s">
        <v>24</v>
      </c>
      <c r="Y209" s="5"/>
      <c r="Z209" s="5"/>
      <c r="AA209" s="5"/>
      <c r="AB209" s="5"/>
      <c r="AC209" s="5"/>
      <c r="AD209" s="5"/>
      <c r="AE209" s="5"/>
      <c r="AF209" s="5"/>
      <c r="AG209" s="5"/>
      <c r="AH209" s="5"/>
      <c r="AI209" s="5" t="s">
        <v>34</v>
      </c>
      <c r="AJ209" s="5"/>
      <c r="AK209" s="5"/>
      <c r="AL209" s="5"/>
      <c r="AM209" s="5"/>
      <c r="AN209" s="5"/>
      <c r="AO209" s="5"/>
      <c r="AP209" s="5" t="s">
        <v>39</v>
      </c>
      <c r="AQ209" s="5"/>
      <c r="AR209" s="5" t="s">
        <v>41</v>
      </c>
      <c r="AS209" s="5"/>
      <c r="AT209" s="5"/>
      <c r="AU209" s="5" t="s">
        <v>43</v>
      </c>
      <c r="AV209" s="5"/>
      <c r="AW209" s="5"/>
      <c r="AX209" s="5"/>
      <c r="AY209" s="5"/>
      <c r="AZ209" s="5"/>
      <c r="BA209" s="5"/>
      <c r="BB209" s="5"/>
      <c r="BC209" s="5"/>
      <c r="BD209" s="5"/>
      <c r="BE209" s="5"/>
      <c r="BF209" s="5"/>
      <c r="BG209" s="5"/>
      <c r="BH209" s="5"/>
      <c r="BI209" s="5"/>
      <c r="BJ209" s="5"/>
      <c r="BK209" s="5"/>
      <c r="BL209" s="5"/>
      <c r="BM209" s="5"/>
      <c r="BN209" s="5"/>
      <c r="BO209" s="5"/>
      <c r="BP209" s="5"/>
      <c r="BQ209" s="5" t="s">
        <v>61</v>
      </c>
      <c r="BR209" s="5" t="s">
        <v>62</v>
      </c>
      <c r="BS209" s="5"/>
      <c r="BT209" s="5"/>
      <c r="BU209" s="5" t="s">
        <v>64</v>
      </c>
      <c r="BV209" s="5"/>
      <c r="BW209" s="5"/>
      <c r="BX209" s="5" t="s">
        <v>67</v>
      </c>
      <c r="BY209" s="5"/>
      <c r="BZ209" s="5"/>
      <c r="CA209" s="5"/>
      <c r="CB209" s="5"/>
      <c r="CC209" s="5"/>
      <c r="CD209" s="5"/>
      <c r="CE209" s="5"/>
      <c r="CF209" s="5" t="s">
        <v>75</v>
      </c>
      <c r="CG209" s="5"/>
      <c r="CH209" s="5"/>
      <c r="CI209" s="5" t="s">
        <v>417</v>
      </c>
      <c r="CJ209" s="5">
        <v>65</v>
      </c>
      <c r="CK209" s="5" t="s">
        <v>141</v>
      </c>
      <c r="CL209" s="5" t="s">
        <v>150</v>
      </c>
      <c r="CM209" s="5" t="s">
        <v>418</v>
      </c>
      <c r="CN209" s="5" t="s">
        <v>419</v>
      </c>
      <c r="CO209" s="5" t="s">
        <v>82</v>
      </c>
      <c r="CP209" s="5"/>
      <c r="CQ209" s="5" t="s">
        <v>95</v>
      </c>
      <c r="CR209" s="5" t="s">
        <v>99</v>
      </c>
      <c r="CS209" s="5" t="s">
        <v>86</v>
      </c>
      <c r="CT209" s="5"/>
      <c r="CU209" s="5"/>
      <c r="CV209" s="5"/>
      <c r="CW209" s="5"/>
      <c r="CX209" s="5"/>
      <c r="CY209" s="5"/>
      <c r="CZ209" s="5"/>
      <c r="DA209" s="5"/>
    </row>
    <row r="210" spans="1:105">
      <c r="A210" s="5">
        <v>18019480185</v>
      </c>
      <c r="B210" s="5"/>
      <c r="C210" s="5" t="s">
        <v>17</v>
      </c>
      <c r="D210" s="5"/>
      <c r="E210" s="5"/>
      <c r="F210" s="5"/>
      <c r="G210" s="5"/>
      <c r="H210" s="5"/>
      <c r="I210" s="5"/>
      <c r="J210" s="5" t="s">
        <v>24</v>
      </c>
      <c r="K210" s="5"/>
      <c r="L210" s="5"/>
      <c r="M210" s="5"/>
      <c r="N210" s="5"/>
      <c r="O210" s="5"/>
      <c r="P210" s="5"/>
      <c r="Q210" s="5"/>
      <c r="R210" s="5"/>
      <c r="S210" s="5"/>
      <c r="T210" s="5"/>
      <c r="U210" s="5"/>
      <c r="V210" s="5" t="s">
        <v>22</v>
      </c>
      <c r="W210" s="5"/>
      <c r="X210" s="5"/>
      <c r="Y210" s="5" t="s">
        <v>25</v>
      </c>
      <c r="Z210" s="5"/>
      <c r="AA210" s="5"/>
      <c r="AB210" s="5"/>
      <c r="AC210" s="5"/>
      <c r="AD210" s="5"/>
      <c r="AE210" s="5"/>
      <c r="AF210" s="5"/>
      <c r="AG210" s="5"/>
      <c r="AH210" s="5"/>
      <c r="AI210" s="5"/>
      <c r="AJ210" s="5"/>
      <c r="AK210" s="5" t="s">
        <v>36</v>
      </c>
      <c r="AL210" s="5"/>
      <c r="AM210" s="5"/>
      <c r="AN210" s="5"/>
      <c r="AO210" s="5" t="s">
        <v>38</v>
      </c>
      <c r="AP210" s="5" t="s">
        <v>39</v>
      </c>
      <c r="AQ210" s="5"/>
      <c r="AR210" s="5" t="s">
        <v>41</v>
      </c>
      <c r="AS210" s="5"/>
      <c r="AT210" s="5"/>
      <c r="AU210" s="5"/>
      <c r="AV210" s="5"/>
      <c r="AW210" s="5" t="s">
        <v>45</v>
      </c>
      <c r="AX210" s="5"/>
      <c r="AY210" s="5"/>
      <c r="AZ210" s="5"/>
      <c r="BA210" s="5"/>
      <c r="BB210" s="5" t="s">
        <v>49</v>
      </c>
      <c r="BC210" s="5" t="s">
        <v>50</v>
      </c>
      <c r="BD210" s="5"/>
      <c r="BE210" s="5"/>
      <c r="BF210" s="5"/>
      <c r="BG210" s="5"/>
      <c r="BH210" s="5"/>
      <c r="BI210" s="5"/>
      <c r="BJ210" s="5"/>
      <c r="BK210" s="5"/>
      <c r="BL210" s="5"/>
      <c r="BM210" s="5" t="s">
        <v>59</v>
      </c>
      <c r="BN210" s="5"/>
      <c r="BO210" s="5"/>
      <c r="BP210" s="5"/>
      <c r="BQ210" s="5"/>
      <c r="BR210" s="5"/>
      <c r="BS210" s="5" t="s">
        <v>63</v>
      </c>
      <c r="BT210" s="5"/>
      <c r="BU210" s="5" t="s">
        <v>64</v>
      </c>
      <c r="BV210" s="5"/>
      <c r="BW210" s="5"/>
      <c r="BX210" s="5"/>
      <c r="BY210" s="5"/>
      <c r="BZ210" s="5"/>
      <c r="CA210" s="5"/>
      <c r="CB210" s="5"/>
      <c r="CC210" s="5"/>
      <c r="CD210" s="5"/>
      <c r="CE210" s="5"/>
      <c r="CF210" s="5" t="s">
        <v>75</v>
      </c>
      <c r="CG210" s="5"/>
      <c r="CH210" s="5"/>
      <c r="CI210" s="5" t="s">
        <v>417</v>
      </c>
      <c r="CJ210" s="5">
        <v>44</v>
      </c>
      <c r="CK210" s="5" t="s">
        <v>141</v>
      </c>
      <c r="CL210" s="5" t="s">
        <v>173</v>
      </c>
      <c r="CM210" s="5" t="s">
        <v>418</v>
      </c>
      <c r="CN210" s="5" t="s">
        <v>419</v>
      </c>
      <c r="CO210" s="5" t="s">
        <v>82</v>
      </c>
      <c r="CP210" s="5" t="s">
        <v>83</v>
      </c>
      <c r="CQ210" s="5" t="s">
        <v>84</v>
      </c>
      <c r="CR210" s="5" t="s">
        <v>105</v>
      </c>
      <c r="CS210" s="5" t="s">
        <v>86</v>
      </c>
      <c r="CT210" s="5"/>
      <c r="CU210" s="5"/>
      <c r="CV210" s="5"/>
      <c r="CW210" s="5"/>
      <c r="CX210" s="5"/>
      <c r="CY210" s="5"/>
      <c r="CZ210" s="5"/>
      <c r="DA210" s="5"/>
    </row>
    <row r="211" spans="1:105">
      <c r="A211" s="5">
        <v>18019479995</v>
      </c>
      <c r="B211" s="5"/>
      <c r="C211" s="5" t="s">
        <v>17</v>
      </c>
      <c r="D211" s="5"/>
      <c r="E211" s="5"/>
      <c r="F211" s="5"/>
      <c r="G211" s="5"/>
      <c r="H211" s="5" t="s">
        <v>22</v>
      </c>
      <c r="I211" s="5"/>
      <c r="J211" s="5"/>
      <c r="K211" s="5" t="s">
        <v>25</v>
      </c>
      <c r="L211" s="5"/>
      <c r="M211" s="5" t="s">
        <v>27</v>
      </c>
      <c r="N211" s="5"/>
      <c r="O211" s="5"/>
      <c r="P211" s="5"/>
      <c r="Q211" s="5" t="s">
        <v>17</v>
      </c>
      <c r="R211" s="5"/>
      <c r="S211" s="5"/>
      <c r="T211" s="5"/>
      <c r="U211" s="5"/>
      <c r="V211" s="5" t="s">
        <v>22</v>
      </c>
      <c r="W211" s="5"/>
      <c r="X211" s="5"/>
      <c r="Y211" s="5" t="s">
        <v>25</v>
      </c>
      <c r="Z211" s="5"/>
      <c r="AA211" s="5" t="s">
        <v>27</v>
      </c>
      <c r="AB211" s="5"/>
      <c r="AC211" s="5"/>
      <c r="AD211" s="5"/>
      <c r="AE211" s="5"/>
      <c r="AF211" s="5"/>
      <c r="AG211" s="5"/>
      <c r="AH211" s="5"/>
      <c r="AI211" s="5" t="s">
        <v>34</v>
      </c>
      <c r="AJ211" s="5"/>
      <c r="AK211" s="5"/>
      <c r="AL211" s="5"/>
      <c r="AM211" s="5"/>
      <c r="AN211" s="5"/>
      <c r="AO211" s="5" t="s">
        <v>38</v>
      </c>
      <c r="AP211" s="5"/>
      <c r="AQ211" s="5"/>
      <c r="AR211" s="5"/>
      <c r="AS211" s="5"/>
      <c r="AT211" s="5"/>
      <c r="AU211" s="5"/>
      <c r="AV211" s="5"/>
      <c r="AW211" s="5"/>
      <c r="AX211" s="5"/>
      <c r="AY211" s="5"/>
      <c r="AZ211" s="5"/>
      <c r="BA211" s="5"/>
      <c r="BB211" s="5"/>
      <c r="BC211" s="5"/>
      <c r="BD211" s="5"/>
      <c r="BE211" s="5" t="s">
        <v>17</v>
      </c>
      <c r="BF211" s="5" t="s">
        <v>52</v>
      </c>
      <c r="BG211" s="5"/>
      <c r="BH211" s="5"/>
      <c r="BI211" s="5"/>
      <c r="BJ211" s="5"/>
      <c r="BK211" s="5"/>
      <c r="BL211" s="5"/>
      <c r="BM211" s="5"/>
      <c r="BN211" s="5"/>
      <c r="BO211" s="5"/>
      <c r="BP211" s="5"/>
      <c r="BQ211" s="5"/>
      <c r="BR211" s="5"/>
      <c r="BS211" s="5"/>
      <c r="BT211" s="5"/>
      <c r="BU211" s="5" t="s">
        <v>64</v>
      </c>
      <c r="BV211" s="5"/>
      <c r="BW211" s="5"/>
      <c r="BX211" s="5"/>
      <c r="BY211" s="5" t="s">
        <v>68</v>
      </c>
      <c r="BZ211" s="5"/>
      <c r="CA211" s="5"/>
      <c r="CB211" s="5"/>
      <c r="CC211" s="5"/>
      <c r="CD211" s="5"/>
      <c r="CE211" s="5"/>
      <c r="CF211" s="5" t="s">
        <v>75</v>
      </c>
      <c r="CG211" s="5"/>
      <c r="CH211" s="5"/>
      <c r="CI211" s="5" t="s">
        <v>414</v>
      </c>
      <c r="CJ211" s="5">
        <v>50</v>
      </c>
      <c r="CK211" s="5" t="s">
        <v>141</v>
      </c>
      <c r="CL211" s="5" t="s">
        <v>155</v>
      </c>
      <c r="CM211" s="5" t="s">
        <v>418</v>
      </c>
      <c r="CN211" s="5" t="s">
        <v>419</v>
      </c>
      <c r="CO211" s="5" t="s">
        <v>82</v>
      </c>
      <c r="CP211" s="5" t="s">
        <v>83</v>
      </c>
      <c r="CQ211" s="5" t="s">
        <v>84</v>
      </c>
      <c r="CR211" s="5" t="s">
        <v>85</v>
      </c>
      <c r="CS211" s="5" t="s">
        <v>86</v>
      </c>
      <c r="CT211" s="5"/>
      <c r="CU211" s="5"/>
      <c r="CV211" s="5"/>
      <c r="CW211" s="5"/>
      <c r="CX211" s="5"/>
      <c r="CY211" s="5"/>
      <c r="CZ211" s="5"/>
      <c r="DA211" s="5"/>
    </row>
    <row r="212" spans="1:105">
      <c r="A212" s="5">
        <v>18019479757</v>
      </c>
      <c r="B212" s="5" t="s">
        <v>16</v>
      </c>
      <c r="C212" s="5" t="s">
        <v>17</v>
      </c>
      <c r="D212" s="5"/>
      <c r="E212" s="5" t="s">
        <v>19</v>
      </c>
      <c r="F212" s="5"/>
      <c r="G212" s="5"/>
      <c r="H212" s="5"/>
      <c r="I212" s="5"/>
      <c r="J212" s="5"/>
      <c r="K212" s="5"/>
      <c r="L212" s="5"/>
      <c r="M212" s="5"/>
      <c r="N212" s="5"/>
      <c r="O212" s="5"/>
      <c r="P212" s="5"/>
      <c r="Q212" s="5"/>
      <c r="R212" s="5"/>
      <c r="S212" s="5"/>
      <c r="T212" s="5" t="s">
        <v>20</v>
      </c>
      <c r="U212" s="5"/>
      <c r="V212" s="5"/>
      <c r="W212" s="5"/>
      <c r="X212" s="5" t="s">
        <v>24</v>
      </c>
      <c r="Y212" s="5"/>
      <c r="Z212" s="5"/>
      <c r="AA212" s="5" t="s">
        <v>27</v>
      </c>
      <c r="AB212" s="5"/>
      <c r="AC212" s="5"/>
      <c r="AD212" s="5"/>
      <c r="AE212" s="5" t="s">
        <v>30</v>
      </c>
      <c r="AF212" s="5"/>
      <c r="AG212" s="5"/>
      <c r="AH212" s="5"/>
      <c r="AI212" s="5" t="s">
        <v>34</v>
      </c>
      <c r="AJ212" s="5"/>
      <c r="AK212" s="5" t="s">
        <v>36</v>
      </c>
      <c r="AL212" s="5"/>
      <c r="AM212" s="5"/>
      <c r="AN212" s="5"/>
      <c r="AO212" s="5"/>
      <c r="AP212" s="5"/>
      <c r="AQ212" s="5"/>
      <c r="AR212" s="5"/>
      <c r="AS212" s="5"/>
      <c r="AT212" s="5" t="s">
        <v>37</v>
      </c>
      <c r="AU212" s="5"/>
      <c r="AV212" s="5" t="s">
        <v>44</v>
      </c>
      <c r="AW212" s="5"/>
      <c r="AX212" s="5"/>
      <c r="AY212" s="5"/>
      <c r="AZ212" s="5" t="s">
        <v>48</v>
      </c>
      <c r="BA212" s="5"/>
      <c r="BB212" s="5"/>
      <c r="BC212" s="5" t="s">
        <v>50</v>
      </c>
      <c r="BD212" s="5"/>
      <c r="BE212" s="5"/>
      <c r="BF212" s="5"/>
      <c r="BG212" s="5"/>
      <c r="BH212" s="5"/>
      <c r="BI212" s="5"/>
      <c r="BJ212" s="5"/>
      <c r="BK212" s="5"/>
      <c r="BL212" s="5" t="s">
        <v>58</v>
      </c>
      <c r="BM212" s="5"/>
      <c r="BN212" s="5"/>
      <c r="BO212" s="5"/>
      <c r="BP212" s="5"/>
      <c r="BQ212" s="5"/>
      <c r="BR212" s="5"/>
      <c r="BS212" s="5" t="s">
        <v>63</v>
      </c>
      <c r="BT212" s="5"/>
      <c r="BU212" s="5"/>
      <c r="BV212" s="5"/>
      <c r="BW212" s="5"/>
      <c r="BX212" s="5"/>
      <c r="BY212" s="5"/>
      <c r="BZ212" s="5"/>
      <c r="CA212" s="5" t="s">
        <v>70</v>
      </c>
      <c r="CB212" s="5"/>
      <c r="CC212" s="5"/>
      <c r="CD212" s="5"/>
      <c r="CE212" s="5"/>
      <c r="CF212" s="5" t="s">
        <v>75</v>
      </c>
      <c r="CG212" s="5"/>
      <c r="CH212" s="5"/>
      <c r="CI212" s="5" t="s">
        <v>417</v>
      </c>
      <c r="CJ212" s="5">
        <v>22</v>
      </c>
      <c r="CK212" s="5" t="s">
        <v>80</v>
      </c>
      <c r="CL212" s="5" t="s">
        <v>445</v>
      </c>
      <c r="CM212" s="5"/>
      <c r="CN212" s="5"/>
      <c r="CO212" s="5"/>
      <c r="CP212" s="5"/>
      <c r="CQ212" s="5"/>
      <c r="CR212" s="5"/>
      <c r="CS212" s="5"/>
      <c r="CT212" s="5"/>
      <c r="CU212" s="5"/>
      <c r="CV212" s="5"/>
      <c r="CW212" s="5"/>
      <c r="CX212" s="5"/>
      <c r="CY212" s="5"/>
      <c r="CZ212" s="5"/>
      <c r="DA212" s="5"/>
    </row>
    <row r="213" spans="1:105">
      <c r="A213" s="5">
        <v>18019479597</v>
      </c>
      <c r="B213" s="5"/>
      <c r="C213" s="5" t="s">
        <v>17</v>
      </c>
      <c r="D213" s="5"/>
      <c r="E213" s="5"/>
      <c r="F213" s="5"/>
      <c r="G213" s="5"/>
      <c r="H213" s="5"/>
      <c r="I213" s="5"/>
      <c r="J213" s="5"/>
      <c r="K213" s="5" t="s">
        <v>25</v>
      </c>
      <c r="L213" s="5" t="s">
        <v>26</v>
      </c>
      <c r="M213" s="5"/>
      <c r="N213" s="5" t="s">
        <v>28</v>
      </c>
      <c r="O213" s="5"/>
      <c r="P213" s="5"/>
      <c r="Q213" s="5" t="s">
        <v>17</v>
      </c>
      <c r="R213" s="5"/>
      <c r="S213" s="5" t="s">
        <v>19</v>
      </c>
      <c r="T213" s="5" t="s">
        <v>20</v>
      </c>
      <c r="U213" s="5"/>
      <c r="V213" s="5"/>
      <c r="W213" s="5"/>
      <c r="X213" s="5"/>
      <c r="Y213" s="5"/>
      <c r="Z213" s="5" t="s">
        <v>26</v>
      </c>
      <c r="AA213" s="5"/>
      <c r="AB213" s="5" t="s">
        <v>28</v>
      </c>
      <c r="AC213" s="5"/>
      <c r="AD213" s="5"/>
      <c r="AE213" s="5" t="s">
        <v>30</v>
      </c>
      <c r="AF213" s="5"/>
      <c r="AG213" s="5"/>
      <c r="AH213" s="5"/>
      <c r="AI213" s="5"/>
      <c r="AJ213" s="5"/>
      <c r="AK213" s="5"/>
      <c r="AL213" s="5"/>
      <c r="AM213" s="5"/>
      <c r="AN213" s="5"/>
      <c r="AO213" s="5"/>
      <c r="AP213" s="5" t="s">
        <v>39</v>
      </c>
      <c r="AQ213" s="5"/>
      <c r="AR213" s="5"/>
      <c r="AS213" s="5"/>
      <c r="AT213" s="5" t="s">
        <v>37</v>
      </c>
      <c r="AU213" s="5"/>
      <c r="AV213" s="5"/>
      <c r="AW213" s="5"/>
      <c r="AX213" s="5" t="s">
        <v>46</v>
      </c>
      <c r="AY213" s="5"/>
      <c r="AZ213" s="5"/>
      <c r="BA213" s="5"/>
      <c r="BB213" s="5"/>
      <c r="BC213" s="5" t="s">
        <v>50</v>
      </c>
      <c r="BD213" s="5"/>
      <c r="BE213" s="5"/>
      <c r="BF213" s="5"/>
      <c r="BG213" s="5"/>
      <c r="BH213" s="5"/>
      <c r="BI213" s="5"/>
      <c r="BJ213" s="5"/>
      <c r="BK213" s="5"/>
      <c r="BL213" s="5"/>
      <c r="BM213" s="5"/>
      <c r="BN213" s="5"/>
      <c r="BO213" s="5"/>
      <c r="BP213" s="5"/>
      <c r="BQ213" s="5"/>
      <c r="BR213" s="5"/>
      <c r="BS213" s="5" t="s">
        <v>63</v>
      </c>
      <c r="BT213" s="5"/>
      <c r="BU213" s="5" t="s">
        <v>64</v>
      </c>
      <c r="BV213" s="5"/>
      <c r="BW213" s="5"/>
      <c r="BX213" s="5" t="s">
        <v>67</v>
      </c>
      <c r="BY213" s="5"/>
      <c r="BZ213" s="5"/>
      <c r="CA213" s="5"/>
      <c r="CB213" s="5"/>
      <c r="CC213" s="5"/>
      <c r="CD213" s="5" t="s">
        <v>73</v>
      </c>
      <c r="CE213" s="5"/>
      <c r="CF213" s="5" t="s">
        <v>75</v>
      </c>
      <c r="CG213" s="5"/>
      <c r="CH213" s="5"/>
      <c r="CI213" s="5" t="s">
        <v>414</v>
      </c>
      <c r="CJ213" s="5">
        <v>19</v>
      </c>
      <c r="CK213" s="5" t="s">
        <v>141</v>
      </c>
      <c r="CL213" s="5" t="s">
        <v>171</v>
      </c>
      <c r="CM213" s="5" t="s">
        <v>418</v>
      </c>
      <c r="CN213" s="5" t="s">
        <v>419</v>
      </c>
      <c r="CO213" s="5" t="s">
        <v>82</v>
      </c>
      <c r="CP213" s="5" t="s">
        <v>83</v>
      </c>
      <c r="CQ213" s="5" t="s">
        <v>88</v>
      </c>
      <c r="CR213" s="5" t="s">
        <v>92</v>
      </c>
      <c r="CS213" s="5" t="s">
        <v>81</v>
      </c>
      <c r="CT213" s="5" t="s">
        <v>296</v>
      </c>
      <c r="CU213" s="5" t="s">
        <v>86</v>
      </c>
      <c r="CV213" s="5"/>
      <c r="CW213" s="5"/>
      <c r="CX213" s="5"/>
      <c r="CY213" s="5"/>
      <c r="CZ213" s="5"/>
      <c r="DA213" s="5"/>
    </row>
    <row r="214" spans="1:105">
      <c r="A214" s="5">
        <v>18019479451</v>
      </c>
      <c r="B214" s="5"/>
      <c r="C214" s="5"/>
      <c r="D214" s="5"/>
      <c r="E214" s="5"/>
      <c r="F214" s="5"/>
      <c r="G214" s="5" t="s">
        <v>21</v>
      </c>
      <c r="H214" s="5" t="s">
        <v>22</v>
      </c>
      <c r="I214" s="5"/>
      <c r="J214" s="5" t="s">
        <v>24</v>
      </c>
      <c r="K214" s="5"/>
      <c r="L214" s="5"/>
      <c r="M214" s="5"/>
      <c r="N214" s="5" t="s">
        <v>28</v>
      </c>
      <c r="O214" s="5"/>
      <c r="P214" s="5"/>
      <c r="Q214" s="5" t="s">
        <v>17</v>
      </c>
      <c r="R214" s="5"/>
      <c r="S214" s="5"/>
      <c r="T214" s="5"/>
      <c r="U214" s="5"/>
      <c r="V214" s="5"/>
      <c r="W214" s="5" t="s">
        <v>23</v>
      </c>
      <c r="X214" s="5"/>
      <c r="Y214" s="5"/>
      <c r="Z214" s="5"/>
      <c r="AA214" s="5"/>
      <c r="AB214" s="5" t="s">
        <v>28</v>
      </c>
      <c r="AC214" s="5"/>
      <c r="AD214" s="5"/>
      <c r="AE214" s="5"/>
      <c r="AF214" s="5"/>
      <c r="AG214" s="5"/>
      <c r="AH214" s="5"/>
      <c r="AI214" s="5" t="s">
        <v>34</v>
      </c>
      <c r="AJ214" s="5"/>
      <c r="AK214" s="5"/>
      <c r="AL214" s="5"/>
      <c r="AM214" s="5"/>
      <c r="AN214" s="5"/>
      <c r="AO214" s="5"/>
      <c r="AP214" s="5" t="s">
        <v>39</v>
      </c>
      <c r="AQ214" s="5"/>
      <c r="AR214" s="5"/>
      <c r="AS214" s="5"/>
      <c r="AT214" s="5"/>
      <c r="AU214" s="5"/>
      <c r="AV214" s="5"/>
      <c r="AW214" s="5" t="s">
        <v>45</v>
      </c>
      <c r="AX214" s="5"/>
      <c r="AY214" s="5"/>
      <c r="AZ214" s="5"/>
      <c r="BA214" s="5"/>
      <c r="BB214" s="5" t="s">
        <v>49</v>
      </c>
      <c r="BC214" s="5"/>
      <c r="BD214" s="5" t="s">
        <v>51</v>
      </c>
      <c r="BE214" s="5" t="s">
        <v>17</v>
      </c>
      <c r="BF214" s="5"/>
      <c r="BG214" s="5"/>
      <c r="BH214" s="5"/>
      <c r="BI214" s="5"/>
      <c r="BJ214" s="5"/>
      <c r="BK214" s="5"/>
      <c r="BL214" s="5"/>
      <c r="BM214" s="5"/>
      <c r="BN214" s="5"/>
      <c r="BO214" s="5"/>
      <c r="BP214" s="5"/>
      <c r="BQ214" s="5"/>
      <c r="BR214" s="5"/>
      <c r="BS214" s="5"/>
      <c r="BT214" s="5"/>
      <c r="BU214" s="5" t="s">
        <v>64</v>
      </c>
      <c r="BV214" s="5"/>
      <c r="BW214" s="5"/>
      <c r="BX214" s="5"/>
      <c r="BY214" s="5"/>
      <c r="BZ214" s="5"/>
      <c r="CA214" s="5" t="s">
        <v>70</v>
      </c>
      <c r="CB214" s="5"/>
      <c r="CC214" s="5"/>
      <c r="CD214" s="5"/>
      <c r="CE214" s="5"/>
      <c r="CF214" s="5"/>
      <c r="CG214" s="5"/>
      <c r="CH214" s="5"/>
      <c r="CI214" s="5" t="s">
        <v>414</v>
      </c>
      <c r="CJ214" s="5">
        <v>54</v>
      </c>
      <c r="CK214" s="5" t="s">
        <v>141</v>
      </c>
      <c r="CL214" s="5" t="s">
        <v>171</v>
      </c>
      <c r="CM214" s="5" t="s">
        <v>418</v>
      </c>
      <c r="CN214" s="5" t="s">
        <v>419</v>
      </c>
      <c r="CO214" s="5" t="s">
        <v>82</v>
      </c>
      <c r="CP214" s="5" t="s">
        <v>83</v>
      </c>
      <c r="CQ214" s="5" t="s">
        <v>103</v>
      </c>
      <c r="CR214" s="5" t="s">
        <v>99</v>
      </c>
      <c r="CS214" s="5" t="s">
        <v>86</v>
      </c>
      <c r="CT214" s="5" t="s">
        <v>385</v>
      </c>
      <c r="CU214" s="5" t="s">
        <v>86</v>
      </c>
      <c r="CV214" s="5"/>
      <c r="CW214" s="5"/>
      <c r="CX214" s="5"/>
      <c r="CY214" s="5"/>
      <c r="CZ214" s="5"/>
      <c r="DA214" s="5"/>
    </row>
    <row r="215" spans="1:105">
      <c r="A215" s="5">
        <v>18019479157</v>
      </c>
      <c r="B215" s="5" t="s">
        <v>16</v>
      </c>
      <c r="C215" s="5" t="s">
        <v>17</v>
      </c>
      <c r="D215" s="5"/>
      <c r="E215" s="5"/>
      <c r="F215" s="5"/>
      <c r="G215" s="5"/>
      <c r="H215" s="5"/>
      <c r="I215" s="5" t="s">
        <v>23</v>
      </c>
      <c r="J215" s="5"/>
      <c r="K215" s="5"/>
      <c r="L215" s="5"/>
      <c r="M215" s="5"/>
      <c r="N215" s="5"/>
      <c r="O215" s="5"/>
      <c r="P215" s="5"/>
      <c r="Q215" s="5" t="s">
        <v>17</v>
      </c>
      <c r="R215" s="5"/>
      <c r="S215" s="5"/>
      <c r="T215" s="5"/>
      <c r="U215" s="5"/>
      <c r="V215" s="5"/>
      <c r="W215" s="5"/>
      <c r="X215" s="5" t="s">
        <v>24</v>
      </c>
      <c r="Y215" s="5"/>
      <c r="Z215" s="5" t="s">
        <v>26</v>
      </c>
      <c r="AA215" s="5"/>
      <c r="AB215" s="5"/>
      <c r="AC215" s="5"/>
      <c r="AD215" s="5"/>
      <c r="AE215" s="5"/>
      <c r="AF215" s="5"/>
      <c r="AG215" s="5"/>
      <c r="AH215" s="5"/>
      <c r="AI215" s="5" t="s">
        <v>34</v>
      </c>
      <c r="AJ215" s="5"/>
      <c r="AK215" s="5"/>
      <c r="AL215" s="5"/>
      <c r="AM215" s="5"/>
      <c r="AN215" s="5"/>
      <c r="AO215" s="5"/>
      <c r="AP215" s="5" t="s">
        <v>39</v>
      </c>
      <c r="AQ215" s="5"/>
      <c r="AR215" s="5" t="s">
        <v>41</v>
      </c>
      <c r="AS215" s="5"/>
      <c r="AT215" s="5"/>
      <c r="AU215" s="5" t="s">
        <v>43</v>
      </c>
      <c r="AV215" s="5"/>
      <c r="AW215" s="5" t="s">
        <v>45</v>
      </c>
      <c r="AX215" s="5"/>
      <c r="AY215" s="5"/>
      <c r="AZ215" s="5"/>
      <c r="BA215" s="5"/>
      <c r="BB215" s="5"/>
      <c r="BC215" s="5"/>
      <c r="BD215" s="5" t="s">
        <v>51</v>
      </c>
      <c r="BE215" s="5"/>
      <c r="BF215" s="5"/>
      <c r="BG215" s="5"/>
      <c r="BH215" s="5"/>
      <c r="BI215" s="5" t="s">
        <v>55</v>
      </c>
      <c r="BJ215" s="5"/>
      <c r="BK215" s="5"/>
      <c r="BL215" s="5"/>
      <c r="BM215" s="5" t="s">
        <v>59</v>
      </c>
      <c r="BN215" s="5"/>
      <c r="BO215" s="5"/>
      <c r="BP215" s="5" t="s">
        <v>60</v>
      </c>
      <c r="BQ215" s="5"/>
      <c r="BR215" s="5"/>
      <c r="BS215" s="5"/>
      <c r="BT215" s="5"/>
      <c r="BU215" s="5" t="s">
        <v>64</v>
      </c>
      <c r="BV215" s="5"/>
      <c r="BW215" s="5"/>
      <c r="BX215" s="5" t="s">
        <v>67</v>
      </c>
      <c r="BY215" s="5" t="s">
        <v>68</v>
      </c>
      <c r="BZ215" s="5"/>
      <c r="CA215" s="5" t="s">
        <v>70</v>
      </c>
      <c r="CB215" s="5"/>
      <c r="CC215" s="5"/>
      <c r="CD215" s="5" t="s">
        <v>73</v>
      </c>
      <c r="CE215" s="5"/>
      <c r="CF215" s="5" t="s">
        <v>75</v>
      </c>
      <c r="CG215" s="5"/>
      <c r="CH215" s="5"/>
      <c r="CI215" s="5" t="s">
        <v>417</v>
      </c>
      <c r="CJ215" s="5">
        <v>50</v>
      </c>
      <c r="CK215" s="5" t="s">
        <v>141</v>
      </c>
      <c r="CL215" s="5" t="s">
        <v>171</v>
      </c>
      <c r="CM215" s="5" t="s">
        <v>418</v>
      </c>
      <c r="CN215" s="5" t="s">
        <v>419</v>
      </c>
      <c r="CO215" s="5" t="s">
        <v>82</v>
      </c>
      <c r="CP215" s="5" t="s">
        <v>83</v>
      </c>
      <c r="CQ215" s="5" t="s">
        <v>84</v>
      </c>
      <c r="CR215" s="5" t="s">
        <v>85</v>
      </c>
      <c r="CS215" s="5" t="s">
        <v>86</v>
      </c>
      <c r="CT215" s="5" t="s">
        <v>387</v>
      </c>
      <c r="CU215" s="5" t="s">
        <v>86</v>
      </c>
      <c r="CV215" s="5"/>
      <c r="CW215" s="5"/>
      <c r="CX215" s="5"/>
      <c r="CY215" s="5"/>
      <c r="CZ215" s="5"/>
      <c r="DA215" s="5"/>
    </row>
    <row r="216" spans="1:105">
      <c r="A216" s="5">
        <v>18019478995</v>
      </c>
      <c r="B216" s="5" t="s">
        <v>16</v>
      </c>
      <c r="C216" s="5"/>
      <c r="D216" s="5"/>
      <c r="E216" s="5"/>
      <c r="F216" s="5"/>
      <c r="G216" s="5"/>
      <c r="H216" s="5"/>
      <c r="I216" s="5"/>
      <c r="J216" s="5"/>
      <c r="K216" s="5" t="s">
        <v>25</v>
      </c>
      <c r="L216" s="5" t="s">
        <v>26</v>
      </c>
      <c r="M216" s="5"/>
      <c r="N216" s="5"/>
      <c r="O216" s="5"/>
      <c r="P216" s="5"/>
      <c r="Q216" s="5"/>
      <c r="R216" s="5" t="s">
        <v>18</v>
      </c>
      <c r="S216" s="5" t="s">
        <v>19</v>
      </c>
      <c r="T216" s="5"/>
      <c r="U216" s="5" t="s">
        <v>21</v>
      </c>
      <c r="V216" s="5"/>
      <c r="W216" s="5"/>
      <c r="X216" s="5"/>
      <c r="Y216" s="5"/>
      <c r="Z216" s="5"/>
      <c r="AA216" s="5"/>
      <c r="AB216" s="5"/>
      <c r="AC216" s="5"/>
      <c r="AD216" s="5"/>
      <c r="AE216" s="5"/>
      <c r="AF216" s="5"/>
      <c r="AG216" s="5"/>
      <c r="AH216" s="5" t="s">
        <v>33</v>
      </c>
      <c r="AI216" s="5"/>
      <c r="AJ216" s="5" t="s">
        <v>35</v>
      </c>
      <c r="AK216" s="5"/>
      <c r="AL216" s="5"/>
      <c r="AM216" s="5" t="s">
        <v>375</v>
      </c>
      <c r="AN216" s="5"/>
      <c r="AO216" s="5"/>
      <c r="AP216" s="5" t="s">
        <v>39</v>
      </c>
      <c r="AQ216" s="5"/>
      <c r="AR216" s="5"/>
      <c r="AS216" s="5"/>
      <c r="AT216" s="5"/>
      <c r="AU216" s="5" t="s">
        <v>43</v>
      </c>
      <c r="AV216" s="5" t="s">
        <v>44</v>
      </c>
      <c r="AW216" s="5"/>
      <c r="AX216" s="5"/>
      <c r="AY216" s="5"/>
      <c r="AZ216" s="5"/>
      <c r="BA216" s="5"/>
      <c r="BB216" s="5"/>
      <c r="BC216" s="5"/>
      <c r="BD216" s="5"/>
      <c r="BE216" s="5"/>
      <c r="BF216" s="5" t="s">
        <v>52</v>
      </c>
      <c r="BG216" s="5"/>
      <c r="BH216" s="5"/>
      <c r="BI216" s="5"/>
      <c r="BJ216" s="5"/>
      <c r="BK216" s="5" t="s">
        <v>57</v>
      </c>
      <c r="BL216" s="5"/>
      <c r="BM216" s="5"/>
      <c r="BN216" s="5"/>
      <c r="BO216" s="5"/>
      <c r="BP216" s="5"/>
      <c r="BQ216" s="5"/>
      <c r="BR216" s="5" t="s">
        <v>62</v>
      </c>
      <c r="BS216" s="5"/>
      <c r="BT216" s="5"/>
      <c r="BU216" s="5" t="s">
        <v>64</v>
      </c>
      <c r="BV216" s="5" t="s">
        <v>65</v>
      </c>
      <c r="BW216" s="5"/>
      <c r="BX216" s="5"/>
      <c r="BY216" s="5"/>
      <c r="BZ216" s="5"/>
      <c r="CA216" s="5" t="s">
        <v>70</v>
      </c>
      <c r="CB216" s="5"/>
      <c r="CC216" s="5"/>
      <c r="CD216" s="5"/>
      <c r="CE216" s="5"/>
      <c r="CF216" s="5"/>
      <c r="CG216" s="5"/>
      <c r="CH216" s="5"/>
      <c r="CI216" s="5" t="s">
        <v>414</v>
      </c>
      <c r="CJ216" s="5"/>
      <c r="CK216" s="5" t="s">
        <v>141</v>
      </c>
      <c r="CL216" s="5" t="s">
        <v>156</v>
      </c>
      <c r="CM216" s="5" t="s">
        <v>415</v>
      </c>
      <c r="CN216" s="5" t="s">
        <v>416</v>
      </c>
      <c r="CO216" s="5" t="s">
        <v>82</v>
      </c>
      <c r="CP216" s="5" t="s">
        <v>93</v>
      </c>
      <c r="CQ216" s="5" t="s">
        <v>88</v>
      </c>
      <c r="CR216" s="5" t="s">
        <v>85</v>
      </c>
      <c r="CS216" s="5" t="s">
        <v>81</v>
      </c>
      <c r="CT216" s="5" t="s">
        <v>296</v>
      </c>
      <c r="CU216" s="5" t="s">
        <v>86</v>
      </c>
      <c r="CV216" s="5"/>
      <c r="CW216" s="5"/>
      <c r="CX216" s="5"/>
      <c r="CY216" s="5"/>
      <c r="CZ216" s="5"/>
      <c r="DA216" s="5"/>
    </row>
    <row r="217" spans="1:105">
      <c r="A217" s="5">
        <v>18019349230</v>
      </c>
      <c r="B217" s="5" t="s">
        <v>16</v>
      </c>
      <c r="C217" s="5"/>
      <c r="D217" s="5"/>
      <c r="E217" s="5"/>
      <c r="F217" s="5"/>
      <c r="G217" s="5"/>
      <c r="H217" s="5"/>
      <c r="I217" s="5" t="s">
        <v>23</v>
      </c>
      <c r="J217" s="5"/>
      <c r="K217" s="5" t="s">
        <v>25</v>
      </c>
      <c r="L217" s="5"/>
      <c r="M217" s="5"/>
      <c r="N217" s="5"/>
      <c r="O217" s="5"/>
      <c r="P217" s="5"/>
      <c r="Q217" s="5"/>
      <c r="R217" s="5"/>
      <c r="S217" s="5"/>
      <c r="T217" s="5"/>
      <c r="U217" s="5"/>
      <c r="V217" s="5"/>
      <c r="W217" s="5" t="s">
        <v>23</v>
      </c>
      <c r="X217" s="5"/>
      <c r="Y217" s="5" t="s">
        <v>25</v>
      </c>
      <c r="Z217" s="5"/>
      <c r="AA217" s="5"/>
      <c r="AB217" s="5"/>
      <c r="AC217" s="5"/>
      <c r="AD217" s="5"/>
      <c r="AE217" s="5"/>
      <c r="AF217" s="5"/>
      <c r="AG217" s="5"/>
      <c r="AH217" s="5"/>
      <c r="AI217" s="5" t="s">
        <v>34</v>
      </c>
      <c r="AJ217" s="5"/>
      <c r="AK217" s="5"/>
      <c r="AL217" s="5"/>
      <c r="AM217" s="5"/>
      <c r="AN217" s="5"/>
      <c r="AO217" s="5"/>
      <c r="AP217" s="5" t="s">
        <v>39</v>
      </c>
      <c r="AQ217" s="5"/>
      <c r="AR217" s="5"/>
      <c r="AS217" s="5"/>
      <c r="AT217" s="5"/>
      <c r="AU217" s="5" t="s">
        <v>43</v>
      </c>
      <c r="AV217" s="5"/>
      <c r="AW217" s="5"/>
      <c r="AX217" s="5"/>
      <c r="AY217" s="5"/>
      <c r="AZ217" s="5"/>
      <c r="BA217" s="5"/>
      <c r="BB217" s="5"/>
      <c r="BC217" s="5" t="s">
        <v>50</v>
      </c>
      <c r="BD217" s="5" t="s">
        <v>51</v>
      </c>
      <c r="BE217" s="5" t="s">
        <v>17</v>
      </c>
      <c r="BF217" s="5" t="s">
        <v>52</v>
      </c>
      <c r="BG217" s="5"/>
      <c r="BH217" s="5"/>
      <c r="BI217" s="5"/>
      <c r="BJ217" s="5"/>
      <c r="BK217" s="5"/>
      <c r="BL217" s="5"/>
      <c r="BM217" s="5" t="s">
        <v>59</v>
      </c>
      <c r="BN217" s="5"/>
      <c r="BO217" s="5"/>
      <c r="BP217" s="5"/>
      <c r="BQ217" s="5"/>
      <c r="BR217" s="5"/>
      <c r="BS217" s="5"/>
      <c r="BT217" s="5"/>
      <c r="BU217" s="5" t="s">
        <v>64</v>
      </c>
      <c r="BV217" s="5"/>
      <c r="BW217" s="5"/>
      <c r="BX217" s="5"/>
      <c r="BY217" s="5"/>
      <c r="BZ217" s="5"/>
      <c r="CA217" s="5"/>
      <c r="CB217" s="5"/>
      <c r="CC217" s="5"/>
      <c r="CD217" s="5"/>
      <c r="CE217" s="5"/>
      <c r="CF217" s="5"/>
      <c r="CG217" s="5"/>
      <c r="CH217" s="5"/>
      <c r="CI217" s="5" t="s">
        <v>414</v>
      </c>
      <c r="CJ217" s="5">
        <v>16</v>
      </c>
      <c r="CK217" s="5" t="s">
        <v>141</v>
      </c>
      <c r="CL217" s="5" t="s">
        <v>377</v>
      </c>
      <c r="CM217" s="5" t="s">
        <v>439</v>
      </c>
      <c r="CN217" s="5" t="s">
        <v>419</v>
      </c>
      <c r="CO217" s="5" t="s">
        <v>446</v>
      </c>
      <c r="CP217" s="5" t="s">
        <v>97</v>
      </c>
      <c r="CQ217" s="5" t="s">
        <v>104</v>
      </c>
      <c r="CR217" s="5" t="s">
        <v>89</v>
      </c>
      <c r="CS217" s="5"/>
      <c r="CT217" s="5" t="s">
        <v>384</v>
      </c>
      <c r="CU217" s="5" t="s">
        <v>86</v>
      </c>
      <c r="CV217" s="5"/>
      <c r="CW217" s="5"/>
      <c r="CX217" s="5"/>
      <c r="CY217" s="5"/>
      <c r="CZ217" s="5"/>
      <c r="DA217" s="5"/>
    </row>
    <row r="218" spans="1:105">
      <c r="A218" s="5">
        <v>18019193765</v>
      </c>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t="s">
        <v>367</v>
      </c>
      <c r="CM218" s="5"/>
      <c r="CN218" s="5"/>
      <c r="CO218" s="5"/>
      <c r="CP218" s="5"/>
      <c r="CQ218" s="5"/>
      <c r="CR218" s="5"/>
      <c r="CS218" s="5"/>
      <c r="CT218" s="5"/>
      <c r="CU218" s="5"/>
      <c r="CV218" s="5"/>
      <c r="CW218" s="5"/>
      <c r="CX218" s="5"/>
      <c r="CY218" s="5"/>
      <c r="CZ218" s="5"/>
      <c r="DA218" s="5"/>
    </row>
    <row r="219" spans="1:105">
      <c r="A219" s="5">
        <v>18019104432</v>
      </c>
      <c r="B219" s="5" t="s">
        <v>16</v>
      </c>
      <c r="C219" s="5"/>
      <c r="D219" s="5"/>
      <c r="E219" s="5"/>
      <c r="F219" s="5"/>
      <c r="G219" s="5"/>
      <c r="H219" s="5" t="s">
        <v>22</v>
      </c>
      <c r="I219" s="5"/>
      <c r="J219" s="5"/>
      <c r="K219" s="5"/>
      <c r="L219" s="5" t="s">
        <v>26</v>
      </c>
      <c r="M219" s="5"/>
      <c r="N219" s="5"/>
      <c r="O219" s="5"/>
      <c r="P219" s="5" t="s">
        <v>16</v>
      </c>
      <c r="Q219" s="5"/>
      <c r="R219" s="5"/>
      <c r="S219" s="5"/>
      <c r="T219" s="5" t="s">
        <v>20</v>
      </c>
      <c r="U219" s="5"/>
      <c r="V219" s="5"/>
      <c r="W219" s="5"/>
      <c r="X219" s="5"/>
      <c r="Y219" s="5" t="s">
        <v>25</v>
      </c>
      <c r="Z219" s="5"/>
      <c r="AA219" s="5"/>
      <c r="AB219" s="5"/>
      <c r="AC219" s="5"/>
      <c r="AD219" s="5"/>
      <c r="AE219" s="5"/>
      <c r="AF219" s="5" t="s">
        <v>31</v>
      </c>
      <c r="AG219" s="5"/>
      <c r="AH219" s="5"/>
      <c r="AI219" s="5"/>
      <c r="AJ219" s="5" t="s">
        <v>35</v>
      </c>
      <c r="AK219" s="5" t="s">
        <v>36</v>
      </c>
      <c r="AL219" s="5"/>
      <c r="AM219" s="5"/>
      <c r="AN219" s="5"/>
      <c r="AO219" s="5"/>
      <c r="AP219" s="5"/>
      <c r="AQ219" s="5" t="s">
        <v>40</v>
      </c>
      <c r="AR219" s="5"/>
      <c r="AS219" s="5" t="s">
        <v>42</v>
      </c>
      <c r="AT219" s="5"/>
      <c r="AU219" s="5"/>
      <c r="AV219" s="5"/>
      <c r="AW219" s="5" t="s">
        <v>45</v>
      </c>
      <c r="AX219" s="5"/>
      <c r="AY219" s="5"/>
      <c r="AZ219" s="5"/>
      <c r="BA219" s="5"/>
      <c r="BB219" s="5"/>
      <c r="BC219" s="5" t="s">
        <v>50</v>
      </c>
      <c r="BD219" s="5"/>
      <c r="BE219" s="5"/>
      <c r="BF219" s="5"/>
      <c r="BG219" s="5"/>
      <c r="BH219" s="5"/>
      <c r="BI219" s="5"/>
      <c r="BJ219" s="5"/>
      <c r="BK219" s="5"/>
      <c r="BL219" s="5" t="s">
        <v>58</v>
      </c>
      <c r="BM219" s="5"/>
      <c r="BN219" s="5"/>
      <c r="BO219" s="5"/>
      <c r="BP219" s="5"/>
      <c r="BQ219" s="5"/>
      <c r="BR219" s="5" t="s">
        <v>62</v>
      </c>
      <c r="BS219" s="5"/>
      <c r="BT219" s="5"/>
      <c r="BU219" s="5" t="s">
        <v>64</v>
      </c>
      <c r="BV219" s="5"/>
      <c r="BW219" s="5"/>
      <c r="BX219" s="5"/>
      <c r="BY219" s="5"/>
      <c r="BZ219" s="5"/>
      <c r="CA219" s="5"/>
      <c r="CB219" s="5"/>
      <c r="CC219" s="5"/>
      <c r="CD219" s="5" t="s">
        <v>73</v>
      </c>
      <c r="CE219" s="5"/>
      <c r="CF219" s="5" t="s">
        <v>75</v>
      </c>
      <c r="CG219" s="5"/>
      <c r="CH219" s="5"/>
      <c r="CI219" s="5" t="s">
        <v>417</v>
      </c>
      <c r="CJ219" s="5">
        <v>23</v>
      </c>
      <c r="CK219" s="5" t="s">
        <v>141</v>
      </c>
      <c r="CL219" s="5" t="s">
        <v>171</v>
      </c>
      <c r="CM219" s="5" t="s">
        <v>439</v>
      </c>
      <c r="CN219" s="5" t="s">
        <v>419</v>
      </c>
      <c r="CO219" s="5" t="s">
        <v>426</v>
      </c>
      <c r="CP219" s="5" t="s">
        <v>97</v>
      </c>
      <c r="CQ219" s="5" t="s">
        <v>95</v>
      </c>
      <c r="CR219" s="5" t="s">
        <v>85</v>
      </c>
      <c r="CS219" s="5" t="s">
        <v>86</v>
      </c>
      <c r="CT219" s="5"/>
      <c r="CU219" s="5"/>
      <c r="CV219" s="5"/>
      <c r="CW219" s="5"/>
      <c r="CX219" s="5"/>
      <c r="CY219" s="5"/>
      <c r="CZ219" s="5"/>
      <c r="DA219" s="5"/>
    </row>
    <row r="220" spans="1:105">
      <c r="A220" s="5">
        <v>18019104294</v>
      </c>
      <c r="B220" s="5"/>
      <c r="C220" s="5"/>
      <c r="D220" s="5"/>
      <c r="E220" s="5"/>
      <c r="F220" s="5" t="s">
        <v>20</v>
      </c>
      <c r="G220" s="5" t="s">
        <v>21</v>
      </c>
      <c r="H220" s="5"/>
      <c r="I220" s="5"/>
      <c r="J220" s="5"/>
      <c r="K220" s="5"/>
      <c r="L220" s="5"/>
      <c r="M220" s="5"/>
      <c r="N220" s="5" t="s">
        <v>28</v>
      </c>
      <c r="O220" s="5"/>
      <c r="P220" s="5"/>
      <c r="Q220" s="5"/>
      <c r="R220" s="5"/>
      <c r="S220" s="5"/>
      <c r="T220" s="5"/>
      <c r="U220" s="5"/>
      <c r="V220" s="5"/>
      <c r="W220" s="5"/>
      <c r="X220" s="5"/>
      <c r="Y220" s="5" t="s">
        <v>25</v>
      </c>
      <c r="Z220" s="5"/>
      <c r="AA220" s="5" t="s">
        <v>27</v>
      </c>
      <c r="AB220" s="5" t="s">
        <v>28</v>
      </c>
      <c r="AC220" s="5"/>
      <c r="AD220" s="5"/>
      <c r="AE220" s="5" t="s">
        <v>30</v>
      </c>
      <c r="AF220" s="5"/>
      <c r="AG220" s="5" t="s">
        <v>32</v>
      </c>
      <c r="AH220" s="5"/>
      <c r="AI220" s="5"/>
      <c r="AJ220" s="5"/>
      <c r="AK220" s="5"/>
      <c r="AL220" s="5" t="s">
        <v>37</v>
      </c>
      <c r="AM220" s="5"/>
      <c r="AN220" s="5"/>
      <c r="AO220" s="5"/>
      <c r="AP220" s="5" t="s">
        <v>39</v>
      </c>
      <c r="AQ220" s="5"/>
      <c r="AR220" s="5"/>
      <c r="AS220" s="5"/>
      <c r="AT220" s="5"/>
      <c r="AU220" s="5"/>
      <c r="AV220" s="5"/>
      <c r="AW220" s="5"/>
      <c r="AX220" s="5" t="s">
        <v>46</v>
      </c>
      <c r="AY220" s="5" t="s">
        <v>47</v>
      </c>
      <c r="AZ220" s="5"/>
      <c r="BA220" s="5"/>
      <c r="BB220" s="5" t="s">
        <v>49</v>
      </c>
      <c r="BC220" s="5"/>
      <c r="BD220" s="5"/>
      <c r="BE220" s="5"/>
      <c r="BF220" s="5"/>
      <c r="BG220" s="5" t="s">
        <v>53</v>
      </c>
      <c r="BH220" s="5"/>
      <c r="BI220" s="5"/>
      <c r="BJ220" s="5"/>
      <c r="BK220" s="5"/>
      <c r="BL220" s="5"/>
      <c r="BM220" s="5"/>
      <c r="BN220" s="5"/>
      <c r="BO220" s="5"/>
      <c r="BP220" s="5"/>
      <c r="BQ220" s="5"/>
      <c r="BR220" s="5" t="s">
        <v>62</v>
      </c>
      <c r="BS220" s="5"/>
      <c r="BT220" s="5"/>
      <c r="BU220" s="5" t="s">
        <v>64</v>
      </c>
      <c r="BV220" s="5"/>
      <c r="BW220" s="5"/>
      <c r="BX220" s="5"/>
      <c r="BY220" s="5"/>
      <c r="BZ220" s="5"/>
      <c r="CA220" s="5" t="s">
        <v>70</v>
      </c>
      <c r="CB220" s="5"/>
      <c r="CC220" s="5"/>
      <c r="CD220" s="5"/>
      <c r="CE220" s="5"/>
      <c r="CF220" s="5"/>
      <c r="CG220" s="5" t="s">
        <v>76</v>
      </c>
      <c r="CH220" s="5"/>
      <c r="CI220" s="5" t="s">
        <v>417</v>
      </c>
      <c r="CJ220" s="5">
        <v>15</v>
      </c>
      <c r="CK220" s="5" t="s">
        <v>141</v>
      </c>
      <c r="CL220" s="5" t="s">
        <v>171</v>
      </c>
      <c r="CM220" s="5" t="s">
        <v>418</v>
      </c>
      <c r="CN220" s="5" t="s">
        <v>419</v>
      </c>
      <c r="CO220" s="5" t="s">
        <v>82</v>
      </c>
      <c r="CP220" s="5" t="s">
        <v>90</v>
      </c>
      <c r="CQ220" s="5" t="s">
        <v>104</v>
      </c>
      <c r="CR220" s="5" t="s">
        <v>89</v>
      </c>
      <c r="CS220" s="5" t="s">
        <v>81</v>
      </c>
      <c r="CT220" s="5"/>
      <c r="CU220" s="5"/>
      <c r="CV220" s="5"/>
      <c r="CW220" s="5"/>
      <c r="CX220" s="5"/>
      <c r="CY220" s="5"/>
      <c r="CZ220" s="5"/>
      <c r="DA220" s="5"/>
    </row>
    <row r="221" spans="1:105">
      <c r="A221" s="5">
        <v>18019104165</v>
      </c>
      <c r="B221" s="5"/>
      <c r="C221" s="5"/>
      <c r="D221" s="5"/>
      <c r="E221" s="5" t="s">
        <v>19</v>
      </c>
      <c r="F221" s="5"/>
      <c r="G221" s="5"/>
      <c r="H221" s="5"/>
      <c r="I221" s="5" t="s">
        <v>23</v>
      </c>
      <c r="J221" s="5"/>
      <c r="K221" s="5" t="s">
        <v>25</v>
      </c>
      <c r="L221" s="5"/>
      <c r="M221" s="5"/>
      <c r="N221" s="5"/>
      <c r="O221" s="5"/>
      <c r="P221" s="5"/>
      <c r="Q221" s="5"/>
      <c r="R221" s="5"/>
      <c r="S221" s="5" t="s">
        <v>19</v>
      </c>
      <c r="T221" s="5"/>
      <c r="U221" s="5"/>
      <c r="V221" s="5"/>
      <c r="W221" s="5"/>
      <c r="X221" s="5"/>
      <c r="Y221" s="5" t="s">
        <v>25</v>
      </c>
      <c r="Z221" s="5"/>
      <c r="AA221" s="5" t="s">
        <v>27</v>
      </c>
      <c r="AB221" s="5"/>
      <c r="AC221" s="5"/>
      <c r="AD221" s="5"/>
      <c r="AE221" s="5"/>
      <c r="AF221" s="5"/>
      <c r="AG221" s="5"/>
      <c r="AH221" s="5"/>
      <c r="AI221" s="5"/>
      <c r="AJ221" s="5"/>
      <c r="AK221" s="5"/>
      <c r="AL221" s="5"/>
      <c r="AM221" s="5"/>
      <c r="AN221" s="5"/>
      <c r="AO221" s="5"/>
      <c r="AP221" s="5" t="s">
        <v>39</v>
      </c>
      <c r="AQ221" s="5"/>
      <c r="AR221" s="5" t="s">
        <v>41</v>
      </c>
      <c r="AS221" s="5"/>
      <c r="AT221" s="5"/>
      <c r="AU221" s="5"/>
      <c r="AV221" s="5"/>
      <c r="AW221" s="5"/>
      <c r="AX221" s="5" t="s">
        <v>46</v>
      </c>
      <c r="AY221" s="5"/>
      <c r="AZ221" s="5"/>
      <c r="BA221" s="5"/>
      <c r="BB221" s="5" t="s">
        <v>49</v>
      </c>
      <c r="BC221" s="5"/>
      <c r="BD221" s="5" t="s">
        <v>51</v>
      </c>
      <c r="BE221" s="5"/>
      <c r="BF221" s="5"/>
      <c r="BG221" s="5" t="s">
        <v>53</v>
      </c>
      <c r="BH221" s="5"/>
      <c r="BI221" s="5"/>
      <c r="BJ221" s="5"/>
      <c r="BK221" s="5"/>
      <c r="BL221" s="5"/>
      <c r="BM221" s="5"/>
      <c r="BN221" s="5"/>
      <c r="BO221" s="5"/>
      <c r="BP221" s="5"/>
      <c r="BQ221" s="5"/>
      <c r="BR221" s="5"/>
      <c r="BS221" s="5"/>
      <c r="BT221" s="5"/>
      <c r="BU221" s="5"/>
      <c r="BV221" s="5" t="s">
        <v>65</v>
      </c>
      <c r="BW221" s="5"/>
      <c r="BX221" s="5" t="s">
        <v>67</v>
      </c>
      <c r="BY221" s="5"/>
      <c r="BZ221" s="5"/>
      <c r="CA221" s="5"/>
      <c r="CB221" s="5" t="s">
        <v>71</v>
      </c>
      <c r="CC221" s="5"/>
      <c r="CD221" s="5"/>
      <c r="CE221" s="5"/>
      <c r="CF221" s="5"/>
      <c r="CG221" s="5"/>
      <c r="CH221" s="5"/>
      <c r="CI221" s="5" t="s">
        <v>414</v>
      </c>
      <c r="CJ221" s="5">
        <v>17</v>
      </c>
      <c r="CK221" s="5" t="s">
        <v>141</v>
      </c>
      <c r="CL221" s="5" t="s">
        <v>171</v>
      </c>
      <c r="CM221" s="5" t="s">
        <v>436</v>
      </c>
      <c r="CN221" s="5" t="s">
        <v>419</v>
      </c>
      <c r="CO221" s="5" t="s">
        <v>438</v>
      </c>
      <c r="CP221" s="5" t="s">
        <v>97</v>
      </c>
      <c r="CQ221" s="5" t="s">
        <v>104</v>
      </c>
      <c r="CR221" s="5" t="s">
        <v>89</v>
      </c>
      <c r="CS221" s="5"/>
      <c r="CT221" s="5"/>
      <c r="CU221" s="5"/>
      <c r="CV221" s="5"/>
      <c r="CW221" s="5"/>
      <c r="CX221" s="5"/>
      <c r="CY221" s="5"/>
      <c r="CZ221" s="5"/>
      <c r="DA221" s="5"/>
    </row>
    <row r="222" spans="1:105">
      <c r="A222" s="5">
        <v>18019103935</v>
      </c>
      <c r="B222" s="5"/>
      <c r="C222" s="5"/>
      <c r="D222" s="5"/>
      <c r="E222" s="5" t="s">
        <v>19</v>
      </c>
      <c r="F222" s="5"/>
      <c r="G222" s="5"/>
      <c r="H222" s="5"/>
      <c r="I222" s="5"/>
      <c r="J222" s="5"/>
      <c r="K222" s="5"/>
      <c r="L222" s="5"/>
      <c r="M222" s="5" t="s">
        <v>27</v>
      </c>
      <c r="N222" s="5" t="s">
        <v>28</v>
      </c>
      <c r="O222" s="5"/>
      <c r="P222" s="5"/>
      <c r="Q222" s="5"/>
      <c r="R222" s="5" t="s">
        <v>18</v>
      </c>
      <c r="S222" s="5"/>
      <c r="T222" s="5"/>
      <c r="U222" s="5" t="s">
        <v>21</v>
      </c>
      <c r="V222" s="5"/>
      <c r="W222" s="5"/>
      <c r="X222" s="5"/>
      <c r="Y222" s="5"/>
      <c r="Z222" s="5"/>
      <c r="AA222" s="5"/>
      <c r="AB222" s="5" t="s">
        <v>28</v>
      </c>
      <c r="AC222" s="5"/>
      <c r="AD222" s="5"/>
      <c r="AE222" s="5"/>
      <c r="AF222" s="5"/>
      <c r="AG222" s="5"/>
      <c r="AH222" s="5" t="s">
        <v>33</v>
      </c>
      <c r="AI222" s="5"/>
      <c r="AJ222" s="5" t="s">
        <v>35</v>
      </c>
      <c r="AK222" s="5"/>
      <c r="AL222" s="5" t="s">
        <v>37</v>
      </c>
      <c r="AM222" s="5"/>
      <c r="AN222" s="5"/>
      <c r="AO222" s="5"/>
      <c r="AP222" s="5" t="s">
        <v>39</v>
      </c>
      <c r="AQ222" s="5"/>
      <c r="AR222" s="5"/>
      <c r="AS222" s="5"/>
      <c r="AT222" s="5"/>
      <c r="AU222" s="5" t="s">
        <v>43</v>
      </c>
      <c r="AV222" s="5" t="s">
        <v>44</v>
      </c>
      <c r="AW222" s="5"/>
      <c r="AX222" s="5"/>
      <c r="AY222" s="5"/>
      <c r="AZ222" s="5"/>
      <c r="BA222" s="5"/>
      <c r="BB222" s="5"/>
      <c r="BC222" s="5" t="s">
        <v>50</v>
      </c>
      <c r="BD222" s="5" t="s">
        <v>51</v>
      </c>
      <c r="BE222" s="5"/>
      <c r="BF222" s="5"/>
      <c r="BG222" s="5" t="s">
        <v>53</v>
      </c>
      <c r="BH222" s="5"/>
      <c r="BI222" s="5"/>
      <c r="BJ222" s="5"/>
      <c r="BK222" s="5"/>
      <c r="BL222" s="5"/>
      <c r="BM222" s="5"/>
      <c r="BN222" s="5"/>
      <c r="BO222" s="5"/>
      <c r="BP222" s="5"/>
      <c r="BQ222" s="5"/>
      <c r="BR222" s="5"/>
      <c r="BS222" s="5"/>
      <c r="BT222" s="5"/>
      <c r="BU222" s="5"/>
      <c r="BV222" s="5" t="s">
        <v>65</v>
      </c>
      <c r="BW222" s="5"/>
      <c r="BX222" s="5"/>
      <c r="BY222" s="5"/>
      <c r="BZ222" s="5"/>
      <c r="CA222" s="5"/>
      <c r="CB222" s="5"/>
      <c r="CC222" s="5"/>
      <c r="CD222" s="5" t="s">
        <v>73</v>
      </c>
      <c r="CE222" s="5" t="s">
        <v>74</v>
      </c>
      <c r="CF222" s="5"/>
      <c r="CG222" s="5"/>
      <c r="CH222" s="5"/>
      <c r="CI222" s="5" t="s">
        <v>417</v>
      </c>
      <c r="CJ222" s="5">
        <v>42</v>
      </c>
      <c r="CK222" s="5" t="s">
        <v>141</v>
      </c>
      <c r="CL222" s="5" t="s">
        <v>171</v>
      </c>
      <c r="CM222" s="5" t="s">
        <v>415</v>
      </c>
      <c r="CN222" s="5" t="s">
        <v>416</v>
      </c>
      <c r="CO222" s="5" t="s">
        <v>447</v>
      </c>
      <c r="CP222" s="5" t="s">
        <v>90</v>
      </c>
      <c r="CQ222" s="5" t="s">
        <v>84</v>
      </c>
      <c r="CR222" s="5" t="s">
        <v>85</v>
      </c>
      <c r="CS222" s="5" t="s">
        <v>86</v>
      </c>
      <c r="CT222" s="5"/>
      <c r="CU222" s="5"/>
      <c r="CV222" s="5"/>
      <c r="CW222" s="5"/>
      <c r="CX222" s="5"/>
      <c r="CY222" s="5"/>
      <c r="CZ222" s="5"/>
      <c r="DA222" s="5"/>
    </row>
    <row r="223" spans="1:105">
      <c r="A223" s="5">
        <v>18019103724</v>
      </c>
      <c r="B223" s="5" t="s">
        <v>16</v>
      </c>
      <c r="C223" s="5"/>
      <c r="D223" s="5"/>
      <c r="E223" s="5"/>
      <c r="F223" s="5"/>
      <c r="G223" s="5"/>
      <c r="H223" s="5"/>
      <c r="I223" s="5"/>
      <c r="J223" s="5" t="s">
        <v>24</v>
      </c>
      <c r="K223" s="5"/>
      <c r="L223" s="5" t="s">
        <v>26</v>
      </c>
      <c r="M223" s="5"/>
      <c r="N223" s="5"/>
      <c r="O223" s="5"/>
      <c r="P223" s="5"/>
      <c r="Q223" s="5"/>
      <c r="R223" s="5"/>
      <c r="S223" s="5" t="s">
        <v>19</v>
      </c>
      <c r="T223" s="5"/>
      <c r="U223" s="5"/>
      <c r="V223" s="5"/>
      <c r="W223" s="5"/>
      <c r="X223" s="5"/>
      <c r="Y223" s="5" t="s">
        <v>25</v>
      </c>
      <c r="Z223" s="5"/>
      <c r="AA223" s="5"/>
      <c r="AB223" s="5" t="s">
        <v>28</v>
      </c>
      <c r="AC223" s="5"/>
      <c r="AD223" s="5" t="s">
        <v>29</v>
      </c>
      <c r="AE223" s="5"/>
      <c r="AF223" s="5"/>
      <c r="AG223" s="5"/>
      <c r="AH223" s="5"/>
      <c r="AI223" s="5"/>
      <c r="AJ223" s="5"/>
      <c r="AK223" s="5" t="s">
        <v>36</v>
      </c>
      <c r="AL223" s="5" t="s">
        <v>37</v>
      </c>
      <c r="AM223" s="5"/>
      <c r="AN223" s="5"/>
      <c r="AO223" s="5"/>
      <c r="AP223" s="5"/>
      <c r="AQ223" s="5"/>
      <c r="AR223" s="5"/>
      <c r="AS223" s="5"/>
      <c r="AT223" s="5"/>
      <c r="AU223" s="5" t="s">
        <v>43</v>
      </c>
      <c r="AV223" s="5"/>
      <c r="AW223" s="5"/>
      <c r="AX223" s="5"/>
      <c r="AY223" s="5" t="s">
        <v>47</v>
      </c>
      <c r="AZ223" s="5" t="s">
        <v>48</v>
      </c>
      <c r="BA223" s="5"/>
      <c r="BB223" s="5" t="s">
        <v>49</v>
      </c>
      <c r="BC223" s="5" t="s">
        <v>50</v>
      </c>
      <c r="BD223" s="5"/>
      <c r="BE223" s="5" t="s">
        <v>17</v>
      </c>
      <c r="BF223" s="5"/>
      <c r="BG223" s="5"/>
      <c r="BH223" s="5"/>
      <c r="BI223" s="5"/>
      <c r="BJ223" s="5"/>
      <c r="BK223" s="5"/>
      <c r="BL223" s="5"/>
      <c r="BM223" s="5"/>
      <c r="BN223" s="5"/>
      <c r="BO223" s="5"/>
      <c r="BP223" s="5"/>
      <c r="BQ223" s="5"/>
      <c r="BR223" s="5"/>
      <c r="BS223" s="5"/>
      <c r="BT223" s="5"/>
      <c r="BU223" s="5"/>
      <c r="BV223" s="5"/>
      <c r="BW223" s="5" t="s">
        <v>66</v>
      </c>
      <c r="BX223" s="5"/>
      <c r="BY223" s="5"/>
      <c r="BZ223" s="5"/>
      <c r="CA223" s="5"/>
      <c r="CB223" s="5"/>
      <c r="CC223" s="5"/>
      <c r="CD223" s="5" t="s">
        <v>73</v>
      </c>
      <c r="CE223" s="5"/>
      <c r="CF223" s="5" t="s">
        <v>75</v>
      </c>
      <c r="CG223" s="5"/>
      <c r="CH223" s="5"/>
      <c r="CI223" s="5" t="s">
        <v>414</v>
      </c>
      <c r="CJ223" s="5">
        <v>52</v>
      </c>
      <c r="CK223" s="5" t="s">
        <v>141</v>
      </c>
      <c r="CL223" s="5" t="s">
        <v>171</v>
      </c>
      <c r="CM223" s="5" t="s">
        <v>439</v>
      </c>
      <c r="CN223" s="5" t="s">
        <v>419</v>
      </c>
      <c r="CO223" s="5" t="s">
        <v>427</v>
      </c>
      <c r="CP223" s="5" t="s">
        <v>97</v>
      </c>
      <c r="CQ223" s="5" t="s">
        <v>103</v>
      </c>
      <c r="CR223" s="5" t="s">
        <v>85</v>
      </c>
      <c r="CS223" s="5" t="s">
        <v>86</v>
      </c>
      <c r="CT223" s="5"/>
      <c r="CU223" s="5"/>
      <c r="CV223" s="5"/>
      <c r="CW223" s="5"/>
      <c r="CX223" s="5"/>
      <c r="CY223" s="5"/>
      <c r="CZ223" s="5"/>
      <c r="DA223" s="5"/>
    </row>
    <row r="224" spans="1:105">
      <c r="A224" s="5">
        <v>18019103593</v>
      </c>
      <c r="B224" s="5"/>
      <c r="C224" s="5"/>
      <c r="D224" s="5"/>
      <c r="E224" s="5" t="s">
        <v>19</v>
      </c>
      <c r="F224" s="5"/>
      <c r="G224" s="5"/>
      <c r="H224" s="5" t="s">
        <v>22</v>
      </c>
      <c r="I224" s="5"/>
      <c r="J224" s="5"/>
      <c r="K224" s="5"/>
      <c r="L224" s="5"/>
      <c r="M224" s="5" t="s">
        <v>27</v>
      </c>
      <c r="N224" s="5"/>
      <c r="O224" s="5"/>
      <c r="P224" s="5"/>
      <c r="Q224" s="5"/>
      <c r="R224" s="5"/>
      <c r="S224" s="5"/>
      <c r="T224" s="5"/>
      <c r="U224" s="5"/>
      <c r="V224" s="5" t="s">
        <v>22</v>
      </c>
      <c r="W224" s="5" t="s">
        <v>23</v>
      </c>
      <c r="X224" s="5"/>
      <c r="Y224" s="5" t="s">
        <v>25</v>
      </c>
      <c r="Z224" s="5"/>
      <c r="AA224" s="5"/>
      <c r="AB224" s="5"/>
      <c r="AC224" s="5"/>
      <c r="AD224" s="5" t="s">
        <v>29</v>
      </c>
      <c r="AE224" s="5" t="s">
        <v>30</v>
      </c>
      <c r="AF224" s="5"/>
      <c r="AG224" s="5"/>
      <c r="AH224" s="5"/>
      <c r="AI224" s="5" t="s">
        <v>34</v>
      </c>
      <c r="AJ224" s="5"/>
      <c r="AK224" s="5"/>
      <c r="AL224" s="5"/>
      <c r="AM224" s="5"/>
      <c r="AN224" s="5"/>
      <c r="AO224" s="5"/>
      <c r="AP224" s="5"/>
      <c r="AQ224" s="5" t="s">
        <v>40</v>
      </c>
      <c r="AR224" s="5"/>
      <c r="AS224" s="5" t="s">
        <v>42</v>
      </c>
      <c r="AT224" s="5"/>
      <c r="AU224" s="5"/>
      <c r="AV224" s="5"/>
      <c r="AW224" s="5"/>
      <c r="AX224" s="5" t="s">
        <v>46</v>
      </c>
      <c r="AY224" s="5"/>
      <c r="AZ224" s="5"/>
      <c r="BA224" s="5"/>
      <c r="BB224" s="5"/>
      <c r="BC224" s="5"/>
      <c r="BD224" s="5" t="s">
        <v>51</v>
      </c>
      <c r="BE224" s="5"/>
      <c r="BF224" s="5"/>
      <c r="BG224" s="5"/>
      <c r="BH224" s="5" t="s">
        <v>54</v>
      </c>
      <c r="BI224" s="5"/>
      <c r="BJ224" s="5"/>
      <c r="BK224" s="5"/>
      <c r="BL224" s="5"/>
      <c r="BM224" s="5"/>
      <c r="BN224" s="5"/>
      <c r="BO224" s="5" t="s">
        <v>20</v>
      </c>
      <c r="BP224" s="5"/>
      <c r="BQ224" s="5"/>
      <c r="BR224" s="5"/>
      <c r="BS224" s="5"/>
      <c r="BT224" s="5"/>
      <c r="BU224" s="5"/>
      <c r="BV224" s="5"/>
      <c r="BW224" s="5" t="s">
        <v>66</v>
      </c>
      <c r="BX224" s="5"/>
      <c r="BY224" s="5" t="s">
        <v>68</v>
      </c>
      <c r="BZ224" s="5"/>
      <c r="CA224" s="5"/>
      <c r="CB224" s="5"/>
      <c r="CC224" s="5"/>
      <c r="CD224" s="5"/>
      <c r="CE224" s="5" t="s">
        <v>74</v>
      </c>
      <c r="CF224" s="5"/>
      <c r="CG224" s="5"/>
      <c r="CH224" s="5"/>
      <c r="CI224" s="5" t="s">
        <v>417</v>
      </c>
      <c r="CJ224" s="5">
        <v>85</v>
      </c>
      <c r="CK224" s="5" t="s">
        <v>141</v>
      </c>
      <c r="CL224" s="5" t="s">
        <v>171</v>
      </c>
      <c r="CM224" s="5" t="s">
        <v>423</v>
      </c>
      <c r="CN224" s="5" t="s">
        <v>419</v>
      </c>
      <c r="CO224" s="5" t="s">
        <v>82</v>
      </c>
      <c r="CP224" s="5" t="s">
        <v>93</v>
      </c>
      <c r="CQ224" s="5" t="s">
        <v>84</v>
      </c>
      <c r="CR224" s="5" t="s">
        <v>99</v>
      </c>
      <c r="CS224" s="5" t="s">
        <v>86</v>
      </c>
      <c r="CT224" s="5"/>
      <c r="CU224" s="5"/>
      <c r="CV224" s="5"/>
      <c r="CW224" s="5"/>
      <c r="CX224" s="5"/>
      <c r="CY224" s="5"/>
      <c r="CZ224" s="5"/>
      <c r="DA224" s="5"/>
    </row>
    <row r="225" spans="1:105">
      <c r="A225" s="5">
        <v>18019103458</v>
      </c>
      <c r="B225" s="5"/>
      <c r="C225" s="5"/>
      <c r="D225" s="5" t="s">
        <v>18</v>
      </c>
      <c r="E225" s="5"/>
      <c r="F225" s="5"/>
      <c r="G225" s="5"/>
      <c r="H225" s="5"/>
      <c r="I225" s="5"/>
      <c r="J225" s="5"/>
      <c r="K225" s="5"/>
      <c r="L225" s="5"/>
      <c r="M225" s="5" t="s">
        <v>27</v>
      </c>
      <c r="N225" s="5" t="s">
        <v>28</v>
      </c>
      <c r="O225" s="5"/>
      <c r="P225" s="5"/>
      <c r="Q225" s="5"/>
      <c r="R225" s="5"/>
      <c r="S225" s="5"/>
      <c r="T225" s="5" t="s">
        <v>20</v>
      </c>
      <c r="U225" s="5"/>
      <c r="V225" s="5"/>
      <c r="W225" s="5"/>
      <c r="X225" s="5"/>
      <c r="Y225" s="5" t="s">
        <v>25</v>
      </c>
      <c r="Z225" s="5" t="s">
        <v>26</v>
      </c>
      <c r="AA225" s="5"/>
      <c r="AB225" s="5"/>
      <c r="AC225" s="5"/>
      <c r="AD225" s="5"/>
      <c r="AE225" s="5"/>
      <c r="AF225" s="5"/>
      <c r="AG225" s="5" t="s">
        <v>32</v>
      </c>
      <c r="AH225" s="5"/>
      <c r="AI225" s="5"/>
      <c r="AJ225" s="5"/>
      <c r="AK225" s="5" t="s">
        <v>36</v>
      </c>
      <c r="AL225" s="5"/>
      <c r="AM225" s="5" t="s">
        <v>375</v>
      </c>
      <c r="AN225" s="5"/>
      <c r="AO225" s="5"/>
      <c r="AP225" s="5"/>
      <c r="AQ225" s="5"/>
      <c r="AR225" s="5"/>
      <c r="AS225" s="5"/>
      <c r="AT225" s="5"/>
      <c r="AU225" s="5" t="s">
        <v>43</v>
      </c>
      <c r="AV225" s="5"/>
      <c r="AW225" s="5" t="s">
        <v>45</v>
      </c>
      <c r="AX225" s="5"/>
      <c r="AY225" s="5"/>
      <c r="AZ225" s="5" t="s">
        <v>48</v>
      </c>
      <c r="BA225" s="5"/>
      <c r="BB225" s="5"/>
      <c r="BC225" s="5"/>
      <c r="BD225" s="5"/>
      <c r="BE225" s="5"/>
      <c r="BF225" s="5" t="s">
        <v>52</v>
      </c>
      <c r="BG225" s="5"/>
      <c r="BH225" s="5" t="s">
        <v>54</v>
      </c>
      <c r="BI225" s="5"/>
      <c r="BJ225" s="5"/>
      <c r="BK225" s="5"/>
      <c r="BL225" s="5"/>
      <c r="BM225" s="5"/>
      <c r="BN225" s="5"/>
      <c r="BO225" s="5"/>
      <c r="BP225" s="5"/>
      <c r="BQ225" s="5"/>
      <c r="BR225" s="5" t="s">
        <v>62</v>
      </c>
      <c r="BS225" s="5"/>
      <c r="BT225" s="5"/>
      <c r="BU225" s="5"/>
      <c r="BV225" s="5"/>
      <c r="BW225" s="5"/>
      <c r="BX225" s="5"/>
      <c r="BY225" s="5" t="s">
        <v>68</v>
      </c>
      <c r="BZ225" s="5" t="s">
        <v>69</v>
      </c>
      <c r="CA225" s="5"/>
      <c r="CB225" s="5"/>
      <c r="CC225" s="5"/>
      <c r="CD225" s="5"/>
      <c r="CE225" s="5"/>
      <c r="CF225" s="5"/>
      <c r="CG225" s="5" t="s">
        <v>76</v>
      </c>
      <c r="CH225" s="5"/>
      <c r="CI225" s="5" t="s">
        <v>417</v>
      </c>
      <c r="CJ225" s="5">
        <v>14</v>
      </c>
      <c r="CK225" s="5" t="s">
        <v>141</v>
      </c>
      <c r="CL225" s="5" t="s">
        <v>164</v>
      </c>
      <c r="CM225" s="5" t="s">
        <v>439</v>
      </c>
      <c r="CN225" s="5" t="s">
        <v>419</v>
      </c>
      <c r="CO225" s="5" t="s">
        <v>82</v>
      </c>
      <c r="CP225" s="5" t="s">
        <v>90</v>
      </c>
      <c r="CQ225" s="5" t="s">
        <v>98</v>
      </c>
      <c r="CR225" s="5" t="s">
        <v>89</v>
      </c>
      <c r="CS225" s="5" t="s">
        <v>81</v>
      </c>
      <c r="CT225" s="5"/>
      <c r="CU225" s="5"/>
      <c r="CV225" s="5"/>
      <c r="CW225" s="5"/>
      <c r="CX225" s="5"/>
      <c r="CY225" s="5"/>
      <c r="CZ225" s="5"/>
      <c r="DA225" s="5"/>
    </row>
    <row r="226" spans="1:105">
      <c r="A226" s="5">
        <v>18019103288</v>
      </c>
      <c r="B226" s="5" t="s">
        <v>16</v>
      </c>
      <c r="C226" s="5"/>
      <c r="D226" s="5" t="s">
        <v>18</v>
      </c>
      <c r="E226" s="5"/>
      <c r="F226" s="5"/>
      <c r="G226" s="5"/>
      <c r="H226" s="5"/>
      <c r="I226" s="5"/>
      <c r="J226" s="5"/>
      <c r="K226" s="5"/>
      <c r="L226" s="5"/>
      <c r="M226" s="5"/>
      <c r="N226" s="5" t="s">
        <v>28</v>
      </c>
      <c r="O226" s="5"/>
      <c r="P226" s="5"/>
      <c r="Q226" s="5"/>
      <c r="R226" s="5"/>
      <c r="S226" s="5" t="s">
        <v>19</v>
      </c>
      <c r="T226" s="5"/>
      <c r="U226" s="5"/>
      <c r="V226" s="5"/>
      <c r="W226" s="5"/>
      <c r="X226" s="5" t="s">
        <v>24</v>
      </c>
      <c r="Y226" s="5" t="s">
        <v>25</v>
      </c>
      <c r="Z226" s="5"/>
      <c r="AA226" s="5"/>
      <c r="AB226" s="5"/>
      <c r="AC226" s="5"/>
      <c r="AD226" s="5"/>
      <c r="AE226" s="5" t="s">
        <v>30</v>
      </c>
      <c r="AF226" s="5" t="s">
        <v>31</v>
      </c>
      <c r="AG226" s="5"/>
      <c r="AH226" s="5" t="s">
        <v>33</v>
      </c>
      <c r="AI226" s="5"/>
      <c r="AJ226" s="5"/>
      <c r="AK226" s="5"/>
      <c r="AL226" s="5"/>
      <c r="AM226" s="5"/>
      <c r="AN226" s="5"/>
      <c r="AO226" s="5" t="s">
        <v>38</v>
      </c>
      <c r="AP226" s="5"/>
      <c r="AQ226" s="5"/>
      <c r="AR226" s="5"/>
      <c r="AS226" s="5" t="s">
        <v>42</v>
      </c>
      <c r="AT226" s="5"/>
      <c r="AU226" s="5"/>
      <c r="AV226" s="5" t="s">
        <v>44</v>
      </c>
      <c r="AW226" s="5"/>
      <c r="AX226" s="5"/>
      <c r="AY226" s="5"/>
      <c r="AZ226" s="5"/>
      <c r="BA226" s="5"/>
      <c r="BB226" s="5" t="s">
        <v>49</v>
      </c>
      <c r="BC226" s="5"/>
      <c r="BD226" s="5"/>
      <c r="BE226" s="5"/>
      <c r="BF226" s="5" t="s">
        <v>52</v>
      </c>
      <c r="BG226" s="5"/>
      <c r="BH226" s="5"/>
      <c r="BI226" s="5" t="s">
        <v>55</v>
      </c>
      <c r="BJ226" s="5"/>
      <c r="BK226" s="5"/>
      <c r="BL226" s="5"/>
      <c r="BM226" s="5"/>
      <c r="BN226" s="5"/>
      <c r="BO226" s="5"/>
      <c r="BP226" s="5"/>
      <c r="BQ226" s="5"/>
      <c r="BR226" s="5"/>
      <c r="BS226" s="5"/>
      <c r="BT226" s="5"/>
      <c r="BU226" s="5"/>
      <c r="BV226" s="5"/>
      <c r="BW226" s="5"/>
      <c r="BX226" s="5"/>
      <c r="BY226" s="5"/>
      <c r="BZ226" s="5" t="s">
        <v>69</v>
      </c>
      <c r="CA226" s="5"/>
      <c r="CB226" s="5"/>
      <c r="CC226" s="5"/>
      <c r="CD226" s="5" t="s">
        <v>73</v>
      </c>
      <c r="CE226" s="5"/>
      <c r="CF226" s="5" t="s">
        <v>75</v>
      </c>
      <c r="CG226" s="5"/>
      <c r="CH226" s="5"/>
      <c r="CI226" s="5" t="s">
        <v>414</v>
      </c>
      <c r="CJ226" s="5">
        <v>42</v>
      </c>
      <c r="CK226" s="5" t="s">
        <v>141</v>
      </c>
      <c r="CL226" s="5" t="s">
        <v>164</v>
      </c>
      <c r="CM226" s="5" t="s">
        <v>415</v>
      </c>
      <c r="CN226" s="5" t="s">
        <v>416</v>
      </c>
      <c r="CO226" s="5" t="s">
        <v>427</v>
      </c>
      <c r="CP226" s="5" t="s">
        <v>97</v>
      </c>
      <c r="CQ226" s="5" t="s">
        <v>84</v>
      </c>
      <c r="CR226" s="5" t="s">
        <v>85</v>
      </c>
      <c r="CS226" s="5" t="s">
        <v>86</v>
      </c>
      <c r="CT226" s="5"/>
      <c r="CU226" s="5"/>
      <c r="CV226" s="5"/>
      <c r="CW226" s="5"/>
      <c r="CX226" s="5"/>
      <c r="CY226" s="5"/>
      <c r="CZ226" s="5"/>
      <c r="DA226" s="5"/>
    </row>
    <row r="227" spans="1:105">
      <c r="A227" s="5">
        <v>18019103154</v>
      </c>
      <c r="B227" s="5"/>
      <c r="C227" s="5"/>
      <c r="D227" s="5"/>
      <c r="E227" s="5"/>
      <c r="F227" s="5"/>
      <c r="G227" s="5"/>
      <c r="H227" s="5"/>
      <c r="I227" s="5" t="s">
        <v>23</v>
      </c>
      <c r="J227" s="5"/>
      <c r="K227" s="5"/>
      <c r="L227" s="5" t="s">
        <v>26</v>
      </c>
      <c r="M227" s="5" t="s">
        <v>27</v>
      </c>
      <c r="N227" s="5"/>
      <c r="O227" s="5"/>
      <c r="P227" s="5"/>
      <c r="Q227" s="5"/>
      <c r="R227" s="5"/>
      <c r="S227" s="5" t="s">
        <v>19</v>
      </c>
      <c r="T227" s="5" t="s">
        <v>20</v>
      </c>
      <c r="U227" s="5"/>
      <c r="V227" s="5"/>
      <c r="W227" s="5"/>
      <c r="X227" s="5"/>
      <c r="Y227" s="5" t="s">
        <v>25</v>
      </c>
      <c r="Z227" s="5"/>
      <c r="AA227" s="5"/>
      <c r="AB227" s="5"/>
      <c r="AC227" s="5"/>
      <c r="AD227" s="5" t="s">
        <v>29</v>
      </c>
      <c r="AE227" s="5"/>
      <c r="AF227" s="5" t="s">
        <v>31</v>
      </c>
      <c r="AG227" s="5" t="s">
        <v>32</v>
      </c>
      <c r="AH227" s="5"/>
      <c r="AI227" s="5"/>
      <c r="AJ227" s="5"/>
      <c r="AK227" s="5"/>
      <c r="AL227" s="5"/>
      <c r="AM227" s="5"/>
      <c r="AN227" s="5"/>
      <c r="AO227" s="5"/>
      <c r="AP227" s="5"/>
      <c r="AQ227" s="5"/>
      <c r="AR227" s="5"/>
      <c r="AS227" s="5" t="s">
        <v>42</v>
      </c>
      <c r="AT227" s="5"/>
      <c r="AU227" s="5"/>
      <c r="AV227" s="5"/>
      <c r="AW227" s="5" t="s">
        <v>45</v>
      </c>
      <c r="AX227" s="5" t="s">
        <v>46</v>
      </c>
      <c r="AY227" s="5"/>
      <c r="AZ227" s="5"/>
      <c r="BA227" s="5"/>
      <c r="BB227" s="5"/>
      <c r="BC227" s="5" t="s">
        <v>50</v>
      </c>
      <c r="BD227" s="5"/>
      <c r="BE227" s="5"/>
      <c r="BF227" s="5"/>
      <c r="BG227" s="5"/>
      <c r="BH227" s="5"/>
      <c r="BI227" s="5"/>
      <c r="BJ227" s="5" t="s">
        <v>56</v>
      </c>
      <c r="BK227" s="5"/>
      <c r="BL227" s="5"/>
      <c r="BM227" s="5" t="s">
        <v>59</v>
      </c>
      <c r="BN227" s="5"/>
      <c r="BO227" s="5"/>
      <c r="BP227" s="5"/>
      <c r="BQ227" s="5"/>
      <c r="BR227" s="5"/>
      <c r="BS227" s="5"/>
      <c r="BT227" s="5"/>
      <c r="BU227" s="5"/>
      <c r="BV227" s="5"/>
      <c r="BW227" s="5"/>
      <c r="BX227" s="5"/>
      <c r="BY227" s="5" t="s">
        <v>68</v>
      </c>
      <c r="BZ227" s="5" t="s">
        <v>69</v>
      </c>
      <c r="CA227" s="5"/>
      <c r="CB227" s="5"/>
      <c r="CC227" s="5"/>
      <c r="CD227" s="5"/>
      <c r="CE227" s="5"/>
      <c r="CF227" s="5"/>
      <c r="CG227" s="5" t="s">
        <v>76</v>
      </c>
      <c r="CH227" s="5"/>
      <c r="CI227" s="5" t="s">
        <v>417</v>
      </c>
      <c r="CJ227" s="5">
        <v>48</v>
      </c>
      <c r="CK227" s="5" t="s">
        <v>141</v>
      </c>
      <c r="CL227" s="5" t="s">
        <v>171</v>
      </c>
      <c r="CM227" s="5" t="s">
        <v>418</v>
      </c>
      <c r="CN227" s="5" t="s">
        <v>419</v>
      </c>
      <c r="CO227" s="5" t="s">
        <v>82</v>
      </c>
      <c r="CP227" s="5" t="s">
        <v>90</v>
      </c>
      <c r="CQ227" s="5" t="s">
        <v>103</v>
      </c>
      <c r="CR227" s="5" t="s">
        <v>85</v>
      </c>
      <c r="CS227" s="5" t="s">
        <v>86</v>
      </c>
      <c r="CT227" s="5"/>
      <c r="CU227" s="5"/>
      <c r="CV227" s="5"/>
      <c r="CW227" s="5"/>
      <c r="CX227" s="5"/>
      <c r="CY227" s="5"/>
      <c r="CZ227" s="5"/>
      <c r="DA227" s="5"/>
    </row>
    <row r="228" spans="1:105">
      <c r="A228" s="5">
        <v>18019102990</v>
      </c>
      <c r="B228" s="5"/>
      <c r="C228" s="5"/>
      <c r="D228" s="5"/>
      <c r="E228" s="5"/>
      <c r="F228" s="5"/>
      <c r="G228" s="5"/>
      <c r="H228" s="5"/>
      <c r="I228" s="5"/>
      <c r="J228" s="5" t="s">
        <v>24</v>
      </c>
      <c r="K228" s="5" t="s">
        <v>25</v>
      </c>
      <c r="L228" s="5"/>
      <c r="M228" s="5" t="s">
        <v>27</v>
      </c>
      <c r="N228" s="5"/>
      <c r="O228" s="5"/>
      <c r="P228" s="5"/>
      <c r="Q228" s="5"/>
      <c r="R228" s="5"/>
      <c r="S228" s="5"/>
      <c r="T228" s="5"/>
      <c r="U228" s="5"/>
      <c r="V228" s="5" t="s">
        <v>22</v>
      </c>
      <c r="W228" s="5"/>
      <c r="X228" s="5"/>
      <c r="Y228" s="5" t="s">
        <v>25</v>
      </c>
      <c r="Z228" s="5"/>
      <c r="AA228" s="5" t="s">
        <v>27</v>
      </c>
      <c r="AB228" s="5"/>
      <c r="AC228" s="5"/>
      <c r="AD228" s="5"/>
      <c r="AE228" s="5"/>
      <c r="AF228" s="5"/>
      <c r="AG228" s="5" t="s">
        <v>32</v>
      </c>
      <c r="AH228" s="5" t="s">
        <v>33</v>
      </c>
      <c r="AI228" s="5"/>
      <c r="AJ228" s="5"/>
      <c r="AK228" s="5"/>
      <c r="AL228" s="5"/>
      <c r="AM228" s="5" t="s">
        <v>375</v>
      </c>
      <c r="AN228" s="5"/>
      <c r="AO228" s="5"/>
      <c r="AP228" s="5"/>
      <c r="AQ228" s="5" t="s">
        <v>40</v>
      </c>
      <c r="AR228" s="5"/>
      <c r="AS228" s="5"/>
      <c r="AT228" s="5" t="s">
        <v>37</v>
      </c>
      <c r="AU228" s="5"/>
      <c r="AV228" s="5"/>
      <c r="AW228" s="5" t="s">
        <v>45</v>
      </c>
      <c r="AX228" s="5"/>
      <c r="AY228" s="5"/>
      <c r="AZ228" s="5"/>
      <c r="BA228" s="5"/>
      <c r="BB228" s="5"/>
      <c r="BC228" s="5"/>
      <c r="BD228" s="5" t="s">
        <v>51</v>
      </c>
      <c r="BE228" s="5"/>
      <c r="BF228" s="5"/>
      <c r="BG228" s="5"/>
      <c r="BH228" s="5"/>
      <c r="BI228" s="5"/>
      <c r="BJ228" s="5"/>
      <c r="BK228" s="5"/>
      <c r="BL228" s="5" t="s">
        <v>58</v>
      </c>
      <c r="BM228" s="5"/>
      <c r="BN228" s="5"/>
      <c r="BO228" s="5"/>
      <c r="BP228" s="5"/>
      <c r="BQ228" s="5" t="s">
        <v>61</v>
      </c>
      <c r="BR228" s="5"/>
      <c r="BS228" s="5"/>
      <c r="BT228" s="5"/>
      <c r="BU228" s="5"/>
      <c r="BV228" s="5"/>
      <c r="BW228" s="5" t="s">
        <v>66</v>
      </c>
      <c r="BX228" s="5" t="s">
        <v>67</v>
      </c>
      <c r="BY228" s="5"/>
      <c r="BZ228" s="5"/>
      <c r="CA228" s="5"/>
      <c r="CB228" s="5"/>
      <c r="CC228" s="5"/>
      <c r="CD228" s="5" t="s">
        <v>73</v>
      </c>
      <c r="CE228" s="5"/>
      <c r="CF228" s="5"/>
      <c r="CG228" s="5"/>
      <c r="CH228" s="5"/>
      <c r="CI228" s="5" t="s">
        <v>414</v>
      </c>
      <c r="CJ228" s="5">
        <v>24</v>
      </c>
      <c r="CK228" s="5" t="s">
        <v>141</v>
      </c>
      <c r="CL228" s="5" t="s">
        <v>171</v>
      </c>
      <c r="CM228" s="5" t="s">
        <v>423</v>
      </c>
      <c r="CN228" s="5" t="s">
        <v>419</v>
      </c>
      <c r="CO228" s="5" t="s">
        <v>448</v>
      </c>
      <c r="CP228" s="5" t="s">
        <v>97</v>
      </c>
      <c r="CQ228" s="5" t="s">
        <v>88</v>
      </c>
      <c r="CR228" s="5" t="s">
        <v>85</v>
      </c>
      <c r="CS228" s="5" t="s">
        <v>86</v>
      </c>
      <c r="CT228" s="5"/>
      <c r="CU228" s="5"/>
      <c r="CV228" s="5"/>
      <c r="CW228" s="5"/>
      <c r="CX228" s="5"/>
      <c r="CY228" s="5"/>
      <c r="CZ228" s="5"/>
      <c r="DA228" s="5"/>
    </row>
    <row r="229" spans="1:105">
      <c r="A229" s="5">
        <v>18019102832</v>
      </c>
      <c r="B229" s="5" t="s">
        <v>16</v>
      </c>
      <c r="C229" s="5"/>
      <c r="D229" s="5"/>
      <c r="E229" s="5" t="s">
        <v>19</v>
      </c>
      <c r="F229" s="5"/>
      <c r="G229" s="5" t="s">
        <v>21</v>
      </c>
      <c r="H229" s="5"/>
      <c r="I229" s="5"/>
      <c r="J229" s="5"/>
      <c r="K229" s="5"/>
      <c r="L229" s="5"/>
      <c r="M229" s="5"/>
      <c r="N229" s="5"/>
      <c r="O229" s="5"/>
      <c r="P229" s="5"/>
      <c r="Q229" s="5" t="s">
        <v>17</v>
      </c>
      <c r="R229" s="5"/>
      <c r="S229" s="5"/>
      <c r="T229" s="5" t="s">
        <v>20</v>
      </c>
      <c r="U229" s="5"/>
      <c r="V229" s="5"/>
      <c r="W229" s="5"/>
      <c r="X229" s="5"/>
      <c r="Y229" s="5" t="s">
        <v>25</v>
      </c>
      <c r="Z229" s="5"/>
      <c r="AA229" s="5"/>
      <c r="AB229" s="5"/>
      <c r="AC229" s="5"/>
      <c r="AD229" s="5" t="s">
        <v>29</v>
      </c>
      <c r="AE229" s="5" t="s">
        <v>30</v>
      </c>
      <c r="AF229" s="5"/>
      <c r="AG229" s="5"/>
      <c r="AH229" s="5"/>
      <c r="AI229" s="5"/>
      <c r="AJ229" s="5"/>
      <c r="AK229" s="5"/>
      <c r="AL229" s="5"/>
      <c r="AM229" s="5" t="s">
        <v>375</v>
      </c>
      <c r="AN229" s="5"/>
      <c r="AO229" s="5" t="s">
        <v>38</v>
      </c>
      <c r="AP229" s="5"/>
      <c r="AQ229" s="5"/>
      <c r="AR229" s="5"/>
      <c r="AS229" s="5" t="s">
        <v>42</v>
      </c>
      <c r="AT229" s="5"/>
      <c r="AU229" s="5"/>
      <c r="AV229" s="5"/>
      <c r="AW229" s="5"/>
      <c r="AX229" s="5"/>
      <c r="AY229" s="5"/>
      <c r="AZ229" s="5" t="s">
        <v>48</v>
      </c>
      <c r="BA229" s="5"/>
      <c r="BB229" s="5"/>
      <c r="BC229" s="5"/>
      <c r="BD229" s="5"/>
      <c r="BE229" s="5"/>
      <c r="BF229" s="5"/>
      <c r="BG229" s="5"/>
      <c r="BH229" s="5" t="s">
        <v>54</v>
      </c>
      <c r="BI229" s="5" t="s">
        <v>55</v>
      </c>
      <c r="BJ229" s="5"/>
      <c r="BK229" s="5"/>
      <c r="BL229" s="5"/>
      <c r="BM229" s="5"/>
      <c r="BN229" s="5"/>
      <c r="BO229" s="5"/>
      <c r="BP229" s="5"/>
      <c r="BQ229" s="5"/>
      <c r="BR229" s="5"/>
      <c r="BS229" s="5" t="s">
        <v>63</v>
      </c>
      <c r="BT229" s="5"/>
      <c r="BU229" s="5"/>
      <c r="BV229" s="5"/>
      <c r="BW229" s="5" t="s">
        <v>66</v>
      </c>
      <c r="BX229" s="5"/>
      <c r="BY229" s="5"/>
      <c r="BZ229" s="5" t="s">
        <v>69</v>
      </c>
      <c r="CA229" s="5"/>
      <c r="CB229" s="5"/>
      <c r="CC229" s="5"/>
      <c r="CD229" s="5"/>
      <c r="CE229" s="5" t="s">
        <v>74</v>
      </c>
      <c r="CF229" s="5"/>
      <c r="CG229" s="5"/>
      <c r="CH229" s="5"/>
      <c r="CI229" s="5" t="s">
        <v>414</v>
      </c>
      <c r="CJ229" s="5">
        <v>19</v>
      </c>
      <c r="CK229" s="5" t="s">
        <v>141</v>
      </c>
      <c r="CL229" s="5" t="s">
        <v>171</v>
      </c>
      <c r="CM229" s="5" t="s">
        <v>436</v>
      </c>
      <c r="CN229" s="5" t="s">
        <v>419</v>
      </c>
      <c r="CO229" s="5" t="s">
        <v>449</v>
      </c>
      <c r="CP229" s="5" t="s">
        <v>90</v>
      </c>
      <c r="CQ229" s="5" t="s">
        <v>95</v>
      </c>
      <c r="CR229" s="5" t="s">
        <v>89</v>
      </c>
      <c r="CS229" s="5" t="s">
        <v>86</v>
      </c>
      <c r="CT229" s="5"/>
      <c r="CU229" s="5"/>
      <c r="CV229" s="5"/>
      <c r="CW229" s="5"/>
      <c r="CX229" s="5"/>
      <c r="CY229" s="5"/>
      <c r="CZ229" s="5"/>
      <c r="DA229" s="5"/>
    </row>
    <row r="230" spans="1:105">
      <c r="A230" s="5">
        <v>18019102674</v>
      </c>
      <c r="B230" s="5"/>
      <c r="C230" s="5"/>
      <c r="D230" s="5"/>
      <c r="E230" s="5"/>
      <c r="F230" s="5"/>
      <c r="G230" s="5" t="s">
        <v>21</v>
      </c>
      <c r="H230" s="5"/>
      <c r="I230" s="5" t="s">
        <v>23</v>
      </c>
      <c r="J230" s="5"/>
      <c r="K230" s="5"/>
      <c r="L230" s="5"/>
      <c r="M230" s="5"/>
      <c r="N230" s="5" t="s">
        <v>28</v>
      </c>
      <c r="O230" s="5"/>
      <c r="P230" s="5"/>
      <c r="Q230" s="5"/>
      <c r="R230" s="5"/>
      <c r="S230" s="5"/>
      <c r="T230" s="5"/>
      <c r="U230" s="5" t="s">
        <v>21</v>
      </c>
      <c r="V230" s="5" t="s">
        <v>22</v>
      </c>
      <c r="W230" s="5"/>
      <c r="X230" s="5"/>
      <c r="Y230" s="5" t="s">
        <v>25</v>
      </c>
      <c r="Z230" s="5"/>
      <c r="AA230" s="5"/>
      <c r="AB230" s="5"/>
      <c r="AC230" s="5"/>
      <c r="AD230" s="5"/>
      <c r="AE230" s="5" t="s">
        <v>30</v>
      </c>
      <c r="AF230" s="5"/>
      <c r="AG230" s="5"/>
      <c r="AH230" s="5"/>
      <c r="AI230" s="5"/>
      <c r="AJ230" s="5"/>
      <c r="AK230" s="5" t="s">
        <v>36</v>
      </c>
      <c r="AL230" s="5" t="s">
        <v>37</v>
      </c>
      <c r="AM230" s="5"/>
      <c r="AN230" s="5"/>
      <c r="AO230" s="5"/>
      <c r="AP230" s="5"/>
      <c r="AQ230" s="5" t="s">
        <v>40</v>
      </c>
      <c r="AR230" s="5"/>
      <c r="AS230" s="5" t="s">
        <v>42</v>
      </c>
      <c r="AT230" s="5"/>
      <c r="AU230" s="5"/>
      <c r="AV230" s="5"/>
      <c r="AW230" s="5"/>
      <c r="AX230" s="5"/>
      <c r="AY230" s="5" t="s">
        <v>47</v>
      </c>
      <c r="AZ230" s="5"/>
      <c r="BA230" s="5"/>
      <c r="BB230" s="5"/>
      <c r="BC230" s="5"/>
      <c r="BD230" s="5"/>
      <c r="BE230" s="5"/>
      <c r="BF230" s="5" t="s">
        <v>52</v>
      </c>
      <c r="BG230" s="5"/>
      <c r="BH230" s="5"/>
      <c r="BI230" s="5"/>
      <c r="BJ230" s="5"/>
      <c r="BK230" s="5"/>
      <c r="BL230" s="5"/>
      <c r="BM230" s="5"/>
      <c r="BN230" s="5" t="s">
        <v>24</v>
      </c>
      <c r="BO230" s="5"/>
      <c r="BP230" s="5"/>
      <c r="BQ230" s="5"/>
      <c r="BR230" s="5" t="s">
        <v>62</v>
      </c>
      <c r="BS230" s="5"/>
      <c r="BT230" s="5"/>
      <c r="BU230" s="5"/>
      <c r="BV230" s="5" t="s">
        <v>65</v>
      </c>
      <c r="BW230" s="5"/>
      <c r="BX230" s="5"/>
      <c r="BY230" s="5"/>
      <c r="BZ230" s="5" t="s">
        <v>69</v>
      </c>
      <c r="CA230" s="5"/>
      <c r="CB230" s="5" t="s">
        <v>71</v>
      </c>
      <c r="CC230" s="5"/>
      <c r="CD230" s="5"/>
      <c r="CE230" s="5"/>
      <c r="CF230" s="5"/>
      <c r="CG230" s="5"/>
      <c r="CH230" s="5"/>
      <c r="CI230" s="5" t="s">
        <v>417</v>
      </c>
      <c r="CJ230" s="5">
        <v>72</v>
      </c>
      <c r="CK230" s="5" t="s">
        <v>141</v>
      </c>
      <c r="CL230" s="5" t="s">
        <v>171</v>
      </c>
      <c r="CM230" s="5" t="s">
        <v>418</v>
      </c>
      <c r="CN230" s="5" t="s">
        <v>419</v>
      </c>
      <c r="CO230" s="5" t="s">
        <v>82</v>
      </c>
      <c r="CP230" s="5" t="s">
        <v>94</v>
      </c>
      <c r="CQ230" s="5" t="s">
        <v>84</v>
      </c>
      <c r="CR230" s="5" t="s">
        <v>99</v>
      </c>
      <c r="CS230" s="5" t="s">
        <v>86</v>
      </c>
      <c r="CT230" s="5"/>
      <c r="CU230" s="5"/>
      <c r="CV230" s="5"/>
      <c r="CW230" s="5"/>
      <c r="CX230" s="5"/>
      <c r="CY230" s="5"/>
      <c r="CZ230" s="5"/>
      <c r="DA230" s="5"/>
    </row>
    <row r="231" spans="1:105">
      <c r="A231" s="5">
        <v>18019102453</v>
      </c>
      <c r="B231" s="5"/>
      <c r="C231" s="5"/>
      <c r="D231" s="5"/>
      <c r="E231" s="5"/>
      <c r="F231" s="5"/>
      <c r="G231" s="5"/>
      <c r="H231" s="5"/>
      <c r="I231" s="5"/>
      <c r="J231" s="5"/>
      <c r="K231" s="5" t="s">
        <v>25</v>
      </c>
      <c r="L231" s="5" t="s">
        <v>26</v>
      </c>
      <c r="M231" s="5" t="s">
        <v>27</v>
      </c>
      <c r="N231" s="5"/>
      <c r="O231" s="5"/>
      <c r="P231" s="5"/>
      <c r="Q231" s="5"/>
      <c r="R231" s="5"/>
      <c r="S231" s="5"/>
      <c r="T231" s="5"/>
      <c r="U231" s="5"/>
      <c r="V231" s="5"/>
      <c r="W231" s="5"/>
      <c r="X231" s="5" t="s">
        <v>24</v>
      </c>
      <c r="Y231" s="5" t="s">
        <v>25</v>
      </c>
      <c r="Z231" s="5"/>
      <c r="AA231" s="5" t="s">
        <v>27</v>
      </c>
      <c r="AB231" s="5"/>
      <c r="AC231" s="5"/>
      <c r="AD231" s="5"/>
      <c r="AE231" s="5" t="s">
        <v>30</v>
      </c>
      <c r="AF231" s="5"/>
      <c r="AG231" s="5"/>
      <c r="AH231" s="5" t="s">
        <v>33</v>
      </c>
      <c r="AI231" s="5"/>
      <c r="AJ231" s="5" t="s">
        <v>35</v>
      </c>
      <c r="AK231" s="5"/>
      <c r="AL231" s="5"/>
      <c r="AM231" s="5"/>
      <c r="AN231" s="5"/>
      <c r="AO231" s="5"/>
      <c r="AP231" s="5" t="s">
        <v>39</v>
      </c>
      <c r="AQ231" s="5"/>
      <c r="AR231" s="5"/>
      <c r="AS231" s="5"/>
      <c r="AT231" s="5"/>
      <c r="AU231" s="5"/>
      <c r="AV231" s="5" t="s">
        <v>44</v>
      </c>
      <c r="AW231" s="5"/>
      <c r="AX231" s="5"/>
      <c r="AY231" s="5"/>
      <c r="AZ231" s="5" t="s">
        <v>48</v>
      </c>
      <c r="BA231" s="5"/>
      <c r="BB231" s="5"/>
      <c r="BC231" s="5"/>
      <c r="BD231" s="5"/>
      <c r="BE231" s="5" t="s">
        <v>17</v>
      </c>
      <c r="BF231" s="5" t="s">
        <v>52</v>
      </c>
      <c r="BG231" s="5"/>
      <c r="BH231" s="5"/>
      <c r="BI231" s="5"/>
      <c r="BJ231" s="5"/>
      <c r="BK231" s="5"/>
      <c r="BL231" s="5"/>
      <c r="BM231" s="5"/>
      <c r="BN231" s="5"/>
      <c r="BO231" s="5" t="s">
        <v>20</v>
      </c>
      <c r="BP231" s="5"/>
      <c r="BQ231" s="5"/>
      <c r="BR231" s="5"/>
      <c r="BS231" s="5"/>
      <c r="BT231" s="5"/>
      <c r="BU231" s="5"/>
      <c r="BV231" s="5"/>
      <c r="BW231" s="5"/>
      <c r="BX231" s="5"/>
      <c r="BY231" s="5"/>
      <c r="BZ231" s="5" t="s">
        <v>69</v>
      </c>
      <c r="CA231" s="5"/>
      <c r="CB231" s="5"/>
      <c r="CC231" s="5"/>
      <c r="CD231" s="5" t="s">
        <v>73</v>
      </c>
      <c r="CE231" s="5"/>
      <c r="CF231" s="5" t="s">
        <v>75</v>
      </c>
      <c r="CG231" s="5"/>
      <c r="CH231" s="5"/>
      <c r="CI231" s="5" t="s">
        <v>417</v>
      </c>
      <c r="CJ231" s="5">
        <v>17</v>
      </c>
      <c r="CK231" s="5" t="s">
        <v>141</v>
      </c>
      <c r="CL231" s="5" t="s">
        <v>171</v>
      </c>
      <c r="CM231" s="5" t="s">
        <v>418</v>
      </c>
      <c r="CN231" s="5" t="s">
        <v>419</v>
      </c>
      <c r="CO231" s="5" t="s">
        <v>426</v>
      </c>
      <c r="CP231" s="5" t="s">
        <v>94</v>
      </c>
      <c r="CQ231" s="5" t="s">
        <v>104</v>
      </c>
      <c r="CR231" s="5" t="s">
        <v>89</v>
      </c>
      <c r="CS231" s="5" t="s">
        <v>86</v>
      </c>
      <c r="CT231" s="5"/>
      <c r="CU231" s="5"/>
      <c r="CV231" s="5"/>
      <c r="CW231" s="5"/>
      <c r="CX231" s="5"/>
      <c r="CY231" s="5"/>
      <c r="CZ231" s="5"/>
      <c r="DA231" s="5"/>
    </row>
    <row r="232" spans="1:105">
      <c r="A232" s="5">
        <v>18019102258</v>
      </c>
      <c r="B232" s="5"/>
      <c r="C232" s="5"/>
      <c r="D232" s="5"/>
      <c r="E232" s="5"/>
      <c r="F232" s="5" t="s">
        <v>20</v>
      </c>
      <c r="G232" s="5"/>
      <c r="H232" s="5"/>
      <c r="I232" s="5"/>
      <c r="J232" s="5"/>
      <c r="K232" s="5"/>
      <c r="L232" s="5" t="s">
        <v>26</v>
      </c>
      <c r="M232" s="5" t="s">
        <v>27</v>
      </c>
      <c r="N232" s="5"/>
      <c r="O232" s="5"/>
      <c r="P232" s="5"/>
      <c r="Q232" s="5"/>
      <c r="R232" s="5"/>
      <c r="S232" s="5"/>
      <c r="T232" s="5" t="s">
        <v>20</v>
      </c>
      <c r="U232" s="5"/>
      <c r="V232" s="5" t="s">
        <v>22</v>
      </c>
      <c r="W232" s="5"/>
      <c r="X232" s="5"/>
      <c r="Y232" s="5"/>
      <c r="Z232" s="5"/>
      <c r="AA232" s="5" t="s">
        <v>27</v>
      </c>
      <c r="AB232" s="5"/>
      <c r="AC232" s="5"/>
      <c r="AD232" s="5"/>
      <c r="AE232" s="5"/>
      <c r="AF232" s="5" t="s">
        <v>31</v>
      </c>
      <c r="AG232" s="5"/>
      <c r="AH232" s="5" t="s">
        <v>33</v>
      </c>
      <c r="AI232" s="5"/>
      <c r="AJ232" s="5"/>
      <c r="AK232" s="5"/>
      <c r="AL232" s="5"/>
      <c r="AM232" s="5" t="s">
        <v>375</v>
      </c>
      <c r="AN232" s="5"/>
      <c r="AO232" s="5"/>
      <c r="AP232" s="5"/>
      <c r="AQ232" s="5" t="s">
        <v>40</v>
      </c>
      <c r="AR232" s="5"/>
      <c r="AS232" s="5" t="s">
        <v>42</v>
      </c>
      <c r="AT232" s="5"/>
      <c r="AU232" s="5"/>
      <c r="AV232" s="5"/>
      <c r="AW232" s="5"/>
      <c r="AX232" s="5"/>
      <c r="AY232" s="5"/>
      <c r="AZ232" s="5" t="s">
        <v>48</v>
      </c>
      <c r="BA232" s="5"/>
      <c r="BB232" s="5"/>
      <c r="BC232" s="5"/>
      <c r="BD232" s="5" t="s">
        <v>51</v>
      </c>
      <c r="BE232" s="5"/>
      <c r="BF232" s="5"/>
      <c r="BG232" s="5"/>
      <c r="BH232" s="5"/>
      <c r="BI232" s="5" t="s">
        <v>55</v>
      </c>
      <c r="BJ232" s="5"/>
      <c r="BK232" s="5"/>
      <c r="BL232" s="5"/>
      <c r="BM232" s="5"/>
      <c r="BN232" s="5"/>
      <c r="BO232" s="5" t="s">
        <v>20</v>
      </c>
      <c r="BP232" s="5"/>
      <c r="BQ232" s="5"/>
      <c r="BR232" s="5"/>
      <c r="BS232" s="5"/>
      <c r="BT232" s="5"/>
      <c r="BU232" s="5"/>
      <c r="BV232" s="5"/>
      <c r="BW232" s="5"/>
      <c r="BX232" s="5"/>
      <c r="BY232" s="5"/>
      <c r="BZ232" s="5"/>
      <c r="CA232" s="5"/>
      <c r="CB232" s="5"/>
      <c r="CC232" s="5"/>
      <c r="CD232" s="5" t="s">
        <v>73</v>
      </c>
      <c r="CE232" s="5" t="s">
        <v>74</v>
      </c>
      <c r="CF232" s="5" t="s">
        <v>75</v>
      </c>
      <c r="CG232" s="5"/>
      <c r="CH232" s="5"/>
      <c r="CI232" s="5" t="s">
        <v>417</v>
      </c>
      <c r="CJ232" s="5">
        <v>84</v>
      </c>
      <c r="CK232" s="5" t="s">
        <v>141</v>
      </c>
      <c r="CL232" s="5" t="s">
        <v>164</v>
      </c>
      <c r="CM232" s="5" t="s">
        <v>415</v>
      </c>
      <c r="CN232" s="5" t="s">
        <v>416</v>
      </c>
      <c r="CO232" s="5" t="s">
        <v>427</v>
      </c>
      <c r="CP232" s="5" t="s">
        <v>94</v>
      </c>
      <c r="CQ232" s="5" t="s">
        <v>84</v>
      </c>
      <c r="CR232" s="5" t="s">
        <v>99</v>
      </c>
      <c r="CS232" s="5" t="s">
        <v>86</v>
      </c>
      <c r="CT232" s="5"/>
      <c r="CU232" s="5"/>
      <c r="CV232" s="5"/>
      <c r="CW232" s="5"/>
      <c r="CX232" s="5"/>
      <c r="CY232" s="5"/>
      <c r="CZ232" s="5"/>
      <c r="DA232" s="5"/>
    </row>
    <row r="233" spans="1:105">
      <c r="A233" s="5">
        <v>18019102072</v>
      </c>
      <c r="B233" s="5"/>
      <c r="C233" s="5"/>
      <c r="D233" s="5"/>
      <c r="E233" s="5" t="s">
        <v>19</v>
      </c>
      <c r="F233" s="5"/>
      <c r="G233" s="5"/>
      <c r="H233" s="5"/>
      <c r="I233" s="5" t="s">
        <v>23</v>
      </c>
      <c r="J233" s="5"/>
      <c r="K233" s="5"/>
      <c r="L233" s="5"/>
      <c r="M233" s="5" t="s">
        <v>27</v>
      </c>
      <c r="N233" s="5"/>
      <c r="O233" s="5"/>
      <c r="P233" s="5"/>
      <c r="Q233" s="5"/>
      <c r="R233" s="5" t="s">
        <v>18</v>
      </c>
      <c r="S233" s="5"/>
      <c r="T233" s="5"/>
      <c r="U233" s="5"/>
      <c r="V233" s="5" t="s">
        <v>22</v>
      </c>
      <c r="W233" s="5"/>
      <c r="X233" s="5"/>
      <c r="Y233" s="5"/>
      <c r="Z233" s="5"/>
      <c r="AA233" s="5" t="s">
        <v>27</v>
      </c>
      <c r="AB233" s="5"/>
      <c r="AC233" s="5"/>
      <c r="AD233" s="5" t="s">
        <v>29</v>
      </c>
      <c r="AE233" s="5"/>
      <c r="AF233" s="5" t="s">
        <v>31</v>
      </c>
      <c r="AG233" s="5"/>
      <c r="AH233" s="5"/>
      <c r="AI233" s="5"/>
      <c r="AJ233" s="5"/>
      <c r="AK233" s="5"/>
      <c r="AL233" s="5"/>
      <c r="AM233" s="5" t="s">
        <v>375</v>
      </c>
      <c r="AN233" s="5"/>
      <c r="AO233" s="5"/>
      <c r="AP233" s="5"/>
      <c r="AQ233" s="5"/>
      <c r="AR233" s="5" t="s">
        <v>41</v>
      </c>
      <c r="AS233" s="5" t="s">
        <v>42</v>
      </c>
      <c r="AT233" s="5"/>
      <c r="AU233" s="5"/>
      <c r="AV233" s="5"/>
      <c r="AW233" s="5"/>
      <c r="AX233" s="5"/>
      <c r="AY233" s="5"/>
      <c r="AZ233" s="5" t="s">
        <v>48</v>
      </c>
      <c r="BA233" s="5"/>
      <c r="BB233" s="5"/>
      <c r="BC233" s="5" t="s">
        <v>50</v>
      </c>
      <c r="BD233" s="5" t="s">
        <v>51</v>
      </c>
      <c r="BE233" s="5"/>
      <c r="BF233" s="5"/>
      <c r="BG233" s="5"/>
      <c r="BH233" s="5"/>
      <c r="BI233" s="5"/>
      <c r="BJ233" s="5" t="s">
        <v>56</v>
      </c>
      <c r="BK233" s="5"/>
      <c r="BL233" s="5"/>
      <c r="BM233" s="5"/>
      <c r="BN233" s="5"/>
      <c r="BO233" s="5"/>
      <c r="BP233" s="5"/>
      <c r="BQ233" s="5"/>
      <c r="BR233" s="5"/>
      <c r="BS233" s="5"/>
      <c r="BT233" s="5"/>
      <c r="BU233" s="5"/>
      <c r="BV233" s="5"/>
      <c r="BW233" s="5" t="s">
        <v>66</v>
      </c>
      <c r="BX233" s="5"/>
      <c r="BY233" s="5"/>
      <c r="BZ233" s="5" t="s">
        <v>69</v>
      </c>
      <c r="CA233" s="5"/>
      <c r="CB233" s="5"/>
      <c r="CC233" s="5"/>
      <c r="CD233" s="5"/>
      <c r="CE233" s="5"/>
      <c r="CF233" s="5" t="s">
        <v>75</v>
      </c>
      <c r="CG233" s="5"/>
      <c r="CH233" s="5"/>
      <c r="CI233" s="5" t="s">
        <v>414</v>
      </c>
      <c r="CJ233" s="5">
        <v>92</v>
      </c>
      <c r="CK233" s="5" t="s">
        <v>141</v>
      </c>
      <c r="CL233" s="5" t="s">
        <v>171</v>
      </c>
      <c r="CM233" s="5" t="s">
        <v>415</v>
      </c>
      <c r="CN233" s="5" t="s">
        <v>416</v>
      </c>
      <c r="CO233" s="5" t="s">
        <v>450</v>
      </c>
      <c r="CP233" s="5" t="s">
        <v>97</v>
      </c>
      <c r="CQ233" s="5" t="s">
        <v>103</v>
      </c>
      <c r="CR233" s="5" t="s">
        <v>99</v>
      </c>
      <c r="CS233" s="5" t="s">
        <v>86</v>
      </c>
      <c r="CT233" s="5"/>
      <c r="CU233" s="5"/>
      <c r="CV233" s="5"/>
      <c r="CW233" s="5"/>
      <c r="CX233" s="5"/>
      <c r="CY233" s="5"/>
      <c r="CZ233" s="5"/>
      <c r="DA233" s="5"/>
    </row>
    <row r="234" spans="1:105">
      <c r="A234" s="5">
        <v>18019101896</v>
      </c>
      <c r="B234" s="5"/>
      <c r="C234" s="5"/>
      <c r="D234" s="5"/>
      <c r="E234" s="5"/>
      <c r="F234" s="5"/>
      <c r="G234" s="5"/>
      <c r="H234" s="5" t="s">
        <v>22</v>
      </c>
      <c r="I234" s="5"/>
      <c r="J234" s="5"/>
      <c r="K234" s="5" t="s">
        <v>25</v>
      </c>
      <c r="L234" s="5"/>
      <c r="M234" s="5" t="s">
        <v>27</v>
      </c>
      <c r="N234" s="5"/>
      <c r="O234" s="5"/>
      <c r="P234" s="5"/>
      <c r="Q234" s="5"/>
      <c r="R234" s="5" t="s">
        <v>18</v>
      </c>
      <c r="S234" s="5"/>
      <c r="T234" s="5"/>
      <c r="U234" s="5" t="s">
        <v>21</v>
      </c>
      <c r="V234" s="5"/>
      <c r="W234" s="5"/>
      <c r="X234" s="5"/>
      <c r="Y234" s="5" t="s">
        <v>25</v>
      </c>
      <c r="Z234" s="5"/>
      <c r="AA234" s="5"/>
      <c r="AB234" s="5"/>
      <c r="AC234" s="5"/>
      <c r="AD234" s="5"/>
      <c r="AE234" s="5" t="s">
        <v>30</v>
      </c>
      <c r="AF234" s="5"/>
      <c r="AG234" s="5"/>
      <c r="AH234" s="5" t="s">
        <v>33</v>
      </c>
      <c r="AI234" s="5"/>
      <c r="AJ234" s="5"/>
      <c r="AK234" s="5" t="s">
        <v>36</v>
      </c>
      <c r="AL234" s="5"/>
      <c r="AM234" s="5"/>
      <c r="AN234" s="5"/>
      <c r="AO234" s="5"/>
      <c r="AP234" s="5"/>
      <c r="AQ234" s="5"/>
      <c r="AR234" s="5"/>
      <c r="AS234" s="5"/>
      <c r="AT234" s="5"/>
      <c r="AU234" s="5" t="s">
        <v>43</v>
      </c>
      <c r="AV234" s="5"/>
      <c r="AW234" s="5"/>
      <c r="AX234" s="5"/>
      <c r="AY234" s="5" t="s">
        <v>47</v>
      </c>
      <c r="AZ234" s="5" t="s">
        <v>48</v>
      </c>
      <c r="BA234" s="5"/>
      <c r="BB234" s="5"/>
      <c r="BC234" s="5"/>
      <c r="BD234" s="5"/>
      <c r="BE234" s="5"/>
      <c r="BF234" s="5" t="s">
        <v>52</v>
      </c>
      <c r="BG234" s="5" t="s">
        <v>53</v>
      </c>
      <c r="BH234" s="5"/>
      <c r="BI234" s="5"/>
      <c r="BJ234" s="5"/>
      <c r="BK234" s="5"/>
      <c r="BL234" s="5"/>
      <c r="BM234" s="5"/>
      <c r="BN234" s="5"/>
      <c r="BO234" s="5" t="s">
        <v>20</v>
      </c>
      <c r="BP234" s="5"/>
      <c r="BQ234" s="5"/>
      <c r="BR234" s="5"/>
      <c r="BS234" s="5"/>
      <c r="BT234" s="5"/>
      <c r="BU234" s="5"/>
      <c r="BV234" s="5" t="s">
        <v>65</v>
      </c>
      <c r="BW234" s="5"/>
      <c r="BX234" s="5"/>
      <c r="BY234" s="5"/>
      <c r="BZ234" s="5"/>
      <c r="CA234" s="5"/>
      <c r="CB234" s="5" t="s">
        <v>71</v>
      </c>
      <c r="CC234" s="5"/>
      <c r="CD234" s="5" t="s">
        <v>73</v>
      </c>
      <c r="CE234" s="5"/>
      <c r="CF234" s="5"/>
      <c r="CG234" s="5"/>
      <c r="CH234" s="5"/>
      <c r="CI234" s="5" t="s">
        <v>414</v>
      </c>
      <c r="CJ234" s="5">
        <v>63</v>
      </c>
      <c r="CK234" s="5" t="s">
        <v>141</v>
      </c>
      <c r="CL234" s="5" t="s">
        <v>164</v>
      </c>
      <c r="CM234" s="5" t="s">
        <v>439</v>
      </c>
      <c r="CN234" s="5" t="s">
        <v>419</v>
      </c>
      <c r="CO234" s="5" t="s">
        <v>82</v>
      </c>
      <c r="CP234" s="5" t="s">
        <v>94</v>
      </c>
      <c r="CQ234" s="5" t="s">
        <v>84</v>
      </c>
      <c r="CR234" s="5" t="s">
        <v>85</v>
      </c>
      <c r="CS234" s="5" t="s">
        <v>86</v>
      </c>
      <c r="CT234" s="5"/>
      <c r="CU234" s="5"/>
      <c r="CV234" s="5"/>
      <c r="CW234" s="5"/>
      <c r="CX234" s="5"/>
      <c r="CY234" s="5"/>
      <c r="CZ234" s="5"/>
      <c r="DA234" s="5"/>
    </row>
    <row r="235" spans="1:105">
      <c r="A235" s="5">
        <v>18019101753</v>
      </c>
      <c r="B235" s="5"/>
      <c r="C235" s="5" t="s">
        <v>17</v>
      </c>
      <c r="D235" s="5"/>
      <c r="E235" s="5"/>
      <c r="F235" s="5"/>
      <c r="G235" s="5"/>
      <c r="H235" s="5" t="s">
        <v>22</v>
      </c>
      <c r="I235" s="5"/>
      <c r="J235" s="5"/>
      <c r="K235" s="5"/>
      <c r="L235" s="5"/>
      <c r="M235" s="5"/>
      <c r="N235" s="5" t="s">
        <v>28</v>
      </c>
      <c r="O235" s="5"/>
      <c r="P235" s="5"/>
      <c r="Q235" s="5"/>
      <c r="R235" s="5"/>
      <c r="S235" s="5" t="s">
        <v>19</v>
      </c>
      <c r="T235" s="5"/>
      <c r="U235" s="5"/>
      <c r="V235" s="5"/>
      <c r="W235" s="5"/>
      <c r="X235" s="5"/>
      <c r="Y235" s="5" t="s">
        <v>25</v>
      </c>
      <c r="Z235" s="5"/>
      <c r="AA235" s="5"/>
      <c r="AB235" s="5" t="s">
        <v>28</v>
      </c>
      <c r="AC235" s="5"/>
      <c r="AD235" s="5"/>
      <c r="AE235" s="5"/>
      <c r="AF235" s="5" t="s">
        <v>31</v>
      </c>
      <c r="AG235" s="5"/>
      <c r="AH235" s="5"/>
      <c r="AI235" s="5"/>
      <c r="AJ235" s="5" t="s">
        <v>35</v>
      </c>
      <c r="AK235" s="5"/>
      <c r="AL235" s="5" t="s">
        <v>37</v>
      </c>
      <c r="AM235" s="5"/>
      <c r="AN235" s="5"/>
      <c r="AO235" s="5"/>
      <c r="AP235" s="5"/>
      <c r="AQ235" s="5"/>
      <c r="AR235" s="5" t="s">
        <v>41</v>
      </c>
      <c r="AS235" s="5"/>
      <c r="AT235" s="5"/>
      <c r="AU235" s="5" t="s">
        <v>43</v>
      </c>
      <c r="AV235" s="5" t="s">
        <v>44</v>
      </c>
      <c r="AW235" s="5"/>
      <c r="AX235" s="5"/>
      <c r="AY235" s="5"/>
      <c r="AZ235" s="5"/>
      <c r="BA235" s="5"/>
      <c r="BB235" s="5"/>
      <c r="BC235" s="5"/>
      <c r="BD235" s="5"/>
      <c r="BE235" s="5"/>
      <c r="BF235" s="5"/>
      <c r="BG235" s="5"/>
      <c r="BH235" s="5"/>
      <c r="BI235" s="5"/>
      <c r="BJ235" s="5"/>
      <c r="BK235" s="5" t="s">
        <v>57</v>
      </c>
      <c r="BL235" s="5"/>
      <c r="BM235" s="5"/>
      <c r="BN235" s="5"/>
      <c r="BO235" s="5" t="s">
        <v>20</v>
      </c>
      <c r="BP235" s="5"/>
      <c r="BQ235" s="5"/>
      <c r="BR235" s="5"/>
      <c r="BS235" s="5" t="s">
        <v>63</v>
      </c>
      <c r="BT235" s="5"/>
      <c r="BU235" s="5"/>
      <c r="BV235" s="5"/>
      <c r="BW235" s="5"/>
      <c r="BX235" s="5" t="s">
        <v>67</v>
      </c>
      <c r="BY235" s="5"/>
      <c r="BZ235" s="5"/>
      <c r="CA235" s="5"/>
      <c r="CB235" s="5" t="s">
        <v>71</v>
      </c>
      <c r="CC235" s="5"/>
      <c r="CD235" s="5"/>
      <c r="CE235" s="5" t="s">
        <v>74</v>
      </c>
      <c r="CF235" s="5"/>
      <c r="CG235" s="5"/>
      <c r="CH235" s="5"/>
      <c r="CI235" s="5" t="s">
        <v>417</v>
      </c>
      <c r="CJ235" s="5">
        <v>22</v>
      </c>
      <c r="CK235" s="5" t="s">
        <v>141</v>
      </c>
      <c r="CL235" s="5" t="s">
        <v>171</v>
      </c>
      <c r="CM235" s="5" t="s">
        <v>415</v>
      </c>
      <c r="CN235" s="5" t="s">
        <v>416</v>
      </c>
      <c r="CO235" s="5" t="s">
        <v>451</v>
      </c>
      <c r="CP235" s="5"/>
      <c r="CQ235" s="5" t="s">
        <v>88</v>
      </c>
      <c r="CR235" s="5" t="s">
        <v>89</v>
      </c>
      <c r="CS235" s="5" t="s">
        <v>86</v>
      </c>
      <c r="CT235" s="5"/>
      <c r="CU235" s="5"/>
      <c r="CV235" s="5"/>
      <c r="CW235" s="5"/>
      <c r="CX235" s="5"/>
      <c r="CY235" s="5"/>
      <c r="CZ235" s="5"/>
      <c r="DA235" s="5"/>
    </row>
    <row r="236" spans="1:105">
      <c r="A236" s="5">
        <v>18019101576</v>
      </c>
      <c r="B236" s="5"/>
      <c r="C236" s="5"/>
      <c r="D236" s="5"/>
      <c r="E236" s="5"/>
      <c r="F236" s="5" t="s">
        <v>20</v>
      </c>
      <c r="G236" s="5"/>
      <c r="H236" s="5"/>
      <c r="I236" s="5" t="s">
        <v>23</v>
      </c>
      <c r="J236" s="5" t="s">
        <v>24</v>
      </c>
      <c r="K236" s="5"/>
      <c r="L236" s="5"/>
      <c r="M236" s="5"/>
      <c r="N236" s="5"/>
      <c r="O236" s="5"/>
      <c r="P236" s="5"/>
      <c r="Q236" s="5"/>
      <c r="R236" s="5" t="s">
        <v>18</v>
      </c>
      <c r="S236" s="5" t="s">
        <v>19</v>
      </c>
      <c r="T236" s="5"/>
      <c r="U236" s="5"/>
      <c r="V236" s="5"/>
      <c r="W236" s="5"/>
      <c r="X236" s="5"/>
      <c r="Y236" s="5" t="s">
        <v>25</v>
      </c>
      <c r="Z236" s="5"/>
      <c r="AA236" s="5"/>
      <c r="AB236" s="5"/>
      <c r="AC236" s="5"/>
      <c r="AD236" s="5" t="s">
        <v>29</v>
      </c>
      <c r="AE236" s="5"/>
      <c r="AF236" s="5"/>
      <c r="AG236" s="5"/>
      <c r="AH236" s="5"/>
      <c r="AI236" s="5"/>
      <c r="AJ236" s="5"/>
      <c r="AK236" s="5"/>
      <c r="AL236" s="5" t="s">
        <v>37</v>
      </c>
      <c r="AM236" s="5" t="s">
        <v>375</v>
      </c>
      <c r="AN236" s="5"/>
      <c r="AO236" s="5"/>
      <c r="AP236" s="5"/>
      <c r="AQ236" s="5" t="s">
        <v>40</v>
      </c>
      <c r="AR236" s="5"/>
      <c r="AS236" s="5" t="s">
        <v>42</v>
      </c>
      <c r="AT236" s="5"/>
      <c r="AU236" s="5"/>
      <c r="AV236" s="5"/>
      <c r="AW236" s="5"/>
      <c r="AX236" s="5"/>
      <c r="AY236" s="5" t="s">
        <v>47</v>
      </c>
      <c r="AZ236" s="5"/>
      <c r="BA236" s="5"/>
      <c r="BB236" s="5"/>
      <c r="BC236" s="5"/>
      <c r="BD236" s="5"/>
      <c r="BE236" s="5" t="s">
        <v>17</v>
      </c>
      <c r="BF236" s="5"/>
      <c r="BG236" s="5"/>
      <c r="BH236" s="5"/>
      <c r="BI236" s="5"/>
      <c r="BJ236" s="5"/>
      <c r="BK236" s="5"/>
      <c r="BL236" s="5"/>
      <c r="BM236" s="5"/>
      <c r="BN236" s="5" t="s">
        <v>24</v>
      </c>
      <c r="BO236" s="5"/>
      <c r="BP236" s="5"/>
      <c r="BQ236" s="5"/>
      <c r="BR236" s="5"/>
      <c r="BS236" s="5" t="s">
        <v>63</v>
      </c>
      <c r="BT236" s="5"/>
      <c r="BU236" s="5"/>
      <c r="BV236" s="5"/>
      <c r="BW236" s="5" t="s">
        <v>66</v>
      </c>
      <c r="BX236" s="5"/>
      <c r="BY236" s="5"/>
      <c r="BZ236" s="5" t="s">
        <v>69</v>
      </c>
      <c r="CA236" s="5"/>
      <c r="CB236" s="5"/>
      <c r="CC236" s="5"/>
      <c r="CD236" s="5"/>
      <c r="CE236" s="5"/>
      <c r="CF236" s="5"/>
      <c r="CG236" s="5" t="s">
        <v>76</v>
      </c>
      <c r="CH236" s="5"/>
      <c r="CI236" s="5"/>
      <c r="CJ236" s="5"/>
      <c r="CK236" s="5"/>
      <c r="CL236" s="5"/>
      <c r="CM236" s="5"/>
      <c r="CN236" s="5"/>
      <c r="CO236" s="5"/>
      <c r="CP236" s="5"/>
      <c r="CQ236" s="5"/>
      <c r="CR236" s="5"/>
      <c r="CS236" s="5"/>
      <c r="CT236" s="5"/>
      <c r="CU236" s="5"/>
      <c r="CV236" s="5"/>
      <c r="CW236" s="5"/>
      <c r="CX236" s="5"/>
      <c r="CY236" s="5"/>
      <c r="CZ236" s="5"/>
      <c r="DA236" s="5"/>
    </row>
    <row r="237" spans="1:105">
      <c r="A237" s="5">
        <v>18019101345</v>
      </c>
      <c r="B237" s="5"/>
      <c r="C237" s="5"/>
      <c r="D237" s="5"/>
      <c r="E237" s="5"/>
      <c r="F237" s="5" t="s">
        <v>20</v>
      </c>
      <c r="G237" s="5" t="s">
        <v>21</v>
      </c>
      <c r="H237" s="5"/>
      <c r="I237" s="5"/>
      <c r="J237" s="5"/>
      <c r="K237" s="5" t="s">
        <v>25</v>
      </c>
      <c r="L237" s="5"/>
      <c r="M237" s="5"/>
      <c r="N237" s="5"/>
      <c r="O237" s="5"/>
      <c r="P237" s="5"/>
      <c r="Q237" s="5"/>
      <c r="R237" s="5" t="s">
        <v>18</v>
      </c>
      <c r="S237" s="5"/>
      <c r="T237" s="5"/>
      <c r="U237" s="5"/>
      <c r="V237" s="5"/>
      <c r="W237" s="5"/>
      <c r="X237" s="5"/>
      <c r="Y237" s="5" t="s">
        <v>25</v>
      </c>
      <c r="Z237" s="5"/>
      <c r="AA237" s="5"/>
      <c r="AB237" s="5" t="s">
        <v>28</v>
      </c>
      <c r="AC237" s="5"/>
      <c r="AD237" s="5"/>
      <c r="AE237" s="5"/>
      <c r="AF237" s="5" t="s">
        <v>31</v>
      </c>
      <c r="AG237" s="5" t="s">
        <v>32</v>
      </c>
      <c r="AH237" s="5"/>
      <c r="AI237" s="5"/>
      <c r="AJ237" s="5"/>
      <c r="AK237" s="5"/>
      <c r="AL237" s="5"/>
      <c r="AM237" s="5" t="s">
        <v>375</v>
      </c>
      <c r="AN237" s="5"/>
      <c r="AO237" s="5" t="s">
        <v>38</v>
      </c>
      <c r="AP237" s="5"/>
      <c r="AQ237" s="5"/>
      <c r="AR237" s="5"/>
      <c r="AS237" s="5"/>
      <c r="AT237" s="5"/>
      <c r="AU237" s="5"/>
      <c r="AV237" s="5" t="s">
        <v>44</v>
      </c>
      <c r="AW237" s="5"/>
      <c r="AX237" s="5"/>
      <c r="AY237" s="5"/>
      <c r="AZ237" s="5" t="s">
        <v>48</v>
      </c>
      <c r="BA237" s="5"/>
      <c r="BB237" s="5"/>
      <c r="BC237" s="5"/>
      <c r="BD237" s="5"/>
      <c r="BE237" s="5" t="s">
        <v>17</v>
      </c>
      <c r="BF237" s="5" t="s">
        <v>52</v>
      </c>
      <c r="BG237" s="5"/>
      <c r="BH237" s="5"/>
      <c r="BI237" s="5"/>
      <c r="BJ237" s="5"/>
      <c r="BK237" s="5"/>
      <c r="BL237" s="5"/>
      <c r="BM237" s="5"/>
      <c r="BN237" s="5"/>
      <c r="BO237" s="5"/>
      <c r="BP237" s="5"/>
      <c r="BQ237" s="5"/>
      <c r="BR237" s="5"/>
      <c r="BS237" s="5" t="s">
        <v>63</v>
      </c>
      <c r="BT237" s="5"/>
      <c r="BU237" s="5" t="s">
        <v>64</v>
      </c>
      <c r="BV237" s="5"/>
      <c r="BW237" s="5"/>
      <c r="BX237" s="5" t="s">
        <v>67</v>
      </c>
      <c r="BY237" s="5"/>
      <c r="BZ237" s="5"/>
      <c r="CA237" s="5"/>
      <c r="CB237" s="5"/>
      <c r="CC237" s="5"/>
      <c r="CD237" s="5"/>
      <c r="CE237" s="5"/>
      <c r="CF237" s="5" t="s">
        <v>75</v>
      </c>
      <c r="CG237" s="5"/>
      <c r="CH237" s="5"/>
      <c r="CI237" s="5" t="s">
        <v>414</v>
      </c>
      <c r="CJ237" s="5">
        <v>82</v>
      </c>
      <c r="CK237" s="5" t="s">
        <v>141</v>
      </c>
      <c r="CL237" s="5" t="s">
        <v>164</v>
      </c>
      <c r="CM237" s="5" t="s">
        <v>423</v>
      </c>
      <c r="CN237" s="5" t="s">
        <v>419</v>
      </c>
      <c r="CO237" s="5" t="s">
        <v>82</v>
      </c>
      <c r="CP237" s="5" t="s">
        <v>94</v>
      </c>
      <c r="CQ237" s="5" t="s">
        <v>103</v>
      </c>
      <c r="CR237" s="5" t="s">
        <v>99</v>
      </c>
      <c r="CS237" s="5" t="s">
        <v>86</v>
      </c>
      <c r="CT237" s="5"/>
      <c r="CU237" s="5"/>
      <c r="CV237" s="5"/>
      <c r="CW237" s="5"/>
      <c r="CX237" s="5"/>
      <c r="CY237" s="5"/>
      <c r="CZ237" s="5"/>
      <c r="DA237" s="5"/>
    </row>
    <row r="238" spans="1:105">
      <c r="A238" s="5">
        <v>18019101072</v>
      </c>
      <c r="B238" s="5"/>
      <c r="C238" s="5"/>
      <c r="D238" s="5"/>
      <c r="E238" s="5" t="s">
        <v>19</v>
      </c>
      <c r="F238" s="5" t="s">
        <v>20</v>
      </c>
      <c r="G238" s="5"/>
      <c r="H238" s="5"/>
      <c r="I238" s="5"/>
      <c r="J238" s="5"/>
      <c r="K238" s="5"/>
      <c r="L238" s="5" t="s">
        <v>26</v>
      </c>
      <c r="M238" s="5"/>
      <c r="N238" s="5"/>
      <c r="O238" s="5"/>
      <c r="P238" s="5"/>
      <c r="Q238" s="5" t="s">
        <v>17</v>
      </c>
      <c r="R238" s="5" t="s">
        <v>18</v>
      </c>
      <c r="S238" s="5"/>
      <c r="T238" s="5"/>
      <c r="U238" s="5"/>
      <c r="V238" s="5" t="s">
        <v>22</v>
      </c>
      <c r="W238" s="5"/>
      <c r="X238" s="5"/>
      <c r="Y238" s="5"/>
      <c r="Z238" s="5"/>
      <c r="AA238" s="5"/>
      <c r="AB238" s="5"/>
      <c r="AC238" s="5"/>
      <c r="AD238" s="5"/>
      <c r="AE238" s="5"/>
      <c r="AF238" s="5" t="s">
        <v>31</v>
      </c>
      <c r="AG238" s="5"/>
      <c r="AH238" s="5"/>
      <c r="AI238" s="5"/>
      <c r="AJ238" s="5"/>
      <c r="AK238" s="5" t="s">
        <v>36</v>
      </c>
      <c r="AL238" s="5" t="s">
        <v>37</v>
      </c>
      <c r="AM238" s="5"/>
      <c r="AN238" s="5"/>
      <c r="AO238" s="5"/>
      <c r="AP238" s="5"/>
      <c r="AQ238" s="5"/>
      <c r="AR238" s="5" t="s">
        <v>41</v>
      </c>
      <c r="AS238" s="5"/>
      <c r="AT238" s="5" t="s">
        <v>37</v>
      </c>
      <c r="AU238" s="5"/>
      <c r="AV238" s="5"/>
      <c r="AW238" s="5"/>
      <c r="AX238" s="5"/>
      <c r="AY238" s="5"/>
      <c r="AZ238" s="5" t="s">
        <v>48</v>
      </c>
      <c r="BA238" s="5"/>
      <c r="BB238" s="5"/>
      <c r="BC238" s="5"/>
      <c r="BD238" s="5"/>
      <c r="BE238" s="5"/>
      <c r="BF238" s="5"/>
      <c r="BG238" s="5"/>
      <c r="BH238" s="5" t="s">
        <v>54</v>
      </c>
      <c r="BI238" s="5"/>
      <c r="BJ238" s="5"/>
      <c r="BK238" s="5"/>
      <c r="BL238" s="5"/>
      <c r="BM238" s="5" t="s">
        <v>59</v>
      </c>
      <c r="BN238" s="5" t="s">
        <v>24</v>
      </c>
      <c r="BO238" s="5"/>
      <c r="BP238" s="5"/>
      <c r="BQ238" s="5"/>
      <c r="BR238" s="5"/>
      <c r="BS238" s="5"/>
      <c r="BT238" s="5"/>
      <c r="BU238" s="5"/>
      <c r="BV238" s="5"/>
      <c r="BW238" s="5"/>
      <c r="BX238" s="5" t="s">
        <v>67</v>
      </c>
      <c r="BY238" s="5"/>
      <c r="BZ238" s="5"/>
      <c r="CA238" s="5"/>
      <c r="CB238" s="5"/>
      <c r="CC238" s="5"/>
      <c r="CD238" s="5"/>
      <c r="CE238" s="5"/>
      <c r="CF238" s="5" t="s">
        <v>75</v>
      </c>
      <c r="CG238" s="5" t="s">
        <v>76</v>
      </c>
      <c r="CH238" s="5"/>
      <c r="CI238" s="5" t="s">
        <v>414</v>
      </c>
      <c r="CJ238" s="5">
        <v>18</v>
      </c>
      <c r="CK238" s="5" t="s">
        <v>141</v>
      </c>
      <c r="CL238" s="5" t="s">
        <v>164</v>
      </c>
      <c r="CM238" s="5" t="s">
        <v>418</v>
      </c>
      <c r="CN238" s="5" t="s">
        <v>419</v>
      </c>
      <c r="CO238" s="5" t="s">
        <v>82</v>
      </c>
      <c r="CP238" s="5" t="s">
        <v>90</v>
      </c>
      <c r="CQ238" s="5" t="s">
        <v>88</v>
      </c>
      <c r="CR238" s="5" t="s">
        <v>89</v>
      </c>
      <c r="CS238" s="5" t="s">
        <v>86</v>
      </c>
      <c r="CT238" s="5"/>
      <c r="CU238" s="5"/>
      <c r="CV238" s="5"/>
      <c r="CW238" s="5"/>
      <c r="CX238" s="5"/>
      <c r="CY238" s="5"/>
      <c r="CZ238" s="5"/>
      <c r="DA238" s="5"/>
    </row>
    <row r="239" spans="1:105">
      <c r="A239" s="5">
        <v>18019100917</v>
      </c>
      <c r="B239" s="5" t="s">
        <v>16</v>
      </c>
      <c r="C239" s="5"/>
      <c r="D239" s="5"/>
      <c r="E239" s="5"/>
      <c r="F239" s="5"/>
      <c r="G239" s="5"/>
      <c r="H239" s="5"/>
      <c r="I239" s="5"/>
      <c r="J239" s="5" t="s">
        <v>24</v>
      </c>
      <c r="K239" s="5" t="s">
        <v>25</v>
      </c>
      <c r="L239" s="5"/>
      <c r="M239" s="5"/>
      <c r="N239" s="5"/>
      <c r="O239" s="5"/>
      <c r="P239" s="5"/>
      <c r="Q239" s="5"/>
      <c r="R239" s="5"/>
      <c r="S239" s="5"/>
      <c r="T239" s="5"/>
      <c r="U239" s="5"/>
      <c r="V239" s="5"/>
      <c r="W239" s="5" t="s">
        <v>23</v>
      </c>
      <c r="X239" s="5"/>
      <c r="Y239" s="5"/>
      <c r="Z239" s="5" t="s">
        <v>26</v>
      </c>
      <c r="AA239" s="5"/>
      <c r="AB239" s="5" t="s">
        <v>28</v>
      </c>
      <c r="AC239" s="5"/>
      <c r="AD239" s="5"/>
      <c r="AE239" s="5"/>
      <c r="AF239" s="5" t="s">
        <v>31</v>
      </c>
      <c r="AG239" s="5" t="s">
        <v>32</v>
      </c>
      <c r="AH239" s="5"/>
      <c r="AI239" s="5"/>
      <c r="AJ239" s="5"/>
      <c r="AK239" s="5"/>
      <c r="AL239" s="5"/>
      <c r="AM239" s="5"/>
      <c r="AN239" s="5"/>
      <c r="AO239" s="5"/>
      <c r="AP239" s="5"/>
      <c r="AQ239" s="5" t="s">
        <v>40</v>
      </c>
      <c r="AR239" s="5"/>
      <c r="AS239" s="5"/>
      <c r="AT239" s="5"/>
      <c r="AU239" s="5"/>
      <c r="AV239" s="5"/>
      <c r="AW239" s="5" t="s">
        <v>45</v>
      </c>
      <c r="AX239" s="5"/>
      <c r="AY239" s="5"/>
      <c r="AZ239" s="5"/>
      <c r="BA239" s="5"/>
      <c r="BB239" s="5"/>
      <c r="BC239" s="5" t="s">
        <v>50</v>
      </c>
      <c r="BD239" s="5"/>
      <c r="BE239" s="5"/>
      <c r="BF239" s="5"/>
      <c r="BG239" s="5"/>
      <c r="BH239" s="5"/>
      <c r="BI239" s="5"/>
      <c r="BJ239" s="5" t="s">
        <v>56</v>
      </c>
      <c r="BK239" s="5"/>
      <c r="BL239" s="5"/>
      <c r="BM239" s="5"/>
      <c r="BN239" s="5"/>
      <c r="BO239" s="5"/>
      <c r="BP239" s="5"/>
      <c r="BQ239" s="5"/>
      <c r="BR239" s="5"/>
      <c r="BS239" s="5" t="s">
        <v>63</v>
      </c>
      <c r="BT239" s="5"/>
      <c r="BU239" s="5"/>
      <c r="BV239" s="5"/>
      <c r="BW239" s="5" t="s">
        <v>66</v>
      </c>
      <c r="BX239" s="5"/>
      <c r="BY239" s="5"/>
      <c r="BZ239" s="5"/>
      <c r="CA239" s="5"/>
      <c r="CB239" s="5"/>
      <c r="CC239" s="5"/>
      <c r="CD239" s="5"/>
      <c r="CE239" s="5"/>
      <c r="CF239" s="5" t="s">
        <v>75</v>
      </c>
      <c r="CG239" s="5"/>
      <c r="CH239" s="5"/>
      <c r="CI239" s="5" t="s">
        <v>417</v>
      </c>
      <c r="CJ239" s="5">
        <v>34</v>
      </c>
      <c r="CK239" s="5" t="s">
        <v>141</v>
      </c>
      <c r="CL239" s="5" t="s">
        <v>155</v>
      </c>
      <c r="CM239" s="5" t="s">
        <v>439</v>
      </c>
      <c r="CN239" s="5" t="s">
        <v>419</v>
      </c>
      <c r="CO239" s="5" t="s">
        <v>82</v>
      </c>
      <c r="CP239" s="5" t="s">
        <v>90</v>
      </c>
      <c r="CQ239" s="5" t="s">
        <v>102</v>
      </c>
      <c r="CR239" s="5" t="s">
        <v>92</v>
      </c>
      <c r="CS239" s="5" t="s">
        <v>81</v>
      </c>
      <c r="CT239" s="5"/>
      <c r="CU239" s="5"/>
      <c r="CV239" s="5"/>
      <c r="CW239" s="5"/>
      <c r="CX239" s="5"/>
      <c r="CY239" s="5"/>
      <c r="CZ239" s="5"/>
      <c r="DA239" s="5"/>
    </row>
    <row r="240" spans="1:105">
      <c r="A240" s="5">
        <v>18019100690</v>
      </c>
      <c r="B240" s="5"/>
      <c r="C240" s="5" t="s">
        <v>17</v>
      </c>
      <c r="D240" s="5"/>
      <c r="E240" s="5"/>
      <c r="F240" s="5"/>
      <c r="G240" s="5" t="s">
        <v>21</v>
      </c>
      <c r="H240" s="5"/>
      <c r="I240" s="5"/>
      <c r="J240" s="5"/>
      <c r="K240" s="5"/>
      <c r="L240" s="5"/>
      <c r="M240" s="5"/>
      <c r="N240" s="5"/>
      <c r="O240" s="5"/>
      <c r="P240" s="5"/>
      <c r="Q240" s="5"/>
      <c r="R240" s="5" t="s">
        <v>18</v>
      </c>
      <c r="S240" s="5"/>
      <c r="T240" s="5" t="s">
        <v>20</v>
      </c>
      <c r="U240" s="5"/>
      <c r="V240" s="5"/>
      <c r="W240" s="5"/>
      <c r="X240" s="5"/>
      <c r="Y240" s="5" t="s">
        <v>25</v>
      </c>
      <c r="Z240" s="5"/>
      <c r="AA240" s="5"/>
      <c r="AB240" s="5"/>
      <c r="AC240" s="5"/>
      <c r="AD240" s="5"/>
      <c r="AE240" s="5"/>
      <c r="AF240" s="5"/>
      <c r="AG240" s="5" t="s">
        <v>32</v>
      </c>
      <c r="AH240" s="5"/>
      <c r="AI240" s="5" t="s">
        <v>34</v>
      </c>
      <c r="AJ240" s="5"/>
      <c r="AK240" s="5"/>
      <c r="AL240" s="5"/>
      <c r="AM240" s="5" t="s">
        <v>375</v>
      </c>
      <c r="AN240" s="5"/>
      <c r="AO240" s="5"/>
      <c r="AP240" s="5"/>
      <c r="AQ240" s="5"/>
      <c r="AR240" s="5"/>
      <c r="AS240" s="5" t="s">
        <v>42</v>
      </c>
      <c r="AT240" s="5"/>
      <c r="AU240" s="5"/>
      <c r="AV240" s="5" t="s">
        <v>44</v>
      </c>
      <c r="AW240" s="5"/>
      <c r="AX240" s="5"/>
      <c r="AY240" s="5" t="s">
        <v>47</v>
      </c>
      <c r="AZ240" s="5"/>
      <c r="BA240" s="5"/>
      <c r="BB240" s="5"/>
      <c r="BC240" s="5" t="s">
        <v>50</v>
      </c>
      <c r="BD240" s="5"/>
      <c r="BE240" s="5"/>
      <c r="BF240" s="5" t="s">
        <v>52</v>
      </c>
      <c r="BG240" s="5"/>
      <c r="BH240" s="5"/>
      <c r="BI240" s="5" t="s">
        <v>55</v>
      </c>
      <c r="BJ240" s="5"/>
      <c r="BK240" s="5"/>
      <c r="BL240" s="5"/>
      <c r="BM240" s="5"/>
      <c r="BN240" s="5"/>
      <c r="BO240" s="5"/>
      <c r="BP240" s="5"/>
      <c r="BQ240" s="5"/>
      <c r="BR240" s="5"/>
      <c r="BS240" s="5"/>
      <c r="BT240" s="5"/>
      <c r="BU240" s="5" t="s">
        <v>64</v>
      </c>
      <c r="BV240" s="5" t="s">
        <v>65</v>
      </c>
      <c r="BW240" s="5"/>
      <c r="BX240" s="5"/>
      <c r="BY240" s="5"/>
      <c r="BZ240" s="5"/>
      <c r="CA240" s="5"/>
      <c r="CB240" s="5" t="s">
        <v>71</v>
      </c>
      <c r="CC240" s="5"/>
      <c r="CD240" s="5"/>
      <c r="CE240" s="5"/>
      <c r="CF240" s="5"/>
      <c r="CG240" s="5"/>
      <c r="CH240" s="5"/>
      <c r="CI240" s="5" t="s">
        <v>417</v>
      </c>
      <c r="CJ240" s="5">
        <v>28</v>
      </c>
      <c r="CK240" s="5" t="s">
        <v>141</v>
      </c>
      <c r="CL240" s="5" t="s">
        <v>379</v>
      </c>
      <c r="CM240" s="5" t="s">
        <v>418</v>
      </c>
      <c r="CN240" s="5" t="s">
        <v>419</v>
      </c>
      <c r="CO240" s="5" t="s">
        <v>82</v>
      </c>
      <c r="CP240" s="5" t="s">
        <v>93</v>
      </c>
      <c r="CQ240" s="5" t="s">
        <v>84</v>
      </c>
      <c r="CR240" s="5" t="s">
        <v>85</v>
      </c>
      <c r="CS240" s="5" t="s">
        <v>86</v>
      </c>
      <c r="CT240" s="5"/>
      <c r="CU240" s="5"/>
      <c r="CV240" s="5"/>
      <c r="CW240" s="5"/>
      <c r="CX240" s="5"/>
      <c r="CY240" s="5"/>
      <c r="CZ240" s="5"/>
      <c r="DA240" s="5"/>
    </row>
    <row r="241" spans="1:105">
      <c r="A241" s="5">
        <v>18019098685</v>
      </c>
      <c r="B241" s="5"/>
      <c r="C241" s="5" t="s">
        <v>17</v>
      </c>
      <c r="D241" s="5"/>
      <c r="E241" s="5"/>
      <c r="F241" s="5"/>
      <c r="G241" s="5" t="s">
        <v>21</v>
      </c>
      <c r="H241" s="5"/>
      <c r="I241" s="5"/>
      <c r="J241" s="5"/>
      <c r="K241" s="5"/>
      <c r="L241" s="5"/>
      <c r="M241" s="5"/>
      <c r="N241" s="5" t="s">
        <v>28</v>
      </c>
      <c r="O241" s="5"/>
      <c r="P241" s="5"/>
      <c r="Q241" s="5"/>
      <c r="R241" s="5"/>
      <c r="S241" s="5" t="s">
        <v>19</v>
      </c>
      <c r="T241" s="5"/>
      <c r="U241" s="5"/>
      <c r="V241" s="5"/>
      <c r="W241" s="5"/>
      <c r="X241" s="5" t="s">
        <v>24</v>
      </c>
      <c r="Y241" s="5" t="s">
        <v>25</v>
      </c>
      <c r="Z241" s="5"/>
      <c r="AA241" s="5"/>
      <c r="AB241" s="5"/>
      <c r="AC241" s="5"/>
      <c r="AD241" s="5"/>
      <c r="AE241" s="5"/>
      <c r="AF241" s="5"/>
      <c r="AG241" s="5"/>
      <c r="AH241" s="5" t="s">
        <v>33</v>
      </c>
      <c r="AI241" s="5" t="s">
        <v>34</v>
      </c>
      <c r="AJ241" s="5" t="s">
        <v>35</v>
      </c>
      <c r="AK241" s="5"/>
      <c r="AL241" s="5"/>
      <c r="AM241" s="5"/>
      <c r="AN241" s="5"/>
      <c r="AO241" s="5" t="s">
        <v>38</v>
      </c>
      <c r="AP241" s="5"/>
      <c r="AQ241" s="5"/>
      <c r="AR241" s="5"/>
      <c r="AS241" s="5"/>
      <c r="AT241" s="5"/>
      <c r="AU241" s="5"/>
      <c r="AV241" s="5"/>
      <c r="AW241" s="5"/>
      <c r="AX241" s="5"/>
      <c r="AY241" s="5" t="s">
        <v>47</v>
      </c>
      <c r="AZ241" s="5"/>
      <c r="BA241" s="5"/>
      <c r="BB241" s="5"/>
      <c r="BC241" s="5"/>
      <c r="BD241" s="5"/>
      <c r="BE241" s="5" t="s">
        <v>17</v>
      </c>
      <c r="BF241" s="5"/>
      <c r="BG241" s="5"/>
      <c r="BH241" s="5"/>
      <c r="BI241" s="5"/>
      <c r="BJ241" s="5"/>
      <c r="BK241" s="5"/>
      <c r="BL241" s="5"/>
      <c r="BM241" s="5"/>
      <c r="BN241" s="5"/>
      <c r="BO241" s="5" t="s">
        <v>20</v>
      </c>
      <c r="BP241" s="5"/>
      <c r="BQ241" s="5"/>
      <c r="BR241" s="5"/>
      <c r="BS241" s="5"/>
      <c r="BT241" s="5"/>
      <c r="BU241" s="5" t="s">
        <v>64</v>
      </c>
      <c r="BV241" s="5"/>
      <c r="BW241" s="5"/>
      <c r="BX241" s="5" t="s">
        <v>67</v>
      </c>
      <c r="BY241" s="5"/>
      <c r="BZ241" s="5"/>
      <c r="CA241" s="5"/>
      <c r="CB241" s="5"/>
      <c r="CC241" s="5"/>
      <c r="CD241" s="5"/>
      <c r="CE241" s="5"/>
      <c r="CF241" s="5" t="s">
        <v>75</v>
      </c>
      <c r="CG241" s="5" t="s">
        <v>76</v>
      </c>
      <c r="CH241" s="5"/>
      <c r="CI241" s="5" t="s">
        <v>414</v>
      </c>
      <c r="CJ241" s="5">
        <v>27</v>
      </c>
      <c r="CK241" s="5" t="s">
        <v>141</v>
      </c>
      <c r="CL241" s="5" t="s">
        <v>377</v>
      </c>
      <c r="CM241" s="5" t="s">
        <v>418</v>
      </c>
      <c r="CN241" s="5"/>
      <c r="CO241" s="5" t="s">
        <v>427</v>
      </c>
      <c r="CP241" s="5" t="s">
        <v>94</v>
      </c>
      <c r="CQ241" s="5" t="s">
        <v>84</v>
      </c>
      <c r="CR241" s="5" t="s">
        <v>89</v>
      </c>
      <c r="CS241" s="5" t="s">
        <v>86</v>
      </c>
      <c r="CT241" s="5"/>
      <c r="CU241" s="5"/>
      <c r="CV241" s="5"/>
      <c r="CW241" s="5"/>
      <c r="CX241" s="5"/>
      <c r="CY241" s="5"/>
      <c r="CZ241" s="5"/>
      <c r="DA241" s="5"/>
    </row>
    <row r="242" spans="1:105">
      <c r="A242" s="5">
        <v>18019098565</v>
      </c>
      <c r="B242" s="5"/>
      <c r="C242" s="5" t="s">
        <v>17</v>
      </c>
      <c r="D242" s="5"/>
      <c r="E242" s="5" t="s">
        <v>19</v>
      </c>
      <c r="F242" s="5"/>
      <c r="G242" s="5"/>
      <c r="H242" s="5"/>
      <c r="I242" s="5"/>
      <c r="J242" s="5"/>
      <c r="K242" s="5" t="s">
        <v>25</v>
      </c>
      <c r="L242" s="5"/>
      <c r="M242" s="5"/>
      <c r="N242" s="5"/>
      <c r="O242" s="5"/>
      <c r="P242" s="5"/>
      <c r="Q242" s="5" t="s">
        <v>17</v>
      </c>
      <c r="R242" s="5"/>
      <c r="S242" s="5" t="s">
        <v>19</v>
      </c>
      <c r="T242" s="5"/>
      <c r="U242" s="5"/>
      <c r="V242" s="5"/>
      <c r="W242" s="5"/>
      <c r="X242" s="5"/>
      <c r="Y242" s="5" t="s">
        <v>25</v>
      </c>
      <c r="Z242" s="5"/>
      <c r="AA242" s="5"/>
      <c r="AB242" s="5"/>
      <c r="AC242" s="5"/>
      <c r="AD242" s="5"/>
      <c r="AE242" s="5"/>
      <c r="AF242" s="5"/>
      <c r="AG242" s="5" t="s">
        <v>32</v>
      </c>
      <c r="AH242" s="5"/>
      <c r="AI242" s="5"/>
      <c r="AJ242" s="5"/>
      <c r="AK242" s="5" t="s">
        <v>36</v>
      </c>
      <c r="AL242" s="5"/>
      <c r="AM242" s="5" t="s">
        <v>375</v>
      </c>
      <c r="AN242" s="5"/>
      <c r="AO242" s="5"/>
      <c r="AP242" s="5" t="s">
        <v>39</v>
      </c>
      <c r="AQ242" s="5" t="s">
        <v>40</v>
      </c>
      <c r="AR242" s="5"/>
      <c r="AS242" s="5"/>
      <c r="AT242" s="5"/>
      <c r="AU242" s="5"/>
      <c r="AV242" s="5"/>
      <c r="AW242" s="5"/>
      <c r="AX242" s="5" t="s">
        <v>46</v>
      </c>
      <c r="AY242" s="5" t="s">
        <v>47</v>
      </c>
      <c r="AZ242" s="5"/>
      <c r="BA242" s="5"/>
      <c r="BB242" s="5"/>
      <c r="BC242" s="5"/>
      <c r="BD242" s="5" t="s">
        <v>51</v>
      </c>
      <c r="BE242" s="5" t="s">
        <v>17</v>
      </c>
      <c r="BF242" s="5"/>
      <c r="BG242" s="5"/>
      <c r="BH242" s="5"/>
      <c r="BI242" s="5" t="s">
        <v>55</v>
      </c>
      <c r="BJ242" s="5"/>
      <c r="BK242" s="5"/>
      <c r="BL242" s="5"/>
      <c r="BM242" s="5"/>
      <c r="BN242" s="5"/>
      <c r="BO242" s="5"/>
      <c r="BP242" s="5"/>
      <c r="BQ242" s="5"/>
      <c r="BR242" s="5"/>
      <c r="BS242" s="5"/>
      <c r="BT242" s="5"/>
      <c r="BU242" s="5" t="s">
        <v>64</v>
      </c>
      <c r="BV242" s="5"/>
      <c r="BW242" s="5" t="s">
        <v>66</v>
      </c>
      <c r="BX242" s="5" t="s">
        <v>67</v>
      </c>
      <c r="BY242" s="5"/>
      <c r="BZ242" s="5"/>
      <c r="CA242" s="5"/>
      <c r="CB242" s="5"/>
      <c r="CC242" s="5" t="s">
        <v>72</v>
      </c>
      <c r="CD242" s="5"/>
      <c r="CE242" s="5"/>
      <c r="CF242" s="5" t="s">
        <v>75</v>
      </c>
      <c r="CG242" s="5" t="s">
        <v>76</v>
      </c>
      <c r="CH242" s="5"/>
      <c r="CI242" s="5" t="s">
        <v>414</v>
      </c>
      <c r="CJ242" s="5">
        <v>22</v>
      </c>
      <c r="CK242" s="5" t="s">
        <v>141</v>
      </c>
      <c r="CL242" s="5" t="s">
        <v>377</v>
      </c>
      <c r="CM242" s="5" t="s">
        <v>418</v>
      </c>
      <c r="CN242" s="5" t="s">
        <v>419</v>
      </c>
      <c r="CO242" s="5" t="s">
        <v>452</v>
      </c>
      <c r="CP242" s="5" t="s">
        <v>94</v>
      </c>
      <c r="CQ242" s="5" t="s">
        <v>88</v>
      </c>
      <c r="CR242" s="5" t="s">
        <v>89</v>
      </c>
      <c r="CS242" s="5" t="s">
        <v>81</v>
      </c>
      <c r="CT242" s="5"/>
      <c r="CU242" s="5"/>
      <c r="CV242" s="5"/>
      <c r="CW242" s="5"/>
      <c r="CX242" s="5"/>
      <c r="CY242" s="5"/>
      <c r="CZ242" s="5"/>
      <c r="DA242" s="5"/>
    </row>
    <row r="243" spans="1:105">
      <c r="A243" s="5">
        <v>18019098372</v>
      </c>
      <c r="B243" s="5"/>
      <c r="C243" s="5" t="s">
        <v>17</v>
      </c>
      <c r="D243" s="5"/>
      <c r="E243" s="5"/>
      <c r="F243" s="5"/>
      <c r="G243" s="5"/>
      <c r="H243" s="5"/>
      <c r="I243" s="5"/>
      <c r="J243" s="5"/>
      <c r="K243" s="5" t="s">
        <v>25</v>
      </c>
      <c r="L243" s="5" t="s">
        <v>26</v>
      </c>
      <c r="M243" s="5"/>
      <c r="N243" s="5"/>
      <c r="O243" s="5"/>
      <c r="P243" s="5"/>
      <c r="Q243" s="5"/>
      <c r="R243" s="5"/>
      <c r="S243" s="5"/>
      <c r="T243" s="5"/>
      <c r="U243" s="5"/>
      <c r="V243" s="5"/>
      <c r="W243" s="5"/>
      <c r="X243" s="5"/>
      <c r="Y243" s="5"/>
      <c r="Z243" s="5"/>
      <c r="AA243" s="5"/>
      <c r="AB243" s="5"/>
      <c r="AC243" s="5"/>
      <c r="AD243" s="5"/>
      <c r="AE243" s="5"/>
      <c r="AF243" s="5"/>
      <c r="AG243" s="5"/>
      <c r="AH243" s="5" t="s">
        <v>33</v>
      </c>
      <c r="AI243" s="5"/>
      <c r="AJ243" s="5"/>
      <c r="AK243" s="5" t="s">
        <v>36</v>
      </c>
      <c r="AL243" s="5" t="s">
        <v>37</v>
      </c>
      <c r="AM243" s="5"/>
      <c r="AN243" s="5"/>
      <c r="AO243" s="5"/>
      <c r="AP243" s="5" t="s">
        <v>39</v>
      </c>
      <c r="AQ243" s="5"/>
      <c r="AR243" s="5" t="s">
        <v>41</v>
      </c>
      <c r="AS243" s="5"/>
      <c r="AT243" s="5"/>
      <c r="AU243" s="5"/>
      <c r="AV243" s="5"/>
      <c r="AW243" s="5"/>
      <c r="AX243" s="5"/>
      <c r="AY243" s="5" t="s">
        <v>47</v>
      </c>
      <c r="AZ243" s="5"/>
      <c r="BA243" s="5"/>
      <c r="BB243" s="5"/>
      <c r="BC243" s="5"/>
      <c r="BD243" s="5" t="s">
        <v>51</v>
      </c>
      <c r="BE243" s="5"/>
      <c r="BF243" s="5"/>
      <c r="BG243" s="5"/>
      <c r="BH243" s="5"/>
      <c r="BI243" s="5" t="s">
        <v>55</v>
      </c>
      <c r="BJ243" s="5"/>
      <c r="BK243" s="5"/>
      <c r="BL243" s="5"/>
      <c r="BM243" s="5"/>
      <c r="BN243" s="5"/>
      <c r="BO243" s="5"/>
      <c r="BP243" s="5"/>
      <c r="BQ243" s="5"/>
      <c r="BR243" s="5" t="s">
        <v>62</v>
      </c>
      <c r="BS243" s="5"/>
      <c r="BT243" s="5"/>
      <c r="BU243" s="5" t="s">
        <v>64</v>
      </c>
      <c r="BV243" s="5" t="s">
        <v>65</v>
      </c>
      <c r="BW243" s="5" t="s">
        <v>66</v>
      </c>
      <c r="BX243" s="5" t="s">
        <v>67</v>
      </c>
      <c r="BY243" s="5" t="s">
        <v>68</v>
      </c>
      <c r="BZ243" s="5" t="s">
        <v>69</v>
      </c>
      <c r="CA243" s="5"/>
      <c r="CB243" s="5"/>
      <c r="CC243" s="5"/>
      <c r="CD243" s="5" t="s">
        <v>73</v>
      </c>
      <c r="CE243" s="5"/>
      <c r="CF243" s="5" t="s">
        <v>75</v>
      </c>
      <c r="CG243" s="5"/>
      <c r="CH243" s="5"/>
      <c r="CI243" s="5" t="s">
        <v>414</v>
      </c>
      <c r="CJ243" s="5">
        <v>59</v>
      </c>
      <c r="CK243" s="5" t="s">
        <v>141</v>
      </c>
      <c r="CL243" s="5" t="s">
        <v>358</v>
      </c>
      <c r="CM243" s="5" t="s">
        <v>418</v>
      </c>
      <c r="CN243" s="5"/>
      <c r="CO243" s="5" t="s">
        <v>82</v>
      </c>
      <c r="CP243" s="5"/>
      <c r="CQ243" s="5" t="s">
        <v>88</v>
      </c>
      <c r="CR243" s="5" t="s">
        <v>99</v>
      </c>
      <c r="CS243" s="5" t="s">
        <v>86</v>
      </c>
      <c r="CT243" s="5"/>
      <c r="CU243" s="5"/>
      <c r="CV243" s="5"/>
      <c r="CW243" s="5"/>
      <c r="CX243" s="5"/>
      <c r="CY243" s="5"/>
      <c r="CZ243" s="5"/>
      <c r="DA243" s="5"/>
    </row>
    <row r="244" spans="1:105">
      <c r="A244" s="5">
        <v>18019098190</v>
      </c>
      <c r="B244" s="5"/>
      <c r="C244" s="5"/>
      <c r="D244" s="5"/>
      <c r="E244" s="5"/>
      <c r="F244" s="5"/>
      <c r="G244" s="5"/>
      <c r="H244" s="5" t="s">
        <v>22</v>
      </c>
      <c r="I244" s="5"/>
      <c r="J244" s="5" t="s">
        <v>24</v>
      </c>
      <c r="K244" s="5"/>
      <c r="L244" s="5"/>
      <c r="M244" s="5" t="s">
        <v>27</v>
      </c>
      <c r="N244" s="5" t="s">
        <v>28</v>
      </c>
      <c r="O244" s="5"/>
      <c r="P244" s="5"/>
      <c r="Q244" s="5"/>
      <c r="R244" s="5"/>
      <c r="S244" s="5"/>
      <c r="T244" s="5"/>
      <c r="U244" s="5"/>
      <c r="V244" s="5" t="s">
        <v>22</v>
      </c>
      <c r="W244" s="5"/>
      <c r="X244" s="5"/>
      <c r="Y244" s="5" t="s">
        <v>25</v>
      </c>
      <c r="Z244" s="5"/>
      <c r="AA244" s="5"/>
      <c r="AB244" s="5" t="s">
        <v>28</v>
      </c>
      <c r="AC244" s="5"/>
      <c r="AD244" s="5"/>
      <c r="AE244" s="5"/>
      <c r="AF244" s="5" t="s">
        <v>31</v>
      </c>
      <c r="AG244" s="5"/>
      <c r="AH244" s="5" t="s">
        <v>33</v>
      </c>
      <c r="AI244" s="5"/>
      <c r="AJ244" s="5"/>
      <c r="AK244" s="5" t="s">
        <v>36</v>
      </c>
      <c r="AL244" s="5"/>
      <c r="AM244" s="5"/>
      <c r="AN244" s="5"/>
      <c r="AO244" s="5" t="s">
        <v>38</v>
      </c>
      <c r="AP244" s="5" t="s">
        <v>39</v>
      </c>
      <c r="AQ244" s="5"/>
      <c r="AR244" s="5"/>
      <c r="AS244" s="5" t="s">
        <v>42</v>
      </c>
      <c r="AT244" s="5" t="s">
        <v>37</v>
      </c>
      <c r="AU244" s="5" t="s">
        <v>43</v>
      </c>
      <c r="AV244" s="5" t="s">
        <v>44</v>
      </c>
      <c r="AW244" s="5" t="s">
        <v>45</v>
      </c>
      <c r="AX244" s="5" t="s">
        <v>46</v>
      </c>
      <c r="AY244" s="5" t="s">
        <v>47</v>
      </c>
      <c r="AZ244" s="5"/>
      <c r="BA244" s="5"/>
      <c r="BB244" s="5" t="s">
        <v>49</v>
      </c>
      <c r="BC244" s="5" t="s">
        <v>50</v>
      </c>
      <c r="BD244" s="5" t="s">
        <v>51</v>
      </c>
      <c r="BE244" s="5" t="s">
        <v>17</v>
      </c>
      <c r="BF244" s="5" t="s">
        <v>52</v>
      </c>
      <c r="BG244" s="5" t="s">
        <v>53</v>
      </c>
      <c r="BH244" s="5" t="s">
        <v>54</v>
      </c>
      <c r="BI244" s="5" t="s">
        <v>55</v>
      </c>
      <c r="BJ244" s="5" t="s">
        <v>56</v>
      </c>
      <c r="BK244" s="5" t="s">
        <v>57</v>
      </c>
      <c r="BL244" s="5" t="s">
        <v>58</v>
      </c>
      <c r="BM244" s="5" t="s">
        <v>59</v>
      </c>
      <c r="BN244" s="5" t="s">
        <v>24</v>
      </c>
      <c r="BO244" s="5" t="s">
        <v>20</v>
      </c>
      <c r="BP244" s="5" t="s">
        <v>60</v>
      </c>
      <c r="BQ244" s="5" t="s">
        <v>61</v>
      </c>
      <c r="BR244" s="5" t="s">
        <v>62</v>
      </c>
      <c r="BS244" s="5" t="s">
        <v>63</v>
      </c>
      <c r="BT244" s="5"/>
      <c r="BU244" s="5" t="s">
        <v>64</v>
      </c>
      <c r="BV244" s="5"/>
      <c r="BW244" s="5" t="s">
        <v>66</v>
      </c>
      <c r="BX244" s="5" t="s">
        <v>67</v>
      </c>
      <c r="BY244" s="5"/>
      <c r="BZ244" s="5"/>
      <c r="CA244" s="5"/>
      <c r="CB244" s="5" t="s">
        <v>71</v>
      </c>
      <c r="CC244" s="5"/>
      <c r="CD244" s="5"/>
      <c r="CE244" s="5"/>
      <c r="CF244" s="5" t="s">
        <v>75</v>
      </c>
      <c r="CG244" s="5"/>
      <c r="CH244" s="5"/>
      <c r="CI244" s="5" t="s">
        <v>414</v>
      </c>
      <c r="CJ244" s="5">
        <v>40</v>
      </c>
      <c r="CK244" s="5" t="s">
        <v>141</v>
      </c>
      <c r="CL244" s="5" t="s">
        <v>184</v>
      </c>
      <c r="CM244" s="5" t="s">
        <v>106</v>
      </c>
      <c r="CN244" s="5" t="s">
        <v>419</v>
      </c>
      <c r="CO244" s="5"/>
      <c r="CP244" s="5" t="s">
        <v>94</v>
      </c>
      <c r="CQ244" s="5" t="s">
        <v>84</v>
      </c>
      <c r="CR244" s="5" t="s">
        <v>85</v>
      </c>
      <c r="CS244" s="5" t="s">
        <v>86</v>
      </c>
      <c r="CT244" s="5"/>
      <c r="CU244" s="5"/>
      <c r="CV244" s="5"/>
      <c r="CW244" s="5"/>
      <c r="CX244" s="5"/>
      <c r="CY244" s="5"/>
      <c r="CZ244" s="5"/>
      <c r="DA244" s="5"/>
    </row>
    <row r="245" spans="1:105">
      <c r="A245" s="5">
        <v>18019097991</v>
      </c>
      <c r="B245" s="5"/>
      <c r="C245" s="5" t="s">
        <v>17</v>
      </c>
      <c r="D245" s="5" t="s">
        <v>18</v>
      </c>
      <c r="E245" s="5"/>
      <c r="F245" s="5"/>
      <c r="G245" s="5"/>
      <c r="H245" s="5"/>
      <c r="I245" s="5"/>
      <c r="J245" s="5"/>
      <c r="K245" s="5"/>
      <c r="L245" s="5"/>
      <c r="M245" s="5"/>
      <c r="N245" s="5" t="s">
        <v>28</v>
      </c>
      <c r="O245" s="5"/>
      <c r="P245" s="5"/>
      <c r="Q245" s="5"/>
      <c r="R245" s="5" t="s">
        <v>18</v>
      </c>
      <c r="S245" s="5"/>
      <c r="T245" s="5"/>
      <c r="U245" s="5"/>
      <c r="V245" s="5"/>
      <c r="W245" s="5"/>
      <c r="X245" s="5"/>
      <c r="Y245" s="5"/>
      <c r="Z245" s="5"/>
      <c r="AA245" s="5"/>
      <c r="AB245" s="5" t="s">
        <v>28</v>
      </c>
      <c r="AC245" s="5"/>
      <c r="AD245" s="5"/>
      <c r="AE245" s="5"/>
      <c r="AF245" s="5"/>
      <c r="AG245" s="5"/>
      <c r="AH245" s="5"/>
      <c r="AI245" s="5"/>
      <c r="AJ245" s="5"/>
      <c r="AK245" s="5" t="s">
        <v>36</v>
      </c>
      <c r="AL245" s="5"/>
      <c r="AM245" s="5"/>
      <c r="AN245" s="5"/>
      <c r="AO245" s="5"/>
      <c r="AP245" s="5"/>
      <c r="AQ245" s="5"/>
      <c r="AR245" s="5"/>
      <c r="AS245" s="5"/>
      <c r="AT245" s="5"/>
      <c r="AU245" s="5" t="s">
        <v>43</v>
      </c>
      <c r="AV245" s="5"/>
      <c r="AW245" s="5" t="s">
        <v>45</v>
      </c>
      <c r="AX245" s="5"/>
      <c r="AY245" s="5"/>
      <c r="AZ245" s="5"/>
      <c r="BA245" s="5"/>
      <c r="BB245" s="5" t="s">
        <v>49</v>
      </c>
      <c r="BC245" s="5"/>
      <c r="BD245" s="5"/>
      <c r="BE245" s="5"/>
      <c r="BF245" s="5"/>
      <c r="BG245" s="5" t="s">
        <v>53</v>
      </c>
      <c r="BH245" s="5"/>
      <c r="BI245" s="5"/>
      <c r="BJ245" s="5"/>
      <c r="BK245" s="5"/>
      <c r="BL245" s="5" t="s">
        <v>58</v>
      </c>
      <c r="BM245" s="5"/>
      <c r="BN245" s="5"/>
      <c r="BO245" s="5"/>
      <c r="BP245" s="5"/>
      <c r="BQ245" s="5"/>
      <c r="BR245" s="5"/>
      <c r="BS245" s="5"/>
      <c r="BT245" s="5"/>
      <c r="BU245" s="5" t="s">
        <v>64</v>
      </c>
      <c r="BV245" s="5"/>
      <c r="BW245" s="5"/>
      <c r="BX245" s="5" t="s">
        <v>67</v>
      </c>
      <c r="BY245" s="5"/>
      <c r="BZ245" s="5"/>
      <c r="CA245" s="5"/>
      <c r="CB245" s="5"/>
      <c r="CC245" s="5"/>
      <c r="CD245" s="5"/>
      <c r="CE245" s="5"/>
      <c r="CF245" s="5" t="s">
        <v>75</v>
      </c>
      <c r="CG245" s="5"/>
      <c r="CH245" s="5"/>
      <c r="CI245" s="5" t="s">
        <v>417</v>
      </c>
      <c r="CJ245" s="5">
        <v>47</v>
      </c>
      <c r="CK245" s="5" t="s">
        <v>141</v>
      </c>
      <c r="CL245" s="5" t="s">
        <v>183</v>
      </c>
      <c r="CM245" s="5" t="s">
        <v>418</v>
      </c>
      <c r="CN245" s="5" t="s">
        <v>419</v>
      </c>
      <c r="CO245" s="5" t="s">
        <v>82</v>
      </c>
      <c r="CP245" s="5" t="s">
        <v>83</v>
      </c>
      <c r="CQ245" s="5" t="s">
        <v>103</v>
      </c>
      <c r="CR245" s="5" t="s">
        <v>85</v>
      </c>
      <c r="CS245" s="5" t="s">
        <v>86</v>
      </c>
      <c r="CT245" s="5"/>
      <c r="CU245" s="5"/>
      <c r="CV245" s="5"/>
      <c r="CW245" s="5"/>
      <c r="CX245" s="5"/>
      <c r="CY245" s="5"/>
      <c r="CZ245" s="5"/>
      <c r="DA245" s="5"/>
    </row>
    <row r="246" spans="1:105">
      <c r="A246" s="5">
        <v>18019097887</v>
      </c>
      <c r="B246" s="5"/>
      <c r="C246" s="5" t="s">
        <v>17</v>
      </c>
      <c r="D246" s="5"/>
      <c r="E246" s="5"/>
      <c r="F246" s="5"/>
      <c r="G246" s="5"/>
      <c r="H246" s="5"/>
      <c r="I246" s="5"/>
      <c r="J246" s="5"/>
      <c r="K246" s="5"/>
      <c r="L246" s="5" t="s">
        <v>26</v>
      </c>
      <c r="M246" s="5"/>
      <c r="N246" s="5"/>
      <c r="O246" s="5"/>
      <c r="P246" s="5"/>
      <c r="Q246" s="5"/>
      <c r="R246" s="5" t="s">
        <v>18</v>
      </c>
      <c r="S246" s="5"/>
      <c r="T246" s="5"/>
      <c r="U246" s="5"/>
      <c r="V246" s="5"/>
      <c r="W246" s="5"/>
      <c r="X246" s="5"/>
      <c r="Y246" s="5"/>
      <c r="Z246" s="5"/>
      <c r="AA246" s="5"/>
      <c r="AB246" s="5"/>
      <c r="AC246" s="5"/>
      <c r="AD246" s="5"/>
      <c r="AE246" s="5"/>
      <c r="AF246" s="5" t="s">
        <v>31</v>
      </c>
      <c r="AG246" s="5"/>
      <c r="AH246" s="5"/>
      <c r="AI246" s="5"/>
      <c r="AJ246" s="5" t="s">
        <v>35</v>
      </c>
      <c r="AK246" s="5"/>
      <c r="AL246" s="5"/>
      <c r="AM246" s="5" t="s">
        <v>375</v>
      </c>
      <c r="AN246" s="5"/>
      <c r="AO246" s="5"/>
      <c r="AP246" s="5"/>
      <c r="AQ246" s="5"/>
      <c r="AR246" s="5" t="s">
        <v>41</v>
      </c>
      <c r="AS246" s="5"/>
      <c r="AT246" s="5"/>
      <c r="AU246" s="5"/>
      <c r="AV246" s="5"/>
      <c r="AW246" s="5"/>
      <c r="AX246" s="5"/>
      <c r="AY246" s="5" t="s">
        <v>47</v>
      </c>
      <c r="AZ246" s="5"/>
      <c r="BA246" s="5"/>
      <c r="BB246" s="5" t="s">
        <v>49</v>
      </c>
      <c r="BC246" s="5"/>
      <c r="BD246" s="5"/>
      <c r="BE246" s="5" t="s">
        <v>17</v>
      </c>
      <c r="BF246" s="5"/>
      <c r="BG246" s="5"/>
      <c r="BH246" s="5" t="s">
        <v>54</v>
      </c>
      <c r="BI246" s="5"/>
      <c r="BJ246" s="5"/>
      <c r="BK246" s="5"/>
      <c r="BL246" s="5"/>
      <c r="BM246" s="5"/>
      <c r="BN246" s="5"/>
      <c r="BO246" s="5"/>
      <c r="BP246" s="5"/>
      <c r="BQ246" s="5"/>
      <c r="BR246" s="5"/>
      <c r="BS246" s="5"/>
      <c r="BT246" s="5"/>
      <c r="BU246" s="5" t="s">
        <v>64</v>
      </c>
      <c r="BV246" s="5"/>
      <c r="BW246" s="5"/>
      <c r="BX246" s="5"/>
      <c r="BY246" s="5"/>
      <c r="BZ246" s="5"/>
      <c r="CA246" s="5"/>
      <c r="CB246" s="5"/>
      <c r="CC246" s="5"/>
      <c r="CD246" s="5"/>
      <c r="CE246" s="5"/>
      <c r="CF246" s="5"/>
      <c r="CG246" s="5"/>
      <c r="CH246" s="5"/>
      <c r="CI246" s="5" t="s">
        <v>414</v>
      </c>
      <c r="CJ246" s="5">
        <v>40</v>
      </c>
      <c r="CK246" s="5" t="s">
        <v>141</v>
      </c>
      <c r="CL246" s="5" t="s">
        <v>370</v>
      </c>
      <c r="CM246" s="5" t="s">
        <v>418</v>
      </c>
      <c r="CN246" s="5" t="s">
        <v>419</v>
      </c>
      <c r="CO246" s="5" t="s">
        <v>82</v>
      </c>
      <c r="CP246" s="5"/>
      <c r="CQ246" s="5" t="s">
        <v>103</v>
      </c>
      <c r="CR246" s="5" t="s">
        <v>85</v>
      </c>
      <c r="CS246" s="5" t="s">
        <v>86</v>
      </c>
      <c r="CT246" s="5"/>
      <c r="CU246" s="5"/>
      <c r="CV246" s="5"/>
      <c r="CW246" s="5"/>
      <c r="CX246" s="5"/>
      <c r="CY246" s="5"/>
      <c r="CZ246" s="5"/>
      <c r="DA246" s="5"/>
    </row>
    <row r="247" spans="1:105">
      <c r="A247" s="5">
        <v>18019097745</v>
      </c>
      <c r="B247" s="5"/>
      <c r="C247" s="5" t="s">
        <v>17</v>
      </c>
      <c r="D247" s="5" t="s">
        <v>18</v>
      </c>
      <c r="E247" s="5"/>
      <c r="F247" s="5"/>
      <c r="G247" s="5"/>
      <c r="H247" s="5"/>
      <c r="I247" s="5"/>
      <c r="J247" s="5"/>
      <c r="K247" s="5"/>
      <c r="L247" s="5"/>
      <c r="M247" s="5"/>
      <c r="N247" s="5" t="s">
        <v>28</v>
      </c>
      <c r="O247" s="5"/>
      <c r="P247" s="5" t="s">
        <v>16</v>
      </c>
      <c r="Q247" s="5"/>
      <c r="R247" s="5" t="s">
        <v>18</v>
      </c>
      <c r="S247" s="5"/>
      <c r="T247" s="5"/>
      <c r="U247" s="5"/>
      <c r="V247" s="5"/>
      <c r="W247" s="5"/>
      <c r="X247" s="5"/>
      <c r="Y247" s="5"/>
      <c r="Z247" s="5"/>
      <c r="AA247" s="5"/>
      <c r="AB247" s="5"/>
      <c r="AC247" s="5"/>
      <c r="AD247" s="5"/>
      <c r="AE247" s="5"/>
      <c r="AF247" s="5" t="s">
        <v>31</v>
      </c>
      <c r="AG247" s="5"/>
      <c r="AH247" s="5"/>
      <c r="AI247" s="5"/>
      <c r="AJ247" s="5"/>
      <c r="AK247" s="5" t="s">
        <v>36</v>
      </c>
      <c r="AL247" s="5"/>
      <c r="AM247" s="5" t="s">
        <v>375</v>
      </c>
      <c r="AN247" s="5"/>
      <c r="AO247" s="5"/>
      <c r="AP247" s="5" t="s">
        <v>39</v>
      </c>
      <c r="AQ247" s="5"/>
      <c r="AR247" s="5"/>
      <c r="AS247" s="5" t="s">
        <v>42</v>
      </c>
      <c r="AT247" s="5"/>
      <c r="AU247" s="5"/>
      <c r="AV247" s="5"/>
      <c r="AW247" s="5" t="s">
        <v>45</v>
      </c>
      <c r="AX247" s="5"/>
      <c r="AY247" s="5"/>
      <c r="AZ247" s="5"/>
      <c r="BA247" s="5"/>
      <c r="BB247" s="5"/>
      <c r="BC247" s="5"/>
      <c r="BD247" s="5"/>
      <c r="BE247" s="5"/>
      <c r="BF247" s="5"/>
      <c r="BG247" s="5" t="s">
        <v>53</v>
      </c>
      <c r="BH247" s="5"/>
      <c r="BI247" s="5" t="s">
        <v>55</v>
      </c>
      <c r="BJ247" s="5"/>
      <c r="BK247" s="5"/>
      <c r="BL247" s="5" t="s">
        <v>58</v>
      </c>
      <c r="BM247" s="5"/>
      <c r="BN247" s="5"/>
      <c r="BO247" s="5"/>
      <c r="BP247" s="5"/>
      <c r="BQ247" s="5"/>
      <c r="BR247" s="5"/>
      <c r="BS247" s="5"/>
      <c r="BT247" s="5"/>
      <c r="BU247" s="5" t="s">
        <v>64</v>
      </c>
      <c r="BV247" s="5"/>
      <c r="BW247" s="5"/>
      <c r="BX247" s="5"/>
      <c r="BY247" s="5" t="s">
        <v>68</v>
      </c>
      <c r="BZ247" s="5"/>
      <c r="CA247" s="5" t="s">
        <v>70</v>
      </c>
      <c r="CB247" s="5"/>
      <c r="CC247" s="5"/>
      <c r="CD247" s="5" t="s">
        <v>73</v>
      </c>
      <c r="CE247" s="5"/>
      <c r="CF247" s="5" t="s">
        <v>75</v>
      </c>
      <c r="CG247" s="5" t="s">
        <v>76</v>
      </c>
      <c r="CH247" s="5"/>
      <c r="CI247" s="5" t="s">
        <v>417</v>
      </c>
      <c r="CJ247" s="5">
        <v>39</v>
      </c>
      <c r="CK247" s="5" t="s">
        <v>141</v>
      </c>
      <c r="CL247" s="5" t="s">
        <v>164</v>
      </c>
      <c r="CM247" s="5" t="s">
        <v>418</v>
      </c>
      <c r="CN247" s="5" t="s">
        <v>419</v>
      </c>
      <c r="CO247" s="5" t="s">
        <v>82</v>
      </c>
      <c r="CP247" s="5" t="s">
        <v>83</v>
      </c>
      <c r="CQ247" s="5" t="s">
        <v>103</v>
      </c>
      <c r="CR247" s="5" t="s">
        <v>85</v>
      </c>
      <c r="CS247" s="5" t="s">
        <v>86</v>
      </c>
      <c r="CT247" s="5"/>
      <c r="CU247" s="5"/>
      <c r="CV247" s="5"/>
      <c r="CW247" s="5"/>
      <c r="CX247" s="5"/>
      <c r="CY247" s="5"/>
      <c r="CZ247" s="5"/>
      <c r="DA247" s="5"/>
    </row>
    <row r="248" spans="1:105">
      <c r="A248" s="5">
        <v>18019097274</v>
      </c>
      <c r="B248" s="5"/>
      <c r="C248" s="5" t="s">
        <v>17</v>
      </c>
      <c r="D248" s="5" t="s">
        <v>18</v>
      </c>
      <c r="E248" s="5"/>
      <c r="F248" s="5"/>
      <c r="G248" s="5"/>
      <c r="H248" s="5" t="s">
        <v>22</v>
      </c>
      <c r="I248" s="5"/>
      <c r="J248" s="5" t="s">
        <v>24</v>
      </c>
      <c r="K248" s="5"/>
      <c r="L248" s="5"/>
      <c r="M248" s="5"/>
      <c r="N248" s="5"/>
      <c r="O248" s="5"/>
      <c r="P248" s="5"/>
      <c r="Q248" s="5" t="s">
        <v>17</v>
      </c>
      <c r="R248" s="5"/>
      <c r="S248" s="5"/>
      <c r="T248" s="5"/>
      <c r="U248" s="5"/>
      <c r="V248" s="5" t="s">
        <v>22</v>
      </c>
      <c r="W248" s="5"/>
      <c r="X248" s="5"/>
      <c r="Y248" s="5" t="s">
        <v>25</v>
      </c>
      <c r="Z248" s="5"/>
      <c r="AA248" s="5"/>
      <c r="AB248" s="5"/>
      <c r="AC248" s="5"/>
      <c r="AD248" s="5"/>
      <c r="AE248" s="5"/>
      <c r="AF248" s="5"/>
      <c r="AG248" s="5" t="s">
        <v>32</v>
      </c>
      <c r="AH248" s="5"/>
      <c r="AI248" s="5"/>
      <c r="AJ248" s="5"/>
      <c r="AK248" s="5"/>
      <c r="AL248" s="5"/>
      <c r="AM248" s="5" t="s">
        <v>375</v>
      </c>
      <c r="AN248" s="5"/>
      <c r="AO248" s="5"/>
      <c r="AP248" s="5" t="s">
        <v>39</v>
      </c>
      <c r="AQ248" s="5"/>
      <c r="AR248" s="5" t="s">
        <v>41</v>
      </c>
      <c r="AS248" s="5"/>
      <c r="AT248" s="5"/>
      <c r="AU248" s="5" t="s">
        <v>43</v>
      </c>
      <c r="AV248" s="5"/>
      <c r="AW248" s="5"/>
      <c r="AX248" s="5"/>
      <c r="AY248" s="5"/>
      <c r="AZ248" s="5"/>
      <c r="BA248" s="5"/>
      <c r="BB248" s="5"/>
      <c r="BC248" s="5"/>
      <c r="BD248" s="5"/>
      <c r="BE248" s="5" t="s">
        <v>17</v>
      </c>
      <c r="BF248" s="5"/>
      <c r="BG248" s="5"/>
      <c r="BH248" s="5" t="s">
        <v>54</v>
      </c>
      <c r="BI248" s="5"/>
      <c r="BJ248" s="5"/>
      <c r="BK248" s="5"/>
      <c r="BL248" s="5"/>
      <c r="BM248" s="5"/>
      <c r="BN248" s="5" t="s">
        <v>24</v>
      </c>
      <c r="BO248" s="5"/>
      <c r="BP248" s="5"/>
      <c r="BQ248" s="5"/>
      <c r="BR248" s="5"/>
      <c r="BS248" s="5"/>
      <c r="BT248" s="5"/>
      <c r="BU248" s="5" t="s">
        <v>64</v>
      </c>
      <c r="BV248" s="5"/>
      <c r="BW248" s="5"/>
      <c r="BX248" s="5" t="s">
        <v>67</v>
      </c>
      <c r="BY248" s="5"/>
      <c r="BZ248" s="5"/>
      <c r="CA248" s="5"/>
      <c r="CB248" s="5"/>
      <c r="CC248" s="5"/>
      <c r="CD248" s="5"/>
      <c r="CE248" s="5"/>
      <c r="CF248" s="5"/>
      <c r="CG248" s="5"/>
      <c r="CH248" s="5"/>
      <c r="CI248" s="5" t="s">
        <v>414</v>
      </c>
      <c r="CJ248" s="5">
        <v>39</v>
      </c>
      <c r="CK248" s="5" t="s">
        <v>141</v>
      </c>
      <c r="CL248" s="5" t="s">
        <v>174</v>
      </c>
      <c r="CM248" s="5" t="s">
        <v>418</v>
      </c>
      <c r="CN248" s="5"/>
      <c r="CO248" s="5" t="s">
        <v>82</v>
      </c>
      <c r="CP248" s="5" t="s">
        <v>83</v>
      </c>
      <c r="CQ248" s="5" t="s">
        <v>84</v>
      </c>
      <c r="CR248" s="5" t="s">
        <v>85</v>
      </c>
      <c r="CS248" s="5" t="s">
        <v>86</v>
      </c>
      <c r="CT248" s="5"/>
      <c r="CU248" s="5"/>
      <c r="CV248" s="5"/>
      <c r="CW248" s="5"/>
      <c r="CX248" s="5"/>
      <c r="CY248" s="5"/>
      <c r="CZ248" s="5"/>
      <c r="DA248" s="5"/>
    </row>
    <row r="249" spans="1:105">
      <c r="A249" s="5">
        <v>18019097132</v>
      </c>
      <c r="B249" s="5" t="s">
        <v>16</v>
      </c>
      <c r="C249" s="5" t="s">
        <v>17</v>
      </c>
      <c r="D249" s="5" t="s">
        <v>18</v>
      </c>
      <c r="E249" s="5"/>
      <c r="F249" s="5"/>
      <c r="G249" s="5"/>
      <c r="H249" s="5"/>
      <c r="I249" s="5"/>
      <c r="J249" s="5"/>
      <c r="K249" s="5"/>
      <c r="L249" s="5"/>
      <c r="M249" s="5"/>
      <c r="N249" s="5"/>
      <c r="O249" s="5"/>
      <c r="P249" s="5"/>
      <c r="Q249" s="5" t="s">
        <v>17</v>
      </c>
      <c r="R249" s="5" t="s">
        <v>18</v>
      </c>
      <c r="S249" s="5"/>
      <c r="T249" s="5"/>
      <c r="U249" s="5"/>
      <c r="V249" s="5"/>
      <c r="W249" s="5"/>
      <c r="X249" s="5" t="s">
        <v>24</v>
      </c>
      <c r="Y249" s="5"/>
      <c r="Z249" s="5"/>
      <c r="AA249" s="5"/>
      <c r="AB249" s="5"/>
      <c r="AC249" s="5"/>
      <c r="AD249" s="5"/>
      <c r="AE249" s="5"/>
      <c r="AF249" s="5"/>
      <c r="AG249" s="5" t="s">
        <v>32</v>
      </c>
      <c r="AH249" s="5"/>
      <c r="AI249" s="5"/>
      <c r="AJ249" s="5"/>
      <c r="AK249" s="5"/>
      <c r="AL249" s="5"/>
      <c r="AM249" s="5"/>
      <c r="AN249" s="5"/>
      <c r="AO249" s="5"/>
      <c r="AP249" s="5" t="s">
        <v>39</v>
      </c>
      <c r="AQ249" s="5"/>
      <c r="AR249" s="5"/>
      <c r="AS249" s="5"/>
      <c r="AT249" s="5"/>
      <c r="AU249" s="5"/>
      <c r="AV249" s="5"/>
      <c r="AW249" s="5"/>
      <c r="AX249" s="5" t="s">
        <v>46</v>
      </c>
      <c r="AY249" s="5" t="s">
        <v>47</v>
      </c>
      <c r="AZ249" s="5"/>
      <c r="BA249" s="5"/>
      <c r="BB249" s="5" t="s">
        <v>49</v>
      </c>
      <c r="BC249" s="5"/>
      <c r="BD249" s="5"/>
      <c r="BE249" s="5" t="s">
        <v>17</v>
      </c>
      <c r="BF249" s="5"/>
      <c r="BG249" s="5"/>
      <c r="BH249" s="5" t="s">
        <v>54</v>
      </c>
      <c r="BI249" s="5"/>
      <c r="BJ249" s="5"/>
      <c r="BK249" s="5"/>
      <c r="BL249" s="5"/>
      <c r="BM249" s="5"/>
      <c r="BN249" s="5"/>
      <c r="BO249" s="5"/>
      <c r="BP249" s="5"/>
      <c r="BQ249" s="5" t="s">
        <v>61</v>
      </c>
      <c r="BR249" s="5"/>
      <c r="BS249" s="5"/>
      <c r="BT249" s="5"/>
      <c r="BU249" s="5"/>
      <c r="BV249" s="5"/>
      <c r="BW249" s="5"/>
      <c r="BX249" s="5"/>
      <c r="BY249" s="5"/>
      <c r="BZ249" s="5"/>
      <c r="CA249" s="5" t="s">
        <v>70</v>
      </c>
      <c r="CB249" s="5"/>
      <c r="CC249" s="5"/>
      <c r="CD249" s="5" t="s">
        <v>73</v>
      </c>
      <c r="CE249" s="5"/>
      <c r="CF249" s="5" t="s">
        <v>75</v>
      </c>
      <c r="CG249" s="5" t="s">
        <v>76</v>
      </c>
      <c r="CH249" s="5"/>
      <c r="CI249" s="5" t="s">
        <v>417</v>
      </c>
      <c r="CJ249" s="5">
        <v>50</v>
      </c>
      <c r="CK249" s="5" t="s">
        <v>141</v>
      </c>
      <c r="CL249" s="5" t="s">
        <v>165</v>
      </c>
      <c r="CM249" s="5" t="s">
        <v>418</v>
      </c>
      <c r="CN249" s="5"/>
      <c r="CO249" s="5" t="s">
        <v>82</v>
      </c>
      <c r="CP249" s="5" t="s">
        <v>83</v>
      </c>
      <c r="CQ249" s="5" t="s">
        <v>84</v>
      </c>
      <c r="CR249" s="5" t="s">
        <v>85</v>
      </c>
      <c r="CS249" s="5" t="s">
        <v>86</v>
      </c>
      <c r="CT249" s="5"/>
      <c r="CU249" s="5"/>
      <c r="CV249" s="5"/>
      <c r="CW249" s="5"/>
      <c r="CX249" s="5"/>
      <c r="CY249" s="5"/>
      <c r="CZ249" s="5"/>
      <c r="DA249" s="5"/>
    </row>
    <row r="250" spans="1:105">
      <c r="A250" s="5">
        <v>18019096838</v>
      </c>
      <c r="B250" s="5" t="s">
        <v>16</v>
      </c>
      <c r="C250" s="5" t="s">
        <v>17</v>
      </c>
      <c r="D250" s="5" t="s">
        <v>18</v>
      </c>
      <c r="E250" s="5"/>
      <c r="F250" s="5"/>
      <c r="G250" s="5"/>
      <c r="H250" s="5"/>
      <c r="I250" s="5"/>
      <c r="J250" s="5" t="s">
        <v>24</v>
      </c>
      <c r="K250" s="5"/>
      <c r="L250" s="5"/>
      <c r="M250" s="5" t="s">
        <v>27</v>
      </c>
      <c r="N250" s="5"/>
      <c r="O250" s="5"/>
      <c r="P250" s="5" t="s">
        <v>16</v>
      </c>
      <c r="Q250" s="5" t="s">
        <v>17</v>
      </c>
      <c r="R250" s="5" t="s">
        <v>18</v>
      </c>
      <c r="S250" s="5"/>
      <c r="T250" s="5"/>
      <c r="U250" s="5"/>
      <c r="V250" s="5"/>
      <c r="W250" s="5"/>
      <c r="X250" s="5" t="s">
        <v>24</v>
      </c>
      <c r="Y250" s="5"/>
      <c r="Z250" s="5"/>
      <c r="AA250" s="5"/>
      <c r="AB250" s="5"/>
      <c r="AC250" s="5"/>
      <c r="AD250" s="5"/>
      <c r="AE250" s="5" t="s">
        <v>30</v>
      </c>
      <c r="AF250" s="5"/>
      <c r="AG250" s="5" t="s">
        <v>32</v>
      </c>
      <c r="AH250" s="5"/>
      <c r="AI250" s="5"/>
      <c r="AJ250" s="5"/>
      <c r="AK250" s="5"/>
      <c r="AL250" s="5"/>
      <c r="AM250" s="5" t="s">
        <v>375</v>
      </c>
      <c r="AN250" s="5"/>
      <c r="AO250" s="5"/>
      <c r="AP250" s="5"/>
      <c r="AQ250" s="5"/>
      <c r="AR250" s="5"/>
      <c r="AS250" s="5"/>
      <c r="AT250" s="5"/>
      <c r="AU250" s="5" t="s">
        <v>43</v>
      </c>
      <c r="AV250" s="5"/>
      <c r="AW250" s="5"/>
      <c r="AX250" s="5"/>
      <c r="AY250" s="5"/>
      <c r="AZ250" s="5"/>
      <c r="BA250" s="5"/>
      <c r="BB250" s="5" t="s">
        <v>49</v>
      </c>
      <c r="BC250" s="5"/>
      <c r="BD250" s="5"/>
      <c r="BE250" s="5" t="s">
        <v>17</v>
      </c>
      <c r="BF250" s="5"/>
      <c r="BG250" s="5"/>
      <c r="BH250" s="5" t="s">
        <v>54</v>
      </c>
      <c r="BI250" s="5"/>
      <c r="BJ250" s="5"/>
      <c r="BK250" s="5"/>
      <c r="BL250" s="5"/>
      <c r="BM250" s="5"/>
      <c r="BN250" s="5" t="s">
        <v>24</v>
      </c>
      <c r="BO250" s="5"/>
      <c r="BP250" s="5"/>
      <c r="BQ250" s="5"/>
      <c r="BR250" s="5"/>
      <c r="BS250" s="5"/>
      <c r="BT250" s="5"/>
      <c r="BU250" s="5" t="s">
        <v>64</v>
      </c>
      <c r="BV250" s="5"/>
      <c r="BW250" s="5"/>
      <c r="BX250" s="5"/>
      <c r="BY250" s="5"/>
      <c r="BZ250" s="5"/>
      <c r="CA250" s="5"/>
      <c r="CB250" s="5"/>
      <c r="CC250" s="5"/>
      <c r="CD250" s="5" t="s">
        <v>73</v>
      </c>
      <c r="CE250" s="5"/>
      <c r="CF250" s="5"/>
      <c r="CG250" s="5"/>
      <c r="CH250" s="5"/>
      <c r="CI250" s="5" t="s">
        <v>414</v>
      </c>
      <c r="CJ250" s="5">
        <v>69</v>
      </c>
      <c r="CK250" s="5"/>
      <c r="CL250" s="5"/>
      <c r="CM250" s="5"/>
      <c r="CN250" s="5"/>
      <c r="CO250" s="5"/>
      <c r="CP250" s="5"/>
      <c r="CQ250" s="5"/>
      <c r="CR250" s="5"/>
      <c r="CS250" s="5"/>
      <c r="CT250" s="5"/>
      <c r="CU250" s="5"/>
      <c r="CV250" s="5"/>
      <c r="CW250" s="5"/>
      <c r="CX250" s="5"/>
      <c r="CY250" s="5"/>
      <c r="CZ250" s="5"/>
      <c r="DA250" s="5"/>
    </row>
    <row r="251" spans="1:105">
      <c r="A251" s="5">
        <v>18019096349</v>
      </c>
      <c r="B251" s="5" t="s">
        <v>16</v>
      </c>
      <c r="C251" s="5" t="s">
        <v>17</v>
      </c>
      <c r="D251" s="5" t="s">
        <v>18</v>
      </c>
      <c r="E251" s="5"/>
      <c r="F251" s="5"/>
      <c r="G251" s="5"/>
      <c r="H251" s="5"/>
      <c r="I251" s="5"/>
      <c r="J251" s="5" t="s">
        <v>24</v>
      </c>
      <c r="K251" s="5"/>
      <c r="L251" s="5"/>
      <c r="M251" s="5"/>
      <c r="N251" s="5"/>
      <c r="O251" s="5"/>
      <c r="P251" s="5" t="s">
        <v>16</v>
      </c>
      <c r="Q251" s="5" t="s">
        <v>17</v>
      </c>
      <c r="R251" s="5" t="s">
        <v>18</v>
      </c>
      <c r="S251" s="5"/>
      <c r="T251" s="5"/>
      <c r="U251" s="5"/>
      <c r="V251" s="5"/>
      <c r="W251" s="5"/>
      <c r="X251" s="5" t="s">
        <v>24</v>
      </c>
      <c r="Y251" s="5"/>
      <c r="Z251" s="5"/>
      <c r="AA251" s="5"/>
      <c r="AB251" s="5"/>
      <c r="AC251" s="5"/>
      <c r="AD251" s="5"/>
      <c r="AE251" s="5"/>
      <c r="AF251" s="5"/>
      <c r="AG251" s="5" t="s">
        <v>32</v>
      </c>
      <c r="AH251" s="5"/>
      <c r="AI251" s="5"/>
      <c r="AJ251" s="5" t="s">
        <v>35</v>
      </c>
      <c r="AK251" s="5"/>
      <c r="AL251" s="5"/>
      <c r="AM251" s="5" t="s">
        <v>375</v>
      </c>
      <c r="AN251" s="5"/>
      <c r="AO251" s="5"/>
      <c r="AP251" s="5" t="s">
        <v>39</v>
      </c>
      <c r="AQ251" s="5" t="s">
        <v>40</v>
      </c>
      <c r="AR251" s="5" t="s">
        <v>41</v>
      </c>
      <c r="AS251" s="5"/>
      <c r="AT251" s="5"/>
      <c r="AU251" s="5"/>
      <c r="AV251" s="5"/>
      <c r="AW251" s="5"/>
      <c r="AX251" s="5"/>
      <c r="AY251" s="5"/>
      <c r="AZ251" s="5"/>
      <c r="BA251" s="5"/>
      <c r="BB251" s="5" t="s">
        <v>49</v>
      </c>
      <c r="BC251" s="5"/>
      <c r="BD251" s="5" t="s">
        <v>51</v>
      </c>
      <c r="BE251" s="5" t="s">
        <v>17</v>
      </c>
      <c r="BF251" s="5"/>
      <c r="BG251" s="5" t="s">
        <v>53</v>
      </c>
      <c r="BH251" s="5" t="s">
        <v>54</v>
      </c>
      <c r="BI251" s="5"/>
      <c r="BJ251" s="5"/>
      <c r="BK251" s="5"/>
      <c r="BL251" s="5" t="s">
        <v>58</v>
      </c>
      <c r="BM251" s="5"/>
      <c r="BN251" s="5" t="s">
        <v>24</v>
      </c>
      <c r="BO251" s="5"/>
      <c r="BP251" s="5" t="s">
        <v>60</v>
      </c>
      <c r="BQ251" s="5"/>
      <c r="BR251" s="5"/>
      <c r="BS251" s="5"/>
      <c r="BT251" s="5"/>
      <c r="BU251" s="5"/>
      <c r="BV251" s="5"/>
      <c r="BW251" s="5"/>
      <c r="BX251" s="5"/>
      <c r="BY251" s="5"/>
      <c r="BZ251" s="5"/>
      <c r="CA251" s="5" t="s">
        <v>70</v>
      </c>
      <c r="CB251" s="5"/>
      <c r="CC251" s="5"/>
      <c r="CD251" s="5" t="s">
        <v>73</v>
      </c>
      <c r="CE251" s="5"/>
      <c r="CF251" s="5"/>
      <c r="CG251" s="5" t="s">
        <v>76</v>
      </c>
      <c r="CH251" s="5"/>
      <c r="CI251" s="5" t="s">
        <v>417</v>
      </c>
      <c r="CJ251" s="5">
        <v>58</v>
      </c>
      <c r="CK251" s="5" t="s">
        <v>141</v>
      </c>
      <c r="CL251" s="5" t="s">
        <v>152</v>
      </c>
      <c r="CM251" s="5" t="s">
        <v>418</v>
      </c>
      <c r="CN251" s="5"/>
      <c r="CO251" s="5" t="s">
        <v>82</v>
      </c>
      <c r="CP251" s="5" t="s">
        <v>83</v>
      </c>
      <c r="CQ251" s="5" t="s">
        <v>88</v>
      </c>
      <c r="CR251" s="5" t="s">
        <v>85</v>
      </c>
      <c r="CS251" s="5" t="s">
        <v>86</v>
      </c>
      <c r="CT251" s="5"/>
      <c r="CU251" s="5"/>
      <c r="CV251" s="5"/>
      <c r="CW251" s="5"/>
      <c r="CX251" s="5"/>
      <c r="CY251" s="5"/>
      <c r="CZ251" s="5"/>
      <c r="DA251" s="5"/>
    </row>
    <row r="252" spans="1:105">
      <c r="A252" s="5">
        <v>18019096113</v>
      </c>
      <c r="B252" s="5" t="s">
        <v>16</v>
      </c>
      <c r="C252" s="5" t="s">
        <v>17</v>
      </c>
      <c r="D252" s="5" t="s">
        <v>18</v>
      </c>
      <c r="E252" s="5"/>
      <c r="F252" s="5"/>
      <c r="G252" s="5"/>
      <c r="H252" s="5"/>
      <c r="I252" s="5"/>
      <c r="J252" s="5" t="s">
        <v>24</v>
      </c>
      <c r="K252" s="5"/>
      <c r="L252" s="5"/>
      <c r="M252" s="5"/>
      <c r="N252" s="5"/>
      <c r="O252" s="5"/>
      <c r="P252" s="5" t="s">
        <v>16</v>
      </c>
      <c r="Q252" s="5" t="s">
        <v>17</v>
      </c>
      <c r="R252" s="5" t="s">
        <v>18</v>
      </c>
      <c r="S252" s="5"/>
      <c r="T252" s="5"/>
      <c r="U252" s="5" t="s">
        <v>21</v>
      </c>
      <c r="V252" s="5"/>
      <c r="W252" s="5"/>
      <c r="X252" s="5"/>
      <c r="Y252" s="5" t="s">
        <v>25</v>
      </c>
      <c r="Z252" s="5"/>
      <c r="AA252" s="5"/>
      <c r="AB252" s="5"/>
      <c r="AC252" s="5"/>
      <c r="AD252" s="5"/>
      <c r="AE252" s="5" t="s">
        <v>30</v>
      </c>
      <c r="AF252" s="5"/>
      <c r="AG252" s="5" t="s">
        <v>32</v>
      </c>
      <c r="AH252" s="5"/>
      <c r="AI252" s="5"/>
      <c r="AJ252" s="5" t="s">
        <v>35</v>
      </c>
      <c r="AK252" s="5"/>
      <c r="AL252" s="5"/>
      <c r="AM252" s="5" t="s">
        <v>375</v>
      </c>
      <c r="AN252" s="5"/>
      <c r="AO252" s="5"/>
      <c r="AP252" s="5" t="s">
        <v>39</v>
      </c>
      <c r="AQ252" s="5"/>
      <c r="AR252" s="5" t="s">
        <v>41</v>
      </c>
      <c r="AS252" s="5"/>
      <c r="AT252" s="5"/>
      <c r="AU252" s="5" t="s">
        <v>43</v>
      </c>
      <c r="AV252" s="5"/>
      <c r="AW252" s="5" t="s">
        <v>45</v>
      </c>
      <c r="AX252" s="5"/>
      <c r="AY252" s="5"/>
      <c r="AZ252" s="5"/>
      <c r="BA252" s="5"/>
      <c r="BB252" s="5" t="s">
        <v>49</v>
      </c>
      <c r="BC252" s="5"/>
      <c r="BD252" s="5" t="s">
        <v>51</v>
      </c>
      <c r="BE252" s="5" t="s">
        <v>17</v>
      </c>
      <c r="BF252" s="5" t="s">
        <v>52</v>
      </c>
      <c r="BG252" s="5"/>
      <c r="BH252" s="5" t="s">
        <v>54</v>
      </c>
      <c r="BI252" s="5"/>
      <c r="BJ252" s="5"/>
      <c r="BK252" s="5"/>
      <c r="BL252" s="5"/>
      <c r="BM252" s="5"/>
      <c r="BN252" s="5" t="s">
        <v>24</v>
      </c>
      <c r="BO252" s="5"/>
      <c r="BP252" s="5"/>
      <c r="BQ252" s="5" t="s">
        <v>61</v>
      </c>
      <c r="BR252" s="5" t="s">
        <v>62</v>
      </c>
      <c r="BS252" s="5" t="s">
        <v>63</v>
      </c>
      <c r="BT252" s="5"/>
      <c r="BU252" s="5" t="s">
        <v>64</v>
      </c>
      <c r="BV252" s="5"/>
      <c r="BW252" s="5"/>
      <c r="BX252" s="5" t="s">
        <v>67</v>
      </c>
      <c r="BY252" s="5"/>
      <c r="BZ252" s="5"/>
      <c r="CA252" s="5" t="s">
        <v>70</v>
      </c>
      <c r="CB252" s="5"/>
      <c r="CC252" s="5"/>
      <c r="CD252" s="5" t="s">
        <v>73</v>
      </c>
      <c r="CE252" s="5"/>
      <c r="CF252" s="5" t="s">
        <v>75</v>
      </c>
      <c r="CG252" s="5"/>
      <c r="CH252" s="5"/>
      <c r="CI252" s="5" t="s">
        <v>414</v>
      </c>
      <c r="CJ252" s="5">
        <v>56</v>
      </c>
      <c r="CK252" s="5" t="s">
        <v>141</v>
      </c>
      <c r="CL252" s="5" t="s">
        <v>152</v>
      </c>
      <c r="CM252" s="5" t="s">
        <v>418</v>
      </c>
      <c r="CN252" s="5" t="s">
        <v>419</v>
      </c>
      <c r="CO252" s="5" t="s">
        <v>82</v>
      </c>
      <c r="CP252" s="5" t="s">
        <v>83</v>
      </c>
      <c r="CQ252" s="5" t="s">
        <v>88</v>
      </c>
      <c r="CR252" s="5" t="s">
        <v>85</v>
      </c>
      <c r="CS252" s="5" t="s">
        <v>86</v>
      </c>
      <c r="CT252" s="5"/>
      <c r="CU252" s="5"/>
      <c r="CV252" s="5"/>
      <c r="CW252" s="5"/>
      <c r="CX252" s="5"/>
      <c r="CY252" s="5"/>
      <c r="CZ252" s="5"/>
      <c r="DA252" s="5"/>
    </row>
    <row r="253" spans="1:105">
      <c r="A253" s="5">
        <v>18019095931</v>
      </c>
      <c r="B253" s="5"/>
      <c r="C253" s="5" t="s">
        <v>17</v>
      </c>
      <c r="D253" s="5" t="s">
        <v>18</v>
      </c>
      <c r="E253" s="5"/>
      <c r="F253" s="5"/>
      <c r="G253" s="5"/>
      <c r="H253" s="5"/>
      <c r="I253" s="5"/>
      <c r="J253" s="5"/>
      <c r="K253" s="5"/>
      <c r="L253" s="5" t="s">
        <v>26</v>
      </c>
      <c r="M253" s="5"/>
      <c r="N253" s="5"/>
      <c r="O253" s="5"/>
      <c r="P253" s="5"/>
      <c r="Q253" s="5" t="s">
        <v>17</v>
      </c>
      <c r="R253" s="5" t="s">
        <v>18</v>
      </c>
      <c r="S253" s="5"/>
      <c r="T253" s="5"/>
      <c r="U253" s="5"/>
      <c r="V253" s="5"/>
      <c r="W253" s="5"/>
      <c r="X253" s="5"/>
      <c r="Y253" s="5"/>
      <c r="Z253" s="5"/>
      <c r="AA253" s="5"/>
      <c r="AB253" s="5"/>
      <c r="AC253" s="5"/>
      <c r="AD253" s="5"/>
      <c r="AE253" s="5"/>
      <c r="AF253" s="5"/>
      <c r="AG253" s="5" t="s">
        <v>32</v>
      </c>
      <c r="AH253" s="5"/>
      <c r="AI253" s="5"/>
      <c r="AJ253" s="5" t="s">
        <v>35</v>
      </c>
      <c r="AK253" s="5"/>
      <c r="AL253" s="5"/>
      <c r="AM253" s="5" t="s">
        <v>375</v>
      </c>
      <c r="AN253" s="5"/>
      <c r="AO253" s="5"/>
      <c r="AP253" s="5" t="s">
        <v>39</v>
      </c>
      <c r="AQ253" s="5"/>
      <c r="AR253" s="5"/>
      <c r="AS253" s="5" t="s">
        <v>42</v>
      </c>
      <c r="AT253" s="5"/>
      <c r="AU253" s="5" t="s">
        <v>43</v>
      </c>
      <c r="AV253" s="5"/>
      <c r="AW253" s="5"/>
      <c r="AX253" s="5"/>
      <c r="AY253" s="5"/>
      <c r="AZ253" s="5"/>
      <c r="BA253" s="5"/>
      <c r="BB253" s="5"/>
      <c r="BC253" s="5"/>
      <c r="BD253" s="5" t="s">
        <v>51</v>
      </c>
      <c r="BE253" s="5" t="s">
        <v>17</v>
      </c>
      <c r="BF253" s="5" t="s">
        <v>52</v>
      </c>
      <c r="BG253" s="5"/>
      <c r="BH253" s="5"/>
      <c r="BI253" s="5"/>
      <c r="BJ253" s="5"/>
      <c r="BK253" s="5"/>
      <c r="BL253" s="5"/>
      <c r="BM253" s="5"/>
      <c r="BN253" s="5"/>
      <c r="BO253" s="5"/>
      <c r="BP253" s="5"/>
      <c r="BQ253" s="5"/>
      <c r="BR253" s="5"/>
      <c r="BS253" s="5"/>
      <c r="BT253" s="5"/>
      <c r="BU253" s="5" t="s">
        <v>64</v>
      </c>
      <c r="BV253" s="5"/>
      <c r="BW253" s="5" t="s">
        <v>66</v>
      </c>
      <c r="BX253" s="5" t="s">
        <v>67</v>
      </c>
      <c r="BY253" s="5"/>
      <c r="BZ253" s="5"/>
      <c r="CA253" s="5"/>
      <c r="CB253" s="5"/>
      <c r="CC253" s="5"/>
      <c r="CD253" s="5"/>
      <c r="CE253" s="5"/>
      <c r="CF253" s="5"/>
      <c r="CG253" s="5"/>
      <c r="CH253" s="5"/>
      <c r="CI253" s="5" t="s">
        <v>414</v>
      </c>
      <c r="CJ253" s="5">
        <v>43</v>
      </c>
      <c r="CK253" s="5" t="s">
        <v>141</v>
      </c>
      <c r="CL253" s="5" t="s">
        <v>171</v>
      </c>
      <c r="CM253" s="5" t="s">
        <v>418</v>
      </c>
      <c r="CN253" s="5" t="s">
        <v>419</v>
      </c>
      <c r="CO253" s="5" t="s">
        <v>82</v>
      </c>
      <c r="CP253" s="5" t="s">
        <v>83</v>
      </c>
      <c r="CQ253" s="5" t="s">
        <v>103</v>
      </c>
      <c r="CR253" s="5" t="s">
        <v>105</v>
      </c>
      <c r="CS253" s="5" t="s">
        <v>86</v>
      </c>
      <c r="CT253" s="5"/>
      <c r="CU253" s="5"/>
      <c r="CV253" s="107"/>
      <c r="CW253" s="107"/>
      <c r="CX253" s="107"/>
      <c r="CY253" s="107"/>
      <c r="CZ253" s="107"/>
      <c r="DA253" s="107"/>
    </row>
    <row r="254" spans="1:105">
      <c r="A254" s="5">
        <v>18019095788</v>
      </c>
      <c r="B254" s="5" t="s">
        <v>16</v>
      </c>
      <c r="C254" s="5" t="s">
        <v>17</v>
      </c>
      <c r="D254" s="5" t="s">
        <v>18</v>
      </c>
      <c r="E254" s="5"/>
      <c r="F254" s="5"/>
      <c r="G254" s="5"/>
      <c r="H254" s="5"/>
      <c r="I254" s="5"/>
      <c r="J254" s="5"/>
      <c r="K254" s="5"/>
      <c r="L254" s="5"/>
      <c r="M254" s="5"/>
      <c r="N254" s="5"/>
      <c r="O254" s="5"/>
      <c r="P254" s="5"/>
      <c r="Q254" s="5" t="s">
        <v>17</v>
      </c>
      <c r="R254" s="5" t="s">
        <v>18</v>
      </c>
      <c r="S254" s="5"/>
      <c r="T254" s="5"/>
      <c r="U254" s="5"/>
      <c r="V254" s="5"/>
      <c r="W254" s="5"/>
      <c r="X254" s="5" t="s">
        <v>24</v>
      </c>
      <c r="Y254" s="5"/>
      <c r="Z254" s="5"/>
      <c r="AA254" s="5"/>
      <c r="AB254" s="5"/>
      <c r="AC254" s="5"/>
      <c r="AD254" s="5"/>
      <c r="AE254" s="5" t="s">
        <v>30</v>
      </c>
      <c r="AF254" s="5"/>
      <c r="AG254" s="5" t="s">
        <v>32</v>
      </c>
      <c r="AH254" s="5"/>
      <c r="AI254" s="5"/>
      <c r="AJ254" s="5"/>
      <c r="AK254" s="5"/>
      <c r="AL254" s="5"/>
      <c r="AM254" s="5" t="s">
        <v>375</v>
      </c>
      <c r="AN254" s="5"/>
      <c r="AO254" s="5" t="s">
        <v>38</v>
      </c>
      <c r="AP254" s="5" t="s">
        <v>39</v>
      </c>
      <c r="AQ254" s="5"/>
      <c r="AR254" s="5" t="s">
        <v>41</v>
      </c>
      <c r="AS254" s="5"/>
      <c r="AT254" s="5"/>
      <c r="AU254" s="5"/>
      <c r="AV254" s="5"/>
      <c r="AW254" s="5"/>
      <c r="AX254" s="5"/>
      <c r="AY254" s="5"/>
      <c r="AZ254" s="5"/>
      <c r="BA254" s="5"/>
      <c r="BB254" s="5"/>
      <c r="BC254" s="5"/>
      <c r="BD254" s="5" t="s">
        <v>51</v>
      </c>
      <c r="BE254" s="5"/>
      <c r="BF254" s="5"/>
      <c r="BG254" s="5" t="s">
        <v>53</v>
      </c>
      <c r="BH254" s="5" t="s">
        <v>54</v>
      </c>
      <c r="BI254" s="5"/>
      <c r="BJ254" s="5"/>
      <c r="BK254" s="5"/>
      <c r="BL254" s="5"/>
      <c r="BM254" s="5"/>
      <c r="BN254" s="5"/>
      <c r="BO254" s="5"/>
      <c r="BP254" s="5"/>
      <c r="BQ254" s="5"/>
      <c r="BR254" s="5"/>
      <c r="BS254" s="5"/>
      <c r="BT254" s="5"/>
      <c r="BU254" s="5" t="s">
        <v>64</v>
      </c>
      <c r="BV254" s="5"/>
      <c r="BW254" s="5"/>
      <c r="BX254" s="5"/>
      <c r="BY254" s="5"/>
      <c r="BZ254" s="5"/>
      <c r="CA254" s="5"/>
      <c r="CB254" s="5"/>
      <c r="CC254" s="5"/>
      <c r="CD254" s="5"/>
      <c r="CE254" s="5"/>
      <c r="CF254" s="5" t="s">
        <v>75</v>
      </c>
      <c r="CG254" s="5"/>
      <c r="CH254" s="5"/>
      <c r="CI254" s="5" t="s">
        <v>417</v>
      </c>
      <c r="CJ254" s="5">
        <v>48</v>
      </c>
      <c r="CK254" s="5" t="s">
        <v>141</v>
      </c>
      <c r="CL254" s="5" t="s">
        <v>171</v>
      </c>
      <c r="CM254" s="5" t="s">
        <v>418</v>
      </c>
      <c r="CN254" s="5" t="s">
        <v>419</v>
      </c>
      <c r="CO254" s="5" t="s">
        <v>82</v>
      </c>
      <c r="CP254" s="5" t="s">
        <v>83</v>
      </c>
      <c r="CQ254" s="5" t="s">
        <v>88</v>
      </c>
      <c r="CR254" s="5" t="s">
        <v>85</v>
      </c>
      <c r="CS254" s="5" t="s">
        <v>86</v>
      </c>
      <c r="CT254" s="5"/>
      <c r="CU254" s="5"/>
      <c r="CV254" s="5"/>
      <c r="CW254" s="5"/>
      <c r="CX254" s="5"/>
      <c r="CY254" s="5"/>
      <c r="CZ254" s="5"/>
      <c r="DA254" s="5"/>
    </row>
    <row r="255" spans="1:105">
      <c r="A255" s="5">
        <v>18019095658</v>
      </c>
      <c r="B255" s="5" t="s">
        <v>16</v>
      </c>
      <c r="C255" s="5" t="s">
        <v>17</v>
      </c>
      <c r="D255" s="5"/>
      <c r="E255" s="5"/>
      <c r="F255" s="5"/>
      <c r="G255" s="5"/>
      <c r="H255" s="5"/>
      <c r="I255" s="5"/>
      <c r="J255" s="5" t="s">
        <v>24</v>
      </c>
      <c r="K255" s="5"/>
      <c r="L255" s="5"/>
      <c r="M255" s="5"/>
      <c r="N255" s="5"/>
      <c r="O255" s="5"/>
      <c r="P255" s="5" t="s">
        <v>16</v>
      </c>
      <c r="Q255" s="5" t="s">
        <v>17</v>
      </c>
      <c r="R255" s="5" t="s">
        <v>18</v>
      </c>
      <c r="S255" s="5"/>
      <c r="T255" s="5"/>
      <c r="U255" s="5"/>
      <c r="V255" s="5"/>
      <c r="W255" s="5"/>
      <c r="X255" s="5"/>
      <c r="Y255" s="5"/>
      <c r="Z255" s="5"/>
      <c r="AA255" s="5"/>
      <c r="AB255" s="5"/>
      <c r="AC255" s="5"/>
      <c r="AD255" s="5"/>
      <c r="AE255" s="5" t="s">
        <v>30</v>
      </c>
      <c r="AF255" s="5"/>
      <c r="AG255" s="5" t="s">
        <v>32</v>
      </c>
      <c r="AH255" s="5"/>
      <c r="AI255" s="5"/>
      <c r="AJ255" s="5" t="s">
        <v>35</v>
      </c>
      <c r="AK255" s="5"/>
      <c r="AL255" s="5"/>
      <c r="AM255" s="5"/>
      <c r="AN255" s="5"/>
      <c r="AO255" s="5"/>
      <c r="AP255" s="5" t="s">
        <v>39</v>
      </c>
      <c r="AQ255" s="5"/>
      <c r="AR255" s="5" t="s">
        <v>41</v>
      </c>
      <c r="AS255" s="5"/>
      <c r="AT255" s="5"/>
      <c r="AU255" s="5" t="s">
        <v>43</v>
      </c>
      <c r="AV255" s="5"/>
      <c r="AW255" s="5"/>
      <c r="AX255" s="5"/>
      <c r="AY255" s="5"/>
      <c r="AZ255" s="5"/>
      <c r="BA255" s="5"/>
      <c r="BB255" s="5" t="s">
        <v>49</v>
      </c>
      <c r="BC255" s="5"/>
      <c r="BD255" s="5"/>
      <c r="BE255" s="5" t="s">
        <v>17</v>
      </c>
      <c r="BF255" s="5" t="s">
        <v>52</v>
      </c>
      <c r="BG255" s="5"/>
      <c r="BH255" s="5" t="s">
        <v>54</v>
      </c>
      <c r="BI255" s="5"/>
      <c r="BJ255" s="5"/>
      <c r="BK255" s="5"/>
      <c r="BL255" s="5" t="s">
        <v>58</v>
      </c>
      <c r="BM255" s="5"/>
      <c r="BN255" s="5" t="s">
        <v>24</v>
      </c>
      <c r="BO255" s="5"/>
      <c r="BP255" s="5"/>
      <c r="BQ255" s="5" t="s">
        <v>61</v>
      </c>
      <c r="BR255" s="5"/>
      <c r="BS255" s="5"/>
      <c r="BT255" s="5"/>
      <c r="BU255" s="5" t="s">
        <v>64</v>
      </c>
      <c r="BV255" s="5"/>
      <c r="BW255" s="5"/>
      <c r="BX255" s="5" t="s">
        <v>67</v>
      </c>
      <c r="BY255" s="5"/>
      <c r="BZ255" s="5"/>
      <c r="CA255" s="5" t="s">
        <v>70</v>
      </c>
      <c r="CB255" s="5"/>
      <c r="CC255" s="5"/>
      <c r="CD255" s="5" t="s">
        <v>73</v>
      </c>
      <c r="CE255" s="5"/>
      <c r="CF255" s="5"/>
      <c r="CG255" s="5"/>
      <c r="CH255" s="5"/>
      <c r="CI255" s="5" t="s">
        <v>414</v>
      </c>
      <c r="CJ255" s="5">
        <v>49</v>
      </c>
      <c r="CK255" s="5" t="s">
        <v>141</v>
      </c>
      <c r="CL255" s="5" t="s">
        <v>165</v>
      </c>
      <c r="CM255" s="5" t="s">
        <v>418</v>
      </c>
      <c r="CN255" s="5" t="s">
        <v>419</v>
      </c>
      <c r="CO255" s="5" t="s">
        <v>82</v>
      </c>
      <c r="CP255" s="5" t="s">
        <v>83</v>
      </c>
      <c r="CQ255" s="5" t="s">
        <v>84</v>
      </c>
      <c r="CR255" s="5" t="s">
        <v>85</v>
      </c>
      <c r="CS255" s="5" t="s">
        <v>86</v>
      </c>
      <c r="CT255" s="5"/>
      <c r="CU255" s="5"/>
      <c r="CV255" s="5"/>
      <c r="CW255" s="5"/>
      <c r="CX255" s="5"/>
      <c r="CY255" s="5"/>
      <c r="CZ255" s="5"/>
      <c r="DA255" s="5"/>
    </row>
    <row r="256" spans="1:105">
      <c r="A256" s="5">
        <v>18019095504</v>
      </c>
      <c r="B256" s="5"/>
      <c r="C256" s="5"/>
      <c r="D256" s="5" t="s">
        <v>18</v>
      </c>
      <c r="E256" s="5"/>
      <c r="F256" s="5"/>
      <c r="G256" s="5"/>
      <c r="H256" s="5"/>
      <c r="I256" s="5"/>
      <c r="J256" s="5"/>
      <c r="K256" s="5" t="s">
        <v>25</v>
      </c>
      <c r="L256" s="5" t="s">
        <v>26</v>
      </c>
      <c r="M256" s="5"/>
      <c r="N256" s="5"/>
      <c r="O256" s="5"/>
      <c r="P256" s="5"/>
      <c r="Q256" s="5" t="s">
        <v>17</v>
      </c>
      <c r="R256" s="5" t="s">
        <v>18</v>
      </c>
      <c r="S256" s="5" t="s">
        <v>19</v>
      </c>
      <c r="T256" s="5"/>
      <c r="U256" s="5"/>
      <c r="V256" s="5"/>
      <c r="W256" s="5"/>
      <c r="X256" s="5"/>
      <c r="Y256" s="5"/>
      <c r="Z256" s="5"/>
      <c r="AA256" s="5"/>
      <c r="AB256" s="5"/>
      <c r="AC256" s="5"/>
      <c r="AD256" s="5"/>
      <c r="AE256" s="5"/>
      <c r="AF256" s="5"/>
      <c r="AG256" s="5" t="s">
        <v>32</v>
      </c>
      <c r="AH256" s="5" t="s">
        <v>33</v>
      </c>
      <c r="AI256" s="5"/>
      <c r="AJ256" s="5" t="s">
        <v>35</v>
      </c>
      <c r="AK256" s="5"/>
      <c r="AL256" s="5"/>
      <c r="AM256" s="5" t="s">
        <v>375</v>
      </c>
      <c r="AN256" s="5"/>
      <c r="AO256" s="5"/>
      <c r="AP256" s="5" t="s">
        <v>39</v>
      </c>
      <c r="AQ256" s="5" t="s">
        <v>40</v>
      </c>
      <c r="AR256" s="5"/>
      <c r="AS256" s="5"/>
      <c r="AT256" s="5"/>
      <c r="AU256" s="5"/>
      <c r="AV256" s="5" t="s">
        <v>44</v>
      </c>
      <c r="AW256" s="5" t="s">
        <v>45</v>
      </c>
      <c r="AX256" s="5"/>
      <c r="AY256" s="5"/>
      <c r="AZ256" s="5"/>
      <c r="BA256" s="5"/>
      <c r="BB256" s="5" t="s">
        <v>49</v>
      </c>
      <c r="BC256" s="5"/>
      <c r="BD256" s="5"/>
      <c r="BE256" s="5" t="s">
        <v>17</v>
      </c>
      <c r="BF256" s="5" t="s">
        <v>52</v>
      </c>
      <c r="BG256" s="5"/>
      <c r="BH256" s="5" t="s">
        <v>54</v>
      </c>
      <c r="BI256" s="5" t="s">
        <v>55</v>
      </c>
      <c r="BJ256" s="5"/>
      <c r="BK256" s="5"/>
      <c r="BL256" s="5"/>
      <c r="BM256" s="5"/>
      <c r="BN256" s="5"/>
      <c r="BO256" s="5"/>
      <c r="BP256" s="5"/>
      <c r="BQ256" s="5"/>
      <c r="BR256" s="5"/>
      <c r="BS256" s="5"/>
      <c r="BT256" s="5"/>
      <c r="BU256" s="5" t="s">
        <v>64</v>
      </c>
      <c r="BV256" s="5"/>
      <c r="BW256" s="5" t="s">
        <v>66</v>
      </c>
      <c r="BX256" s="5"/>
      <c r="BY256" s="5"/>
      <c r="BZ256" s="5"/>
      <c r="CA256" s="5"/>
      <c r="CB256" s="5"/>
      <c r="CC256" s="5" t="s">
        <v>72</v>
      </c>
      <c r="CD256" s="5" t="s">
        <v>73</v>
      </c>
      <c r="CE256" s="5"/>
      <c r="CF256" s="5" t="s">
        <v>75</v>
      </c>
      <c r="CG256" s="5"/>
      <c r="CH256" s="5"/>
      <c r="CI256" s="5" t="s">
        <v>417</v>
      </c>
      <c r="CJ256" s="5">
        <v>49</v>
      </c>
      <c r="CK256" s="5" t="s">
        <v>141</v>
      </c>
      <c r="CL256" s="5" t="s">
        <v>174</v>
      </c>
      <c r="CM256" s="5" t="s">
        <v>418</v>
      </c>
      <c r="CN256" s="5"/>
      <c r="CO256" s="5" t="s">
        <v>82</v>
      </c>
      <c r="CP256" s="5" t="s">
        <v>94</v>
      </c>
      <c r="CQ256" s="5" t="s">
        <v>84</v>
      </c>
      <c r="CR256" s="5" t="s">
        <v>85</v>
      </c>
      <c r="CS256" s="5" t="s">
        <v>86</v>
      </c>
      <c r="CT256" s="5"/>
      <c r="CU256" s="5"/>
      <c r="CV256" s="5"/>
      <c r="CW256" s="5"/>
      <c r="CX256" s="5"/>
      <c r="CY256" s="5"/>
      <c r="CZ256" s="5"/>
      <c r="DA256" s="5"/>
    </row>
    <row r="257" spans="1:105">
      <c r="A257" s="5">
        <v>18019095328</v>
      </c>
      <c r="B257" s="5"/>
      <c r="C257" s="5"/>
      <c r="D257" s="5"/>
      <c r="E257" s="5"/>
      <c r="F257" s="5"/>
      <c r="G257" s="5" t="s">
        <v>21</v>
      </c>
      <c r="H257" s="5"/>
      <c r="I257" s="5"/>
      <c r="J257" s="5"/>
      <c r="K257" s="5" t="s">
        <v>25</v>
      </c>
      <c r="L257" s="5" t="s">
        <v>26</v>
      </c>
      <c r="M257" s="5"/>
      <c r="N257" s="5"/>
      <c r="O257" s="5"/>
      <c r="P257" s="5"/>
      <c r="Q257" s="5" t="s">
        <v>17</v>
      </c>
      <c r="R257" s="5"/>
      <c r="S257" s="5"/>
      <c r="T257" s="5"/>
      <c r="U257" s="5"/>
      <c r="V257" s="5"/>
      <c r="W257" s="5" t="s">
        <v>23</v>
      </c>
      <c r="X257" s="5"/>
      <c r="Y257" s="5"/>
      <c r="Z257" s="5"/>
      <c r="AA257" s="5"/>
      <c r="AB257" s="5" t="s">
        <v>28</v>
      </c>
      <c r="AC257" s="5"/>
      <c r="AD257" s="5"/>
      <c r="AE257" s="5" t="s">
        <v>30</v>
      </c>
      <c r="AF257" s="5"/>
      <c r="AG257" s="5" t="s">
        <v>32</v>
      </c>
      <c r="AH257" s="5"/>
      <c r="AI257" s="5"/>
      <c r="AJ257" s="5" t="s">
        <v>35</v>
      </c>
      <c r="AK257" s="5"/>
      <c r="AL257" s="5"/>
      <c r="AM257" s="5"/>
      <c r="AN257" s="5"/>
      <c r="AO257" s="5"/>
      <c r="AP257" s="5" t="s">
        <v>39</v>
      </c>
      <c r="AQ257" s="5" t="s">
        <v>40</v>
      </c>
      <c r="AR257" s="5"/>
      <c r="AS257" s="5"/>
      <c r="AT257" s="5"/>
      <c r="AU257" s="5" t="s">
        <v>43</v>
      </c>
      <c r="AV257" s="5"/>
      <c r="AW257" s="5"/>
      <c r="AX257" s="5"/>
      <c r="AY257" s="5"/>
      <c r="AZ257" s="5"/>
      <c r="BA257" s="5"/>
      <c r="BB257" s="5"/>
      <c r="BC257" s="5"/>
      <c r="BD257" s="5"/>
      <c r="BE257" s="5"/>
      <c r="BF257" s="5" t="s">
        <v>52</v>
      </c>
      <c r="BG257" s="5"/>
      <c r="BH257" s="5"/>
      <c r="BI257" s="5"/>
      <c r="BJ257" s="5"/>
      <c r="BK257" s="5"/>
      <c r="BL257" s="5" t="s">
        <v>58</v>
      </c>
      <c r="BM257" s="5" t="s">
        <v>59</v>
      </c>
      <c r="BN257" s="5"/>
      <c r="BO257" s="5"/>
      <c r="BP257" s="5"/>
      <c r="BQ257" s="5"/>
      <c r="BR257" s="5"/>
      <c r="BS257" s="5"/>
      <c r="BT257" s="5"/>
      <c r="BU257" s="5" t="s">
        <v>64</v>
      </c>
      <c r="BV257" s="5"/>
      <c r="BW257" s="5"/>
      <c r="BX257" s="5" t="s">
        <v>67</v>
      </c>
      <c r="BY257" s="5"/>
      <c r="BZ257" s="5"/>
      <c r="CA257" s="5"/>
      <c r="CB257" s="5"/>
      <c r="CC257" s="5"/>
      <c r="CD257" s="5" t="s">
        <v>73</v>
      </c>
      <c r="CE257" s="5"/>
      <c r="CF257" s="5"/>
      <c r="CG257" s="5"/>
      <c r="CH257" s="5"/>
      <c r="CI257" s="5" t="s">
        <v>414</v>
      </c>
      <c r="CJ257" s="5">
        <v>48</v>
      </c>
      <c r="CK257" s="5" t="s">
        <v>141</v>
      </c>
      <c r="CL257" s="5" t="s">
        <v>171</v>
      </c>
      <c r="CM257" s="5" t="s">
        <v>418</v>
      </c>
      <c r="CN257" s="5" t="s">
        <v>419</v>
      </c>
      <c r="CO257" s="5" t="s">
        <v>82</v>
      </c>
      <c r="CP257" s="5" t="s">
        <v>83</v>
      </c>
      <c r="CQ257" s="5" t="s">
        <v>84</v>
      </c>
      <c r="CR257" s="5" t="s">
        <v>96</v>
      </c>
      <c r="CS257" s="5" t="s">
        <v>86</v>
      </c>
      <c r="CT257" s="5"/>
      <c r="CU257" s="5"/>
      <c r="CV257" s="5"/>
      <c r="CW257" s="5"/>
      <c r="CX257" s="5"/>
      <c r="CY257" s="5"/>
      <c r="CZ257" s="5"/>
      <c r="DA257" s="5"/>
    </row>
    <row r="258" spans="1:105">
      <c r="A258" s="5">
        <v>18019095130</v>
      </c>
      <c r="B258" s="5"/>
      <c r="C258" s="5"/>
      <c r="D258" s="5"/>
      <c r="E258" s="5" t="s">
        <v>19</v>
      </c>
      <c r="F258" s="5"/>
      <c r="G258" s="5"/>
      <c r="H258" s="5"/>
      <c r="I258" s="5"/>
      <c r="J258" s="5"/>
      <c r="K258" s="5"/>
      <c r="L258" s="5"/>
      <c r="M258" s="5"/>
      <c r="N258" s="5"/>
      <c r="O258" s="5"/>
      <c r="P258" s="5"/>
      <c r="Q258" s="5"/>
      <c r="R258" s="5" t="s">
        <v>18</v>
      </c>
      <c r="S258" s="5"/>
      <c r="T258" s="5"/>
      <c r="U258" s="5"/>
      <c r="V258" s="5"/>
      <c r="W258" s="5"/>
      <c r="X258" s="5"/>
      <c r="Y258" s="5"/>
      <c r="Z258" s="5"/>
      <c r="AA258" s="5"/>
      <c r="AB258" s="5" t="s">
        <v>28</v>
      </c>
      <c r="AC258" s="5"/>
      <c r="AD258" s="5"/>
      <c r="AE258" s="5"/>
      <c r="AF258" s="5" t="s">
        <v>31</v>
      </c>
      <c r="AG258" s="5"/>
      <c r="AH258" s="5" t="s">
        <v>33</v>
      </c>
      <c r="AI258" s="5"/>
      <c r="AJ258" s="5"/>
      <c r="AK258" s="5" t="s">
        <v>36</v>
      </c>
      <c r="AL258" s="5"/>
      <c r="AM258" s="5"/>
      <c r="AN258" s="5"/>
      <c r="AO258" s="5"/>
      <c r="AP258" s="5"/>
      <c r="AQ258" s="5" t="s">
        <v>40</v>
      </c>
      <c r="AR258" s="5"/>
      <c r="AS258" s="5"/>
      <c r="AT258" s="5"/>
      <c r="AU258" s="5"/>
      <c r="AV258" s="5"/>
      <c r="AW258" s="5" t="s">
        <v>45</v>
      </c>
      <c r="AX258" s="5"/>
      <c r="AY258" s="5"/>
      <c r="AZ258" s="5"/>
      <c r="BA258" s="5"/>
      <c r="BB258" s="5"/>
      <c r="BC258" s="5"/>
      <c r="BD258" s="5"/>
      <c r="BE258" s="5"/>
      <c r="BF258" s="5" t="s">
        <v>52</v>
      </c>
      <c r="BG258" s="5"/>
      <c r="BH258" s="5"/>
      <c r="BI258" s="5"/>
      <c r="BJ258" s="5"/>
      <c r="BK258" s="5"/>
      <c r="BL258" s="5"/>
      <c r="BM258" s="5"/>
      <c r="BN258" s="5"/>
      <c r="BO258" s="5"/>
      <c r="BP258" s="5"/>
      <c r="BQ258" s="5"/>
      <c r="BR258" s="5" t="s">
        <v>62</v>
      </c>
      <c r="BS258" s="5"/>
      <c r="BT258" s="5"/>
      <c r="BU258" s="5" t="s">
        <v>64</v>
      </c>
      <c r="BV258" s="5"/>
      <c r="BW258" s="5"/>
      <c r="BX258" s="5"/>
      <c r="BY258" s="5"/>
      <c r="BZ258" s="5"/>
      <c r="CA258" s="5"/>
      <c r="CB258" s="5"/>
      <c r="CC258" s="5"/>
      <c r="CD258" s="5" t="s">
        <v>73</v>
      </c>
      <c r="CE258" s="5"/>
      <c r="CF258" s="5"/>
      <c r="CG258" s="5"/>
      <c r="CH258" s="5"/>
      <c r="CI258" s="5" t="s">
        <v>417</v>
      </c>
      <c r="CJ258" s="5">
        <v>50</v>
      </c>
      <c r="CK258" s="5" t="s">
        <v>141</v>
      </c>
      <c r="CL258" s="5" t="s">
        <v>173</v>
      </c>
      <c r="CM258" s="5" t="s">
        <v>418</v>
      </c>
      <c r="CN258" s="5" t="s">
        <v>419</v>
      </c>
      <c r="CO258" s="5" t="s">
        <v>82</v>
      </c>
      <c r="CP258" s="5" t="s">
        <v>94</v>
      </c>
      <c r="CQ258" s="5" t="s">
        <v>95</v>
      </c>
      <c r="CR258" s="5" t="s">
        <v>85</v>
      </c>
      <c r="CS258" s="5" t="s">
        <v>86</v>
      </c>
      <c r="CT258" s="5"/>
      <c r="CU258" s="5"/>
      <c r="CV258" s="5"/>
      <c r="CW258" s="5"/>
      <c r="CX258" s="5"/>
      <c r="CY258" s="5"/>
      <c r="CZ258" s="5"/>
      <c r="DA258" s="5"/>
    </row>
    <row r="259" spans="1:105">
      <c r="A259" s="5">
        <v>18019094934</v>
      </c>
      <c r="B259" s="5"/>
      <c r="C259" s="5" t="s">
        <v>17</v>
      </c>
      <c r="D259" s="5"/>
      <c r="E259" s="5"/>
      <c r="F259" s="5"/>
      <c r="G259" s="5"/>
      <c r="H259" s="5" t="s">
        <v>22</v>
      </c>
      <c r="I259" s="5"/>
      <c r="J259" s="5"/>
      <c r="K259" s="5" t="s">
        <v>25</v>
      </c>
      <c r="L259" s="5"/>
      <c r="M259" s="5"/>
      <c r="N259" s="5"/>
      <c r="O259" s="5"/>
      <c r="P259" s="5"/>
      <c r="Q259" s="5" t="s">
        <v>17</v>
      </c>
      <c r="R259" s="5"/>
      <c r="S259" s="5"/>
      <c r="T259" s="5"/>
      <c r="U259" s="5"/>
      <c r="V259" s="5"/>
      <c r="W259" s="5" t="s">
        <v>23</v>
      </c>
      <c r="X259" s="5"/>
      <c r="Y259" s="5"/>
      <c r="Z259" s="5"/>
      <c r="AA259" s="5"/>
      <c r="AB259" s="5"/>
      <c r="AC259" s="5"/>
      <c r="AD259" s="5"/>
      <c r="AE259" s="5"/>
      <c r="AF259" s="5"/>
      <c r="AG259" s="5"/>
      <c r="AH259" s="5"/>
      <c r="AI259" s="5"/>
      <c r="AJ259" s="5"/>
      <c r="AK259" s="5"/>
      <c r="AL259" s="5"/>
      <c r="AM259" s="5"/>
      <c r="AN259" s="5"/>
      <c r="AO259" s="5" t="s">
        <v>38</v>
      </c>
      <c r="AP259" s="5"/>
      <c r="AQ259" s="5"/>
      <c r="AR259" s="5"/>
      <c r="AS259" s="5"/>
      <c r="AT259" s="5"/>
      <c r="AU259" s="5"/>
      <c r="AV259" s="5"/>
      <c r="AW259" s="5"/>
      <c r="AX259" s="5"/>
      <c r="AY259" s="5"/>
      <c r="AZ259" s="5" t="s">
        <v>48</v>
      </c>
      <c r="BA259" s="5"/>
      <c r="BB259" s="5"/>
      <c r="BC259" s="5"/>
      <c r="BD259" s="5"/>
      <c r="BE259" s="5"/>
      <c r="BF259" s="5"/>
      <c r="BG259" s="5"/>
      <c r="BH259" s="5"/>
      <c r="BI259" s="5"/>
      <c r="BJ259" s="5"/>
      <c r="BK259" s="5"/>
      <c r="BL259" s="5"/>
      <c r="BM259" s="5"/>
      <c r="BN259" s="5"/>
      <c r="BO259" s="5"/>
      <c r="BP259" s="5"/>
      <c r="BQ259" s="5"/>
      <c r="BR259" s="5"/>
      <c r="BS259" s="5"/>
      <c r="BT259" s="5"/>
      <c r="BU259" s="5" t="s">
        <v>64</v>
      </c>
      <c r="BV259" s="5"/>
      <c r="BW259" s="5"/>
      <c r="BX259" s="5"/>
      <c r="BY259" s="5" t="s">
        <v>68</v>
      </c>
      <c r="BZ259" s="5"/>
      <c r="CA259" s="5"/>
      <c r="CB259" s="5"/>
      <c r="CC259" s="5"/>
      <c r="CD259" s="5"/>
      <c r="CE259" s="5"/>
      <c r="CF259" s="5" t="s">
        <v>75</v>
      </c>
      <c r="CG259" s="5"/>
      <c r="CH259" s="5"/>
      <c r="CI259" s="5" t="s">
        <v>414</v>
      </c>
      <c r="CJ259" s="5">
        <v>50</v>
      </c>
      <c r="CK259" s="5" t="s">
        <v>141</v>
      </c>
      <c r="CL259" s="5" t="s">
        <v>379</v>
      </c>
      <c r="CM259" s="103" t="s">
        <v>418</v>
      </c>
      <c r="CN259" s="5" t="s">
        <v>419</v>
      </c>
      <c r="CO259" s="103" t="s">
        <v>82</v>
      </c>
      <c r="CP259" s="5" t="s">
        <v>83</v>
      </c>
      <c r="CQ259" s="5" t="s">
        <v>84</v>
      </c>
      <c r="CR259" s="103" t="s">
        <v>85</v>
      </c>
      <c r="CS259" s="103" t="s">
        <v>86</v>
      </c>
      <c r="CT259" s="5"/>
      <c r="CU259" s="5"/>
      <c r="CV259" s="5"/>
      <c r="CW259" s="5"/>
      <c r="CX259" s="5"/>
      <c r="CY259" s="5"/>
      <c r="CZ259" s="5"/>
      <c r="DA259" s="5"/>
    </row>
    <row r="260" spans="1:105">
      <c r="A260" s="5">
        <v>18019094740</v>
      </c>
      <c r="B260" s="5" t="s">
        <v>16</v>
      </c>
      <c r="C260" s="5" t="s">
        <v>17</v>
      </c>
      <c r="D260" s="5"/>
      <c r="E260" s="5"/>
      <c r="F260" s="5"/>
      <c r="G260" s="5"/>
      <c r="H260" s="5" t="s">
        <v>22</v>
      </c>
      <c r="I260" s="5" t="s">
        <v>23</v>
      </c>
      <c r="J260" s="5"/>
      <c r="K260" s="5" t="s">
        <v>25</v>
      </c>
      <c r="L260" s="5"/>
      <c r="M260" s="5"/>
      <c r="N260" s="5"/>
      <c r="O260" s="5"/>
      <c r="P260" s="5" t="s">
        <v>16</v>
      </c>
      <c r="Q260" s="5" t="s">
        <v>17</v>
      </c>
      <c r="R260" s="5"/>
      <c r="S260" s="5"/>
      <c r="T260" s="5"/>
      <c r="U260" s="5"/>
      <c r="V260" s="5"/>
      <c r="W260" s="5" t="s">
        <v>23</v>
      </c>
      <c r="X260" s="5"/>
      <c r="Y260" s="5"/>
      <c r="Z260" s="5"/>
      <c r="AA260" s="5"/>
      <c r="AB260" s="5"/>
      <c r="AC260" s="5"/>
      <c r="AD260" s="5"/>
      <c r="AE260" s="5"/>
      <c r="AF260" s="5"/>
      <c r="AG260" s="5"/>
      <c r="AH260" s="5"/>
      <c r="AI260" s="5" t="s">
        <v>34</v>
      </c>
      <c r="AJ260" s="5" t="s">
        <v>35</v>
      </c>
      <c r="AK260" s="5" t="s">
        <v>36</v>
      </c>
      <c r="AL260" s="5"/>
      <c r="AM260" s="5"/>
      <c r="AN260" s="5"/>
      <c r="AO260" s="5" t="s">
        <v>38</v>
      </c>
      <c r="AP260" s="5" t="s">
        <v>39</v>
      </c>
      <c r="AQ260" s="5"/>
      <c r="AR260" s="5"/>
      <c r="AS260" s="5"/>
      <c r="AT260" s="5"/>
      <c r="AU260" s="5"/>
      <c r="AV260" s="5"/>
      <c r="AW260" s="5"/>
      <c r="AX260" s="5"/>
      <c r="AY260" s="5"/>
      <c r="AZ260" s="5"/>
      <c r="BA260" s="5"/>
      <c r="BB260" s="5"/>
      <c r="BC260" s="5"/>
      <c r="BD260" s="5" t="s">
        <v>51</v>
      </c>
      <c r="BE260" s="5"/>
      <c r="BF260" s="5"/>
      <c r="BG260" s="5"/>
      <c r="BH260" s="5"/>
      <c r="BI260" s="5"/>
      <c r="BJ260" s="5"/>
      <c r="BK260" s="5" t="s">
        <v>57</v>
      </c>
      <c r="BL260" s="5"/>
      <c r="BM260" s="5"/>
      <c r="BN260" s="5"/>
      <c r="BO260" s="5"/>
      <c r="BP260" s="5"/>
      <c r="BQ260" s="5"/>
      <c r="BR260" s="5"/>
      <c r="BS260" s="5"/>
      <c r="BT260" s="5"/>
      <c r="BU260" s="5" t="s">
        <v>64</v>
      </c>
      <c r="BV260" s="5"/>
      <c r="BW260" s="5"/>
      <c r="BX260" s="5"/>
      <c r="BY260" s="5"/>
      <c r="BZ260" s="5"/>
      <c r="CA260" s="5"/>
      <c r="CB260" s="5"/>
      <c r="CC260" s="5"/>
      <c r="CD260" s="5"/>
      <c r="CE260" s="5"/>
      <c r="CF260" s="5" t="s">
        <v>75</v>
      </c>
      <c r="CG260" s="5"/>
      <c r="CH260" s="5"/>
      <c r="CI260" s="5" t="s">
        <v>414</v>
      </c>
      <c r="CJ260" s="5">
        <v>52</v>
      </c>
      <c r="CK260" s="5" t="s">
        <v>141</v>
      </c>
      <c r="CL260" s="5" t="s">
        <v>377</v>
      </c>
      <c r="CM260" s="103" t="s">
        <v>418</v>
      </c>
      <c r="CN260" s="5" t="s">
        <v>419</v>
      </c>
      <c r="CO260" s="103" t="s">
        <v>82</v>
      </c>
      <c r="CP260" s="5" t="s">
        <v>83</v>
      </c>
      <c r="CQ260" s="5" t="s">
        <v>84</v>
      </c>
      <c r="CR260" s="103" t="s">
        <v>105</v>
      </c>
      <c r="CS260" s="103" t="s">
        <v>86</v>
      </c>
      <c r="CT260" s="5"/>
      <c r="CU260" s="5"/>
      <c r="CV260" s="5"/>
      <c r="CW260" s="5"/>
      <c r="CX260" s="5"/>
      <c r="CY260" s="5"/>
      <c r="CZ260" s="5"/>
      <c r="DA260" s="5"/>
    </row>
    <row r="261" spans="1:105">
      <c r="A261" s="5">
        <v>18018964801</v>
      </c>
      <c r="B261" s="5"/>
      <c r="C261" s="5"/>
      <c r="D261" s="5"/>
      <c r="E261" s="5"/>
      <c r="F261" s="5" t="s">
        <v>20</v>
      </c>
      <c r="G261" s="5" t="s">
        <v>21</v>
      </c>
      <c r="H261" s="5"/>
      <c r="I261" s="5"/>
      <c r="J261" s="5"/>
      <c r="K261" s="5" t="s">
        <v>25</v>
      </c>
      <c r="L261" s="5"/>
      <c r="M261" s="5"/>
      <c r="N261" s="5"/>
      <c r="O261" s="5"/>
      <c r="P261" s="5"/>
      <c r="Q261" s="5"/>
      <c r="R261" s="5" t="s">
        <v>18</v>
      </c>
      <c r="S261" s="5"/>
      <c r="T261" s="5"/>
      <c r="U261" s="5"/>
      <c r="V261" s="5"/>
      <c r="W261" s="5"/>
      <c r="X261" s="5" t="s">
        <v>24</v>
      </c>
      <c r="Y261" s="5"/>
      <c r="Z261" s="5"/>
      <c r="AA261" s="5"/>
      <c r="AB261" s="5"/>
      <c r="AC261" s="5"/>
      <c r="AD261" s="5"/>
      <c r="AE261" s="5"/>
      <c r="AF261" s="5"/>
      <c r="AG261" s="5"/>
      <c r="AH261" s="5"/>
      <c r="AI261" s="5" t="s">
        <v>34</v>
      </c>
      <c r="AJ261" s="5"/>
      <c r="AK261" s="5"/>
      <c r="AL261" s="5"/>
      <c r="AM261" s="5"/>
      <c r="AN261" s="5"/>
      <c r="AO261" s="5"/>
      <c r="AP261" s="5" t="s">
        <v>39</v>
      </c>
      <c r="AQ261" s="5"/>
      <c r="AR261" s="5" t="s">
        <v>41</v>
      </c>
      <c r="AS261" s="5"/>
      <c r="AT261" s="5"/>
      <c r="AU261" s="5" t="s">
        <v>43</v>
      </c>
      <c r="AV261" s="5"/>
      <c r="AW261" s="5"/>
      <c r="AX261" s="5"/>
      <c r="AY261" s="5"/>
      <c r="AZ261" s="5" t="s">
        <v>48</v>
      </c>
      <c r="BA261" s="5"/>
      <c r="BB261" s="5"/>
      <c r="BC261" s="5"/>
      <c r="BD261" s="5"/>
      <c r="BE261" s="5" t="s">
        <v>17</v>
      </c>
      <c r="BF261" s="5"/>
      <c r="BG261" s="5"/>
      <c r="BH261" s="5"/>
      <c r="BI261" s="5"/>
      <c r="BJ261" s="5"/>
      <c r="BK261" s="5"/>
      <c r="BL261" s="5" t="s">
        <v>58</v>
      </c>
      <c r="BM261" s="5"/>
      <c r="BN261" s="5" t="s">
        <v>24</v>
      </c>
      <c r="BO261" s="5"/>
      <c r="BP261" s="5"/>
      <c r="BQ261" s="5"/>
      <c r="BR261" s="5"/>
      <c r="BS261" s="5" t="s">
        <v>63</v>
      </c>
      <c r="BT261" s="5"/>
      <c r="BU261" s="5" t="s">
        <v>64</v>
      </c>
      <c r="BV261" s="5"/>
      <c r="BW261" s="5"/>
      <c r="BX261" s="5"/>
      <c r="BY261" s="5"/>
      <c r="BZ261" s="5"/>
      <c r="CA261" s="5"/>
      <c r="CB261" s="5"/>
      <c r="CC261" s="5"/>
      <c r="CD261" s="5"/>
      <c r="CE261" s="5"/>
      <c r="CF261" s="5"/>
      <c r="CG261" s="5"/>
      <c r="CH261" s="5"/>
      <c r="CI261" s="5" t="s">
        <v>417</v>
      </c>
      <c r="CJ261" s="5">
        <v>60</v>
      </c>
      <c r="CK261" s="5" t="s">
        <v>141</v>
      </c>
      <c r="CL261" s="5" t="s">
        <v>180</v>
      </c>
      <c r="CM261" s="103" t="s">
        <v>418</v>
      </c>
      <c r="CN261" s="5" t="s">
        <v>419</v>
      </c>
      <c r="CO261" s="103" t="s">
        <v>82</v>
      </c>
      <c r="CP261" s="5" t="s">
        <v>83</v>
      </c>
      <c r="CQ261" s="5" t="s">
        <v>106</v>
      </c>
      <c r="CR261" s="103" t="s">
        <v>85</v>
      </c>
      <c r="CS261" s="103" t="s">
        <v>86</v>
      </c>
      <c r="CT261" s="5" t="s">
        <v>384</v>
      </c>
      <c r="CU261" s="5" t="s">
        <v>86</v>
      </c>
      <c r="CV261" s="5"/>
      <c r="CW261" s="5"/>
      <c r="CX261" s="5"/>
      <c r="CY261" s="5"/>
      <c r="CZ261" s="5"/>
      <c r="DA261" s="5"/>
    </row>
    <row r="262" spans="1:105">
      <c r="A262" s="5">
        <v>18018757371</v>
      </c>
      <c r="B262" s="5" t="s">
        <v>16</v>
      </c>
      <c r="C262" s="5"/>
      <c r="D262" s="5" t="s">
        <v>18</v>
      </c>
      <c r="E262" s="5" t="s">
        <v>19</v>
      </c>
      <c r="F262" s="5"/>
      <c r="G262" s="5"/>
      <c r="H262" s="5"/>
      <c r="I262" s="5"/>
      <c r="J262" s="5"/>
      <c r="K262" s="5" t="s">
        <v>25</v>
      </c>
      <c r="L262" s="5" t="s">
        <v>26</v>
      </c>
      <c r="M262" s="5"/>
      <c r="N262" s="5" t="s">
        <v>28</v>
      </c>
      <c r="O262" s="5"/>
      <c r="P262" s="5" t="s">
        <v>16</v>
      </c>
      <c r="Q262" s="5" t="s">
        <v>17</v>
      </c>
      <c r="R262" s="5" t="s">
        <v>18</v>
      </c>
      <c r="S262" s="5" t="s">
        <v>19</v>
      </c>
      <c r="T262" s="5"/>
      <c r="U262" s="5"/>
      <c r="V262" s="5"/>
      <c r="W262" s="5" t="s">
        <v>23</v>
      </c>
      <c r="X262" s="5"/>
      <c r="Y262" s="5" t="s">
        <v>25</v>
      </c>
      <c r="Z262" s="5" t="s">
        <v>26</v>
      </c>
      <c r="AA262" s="5"/>
      <c r="AB262" s="5" t="s">
        <v>28</v>
      </c>
      <c r="AC262" s="5"/>
      <c r="AD262" s="5"/>
      <c r="AE262" s="5"/>
      <c r="AF262" s="5"/>
      <c r="AG262" s="5"/>
      <c r="AH262" s="5"/>
      <c r="AI262" s="5"/>
      <c r="AJ262" s="5"/>
      <c r="AK262" s="5"/>
      <c r="AL262" s="5"/>
      <c r="AM262" s="5"/>
      <c r="AN262" s="5"/>
      <c r="AO262" s="5"/>
      <c r="AP262" s="5" t="s">
        <v>39</v>
      </c>
      <c r="AQ262" s="5" t="s">
        <v>40</v>
      </c>
      <c r="AR262" s="5" t="s">
        <v>41</v>
      </c>
      <c r="AS262" s="5" t="s">
        <v>42</v>
      </c>
      <c r="AT262" s="5" t="s">
        <v>37</v>
      </c>
      <c r="AU262" s="5"/>
      <c r="AV262" s="5" t="s">
        <v>44</v>
      </c>
      <c r="AW262" s="5" t="s">
        <v>45</v>
      </c>
      <c r="AX262" s="5" t="s">
        <v>46</v>
      </c>
      <c r="AY262" s="5" t="s">
        <v>47</v>
      </c>
      <c r="AZ262" s="5"/>
      <c r="BA262" s="5"/>
      <c r="BB262" s="5" t="s">
        <v>49</v>
      </c>
      <c r="BC262" s="5" t="s">
        <v>50</v>
      </c>
      <c r="BD262" s="5" t="s">
        <v>51</v>
      </c>
      <c r="BE262" s="5" t="s">
        <v>17</v>
      </c>
      <c r="BF262" s="5" t="s">
        <v>52</v>
      </c>
      <c r="BG262" s="5" t="s">
        <v>53</v>
      </c>
      <c r="BH262" s="5" t="s">
        <v>54</v>
      </c>
      <c r="BI262" s="5" t="s">
        <v>55</v>
      </c>
      <c r="BJ262" s="5" t="s">
        <v>56</v>
      </c>
      <c r="BK262" s="5" t="s">
        <v>57</v>
      </c>
      <c r="BL262" s="5" t="s">
        <v>58</v>
      </c>
      <c r="BM262" s="5" t="s">
        <v>59</v>
      </c>
      <c r="BN262" s="5" t="s">
        <v>24</v>
      </c>
      <c r="BO262" s="5" t="s">
        <v>20</v>
      </c>
      <c r="BP262" s="5" t="s">
        <v>60</v>
      </c>
      <c r="BQ262" s="5" t="s">
        <v>61</v>
      </c>
      <c r="BR262" s="5"/>
      <c r="BS262" s="5" t="s">
        <v>63</v>
      </c>
      <c r="BT262" s="5"/>
      <c r="BU262" s="5" t="s">
        <v>64</v>
      </c>
      <c r="BV262" s="5"/>
      <c r="BW262" s="5"/>
      <c r="BX262" s="5"/>
      <c r="BY262" s="5"/>
      <c r="BZ262" s="5" t="s">
        <v>69</v>
      </c>
      <c r="CA262" s="5" t="s">
        <v>70</v>
      </c>
      <c r="CB262" s="5"/>
      <c r="CC262" s="5"/>
      <c r="CD262" s="5" t="s">
        <v>73</v>
      </c>
      <c r="CE262" s="5"/>
      <c r="CF262" s="5"/>
      <c r="CG262" s="5"/>
      <c r="CH262" s="5"/>
      <c r="CI262" s="5" t="s">
        <v>414</v>
      </c>
      <c r="CJ262" s="5">
        <v>40</v>
      </c>
      <c r="CK262" s="5" t="s">
        <v>141</v>
      </c>
      <c r="CL262" s="5" t="s">
        <v>453</v>
      </c>
      <c r="CM262" s="103" t="s">
        <v>418</v>
      </c>
      <c r="CN262" s="5" t="s">
        <v>419</v>
      </c>
      <c r="CO262" s="103" t="s">
        <v>82</v>
      </c>
      <c r="CP262" s="5" t="s">
        <v>93</v>
      </c>
      <c r="CQ262" s="5" t="s">
        <v>88</v>
      </c>
      <c r="CR262" s="103" t="s">
        <v>92</v>
      </c>
      <c r="CS262" s="103" t="s">
        <v>86</v>
      </c>
      <c r="CT262" s="5" t="s">
        <v>387</v>
      </c>
      <c r="CU262" s="5" t="s">
        <v>81</v>
      </c>
      <c r="CV262" s="5"/>
      <c r="CW262" s="5"/>
      <c r="CX262" s="5"/>
      <c r="CY262" s="5"/>
      <c r="CZ262" s="5"/>
      <c r="DA262" s="5"/>
    </row>
    <row r="263" spans="1:105">
      <c r="A263" s="5">
        <v>18018472615</v>
      </c>
      <c r="B263" s="5" t="s">
        <v>16</v>
      </c>
      <c r="C263" s="5"/>
      <c r="D263" s="5"/>
      <c r="E263" s="5"/>
      <c r="F263" s="5"/>
      <c r="G263" s="5"/>
      <c r="H263" s="5" t="s">
        <v>22</v>
      </c>
      <c r="I263" s="5" t="s">
        <v>23</v>
      </c>
      <c r="J263" s="5"/>
      <c r="K263" s="5" t="s">
        <v>25</v>
      </c>
      <c r="L263" s="5" t="s">
        <v>26</v>
      </c>
      <c r="M263" s="5"/>
      <c r="N263" s="5"/>
      <c r="O263" s="5"/>
      <c r="P263" s="5"/>
      <c r="Q263" s="5"/>
      <c r="R263" s="5"/>
      <c r="S263" s="5"/>
      <c r="T263" s="5"/>
      <c r="U263" s="5"/>
      <c r="V263" s="5" t="s">
        <v>22</v>
      </c>
      <c r="W263" s="5" t="s">
        <v>23</v>
      </c>
      <c r="X263" s="5"/>
      <c r="Y263" s="5" t="s">
        <v>25</v>
      </c>
      <c r="Z263" s="5"/>
      <c r="AA263" s="5"/>
      <c r="AB263" s="5"/>
      <c r="AC263" s="5"/>
      <c r="AD263" s="5"/>
      <c r="AE263" s="5" t="s">
        <v>30</v>
      </c>
      <c r="AF263" s="5"/>
      <c r="AG263" s="5"/>
      <c r="AH263" s="5"/>
      <c r="AI263" s="5"/>
      <c r="AJ263" s="5"/>
      <c r="AK263" s="5"/>
      <c r="AL263" s="5"/>
      <c r="AM263" s="5" t="s">
        <v>375</v>
      </c>
      <c r="AN263" s="5"/>
      <c r="AO263" s="5"/>
      <c r="AP263" s="5" t="s">
        <v>39</v>
      </c>
      <c r="AQ263" s="5"/>
      <c r="AR263" s="5" t="s">
        <v>41</v>
      </c>
      <c r="AS263" s="5" t="s">
        <v>42</v>
      </c>
      <c r="AT263" s="5" t="s">
        <v>37</v>
      </c>
      <c r="AU263" s="5" t="s">
        <v>43</v>
      </c>
      <c r="AV263" s="5" t="s">
        <v>44</v>
      </c>
      <c r="AW263" s="5"/>
      <c r="AX263" s="5" t="s">
        <v>46</v>
      </c>
      <c r="AY263" s="5" t="s">
        <v>47</v>
      </c>
      <c r="AZ263" s="5" t="s">
        <v>48</v>
      </c>
      <c r="BA263" s="5"/>
      <c r="BB263" s="5"/>
      <c r="BC263" s="5" t="s">
        <v>50</v>
      </c>
      <c r="BD263" s="5" t="s">
        <v>51</v>
      </c>
      <c r="BE263" s="5"/>
      <c r="BF263" s="5"/>
      <c r="BG263" s="5" t="s">
        <v>53</v>
      </c>
      <c r="BH263" s="5"/>
      <c r="BI263" s="5" t="s">
        <v>55</v>
      </c>
      <c r="BJ263" s="5" t="s">
        <v>56</v>
      </c>
      <c r="BK263" s="5" t="s">
        <v>57</v>
      </c>
      <c r="BL263" s="5"/>
      <c r="BM263" s="5" t="s">
        <v>59</v>
      </c>
      <c r="BN263" s="5"/>
      <c r="BO263" s="5"/>
      <c r="BP263" s="5"/>
      <c r="BQ263" s="5"/>
      <c r="BR263" s="5" t="s">
        <v>62</v>
      </c>
      <c r="BS263" s="5" t="s">
        <v>63</v>
      </c>
      <c r="BT263" s="5"/>
      <c r="BU263" s="5" t="s">
        <v>64</v>
      </c>
      <c r="BV263" s="5"/>
      <c r="BW263" s="5"/>
      <c r="BX263" s="5"/>
      <c r="BY263" s="5"/>
      <c r="BZ263" s="5"/>
      <c r="CA263" s="5"/>
      <c r="CB263" s="5"/>
      <c r="CC263" s="5"/>
      <c r="CD263" s="5"/>
      <c r="CE263" s="5"/>
      <c r="CF263" s="5" t="s">
        <v>75</v>
      </c>
      <c r="CG263" s="5"/>
      <c r="CH263" s="5"/>
      <c r="CI263" s="5" t="s">
        <v>414</v>
      </c>
      <c r="CJ263" s="5">
        <v>41</v>
      </c>
      <c r="CK263" s="5" t="s">
        <v>141</v>
      </c>
      <c r="CL263" s="5" t="s">
        <v>148</v>
      </c>
      <c r="CM263" s="103" t="s">
        <v>106</v>
      </c>
      <c r="CN263" s="5"/>
      <c r="CO263" s="103" t="s">
        <v>82</v>
      </c>
      <c r="CP263" s="5" t="s">
        <v>94</v>
      </c>
      <c r="CQ263" s="5" t="s">
        <v>84</v>
      </c>
      <c r="CR263" s="103" t="s">
        <v>85</v>
      </c>
      <c r="CS263" s="103" t="s">
        <v>86</v>
      </c>
      <c r="CT263" s="5" t="s">
        <v>384</v>
      </c>
      <c r="CU263" s="5" t="s">
        <v>86</v>
      </c>
      <c r="CV263" s="5"/>
      <c r="CW263" s="5"/>
      <c r="CX263" s="5"/>
      <c r="CY263" s="5"/>
      <c r="CZ263" s="5"/>
      <c r="DA263" s="5"/>
    </row>
    <row r="264" spans="1:105">
      <c r="A264" s="5">
        <v>18018191958</v>
      </c>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t="s">
        <v>132</v>
      </c>
      <c r="CN264" s="5"/>
      <c r="CP264" s="5"/>
      <c r="CQ264" s="5"/>
      <c r="CT264" s="5"/>
      <c r="CU264" s="5"/>
      <c r="CV264" s="5"/>
      <c r="CW264" s="5"/>
      <c r="CX264" s="5"/>
      <c r="CY264" s="5"/>
      <c r="CZ264" s="5"/>
      <c r="DA264" s="5"/>
    </row>
    <row r="265" spans="1:105">
      <c r="A265" s="5">
        <v>18018187534</v>
      </c>
      <c r="B265" s="5"/>
      <c r="C265" s="5" t="s">
        <v>17</v>
      </c>
      <c r="D265" s="5"/>
      <c r="E265" s="5"/>
      <c r="F265" s="5"/>
      <c r="G265" s="5"/>
      <c r="H265" s="5"/>
      <c r="I265" s="5"/>
      <c r="J265" s="5"/>
      <c r="K265" s="5" t="s">
        <v>25</v>
      </c>
      <c r="L265" s="5"/>
      <c r="M265" s="5"/>
      <c r="N265" s="5" t="s">
        <v>28</v>
      </c>
      <c r="O265" s="5"/>
      <c r="P265" s="5"/>
      <c r="Q265" s="5" t="s">
        <v>17</v>
      </c>
      <c r="R265" s="5" t="s">
        <v>18</v>
      </c>
      <c r="S265" s="5"/>
      <c r="T265" s="5"/>
      <c r="U265" s="5"/>
      <c r="V265" s="5"/>
      <c r="W265" s="5"/>
      <c r="X265" s="5"/>
      <c r="Y265" s="5" t="s">
        <v>25</v>
      </c>
      <c r="Z265" s="5"/>
      <c r="AA265" s="5"/>
      <c r="AB265" s="5"/>
      <c r="AC265" s="5"/>
      <c r="AD265" s="5"/>
      <c r="AE265" s="5"/>
      <c r="AF265" s="5"/>
      <c r="AG265" s="5"/>
      <c r="AH265" s="5"/>
      <c r="AI265" s="5" t="s">
        <v>34</v>
      </c>
      <c r="AJ265" s="5"/>
      <c r="AK265" s="5"/>
      <c r="AL265" s="5"/>
      <c r="AM265" s="5"/>
      <c r="AN265" s="5"/>
      <c r="AO265" s="5" t="s">
        <v>38</v>
      </c>
      <c r="AP265" s="5" t="s">
        <v>39</v>
      </c>
      <c r="AQ265" s="5"/>
      <c r="AR265" s="5"/>
      <c r="AS265" s="5"/>
      <c r="AT265" s="5"/>
      <c r="AU265" s="5"/>
      <c r="AV265" s="5"/>
      <c r="AW265" s="5"/>
      <c r="AX265" s="5" t="s">
        <v>46</v>
      </c>
      <c r="AY265" s="5"/>
      <c r="AZ265" s="5"/>
      <c r="BA265" s="5"/>
      <c r="BB265" s="5"/>
      <c r="BC265" s="5" t="s">
        <v>50</v>
      </c>
      <c r="BD265" s="5" t="s">
        <v>51</v>
      </c>
      <c r="BE265" s="5"/>
      <c r="BF265" s="5"/>
      <c r="BG265" s="5"/>
      <c r="BH265" s="5"/>
      <c r="BI265" s="5"/>
      <c r="BJ265" s="5"/>
      <c r="BK265" s="5"/>
      <c r="BL265" s="5"/>
      <c r="BM265" s="5"/>
      <c r="BN265" s="5"/>
      <c r="BO265" s="5"/>
      <c r="BP265" s="5"/>
      <c r="BQ265" s="5"/>
      <c r="BR265" s="5"/>
      <c r="BS265" s="5" t="s">
        <v>63</v>
      </c>
      <c r="BT265" s="5"/>
      <c r="BU265" s="5" t="s">
        <v>64</v>
      </c>
      <c r="BV265" s="5"/>
      <c r="BW265" s="5"/>
      <c r="BX265" s="5"/>
      <c r="BY265" s="5" t="s">
        <v>68</v>
      </c>
      <c r="BZ265" s="5"/>
      <c r="CA265" s="5" t="s">
        <v>70</v>
      </c>
      <c r="CB265" s="5"/>
      <c r="CC265" s="5"/>
      <c r="CD265" s="5"/>
      <c r="CE265" s="5"/>
      <c r="CF265" s="5" t="s">
        <v>75</v>
      </c>
      <c r="CG265" s="5"/>
      <c r="CH265" s="5"/>
      <c r="CI265" s="5" t="s">
        <v>414</v>
      </c>
      <c r="CJ265" s="5">
        <v>32</v>
      </c>
      <c r="CK265" s="5" t="s">
        <v>80</v>
      </c>
      <c r="CL265" s="5" t="s">
        <v>454</v>
      </c>
      <c r="CM265" s="103" t="s">
        <v>418</v>
      </c>
      <c r="CN265" s="5" t="s">
        <v>419</v>
      </c>
      <c r="CO265" s="103" t="s">
        <v>82</v>
      </c>
      <c r="CP265" s="5" t="s">
        <v>94</v>
      </c>
      <c r="CQ265" s="5" t="s">
        <v>84</v>
      </c>
      <c r="CR265" s="103" t="s">
        <v>85</v>
      </c>
      <c r="CS265" s="103" t="s">
        <v>86</v>
      </c>
      <c r="CT265" s="5" t="s">
        <v>387</v>
      </c>
      <c r="CU265" s="5" t="s">
        <v>86</v>
      </c>
      <c r="CV265" s="5"/>
      <c r="CW265" s="5"/>
      <c r="CX265" s="5"/>
      <c r="CY265" s="5"/>
      <c r="CZ265" s="5"/>
      <c r="DA265" s="5"/>
    </row>
    <row r="266" spans="1:105">
      <c r="A266" s="5">
        <v>18018187458</v>
      </c>
      <c r="B266" s="5"/>
      <c r="C266" s="5" t="s">
        <v>17</v>
      </c>
      <c r="D266" s="5"/>
      <c r="E266" s="5"/>
      <c r="F266" s="5"/>
      <c r="G266" s="5"/>
      <c r="H266" s="5"/>
      <c r="I266" s="5"/>
      <c r="J266" s="5"/>
      <c r="K266" s="5" t="s">
        <v>25</v>
      </c>
      <c r="L266" s="5"/>
      <c r="M266" s="5"/>
      <c r="N266" s="5" t="s">
        <v>28</v>
      </c>
      <c r="O266" s="5"/>
      <c r="P266" s="5"/>
      <c r="Q266" s="5" t="s">
        <v>17</v>
      </c>
      <c r="R266" s="5" t="s">
        <v>18</v>
      </c>
      <c r="S266" s="5"/>
      <c r="T266" s="5"/>
      <c r="U266" s="5"/>
      <c r="V266" s="5"/>
      <c r="W266" s="5"/>
      <c r="X266" s="5"/>
      <c r="Y266" s="5" t="s">
        <v>25</v>
      </c>
      <c r="Z266" s="5"/>
      <c r="AA266" s="5"/>
      <c r="AB266" s="5"/>
      <c r="AC266" s="5"/>
      <c r="AD266" s="5"/>
      <c r="AE266" s="5"/>
      <c r="AF266" s="5"/>
      <c r="AG266" s="5"/>
      <c r="AH266" s="5"/>
      <c r="AI266" s="5" t="s">
        <v>34</v>
      </c>
      <c r="AJ266" s="5"/>
      <c r="AK266" s="5"/>
      <c r="AL266" s="5"/>
      <c r="AM266" s="5"/>
      <c r="AN266" s="5"/>
      <c r="AO266" s="5" t="s">
        <v>38</v>
      </c>
      <c r="AP266" s="5"/>
      <c r="AQ266" s="5"/>
      <c r="AR266" s="5"/>
      <c r="AS266" s="5"/>
      <c r="AT266" s="5"/>
      <c r="AU266" s="5"/>
      <c r="AV266" s="5"/>
      <c r="AW266" s="5"/>
      <c r="AX266" s="5" t="s">
        <v>46</v>
      </c>
      <c r="AY266" s="5"/>
      <c r="AZ266" s="5" t="s">
        <v>48</v>
      </c>
      <c r="BA266" s="5"/>
      <c r="BB266" s="5"/>
      <c r="BC266" s="5"/>
      <c r="BD266" s="5"/>
      <c r="BE266" s="5" t="s">
        <v>17</v>
      </c>
      <c r="BF266" s="5"/>
      <c r="BG266" s="5"/>
      <c r="BH266" s="5"/>
      <c r="BI266" s="5"/>
      <c r="BJ266" s="5"/>
      <c r="BK266" s="5"/>
      <c r="BL266" s="5"/>
      <c r="BM266" s="5" t="s">
        <v>59</v>
      </c>
      <c r="BN266" s="5"/>
      <c r="BO266" s="5"/>
      <c r="BP266" s="5"/>
      <c r="BQ266" s="5"/>
      <c r="BR266" s="5"/>
      <c r="BS266" s="5" t="s">
        <v>63</v>
      </c>
      <c r="BT266" s="5"/>
      <c r="BU266" s="5" t="s">
        <v>64</v>
      </c>
      <c r="BV266" s="5"/>
      <c r="BW266" s="5"/>
      <c r="BX266" s="5"/>
      <c r="BY266" s="5" t="s">
        <v>68</v>
      </c>
      <c r="BZ266" s="5"/>
      <c r="CA266" s="5"/>
      <c r="CB266" s="5"/>
      <c r="CC266" s="5"/>
      <c r="CD266" s="5" t="s">
        <v>73</v>
      </c>
      <c r="CE266" s="5"/>
      <c r="CF266" s="5" t="s">
        <v>75</v>
      </c>
      <c r="CG266" s="5"/>
      <c r="CH266" s="5"/>
      <c r="CI266" s="5" t="s">
        <v>414</v>
      </c>
      <c r="CJ266" s="5">
        <v>32</v>
      </c>
      <c r="CK266" s="5" t="s">
        <v>80</v>
      </c>
      <c r="CL266" s="5"/>
      <c r="CN266" s="5"/>
      <c r="CP266" s="5"/>
      <c r="CQ266" s="5"/>
      <c r="CT266" s="5"/>
      <c r="CU266" s="5"/>
      <c r="CV266" s="5"/>
      <c r="CW266" s="5"/>
      <c r="CX266" s="5"/>
      <c r="CY266" s="5"/>
      <c r="CZ266" s="5"/>
      <c r="DA266" s="5"/>
    </row>
    <row r="267" spans="1:105">
      <c r="A267" s="5">
        <v>18017707683</v>
      </c>
      <c r="B267" s="5"/>
      <c r="C267" s="5"/>
      <c r="D267" s="5"/>
      <c r="E267" s="5"/>
      <c r="F267" s="5"/>
      <c r="G267" s="5"/>
      <c r="H267" s="5"/>
      <c r="I267" s="5"/>
      <c r="J267" s="5" t="s">
        <v>24</v>
      </c>
      <c r="K267" s="5" t="s">
        <v>25</v>
      </c>
      <c r="L267" s="5"/>
      <c r="M267" s="5"/>
      <c r="N267" s="5"/>
      <c r="O267" s="5"/>
      <c r="P267" s="5"/>
      <c r="Q267" s="5"/>
      <c r="R267" s="5" t="s">
        <v>18</v>
      </c>
      <c r="S267" s="5"/>
      <c r="T267" s="5"/>
      <c r="U267" s="5"/>
      <c r="V267" s="5"/>
      <c r="W267" s="5"/>
      <c r="X267" s="5"/>
      <c r="Y267" s="5"/>
      <c r="Z267" s="5"/>
      <c r="AA267" s="5" t="s">
        <v>27</v>
      </c>
      <c r="AB267" s="5"/>
      <c r="AC267" s="5"/>
      <c r="AD267" s="5"/>
      <c r="AE267" s="5"/>
      <c r="AF267" s="5"/>
      <c r="AG267" s="5"/>
      <c r="AH267" s="5"/>
      <c r="AI267" s="5"/>
      <c r="AJ267" s="5"/>
      <c r="AK267" s="5"/>
      <c r="AL267" s="5"/>
      <c r="AM267" s="5" t="s">
        <v>375</v>
      </c>
      <c r="AN267" s="5"/>
      <c r="AO267" s="5"/>
      <c r="AP267" s="5"/>
      <c r="AQ267" s="5"/>
      <c r="AR267" s="5" t="s">
        <v>41</v>
      </c>
      <c r="AS267" s="5"/>
      <c r="AT267" s="5"/>
      <c r="AU267" s="5"/>
      <c r="AV267" s="5"/>
      <c r="AW267" s="5"/>
      <c r="AX267" s="5"/>
      <c r="AY267" s="5"/>
      <c r="AZ267" s="5" t="s">
        <v>48</v>
      </c>
      <c r="BA267" s="5"/>
      <c r="BB267" s="5"/>
      <c r="BC267" s="5"/>
      <c r="BD267" s="5"/>
      <c r="BE267" s="5"/>
      <c r="BF267" s="5"/>
      <c r="BG267" s="5"/>
      <c r="BH267" s="5"/>
      <c r="BI267" s="5"/>
      <c r="BJ267" s="5"/>
      <c r="BK267" s="5" t="s">
        <v>57</v>
      </c>
      <c r="BL267" s="5"/>
      <c r="BM267" s="5"/>
      <c r="BN267" s="5"/>
      <c r="BO267" s="5" t="s">
        <v>20</v>
      </c>
      <c r="BP267" s="5"/>
      <c r="BQ267" s="5"/>
      <c r="BR267" s="5"/>
      <c r="BS267" s="5"/>
      <c r="BT267" s="5"/>
      <c r="BU267" s="5" t="s">
        <v>64</v>
      </c>
      <c r="BV267" s="5"/>
      <c r="BW267" s="5"/>
      <c r="BX267" s="5"/>
      <c r="BY267" s="5"/>
      <c r="BZ267" s="5"/>
      <c r="CA267" s="5"/>
      <c r="CB267" s="5"/>
      <c r="CC267" s="5"/>
      <c r="CD267" s="5" t="s">
        <v>73</v>
      </c>
      <c r="CE267" s="5"/>
      <c r="CF267" s="5"/>
      <c r="CG267" s="5"/>
      <c r="CH267" s="5"/>
      <c r="CI267" s="5" t="s">
        <v>414</v>
      </c>
      <c r="CJ267" s="5">
        <v>43</v>
      </c>
      <c r="CK267" s="5" t="s">
        <v>141</v>
      </c>
      <c r="CL267" s="5" t="s">
        <v>173</v>
      </c>
      <c r="CM267" s="103" t="s">
        <v>418</v>
      </c>
      <c r="CN267" s="5" t="s">
        <v>416</v>
      </c>
      <c r="CO267" s="103" t="s">
        <v>82</v>
      </c>
      <c r="CP267" s="5" t="s">
        <v>87</v>
      </c>
      <c r="CQ267" s="5" t="s">
        <v>88</v>
      </c>
      <c r="CR267" s="103" t="s">
        <v>85</v>
      </c>
      <c r="CS267" s="103" t="s">
        <v>86</v>
      </c>
      <c r="CT267" s="5" t="s">
        <v>387</v>
      </c>
      <c r="CU267" s="5" t="s">
        <v>81</v>
      </c>
      <c r="CV267" s="5"/>
      <c r="CW267" s="5"/>
      <c r="CX267" s="5"/>
      <c r="CY267" s="5"/>
      <c r="CZ267" s="5"/>
      <c r="DA267" s="5"/>
    </row>
    <row r="268" spans="1:105">
      <c r="A268" s="5">
        <v>18017611415</v>
      </c>
      <c r="B268" s="5"/>
      <c r="C268" s="5" t="s">
        <v>17</v>
      </c>
      <c r="D268" s="5"/>
      <c r="E268" s="5"/>
      <c r="F268" s="5"/>
      <c r="G268" s="5"/>
      <c r="H268" s="5"/>
      <c r="I268" s="5"/>
      <c r="J268" s="5"/>
      <c r="K268" s="5" t="s">
        <v>25</v>
      </c>
      <c r="L268" s="5"/>
      <c r="M268" s="5"/>
      <c r="N268" s="5"/>
      <c r="O268" s="5"/>
      <c r="P268" s="5"/>
      <c r="Q268" s="5" t="s">
        <v>17</v>
      </c>
      <c r="R268" s="5" t="s">
        <v>18</v>
      </c>
      <c r="S268" s="5"/>
      <c r="T268" s="5"/>
      <c r="U268" s="5"/>
      <c r="V268" s="5"/>
      <c r="W268" s="5" t="s">
        <v>23</v>
      </c>
      <c r="X268" s="5"/>
      <c r="Y268" s="5"/>
      <c r="Z268" s="5"/>
      <c r="AA268" s="5"/>
      <c r="AB268" s="5"/>
      <c r="AC268" s="5"/>
      <c r="AD268" s="5"/>
      <c r="AE268" s="5"/>
      <c r="AF268" s="5"/>
      <c r="AG268" s="5"/>
      <c r="AH268" s="5"/>
      <c r="AI268" s="5" t="s">
        <v>34</v>
      </c>
      <c r="AJ268" s="5"/>
      <c r="AK268" s="5"/>
      <c r="AL268" s="5"/>
      <c r="AM268" s="5"/>
      <c r="AN268" s="5"/>
      <c r="AO268" s="5"/>
      <c r="AP268" s="5" t="s">
        <v>39</v>
      </c>
      <c r="AQ268" s="5" t="s">
        <v>40</v>
      </c>
      <c r="AR268" s="5" t="s">
        <v>41</v>
      </c>
      <c r="AS268" s="5"/>
      <c r="AT268" s="5"/>
      <c r="AU268" s="5"/>
      <c r="AV268" s="5"/>
      <c r="AW268" s="5"/>
      <c r="AX268" s="5"/>
      <c r="AY268" s="5"/>
      <c r="AZ268" s="5"/>
      <c r="BA268" s="5"/>
      <c r="BB268" s="5"/>
      <c r="BC268" s="5"/>
      <c r="BD268" s="5" t="s">
        <v>51</v>
      </c>
      <c r="BE268" s="5"/>
      <c r="BF268" s="5"/>
      <c r="BG268" s="5"/>
      <c r="BH268" s="5"/>
      <c r="BI268" s="5"/>
      <c r="BJ268" s="5"/>
      <c r="BK268" s="5"/>
      <c r="BL268" s="5"/>
      <c r="BM268" s="5"/>
      <c r="BN268" s="5"/>
      <c r="BO268" s="5"/>
      <c r="BP268" s="5"/>
      <c r="BQ268" s="5"/>
      <c r="BR268" s="5" t="s">
        <v>62</v>
      </c>
      <c r="BS268" s="5" t="s">
        <v>63</v>
      </c>
      <c r="BT268" s="5"/>
      <c r="BU268" s="5" t="s">
        <v>64</v>
      </c>
      <c r="BV268" s="5"/>
      <c r="BW268" s="5"/>
      <c r="BX268" s="5"/>
      <c r="BY268" s="5"/>
      <c r="BZ268" s="5"/>
      <c r="CA268" s="5"/>
      <c r="CB268" s="5"/>
      <c r="CC268" s="5"/>
      <c r="CD268" s="5"/>
      <c r="CE268" s="5"/>
      <c r="CF268" s="5"/>
      <c r="CG268" s="5"/>
      <c r="CH268" s="5"/>
      <c r="CI268" s="5" t="s">
        <v>414</v>
      </c>
      <c r="CJ268" s="5">
        <v>68</v>
      </c>
      <c r="CK268" s="5" t="s">
        <v>141</v>
      </c>
      <c r="CL268" s="5" t="s">
        <v>361</v>
      </c>
      <c r="CM268" s="103" t="s">
        <v>418</v>
      </c>
      <c r="CN268" s="5" t="s">
        <v>419</v>
      </c>
      <c r="CO268" s="103" t="s">
        <v>82</v>
      </c>
      <c r="CP268" s="5" t="s">
        <v>94</v>
      </c>
      <c r="CQ268" s="5" t="s">
        <v>84</v>
      </c>
      <c r="CR268" s="103" t="s">
        <v>99</v>
      </c>
      <c r="CS268" s="103" t="s">
        <v>86</v>
      </c>
      <c r="CT268" s="5" t="s">
        <v>455</v>
      </c>
      <c r="CU268" s="5" t="s">
        <v>86</v>
      </c>
      <c r="CV268" s="5"/>
      <c r="CW268" s="5"/>
      <c r="CX268" s="5"/>
      <c r="CY268" s="5"/>
      <c r="CZ268" s="5"/>
      <c r="DA268" s="5"/>
    </row>
    <row r="269" spans="1:105">
      <c r="A269" s="5">
        <v>18017568152</v>
      </c>
      <c r="B269" s="5"/>
      <c r="C269" s="5"/>
      <c r="D269" s="5"/>
      <c r="E269" s="5"/>
      <c r="F269" s="5"/>
      <c r="G269" s="5"/>
      <c r="H269" s="5"/>
      <c r="I269" s="5"/>
      <c r="J269" s="5"/>
      <c r="K269" s="5" t="s">
        <v>25</v>
      </c>
      <c r="L269" s="5"/>
      <c r="M269" s="5"/>
      <c r="N269" s="5" t="s">
        <v>28</v>
      </c>
      <c r="O269" s="5"/>
      <c r="P269" s="5"/>
      <c r="Q269" s="5"/>
      <c r="R269" s="5"/>
      <c r="S269" s="5" t="s">
        <v>19</v>
      </c>
      <c r="T269" s="5"/>
      <c r="U269" s="5"/>
      <c r="V269" s="5" t="s">
        <v>22</v>
      </c>
      <c r="W269" s="5"/>
      <c r="X269" s="5"/>
      <c r="Y269" s="5" t="s">
        <v>25</v>
      </c>
      <c r="Z269" s="5"/>
      <c r="AA269" s="5"/>
      <c r="AB269" s="5"/>
      <c r="AC269" s="5"/>
      <c r="AD269" s="5"/>
      <c r="AE269" s="5"/>
      <c r="AF269" s="5"/>
      <c r="AG269" s="5"/>
      <c r="AH269" s="5"/>
      <c r="AI269" s="5" t="s">
        <v>34</v>
      </c>
      <c r="AJ269" s="5"/>
      <c r="AK269" s="5"/>
      <c r="AL269" s="5"/>
      <c r="AM269" s="5"/>
      <c r="AN269" s="5"/>
      <c r="AO269" s="5" t="s">
        <v>38</v>
      </c>
      <c r="AP269" s="5"/>
      <c r="AQ269" s="5"/>
      <c r="AR269" s="5"/>
      <c r="AS269" s="5" t="s">
        <v>42</v>
      </c>
      <c r="AT269" s="5"/>
      <c r="AU269" s="5"/>
      <c r="AV269" s="5"/>
      <c r="AW269" s="5"/>
      <c r="AX269" s="5"/>
      <c r="AY269" s="5" t="s">
        <v>47</v>
      </c>
      <c r="AZ269" s="5"/>
      <c r="BA269" s="5"/>
      <c r="BB269" s="5"/>
      <c r="BC269" s="5" t="s">
        <v>50</v>
      </c>
      <c r="BD269" s="5" t="s">
        <v>51</v>
      </c>
      <c r="BE269" s="5"/>
      <c r="BF269" s="5"/>
      <c r="BG269" s="5" t="s">
        <v>53</v>
      </c>
      <c r="BH269" s="5"/>
      <c r="BI269" s="5"/>
      <c r="BJ269" s="5"/>
      <c r="BK269" s="5"/>
      <c r="BL269" s="5"/>
      <c r="BM269" s="5"/>
      <c r="BN269" s="5"/>
      <c r="BO269" s="5"/>
      <c r="BP269" s="5"/>
      <c r="BQ269" s="5"/>
      <c r="BR269" s="5"/>
      <c r="BS269" s="5"/>
      <c r="BT269" s="5"/>
      <c r="BU269" s="5"/>
      <c r="BV269" s="5"/>
      <c r="BW269" s="5"/>
      <c r="BX269" s="5" t="s">
        <v>67</v>
      </c>
      <c r="BY269" s="5"/>
      <c r="BZ269" s="5"/>
      <c r="CA269" s="5"/>
      <c r="CB269" s="5"/>
      <c r="CC269" s="5" t="s">
        <v>72</v>
      </c>
      <c r="CD269" s="5"/>
      <c r="CE269" s="5"/>
      <c r="CF269" s="5" t="s">
        <v>75</v>
      </c>
      <c r="CG269" s="5"/>
      <c r="CH269" s="5"/>
      <c r="CI269" s="5" t="s">
        <v>414</v>
      </c>
      <c r="CJ269" s="5">
        <v>52</v>
      </c>
      <c r="CK269" s="5" t="s">
        <v>80</v>
      </c>
      <c r="CL269" s="5" t="s">
        <v>115</v>
      </c>
      <c r="CM269" s="103" t="s">
        <v>418</v>
      </c>
      <c r="CN269" s="5" t="s">
        <v>419</v>
      </c>
      <c r="CO269" s="103" t="s">
        <v>82</v>
      </c>
      <c r="CP269" s="5" t="s">
        <v>83</v>
      </c>
      <c r="CQ269" s="5" t="s">
        <v>103</v>
      </c>
      <c r="CR269" s="103" t="s">
        <v>85</v>
      </c>
      <c r="CS269" s="103" t="s">
        <v>86</v>
      </c>
      <c r="CT269" s="5" t="s">
        <v>384</v>
      </c>
      <c r="CU269" s="5" t="s">
        <v>86</v>
      </c>
      <c r="CV269" s="5"/>
      <c r="CW269" s="5"/>
      <c r="CX269" s="5"/>
      <c r="CY269" s="5"/>
      <c r="CZ269" s="5"/>
      <c r="DA269" s="5"/>
    </row>
    <row r="270" spans="1:105">
      <c r="A270" s="5">
        <v>18017061305</v>
      </c>
      <c r="B270" s="5"/>
      <c r="C270" s="5"/>
      <c r="D270" s="5"/>
      <c r="E270" s="5" t="s">
        <v>19</v>
      </c>
      <c r="F270" s="5"/>
      <c r="G270" s="5"/>
      <c r="H270" s="5"/>
      <c r="I270" s="5"/>
      <c r="J270" s="5"/>
      <c r="K270" s="5" t="s">
        <v>25</v>
      </c>
      <c r="L270" s="5"/>
      <c r="M270" s="5"/>
      <c r="N270" s="5"/>
      <c r="O270" s="5"/>
      <c r="P270" s="5"/>
      <c r="Q270" s="5"/>
      <c r="R270" s="5"/>
      <c r="S270" s="5" t="s">
        <v>19</v>
      </c>
      <c r="T270" s="5"/>
      <c r="U270" s="5"/>
      <c r="V270" s="5"/>
      <c r="W270" s="5"/>
      <c r="X270" s="5"/>
      <c r="Y270" s="5" t="s">
        <v>25</v>
      </c>
      <c r="Z270" s="5"/>
      <c r="AA270" s="5"/>
      <c r="AB270" s="5"/>
      <c r="AC270" s="5"/>
      <c r="AD270" s="5"/>
      <c r="AE270" s="5" t="s">
        <v>30</v>
      </c>
      <c r="AF270" s="5"/>
      <c r="AG270" s="5" t="s">
        <v>32</v>
      </c>
      <c r="AH270" s="5"/>
      <c r="AI270" s="5"/>
      <c r="AJ270" s="5"/>
      <c r="AK270" s="5"/>
      <c r="AL270" s="5"/>
      <c r="AM270" s="5" t="s">
        <v>375</v>
      </c>
      <c r="AN270" s="5"/>
      <c r="AO270" s="5"/>
      <c r="AP270" s="5" t="s">
        <v>39</v>
      </c>
      <c r="AQ270" s="5"/>
      <c r="AR270" s="5"/>
      <c r="AS270" s="5"/>
      <c r="AT270" s="5"/>
      <c r="AU270" s="5"/>
      <c r="AV270" s="5"/>
      <c r="AW270" s="5"/>
      <c r="AX270" s="5"/>
      <c r="AY270" s="5" t="s">
        <v>47</v>
      </c>
      <c r="AZ270" s="5"/>
      <c r="BA270" s="5"/>
      <c r="BB270" s="5"/>
      <c r="BC270" s="5"/>
      <c r="BD270" s="5" t="s">
        <v>51</v>
      </c>
      <c r="BE270" s="5"/>
      <c r="BF270" s="5"/>
      <c r="BG270" s="5"/>
      <c r="BH270" s="5"/>
      <c r="BI270" s="5"/>
      <c r="BJ270" s="5"/>
      <c r="BK270" s="5"/>
      <c r="BL270" s="5"/>
      <c r="BM270" s="5" t="s">
        <v>59</v>
      </c>
      <c r="BN270" s="5"/>
      <c r="BO270" s="5"/>
      <c r="BP270" s="5"/>
      <c r="BQ270" s="5"/>
      <c r="BR270" s="5"/>
      <c r="BS270" s="5"/>
      <c r="BT270" s="5"/>
      <c r="BU270" s="5" t="s">
        <v>64</v>
      </c>
      <c r="BV270" s="5"/>
      <c r="BW270" s="5" t="s">
        <v>66</v>
      </c>
      <c r="BX270" s="5" t="s">
        <v>67</v>
      </c>
      <c r="BY270" s="5" t="s">
        <v>68</v>
      </c>
      <c r="BZ270" s="5" t="s">
        <v>69</v>
      </c>
      <c r="CA270" s="5"/>
      <c r="CB270" s="5" t="s">
        <v>71</v>
      </c>
      <c r="CC270" s="5" t="s">
        <v>72</v>
      </c>
      <c r="CD270" s="5"/>
      <c r="CE270" s="5"/>
      <c r="CF270" s="5" t="s">
        <v>75</v>
      </c>
      <c r="CG270" s="5"/>
      <c r="CH270" s="5"/>
      <c r="CI270" s="5" t="s">
        <v>414</v>
      </c>
      <c r="CJ270" s="5">
        <v>44</v>
      </c>
      <c r="CK270" s="5" t="s">
        <v>141</v>
      </c>
      <c r="CL270" s="5" t="s">
        <v>151</v>
      </c>
      <c r="CM270" s="103" t="s">
        <v>418</v>
      </c>
      <c r="CN270" s="5" t="s">
        <v>419</v>
      </c>
      <c r="CO270" s="103" t="s">
        <v>82</v>
      </c>
      <c r="CP270" s="5" t="s">
        <v>93</v>
      </c>
      <c r="CQ270" s="5" t="s">
        <v>84</v>
      </c>
      <c r="CR270" s="103" t="s">
        <v>85</v>
      </c>
      <c r="CS270" s="103" t="s">
        <v>86</v>
      </c>
      <c r="CT270" s="5" t="s">
        <v>384</v>
      </c>
      <c r="CU270" s="5" t="s">
        <v>86</v>
      </c>
      <c r="CV270" s="5"/>
      <c r="CW270" s="5"/>
      <c r="CX270" s="5"/>
      <c r="CY270" s="5"/>
      <c r="CZ270" s="5"/>
      <c r="DA270" s="5"/>
    </row>
    <row r="271" spans="1:105">
      <c r="A271" s="5">
        <v>18016902456</v>
      </c>
      <c r="B271" s="5"/>
      <c r="C271" s="5" t="s">
        <v>17</v>
      </c>
      <c r="D271" s="5"/>
      <c r="E271" s="5"/>
      <c r="F271" s="5"/>
      <c r="G271" s="5"/>
      <c r="H271" s="5"/>
      <c r="I271" s="5"/>
      <c r="J271" s="5"/>
      <c r="K271" s="5" t="s">
        <v>25</v>
      </c>
      <c r="L271" s="5" t="s">
        <v>26</v>
      </c>
      <c r="M271" s="5"/>
      <c r="N271" s="5"/>
      <c r="O271" s="5"/>
      <c r="P271" s="5"/>
      <c r="Q271" s="5"/>
      <c r="R271" s="5"/>
      <c r="S271" s="5"/>
      <c r="T271" s="5"/>
      <c r="U271" s="5"/>
      <c r="V271" s="5" t="s">
        <v>22</v>
      </c>
      <c r="W271" s="5"/>
      <c r="X271" s="5"/>
      <c r="Y271" s="5" t="s">
        <v>25</v>
      </c>
      <c r="Z271" s="5"/>
      <c r="AA271" s="5"/>
      <c r="AB271" s="5"/>
      <c r="AC271" s="5"/>
      <c r="AD271" s="5"/>
      <c r="AE271" s="5" t="s">
        <v>30</v>
      </c>
      <c r="AF271" s="5"/>
      <c r="AG271" s="5"/>
      <c r="AH271" s="5"/>
      <c r="AI271" s="5"/>
      <c r="AJ271" s="5"/>
      <c r="AK271" s="5"/>
      <c r="AL271" s="5"/>
      <c r="AM271" s="5"/>
      <c r="AN271" s="5"/>
      <c r="AO271" s="5"/>
      <c r="AP271" s="5" t="s">
        <v>39</v>
      </c>
      <c r="AQ271" s="5"/>
      <c r="AR271" s="5"/>
      <c r="AS271" s="5"/>
      <c r="AT271" s="5"/>
      <c r="AU271" s="5"/>
      <c r="AV271" s="5"/>
      <c r="AW271" s="5"/>
      <c r="AX271" s="5" t="s">
        <v>46</v>
      </c>
      <c r="AY271" s="5" t="s">
        <v>47</v>
      </c>
      <c r="AZ271" s="5"/>
      <c r="BA271" s="5"/>
      <c r="BB271" s="5"/>
      <c r="BC271" s="5"/>
      <c r="BD271" s="5" t="s">
        <v>51</v>
      </c>
      <c r="BE271" s="5"/>
      <c r="BF271" s="5"/>
      <c r="BG271" s="5"/>
      <c r="BH271" s="5"/>
      <c r="BI271" s="5"/>
      <c r="BJ271" s="5"/>
      <c r="BK271" s="5" t="s">
        <v>57</v>
      </c>
      <c r="BL271" s="5"/>
      <c r="BM271" s="5"/>
      <c r="BN271" s="5"/>
      <c r="BO271" s="5"/>
      <c r="BP271" s="5"/>
      <c r="BQ271" s="5"/>
      <c r="BR271" s="5" t="s">
        <v>62</v>
      </c>
      <c r="BS271" s="5" t="s">
        <v>63</v>
      </c>
      <c r="BT271" s="5"/>
      <c r="BU271" s="5" t="s">
        <v>64</v>
      </c>
      <c r="BV271" s="5"/>
      <c r="BW271" s="5"/>
      <c r="BX271" s="5"/>
      <c r="BY271" s="5"/>
      <c r="BZ271" s="5"/>
      <c r="CA271" s="5"/>
      <c r="CB271" s="5"/>
      <c r="CC271" s="5"/>
      <c r="CD271" s="5"/>
      <c r="CE271" s="5"/>
      <c r="CF271" s="5" t="s">
        <v>75</v>
      </c>
      <c r="CG271" s="5"/>
      <c r="CH271" s="5"/>
      <c r="CI271" s="5" t="s">
        <v>414</v>
      </c>
      <c r="CJ271" s="5">
        <v>45</v>
      </c>
      <c r="CK271" s="5" t="s">
        <v>141</v>
      </c>
      <c r="CL271" s="5" t="s">
        <v>168</v>
      </c>
      <c r="CM271" s="103" t="s">
        <v>418</v>
      </c>
      <c r="CN271" s="5" t="s">
        <v>419</v>
      </c>
      <c r="CO271" s="103" t="s">
        <v>82</v>
      </c>
      <c r="CP271" s="5" t="s">
        <v>83</v>
      </c>
      <c r="CQ271" s="5" t="s">
        <v>84</v>
      </c>
      <c r="CR271" s="103" t="s">
        <v>85</v>
      </c>
      <c r="CS271" s="103" t="s">
        <v>86</v>
      </c>
      <c r="CT271" s="5" t="s">
        <v>384</v>
      </c>
      <c r="CU271" s="5" t="s">
        <v>86</v>
      </c>
      <c r="CV271" s="5"/>
      <c r="CW271" s="5"/>
      <c r="CX271" s="5"/>
      <c r="CY271" s="5"/>
      <c r="CZ271" s="5"/>
      <c r="DA271" s="5"/>
    </row>
    <row r="272" spans="1:105">
      <c r="A272" s="5">
        <v>18016880706</v>
      </c>
      <c r="B272" s="5"/>
      <c r="C272" s="5" t="s">
        <v>17</v>
      </c>
      <c r="D272" s="5"/>
      <c r="E272" s="5"/>
      <c r="F272" s="5"/>
      <c r="G272" s="5"/>
      <c r="H272" s="5"/>
      <c r="I272" s="5"/>
      <c r="J272" s="5"/>
      <c r="K272" s="5" t="s">
        <v>25</v>
      </c>
      <c r="L272" s="5" t="s">
        <v>26</v>
      </c>
      <c r="M272" s="5"/>
      <c r="N272" s="5"/>
      <c r="O272" s="5"/>
      <c r="P272" s="5"/>
      <c r="Q272" s="5"/>
      <c r="R272" s="5"/>
      <c r="S272" s="5"/>
      <c r="T272" s="5"/>
      <c r="U272" s="5"/>
      <c r="V272" s="5"/>
      <c r="W272" s="5"/>
      <c r="X272" s="5"/>
      <c r="Y272" s="5" t="s">
        <v>25</v>
      </c>
      <c r="Z272" s="5"/>
      <c r="AA272" s="5"/>
      <c r="AB272" s="5"/>
      <c r="AC272" s="5"/>
      <c r="AD272" s="5"/>
      <c r="AE272" s="5"/>
      <c r="AF272" s="5"/>
      <c r="AG272" s="5"/>
      <c r="AH272" s="5"/>
      <c r="AI272" s="5" t="s">
        <v>34</v>
      </c>
      <c r="AJ272" s="5"/>
      <c r="AK272" s="5"/>
      <c r="AL272" s="5"/>
      <c r="AM272" s="5"/>
      <c r="AN272" s="5"/>
      <c r="AO272" s="5"/>
      <c r="AP272" s="5" t="s">
        <v>39</v>
      </c>
      <c r="AQ272" s="5"/>
      <c r="AR272" s="5" t="s">
        <v>41</v>
      </c>
      <c r="AS272" s="5"/>
      <c r="AT272" s="5"/>
      <c r="AU272" s="5" t="s">
        <v>43</v>
      </c>
      <c r="AV272" s="5"/>
      <c r="AW272" s="5"/>
      <c r="AX272" s="5"/>
      <c r="AY272" s="5"/>
      <c r="AZ272" s="5"/>
      <c r="BA272" s="5"/>
      <c r="BB272" s="5"/>
      <c r="BC272" s="5" t="s">
        <v>50</v>
      </c>
      <c r="BD272" s="5"/>
      <c r="BE272" s="5" t="s">
        <v>17</v>
      </c>
      <c r="BF272" s="5"/>
      <c r="BG272" s="5"/>
      <c r="BH272" s="5"/>
      <c r="BI272" s="5"/>
      <c r="BJ272" s="5"/>
      <c r="BK272" s="5"/>
      <c r="BL272" s="5"/>
      <c r="BM272" s="5"/>
      <c r="BN272" s="5"/>
      <c r="BO272" s="5"/>
      <c r="BP272" s="5"/>
      <c r="BQ272" s="5"/>
      <c r="BR272" s="5"/>
      <c r="BS272" s="5" t="s">
        <v>63</v>
      </c>
      <c r="BT272" s="5"/>
      <c r="BU272" s="5" t="s">
        <v>64</v>
      </c>
      <c r="BV272" s="5"/>
      <c r="BW272" s="5"/>
      <c r="BX272" s="5" t="s">
        <v>67</v>
      </c>
      <c r="BY272" s="5"/>
      <c r="BZ272" s="5"/>
      <c r="CA272" s="5"/>
      <c r="CB272" s="5"/>
      <c r="CC272" s="5"/>
      <c r="CD272" s="5"/>
      <c r="CE272" s="5"/>
      <c r="CF272" s="5"/>
      <c r="CG272" s="5"/>
      <c r="CH272" s="5"/>
      <c r="CI272" s="5" t="s">
        <v>414</v>
      </c>
      <c r="CJ272" s="5">
        <v>16</v>
      </c>
      <c r="CK272" s="5" t="s">
        <v>141</v>
      </c>
      <c r="CL272" s="5" t="s">
        <v>173</v>
      </c>
      <c r="CM272" s="103" t="s">
        <v>418</v>
      </c>
      <c r="CN272" s="5" t="s">
        <v>419</v>
      </c>
      <c r="CO272" s="103" t="s">
        <v>82</v>
      </c>
      <c r="CP272" s="5" t="s">
        <v>83</v>
      </c>
      <c r="CQ272" s="5" t="s">
        <v>104</v>
      </c>
      <c r="CR272" s="103" t="s">
        <v>89</v>
      </c>
      <c r="CS272" s="103" t="s">
        <v>86</v>
      </c>
      <c r="CT272" s="5" t="s">
        <v>384</v>
      </c>
      <c r="CU272" s="5" t="s">
        <v>86</v>
      </c>
      <c r="CV272" s="5"/>
      <c r="CW272" s="5"/>
      <c r="CX272" s="5"/>
      <c r="CY272" s="5"/>
      <c r="CZ272" s="5"/>
      <c r="DA272" s="5"/>
    </row>
    <row r="273" spans="1:105">
      <c r="A273" s="5">
        <v>18016880667</v>
      </c>
      <c r="B273" s="5"/>
      <c r="C273" s="5" t="s">
        <v>17</v>
      </c>
      <c r="D273" s="5"/>
      <c r="E273" s="5"/>
      <c r="F273" s="5"/>
      <c r="G273" s="5"/>
      <c r="H273" s="5"/>
      <c r="I273" s="5"/>
      <c r="J273" s="5"/>
      <c r="K273" s="5" t="s">
        <v>25</v>
      </c>
      <c r="L273" s="5" t="s">
        <v>26</v>
      </c>
      <c r="M273" s="5"/>
      <c r="N273" s="5"/>
      <c r="O273" s="5"/>
      <c r="P273" s="5"/>
      <c r="Q273" s="5"/>
      <c r="R273" s="5"/>
      <c r="S273" s="5"/>
      <c r="T273" s="5"/>
      <c r="U273" s="5"/>
      <c r="V273" s="5"/>
      <c r="W273" s="5"/>
      <c r="X273" s="5"/>
      <c r="Y273" s="5" t="s">
        <v>25</v>
      </c>
      <c r="Z273" s="5"/>
      <c r="AA273" s="5"/>
      <c r="AB273" s="5"/>
      <c r="AC273" s="5"/>
      <c r="AD273" s="5"/>
      <c r="AE273" s="5"/>
      <c r="AF273" s="5"/>
      <c r="AG273" s="5"/>
      <c r="AH273" s="5"/>
      <c r="AI273" s="5" t="s">
        <v>34</v>
      </c>
      <c r="AJ273" s="5"/>
      <c r="AK273" s="5"/>
      <c r="AL273" s="5"/>
      <c r="AM273" s="5"/>
      <c r="AN273" s="5"/>
      <c r="AO273" s="5"/>
      <c r="AP273" s="5" t="s">
        <v>39</v>
      </c>
      <c r="AQ273" s="5"/>
      <c r="AR273" s="5" t="s">
        <v>41</v>
      </c>
      <c r="AS273" s="5"/>
      <c r="AT273" s="5"/>
      <c r="AU273" s="5" t="s">
        <v>43</v>
      </c>
      <c r="AV273" s="5"/>
      <c r="AW273" s="5"/>
      <c r="AX273" s="5"/>
      <c r="AY273" s="5"/>
      <c r="AZ273" s="5"/>
      <c r="BA273" s="5"/>
      <c r="BB273" s="5"/>
      <c r="BC273" s="5"/>
      <c r="BD273" s="5" t="s">
        <v>51</v>
      </c>
      <c r="BE273" s="5" t="s">
        <v>17</v>
      </c>
      <c r="BF273" s="5"/>
      <c r="BG273" s="5"/>
      <c r="BH273" s="5"/>
      <c r="BI273" s="5"/>
      <c r="BJ273" s="5"/>
      <c r="BK273" s="5"/>
      <c r="BL273" s="5"/>
      <c r="BM273" s="5"/>
      <c r="BN273" s="5"/>
      <c r="BO273" s="5"/>
      <c r="BP273" s="5"/>
      <c r="BQ273" s="5"/>
      <c r="BR273" s="5"/>
      <c r="BS273" s="5" t="s">
        <v>63</v>
      </c>
      <c r="BT273" s="5"/>
      <c r="BU273" s="5" t="s">
        <v>64</v>
      </c>
      <c r="BV273" s="5"/>
      <c r="BW273" s="5"/>
      <c r="BX273" s="5" t="s">
        <v>67</v>
      </c>
      <c r="BY273" s="5"/>
      <c r="BZ273" s="5"/>
      <c r="CA273" s="5"/>
      <c r="CB273" s="5"/>
      <c r="CC273" s="5"/>
      <c r="CD273" s="5"/>
      <c r="CE273" s="5"/>
      <c r="CF273" s="5"/>
      <c r="CG273" s="5"/>
      <c r="CH273" s="5"/>
      <c r="CI273" s="5" t="s">
        <v>414</v>
      </c>
      <c r="CJ273" s="5">
        <v>16</v>
      </c>
      <c r="CK273" s="5" t="s">
        <v>141</v>
      </c>
      <c r="CL273" s="5" t="s">
        <v>173</v>
      </c>
      <c r="CM273" s="103" t="s">
        <v>418</v>
      </c>
      <c r="CN273" s="5" t="s">
        <v>419</v>
      </c>
      <c r="CO273" s="103" t="s">
        <v>82</v>
      </c>
      <c r="CP273" s="5" t="s">
        <v>83</v>
      </c>
      <c r="CQ273" s="5" t="s">
        <v>104</v>
      </c>
      <c r="CR273" s="103" t="s">
        <v>89</v>
      </c>
      <c r="CS273" s="103" t="s">
        <v>86</v>
      </c>
      <c r="CT273" s="5" t="s">
        <v>384</v>
      </c>
      <c r="CU273" s="5" t="s">
        <v>86</v>
      </c>
      <c r="CV273" s="107"/>
      <c r="CW273" s="107"/>
      <c r="CX273" s="107"/>
      <c r="CY273" s="107"/>
      <c r="CZ273" s="107"/>
      <c r="DA273" s="107"/>
    </row>
    <row r="274" spans="1:105">
      <c r="A274" s="5">
        <v>18016880611</v>
      </c>
      <c r="B274" s="5"/>
      <c r="C274" s="5" t="s">
        <v>17</v>
      </c>
      <c r="D274" s="5"/>
      <c r="E274" s="5"/>
      <c r="F274" s="5"/>
      <c r="G274" s="5"/>
      <c r="H274" s="5"/>
      <c r="I274" s="5"/>
      <c r="J274" s="5"/>
      <c r="K274" s="5" t="s">
        <v>25</v>
      </c>
      <c r="L274" s="5"/>
      <c r="M274" s="5"/>
      <c r="N274" s="5" t="s">
        <v>28</v>
      </c>
      <c r="O274" s="5"/>
      <c r="P274" s="5"/>
      <c r="Q274" s="5"/>
      <c r="R274" s="5"/>
      <c r="S274" s="5"/>
      <c r="T274" s="5"/>
      <c r="U274" s="5"/>
      <c r="V274" s="5"/>
      <c r="W274" s="5"/>
      <c r="X274" s="5"/>
      <c r="Y274" s="5" t="s">
        <v>25</v>
      </c>
      <c r="Z274" s="5"/>
      <c r="AA274" s="5"/>
      <c r="AB274" s="5"/>
      <c r="AC274" s="5"/>
      <c r="AD274" s="5"/>
      <c r="AE274" s="5"/>
      <c r="AF274" s="5"/>
      <c r="AG274" s="5"/>
      <c r="AH274" s="5"/>
      <c r="AI274" s="5" t="s">
        <v>34</v>
      </c>
      <c r="AJ274" s="5"/>
      <c r="AK274" s="5"/>
      <c r="AL274" s="5"/>
      <c r="AM274" s="5"/>
      <c r="AN274" s="5"/>
      <c r="AO274" s="5"/>
      <c r="AP274" s="5" t="s">
        <v>39</v>
      </c>
      <c r="AQ274" s="5"/>
      <c r="AR274" s="5" t="s">
        <v>41</v>
      </c>
      <c r="AS274" s="5"/>
      <c r="AT274" s="5"/>
      <c r="AU274" s="5" t="s">
        <v>43</v>
      </c>
      <c r="AV274" s="5"/>
      <c r="AW274" s="5"/>
      <c r="AX274" s="5"/>
      <c r="AY274" s="5"/>
      <c r="AZ274" s="5"/>
      <c r="BA274" s="5"/>
      <c r="BB274" s="5"/>
      <c r="BC274" s="5"/>
      <c r="BD274" s="5"/>
      <c r="BE274" s="5"/>
      <c r="BF274" s="5" t="s">
        <v>52</v>
      </c>
      <c r="BG274" s="5"/>
      <c r="BH274" s="5" t="s">
        <v>54</v>
      </c>
      <c r="BI274" s="5" t="s">
        <v>55</v>
      </c>
      <c r="BJ274" s="5"/>
      <c r="BK274" s="5"/>
      <c r="BL274" s="5"/>
      <c r="BM274" s="5"/>
      <c r="BN274" s="5"/>
      <c r="BO274" s="5"/>
      <c r="BP274" s="5"/>
      <c r="BQ274" s="5"/>
      <c r="BR274" s="5"/>
      <c r="BS274" s="5"/>
      <c r="BT274" s="5"/>
      <c r="BU274" s="5" t="s">
        <v>64</v>
      </c>
      <c r="BV274" s="5"/>
      <c r="BW274" s="5"/>
      <c r="BX274" s="5" t="s">
        <v>67</v>
      </c>
      <c r="BY274" s="5"/>
      <c r="BZ274" s="5"/>
      <c r="CA274" s="5"/>
      <c r="CB274" s="5"/>
      <c r="CC274" s="5"/>
      <c r="CD274" s="5"/>
      <c r="CE274" s="5"/>
      <c r="CF274" s="5"/>
      <c r="CG274" s="5"/>
      <c r="CH274" s="5"/>
      <c r="CI274" s="5" t="s">
        <v>414</v>
      </c>
      <c r="CJ274" s="5">
        <v>16</v>
      </c>
      <c r="CK274" s="5" t="s">
        <v>141</v>
      </c>
      <c r="CL274" s="5" t="s">
        <v>173</v>
      </c>
      <c r="CM274" s="103" t="s">
        <v>418</v>
      </c>
      <c r="CN274" s="5" t="s">
        <v>419</v>
      </c>
      <c r="CO274" s="103" t="s">
        <v>82</v>
      </c>
      <c r="CP274" s="5" t="s">
        <v>83</v>
      </c>
      <c r="CQ274" s="5" t="s">
        <v>104</v>
      </c>
      <c r="CR274" s="103" t="s">
        <v>89</v>
      </c>
      <c r="CS274" s="103" t="s">
        <v>86</v>
      </c>
      <c r="CT274" s="5" t="s">
        <v>384</v>
      </c>
      <c r="CU274" s="5" t="s">
        <v>86</v>
      </c>
      <c r="CV274" s="5"/>
      <c r="CW274" s="5"/>
      <c r="CX274" s="5"/>
      <c r="CY274" s="5"/>
      <c r="CZ274" s="5"/>
      <c r="DA274" s="5"/>
    </row>
    <row r="275" spans="1:105">
      <c r="A275" s="5">
        <v>18016880556</v>
      </c>
      <c r="B275" s="5"/>
      <c r="C275" s="5" t="s">
        <v>17</v>
      </c>
      <c r="D275" s="5"/>
      <c r="E275" s="5"/>
      <c r="F275" s="5"/>
      <c r="G275" s="5"/>
      <c r="H275" s="5"/>
      <c r="I275" s="5"/>
      <c r="J275" s="5"/>
      <c r="K275" s="5" t="s">
        <v>25</v>
      </c>
      <c r="L275" s="5" t="s">
        <v>26</v>
      </c>
      <c r="M275" s="5"/>
      <c r="N275" s="5"/>
      <c r="O275" s="5"/>
      <c r="P275" s="5"/>
      <c r="Q275" s="5"/>
      <c r="R275" s="5"/>
      <c r="S275" s="5"/>
      <c r="T275" s="5"/>
      <c r="U275" s="5"/>
      <c r="V275" s="5"/>
      <c r="W275" s="5"/>
      <c r="X275" s="5"/>
      <c r="Y275" s="5" t="s">
        <v>25</v>
      </c>
      <c r="Z275" s="5"/>
      <c r="AA275" s="5"/>
      <c r="AB275" s="5"/>
      <c r="AC275" s="5"/>
      <c r="AD275" s="5"/>
      <c r="AE275" s="5"/>
      <c r="AF275" s="5"/>
      <c r="AG275" s="5"/>
      <c r="AH275" s="5"/>
      <c r="AI275" s="5" t="s">
        <v>34</v>
      </c>
      <c r="AJ275" s="5"/>
      <c r="AK275" s="5"/>
      <c r="AL275" s="5"/>
      <c r="AM275" s="5"/>
      <c r="AN275" s="5"/>
      <c r="AO275" s="5"/>
      <c r="AP275" s="5" t="s">
        <v>39</v>
      </c>
      <c r="AQ275" s="5"/>
      <c r="AR275" s="5" t="s">
        <v>41</v>
      </c>
      <c r="AS275" s="5"/>
      <c r="AT275" s="5"/>
      <c r="AU275" s="5" t="s">
        <v>43</v>
      </c>
      <c r="AV275" s="5"/>
      <c r="AW275" s="5"/>
      <c r="AX275" s="5"/>
      <c r="AY275" s="5"/>
      <c r="AZ275" s="5"/>
      <c r="BA275" s="5"/>
      <c r="BB275" s="5"/>
      <c r="BC275" s="5"/>
      <c r="BD275" s="5"/>
      <c r="BE275" s="5" t="s">
        <v>17</v>
      </c>
      <c r="BF275" s="5"/>
      <c r="BG275" s="5"/>
      <c r="BH275" s="5"/>
      <c r="BI275" s="5" t="s">
        <v>55</v>
      </c>
      <c r="BJ275" s="5"/>
      <c r="BK275" s="5"/>
      <c r="BL275" s="5" t="s">
        <v>58</v>
      </c>
      <c r="BM275" s="5"/>
      <c r="BN275" s="5"/>
      <c r="BO275" s="5"/>
      <c r="BP275" s="5"/>
      <c r="BQ275" s="5"/>
      <c r="BR275" s="5"/>
      <c r="BS275" s="5"/>
      <c r="BT275" s="5"/>
      <c r="BU275" s="5" t="s">
        <v>64</v>
      </c>
      <c r="BV275" s="5"/>
      <c r="BW275" s="5"/>
      <c r="BX275" s="5" t="s">
        <v>67</v>
      </c>
      <c r="BY275" s="5"/>
      <c r="BZ275" s="5"/>
      <c r="CA275" s="5"/>
      <c r="CB275" s="5"/>
      <c r="CC275" s="5"/>
      <c r="CD275" s="5"/>
      <c r="CE275" s="5"/>
      <c r="CF275" s="5"/>
      <c r="CG275" s="5"/>
      <c r="CH275" s="5"/>
      <c r="CI275" s="5" t="s">
        <v>414</v>
      </c>
      <c r="CJ275" s="5">
        <v>16</v>
      </c>
      <c r="CK275" s="5" t="s">
        <v>141</v>
      </c>
      <c r="CL275" s="5" t="s">
        <v>173</v>
      </c>
      <c r="CM275" s="103" t="s">
        <v>418</v>
      </c>
      <c r="CN275" s="5" t="s">
        <v>419</v>
      </c>
      <c r="CO275" s="103" t="s">
        <v>82</v>
      </c>
      <c r="CP275" s="5" t="s">
        <v>83</v>
      </c>
      <c r="CQ275" s="5" t="s">
        <v>104</v>
      </c>
      <c r="CR275" s="103" t="s">
        <v>89</v>
      </c>
      <c r="CS275" s="103" t="s">
        <v>86</v>
      </c>
      <c r="CT275" s="5" t="s">
        <v>384</v>
      </c>
      <c r="CU275" s="5" t="s">
        <v>86</v>
      </c>
      <c r="CV275" s="5"/>
      <c r="CW275" s="5"/>
      <c r="CX275" s="5"/>
      <c r="CY275" s="5"/>
      <c r="CZ275" s="5"/>
      <c r="DA275" s="5"/>
    </row>
    <row r="276" spans="1:105">
      <c r="A276" s="5">
        <v>18016880499</v>
      </c>
      <c r="B276" s="5"/>
      <c r="C276" s="5" t="s">
        <v>17</v>
      </c>
      <c r="D276" s="5"/>
      <c r="E276" s="5"/>
      <c r="F276" s="5"/>
      <c r="G276" s="5"/>
      <c r="H276" s="5"/>
      <c r="I276" s="5"/>
      <c r="J276" s="5"/>
      <c r="K276" s="5" t="s">
        <v>25</v>
      </c>
      <c r="L276" s="5" t="s">
        <v>26</v>
      </c>
      <c r="M276" s="5"/>
      <c r="N276" s="5"/>
      <c r="O276" s="5"/>
      <c r="P276" s="5"/>
      <c r="Q276" s="5"/>
      <c r="R276" s="5"/>
      <c r="S276" s="5"/>
      <c r="T276" s="5"/>
      <c r="U276" s="5"/>
      <c r="V276" s="5"/>
      <c r="W276" s="5"/>
      <c r="X276" s="5"/>
      <c r="Y276" s="5" t="s">
        <v>25</v>
      </c>
      <c r="Z276" s="5"/>
      <c r="AA276" s="5"/>
      <c r="AB276" s="5"/>
      <c r="AC276" s="5"/>
      <c r="AD276" s="5"/>
      <c r="AE276" s="5"/>
      <c r="AF276" s="5"/>
      <c r="AG276" s="5"/>
      <c r="AH276" s="5"/>
      <c r="AI276" s="5" t="s">
        <v>34</v>
      </c>
      <c r="AJ276" s="5"/>
      <c r="AK276" s="5"/>
      <c r="AL276" s="5"/>
      <c r="AM276" s="5"/>
      <c r="AN276" s="5"/>
      <c r="AO276" s="5"/>
      <c r="AP276" s="5" t="s">
        <v>39</v>
      </c>
      <c r="AQ276" s="5"/>
      <c r="AR276" s="5" t="s">
        <v>41</v>
      </c>
      <c r="AS276" s="5"/>
      <c r="AT276" s="5"/>
      <c r="AU276" s="5" t="s">
        <v>43</v>
      </c>
      <c r="AV276" s="5"/>
      <c r="AW276" s="5"/>
      <c r="AX276" s="5"/>
      <c r="AY276" s="5"/>
      <c r="AZ276" s="5"/>
      <c r="BA276" s="5"/>
      <c r="BB276" s="5"/>
      <c r="BC276" s="5"/>
      <c r="BD276" s="5" t="s">
        <v>51</v>
      </c>
      <c r="BE276" s="5" t="s">
        <v>17</v>
      </c>
      <c r="BF276" s="5"/>
      <c r="BG276" s="5"/>
      <c r="BH276" s="5"/>
      <c r="BI276" s="5"/>
      <c r="BJ276" s="5"/>
      <c r="BK276" s="5"/>
      <c r="BL276" s="5"/>
      <c r="BM276" s="5"/>
      <c r="BN276" s="5"/>
      <c r="BO276" s="5"/>
      <c r="BP276" s="5"/>
      <c r="BQ276" s="5"/>
      <c r="BR276" s="5"/>
      <c r="BS276" s="5" t="s">
        <v>63</v>
      </c>
      <c r="BT276" s="5"/>
      <c r="BU276" s="5" t="s">
        <v>64</v>
      </c>
      <c r="BV276" s="5"/>
      <c r="BW276" s="5"/>
      <c r="BX276" s="5" t="s">
        <v>67</v>
      </c>
      <c r="BY276" s="5"/>
      <c r="BZ276" s="5"/>
      <c r="CA276" s="5"/>
      <c r="CB276" s="5"/>
      <c r="CC276" s="5"/>
      <c r="CD276" s="5"/>
      <c r="CE276" s="5"/>
      <c r="CF276" s="5"/>
      <c r="CG276" s="5"/>
      <c r="CH276" s="5"/>
      <c r="CI276" s="5" t="s">
        <v>414</v>
      </c>
      <c r="CJ276" s="5">
        <v>16</v>
      </c>
      <c r="CK276" s="5" t="s">
        <v>141</v>
      </c>
      <c r="CL276" s="5" t="s">
        <v>173</v>
      </c>
      <c r="CM276" s="103" t="s">
        <v>418</v>
      </c>
      <c r="CN276" s="5" t="s">
        <v>419</v>
      </c>
      <c r="CO276" s="103" t="s">
        <v>82</v>
      </c>
      <c r="CP276" s="5" t="s">
        <v>83</v>
      </c>
      <c r="CQ276" s="5" t="s">
        <v>104</v>
      </c>
      <c r="CR276" s="103" t="s">
        <v>89</v>
      </c>
      <c r="CS276" s="103" t="s">
        <v>86</v>
      </c>
      <c r="CT276" s="5" t="s">
        <v>384</v>
      </c>
      <c r="CU276" s="5" t="s">
        <v>86</v>
      </c>
      <c r="CV276" s="5"/>
      <c r="CW276" s="5"/>
      <c r="CX276" s="5"/>
      <c r="CY276" s="5"/>
      <c r="CZ276" s="5"/>
      <c r="DA276" s="5"/>
    </row>
    <row r="277" spans="1:105">
      <c r="A277" s="5">
        <v>18016880433</v>
      </c>
      <c r="B277" s="5"/>
      <c r="C277" s="5" t="s">
        <v>17</v>
      </c>
      <c r="D277" s="5"/>
      <c r="E277" s="5"/>
      <c r="F277" s="5"/>
      <c r="G277" s="5"/>
      <c r="H277" s="5"/>
      <c r="I277" s="5"/>
      <c r="J277" s="5"/>
      <c r="K277" s="5" t="s">
        <v>25</v>
      </c>
      <c r="L277" s="5" t="s">
        <v>26</v>
      </c>
      <c r="M277" s="5"/>
      <c r="N277" s="5"/>
      <c r="O277" s="5"/>
      <c r="P277" s="5"/>
      <c r="Q277" s="5"/>
      <c r="R277" s="5"/>
      <c r="S277" s="5"/>
      <c r="T277" s="5"/>
      <c r="U277" s="5"/>
      <c r="V277" s="5"/>
      <c r="W277" s="5"/>
      <c r="X277" s="5"/>
      <c r="Y277" s="5" t="s">
        <v>25</v>
      </c>
      <c r="Z277" s="5"/>
      <c r="AA277" s="5"/>
      <c r="AB277" s="5"/>
      <c r="AC277" s="5"/>
      <c r="AD277" s="5"/>
      <c r="AE277" s="5" t="s">
        <v>30</v>
      </c>
      <c r="AF277" s="5"/>
      <c r="AG277" s="5"/>
      <c r="AH277" s="5"/>
      <c r="AI277" s="5"/>
      <c r="AJ277" s="5"/>
      <c r="AK277" s="5"/>
      <c r="AL277" s="5"/>
      <c r="AM277" s="5"/>
      <c r="AN277" s="5"/>
      <c r="AO277" s="5"/>
      <c r="AP277" s="5" t="s">
        <v>39</v>
      </c>
      <c r="AQ277" s="5"/>
      <c r="AR277" s="5" t="s">
        <v>41</v>
      </c>
      <c r="AS277" s="5"/>
      <c r="AT277" s="5"/>
      <c r="AU277" s="5" t="s">
        <v>43</v>
      </c>
      <c r="AV277" s="5"/>
      <c r="AW277" s="5"/>
      <c r="AX277" s="5"/>
      <c r="AY277" s="5"/>
      <c r="AZ277" s="5"/>
      <c r="BA277" s="5"/>
      <c r="BB277" s="5"/>
      <c r="BC277" s="5"/>
      <c r="BD277" s="5"/>
      <c r="BE277" s="5" t="s">
        <v>17</v>
      </c>
      <c r="BF277" s="5"/>
      <c r="BG277" s="5"/>
      <c r="BH277" s="5"/>
      <c r="BI277" s="5" t="s">
        <v>55</v>
      </c>
      <c r="BJ277" s="5"/>
      <c r="BK277" s="5"/>
      <c r="BL277" s="5"/>
      <c r="BM277" s="5"/>
      <c r="BN277" s="5"/>
      <c r="BO277" s="5" t="s">
        <v>20</v>
      </c>
      <c r="BP277" s="5"/>
      <c r="BQ277" s="5"/>
      <c r="BR277" s="5"/>
      <c r="BS277" s="5"/>
      <c r="BT277" s="5"/>
      <c r="BU277" s="5" t="s">
        <v>64</v>
      </c>
      <c r="BV277" s="5"/>
      <c r="BW277" s="5"/>
      <c r="BX277" s="5" t="s">
        <v>67</v>
      </c>
      <c r="BY277" s="5"/>
      <c r="BZ277" s="5"/>
      <c r="CA277" s="5"/>
      <c r="CB277" s="5"/>
      <c r="CC277" s="5"/>
      <c r="CD277" s="5"/>
      <c r="CE277" s="5"/>
      <c r="CF277" s="5"/>
      <c r="CG277" s="5"/>
      <c r="CH277" s="5"/>
      <c r="CI277" s="5" t="s">
        <v>414</v>
      </c>
      <c r="CJ277" s="5">
        <v>16</v>
      </c>
      <c r="CK277" s="5" t="s">
        <v>141</v>
      </c>
      <c r="CL277" s="5" t="s">
        <v>173</v>
      </c>
      <c r="CM277" s="103" t="s">
        <v>418</v>
      </c>
      <c r="CN277" s="5" t="s">
        <v>419</v>
      </c>
      <c r="CO277" s="103" t="s">
        <v>82</v>
      </c>
      <c r="CP277" s="5" t="s">
        <v>83</v>
      </c>
      <c r="CQ277" s="5" t="s">
        <v>104</v>
      </c>
      <c r="CR277" s="103" t="s">
        <v>89</v>
      </c>
      <c r="CS277" s="103" t="s">
        <v>86</v>
      </c>
      <c r="CT277" s="5" t="s">
        <v>384</v>
      </c>
      <c r="CU277" s="5" t="s">
        <v>86</v>
      </c>
      <c r="CV277" s="5"/>
      <c r="CW277" s="5"/>
      <c r="CX277" s="5"/>
      <c r="CY277" s="5"/>
      <c r="CZ277" s="5"/>
      <c r="DA277" s="5"/>
    </row>
    <row r="278" spans="1:105">
      <c r="A278" s="5">
        <v>18016880374</v>
      </c>
      <c r="B278" s="5"/>
      <c r="C278" s="5" t="s">
        <v>17</v>
      </c>
      <c r="D278" s="5"/>
      <c r="E278" s="5"/>
      <c r="F278" s="5"/>
      <c r="G278" s="5"/>
      <c r="H278" s="5"/>
      <c r="I278" s="5"/>
      <c r="J278" s="5"/>
      <c r="K278" s="5" t="s">
        <v>25</v>
      </c>
      <c r="L278" s="5" t="s">
        <v>26</v>
      </c>
      <c r="M278" s="5"/>
      <c r="N278" s="5"/>
      <c r="O278" s="5"/>
      <c r="P278" s="5"/>
      <c r="Q278" s="5"/>
      <c r="R278" s="5"/>
      <c r="S278" s="5"/>
      <c r="T278" s="5"/>
      <c r="U278" s="5"/>
      <c r="V278" s="5"/>
      <c r="W278" s="5"/>
      <c r="X278" s="5"/>
      <c r="Y278" s="5" t="s">
        <v>25</v>
      </c>
      <c r="Z278" s="5"/>
      <c r="AA278" s="5"/>
      <c r="AB278" s="5"/>
      <c r="AC278" s="5"/>
      <c r="AD278" s="5"/>
      <c r="AE278" s="5" t="s">
        <v>30</v>
      </c>
      <c r="AF278" s="5"/>
      <c r="AG278" s="5"/>
      <c r="AH278" s="5"/>
      <c r="AI278" s="5"/>
      <c r="AJ278" s="5"/>
      <c r="AK278" s="5"/>
      <c r="AL278" s="5"/>
      <c r="AM278" s="5"/>
      <c r="AN278" s="5"/>
      <c r="AO278" s="5"/>
      <c r="AP278" s="5" t="s">
        <v>39</v>
      </c>
      <c r="AQ278" s="5"/>
      <c r="AR278" s="5" t="s">
        <v>41</v>
      </c>
      <c r="AS278" s="5"/>
      <c r="AT278" s="5"/>
      <c r="AU278" s="5" t="s">
        <v>43</v>
      </c>
      <c r="AV278" s="5"/>
      <c r="AW278" s="5"/>
      <c r="AX278" s="5"/>
      <c r="AY278" s="5"/>
      <c r="AZ278" s="5"/>
      <c r="BA278" s="5"/>
      <c r="BB278" s="5"/>
      <c r="BC278" s="5"/>
      <c r="BD278" s="5"/>
      <c r="BE278" s="5" t="s">
        <v>17</v>
      </c>
      <c r="BF278" s="5"/>
      <c r="BG278" s="5"/>
      <c r="BH278" s="5"/>
      <c r="BI278" s="5"/>
      <c r="BJ278" s="5"/>
      <c r="BK278" s="5"/>
      <c r="BL278" s="5"/>
      <c r="BM278" s="5" t="s">
        <v>59</v>
      </c>
      <c r="BN278" s="5"/>
      <c r="BO278" s="5"/>
      <c r="BP278" s="5"/>
      <c r="BQ278" s="5"/>
      <c r="BR278" s="5"/>
      <c r="BS278" s="5" t="s">
        <v>63</v>
      </c>
      <c r="BT278" s="5"/>
      <c r="BU278" s="5" t="s">
        <v>64</v>
      </c>
      <c r="BV278" s="5"/>
      <c r="BW278" s="5"/>
      <c r="BX278" s="5" t="s">
        <v>67</v>
      </c>
      <c r="BY278" s="5"/>
      <c r="BZ278" s="5"/>
      <c r="CA278" s="5"/>
      <c r="CB278" s="5"/>
      <c r="CC278" s="5"/>
      <c r="CD278" s="5"/>
      <c r="CE278" s="5"/>
      <c r="CF278" s="5"/>
      <c r="CG278" s="5"/>
      <c r="CH278" s="5"/>
      <c r="CI278" s="5" t="s">
        <v>414</v>
      </c>
      <c r="CJ278" s="5">
        <v>16</v>
      </c>
      <c r="CK278" s="5" t="s">
        <v>141</v>
      </c>
      <c r="CL278" s="5" t="s">
        <v>173</v>
      </c>
      <c r="CM278" s="103" t="s">
        <v>418</v>
      </c>
      <c r="CN278" s="5" t="s">
        <v>419</v>
      </c>
      <c r="CO278" s="103" t="s">
        <v>82</v>
      </c>
      <c r="CP278" s="5" t="s">
        <v>83</v>
      </c>
      <c r="CQ278" s="5" t="s">
        <v>104</v>
      </c>
      <c r="CR278" s="103" t="s">
        <v>89</v>
      </c>
      <c r="CS278" s="103" t="s">
        <v>86</v>
      </c>
      <c r="CT278" s="5" t="s">
        <v>384</v>
      </c>
      <c r="CU278" s="5" t="s">
        <v>86</v>
      </c>
      <c r="CV278" s="5"/>
      <c r="CW278" s="5"/>
      <c r="CX278" s="5"/>
      <c r="CY278" s="5"/>
      <c r="CZ278" s="5"/>
      <c r="DA278" s="5"/>
    </row>
    <row r="279" spans="1:105">
      <c r="A279" s="5">
        <v>18016880299</v>
      </c>
      <c r="B279" s="5"/>
      <c r="C279" s="5" t="s">
        <v>17</v>
      </c>
      <c r="D279" s="5"/>
      <c r="E279" s="5"/>
      <c r="F279" s="5"/>
      <c r="G279" s="5"/>
      <c r="H279" s="5"/>
      <c r="I279" s="5"/>
      <c r="J279" s="5"/>
      <c r="K279" s="5" t="s">
        <v>25</v>
      </c>
      <c r="L279" s="5" t="s">
        <v>26</v>
      </c>
      <c r="M279" s="5"/>
      <c r="N279" s="5"/>
      <c r="O279" s="5"/>
      <c r="P279" s="5"/>
      <c r="Q279" s="5"/>
      <c r="R279" s="5"/>
      <c r="S279" s="5"/>
      <c r="T279" s="5"/>
      <c r="U279" s="5"/>
      <c r="V279" s="5"/>
      <c r="W279" s="5"/>
      <c r="X279" s="5"/>
      <c r="Y279" s="5" t="s">
        <v>25</v>
      </c>
      <c r="Z279" s="5"/>
      <c r="AA279" s="5"/>
      <c r="AB279" s="5"/>
      <c r="AC279" s="5"/>
      <c r="AD279" s="5"/>
      <c r="AE279" s="5" t="s">
        <v>30</v>
      </c>
      <c r="AF279" s="5"/>
      <c r="AG279" s="5"/>
      <c r="AH279" s="5"/>
      <c r="AI279" s="5"/>
      <c r="AJ279" s="5"/>
      <c r="AK279" s="5"/>
      <c r="AL279" s="5"/>
      <c r="AM279" s="5"/>
      <c r="AN279" s="5"/>
      <c r="AO279" s="5"/>
      <c r="AP279" s="5" t="s">
        <v>39</v>
      </c>
      <c r="AQ279" s="5"/>
      <c r="AR279" s="5" t="s">
        <v>41</v>
      </c>
      <c r="AS279" s="5"/>
      <c r="AT279" s="5"/>
      <c r="AU279" s="5" t="s">
        <v>43</v>
      </c>
      <c r="AV279" s="5"/>
      <c r="AW279" s="5"/>
      <c r="AX279" s="5"/>
      <c r="AY279" s="5"/>
      <c r="AZ279" s="5"/>
      <c r="BA279" s="5"/>
      <c r="BB279" s="5"/>
      <c r="BC279" s="5"/>
      <c r="BD279" s="5" t="s">
        <v>51</v>
      </c>
      <c r="BE279" s="5" t="s">
        <v>17</v>
      </c>
      <c r="BF279" s="5"/>
      <c r="BG279" s="5"/>
      <c r="BH279" s="5"/>
      <c r="BI279" s="5"/>
      <c r="BJ279" s="5"/>
      <c r="BK279" s="5"/>
      <c r="BL279" s="5"/>
      <c r="BM279" s="5"/>
      <c r="BN279" s="5"/>
      <c r="BO279" s="5"/>
      <c r="BP279" s="5"/>
      <c r="BQ279" s="5"/>
      <c r="BR279" s="5"/>
      <c r="BS279" s="5" t="s">
        <v>63</v>
      </c>
      <c r="BT279" s="5"/>
      <c r="BU279" s="5" t="s">
        <v>64</v>
      </c>
      <c r="BV279" s="5"/>
      <c r="BW279" s="5"/>
      <c r="BX279" s="5" t="s">
        <v>67</v>
      </c>
      <c r="BY279" s="5"/>
      <c r="BZ279" s="5"/>
      <c r="CA279" s="5"/>
      <c r="CB279" s="5"/>
      <c r="CC279" s="5"/>
      <c r="CD279" s="5"/>
      <c r="CE279" s="5"/>
      <c r="CF279" s="5"/>
      <c r="CG279" s="5"/>
      <c r="CH279" s="5"/>
      <c r="CI279" s="5" t="s">
        <v>414</v>
      </c>
      <c r="CJ279" s="5">
        <v>16</v>
      </c>
      <c r="CK279" s="5" t="s">
        <v>141</v>
      </c>
      <c r="CL279" s="5" t="s">
        <v>173</v>
      </c>
      <c r="CM279" s="103" t="s">
        <v>418</v>
      </c>
      <c r="CN279" s="5" t="s">
        <v>419</v>
      </c>
      <c r="CO279" s="103" t="s">
        <v>82</v>
      </c>
      <c r="CP279" s="5" t="s">
        <v>83</v>
      </c>
      <c r="CQ279" s="5" t="s">
        <v>95</v>
      </c>
      <c r="CR279" s="103" t="s">
        <v>89</v>
      </c>
      <c r="CS279" s="103" t="s">
        <v>86</v>
      </c>
      <c r="CT279" s="5" t="s">
        <v>384</v>
      </c>
      <c r="CU279" s="5" t="s">
        <v>86</v>
      </c>
      <c r="CV279" s="5"/>
      <c r="CW279" s="5"/>
      <c r="CX279" s="5"/>
      <c r="CY279" s="5"/>
      <c r="CZ279" s="5"/>
      <c r="DA279" s="5"/>
    </row>
    <row r="280" spans="1:105">
      <c r="A280" s="5">
        <v>18016880225</v>
      </c>
      <c r="B280" s="5"/>
      <c r="C280" s="5" t="s">
        <v>17</v>
      </c>
      <c r="D280" s="5"/>
      <c r="E280" s="5"/>
      <c r="F280" s="5"/>
      <c r="G280" s="5"/>
      <c r="H280" s="5"/>
      <c r="I280" s="5"/>
      <c r="J280" s="5"/>
      <c r="K280" s="5" t="s">
        <v>25</v>
      </c>
      <c r="L280" s="5" t="s">
        <v>26</v>
      </c>
      <c r="M280" s="5"/>
      <c r="N280" s="5"/>
      <c r="O280" s="5"/>
      <c r="P280" s="5"/>
      <c r="Q280" s="5"/>
      <c r="R280" s="5"/>
      <c r="S280" s="5"/>
      <c r="T280" s="5"/>
      <c r="U280" s="5"/>
      <c r="V280" s="5"/>
      <c r="W280" s="5"/>
      <c r="X280" s="5"/>
      <c r="Y280" s="5" t="s">
        <v>25</v>
      </c>
      <c r="Z280" s="5"/>
      <c r="AA280" s="5"/>
      <c r="AB280" s="5"/>
      <c r="AC280" s="5"/>
      <c r="AD280" s="5"/>
      <c r="AE280" s="5" t="s">
        <v>30</v>
      </c>
      <c r="AF280" s="5"/>
      <c r="AG280" s="5"/>
      <c r="AH280" s="5"/>
      <c r="AI280" s="5"/>
      <c r="AJ280" s="5"/>
      <c r="AK280" s="5"/>
      <c r="AL280" s="5"/>
      <c r="AM280" s="5"/>
      <c r="AN280" s="5"/>
      <c r="AO280" s="5" t="s">
        <v>38</v>
      </c>
      <c r="AP280" s="5" t="s">
        <v>39</v>
      </c>
      <c r="AQ280" s="5"/>
      <c r="AR280" s="5" t="s">
        <v>41</v>
      </c>
      <c r="AS280" s="5"/>
      <c r="AT280" s="5"/>
      <c r="AU280" s="5"/>
      <c r="AV280" s="5"/>
      <c r="AW280" s="5"/>
      <c r="AX280" s="5"/>
      <c r="AY280" s="5"/>
      <c r="AZ280" s="5"/>
      <c r="BA280" s="5"/>
      <c r="BB280" s="5"/>
      <c r="BC280" s="5"/>
      <c r="BD280" s="5" t="s">
        <v>51</v>
      </c>
      <c r="BE280" s="5" t="s">
        <v>17</v>
      </c>
      <c r="BF280" s="5"/>
      <c r="BG280" s="5"/>
      <c r="BH280" s="5"/>
      <c r="BI280" s="5"/>
      <c r="BJ280" s="5"/>
      <c r="BK280" s="5"/>
      <c r="BL280" s="5"/>
      <c r="BM280" s="5"/>
      <c r="BN280" s="5"/>
      <c r="BO280" s="5"/>
      <c r="BP280" s="5"/>
      <c r="BQ280" s="5"/>
      <c r="BR280" s="5"/>
      <c r="BS280" s="5" t="s">
        <v>63</v>
      </c>
      <c r="BT280" s="5"/>
      <c r="BU280" s="5" t="s">
        <v>64</v>
      </c>
      <c r="BV280" s="5"/>
      <c r="BW280" s="5"/>
      <c r="BX280" s="5" t="s">
        <v>67</v>
      </c>
      <c r="BY280" s="5"/>
      <c r="BZ280" s="5"/>
      <c r="CA280" s="5"/>
      <c r="CB280" s="5"/>
      <c r="CC280" s="5"/>
      <c r="CD280" s="5"/>
      <c r="CE280" s="5"/>
      <c r="CF280" s="5"/>
      <c r="CG280" s="5"/>
      <c r="CH280" s="5"/>
      <c r="CI280" s="5" t="s">
        <v>414</v>
      </c>
      <c r="CJ280" s="5">
        <v>16</v>
      </c>
      <c r="CK280" s="5" t="s">
        <v>141</v>
      </c>
      <c r="CL280" s="5" t="s">
        <v>173</v>
      </c>
      <c r="CM280" s="103" t="s">
        <v>418</v>
      </c>
      <c r="CN280" s="5" t="s">
        <v>419</v>
      </c>
      <c r="CO280" s="103" t="s">
        <v>82</v>
      </c>
      <c r="CP280" s="5" t="s">
        <v>83</v>
      </c>
      <c r="CQ280" s="5" t="s">
        <v>111</v>
      </c>
      <c r="CR280" s="103" t="s">
        <v>89</v>
      </c>
      <c r="CS280" s="103" t="s">
        <v>86</v>
      </c>
      <c r="CT280" s="5" t="s">
        <v>384</v>
      </c>
      <c r="CU280" s="5" t="s">
        <v>86</v>
      </c>
      <c r="CV280" s="5"/>
      <c r="CW280" s="5"/>
      <c r="CX280" s="5"/>
      <c r="CY280" s="5"/>
      <c r="CZ280" s="5"/>
      <c r="DA280" s="5"/>
    </row>
    <row r="281" spans="1:105">
      <c r="A281" s="5">
        <v>18016880137</v>
      </c>
      <c r="B281" s="5"/>
      <c r="C281" s="5" t="s">
        <v>17</v>
      </c>
      <c r="D281" s="5"/>
      <c r="E281" s="5"/>
      <c r="F281" s="5"/>
      <c r="G281" s="5"/>
      <c r="H281" s="5"/>
      <c r="I281" s="5"/>
      <c r="J281" s="5"/>
      <c r="K281" s="5" t="s">
        <v>25</v>
      </c>
      <c r="L281" s="5" t="s">
        <v>26</v>
      </c>
      <c r="M281" s="5"/>
      <c r="N281" s="5"/>
      <c r="O281" s="5"/>
      <c r="P281" s="5"/>
      <c r="Q281" s="5"/>
      <c r="R281" s="5"/>
      <c r="S281" s="5"/>
      <c r="T281" s="5"/>
      <c r="U281" s="5"/>
      <c r="V281" s="5"/>
      <c r="W281" s="5"/>
      <c r="X281" s="5"/>
      <c r="Y281" s="5" t="s">
        <v>25</v>
      </c>
      <c r="Z281" s="5"/>
      <c r="AA281" s="5"/>
      <c r="AB281" s="5"/>
      <c r="AC281" s="5"/>
      <c r="AD281" s="5"/>
      <c r="AE281" s="5" t="s">
        <v>30</v>
      </c>
      <c r="AF281" s="5"/>
      <c r="AG281" s="5"/>
      <c r="AH281" s="5"/>
      <c r="AI281" s="5"/>
      <c r="AJ281" s="5"/>
      <c r="AK281" s="5"/>
      <c r="AL281" s="5"/>
      <c r="AM281" s="5"/>
      <c r="AN281" s="5"/>
      <c r="AO281" s="5" t="s">
        <v>38</v>
      </c>
      <c r="AP281" s="5" t="s">
        <v>39</v>
      </c>
      <c r="AQ281" s="5"/>
      <c r="AR281" s="5" t="s">
        <v>41</v>
      </c>
      <c r="AS281" s="5"/>
      <c r="AT281" s="5"/>
      <c r="AU281" s="5"/>
      <c r="AV281" s="5"/>
      <c r="AW281" s="5"/>
      <c r="AX281" s="5"/>
      <c r="AY281" s="5"/>
      <c r="AZ281" s="5"/>
      <c r="BA281" s="5"/>
      <c r="BB281" s="5"/>
      <c r="BC281" s="5"/>
      <c r="BD281" s="5"/>
      <c r="BE281" s="5" t="s">
        <v>17</v>
      </c>
      <c r="BF281" s="5"/>
      <c r="BG281" s="5"/>
      <c r="BH281" s="5" t="s">
        <v>54</v>
      </c>
      <c r="BI281" s="5"/>
      <c r="BJ281" s="5"/>
      <c r="BK281" s="5" t="s">
        <v>57</v>
      </c>
      <c r="BL281" s="5"/>
      <c r="BM281" s="5"/>
      <c r="BN281" s="5"/>
      <c r="BO281" s="5"/>
      <c r="BP281" s="5"/>
      <c r="BQ281" s="5"/>
      <c r="BR281" s="5"/>
      <c r="BS281" s="5"/>
      <c r="BT281" s="5"/>
      <c r="BU281" s="5" t="s">
        <v>64</v>
      </c>
      <c r="BV281" s="5"/>
      <c r="BW281" s="5"/>
      <c r="BX281" s="5" t="s">
        <v>67</v>
      </c>
      <c r="BY281" s="5"/>
      <c r="BZ281" s="5"/>
      <c r="CA281" s="5"/>
      <c r="CB281" s="5"/>
      <c r="CC281" s="5"/>
      <c r="CD281" s="5"/>
      <c r="CE281" s="5"/>
      <c r="CF281" s="5"/>
      <c r="CG281" s="5"/>
      <c r="CH281" s="5"/>
      <c r="CI281" s="5" t="s">
        <v>414</v>
      </c>
      <c r="CJ281" s="5">
        <v>16</v>
      </c>
      <c r="CK281" s="5" t="s">
        <v>141</v>
      </c>
      <c r="CL281" s="5" t="s">
        <v>173</v>
      </c>
      <c r="CM281" s="103" t="s">
        <v>418</v>
      </c>
      <c r="CN281" s="5" t="s">
        <v>419</v>
      </c>
      <c r="CO281" s="103" t="s">
        <v>82</v>
      </c>
      <c r="CP281" s="5" t="s">
        <v>83</v>
      </c>
      <c r="CQ281" s="5" t="s">
        <v>111</v>
      </c>
      <c r="CR281" s="103" t="s">
        <v>89</v>
      </c>
      <c r="CS281" s="103" t="s">
        <v>86</v>
      </c>
      <c r="CT281" s="5" t="s">
        <v>384</v>
      </c>
      <c r="CU281" s="5" t="s">
        <v>86</v>
      </c>
      <c r="CV281" s="5"/>
      <c r="CW281" s="5"/>
      <c r="CX281" s="5"/>
      <c r="CY281" s="5"/>
      <c r="CZ281" s="5"/>
      <c r="DA281" s="5"/>
    </row>
    <row r="282" spans="1:105">
      <c r="A282" s="5">
        <v>18016878205</v>
      </c>
      <c r="B282" s="5"/>
      <c r="C282" s="5" t="s">
        <v>17</v>
      </c>
      <c r="D282" s="5"/>
      <c r="E282" s="5"/>
      <c r="F282" s="5"/>
      <c r="G282" s="5"/>
      <c r="H282" s="5"/>
      <c r="I282" s="5" t="s">
        <v>23</v>
      </c>
      <c r="J282" s="5" t="s">
        <v>24</v>
      </c>
      <c r="K282" s="5"/>
      <c r="L282" s="5" t="s">
        <v>26</v>
      </c>
      <c r="M282" s="5"/>
      <c r="N282" s="5"/>
      <c r="O282" s="5"/>
      <c r="P282" s="5"/>
      <c r="Q282" s="5"/>
      <c r="R282" s="5"/>
      <c r="S282" s="5"/>
      <c r="T282" s="5"/>
      <c r="U282" s="5" t="s">
        <v>21</v>
      </c>
      <c r="V282" s="5"/>
      <c r="W282" s="5" t="s">
        <v>23</v>
      </c>
      <c r="X282" s="5" t="s">
        <v>24</v>
      </c>
      <c r="Y282" s="5"/>
      <c r="Z282" s="5"/>
      <c r="AA282" s="5"/>
      <c r="AB282" s="5"/>
      <c r="AC282" s="5"/>
      <c r="AD282" s="5"/>
      <c r="AE282" s="5"/>
      <c r="AF282" s="5"/>
      <c r="AG282" s="5"/>
      <c r="AH282" s="5"/>
      <c r="AI282" s="5"/>
      <c r="AJ282" s="5"/>
      <c r="AK282" s="5"/>
      <c r="AL282" s="5"/>
      <c r="AM282" s="5"/>
      <c r="AN282" s="5"/>
      <c r="AO282" s="5"/>
      <c r="AP282" s="5" t="s">
        <v>39</v>
      </c>
      <c r="AQ282" s="5"/>
      <c r="AR282" s="5" t="s">
        <v>41</v>
      </c>
      <c r="AS282" s="5"/>
      <c r="AT282" s="5"/>
      <c r="AU282" s="5" t="s">
        <v>43</v>
      </c>
      <c r="AV282" s="5" t="s">
        <v>44</v>
      </c>
      <c r="AW282" s="5" t="s">
        <v>45</v>
      </c>
      <c r="AX282" s="5" t="s">
        <v>46</v>
      </c>
      <c r="AY282" s="5"/>
      <c r="AZ282" s="5"/>
      <c r="BA282" s="5"/>
      <c r="BB282" s="5"/>
      <c r="BC282" s="5"/>
      <c r="BD282" s="5"/>
      <c r="BE282" s="5"/>
      <c r="BF282" s="5"/>
      <c r="BG282" s="5"/>
      <c r="BH282" s="5"/>
      <c r="BI282" s="5"/>
      <c r="BJ282" s="5"/>
      <c r="BK282" s="5"/>
      <c r="BL282" s="5"/>
      <c r="BM282" s="5" t="s">
        <v>59</v>
      </c>
      <c r="BN282" s="5" t="s">
        <v>24</v>
      </c>
      <c r="BO282" s="5"/>
      <c r="BP282" s="5" t="s">
        <v>60</v>
      </c>
      <c r="BQ282" s="5"/>
      <c r="BR282" s="5"/>
      <c r="BS282" s="5" t="s">
        <v>63</v>
      </c>
      <c r="BT282" s="5"/>
      <c r="BU282" s="5" t="s">
        <v>64</v>
      </c>
      <c r="BV282" s="5"/>
      <c r="BW282" s="5"/>
      <c r="BX282" s="5" t="s">
        <v>67</v>
      </c>
      <c r="BY282" s="5"/>
      <c r="BZ282" s="5"/>
      <c r="CA282" s="5" t="s">
        <v>70</v>
      </c>
      <c r="CB282" s="5"/>
      <c r="CC282" s="5"/>
      <c r="CD282" s="5"/>
      <c r="CE282" s="5"/>
      <c r="CF282" s="5"/>
      <c r="CG282" s="5"/>
      <c r="CH282" s="5"/>
      <c r="CI282" s="5" t="s">
        <v>414</v>
      </c>
      <c r="CJ282" s="5">
        <v>54</v>
      </c>
      <c r="CK282" s="5" t="s">
        <v>141</v>
      </c>
      <c r="CL282" s="5" t="s">
        <v>171</v>
      </c>
      <c r="CM282" s="103" t="s">
        <v>418</v>
      </c>
      <c r="CN282" s="5" t="s">
        <v>419</v>
      </c>
      <c r="CO282" s="103" t="s">
        <v>82</v>
      </c>
      <c r="CP282" s="5" t="s">
        <v>83</v>
      </c>
      <c r="CQ282" s="5" t="s">
        <v>84</v>
      </c>
      <c r="CR282" s="103" t="s">
        <v>99</v>
      </c>
      <c r="CS282" s="103" t="s">
        <v>86</v>
      </c>
      <c r="CT282" s="5" t="s">
        <v>387</v>
      </c>
      <c r="CU282" s="5" t="s">
        <v>86</v>
      </c>
      <c r="CV282" s="5"/>
      <c r="CW282" s="5"/>
      <c r="CX282" s="5"/>
      <c r="CY282" s="5"/>
      <c r="CZ282" s="5"/>
      <c r="DA282" s="5"/>
    </row>
    <row r="283" spans="1:105">
      <c r="A283" s="5">
        <v>18016878064</v>
      </c>
      <c r="B283" s="5"/>
      <c r="C283" s="5"/>
      <c r="D283" s="5"/>
      <c r="E283" s="5"/>
      <c r="F283" s="5"/>
      <c r="G283" s="5" t="s">
        <v>21</v>
      </c>
      <c r="H283" s="5"/>
      <c r="I283" s="5"/>
      <c r="J283" s="5"/>
      <c r="K283" s="5" t="s">
        <v>25</v>
      </c>
      <c r="L283" s="5" t="s">
        <v>26</v>
      </c>
      <c r="M283" s="5"/>
      <c r="N283" s="5"/>
      <c r="O283" s="5"/>
      <c r="P283" s="5"/>
      <c r="Q283" s="5" t="s">
        <v>17</v>
      </c>
      <c r="R283" s="5" t="s">
        <v>18</v>
      </c>
      <c r="S283" s="5"/>
      <c r="T283" s="5"/>
      <c r="U283" s="5"/>
      <c r="V283" s="5"/>
      <c r="W283" s="5"/>
      <c r="X283" s="5" t="s">
        <v>24</v>
      </c>
      <c r="Y283" s="5"/>
      <c r="Z283" s="5" t="s">
        <v>26</v>
      </c>
      <c r="AA283" s="5"/>
      <c r="AB283" s="5"/>
      <c r="AC283" s="5"/>
      <c r="AD283" s="5"/>
      <c r="AE283" s="5"/>
      <c r="AF283" s="5"/>
      <c r="AG283" s="5"/>
      <c r="AH283" s="5"/>
      <c r="AI283" s="5"/>
      <c r="AJ283" s="5"/>
      <c r="AK283" s="5"/>
      <c r="AL283" s="5"/>
      <c r="AM283" s="5"/>
      <c r="AN283" s="5"/>
      <c r="AO283" s="5"/>
      <c r="AP283" s="5" t="s">
        <v>39</v>
      </c>
      <c r="AQ283" s="5"/>
      <c r="AR283" s="5" t="s">
        <v>41</v>
      </c>
      <c r="AS283" s="5"/>
      <c r="AT283" s="5"/>
      <c r="AU283" s="5" t="s">
        <v>43</v>
      </c>
      <c r="AV283" s="5"/>
      <c r="AW283" s="5"/>
      <c r="AX283" s="5"/>
      <c r="AY283" s="5"/>
      <c r="AZ283" s="5"/>
      <c r="BA283" s="5"/>
      <c r="BB283" s="5" t="s">
        <v>49</v>
      </c>
      <c r="BC283" s="5" t="s">
        <v>50</v>
      </c>
      <c r="BD283" s="5"/>
      <c r="BE283" s="5" t="s">
        <v>17</v>
      </c>
      <c r="BF283" s="5"/>
      <c r="BG283" s="5"/>
      <c r="BH283" s="5"/>
      <c r="BI283" s="5"/>
      <c r="BJ283" s="5"/>
      <c r="BK283" s="5"/>
      <c r="BL283" s="5"/>
      <c r="BM283" s="5"/>
      <c r="BN283" s="5" t="s">
        <v>24</v>
      </c>
      <c r="BO283" s="5"/>
      <c r="BP283" s="5"/>
      <c r="BQ283" s="5"/>
      <c r="BR283" s="5"/>
      <c r="BS283" s="5" t="s">
        <v>63</v>
      </c>
      <c r="BT283" s="5"/>
      <c r="BU283" s="5" t="s">
        <v>64</v>
      </c>
      <c r="BV283" s="5"/>
      <c r="BW283" s="5" t="s">
        <v>66</v>
      </c>
      <c r="BX283" s="5"/>
      <c r="BY283" s="5"/>
      <c r="BZ283" s="5"/>
      <c r="CA283" s="5" t="s">
        <v>70</v>
      </c>
      <c r="CB283" s="5"/>
      <c r="CC283" s="5"/>
      <c r="CD283" s="5"/>
      <c r="CE283" s="5"/>
      <c r="CF283" s="5"/>
      <c r="CG283" s="5"/>
      <c r="CH283" s="5"/>
      <c r="CI283" s="5" t="s">
        <v>417</v>
      </c>
      <c r="CJ283" s="5">
        <v>55</v>
      </c>
      <c r="CK283" s="5" t="s">
        <v>141</v>
      </c>
      <c r="CL283" s="5" t="s">
        <v>171</v>
      </c>
      <c r="CM283" s="103" t="s">
        <v>418</v>
      </c>
      <c r="CN283" s="5" t="s">
        <v>419</v>
      </c>
      <c r="CO283" s="103" t="s">
        <v>431</v>
      </c>
      <c r="CP283" s="5" t="s">
        <v>83</v>
      </c>
      <c r="CQ283" s="5" t="s">
        <v>84</v>
      </c>
      <c r="CR283" s="103" t="s">
        <v>85</v>
      </c>
      <c r="CS283" s="103" t="s">
        <v>86</v>
      </c>
      <c r="CT283" s="5" t="s">
        <v>385</v>
      </c>
      <c r="CU283" s="5" t="s">
        <v>86</v>
      </c>
      <c r="CV283" s="5"/>
      <c r="CW283" s="5"/>
      <c r="CX283" s="5"/>
      <c r="CY283" s="5"/>
      <c r="CZ283" s="5"/>
      <c r="DA283" s="5"/>
    </row>
    <row r="284" spans="1:105">
      <c r="A284" s="5">
        <v>18016877876</v>
      </c>
      <c r="B284" s="5"/>
      <c r="C284" s="5"/>
      <c r="D284" s="5" t="s">
        <v>18</v>
      </c>
      <c r="E284" s="5"/>
      <c r="F284" s="5"/>
      <c r="G284" s="5"/>
      <c r="H284" s="5"/>
      <c r="I284" s="5"/>
      <c r="J284" s="5"/>
      <c r="K284" s="5" t="s">
        <v>25</v>
      </c>
      <c r="L284" s="5" t="s">
        <v>26</v>
      </c>
      <c r="M284" s="5"/>
      <c r="N284" s="5"/>
      <c r="O284" s="5"/>
      <c r="P284" s="5"/>
      <c r="Q284" s="5"/>
      <c r="R284" s="5"/>
      <c r="S284" s="5" t="s">
        <v>19</v>
      </c>
      <c r="T284" s="5" t="s">
        <v>20</v>
      </c>
      <c r="U284" s="5"/>
      <c r="V284" s="5"/>
      <c r="W284" s="5"/>
      <c r="X284" s="5" t="s">
        <v>24</v>
      </c>
      <c r="Y284" s="5"/>
      <c r="Z284" s="5"/>
      <c r="AA284" s="5"/>
      <c r="AB284" s="5"/>
      <c r="AC284" s="5"/>
      <c r="AD284" s="5"/>
      <c r="AE284" s="5" t="s">
        <v>30</v>
      </c>
      <c r="AF284" s="5"/>
      <c r="AG284" s="5"/>
      <c r="AH284" s="5"/>
      <c r="AI284" s="5" t="s">
        <v>34</v>
      </c>
      <c r="AJ284" s="5"/>
      <c r="AK284" s="5"/>
      <c r="AL284" s="5" t="s">
        <v>37</v>
      </c>
      <c r="AM284" s="5"/>
      <c r="AN284" s="5"/>
      <c r="AO284" s="5"/>
      <c r="AP284" s="5"/>
      <c r="AQ284" s="5"/>
      <c r="AR284" s="5" t="s">
        <v>41</v>
      </c>
      <c r="AS284" s="5" t="s">
        <v>42</v>
      </c>
      <c r="AT284" s="5"/>
      <c r="AU284" s="5"/>
      <c r="AV284" s="5"/>
      <c r="AW284" s="5"/>
      <c r="AX284" s="5"/>
      <c r="AY284" s="5"/>
      <c r="AZ284" s="5" t="s">
        <v>48</v>
      </c>
      <c r="BA284" s="5"/>
      <c r="BB284" s="5"/>
      <c r="BC284" s="5"/>
      <c r="BD284" s="5"/>
      <c r="BE284" s="5" t="s">
        <v>17</v>
      </c>
      <c r="BF284" s="5"/>
      <c r="BG284" s="5"/>
      <c r="BH284" s="5"/>
      <c r="BI284" s="5"/>
      <c r="BJ284" s="5"/>
      <c r="BK284" s="5"/>
      <c r="BL284" s="5"/>
      <c r="BM284" s="5"/>
      <c r="BN284" s="5"/>
      <c r="BO284" s="5"/>
      <c r="BP284" s="5"/>
      <c r="BQ284" s="5"/>
      <c r="BR284" s="5" t="s">
        <v>62</v>
      </c>
      <c r="BS284" s="5" t="s">
        <v>63</v>
      </c>
      <c r="BT284" s="5"/>
      <c r="BU284" s="5"/>
      <c r="BV284" s="5" t="s">
        <v>65</v>
      </c>
      <c r="BW284" s="5"/>
      <c r="BX284" s="5"/>
      <c r="BY284" s="5"/>
      <c r="BZ284" s="5" t="s">
        <v>69</v>
      </c>
      <c r="CA284" s="5"/>
      <c r="CB284" s="5"/>
      <c r="CC284" s="5"/>
      <c r="CD284" s="5" t="s">
        <v>73</v>
      </c>
      <c r="CE284" s="5"/>
      <c r="CF284" s="5"/>
      <c r="CG284" s="5"/>
      <c r="CH284" s="5"/>
      <c r="CI284" s="5" t="s">
        <v>417</v>
      </c>
      <c r="CJ284" s="5">
        <v>50</v>
      </c>
      <c r="CK284" s="5" t="s">
        <v>141</v>
      </c>
      <c r="CL284" s="5" t="s">
        <v>171</v>
      </c>
      <c r="CM284" s="103" t="s">
        <v>418</v>
      </c>
      <c r="CN284" s="5" t="s">
        <v>419</v>
      </c>
      <c r="CO284" s="103" t="s">
        <v>82</v>
      </c>
      <c r="CP284" s="5" t="s">
        <v>83</v>
      </c>
      <c r="CQ284" s="5" t="s">
        <v>84</v>
      </c>
      <c r="CR284" s="103" t="s">
        <v>85</v>
      </c>
      <c r="CS284" s="103" t="s">
        <v>86</v>
      </c>
      <c r="CT284" s="5" t="s">
        <v>385</v>
      </c>
      <c r="CU284" s="5" t="s">
        <v>86</v>
      </c>
      <c r="CV284" s="5"/>
      <c r="CW284" s="5"/>
      <c r="CX284" s="5"/>
      <c r="CY284" s="5"/>
      <c r="CZ284" s="5"/>
      <c r="DA284" s="5"/>
    </row>
    <row r="285" spans="1:105">
      <c r="A285" s="5">
        <v>18016806771</v>
      </c>
      <c r="B285" s="5"/>
      <c r="C285" s="5"/>
      <c r="D285" s="5"/>
      <c r="E285" s="5"/>
      <c r="F285" s="5"/>
      <c r="G285" s="5"/>
      <c r="H285" s="5" t="s">
        <v>22</v>
      </c>
      <c r="I285" s="5"/>
      <c r="J285" s="5"/>
      <c r="K285" s="5"/>
      <c r="L285" s="5" t="s">
        <v>26</v>
      </c>
      <c r="M285" s="5"/>
      <c r="N285" s="5"/>
      <c r="O285" s="5"/>
      <c r="P285" s="5"/>
      <c r="Q285" s="5"/>
      <c r="R285" s="5"/>
      <c r="S285" s="5"/>
      <c r="T285" s="5" t="s">
        <v>20</v>
      </c>
      <c r="U285" s="5"/>
      <c r="V285" s="5"/>
      <c r="W285" s="5" t="s">
        <v>23</v>
      </c>
      <c r="X285" s="5"/>
      <c r="Y285" s="5"/>
      <c r="Z285" s="5"/>
      <c r="AA285" s="5"/>
      <c r="AB285" s="5" t="s">
        <v>28</v>
      </c>
      <c r="AC285" s="5"/>
      <c r="AD285" s="5"/>
      <c r="AE285" s="5"/>
      <c r="AF285" s="5"/>
      <c r="AG285" s="5"/>
      <c r="AH285" s="5"/>
      <c r="AI285" s="5" t="s">
        <v>34</v>
      </c>
      <c r="AJ285" s="5"/>
      <c r="AK285" s="5"/>
      <c r="AL285" s="5"/>
      <c r="AM285" s="5" t="s">
        <v>375</v>
      </c>
      <c r="AN285" s="5"/>
      <c r="AO285" s="5"/>
      <c r="AP285" s="5" t="s">
        <v>39</v>
      </c>
      <c r="AQ285" s="5" t="s">
        <v>40</v>
      </c>
      <c r="AR285" s="5" t="s">
        <v>41</v>
      </c>
      <c r="AS285" s="5"/>
      <c r="AT285" s="5"/>
      <c r="AU285" s="5"/>
      <c r="AV285" s="5"/>
      <c r="AW285" s="5"/>
      <c r="AX285" s="5"/>
      <c r="AY285" s="5"/>
      <c r="AZ285" s="5"/>
      <c r="BA285" s="5"/>
      <c r="BB285" s="5"/>
      <c r="BC285" s="5" t="s">
        <v>50</v>
      </c>
      <c r="BD285" s="5" t="s">
        <v>51</v>
      </c>
      <c r="BE285" s="5"/>
      <c r="BF285" s="5"/>
      <c r="BG285" s="5"/>
      <c r="BH285" s="5"/>
      <c r="BI285" s="5"/>
      <c r="BJ285" s="5"/>
      <c r="BK285" s="5"/>
      <c r="BL285" s="5"/>
      <c r="BM285" s="5" t="s">
        <v>59</v>
      </c>
      <c r="BN285" s="5"/>
      <c r="BO285" s="5" t="s">
        <v>20</v>
      </c>
      <c r="BP285" s="5"/>
      <c r="BQ285" s="5"/>
      <c r="BR285" s="5"/>
      <c r="BS285" s="5" t="s">
        <v>63</v>
      </c>
      <c r="BT285" s="5"/>
      <c r="BU285" s="5" t="s">
        <v>64</v>
      </c>
      <c r="BV285" s="5"/>
      <c r="BW285" s="5" t="s">
        <v>66</v>
      </c>
      <c r="BX285" s="5" t="s">
        <v>67</v>
      </c>
      <c r="BY285" s="5"/>
      <c r="BZ285" s="5"/>
      <c r="CA285" s="5" t="s">
        <v>70</v>
      </c>
      <c r="CB285" s="5"/>
      <c r="CC285" s="5"/>
      <c r="CD285" s="5"/>
      <c r="CE285" s="5"/>
      <c r="CF285" s="5" t="s">
        <v>75</v>
      </c>
      <c r="CG285" s="5" t="s">
        <v>76</v>
      </c>
      <c r="CH285" s="5"/>
      <c r="CI285" s="5" t="s">
        <v>414</v>
      </c>
      <c r="CJ285" s="5">
        <v>18</v>
      </c>
      <c r="CK285" s="5" t="s">
        <v>141</v>
      </c>
      <c r="CL285" s="5" t="s">
        <v>171</v>
      </c>
      <c r="CM285" s="103" t="s">
        <v>418</v>
      </c>
      <c r="CN285" s="5" t="s">
        <v>419</v>
      </c>
      <c r="CO285" s="103" t="s">
        <v>82</v>
      </c>
      <c r="CP285" s="5" t="s">
        <v>94</v>
      </c>
      <c r="CQ285" s="5" t="s">
        <v>95</v>
      </c>
      <c r="CR285" s="103" t="s">
        <v>89</v>
      </c>
      <c r="CS285" s="103" t="s">
        <v>81</v>
      </c>
      <c r="CT285" s="5" t="s">
        <v>296</v>
      </c>
      <c r="CU285" s="5" t="s">
        <v>86</v>
      </c>
      <c r="CV285" s="5"/>
      <c r="CW285" s="5"/>
      <c r="CX285" s="5"/>
      <c r="CY285" s="5"/>
      <c r="CZ285" s="5"/>
      <c r="DA285" s="5"/>
    </row>
    <row r="286" spans="1:105">
      <c r="A286" s="5">
        <v>18016769736</v>
      </c>
      <c r="B286" s="5"/>
      <c r="C286" s="5" t="s">
        <v>17</v>
      </c>
      <c r="D286" s="5"/>
      <c r="E286" s="5"/>
      <c r="F286" s="5"/>
      <c r="G286" s="5"/>
      <c r="H286" s="5"/>
      <c r="I286" s="5" t="s">
        <v>23</v>
      </c>
      <c r="J286" s="5"/>
      <c r="K286" s="5"/>
      <c r="L286" s="5" t="s">
        <v>26</v>
      </c>
      <c r="M286" s="5"/>
      <c r="N286" s="5" t="s">
        <v>28</v>
      </c>
      <c r="O286" s="5"/>
      <c r="P286" s="5"/>
      <c r="Q286" s="5" t="s">
        <v>17</v>
      </c>
      <c r="R286" s="5"/>
      <c r="S286" s="5" t="s">
        <v>19</v>
      </c>
      <c r="T286" s="5"/>
      <c r="U286" s="5"/>
      <c r="V286" s="5"/>
      <c r="W286" s="5" t="s">
        <v>23</v>
      </c>
      <c r="X286" s="5"/>
      <c r="Y286" s="5"/>
      <c r="Z286" s="5"/>
      <c r="AA286" s="5"/>
      <c r="AB286" s="5" t="s">
        <v>28</v>
      </c>
      <c r="AC286" s="5"/>
      <c r="AD286" s="5"/>
      <c r="AE286" s="5" t="s">
        <v>30</v>
      </c>
      <c r="AF286" s="5"/>
      <c r="AG286" s="5"/>
      <c r="AH286" s="5"/>
      <c r="AI286" s="5"/>
      <c r="AJ286" s="5"/>
      <c r="AK286" s="5"/>
      <c r="AL286" s="5"/>
      <c r="AM286" s="5" t="s">
        <v>375</v>
      </c>
      <c r="AN286" s="5"/>
      <c r="AO286" s="5"/>
      <c r="AP286" s="5" t="s">
        <v>39</v>
      </c>
      <c r="AQ286" s="5"/>
      <c r="AR286" s="5"/>
      <c r="AS286" s="5"/>
      <c r="AT286" s="5"/>
      <c r="AU286" s="5" t="s">
        <v>43</v>
      </c>
      <c r="AV286" s="5"/>
      <c r="AW286" s="5"/>
      <c r="AX286" s="5"/>
      <c r="AY286" s="5"/>
      <c r="AZ286" s="5" t="s">
        <v>48</v>
      </c>
      <c r="BA286" s="5"/>
      <c r="BB286" s="5"/>
      <c r="BC286" s="5"/>
      <c r="BD286" s="5"/>
      <c r="BE286" s="5" t="s">
        <v>17</v>
      </c>
      <c r="BF286" s="5"/>
      <c r="BG286" s="5"/>
      <c r="BH286" s="5"/>
      <c r="BI286" s="5" t="s">
        <v>55</v>
      </c>
      <c r="BJ286" s="5"/>
      <c r="BK286" s="5"/>
      <c r="BL286" s="5"/>
      <c r="BM286" s="5" t="s">
        <v>59</v>
      </c>
      <c r="BN286" s="5"/>
      <c r="BO286" s="5"/>
      <c r="BP286" s="5" t="s">
        <v>60</v>
      </c>
      <c r="BQ286" s="5"/>
      <c r="BR286" s="5"/>
      <c r="BS286" s="5"/>
      <c r="BT286" s="5"/>
      <c r="BU286" s="5" t="s">
        <v>64</v>
      </c>
      <c r="BV286" s="5"/>
      <c r="BW286" s="5"/>
      <c r="BX286" s="5" t="s">
        <v>67</v>
      </c>
      <c r="BY286" s="5"/>
      <c r="BZ286" s="5"/>
      <c r="CA286" s="5"/>
      <c r="CB286" s="5"/>
      <c r="CC286" s="5"/>
      <c r="CD286" s="5"/>
      <c r="CE286" s="5"/>
      <c r="CF286" s="5" t="s">
        <v>75</v>
      </c>
      <c r="CG286" s="5"/>
      <c r="CH286" s="5"/>
      <c r="CI286" s="5" t="s">
        <v>414</v>
      </c>
      <c r="CJ286" s="5">
        <v>17</v>
      </c>
      <c r="CK286" s="5" t="s">
        <v>141</v>
      </c>
      <c r="CL286" s="5" t="s">
        <v>171</v>
      </c>
      <c r="CM286" s="103" t="s">
        <v>418</v>
      </c>
      <c r="CN286" s="5" t="s">
        <v>419</v>
      </c>
      <c r="CO286" s="103" t="s">
        <v>82</v>
      </c>
      <c r="CP286" s="5" t="s">
        <v>83</v>
      </c>
      <c r="CQ286" s="5" t="s">
        <v>95</v>
      </c>
      <c r="CR286" s="103" t="s">
        <v>85</v>
      </c>
      <c r="CS286" s="103" t="s">
        <v>86</v>
      </c>
      <c r="CT286" s="5" t="s">
        <v>385</v>
      </c>
      <c r="CU286" s="5" t="s">
        <v>86</v>
      </c>
      <c r="CV286" s="5"/>
      <c r="CW286" s="5"/>
      <c r="CX286" s="5"/>
      <c r="CY286" s="5"/>
      <c r="CZ286" s="5"/>
      <c r="DA286" s="5"/>
    </row>
    <row r="287" spans="1:105">
      <c r="A287" s="5">
        <v>18016765374</v>
      </c>
      <c r="B287" s="5"/>
      <c r="C287" s="5" t="s">
        <v>17</v>
      </c>
      <c r="D287" s="5"/>
      <c r="E287" s="5"/>
      <c r="F287" s="5"/>
      <c r="G287" s="5"/>
      <c r="H287" s="5"/>
      <c r="I287" s="5"/>
      <c r="J287" s="5"/>
      <c r="K287" s="5" t="s">
        <v>25</v>
      </c>
      <c r="L287" s="5" t="s">
        <v>26</v>
      </c>
      <c r="M287" s="5"/>
      <c r="N287" s="5"/>
      <c r="O287" s="5"/>
      <c r="P287" s="5"/>
      <c r="Q287" s="5"/>
      <c r="R287" s="5"/>
      <c r="S287" s="5"/>
      <c r="T287" s="5"/>
      <c r="U287" s="5"/>
      <c r="V287" s="5"/>
      <c r="W287" s="5"/>
      <c r="X287" s="5"/>
      <c r="Y287" s="5" t="s">
        <v>25</v>
      </c>
      <c r="Z287" s="5"/>
      <c r="AA287" s="5"/>
      <c r="AB287" s="5"/>
      <c r="AC287" s="5"/>
      <c r="AD287" s="5"/>
      <c r="AE287" s="5" t="s">
        <v>30</v>
      </c>
      <c r="AF287" s="5"/>
      <c r="AG287" s="5"/>
      <c r="AH287" s="5"/>
      <c r="AI287" s="5"/>
      <c r="AJ287" s="5"/>
      <c r="AK287" s="5"/>
      <c r="AL287" s="5"/>
      <c r="AM287" s="5"/>
      <c r="AN287" s="5"/>
      <c r="AO287" s="5" t="s">
        <v>38</v>
      </c>
      <c r="AP287" s="5" t="s">
        <v>39</v>
      </c>
      <c r="AQ287" s="5"/>
      <c r="AR287" s="5"/>
      <c r="AS287" s="5"/>
      <c r="AT287" s="5"/>
      <c r="AU287" s="5" t="s">
        <v>43</v>
      </c>
      <c r="AV287" s="5"/>
      <c r="AW287" s="5"/>
      <c r="AX287" s="5"/>
      <c r="AY287" s="5"/>
      <c r="AZ287" s="5"/>
      <c r="BA287" s="5"/>
      <c r="BB287" s="5"/>
      <c r="BC287" s="5"/>
      <c r="BD287" s="5" t="s">
        <v>51</v>
      </c>
      <c r="BE287" s="5" t="s">
        <v>17</v>
      </c>
      <c r="BF287" s="5"/>
      <c r="BG287" s="5"/>
      <c r="BH287" s="5" t="s">
        <v>54</v>
      </c>
      <c r="BI287" s="5"/>
      <c r="BJ287" s="5"/>
      <c r="BK287" s="5"/>
      <c r="BL287" s="5"/>
      <c r="BM287" s="5"/>
      <c r="BN287" s="5"/>
      <c r="BO287" s="5"/>
      <c r="BP287" s="5"/>
      <c r="BQ287" s="5"/>
      <c r="BR287" s="5"/>
      <c r="BS287" s="5"/>
      <c r="BT287" s="5"/>
      <c r="BU287" s="5" t="s">
        <v>64</v>
      </c>
      <c r="BV287" s="5"/>
      <c r="BW287" s="5"/>
      <c r="BX287" s="5" t="s">
        <v>67</v>
      </c>
      <c r="BY287" s="5"/>
      <c r="BZ287" s="5"/>
      <c r="CA287" s="5"/>
      <c r="CB287" s="5"/>
      <c r="CC287" s="5"/>
      <c r="CD287" s="5"/>
      <c r="CE287" s="5"/>
      <c r="CF287" s="5"/>
      <c r="CG287" s="5"/>
      <c r="CH287" s="5"/>
      <c r="CI287" s="5" t="s">
        <v>414</v>
      </c>
      <c r="CJ287" s="5">
        <v>16</v>
      </c>
      <c r="CK287" s="5" t="s">
        <v>141</v>
      </c>
      <c r="CL287" s="5" t="s">
        <v>173</v>
      </c>
      <c r="CM287" s="103" t="s">
        <v>418</v>
      </c>
      <c r="CN287" s="5" t="s">
        <v>419</v>
      </c>
      <c r="CO287" s="103" t="s">
        <v>82</v>
      </c>
      <c r="CP287" s="5" t="s">
        <v>83</v>
      </c>
      <c r="CQ287" s="5" t="s">
        <v>103</v>
      </c>
      <c r="CR287" s="103" t="s">
        <v>89</v>
      </c>
      <c r="CS287" s="103" t="s">
        <v>86</v>
      </c>
      <c r="CT287" s="5" t="s">
        <v>384</v>
      </c>
      <c r="CU287" s="5" t="s">
        <v>86</v>
      </c>
      <c r="CV287" s="5"/>
      <c r="CW287" s="5"/>
      <c r="CX287" s="5"/>
      <c r="CY287" s="5"/>
      <c r="CZ287" s="5"/>
      <c r="DA287" s="5"/>
    </row>
    <row r="288" spans="1:105">
      <c r="A288" s="5">
        <v>18016764813</v>
      </c>
      <c r="B288" s="5"/>
      <c r="C288" s="5" t="s">
        <v>17</v>
      </c>
      <c r="D288" s="5"/>
      <c r="E288" s="5"/>
      <c r="F288" s="5"/>
      <c r="G288" s="5" t="s">
        <v>21</v>
      </c>
      <c r="H288" s="5"/>
      <c r="I288" s="5"/>
      <c r="J288" s="5" t="s">
        <v>24</v>
      </c>
      <c r="K288" s="5" t="s">
        <v>25</v>
      </c>
      <c r="L288" s="5"/>
      <c r="M288" s="5"/>
      <c r="N288" s="5"/>
      <c r="O288" s="5"/>
      <c r="P288" s="5"/>
      <c r="Q288" s="5"/>
      <c r="R288" s="5"/>
      <c r="S288" s="5"/>
      <c r="T288" s="5"/>
      <c r="U288" s="5"/>
      <c r="V288" s="5"/>
      <c r="W288" s="5"/>
      <c r="X288" s="5"/>
      <c r="Y288" s="5" t="s">
        <v>25</v>
      </c>
      <c r="Z288" s="5"/>
      <c r="AA288" s="5"/>
      <c r="AB288" s="5"/>
      <c r="AC288" s="5"/>
      <c r="AD288" s="5"/>
      <c r="AE288" s="5" t="s">
        <v>30</v>
      </c>
      <c r="AF288" s="5"/>
      <c r="AG288" s="5"/>
      <c r="AH288" s="5"/>
      <c r="AI288" s="5"/>
      <c r="AJ288" s="5"/>
      <c r="AK288" s="5"/>
      <c r="AL288" s="5"/>
      <c r="AM288" s="5"/>
      <c r="AN288" s="5"/>
      <c r="AO288" s="5" t="s">
        <v>38</v>
      </c>
      <c r="AP288" s="5" t="s">
        <v>39</v>
      </c>
      <c r="AQ288" s="5"/>
      <c r="AR288" s="5"/>
      <c r="AS288" s="5"/>
      <c r="AT288" s="5"/>
      <c r="AU288" s="5" t="s">
        <v>43</v>
      </c>
      <c r="AV288" s="5"/>
      <c r="AW288" s="5"/>
      <c r="AX288" s="5"/>
      <c r="AY288" s="5"/>
      <c r="AZ288" s="5"/>
      <c r="BA288" s="5"/>
      <c r="BB288" s="5"/>
      <c r="BC288" s="5"/>
      <c r="BD288" s="5" t="s">
        <v>51</v>
      </c>
      <c r="BE288" s="5" t="s">
        <v>17</v>
      </c>
      <c r="BF288" s="5"/>
      <c r="BG288" s="5"/>
      <c r="BH288" s="5"/>
      <c r="BI288" s="5"/>
      <c r="BJ288" s="5"/>
      <c r="BK288" s="5"/>
      <c r="BL288" s="5"/>
      <c r="BM288" s="5"/>
      <c r="BN288" s="5" t="s">
        <v>24</v>
      </c>
      <c r="BO288" s="5"/>
      <c r="BP288" s="5"/>
      <c r="BQ288" s="5"/>
      <c r="BR288" s="5"/>
      <c r="BS288" s="5"/>
      <c r="BT288" s="5"/>
      <c r="BU288" s="5" t="s">
        <v>64</v>
      </c>
      <c r="BV288" s="5"/>
      <c r="BW288" s="5"/>
      <c r="BX288" s="5"/>
      <c r="BY288" s="5"/>
      <c r="BZ288" s="5"/>
      <c r="CA288" s="5" t="s">
        <v>70</v>
      </c>
      <c r="CB288" s="5"/>
      <c r="CC288" s="5"/>
      <c r="CD288" s="5"/>
      <c r="CE288" s="5"/>
      <c r="CF288" s="5"/>
      <c r="CG288" s="5"/>
      <c r="CH288" s="5"/>
      <c r="CI288" s="5" t="s">
        <v>414</v>
      </c>
      <c r="CJ288" s="5">
        <v>16</v>
      </c>
      <c r="CK288" s="5" t="s">
        <v>141</v>
      </c>
      <c r="CL288" s="5" t="s">
        <v>173</v>
      </c>
      <c r="CM288" s="103" t="s">
        <v>418</v>
      </c>
      <c r="CN288" s="5" t="s">
        <v>419</v>
      </c>
      <c r="CO288" s="103" t="s">
        <v>82</v>
      </c>
      <c r="CP288" s="5" t="s">
        <v>83</v>
      </c>
      <c r="CQ288" s="5" t="s">
        <v>84</v>
      </c>
      <c r="CR288" s="103" t="s">
        <v>89</v>
      </c>
      <c r="CS288" s="103" t="s">
        <v>86</v>
      </c>
      <c r="CT288" s="5" t="s">
        <v>384</v>
      </c>
      <c r="CU288" s="5" t="s">
        <v>86</v>
      </c>
      <c r="CV288" s="5"/>
      <c r="CW288" s="5"/>
      <c r="CX288" s="5"/>
      <c r="CY288" s="5"/>
      <c r="CZ288" s="5"/>
      <c r="DA288" s="5"/>
    </row>
    <row r="289" spans="1:105">
      <c r="A289" s="5">
        <v>18016645165</v>
      </c>
      <c r="B289" s="5"/>
      <c r="C289" s="5"/>
      <c r="D289" s="5"/>
      <c r="E289" s="5" t="s">
        <v>19</v>
      </c>
      <c r="F289" s="5"/>
      <c r="G289" s="5" t="s">
        <v>21</v>
      </c>
      <c r="H289" s="5"/>
      <c r="I289" s="5"/>
      <c r="J289" s="5"/>
      <c r="K289" s="5"/>
      <c r="L289" s="5"/>
      <c r="M289" s="5"/>
      <c r="N289" s="5" t="s">
        <v>28</v>
      </c>
      <c r="O289" s="5"/>
      <c r="P289" s="5"/>
      <c r="Q289" s="5"/>
      <c r="R289" s="5"/>
      <c r="S289" s="5"/>
      <c r="T289" s="5"/>
      <c r="U289" s="5" t="s">
        <v>21</v>
      </c>
      <c r="V289" s="5"/>
      <c r="W289" s="5"/>
      <c r="X289" s="5"/>
      <c r="Y289" s="5"/>
      <c r="Z289" s="5"/>
      <c r="AA289" s="5"/>
      <c r="AB289" s="5"/>
      <c r="AC289" s="5"/>
      <c r="AD289" s="5"/>
      <c r="AE289" s="5"/>
      <c r="AF289" s="5"/>
      <c r="AG289" s="5"/>
      <c r="AH289" s="5"/>
      <c r="AI289" s="5" t="s">
        <v>34</v>
      </c>
      <c r="AJ289" s="5"/>
      <c r="AK289" s="5"/>
      <c r="AL289" s="5"/>
      <c r="AM289" s="5"/>
      <c r="AN289" s="5"/>
      <c r="AO289" s="5" t="s">
        <v>38</v>
      </c>
      <c r="AP289" s="5"/>
      <c r="AQ289" s="5"/>
      <c r="AR289" s="5"/>
      <c r="AS289" s="5"/>
      <c r="AT289" s="5"/>
      <c r="AU289" s="5" t="s">
        <v>43</v>
      </c>
      <c r="AV289" s="5"/>
      <c r="AW289" s="5"/>
      <c r="AX289" s="5" t="s">
        <v>46</v>
      </c>
      <c r="AY289" s="5"/>
      <c r="AZ289" s="5"/>
      <c r="BA289" s="5"/>
      <c r="BB289" s="5"/>
      <c r="BC289" s="5"/>
      <c r="BD289" s="5"/>
      <c r="BE289" s="5" t="s">
        <v>17</v>
      </c>
      <c r="BF289" s="5"/>
      <c r="BG289" s="5"/>
      <c r="BH289" s="5"/>
      <c r="BI289" s="5" t="s">
        <v>55</v>
      </c>
      <c r="BJ289" s="5"/>
      <c r="BK289" s="5"/>
      <c r="BL289" s="5"/>
      <c r="BM289" s="5"/>
      <c r="BN289" s="5"/>
      <c r="BO289" s="5"/>
      <c r="BP289" s="5" t="s">
        <v>60</v>
      </c>
      <c r="BQ289" s="5"/>
      <c r="BR289" s="5"/>
      <c r="BS289" s="5"/>
      <c r="BT289" s="5"/>
      <c r="BU289" s="5" t="s">
        <v>64</v>
      </c>
      <c r="BV289" s="5"/>
      <c r="BW289" s="5"/>
      <c r="BX289" s="5"/>
      <c r="BY289" s="5"/>
      <c r="BZ289" s="5"/>
      <c r="CA289" s="5"/>
      <c r="CB289" s="5"/>
      <c r="CC289" s="5"/>
      <c r="CD289" s="5"/>
      <c r="CE289" s="5"/>
      <c r="CF289" s="5"/>
      <c r="CG289" s="5"/>
      <c r="CH289" s="5"/>
      <c r="CI289" s="5" t="s">
        <v>417</v>
      </c>
      <c r="CJ289" s="5">
        <v>35</v>
      </c>
      <c r="CK289" s="5" t="s">
        <v>356</v>
      </c>
      <c r="CL289" s="5">
        <v>11375</v>
      </c>
      <c r="CM289" s="103" t="s">
        <v>436</v>
      </c>
      <c r="CN289" s="5" t="s">
        <v>419</v>
      </c>
      <c r="CO289" s="103" t="s">
        <v>438</v>
      </c>
      <c r="CP289" s="5" t="s">
        <v>83</v>
      </c>
      <c r="CQ289" s="5" t="s">
        <v>111</v>
      </c>
      <c r="CR289" s="103" t="s">
        <v>85</v>
      </c>
      <c r="CS289" s="103" t="s">
        <v>86</v>
      </c>
      <c r="CT289" s="5" t="s">
        <v>384</v>
      </c>
      <c r="CU289" s="5" t="s">
        <v>86</v>
      </c>
      <c r="CV289" s="5"/>
      <c r="CW289" s="5"/>
      <c r="CX289" s="5"/>
      <c r="CY289" s="5"/>
      <c r="CZ289" s="5"/>
      <c r="DA289" s="5"/>
    </row>
    <row r="290" spans="1:105">
      <c r="A290" s="5">
        <v>18016455302</v>
      </c>
      <c r="B290" s="5"/>
      <c r="C290" s="5"/>
      <c r="D290" s="5"/>
      <c r="E290" s="5"/>
      <c r="F290" s="5"/>
      <c r="G290" s="5"/>
      <c r="H290" s="5"/>
      <c r="I290" s="5"/>
      <c r="J290" s="5"/>
      <c r="K290" s="5"/>
      <c r="L290" s="5" t="s">
        <v>26</v>
      </c>
      <c r="M290" s="5"/>
      <c r="N290" s="5" t="s">
        <v>28</v>
      </c>
      <c r="O290" s="5"/>
      <c r="P290" s="5"/>
      <c r="Q290" s="5" t="s">
        <v>17</v>
      </c>
      <c r="R290" s="5"/>
      <c r="S290" s="5" t="s">
        <v>19</v>
      </c>
      <c r="T290" s="5"/>
      <c r="U290" s="5"/>
      <c r="V290" s="5"/>
      <c r="W290" s="5"/>
      <c r="X290" s="5"/>
      <c r="Y290" s="5" t="s">
        <v>25</v>
      </c>
      <c r="Z290" s="5"/>
      <c r="AA290" s="5"/>
      <c r="AB290" s="5"/>
      <c r="AC290" s="5"/>
      <c r="AD290" s="5"/>
      <c r="AE290" s="5"/>
      <c r="AF290" s="5"/>
      <c r="AG290" s="5"/>
      <c r="AH290" s="5"/>
      <c r="AI290" s="5" t="s">
        <v>34</v>
      </c>
      <c r="AJ290" s="5"/>
      <c r="AK290" s="5"/>
      <c r="AL290" s="5"/>
      <c r="AM290" s="5"/>
      <c r="AN290" s="5"/>
      <c r="AO290" s="5"/>
      <c r="AP290" s="5"/>
      <c r="AQ290" s="5"/>
      <c r="AR290" s="5"/>
      <c r="AS290" s="5"/>
      <c r="AT290" s="5"/>
      <c r="AU290" s="5"/>
      <c r="AV290" s="5"/>
      <c r="AW290" s="5"/>
      <c r="AX290" s="5" t="s">
        <v>46</v>
      </c>
      <c r="AY290" s="5" t="s">
        <v>47</v>
      </c>
      <c r="AZ290" s="5"/>
      <c r="BA290" s="5"/>
      <c r="BB290" s="5"/>
      <c r="BC290" s="5"/>
      <c r="BD290" s="5"/>
      <c r="BE290" s="5"/>
      <c r="BF290" s="5"/>
      <c r="BG290" s="5" t="s">
        <v>53</v>
      </c>
      <c r="BH290" s="5"/>
      <c r="BI290" s="5" t="s">
        <v>55</v>
      </c>
      <c r="BJ290" s="5"/>
      <c r="BK290" s="5"/>
      <c r="BL290" s="5"/>
      <c r="BM290" s="5"/>
      <c r="BN290" s="5"/>
      <c r="BO290" s="5"/>
      <c r="BP290" s="5" t="s">
        <v>60</v>
      </c>
      <c r="BQ290" s="5"/>
      <c r="BR290" s="5"/>
      <c r="BS290" s="5"/>
      <c r="BT290" s="5"/>
      <c r="BU290" s="5" t="s">
        <v>64</v>
      </c>
      <c r="BV290" s="5"/>
      <c r="BW290" s="5" t="s">
        <v>66</v>
      </c>
      <c r="BX290" s="5" t="s">
        <v>67</v>
      </c>
      <c r="BY290" s="5"/>
      <c r="BZ290" s="5"/>
      <c r="CA290" s="5"/>
      <c r="CB290" s="5"/>
      <c r="CC290" s="5"/>
      <c r="CD290" s="5"/>
      <c r="CE290" s="5"/>
      <c r="CF290" s="5" t="s">
        <v>75</v>
      </c>
      <c r="CG290" s="5"/>
      <c r="CH290" s="5"/>
      <c r="CI290" s="5" t="s">
        <v>414</v>
      </c>
      <c r="CJ290" s="5">
        <v>21</v>
      </c>
      <c r="CK290" s="5" t="s">
        <v>141</v>
      </c>
      <c r="CL290" s="5" t="s">
        <v>148</v>
      </c>
      <c r="CM290" s="103" t="s">
        <v>418</v>
      </c>
      <c r="CN290" s="5" t="s">
        <v>416</v>
      </c>
      <c r="CO290" s="103" t="s">
        <v>101</v>
      </c>
      <c r="CP290" s="5" t="s">
        <v>94</v>
      </c>
      <c r="CQ290" s="5" t="s">
        <v>88</v>
      </c>
      <c r="CR290" s="103" t="s">
        <v>89</v>
      </c>
      <c r="CS290" s="103" t="s">
        <v>86</v>
      </c>
      <c r="CT290" s="5" t="s">
        <v>385</v>
      </c>
      <c r="CU290" s="5" t="s">
        <v>86</v>
      </c>
      <c r="CV290" s="5"/>
      <c r="CW290" s="5"/>
      <c r="CX290" s="5"/>
      <c r="CY290" s="5"/>
      <c r="CZ290" s="5"/>
      <c r="DA290" s="5"/>
    </row>
    <row r="291" spans="1:105">
      <c r="A291" s="5">
        <v>18016436237</v>
      </c>
      <c r="B291" s="5" t="s">
        <v>16</v>
      </c>
      <c r="C291" s="5" t="s">
        <v>17</v>
      </c>
      <c r="D291" s="5"/>
      <c r="E291" s="5"/>
      <c r="F291" s="5"/>
      <c r="G291" s="5"/>
      <c r="H291" s="5" t="s">
        <v>22</v>
      </c>
      <c r="I291" s="5"/>
      <c r="J291" s="5" t="s">
        <v>24</v>
      </c>
      <c r="K291" s="5"/>
      <c r="L291" s="5"/>
      <c r="M291" s="5"/>
      <c r="N291" s="5"/>
      <c r="O291" s="5"/>
      <c r="P291" s="5"/>
      <c r="Q291" s="5" t="s">
        <v>17</v>
      </c>
      <c r="R291" s="5"/>
      <c r="S291" s="5"/>
      <c r="T291" s="5"/>
      <c r="U291" s="5"/>
      <c r="V291" s="5" t="s">
        <v>22</v>
      </c>
      <c r="W291" s="5" t="s">
        <v>23</v>
      </c>
      <c r="X291" s="5"/>
      <c r="Y291" s="5"/>
      <c r="Z291" s="5" t="s">
        <v>26</v>
      </c>
      <c r="AA291" s="5"/>
      <c r="AB291" s="5"/>
      <c r="AC291" s="5"/>
      <c r="AD291" s="5"/>
      <c r="AE291" s="5"/>
      <c r="AF291" s="5"/>
      <c r="AG291" s="5" t="s">
        <v>32</v>
      </c>
      <c r="AH291" s="5"/>
      <c r="AI291" s="5"/>
      <c r="AJ291" s="5"/>
      <c r="AK291" s="5"/>
      <c r="AL291" s="5" t="s">
        <v>37</v>
      </c>
      <c r="AM291" s="5" t="s">
        <v>375</v>
      </c>
      <c r="AN291" s="5"/>
      <c r="AO291" s="5"/>
      <c r="AP291" s="5"/>
      <c r="AQ291" s="5"/>
      <c r="AR291" s="5"/>
      <c r="AS291" s="5"/>
      <c r="AT291" s="5"/>
      <c r="AU291" s="5" t="s">
        <v>43</v>
      </c>
      <c r="AV291" s="5"/>
      <c r="AW291" s="5"/>
      <c r="AX291" s="5" t="s">
        <v>46</v>
      </c>
      <c r="AY291" s="5"/>
      <c r="AZ291" s="5"/>
      <c r="BA291" s="5"/>
      <c r="BB291" s="5"/>
      <c r="BC291" s="5"/>
      <c r="BD291" s="5"/>
      <c r="BE291" s="5" t="s">
        <v>17</v>
      </c>
      <c r="BF291" s="5"/>
      <c r="BG291" s="5"/>
      <c r="BH291" s="5" t="s">
        <v>54</v>
      </c>
      <c r="BI291" s="5"/>
      <c r="BJ291" s="5"/>
      <c r="BK291" s="5" t="s">
        <v>57</v>
      </c>
      <c r="BL291" s="5"/>
      <c r="BM291" s="5"/>
      <c r="BN291" s="5" t="s">
        <v>24</v>
      </c>
      <c r="BO291" s="5"/>
      <c r="BP291" s="5"/>
      <c r="BQ291" s="5"/>
      <c r="BR291" s="5"/>
      <c r="BS291" s="5"/>
      <c r="BT291" s="5"/>
      <c r="BU291" s="5" t="s">
        <v>64</v>
      </c>
      <c r="BV291" s="5"/>
      <c r="BW291" s="5"/>
      <c r="BX291" s="5"/>
      <c r="BY291" s="5"/>
      <c r="BZ291" s="5"/>
      <c r="CA291" s="5"/>
      <c r="CB291" s="5"/>
      <c r="CC291" s="5"/>
      <c r="CD291" s="5"/>
      <c r="CE291" s="5"/>
      <c r="CF291" s="5" t="s">
        <v>75</v>
      </c>
      <c r="CG291" s="5"/>
      <c r="CH291" s="5"/>
      <c r="CI291" s="5" t="s">
        <v>414</v>
      </c>
      <c r="CJ291" s="5">
        <v>18</v>
      </c>
      <c r="CK291" s="5" t="s">
        <v>356</v>
      </c>
      <c r="CL291" s="5">
        <v>11428</v>
      </c>
      <c r="CM291" s="103" t="s">
        <v>418</v>
      </c>
      <c r="CN291" s="5" t="s">
        <v>419</v>
      </c>
      <c r="CO291" s="103" t="s">
        <v>82</v>
      </c>
      <c r="CP291" s="5" t="s">
        <v>87</v>
      </c>
      <c r="CQ291" s="5" t="s">
        <v>88</v>
      </c>
      <c r="CR291" s="103" t="s">
        <v>346</v>
      </c>
      <c r="CS291" s="103" t="s">
        <v>108</v>
      </c>
      <c r="CT291" s="5" t="s">
        <v>385</v>
      </c>
      <c r="CU291" s="5" t="s">
        <v>81</v>
      </c>
      <c r="CV291" s="5"/>
      <c r="CW291" s="5"/>
      <c r="CX291" s="5"/>
      <c r="CY291" s="5"/>
      <c r="CZ291" s="5"/>
      <c r="DA291" s="5"/>
    </row>
    <row r="292" spans="1:105">
      <c r="A292" s="5">
        <v>18016056284</v>
      </c>
      <c r="B292" s="5"/>
      <c r="C292" s="5"/>
      <c r="D292" s="5"/>
      <c r="E292" s="5" t="s">
        <v>19</v>
      </c>
      <c r="F292" s="5"/>
      <c r="G292" s="5"/>
      <c r="H292" s="5"/>
      <c r="I292" s="5"/>
      <c r="J292" s="5"/>
      <c r="K292" s="5" t="s">
        <v>25</v>
      </c>
      <c r="L292" s="5" t="s">
        <v>26</v>
      </c>
      <c r="M292" s="5"/>
      <c r="N292" s="5"/>
      <c r="O292" s="5"/>
      <c r="P292" s="5" t="s">
        <v>16</v>
      </c>
      <c r="Q292" s="5"/>
      <c r="R292" s="5"/>
      <c r="S292" s="5" t="s">
        <v>19</v>
      </c>
      <c r="T292" s="5"/>
      <c r="U292" s="5"/>
      <c r="V292" s="5"/>
      <c r="W292" s="5"/>
      <c r="X292" s="5"/>
      <c r="Y292" s="5"/>
      <c r="Z292" s="5"/>
      <c r="AA292" s="5" t="s">
        <v>27</v>
      </c>
      <c r="AB292" s="5"/>
      <c r="AC292" s="5"/>
      <c r="AD292" s="5"/>
      <c r="AE292" s="5"/>
      <c r="AF292" s="5"/>
      <c r="AG292" s="5"/>
      <c r="AH292" s="5"/>
      <c r="AI292" s="5" t="s">
        <v>34</v>
      </c>
      <c r="AJ292" s="5"/>
      <c r="AK292" s="5"/>
      <c r="AL292" s="5"/>
      <c r="AM292" s="5"/>
      <c r="AN292" s="5"/>
      <c r="AO292" s="5"/>
      <c r="AP292" s="5" t="s">
        <v>39</v>
      </c>
      <c r="AQ292" s="5"/>
      <c r="AR292" s="5" t="s">
        <v>41</v>
      </c>
      <c r="AS292" s="5" t="s">
        <v>42</v>
      </c>
      <c r="AT292" s="5"/>
      <c r="AU292" s="5"/>
      <c r="AV292" s="5"/>
      <c r="AW292" s="5"/>
      <c r="AX292" s="5"/>
      <c r="AY292" s="5"/>
      <c r="AZ292" s="5"/>
      <c r="BA292" s="5"/>
      <c r="BB292" s="5"/>
      <c r="BC292" s="5"/>
      <c r="BD292" s="5"/>
      <c r="BE292" s="5"/>
      <c r="BF292" s="5"/>
      <c r="BG292" s="5" t="s">
        <v>53</v>
      </c>
      <c r="BH292" s="5"/>
      <c r="BI292" s="5" t="s">
        <v>55</v>
      </c>
      <c r="BJ292" s="5"/>
      <c r="BK292" s="5"/>
      <c r="BL292" s="5"/>
      <c r="BM292" s="5"/>
      <c r="BN292" s="5"/>
      <c r="BO292" s="5"/>
      <c r="BP292" s="5"/>
      <c r="BQ292" s="5"/>
      <c r="BR292" s="5"/>
      <c r="BS292" s="5" t="s">
        <v>63</v>
      </c>
      <c r="BT292" s="5"/>
      <c r="BU292" s="5" t="s">
        <v>64</v>
      </c>
      <c r="BV292" s="5"/>
      <c r="BW292" s="5" t="s">
        <v>66</v>
      </c>
      <c r="BX292" s="5"/>
      <c r="BY292" s="5"/>
      <c r="BZ292" s="5"/>
      <c r="CA292" s="5"/>
      <c r="CB292" s="5"/>
      <c r="CC292" s="5"/>
      <c r="CD292" s="5"/>
      <c r="CE292" s="5"/>
      <c r="CF292" s="5"/>
      <c r="CG292" s="5" t="s">
        <v>76</v>
      </c>
      <c r="CH292" s="5"/>
      <c r="CI292" s="5" t="s">
        <v>417</v>
      </c>
      <c r="CJ292" s="5">
        <v>21</v>
      </c>
      <c r="CK292" s="5" t="s">
        <v>141</v>
      </c>
      <c r="CL292" s="5" t="s">
        <v>153</v>
      </c>
      <c r="CM292" s="103" t="s">
        <v>415</v>
      </c>
      <c r="CN292" s="5" t="s">
        <v>416</v>
      </c>
      <c r="CO292" s="103" t="s">
        <v>82</v>
      </c>
      <c r="CP292" s="5" t="s">
        <v>93</v>
      </c>
      <c r="CQ292" s="5" t="s">
        <v>88</v>
      </c>
      <c r="CR292" s="103" t="s">
        <v>89</v>
      </c>
      <c r="CS292" s="103" t="s">
        <v>86</v>
      </c>
      <c r="CT292" s="5" t="s">
        <v>385</v>
      </c>
      <c r="CU292" s="5" t="s">
        <v>86</v>
      </c>
      <c r="CV292" s="5"/>
      <c r="CW292" s="5"/>
      <c r="CX292" s="5"/>
      <c r="CY292" s="5"/>
      <c r="CZ292" s="5"/>
      <c r="DA292" s="5"/>
    </row>
    <row r="293" spans="1:105">
      <c r="A293" s="5">
        <v>18016042262</v>
      </c>
      <c r="B293" s="5"/>
      <c r="C293" s="5"/>
      <c r="D293" s="5"/>
      <c r="E293" s="5"/>
      <c r="F293" s="5" t="s">
        <v>20</v>
      </c>
      <c r="G293" s="5"/>
      <c r="H293" s="5"/>
      <c r="I293" s="5"/>
      <c r="J293" s="5"/>
      <c r="K293" s="5"/>
      <c r="L293" s="5"/>
      <c r="M293" s="5"/>
      <c r="N293" s="5"/>
      <c r="O293" s="5"/>
      <c r="P293" s="5"/>
      <c r="Q293" s="5"/>
      <c r="R293" s="5"/>
      <c r="S293" s="5"/>
      <c r="T293" s="5"/>
      <c r="U293" s="5"/>
      <c r="V293" s="5"/>
      <c r="W293" s="5"/>
      <c r="X293" s="5"/>
      <c r="Y293" s="5"/>
      <c r="Z293" s="5"/>
      <c r="AA293" s="5"/>
      <c r="AB293" s="5" t="s">
        <v>28</v>
      </c>
      <c r="AC293" s="5"/>
      <c r="AD293" s="5"/>
      <c r="AE293" s="5"/>
      <c r="AF293" s="5"/>
      <c r="AG293" s="5"/>
      <c r="AH293" s="5"/>
      <c r="AI293" s="5"/>
      <c r="AJ293" s="5"/>
      <c r="AK293" s="5" t="s">
        <v>36</v>
      </c>
      <c r="AL293" s="5"/>
      <c r="AM293" s="5"/>
      <c r="AN293" s="5"/>
      <c r="AO293" s="5"/>
      <c r="AP293" s="5"/>
      <c r="AQ293" s="5"/>
      <c r="AR293" s="5"/>
      <c r="AS293" s="5" t="s">
        <v>42</v>
      </c>
      <c r="AT293" s="5"/>
      <c r="AU293" s="5"/>
      <c r="AV293" s="5"/>
      <c r="AW293" s="5"/>
      <c r="AX293" s="5"/>
      <c r="AY293" s="5"/>
      <c r="AZ293" s="5"/>
      <c r="BA293" s="5"/>
      <c r="BB293" s="5"/>
      <c r="BC293" s="5"/>
      <c r="BD293" s="5"/>
      <c r="BE293" s="5"/>
      <c r="BF293" s="5"/>
      <c r="BG293" s="5"/>
      <c r="BH293" s="5"/>
      <c r="BI293" s="5"/>
      <c r="BJ293" s="5"/>
      <c r="BK293" s="5"/>
      <c r="BL293" s="5"/>
      <c r="BM293" s="5"/>
      <c r="BN293" s="5"/>
      <c r="BO293" s="5" t="s">
        <v>20</v>
      </c>
      <c r="BP293" s="5"/>
      <c r="BQ293" s="5"/>
      <c r="BR293" s="5"/>
      <c r="BS293" s="5"/>
      <c r="BT293" s="5"/>
      <c r="BU293" s="5"/>
      <c r="BV293" s="5"/>
      <c r="BW293" s="5"/>
      <c r="BX293" s="5"/>
      <c r="BY293" s="5"/>
      <c r="BZ293" s="5"/>
      <c r="CA293" s="5"/>
      <c r="CB293" s="5" t="s">
        <v>71</v>
      </c>
      <c r="CC293" s="5"/>
      <c r="CD293" s="5"/>
      <c r="CE293" s="5"/>
      <c r="CF293" s="5"/>
      <c r="CG293" s="5"/>
      <c r="CH293" s="5"/>
      <c r="CI293" s="5"/>
      <c r="CJ293" s="5"/>
      <c r="CK293" s="5"/>
      <c r="CL293" s="5"/>
      <c r="CN293" s="5"/>
      <c r="CP293" s="5"/>
      <c r="CQ293" s="5"/>
      <c r="CT293" s="5"/>
      <c r="CU293" s="5"/>
      <c r="CV293" s="5"/>
      <c r="CW293" s="5"/>
      <c r="CX293" s="5"/>
      <c r="CY293" s="5"/>
      <c r="CZ293" s="5"/>
      <c r="DA293" s="5"/>
    </row>
    <row r="294" spans="1:105">
      <c r="A294" s="5">
        <v>18016041834</v>
      </c>
      <c r="B294" s="5"/>
      <c r="C294" s="5"/>
      <c r="D294" s="5"/>
      <c r="E294" s="5"/>
      <c r="F294" s="5"/>
      <c r="G294" s="5" t="s">
        <v>21</v>
      </c>
      <c r="H294" s="5"/>
      <c r="I294" s="5"/>
      <c r="J294" s="5"/>
      <c r="K294" s="5" t="s">
        <v>25</v>
      </c>
      <c r="L294" s="5"/>
      <c r="M294" s="5"/>
      <c r="N294" s="5"/>
      <c r="O294" s="5"/>
      <c r="P294" s="5"/>
      <c r="Q294" s="5"/>
      <c r="R294" s="5"/>
      <c r="S294" s="5"/>
      <c r="T294" s="5"/>
      <c r="U294" s="5"/>
      <c r="V294" s="5"/>
      <c r="W294" s="5"/>
      <c r="X294" s="5"/>
      <c r="Y294" s="5" t="s">
        <v>25</v>
      </c>
      <c r="Z294" s="5"/>
      <c r="AA294" s="5"/>
      <c r="AB294" s="5" t="s">
        <v>28</v>
      </c>
      <c r="AC294" s="5"/>
      <c r="AD294" s="5"/>
      <c r="AE294" s="5"/>
      <c r="AF294" s="5"/>
      <c r="AG294" s="5"/>
      <c r="AH294" s="5"/>
      <c r="AI294" s="5" t="s">
        <v>34</v>
      </c>
      <c r="AJ294" s="5"/>
      <c r="AK294" s="5"/>
      <c r="AL294" s="5"/>
      <c r="AM294" s="5"/>
      <c r="AN294" s="5"/>
      <c r="AO294" s="5"/>
      <c r="AP294" s="5" t="s">
        <v>39</v>
      </c>
      <c r="AQ294" s="5"/>
      <c r="AR294" s="5"/>
      <c r="AS294" s="5"/>
      <c r="AT294" s="5"/>
      <c r="AU294" s="5" t="s">
        <v>43</v>
      </c>
      <c r="AV294" s="5"/>
      <c r="AW294" s="5"/>
      <c r="AX294" s="5" t="s">
        <v>46</v>
      </c>
      <c r="AY294" s="5"/>
      <c r="AZ294" s="5"/>
      <c r="BA294" s="5"/>
      <c r="BB294" s="5"/>
      <c r="BC294" s="5"/>
      <c r="BD294" s="5"/>
      <c r="BE294" s="5"/>
      <c r="BF294" s="5"/>
      <c r="BG294" s="5"/>
      <c r="BH294" s="5"/>
      <c r="BI294" s="5" t="s">
        <v>55</v>
      </c>
      <c r="BJ294" s="5"/>
      <c r="BK294" s="5"/>
      <c r="BL294" s="5"/>
      <c r="BM294" s="5"/>
      <c r="BN294" s="5"/>
      <c r="BO294" s="5"/>
      <c r="BP294" s="5" t="s">
        <v>60</v>
      </c>
      <c r="BQ294" s="5" t="s">
        <v>61</v>
      </c>
      <c r="BR294" s="5"/>
      <c r="BS294" s="5"/>
      <c r="BT294" s="5"/>
      <c r="BU294" s="5" t="s">
        <v>64</v>
      </c>
      <c r="BV294" s="5"/>
      <c r="BW294" s="5"/>
      <c r="BX294" s="5"/>
      <c r="BY294" s="5"/>
      <c r="BZ294" s="5"/>
      <c r="CA294" s="5"/>
      <c r="CB294" s="5"/>
      <c r="CC294" s="5"/>
      <c r="CD294" s="5" t="s">
        <v>73</v>
      </c>
      <c r="CE294" s="5"/>
      <c r="CF294" s="5"/>
      <c r="CG294" s="5"/>
      <c r="CH294" s="5"/>
      <c r="CI294" s="5" t="s">
        <v>414</v>
      </c>
      <c r="CJ294" s="5">
        <v>20</v>
      </c>
      <c r="CK294" s="5" t="s">
        <v>141</v>
      </c>
      <c r="CL294" s="5" t="s">
        <v>158</v>
      </c>
      <c r="CM294" s="103" t="s">
        <v>418</v>
      </c>
      <c r="CN294" s="5" t="s">
        <v>416</v>
      </c>
      <c r="CO294" s="103" t="s">
        <v>427</v>
      </c>
      <c r="CP294" s="5" t="s">
        <v>94</v>
      </c>
      <c r="CQ294" s="5" t="s">
        <v>88</v>
      </c>
      <c r="CR294" s="103" t="s">
        <v>85</v>
      </c>
      <c r="CS294" s="103" t="s">
        <v>86</v>
      </c>
      <c r="CT294" s="5" t="s">
        <v>384</v>
      </c>
      <c r="CU294" s="5" t="s">
        <v>86</v>
      </c>
      <c r="CV294" s="5"/>
      <c r="CW294" s="5"/>
      <c r="CX294" s="5"/>
      <c r="CY294" s="5"/>
      <c r="CZ294" s="5"/>
      <c r="DA294" s="5"/>
    </row>
    <row r="295" spans="1:105">
      <c r="A295" s="5">
        <v>18016041235</v>
      </c>
      <c r="B295" s="5"/>
      <c r="C295" s="5"/>
      <c r="D295" s="5"/>
      <c r="E295" s="5"/>
      <c r="F295" s="5"/>
      <c r="G295" s="5"/>
      <c r="H295" s="5"/>
      <c r="I295" s="5"/>
      <c r="J295" s="5"/>
      <c r="K295" s="5" t="s">
        <v>25</v>
      </c>
      <c r="L295" s="5" t="s">
        <v>26</v>
      </c>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t="s">
        <v>381</v>
      </c>
      <c r="CN295" s="5"/>
      <c r="CP295" s="5"/>
      <c r="CQ295" s="5"/>
      <c r="CT295" s="5"/>
      <c r="CU295" s="5"/>
      <c r="CV295" s="5"/>
      <c r="CW295" s="5"/>
      <c r="CX295" s="5"/>
      <c r="CY295" s="5"/>
      <c r="CZ295" s="5"/>
      <c r="DA295" s="5"/>
    </row>
    <row r="296" spans="1:105">
      <c r="A296" s="5">
        <v>18016030783</v>
      </c>
      <c r="B296" s="5"/>
      <c r="C296" s="5"/>
      <c r="D296" s="5"/>
      <c r="E296" s="5"/>
      <c r="F296" s="5"/>
      <c r="G296" s="5"/>
      <c r="H296" s="5"/>
      <c r="I296" s="5" t="s">
        <v>23</v>
      </c>
      <c r="J296" s="5"/>
      <c r="K296" s="5" t="s">
        <v>25</v>
      </c>
      <c r="L296" s="5"/>
      <c r="M296" s="5"/>
      <c r="N296" s="5" t="s">
        <v>28</v>
      </c>
      <c r="O296" s="5"/>
      <c r="P296" s="5"/>
      <c r="Q296" s="5"/>
      <c r="R296" s="5"/>
      <c r="S296" s="5"/>
      <c r="T296" s="5"/>
      <c r="U296" s="5"/>
      <c r="V296" s="5"/>
      <c r="W296" s="5" t="s">
        <v>23</v>
      </c>
      <c r="X296" s="5"/>
      <c r="Y296" s="5" t="s">
        <v>25</v>
      </c>
      <c r="Z296" s="5" t="s">
        <v>26</v>
      </c>
      <c r="AA296" s="5"/>
      <c r="AB296" s="5"/>
      <c r="AC296" s="5"/>
      <c r="AD296" s="5"/>
      <c r="AE296" s="5"/>
      <c r="AF296" s="5" t="s">
        <v>31</v>
      </c>
      <c r="AG296" s="5"/>
      <c r="AH296" s="5"/>
      <c r="AI296" s="5"/>
      <c r="AJ296" s="5" t="s">
        <v>35</v>
      </c>
      <c r="AK296" s="5" t="s">
        <v>36</v>
      </c>
      <c r="AL296" s="5"/>
      <c r="AM296" s="5"/>
      <c r="AN296" s="5"/>
      <c r="AO296" s="5"/>
      <c r="AP296" s="5" t="s">
        <v>39</v>
      </c>
      <c r="AQ296" s="5" t="s">
        <v>40</v>
      </c>
      <c r="AR296" s="5"/>
      <c r="AS296" s="5"/>
      <c r="AT296" s="5"/>
      <c r="AU296" s="5"/>
      <c r="AV296" s="5"/>
      <c r="AW296" s="5"/>
      <c r="AX296" s="5"/>
      <c r="AY296" s="5"/>
      <c r="AZ296" s="5" t="s">
        <v>48</v>
      </c>
      <c r="BA296" s="5"/>
      <c r="BB296" s="5"/>
      <c r="BC296" s="5" t="s">
        <v>50</v>
      </c>
      <c r="BD296" s="5"/>
      <c r="BE296" s="5"/>
      <c r="BF296" s="5"/>
      <c r="BG296" s="5"/>
      <c r="BH296" s="5"/>
      <c r="BI296" s="5"/>
      <c r="BJ296" s="5"/>
      <c r="BK296" s="5"/>
      <c r="BL296" s="5"/>
      <c r="BM296" s="5"/>
      <c r="BN296" s="5" t="s">
        <v>24</v>
      </c>
      <c r="BO296" s="5"/>
      <c r="BP296" s="5" t="s">
        <v>60</v>
      </c>
      <c r="BQ296" s="5" t="s">
        <v>61</v>
      </c>
      <c r="BR296" s="5"/>
      <c r="BS296" s="5" t="s">
        <v>63</v>
      </c>
      <c r="BT296" s="5"/>
      <c r="BU296" s="5"/>
      <c r="BV296" s="5"/>
      <c r="BW296" s="5" t="s">
        <v>66</v>
      </c>
      <c r="BX296" s="5"/>
      <c r="BY296" s="5"/>
      <c r="BZ296" s="5" t="s">
        <v>69</v>
      </c>
      <c r="CA296" s="5" t="s">
        <v>70</v>
      </c>
      <c r="CB296" s="5" t="s">
        <v>71</v>
      </c>
      <c r="CC296" s="5" t="s">
        <v>72</v>
      </c>
      <c r="CD296" s="5" t="s">
        <v>73</v>
      </c>
      <c r="CE296" s="5"/>
      <c r="CF296" s="5"/>
      <c r="CG296" s="5"/>
      <c r="CH296" s="5"/>
      <c r="CI296" s="5" t="s">
        <v>417</v>
      </c>
      <c r="CJ296" s="5">
        <v>57</v>
      </c>
      <c r="CK296" s="5" t="s">
        <v>356</v>
      </c>
      <c r="CL296" s="5">
        <v>10001</v>
      </c>
      <c r="CM296" s="103" t="s">
        <v>418</v>
      </c>
      <c r="CN296" s="5" t="s">
        <v>416</v>
      </c>
      <c r="CO296" s="103" t="s">
        <v>424</v>
      </c>
      <c r="CP296" s="5" t="s">
        <v>97</v>
      </c>
      <c r="CQ296" s="5" t="s">
        <v>84</v>
      </c>
      <c r="CR296" s="103" t="s">
        <v>85</v>
      </c>
      <c r="CS296" s="103" t="s">
        <v>86</v>
      </c>
      <c r="CT296" s="5" t="s">
        <v>443</v>
      </c>
      <c r="CU296" s="5" t="s">
        <v>86</v>
      </c>
      <c r="CV296" s="5"/>
      <c r="CW296" s="5"/>
      <c r="CX296" s="5"/>
      <c r="CY296" s="5"/>
      <c r="CZ296" s="5"/>
      <c r="DA296" s="5"/>
    </row>
    <row r="297" spans="1:105">
      <c r="A297" s="5">
        <v>18016029769</v>
      </c>
      <c r="B297" s="5"/>
      <c r="C297" s="5"/>
      <c r="D297" s="5"/>
      <c r="E297" s="5" t="s">
        <v>19</v>
      </c>
      <c r="F297" s="5"/>
      <c r="G297" s="5"/>
      <c r="H297" s="5"/>
      <c r="I297" s="5"/>
      <c r="J297" s="5"/>
      <c r="K297" s="5"/>
      <c r="L297" s="5"/>
      <c r="M297" s="5"/>
      <c r="N297" s="5"/>
      <c r="O297" s="5"/>
      <c r="P297" s="5"/>
      <c r="Q297" s="5"/>
      <c r="R297" s="5"/>
      <c r="S297" s="5"/>
      <c r="T297" s="5"/>
      <c r="U297" s="5"/>
      <c r="V297" s="5"/>
      <c r="W297" s="5"/>
      <c r="X297" s="5"/>
      <c r="Y297" s="5"/>
      <c r="Z297" s="5"/>
      <c r="AA297" s="5" t="s">
        <v>27</v>
      </c>
      <c r="AB297" s="5"/>
      <c r="AC297" s="5"/>
      <c r="AD297" s="5"/>
      <c r="AE297" s="5"/>
      <c r="AF297" s="5"/>
      <c r="AG297" s="5"/>
      <c r="AH297" s="5"/>
      <c r="AI297" s="5" t="s">
        <v>34</v>
      </c>
      <c r="AJ297" s="5"/>
      <c r="AK297" s="5"/>
      <c r="AL297" s="5"/>
      <c r="AM297" s="5"/>
      <c r="AN297" s="5"/>
      <c r="AO297" s="5"/>
      <c r="AP297" s="5" t="s">
        <v>39</v>
      </c>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t="s">
        <v>60</v>
      </c>
      <c r="BQ297" s="5"/>
      <c r="BR297" s="5"/>
      <c r="BS297" s="5"/>
      <c r="BT297" s="5"/>
      <c r="BU297" s="5"/>
      <c r="BV297" s="5"/>
      <c r="BW297" s="5"/>
      <c r="BX297" s="5"/>
      <c r="BY297" s="5"/>
      <c r="BZ297" s="5"/>
      <c r="CA297" s="5"/>
      <c r="CB297" s="5"/>
      <c r="CC297" s="5"/>
      <c r="CD297" s="5" t="s">
        <v>73</v>
      </c>
      <c r="CE297" s="5"/>
      <c r="CF297" s="5"/>
      <c r="CG297" s="5"/>
      <c r="CH297" s="5"/>
      <c r="CI297" s="5" t="s">
        <v>417</v>
      </c>
      <c r="CJ297" s="5">
        <v>25</v>
      </c>
      <c r="CK297" s="5" t="s">
        <v>356</v>
      </c>
      <c r="CL297" s="5">
        <v>10001</v>
      </c>
      <c r="CM297" s="103" t="s">
        <v>418</v>
      </c>
      <c r="CN297" s="5" t="s">
        <v>419</v>
      </c>
      <c r="CO297" s="103" t="s">
        <v>82</v>
      </c>
      <c r="CP297" s="5" t="s">
        <v>97</v>
      </c>
      <c r="CQ297" s="5" t="s">
        <v>104</v>
      </c>
      <c r="CR297" s="103" t="s">
        <v>85</v>
      </c>
      <c r="CS297" s="103" t="s">
        <v>86</v>
      </c>
      <c r="CT297" s="5" t="s">
        <v>387</v>
      </c>
      <c r="CU297" s="5" t="s">
        <v>86</v>
      </c>
      <c r="CV297" s="5"/>
      <c r="CW297" s="5"/>
      <c r="CX297" s="5"/>
      <c r="CY297" s="5"/>
      <c r="CZ297" s="5"/>
      <c r="DA297" s="5"/>
    </row>
    <row r="298" spans="1:105">
      <c r="A298" s="5">
        <v>18016029289</v>
      </c>
      <c r="B298" s="5" t="s">
        <v>16</v>
      </c>
      <c r="C298" s="5" t="s">
        <v>17</v>
      </c>
      <c r="D298" s="5"/>
      <c r="E298" s="5"/>
      <c r="F298" s="5" t="s">
        <v>20</v>
      </c>
      <c r="G298" s="5"/>
      <c r="H298" s="5"/>
      <c r="I298" s="5"/>
      <c r="J298" s="5"/>
      <c r="K298" s="5"/>
      <c r="L298" s="5"/>
      <c r="M298" s="5"/>
      <c r="N298" s="5"/>
      <c r="O298" s="5"/>
      <c r="P298" s="5"/>
      <c r="Q298" s="5" t="s">
        <v>17</v>
      </c>
      <c r="R298" s="5"/>
      <c r="S298" s="5"/>
      <c r="T298" s="5" t="s">
        <v>20</v>
      </c>
      <c r="U298" s="5"/>
      <c r="V298" s="5"/>
      <c r="W298" s="5"/>
      <c r="X298" s="5" t="s">
        <v>24</v>
      </c>
      <c r="Y298" s="5"/>
      <c r="Z298" s="5"/>
      <c r="AA298" s="5"/>
      <c r="AB298" s="5"/>
      <c r="AC298" s="5"/>
      <c r="AD298" s="5" t="s">
        <v>29</v>
      </c>
      <c r="AE298" s="5"/>
      <c r="AF298" s="5"/>
      <c r="AG298" s="5" t="s">
        <v>32</v>
      </c>
      <c r="AH298" s="5"/>
      <c r="AI298" s="5"/>
      <c r="AJ298" s="5" t="s">
        <v>35</v>
      </c>
      <c r="AK298" s="5"/>
      <c r="AL298" s="5"/>
      <c r="AM298" s="5"/>
      <c r="AN298" s="5"/>
      <c r="AO298" s="5" t="s">
        <v>38</v>
      </c>
      <c r="AP298" s="5"/>
      <c r="AQ298" s="5"/>
      <c r="AR298" s="5" t="s">
        <v>41</v>
      </c>
      <c r="AS298" s="5" t="s">
        <v>42</v>
      </c>
      <c r="AT298" s="5"/>
      <c r="AU298" s="5"/>
      <c r="AV298" s="5"/>
      <c r="AW298" s="5"/>
      <c r="AX298" s="5"/>
      <c r="AY298" s="5"/>
      <c r="AZ298" s="5"/>
      <c r="BA298" s="5"/>
      <c r="BB298" s="5"/>
      <c r="BC298" s="5"/>
      <c r="BD298" s="5"/>
      <c r="BE298" s="5"/>
      <c r="BF298" s="5"/>
      <c r="BG298" s="5"/>
      <c r="BH298" s="5" t="s">
        <v>54</v>
      </c>
      <c r="BI298" s="5"/>
      <c r="BJ298" s="5"/>
      <c r="BK298" s="5"/>
      <c r="BL298" s="5"/>
      <c r="BM298" s="5"/>
      <c r="BN298" s="5" t="s">
        <v>24</v>
      </c>
      <c r="BO298" s="5"/>
      <c r="BP298" s="5"/>
      <c r="BQ298" s="5"/>
      <c r="BR298" s="5"/>
      <c r="BS298" s="5" t="s">
        <v>63</v>
      </c>
      <c r="BT298" s="5"/>
      <c r="BU298" s="5"/>
      <c r="BV298" s="5"/>
      <c r="BW298" s="5"/>
      <c r="BX298" s="5" t="s">
        <v>67</v>
      </c>
      <c r="BY298" s="5"/>
      <c r="BZ298" s="5"/>
      <c r="CA298" s="5"/>
      <c r="CB298" s="5"/>
      <c r="CC298" s="5"/>
      <c r="CD298" s="5"/>
      <c r="CE298" s="5"/>
      <c r="CF298" s="5"/>
      <c r="CG298" s="5"/>
      <c r="CH298" s="5"/>
      <c r="CI298" s="5" t="s">
        <v>417</v>
      </c>
      <c r="CJ298" s="5"/>
      <c r="CK298" s="5" t="s">
        <v>141</v>
      </c>
      <c r="CL298" s="5" t="s">
        <v>187</v>
      </c>
      <c r="CM298" s="103" t="s">
        <v>418</v>
      </c>
      <c r="CN298" s="5" t="s">
        <v>419</v>
      </c>
      <c r="CO298" s="103" t="s">
        <v>82</v>
      </c>
      <c r="CP298" s="5" t="s">
        <v>97</v>
      </c>
      <c r="CQ298" s="5" t="s">
        <v>103</v>
      </c>
      <c r="CR298" s="103" t="s">
        <v>85</v>
      </c>
      <c r="CS298" s="103" t="s">
        <v>86</v>
      </c>
      <c r="CT298" s="5" t="s">
        <v>387</v>
      </c>
      <c r="CU298" s="5" t="s">
        <v>86</v>
      </c>
      <c r="CV298" s="5"/>
      <c r="CW298" s="5"/>
      <c r="CX298" s="5"/>
      <c r="CY298" s="5"/>
      <c r="CZ298" s="5"/>
      <c r="DA298" s="5"/>
    </row>
    <row r="299" spans="1:105">
      <c r="A299" s="5">
        <v>18016028237</v>
      </c>
      <c r="B299" s="5"/>
      <c r="C299" s="5"/>
      <c r="D299" s="5"/>
      <c r="E299" s="5"/>
      <c r="F299" s="5"/>
      <c r="G299" s="5" t="s">
        <v>21</v>
      </c>
      <c r="H299" s="5"/>
      <c r="I299" s="5"/>
      <c r="J299" s="5" t="s">
        <v>24</v>
      </c>
      <c r="K299" s="5"/>
      <c r="L299" s="5"/>
      <c r="M299" s="5" t="s">
        <v>27</v>
      </c>
      <c r="N299" s="5"/>
      <c r="O299" s="5"/>
      <c r="P299" s="5"/>
      <c r="Q299" s="5"/>
      <c r="R299" s="5" t="s">
        <v>18</v>
      </c>
      <c r="S299" s="5"/>
      <c r="T299" s="5"/>
      <c r="U299" s="5" t="s">
        <v>21</v>
      </c>
      <c r="V299" s="5" t="s">
        <v>22</v>
      </c>
      <c r="W299" s="5"/>
      <c r="X299" s="5"/>
      <c r="Y299" s="5"/>
      <c r="Z299" s="5"/>
      <c r="AA299" s="5"/>
      <c r="AB299" s="5"/>
      <c r="AC299" s="5"/>
      <c r="AD299" s="5" t="s">
        <v>29</v>
      </c>
      <c r="AE299" s="5"/>
      <c r="AF299" s="5"/>
      <c r="AG299" s="5"/>
      <c r="AH299" s="5" t="s">
        <v>33</v>
      </c>
      <c r="AI299" s="5"/>
      <c r="AJ299" s="5" t="s">
        <v>35</v>
      </c>
      <c r="AK299" s="5"/>
      <c r="AL299" s="5"/>
      <c r="AM299" s="5"/>
      <c r="AN299" s="5"/>
      <c r="AO299" s="5"/>
      <c r="AP299" s="5"/>
      <c r="AQ299" s="5" t="s">
        <v>40</v>
      </c>
      <c r="AR299" s="5"/>
      <c r="AS299" s="5"/>
      <c r="AT299" s="5"/>
      <c r="AU299" s="5" t="s">
        <v>43</v>
      </c>
      <c r="AV299" s="5" t="s">
        <v>44</v>
      </c>
      <c r="AW299" s="5"/>
      <c r="AX299" s="5"/>
      <c r="AY299" s="5"/>
      <c r="AZ299" s="5"/>
      <c r="BA299" s="5"/>
      <c r="BB299" s="5"/>
      <c r="BC299" s="5"/>
      <c r="BD299" s="5" t="s">
        <v>51</v>
      </c>
      <c r="BE299" s="5"/>
      <c r="BF299" s="5"/>
      <c r="BG299" s="5"/>
      <c r="BH299" s="5" t="s">
        <v>54</v>
      </c>
      <c r="BI299" s="5"/>
      <c r="BJ299" s="5"/>
      <c r="BK299" s="5"/>
      <c r="BL299" s="5" t="s">
        <v>58</v>
      </c>
      <c r="BM299" s="5"/>
      <c r="BN299" s="5"/>
      <c r="BO299" s="5"/>
      <c r="BP299" s="5"/>
      <c r="BQ299" s="5"/>
      <c r="BR299" s="5"/>
      <c r="BS299" s="5"/>
      <c r="BT299" s="5"/>
      <c r="BU299" s="5"/>
      <c r="BV299" s="5" t="s">
        <v>65</v>
      </c>
      <c r="BW299" s="5" t="s">
        <v>66</v>
      </c>
      <c r="BX299" s="5" t="s">
        <v>67</v>
      </c>
      <c r="BY299" s="5"/>
      <c r="BZ299" s="5"/>
      <c r="CA299" s="5" t="s">
        <v>70</v>
      </c>
      <c r="CB299" s="5" t="s">
        <v>71</v>
      </c>
      <c r="CC299" s="5"/>
      <c r="CD299" s="5"/>
      <c r="CE299" s="5"/>
      <c r="CF299" s="5"/>
      <c r="CG299" s="5"/>
      <c r="CH299" s="5"/>
      <c r="CI299" s="5" t="s">
        <v>417</v>
      </c>
      <c r="CJ299" s="5">
        <v>29</v>
      </c>
      <c r="CK299" s="5" t="s">
        <v>80</v>
      </c>
      <c r="CL299" s="5" t="s">
        <v>456</v>
      </c>
      <c r="CM299" s="103" t="s">
        <v>418</v>
      </c>
      <c r="CN299" s="5" t="s">
        <v>416</v>
      </c>
      <c r="CO299" s="103" t="s">
        <v>82</v>
      </c>
      <c r="CP299" s="5" t="s">
        <v>94</v>
      </c>
      <c r="CQ299" s="5" t="s">
        <v>88</v>
      </c>
      <c r="CR299" s="103" t="s">
        <v>85</v>
      </c>
      <c r="CS299" s="103" t="s">
        <v>86</v>
      </c>
      <c r="CT299" s="5" t="s">
        <v>387</v>
      </c>
      <c r="CU299" s="5" t="s">
        <v>86</v>
      </c>
      <c r="CV299" s="5"/>
      <c r="CW299" s="5"/>
      <c r="CX299" s="5"/>
      <c r="CY299" s="5"/>
      <c r="CZ299" s="5"/>
      <c r="DA299" s="5"/>
    </row>
    <row r="300" spans="1:105">
      <c r="A300" s="5">
        <v>18015976959</v>
      </c>
      <c r="B300" s="5"/>
      <c r="C300" s="5" t="s">
        <v>17</v>
      </c>
      <c r="D300" s="5"/>
      <c r="E300" s="5"/>
      <c r="F300" s="5"/>
      <c r="G300" s="5"/>
      <c r="H300" s="5" t="s">
        <v>22</v>
      </c>
      <c r="I300" s="5"/>
      <c r="J300" s="5" t="s">
        <v>24</v>
      </c>
      <c r="K300" s="5"/>
      <c r="L300" s="5"/>
      <c r="M300" s="5"/>
      <c r="N300" s="5"/>
      <c r="O300" s="5"/>
      <c r="P300" s="5" t="s">
        <v>16</v>
      </c>
      <c r="Q300" s="5" t="s">
        <v>17</v>
      </c>
      <c r="R300" s="5"/>
      <c r="S300" s="5"/>
      <c r="T300" s="5"/>
      <c r="U300" s="5"/>
      <c r="V300" s="5"/>
      <c r="W300" s="5"/>
      <c r="X300" s="5" t="s">
        <v>24</v>
      </c>
      <c r="Y300" s="5"/>
      <c r="Z300" s="5"/>
      <c r="AA300" s="5"/>
      <c r="AB300" s="5"/>
      <c r="AC300" s="5"/>
      <c r="AD300" s="5" t="s">
        <v>29</v>
      </c>
      <c r="AE300" s="5"/>
      <c r="AF300" s="5"/>
      <c r="AG300" s="5" t="s">
        <v>32</v>
      </c>
      <c r="AH300" s="5"/>
      <c r="AI300" s="5"/>
      <c r="AJ300" s="5" t="s">
        <v>35</v>
      </c>
      <c r="AK300" s="5"/>
      <c r="AL300" s="5"/>
      <c r="AM300" s="5"/>
      <c r="AN300" s="5"/>
      <c r="AO300" s="5"/>
      <c r="AP300" s="5"/>
      <c r="AQ300" s="5"/>
      <c r="AR300" s="5" t="s">
        <v>41</v>
      </c>
      <c r="AS300" s="5"/>
      <c r="AT300" s="5"/>
      <c r="AU300" s="5" t="s">
        <v>43</v>
      </c>
      <c r="AV300" s="5"/>
      <c r="AW300" s="5"/>
      <c r="AX300" s="5" t="s">
        <v>46</v>
      </c>
      <c r="AY300" s="5"/>
      <c r="AZ300" s="5"/>
      <c r="BA300" s="5"/>
      <c r="BB300" s="5"/>
      <c r="BC300" s="5"/>
      <c r="BD300" s="5"/>
      <c r="BE300" s="5"/>
      <c r="BF300" s="5"/>
      <c r="BG300" s="5"/>
      <c r="BH300" s="5"/>
      <c r="BI300" s="5"/>
      <c r="BJ300" s="5"/>
      <c r="BK300" s="5" t="s">
        <v>57</v>
      </c>
      <c r="BL300" s="5"/>
      <c r="BM300" s="5"/>
      <c r="BN300" s="5"/>
      <c r="BO300" s="5"/>
      <c r="BP300" s="5"/>
      <c r="BQ300" s="5" t="s">
        <v>61</v>
      </c>
      <c r="BR300" s="5"/>
      <c r="BS300" s="5" t="s">
        <v>63</v>
      </c>
      <c r="BT300" s="5"/>
      <c r="BU300" s="5"/>
      <c r="BV300" s="5"/>
      <c r="BW300" s="5"/>
      <c r="BX300" s="5"/>
      <c r="BY300" s="5"/>
      <c r="BZ300" s="5"/>
      <c r="CA300" s="5"/>
      <c r="CB300" s="5" t="s">
        <v>71</v>
      </c>
      <c r="CC300" s="5" t="s">
        <v>72</v>
      </c>
      <c r="CD300" s="5"/>
      <c r="CE300" s="5"/>
      <c r="CF300" s="5" t="s">
        <v>75</v>
      </c>
      <c r="CG300" s="5"/>
      <c r="CH300" s="5"/>
      <c r="CI300" s="5" t="s">
        <v>417</v>
      </c>
      <c r="CJ300" s="5">
        <v>23</v>
      </c>
      <c r="CK300" s="5" t="s">
        <v>356</v>
      </c>
      <c r="CL300" s="5">
        <v>11456</v>
      </c>
      <c r="CM300" s="103" t="s">
        <v>418</v>
      </c>
      <c r="CN300" s="5" t="s">
        <v>419</v>
      </c>
      <c r="CO300" s="103" t="s">
        <v>82</v>
      </c>
      <c r="CP300" s="5" t="s">
        <v>97</v>
      </c>
      <c r="CQ300" s="5" t="s">
        <v>84</v>
      </c>
      <c r="CR300" s="103" t="s">
        <v>85</v>
      </c>
      <c r="CS300" s="103" t="s">
        <v>86</v>
      </c>
      <c r="CT300" s="5" t="s">
        <v>385</v>
      </c>
      <c r="CU300" s="5" t="s">
        <v>86</v>
      </c>
      <c r="CV300" s="5"/>
      <c r="CW300" s="5"/>
      <c r="CX300" s="5"/>
      <c r="CY300" s="5"/>
      <c r="CZ300" s="5"/>
      <c r="DA300" s="5"/>
    </row>
    <row r="301" spans="1:105">
      <c r="A301" s="5">
        <v>18015976856</v>
      </c>
      <c r="B301" s="5" t="s">
        <v>16</v>
      </c>
      <c r="C301" s="5"/>
      <c r="D301" s="5"/>
      <c r="E301" s="5"/>
      <c r="F301" s="5"/>
      <c r="G301" s="5"/>
      <c r="H301" s="5"/>
      <c r="I301" s="5"/>
      <c r="J301" s="5" t="s">
        <v>24</v>
      </c>
      <c r="K301" s="5"/>
      <c r="L301" s="5" t="s">
        <v>26</v>
      </c>
      <c r="M301" s="5"/>
      <c r="N301" s="5"/>
      <c r="O301" s="5"/>
      <c r="P301" s="5"/>
      <c r="Q301" s="5"/>
      <c r="R301" s="5"/>
      <c r="S301" s="5"/>
      <c r="T301" s="5"/>
      <c r="U301" s="5"/>
      <c r="V301" s="5"/>
      <c r="W301" s="5" t="s">
        <v>23</v>
      </c>
      <c r="X301" s="5"/>
      <c r="Y301" s="5"/>
      <c r="Z301" s="5"/>
      <c r="AA301" s="5"/>
      <c r="AB301" s="5"/>
      <c r="AC301" s="5"/>
      <c r="AD301" s="5"/>
      <c r="AE301" s="5"/>
      <c r="AF301" s="5"/>
      <c r="AG301" s="5"/>
      <c r="AH301" s="5"/>
      <c r="AI301" s="5"/>
      <c r="AJ301" s="5"/>
      <c r="AK301" s="5"/>
      <c r="AL301" s="5"/>
      <c r="AM301" s="5" t="s">
        <v>375</v>
      </c>
      <c r="AN301" s="5"/>
      <c r="AO301" s="5"/>
      <c r="AP301" s="5"/>
      <c r="AQ301" s="5"/>
      <c r="AR301" s="5" t="s">
        <v>41</v>
      </c>
      <c r="AS301" s="5"/>
      <c r="AT301" s="5"/>
      <c r="AU301" s="5" t="s">
        <v>43</v>
      </c>
      <c r="AV301" s="5"/>
      <c r="AW301" s="5"/>
      <c r="AX301" s="5" t="s">
        <v>46</v>
      </c>
      <c r="AY301" s="5"/>
      <c r="AZ301" s="5"/>
      <c r="BA301" s="5"/>
      <c r="BB301" s="5"/>
      <c r="BC301" s="5" t="s">
        <v>50</v>
      </c>
      <c r="BD301" s="5"/>
      <c r="BE301" s="5"/>
      <c r="BF301" s="5"/>
      <c r="BG301" s="5"/>
      <c r="BH301" s="5"/>
      <c r="BI301" s="5"/>
      <c r="BJ301" s="5"/>
      <c r="BK301" s="5"/>
      <c r="BL301" s="5"/>
      <c r="BM301" s="5"/>
      <c r="BN301" s="5" t="s">
        <v>24</v>
      </c>
      <c r="BO301" s="5"/>
      <c r="BP301" s="5"/>
      <c r="BQ301" s="5"/>
      <c r="BR301" s="5"/>
      <c r="BS301" s="5" t="s">
        <v>63</v>
      </c>
      <c r="BT301" s="5"/>
      <c r="BU301" s="5" t="s">
        <v>64</v>
      </c>
      <c r="BV301" s="5"/>
      <c r="BW301" s="5"/>
      <c r="BX301" s="5" t="s">
        <v>67</v>
      </c>
      <c r="BY301" s="5"/>
      <c r="BZ301" s="5"/>
      <c r="CA301" s="5" t="s">
        <v>70</v>
      </c>
      <c r="CB301" s="5"/>
      <c r="CC301" s="5"/>
      <c r="CD301" s="5" t="s">
        <v>73</v>
      </c>
      <c r="CE301" s="5"/>
      <c r="CF301" s="5" t="s">
        <v>75</v>
      </c>
      <c r="CG301" s="5"/>
      <c r="CH301" s="5"/>
      <c r="CI301" s="5" t="s">
        <v>414</v>
      </c>
      <c r="CJ301" s="5">
        <v>16</v>
      </c>
      <c r="CK301" s="5" t="s">
        <v>141</v>
      </c>
      <c r="CL301" s="5" t="s">
        <v>457</v>
      </c>
      <c r="CM301" s="103" t="s">
        <v>418</v>
      </c>
      <c r="CN301" s="5" t="s">
        <v>419</v>
      </c>
      <c r="CO301" s="103" t="s">
        <v>82</v>
      </c>
      <c r="CP301" s="5" t="s">
        <v>83</v>
      </c>
      <c r="CQ301" s="5" t="s">
        <v>104</v>
      </c>
      <c r="CR301" s="103" t="s">
        <v>85</v>
      </c>
      <c r="CS301" s="103" t="s">
        <v>86</v>
      </c>
      <c r="CT301" s="5" t="s">
        <v>384</v>
      </c>
      <c r="CU301" s="5" t="s">
        <v>86</v>
      </c>
      <c r="CV301" s="5"/>
      <c r="CW301" s="5"/>
      <c r="CX301" s="5"/>
      <c r="CY301" s="5"/>
      <c r="CZ301" s="5"/>
      <c r="DA301" s="5"/>
    </row>
    <row r="302" spans="1:105">
      <c r="A302" s="5">
        <v>18015956572</v>
      </c>
      <c r="B302" s="5"/>
      <c r="C302" s="5"/>
      <c r="D302" s="5"/>
      <c r="E302" s="5"/>
      <c r="F302" s="5"/>
      <c r="G302" s="5"/>
      <c r="H302" s="5"/>
      <c r="I302" s="5" t="s">
        <v>23</v>
      </c>
      <c r="J302" s="5"/>
      <c r="K302" s="5" t="s">
        <v>25</v>
      </c>
      <c r="L302" s="5" t="s">
        <v>26</v>
      </c>
      <c r="M302" s="5"/>
      <c r="N302" s="5"/>
      <c r="O302" s="5"/>
      <c r="P302" s="5"/>
      <c r="Q302" s="5"/>
      <c r="R302" s="5"/>
      <c r="S302" s="5"/>
      <c r="T302" s="5"/>
      <c r="U302" s="5"/>
      <c r="V302" s="5"/>
      <c r="W302" s="5"/>
      <c r="X302" s="5"/>
      <c r="Y302" s="5" t="s">
        <v>25</v>
      </c>
      <c r="Z302" s="5"/>
      <c r="AA302" s="5"/>
      <c r="AB302" s="5" t="s">
        <v>28</v>
      </c>
      <c r="AC302" s="5"/>
      <c r="AD302" s="5"/>
      <c r="AE302" s="5" t="s">
        <v>30</v>
      </c>
      <c r="AF302" s="5"/>
      <c r="AG302" s="5" t="s">
        <v>32</v>
      </c>
      <c r="AH302" s="5" t="s">
        <v>33</v>
      </c>
      <c r="AI302" s="5"/>
      <c r="AJ302" s="5"/>
      <c r="AK302" s="5"/>
      <c r="AL302" s="5"/>
      <c r="AM302" s="5" t="s">
        <v>375</v>
      </c>
      <c r="AN302" s="5"/>
      <c r="AO302" s="5"/>
      <c r="AP302" s="5" t="s">
        <v>39</v>
      </c>
      <c r="AQ302" s="5"/>
      <c r="AR302" s="5" t="s">
        <v>41</v>
      </c>
      <c r="AS302" s="5"/>
      <c r="AT302" s="5"/>
      <c r="AU302" s="5"/>
      <c r="AV302" s="5"/>
      <c r="AW302" s="5"/>
      <c r="AX302" s="5" t="s">
        <v>46</v>
      </c>
      <c r="AY302" s="5"/>
      <c r="AZ302" s="5"/>
      <c r="BA302" s="5"/>
      <c r="BB302" s="5"/>
      <c r="BC302" s="5"/>
      <c r="BD302" s="5"/>
      <c r="BE302" s="5"/>
      <c r="BF302" s="5"/>
      <c r="BG302" s="5"/>
      <c r="BH302" s="5"/>
      <c r="BI302" s="5"/>
      <c r="BJ302" s="5"/>
      <c r="BK302" s="5"/>
      <c r="BL302" s="5"/>
      <c r="BM302" s="5"/>
      <c r="BN302" s="5"/>
      <c r="BO302" s="5"/>
      <c r="BP302" s="5"/>
      <c r="BQ302" s="5"/>
      <c r="BR302" s="5"/>
      <c r="BS302" s="5" t="s">
        <v>63</v>
      </c>
      <c r="BT302" s="5"/>
      <c r="BU302" s="5"/>
      <c r="BV302" s="5"/>
      <c r="BW302" s="5"/>
      <c r="BX302" s="5"/>
      <c r="BY302" s="5"/>
      <c r="BZ302" s="5"/>
      <c r="CA302" s="5"/>
      <c r="CB302" s="5"/>
      <c r="CC302" s="5"/>
      <c r="CD302" s="5"/>
      <c r="CE302" s="5"/>
      <c r="CF302" s="5" t="s">
        <v>75</v>
      </c>
      <c r="CG302" s="5"/>
      <c r="CH302" s="5"/>
      <c r="CI302" s="5" t="s">
        <v>414</v>
      </c>
      <c r="CJ302" s="5">
        <v>20</v>
      </c>
      <c r="CK302" s="5" t="s">
        <v>80</v>
      </c>
      <c r="CL302" s="5" t="s">
        <v>126</v>
      </c>
      <c r="CM302" s="103" t="s">
        <v>418</v>
      </c>
      <c r="CN302" s="5" t="s">
        <v>416</v>
      </c>
      <c r="CO302" s="103" t="s">
        <v>101</v>
      </c>
      <c r="CP302" s="5" t="s">
        <v>90</v>
      </c>
      <c r="CQ302" s="5" t="s">
        <v>88</v>
      </c>
      <c r="CR302" s="103" t="s">
        <v>89</v>
      </c>
      <c r="CS302" s="103" t="s">
        <v>86</v>
      </c>
      <c r="CT302" s="5" t="s">
        <v>387</v>
      </c>
      <c r="CU302" s="5" t="s">
        <v>86</v>
      </c>
      <c r="CV302" s="5"/>
      <c r="CW302" s="5"/>
      <c r="CX302" s="5"/>
      <c r="CY302" s="5"/>
      <c r="CZ302" s="5"/>
      <c r="DA302" s="5"/>
    </row>
    <row r="303" spans="1:105">
      <c r="A303" s="5">
        <v>18015878869</v>
      </c>
      <c r="B303" s="5"/>
      <c r="C303" s="5"/>
      <c r="D303" s="5"/>
      <c r="E303" s="5"/>
      <c r="F303" s="5"/>
      <c r="G303" s="5" t="s">
        <v>21</v>
      </c>
      <c r="H303" s="5"/>
      <c r="I303" s="5"/>
      <c r="J303" s="5"/>
      <c r="K303" s="5"/>
      <c r="L303" s="5" t="s">
        <v>26</v>
      </c>
      <c r="M303" s="5"/>
      <c r="N303" s="5" t="s">
        <v>28</v>
      </c>
      <c r="O303" s="5"/>
      <c r="P303" s="5" t="s">
        <v>16</v>
      </c>
      <c r="Q303" s="5"/>
      <c r="R303" s="5"/>
      <c r="S303" s="5"/>
      <c r="T303" s="5"/>
      <c r="U303" s="5"/>
      <c r="V303" s="5"/>
      <c r="W303" s="5"/>
      <c r="X303" s="5"/>
      <c r="Y303" s="5"/>
      <c r="Z303" s="5" t="s">
        <v>26</v>
      </c>
      <c r="AA303" s="5"/>
      <c r="AB303" s="5" t="s">
        <v>28</v>
      </c>
      <c r="AC303" s="5"/>
      <c r="AD303" s="5"/>
      <c r="AE303" s="5"/>
      <c r="AF303" s="5" t="s">
        <v>31</v>
      </c>
      <c r="AG303" s="5"/>
      <c r="AH303" s="5"/>
      <c r="AI303" s="5"/>
      <c r="AJ303" s="5" t="s">
        <v>35</v>
      </c>
      <c r="AK303" s="5" t="s">
        <v>36</v>
      </c>
      <c r="AL303" s="5"/>
      <c r="AM303" s="5"/>
      <c r="AN303" s="5"/>
      <c r="AO303" s="5" t="s">
        <v>38</v>
      </c>
      <c r="AP303" s="5" t="s">
        <v>39</v>
      </c>
      <c r="AQ303" s="5"/>
      <c r="AR303" s="5" t="s">
        <v>41</v>
      </c>
      <c r="AS303" s="5"/>
      <c r="AT303" s="5"/>
      <c r="AU303" s="5" t="s">
        <v>43</v>
      </c>
      <c r="AV303" s="5"/>
      <c r="AW303" s="5" t="s">
        <v>45</v>
      </c>
      <c r="AX303" s="5" t="s">
        <v>46</v>
      </c>
      <c r="AY303" s="5" t="s">
        <v>47</v>
      </c>
      <c r="AZ303" s="5"/>
      <c r="BA303" s="5"/>
      <c r="BB303" s="5" t="s">
        <v>49</v>
      </c>
      <c r="BC303" s="5"/>
      <c r="BD303" s="5" t="s">
        <v>51</v>
      </c>
      <c r="BE303" s="5"/>
      <c r="BF303" s="5"/>
      <c r="BG303" s="5" t="s">
        <v>53</v>
      </c>
      <c r="BH303" s="5"/>
      <c r="BI303" s="5" t="s">
        <v>55</v>
      </c>
      <c r="BJ303" s="5"/>
      <c r="BK303" s="5" t="s">
        <v>57</v>
      </c>
      <c r="BL303" s="5"/>
      <c r="BM303" s="5" t="s">
        <v>59</v>
      </c>
      <c r="BN303" s="5" t="s">
        <v>24</v>
      </c>
      <c r="BO303" s="5"/>
      <c r="BP303" s="5"/>
      <c r="BQ303" s="5"/>
      <c r="BR303" s="5" t="s">
        <v>62</v>
      </c>
      <c r="BS303" s="5" t="s">
        <v>63</v>
      </c>
      <c r="BT303" s="5"/>
      <c r="BU303" s="5" t="s">
        <v>64</v>
      </c>
      <c r="BV303" s="5"/>
      <c r="BW303" s="5"/>
      <c r="BX303" s="5"/>
      <c r="BY303" s="5"/>
      <c r="BZ303" s="5"/>
      <c r="CA303" s="5"/>
      <c r="CB303" s="5"/>
      <c r="CC303" s="5"/>
      <c r="CD303" s="5"/>
      <c r="CE303" s="5"/>
      <c r="CF303" s="5" t="s">
        <v>75</v>
      </c>
      <c r="CG303" s="5"/>
      <c r="CH303" s="5"/>
      <c r="CI303" s="5" t="s">
        <v>417</v>
      </c>
      <c r="CJ303" s="5">
        <v>20</v>
      </c>
      <c r="CK303" s="5" t="s">
        <v>80</v>
      </c>
      <c r="CL303" s="5" t="s">
        <v>124</v>
      </c>
      <c r="CM303" s="103" t="s">
        <v>106</v>
      </c>
      <c r="CN303" s="5" t="s">
        <v>416</v>
      </c>
      <c r="CO303" s="103" t="s">
        <v>427</v>
      </c>
      <c r="CP303" s="5" t="s">
        <v>87</v>
      </c>
      <c r="CQ303" s="5" t="s">
        <v>88</v>
      </c>
      <c r="CR303" s="103" t="s">
        <v>85</v>
      </c>
      <c r="CT303" s="5" t="s">
        <v>296</v>
      </c>
      <c r="CU303" s="5" t="s">
        <v>86</v>
      </c>
      <c r="CV303" s="5"/>
      <c r="CW303" s="5"/>
      <c r="CX303" s="5"/>
      <c r="CY303" s="5"/>
      <c r="CZ303" s="5"/>
      <c r="DA303" s="5"/>
    </row>
    <row r="304" spans="1:105">
      <c r="A304" s="5">
        <v>18015822327</v>
      </c>
      <c r="B304" s="5"/>
      <c r="C304" s="5"/>
      <c r="D304" s="5"/>
      <c r="E304" s="5" t="s">
        <v>19</v>
      </c>
      <c r="F304" s="5"/>
      <c r="G304" s="5"/>
      <c r="H304" s="5"/>
      <c r="I304" s="5" t="s">
        <v>23</v>
      </c>
      <c r="J304" s="5"/>
      <c r="K304" s="5"/>
      <c r="L304" s="5"/>
      <c r="M304" s="5"/>
      <c r="N304" s="5" t="s">
        <v>28</v>
      </c>
      <c r="O304" s="5"/>
      <c r="P304" s="5" t="s">
        <v>16</v>
      </c>
      <c r="Q304" s="5"/>
      <c r="R304" s="5"/>
      <c r="S304" s="5"/>
      <c r="T304" s="5"/>
      <c r="U304" s="5"/>
      <c r="V304" s="5"/>
      <c r="W304" s="5" t="s">
        <v>23</v>
      </c>
      <c r="X304" s="5"/>
      <c r="Y304" s="5"/>
      <c r="Z304" s="5"/>
      <c r="AA304" s="5"/>
      <c r="AB304" s="5" t="s">
        <v>28</v>
      </c>
      <c r="AC304" s="5"/>
      <c r="AD304" s="5"/>
      <c r="AE304" s="5"/>
      <c r="AF304" s="5" t="s">
        <v>31</v>
      </c>
      <c r="AG304" s="5"/>
      <c r="AH304" s="5"/>
      <c r="AI304" s="5"/>
      <c r="AJ304" s="5"/>
      <c r="AK304" s="5" t="s">
        <v>36</v>
      </c>
      <c r="AL304" s="5"/>
      <c r="AM304" s="5"/>
      <c r="AN304" s="5"/>
      <c r="AO304" s="5"/>
      <c r="AP304" s="5" t="s">
        <v>39</v>
      </c>
      <c r="AQ304" s="5"/>
      <c r="AR304" s="5"/>
      <c r="AS304" s="5"/>
      <c r="AT304" s="5"/>
      <c r="AU304" s="5" t="s">
        <v>43</v>
      </c>
      <c r="AV304" s="5"/>
      <c r="AW304" s="5" t="s">
        <v>45</v>
      </c>
      <c r="AX304" s="5" t="s">
        <v>46</v>
      </c>
      <c r="AY304" s="5"/>
      <c r="AZ304" s="5"/>
      <c r="BA304" s="5"/>
      <c r="BB304" s="5"/>
      <c r="BC304" s="5"/>
      <c r="BD304" s="5" t="s">
        <v>51</v>
      </c>
      <c r="BE304" s="5"/>
      <c r="BF304" s="5"/>
      <c r="BG304" s="5"/>
      <c r="BH304" s="5"/>
      <c r="BI304" s="5"/>
      <c r="BJ304" s="5"/>
      <c r="BK304" s="5"/>
      <c r="BL304" s="5"/>
      <c r="BM304" s="5"/>
      <c r="BN304" s="5"/>
      <c r="BO304" s="5"/>
      <c r="BP304" s="5"/>
      <c r="BQ304" s="5"/>
      <c r="BR304" s="5"/>
      <c r="BS304" s="5"/>
      <c r="BT304" s="5"/>
      <c r="BU304" s="5" t="s">
        <v>64</v>
      </c>
      <c r="BV304" s="5"/>
      <c r="BW304" s="5"/>
      <c r="BX304" s="5"/>
      <c r="BY304" s="5"/>
      <c r="BZ304" s="5"/>
      <c r="CA304" s="5"/>
      <c r="CB304" s="5"/>
      <c r="CC304" s="5"/>
      <c r="CD304" s="5"/>
      <c r="CE304" s="5"/>
      <c r="CF304" s="5"/>
      <c r="CG304" s="5"/>
      <c r="CH304" s="5"/>
      <c r="CI304" s="5" t="s">
        <v>414</v>
      </c>
      <c r="CJ304" s="5">
        <v>21</v>
      </c>
      <c r="CK304" s="5" t="s">
        <v>80</v>
      </c>
      <c r="CL304" s="5" t="s">
        <v>120</v>
      </c>
      <c r="CN304" s="5" t="s">
        <v>416</v>
      </c>
      <c r="CO304" s="103" t="s">
        <v>427</v>
      </c>
      <c r="CP304" s="5"/>
      <c r="CQ304" s="5" t="s">
        <v>95</v>
      </c>
      <c r="CR304" s="103" t="s">
        <v>92</v>
      </c>
      <c r="CS304" s="103" t="s">
        <v>86</v>
      </c>
      <c r="CT304" s="5" t="s">
        <v>387</v>
      </c>
      <c r="CU304" s="5" t="s">
        <v>86</v>
      </c>
      <c r="CV304" s="5"/>
      <c r="CW304" s="5"/>
      <c r="CX304" s="5"/>
      <c r="CY304" s="5"/>
      <c r="CZ304" s="5"/>
      <c r="DA304" s="5"/>
    </row>
    <row r="305" spans="1:105">
      <c r="A305" s="5">
        <v>18015503169</v>
      </c>
      <c r="B305" s="5" t="s">
        <v>16</v>
      </c>
      <c r="C305" s="5"/>
      <c r="D305" s="5"/>
      <c r="E305" s="5"/>
      <c r="F305" s="5"/>
      <c r="G305" s="5"/>
      <c r="H305" s="5" t="s">
        <v>22</v>
      </c>
      <c r="I305" s="5"/>
      <c r="J305" s="5"/>
      <c r="K305" s="5"/>
      <c r="L305" s="5"/>
      <c r="M305" s="5" t="s">
        <v>27</v>
      </c>
      <c r="N305" s="5"/>
      <c r="O305" s="5"/>
      <c r="P305" s="5"/>
      <c r="Q305" s="5"/>
      <c r="R305" s="5"/>
      <c r="S305" s="5"/>
      <c r="T305" s="5" t="s">
        <v>20</v>
      </c>
      <c r="U305" s="5"/>
      <c r="V305" s="5" t="s">
        <v>22</v>
      </c>
      <c r="W305" s="5"/>
      <c r="X305" s="5"/>
      <c r="Y305" s="5"/>
      <c r="Z305" s="5" t="s">
        <v>26</v>
      </c>
      <c r="AA305" s="5"/>
      <c r="AB305" s="5"/>
      <c r="AC305" s="5"/>
      <c r="AD305" s="5"/>
      <c r="AE305" s="5" t="s">
        <v>30</v>
      </c>
      <c r="AF305" s="5"/>
      <c r="AG305" s="5"/>
      <c r="AH305" s="5"/>
      <c r="AI305" s="5" t="s">
        <v>34</v>
      </c>
      <c r="AJ305" s="5"/>
      <c r="AK305" s="5"/>
      <c r="AL305" s="5"/>
      <c r="AM305" s="5" t="s">
        <v>375</v>
      </c>
      <c r="AN305" s="5"/>
      <c r="AO305" s="5"/>
      <c r="AP305" s="5"/>
      <c r="AQ305" s="5"/>
      <c r="AR305" s="5"/>
      <c r="AS305" s="5" t="s">
        <v>42</v>
      </c>
      <c r="AT305" s="5"/>
      <c r="AU305" s="5" t="s">
        <v>43</v>
      </c>
      <c r="AV305" s="5"/>
      <c r="AW305" s="5"/>
      <c r="AX305" s="5"/>
      <c r="AY305" s="5" t="s">
        <v>47</v>
      </c>
      <c r="AZ305" s="5"/>
      <c r="BA305" s="5"/>
      <c r="BB305" s="5"/>
      <c r="BC305" s="5" t="s">
        <v>50</v>
      </c>
      <c r="BD305" s="5"/>
      <c r="BE305" s="5"/>
      <c r="BF305" s="5"/>
      <c r="BG305" s="5"/>
      <c r="BH305" s="5" t="s">
        <v>54</v>
      </c>
      <c r="BI305" s="5"/>
      <c r="BJ305" s="5"/>
      <c r="BK305" s="5"/>
      <c r="BL305" s="5"/>
      <c r="BM305" s="5"/>
      <c r="BN305" s="5" t="s">
        <v>24</v>
      </c>
      <c r="BO305" s="5"/>
      <c r="BP305" s="5"/>
      <c r="BQ305" s="5"/>
      <c r="BR305" s="5"/>
      <c r="BS305" s="5"/>
      <c r="BT305" s="5"/>
      <c r="BU305" s="5"/>
      <c r="BV305" s="5"/>
      <c r="BW305" s="5" t="s">
        <v>66</v>
      </c>
      <c r="BX305" s="5" t="s">
        <v>67</v>
      </c>
      <c r="BY305" s="5"/>
      <c r="BZ305" s="5"/>
      <c r="CA305" s="5"/>
      <c r="CB305" s="5" t="s">
        <v>71</v>
      </c>
      <c r="CC305" s="5" t="s">
        <v>72</v>
      </c>
      <c r="CD305" s="5"/>
      <c r="CE305" s="5"/>
      <c r="CF305" s="5" t="s">
        <v>75</v>
      </c>
      <c r="CG305" s="5" t="s">
        <v>76</v>
      </c>
      <c r="CH305" s="5"/>
      <c r="CI305" s="5" t="s">
        <v>414</v>
      </c>
      <c r="CJ305" s="5">
        <v>18</v>
      </c>
      <c r="CK305" s="5" t="s">
        <v>80</v>
      </c>
      <c r="CL305" s="5" t="s">
        <v>458</v>
      </c>
      <c r="CM305" s="103" t="s">
        <v>418</v>
      </c>
      <c r="CN305" s="5" t="s">
        <v>416</v>
      </c>
      <c r="CO305" s="103" t="s">
        <v>82</v>
      </c>
      <c r="CP305" s="5" t="s">
        <v>87</v>
      </c>
      <c r="CQ305" s="5" t="s">
        <v>84</v>
      </c>
      <c r="CR305" s="103" t="s">
        <v>85</v>
      </c>
      <c r="CS305" s="103" t="s">
        <v>86</v>
      </c>
      <c r="CT305" s="5" t="s">
        <v>385</v>
      </c>
      <c r="CU305" s="5" t="s">
        <v>86</v>
      </c>
      <c r="CV305" s="5"/>
      <c r="CW305" s="5"/>
      <c r="CX305" s="5"/>
      <c r="CY305" s="5"/>
      <c r="CZ305" s="5"/>
      <c r="DA305" s="5"/>
    </row>
    <row r="306" spans="1:105">
      <c r="A306" s="5">
        <v>18015489362</v>
      </c>
      <c r="B306" s="5"/>
      <c r="C306" s="5"/>
      <c r="D306" s="5"/>
      <c r="E306" s="5"/>
      <c r="F306" s="5"/>
      <c r="G306" s="5"/>
      <c r="H306" s="5"/>
      <c r="I306" s="5"/>
      <c r="J306" s="5" t="s">
        <v>24</v>
      </c>
      <c r="K306" s="5" t="s">
        <v>25</v>
      </c>
      <c r="L306" s="5" t="s">
        <v>26</v>
      </c>
      <c r="M306" s="5"/>
      <c r="N306" s="5"/>
      <c r="O306" s="5"/>
      <c r="P306" s="5"/>
      <c r="Q306" s="5"/>
      <c r="R306" s="5"/>
      <c r="S306" s="5" t="s">
        <v>19</v>
      </c>
      <c r="T306" s="5"/>
      <c r="U306" s="5" t="s">
        <v>21</v>
      </c>
      <c r="V306" s="5"/>
      <c r="W306" s="5"/>
      <c r="X306" s="5"/>
      <c r="Y306" s="5" t="s">
        <v>25</v>
      </c>
      <c r="Z306" s="5"/>
      <c r="AA306" s="5"/>
      <c r="AB306" s="5"/>
      <c r="AC306" s="5"/>
      <c r="AD306" s="5"/>
      <c r="AE306" s="5"/>
      <c r="AF306" s="5"/>
      <c r="AG306" s="5"/>
      <c r="AH306" s="5"/>
      <c r="AI306" s="5" t="s">
        <v>34</v>
      </c>
      <c r="AJ306" s="5"/>
      <c r="AK306" s="5"/>
      <c r="AL306" s="5"/>
      <c r="AM306" s="5"/>
      <c r="AN306" s="5"/>
      <c r="AO306" s="5"/>
      <c r="AP306" s="5" t="s">
        <v>39</v>
      </c>
      <c r="AQ306" s="5"/>
      <c r="AR306" s="5"/>
      <c r="AS306" s="5"/>
      <c r="AT306" s="5" t="s">
        <v>37</v>
      </c>
      <c r="AU306" s="5" t="s">
        <v>43</v>
      </c>
      <c r="AV306" s="5"/>
      <c r="AW306" s="5"/>
      <c r="AX306" s="5"/>
      <c r="AY306" s="5" t="s">
        <v>47</v>
      </c>
      <c r="AZ306" s="5"/>
      <c r="BA306" s="5"/>
      <c r="BB306" s="5"/>
      <c r="BC306" s="5"/>
      <c r="BD306" s="5" t="s">
        <v>51</v>
      </c>
      <c r="BE306" s="5"/>
      <c r="BF306" s="5"/>
      <c r="BG306" s="5" t="s">
        <v>53</v>
      </c>
      <c r="BH306" s="5" t="s">
        <v>54</v>
      </c>
      <c r="BI306" s="5" t="s">
        <v>55</v>
      </c>
      <c r="BJ306" s="5"/>
      <c r="BK306" s="5"/>
      <c r="BL306" s="5" t="s">
        <v>58</v>
      </c>
      <c r="BM306" s="5" t="s">
        <v>59</v>
      </c>
      <c r="BN306" s="5"/>
      <c r="BO306" s="5"/>
      <c r="BP306" s="5" t="s">
        <v>60</v>
      </c>
      <c r="BQ306" s="5" t="s">
        <v>61</v>
      </c>
      <c r="BR306" s="5" t="s">
        <v>62</v>
      </c>
      <c r="BS306" s="5"/>
      <c r="BT306" s="5"/>
      <c r="BU306" s="5" t="s">
        <v>64</v>
      </c>
      <c r="BV306" s="5"/>
      <c r="BW306" s="5" t="s">
        <v>66</v>
      </c>
      <c r="BX306" s="5"/>
      <c r="BY306" s="5" t="s">
        <v>68</v>
      </c>
      <c r="BZ306" s="5" t="s">
        <v>69</v>
      </c>
      <c r="CA306" s="5" t="s">
        <v>70</v>
      </c>
      <c r="CB306" s="5"/>
      <c r="CC306" s="5"/>
      <c r="CD306" s="5"/>
      <c r="CE306" s="5"/>
      <c r="CF306" s="5" t="s">
        <v>75</v>
      </c>
      <c r="CG306" s="5"/>
      <c r="CH306" s="5"/>
      <c r="CI306" s="5" t="s">
        <v>414</v>
      </c>
      <c r="CJ306" s="5">
        <v>18</v>
      </c>
      <c r="CK306" s="5" t="s">
        <v>141</v>
      </c>
      <c r="CL306" s="5" t="s">
        <v>459</v>
      </c>
      <c r="CM306" s="103" t="s">
        <v>418</v>
      </c>
      <c r="CN306" s="5" t="s">
        <v>419</v>
      </c>
      <c r="CO306" s="103" t="s">
        <v>82</v>
      </c>
      <c r="CP306" s="5" t="s">
        <v>83</v>
      </c>
      <c r="CQ306" s="5" t="s">
        <v>84</v>
      </c>
      <c r="CR306" s="103" t="s">
        <v>85</v>
      </c>
      <c r="CS306" s="103" t="s">
        <v>86</v>
      </c>
      <c r="CT306" s="5" t="s">
        <v>384</v>
      </c>
      <c r="CU306" s="5" t="s">
        <v>86</v>
      </c>
      <c r="CV306" s="5"/>
      <c r="CW306" s="5"/>
      <c r="CX306" s="5"/>
      <c r="CY306" s="5"/>
      <c r="CZ306" s="5"/>
      <c r="DA306" s="5"/>
    </row>
    <row r="307" spans="1:105">
      <c r="A307" s="5">
        <v>18015152631</v>
      </c>
      <c r="B307" s="5"/>
      <c r="C307" s="5"/>
      <c r="D307" s="5"/>
      <c r="E307" s="5"/>
      <c r="F307" s="5"/>
      <c r="G307" s="5"/>
      <c r="H307" s="5"/>
      <c r="I307" s="5"/>
      <c r="J307" s="5"/>
      <c r="K307" s="5" t="s">
        <v>25</v>
      </c>
      <c r="L307" s="5"/>
      <c r="M307" s="5"/>
      <c r="N307" s="5"/>
      <c r="O307" s="5"/>
      <c r="P307" s="5"/>
      <c r="Q307" s="5"/>
      <c r="R307" s="5"/>
      <c r="S307" s="5"/>
      <c r="T307" s="5"/>
      <c r="U307" s="5"/>
      <c r="V307" s="5"/>
      <c r="W307" s="5"/>
      <c r="X307" s="5"/>
      <c r="Y307" s="5"/>
      <c r="Z307" s="5"/>
      <c r="AA307" s="5"/>
      <c r="AB307" s="5" t="s">
        <v>28</v>
      </c>
      <c r="AC307" s="5"/>
      <c r="AD307" s="5"/>
      <c r="AE307" s="5"/>
      <c r="AF307" s="5"/>
      <c r="AG307" s="5"/>
      <c r="AH307" s="5"/>
      <c r="AI307" s="5" t="s">
        <v>34</v>
      </c>
      <c r="AJ307" s="5"/>
      <c r="AK307" s="5"/>
      <c r="AL307" s="5"/>
      <c r="AM307" s="5"/>
      <c r="AN307" s="5"/>
      <c r="AO307" s="5"/>
      <c r="AP307" s="5"/>
      <c r="AQ307" s="5"/>
      <c r="AR307" s="5"/>
      <c r="AS307" s="5"/>
      <c r="AT307" s="5"/>
      <c r="AU307" s="5" t="s">
        <v>43</v>
      </c>
      <c r="AV307" s="5"/>
      <c r="AW307" s="5"/>
      <c r="AX307" s="5"/>
      <c r="AY307" s="5"/>
      <c r="AZ307" s="5"/>
      <c r="BA307" s="5"/>
      <c r="BB307" s="5"/>
      <c r="BC307" s="5"/>
      <c r="BD307" s="5"/>
      <c r="BE307" s="5" t="s">
        <v>17</v>
      </c>
      <c r="BF307" s="5"/>
      <c r="BG307" s="5"/>
      <c r="BH307" s="5"/>
      <c r="BI307" s="5"/>
      <c r="BJ307" s="5"/>
      <c r="BK307" s="5"/>
      <c r="BL307" s="5"/>
      <c r="BM307" s="5"/>
      <c r="BN307" s="5"/>
      <c r="BO307" s="5"/>
      <c r="BP307" s="5"/>
      <c r="BQ307" s="5"/>
      <c r="BR307" s="5"/>
      <c r="BS307" s="5"/>
      <c r="BT307" s="5"/>
      <c r="BU307" s="5" t="s">
        <v>64</v>
      </c>
      <c r="BV307" s="5"/>
      <c r="BW307" s="5"/>
      <c r="BX307" s="5" t="s">
        <v>67</v>
      </c>
      <c r="BY307" s="5"/>
      <c r="BZ307" s="5"/>
      <c r="CA307" s="5"/>
      <c r="CB307" s="5"/>
      <c r="CC307" s="5"/>
      <c r="CD307" s="5"/>
      <c r="CE307" s="5"/>
      <c r="CF307" s="5"/>
      <c r="CG307" s="5"/>
      <c r="CH307" s="5"/>
      <c r="CI307" s="5" t="s">
        <v>417</v>
      </c>
      <c r="CJ307" s="5">
        <v>31</v>
      </c>
      <c r="CK307" s="5" t="s">
        <v>356</v>
      </c>
      <c r="CL307" s="5"/>
      <c r="CN307" s="5"/>
      <c r="CP307" s="5"/>
      <c r="CQ307" s="5"/>
      <c r="CT307" s="5"/>
      <c r="CU307" s="5"/>
      <c r="CV307" s="5"/>
      <c r="CW307" s="5"/>
      <c r="CX307" s="5"/>
      <c r="CY307" s="5"/>
      <c r="CZ307" s="5"/>
      <c r="DA307" s="5"/>
    </row>
    <row r="308" spans="1:105">
      <c r="A308" s="5">
        <v>18014932720</v>
      </c>
      <c r="B308" s="5"/>
      <c r="C308" s="5" t="s">
        <v>17</v>
      </c>
      <c r="D308" s="5"/>
      <c r="E308" s="5"/>
      <c r="F308" s="5"/>
      <c r="G308" s="5"/>
      <c r="H308" s="5"/>
      <c r="I308" s="5"/>
      <c r="J308" s="5"/>
      <c r="K308" s="5"/>
      <c r="L308" s="5" t="s">
        <v>26</v>
      </c>
      <c r="M308" s="5"/>
      <c r="N308" s="5"/>
      <c r="O308" s="5"/>
      <c r="P308" s="5"/>
      <c r="Q308" s="5" t="s">
        <v>17</v>
      </c>
      <c r="R308" s="5"/>
      <c r="S308" s="5"/>
      <c r="T308" s="5"/>
      <c r="U308" s="5"/>
      <c r="V308" s="5"/>
      <c r="W308" s="5" t="s">
        <v>23</v>
      </c>
      <c r="X308" s="5"/>
      <c r="Y308" s="5"/>
      <c r="Z308" s="5"/>
      <c r="AA308" s="5"/>
      <c r="AB308" s="5" t="s">
        <v>28</v>
      </c>
      <c r="AC308" s="5"/>
      <c r="AD308" s="5"/>
      <c r="AE308" s="5"/>
      <c r="AF308" s="5" t="s">
        <v>31</v>
      </c>
      <c r="AG308" s="5"/>
      <c r="AH308" s="5"/>
      <c r="AI308" s="5"/>
      <c r="AJ308" s="5"/>
      <c r="AK308" s="5"/>
      <c r="AL308" s="5"/>
      <c r="AM308" s="5"/>
      <c r="AN308" s="5"/>
      <c r="AO308" s="5" t="s">
        <v>38</v>
      </c>
      <c r="AP308" s="5"/>
      <c r="AQ308" s="5"/>
      <c r="AR308" s="5" t="s">
        <v>41</v>
      </c>
      <c r="AS308" s="5"/>
      <c r="AT308" s="5"/>
      <c r="AU308" s="5"/>
      <c r="AV308" s="5"/>
      <c r="AW308" s="5"/>
      <c r="AX308" s="5"/>
      <c r="AY308" s="5"/>
      <c r="AZ308" s="5"/>
      <c r="BA308" s="5"/>
      <c r="BB308" s="5"/>
      <c r="BC308" s="5"/>
      <c r="BD308" s="5" t="s">
        <v>51</v>
      </c>
      <c r="BE308" s="5" t="s">
        <v>17</v>
      </c>
      <c r="BF308" s="5"/>
      <c r="BG308" s="5"/>
      <c r="BH308" s="5"/>
      <c r="BI308" s="5"/>
      <c r="BJ308" s="5"/>
      <c r="BK308" s="5"/>
      <c r="BL308" s="5"/>
      <c r="BM308" s="5"/>
      <c r="BN308" s="5"/>
      <c r="BO308" s="5"/>
      <c r="BP308" s="5"/>
      <c r="BQ308" s="5"/>
      <c r="BR308" s="5"/>
      <c r="BS308" s="5" t="s">
        <v>63</v>
      </c>
      <c r="BT308" s="5"/>
      <c r="BU308" s="5" t="s">
        <v>64</v>
      </c>
      <c r="BV308" s="5"/>
      <c r="BW308" s="5"/>
      <c r="BX308" s="5" t="s">
        <v>67</v>
      </c>
      <c r="BY308" s="5"/>
      <c r="BZ308" s="5"/>
      <c r="CA308" s="5"/>
      <c r="CB308" s="5"/>
      <c r="CC308" s="5"/>
      <c r="CD308" s="5"/>
      <c r="CE308" s="5"/>
      <c r="CF308" s="5" t="s">
        <v>75</v>
      </c>
      <c r="CG308" s="5"/>
      <c r="CH308" s="5"/>
      <c r="CI308" s="5" t="s">
        <v>414</v>
      </c>
      <c r="CJ308" s="5">
        <v>45</v>
      </c>
      <c r="CK308" s="5" t="s">
        <v>141</v>
      </c>
      <c r="CL308" s="5" t="s">
        <v>164</v>
      </c>
      <c r="CM308" s="103" t="s">
        <v>436</v>
      </c>
      <c r="CN308" s="5" t="s">
        <v>419</v>
      </c>
      <c r="CO308" s="103" t="s">
        <v>82</v>
      </c>
      <c r="CP308" s="5" t="s">
        <v>83</v>
      </c>
      <c r="CQ308" s="5" t="s">
        <v>111</v>
      </c>
      <c r="CR308" s="103" t="s">
        <v>105</v>
      </c>
      <c r="CS308" s="103" t="s">
        <v>86</v>
      </c>
      <c r="CT308" s="5" t="s">
        <v>384</v>
      </c>
      <c r="CU308" s="5" t="s">
        <v>86</v>
      </c>
      <c r="CV308" s="5"/>
      <c r="CW308" s="5"/>
      <c r="CX308" s="5"/>
      <c r="CY308" s="5"/>
      <c r="CZ308" s="5"/>
      <c r="DA308" s="5"/>
    </row>
    <row r="309" spans="1:105">
      <c r="A309" s="5">
        <v>18014930527</v>
      </c>
      <c r="B309" s="5"/>
      <c r="C309" s="5" t="s">
        <v>17</v>
      </c>
      <c r="D309" s="5"/>
      <c r="E309" s="5"/>
      <c r="F309" s="5"/>
      <c r="G309" s="5"/>
      <c r="H309" s="5"/>
      <c r="I309" s="5"/>
      <c r="J309" s="5"/>
      <c r="K309" s="5" t="s">
        <v>25</v>
      </c>
      <c r="L309" s="5" t="s">
        <v>26</v>
      </c>
      <c r="M309" s="5"/>
      <c r="N309" s="5"/>
      <c r="O309" s="5"/>
      <c r="P309" s="5"/>
      <c r="Q309" s="5"/>
      <c r="R309" s="5" t="s">
        <v>18</v>
      </c>
      <c r="S309" s="5"/>
      <c r="T309" s="5"/>
      <c r="U309" s="5"/>
      <c r="V309" s="5"/>
      <c r="W309" s="5"/>
      <c r="X309" s="5" t="s">
        <v>24</v>
      </c>
      <c r="Y309" s="5"/>
      <c r="Z309" s="5"/>
      <c r="AA309" s="5"/>
      <c r="AB309" s="5" t="s">
        <v>28</v>
      </c>
      <c r="AC309" s="5"/>
      <c r="AD309" s="5"/>
      <c r="AE309" s="5"/>
      <c r="AF309" s="5"/>
      <c r="AG309" s="5"/>
      <c r="AH309" s="5"/>
      <c r="AI309" s="5"/>
      <c r="AJ309" s="5"/>
      <c r="AK309" s="5"/>
      <c r="AL309" s="5"/>
      <c r="AM309" s="5" t="s">
        <v>375</v>
      </c>
      <c r="AN309" s="5"/>
      <c r="AO309" s="5" t="s">
        <v>38</v>
      </c>
      <c r="AP309" s="5" t="s">
        <v>39</v>
      </c>
      <c r="AQ309" s="5"/>
      <c r="AR309" s="5" t="s">
        <v>41</v>
      </c>
      <c r="AS309" s="5"/>
      <c r="AT309" s="5"/>
      <c r="AU309" s="5"/>
      <c r="AV309" s="5"/>
      <c r="AW309" s="5"/>
      <c r="AX309" s="5"/>
      <c r="AY309" s="5"/>
      <c r="AZ309" s="5"/>
      <c r="BA309" s="5"/>
      <c r="BB309" s="5"/>
      <c r="BC309" s="5"/>
      <c r="BD309" s="5"/>
      <c r="BE309" s="5" t="s">
        <v>17</v>
      </c>
      <c r="BF309" s="5"/>
      <c r="BG309" s="5"/>
      <c r="BH309" s="5" t="s">
        <v>54</v>
      </c>
      <c r="BI309" s="5"/>
      <c r="BJ309" s="5"/>
      <c r="BK309" s="5"/>
      <c r="BL309" s="5"/>
      <c r="BM309" s="5"/>
      <c r="BN309" s="5"/>
      <c r="BO309" s="5"/>
      <c r="BP309" s="5"/>
      <c r="BQ309" s="5"/>
      <c r="BR309" s="5"/>
      <c r="BS309" s="5" t="s">
        <v>63</v>
      </c>
      <c r="BT309" s="5"/>
      <c r="BU309" s="5"/>
      <c r="BV309" s="5"/>
      <c r="BW309" s="5" t="s">
        <v>66</v>
      </c>
      <c r="BX309" s="5"/>
      <c r="BY309" s="5"/>
      <c r="BZ309" s="5" t="s">
        <v>69</v>
      </c>
      <c r="CA309" s="5"/>
      <c r="CB309" s="5"/>
      <c r="CC309" s="5"/>
      <c r="CD309" s="5"/>
      <c r="CE309" s="5"/>
      <c r="CF309" s="5" t="s">
        <v>75</v>
      </c>
      <c r="CG309" s="5"/>
      <c r="CH309" s="5"/>
      <c r="CI309" s="5" t="s">
        <v>417</v>
      </c>
      <c r="CJ309" s="5">
        <v>44</v>
      </c>
      <c r="CK309" s="5" t="s">
        <v>141</v>
      </c>
      <c r="CL309" s="5" t="s">
        <v>164</v>
      </c>
      <c r="CM309" s="103" t="s">
        <v>436</v>
      </c>
      <c r="CN309" s="5" t="s">
        <v>419</v>
      </c>
      <c r="CO309" s="103" t="s">
        <v>82</v>
      </c>
      <c r="CP309" s="5" t="s">
        <v>83</v>
      </c>
      <c r="CQ309" s="5" t="s">
        <v>111</v>
      </c>
      <c r="CR309" s="103" t="s">
        <v>105</v>
      </c>
      <c r="CS309" s="103" t="s">
        <v>86</v>
      </c>
      <c r="CT309" s="5" t="s">
        <v>384</v>
      </c>
      <c r="CU309" s="5" t="s">
        <v>86</v>
      </c>
      <c r="CV309" s="5"/>
      <c r="CW309" s="5"/>
      <c r="CX309" s="5"/>
      <c r="CY309" s="5"/>
      <c r="CZ309" s="5"/>
      <c r="DA309" s="5"/>
    </row>
    <row r="310" spans="1:105">
      <c r="A310" s="5">
        <v>18014783155</v>
      </c>
      <c r="B310" s="5" t="s">
        <v>16</v>
      </c>
      <c r="C310" s="5"/>
      <c r="D310" s="5"/>
      <c r="E310" s="5"/>
      <c r="F310" s="5"/>
      <c r="G310" s="5"/>
      <c r="H310" s="5"/>
      <c r="I310" s="5"/>
      <c r="J310" s="5"/>
      <c r="K310" s="5"/>
      <c r="L310" s="5"/>
      <c r="M310" s="5"/>
      <c r="N310" s="5"/>
      <c r="O310" s="5"/>
      <c r="P310" s="5" t="s">
        <v>16</v>
      </c>
      <c r="Q310" s="5"/>
      <c r="R310" s="5"/>
      <c r="S310" s="5"/>
      <c r="T310" s="5"/>
      <c r="U310" s="5"/>
      <c r="V310" s="5"/>
      <c r="W310" s="5"/>
      <c r="X310" s="5"/>
      <c r="Y310" s="5"/>
      <c r="Z310" s="5"/>
      <c r="AA310" s="5"/>
      <c r="AB310" s="5"/>
      <c r="AC310" s="5"/>
      <c r="AD310" s="5" t="s">
        <v>29</v>
      </c>
      <c r="AE310" s="5"/>
      <c r="AF310" s="5"/>
      <c r="AG310" s="5"/>
      <c r="AH310" s="5"/>
      <c r="AI310" s="5"/>
      <c r="AJ310" s="5"/>
      <c r="AK310" s="5"/>
      <c r="AL310" s="5"/>
      <c r="AM310" s="5"/>
      <c r="AN310" s="5"/>
      <c r="AO310" s="5" t="s">
        <v>38</v>
      </c>
      <c r="AP310" s="5"/>
      <c r="AQ310" s="5"/>
      <c r="AR310" s="5"/>
      <c r="AS310" s="5"/>
      <c r="AT310" s="5"/>
      <c r="AU310" s="5"/>
      <c r="AV310" s="5"/>
      <c r="AW310" s="5"/>
      <c r="AX310" s="5"/>
      <c r="AY310" s="5"/>
      <c r="AZ310" s="5"/>
      <c r="BA310" s="5"/>
      <c r="BB310" s="5" t="s">
        <v>49</v>
      </c>
      <c r="BC310" s="5"/>
      <c r="BD310" s="5"/>
      <c r="BE310" s="5"/>
      <c r="BF310" s="5"/>
      <c r="BG310" s="5"/>
      <c r="BH310" s="5"/>
      <c r="BI310" s="5"/>
      <c r="BJ310" s="5"/>
      <c r="BK310" s="5"/>
      <c r="BL310" s="5"/>
      <c r="BM310" s="5"/>
      <c r="BN310" s="5"/>
      <c r="BO310" s="5"/>
      <c r="BP310" s="5"/>
      <c r="BQ310" s="5"/>
      <c r="BR310" s="5"/>
      <c r="BS310" s="5"/>
      <c r="BT310" s="5"/>
      <c r="BU310" s="5" t="s">
        <v>64</v>
      </c>
      <c r="BV310" s="5"/>
      <c r="BW310" s="5"/>
      <c r="BX310" s="5"/>
      <c r="BY310" s="5"/>
      <c r="BZ310" s="5"/>
      <c r="CA310" s="5"/>
      <c r="CB310" s="5"/>
      <c r="CC310" s="5"/>
      <c r="CD310" s="5"/>
      <c r="CE310" s="5"/>
      <c r="CF310" s="5"/>
      <c r="CG310" s="5"/>
      <c r="CH310" s="5"/>
      <c r="CI310" s="5"/>
      <c r="CJ310" s="5"/>
      <c r="CK310" s="5"/>
      <c r="CL310" s="5"/>
      <c r="CN310" s="5"/>
      <c r="CP310" s="5"/>
      <c r="CQ310" s="5"/>
      <c r="CT310" s="5"/>
      <c r="CU310" s="5"/>
      <c r="CV310" s="5"/>
      <c r="CW310" s="5"/>
      <c r="CX310" s="5"/>
      <c r="CY310" s="5"/>
      <c r="CZ310" s="5"/>
      <c r="DA310" s="5"/>
    </row>
    <row r="311" spans="1:105">
      <c r="A311" s="5">
        <v>18014743256</v>
      </c>
      <c r="B311" s="5"/>
      <c r="C311" s="5" t="s">
        <v>17</v>
      </c>
      <c r="D311" s="5"/>
      <c r="E311" s="5"/>
      <c r="F311" s="5"/>
      <c r="G311" s="5"/>
      <c r="H311" s="5" t="s">
        <v>22</v>
      </c>
      <c r="I311" s="5"/>
      <c r="J311" s="5"/>
      <c r="K311" s="5"/>
      <c r="L311" s="5"/>
      <c r="M311" s="5"/>
      <c r="N311" s="5" t="s">
        <v>28</v>
      </c>
      <c r="O311" s="5"/>
      <c r="P311" s="5"/>
      <c r="Q311" s="5"/>
      <c r="R311" s="5"/>
      <c r="S311" s="5"/>
      <c r="T311" s="5"/>
      <c r="U311" s="5"/>
      <c r="V311" s="5"/>
      <c r="W311" s="5"/>
      <c r="X311" s="5"/>
      <c r="Y311" s="5" t="s">
        <v>25</v>
      </c>
      <c r="Z311" s="5"/>
      <c r="AA311" s="5"/>
      <c r="AB311" s="5" t="s">
        <v>28</v>
      </c>
      <c r="AC311" s="5"/>
      <c r="AD311" s="5"/>
      <c r="AE311" s="5"/>
      <c r="AF311" s="5"/>
      <c r="AG311" s="5"/>
      <c r="AH311" s="5"/>
      <c r="AI311" s="5"/>
      <c r="AJ311" s="5"/>
      <c r="AK311" s="5"/>
      <c r="AL311" s="5"/>
      <c r="AM311" s="5" t="s">
        <v>375</v>
      </c>
      <c r="AN311" s="5"/>
      <c r="AO311" s="5"/>
      <c r="AP311" s="5"/>
      <c r="AQ311" s="5"/>
      <c r="AR311" s="5"/>
      <c r="AS311" s="5" t="s">
        <v>42</v>
      </c>
      <c r="AT311" s="5"/>
      <c r="AU311" s="5" t="s">
        <v>43</v>
      </c>
      <c r="AV311" s="5" t="s">
        <v>44</v>
      </c>
      <c r="AW311" s="5" t="s">
        <v>45</v>
      </c>
      <c r="AX311" s="5"/>
      <c r="AY311" s="5" t="s">
        <v>47</v>
      </c>
      <c r="AZ311" s="5"/>
      <c r="BA311" s="5"/>
      <c r="BB311" s="5" t="s">
        <v>49</v>
      </c>
      <c r="BC311" s="5"/>
      <c r="BD311" s="5"/>
      <c r="BE311" s="5"/>
      <c r="BF311" s="5"/>
      <c r="BG311" s="5" t="s">
        <v>53</v>
      </c>
      <c r="BH311" s="5"/>
      <c r="BI311" s="5" t="s">
        <v>55</v>
      </c>
      <c r="BJ311" s="5"/>
      <c r="BK311" s="5"/>
      <c r="BL311" s="5"/>
      <c r="BM311" s="5"/>
      <c r="BN311" s="5"/>
      <c r="BO311" s="5"/>
      <c r="BP311" s="5"/>
      <c r="BQ311" s="5"/>
      <c r="BR311" s="5"/>
      <c r="BS311" s="5"/>
      <c r="BT311" s="5"/>
      <c r="BU311" s="5" t="s">
        <v>64</v>
      </c>
      <c r="BV311" s="5"/>
      <c r="BW311" s="5"/>
      <c r="BX311" s="5"/>
      <c r="BY311" s="5"/>
      <c r="BZ311" s="5"/>
      <c r="CA311" s="5"/>
      <c r="CB311" s="5"/>
      <c r="CC311" s="5"/>
      <c r="CD311" s="5"/>
      <c r="CE311" s="5"/>
      <c r="CF311" s="5"/>
      <c r="CG311" s="5"/>
      <c r="CH311" s="5"/>
      <c r="CI311" s="5" t="s">
        <v>417</v>
      </c>
      <c r="CJ311" s="5">
        <v>54</v>
      </c>
      <c r="CK311" s="5" t="s">
        <v>141</v>
      </c>
      <c r="CL311" s="5" t="s">
        <v>179</v>
      </c>
      <c r="CM311" s="103" t="s">
        <v>418</v>
      </c>
      <c r="CN311" s="5" t="s">
        <v>419</v>
      </c>
      <c r="CO311" s="103" t="s">
        <v>82</v>
      </c>
      <c r="CP311" s="5" t="s">
        <v>83</v>
      </c>
      <c r="CQ311" s="5" t="s">
        <v>103</v>
      </c>
      <c r="CR311" s="103" t="s">
        <v>85</v>
      </c>
      <c r="CS311" s="103" t="s">
        <v>86</v>
      </c>
      <c r="CT311" s="5" t="s">
        <v>384</v>
      </c>
      <c r="CU311" s="5" t="s">
        <v>86</v>
      </c>
      <c r="CV311" s="5"/>
      <c r="CW311" s="5"/>
      <c r="CX311" s="5"/>
      <c r="CY311" s="5"/>
      <c r="CZ311" s="5"/>
      <c r="DA311" s="5"/>
    </row>
    <row r="312" spans="1:105">
      <c r="A312" s="5">
        <v>18014731066</v>
      </c>
      <c r="B312" s="5"/>
      <c r="C312" s="5"/>
      <c r="D312" s="5"/>
      <c r="E312" s="5" t="s">
        <v>19</v>
      </c>
      <c r="F312" s="5"/>
      <c r="G312" s="5" t="s">
        <v>21</v>
      </c>
      <c r="H312" s="5"/>
      <c r="I312" s="5"/>
      <c r="J312" s="5"/>
      <c r="K312" s="5" t="s">
        <v>25</v>
      </c>
      <c r="L312" s="5"/>
      <c r="M312" s="5"/>
      <c r="N312" s="5"/>
      <c r="O312" s="5"/>
      <c r="P312" s="5"/>
      <c r="Q312" s="5"/>
      <c r="R312" s="5"/>
      <c r="S312" s="5"/>
      <c r="T312" s="5"/>
      <c r="U312" s="5" t="s">
        <v>21</v>
      </c>
      <c r="V312" s="5" t="s">
        <v>22</v>
      </c>
      <c r="W312" s="5" t="s">
        <v>23</v>
      </c>
      <c r="X312" s="5"/>
      <c r="Y312" s="5"/>
      <c r="Z312" s="5"/>
      <c r="AA312" s="5"/>
      <c r="AB312" s="5"/>
      <c r="AC312" s="5"/>
      <c r="AD312" s="5"/>
      <c r="AE312" s="5"/>
      <c r="AF312" s="5" t="s">
        <v>31</v>
      </c>
      <c r="AG312" s="5"/>
      <c r="AH312" s="5"/>
      <c r="AI312" s="5"/>
      <c r="AJ312" s="5"/>
      <c r="AK312" s="5"/>
      <c r="AL312" s="5"/>
      <c r="AM312" s="5"/>
      <c r="AN312" s="5"/>
      <c r="AO312" s="5"/>
      <c r="AP312" s="5" t="s">
        <v>39</v>
      </c>
      <c r="AQ312" s="5"/>
      <c r="AR312" s="5"/>
      <c r="AS312" s="5"/>
      <c r="AT312" s="5"/>
      <c r="AU312" s="5"/>
      <c r="AV312" s="5"/>
      <c r="AW312" s="5"/>
      <c r="AX312" s="5"/>
      <c r="AY312" s="5"/>
      <c r="AZ312" s="5" t="s">
        <v>48</v>
      </c>
      <c r="BA312" s="5"/>
      <c r="BB312" s="5" t="s">
        <v>49</v>
      </c>
      <c r="BC312" s="5"/>
      <c r="BD312" s="5"/>
      <c r="BE312" s="5"/>
      <c r="BF312" s="5"/>
      <c r="BG312" s="5"/>
      <c r="BH312" s="5"/>
      <c r="BI312" s="5"/>
      <c r="BJ312" s="5"/>
      <c r="BK312" s="5"/>
      <c r="BL312" s="5"/>
      <c r="BM312" s="5"/>
      <c r="BN312" s="5"/>
      <c r="BO312" s="5"/>
      <c r="BP312" s="5" t="s">
        <v>60</v>
      </c>
      <c r="BQ312" s="5"/>
      <c r="BR312" s="5" t="s">
        <v>62</v>
      </c>
      <c r="BS312" s="5"/>
      <c r="BT312" s="5"/>
      <c r="BU312" s="5" t="s">
        <v>64</v>
      </c>
      <c r="BV312" s="5"/>
      <c r="BW312" s="5"/>
      <c r="BX312" s="5"/>
      <c r="BY312" s="5"/>
      <c r="BZ312" s="5"/>
      <c r="CA312" s="5" t="s">
        <v>70</v>
      </c>
      <c r="CB312" s="5"/>
      <c r="CC312" s="5"/>
      <c r="CD312" s="5" t="s">
        <v>73</v>
      </c>
      <c r="CE312" s="5"/>
      <c r="CF312" s="5"/>
      <c r="CG312" s="5"/>
      <c r="CH312" s="5"/>
      <c r="CI312" s="5" t="s">
        <v>414</v>
      </c>
      <c r="CJ312" s="5">
        <v>40</v>
      </c>
      <c r="CK312" s="5" t="s">
        <v>141</v>
      </c>
      <c r="CL312" s="5" t="s">
        <v>173</v>
      </c>
      <c r="CM312" s="103" t="s">
        <v>418</v>
      </c>
      <c r="CN312" s="5" t="s">
        <v>419</v>
      </c>
      <c r="CO312" s="103" t="s">
        <v>82</v>
      </c>
      <c r="CP312" s="5" t="s">
        <v>83</v>
      </c>
      <c r="CQ312" s="5" t="s">
        <v>103</v>
      </c>
      <c r="CR312" s="103" t="s">
        <v>85</v>
      </c>
      <c r="CS312" s="103" t="s">
        <v>86</v>
      </c>
      <c r="CT312" s="5" t="s">
        <v>384</v>
      </c>
      <c r="CU312" s="5" t="s">
        <v>86</v>
      </c>
      <c r="CV312" s="5"/>
      <c r="CW312" s="5"/>
      <c r="CX312" s="5"/>
      <c r="CY312" s="5"/>
      <c r="CZ312" s="5"/>
      <c r="DA312" s="5"/>
    </row>
    <row r="313" spans="1:105">
      <c r="A313" s="5">
        <v>18014717463</v>
      </c>
      <c r="B313" s="5"/>
      <c r="C313" s="5" t="s">
        <v>17</v>
      </c>
      <c r="D313" s="5"/>
      <c r="E313" s="5"/>
      <c r="F313" s="5"/>
      <c r="G313" s="5"/>
      <c r="H313" s="5" t="s">
        <v>22</v>
      </c>
      <c r="I313" s="5"/>
      <c r="J313" s="5"/>
      <c r="K313" s="5"/>
      <c r="L313" s="5"/>
      <c r="M313" s="5"/>
      <c r="N313" s="5" t="s">
        <v>28</v>
      </c>
      <c r="O313" s="5"/>
      <c r="P313" s="5"/>
      <c r="Q313" s="5"/>
      <c r="R313" s="5"/>
      <c r="S313" s="5" t="s">
        <v>19</v>
      </c>
      <c r="T313" s="5"/>
      <c r="U313" s="5"/>
      <c r="V313" s="5"/>
      <c r="W313" s="5"/>
      <c r="X313" s="5"/>
      <c r="Y313" s="5" t="s">
        <v>25</v>
      </c>
      <c r="Z313" s="5"/>
      <c r="AA313" s="5"/>
      <c r="AB313" s="5" t="s">
        <v>28</v>
      </c>
      <c r="AC313" s="5"/>
      <c r="AD313" s="5" t="s">
        <v>29</v>
      </c>
      <c r="AE313" s="5"/>
      <c r="AF313" s="5"/>
      <c r="AG313" s="5"/>
      <c r="AH313" s="5"/>
      <c r="AI313" s="5" t="s">
        <v>34</v>
      </c>
      <c r="AJ313" s="5"/>
      <c r="AK313" s="5"/>
      <c r="AL313" s="5"/>
      <c r="AM313" s="5" t="s">
        <v>375</v>
      </c>
      <c r="AN313" s="5"/>
      <c r="AO313" s="5" t="s">
        <v>38</v>
      </c>
      <c r="AP313" s="5"/>
      <c r="AQ313" s="5"/>
      <c r="AR313" s="5"/>
      <c r="AS313" s="5" t="s">
        <v>42</v>
      </c>
      <c r="AT313" s="5"/>
      <c r="AU313" s="5"/>
      <c r="AV313" s="5"/>
      <c r="AW313" s="5"/>
      <c r="AX313" s="5"/>
      <c r="AY313" s="5" t="s">
        <v>47</v>
      </c>
      <c r="AZ313" s="5"/>
      <c r="BA313" s="5"/>
      <c r="BB313" s="5"/>
      <c r="BC313" s="5"/>
      <c r="BD313" s="5" t="s">
        <v>51</v>
      </c>
      <c r="BE313" s="5"/>
      <c r="BF313" s="5" t="s">
        <v>52</v>
      </c>
      <c r="BG313" s="5"/>
      <c r="BH313" s="5"/>
      <c r="BI313" s="5"/>
      <c r="BJ313" s="5"/>
      <c r="BK313" s="5"/>
      <c r="BL313" s="5"/>
      <c r="BM313" s="5"/>
      <c r="BN313" s="5"/>
      <c r="BO313" s="5"/>
      <c r="BP313" s="5"/>
      <c r="BQ313" s="5"/>
      <c r="BR313" s="5" t="s">
        <v>62</v>
      </c>
      <c r="BS313" s="5"/>
      <c r="BT313" s="5"/>
      <c r="BU313" s="5"/>
      <c r="BV313" s="5"/>
      <c r="BW313" s="5" t="s">
        <v>66</v>
      </c>
      <c r="BX313" s="5"/>
      <c r="BY313" s="5"/>
      <c r="BZ313" s="5" t="s">
        <v>69</v>
      </c>
      <c r="CA313" s="5"/>
      <c r="CB313" s="5"/>
      <c r="CC313" s="5" t="s">
        <v>72</v>
      </c>
      <c r="CD313" s="5"/>
      <c r="CE313" s="5"/>
      <c r="CF313" s="5" t="s">
        <v>75</v>
      </c>
      <c r="CG313" s="5" t="s">
        <v>76</v>
      </c>
      <c r="CH313" s="5"/>
      <c r="CI313" s="5" t="s">
        <v>414</v>
      </c>
      <c r="CJ313" s="5">
        <v>36</v>
      </c>
      <c r="CK313" s="5" t="s">
        <v>80</v>
      </c>
      <c r="CL313" s="5" t="s">
        <v>128</v>
      </c>
      <c r="CM313" s="103" t="s">
        <v>436</v>
      </c>
      <c r="CN313" s="5" t="s">
        <v>416</v>
      </c>
      <c r="CO313" s="103" t="s">
        <v>82</v>
      </c>
      <c r="CP313" s="5" t="s">
        <v>93</v>
      </c>
      <c r="CQ313" s="5" t="s">
        <v>84</v>
      </c>
      <c r="CR313" s="103" t="s">
        <v>85</v>
      </c>
      <c r="CS313" s="103" t="s">
        <v>86</v>
      </c>
      <c r="CT313" s="5" t="s">
        <v>384</v>
      </c>
      <c r="CU313" s="5" t="s">
        <v>86</v>
      </c>
      <c r="CV313" s="5"/>
      <c r="CW313" s="5"/>
      <c r="CX313" s="5"/>
      <c r="CY313" s="5"/>
      <c r="CZ313" s="5"/>
      <c r="DA313" s="5"/>
    </row>
    <row r="314" spans="1:105">
      <c r="A314" s="5">
        <v>18014645318</v>
      </c>
      <c r="B314" s="5"/>
      <c r="C314" s="5" t="s">
        <v>17</v>
      </c>
      <c r="D314" s="5"/>
      <c r="E314" s="5"/>
      <c r="F314" s="5"/>
      <c r="G314" s="5"/>
      <c r="H314" s="5"/>
      <c r="I314" s="5"/>
      <c r="J314" s="5"/>
      <c r="K314" s="5"/>
      <c r="L314" s="5" t="s">
        <v>26</v>
      </c>
      <c r="M314" s="5"/>
      <c r="N314" s="5" t="s">
        <v>28</v>
      </c>
      <c r="O314" s="5"/>
      <c r="P314" s="5"/>
      <c r="Q314" s="5"/>
      <c r="R314" s="5"/>
      <c r="S314" s="5" t="s">
        <v>19</v>
      </c>
      <c r="T314" s="5"/>
      <c r="U314" s="5"/>
      <c r="V314" s="5"/>
      <c r="W314" s="5" t="s">
        <v>23</v>
      </c>
      <c r="X314" s="5"/>
      <c r="Y314" s="5"/>
      <c r="Z314" s="5"/>
      <c r="AA314" s="5"/>
      <c r="AB314" s="5" t="s">
        <v>28</v>
      </c>
      <c r="AC314" s="5"/>
      <c r="AD314" s="5"/>
      <c r="AE314" s="5" t="s">
        <v>30</v>
      </c>
      <c r="AF314" s="5" t="s">
        <v>31</v>
      </c>
      <c r="AG314" s="5"/>
      <c r="AH314" s="5"/>
      <c r="AI314" s="5"/>
      <c r="AJ314" s="5"/>
      <c r="AK314" s="5"/>
      <c r="AL314" s="5"/>
      <c r="AM314" s="5"/>
      <c r="AN314" s="5"/>
      <c r="AO314" s="5"/>
      <c r="AP314" s="5" t="s">
        <v>39</v>
      </c>
      <c r="AQ314" s="5"/>
      <c r="AR314" s="5"/>
      <c r="AS314" s="5"/>
      <c r="AT314" s="5"/>
      <c r="AU314" s="5"/>
      <c r="AV314" s="5"/>
      <c r="AW314" s="5" t="s">
        <v>45</v>
      </c>
      <c r="AX314" s="5"/>
      <c r="AY314" s="5"/>
      <c r="AZ314" s="5" t="s">
        <v>48</v>
      </c>
      <c r="BA314" s="5"/>
      <c r="BB314" s="5"/>
      <c r="BC314" s="5"/>
      <c r="BD314" s="5"/>
      <c r="BE314" s="5"/>
      <c r="BF314" s="5" t="s">
        <v>52</v>
      </c>
      <c r="BG314" s="5"/>
      <c r="BH314" s="5"/>
      <c r="BI314" s="5"/>
      <c r="BJ314" s="5"/>
      <c r="BK314" s="5" t="s">
        <v>57</v>
      </c>
      <c r="BL314" s="5"/>
      <c r="BM314" s="5"/>
      <c r="BN314" s="5"/>
      <c r="BO314" s="5"/>
      <c r="BP314" s="5"/>
      <c r="BQ314" s="5"/>
      <c r="BR314" s="5" t="s">
        <v>62</v>
      </c>
      <c r="BS314" s="5"/>
      <c r="BT314" s="5"/>
      <c r="BU314" s="5" t="s">
        <v>64</v>
      </c>
      <c r="BV314" s="5"/>
      <c r="BW314" s="5"/>
      <c r="BX314" s="5" t="s">
        <v>67</v>
      </c>
      <c r="BY314" s="5"/>
      <c r="BZ314" s="5"/>
      <c r="CA314" s="5"/>
      <c r="CB314" s="5"/>
      <c r="CC314" s="5"/>
      <c r="CD314" s="5"/>
      <c r="CE314" s="5"/>
      <c r="CF314" s="5" t="s">
        <v>75</v>
      </c>
      <c r="CG314" s="5"/>
      <c r="CH314" s="5"/>
      <c r="CI314" s="5" t="s">
        <v>414</v>
      </c>
      <c r="CJ314" s="5">
        <v>55</v>
      </c>
      <c r="CK314" s="5" t="s">
        <v>141</v>
      </c>
      <c r="CL314" s="5" t="s">
        <v>172</v>
      </c>
      <c r="CM314" s="103" t="s">
        <v>418</v>
      </c>
      <c r="CN314" s="5" t="s">
        <v>419</v>
      </c>
      <c r="CO314" s="103" t="s">
        <v>82</v>
      </c>
      <c r="CP314" s="5" t="s">
        <v>90</v>
      </c>
      <c r="CQ314" s="5" t="s">
        <v>88</v>
      </c>
      <c r="CR314" s="103" t="s">
        <v>85</v>
      </c>
      <c r="CS314" s="103" t="s">
        <v>86</v>
      </c>
      <c r="CT314" s="5" t="s">
        <v>384</v>
      </c>
      <c r="CU314" s="5" t="s">
        <v>86</v>
      </c>
      <c r="CV314" s="5"/>
      <c r="CW314" s="5"/>
      <c r="CX314" s="5"/>
      <c r="CY314" s="5"/>
      <c r="CZ314" s="5"/>
      <c r="DA314" s="5"/>
    </row>
    <row r="315" spans="1:105">
      <c r="A315" s="5">
        <v>18014644097</v>
      </c>
      <c r="B315" s="5"/>
      <c r="C315" s="5"/>
      <c r="D315" s="5"/>
      <c r="E315" s="5"/>
      <c r="F315" s="5"/>
      <c r="G315" s="5" t="s">
        <v>21</v>
      </c>
      <c r="H315" s="5"/>
      <c r="I315" s="5"/>
      <c r="J315" s="5"/>
      <c r="K315" s="5" t="s">
        <v>25</v>
      </c>
      <c r="L315" s="5" t="s">
        <v>26</v>
      </c>
      <c r="M315" s="5"/>
      <c r="N315" s="5"/>
      <c r="O315" s="5"/>
      <c r="P315" s="5"/>
      <c r="Q315" s="5" t="s">
        <v>17</v>
      </c>
      <c r="R315" s="5"/>
      <c r="S315" s="5"/>
      <c r="T315" s="5"/>
      <c r="U315" s="5" t="s">
        <v>21</v>
      </c>
      <c r="V315" s="5"/>
      <c r="W315" s="5" t="s">
        <v>23</v>
      </c>
      <c r="X315" s="5"/>
      <c r="Y315" s="5"/>
      <c r="Z315" s="5"/>
      <c r="AA315" s="5"/>
      <c r="AB315" s="5"/>
      <c r="AC315" s="5"/>
      <c r="AD315" s="5" t="s">
        <v>29</v>
      </c>
      <c r="AE315" s="5"/>
      <c r="AF315" s="5"/>
      <c r="AG315" s="5"/>
      <c r="AH315" s="5"/>
      <c r="AI315" s="5" t="s">
        <v>34</v>
      </c>
      <c r="AJ315" s="5"/>
      <c r="AK315" s="5"/>
      <c r="AL315" s="5"/>
      <c r="AM315" s="5" t="s">
        <v>375</v>
      </c>
      <c r="AN315" s="5"/>
      <c r="AO315" s="5"/>
      <c r="AP315" s="5" t="s">
        <v>39</v>
      </c>
      <c r="AQ315" s="5"/>
      <c r="AR315" s="5" t="s">
        <v>41</v>
      </c>
      <c r="AS315" s="5"/>
      <c r="AT315" s="5"/>
      <c r="AU315" s="5"/>
      <c r="AV315" s="5" t="s">
        <v>44</v>
      </c>
      <c r="AW315" s="5"/>
      <c r="AX315" s="5"/>
      <c r="AY315" s="5"/>
      <c r="AZ315" s="5"/>
      <c r="BA315" s="5"/>
      <c r="BB315" s="5"/>
      <c r="BC315" s="5"/>
      <c r="BD315" s="5" t="s">
        <v>51</v>
      </c>
      <c r="BE315" s="5"/>
      <c r="BF315" s="5"/>
      <c r="BG315" s="5"/>
      <c r="BH315" s="5"/>
      <c r="BI315" s="5"/>
      <c r="BJ315" s="5"/>
      <c r="BK315" s="5"/>
      <c r="BL315" s="5"/>
      <c r="BM315" s="5" t="s">
        <v>59</v>
      </c>
      <c r="BN315" s="5"/>
      <c r="BO315" s="5"/>
      <c r="BP315" s="5"/>
      <c r="BQ315" s="5" t="s">
        <v>61</v>
      </c>
      <c r="BR315" s="5"/>
      <c r="BS315" s="5"/>
      <c r="BT315" s="5"/>
      <c r="BU315" s="5" t="s">
        <v>64</v>
      </c>
      <c r="BV315" s="5"/>
      <c r="BW315" s="5"/>
      <c r="BX315" s="5"/>
      <c r="BY315" s="5"/>
      <c r="BZ315" s="5"/>
      <c r="CA315" s="5" t="s">
        <v>70</v>
      </c>
      <c r="CB315" s="5"/>
      <c r="CC315" s="5"/>
      <c r="CD315" s="5" t="s">
        <v>73</v>
      </c>
      <c r="CE315" s="5"/>
      <c r="CF315" s="5"/>
      <c r="CG315" s="5"/>
      <c r="CH315" s="5"/>
      <c r="CI315" s="5" t="s">
        <v>414</v>
      </c>
      <c r="CJ315" s="5">
        <v>73</v>
      </c>
      <c r="CK315" s="5" t="s">
        <v>141</v>
      </c>
      <c r="CL315" s="5" t="s">
        <v>184</v>
      </c>
      <c r="CM315" s="103" t="s">
        <v>418</v>
      </c>
      <c r="CN315" s="5" t="s">
        <v>419</v>
      </c>
      <c r="CO315" s="103" t="s">
        <v>82</v>
      </c>
      <c r="CP315" s="5" t="s">
        <v>94</v>
      </c>
      <c r="CQ315" s="5" t="s">
        <v>84</v>
      </c>
      <c r="CR315" s="103" t="s">
        <v>85</v>
      </c>
      <c r="CS315" s="103" t="s">
        <v>86</v>
      </c>
      <c r="CT315" s="5" t="s">
        <v>384</v>
      </c>
      <c r="CU315" s="5" t="s">
        <v>86</v>
      </c>
      <c r="CV315" s="5"/>
      <c r="CW315" s="5"/>
      <c r="CX315" s="5"/>
      <c r="CY315" s="5"/>
      <c r="CZ315" s="5"/>
      <c r="DA315" s="5"/>
    </row>
    <row r="316" spans="1:105">
      <c r="A316" s="5">
        <v>18014642721</v>
      </c>
      <c r="B316" s="5"/>
      <c r="C316" s="5" t="s">
        <v>17</v>
      </c>
      <c r="D316" s="5"/>
      <c r="E316" s="5"/>
      <c r="F316" s="5"/>
      <c r="G316" s="5"/>
      <c r="H316" s="5"/>
      <c r="I316" s="5"/>
      <c r="J316" s="5"/>
      <c r="K316" s="5"/>
      <c r="L316" s="5" t="s">
        <v>26</v>
      </c>
      <c r="M316" s="5"/>
      <c r="N316" s="5" t="s">
        <v>28</v>
      </c>
      <c r="O316" s="5"/>
      <c r="P316" s="5"/>
      <c r="Q316" s="5" t="s">
        <v>17</v>
      </c>
      <c r="R316" s="5"/>
      <c r="S316" s="5"/>
      <c r="T316" s="5"/>
      <c r="U316" s="5"/>
      <c r="V316" s="5"/>
      <c r="W316" s="5"/>
      <c r="X316" s="5"/>
      <c r="Y316" s="5"/>
      <c r="Z316" s="5"/>
      <c r="AA316" s="5"/>
      <c r="AB316" s="5" t="s">
        <v>28</v>
      </c>
      <c r="AC316" s="5"/>
      <c r="AD316" s="5"/>
      <c r="AE316" s="5"/>
      <c r="AF316" s="5"/>
      <c r="AG316" s="5"/>
      <c r="AH316" s="5"/>
      <c r="AI316" s="5" t="s">
        <v>34</v>
      </c>
      <c r="AJ316" s="5"/>
      <c r="AK316" s="5"/>
      <c r="AL316" s="5"/>
      <c r="AM316" s="5"/>
      <c r="AN316" s="5"/>
      <c r="AO316" s="5"/>
      <c r="AP316" s="5"/>
      <c r="AQ316" s="5"/>
      <c r="AR316" s="5" t="s">
        <v>41</v>
      </c>
      <c r="AS316" s="5"/>
      <c r="AT316" s="5"/>
      <c r="AU316" s="5" t="s">
        <v>43</v>
      </c>
      <c r="AV316" s="5"/>
      <c r="AW316" s="5"/>
      <c r="AX316" s="5"/>
      <c r="AY316" s="5"/>
      <c r="AZ316" s="5"/>
      <c r="BA316" s="5"/>
      <c r="BB316" s="5"/>
      <c r="BC316" s="5" t="s">
        <v>50</v>
      </c>
      <c r="BD316" s="5" t="s">
        <v>51</v>
      </c>
      <c r="BE316" s="5" t="s">
        <v>17</v>
      </c>
      <c r="BF316" s="5"/>
      <c r="BG316" s="5"/>
      <c r="BH316" s="5"/>
      <c r="BI316" s="5" t="s">
        <v>55</v>
      </c>
      <c r="BJ316" s="5"/>
      <c r="BK316" s="5"/>
      <c r="BL316" s="5"/>
      <c r="BM316" s="5"/>
      <c r="BN316" s="5" t="s">
        <v>24</v>
      </c>
      <c r="BO316" s="5"/>
      <c r="BP316" s="5"/>
      <c r="BQ316" s="5"/>
      <c r="BR316" s="5"/>
      <c r="BS316" s="5"/>
      <c r="BT316" s="5"/>
      <c r="BU316" s="5" t="s">
        <v>64</v>
      </c>
      <c r="BV316" s="5"/>
      <c r="BW316" s="5"/>
      <c r="BX316" s="5"/>
      <c r="BY316" s="5"/>
      <c r="BZ316" s="5"/>
      <c r="CA316" s="5"/>
      <c r="CB316" s="5"/>
      <c r="CC316" s="5"/>
      <c r="CD316" s="5"/>
      <c r="CE316" s="5"/>
      <c r="CF316" s="5"/>
      <c r="CG316" s="5"/>
      <c r="CH316" s="5"/>
      <c r="CI316" s="5" t="s">
        <v>417</v>
      </c>
      <c r="CJ316" s="5">
        <v>57</v>
      </c>
      <c r="CK316" s="5" t="s">
        <v>141</v>
      </c>
      <c r="CL316" s="5" t="s">
        <v>184</v>
      </c>
      <c r="CM316" s="103" t="s">
        <v>418</v>
      </c>
      <c r="CN316" s="5" t="s">
        <v>419</v>
      </c>
      <c r="CO316" s="103" t="s">
        <v>82</v>
      </c>
      <c r="CP316" s="5" t="s">
        <v>94</v>
      </c>
      <c r="CQ316" s="5" t="s">
        <v>88</v>
      </c>
      <c r="CR316" s="103" t="s">
        <v>99</v>
      </c>
      <c r="CS316" s="103" t="s">
        <v>86</v>
      </c>
      <c r="CT316" s="5" t="s">
        <v>384</v>
      </c>
      <c r="CU316" s="5" t="s">
        <v>86</v>
      </c>
      <c r="CV316" s="5"/>
      <c r="CW316" s="5"/>
      <c r="CX316" s="5"/>
      <c r="CY316" s="5"/>
      <c r="CZ316" s="5"/>
      <c r="DA316" s="5"/>
    </row>
    <row r="317" spans="1:105">
      <c r="A317" s="5">
        <v>18014642355</v>
      </c>
      <c r="B317" s="5"/>
      <c r="C317" s="5"/>
      <c r="D317" s="5"/>
      <c r="E317" s="5"/>
      <c r="F317" s="5"/>
      <c r="G317" s="5"/>
      <c r="H317" s="5"/>
      <c r="I317" s="5"/>
      <c r="J317" s="5"/>
      <c r="K317" s="5" t="s">
        <v>25</v>
      </c>
      <c r="L317" s="5" t="s">
        <v>26</v>
      </c>
      <c r="M317" s="5"/>
      <c r="N317" s="5" t="s">
        <v>28</v>
      </c>
      <c r="O317" s="5"/>
      <c r="P317" s="5"/>
      <c r="Q317" s="5"/>
      <c r="R317" s="5"/>
      <c r="S317" s="5"/>
      <c r="T317" s="5"/>
      <c r="U317" s="5"/>
      <c r="V317" s="5"/>
      <c r="W317" s="5"/>
      <c r="X317" s="5"/>
      <c r="Y317" s="5" t="s">
        <v>25</v>
      </c>
      <c r="Z317" s="5"/>
      <c r="AA317" s="5"/>
      <c r="AB317" s="5" t="s">
        <v>28</v>
      </c>
      <c r="AC317" s="5"/>
      <c r="AD317" s="5"/>
      <c r="AE317" s="5"/>
      <c r="AF317" s="5" t="s">
        <v>31</v>
      </c>
      <c r="AG317" s="5"/>
      <c r="AH317" s="5"/>
      <c r="AI317" s="5"/>
      <c r="AJ317" s="5"/>
      <c r="AK317" s="5"/>
      <c r="AL317" s="5"/>
      <c r="AM317" s="5" t="s">
        <v>375</v>
      </c>
      <c r="AN317" s="5"/>
      <c r="AO317" s="5"/>
      <c r="AP317" s="5" t="s">
        <v>39</v>
      </c>
      <c r="AQ317" s="5"/>
      <c r="AR317" s="5"/>
      <c r="AS317" s="5"/>
      <c r="AT317" s="5"/>
      <c r="AU317" s="5" t="s">
        <v>43</v>
      </c>
      <c r="AV317" s="5"/>
      <c r="AW317" s="5" t="s">
        <v>45</v>
      </c>
      <c r="AX317" s="5"/>
      <c r="AY317" s="5"/>
      <c r="AZ317" s="5"/>
      <c r="BA317" s="5"/>
      <c r="BB317" s="5"/>
      <c r="BC317" s="5" t="s">
        <v>50</v>
      </c>
      <c r="BD317" s="5" t="s">
        <v>51</v>
      </c>
      <c r="BE317" s="5"/>
      <c r="BF317" s="5"/>
      <c r="BG317" s="5" t="s">
        <v>53</v>
      </c>
      <c r="BH317" s="5"/>
      <c r="BI317" s="5" t="s">
        <v>55</v>
      </c>
      <c r="BJ317" s="5"/>
      <c r="BK317" s="5"/>
      <c r="BL317" s="5"/>
      <c r="BM317" s="5"/>
      <c r="BN317" s="5"/>
      <c r="BO317" s="5"/>
      <c r="BP317" s="5"/>
      <c r="BQ317" s="5"/>
      <c r="BR317" s="5"/>
      <c r="BS317" s="5" t="s">
        <v>63</v>
      </c>
      <c r="BT317" s="5"/>
      <c r="BU317" s="5" t="s">
        <v>64</v>
      </c>
      <c r="BV317" s="5"/>
      <c r="BW317" s="5"/>
      <c r="BX317" s="5" t="s">
        <v>67</v>
      </c>
      <c r="BY317" s="5"/>
      <c r="BZ317" s="5"/>
      <c r="CA317" s="5"/>
      <c r="CB317" s="5"/>
      <c r="CC317" s="5"/>
      <c r="CD317" s="5"/>
      <c r="CE317" s="5"/>
      <c r="CF317" s="5"/>
      <c r="CG317" s="5"/>
      <c r="CH317" s="5"/>
      <c r="CI317" s="5" t="s">
        <v>414</v>
      </c>
      <c r="CJ317" s="5">
        <v>31</v>
      </c>
      <c r="CK317" s="5" t="s">
        <v>141</v>
      </c>
      <c r="CL317" s="5" t="s">
        <v>184</v>
      </c>
      <c r="CM317" s="103" t="s">
        <v>418</v>
      </c>
      <c r="CN317" s="5" t="s">
        <v>419</v>
      </c>
      <c r="CO317" s="103" t="s">
        <v>82</v>
      </c>
      <c r="CP317" s="5" t="s">
        <v>83</v>
      </c>
      <c r="CQ317" s="5" t="s">
        <v>84</v>
      </c>
      <c r="CR317" s="103" t="s">
        <v>85</v>
      </c>
      <c r="CS317" s="103" t="s">
        <v>86</v>
      </c>
      <c r="CT317" s="5" t="s">
        <v>384</v>
      </c>
      <c r="CU317" s="5" t="s">
        <v>86</v>
      </c>
      <c r="CV317" s="5"/>
      <c r="CW317" s="5"/>
      <c r="CX317" s="5"/>
      <c r="CY317" s="5"/>
      <c r="CZ317" s="5"/>
      <c r="DA317" s="5"/>
    </row>
    <row r="318" spans="1:105">
      <c r="A318" s="5">
        <v>18014635603</v>
      </c>
      <c r="B318" s="5"/>
      <c r="C318" s="5"/>
      <c r="D318" s="5"/>
      <c r="E318" s="5" t="s">
        <v>19</v>
      </c>
      <c r="F318" s="5"/>
      <c r="G318" s="5"/>
      <c r="H318" s="5" t="s">
        <v>22</v>
      </c>
      <c r="I318" s="5"/>
      <c r="J318" s="5"/>
      <c r="K318" s="5" t="s">
        <v>25</v>
      </c>
      <c r="L318" s="5"/>
      <c r="M318" s="5"/>
      <c r="N318" s="5"/>
      <c r="O318" s="5"/>
      <c r="P318" s="5"/>
      <c r="Q318" s="5"/>
      <c r="R318" s="5"/>
      <c r="S318" s="5" t="s">
        <v>19</v>
      </c>
      <c r="T318" s="5"/>
      <c r="U318" s="5"/>
      <c r="V318" s="5"/>
      <c r="W318" s="5"/>
      <c r="X318" s="5" t="s">
        <v>24</v>
      </c>
      <c r="Y318" s="5" t="s">
        <v>25</v>
      </c>
      <c r="Z318" s="5"/>
      <c r="AA318" s="5"/>
      <c r="AB318" s="5"/>
      <c r="AC318" s="5"/>
      <c r="AD318" s="5"/>
      <c r="AE318" s="5"/>
      <c r="AF318" s="5"/>
      <c r="AG318" s="5"/>
      <c r="AH318" s="5"/>
      <c r="AI318" s="5"/>
      <c r="AJ318" s="5"/>
      <c r="AK318" s="5"/>
      <c r="AL318" s="5"/>
      <c r="AM318" s="5" t="s">
        <v>375</v>
      </c>
      <c r="AN318" s="5"/>
      <c r="AO318" s="5"/>
      <c r="AP318" s="5" t="s">
        <v>39</v>
      </c>
      <c r="AQ318" s="5"/>
      <c r="AR318" s="5" t="s">
        <v>41</v>
      </c>
      <c r="AS318" s="5"/>
      <c r="AT318" s="5"/>
      <c r="AU318" s="5"/>
      <c r="AV318" s="5"/>
      <c r="AW318" s="5"/>
      <c r="AX318" s="5"/>
      <c r="AY318" s="5" t="s">
        <v>47</v>
      </c>
      <c r="AZ318" s="5"/>
      <c r="BA318" s="5"/>
      <c r="BB318" s="5"/>
      <c r="BC318" s="5"/>
      <c r="BD318" s="5" t="s">
        <v>51</v>
      </c>
      <c r="BE318" s="5"/>
      <c r="BF318" s="5"/>
      <c r="BG318" s="5"/>
      <c r="BH318" s="5"/>
      <c r="BI318" s="5"/>
      <c r="BJ318" s="5"/>
      <c r="BK318" s="5"/>
      <c r="BL318" s="5"/>
      <c r="BM318" s="5" t="s">
        <v>59</v>
      </c>
      <c r="BN318" s="5"/>
      <c r="BO318" s="5"/>
      <c r="BP318" s="5"/>
      <c r="BQ318" s="5"/>
      <c r="BR318" s="5" t="s">
        <v>62</v>
      </c>
      <c r="BS318" s="5"/>
      <c r="BT318" s="5"/>
      <c r="BU318" s="5" t="s">
        <v>64</v>
      </c>
      <c r="BV318" s="5"/>
      <c r="BW318" s="5"/>
      <c r="BX318" s="5" t="s">
        <v>67</v>
      </c>
      <c r="BY318" s="5"/>
      <c r="BZ318" s="5"/>
      <c r="CA318" s="5"/>
      <c r="CB318" s="5"/>
      <c r="CC318" s="5"/>
      <c r="CD318" s="5"/>
      <c r="CE318" s="5"/>
      <c r="CF318" s="5"/>
      <c r="CG318" s="5" t="s">
        <v>76</v>
      </c>
      <c r="CH318" s="5"/>
      <c r="CI318" s="5" t="s">
        <v>414</v>
      </c>
      <c r="CJ318" s="5">
        <v>18</v>
      </c>
      <c r="CK318" s="5" t="s">
        <v>80</v>
      </c>
      <c r="CL318" s="5" t="s">
        <v>127</v>
      </c>
      <c r="CM318" s="103" t="s">
        <v>418</v>
      </c>
      <c r="CN318" s="5" t="s">
        <v>416</v>
      </c>
      <c r="CO318" s="103" t="s">
        <v>427</v>
      </c>
      <c r="CP318" s="5" t="s">
        <v>97</v>
      </c>
      <c r="CQ318" s="5" t="s">
        <v>88</v>
      </c>
      <c r="CR318" s="103" t="s">
        <v>89</v>
      </c>
      <c r="CS318" s="103" t="s">
        <v>86</v>
      </c>
      <c r="CT318" s="5" t="s">
        <v>384</v>
      </c>
      <c r="CU318" s="5" t="s">
        <v>86</v>
      </c>
      <c r="CV318" s="5"/>
      <c r="CW318" s="5"/>
      <c r="CX318" s="5"/>
      <c r="CY318" s="5"/>
      <c r="CZ318" s="5"/>
      <c r="DA318" s="5"/>
    </row>
    <row r="319" spans="1:105">
      <c r="A319" s="5">
        <v>18014599240</v>
      </c>
      <c r="B319" s="5"/>
      <c r="C319" s="5" t="s">
        <v>17</v>
      </c>
      <c r="D319" s="5"/>
      <c r="E319" s="5"/>
      <c r="F319" s="5"/>
      <c r="G319" s="5" t="s">
        <v>21</v>
      </c>
      <c r="H319" s="5"/>
      <c r="I319" s="5"/>
      <c r="J319" s="5"/>
      <c r="K319" s="5"/>
      <c r="L319" s="5" t="s">
        <v>26</v>
      </c>
      <c r="M319" s="5"/>
      <c r="N319" s="5"/>
      <c r="O319" s="5"/>
      <c r="P319" s="5"/>
      <c r="Q319" s="5"/>
      <c r="R319" s="5"/>
      <c r="S319" s="5" t="s">
        <v>19</v>
      </c>
      <c r="T319" s="5"/>
      <c r="U319" s="5" t="s">
        <v>21</v>
      </c>
      <c r="V319" s="5"/>
      <c r="W319" s="5"/>
      <c r="X319" s="5"/>
      <c r="Y319" s="5" t="s">
        <v>25</v>
      </c>
      <c r="Z319" s="5"/>
      <c r="AA319" s="5"/>
      <c r="AB319" s="5"/>
      <c r="AC319" s="5"/>
      <c r="AD319" s="5"/>
      <c r="AE319" s="5" t="s">
        <v>30</v>
      </c>
      <c r="AF319" s="5"/>
      <c r="AG319" s="5"/>
      <c r="AH319" s="5"/>
      <c r="AI319" s="5"/>
      <c r="AJ319" s="5"/>
      <c r="AK319" s="5"/>
      <c r="AL319" s="5"/>
      <c r="AM319" s="5"/>
      <c r="AN319" s="5"/>
      <c r="AO319" s="5"/>
      <c r="AP319" s="5" t="s">
        <v>39</v>
      </c>
      <c r="AQ319" s="5"/>
      <c r="AR319" s="5" t="s">
        <v>41</v>
      </c>
      <c r="AS319" s="5"/>
      <c r="AT319" s="5"/>
      <c r="AU319" s="5" t="s">
        <v>43</v>
      </c>
      <c r="AV319" s="5"/>
      <c r="AW319" s="5"/>
      <c r="AX319" s="5"/>
      <c r="AY319" s="5"/>
      <c r="AZ319" s="5"/>
      <c r="BA319" s="5"/>
      <c r="BB319" s="5" t="s">
        <v>49</v>
      </c>
      <c r="BC319" s="5" t="s">
        <v>50</v>
      </c>
      <c r="BD319" s="5"/>
      <c r="BE319" s="5" t="s">
        <v>17</v>
      </c>
      <c r="BF319" s="5"/>
      <c r="BG319" s="5"/>
      <c r="BH319" s="5"/>
      <c r="BI319" s="5"/>
      <c r="BJ319" s="5"/>
      <c r="BK319" s="5"/>
      <c r="BL319" s="5"/>
      <c r="BM319" s="5"/>
      <c r="BN319" s="5"/>
      <c r="BO319" s="5"/>
      <c r="BP319" s="5"/>
      <c r="BQ319" s="5"/>
      <c r="BR319" s="5"/>
      <c r="BS319" s="5"/>
      <c r="BT319" s="5"/>
      <c r="BU319" s="5" t="s">
        <v>64</v>
      </c>
      <c r="BV319" s="5"/>
      <c r="BW319" s="5" t="s">
        <v>66</v>
      </c>
      <c r="BX319" s="5" t="s">
        <v>67</v>
      </c>
      <c r="BY319" s="5"/>
      <c r="BZ319" s="5"/>
      <c r="CA319" s="5" t="s">
        <v>70</v>
      </c>
      <c r="CB319" s="5"/>
      <c r="CC319" s="5"/>
      <c r="CD319" s="5" t="s">
        <v>73</v>
      </c>
      <c r="CE319" s="5"/>
      <c r="CF319" s="5" t="s">
        <v>75</v>
      </c>
      <c r="CG319" s="5" t="s">
        <v>76</v>
      </c>
      <c r="CH319" s="5"/>
      <c r="CI319" s="5" t="s">
        <v>414</v>
      </c>
      <c r="CJ319" s="5">
        <v>17</v>
      </c>
      <c r="CK319" s="5" t="s">
        <v>141</v>
      </c>
      <c r="CL319" s="5" t="s">
        <v>171</v>
      </c>
      <c r="CM319" s="103" t="s">
        <v>418</v>
      </c>
      <c r="CN319" s="5" t="s">
        <v>419</v>
      </c>
      <c r="CO319" s="103" t="s">
        <v>82</v>
      </c>
      <c r="CP319" s="5" t="s">
        <v>83</v>
      </c>
      <c r="CQ319" s="5" t="s">
        <v>95</v>
      </c>
      <c r="CR319" s="103" t="s">
        <v>85</v>
      </c>
      <c r="CS319" s="103" t="s">
        <v>86</v>
      </c>
      <c r="CT319" s="5" t="s">
        <v>385</v>
      </c>
      <c r="CU319" s="5" t="s">
        <v>86</v>
      </c>
      <c r="CV319" s="5"/>
      <c r="CW319" s="5"/>
      <c r="CX319" s="5"/>
      <c r="CY319" s="5"/>
      <c r="CZ319" s="5"/>
      <c r="DA319" s="5"/>
    </row>
    <row r="320" spans="1:105">
      <c r="A320" s="5">
        <v>18014578066</v>
      </c>
      <c r="B320" s="5"/>
      <c r="C320" s="5"/>
      <c r="D320" s="5"/>
      <c r="E320" s="5" t="s">
        <v>19</v>
      </c>
      <c r="F320" s="5"/>
      <c r="G320" s="5"/>
      <c r="H320" s="5"/>
      <c r="I320" s="5"/>
      <c r="J320" s="5"/>
      <c r="K320" s="5" t="s">
        <v>25</v>
      </c>
      <c r="L320" s="5" t="s">
        <v>26</v>
      </c>
      <c r="M320" s="5"/>
      <c r="N320" s="5"/>
      <c r="O320" s="5"/>
      <c r="P320" s="5"/>
      <c r="Q320" s="5"/>
      <c r="R320" s="5"/>
      <c r="S320" s="5"/>
      <c r="T320" s="5"/>
      <c r="U320" s="5"/>
      <c r="V320" s="5"/>
      <c r="W320" s="5"/>
      <c r="X320" s="5"/>
      <c r="Y320" s="5" t="s">
        <v>25</v>
      </c>
      <c r="Z320" s="5" t="s">
        <v>26</v>
      </c>
      <c r="AA320" s="5"/>
      <c r="AB320" s="5" t="s">
        <v>28</v>
      </c>
      <c r="AC320" s="5"/>
      <c r="AD320" s="5"/>
      <c r="AE320" s="5" t="s">
        <v>30</v>
      </c>
      <c r="AF320" s="5"/>
      <c r="AG320" s="5"/>
      <c r="AH320" s="5"/>
      <c r="AI320" s="5"/>
      <c r="AJ320" s="5"/>
      <c r="AK320" s="5"/>
      <c r="AL320" s="5"/>
      <c r="AM320" s="5"/>
      <c r="AN320" s="5"/>
      <c r="AO320" s="5" t="s">
        <v>38</v>
      </c>
      <c r="AP320" s="5"/>
      <c r="AQ320" s="5"/>
      <c r="AR320" s="5"/>
      <c r="AS320" s="5"/>
      <c r="AT320" s="5"/>
      <c r="AU320" s="5" t="s">
        <v>43</v>
      </c>
      <c r="AV320" s="5"/>
      <c r="AW320" s="5"/>
      <c r="AX320" s="5"/>
      <c r="AY320" s="5"/>
      <c r="AZ320" s="5"/>
      <c r="BA320" s="5"/>
      <c r="BB320" s="5"/>
      <c r="BC320" s="5" t="s">
        <v>50</v>
      </c>
      <c r="BD320" s="5"/>
      <c r="BE320" s="5"/>
      <c r="BF320" s="5"/>
      <c r="BG320" s="5"/>
      <c r="BH320" s="5"/>
      <c r="BI320" s="5"/>
      <c r="BJ320" s="5"/>
      <c r="BK320" s="5" t="s">
        <v>57</v>
      </c>
      <c r="BL320" s="5"/>
      <c r="BM320" s="5"/>
      <c r="BN320" s="5"/>
      <c r="BO320" s="5"/>
      <c r="BP320" s="5"/>
      <c r="BQ320" s="5"/>
      <c r="BR320" s="5"/>
      <c r="BS320" s="5" t="s">
        <v>63</v>
      </c>
      <c r="BT320" s="5"/>
      <c r="BU320" s="5"/>
      <c r="BV320" s="5"/>
      <c r="BW320" s="5"/>
      <c r="BX320" s="5"/>
      <c r="BY320" s="5"/>
      <c r="BZ320" s="5"/>
      <c r="CA320" s="5"/>
      <c r="CB320" s="5"/>
      <c r="CC320" s="5"/>
      <c r="CD320" s="5"/>
      <c r="CE320" s="5"/>
      <c r="CF320" s="5" t="s">
        <v>75</v>
      </c>
      <c r="CG320" s="5"/>
      <c r="CH320" s="5"/>
      <c r="CI320" s="5" t="s">
        <v>434</v>
      </c>
      <c r="CJ320" s="5">
        <v>24</v>
      </c>
      <c r="CK320" s="5" t="s">
        <v>356</v>
      </c>
      <c r="CL320" s="5">
        <v>11429</v>
      </c>
      <c r="CM320" s="103" t="s">
        <v>439</v>
      </c>
      <c r="CN320" s="5"/>
      <c r="CP320" s="5" t="s">
        <v>83</v>
      </c>
      <c r="CQ320" s="5" t="s">
        <v>84</v>
      </c>
      <c r="CR320" s="103" t="s">
        <v>85</v>
      </c>
      <c r="CS320" s="103" t="s">
        <v>86</v>
      </c>
      <c r="CT320" s="5" t="s">
        <v>384</v>
      </c>
      <c r="CU320" s="5" t="s">
        <v>86</v>
      </c>
      <c r="CV320" s="5"/>
      <c r="CW320" s="5"/>
      <c r="CX320" s="5"/>
      <c r="CY320" s="5"/>
      <c r="CZ320" s="5"/>
      <c r="DA320" s="5"/>
    </row>
    <row r="321" spans="1:105">
      <c r="A321" s="5">
        <v>18014577716</v>
      </c>
      <c r="B321" s="5"/>
      <c r="C321" s="5" t="s">
        <v>17</v>
      </c>
      <c r="D321" s="5"/>
      <c r="E321" s="5"/>
      <c r="F321" s="5"/>
      <c r="G321" s="5"/>
      <c r="H321" s="5"/>
      <c r="I321" s="5"/>
      <c r="J321" s="5" t="s">
        <v>24</v>
      </c>
      <c r="K321" s="5"/>
      <c r="L321" s="5"/>
      <c r="M321" s="5"/>
      <c r="N321" s="5" t="s">
        <v>28</v>
      </c>
      <c r="O321" s="5"/>
      <c r="P321" s="5"/>
      <c r="Q321" s="5"/>
      <c r="R321" s="5"/>
      <c r="S321" s="5" t="s">
        <v>19</v>
      </c>
      <c r="T321" s="5"/>
      <c r="U321" s="5"/>
      <c r="V321" s="5"/>
      <c r="W321" s="5" t="s">
        <v>23</v>
      </c>
      <c r="X321" s="5"/>
      <c r="Y321" s="5"/>
      <c r="Z321" s="5"/>
      <c r="AA321" s="5"/>
      <c r="AB321" s="5"/>
      <c r="AC321" s="5"/>
      <c r="AD321" s="5"/>
      <c r="AE321" s="5"/>
      <c r="AF321" s="5"/>
      <c r="AG321" s="5"/>
      <c r="AH321" s="5"/>
      <c r="AI321" s="5" t="s">
        <v>34</v>
      </c>
      <c r="AJ321" s="5"/>
      <c r="AK321" s="5"/>
      <c r="AL321" s="5"/>
      <c r="AM321" s="5"/>
      <c r="AN321" s="5"/>
      <c r="AO321" s="5"/>
      <c r="AP321" s="5"/>
      <c r="AQ321" s="5"/>
      <c r="AR321" s="5"/>
      <c r="AS321" s="5"/>
      <c r="AT321" s="5"/>
      <c r="AU321" s="5"/>
      <c r="AV321" s="5" t="s">
        <v>44</v>
      </c>
      <c r="AW321" s="5"/>
      <c r="AX321" s="5" t="s">
        <v>46</v>
      </c>
      <c r="AY321" s="5" t="s">
        <v>47</v>
      </c>
      <c r="AZ321" s="5"/>
      <c r="BA321" s="5"/>
      <c r="BB321" s="5"/>
      <c r="BC321" s="5"/>
      <c r="BD321" s="5" t="s">
        <v>51</v>
      </c>
      <c r="BE321" s="5"/>
      <c r="BF321" s="5"/>
      <c r="BG321" s="5"/>
      <c r="BH321" s="5"/>
      <c r="BI321" s="5"/>
      <c r="BJ321" s="5"/>
      <c r="BK321" s="5" t="s">
        <v>57</v>
      </c>
      <c r="BL321" s="5"/>
      <c r="BM321" s="5"/>
      <c r="BN321" s="5" t="s">
        <v>24</v>
      </c>
      <c r="BO321" s="5"/>
      <c r="BP321" s="5"/>
      <c r="BQ321" s="5"/>
      <c r="BR321" s="5"/>
      <c r="BS321" s="5"/>
      <c r="BT321" s="5"/>
      <c r="BU321" s="5" t="s">
        <v>64</v>
      </c>
      <c r="BV321" s="5"/>
      <c r="BW321" s="5"/>
      <c r="BX321" s="5"/>
      <c r="BY321" s="5"/>
      <c r="BZ321" s="5"/>
      <c r="CA321" s="5"/>
      <c r="CB321" s="5"/>
      <c r="CC321" s="5"/>
      <c r="CD321" s="5"/>
      <c r="CE321" s="5"/>
      <c r="CF321" s="5" t="s">
        <v>75</v>
      </c>
      <c r="CG321" s="5"/>
      <c r="CH321" s="5"/>
      <c r="CI321" s="5" t="s">
        <v>414</v>
      </c>
      <c r="CJ321" s="5">
        <v>67</v>
      </c>
      <c r="CK321" s="5" t="s">
        <v>141</v>
      </c>
      <c r="CL321" s="5" t="s">
        <v>378</v>
      </c>
      <c r="CM321" s="103" t="s">
        <v>436</v>
      </c>
      <c r="CN321" s="5" t="s">
        <v>419</v>
      </c>
      <c r="CO321" s="103" t="s">
        <v>82</v>
      </c>
      <c r="CP321" s="5" t="s">
        <v>94</v>
      </c>
      <c r="CQ321" s="5" t="s">
        <v>84</v>
      </c>
      <c r="CR321" s="103" t="s">
        <v>99</v>
      </c>
      <c r="CS321" s="103" t="s">
        <v>86</v>
      </c>
      <c r="CT321" s="5" t="s">
        <v>433</v>
      </c>
      <c r="CU321" s="5" t="s">
        <v>86</v>
      </c>
      <c r="CV321" s="5"/>
      <c r="CW321" s="5"/>
      <c r="CX321" s="5"/>
      <c r="CY321" s="5"/>
      <c r="CZ321" s="5"/>
      <c r="DA321" s="5"/>
    </row>
    <row r="322" spans="1:105">
      <c r="A322" s="5">
        <v>18014577265</v>
      </c>
      <c r="B322" s="5"/>
      <c r="C322" s="5" t="s">
        <v>17</v>
      </c>
      <c r="D322" s="5" t="s">
        <v>18</v>
      </c>
      <c r="E322" s="5" t="s">
        <v>19</v>
      </c>
      <c r="F322" s="5"/>
      <c r="G322" s="5" t="s">
        <v>21</v>
      </c>
      <c r="H322" s="5" t="s">
        <v>22</v>
      </c>
      <c r="I322" s="5" t="s">
        <v>23</v>
      </c>
      <c r="J322" s="5" t="s">
        <v>24</v>
      </c>
      <c r="K322" s="5" t="s">
        <v>25</v>
      </c>
      <c r="L322" s="5" t="s">
        <v>26</v>
      </c>
      <c r="M322" s="5" t="s">
        <v>27</v>
      </c>
      <c r="N322" s="5"/>
      <c r="O322" s="5"/>
      <c r="P322" s="5"/>
      <c r="Q322" s="5"/>
      <c r="R322" s="5"/>
      <c r="S322" s="5" t="s">
        <v>19</v>
      </c>
      <c r="T322" s="5"/>
      <c r="U322" s="5"/>
      <c r="V322" s="5"/>
      <c r="W322" s="5" t="s">
        <v>23</v>
      </c>
      <c r="X322" s="5"/>
      <c r="Y322" s="5" t="s">
        <v>25</v>
      </c>
      <c r="Z322" s="5"/>
      <c r="AA322" s="5" t="s">
        <v>27</v>
      </c>
      <c r="AB322" s="5"/>
      <c r="AC322" s="5"/>
      <c r="AD322" s="5"/>
      <c r="AE322" s="5"/>
      <c r="AF322" s="5"/>
      <c r="AG322" s="5"/>
      <c r="AH322" s="5"/>
      <c r="AI322" s="5"/>
      <c r="AJ322" s="5"/>
      <c r="AK322" s="5"/>
      <c r="AL322" s="5"/>
      <c r="AM322" s="5" t="s">
        <v>375</v>
      </c>
      <c r="AN322" s="5"/>
      <c r="AO322" s="5"/>
      <c r="AP322" s="5" t="s">
        <v>39</v>
      </c>
      <c r="AQ322" s="5"/>
      <c r="AR322" s="5" t="s">
        <v>41</v>
      </c>
      <c r="AS322" s="5"/>
      <c r="AT322" s="5"/>
      <c r="AU322" s="5" t="s">
        <v>43</v>
      </c>
      <c r="AV322" s="5" t="s">
        <v>44</v>
      </c>
      <c r="AW322" s="5"/>
      <c r="AX322" s="5"/>
      <c r="AY322" s="5" t="s">
        <v>47</v>
      </c>
      <c r="AZ322" s="5" t="s">
        <v>48</v>
      </c>
      <c r="BA322" s="5"/>
      <c r="BB322" s="5" t="s">
        <v>49</v>
      </c>
      <c r="BC322" s="5" t="s">
        <v>50</v>
      </c>
      <c r="BD322" s="5" t="s">
        <v>51</v>
      </c>
      <c r="BE322" s="5" t="s">
        <v>17</v>
      </c>
      <c r="BF322" s="5" t="s">
        <v>52</v>
      </c>
      <c r="BG322" s="5" t="s">
        <v>53</v>
      </c>
      <c r="BH322" s="5" t="s">
        <v>54</v>
      </c>
      <c r="BI322" s="5" t="s">
        <v>55</v>
      </c>
      <c r="BJ322" s="5"/>
      <c r="BK322" s="5" t="s">
        <v>57</v>
      </c>
      <c r="BL322" s="5"/>
      <c r="BM322" s="5" t="s">
        <v>59</v>
      </c>
      <c r="BN322" s="5" t="s">
        <v>24</v>
      </c>
      <c r="BO322" s="5" t="s">
        <v>20</v>
      </c>
      <c r="BP322" s="5" t="s">
        <v>60</v>
      </c>
      <c r="BQ322" s="5"/>
      <c r="BR322" s="5" t="s">
        <v>62</v>
      </c>
      <c r="BS322" s="5" t="s">
        <v>63</v>
      </c>
      <c r="BT322" s="5"/>
      <c r="BU322" s="5" t="s">
        <v>64</v>
      </c>
      <c r="BV322" s="5"/>
      <c r="BW322" s="5"/>
      <c r="BX322" s="5"/>
      <c r="BY322" s="5"/>
      <c r="BZ322" s="5"/>
      <c r="CA322" s="5"/>
      <c r="CB322" s="5"/>
      <c r="CC322" s="5"/>
      <c r="CD322" s="5"/>
      <c r="CE322" s="5"/>
      <c r="CF322" s="5"/>
      <c r="CG322" s="5"/>
      <c r="CH322" s="5"/>
      <c r="CI322" s="5" t="s">
        <v>414</v>
      </c>
      <c r="CJ322" s="5">
        <v>19</v>
      </c>
      <c r="CK322" s="5" t="s">
        <v>80</v>
      </c>
      <c r="CL322" s="5" t="s">
        <v>121</v>
      </c>
      <c r="CM322" s="103" t="s">
        <v>436</v>
      </c>
      <c r="CN322" s="5" t="s">
        <v>419</v>
      </c>
      <c r="CO322" s="103" t="s">
        <v>82</v>
      </c>
      <c r="CP322" s="5" t="s">
        <v>93</v>
      </c>
      <c r="CQ322" s="5" t="s">
        <v>88</v>
      </c>
      <c r="CR322" s="103" t="s">
        <v>89</v>
      </c>
      <c r="CS322" s="103" t="s">
        <v>86</v>
      </c>
      <c r="CT322" s="5" t="s">
        <v>385</v>
      </c>
      <c r="CU322" s="5" t="s">
        <v>86</v>
      </c>
      <c r="CV322" s="5"/>
      <c r="CW322" s="5"/>
      <c r="CX322" s="5"/>
      <c r="CY322" s="5"/>
      <c r="CZ322" s="5"/>
      <c r="DA322" s="5"/>
    </row>
    <row r="323" spans="1:105">
      <c r="A323" s="5">
        <v>18014577228</v>
      </c>
      <c r="B323" s="5"/>
      <c r="C323" s="5" t="s">
        <v>17</v>
      </c>
      <c r="D323" s="5" t="s">
        <v>18</v>
      </c>
      <c r="E323" s="5"/>
      <c r="F323" s="5"/>
      <c r="G323" s="5"/>
      <c r="H323" s="5"/>
      <c r="I323" s="5"/>
      <c r="J323" s="5"/>
      <c r="K323" s="5"/>
      <c r="L323" s="5" t="s">
        <v>26</v>
      </c>
      <c r="M323" s="5"/>
      <c r="N323" s="5"/>
      <c r="O323" s="5"/>
      <c r="P323" s="5"/>
      <c r="Q323" s="5"/>
      <c r="R323" s="5"/>
      <c r="S323" s="5"/>
      <c r="T323" s="5"/>
      <c r="U323" s="5"/>
      <c r="V323" s="5"/>
      <c r="W323" s="5"/>
      <c r="X323" s="5" t="s">
        <v>24</v>
      </c>
      <c r="Y323" s="5" t="s">
        <v>25</v>
      </c>
      <c r="Z323" s="5"/>
      <c r="AA323" s="5"/>
      <c r="AB323" s="5" t="s">
        <v>28</v>
      </c>
      <c r="AC323" s="5"/>
      <c r="AD323" s="5"/>
      <c r="AE323" s="5"/>
      <c r="AF323" s="5"/>
      <c r="AG323" s="5"/>
      <c r="AH323" s="5"/>
      <c r="AI323" s="5" t="s">
        <v>34</v>
      </c>
      <c r="AJ323" s="5"/>
      <c r="AK323" s="5"/>
      <c r="AL323" s="5"/>
      <c r="AM323" s="5"/>
      <c r="AN323" s="5"/>
      <c r="AO323" s="5"/>
      <c r="AP323" s="5" t="s">
        <v>39</v>
      </c>
      <c r="AQ323" s="5"/>
      <c r="AR323" s="5"/>
      <c r="AS323" s="5"/>
      <c r="AT323" s="5"/>
      <c r="AU323" s="5" t="s">
        <v>43</v>
      </c>
      <c r="AV323" s="5"/>
      <c r="AW323" s="5"/>
      <c r="AX323" s="5" t="s">
        <v>46</v>
      </c>
      <c r="AY323" s="5"/>
      <c r="AZ323" s="5"/>
      <c r="BA323" s="5"/>
      <c r="BB323" s="5" t="s">
        <v>49</v>
      </c>
      <c r="BC323" s="5" t="s">
        <v>50</v>
      </c>
      <c r="BD323" s="5"/>
      <c r="BE323" s="5"/>
      <c r="BF323" s="5"/>
      <c r="BG323" s="5"/>
      <c r="BH323" s="5"/>
      <c r="BI323" s="5" t="s">
        <v>55</v>
      </c>
      <c r="BJ323" s="5"/>
      <c r="BK323" s="5"/>
      <c r="BL323" s="5"/>
      <c r="BM323" s="5"/>
      <c r="BN323" s="5"/>
      <c r="BO323" s="5"/>
      <c r="BP323" s="5"/>
      <c r="BQ323" s="5"/>
      <c r="BR323" s="5"/>
      <c r="BS323" s="5" t="s">
        <v>63</v>
      </c>
      <c r="BT323" s="5"/>
      <c r="BU323" s="5" t="s">
        <v>64</v>
      </c>
      <c r="BV323" s="5" t="s">
        <v>65</v>
      </c>
      <c r="BW323" s="5"/>
      <c r="BX323" s="5"/>
      <c r="BY323" s="5"/>
      <c r="BZ323" s="5"/>
      <c r="CA323" s="5"/>
      <c r="CB323" s="5"/>
      <c r="CC323" s="5"/>
      <c r="CD323" s="5"/>
      <c r="CE323" s="5"/>
      <c r="CF323" s="5" t="s">
        <v>75</v>
      </c>
      <c r="CG323" s="5" t="s">
        <v>76</v>
      </c>
      <c r="CH323" s="5"/>
      <c r="CI323" s="5" t="s">
        <v>414</v>
      </c>
      <c r="CJ323" s="5">
        <v>54</v>
      </c>
      <c r="CK323" s="5" t="s">
        <v>80</v>
      </c>
      <c r="CL323" s="5" t="s">
        <v>121</v>
      </c>
      <c r="CM323" s="103" t="s">
        <v>436</v>
      </c>
      <c r="CN323" s="5" t="s">
        <v>419</v>
      </c>
      <c r="CP323" s="5"/>
      <c r="CQ323" s="5" t="s">
        <v>84</v>
      </c>
      <c r="CR323" s="103" t="s">
        <v>85</v>
      </c>
      <c r="CS323" s="103" t="s">
        <v>86</v>
      </c>
      <c r="CT323" s="5" t="s">
        <v>387</v>
      </c>
      <c r="CU323" s="5" t="s">
        <v>86</v>
      </c>
      <c r="CV323" s="5"/>
      <c r="CW323" s="5"/>
      <c r="CX323" s="5"/>
      <c r="CY323" s="5"/>
      <c r="CZ323" s="5"/>
      <c r="DA323" s="5"/>
    </row>
    <row r="324" spans="1:105">
      <c r="A324" s="5">
        <v>18014577099</v>
      </c>
      <c r="B324" s="5"/>
      <c r="C324" s="5"/>
      <c r="D324" s="5"/>
      <c r="E324" s="5" t="s">
        <v>19</v>
      </c>
      <c r="F324" s="5"/>
      <c r="G324" s="5"/>
      <c r="H324" s="5"/>
      <c r="I324" s="5"/>
      <c r="J324" s="5"/>
      <c r="K324" s="5" t="s">
        <v>25</v>
      </c>
      <c r="L324" s="5" t="s">
        <v>26</v>
      </c>
      <c r="M324" s="5"/>
      <c r="N324" s="5"/>
      <c r="O324" s="5"/>
      <c r="P324" s="5"/>
      <c r="Q324" s="5"/>
      <c r="R324" s="5"/>
      <c r="S324" s="5" t="s">
        <v>19</v>
      </c>
      <c r="T324" s="5"/>
      <c r="U324" s="5"/>
      <c r="V324" s="5" t="s">
        <v>22</v>
      </c>
      <c r="W324" s="5"/>
      <c r="X324" s="5"/>
      <c r="Y324" s="5" t="s">
        <v>25</v>
      </c>
      <c r="Z324" s="5"/>
      <c r="AA324" s="5"/>
      <c r="AB324" s="5"/>
      <c r="AC324" s="5"/>
      <c r="AD324" s="5"/>
      <c r="AE324" s="5"/>
      <c r="AF324" s="5"/>
      <c r="AG324" s="5"/>
      <c r="AH324" s="5"/>
      <c r="AI324" s="5" t="s">
        <v>34</v>
      </c>
      <c r="AJ324" s="5"/>
      <c r="AK324" s="5"/>
      <c r="AL324" s="5"/>
      <c r="AM324" s="5"/>
      <c r="AN324" s="5"/>
      <c r="AO324" s="5"/>
      <c r="AP324" s="5" t="s">
        <v>39</v>
      </c>
      <c r="AQ324" s="5"/>
      <c r="AR324" s="5" t="s">
        <v>41</v>
      </c>
      <c r="AS324" s="5"/>
      <c r="AT324" s="5"/>
      <c r="AU324" s="5"/>
      <c r="AV324" s="5" t="s">
        <v>44</v>
      </c>
      <c r="AW324" s="5"/>
      <c r="AX324" s="5"/>
      <c r="AY324" s="5"/>
      <c r="AZ324" s="5"/>
      <c r="BA324" s="5"/>
      <c r="BB324" s="5"/>
      <c r="BC324" s="5"/>
      <c r="BD324" s="5" t="s">
        <v>51</v>
      </c>
      <c r="BE324" s="5"/>
      <c r="BF324" s="5"/>
      <c r="BG324" s="5"/>
      <c r="BH324" s="5"/>
      <c r="BI324" s="5" t="s">
        <v>55</v>
      </c>
      <c r="BJ324" s="5"/>
      <c r="BK324" s="5"/>
      <c r="BL324" s="5"/>
      <c r="BM324" s="5"/>
      <c r="BN324" s="5"/>
      <c r="BO324" s="5"/>
      <c r="BP324" s="5"/>
      <c r="BQ324" s="5"/>
      <c r="BR324" s="5" t="s">
        <v>62</v>
      </c>
      <c r="BS324" s="5"/>
      <c r="BT324" s="5"/>
      <c r="BU324" s="5" t="s">
        <v>64</v>
      </c>
      <c r="BV324" s="5"/>
      <c r="BW324" s="5"/>
      <c r="BX324" s="5" t="s">
        <v>67</v>
      </c>
      <c r="BY324" s="5"/>
      <c r="BZ324" s="5"/>
      <c r="CA324" s="5"/>
      <c r="CB324" s="5"/>
      <c r="CC324" s="5"/>
      <c r="CD324" s="5"/>
      <c r="CE324" s="5"/>
      <c r="CF324" s="5" t="s">
        <v>75</v>
      </c>
      <c r="CG324" s="5"/>
      <c r="CH324" s="5"/>
      <c r="CI324" s="5" t="s">
        <v>417</v>
      </c>
      <c r="CJ324" s="5">
        <v>16</v>
      </c>
      <c r="CK324" s="5" t="s">
        <v>141</v>
      </c>
      <c r="CL324" s="5" t="s">
        <v>164</v>
      </c>
      <c r="CN324" s="5"/>
      <c r="CP324" s="5"/>
      <c r="CQ324" s="5"/>
      <c r="CT324" s="5"/>
      <c r="CU324" s="5"/>
      <c r="CV324" s="5"/>
      <c r="CW324" s="5"/>
      <c r="CX324" s="5"/>
      <c r="CY324" s="5"/>
      <c r="CZ324" s="5"/>
      <c r="DA324" s="5"/>
    </row>
    <row r="325" spans="1:105">
      <c r="A325" s="5">
        <v>18014577029</v>
      </c>
      <c r="B325" s="5"/>
      <c r="C325" s="5"/>
      <c r="D325" s="5" t="s">
        <v>18</v>
      </c>
      <c r="E325" s="5"/>
      <c r="F325" s="5"/>
      <c r="G325" s="5" t="s">
        <v>21</v>
      </c>
      <c r="H325" s="5"/>
      <c r="I325" s="5"/>
      <c r="J325" s="5" t="s">
        <v>24</v>
      </c>
      <c r="K325" s="5"/>
      <c r="L325" s="5"/>
      <c r="M325" s="5"/>
      <c r="N325" s="5" t="s">
        <v>28</v>
      </c>
      <c r="O325" s="5"/>
      <c r="P325" s="5"/>
      <c r="Q325" s="5"/>
      <c r="R325" s="5"/>
      <c r="S325" s="5"/>
      <c r="T325" s="5"/>
      <c r="U325" s="5"/>
      <c r="V325" s="5"/>
      <c r="W325" s="5"/>
      <c r="X325" s="5" t="s">
        <v>24</v>
      </c>
      <c r="Y325" s="5" t="s">
        <v>25</v>
      </c>
      <c r="Z325" s="5"/>
      <c r="AA325" s="5"/>
      <c r="AB325" s="5" t="s">
        <v>28</v>
      </c>
      <c r="AC325" s="5"/>
      <c r="AD325" s="5"/>
      <c r="AE325" s="5"/>
      <c r="AF325" s="5"/>
      <c r="AG325" s="5"/>
      <c r="AH325" s="5"/>
      <c r="AI325" s="5" t="s">
        <v>34</v>
      </c>
      <c r="AJ325" s="5"/>
      <c r="AK325" s="5"/>
      <c r="AL325" s="5"/>
      <c r="AM325" s="5"/>
      <c r="AN325" s="5"/>
      <c r="AO325" s="5" t="s">
        <v>38</v>
      </c>
      <c r="AP325" s="5" t="s">
        <v>39</v>
      </c>
      <c r="AQ325" s="5"/>
      <c r="AR325" s="5"/>
      <c r="AS325" s="5"/>
      <c r="AT325" s="5"/>
      <c r="AU325" s="5" t="s">
        <v>43</v>
      </c>
      <c r="AV325" s="5"/>
      <c r="AW325" s="5"/>
      <c r="AX325" s="5"/>
      <c r="AY325" s="5"/>
      <c r="AZ325" s="5"/>
      <c r="BA325" s="5"/>
      <c r="BB325" s="5"/>
      <c r="BC325" s="5"/>
      <c r="BD325" s="5" t="s">
        <v>51</v>
      </c>
      <c r="BE325" s="5"/>
      <c r="BF325" s="5"/>
      <c r="BG325" s="5"/>
      <c r="BH325" s="5"/>
      <c r="BI325" s="5"/>
      <c r="BJ325" s="5"/>
      <c r="BK325" s="5"/>
      <c r="BL325" s="5"/>
      <c r="BM325" s="5"/>
      <c r="BN325" s="5"/>
      <c r="BO325" s="5"/>
      <c r="BP325" s="5"/>
      <c r="BQ325" s="5"/>
      <c r="BR325" s="5" t="s">
        <v>62</v>
      </c>
      <c r="BS325" s="5" t="s">
        <v>63</v>
      </c>
      <c r="BT325" s="5"/>
      <c r="BU325" s="5" t="s">
        <v>64</v>
      </c>
      <c r="BV325" s="5"/>
      <c r="BW325" s="5"/>
      <c r="BX325" s="5" t="s">
        <v>67</v>
      </c>
      <c r="BY325" s="5"/>
      <c r="BZ325" s="5"/>
      <c r="CA325" s="5"/>
      <c r="CB325" s="5"/>
      <c r="CC325" s="5"/>
      <c r="CD325" s="5"/>
      <c r="CE325" s="5" t="s">
        <v>74</v>
      </c>
      <c r="CF325" s="5"/>
      <c r="CG325" s="5"/>
      <c r="CH325" s="5"/>
      <c r="CI325" s="5" t="s">
        <v>417</v>
      </c>
      <c r="CJ325" s="5"/>
      <c r="CK325" s="5" t="s">
        <v>141</v>
      </c>
      <c r="CL325" s="5" t="s">
        <v>158</v>
      </c>
      <c r="CM325" s="103" t="s">
        <v>436</v>
      </c>
      <c r="CN325" s="5" t="s">
        <v>419</v>
      </c>
      <c r="CO325" s="103" t="s">
        <v>82</v>
      </c>
      <c r="CP325" s="5" t="s">
        <v>83</v>
      </c>
      <c r="CQ325" s="5" t="s">
        <v>103</v>
      </c>
      <c r="CR325" s="103" t="s">
        <v>85</v>
      </c>
      <c r="CS325" s="103" t="s">
        <v>86</v>
      </c>
      <c r="CT325" s="5" t="s">
        <v>384</v>
      </c>
      <c r="CU325" s="5" t="s">
        <v>86</v>
      </c>
      <c r="CV325" s="5"/>
      <c r="CW325" s="5"/>
      <c r="CX325" s="5"/>
      <c r="CY325" s="5"/>
      <c r="CZ325" s="5"/>
      <c r="DA325" s="5"/>
    </row>
    <row r="326" spans="1:105">
      <c r="A326" s="5">
        <v>18014574170</v>
      </c>
      <c r="B326" s="5"/>
      <c r="C326" s="5"/>
      <c r="D326" s="5"/>
      <c r="E326" s="5" t="s">
        <v>19</v>
      </c>
      <c r="F326" s="5"/>
      <c r="G326" s="5"/>
      <c r="H326" s="5" t="s">
        <v>22</v>
      </c>
      <c r="I326" s="5"/>
      <c r="J326" s="5"/>
      <c r="K326" s="5"/>
      <c r="L326" s="5"/>
      <c r="M326" s="5"/>
      <c r="N326" s="5" t="s">
        <v>28</v>
      </c>
      <c r="O326" s="5"/>
      <c r="P326" s="5"/>
      <c r="Q326" s="5"/>
      <c r="R326" s="5"/>
      <c r="S326" s="5"/>
      <c r="T326" s="5"/>
      <c r="U326" s="5"/>
      <c r="V326" s="5"/>
      <c r="W326" s="5"/>
      <c r="X326" s="5"/>
      <c r="Y326" s="5"/>
      <c r="Z326" s="5"/>
      <c r="AA326" s="5"/>
      <c r="AB326" s="5" t="s">
        <v>28</v>
      </c>
      <c r="AC326" s="5"/>
      <c r="AD326" s="5" t="s">
        <v>29</v>
      </c>
      <c r="AE326" s="5"/>
      <c r="AF326" s="5"/>
      <c r="AG326" s="5"/>
      <c r="AH326" s="5"/>
      <c r="AI326" s="5"/>
      <c r="AJ326" s="5" t="s">
        <v>35</v>
      </c>
      <c r="AK326" s="5"/>
      <c r="AL326" s="5"/>
      <c r="AM326" s="5"/>
      <c r="AN326" s="5"/>
      <c r="AO326" s="5" t="s">
        <v>38</v>
      </c>
      <c r="AP326" s="5" t="s">
        <v>39</v>
      </c>
      <c r="AQ326" s="5"/>
      <c r="AR326" s="5"/>
      <c r="AS326" s="5"/>
      <c r="AT326" s="5"/>
      <c r="AU326" s="5"/>
      <c r="AV326" s="5"/>
      <c r="AW326" s="5" t="s">
        <v>45</v>
      </c>
      <c r="AX326" s="5"/>
      <c r="AY326" s="5"/>
      <c r="AZ326" s="5"/>
      <c r="BA326" s="5"/>
      <c r="BB326" s="5"/>
      <c r="BC326" s="5"/>
      <c r="BD326" s="5" t="s">
        <v>51</v>
      </c>
      <c r="BE326" s="5"/>
      <c r="BF326" s="5"/>
      <c r="BG326" s="5"/>
      <c r="BH326" s="5"/>
      <c r="BI326" s="5" t="s">
        <v>55</v>
      </c>
      <c r="BJ326" s="5"/>
      <c r="BK326" s="5" t="s">
        <v>57</v>
      </c>
      <c r="BL326" s="5"/>
      <c r="BM326" s="5"/>
      <c r="BN326" s="5"/>
      <c r="BO326" s="5"/>
      <c r="BP326" s="5"/>
      <c r="BQ326" s="5"/>
      <c r="BR326" s="5"/>
      <c r="BS326" s="5"/>
      <c r="BT326" s="5"/>
      <c r="BU326" s="5" t="s">
        <v>64</v>
      </c>
      <c r="BV326" s="5"/>
      <c r="BW326" s="5"/>
      <c r="BX326" s="5"/>
      <c r="BY326" s="5"/>
      <c r="BZ326" s="5" t="s">
        <v>69</v>
      </c>
      <c r="CA326" s="5"/>
      <c r="CB326" s="5"/>
      <c r="CC326" s="5"/>
      <c r="CD326" s="5"/>
      <c r="CE326" s="5"/>
      <c r="CF326" s="5" t="s">
        <v>75</v>
      </c>
      <c r="CG326" s="5"/>
      <c r="CH326" s="5"/>
      <c r="CI326" s="5" t="s">
        <v>417</v>
      </c>
      <c r="CJ326" s="5">
        <v>56</v>
      </c>
      <c r="CK326" s="5" t="s">
        <v>141</v>
      </c>
      <c r="CL326" s="5" t="s">
        <v>164</v>
      </c>
      <c r="CM326" s="103" t="s">
        <v>439</v>
      </c>
      <c r="CN326" s="5" t="s">
        <v>419</v>
      </c>
      <c r="CO326" s="103" t="s">
        <v>460</v>
      </c>
      <c r="CP326" s="5" t="s">
        <v>93</v>
      </c>
      <c r="CQ326" s="5" t="s">
        <v>88</v>
      </c>
      <c r="CR326" s="103" t="s">
        <v>85</v>
      </c>
      <c r="CS326" s="103" t="s">
        <v>86</v>
      </c>
      <c r="CT326" s="5" t="s">
        <v>384</v>
      </c>
      <c r="CU326" s="5" t="s">
        <v>81</v>
      </c>
      <c r="CV326" s="5"/>
      <c r="CW326" s="5"/>
      <c r="CX326" s="5"/>
      <c r="CY326" s="5"/>
      <c r="CZ326" s="5"/>
      <c r="DA326" s="5"/>
    </row>
    <row r="327" spans="1:105">
      <c r="A327" s="5">
        <v>18014573176</v>
      </c>
      <c r="B327" s="5"/>
      <c r="C327" s="5" t="s">
        <v>17</v>
      </c>
      <c r="D327" s="5" t="s">
        <v>18</v>
      </c>
      <c r="E327" s="5"/>
      <c r="F327" s="5"/>
      <c r="G327" s="5"/>
      <c r="H327" s="5"/>
      <c r="I327" s="5"/>
      <c r="J327" s="5"/>
      <c r="K327" s="5"/>
      <c r="L327" s="5" t="s">
        <v>26</v>
      </c>
      <c r="M327" s="5"/>
      <c r="N327" s="5"/>
      <c r="O327" s="5"/>
      <c r="P327" s="5"/>
      <c r="Q327" s="5" t="s">
        <v>17</v>
      </c>
      <c r="R327" s="5" t="s">
        <v>18</v>
      </c>
      <c r="S327" s="5"/>
      <c r="T327" s="5"/>
      <c r="U327" s="5"/>
      <c r="V327" s="5"/>
      <c r="W327" s="5"/>
      <c r="X327" s="5"/>
      <c r="Y327" s="5"/>
      <c r="Z327" s="5" t="s">
        <v>26</v>
      </c>
      <c r="AA327" s="5"/>
      <c r="AB327" s="5"/>
      <c r="AC327" s="5"/>
      <c r="AD327" s="5"/>
      <c r="AE327" s="5"/>
      <c r="AF327" s="5"/>
      <c r="AG327" s="5"/>
      <c r="AH327" s="5"/>
      <c r="AI327" s="5" t="s">
        <v>34</v>
      </c>
      <c r="AJ327" s="5"/>
      <c r="AK327" s="5"/>
      <c r="AL327" s="5"/>
      <c r="AM327" s="5"/>
      <c r="AN327" s="5"/>
      <c r="AO327" s="5" t="s">
        <v>38</v>
      </c>
      <c r="AP327" s="5"/>
      <c r="AQ327" s="5"/>
      <c r="AR327" s="5"/>
      <c r="AS327" s="5"/>
      <c r="AT327" s="5"/>
      <c r="AU327" s="5" t="s">
        <v>43</v>
      </c>
      <c r="AV327" s="5"/>
      <c r="AW327" s="5"/>
      <c r="AX327" s="5"/>
      <c r="AY327" s="5" t="s">
        <v>47</v>
      </c>
      <c r="AZ327" s="5"/>
      <c r="BA327" s="5"/>
      <c r="BB327" s="5"/>
      <c r="BC327" s="5"/>
      <c r="BD327" s="5"/>
      <c r="BE327" s="5"/>
      <c r="BF327" s="5"/>
      <c r="BG327" s="5"/>
      <c r="BH327" s="5"/>
      <c r="BI327" s="5" t="s">
        <v>55</v>
      </c>
      <c r="BJ327" s="5"/>
      <c r="BK327" s="5"/>
      <c r="BL327" s="5" t="s">
        <v>58</v>
      </c>
      <c r="BM327" s="5"/>
      <c r="BN327" s="5"/>
      <c r="BO327" s="5"/>
      <c r="BP327" s="5"/>
      <c r="BQ327" s="5"/>
      <c r="BR327" s="5"/>
      <c r="BS327" s="5" t="s">
        <v>63</v>
      </c>
      <c r="BT327" s="5"/>
      <c r="BU327" s="5" t="s">
        <v>64</v>
      </c>
      <c r="BV327" s="5"/>
      <c r="BW327" s="5"/>
      <c r="BX327" s="5"/>
      <c r="BY327" s="5"/>
      <c r="BZ327" s="5"/>
      <c r="CA327" s="5"/>
      <c r="CB327" s="5"/>
      <c r="CC327" s="5"/>
      <c r="CD327" s="5"/>
      <c r="CE327" s="5"/>
      <c r="CF327" s="5" t="s">
        <v>75</v>
      </c>
      <c r="CG327" s="5"/>
      <c r="CH327" s="5"/>
      <c r="CI327" s="5" t="s">
        <v>417</v>
      </c>
      <c r="CJ327" s="5">
        <v>49</v>
      </c>
      <c r="CK327" s="5" t="s">
        <v>141</v>
      </c>
      <c r="CL327" s="5" t="s">
        <v>358</v>
      </c>
      <c r="CM327" s="103" t="s">
        <v>418</v>
      </c>
      <c r="CN327" s="5" t="s">
        <v>419</v>
      </c>
      <c r="CO327" s="103" t="s">
        <v>82</v>
      </c>
      <c r="CP327" s="5" t="s">
        <v>83</v>
      </c>
      <c r="CQ327" s="5" t="s">
        <v>103</v>
      </c>
      <c r="CR327" s="103" t="s">
        <v>85</v>
      </c>
      <c r="CS327" s="103" t="s">
        <v>86</v>
      </c>
      <c r="CT327" s="5" t="s">
        <v>384</v>
      </c>
      <c r="CU327" s="5" t="s">
        <v>86</v>
      </c>
      <c r="CV327" s="5"/>
      <c r="CW327" s="5"/>
      <c r="CX327" s="5"/>
      <c r="CY327" s="5"/>
      <c r="CZ327" s="5"/>
      <c r="DA327" s="5"/>
    </row>
    <row r="328" spans="1:105">
      <c r="A328" s="5">
        <v>18014553236</v>
      </c>
      <c r="B328" s="5"/>
      <c r="C328" s="5"/>
      <c r="D328" s="5"/>
      <c r="E328" s="5"/>
      <c r="F328" s="5"/>
      <c r="G328" s="5"/>
      <c r="H328" s="5"/>
      <c r="I328" s="5"/>
      <c r="J328" s="5"/>
      <c r="K328" s="5" t="s">
        <v>25</v>
      </c>
      <c r="L328" s="5" t="s">
        <v>26</v>
      </c>
      <c r="M328" s="5"/>
      <c r="N328" s="5"/>
      <c r="O328" s="5"/>
      <c r="P328" s="5"/>
      <c r="Q328" s="5"/>
      <c r="R328" s="5"/>
      <c r="S328" s="5"/>
      <c r="T328" s="5"/>
      <c r="U328" s="5"/>
      <c r="V328" s="5"/>
      <c r="W328" s="5"/>
      <c r="X328" s="5"/>
      <c r="Y328" s="5" t="s">
        <v>25</v>
      </c>
      <c r="Z328" s="5"/>
      <c r="AA328" s="5"/>
      <c r="AB328" s="5"/>
      <c r="AC328" s="5"/>
      <c r="AD328" s="5"/>
      <c r="AE328" s="5"/>
      <c r="AF328" s="5"/>
      <c r="AG328" s="5"/>
      <c r="AH328" s="5"/>
      <c r="AI328" s="5"/>
      <c r="AJ328" s="5"/>
      <c r="AK328" s="5" t="s">
        <v>36</v>
      </c>
      <c r="AL328" s="5"/>
      <c r="AM328" s="5"/>
      <c r="AN328" s="5"/>
      <c r="AO328" s="5" t="s">
        <v>38</v>
      </c>
      <c r="AP328" s="5"/>
      <c r="AQ328" s="5"/>
      <c r="AR328" s="5"/>
      <c r="AS328" s="5"/>
      <c r="AT328" s="5"/>
      <c r="AU328" s="5"/>
      <c r="AV328" s="5" t="s">
        <v>44</v>
      </c>
      <c r="AW328" s="5"/>
      <c r="AX328" s="5" t="s">
        <v>46</v>
      </c>
      <c r="AY328" s="5"/>
      <c r="AZ328" s="5"/>
      <c r="BA328" s="5"/>
      <c r="BB328" s="5"/>
      <c r="BC328" s="5"/>
      <c r="BD328" s="5"/>
      <c r="BE328" s="5"/>
      <c r="BF328" s="5"/>
      <c r="BG328" s="5"/>
      <c r="BH328" s="5" t="s">
        <v>54</v>
      </c>
      <c r="BI328" s="5"/>
      <c r="BJ328" s="5"/>
      <c r="BK328" s="5"/>
      <c r="BL328" s="5" t="s">
        <v>58</v>
      </c>
      <c r="BM328" s="5"/>
      <c r="BN328" s="5"/>
      <c r="BO328" s="5"/>
      <c r="BP328" s="5"/>
      <c r="BQ328" s="5" t="s">
        <v>61</v>
      </c>
      <c r="BR328" s="5"/>
      <c r="BS328" s="5"/>
      <c r="BT328" s="5"/>
      <c r="BU328" s="5"/>
      <c r="BV328" s="5"/>
      <c r="BW328" s="5" t="s">
        <v>66</v>
      </c>
      <c r="BX328" s="5"/>
      <c r="BY328" s="5"/>
      <c r="BZ328" s="5"/>
      <c r="CA328" s="5" t="s">
        <v>70</v>
      </c>
      <c r="CB328" s="5"/>
      <c r="CC328" s="5"/>
      <c r="CD328" s="5"/>
      <c r="CE328" s="5"/>
      <c r="CF328" s="5"/>
      <c r="CG328" s="5" t="s">
        <v>76</v>
      </c>
      <c r="CH328" s="5"/>
      <c r="CI328" s="5" t="s">
        <v>414</v>
      </c>
      <c r="CJ328" s="5">
        <v>18</v>
      </c>
      <c r="CK328" s="5" t="s">
        <v>141</v>
      </c>
      <c r="CL328" s="5" t="s">
        <v>164</v>
      </c>
      <c r="CM328" s="103" t="s">
        <v>418</v>
      </c>
      <c r="CN328" s="5" t="s">
        <v>416</v>
      </c>
      <c r="CO328" s="103" t="s">
        <v>427</v>
      </c>
      <c r="CP328" s="5" t="s">
        <v>93</v>
      </c>
      <c r="CQ328" s="5" t="s">
        <v>95</v>
      </c>
      <c r="CR328" s="103" t="s">
        <v>89</v>
      </c>
      <c r="CS328" s="103" t="s">
        <v>86</v>
      </c>
      <c r="CT328" s="5" t="s">
        <v>387</v>
      </c>
      <c r="CU328" s="5" t="s">
        <v>86</v>
      </c>
      <c r="CV328" s="5"/>
      <c r="CW328" s="5"/>
      <c r="CX328" s="5"/>
      <c r="CY328" s="5"/>
      <c r="CZ328" s="5"/>
      <c r="DA328" s="5"/>
    </row>
    <row r="329" spans="1:105">
      <c r="A329" s="5">
        <v>18014545263</v>
      </c>
      <c r="B329" s="5"/>
      <c r="C329" s="5"/>
      <c r="D329" s="5"/>
      <c r="E329" s="5"/>
      <c r="F329" s="5"/>
      <c r="G329" s="5" t="s">
        <v>21</v>
      </c>
      <c r="H329" s="5"/>
      <c r="I329" s="5"/>
      <c r="J329" s="5" t="s">
        <v>24</v>
      </c>
      <c r="K329" s="5"/>
      <c r="L329" s="5"/>
      <c r="M329" s="5"/>
      <c r="N329" s="5" t="s">
        <v>28</v>
      </c>
      <c r="O329" s="5"/>
      <c r="P329" s="5"/>
      <c r="Q329" s="5"/>
      <c r="R329" s="5"/>
      <c r="S329" s="5" t="s">
        <v>19</v>
      </c>
      <c r="T329" s="5"/>
      <c r="U329" s="5" t="s">
        <v>21</v>
      </c>
      <c r="V329" s="5"/>
      <c r="W329" s="5"/>
      <c r="X329" s="5"/>
      <c r="Y329" s="5"/>
      <c r="Z329" s="5"/>
      <c r="AA329" s="5"/>
      <c r="AB329" s="5" t="s">
        <v>28</v>
      </c>
      <c r="AC329" s="5"/>
      <c r="AD329" s="5"/>
      <c r="AE329" s="5"/>
      <c r="AF329" s="5"/>
      <c r="AG329" s="5"/>
      <c r="AH329" s="5"/>
      <c r="AI329" s="5"/>
      <c r="AJ329" s="5"/>
      <c r="AK329" s="5" t="s">
        <v>36</v>
      </c>
      <c r="AL329" s="5" t="s">
        <v>37</v>
      </c>
      <c r="AM329" s="5" t="s">
        <v>375</v>
      </c>
      <c r="AN329" s="5"/>
      <c r="AO329" s="5" t="s">
        <v>38</v>
      </c>
      <c r="AP329" s="5"/>
      <c r="AQ329" s="5"/>
      <c r="AR329" s="5" t="s">
        <v>41</v>
      </c>
      <c r="AS329" s="5"/>
      <c r="AT329" s="5"/>
      <c r="AU329" s="5"/>
      <c r="AV329" s="5"/>
      <c r="AW329" s="5" t="s">
        <v>45</v>
      </c>
      <c r="AX329" s="5"/>
      <c r="AY329" s="5" t="s">
        <v>47</v>
      </c>
      <c r="AZ329" s="5"/>
      <c r="BA329" s="5"/>
      <c r="BB329" s="5"/>
      <c r="BC329" s="5"/>
      <c r="BD329" s="5"/>
      <c r="BE329" s="5"/>
      <c r="BF329" s="5"/>
      <c r="BG329" s="5" t="s">
        <v>53</v>
      </c>
      <c r="BH329" s="5" t="s">
        <v>54</v>
      </c>
      <c r="BI329" s="5"/>
      <c r="BJ329" s="5"/>
      <c r="BK329" s="5"/>
      <c r="BL329" s="5"/>
      <c r="BM329" s="5" t="s">
        <v>59</v>
      </c>
      <c r="BN329" s="5" t="s">
        <v>24</v>
      </c>
      <c r="BO329" s="5"/>
      <c r="BP329" s="5"/>
      <c r="BQ329" s="5"/>
      <c r="BR329" s="5"/>
      <c r="BS329" s="5"/>
      <c r="BT329" s="5"/>
      <c r="BU329" s="5" t="s">
        <v>64</v>
      </c>
      <c r="BV329" s="5"/>
      <c r="BW329" s="5"/>
      <c r="BX329" s="5"/>
      <c r="BY329" s="5"/>
      <c r="BZ329" s="5"/>
      <c r="CA329" s="5"/>
      <c r="CB329" s="5"/>
      <c r="CC329" s="5" t="s">
        <v>72</v>
      </c>
      <c r="CD329" s="5"/>
      <c r="CE329" s="5"/>
      <c r="CF329" s="5"/>
      <c r="CG329" s="5" t="s">
        <v>76</v>
      </c>
      <c r="CH329" s="5"/>
      <c r="CI329" s="5" t="s">
        <v>414</v>
      </c>
      <c r="CJ329" s="5">
        <v>18</v>
      </c>
      <c r="CK329" s="5" t="s">
        <v>141</v>
      </c>
      <c r="CL329" s="5" t="s">
        <v>164</v>
      </c>
      <c r="CM329" s="103" t="s">
        <v>439</v>
      </c>
      <c r="CN329" s="5" t="s">
        <v>419</v>
      </c>
      <c r="CO329" s="103" t="s">
        <v>82</v>
      </c>
      <c r="CP329" s="5" t="s">
        <v>97</v>
      </c>
      <c r="CQ329" s="5" t="s">
        <v>95</v>
      </c>
      <c r="CR329" s="103" t="s">
        <v>89</v>
      </c>
      <c r="CS329" s="103" t="s">
        <v>81</v>
      </c>
      <c r="CT329" s="5" t="s">
        <v>296</v>
      </c>
      <c r="CU329" s="5" t="s">
        <v>86</v>
      </c>
      <c r="CV329" s="5"/>
      <c r="CW329" s="5"/>
      <c r="CX329" s="5"/>
      <c r="CY329" s="5"/>
      <c r="CZ329" s="5"/>
      <c r="DA329" s="5"/>
    </row>
    <row r="330" spans="1:105">
      <c r="A330" s="5">
        <v>18014444882</v>
      </c>
      <c r="B330" s="5"/>
      <c r="C330" s="5"/>
      <c r="D330" s="5"/>
      <c r="E330" s="5"/>
      <c r="F330" s="5"/>
      <c r="G330" s="5"/>
      <c r="H330" s="5" t="s">
        <v>22</v>
      </c>
      <c r="I330" s="5"/>
      <c r="J330" s="5" t="s">
        <v>24</v>
      </c>
      <c r="K330" s="5"/>
      <c r="L330" s="5"/>
      <c r="M330" s="5"/>
      <c r="N330" s="5"/>
      <c r="O330" s="5"/>
      <c r="P330" s="5"/>
      <c r="Q330" s="5"/>
      <c r="R330" s="5"/>
      <c r="S330" s="5" t="s">
        <v>19</v>
      </c>
      <c r="T330" s="5"/>
      <c r="U330" s="5"/>
      <c r="V330" s="5"/>
      <c r="W330" s="5"/>
      <c r="X330" s="5"/>
      <c r="Y330" s="5"/>
      <c r="Z330" s="5"/>
      <c r="AA330" s="5"/>
      <c r="AB330" s="5"/>
      <c r="AC330" s="5"/>
      <c r="AD330" s="5"/>
      <c r="AE330" s="5" t="s">
        <v>30</v>
      </c>
      <c r="AF330" s="5" t="s">
        <v>31</v>
      </c>
      <c r="AG330" s="5" t="s">
        <v>32</v>
      </c>
      <c r="AH330" s="5"/>
      <c r="AI330" s="5"/>
      <c r="AJ330" s="5"/>
      <c r="AK330" s="5"/>
      <c r="AL330" s="5"/>
      <c r="AM330" s="5"/>
      <c r="AN330" s="5"/>
      <c r="AO330" s="5"/>
      <c r="AP330" s="5"/>
      <c r="AQ330" s="5"/>
      <c r="AR330" s="5"/>
      <c r="AS330" s="5"/>
      <c r="AT330" s="5"/>
      <c r="AU330" s="5" t="s">
        <v>43</v>
      </c>
      <c r="AV330" s="5"/>
      <c r="AW330" s="5"/>
      <c r="AX330" s="5"/>
      <c r="AY330" s="5" t="s">
        <v>47</v>
      </c>
      <c r="AZ330" s="5"/>
      <c r="BA330" s="5"/>
      <c r="BB330" s="5" t="s">
        <v>49</v>
      </c>
      <c r="BC330" s="5"/>
      <c r="BD330" s="5"/>
      <c r="BE330" s="5"/>
      <c r="BF330" s="5"/>
      <c r="BG330" s="5"/>
      <c r="BH330" s="5" t="s">
        <v>54</v>
      </c>
      <c r="BI330" s="5"/>
      <c r="BJ330" s="5"/>
      <c r="BK330" s="5" t="s">
        <v>57</v>
      </c>
      <c r="BL330" s="5"/>
      <c r="BM330" s="5"/>
      <c r="BN330" s="5"/>
      <c r="BO330" s="5"/>
      <c r="BP330" s="5"/>
      <c r="BQ330" s="5"/>
      <c r="BR330" s="5"/>
      <c r="BS330" s="5"/>
      <c r="BT330" s="5"/>
      <c r="BU330" s="5"/>
      <c r="BV330" s="5"/>
      <c r="BW330" s="5"/>
      <c r="BX330" s="5"/>
      <c r="BY330" s="5"/>
      <c r="BZ330" s="5"/>
      <c r="CA330" s="5"/>
      <c r="CB330" s="5"/>
      <c r="CC330" s="5" t="s">
        <v>72</v>
      </c>
      <c r="CD330" s="5"/>
      <c r="CE330" s="5"/>
      <c r="CF330" s="5"/>
      <c r="CG330" s="5"/>
      <c r="CH330" s="5"/>
      <c r="CI330" s="5" t="s">
        <v>417</v>
      </c>
      <c r="CJ330" s="5">
        <v>54</v>
      </c>
      <c r="CK330" s="5" t="s">
        <v>80</v>
      </c>
      <c r="CL330" s="5" t="s">
        <v>138</v>
      </c>
      <c r="CM330" s="103" t="s">
        <v>436</v>
      </c>
      <c r="CN330" s="5" t="s">
        <v>419</v>
      </c>
      <c r="CO330" s="103" t="s">
        <v>438</v>
      </c>
      <c r="CP330" s="5" t="s">
        <v>90</v>
      </c>
      <c r="CQ330" s="5" t="s">
        <v>111</v>
      </c>
      <c r="CR330" s="103" t="s">
        <v>92</v>
      </c>
      <c r="CS330" s="103" t="s">
        <v>86</v>
      </c>
      <c r="CT330" s="5" t="s">
        <v>387</v>
      </c>
      <c r="CU330" s="5" t="s">
        <v>86</v>
      </c>
      <c r="CV330" s="5"/>
      <c r="CW330" s="5"/>
      <c r="CX330" s="5"/>
      <c r="CY330" s="5"/>
      <c r="CZ330" s="5"/>
      <c r="DA330" s="5"/>
    </row>
    <row r="331" spans="1:105">
      <c r="A331" s="5">
        <v>18014407639</v>
      </c>
      <c r="B331" s="5"/>
      <c r="C331" s="5"/>
      <c r="D331" s="5"/>
      <c r="E331" s="5" t="s">
        <v>19</v>
      </c>
      <c r="F331" s="5"/>
      <c r="G331" s="5" t="s">
        <v>21</v>
      </c>
      <c r="H331" s="5"/>
      <c r="I331" s="5"/>
      <c r="J331" s="5"/>
      <c r="K331" s="5"/>
      <c r="L331" s="5"/>
      <c r="M331" s="5" t="s">
        <v>27</v>
      </c>
      <c r="N331" s="5"/>
      <c r="O331" s="5"/>
      <c r="P331" s="5"/>
      <c r="Q331" s="5"/>
      <c r="R331" s="5"/>
      <c r="S331" s="5"/>
      <c r="T331" s="5"/>
      <c r="U331" s="5" t="s">
        <v>21</v>
      </c>
      <c r="V331" s="5"/>
      <c r="W331" s="5" t="s">
        <v>23</v>
      </c>
      <c r="X331" s="5"/>
      <c r="Y331" s="5" t="s">
        <v>25</v>
      </c>
      <c r="Z331" s="5"/>
      <c r="AA331" s="5"/>
      <c r="AB331" s="5"/>
      <c r="AC331" s="5"/>
      <c r="AD331" s="5"/>
      <c r="AE331" s="5" t="s">
        <v>30</v>
      </c>
      <c r="AF331" s="5"/>
      <c r="AG331" s="5"/>
      <c r="AH331" s="5"/>
      <c r="AI331" s="5" t="s">
        <v>34</v>
      </c>
      <c r="AJ331" s="5"/>
      <c r="AK331" s="5" t="s">
        <v>36</v>
      </c>
      <c r="AL331" s="5"/>
      <c r="AM331" s="5"/>
      <c r="AN331" s="5"/>
      <c r="AO331" s="5"/>
      <c r="AP331" s="5"/>
      <c r="AQ331" s="5"/>
      <c r="AR331" s="5"/>
      <c r="AS331" s="5"/>
      <c r="AT331" s="5"/>
      <c r="AU331" s="5" t="s">
        <v>43</v>
      </c>
      <c r="AV331" s="5"/>
      <c r="AW331" s="5" t="s">
        <v>45</v>
      </c>
      <c r="AX331" s="5"/>
      <c r="AY331" s="5" t="s">
        <v>47</v>
      </c>
      <c r="AZ331" s="5"/>
      <c r="BA331" s="5"/>
      <c r="BB331" s="5"/>
      <c r="BC331" s="5"/>
      <c r="BD331" s="5"/>
      <c r="BE331" s="5"/>
      <c r="BF331" s="5"/>
      <c r="BG331" s="5"/>
      <c r="BH331" s="5"/>
      <c r="BI331" s="5" t="s">
        <v>55</v>
      </c>
      <c r="BJ331" s="5"/>
      <c r="BK331" s="5" t="s">
        <v>57</v>
      </c>
      <c r="BL331" s="5"/>
      <c r="BM331" s="5"/>
      <c r="BN331" s="5"/>
      <c r="BO331" s="5"/>
      <c r="BP331" s="5"/>
      <c r="BQ331" s="5"/>
      <c r="BR331" s="5"/>
      <c r="BS331" s="5" t="s">
        <v>63</v>
      </c>
      <c r="BT331" s="5"/>
      <c r="BU331" s="5"/>
      <c r="BV331" s="5"/>
      <c r="BW331" s="5"/>
      <c r="BX331" s="5"/>
      <c r="BY331" s="5"/>
      <c r="BZ331" s="5" t="s">
        <v>69</v>
      </c>
      <c r="CA331" s="5" t="s">
        <v>70</v>
      </c>
      <c r="CB331" s="5"/>
      <c r="CC331" s="5"/>
      <c r="CD331" s="5"/>
      <c r="CE331" s="5" t="s">
        <v>74</v>
      </c>
      <c r="CF331" s="5"/>
      <c r="CG331" s="5"/>
      <c r="CH331" s="5"/>
      <c r="CI331" s="5" t="s">
        <v>414</v>
      </c>
      <c r="CJ331" s="5">
        <v>49</v>
      </c>
      <c r="CK331" s="5" t="s">
        <v>356</v>
      </c>
      <c r="CL331" s="5">
        <v>11003</v>
      </c>
      <c r="CM331" s="103" t="s">
        <v>439</v>
      </c>
      <c r="CN331" s="5" t="s">
        <v>419</v>
      </c>
      <c r="CO331" s="103" t="s">
        <v>461</v>
      </c>
      <c r="CP331" s="5" t="s">
        <v>90</v>
      </c>
      <c r="CQ331" s="5" t="s">
        <v>103</v>
      </c>
      <c r="CR331" s="103" t="s">
        <v>85</v>
      </c>
      <c r="CS331" s="103" t="s">
        <v>86</v>
      </c>
      <c r="CT331" s="5" t="s">
        <v>387</v>
      </c>
      <c r="CU331" s="5" t="s">
        <v>86</v>
      </c>
      <c r="CV331" s="5"/>
      <c r="CW331" s="5"/>
      <c r="CX331" s="5"/>
      <c r="CY331" s="5"/>
      <c r="CZ331" s="5"/>
      <c r="DA331" s="5"/>
    </row>
    <row r="332" spans="1:105">
      <c r="A332" s="5">
        <v>18014391810</v>
      </c>
      <c r="B332" s="5" t="s">
        <v>16</v>
      </c>
      <c r="C332" s="5" t="s">
        <v>17</v>
      </c>
      <c r="D332" s="5"/>
      <c r="E332" s="5"/>
      <c r="F332" s="5"/>
      <c r="G332" s="5"/>
      <c r="H332" s="5" t="s">
        <v>22</v>
      </c>
      <c r="I332" s="5"/>
      <c r="J332" s="5" t="s">
        <v>24</v>
      </c>
      <c r="K332" s="5"/>
      <c r="L332" s="5"/>
      <c r="M332" s="5"/>
      <c r="N332" s="5"/>
      <c r="O332" s="5"/>
      <c r="P332" s="5" t="s">
        <v>16</v>
      </c>
      <c r="Q332" s="5" t="s">
        <v>17</v>
      </c>
      <c r="R332" s="5"/>
      <c r="S332" s="5"/>
      <c r="T332" s="5"/>
      <c r="U332" s="5"/>
      <c r="V332" s="5" t="s">
        <v>22</v>
      </c>
      <c r="W332" s="5"/>
      <c r="X332" s="5" t="s">
        <v>24</v>
      </c>
      <c r="Y332" s="5"/>
      <c r="Z332" s="5"/>
      <c r="AA332" s="5"/>
      <c r="AB332" s="5" t="s">
        <v>28</v>
      </c>
      <c r="AC332" s="5"/>
      <c r="AD332" s="5"/>
      <c r="AE332" s="5"/>
      <c r="AF332" s="5"/>
      <c r="AG332" s="5"/>
      <c r="AH332" s="5"/>
      <c r="AI332" s="5"/>
      <c r="AJ332" s="5"/>
      <c r="AK332" s="5"/>
      <c r="AL332" s="5"/>
      <c r="AM332" s="5"/>
      <c r="AN332" s="5"/>
      <c r="AO332" s="5"/>
      <c r="AP332" s="5" t="s">
        <v>39</v>
      </c>
      <c r="AQ332" s="5" t="s">
        <v>40</v>
      </c>
      <c r="AR332" s="5"/>
      <c r="AS332" s="5" t="s">
        <v>42</v>
      </c>
      <c r="AT332" s="5"/>
      <c r="AU332" s="5"/>
      <c r="AV332" s="5"/>
      <c r="AW332" s="5" t="s">
        <v>45</v>
      </c>
      <c r="AX332" s="5" t="s">
        <v>46</v>
      </c>
      <c r="AY332" s="5"/>
      <c r="AZ332" s="5"/>
      <c r="BA332" s="5"/>
      <c r="BB332" s="5" t="s">
        <v>49</v>
      </c>
      <c r="BC332" s="5"/>
      <c r="BD332" s="5"/>
      <c r="BE332" s="5"/>
      <c r="BF332" s="5" t="s">
        <v>52</v>
      </c>
      <c r="BG332" s="5" t="s">
        <v>53</v>
      </c>
      <c r="BH332" s="5" t="s">
        <v>54</v>
      </c>
      <c r="BI332" s="5"/>
      <c r="BJ332" s="5"/>
      <c r="BK332" s="5"/>
      <c r="BL332" s="5" t="s">
        <v>58</v>
      </c>
      <c r="BM332" s="5"/>
      <c r="BN332" s="5" t="s">
        <v>24</v>
      </c>
      <c r="BO332" s="5"/>
      <c r="BP332" s="5"/>
      <c r="BQ332" s="5"/>
      <c r="BR332" s="5" t="s">
        <v>62</v>
      </c>
      <c r="BS332" s="5" t="s">
        <v>63</v>
      </c>
      <c r="BT332" s="5"/>
      <c r="BU332" s="5" t="s">
        <v>64</v>
      </c>
      <c r="BV332" s="5"/>
      <c r="BW332" s="5"/>
      <c r="BX332" s="5"/>
      <c r="BY332" s="5"/>
      <c r="BZ332" s="5"/>
      <c r="CA332" s="5" t="s">
        <v>70</v>
      </c>
      <c r="CB332" s="5"/>
      <c r="CC332" s="5"/>
      <c r="CD332" s="5" t="s">
        <v>73</v>
      </c>
      <c r="CE332" s="5"/>
      <c r="CF332" s="5" t="s">
        <v>75</v>
      </c>
      <c r="CG332" s="5"/>
      <c r="CH332" s="5"/>
      <c r="CI332" s="5" t="s">
        <v>414</v>
      </c>
      <c r="CJ332" s="5">
        <v>50</v>
      </c>
      <c r="CK332" s="5" t="s">
        <v>141</v>
      </c>
      <c r="CL332" s="5" t="s">
        <v>164</v>
      </c>
      <c r="CM332" s="103" t="s">
        <v>439</v>
      </c>
      <c r="CN332" s="5" t="s">
        <v>419</v>
      </c>
      <c r="CO332" s="103" t="s">
        <v>460</v>
      </c>
      <c r="CP332" s="5" t="s">
        <v>83</v>
      </c>
      <c r="CQ332" s="5" t="s">
        <v>106</v>
      </c>
      <c r="CR332" s="103" t="s">
        <v>85</v>
      </c>
      <c r="CS332" s="103" t="s">
        <v>86</v>
      </c>
      <c r="CT332" s="5" t="s">
        <v>384</v>
      </c>
      <c r="CU332" s="5" t="s">
        <v>86</v>
      </c>
      <c r="CV332" s="5"/>
      <c r="CW332" s="5"/>
      <c r="CX332" s="5"/>
      <c r="CY332" s="5"/>
      <c r="CZ332" s="5"/>
      <c r="DA332" s="5"/>
    </row>
    <row r="333" spans="1:105">
      <c r="A333" s="5">
        <v>18014391895</v>
      </c>
      <c r="B333" s="5" t="s">
        <v>16</v>
      </c>
      <c r="C333" s="5" t="s">
        <v>17</v>
      </c>
      <c r="D333" s="5" t="s">
        <v>18</v>
      </c>
      <c r="E333" s="5"/>
      <c r="F333" s="5" t="s">
        <v>20</v>
      </c>
      <c r="G333" s="5" t="s">
        <v>21</v>
      </c>
      <c r="H333" s="5" t="s">
        <v>22</v>
      </c>
      <c r="I333" s="5" t="s">
        <v>23</v>
      </c>
      <c r="J333" s="5" t="s">
        <v>24</v>
      </c>
      <c r="K333" s="5" t="s">
        <v>25</v>
      </c>
      <c r="L333" s="5" t="s">
        <v>26</v>
      </c>
      <c r="M333" s="5" t="s">
        <v>27</v>
      </c>
      <c r="N333" s="5"/>
      <c r="O333" s="5"/>
      <c r="P333" s="5"/>
      <c r="Q333" s="5"/>
      <c r="R333" s="5"/>
      <c r="S333" s="5"/>
      <c r="T333" s="5"/>
      <c r="U333" s="5"/>
      <c r="V333" s="5"/>
      <c r="W333" s="5"/>
      <c r="X333" s="5" t="s">
        <v>24</v>
      </c>
      <c r="Y333" s="5"/>
      <c r="Z333" s="5"/>
      <c r="AA333" s="5" t="s">
        <v>27</v>
      </c>
      <c r="AB333" s="5"/>
      <c r="AC333" s="5"/>
      <c r="AD333" s="5"/>
      <c r="AE333" s="5"/>
      <c r="AF333" s="5"/>
      <c r="AG333" s="5"/>
      <c r="AH333" s="5"/>
      <c r="AI333" s="5"/>
      <c r="AJ333" s="5"/>
      <c r="AK333" s="5"/>
      <c r="AL333" s="5"/>
      <c r="AM333" s="5"/>
      <c r="AN333" s="5"/>
      <c r="AO333" s="5" t="s">
        <v>38</v>
      </c>
      <c r="AP333" s="5" t="s">
        <v>39</v>
      </c>
      <c r="AQ333" s="5" t="s">
        <v>40</v>
      </c>
      <c r="AR333" s="5" t="s">
        <v>41</v>
      </c>
      <c r="AS333" s="5" t="s">
        <v>42</v>
      </c>
      <c r="AT333" s="5" t="s">
        <v>37</v>
      </c>
      <c r="AU333" s="5" t="s">
        <v>43</v>
      </c>
      <c r="AV333" s="5" t="s">
        <v>44</v>
      </c>
      <c r="AW333" s="5"/>
      <c r="AX333" s="5" t="s">
        <v>46</v>
      </c>
      <c r="AY333" s="5" t="s">
        <v>47</v>
      </c>
      <c r="AZ333" s="5" t="s">
        <v>48</v>
      </c>
      <c r="BA333" s="5"/>
      <c r="BB333" s="5" t="s">
        <v>49</v>
      </c>
      <c r="BC333" s="5" t="s">
        <v>50</v>
      </c>
      <c r="BD333" s="5" t="s">
        <v>51</v>
      </c>
      <c r="BE333" s="5" t="s">
        <v>17</v>
      </c>
      <c r="BF333" s="5" t="s">
        <v>52</v>
      </c>
      <c r="BG333" s="5" t="s">
        <v>53</v>
      </c>
      <c r="BH333" s="5" t="s">
        <v>54</v>
      </c>
      <c r="BI333" s="5" t="s">
        <v>55</v>
      </c>
      <c r="BJ333" s="5" t="s">
        <v>56</v>
      </c>
      <c r="BK333" s="5" t="s">
        <v>57</v>
      </c>
      <c r="BL333" s="5" t="s">
        <v>58</v>
      </c>
      <c r="BM333" s="5" t="s">
        <v>59</v>
      </c>
      <c r="BN333" s="5" t="s">
        <v>24</v>
      </c>
      <c r="BO333" s="5" t="s">
        <v>20</v>
      </c>
      <c r="BP333" s="5" t="s">
        <v>60</v>
      </c>
      <c r="BQ333" s="5" t="s">
        <v>61</v>
      </c>
      <c r="BR333" s="5" t="s">
        <v>62</v>
      </c>
      <c r="BS333" s="5" t="s">
        <v>63</v>
      </c>
      <c r="BT333" s="5"/>
      <c r="BU333" s="5" t="s">
        <v>64</v>
      </c>
      <c r="BV333" s="5"/>
      <c r="BW333" s="5"/>
      <c r="BX333" s="5"/>
      <c r="BY333" s="5"/>
      <c r="BZ333" s="5"/>
      <c r="CA333" s="5"/>
      <c r="CB333" s="5"/>
      <c r="CC333" s="5"/>
      <c r="CD333" s="5"/>
      <c r="CE333" s="5"/>
      <c r="CF333" s="5"/>
      <c r="CG333" s="5"/>
      <c r="CH333" s="5"/>
      <c r="CI333" s="5" t="s">
        <v>414</v>
      </c>
      <c r="CJ333" s="5">
        <v>65</v>
      </c>
      <c r="CK333" s="5" t="s">
        <v>356</v>
      </c>
      <c r="CL333" s="5">
        <v>11692</v>
      </c>
      <c r="CM333" s="103" t="s">
        <v>439</v>
      </c>
      <c r="CN333" s="5" t="s">
        <v>419</v>
      </c>
      <c r="CO333" s="103" t="s">
        <v>82</v>
      </c>
      <c r="CP333" s="5" t="s">
        <v>97</v>
      </c>
      <c r="CQ333" s="5" t="s">
        <v>84</v>
      </c>
      <c r="CR333" s="103" t="s">
        <v>85</v>
      </c>
      <c r="CS333" s="103" t="s">
        <v>86</v>
      </c>
      <c r="CT333" s="5" t="s">
        <v>384</v>
      </c>
      <c r="CU333" s="5" t="s">
        <v>86</v>
      </c>
      <c r="CV333" s="5"/>
      <c r="CW333" s="5"/>
      <c r="CX333" s="5"/>
      <c r="CY333" s="5"/>
      <c r="CZ333" s="5"/>
      <c r="DA333" s="5"/>
    </row>
    <row r="334" spans="1:105">
      <c r="A334" s="5">
        <v>18014390822</v>
      </c>
      <c r="B334" s="5"/>
      <c r="C334" s="5"/>
      <c r="D334" s="5"/>
      <c r="E334" s="5" t="s">
        <v>19</v>
      </c>
      <c r="F334" s="5"/>
      <c r="G334" s="5"/>
      <c r="H334" s="5"/>
      <c r="I334" s="5"/>
      <c r="J334" s="5"/>
      <c r="K334" s="5" t="s">
        <v>25</v>
      </c>
      <c r="L334" s="5" t="s">
        <v>26</v>
      </c>
      <c r="M334" s="5"/>
      <c r="N334" s="5"/>
      <c r="O334" s="5"/>
      <c r="P334" s="5"/>
      <c r="Q334" s="5"/>
      <c r="R334" s="5"/>
      <c r="S334" s="5" t="s">
        <v>19</v>
      </c>
      <c r="T334" s="5"/>
      <c r="U334" s="5"/>
      <c r="V334" s="5" t="s">
        <v>22</v>
      </c>
      <c r="W334" s="5"/>
      <c r="X334" s="5"/>
      <c r="Y334" s="5"/>
      <c r="Z334" s="5" t="s">
        <v>26</v>
      </c>
      <c r="AA334" s="5"/>
      <c r="AB334" s="5"/>
      <c r="AC334" s="5"/>
      <c r="AD334" s="5" t="s">
        <v>29</v>
      </c>
      <c r="AE334" s="5" t="s">
        <v>30</v>
      </c>
      <c r="AF334" s="5"/>
      <c r="AG334" s="5"/>
      <c r="AH334" s="5"/>
      <c r="AI334" s="5"/>
      <c r="AJ334" s="5"/>
      <c r="AK334" s="5"/>
      <c r="AL334" s="5"/>
      <c r="AM334" s="5" t="s">
        <v>375</v>
      </c>
      <c r="AN334" s="5"/>
      <c r="AO334" s="5"/>
      <c r="AP334" s="5"/>
      <c r="AQ334" s="5"/>
      <c r="AR334" s="5"/>
      <c r="AS334" s="5" t="s">
        <v>42</v>
      </c>
      <c r="AT334" s="5"/>
      <c r="AU334" s="5"/>
      <c r="AV334" s="5"/>
      <c r="AW334" s="5"/>
      <c r="AX334" s="5" t="s">
        <v>46</v>
      </c>
      <c r="AY334" s="5" t="s">
        <v>47</v>
      </c>
      <c r="AZ334" s="5"/>
      <c r="BA334" s="5"/>
      <c r="BB334" s="5" t="s">
        <v>49</v>
      </c>
      <c r="BC334" s="5"/>
      <c r="BD334" s="5"/>
      <c r="BE334" s="5"/>
      <c r="BF334" s="5"/>
      <c r="BG334" s="5"/>
      <c r="BH334" s="5"/>
      <c r="BI334" s="5"/>
      <c r="BJ334" s="5"/>
      <c r="BK334" s="5"/>
      <c r="BL334" s="5"/>
      <c r="BM334" s="5"/>
      <c r="BN334" s="5" t="s">
        <v>24</v>
      </c>
      <c r="BO334" s="5"/>
      <c r="BP334" s="5"/>
      <c r="BQ334" s="5"/>
      <c r="BR334" s="5" t="s">
        <v>62</v>
      </c>
      <c r="BS334" s="5"/>
      <c r="BT334" s="5"/>
      <c r="BU334" s="5" t="s">
        <v>64</v>
      </c>
      <c r="BV334" s="5"/>
      <c r="BW334" s="5"/>
      <c r="BX334" s="5"/>
      <c r="BY334" s="5" t="s">
        <v>68</v>
      </c>
      <c r="BZ334" s="5"/>
      <c r="CA334" s="5"/>
      <c r="CB334" s="5"/>
      <c r="CC334" s="5"/>
      <c r="CD334" s="5" t="s">
        <v>73</v>
      </c>
      <c r="CE334" s="5"/>
      <c r="CF334" s="5"/>
      <c r="CG334" s="5"/>
      <c r="CH334" s="5"/>
      <c r="CI334" s="5" t="s">
        <v>414</v>
      </c>
      <c r="CJ334" s="5">
        <v>45</v>
      </c>
      <c r="CK334" s="5" t="s">
        <v>356</v>
      </c>
      <c r="CL334" s="5">
        <v>11355</v>
      </c>
      <c r="CM334" s="103" t="s">
        <v>415</v>
      </c>
      <c r="CN334" s="5" t="s">
        <v>419</v>
      </c>
      <c r="CO334" s="103" t="s">
        <v>82</v>
      </c>
      <c r="CP334" s="5" t="s">
        <v>97</v>
      </c>
      <c r="CQ334" s="5" t="s">
        <v>104</v>
      </c>
      <c r="CR334" s="103" t="s">
        <v>85</v>
      </c>
      <c r="CS334" s="103" t="s">
        <v>86</v>
      </c>
      <c r="CT334" s="5" t="s">
        <v>384</v>
      </c>
      <c r="CU334" s="5" t="s">
        <v>86</v>
      </c>
      <c r="CV334" s="5"/>
      <c r="CW334" s="5"/>
      <c r="CX334" s="5"/>
      <c r="CY334" s="5"/>
      <c r="CZ334" s="5"/>
      <c r="DA334" s="5"/>
    </row>
    <row r="335" spans="1:105">
      <c r="A335" s="5">
        <v>18014390460</v>
      </c>
      <c r="B335" s="5"/>
      <c r="C335" s="5"/>
      <c r="D335" s="5"/>
      <c r="E335" s="5"/>
      <c r="F335" s="5"/>
      <c r="G335" s="5"/>
      <c r="H335" s="5"/>
      <c r="I335" s="5"/>
      <c r="J335" s="5"/>
      <c r="K335" s="5"/>
      <c r="L335" s="5" t="s">
        <v>26</v>
      </c>
      <c r="M335" s="5"/>
      <c r="N335" s="5"/>
      <c r="O335" s="5"/>
      <c r="P335" s="5"/>
      <c r="Q335" s="5"/>
      <c r="R335" s="5" t="s">
        <v>18</v>
      </c>
      <c r="S335" s="5"/>
      <c r="T335" s="5"/>
      <c r="U335" s="5"/>
      <c r="V335" s="5"/>
      <c r="W335" s="5"/>
      <c r="X335" s="5"/>
      <c r="Y335" s="5"/>
      <c r="Z335" s="5"/>
      <c r="AA335" s="5"/>
      <c r="AB335" s="5"/>
      <c r="AC335" s="5"/>
      <c r="AD335" s="5"/>
      <c r="AE335" s="5" t="s">
        <v>30</v>
      </c>
      <c r="AF335" s="5" t="s">
        <v>31</v>
      </c>
      <c r="AG335" s="5"/>
      <c r="AH335" s="5"/>
      <c r="AI335" s="5"/>
      <c r="AJ335" s="5"/>
      <c r="AK335" s="5"/>
      <c r="AL335" s="5"/>
      <c r="AM335" s="5"/>
      <c r="AN335" s="5"/>
      <c r="AO335" s="5"/>
      <c r="AP335" s="5"/>
      <c r="AQ335" s="5"/>
      <c r="AR335" s="5" t="s">
        <v>41</v>
      </c>
      <c r="AS335" s="5"/>
      <c r="AT335" s="5"/>
      <c r="AU335" s="5"/>
      <c r="AV335" s="5"/>
      <c r="AW335" s="5"/>
      <c r="AX335" s="5"/>
      <c r="AY335" s="5"/>
      <c r="AZ335" s="5"/>
      <c r="BA335" s="5"/>
      <c r="BB335" s="5" t="s">
        <v>49</v>
      </c>
      <c r="BC335" s="5"/>
      <c r="BD335" s="5"/>
      <c r="BE335" s="5"/>
      <c r="BF335" s="5" t="s">
        <v>52</v>
      </c>
      <c r="BG335" s="5"/>
      <c r="BH335" s="5" t="s">
        <v>54</v>
      </c>
      <c r="BI335" s="5"/>
      <c r="BJ335" s="5"/>
      <c r="BK335" s="5"/>
      <c r="BL335" s="5"/>
      <c r="BM335" s="5"/>
      <c r="BN335" s="5" t="s">
        <v>24</v>
      </c>
      <c r="BO335" s="5"/>
      <c r="BP335" s="5"/>
      <c r="BQ335" s="5" t="s">
        <v>61</v>
      </c>
      <c r="BR335" s="5"/>
      <c r="BS335" s="5"/>
      <c r="BT335" s="5"/>
      <c r="BU335" s="5" t="s">
        <v>64</v>
      </c>
      <c r="BV335" s="5"/>
      <c r="BW335" s="5"/>
      <c r="BX335" s="5"/>
      <c r="BY335" s="5"/>
      <c r="BZ335" s="5"/>
      <c r="CA335" s="5" t="s">
        <v>70</v>
      </c>
      <c r="CB335" s="5"/>
      <c r="CC335" s="5"/>
      <c r="CD335" s="5"/>
      <c r="CE335" s="5"/>
      <c r="CF335" s="5"/>
      <c r="CG335" s="5"/>
      <c r="CH335" s="5"/>
      <c r="CI335" s="5" t="s">
        <v>417</v>
      </c>
      <c r="CJ335" s="5">
        <v>38</v>
      </c>
      <c r="CK335" s="5" t="s">
        <v>356</v>
      </c>
      <c r="CL335" s="5">
        <v>11236</v>
      </c>
      <c r="CM335" s="103" t="s">
        <v>415</v>
      </c>
      <c r="CN335" s="5" t="s">
        <v>416</v>
      </c>
      <c r="CO335" s="103" t="s">
        <v>424</v>
      </c>
      <c r="CP335" s="5" t="s">
        <v>94</v>
      </c>
      <c r="CQ335" s="5" t="s">
        <v>84</v>
      </c>
      <c r="CR335" s="103" t="s">
        <v>85</v>
      </c>
      <c r="CS335" s="103" t="s">
        <v>81</v>
      </c>
      <c r="CT335" s="5" t="s">
        <v>443</v>
      </c>
      <c r="CU335" s="5" t="s">
        <v>86</v>
      </c>
      <c r="CV335" s="5"/>
      <c r="CW335" s="5"/>
      <c r="CX335" s="5"/>
      <c r="CY335" s="5"/>
      <c r="CZ335" s="5"/>
      <c r="DA335" s="5"/>
    </row>
    <row r="336" spans="1:105">
      <c r="A336" s="5">
        <v>18014363228</v>
      </c>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t="s">
        <v>128</v>
      </c>
      <c r="CN336" s="5"/>
      <c r="CP336" s="5"/>
      <c r="CQ336" s="5"/>
      <c r="CT336" s="5"/>
      <c r="CU336" s="5"/>
      <c r="CV336" s="5"/>
      <c r="CW336" s="5"/>
      <c r="CX336" s="5"/>
      <c r="CY336" s="5"/>
      <c r="CZ336" s="5"/>
      <c r="DA336" s="5"/>
    </row>
    <row r="337" spans="1:105">
      <c r="A337" s="5">
        <v>18014090175</v>
      </c>
      <c r="B337" s="5"/>
      <c r="C337" s="5" t="s">
        <v>17</v>
      </c>
      <c r="D337" s="5"/>
      <c r="E337" s="5" t="s">
        <v>19</v>
      </c>
      <c r="F337" s="5"/>
      <c r="G337" s="5" t="s">
        <v>21</v>
      </c>
      <c r="H337" s="5"/>
      <c r="I337" s="5"/>
      <c r="J337" s="5"/>
      <c r="K337" s="5"/>
      <c r="L337" s="5"/>
      <c r="M337" s="5"/>
      <c r="N337" s="5"/>
      <c r="O337" s="5"/>
      <c r="P337" s="5"/>
      <c r="Q337" s="5" t="s">
        <v>17</v>
      </c>
      <c r="R337" s="5"/>
      <c r="S337" s="5"/>
      <c r="T337" s="5"/>
      <c r="U337" s="5"/>
      <c r="V337" s="5"/>
      <c r="W337" s="5" t="s">
        <v>23</v>
      </c>
      <c r="X337" s="5"/>
      <c r="Y337" s="5"/>
      <c r="Z337" s="5" t="s">
        <v>26</v>
      </c>
      <c r="AA337" s="5"/>
      <c r="AB337" s="5"/>
      <c r="AC337" s="5"/>
      <c r="AD337" s="5"/>
      <c r="AE337" s="5"/>
      <c r="AF337" s="5"/>
      <c r="AG337" s="5"/>
      <c r="AH337" s="5"/>
      <c r="AI337" s="5" t="s">
        <v>34</v>
      </c>
      <c r="AJ337" s="5"/>
      <c r="AK337" s="5"/>
      <c r="AL337" s="5"/>
      <c r="AM337" s="5" t="s">
        <v>375</v>
      </c>
      <c r="AN337" s="5"/>
      <c r="AO337" s="5"/>
      <c r="AP337" s="5" t="s">
        <v>39</v>
      </c>
      <c r="AQ337" s="5"/>
      <c r="AR337" s="5" t="s">
        <v>41</v>
      </c>
      <c r="AS337" s="5"/>
      <c r="AT337" s="5"/>
      <c r="AU337" s="5"/>
      <c r="AV337" s="5"/>
      <c r="AW337" s="5"/>
      <c r="AX337" s="5" t="s">
        <v>46</v>
      </c>
      <c r="AY337" s="5"/>
      <c r="AZ337" s="5"/>
      <c r="BA337" s="5"/>
      <c r="BB337" s="5"/>
      <c r="BC337" s="5"/>
      <c r="BD337" s="5" t="s">
        <v>51</v>
      </c>
      <c r="BE337" s="5" t="s">
        <v>17</v>
      </c>
      <c r="BF337" s="5"/>
      <c r="BG337" s="5"/>
      <c r="BH337" s="5"/>
      <c r="BI337" s="5"/>
      <c r="BJ337" s="5"/>
      <c r="BK337" s="5"/>
      <c r="BL337" s="5"/>
      <c r="BM337" s="5"/>
      <c r="BN337" s="5"/>
      <c r="BO337" s="5" t="s">
        <v>20</v>
      </c>
      <c r="BP337" s="5"/>
      <c r="BQ337" s="5"/>
      <c r="BR337" s="5"/>
      <c r="BS337" s="5"/>
      <c r="BT337" s="5"/>
      <c r="BU337" s="5" t="s">
        <v>64</v>
      </c>
      <c r="BV337" s="5"/>
      <c r="BW337" s="5"/>
      <c r="BX337" s="5"/>
      <c r="BY337" s="5"/>
      <c r="BZ337" s="5"/>
      <c r="CA337" s="5"/>
      <c r="CB337" s="5"/>
      <c r="CC337" s="5"/>
      <c r="CD337" s="5"/>
      <c r="CE337" s="5"/>
      <c r="CF337" s="5" t="s">
        <v>75</v>
      </c>
      <c r="CG337" s="5" t="s">
        <v>76</v>
      </c>
      <c r="CH337" s="5"/>
      <c r="CI337" s="5" t="s">
        <v>414</v>
      </c>
      <c r="CJ337" s="5">
        <v>17</v>
      </c>
      <c r="CK337" s="5" t="s">
        <v>141</v>
      </c>
      <c r="CL337" s="5" t="s">
        <v>150</v>
      </c>
      <c r="CM337" s="103" t="s">
        <v>418</v>
      </c>
      <c r="CN337" s="5" t="s">
        <v>419</v>
      </c>
      <c r="CO337" s="103" t="s">
        <v>82</v>
      </c>
      <c r="CP337" s="5" t="s">
        <v>83</v>
      </c>
      <c r="CQ337" s="5" t="s">
        <v>95</v>
      </c>
      <c r="CR337" s="103" t="s">
        <v>89</v>
      </c>
      <c r="CS337" s="103" t="s">
        <v>86</v>
      </c>
      <c r="CT337" s="5" t="s">
        <v>385</v>
      </c>
      <c r="CU337" s="5" t="s">
        <v>86</v>
      </c>
      <c r="CV337" s="5"/>
      <c r="CW337" s="5"/>
      <c r="CX337" s="5"/>
      <c r="CY337" s="5"/>
      <c r="CZ337" s="5"/>
      <c r="DA337" s="5"/>
    </row>
    <row r="338" spans="1:105">
      <c r="A338" s="5">
        <v>18013870170</v>
      </c>
      <c r="B338" s="5"/>
      <c r="C338" s="5" t="s">
        <v>17</v>
      </c>
      <c r="D338" s="5"/>
      <c r="E338" s="5"/>
      <c r="F338" s="5"/>
      <c r="G338" s="5"/>
      <c r="H338" s="5"/>
      <c r="I338" s="5"/>
      <c r="J338" s="5"/>
      <c r="K338" s="5" t="s">
        <v>25</v>
      </c>
      <c r="L338" s="5" t="s">
        <v>26</v>
      </c>
      <c r="M338" s="5"/>
      <c r="N338" s="5"/>
      <c r="O338" s="5"/>
      <c r="P338" s="5"/>
      <c r="Q338" s="5"/>
      <c r="R338" s="5"/>
      <c r="S338" s="5"/>
      <c r="T338" s="5"/>
      <c r="U338" s="5"/>
      <c r="V338" s="5"/>
      <c r="W338" s="5" t="s">
        <v>23</v>
      </c>
      <c r="X338" s="5"/>
      <c r="Y338" s="5" t="s">
        <v>25</v>
      </c>
      <c r="Z338" s="5"/>
      <c r="AA338" s="5"/>
      <c r="AB338" s="5" t="s">
        <v>28</v>
      </c>
      <c r="AC338" s="5"/>
      <c r="AD338" s="5"/>
      <c r="AE338" s="5" t="s">
        <v>30</v>
      </c>
      <c r="AF338" s="5"/>
      <c r="AG338" s="5"/>
      <c r="AH338" s="5"/>
      <c r="AI338" s="5"/>
      <c r="AJ338" s="5"/>
      <c r="AK338" s="5"/>
      <c r="AL338" s="5"/>
      <c r="AM338" s="5" t="s">
        <v>375</v>
      </c>
      <c r="AN338" s="5"/>
      <c r="AO338" s="5" t="s">
        <v>38</v>
      </c>
      <c r="AP338" s="5" t="s">
        <v>39</v>
      </c>
      <c r="AQ338" s="5"/>
      <c r="AR338" s="5"/>
      <c r="AS338" s="5"/>
      <c r="AT338" s="5"/>
      <c r="AU338" s="5"/>
      <c r="AV338" s="5"/>
      <c r="AW338" s="5" t="s">
        <v>45</v>
      </c>
      <c r="AX338" s="5"/>
      <c r="AY338" s="5"/>
      <c r="AZ338" s="5"/>
      <c r="BA338" s="5"/>
      <c r="BB338" s="5"/>
      <c r="BC338" s="5"/>
      <c r="BD338" s="5" t="s">
        <v>51</v>
      </c>
      <c r="BE338" s="5" t="s">
        <v>17</v>
      </c>
      <c r="BF338" s="5"/>
      <c r="BG338" s="5"/>
      <c r="BH338" s="5"/>
      <c r="BI338" s="5" t="s">
        <v>55</v>
      </c>
      <c r="BJ338" s="5"/>
      <c r="BK338" s="5"/>
      <c r="BL338" s="5"/>
      <c r="BM338" s="5"/>
      <c r="BN338" s="5"/>
      <c r="BO338" s="5"/>
      <c r="BP338" s="5"/>
      <c r="BQ338" s="5"/>
      <c r="BR338" s="5"/>
      <c r="BS338" s="5"/>
      <c r="BT338" s="5"/>
      <c r="BU338" s="5" t="s">
        <v>64</v>
      </c>
      <c r="BV338" s="5"/>
      <c r="BW338" s="5"/>
      <c r="BX338" s="5"/>
      <c r="BY338" s="5"/>
      <c r="BZ338" s="5"/>
      <c r="CA338" s="5" t="s">
        <v>70</v>
      </c>
      <c r="CB338" s="5"/>
      <c r="CC338" s="5"/>
      <c r="CD338" s="5"/>
      <c r="CE338" s="5"/>
      <c r="CF338" s="5" t="s">
        <v>75</v>
      </c>
      <c r="CG338" s="5"/>
      <c r="CH338" s="5"/>
      <c r="CI338" s="5" t="s">
        <v>414</v>
      </c>
      <c r="CJ338" s="5">
        <v>53</v>
      </c>
      <c r="CK338" s="5" t="s">
        <v>141</v>
      </c>
      <c r="CL338" s="5" t="s">
        <v>166</v>
      </c>
      <c r="CM338" s="103" t="s">
        <v>418</v>
      </c>
      <c r="CN338" s="5" t="s">
        <v>419</v>
      </c>
      <c r="CO338" s="103" t="s">
        <v>82</v>
      </c>
      <c r="CP338" s="5" t="s">
        <v>94</v>
      </c>
      <c r="CQ338" s="5" t="s">
        <v>84</v>
      </c>
      <c r="CR338" s="103" t="s">
        <v>85</v>
      </c>
      <c r="CS338" s="103" t="s">
        <v>86</v>
      </c>
      <c r="CT338" s="5" t="s">
        <v>384</v>
      </c>
      <c r="CU338" s="5" t="s">
        <v>86</v>
      </c>
      <c r="CV338" s="5"/>
      <c r="CW338" s="5"/>
      <c r="CX338" s="5"/>
      <c r="CY338" s="5"/>
      <c r="CZ338" s="5"/>
      <c r="DA338" s="5"/>
    </row>
    <row r="339" spans="1:105">
      <c r="A339" s="5">
        <v>18013484831</v>
      </c>
      <c r="B339" s="5"/>
      <c r="C339" s="5" t="s">
        <v>17</v>
      </c>
      <c r="D339" s="5" t="s">
        <v>18</v>
      </c>
      <c r="E339" s="5"/>
      <c r="F339" s="5"/>
      <c r="G339" s="5"/>
      <c r="H339" s="5"/>
      <c r="I339" s="5"/>
      <c r="J339" s="5" t="s">
        <v>24</v>
      </c>
      <c r="K339" s="5"/>
      <c r="L339" s="5"/>
      <c r="M339" s="5"/>
      <c r="N339" s="5"/>
      <c r="O339" s="5"/>
      <c r="P339" s="5"/>
      <c r="Q339" s="5" t="s">
        <v>17</v>
      </c>
      <c r="R339" s="5"/>
      <c r="S339" s="5"/>
      <c r="T339" s="5"/>
      <c r="U339" s="5"/>
      <c r="V339" s="5"/>
      <c r="W339" s="5" t="s">
        <v>23</v>
      </c>
      <c r="X339" s="5" t="s">
        <v>24</v>
      </c>
      <c r="Y339" s="5"/>
      <c r="Z339" s="5"/>
      <c r="AA339" s="5"/>
      <c r="AB339" s="5"/>
      <c r="AC339" s="5"/>
      <c r="AD339" s="5"/>
      <c r="AE339" s="5"/>
      <c r="AF339" s="5"/>
      <c r="AG339" s="5"/>
      <c r="AH339" s="5"/>
      <c r="AI339" s="5" t="s">
        <v>34</v>
      </c>
      <c r="AJ339" s="5"/>
      <c r="AK339" s="5"/>
      <c r="AL339" s="5"/>
      <c r="AM339" s="5"/>
      <c r="AN339" s="5"/>
      <c r="AO339" s="5"/>
      <c r="AP339" s="5"/>
      <c r="AQ339" s="5"/>
      <c r="AR339" s="5"/>
      <c r="AS339" s="5"/>
      <c r="AT339" s="5"/>
      <c r="AU339" s="5" t="s">
        <v>43</v>
      </c>
      <c r="AV339" s="5"/>
      <c r="AW339" s="5"/>
      <c r="AX339" s="5" t="s">
        <v>46</v>
      </c>
      <c r="AY339" s="5" t="s">
        <v>47</v>
      </c>
      <c r="AZ339" s="5"/>
      <c r="BA339" s="5"/>
      <c r="BB339" s="5"/>
      <c r="BC339" s="5"/>
      <c r="BD339" s="5"/>
      <c r="BE339" s="5" t="s">
        <v>17</v>
      </c>
      <c r="BF339" s="5"/>
      <c r="BG339" s="5" t="s">
        <v>53</v>
      </c>
      <c r="BH339" s="5"/>
      <c r="BI339" s="5"/>
      <c r="BJ339" s="5"/>
      <c r="BK339" s="5"/>
      <c r="BL339" s="5"/>
      <c r="BM339" s="5"/>
      <c r="BN339" s="5" t="s">
        <v>24</v>
      </c>
      <c r="BO339" s="5"/>
      <c r="BP339" s="5"/>
      <c r="BQ339" s="5"/>
      <c r="BR339" s="5"/>
      <c r="BS339" s="5"/>
      <c r="BT339" s="5"/>
      <c r="BU339" s="5" t="s">
        <v>64</v>
      </c>
      <c r="BV339" s="5"/>
      <c r="BW339" s="5"/>
      <c r="BX339" s="5"/>
      <c r="BY339" s="5"/>
      <c r="BZ339" s="5"/>
      <c r="CA339" s="5"/>
      <c r="CB339" s="5"/>
      <c r="CC339" s="5"/>
      <c r="CD339" s="5"/>
      <c r="CE339" s="5"/>
      <c r="CF339" s="5" t="s">
        <v>75</v>
      </c>
      <c r="CG339" s="5"/>
      <c r="CH339" s="5"/>
      <c r="CI339" s="5" t="s">
        <v>414</v>
      </c>
      <c r="CJ339" s="5">
        <v>83</v>
      </c>
      <c r="CK339" s="5" t="s">
        <v>80</v>
      </c>
      <c r="CL339" s="5" t="s">
        <v>138</v>
      </c>
      <c r="CM339" s="103" t="s">
        <v>418</v>
      </c>
      <c r="CN339" s="5" t="s">
        <v>419</v>
      </c>
      <c r="CO339" s="103" t="s">
        <v>82</v>
      </c>
      <c r="CP339" s="5" t="s">
        <v>83</v>
      </c>
      <c r="CQ339" s="5" t="s">
        <v>84</v>
      </c>
      <c r="CR339" s="103" t="s">
        <v>99</v>
      </c>
      <c r="CS339" s="103" t="s">
        <v>86</v>
      </c>
      <c r="CT339" s="5" t="s">
        <v>385</v>
      </c>
      <c r="CU339" s="5" t="s">
        <v>86</v>
      </c>
      <c r="CV339" s="5"/>
      <c r="CW339" s="5"/>
      <c r="CX339" s="5"/>
      <c r="CY339" s="5"/>
      <c r="CZ339" s="5"/>
      <c r="DA339" s="5"/>
    </row>
    <row r="340" spans="1:105">
      <c r="A340" s="5">
        <v>18013472458</v>
      </c>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t="s">
        <v>462</v>
      </c>
      <c r="CN340" s="5"/>
      <c r="CP340" s="5"/>
      <c r="CQ340" s="5"/>
      <c r="CT340" s="5"/>
      <c r="CU340" s="5"/>
      <c r="CV340" s="5"/>
      <c r="CW340" s="5"/>
      <c r="CX340" s="5"/>
      <c r="CY340" s="5"/>
      <c r="CZ340" s="5"/>
      <c r="DA340" s="5"/>
    </row>
    <row r="341" spans="1:105">
      <c r="A341" s="5">
        <v>18013326061</v>
      </c>
      <c r="B341" s="5"/>
      <c r="C341" s="5"/>
      <c r="D341" s="5"/>
      <c r="E341" s="5"/>
      <c r="F341" s="5"/>
      <c r="G341" s="5" t="s">
        <v>21</v>
      </c>
      <c r="H341" s="5" t="s">
        <v>22</v>
      </c>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t="s">
        <v>34</v>
      </c>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t="s">
        <v>64</v>
      </c>
      <c r="BV341" s="5"/>
      <c r="BW341" s="5"/>
      <c r="BX341" s="5"/>
      <c r="BY341" s="5"/>
      <c r="BZ341" s="5"/>
      <c r="CA341" s="5"/>
      <c r="CB341" s="5"/>
      <c r="CC341" s="5"/>
      <c r="CD341" s="5"/>
      <c r="CE341" s="5"/>
      <c r="CF341" s="5"/>
      <c r="CG341" s="5"/>
      <c r="CH341" s="5"/>
      <c r="CI341" s="5" t="s">
        <v>414</v>
      </c>
      <c r="CJ341" s="5">
        <v>58</v>
      </c>
      <c r="CK341" s="5" t="s">
        <v>141</v>
      </c>
      <c r="CL341" s="5" t="s">
        <v>463</v>
      </c>
      <c r="CM341" s="103" t="s">
        <v>106</v>
      </c>
      <c r="CN341" s="5"/>
      <c r="CO341" s="103" t="s">
        <v>82</v>
      </c>
      <c r="CP341" s="5" t="s">
        <v>93</v>
      </c>
      <c r="CQ341" s="5" t="s">
        <v>84</v>
      </c>
      <c r="CR341" s="103" t="s">
        <v>85</v>
      </c>
      <c r="CS341" s="103" t="s">
        <v>86</v>
      </c>
      <c r="CT341" s="5" t="s">
        <v>384</v>
      </c>
      <c r="CU341" s="5" t="s">
        <v>86</v>
      </c>
      <c r="CV341" s="5"/>
      <c r="CW341" s="5"/>
      <c r="CX341" s="5"/>
      <c r="CY341" s="5"/>
      <c r="CZ341" s="5"/>
      <c r="DA341" s="5"/>
    </row>
    <row r="342" spans="1:105">
      <c r="A342" s="5">
        <v>18013301185</v>
      </c>
      <c r="B342" s="5"/>
      <c r="C342" s="5" t="s">
        <v>17</v>
      </c>
      <c r="D342" s="5" t="s">
        <v>18</v>
      </c>
      <c r="E342" s="5"/>
      <c r="F342" s="5"/>
      <c r="G342" s="5"/>
      <c r="H342" s="5"/>
      <c r="I342" s="5"/>
      <c r="J342" s="5" t="s">
        <v>24</v>
      </c>
      <c r="K342" s="5" t="s">
        <v>25</v>
      </c>
      <c r="L342" s="5"/>
      <c r="M342" s="5"/>
      <c r="N342" s="5"/>
      <c r="O342" s="5"/>
      <c r="P342" s="5"/>
      <c r="Q342" s="5"/>
      <c r="R342" s="5"/>
      <c r="S342" s="5"/>
      <c r="T342" s="5"/>
      <c r="U342" s="5"/>
      <c r="V342" s="5"/>
      <c r="W342" s="5"/>
      <c r="X342" s="5"/>
      <c r="Y342" s="5" t="s">
        <v>25</v>
      </c>
      <c r="Z342" s="5"/>
      <c r="AA342" s="5"/>
      <c r="AB342" s="5"/>
      <c r="AC342" s="5"/>
      <c r="AD342" s="5" t="s">
        <v>29</v>
      </c>
      <c r="AE342" s="5"/>
      <c r="AF342" s="5"/>
      <c r="AG342" s="5"/>
      <c r="AH342" s="5"/>
      <c r="AI342" s="5"/>
      <c r="AJ342" s="5"/>
      <c r="AK342" s="5"/>
      <c r="AL342" s="5"/>
      <c r="AM342" s="5"/>
      <c r="AN342" s="5"/>
      <c r="AO342" s="5"/>
      <c r="AP342" s="5" t="s">
        <v>39</v>
      </c>
      <c r="AQ342" s="5"/>
      <c r="AR342" s="5"/>
      <c r="AS342" s="5"/>
      <c r="AT342" s="5"/>
      <c r="AU342" s="5"/>
      <c r="AV342" s="5"/>
      <c r="AW342" s="5"/>
      <c r="AX342" s="5"/>
      <c r="AY342" s="5"/>
      <c r="AZ342" s="5"/>
      <c r="BA342" s="5"/>
      <c r="BB342" s="5"/>
      <c r="BC342" s="5"/>
      <c r="BD342" s="5" t="s">
        <v>51</v>
      </c>
      <c r="BE342" s="5"/>
      <c r="BF342" s="5"/>
      <c r="BG342" s="5"/>
      <c r="BH342" s="5"/>
      <c r="BI342" s="5"/>
      <c r="BJ342" s="5"/>
      <c r="BK342" s="5"/>
      <c r="BL342" s="5"/>
      <c r="BM342" s="5" t="s">
        <v>59</v>
      </c>
      <c r="BN342" s="5"/>
      <c r="BO342" s="5"/>
      <c r="BP342" s="5"/>
      <c r="BQ342" s="5"/>
      <c r="BR342" s="5" t="s">
        <v>62</v>
      </c>
      <c r="BS342" s="5"/>
      <c r="BT342" s="5"/>
      <c r="BU342" s="5" t="s">
        <v>64</v>
      </c>
      <c r="BV342" s="5"/>
      <c r="BW342" s="5" t="s">
        <v>66</v>
      </c>
      <c r="BX342" s="5"/>
      <c r="BY342" s="5"/>
      <c r="BZ342" s="5" t="s">
        <v>69</v>
      </c>
      <c r="CA342" s="5"/>
      <c r="CB342" s="5"/>
      <c r="CC342" s="5" t="s">
        <v>72</v>
      </c>
      <c r="CD342" s="5"/>
      <c r="CE342" s="5"/>
      <c r="CF342" s="5"/>
      <c r="CG342" s="5"/>
      <c r="CH342" s="5"/>
      <c r="CI342" s="5" t="s">
        <v>414</v>
      </c>
      <c r="CJ342" s="5">
        <v>26</v>
      </c>
      <c r="CK342" s="5" t="s">
        <v>80</v>
      </c>
      <c r="CL342" s="5" t="s">
        <v>139</v>
      </c>
      <c r="CM342" s="103" t="s">
        <v>418</v>
      </c>
      <c r="CN342" s="5" t="s">
        <v>419</v>
      </c>
      <c r="CO342" s="103" t="s">
        <v>82</v>
      </c>
      <c r="CP342" s="5" t="s">
        <v>83</v>
      </c>
      <c r="CQ342" s="5" t="s">
        <v>103</v>
      </c>
      <c r="CR342" s="103" t="s">
        <v>85</v>
      </c>
      <c r="CS342" s="103" t="s">
        <v>86</v>
      </c>
      <c r="CT342" s="5" t="s">
        <v>384</v>
      </c>
      <c r="CU342" s="5" t="s">
        <v>86</v>
      </c>
      <c r="CV342" s="5"/>
      <c r="CW342" s="5"/>
      <c r="CX342" s="5"/>
      <c r="CY342" s="5"/>
      <c r="CZ342" s="5"/>
      <c r="DA342" s="5"/>
    </row>
    <row r="343" spans="1:105">
      <c r="A343" s="5">
        <v>18013187377</v>
      </c>
      <c r="B343" s="5"/>
      <c r="C343" s="5"/>
      <c r="D343" s="5"/>
      <c r="E343" s="5"/>
      <c r="F343" s="5"/>
      <c r="G343" s="5"/>
      <c r="H343" s="5"/>
      <c r="I343" s="5"/>
      <c r="J343" s="5" t="s">
        <v>24</v>
      </c>
      <c r="K343" s="5"/>
      <c r="L343" s="5" t="s">
        <v>26</v>
      </c>
      <c r="M343" s="5"/>
      <c r="N343" s="5" t="s">
        <v>28</v>
      </c>
      <c r="O343" s="5"/>
      <c r="P343" s="5"/>
      <c r="Q343" s="5"/>
      <c r="R343" s="5" t="s">
        <v>18</v>
      </c>
      <c r="S343" s="5"/>
      <c r="T343" s="5"/>
      <c r="U343" s="5"/>
      <c r="V343" s="5"/>
      <c r="W343" s="5"/>
      <c r="X343" s="5"/>
      <c r="Y343" s="5"/>
      <c r="Z343" s="5"/>
      <c r="AA343" s="5"/>
      <c r="AB343" s="5" t="s">
        <v>28</v>
      </c>
      <c r="AC343" s="5"/>
      <c r="AD343" s="5"/>
      <c r="AE343" s="5"/>
      <c r="AF343" s="5"/>
      <c r="AG343" s="5"/>
      <c r="AH343" s="5"/>
      <c r="AI343" s="5"/>
      <c r="AJ343" s="5"/>
      <c r="AK343" s="5"/>
      <c r="AL343" s="5"/>
      <c r="AM343" s="5" t="s">
        <v>375</v>
      </c>
      <c r="AN343" s="5"/>
      <c r="AO343" s="5"/>
      <c r="AP343" s="5"/>
      <c r="AQ343" s="5"/>
      <c r="AR343" s="5"/>
      <c r="AS343" s="5"/>
      <c r="AT343" s="5"/>
      <c r="AU343" s="5" t="s">
        <v>43</v>
      </c>
      <c r="AV343" s="5"/>
      <c r="AW343" s="5" t="s">
        <v>45</v>
      </c>
      <c r="AX343" s="5"/>
      <c r="AY343" s="5"/>
      <c r="AZ343" s="5"/>
      <c r="BA343" s="5"/>
      <c r="BB343" s="5" t="s">
        <v>49</v>
      </c>
      <c r="BC343" s="5"/>
      <c r="BD343" s="5"/>
      <c r="BE343" s="5"/>
      <c r="BF343" s="5"/>
      <c r="BG343" s="5" t="s">
        <v>53</v>
      </c>
      <c r="BH343" s="5"/>
      <c r="BI343" s="5" t="s">
        <v>55</v>
      </c>
      <c r="BJ343" s="5"/>
      <c r="BK343" s="5"/>
      <c r="BL343" s="5"/>
      <c r="BM343" s="5"/>
      <c r="BN343" s="5"/>
      <c r="BO343" s="5"/>
      <c r="BP343" s="5"/>
      <c r="BQ343" s="5" t="s">
        <v>61</v>
      </c>
      <c r="BR343" s="5"/>
      <c r="BS343" s="5"/>
      <c r="BT343" s="5"/>
      <c r="BU343" s="5"/>
      <c r="BV343" s="5"/>
      <c r="BW343" s="5"/>
      <c r="BX343" s="5"/>
      <c r="BY343" s="5"/>
      <c r="BZ343" s="5"/>
      <c r="CA343" s="5"/>
      <c r="CB343" s="5"/>
      <c r="CC343" s="5"/>
      <c r="CD343" s="5"/>
      <c r="CE343" s="5"/>
      <c r="CF343" s="5" t="s">
        <v>75</v>
      </c>
      <c r="CG343" s="5"/>
      <c r="CH343" s="5"/>
      <c r="CI343" s="5" t="s">
        <v>414</v>
      </c>
      <c r="CJ343" s="5">
        <v>45</v>
      </c>
      <c r="CK343" s="5" t="s">
        <v>141</v>
      </c>
      <c r="CL343" s="5" t="s">
        <v>169</v>
      </c>
      <c r="CM343" s="103" t="s">
        <v>418</v>
      </c>
      <c r="CN343" s="5" t="s">
        <v>419</v>
      </c>
      <c r="CO343" s="103" t="s">
        <v>82</v>
      </c>
      <c r="CP343" s="5" t="s">
        <v>83</v>
      </c>
      <c r="CQ343" s="5" t="s">
        <v>88</v>
      </c>
      <c r="CR343" s="103" t="s">
        <v>85</v>
      </c>
      <c r="CS343" s="103" t="s">
        <v>86</v>
      </c>
      <c r="CT343" s="5" t="s">
        <v>384</v>
      </c>
      <c r="CU343" s="5" t="s">
        <v>86</v>
      </c>
      <c r="CV343" s="5"/>
      <c r="CW343" s="5"/>
      <c r="CX343" s="5"/>
      <c r="CY343" s="5"/>
      <c r="CZ343" s="5"/>
      <c r="DA343" s="5"/>
    </row>
    <row r="344" spans="1:105">
      <c r="A344" s="5">
        <v>18012940725</v>
      </c>
      <c r="B344" s="5"/>
      <c r="C344" s="5"/>
      <c r="D344" s="5"/>
      <c r="E344" s="5"/>
      <c r="F344" s="5"/>
      <c r="G344" s="5"/>
      <c r="H344" s="5" t="s">
        <v>22</v>
      </c>
      <c r="I344" s="5"/>
      <c r="J344" s="5"/>
      <c r="K344" s="5" t="s">
        <v>25</v>
      </c>
      <c r="L344" s="5" t="s">
        <v>26</v>
      </c>
      <c r="M344" s="5"/>
      <c r="N344" s="5"/>
      <c r="O344" s="5"/>
      <c r="P344" s="5"/>
      <c r="Q344" s="5"/>
      <c r="R344" s="5"/>
      <c r="S344" s="5"/>
      <c r="T344" s="5"/>
      <c r="U344" s="5" t="s">
        <v>21</v>
      </c>
      <c r="V344" s="5"/>
      <c r="W344" s="5" t="s">
        <v>23</v>
      </c>
      <c r="X344" s="5"/>
      <c r="Y344" s="5"/>
      <c r="Z344" s="5"/>
      <c r="AA344" s="5"/>
      <c r="AB344" s="5"/>
      <c r="AC344" s="5"/>
      <c r="AD344" s="5"/>
      <c r="AE344" s="5"/>
      <c r="AF344" s="5"/>
      <c r="AG344" s="5"/>
      <c r="AH344" s="5"/>
      <c r="AI344" s="5"/>
      <c r="AJ344" s="5"/>
      <c r="AK344" s="5"/>
      <c r="AL344" s="5"/>
      <c r="AM344" s="5"/>
      <c r="AN344" s="5"/>
      <c r="AO344" s="5" t="s">
        <v>38</v>
      </c>
      <c r="AP344" s="5" t="s">
        <v>39</v>
      </c>
      <c r="AQ344" s="5"/>
      <c r="AR344" s="5" t="s">
        <v>41</v>
      </c>
      <c r="AS344" s="5"/>
      <c r="AT344" s="5"/>
      <c r="AU344" s="5"/>
      <c r="AV344" s="5"/>
      <c r="AW344" s="5"/>
      <c r="AX344" s="5"/>
      <c r="AY344" s="5"/>
      <c r="AZ344" s="5"/>
      <c r="BA344" s="5"/>
      <c r="BB344" s="5"/>
      <c r="BC344" s="5"/>
      <c r="BD344" s="5" t="s">
        <v>51</v>
      </c>
      <c r="BE344" s="5"/>
      <c r="BF344" s="5"/>
      <c r="BG344" s="5"/>
      <c r="BH344" s="5"/>
      <c r="BI344" s="5"/>
      <c r="BJ344" s="5"/>
      <c r="BK344" s="5"/>
      <c r="BL344" s="5"/>
      <c r="BM344" s="5" t="s">
        <v>59</v>
      </c>
      <c r="BN344" s="5"/>
      <c r="BO344" s="5"/>
      <c r="BP344" s="5" t="s">
        <v>60</v>
      </c>
      <c r="BQ344" s="5"/>
      <c r="BR344" s="5"/>
      <c r="BS344" s="5"/>
      <c r="BT344" s="5"/>
      <c r="BU344" s="5" t="s">
        <v>64</v>
      </c>
      <c r="BV344" s="5"/>
      <c r="BW344" s="5"/>
      <c r="BX344" s="5"/>
      <c r="BY344" s="5" t="s">
        <v>68</v>
      </c>
      <c r="BZ344" s="5"/>
      <c r="CA344" s="5"/>
      <c r="CB344" s="5"/>
      <c r="CC344" s="5"/>
      <c r="CD344" s="5"/>
      <c r="CE344" s="5"/>
      <c r="CF344" s="5" t="s">
        <v>75</v>
      </c>
      <c r="CG344" s="5"/>
      <c r="CH344" s="5"/>
      <c r="CI344" s="5" t="s">
        <v>414</v>
      </c>
      <c r="CJ344" s="5">
        <v>47</v>
      </c>
      <c r="CK344" s="5" t="s">
        <v>141</v>
      </c>
      <c r="CL344" s="5" t="s">
        <v>358</v>
      </c>
      <c r="CM344" s="103" t="s">
        <v>418</v>
      </c>
      <c r="CN344" s="5" t="s">
        <v>419</v>
      </c>
      <c r="CO344" s="103" t="s">
        <v>82</v>
      </c>
      <c r="CP344" s="5" t="s">
        <v>83</v>
      </c>
      <c r="CQ344" s="5" t="s">
        <v>84</v>
      </c>
      <c r="CR344" s="103" t="s">
        <v>85</v>
      </c>
      <c r="CS344" s="103" t="s">
        <v>86</v>
      </c>
      <c r="CT344" s="5"/>
      <c r="CU344" s="5" t="s">
        <v>86</v>
      </c>
      <c r="CV344" s="5"/>
      <c r="CW344" s="5"/>
      <c r="CX344" s="5"/>
      <c r="CY344" s="5"/>
      <c r="CZ344" s="5"/>
      <c r="DA344" s="5"/>
    </row>
    <row r="345" spans="1:105">
      <c r="A345" s="5">
        <v>18012862597</v>
      </c>
      <c r="B345" s="5"/>
      <c r="C345" s="5"/>
      <c r="D345" s="5"/>
      <c r="E345" s="5" t="s">
        <v>19</v>
      </c>
      <c r="F345" s="5"/>
      <c r="G345" s="5"/>
      <c r="H345" s="5"/>
      <c r="I345" s="5"/>
      <c r="J345" s="5"/>
      <c r="K345" s="5"/>
      <c r="L345" s="5"/>
      <c r="M345" s="5"/>
      <c r="N345" s="5"/>
      <c r="O345" s="5"/>
      <c r="P345" s="5" t="s">
        <v>16</v>
      </c>
      <c r="Q345" s="5"/>
      <c r="R345" s="5"/>
      <c r="S345" s="5" t="s">
        <v>19</v>
      </c>
      <c r="T345" s="5"/>
      <c r="U345" s="5"/>
      <c r="V345" s="5"/>
      <c r="W345" s="5"/>
      <c r="X345" s="5"/>
      <c r="Y345" s="5"/>
      <c r="Z345" s="5"/>
      <c r="AA345" s="5"/>
      <c r="AB345" s="5"/>
      <c r="AC345" s="5"/>
      <c r="AD345" s="5"/>
      <c r="AE345" s="5" t="s">
        <v>30</v>
      </c>
      <c r="AF345" s="5"/>
      <c r="AG345" s="5" t="s">
        <v>32</v>
      </c>
      <c r="AH345" s="5"/>
      <c r="AI345" s="5"/>
      <c r="AJ345" s="5"/>
      <c r="AK345" s="5"/>
      <c r="AL345" s="5" t="s">
        <v>37</v>
      </c>
      <c r="AM345" s="5"/>
      <c r="AN345" s="5"/>
      <c r="AO345" s="5" t="s">
        <v>38</v>
      </c>
      <c r="AP345" s="5" t="s">
        <v>39</v>
      </c>
      <c r="AQ345" s="5" t="s">
        <v>40</v>
      </c>
      <c r="AR345" s="5" t="s">
        <v>41</v>
      </c>
      <c r="AS345" s="5"/>
      <c r="AT345" s="5" t="s">
        <v>37</v>
      </c>
      <c r="AU345" s="5" t="s">
        <v>43</v>
      </c>
      <c r="AV345" s="5" t="s">
        <v>44</v>
      </c>
      <c r="AW345" s="5"/>
      <c r="AX345" s="5" t="s">
        <v>46</v>
      </c>
      <c r="AY345" s="5"/>
      <c r="AZ345" s="5"/>
      <c r="BA345" s="5"/>
      <c r="BB345" s="5" t="s">
        <v>49</v>
      </c>
      <c r="BC345" s="5"/>
      <c r="BD345" s="5" t="s">
        <v>51</v>
      </c>
      <c r="BE345" s="5" t="s">
        <v>17</v>
      </c>
      <c r="BF345" s="5" t="s">
        <v>52</v>
      </c>
      <c r="BG345" s="5"/>
      <c r="BH345" s="5" t="s">
        <v>54</v>
      </c>
      <c r="BI345" s="5" t="s">
        <v>55</v>
      </c>
      <c r="BJ345" s="5"/>
      <c r="BK345" s="5" t="s">
        <v>57</v>
      </c>
      <c r="BL345" s="5" t="s">
        <v>58</v>
      </c>
      <c r="BM345" s="5"/>
      <c r="BN345" s="5" t="s">
        <v>24</v>
      </c>
      <c r="BO345" s="5"/>
      <c r="BP345" s="5" t="s">
        <v>60</v>
      </c>
      <c r="BQ345" s="5" t="s">
        <v>61</v>
      </c>
      <c r="BR345" s="5" t="s">
        <v>62</v>
      </c>
      <c r="BS345" s="5" t="s">
        <v>63</v>
      </c>
      <c r="BT345" s="5"/>
      <c r="BU345" s="5" t="s">
        <v>64</v>
      </c>
      <c r="BV345" s="5"/>
      <c r="BW345" s="5"/>
      <c r="BX345" s="5"/>
      <c r="BY345" s="5"/>
      <c r="BZ345" s="5" t="s">
        <v>69</v>
      </c>
      <c r="CA345" s="5"/>
      <c r="CB345" s="5"/>
      <c r="CC345" s="5"/>
      <c r="CD345" s="5"/>
      <c r="CE345" s="5"/>
      <c r="CF345" s="5" t="s">
        <v>75</v>
      </c>
      <c r="CG345" s="5"/>
      <c r="CH345" s="5"/>
      <c r="CI345" s="5" t="s">
        <v>414</v>
      </c>
      <c r="CJ345" s="5">
        <v>69</v>
      </c>
      <c r="CK345" s="5" t="s">
        <v>80</v>
      </c>
      <c r="CL345" s="5" t="s">
        <v>121</v>
      </c>
      <c r="CM345" s="103" t="s">
        <v>418</v>
      </c>
      <c r="CN345" s="5" t="s">
        <v>419</v>
      </c>
      <c r="CO345" s="103" t="s">
        <v>82</v>
      </c>
      <c r="CP345" s="5" t="s">
        <v>93</v>
      </c>
      <c r="CQ345" s="5" t="s">
        <v>88</v>
      </c>
      <c r="CR345" s="103" t="s">
        <v>85</v>
      </c>
      <c r="CS345" s="103" t="s">
        <v>86</v>
      </c>
      <c r="CT345" s="5" t="s">
        <v>384</v>
      </c>
      <c r="CU345" s="5" t="s">
        <v>86</v>
      </c>
      <c r="CV345" s="5"/>
      <c r="CW345" s="5"/>
      <c r="CX345" s="5"/>
      <c r="CY345" s="5"/>
      <c r="CZ345" s="5"/>
      <c r="DA345" s="5"/>
    </row>
    <row r="346" spans="1:105">
      <c r="A346" s="5">
        <v>18012790929</v>
      </c>
      <c r="B346" s="5"/>
      <c r="C346" s="5"/>
      <c r="D346" s="5"/>
      <c r="E346" s="5" t="s">
        <v>19</v>
      </c>
      <c r="F346" s="5"/>
      <c r="G346" s="5"/>
      <c r="H346" s="5"/>
      <c r="I346" s="5" t="s">
        <v>23</v>
      </c>
      <c r="J346" s="5"/>
      <c r="K346" s="5"/>
      <c r="L346" s="5"/>
      <c r="M346" s="5"/>
      <c r="N346" s="5"/>
      <c r="O346" s="5"/>
      <c r="P346" s="5" t="s">
        <v>16</v>
      </c>
      <c r="Q346" s="5" t="s">
        <v>17</v>
      </c>
      <c r="R346" s="5" t="s">
        <v>18</v>
      </c>
      <c r="S346" s="5" t="s">
        <v>19</v>
      </c>
      <c r="T346" s="5"/>
      <c r="U346" s="5"/>
      <c r="V346" s="5"/>
      <c r="W346" s="5" t="s">
        <v>23</v>
      </c>
      <c r="X346" s="5"/>
      <c r="Y346" s="5"/>
      <c r="Z346" s="5"/>
      <c r="AA346" s="5"/>
      <c r="AB346" s="5"/>
      <c r="AC346" s="5"/>
      <c r="AD346" s="5"/>
      <c r="AE346" s="5" t="s">
        <v>30</v>
      </c>
      <c r="AF346" s="5"/>
      <c r="AG346" s="5"/>
      <c r="AH346" s="5"/>
      <c r="AI346" s="5"/>
      <c r="AJ346" s="5"/>
      <c r="AK346" s="5"/>
      <c r="AL346" s="5" t="s">
        <v>37</v>
      </c>
      <c r="AM346" s="5"/>
      <c r="AN346" s="5"/>
      <c r="AO346" s="5"/>
      <c r="AP346" s="5" t="s">
        <v>39</v>
      </c>
      <c r="AQ346" s="5"/>
      <c r="AR346" s="5" t="s">
        <v>41</v>
      </c>
      <c r="AS346" s="5"/>
      <c r="AT346" s="5"/>
      <c r="AU346" s="5"/>
      <c r="AV346" s="5"/>
      <c r="AW346" s="5"/>
      <c r="AX346" s="5" t="s">
        <v>46</v>
      </c>
      <c r="AY346" s="5"/>
      <c r="AZ346" s="5"/>
      <c r="BA346" s="5"/>
      <c r="BB346" s="5"/>
      <c r="BC346" s="5"/>
      <c r="BD346" s="5" t="s">
        <v>51</v>
      </c>
      <c r="BE346" s="5" t="s">
        <v>17</v>
      </c>
      <c r="BF346" s="5"/>
      <c r="BG346" s="5"/>
      <c r="BH346" s="5"/>
      <c r="BI346" s="5"/>
      <c r="BJ346" s="5"/>
      <c r="BK346" s="5" t="s">
        <v>57</v>
      </c>
      <c r="BL346" s="5" t="s">
        <v>58</v>
      </c>
      <c r="BM346" s="5"/>
      <c r="BN346" s="5" t="s">
        <v>24</v>
      </c>
      <c r="BO346" s="5"/>
      <c r="BP346" s="5"/>
      <c r="BQ346" s="5"/>
      <c r="BR346" s="5" t="s">
        <v>62</v>
      </c>
      <c r="BS346" s="5"/>
      <c r="BT346" s="5"/>
      <c r="BU346" s="5" t="s">
        <v>64</v>
      </c>
      <c r="BV346" s="5"/>
      <c r="BW346" s="5"/>
      <c r="BX346" s="5"/>
      <c r="BY346" s="5" t="s">
        <v>68</v>
      </c>
      <c r="BZ346" s="5"/>
      <c r="CA346" s="5" t="s">
        <v>70</v>
      </c>
      <c r="CB346" s="5"/>
      <c r="CC346" s="5"/>
      <c r="CD346" s="5" t="s">
        <v>73</v>
      </c>
      <c r="CE346" s="5"/>
      <c r="CF346" s="5" t="s">
        <v>75</v>
      </c>
      <c r="CG346" s="5" t="s">
        <v>76</v>
      </c>
      <c r="CH346" s="5"/>
      <c r="CI346" s="5" t="s">
        <v>414</v>
      </c>
      <c r="CJ346" s="5">
        <v>42</v>
      </c>
      <c r="CK346" s="5" t="s">
        <v>141</v>
      </c>
      <c r="CL346" s="5" t="s">
        <v>173</v>
      </c>
      <c r="CM346" s="103" t="s">
        <v>418</v>
      </c>
      <c r="CN346" s="5" t="s">
        <v>419</v>
      </c>
      <c r="CO346" s="103" t="s">
        <v>82</v>
      </c>
      <c r="CP346" s="5" t="s">
        <v>87</v>
      </c>
      <c r="CQ346" s="5" t="s">
        <v>88</v>
      </c>
      <c r="CR346" s="103" t="s">
        <v>92</v>
      </c>
      <c r="CS346" s="103" t="s">
        <v>86</v>
      </c>
      <c r="CT346" s="5" t="s">
        <v>387</v>
      </c>
      <c r="CU346" s="5" t="s">
        <v>86</v>
      </c>
      <c r="CV346" s="5"/>
      <c r="CW346" s="5"/>
      <c r="CX346" s="5"/>
      <c r="CY346" s="5"/>
      <c r="CZ346" s="5"/>
      <c r="DA346" s="5"/>
    </row>
    <row r="347" spans="1:105">
      <c r="A347" s="5">
        <v>18012747258</v>
      </c>
      <c r="B347" s="5" t="s">
        <v>16</v>
      </c>
      <c r="C347" s="5"/>
      <c r="D347" s="5"/>
      <c r="E347" s="5"/>
      <c r="F347" s="5"/>
      <c r="G347" s="5"/>
      <c r="H347" s="5"/>
      <c r="I347" s="5"/>
      <c r="J347" s="5"/>
      <c r="K347" s="5" t="s">
        <v>25</v>
      </c>
      <c r="L347" s="5" t="s">
        <v>26</v>
      </c>
      <c r="M347" s="5"/>
      <c r="N347" s="5"/>
      <c r="O347" s="5"/>
      <c r="P347" s="5"/>
      <c r="Q347" s="5"/>
      <c r="R347" s="5"/>
      <c r="S347" s="5"/>
      <c r="T347" s="5"/>
      <c r="U347" s="5"/>
      <c r="V347" s="5"/>
      <c r="W347" s="5"/>
      <c r="X347" s="5"/>
      <c r="Y347" s="5" t="s">
        <v>25</v>
      </c>
      <c r="Z347" s="5" t="s">
        <v>26</v>
      </c>
      <c r="AA347" s="5"/>
      <c r="AB347" s="5" t="s">
        <v>28</v>
      </c>
      <c r="AC347" s="5"/>
      <c r="AD347" s="5"/>
      <c r="AE347" s="5"/>
      <c r="AF347" s="5"/>
      <c r="AG347" s="5"/>
      <c r="AH347" s="5"/>
      <c r="AI347" s="5" t="s">
        <v>34</v>
      </c>
      <c r="AJ347" s="5"/>
      <c r="AK347" s="5"/>
      <c r="AL347" s="5"/>
      <c r="AM347" s="5" t="s">
        <v>375</v>
      </c>
      <c r="AN347" s="5"/>
      <c r="AO347" s="5"/>
      <c r="AP347" s="5" t="s">
        <v>39</v>
      </c>
      <c r="AQ347" s="5"/>
      <c r="AR347" s="5" t="s">
        <v>41</v>
      </c>
      <c r="AS347" s="5"/>
      <c r="AT347" s="5"/>
      <c r="AU347" s="5"/>
      <c r="AV347" s="5"/>
      <c r="AW347" s="5"/>
      <c r="AX347" s="5" t="s">
        <v>46</v>
      </c>
      <c r="AY347" s="5"/>
      <c r="AZ347" s="5"/>
      <c r="BA347" s="5"/>
      <c r="BB347" s="5"/>
      <c r="BC347" s="5"/>
      <c r="BD347" s="5"/>
      <c r="BE347" s="5" t="s">
        <v>17</v>
      </c>
      <c r="BF347" s="5"/>
      <c r="BG347" s="5"/>
      <c r="BH347" s="5"/>
      <c r="BI347" s="5"/>
      <c r="BJ347" s="5"/>
      <c r="BK347" s="5" t="s">
        <v>57</v>
      </c>
      <c r="BL347" s="5"/>
      <c r="BM347" s="5"/>
      <c r="BN347" s="5"/>
      <c r="BO347" s="5"/>
      <c r="BP347" s="5"/>
      <c r="BQ347" s="5" t="s">
        <v>61</v>
      </c>
      <c r="BR347" s="5"/>
      <c r="BS347" s="5"/>
      <c r="BT347" s="5"/>
      <c r="BU347" s="5" t="s">
        <v>64</v>
      </c>
      <c r="BV347" s="5"/>
      <c r="BW347" s="5"/>
      <c r="BX347" s="5"/>
      <c r="BY347" s="5"/>
      <c r="BZ347" s="5"/>
      <c r="CA347" s="5" t="s">
        <v>70</v>
      </c>
      <c r="CB347" s="5"/>
      <c r="CC347" s="5"/>
      <c r="CD347" s="5" t="s">
        <v>73</v>
      </c>
      <c r="CE347" s="5"/>
      <c r="CF347" s="5" t="s">
        <v>75</v>
      </c>
      <c r="CG347" s="5"/>
      <c r="CH347" s="5"/>
      <c r="CI347" s="5" t="s">
        <v>414</v>
      </c>
      <c r="CJ347" s="5">
        <v>40</v>
      </c>
      <c r="CK347" s="5" t="s">
        <v>141</v>
      </c>
      <c r="CL347" s="5" t="s">
        <v>163</v>
      </c>
      <c r="CM347" s="103" t="s">
        <v>418</v>
      </c>
      <c r="CN347" s="5" t="s">
        <v>419</v>
      </c>
      <c r="CO347" s="103" t="s">
        <v>82</v>
      </c>
      <c r="CP347" s="5" t="s">
        <v>87</v>
      </c>
      <c r="CQ347" s="5" t="s">
        <v>95</v>
      </c>
      <c r="CR347" s="103" t="s">
        <v>92</v>
      </c>
      <c r="CS347" s="103" t="s">
        <v>86</v>
      </c>
      <c r="CT347" s="5" t="s">
        <v>387</v>
      </c>
      <c r="CU347" s="5" t="s">
        <v>86</v>
      </c>
      <c r="CV347" s="5"/>
      <c r="CW347" s="5"/>
      <c r="CX347" s="5"/>
      <c r="CY347" s="5"/>
      <c r="CZ347" s="5"/>
      <c r="DA347" s="5"/>
    </row>
    <row r="348" spans="1:105">
      <c r="A348" s="5">
        <v>18022877008</v>
      </c>
      <c r="B348" s="5"/>
      <c r="C348" s="5" t="s">
        <v>17</v>
      </c>
      <c r="D348" s="5"/>
      <c r="E348" s="5"/>
      <c r="F348" s="5"/>
      <c r="G348" s="5"/>
      <c r="H348" s="5" t="s">
        <v>22</v>
      </c>
      <c r="I348" s="5"/>
      <c r="J348" s="5"/>
      <c r="K348" s="5" t="s">
        <v>25</v>
      </c>
      <c r="L348" s="5"/>
      <c r="M348" s="5" t="s">
        <v>27</v>
      </c>
      <c r="N348" s="5"/>
      <c r="O348" s="5"/>
      <c r="P348" s="5"/>
      <c r="Q348" s="5" t="s">
        <v>17</v>
      </c>
      <c r="R348" s="5"/>
      <c r="S348" s="5"/>
      <c r="T348" s="5"/>
      <c r="U348" s="5"/>
      <c r="V348" s="5" t="s">
        <v>22</v>
      </c>
      <c r="W348" s="5"/>
      <c r="X348" s="5"/>
      <c r="Y348" s="5" t="s">
        <v>25</v>
      </c>
      <c r="Z348" s="5"/>
      <c r="AA348" s="5" t="s">
        <v>27</v>
      </c>
      <c r="AB348" s="5"/>
      <c r="AC348" s="5"/>
      <c r="AD348" s="5"/>
      <c r="AE348" s="5"/>
      <c r="AF348" s="5"/>
      <c r="AG348" s="5"/>
      <c r="AH348" s="5"/>
      <c r="AI348" s="5" t="s">
        <v>34</v>
      </c>
      <c r="AJ348" s="5"/>
      <c r="AK348" s="5"/>
      <c r="AL348" s="5"/>
      <c r="AM348" s="5"/>
      <c r="AN348" s="5"/>
      <c r="AO348" s="5" t="s">
        <v>38</v>
      </c>
      <c r="AP348" s="5"/>
      <c r="AQ348" s="5"/>
      <c r="AR348" s="5"/>
      <c r="AS348" s="5"/>
      <c r="AT348" s="5"/>
      <c r="AU348" s="5"/>
      <c r="AV348" s="5"/>
      <c r="AW348" s="5"/>
      <c r="AX348" s="5"/>
      <c r="AY348" s="5"/>
      <c r="AZ348" s="5"/>
      <c r="BA348" s="5"/>
      <c r="BB348" s="5"/>
      <c r="BC348" s="5"/>
      <c r="BD348" s="5"/>
      <c r="BE348" s="5" t="s">
        <v>17</v>
      </c>
      <c r="BF348" s="5" t="s">
        <v>52</v>
      </c>
      <c r="BG348" s="5"/>
      <c r="BH348" s="5"/>
      <c r="BI348" s="5"/>
      <c r="BJ348" s="5"/>
      <c r="BK348" s="5"/>
      <c r="BL348" s="5"/>
      <c r="BM348" s="5"/>
      <c r="BN348" s="5"/>
      <c r="BO348" s="5"/>
      <c r="BP348" s="5"/>
      <c r="BQ348" s="5"/>
      <c r="BR348" s="5"/>
      <c r="BS348" s="5"/>
      <c r="BT348" s="5"/>
      <c r="BU348" s="5" t="s">
        <v>64</v>
      </c>
      <c r="BV348" s="5"/>
      <c r="BW348" s="5"/>
      <c r="BX348" s="5"/>
      <c r="BY348" s="5" t="s">
        <v>68</v>
      </c>
      <c r="BZ348" s="5"/>
      <c r="CA348" s="5"/>
      <c r="CB348" s="5"/>
      <c r="CC348" s="5"/>
      <c r="CD348" s="5"/>
      <c r="CE348" s="5"/>
      <c r="CF348" s="5" t="s">
        <v>75</v>
      </c>
      <c r="CG348" s="5"/>
      <c r="CH348" s="5"/>
      <c r="CI348" s="5" t="s">
        <v>414</v>
      </c>
      <c r="CJ348" s="5">
        <v>54</v>
      </c>
      <c r="CK348" s="5" t="s">
        <v>141</v>
      </c>
      <c r="CL348" s="5" t="s">
        <v>464</v>
      </c>
      <c r="CM348" s="103" t="s">
        <v>418</v>
      </c>
      <c r="CN348" s="5" t="s">
        <v>419</v>
      </c>
      <c r="CO348" s="103" t="s">
        <v>82</v>
      </c>
      <c r="CP348" s="5" t="s">
        <v>83</v>
      </c>
      <c r="CQ348" s="5" t="s">
        <v>88</v>
      </c>
      <c r="CS348" s="103" t="s">
        <v>85</v>
      </c>
      <c r="CT348" s="5"/>
      <c r="CU348" s="5"/>
      <c r="CV348" s="5"/>
      <c r="CW348" s="5"/>
      <c r="CX348" s="5"/>
      <c r="CY348" s="5"/>
      <c r="CZ348" s="5"/>
      <c r="DA348" s="5"/>
    </row>
    <row r="349" spans="1:105">
      <c r="A349" s="5">
        <v>18019100304</v>
      </c>
      <c r="B349" s="5"/>
      <c r="C349" s="5"/>
      <c r="D349" s="5"/>
      <c r="E349" s="5" t="s">
        <v>19</v>
      </c>
      <c r="F349" s="5"/>
      <c r="G349" s="5"/>
      <c r="H349" s="5"/>
      <c r="I349" s="5"/>
      <c r="J349" s="5" t="s">
        <v>24</v>
      </c>
      <c r="K349" s="5" t="s">
        <v>25</v>
      </c>
      <c r="L349" s="5"/>
      <c r="M349" s="5"/>
      <c r="N349" s="5"/>
      <c r="O349" s="5"/>
      <c r="P349" s="5"/>
      <c r="Q349" s="5" t="s">
        <v>17</v>
      </c>
      <c r="R349" s="5"/>
      <c r="S349" s="5"/>
      <c r="T349" s="5"/>
      <c r="U349" s="5"/>
      <c r="V349" s="5"/>
      <c r="W349" s="5"/>
      <c r="X349" s="5" t="s">
        <v>24</v>
      </c>
      <c r="Y349" s="5"/>
      <c r="Z349" s="5"/>
      <c r="AA349" s="5" t="s">
        <v>27</v>
      </c>
      <c r="AB349" s="5"/>
      <c r="AC349" s="5"/>
      <c r="AD349" s="5" t="s">
        <v>29</v>
      </c>
      <c r="AE349" s="5"/>
      <c r="AF349" s="5"/>
      <c r="AG349" s="5"/>
      <c r="AH349" s="5" t="s">
        <v>33</v>
      </c>
      <c r="AI349" s="5"/>
      <c r="AJ349" s="5"/>
      <c r="AK349" s="5"/>
      <c r="AL349" s="5"/>
      <c r="AM349" s="5" t="s">
        <v>375</v>
      </c>
      <c r="AN349" s="5"/>
      <c r="AO349" s="5"/>
      <c r="AP349" s="5" t="s">
        <v>39</v>
      </c>
      <c r="AQ349" s="5"/>
      <c r="AR349" s="5"/>
      <c r="AS349" s="5"/>
      <c r="AT349" s="5"/>
      <c r="AU349" s="5" t="s">
        <v>43</v>
      </c>
      <c r="AV349" s="5"/>
      <c r="AW349" s="5"/>
      <c r="AX349" s="5"/>
      <c r="AY349" s="5" t="s">
        <v>47</v>
      </c>
      <c r="AZ349" s="5"/>
      <c r="BA349" s="5"/>
      <c r="BB349" s="5"/>
      <c r="BC349" s="5"/>
      <c r="BD349" s="5"/>
      <c r="BE349" s="5" t="s">
        <v>17</v>
      </c>
      <c r="BF349" s="5"/>
      <c r="BG349" s="5"/>
      <c r="BH349" s="5" t="s">
        <v>54</v>
      </c>
      <c r="BI349" s="5"/>
      <c r="BJ349" s="5"/>
      <c r="BK349" s="5"/>
      <c r="BL349" s="5"/>
      <c r="BM349" s="5"/>
      <c r="BN349" s="5"/>
      <c r="BO349" s="5"/>
      <c r="BP349" s="5"/>
      <c r="BQ349" s="5" t="s">
        <v>61</v>
      </c>
      <c r="BR349" s="5"/>
      <c r="BS349" s="5"/>
      <c r="BT349" s="5"/>
      <c r="BU349" s="5"/>
      <c r="BV349" s="5"/>
      <c r="BW349" s="5"/>
      <c r="BX349" s="5" t="s">
        <v>67</v>
      </c>
      <c r="BY349" s="5"/>
      <c r="BZ349" s="5" t="s">
        <v>69</v>
      </c>
      <c r="CA349" s="5"/>
      <c r="CB349" s="5" t="s">
        <v>71</v>
      </c>
      <c r="CC349" s="5"/>
      <c r="CD349" s="5"/>
      <c r="CE349" s="5"/>
      <c r="CF349" s="5"/>
      <c r="CG349" s="5"/>
      <c r="CH349" s="5"/>
      <c r="CI349" s="5" t="s">
        <v>417</v>
      </c>
      <c r="CJ349" s="5">
        <v>16</v>
      </c>
      <c r="CK349" s="5" t="s">
        <v>141</v>
      </c>
      <c r="CL349" s="5" t="s">
        <v>171</v>
      </c>
      <c r="CM349" s="103" t="s">
        <v>418</v>
      </c>
      <c r="CN349" s="5" t="s">
        <v>419</v>
      </c>
      <c r="CO349" s="103" t="s">
        <v>82</v>
      </c>
      <c r="CP349" s="5" t="s">
        <v>93</v>
      </c>
      <c r="CQ349" s="5" t="s">
        <v>104</v>
      </c>
      <c r="CS349" s="103" t="s">
        <v>85</v>
      </c>
      <c r="CT349" s="5"/>
      <c r="CU349" s="5"/>
      <c r="CV349" s="5"/>
      <c r="CW349" s="5"/>
      <c r="CX349" s="5"/>
      <c r="CY349" s="5"/>
      <c r="CZ349" s="5"/>
      <c r="DA349" s="5"/>
    </row>
    <row r="350" spans="1:105">
      <c r="A350" s="5">
        <v>18019100026</v>
      </c>
      <c r="B350" s="5"/>
      <c r="C350" s="5"/>
      <c r="D350" s="5" t="s">
        <v>18</v>
      </c>
      <c r="E350" s="5"/>
      <c r="F350" s="5" t="s">
        <v>20</v>
      </c>
      <c r="G350" s="5"/>
      <c r="H350" s="5"/>
      <c r="I350" s="5"/>
      <c r="J350" s="5"/>
      <c r="K350" s="5" t="s">
        <v>25</v>
      </c>
      <c r="L350" s="5"/>
      <c r="M350" s="5"/>
      <c r="N350" s="5"/>
      <c r="O350" s="5"/>
      <c r="P350" s="5"/>
      <c r="Q350" s="5"/>
      <c r="R350" s="5"/>
      <c r="S350" s="5"/>
      <c r="T350" s="5" t="s">
        <v>20</v>
      </c>
      <c r="U350" s="5"/>
      <c r="V350" s="5"/>
      <c r="W350" s="5"/>
      <c r="X350" s="5"/>
      <c r="Y350" s="5" t="s">
        <v>25</v>
      </c>
      <c r="Z350" s="5"/>
      <c r="AA350" s="5"/>
      <c r="AB350" s="5" t="s">
        <v>28</v>
      </c>
      <c r="AC350" s="5"/>
      <c r="AD350" s="5"/>
      <c r="AE350" s="5"/>
      <c r="AF350" s="5"/>
      <c r="AG350" s="5"/>
      <c r="AH350" s="5" t="s">
        <v>33</v>
      </c>
      <c r="AI350" s="5"/>
      <c r="AJ350" s="5"/>
      <c r="AK350" s="5"/>
      <c r="AL350" s="5" t="s">
        <v>37</v>
      </c>
      <c r="AM350" s="5" t="s">
        <v>375</v>
      </c>
      <c r="AN350" s="5"/>
      <c r="AO350" s="5"/>
      <c r="AP350" s="5"/>
      <c r="AQ350" s="5"/>
      <c r="AR350" s="5"/>
      <c r="AS350" s="5"/>
      <c r="AT350" s="5"/>
      <c r="AU350" s="5"/>
      <c r="AV350" s="5" t="s">
        <v>44</v>
      </c>
      <c r="AW350" s="5"/>
      <c r="AX350" s="5"/>
      <c r="AY350" s="5" t="s">
        <v>47</v>
      </c>
      <c r="AZ350" s="5" t="s">
        <v>48</v>
      </c>
      <c r="BA350" s="5"/>
      <c r="BB350" s="5"/>
      <c r="BC350" s="5"/>
      <c r="BD350" s="5"/>
      <c r="BE350" s="5"/>
      <c r="BF350" s="5"/>
      <c r="BG350" s="5" t="s">
        <v>53</v>
      </c>
      <c r="BH350" s="5"/>
      <c r="BI350" s="5" t="s">
        <v>55</v>
      </c>
      <c r="BJ350" s="5" t="s">
        <v>56</v>
      </c>
      <c r="BK350" s="5"/>
      <c r="BL350" s="5"/>
      <c r="BM350" s="5"/>
      <c r="BN350" s="5"/>
      <c r="BO350" s="5"/>
      <c r="BP350" s="5"/>
      <c r="BQ350" s="5"/>
      <c r="BR350" s="5"/>
      <c r="BS350" s="5"/>
      <c r="BT350" s="5"/>
      <c r="BU350" s="5"/>
      <c r="BV350" s="5"/>
      <c r="BW350" s="5" t="s">
        <v>66</v>
      </c>
      <c r="BX350" s="5"/>
      <c r="BY350" s="5"/>
      <c r="BZ350" s="5" t="s">
        <v>69</v>
      </c>
      <c r="CA350" s="5"/>
      <c r="CB350" s="5"/>
      <c r="CC350" s="5"/>
      <c r="CD350" s="5"/>
      <c r="CE350" s="5"/>
      <c r="CF350" s="5" t="s">
        <v>75</v>
      </c>
      <c r="CG350" s="5"/>
      <c r="CH350" s="5"/>
      <c r="CI350" s="5" t="s">
        <v>417</v>
      </c>
      <c r="CJ350" s="5">
        <v>73</v>
      </c>
      <c r="CK350" s="5" t="s">
        <v>141</v>
      </c>
      <c r="CL350" s="5" t="s">
        <v>171</v>
      </c>
      <c r="CM350" s="103" t="s">
        <v>415</v>
      </c>
      <c r="CN350" s="5" t="s">
        <v>416</v>
      </c>
      <c r="CO350" s="103" t="s">
        <v>465</v>
      </c>
      <c r="CP350" s="5" t="s">
        <v>94</v>
      </c>
      <c r="CQ350" s="5" t="s">
        <v>84</v>
      </c>
      <c r="CS350" s="103" t="s">
        <v>85</v>
      </c>
      <c r="CT350" s="5"/>
      <c r="CU350" s="5"/>
      <c r="CV350" s="5"/>
      <c r="CW350" s="5"/>
      <c r="CX350" s="5"/>
      <c r="CY350" s="5"/>
      <c r="CZ350" s="5"/>
      <c r="DA350" s="5"/>
    </row>
    <row r="351" spans="1:105">
      <c r="A351" s="5">
        <v>18019099617</v>
      </c>
      <c r="B351" s="5"/>
      <c r="C351" s="5"/>
      <c r="D351" s="5"/>
      <c r="E351" s="5" t="s">
        <v>19</v>
      </c>
      <c r="F351" s="5"/>
      <c r="G351" s="5" t="s">
        <v>21</v>
      </c>
      <c r="H351" s="5"/>
      <c r="I351" s="5"/>
      <c r="J351" s="5"/>
      <c r="K351" s="5"/>
      <c r="L351" s="5"/>
      <c r="M351" s="5"/>
      <c r="N351" s="5" t="s">
        <v>28</v>
      </c>
      <c r="O351" s="5"/>
      <c r="P351" s="5"/>
      <c r="Q351" s="5"/>
      <c r="R351" s="5"/>
      <c r="S351" s="5" t="s">
        <v>19</v>
      </c>
      <c r="T351" s="5"/>
      <c r="U351" s="5"/>
      <c r="V351" s="5"/>
      <c r="W351" s="5"/>
      <c r="X351" s="5" t="s">
        <v>24</v>
      </c>
      <c r="Y351" s="5"/>
      <c r="Z351" s="5" t="s">
        <v>26</v>
      </c>
      <c r="AA351" s="5"/>
      <c r="AB351" s="5"/>
      <c r="AC351" s="5"/>
      <c r="AD351" s="5"/>
      <c r="AE351" s="5"/>
      <c r="AF351" s="5" t="s">
        <v>31</v>
      </c>
      <c r="AG351" s="5"/>
      <c r="AH351" s="5" t="s">
        <v>33</v>
      </c>
      <c r="AI351" s="5"/>
      <c r="AJ351" s="5"/>
      <c r="AK351" s="5"/>
      <c r="AL351" s="5" t="s">
        <v>37</v>
      </c>
      <c r="AM351" s="5"/>
      <c r="AN351" s="5"/>
      <c r="AO351" s="5"/>
      <c r="AP351" s="5"/>
      <c r="AQ351" s="5" t="s">
        <v>40</v>
      </c>
      <c r="AR351" s="5"/>
      <c r="AS351" s="5" t="s">
        <v>42</v>
      </c>
      <c r="AT351" s="5"/>
      <c r="AU351" s="5"/>
      <c r="AV351" s="5" t="s">
        <v>44</v>
      </c>
      <c r="AW351" s="5"/>
      <c r="AX351" s="5"/>
      <c r="AY351" s="5"/>
      <c r="AZ351" s="5"/>
      <c r="BA351" s="5"/>
      <c r="BB351" s="5"/>
      <c r="BC351" s="5"/>
      <c r="BD351" s="5"/>
      <c r="BE351" s="5"/>
      <c r="BF351" s="5" t="s">
        <v>52</v>
      </c>
      <c r="BG351" s="5"/>
      <c r="BH351" s="5"/>
      <c r="BI351" s="5"/>
      <c r="BJ351" s="5"/>
      <c r="BK351" s="5"/>
      <c r="BL351" s="5"/>
      <c r="BM351" s="5"/>
      <c r="BN351" s="5"/>
      <c r="BO351" s="5" t="s">
        <v>20</v>
      </c>
      <c r="BP351" s="5"/>
      <c r="BQ351" s="5"/>
      <c r="BR351" s="5" t="s">
        <v>62</v>
      </c>
      <c r="BS351" s="5"/>
      <c r="BT351" s="5"/>
      <c r="BU351" s="5" t="s">
        <v>64</v>
      </c>
      <c r="BV351" s="5"/>
      <c r="BW351" s="5"/>
      <c r="BX351" s="5"/>
      <c r="BY351" s="5"/>
      <c r="BZ351" s="5"/>
      <c r="CA351" s="5"/>
      <c r="CB351" s="5"/>
      <c r="CC351" s="5"/>
      <c r="CD351" s="5" t="s">
        <v>73</v>
      </c>
      <c r="CE351" s="5"/>
      <c r="CF351" s="5" t="s">
        <v>75</v>
      </c>
      <c r="CG351" s="5"/>
      <c r="CH351" s="5"/>
      <c r="CI351" s="5" t="s">
        <v>414</v>
      </c>
      <c r="CJ351" s="5">
        <v>87</v>
      </c>
      <c r="CK351" s="5" t="s">
        <v>141</v>
      </c>
      <c r="CL351" s="5" t="s">
        <v>164</v>
      </c>
      <c r="CM351" s="103" t="s">
        <v>418</v>
      </c>
      <c r="CN351" s="5"/>
      <c r="CO351" s="103" t="s">
        <v>388</v>
      </c>
      <c r="CP351" s="5" t="s">
        <v>94</v>
      </c>
      <c r="CQ351" s="5" t="s">
        <v>84</v>
      </c>
      <c r="CS351" s="103" t="s">
        <v>99</v>
      </c>
      <c r="CT351" s="5"/>
      <c r="CU351" s="5"/>
      <c r="CV351" s="5"/>
      <c r="CW351" s="5"/>
      <c r="CX351" s="5"/>
      <c r="CY351" s="5"/>
      <c r="CZ351" s="5"/>
      <c r="DA351" s="5"/>
    </row>
    <row r="352" spans="1:105">
      <c r="A352" s="5">
        <v>18019099122</v>
      </c>
      <c r="B352" s="5"/>
      <c r="C352" s="5"/>
      <c r="D352" s="5"/>
      <c r="E352" s="5" t="s">
        <v>19</v>
      </c>
      <c r="F352" s="5"/>
      <c r="G352" s="5"/>
      <c r="H352" s="5"/>
      <c r="I352" s="5"/>
      <c r="J352" s="5"/>
      <c r="K352" s="5"/>
      <c r="L352" s="5"/>
      <c r="M352" s="5"/>
      <c r="N352" s="5" t="s">
        <v>28</v>
      </c>
      <c r="O352" s="5"/>
      <c r="P352" s="5" t="s">
        <v>16</v>
      </c>
      <c r="Q352" s="5"/>
      <c r="R352" s="5"/>
      <c r="S352" s="5"/>
      <c r="T352" s="5"/>
      <c r="U352" s="5"/>
      <c r="V352" s="5"/>
      <c r="W352" s="5"/>
      <c r="X352" s="5"/>
      <c r="Y352" s="5"/>
      <c r="Z352" s="5"/>
      <c r="AA352" s="5"/>
      <c r="AB352" s="5"/>
      <c r="AC352" s="5"/>
      <c r="AD352" s="5"/>
      <c r="AE352" s="5"/>
      <c r="AF352" s="5" t="s">
        <v>31</v>
      </c>
      <c r="AG352" s="5"/>
      <c r="AH352" s="5" t="s">
        <v>33</v>
      </c>
      <c r="AI352" s="5"/>
      <c r="AJ352" s="5"/>
      <c r="AK352" s="5" t="s">
        <v>36</v>
      </c>
      <c r="AL352" s="5"/>
      <c r="AM352" s="5"/>
      <c r="AN352" s="5"/>
      <c r="AO352" s="5"/>
      <c r="AP352" s="5"/>
      <c r="AQ352" s="5" t="s">
        <v>40</v>
      </c>
      <c r="AR352" s="5"/>
      <c r="AS352" s="5"/>
      <c r="AT352" s="5"/>
      <c r="AU352" s="5" t="s">
        <v>43</v>
      </c>
      <c r="AV352" s="5"/>
      <c r="AW352" s="5"/>
      <c r="AX352" s="5"/>
      <c r="AY352" s="5"/>
      <c r="AZ352" s="5"/>
      <c r="BA352" s="5"/>
      <c r="BB352" s="5"/>
      <c r="BC352" s="5"/>
      <c r="BD352" s="5"/>
      <c r="BE352" s="5"/>
      <c r="BF352" s="5" t="s">
        <v>52</v>
      </c>
      <c r="BG352" s="5" t="s">
        <v>53</v>
      </c>
      <c r="BH352" s="5"/>
      <c r="BI352" s="5"/>
      <c r="BJ352" s="5"/>
      <c r="BK352" s="5"/>
      <c r="BL352" s="5"/>
      <c r="BM352" s="5"/>
      <c r="BN352" s="5"/>
      <c r="BO352" s="5"/>
      <c r="BP352" s="5"/>
      <c r="BQ352" s="5"/>
      <c r="BR352" s="5" t="s">
        <v>62</v>
      </c>
      <c r="BS352" s="5"/>
      <c r="BT352" s="5"/>
      <c r="BU352" s="5"/>
      <c r="BV352" s="5"/>
      <c r="BW352" s="5"/>
      <c r="BX352" s="5"/>
      <c r="BY352" s="5"/>
      <c r="BZ352" s="5"/>
      <c r="CA352" s="5"/>
      <c r="CB352" s="5"/>
      <c r="CC352" s="5"/>
      <c r="CD352" s="5"/>
      <c r="CE352" s="5"/>
      <c r="CF352" s="5"/>
      <c r="CG352" s="5"/>
      <c r="CH352" s="5"/>
      <c r="CI352" s="5" t="s">
        <v>417</v>
      </c>
      <c r="CJ352" s="5">
        <v>47</v>
      </c>
      <c r="CK352" s="5" t="s">
        <v>141</v>
      </c>
      <c r="CL352" s="5" t="s">
        <v>164</v>
      </c>
      <c r="CM352" s="103" t="s">
        <v>415</v>
      </c>
      <c r="CN352" s="5" t="s">
        <v>416</v>
      </c>
      <c r="CO352" s="103" t="s">
        <v>388</v>
      </c>
      <c r="CP352" s="5" t="s">
        <v>94</v>
      </c>
      <c r="CQ352" s="5" t="s">
        <v>84</v>
      </c>
      <c r="CS352" s="103" t="s">
        <v>85</v>
      </c>
      <c r="CT352" s="5"/>
      <c r="CU352" s="5"/>
      <c r="CV352" s="5"/>
      <c r="CW352" s="5"/>
      <c r="CX352" s="5"/>
      <c r="CY352" s="5"/>
      <c r="CZ352" s="5"/>
      <c r="DA352" s="5"/>
    </row>
    <row r="353" spans="1:105">
      <c r="A353" s="5">
        <v>18019098909</v>
      </c>
      <c r="B353" s="5"/>
      <c r="C353" s="5" t="s">
        <v>17</v>
      </c>
      <c r="D353" s="5" t="s">
        <v>18</v>
      </c>
      <c r="E353" s="5"/>
      <c r="F353" s="5"/>
      <c r="G353" s="5"/>
      <c r="H353" s="5"/>
      <c r="I353" s="5"/>
      <c r="J353" s="5" t="s">
        <v>24</v>
      </c>
      <c r="K353" s="5"/>
      <c r="L353" s="5"/>
      <c r="M353" s="5"/>
      <c r="N353" s="5"/>
      <c r="O353" s="5"/>
      <c r="P353" s="5"/>
      <c r="Q353" s="5" t="s">
        <v>17</v>
      </c>
      <c r="R353" s="5" t="s">
        <v>18</v>
      </c>
      <c r="S353" s="5"/>
      <c r="T353" s="5"/>
      <c r="U353" s="5"/>
      <c r="V353" s="5"/>
      <c r="W353" s="5"/>
      <c r="X353" s="5"/>
      <c r="Y353" s="5"/>
      <c r="Z353" s="5"/>
      <c r="AA353" s="5"/>
      <c r="AB353" s="5"/>
      <c r="AC353" s="5"/>
      <c r="AD353" s="5"/>
      <c r="AE353" s="5"/>
      <c r="AF353" s="5" t="s">
        <v>31</v>
      </c>
      <c r="AG353" s="5"/>
      <c r="AH353" s="5"/>
      <c r="AI353" s="5"/>
      <c r="AJ353" s="5" t="s">
        <v>466</v>
      </c>
      <c r="AK353" s="5" t="s">
        <v>36</v>
      </c>
      <c r="AL353" s="5"/>
      <c r="AM353" s="5"/>
      <c r="AN353" s="5"/>
      <c r="AO353" s="5"/>
      <c r="AP353" s="5"/>
      <c r="AQ353" s="5"/>
      <c r="AR353" s="5" t="s">
        <v>41</v>
      </c>
      <c r="AS353" s="5"/>
      <c r="AT353" s="5"/>
      <c r="AU353" s="5" t="s">
        <v>43</v>
      </c>
      <c r="AV353" s="5"/>
      <c r="AW353" s="5" t="s">
        <v>45</v>
      </c>
      <c r="AX353" s="5"/>
      <c r="AY353" s="5"/>
      <c r="AZ353" s="5"/>
      <c r="BA353" s="5"/>
      <c r="BB353" s="5"/>
      <c r="BC353" s="5"/>
      <c r="BD353" s="5"/>
      <c r="BE353" s="5"/>
      <c r="BF353" s="5"/>
      <c r="BG353" s="5"/>
      <c r="BH353" s="5"/>
      <c r="BI353" s="5" t="s">
        <v>55</v>
      </c>
      <c r="BJ353" s="5"/>
      <c r="BK353" s="5"/>
      <c r="BL353" s="5" t="s">
        <v>58</v>
      </c>
      <c r="BM353" s="5"/>
      <c r="BN353" s="5" t="s">
        <v>24</v>
      </c>
      <c r="BO353" s="5"/>
      <c r="BP353" s="5"/>
      <c r="BQ353" s="5"/>
      <c r="BR353" s="5"/>
      <c r="BS353" s="5"/>
      <c r="BT353" s="5"/>
      <c r="BU353" s="5" t="s">
        <v>64</v>
      </c>
      <c r="BV353" s="5"/>
      <c r="BW353" s="5"/>
      <c r="BX353" s="5"/>
      <c r="BY353" s="5"/>
      <c r="BZ353" s="5"/>
      <c r="CA353" s="5"/>
      <c r="CB353" s="5"/>
      <c r="CC353" s="5"/>
      <c r="CD353" s="5"/>
      <c r="CE353" s="5"/>
      <c r="CF353" s="5"/>
      <c r="CG353" s="5"/>
      <c r="CH353" s="5"/>
      <c r="CI353" s="5" t="s">
        <v>414</v>
      </c>
      <c r="CJ353" s="5">
        <v>35</v>
      </c>
      <c r="CK353" s="5" t="s">
        <v>141</v>
      </c>
      <c r="CL353" s="5" t="s">
        <v>181</v>
      </c>
      <c r="CM353" s="103" t="s">
        <v>418</v>
      </c>
      <c r="CN353" s="5" t="s">
        <v>419</v>
      </c>
      <c r="CO353" s="103" t="s">
        <v>388</v>
      </c>
      <c r="CP353" s="5" t="s">
        <v>83</v>
      </c>
      <c r="CQ353" s="5" t="s">
        <v>111</v>
      </c>
      <c r="CS353" s="103" t="s">
        <v>85</v>
      </c>
      <c r="CT353" s="5"/>
      <c r="CU353" s="5"/>
      <c r="CV353" s="5"/>
      <c r="CW353" s="5"/>
      <c r="CX353" s="5"/>
      <c r="CY353" s="5"/>
      <c r="CZ353" s="5"/>
      <c r="DA353" s="5"/>
    </row>
    <row r="354" spans="1:105">
      <c r="A354" s="5">
        <v>18018901331</v>
      </c>
      <c r="B354" s="5"/>
      <c r="C354" s="5" t="s">
        <v>17</v>
      </c>
      <c r="D354" s="5"/>
      <c r="E354" s="5"/>
      <c r="F354" s="5"/>
      <c r="G354" s="5"/>
      <c r="H354" s="5"/>
      <c r="I354" s="5" t="s">
        <v>23</v>
      </c>
      <c r="J354" s="5" t="s">
        <v>24</v>
      </c>
      <c r="K354" s="5"/>
      <c r="L354" s="5"/>
      <c r="M354" s="5"/>
      <c r="N354" s="5"/>
      <c r="O354" s="5"/>
      <c r="P354" s="5"/>
      <c r="Q354" s="5"/>
      <c r="R354" s="5"/>
      <c r="S354" s="5"/>
      <c r="T354" s="5"/>
      <c r="U354" s="5"/>
      <c r="V354" s="5"/>
      <c r="W354" s="5"/>
      <c r="X354" s="5"/>
      <c r="Y354" s="5"/>
      <c r="Z354" s="5"/>
      <c r="AA354" s="5"/>
      <c r="AB354" s="5"/>
      <c r="AC354" s="5"/>
      <c r="AD354" s="5"/>
      <c r="AE354" s="5"/>
      <c r="AF354" s="5"/>
      <c r="AG354" s="5" t="s">
        <v>32</v>
      </c>
      <c r="AH354" s="5"/>
      <c r="AI354" s="5" t="s">
        <v>34</v>
      </c>
      <c r="AJ354" s="5"/>
      <c r="AK354" s="5"/>
      <c r="AL354" s="5"/>
      <c r="AM354" s="5" t="s">
        <v>375</v>
      </c>
      <c r="AN354" s="5"/>
      <c r="AO354" s="5" t="s">
        <v>38</v>
      </c>
      <c r="AP354" s="5"/>
      <c r="AQ354" s="5"/>
      <c r="AR354" s="5"/>
      <c r="AS354" s="5"/>
      <c r="AT354" s="5"/>
      <c r="AU354" s="5" t="s">
        <v>43</v>
      </c>
      <c r="AV354" s="5"/>
      <c r="AW354" s="5"/>
      <c r="AX354" s="5"/>
      <c r="AY354" s="5" t="s">
        <v>47</v>
      </c>
      <c r="AZ354" s="5"/>
      <c r="BA354" s="5"/>
      <c r="BB354" s="5"/>
      <c r="BC354" s="5"/>
      <c r="BD354" s="5"/>
      <c r="BE354" s="5"/>
      <c r="BF354" s="5"/>
      <c r="BG354" s="5"/>
      <c r="BH354" s="5" t="s">
        <v>54</v>
      </c>
      <c r="BI354" s="5"/>
      <c r="BJ354" s="5"/>
      <c r="BK354" s="5"/>
      <c r="BL354" s="5"/>
      <c r="BM354" s="5"/>
      <c r="BN354" s="5" t="s">
        <v>24</v>
      </c>
      <c r="BO354" s="5"/>
      <c r="BP354" s="5"/>
      <c r="BQ354" s="5"/>
      <c r="BR354" s="5" t="s">
        <v>62</v>
      </c>
      <c r="BS354" s="5"/>
      <c r="BT354" s="5"/>
      <c r="BU354" s="5"/>
      <c r="BV354" s="5"/>
      <c r="BW354" s="5" t="s">
        <v>66</v>
      </c>
      <c r="BX354" s="5" t="s">
        <v>67</v>
      </c>
      <c r="BY354" s="5"/>
      <c r="BZ354" s="5"/>
      <c r="CA354" s="5"/>
      <c r="CB354" s="5"/>
      <c r="CC354" s="5"/>
      <c r="CD354" s="5"/>
      <c r="CE354" s="5"/>
      <c r="CF354" s="5" t="s">
        <v>75</v>
      </c>
      <c r="CG354" s="5"/>
      <c r="CH354" s="5"/>
      <c r="CI354" s="5" t="s">
        <v>417</v>
      </c>
      <c r="CJ354" s="5">
        <v>31</v>
      </c>
      <c r="CK354" s="5"/>
      <c r="CL354" s="5" t="s">
        <v>380</v>
      </c>
      <c r="CM354" s="103" t="s">
        <v>418</v>
      </c>
      <c r="CN354" s="5" t="s">
        <v>416</v>
      </c>
      <c r="CO354" s="103" t="s">
        <v>467</v>
      </c>
      <c r="CP354" s="5" t="s">
        <v>90</v>
      </c>
      <c r="CQ354" s="5" t="s">
        <v>104</v>
      </c>
      <c r="CS354" s="103" t="s">
        <v>92</v>
      </c>
      <c r="CT354" s="5"/>
      <c r="CU354" s="5" t="s">
        <v>81</v>
      </c>
      <c r="CV354" s="5"/>
      <c r="CW354" s="5"/>
      <c r="CX354" s="5"/>
      <c r="CY354" s="5"/>
      <c r="CZ354" s="5"/>
      <c r="DA354" s="5"/>
    </row>
    <row r="355" spans="1:105">
      <c r="A355" s="5">
        <v>18018148216</v>
      </c>
      <c r="B355" s="5"/>
      <c r="C355" s="5"/>
      <c r="D355" s="5"/>
      <c r="E355" s="5"/>
      <c r="F355" s="5"/>
      <c r="G355" s="5"/>
      <c r="H355" s="5"/>
      <c r="I355" s="5"/>
      <c r="J355" s="5"/>
      <c r="K355" s="5" t="s">
        <v>25</v>
      </c>
      <c r="L355" s="5"/>
      <c r="M355" s="5"/>
      <c r="N355" s="5"/>
      <c r="O355" s="5"/>
      <c r="P355" s="5"/>
      <c r="Q355" s="5"/>
      <c r="R355" s="5"/>
      <c r="S355" s="5"/>
      <c r="T355" s="5"/>
      <c r="U355" s="5"/>
      <c r="V355" s="5"/>
      <c r="W355" s="5"/>
      <c r="X355" s="5"/>
      <c r="Y355" s="5" t="s">
        <v>25</v>
      </c>
      <c r="Z355" s="5"/>
      <c r="AA355" s="5"/>
      <c r="AB355" s="5"/>
      <c r="AC355" s="5"/>
      <c r="AD355" s="5"/>
      <c r="AE355" s="5" t="s">
        <v>30</v>
      </c>
      <c r="AF355" s="5"/>
      <c r="AG355" s="5"/>
      <c r="AH355" s="5"/>
      <c r="AI355" s="5"/>
      <c r="AJ355" s="5"/>
      <c r="AK355" s="5"/>
      <c r="AL355" s="5"/>
      <c r="AM355" s="5"/>
      <c r="AN355" s="5"/>
      <c r="AO355" s="5"/>
      <c r="AP355" s="5" t="s">
        <v>39</v>
      </c>
      <c r="AQ355" s="5"/>
      <c r="AR355" s="5"/>
      <c r="AS355" s="5"/>
      <c r="AT355" s="5"/>
      <c r="AU355" s="5"/>
      <c r="AV355" s="5"/>
      <c r="AW355" s="5"/>
      <c r="AX355" s="5"/>
      <c r="AY355" s="5"/>
      <c r="AZ355" s="5"/>
      <c r="BA355" s="5"/>
      <c r="BB355" s="5"/>
      <c r="BC355" s="5"/>
      <c r="BD355" s="5" t="s">
        <v>51</v>
      </c>
      <c r="BE355" s="5"/>
      <c r="BF355" s="5"/>
      <c r="BG355" s="5"/>
      <c r="BH355" s="5"/>
      <c r="BI355" s="5"/>
      <c r="BJ355" s="5"/>
      <c r="BK355" s="5"/>
      <c r="BL355" s="5"/>
      <c r="BM355" s="5"/>
      <c r="BN355" s="5"/>
      <c r="BO355" s="5"/>
      <c r="BP355" s="5"/>
      <c r="BQ355" s="5" t="s">
        <v>61</v>
      </c>
      <c r="BR355" s="5"/>
      <c r="BS355" s="5"/>
      <c r="BT355" s="5"/>
      <c r="BU355" s="5" t="s">
        <v>64</v>
      </c>
      <c r="BV355" s="5"/>
      <c r="BW355" s="5"/>
      <c r="BX355" s="5" t="s">
        <v>67</v>
      </c>
      <c r="BY355" s="5"/>
      <c r="BZ355" s="5"/>
      <c r="CA355" s="5"/>
      <c r="CB355" s="5"/>
      <c r="CC355" s="5"/>
      <c r="CD355" s="5"/>
      <c r="CE355" s="5"/>
      <c r="CF355" s="5"/>
      <c r="CG355" s="5"/>
      <c r="CH355" s="5"/>
      <c r="CI355" s="5" t="s">
        <v>417</v>
      </c>
      <c r="CJ355" s="5">
        <v>68</v>
      </c>
      <c r="CK355" s="5"/>
      <c r="CL355" s="5"/>
      <c r="CN355" s="5"/>
      <c r="CP355" s="5"/>
      <c r="CQ355" s="5"/>
      <c r="CT355" s="5"/>
      <c r="CU355" s="5"/>
      <c r="CV355" s="107"/>
      <c r="CW355" s="107"/>
      <c r="CX355" s="107"/>
      <c r="CY355" s="107"/>
      <c r="CZ355" s="107"/>
      <c r="DA355" s="107"/>
    </row>
    <row r="356" spans="1:105">
      <c r="A356" s="5">
        <v>18014643757</v>
      </c>
      <c r="B356" s="5"/>
      <c r="C356" s="5"/>
      <c r="D356" s="5"/>
      <c r="E356" s="5"/>
      <c r="F356" s="5"/>
      <c r="G356" s="5"/>
      <c r="H356" s="5"/>
      <c r="I356" s="5"/>
      <c r="J356" s="5"/>
      <c r="K356" s="5"/>
      <c r="L356" s="5" t="s">
        <v>26</v>
      </c>
      <c r="M356" s="5"/>
      <c r="N356" s="5"/>
      <c r="O356" s="5"/>
      <c r="P356" s="5"/>
      <c r="Q356" s="5"/>
      <c r="R356" s="5"/>
      <c r="S356" s="5"/>
      <c r="T356" s="5"/>
      <c r="U356" s="5"/>
      <c r="V356" s="5"/>
      <c r="W356" s="5"/>
      <c r="X356" s="5"/>
      <c r="Y356" s="5"/>
      <c r="Z356" s="5" t="s">
        <v>26</v>
      </c>
      <c r="AA356" s="5"/>
      <c r="AB356" s="5"/>
      <c r="AC356" s="5"/>
      <c r="AD356" s="5"/>
      <c r="AE356" s="5"/>
      <c r="AF356" s="5"/>
      <c r="AG356" s="5"/>
      <c r="AH356" s="5" t="s">
        <v>33</v>
      </c>
      <c r="AI356" s="5"/>
      <c r="AJ356" s="5"/>
      <c r="AK356" s="5"/>
      <c r="AL356" s="5"/>
      <c r="AM356" s="5"/>
      <c r="AN356" s="5"/>
      <c r="AO356" s="5" t="s">
        <v>38</v>
      </c>
      <c r="AP356" s="5"/>
      <c r="AQ356" s="5"/>
      <c r="AR356" s="5"/>
      <c r="AS356" s="5"/>
      <c r="AT356" s="5"/>
      <c r="AU356" s="5"/>
      <c r="AV356" s="5"/>
      <c r="AW356" s="5"/>
      <c r="AX356" s="5"/>
      <c r="AY356" s="5"/>
      <c r="AZ356" s="5"/>
      <c r="BA356" s="5"/>
      <c r="BB356" s="5"/>
      <c r="BC356" s="5"/>
      <c r="BD356" s="5"/>
      <c r="BE356" s="5"/>
      <c r="BF356" s="5"/>
      <c r="BG356" s="5"/>
      <c r="BH356" s="5"/>
      <c r="BI356" s="5"/>
      <c r="BJ356" s="5" t="s">
        <v>56</v>
      </c>
      <c r="BK356" s="5"/>
      <c r="BL356" s="5"/>
      <c r="BM356" s="5"/>
      <c r="BN356" s="5"/>
      <c r="BO356" s="5"/>
      <c r="BP356" s="5"/>
      <c r="BQ356" s="5"/>
      <c r="BR356" s="5"/>
      <c r="BS356" s="5"/>
      <c r="BT356" s="5"/>
      <c r="BU356" s="5"/>
      <c r="BV356" s="5" t="s">
        <v>65</v>
      </c>
      <c r="BW356" s="5"/>
      <c r="BX356" s="5"/>
      <c r="BY356" s="5"/>
      <c r="BZ356" s="5"/>
      <c r="CA356" s="5"/>
      <c r="CB356" s="5"/>
      <c r="CC356" s="5"/>
      <c r="CD356" s="5"/>
      <c r="CE356" s="5"/>
      <c r="CF356" s="5"/>
      <c r="CG356" s="5"/>
      <c r="CH356" s="5"/>
      <c r="CI356" s="5"/>
      <c r="CJ356" s="5"/>
      <c r="CK356" s="5"/>
      <c r="CL356" s="5"/>
      <c r="CN356" s="5"/>
      <c r="CP356" s="5"/>
      <c r="CQ356" s="5"/>
      <c r="CT356" s="5"/>
      <c r="CU356" s="5"/>
      <c r="CV356" s="5"/>
      <c r="CW356" s="5"/>
      <c r="CX356" s="5"/>
      <c r="CY356" s="5"/>
      <c r="CZ356" s="5"/>
      <c r="DA356" s="5"/>
    </row>
    <row r="357" spans="1:105">
      <c r="A357" s="5">
        <v>114107008144</v>
      </c>
      <c r="B357" s="5"/>
      <c r="C357" s="5" t="s">
        <v>17</v>
      </c>
      <c r="D357" s="5"/>
      <c r="E357" s="5"/>
      <c r="F357" s="5"/>
      <c r="G357" s="5"/>
      <c r="H357" s="5" t="s">
        <v>22</v>
      </c>
      <c r="I357" s="5"/>
      <c r="J357" s="5"/>
      <c r="K357" s="5" t="s">
        <v>25</v>
      </c>
      <c r="L357" s="5" t="s">
        <v>26</v>
      </c>
      <c r="M357" s="5"/>
      <c r="N357" s="5"/>
      <c r="O357" s="5"/>
      <c r="P357" s="5"/>
      <c r="Q357" s="5"/>
      <c r="R357" s="5"/>
      <c r="S357" s="5"/>
      <c r="T357" s="5"/>
      <c r="U357" s="5"/>
      <c r="V357" s="5" t="s">
        <v>22</v>
      </c>
      <c r="W357" s="5"/>
      <c r="X357" s="5"/>
      <c r="Y357" s="5"/>
      <c r="Z357" s="5" t="s">
        <v>26</v>
      </c>
      <c r="AA357" s="5"/>
      <c r="AB357" s="5"/>
      <c r="AC357" s="5"/>
      <c r="AD357" s="5"/>
      <c r="AE357" s="5"/>
      <c r="AF357" s="5"/>
      <c r="AG357" s="5"/>
      <c r="AH357" s="5"/>
      <c r="AI357" s="5"/>
      <c r="AJ357" s="5"/>
      <c r="AK357" s="5" t="s">
        <v>36</v>
      </c>
      <c r="AL357" s="5"/>
      <c r="AM357" s="5"/>
      <c r="AN357" s="5"/>
      <c r="AO357" s="5"/>
      <c r="AP357" s="5"/>
      <c r="AQ357" s="5"/>
      <c r="AR357" s="5" t="s">
        <v>41</v>
      </c>
      <c r="AS357" s="5"/>
      <c r="AT357" s="5"/>
      <c r="AU357" s="5"/>
      <c r="AV357" s="5" t="s">
        <v>44</v>
      </c>
      <c r="AW357" s="5"/>
      <c r="AX357" s="5" t="s">
        <v>46</v>
      </c>
      <c r="AY357" s="5"/>
      <c r="AZ357" s="5"/>
      <c r="BA357" s="5"/>
      <c r="BB357" s="5" t="s">
        <v>49</v>
      </c>
      <c r="BC357" s="5"/>
      <c r="BD357" s="5" t="s">
        <v>51</v>
      </c>
      <c r="BE357" s="5" t="s">
        <v>17</v>
      </c>
      <c r="BF357" s="5"/>
      <c r="BG357" s="5" t="s">
        <v>53</v>
      </c>
      <c r="BH357" s="5"/>
      <c r="BI357" s="5"/>
      <c r="BJ357" s="5"/>
      <c r="BK357" s="5"/>
      <c r="BL357" s="5" t="s">
        <v>58</v>
      </c>
      <c r="BM357" s="5" t="s">
        <v>59</v>
      </c>
      <c r="BN357" s="5" t="s">
        <v>24</v>
      </c>
      <c r="BO357" s="5"/>
      <c r="BP357" s="5"/>
      <c r="BQ357" s="5"/>
      <c r="BR357" s="5"/>
      <c r="BS357" s="5" t="s">
        <v>63</v>
      </c>
      <c r="BT357" s="5"/>
      <c r="BU357" s="5" t="s">
        <v>64</v>
      </c>
      <c r="BV357" s="5"/>
      <c r="BW357" s="5"/>
      <c r="BX357" s="5"/>
      <c r="BY357" s="5"/>
      <c r="BZ357" s="5"/>
      <c r="CA357" s="5" t="s">
        <v>70</v>
      </c>
      <c r="CB357" s="5"/>
      <c r="CC357" s="5"/>
      <c r="CD357" s="5" t="s">
        <v>73</v>
      </c>
      <c r="CE357" s="5"/>
      <c r="CF357" s="5" t="s">
        <v>75</v>
      </c>
      <c r="CG357" s="5"/>
      <c r="CH357" s="5"/>
      <c r="CI357" s="5" t="s">
        <v>414</v>
      </c>
      <c r="CJ357" s="5"/>
      <c r="CK357" s="5" t="s">
        <v>356</v>
      </c>
      <c r="CL357" s="5">
        <v>22407</v>
      </c>
      <c r="CM357" s="103" t="s">
        <v>418</v>
      </c>
      <c r="CN357" s="5" t="s">
        <v>416</v>
      </c>
      <c r="CO357" s="103" t="s">
        <v>82</v>
      </c>
      <c r="CP357" s="5" t="s">
        <v>83</v>
      </c>
      <c r="CQ357" s="5" t="s">
        <v>84</v>
      </c>
      <c r="CR357" s="103" t="s">
        <v>85</v>
      </c>
      <c r="CS357" s="103" t="s">
        <v>86</v>
      </c>
      <c r="CT357" s="5" t="s">
        <v>391</v>
      </c>
      <c r="CU357" s="5" t="s">
        <v>86</v>
      </c>
      <c r="CV357" s="5"/>
      <c r="CW357" s="5"/>
      <c r="CX357" s="5"/>
      <c r="CY357" s="5"/>
      <c r="CZ357" s="5"/>
      <c r="DA357" s="5"/>
    </row>
    <row r="358" spans="1:105">
      <c r="A358" s="5">
        <v>114106902413</v>
      </c>
      <c r="B358" s="5"/>
      <c r="C358" s="5"/>
      <c r="D358" s="5"/>
      <c r="E358" s="5"/>
      <c r="F358" s="5"/>
      <c r="G358" s="5"/>
      <c r="H358" s="5"/>
      <c r="I358" s="5"/>
      <c r="J358" s="5" t="s">
        <v>24</v>
      </c>
      <c r="K358" s="5"/>
      <c r="L358" s="5"/>
      <c r="M358" s="5"/>
      <c r="N358" s="5"/>
      <c r="O358" s="5"/>
      <c r="P358" s="5"/>
      <c r="Q358" s="5"/>
      <c r="R358" s="5"/>
      <c r="S358" s="5"/>
      <c r="T358" s="5"/>
      <c r="U358" s="5"/>
      <c r="V358" s="5"/>
      <c r="W358" s="5"/>
      <c r="X358" s="5" t="s">
        <v>24</v>
      </c>
      <c r="Y358" s="5"/>
      <c r="Z358" s="5"/>
      <c r="AA358" s="5"/>
      <c r="AB358" s="5" t="s">
        <v>28</v>
      </c>
      <c r="AC358" s="5"/>
      <c r="AD358" s="5"/>
      <c r="AE358" s="5"/>
      <c r="AF358" s="5"/>
      <c r="AG358" s="5"/>
      <c r="AH358" s="5"/>
      <c r="AI358" s="5"/>
      <c r="AJ358" s="5"/>
      <c r="AK358" s="5" t="s">
        <v>36</v>
      </c>
      <c r="AL358" s="5"/>
      <c r="AM358" s="5"/>
      <c r="AN358" s="5"/>
      <c r="AO358" s="5"/>
      <c r="AP358" s="5"/>
      <c r="AQ358" s="5"/>
      <c r="AR358" s="5"/>
      <c r="AS358" s="5"/>
      <c r="AT358" s="5"/>
      <c r="AU358" s="5" t="s">
        <v>43</v>
      </c>
      <c r="AV358" s="5"/>
      <c r="AW358" s="5"/>
      <c r="AX358" s="5"/>
      <c r="AY358" s="5"/>
      <c r="AZ358" s="5"/>
      <c r="BA358" s="5"/>
      <c r="BB358" s="5"/>
      <c r="BC358" s="5"/>
      <c r="BD358" s="5"/>
      <c r="BE358" s="5"/>
      <c r="BF358" s="5"/>
      <c r="BG358" s="5"/>
      <c r="BH358" s="5"/>
      <c r="BI358" s="5"/>
      <c r="BJ358" s="5"/>
      <c r="BK358" s="5" t="s">
        <v>57</v>
      </c>
      <c r="BL358" s="5"/>
      <c r="BM358" s="5"/>
      <c r="BN358" s="5"/>
      <c r="BO358" s="5"/>
      <c r="BP358" s="5"/>
      <c r="BQ358" s="5"/>
      <c r="BR358" s="5"/>
      <c r="BS358" s="5"/>
      <c r="BT358" s="5"/>
      <c r="BU358" s="5"/>
      <c r="BV358" s="5"/>
      <c r="BW358" s="5"/>
      <c r="BX358" s="5"/>
      <c r="BY358" s="5"/>
      <c r="BZ358" s="5"/>
      <c r="CA358" s="5"/>
      <c r="CB358" s="5"/>
      <c r="CC358" s="5"/>
      <c r="CD358" s="5"/>
      <c r="CE358" s="5"/>
      <c r="CF358" s="5" t="s">
        <v>75</v>
      </c>
      <c r="CG358" s="5"/>
      <c r="CH358" s="5"/>
      <c r="CI358" s="5" t="s">
        <v>414</v>
      </c>
      <c r="CJ358" s="5"/>
      <c r="CK358" s="5" t="s">
        <v>141</v>
      </c>
      <c r="CL358" s="5" t="s">
        <v>172</v>
      </c>
      <c r="CM358" s="103" t="s">
        <v>418</v>
      </c>
      <c r="CN358" s="5" t="s">
        <v>416</v>
      </c>
      <c r="CO358" s="103" t="s">
        <v>82</v>
      </c>
      <c r="CP358" s="5" t="s">
        <v>97</v>
      </c>
      <c r="CQ358" s="5" t="s">
        <v>88</v>
      </c>
      <c r="CR358" s="103" t="s">
        <v>99</v>
      </c>
      <c r="CS358" s="103" t="s">
        <v>81</v>
      </c>
      <c r="CT358" s="5" t="s">
        <v>296</v>
      </c>
      <c r="CU358" s="5" t="s">
        <v>86</v>
      </c>
      <c r="CV358" s="5"/>
      <c r="CW358" s="5"/>
      <c r="CX358" s="5"/>
      <c r="CY358" s="5"/>
      <c r="CZ358" s="5"/>
      <c r="DA358" s="5"/>
    </row>
    <row r="359" spans="1:105">
      <c r="A359" s="5">
        <v>114106901021</v>
      </c>
      <c r="B359" s="5"/>
      <c r="C359" s="5" t="s">
        <v>17</v>
      </c>
      <c r="D359" s="5"/>
      <c r="E359" s="5"/>
      <c r="F359" s="5"/>
      <c r="G359" s="5"/>
      <c r="H359" s="5" t="s">
        <v>22</v>
      </c>
      <c r="I359" s="5"/>
      <c r="J359" s="5"/>
      <c r="K359" s="5"/>
      <c r="L359" s="5" t="s">
        <v>26</v>
      </c>
      <c r="M359" s="5"/>
      <c r="N359" s="5"/>
      <c r="O359" s="5"/>
      <c r="P359" s="5"/>
      <c r="Q359" s="5" t="s">
        <v>17</v>
      </c>
      <c r="R359" s="5" t="s">
        <v>18</v>
      </c>
      <c r="S359" s="5"/>
      <c r="T359" s="5"/>
      <c r="U359" s="5"/>
      <c r="V359" s="5" t="s">
        <v>22</v>
      </c>
      <c r="W359" s="5"/>
      <c r="X359" s="5"/>
      <c r="Y359" s="5"/>
      <c r="Z359" s="5"/>
      <c r="AA359" s="5"/>
      <c r="AB359" s="5"/>
      <c r="AC359" s="5"/>
      <c r="AD359" s="5"/>
      <c r="AE359" s="5"/>
      <c r="AF359" s="5"/>
      <c r="AG359" s="5"/>
      <c r="AH359" s="5"/>
      <c r="AI359" s="5"/>
      <c r="AJ359" s="5"/>
      <c r="AK359" s="5"/>
      <c r="AL359" s="5"/>
      <c r="AM359" s="5"/>
      <c r="AN359" s="5"/>
      <c r="AO359" s="5"/>
      <c r="AP359" s="5"/>
      <c r="AQ359" s="5"/>
      <c r="AR359" s="5" t="s">
        <v>41</v>
      </c>
      <c r="AS359" s="5"/>
      <c r="AT359" s="5"/>
      <c r="AU359" s="5"/>
      <c r="AV359" s="5" t="s">
        <v>44</v>
      </c>
      <c r="AW359" s="5"/>
      <c r="AX359" s="5" t="s">
        <v>46</v>
      </c>
      <c r="AY359" s="5"/>
      <c r="AZ359" s="5"/>
      <c r="BA359" s="5"/>
      <c r="BB359" s="5"/>
      <c r="BC359" s="5"/>
      <c r="BD359" s="5"/>
      <c r="BE359" s="5" t="s">
        <v>17</v>
      </c>
      <c r="BF359" s="5"/>
      <c r="BG359" s="5" t="s">
        <v>53</v>
      </c>
      <c r="BH359" s="5"/>
      <c r="BI359" s="5"/>
      <c r="BJ359" s="5"/>
      <c r="BK359" s="5"/>
      <c r="BL359" s="5"/>
      <c r="BM359" s="5"/>
      <c r="BN359" s="5" t="s">
        <v>24</v>
      </c>
      <c r="BO359" s="5"/>
      <c r="BP359" s="5"/>
      <c r="BQ359" s="5"/>
      <c r="BR359" s="5"/>
      <c r="BS359" s="5"/>
      <c r="BT359" s="5"/>
      <c r="BU359" s="5" t="s">
        <v>64</v>
      </c>
      <c r="BV359" s="5"/>
      <c r="BW359" s="5"/>
      <c r="BX359" s="5" t="s">
        <v>67</v>
      </c>
      <c r="BY359" s="5"/>
      <c r="BZ359" s="5" t="s">
        <v>69</v>
      </c>
      <c r="CA359" s="5"/>
      <c r="CB359" s="5"/>
      <c r="CC359" s="5"/>
      <c r="CD359" s="5"/>
      <c r="CE359" s="5"/>
      <c r="CF359" s="5"/>
      <c r="CG359" s="5"/>
      <c r="CH359" s="5"/>
      <c r="CI359" s="5" t="s">
        <v>414</v>
      </c>
      <c r="CJ359" s="5"/>
      <c r="CK359" s="5" t="s">
        <v>141</v>
      </c>
      <c r="CL359" s="5" t="s">
        <v>155</v>
      </c>
      <c r="CM359" s="103" t="s">
        <v>418</v>
      </c>
      <c r="CN359" s="5"/>
      <c r="CO359" s="103" t="s">
        <v>82</v>
      </c>
      <c r="CP359" s="5" t="s">
        <v>94</v>
      </c>
      <c r="CQ359" s="5" t="s">
        <v>88</v>
      </c>
      <c r="CR359" s="103" t="s">
        <v>85</v>
      </c>
      <c r="CS359" s="103" t="s">
        <v>86</v>
      </c>
      <c r="CT359" s="5"/>
      <c r="CU359" s="5" t="s">
        <v>86</v>
      </c>
      <c r="CV359" s="5"/>
      <c r="CW359" s="5"/>
      <c r="CX359" s="5"/>
      <c r="CY359" s="5"/>
      <c r="CZ359" s="5"/>
      <c r="DA359" s="5"/>
    </row>
    <row r="360" spans="1:105">
      <c r="A360" s="5">
        <v>114106899755</v>
      </c>
      <c r="B360" s="5"/>
      <c r="C360" s="5" t="s">
        <v>17</v>
      </c>
      <c r="D360" s="5"/>
      <c r="E360" s="5"/>
      <c r="F360" s="5"/>
      <c r="G360" s="5"/>
      <c r="H360" s="5"/>
      <c r="I360" s="5"/>
      <c r="J360" s="5"/>
      <c r="K360" s="5" t="s">
        <v>25</v>
      </c>
      <c r="L360" s="5" t="s">
        <v>26</v>
      </c>
      <c r="M360" s="5"/>
      <c r="N360" s="5"/>
      <c r="O360" s="5"/>
      <c r="P360" s="5"/>
      <c r="Q360" s="5"/>
      <c r="R360" s="5"/>
      <c r="S360" s="5"/>
      <c r="T360" s="5"/>
      <c r="U360" s="5"/>
      <c r="V360" s="5"/>
      <c r="W360" s="5" t="s">
        <v>23</v>
      </c>
      <c r="X360" s="5"/>
      <c r="Y360" s="5" t="s">
        <v>25</v>
      </c>
      <c r="Z360" s="5"/>
      <c r="AA360" s="5"/>
      <c r="AB360" s="5"/>
      <c r="AC360" s="5"/>
      <c r="AD360" s="5"/>
      <c r="AE360" s="5"/>
      <c r="AF360" s="5"/>
      <c r="AG360" s="5"/>
      <c r="AH360" s="5"/>
      <c r="AI360" s="5" t="s">
        <v>34</v>
      </c>
      <c r="AJ360" s="5"/>
      <c r="AK360" s="5"/>
      <c r="AL360" s="5"/>
      <c r="AM360" s="5"/>
      <c r="AN360" s="5"/>
      <c r="AO360" s="5"/>
      <c r="AP360" s="5" t="s">
        <v>39</v>
      </c>
      <c r="AQ360" s="5"/>
      <c r="AR360" s="5"/>
      <c r="AS360" s="5"/>
      <c r="AT360" s="5"/>
      <c r="AU360" s="5"/>
      <c r="AV360" s="5"/>
      <c r="AW360" s="5"/>
      <c r="AX360" s="5"/>
      <c r="AY360" s="5" t="s">
        <v>47</v>
      </c>
      <c r="AZ360" s="5"/>
      <c r="BA360" s="5"/>
      <c r="BB360" s="5" t="s">
        <v>49</v>
      </c>
      <c r="BC360" s="5"/>
      <c r="BD360" s="5" t="s">
        <v>51</v>
      </c>
      <c r="BE360" s="5"/>
      <c r="BF360" s="5"/>
      <c r="BG360" s="5"/>
      <c r="BH360" s="5"/>
      <c r="BI360" s="5"/>
      <c r="BJ360" s="5"/>
      <c r="BK360" s="5"/>
      <c r="BL360" s="5"/>
      <c r="BM360" s="5"/>
      <c r="BN360" s="5" t="s">
        <v>24</v>
      </c>
      <c r="BO360" s="5"/>
      <c r="BP360" s="5"/>
      <c r="BQ360" s="5"/>
      <c r="BR360" s="5"/>
      <c r="BS360" s="5" t="s">
        <v>63</v>
      </c>
      <c r="BT360" s="5"/>
      <c r="BU360" s="5" t="s">
        <v>64</v>
      </c>
      <c r="BV360" s="5"/>
      <c r="BW360" s="5"/>
      <c r="BX360" s="5"/>
      <c r="BY360" s="5"/>
      <c r="BZ360" s="5"/>
      <c r="CA360" s="5"/>
      <c r="CB360" s="5"/>
      <c r="CC360" s="5"/>
      <c r="CD360" s="5"/>
      <c r="CE360" s="5"/>
      <c r="CF360" s="5"/>
      <c r="CG360" s="5"/>
      <c r="CH360" s="5"/>
      <c r="CI360" s="5" t="s">
        <v>417</v>
      </c>
      <c r="CJ360" s="5"/>
      <c r="CK360" s="5" t="s">
        <v>141</v>
      </c>
      <c r="CL360" s="5" t="s">
        <v>453</v>
      </c>
      <c r="CM360" s="103" t="s">
        <v>418</v>
      </c>
      <c r="CN360" s="5" t="s">
        <v>416</v>
      </c>
      <c r="CO360" s="103" t="s">
        <v>82</v>
      </c>
      <c r="CP360" s="5" t="s">
        <v>93</v>
      </c>
      <c r="CQ360" s="5" t="s">
        <v>84</v>
      </c>
      <c r="CR360" s="103" t="s">
        <v>85</v>
      </c>
      <c r="CS360" s="103" t="s">
        <v>86</v>
      </c>
      <c r="CT360" s="5" t="s">
        <v>384</v>
      </c>
      <c r="CU360" s="5" t="s">
        <v>86</v>
      </c>
      <c r="CV360" s="5"/>
      <c r="CW360" s="5"/>
      <c r="CX360" s="5"/>
      <c r="CY360" s="5"/>
      <c r="CZ360" s="5"/>
      <c r="DA360" s="5"/>
    </row>
    <row r="361" spans="1:105">
      <c r="A361" s="5">
        <v>114106893781</v>
      </c>
      <c r="B361" s="5"/>
      <c r="C361" s="5" t="s">
        <v>17</v>
      </c>
      <c r="D361" s="5" t="s">
        <v>18</v>
      </c>
      <c r="E361" s="5"/>
      <c r="F361" s="5" t="s">
        <v>20</v>
      </c>
      <c r="G361" s="5"/>
      <c r="H361" s="5"/>
      <c r="I361" s="5"/>
      <c r="J361" s="5"/>
      <c r="K361" s="5"/>
      <c r="L361" s="5"/>
      <c r="M361" s="5"/>
      <c r="N361" s="5"/>
      <c r="O361" s="5"/>
      <c r="P361" s="5"/>
      <c r="Q361" s="5" t="s">
        <v>17</v>
      </c>
      <c r="R361" s="5"/>
      <c r="S361" s="5"/>
      <c r="T361" s="5"/>
      <c r="U361" s="5"/>
      <c r="V361" s="5"/>
      <c r="W361" s="5"/>
      <c r="X361" s="5"/>
      <c r="Y361" s="5"/>
      <c r="Z361" s="5"/>
      <c r="AA361" s="5"/>
      <c r="AB361" s="5"/>
      <c r="AC361" s="5"/>
      <c r="AD361" s="5"/>
      <c r="AE361" s="5"/>
      <c r="AF361" s="5"/>
      <c r="AG361" s="5" t="s">
        <v>32</v>
      </c>
      <c r="AH361" s="5"/>
      <c r="AI361" s="5"/>
      <c r="AJ361" s="5"/>
      <c r="AK361" s="5"/>
      <c r="AL361" s="5"/>
      <c r="AM361" s="5"/>
      <c r="AN361" s="5"/>
      <c r="AO361" s="5"/>
      <c r="AP361" s="5"/>
      <c r="AQ361" s="5"/>
      <c r="AR361" s="5" t="s">
        <v>41</v>
      </c>
      <c r="AS361" s="5"/>
      <c r="AT361" s="5"/>
      <c r="AU361" s="5"/>
      <c r="AV361" s="5"/>
      <c r="AW361" s="5"/>
      <c r="AX361" s="5" t="s">
        <v>46</v>
      </c>
      <c r="AY361" s="5" t="s">
        <v>47</v>
      </c>
      <c r="AZ361" s="5"/>
      <c r="BA361" s="5"/>
      <c r="BB361" s="5"/>
      <c r="BC361" s="5"/>
      <c r="BD361" s="5"/>
      <c r="BE361" s="5"/>
      <c r="BF361" s="5"/>
      <c r="BG361" s="5" t="s">
        <v>53</v>
      </c>
      <c r="BH361" s="5" t="s">
        <v>54</v>
      </c>
      <c r="BI361" s="5"/>
      <c r="BJ361" s="5"/>
      <c r="BK361" s="5"/>
      <c r="BL361" s="5"/>
      <c r="BM361" s="5"/>
      <c r="BN361" s="5"/>
      <c r="BO361" s="5"/>
      <c r="BP361" s="5"/>
      <c r="BQ361" s="5"/>
      <c r="BR361" s="5"/>
      <c r="BS361" s="5"/>
      <c r="BT361" s="5"/>
      <c r="BU361" s="5" t="s">
        <v>64</v>
      </c>
      <c r="BV361" s="5" t="s">
        <v>65</v>
      </c>
      <c r="BW361" s="5"/>
      <c r="BX361" s="5" t="s">
        <v>67</v>
      </c>
      <c r="BY361" s="5"/>
      <c r="BZ361" s="5"/>
      <c r="CA361" s="5"/>
      <c r="CB361" s="5"/>
      <c r="CC361" s="5"/>
      <c r="CD361" s="5"/>
      <c r="CE361" s="5"/>
      <c r="CF361" s="5" t="s">
        <v>75</v>
      </c>
      <c r="CG361" s="5"/>
      <c r="CH361" s="5"/>
      <c r="CI361" s="5" t="s">
        <v>414</v>
      </c>
      <c r="CJ361" s="5"/>
      <c r="CK361" s="5" t="s">
        <v>141</v>
      </c>
      <c r="CL361" s="5" t="s">
        <v>453</v>
      </c>
      <c r="CM361" s="103" t="s">
        <v>418</v>
      </c>
      <c r="CN361" s="5" t="s">
        <v>416</v>
      </c>
      <c r="CO361" s="103" t="s">
        <v>82</v>
      </c>
      <c r="CP361" s="5" t="s">
        <v>93</v>
      </c>
      <c r="CQ361" s="5" t="s">
        <v>88</v>
      </c>
      <c r="CR361" s="103" t="s">
        <v>85</v>
      </c>
      <c r="CS361" s="103" t="s">
        <v>86</v>
      </c>
      <c r="CT361" s="5" t="s">
        <v>384</v>
      </c>
      <c r="CU361" s="5" t="s">
        <v>86</v>
      </c>
      <c r="CV361" s="5"/>
      <c r="CW361" s="5"/>
      <c r="CX361" s="5"/>
      <c r="CY361" s="5"/>
      <c r="CZ361" s="5"/>
      <c r="DA361" s="5"/>
    </row>
    <row r="362" spans="1:105">
      <c r="A362" s="5">
        <v>114098493520</v>
      </c>
      <c r="B362" s="5"/>
      <c r="C362" s="5" t="s">
        <v>17</v>
      </c>
      <c r="D362" s="5"/>
      <c r="E362" s="5"/>
      <c r="F362" s="5"/>
      <c r="G362" s="5"/>
      <c r="H362" s="5"/>
      <c r="I362" s="5"/>
      <c r="J362" s="5"/>
      <c r="K362" s="5"/>
      <c r="L362" s="5" t="s">
        <v>26</v>
      </c>
      <c r="M362" s="5" t="s">
        <v>27</v>
      </c>
      <c r="N362" s="5"/>
      <c r="O362" s="5"/>
      <c r="P362" s="5"/>
      <c r="Q362" s="5" t="s">
        <v>17</v>
      </c>
      <c r="R362" s="5" t="s">
        <v>18</v>
      </c>
      <c r="S362" s="5"/>
      <c r="T362" s="5"/>
      <c r="U362" s="5"/>
      <c r="V362" s="5"/>
      <c r="W362" s="5"/>
      <c r="X362" s="5"/>
      <c r="Y362" s="5"/>
      <c r="Z362" s="5"/>
      <c r="AA362" s="5" t="s">
        <v>27</v>
      </c>
      <c r="AB362" s="5"/>
      <c r="AC362" s="5"/>
      <c r="AD362" s="5"/>
      <c r="AE362" s="5"/>
      <c r="AF362" s="5"/>
      <c r="AG362" s="5"/>
      <c r="AH362" s="5"/>
      <c r="AI362" s="5" t="s">
        <v>34</v>
      </c>
      <c r="AJ362" s="5"/>
      <c r="AK362" s="5"/>
      <c r="AL362" s="5"/>
      <c r="AM362" s="5"/>
      <c r="AN362" s="5"/>
      <c r="AO362" s="5" t="s">
        <v>38</v>
      </c>
      <c r="AP362" s="5"/>
      <c r="AQ362" s="5"/>
      <c r="AR362" s="5"/>
      <c r="AS362" s="5"/>
      <c r="AT362" s="5"/>
      <c r="AU362" s="5" t="s">
        <v>43</v>
      </c>
      <c r="AV362" s="5"/>
      <c r="AW362" s="5"/>
      <c r="AX362" s="5"/>
      <c r="AY362" s="5"/>
      <c r="AZ362" s="5"/>
      <c r="BA362" s="5"/>
      <c r="BB362" s="5"/>
      <c r="BC362" s="5"/>
      <c r="BD362" s="5"/>
      <c r="BE362" s="5" t="s">
        <v>17</v>
      </c>
      <c r="BF362" s="5"/>
      <c r="BG362" s="5" t="s">
        <v>53</v>
      </c>
      <c r="BH362" s="5"/>
      <c r="BI362" s="5"/>
      <c r="BJ362" s="5"/>
      <c r="BK362" s="5"/>
      <c r="BL362" s="5"/>
      <c r="BM362" s="5"/>
      <c r="BN362" s="5"/>
      <c r="BO362" s="5"/>
      <c r="BP362" s="5"/>
      <c r="BQ362" s="5"/>
      <c r="BR362" s="5"/>
      <c r="BS362" s="5"/>
      <c r="BT362" s="5"/>
      <c r="BU362" s="5"/>
      <c r="BV362" s="5"/>
      <c r="BW362" s="5"/>
      <c r="BX362" s="5"/>
      <c r="BY362" s="5"/>
      <c r="BZ362" s="5" t="s">
        <v>69</v>
      </c>
      <c r="CA362" s="5"/>
      <c r="CB362" s="5"/>
      <c r="CC362" s="5"/>
      <c r="CD362" s="5"/>
      <c r="CE362" s="5"/>
      <c r="CF362" s="5" t="s">
        <v>75</v>
      </c>
      <c r="CG362" s="5"/>
      <c r="CH362" s="5"/>
      <c r="CI362" s="5" t="s">
        <v>417</v>
      </c>
      <c r="CJ362" s="5"/>
      <c r="CK362" s="5" t="s">
        <v>141</v>
      </c>
      <c r="CL362" s="5" t="s">
        <v>157</v>
      </c>
      <c r="CM362" s="103" t="s">
        <v>418</v>
      </c>
      <c r="CN362" s="5" t="s">
        <v>416</v>
      </c>
      <c r="CO362" s="103" t="s">
        <v>82</v>
      </c>
      <c r="CP362" s="5" t="s">
        <v>94</v>
      </c>
      <c r="CQ362" s="5" t="s">
        <v>84</v>
      </c>
      <c r="CR362" s="103" t="s">
        <v>99</v>
      </c>
      <c r="CS362" s="103" t="s">
        <v>86</v>
      </c>
      <c r="CT362" s="5" t="s">
        <v>386</v>
      </c>
      <c r="CU362" s="5" t="s">
        <v>86</v>
      </c>
      <c r="CV362" s="5"/>
      <c r="CW362" s="5"/>
      <c r="CX362" s="5"/>
      <c r="CY362" s="5"/>
      <c r="CZ362" s="5"/>
      <c r="DA362" s="5"/>
    </row>
    <row r="363" spans="1:105">
      <c r="A363" s="5">
        <v>114098444126</v>
      </c>
      <c r="B363" s="5"/>
      <c r="C363" s="5"/>
      <c r="D363" s="5"/>
      <c r="E363" s="5"/>
      <c r="F363" s="5"/>
      <c r="G363" s="5"/>
      <c r="H363" s="5"/>
      <c r="I363" s="5"/>
      <c r="J363" s="5" t="s">
        <v>24</v>
      </c>
      <c r="K363" s="5" t="s">
        <v>25</v>
      </c>
      <c r="L363" s="5" t="s">
        <v>26</v>
      </c>
      <c r="M363" s="5"/>
      <c r="N363" s="5"/>
      <c r="O363" s="5"/>
      <c r="P363" s="5"/>
      <c r="Q363" s="5"/>
      <c r="R363" s="5"/>
      <c r="S363" s="5" t="s">
        <v>19</v>
      </c>
      <c r="T363" s="5"/>
      <c r="U363" s="5"/>
      <c r="V363" s="5"/>
      <c r="W363" s="5"/>
      <c r="X363" s="5"/>
      <c r="Y363" s="5"/>
      <c r="Z363" s="5"/>
      <c r="AA363" s="5"/>
      <c r="AB363" s="5"/>
      <c r="AC363" s="5"/>
      <c r="AD363" s="5"/>
      <c r="AE363" s="5"/>
      <c r="AF363" s="5"/>
      <c r="AG363" s="5"/>
      <c r="AH363" s="5"/>
      <c r="AI363" s="5"/>
      <c r="AJ363" s="5"/>
      <c r="AK363" s="5"/>
      <c r="AL363" s="5"/>
      <c r="AM363" s="5"/>
      <c r="AN363" s="5"/>
      <c r="AO363" s="5"/>
      <c r="AP363" s="5" t="s">
        <v>39</v>
      </c>
      <c r="AQ363" s="5"/>
      <c r="AR363" s="5" t="s">
        <v>41</v>
      </c>
      <c r="AS363" s="5"/>
      <c r="AT363" s="5" t="s">
        <v>37</v>
      </c>
      <c r="AU363" s="5"/>
      <c r="AV363" s="5"/>
      <c r="AW363" s="5"/>
      <c r="AX363" s="5"/>
      <c r="AY363" s="5"/>
      <c r="AZ363" s="5"/>
      <c r="BA363" s="5"/>
      <c r="BB363" s="5"/>
      <c r="BC363" s="5"/>
      <c r="BD363" s="5" t="s">
        <v>51</v>
      </c>
      <c r="BE363" s="5"/>
      <c r="BF363" s="5"/>
      <c r="BG363" s="5"/>
      <c r="BH363" s="5"/>
      <c r="BI363" s="5"/>
      <c r="BJ363" s="5"/>
      <c r="BK363" s="5"/>
      <c r="BL363" s="5"/>
      <c r="BM363" s="5"/>
      <c r="BN363" s="5" t="s">
        <v>24</v>
      </c>
      <c r="BO363" s="5"/>
      <c r="BP363" s="5" t="s">
        <v>60</v>
      </c>
      <c r="BQ363" s="5"/>
      <c r="BR363" s="5"/>
      <c r="BS363" s="5"/>
      <c r="BT363" s="5"/>
      <c r="BU363" s="5" t="s">
        <v>64</v>
      </c>
      <c r="BV363" s="5"/>
      <c r="BW363" s="5"/>
      <c r="BX363" s="5"/>
      <c r="BY363" s="5"/>
      <c r="BZ363" s="5"/>
      <c r="CA363" s="5" t="s">
        <v>70</v>
      </c>
      <c r="CB363" s="5"/>
      <c r="CC363" s="5" t="s">
        <v>72</v>
      </c>
      <c r="CD363" s="5"/>
      <c r="CE363" s="5"/>
      <c r="CF363" s="5"/>
      <c r="CG363" s="5"/>
      <c r="CH363" s="5"/>
      <c r="CI363" s="5" t="s">
        <v>417</v>
      </c>
      <c r="CJ363" s="5"/>
      <c r="CK363" s="5" t="s">
        <v>80</v>
      </c>
      <c r="CL363" s="5" t="s">
        <v>117</v>
      </c>
      <c r="CM363" s="103" t="s">
        <v>418</v>
      </c>
      <c r="CN363" s="5" t="s">
        <v>416</v>
      </c>
      <c r="CO363" s="103" t="s">
        <v>82</v>
      </c>
      <c r="CP363" s="5" t="s">
        <v>83</v>
      </c>
      <c r="CQ363" s="5" t="s">
        <v>84</v>
      </c>
      <c r="CR363" s="103" t="s">
        <v>85</v>
      </c>
      <c r="CS363" s="103" t="s">
        <v>86</v>
      </c>
      <c r="CT363" s="5" t="s">
        <v>384</v>
      </c>
      <c r="CU363" s="5" t="s">
        <v>86</v>
      </c>
      <c r="CV363" s="5"/>
      <c r="CW363" s="5"/>
      <c r="CX363" s="5"/>
      <c r="CY363" s="5"/>
      <c r="CZ363" s="5"/>
      <c r="DA363" s="5"/>
    </row>
    <row r="364" spans="1:105">
      <c r="A364" s="5">
        <v>114097859158</v>
      </c>
      <c r="B364" s="5"/>
      <c r="C364" s="5"/>
      <c r="D364" s="5"/>
      <c r="E364" s="5"/>
      <c r="F364" s="5"/>
      <c r="G364" s="5" t="s">
        <v>21</v>
      </c>
      <c r="H364" s="5"/>
      <c r="I364" s="5"/>
      <c r="J364" s="5"/>
      <c r="K364" s="5"/>
      <c r="L364" s="5" t="s">
        <v>26</v>
      </c>
      <c r="M364" s="5"/>
      <c r="N364" s="5" t="s">
        <v>28</v>
      </c>
      <c r="O364" s="5"/>
      <c r="P364" s="5"/>
      <c r="Q364" s="5"/>
      <c r="R364" s="5"/>
      <c r="S364" s="5" t="s">
        <v>19</v>
      </c>
      <c r="T364" s="5"/>
      <c r="U364" s="5"/>
      <c r="V364" s="5"/>
      <c r="W364" s="5"/>
      <c r="X364" s="5"/>
      <c r="Y364" s="5" t="s">
        <v>25</v>
      </c>
      <c r="Z364" s="5"/>
      <c r="AA364" s="5"/>
      <c r="AB364" s="5" t="s">
        <v>28</v>
      </c>
      <c r="AC364" s="5"/>
      <c r="AD364" s="5"/>
      <c r="AE364" s="5"/>
      <c r="AF364" s="5"/>
      <c r="AG364" s="5"/>
      <c r="AH364" s="5"/>
      <c r="AI364" s="5" t="s">
        <v>34</v>
      </c>
      <c r="AJ364" s="5"/>
      <c r="AK364" s="5"/>
      <c r="AL364" s="5"/>
      <c r="AM364" s="5"/>
      <c r="AN364" s="5"/>
      <c r="AO364" s="5"/>
      <c r="AP364" s="5"/>
      <c r="AQ364" s="5"/>
      <c r="AR364" s="5"/>
      <c r="AS364" s="5"/>
      <c r="AT364" s="5"/>
      <c r="AU364" s="5" t="s">
        <v>43</v>
      </c>
      <c r="AV364" s="5"/>
      <c r="AW364" s="5" t="s">
        <v>45</v>
      </c>
      <c r="AX364" s="5"/>
      <c r="AY364" s="5" t="s">
        <v>47</v>
      </c>
      <c r="AZ364" s="5"/>
      <c r="BA364" s="5"/>
      <c r="BB364" s="5"/>
      <c r="BC364" s="5"/>
      <c r="BD364" s="5"/>
      <c r="BE364" s="5"/>
      <c r="BF364" s="5"/>
      <c r="BG364" s="5" t="s">
        <v>53</v>
      </c>
      <c r="BH364" s="5"/>
      <c r="BI364" s="5" t="s">
        <v>55</v>
      </c>
      <c r="BJ364" s="5"/>
      <c r="BK364" s="5"/>
      <c r="BL364" s="5"/>
      <c r="BM364" s="5"/>
      <c r="BN364" s="5"/>
      <c r="BO364" s="5"/>
      <c r="BP364" s="5"/>
      <c r="BQ364" s="5"/>
      <c r="BR364" s="5"/>
      <c r="BS364" s="5"/>
      <c r="BT364" s="5"/>
      <c r="BU364" s="5" t="s">
        <v>64</v>
      </c>
      <c r="BV364" s="5"/>
      <c r="BW364" s="5"/>
      <c r="BX364" s="5"/>
      <c r="BY364" s="5" t="s">
        <v>68</v>
      </c>
      <c r="BZ364" s="5" t="s">
        <v>69</v>
      </c>
      <c r="CA364" s="5"/>
      <c r="CB364" s="5"/>
      <c r="CC364" s="5"/>
      <c r="CD364" s="5"/>
      <c r="CE364" s="5"/>
      <c r="CF364" s="5"/>
      <c r="CG364" s="5"/>
      <c r="CH364" s="5"/>
      <c r="CI364" s="5" t="s">
        <v>417</v>
      </c>
      <c r="CJ364" s="5"/>
      <c r="CK364" s="5" t="s">
        <v>141</v>
      </c>
      <c r="CL364" s="5" t="s">
        <v>148</v>
      </c>
      <c r="CM364" s="103" t="s">
        <v>418</v>
      </c>
      <c r="CN364" s="5" t="s">
        <v>416</v>
      </c>
      <c r="CO364" s="103" t="s">
        <v>82</v>
      </c>
      <c r="CP364" s="5"/>
      <c r="CQ364" s="5" t="s">
        <v>95</v>
      </c>
      <c r="CR364" s="103" t="s">
        <v>99</v>
      </c>
      <c r="CS364" s="103" t="s">
        <v>86</v>
      </c>
      <c r="CT364" s="5" t="s">
        <v>385</v>
      </c>
      <c r="CU364" s="5" t="s">
        <v>86</v>
      </c>
      <c r="CV364" s="5"/>
      <c r="CW364" s="5"/>
      <c r="CX364" s="5"/>
      <c r="CY364" s="5"/>
      <c r="CZ364" s="5"/>
      <c r="DA364" s="5"/>
    </row>
    <row r="365" spans="1:105">
      <c r="A365" s="5">
        <v>114097590747</v>
      </c>
      <c r="B365" s="5"/>
      <c r="C365" s="5" t="s">
        <v>17</v>
      </c>
      <c r="D365" s="5"/>
      <c r="E365" s="5"/>
      <c r="F365" s="5"/>
      <c r="G365" s="5"/>
      <c r="H365" s="5"/>
      <c r="I365" s="5"/>
      <c r="J365" s="5"/>
      <c r="K365" s="5" t="s">
        <v>25</v>
      </c>
      <c r="L365" s="5" t="s">
        <v>26</v>
      </c>
      <c r="M365" s="5"/>
      <c r="N365" s="5"/>
      <c r="O365" s="5"/>
      <c r="P365" s="5"/>
      <c r="Q365" s="5"/>
      <c r="R365" s="5"/>
      <c r="S365" s="5" t="s">
        <v>19</v>
      </c>
      <c r="T365" s="5"/>
      <c r="U365" s="5"/>
      <c r="V365" s="5" t="s">
        <v>22</v>
      </c>
      <c r="W365" s="5"/>
      <c r="X365" s="5"/>
      <c r="Y365" s="5"/>
      <c r="Z365" s="5"/>
      <c r="AA365" s="5"/>
      <c r="AB365" s="5"/>
      <c r="AC365" s="5"/>
      <c r="AD365" s="5"/>
      <c r="AE365" s="5"/>
      <c r="AF365" s="5"/>
      <c r="AG365" s="5"/>
      <c r="AH365" s="5"/>
      <c r="AI365" s="5" t="s">
        <v>34</v>
      </c>
      <c r="AJ365" s="5"/>
      <c r="AK365" s="5"/>
      <c r="AL365" s="5"/>
      <c r="AM365" s="5"/>
      <c r="AN365" s="5"/>
      <c r="AO365" s="5"/>
      <c r="AP365" s="5" t="s">
        <v>39</v>
      </c>
      <c r="AQ365" s="5"/>
      <c r="AR365" s="5" t="s">
        <v>41</v>
      </c>
      <c r="AS365" s="5"/>
      <c r="AT365" s="5"/>
      <c r="AU365" s="5"/>
      <c r="AV365" s="5"/>
      <c r="AW365" s="5"/>
      <c r="AX365" s="5"/>
      <c r="AY365" s="5"/>
      <c r="AZ365" s="5"/>
      <c r="BA365" s="5"/>
      <c r="BB365" s="5"/>
      <c r="BC365" s="5"/>
      <c r="BD365" s="5" t="s">
        <v>51</v>
      </c>
      <c r="BE365" s="5"/>
      <c r="BF365" s="5"/>
      <c r="BG365" s="5"/>
      <c r="BH365" s="5"/>
      <c r="BI365" s="5"/>
      <c r="BJ365" s="5"/>
      <c r="BK365" s="5"/>
      <c r="BL365" s="5"/>
      <c r="BM365" s="5"/>
      <c r="BN365" s="5"/>
      <c r="BO365" s="5"/>
      <c r="BP365" s="5"/>
      <c r="BQ365" s="5"/>
      <c r="BR365" s="5"/>
      <c r="BS365" s="5" t="s">
        <v>63</v>
      </c>
      <c r="BT365" s="5"/>
      <c r="BU365" s="5" t="s">
        <v>64</v>
      </c>
      <c r="BV365" s="5"/>
      <c r="BW365" s="5"/>
      <c r="BX365" s="5"/>
      <c r="BY365" s="5"/>
      <c r="BZ365" s="5"/>
      <c r="CA365" s="5"/>
      <c r="CB365" s="5"/>
      <c r="CC365" s="5"/>
      <c r="CD365" s="5"/>
      <c r="CE365" s="5"/>
      <c r="CF365" s="5"/>
      <c r="CG365" s="5"/>
      <c r="CH365" s="5"/>
      <c r="CI365" s="5" t="s">
        <v>417</v>
      </c>
      <c r="CJ365" s="5"/>
      <c r="CK365" s="5" t="s">
        <v>141</v>
      </c>
      <c r="CL365" s="5" t="s">
        <v>163</v>
      </c>
      <c r="CM365" s="103" t="s">
        <v>418</v>
      </c>
      <c r="CN365" s="5" t="s">
        <v>416</v>
      </c>
      <c r="CO365" s="103" t="s">
        <v>82</v>
      </c>
      <c r="CP365" s="5" t="s">
        <v>83</v>
      </c>
      <c r="CQ365" s="5" t="s">
        <v>84</v>
      </c>
      <c r="CR365" s="103" t="s">
        <v>85</v>
      </c>
      <c r="CS365" s="103" t="s">
        <v>86</v>
      </c>
      <c r="CT365" s="5" t="s">
        <v>384</v>
      </c>
      <c r="CU365" s="5" t="s">
        <v>86</v>
      </c>
      <c r="CV365" s="5"/>
      <c r="CW365" s="5"/>
      <c r="CX365" s="5"/>
      <c r="CY365" s="5"/>
      <c r="CZ365" s="5"/>
      <c r="DA365" s="5"/>
    </row>
    <row r="366" spans="1:105">
      <c r="A366" s="5">
        <v>114097326158</v>
      </c>
      <c r="B366" s="5"/>
      <c r="C366" s="5"/>
      <c r="D366" s="5" t="s">
        <v>18</v>
      </c>
      <c r="E366" s="5"/>
      <c r="F366" s="5"/>
      <c r="G366" s="5"/>
      <c r="H366" s="5" t="s">
        <v>22</v>
      </c>
      <c r="I366" s="5"/>
      <c r="J366" s="5"/>
      <c r="K366" s="5"/>
      <c r="L366" s="5"/>
      <c r="M366" s="5"/>
      <c r="N366" s="5"/>
      <c r="O366" s="5"/>
      <c r="P366" s="5"/>
      <c r="Q366" s="5"/>
      <c r="R366" s="5"/>
      <c r="S366" s="5"/>
      <c r="T366" s="5" t="s">
        <v>20</v>
      </c>
      <c r="U366" s="5"/>
      <c r="V366" s="5"/>
      <c r="W366" s="5"/>
      <c r="X366" s="5"/>
      <c r="Y366" s="5"/>
      <c r="Z366" s="5" t="s">
        <v>26</v>
      </c>
      <c r="AA366" s="5"/>
      <c r="AB366" s="5"/>
      <c r="AC366" s="5"/>
      <c r="AD366" s="5"/>
      <c r="AE366" s="5"/>
      <c r="AF366" s="5"/>
      <c r="AG366" s="5" t="s">
        <v>32</v>
      </c>
      <c r="AH366" s="5" t="s">
        <v>33</v>
      </c>
      <c r="AI366" s="5"/>
      <c r="AJ366" s="5"/>
      <c r="AK366" s="5"/>
      <c r="AL366" s="5"/>
      <c r="AM366" s="5" t="s">
        <v>375</v>
      </c>
      <c r="AN366" s="5"/>
      <c r="AO366" s="5"/>
      <c r="AP366" s="5"/>
      <c r="AQ366" s="5"/>
      <c r="AR366" s="5"/>
      <c r="AS366" s="5" t="s">
        <v>42</v>
      </c>
      <c r="AT366" s="5"/>
      <c r="AU366" s="5" t="s">
        <v>43</v>
      </c>
      <c r="AV366" s="5"/>
      <c r="AW366" s="5"/>
      <c r="AX366" s="5"/>
      <c r="AY366" s="5"/>
      <c r="AZ366" s="5"/>
      <c r="BA366" s="5"/>
      <c r="BB366" s="5"/>
      <c r="BC366" s="5"/>
      <c r="BD366" s="5"/>
      <c r="BE366" s="5"/>
      <c r="BF366" s="5"/>
      <c r="BG366" s="5" t="s">
        <v>53</v>
      </c>
      <c r="BH366" s="5" t="s">
        <v>54</v>
      </c>
      <c r="BI366" s="5"/>
      <c r="BJ366" s="5"/>
      <c r="BK366" s="5"/>
      <c r="BL366" s="5"/>
      <c r="BM366" s="5"/>
      <c r="BN366" s="5"/>
      <c r="BO366" s="5"/>
      <c r="BP366" s="5"/>
      <c r="BQ366" s="5"/>
      <c r="BR366" s="5"/>
      <c r="BS366" s="5"/>
      <c r="BT366" s="5"/>
      <c r="BU366" s="5"/>
      <c r="BV366" s="5"/>
      <c r="BW366" s="5"/>
      <c r="BX366" s="5"/>
      <c r="BY366" s="5" t="s">
        <v>68</v>
      </c>
      <c r="BZ366" s="5"/>
      <c r="CA366" s="5" t="s">
        <v>70</v>
      </c>
      <c r="CB366" s="5"/>
      <c r="CC366" s="5"/>
      <c r="CD366" s="5"/>
      <c r="CE366" s="5"/>
      <c r="CF366" s="5"/>
      <c r="CG366" s="5"/>
      <c r="CH366" s="5"/>
      <c r="CI366" s="5" t="s">
        <v>417</v>
      </c>
      <c r="CJ366" s="5"/>
      <c r="CK366" s="5" t="s">
        <v>80</v>
      </c>
      <c r="CL366" s="5" t="s">
        <v>128</v>
      </c>
      <c r="CM366" s="103" t="s">
        <v>436</v>
      </c>
      <c r="CN366" s="5" t="s">
        <v>416</v>
      </c>
      <c r="CO366" s="103" t="s">
        <v>82</v>
      </c>
      <c r="CP366" s="5" t="s">
        <v>94</v>
      </c>
      <c r="CQ366" s="5" t="s">
        <v>102</v>
      </c>
      <c r="CR366" s="103" t="s">
        <v>85</v>
      </c>
      <c r="CT366" s="5" t="s">
        <v>387</v>
      </c>
      <c r="CU366" s="5" t="s">
        <v>86</v>
      </c>
      <c r="CV366" s="5"/>
      <c r="CW366" s="5"/>
      <c r="CX366" s="5"/>
      <c r="CY366" s="5"/>
      <c r="CZ366" s="5"/>
      <c r="DA366" s="5"/>
    </row>
    <row r="367" spans="1:105">
      <c r="A367" s="5">
        <v>114097224144</v>
      </c>
      <c r="B367" s="5"/>
      <c r="C367" s="5" t="s">
        <v>17</v>
      </c>
      <c r="D367" s="5" t="s">
        <v>18</v>
      </c>
      <c r="E367" s="5"/>
      <c r="F367" s="5"/>
      <c r="G367" s="5"/>
      <c r="H367" s="5"/>
      <c r="I367" s="5"/>
      <c r="J367" s="5"/>
      <c r="K367" s="5"/>
      <c r="L367" s="5" t="s">
        <v>26</v>
      </c>
      <c r="M367" s="5"/>
      <c r="N367" s="5"/>
      <c r="O367" s="5"/>
      <c r="P367" s="5"/>
      <c r="Q367" s="5" t="s">
        <v>17</v>
      </c>
      <c r="R367" s="5" t="s">
        <v>18</v>
      </c>
      <c r="S367" s="5"/>
      <c r="T367" s="5"/>
      <c r="U367" s="5"/>
      <c r="V367" s="5"/>
      <c r="W367" s="5"/>
      <c r="X367" s="5"/>
      <c r="Y367" s="5"/>
      <c r="Z367" s="5"/>
      <c r="AA367" s="5"/>
      <c r="AB367" s="5" t="s">
        <v>28</v>
      </c>
      <c r="AC367" s="5"/>
      <c r="AD367" s="5"/>
      <c r="AE367" s="5"/>
      <c r="AF367" s="5"/>
      <c r="AG367" s="5"/>
      <c r="AH367" s="5"/>
      <c r="AI367" s="5"/>
      <c r="AJ367" s="5"/>
      <c r="AK367" s="5"/>
      <c r="AL367" s="5"/>
      <c r="AM367" s="5"/>
      <c r="AN367" s="5"/>
      <c r="AO367" s="5"/>
      <c r="AP367" s="5"/>
      <c r="AQ367" s="5"/>
      <c r="AR367" s="5" t="s">
        <v>41</v>
      </c>
      <c r="AS367" s="5"/>
      <c r="AT367" s="5"/>
      <c r="AU367" s="5" t="s">
        <v>43</v>
      </c>
      <c r="AV367" s="5"/>
      <c r="AW367" s="5" t="s">
        <v>45</v>
      </c>
      <c r="AX367" s="5"/>
      <c r="AY367" s="5"/>
      <c r="AZ367" s="5"/>
      <c r="BA367" s="5"/>
      <c r="BB367" s="5"/>
      <c r="BC367" s="5"/>
      <c r="BD367" s="5"/>
      <c r="BE367" s="5" t="s">
        <v>17</v>
      </c>
      <c r="BF367" s="5"/>
      <c r="BG367" s="5"/>
      <c r="BH367" s="5"/>
      <c r="BI367" s="5" t="s">
        <v>55</v>
      </c>
      <c r="BJ367" s="5"/>
      <c r="BK367" s="5"/>
      <c r="BL367" s="5" t="s">
        <v>58</v>
      </c>
      <c r="BM367" s="5"/>
      <c r="BN367" s="5"/>
      <c r="BO367" s="5"/>
      <c r="BP367" s="5"/>
      <c r="BQ367" s="5"/>
      <c r="BR367" s="5"/>
      <c r="BS367" s="5"/>
      <c r="BT367" s="5"/>
      <c r="BU367" s="5" t="s">
        <v>64</v>
      </c>
      <c r="BV367" s="5"/>
      <c r="BW367" s="5"/>
      <c r="BX367" s="5" t="s">
        <v>67</v>
      </c>
      <c r="BY367" s="5"/>
      <c r="BZ367" s="5" t="s">
        <v>69</v>
      </c>
      <c r="CA367" s="5"/>
      <c r="CB367" s="5"/>
      <c r="CC367" s="5"/>
      <c r="CD367" s="5"/>
      <c r="CE367" s="5"/>
      <c r="CF367" s="5" t="s">
        <v>75</v>
      </c>
      <c r="CG367" s="5"/>
      <c r="CH367" s="5"/>
      <c r="CI367" s="5" t="s">
        <v>417</v>
      </c>
      <c r="CJ367" s="5"/>
      <c r="CK367" s="5" t="s">
        <v>141</v>
      </c>
      <c r="CL367" s="5" t="s">
        <v>165</v>
      </c>
      <c r="CM367" s="103" t="s">
        <v>418</v>
      </c>
      <c r="CN367" s="5" t="s">
        <v>416</v>
      </c>
      <c r="CO367" s="103" t="s">
        <v>82</v>
      </c>
      <c r="CP367" s="5" t="s">
        <v>94</v>
      </c>
      <c r="CQ367" s="5" t="s">
        <v>95</v>
      </c>
      <c r="CR367" s="103" t="s">
        <v>99</v>
      </c>
      <c r="CS367" s="103" t="s">
        <v>86</v>
      </c>
      <c r="CT367" s="5" t="s">
        <v>386</v>
      </c>
      <c r="CU367" s="5" t="s">
        <v>86</v>
      </c>
      <c r="CV367" s="5"/>
      <c r="CW367" s="5"/>
      <c r="CX367" s="5"/>
      <c r="CY367" s="5"/>
      <c r="CZ367" s="5"/>
      <c r="DA367" s="5"/>
    </row>
    <row r="368" spans="1:105">
      <c r="A368" s="5">
        <v>114097096005</v>
      </c>
      <c r="B368" s="5"/>
      <c r="C368" s="5" t="s">
        <v>17</v>
      </c>
      <c r="D368" s="5"/>
      <c r="E368" s="5"/>
      <c r="F368" s="5"/>
      <c r="G368" s="5" t="s">
        <v>21</v>
      </c>
      <c r="H368" s="5"/>
      <c r="I368" s="5"/>
      <c r="J368" s="5"/>
      <c r="K368" s="5"/>
      <c r="L368" s="5"/>
      <c r="M368" s="5"/>
      <c r="N368" s="5" t="s">
        <v>28</v>
      </c>
      <c r="O368" s="5"/>
      <c r="P368" s="5"/>
      <c r="Q368" s="5" t="s">
        <v>17</v>
      </c>
      <c r="R368" s="5"/>
      <c r="S368" s="5"/>
      <c r="T368" s="5"/>
      <c r="U368" s="5" t="s">
        <v>21</v>
      </c>
      <c r="V368" s="5"/>
      <c r="W368" s="5"/>
      <c r="X368" s="5"/>
      <c r="Y368" s="5"/>
      <c r="Z368" s="5"/>
      <c r="AA368" s="5"/>
      <c r="AB368" s="5"/>
      <c r="AC368" s="5"/>
      <c r="AD368" s="5"/>
      <c r="AE368" s="5"/>
      <c r="AF368" s="5"/>
      <c r="AG368" s="5"/>
      <c r="AH368" s="5"/>
      <c r="AI368" s="5" t="s">
        <v>34</v>
      </c>
      <c r="AJ368" s="5"/>
      <c r="AK368" s="5"/>
      <c r="AL368" s="5"/>
      <c r="AM368" s="5"/>
      <c r="AN368" s="5"/>
      <c r="AO368" s="5" t="s">
        <v>38</v>
      </c>
      <c r="AP368" s="5"/>
      <c r="AQ368" s="5"/>
      <c r="AR368" s="5"/>
      <c r="AS368" s="5"/>
      <c r="AT368" s="5"/>
      <c r="AU368" s="5"/>
      <c r="AV368" s="5"/>
      <c r="AW368" s="5"/>
      <c r="AX368" s="5"/>
      <c r="AY368" s="5"/>
      <c r="AZ368" s="5"/>
      <c r="BA368" s="5"/>
      <c r="BB368" s="5"/>
      <c r="BC368" s="5"/>
      <c r="BD368" s="5"/>
      <c r="BE368" s="5" t="s">
        <v>17</v>
      </c>
      <c r="BF368" s="5" t="s">
        <v>52</v>
      </c>
      <c r="BG368" s="5"/>
      <c r="BH368" s="5"/>
      <c r="BI368" s="5"/>
      <c r="BJ368" s="5"/>
      <c r="BK368" s="5"/>
      <c r="BL368" s="5" t="s">
        <v>58</v>
      </c>
      <c r="BM368" s="5"/>
      <c r="BN368" s="5"/>
      <c r="BO368" s="5"/>
      <c r="BP368" s="5" t="s">
        <v>60</v>
      </c>
      <c r="BQ368" s="5"/>
      <c r="BR368" s="5"/>
      <c r="BS368" s="5"/>
      <c r="BT368" s="5"/>
      <c r="BU368" s="5" t="s">
        <v>64</v>
      </c>
      <c r="BV368" s="5"/>
      <c r="BW368" s="5"/>
      <c r="BX368" s="5"/>
      <c r="BY368" s="5" t="s">
        <v>68</v>
      </c>
      <c r="BZ368" s="5"/>
      <c r="CA368" s="5"/>
      <c r="CB368" s="5"/>
      <c r="CC368" s="5"/>
      <c r="CD368" s="5"/>
      <c r="CE368" s="5"/>
      <c r="CF368" s="5" t="s">
        <v>75</v>
      </c>
      <c r="CG368" s="5"/>
      <c r="CH368" s="5"/>
      <c r="CI368" s="5" t="s">
        <v>414</v>
      </c>
      <c r="CJ368" s="5"/>
      <c r="CK368" s="5" t="s">
        <v>141</v>
      </c>
      <c r="CL368" s="5" t="s">
        <v>148</v>
      </c>
      <c r="CM368" s="103" t="s">
        <v>418</v>
      </c>
      <c r="CN368" s="5" t="s">
        <v>416</v>
      </c>
      <c r="CO368" s="103" t="s">
        <v>82</v>
      </c>
      <c r="CP368" s="5" t="s">
        <v>83</v>
      </c>
      <c r="CQ368" s="5" t="s">
        <v>84</v>
      </c>
      <c r="CR368" s="103" t="s">
        <v>99</v>
      </c>
      <c r="CS368" s="103" t="s">
        <v>86</v>
      </c>
      <c r="CT368" s="5" t="s">
        <v>386</v>
      </c>
      <c r="CU368" s="5" t="s">
        <v>86</v>
      </c>
      <c r="CV368" s="5"/>
      <c r="CW368" s="5"/>
      <c r="CX368" s="5"/>
      <c r="CY368" s="5"/>
      <c r="CZ368" s="5"/>
      <c r="DA368" s="5"/>
    </row>
    <row r="369" spans="1:105">
      <c r="A369" s="5">
        <v>114097086259</v>
      </c>
      <c r="B369" s="5"/>
      <c r="C369" s="5" t="s">
        <v>17</v>
      </c>
      <c r="D369" s="5" t="s">
        <v>18</v>
      </c>
      <c r="E369" s="5"/>
      <c r="F369" s="5"/>
      <c r="G369" s="5"/>
      <c r="H369" s="5"/>
      <c r="I369" s="5" t="s">
        <v>23</v>
      </c>
      <c r="J369" s="5"/>
      <c r="K369" s="5"/>
      <c r="L369" s="5"/>
      <c r="M369" s="5"/>
      <c r="N369" s="5"/>
      <c r="O369" s="5"/>
      <c r="P369" s="5" t="s">
        <v>16</v>
      </c>
      <c r="Q369" s="5"/>
      <c r="R369" s="5"/>
      <c r="S369" s="5"/>
      <c r="T369" s="5"/>
      <c r="U369" s="5"/>
      <c r="V369" s="5"/>
      <c r="W369" s="5"/>
      <c r="X369" s="5" t="s">
        <v>24</v>
      </c>
      <c r="Y369" s="5"/>
      <c r="Z369" s="5"/>
      <c r="AA369" s="5"/>
      <c r="AB369" s="5" t="s">
        <v>28</v>
      </c>
      <c r="AC369" s="5"/>
      <c r="AD369" s="5"/>
      <c r="AE369" s="5"/>
      <c r="AF369" s="5"/>
      <c r="AG369" s="5"/>
      <c r="AH369" s="5"/>
      <c r="AI369" s="5" t="s">
        <v>34</v>
      </c>
      <c r="AJ369" s="5"/>
      <c r="AK369" s="5"/>
      <c r="AL369" s="5"/>
      <c r="AM369" s="5"/>
      <c r="AN369" s="5"/>
      <c r="AO369" s="5"/>
      <c r="AP369" s="5"/>
      <c r="AQ369" s="5"/>
      <c r="AR369" s="5"/>
      <c r="AS369" s="5" t="s">
        <v>42</v>
      </c>
      <c r="AT369" s="5"/>
      <c r="AU369" s="5"/>
      <c r="AV369" s="5"/>
      <c r="AW369" s="5" t="s">
        <v>45</v>
      </c>
      <c r="AX369" s="5"/>
      <c r="AY369" s="5" t="s">
        <v>47</v>
      </c>
      <c r="AZ369" s="5"/>
      <c r="BA369" s="5"/>
      <c r="BB369" s="5"/>
      <c r="BC369" s="5"/>
      <c r="BD369" s="5"/>
      <c r="BE369" s="5"/>
      <c r="BF369" s="5"/>
      <c r="BG369" s="5"/>
      <c r="BH369" s="5"/>
      <c r="BI369" s="5"/>
      <c r="BJ369" s="5"/>
      <c r="BK369" s="5"/>
      <c r="BL369" s="5"/>
      <c r="BM369" s="5"/>
      <c r="BN369" s="5"/>
      <c r="BO369" s="5"/>
      <c r="BP369" s="5"/>
      <c r="BQ369" s="5"/>
      <c r="BR369" s="5"/>
      <c r="BS369" s="5"/>
      <c r="BT369" s="5"/>
      <c r="BU369" s="5" t="s">
        <v>64</v>
      </c>
      <c r="BV369" s="5"/>
      <c r="BW369" s="5"/>
      <c r="BX369" s="5"/>
      <c r="BY369" s="5"/>
      <c r="BZ369" s="5"/>
      <c r="CA369" s="5"/>
      <c r="CB369" s="5"/>
      <c r="CC369" s="5" t="s">
        <v>72</v>
      </c>
      <c r="CD369" s="5"/>
      <c r="CE369" s="5"/>
      <c r="CF369" s="5"/>
      <c r="CG369" s="5"/>
      <c r="CH369" s="5"/>
      <c r="CI369" s="5" t="s">
        <v>417</v>
      </c>
      <c r="CJ369" s="5"/>
      <c r="CK369" s="5" t="s">
        <v>80</v>
      </c>
      <c r="CL369" s="5" t="s">
        <v>121</v>
      </c>
      <c r="CM369" s="103" t="s">
        <v>418</v>
      </c>
      <c r="CN369" s="5" t="s">
        <v>416</v>
      </c>
      <c r="CO369" s="103" t="s">
        <v>82</v>
      </c>
      <c r="CP369" s="5" t="s">
        <v>93</v>
      </c>
      <c r="CQ369" s="5" t="s">
        <v>88</v>
      </c>
      <c r="CR369" s="103" t="s">
        <v>85</v>
      </c>
      <c r="CS369" s="103" t="s">
        <v>86</v>
      </c>
      <c r="CT369" s="5" t="s">
        <v>386</v>
      </c>
      <c r="CU369" s="5" t="s">
        <v>86</v>
      </c>
      <c r="CV369" s="5"/>
      <c r="CW369" s="5"/>
      <c r="CX369" s="5"/>
      <c r="CY369" s="5"/>
      <c r="CZ369" s="5"/>
      <c r="DA369" s="5"/>
    </row>
    <row r="370" spans="1:105">
      <c r="A370" s="5">
        <v>114096895942</v>
      </c>
      <c r="B370" s="5"/>
      <c r="C370" s="5"/>
      <c r="D370" s="5"/>
      <c r="E370" s="5" t="s">
        <v>19</v>
      </c>
      <c r="F370" s="5"/>
      <c r="G370" s="5"/>
      <c r="H370" s="5"/>
      <c r="I370" s="5"/>
      <c r="J370" s="5"/>
      <c r="K370" s="5" t="s">
        <v>25</v>
      </c>
      <c r="L370" s="5" t="s">
        <v>26</v>
      </c>
      <c r="M370" s="5"/>
      <c r="N370" s="5"/>
      <c r="O370" s="5"/>
      <c r="P370" s="5" t="s">
        <v>16</v>
      </c>
      <c r="Q370" s="5"/>
      <c r="R370" s="5"/>
      <c r="S370" s="5"/>
      <c r="T370" s="5"/>
      <c r="U370" s="5"/>
      <c r="V370" s="5"/>
      <c r="W370" s="5" t="s">
        <v>23</v>
      </c>
      <c r="X370" s="5"/>
      <c r="Y370" s="5"/>
      <c r="Z370" s="5"/>
      <c r="AA370" s="5"/>
      <c r="AB370" s="5" t="s">
        <v>28</v>
      </c>
      <c r="AC370" s="5"/>
      <c r="AD370" s="5"/>
      <c r="AE370" s="5"/>
      <c r="AF370" s="5"/>
      <c r="AG370" s="5"/>
      <c r="AH370" s="5"/>
      <c r="AI370" s="5" t="s">
        <v>34</v>
      </c>
      <c r="AJ370" s="5"/>
      <c r="AK370" s="5"/>
      <c r="AL370" s="5"/>
      <c r="AM370" s="5"/>
      <c r="AN370" s="5"/>
      <c r="AO370" s="5" t="s">
        <v>38</v>
      </c>
      <c r="AP370" s="5" t="s">
        <v>39</v>
      </c>
      <c r="AQ370" s="5" t="s">
        <v>40</v>
      </c>
      <c r="AR370" s="5" t="s">
        <v>41</v>
      </c>
      <c r="AS370" s="5"/>
      <c r="AT370" s="5"/>
      <c r="AU370" s="5" t="s">
        <v>43</v>
      </c>
      <c r="AV370" s="5"/>
      <c r="AW370" s="5" t="s">
        <v>45</v>
      </c>
      <c r="AX370" s="5" t="s">
        <v>46</v>
      </c>
      <c r="AY370" s="5" t="s">
        <v>47</v>
      </c>
      <c r="AZ370" s="5" t="s">
        <v>48</v>
      </c>
      <c r="BA370" s="5"/>
      <c r="BB370" s="5" t="s">
        <v>49</v>
      </c>
      <c r="BC370" s="5"/>
      <c r="BD370" s="5" t="s">
        <v>51</v>
      </c>
      <c r="BE370" s="5"/>
      <c r="BF370" s="5"/>
      <c r="BG370" s="5" t="s">
        <v>53</v>
      </c>
      <c r="BH370" s="5"/>
      <c r="BI370" s="5" t="s">
        <v>55</v>
      </c>
      <c r="BJ370" s="5" t="s">
        <v>56</v>
      </c>
      <c r="BK370" s="5" t="s">
        <v>57</v>
      </c>
      <c r="BL370" s="5"/>
      <c r="BM370" s="5" t="s">
        <v>59</v>
      </c>
      <c r="BN370" s="5"/>
      <c r="BO370" s="5"/>
      <c r="BP370" s="5"/>
      <c r="BQ370" s="5"/>
      <c r="BR370" s="5" t="s">
        <v>62</v>
      </c>
      <c r="BS370" s="5" t="s">
        <v>63</v>
      </c>
      <c r="BT370" s="5"/>
      <c r="BU370" s="5" t="s">
        <v>64</v>
      </c>
      <c r="BV370" s="5"/>
      <c r="BW370" s="5"/>
      <c r="BX370" s="5"/>
      <c r="BY370" s="5"/>
      <c r="BZ370" s="5"/>
      <c r="CA370" s="5"/>
      <c r="CB370" s="5"/>
      <c r="CC370" s="5"/>
      <c r="CD370" s="5" t="s">
        <v>73</v>
      </c>
      <c r="CE370" s="5"/>
      <c r="CF370" s="5"/>
      <c r="CG370" s="5"/>
      <c r="CH370" s="5"/>
      <c r="CI370" s="5" t="s">
        <v>417</v>
      </c>
      <c r="CJ370" s="5"/>
      <c r="CK370" s="5" t="s">
        <v>141</v>
      </c>
      <c r="CL370" s="5" t="s">
        <v>183</v>
      </c>
      <c r="CM370" s="103" t="s">
        <v>418</v>
      </c>
      <c r="CN370" s="5" t="s">
        <v>416</v>
      </c>
      <c r="CO370" s="103" t="s">
        <v>82</v>
      </c>
      <c r="CP370" s="5" t="s">
        <v>97</v>
      </c>
      <c r="CQ370" s="5" t="s">
        <v>88</v>
      </c>
      <c r="CR370" s="103" t="s">
        <v>85</v>
      </c>
      <c r="CS370" s="103" t="s">
        <v>86</v>
      </c>
      <c r="CT370" s="5" t="s">
        <v>384</v>
      </c>
      <c r="CU370" s="5" t="s">
        <v>86</v>
      </c>
      <c r="CV370" s="5"/>
      <c r="CW370" s="5"/>
      <c r="CX370" s="5"/>
      <c r="CY370" s="5"/>
      <c r="CZ370" s="5"/>
      <c r="DA370" s="5"/>
    </row>
    <row r="371" spans="1:105">
      <c r="A371" s="5">
        <v>114096869874</v>
      </c>
      <c r="B371" s="5"/>
      <c r="C371" s="5" t="s">
        <v>17</v>
      </c>
      <c r="D371" s="5" t="s">
        <v>18</v>
      </c>
      <c r="E371" s="5"/>
      <c r="F371" s="5"/>
      <c r="G371" s="5"/>
      <c r="H371" s="5"/>
      <c r="I371" s="5"/>
      <c r="J371" s="5"/>
      <c r="K371" s="5"/>
      <c r="L371" s="5" t="s">
        <v>26</v>
      </c>
      <c r="M371" s="5"/>
      <c r="N371" s="5"/>
      <c r="O371" s="5"/>
      <c r="P371" s="5"/>
      <c r="Q371" s="5" t="s">
        <v>17</v>
      </c>
      <c r="R371" s="5" t="s">
        <v>18</v>
      </c>
      <c r="S371" s="5"/>
      <c r="T371" s="5"/>
      <c r="U371" s="5"/>
      <c r="V371" s="5"/>
      <c r="W371" s="5" t="s">
        <v>23</v>
      </c>
      <c r="X371" s="5"/>
      <c r="Y371" s="5"/>
      <c r="Z371" s="5"/>
      <c r="AA371" s="5"/>
      <c r="AB371" s="5"/>
      <c r="AC371" s="5"/>
      <c r="AD371" s="5"/>
      <c r="AE371" s="5"/>
      <c r="AF371" s="5"/>
      <c r="AG371" s="5"/>
      <c r="AH371" s="5"/>
      <c r="AI371" s="5" t="s">
        <v>34</v>
      </c>
      <c r="AJ371" s="5"/>
      <c r="AK371" s="5"/>
      <c r="AL371" s="5"/>
      <c r="AM371" s="5"/>
      <c r="AN371" s="5"/>
      <c r="AO371" s="5" t="s">
        <v>38</v>
      </c>
      <c r="AP371" s="5" t="s">
        <v>39</v>
      </c>
      <c r="AQ371" s="5"/>
      <c r="AR371" s="5" t="s">
        <v>41</v>
      </c>
      <c r="AS371" s="5"/>
      <c r="AT371" s="5"/>
      <c r="AU371" s="5"/>
      <c r="AV371" s="5"/>
      <c r="AW371" s="5"/>
      <c r="AX371" s="5"/>
      <c r="AY371" s="5"/>
      <c r="AZ371" s="5"/>
      <c r="BA371" s="5"/>
      <c r="BB371" s="5" t="s">
        <v>49</v>
      </c>
      <c r="BC371" s="5"/>
      <c r="BD371" s="5"/>
      <c r="BE371" s="5"/>
      <c r="BF371" s="5"/>
      <c r="BG371" s="5"/>
      <c r="BH371" s="5"/>
      <c r="BI371" s="5"/>
      <c r="BJ371" s="5"/>
      <c r="BK371" s="5"/>
      <c r="BL371" s="5"/>
      <c r="BM371" s="5"/>
      <c r="BN371" s="5" t="s">
        <v>24</v>
      </c>
      <c r="BO371" s="5"/>
      <c r="BP371" s="5"/>
      <c r="BQ371" s="5"/>
      <c r="BR371" s="5"/>
      <c r="BS371" s="5" t="s">
        <v>63</v>
      </c>
      <c r="BT371" s="5"/>
      <c r="BU371" s="5" t="s">
        <v>64</v>
      </c>
      <c r="BV371" s="5"/>
      <c r="BW371" s="5"/>
      <c r="BX371" s="5"/>
      <c r="BY371" s="5"/>
      <c r="BZ371" s="5"/>
      <c r="CA371" s="5" t="s">
        <v>70</v>
      </c>
      <c r="CB371" s="5"/>
      <c r="CC371" s="5"/>
      <c r="CD371" s="5"/>
      <c r="CE371" s="5"/>
      <c r="CF371" s="5"/>
      <c r="CG371" s="5"/>
      <c r="CH371" s="5"/>
      <c r="CI371" s="5" t="s">
        <v>417</v>
      </c>
      <c r="CJ371" s="5"/>
      <c r="CK371" s="5" t="s">
        <v>80</v>
      </c>
      <c r="CL371" s="5" t="s">
        <v>134</v>
      </c>
      <c r="CM371" s="103" t="s">
        <v>418</v>
      </c>
      <c r="CN371" s="5" t="s">
        <v>416</v>
      </c>
      <c r="CO371" s="103" t="s">
        <v>82</v>
      </c>
      <c r="CP371" s="5" t="s">
        <v>83</v>
      </c>
      <c r="CQ371" s="5" t="s">
        <v>84</v>
      </c>
      <c r="CR371" s="103" t="s">
        <v>85</v>
      </c>
      <c r="CS371" s="103" t="s">
        <v>86</v>
      </c>
      <c r="CT371" s="5" t="s">
        <v>384</v>
      </c>
      <c r="CU371" s="5" t="s">
        <v>86</v>
      </c>
      <c r="CV371" s="5"/>
      <c r="CW371" s="5"/>
      <c r="CX371" s="5"/>
      <c r="CY371" s="5"/>
      <c r="CZ371" s="5"/>
      <c r="DA371" s="5"/>
    </row>
    <row r="372" spans="1:105">
      <c r="A372" s="5">
        <v>114096853684</v>
      </c>
      <c r="B372" s="5"/>
      <c r="C372" s="5"/>
      <c r="D372" s="5"/>
      <c r="E372" s="5"/>
      <c r="F372" s="5"/>
      <c r="G372" s="5"/>
      <c r="H372" s="5"/>
      <c r="I372" s="5" t="s">
        <v>23</v>
      </c>
      <c r="J372" s="5"/>
      <c r="K372" s="5" t="s">
        <v>25</v>
      </c>
      <c r="L372" s="5" t="s">
        <v>26</v>
      </c>
      <c r="M372" s="5"/>
      <c r="N372" s="5"/>
      <c r="O372" s="5"/>
      <c r="P372" s="5"/>
      <c r="Q372" s="5"/>
      <c r="R372" s="5"/>
      <c r="S372" s="5"/>
      <c r="T372" s="5"/>
      <c r="U372" s="5"/>
      <c r="V372" s="5"/>
      <c r="W372" s="5" t="s">
        <v>23</v>
      </c>
      <c r="X372" s="5"/>
      <c r="Y372" s="5"/>
      <c r="Z372" s="5"/>
      <c r="AA372" s="5"/>
      <c r="AB372" s="5"/>
      <c r="AC372" s="5"/>
      <c r="AD372" s="5"/>
      <c r="AE372" s="5"/>
      <c r="AF372" s="5" t="s">
        <v>31</v>
      </c>
      <c r="AG372" s="5"/>
      <c r="AH372" s="5"/>
      <c r="AI372" s="5"/>
      <c r="AJ372" s="5"/>
      <c r="AK372" s="5"/>
      <c r="AL372" s="5"/>
      <c r="AM372" s="5"/>
      <c r="AN372" s="5"/>
      <c r="AO372" s="5"/>
      <c r="AP372" s="5" t="s">
        <v>39</v>
      </c>
      <c r="AQ372" s="5"/>
      <c r="AR372" s="5" t="s">
        <v>41</v>
      </c>
      <c r="AS372" s="5"/>
      <c r="AT372" s="5"/>
      <c r="AU372" s="5" t="s">
        <v>43</v>
      </c>
      <c r="AV372" s="5"/>
      <c r="AW372" s="5"/>
      <c r="AX372" s="5"/>
      <c r="AY372" s="5"/>
      <c r="AZ372" s="5"/>
      <c r="BA372" s="5"/>
      <c r="BB372" s="5"/>
      <c r="BC372" s="5"/>
      <c r="BD372" s="5" t="s">
        <v>51</v>
      </c>
      <c r="BE372" s="5"/>
      <c r="BF372" s="5"/>
      <c r="BG372" s="5"/>
      <c r="BH372" s="5"/>
      <c r="BI372" s="5"/>
      <c r="BJ372" s="5"/>
      <c r="BK372" s="5" t="s">
        <v>57</v>
      </c>
      <c r="BL372" s="5"/>
      <c r="BM372" s="5"/>
      <c r="BN372" s="5"/>
      <c r="BO372" s="5"/>
      <c r="BP372" s="5"/>
      <c r="BQ372" s="5"/>
      <c r="BR372" s="5"/>
      <c r="BS372" s="5"/>
      <c r="BT372" s="5"/>
      <c r="BU372" s="5" t="s">
        <v>64</v>
      </c>
      <c r="BV372" s="5"/>
      <c r="BW372" s="5"/>
      <c r="BX372" s="5"/>
      <c r="BY372" s="5"/>
      <c r="BZ372" s="5"/>
      <c r="CA372" s="5" t="s">
        <v>70</v>
      </c>
      <c r="CB372" s="5"/>
      <c r="CC372" s="5" t="s">
        <v>72</v>
      </c>
      <c r="CD372" s="5" t="s">
        <v>73</v>
      </c>
      <c r="CE372" s="5"/>
      <c r="CF372" s="5" t="s">
        <v>75</v>
      </c>
      <c r="CG372" s="5"/>
      <c r="CH372" s="5"/>
      <c r="CI372" s="5" t="s">
        <v>417</v>
      </c>
      <c r="CJ372" s="5"/>
      <c r="CK372" s="5" t="s">
        <v>141</v>
      </c>
      <c r="CL372" s="5" t="s">
        <v>165</v>
      </c>
      <c r="CM372" s="103" t="s">
        <v>418</v>
      </c>
      <c r="CN372" s="5" t="s">
        <v>416</v>
      </c>
      <c r="CO372" s="103" t="s">
        <v>82</v>
      </c>
      <c r="CP372" s="5" t="s">
        <v>94</v>
      </c>
      <c r="CQ372" s="5" t="s">
        <v>88</v>
      </c>
      <c r="CR372" s="103" t="s">
        <v>85</v>
      </c>
      <c r="CS372" s="103" t="s">
        <v>86</v>
      </c>
      <c r="CT372" s="5" t="s">
        <v>384</v>
      </c>
      <c r="CU372" s="5" t="s">
        <v>86</v>
      </c>
      <c r="CV372" s="5"/>
      <c r="CW372" s="5"/>
      <c r="CX372" s="5"/>
      <c r="CY372" s="5"/>
      <c r="CZ372" s="5"/>
      <c r="DA372" s="5"/>
    </row>
    <row r="373" spans="1:105">
      <c r="A373" s="5">
        <v>114096829794</v>
      </c>
      <c r="B373" s="5"/>
      <c r="C373" s="5" t="s">
        <v>17</v>
      </c>
      <c r="D373" s="5"/>
      <c r="E373" s="5"/>
      <c r="F373" s="5"/>
      <c r="G373" s="5"/>
      <c r="H373" s="5"/>
      <c r="I373" s="5"/>
      <c r="J373" s="5"/>
      <c r="K373" s="5" t="s">
        <v>25</v>
      </c>
      <c r="L373" s="5"/>
      <c r="M373" s="5" t="s">
        <v>27</v>
      </c>
      <c r="N373" s="5"/>
      <c r="O373" s="5"/>
      <c r="P373" s="5"/>
      <c r="Q373" s="5"/>
      <c r="R373" s="5"/>
      <c r="S373" s="5"/>
      <c r="T373" s="5"/>
      <c r="U373" s="5"/>
      <c r="V373" s="5"/>
      <c r="W373" s="5"/>
      <c r="X373" s="5"/>
      <c r="Y373" s="5"/>
      <c r="Z373" s="5"/>
      <c r="AA373" s="5"/>
      <c r="AB373" s="5" t="s">
        <v>28</v>
      </c>
      <c r="AC373" s="5"/>
      <c r="AD373" s="5"/>
      <c r="AE373" s="5"/>
      <c r="AF373" s="5"/>
      <c r="AG373" s="5"/>
      <c r="AH373" s="5"/>
      <c r="AI373" s="5" t="s">
        <v>34</v>
      </c>
      <c r="AJ373" s="5"/>
      <c r="AK373" s="5"/>
      <c r="AL373" s="5"/>
      <c r="AM373" s="5" t="s">
        <v>375</v>
      </c>
      <c r="AN373" s="5"/>
      <c r="AO373" s="5"/>
      <c r="AP373" s="5" t="s">
        <v>39</v>
      </c>
      <c r="AQ373" s="5"/>
      <c r="AR373" s="5"/>
      <c r="AS373" s="5" t="s">
        <v>42</v>
      </c>
      <c r="AT373" s="5"/>
      <c r="AU373" s="5" t="s">
        <v>43</v>
      </c>
      <c r="AV373" s="5"/>
      <c r="AW373" s="5"/>
      <c r="AX373" s="5"/>
      <c r="AY373" s="5"/>
      <c r="AZ373" s="5"/>
      <c r="BA373" s="5"/>
      <c r="BB373" s="5"/>
      <c r="BC373" s="5"/>
      <c r="BD373" s="5" t="s">
        <v>51</v>
      </c>
      <c r="BE373" s="5"/>
      <c r="BF373" s="5"/>
      <c r="BG373" s="5"/>
      <c r="BH373" s="5"/>
      <c r="BI373" s="5"/>
      <c r="BJ373" s="5"/>
      <c r="BK373" s="5"/>
      <c r="BL373" s="5"/>
      <c r="BM373" s="5" t="s">
        <v>59</v>
      </c>
      <c r="BN373" s="5"/>
      <c r="BO373" s="5"/>
      <c r="BP373" s="5" t="s">
        <v>60</v>
      </c>
      <c r="BQ373" s="5"/>
      <c r="BR373" s="5"/>
      <c r="BS373" s="5"/>
      <c r="BT373" s="5"/>
      <c r="BU373" s="5" t="s">
        <v>64</v>
      </c>
      <c r="BV373" s="5"/>
      <c r="BW373" s="5"/>
      <c r="BX373" s="5"/>
      <c r="BY373" s="5" t="s">
        <v>68</v>
      </c>
      <c r="BZ373" s="5" t="s">
        <v>69</v>
      </c>
      <c r="CA373" s="5"/>
      <c r="CB373" s="5"/>
      <c r="CC373" s="5"/>
      <c r="CD373" s="5"/>
      <c r="CE373" s="5"/>
      <c r="CF373" s="5" t="s">
        <v>75</v>
      </c>
      <c r="CG373" s="5"/>
      <c r="CH373" s="5"/>
      <c r="CI373" s="5" t="s">
        <v>417</v>
      </c>
      <c r="CJ373" s="5"/>
      <c r="CK373" s="5" t="s">
        <v>141</v>
      </c>
      <c r="CL373" s="5" t="s">
        <v>361</v>
      </c>
      <c r="CM373" s="103" t="s">
        <v>418</v>
      </c>
      <c r="CN373" s="5" t="s">
        <v>416</v>
      </c>
      <c r="CO373" s="103" t="s">
        <v>82</v>
      </c>
      <c r="CP373" s="5" t="s">
        <v>93</v>
      </c>
      <c r="CQ373" s="5" t="s">
        <v>88</v>
      </c>
      <c r="CR373" s="103" t="s">
        <v>99</v>
      </c>
      <c r="CS373" s="103" t="s">
        <v>86</v>
      </c>
      <c r="CT373" s="5" t="s">
        <v>386</v>
      </c>
      <c r="CU373" s="5" t="s">
        <v>86</v>
      </c>
      <c r="CV373" s="5"/>
      <c r="CW373" s="5"/>
      <c r="CX373" s="5"/>
      <c r="CY373" s="5"/>
      <c r="CZ373" s="5"/>
      <c r="DA373" s="5"/>
    </row>
    <row r="374" spans="1:105">
      <c r="A374" s="5">
        <v>114096746832</v>
      </c>
      <c r="B374" s="5"/>
      <c r="C374" s="5"/>
      <c r="D374" s="5"/>
      <c r="E374" s="5"/>
      <c r="F374" s="5"/>
      <c r="G374" s="5"/>
      <c r="H374" s="5"/>
      <c r="I374" s="5"/>
      <c r="J374" s="5"/>
      <c r="K374" s="5" t="s">
        <v>25</v>
      </c>
      <c r="L374" s="5" t="s">
        <v>26</v>
      </c>
      <c r="M374" s="5"/>
      <c r="N374" s="5"/>
      <c r="O374" s="5"/>
      <c r="P374" s="5"/>
      <c r="Q374" s="5"/>
      <c r="R374" s="5"/>
      <c r="S374" s="5" t="s">
        <v>19</v>
      </c>
      <c r="T374" s="5"/>
      <c r="U374" s="5"/>
      <c r="V374" s="5"/>
      <c r="W374" s="5"/>
      <c r="X374" s="5"/>
      <c r="Y374" s="5"/>
      <c r="Z374" s="5"/>
      <c r="AA374" s="5"/>
      <c r="AB374" s="5"/>
      <c r="AC374" s="5"/>
      <c r="AD374" s="5"/>
      <c r="AE374" s="5"/>
      <c r="AF374" s="5"/>
      <c r="AG374" s="5"/>
      <c r="AH374" s="5"/>
      <c r="AI374" s="5" t="s">
        <v>34</v>
      </c>
      <c r="AJ374" s="5"/>
      <c r="AK374" s="5"/>
      <c r="AL374" s="5"/>
      <c r="AM374" s="5"/>
      <c r="AN374" s="5"/>
      <c r="AO374" s="5"/>
      <c r="AP374" s="5" t="s">
        <v>39</v>
      </c>
      <c r="AQ374" s="5"/>
      <c r="AR374" s="5" t="s">
        <v>41</v>
      </c>
      <c r="AS374" s="5"/>
      <c r="AT374" s="5"/>
      <c r="AU374" s="5"/>
      <c r="AV374" s="5"/>
      <c r="AW374" s="5"/>
      <c r="AX374" s="5"/>
      <c r="AY374" s="5"/>
      <c r="AZ374" s="5" t="s">
        <v>48</v>
      </c>
      <c r="BA374" s="5"/>
      <c r="BB374" s="5"/>
      <c r="BC374" s="5"/>
      <c r="BD374" s="5" t="s">
        <v>51</v>
      </c>
      <c r="BE374" s="5"/>
      <c r="BF374" s="5" t="s">
        <v>52</v>
      </c>
      <c r="BG374" s="5"/>
      <c r="BH374" s="5"/>
      <c r="BI374" s="5"/>
      <c r="BJ374" s="5"/>
      <c r="BK374" s="5"/>
      <c r="BL374" s="5"/>
      <c r="BM374" s="5"/>
      <c r="BN374" s="5"/>
      <c r="BO374" s="5"/>
      <c r="BP374" s="5"/>
      <c r="BQ374" s="5"/>
      <c r="BR374" s="5" t="s">
        <v>62</v>
      </c>
      <c r="BS374" s="5"/>
      <c r="BT374" s="5"/>
      <c r="BU374" s="5" t="s">
        <v>64</v>
      </c>
      <c r="BV374" s="5"/>
      <c r="BW374" s="5"/>
      <c r="BX374" s="5"/>
      <c r="BY374" s="5"/>
      <c r="BZ374" s="5"/>
      <c r="CA374" s="5"/>
      <c r="CB374" s="5"/>
      <c r="CC374" s="5"/>
      <c r="CD374" s="5"/>
      <c r="CE374" s="5"/>
      <c r="CF374" s="5"/>
      <c r="CG374" s="5"/>
      <c r="CH374" s="5"/>
      <c r="CI374" s="5" t="s">
        <v>417</v>
      </c>
      <c r="CJ374" s="5"/>
      <c r="CK374" s="5" t="s">
        <v>141</v>
      </c>
      <c r="CL374" s="5" t="s">
        <v>159</v>
      </c>
      <c r="CM374" s="103" t="s">
        <v>418</v>
      </c>
      <c r="CN374" s="5" t="s">
        <v>416</v>
      </c>
      <c r="CO374" s="103" t="s">
        <v>82</v>
      </c>
      <c r="CP374" s="5" t="s">
        <v>93</v>
      </c>
      <c r="CQ374" s="5" t="s">
        <v>84</v>
      </c>
      <c r="CR374" s="103" t="s">
        <v>85</v>
      </c>
      <c r="CS374" s="103" t="s">
        <v>86</v>
      </c>
      <c r="CT374" s="5" t="s">
        <v>384</v>
      </c>
      <c r="CU374" s="5" t="s">
        <v>86</v>
      </c>
      <c r="CV374" s="5"/>
      <c r="CW374" s="5"/>
      <c r="CX374" s="5"/>
      <c r="CY374" s="5"/>
      <c r="CZ374" s="5"/>
      <c r="DA374" s="5"/>
    </row>
    <row r="375" spans="1:105">
      <c r="A375" s="5">
        <v>114096742817</v>
      </c>
      <c r="B375" s="5"/>
      <c r="C375" s="5" t="s">
        <v>17</v>
      </c>
      <c r="D375" s="5" t="s">
        <v>18</v>
      </c>
      <c r="E375" s="5"/>
      <c r="F375" s="5"/>
      <c r="G375" s="5"/>
      <c r="H375" s="5"/>
      <c r="I375" s="5"/>
      <c r="J375" s="5" t="s">
        <v>24</v>
      </c>
      <c r="K375" s="5"/>
      <c r="L375" s="5"/>
      <c r="M375" s="5"/>
      <c r="N375" s="5"/>
      <c r="O375" s="5"/>
      <c r="P375" s="5"/>
      <c r="Q375" s="5"/>
      <c r="R375" s="5" t="s">
        <v>18</v>
      </c>
      <c r="S375" s="5"/>
      <c r="T375" s="5"/>
      <c r="U375" s="5"/>
      <c r="V375" s="5" t="s">
        <v>22</v>
      </c>
      <c r="W375" s="5" t="s">
        <v>23</v>
      </c>
      <c r="X375" s="5"/>
      <c r="Y375" s="5"/>
      <c r="Z375" s="5"/>
      <c r="AA375" s="5"/>
      <c r="AB375" s="5"/>
      <c r="AC375" s="5"/>
      <c r="AD375" s="5"/>
      <c r="AE375" s="5"/>
      <c r="AF375" s="5"/>
      <c r="AG375" s="5"/>
      <c r="AH375" s="5"/>
      <c r="AI375" s="5" t="s">
        <v>34</v>
      </c>
      <c r="AJ375" s="5"/>
      <c r="AK375" s="5"/>
      <c r="AL375" s="5"/>
      <c r="AM375" s="5"/>
      <c r="AN375" s="5"/>
      <c r="AO375" s="5"/>
      <c r="AP375" s="5" t="s">
        <v>39</v>
      </c>
      <c r="AQ375" s="5"/>
      <c r="AR375" s="5"/>
      <c r="AS375" s="5"/>
      <c r="AT375" s="5" t="s">
        <v>37</v>
      </c>
      <c r="AU375" s="5"/>
      <c r="AV375" s="5"/>
      <c r="AW375" s="5" t="s">
        <v>45</v>
      </c>
      <c r="AX375" s="5"/>
      <c r="AY375" s="5"/>
      <c r="AZ375" s="5"/>
      <c r="BA375" s="5"/>
      <c r="BB375" s="5"/>
      <c r="BC375" s="5"/>
      <c r="BD375" s="5"/>
      <c r="BE375" s="5" t="s">
        <v>17</v>
      </c>
      <c r="BF375" s="5"/>
      <c r="BG375" s="5"/>
      <c r="BH375" s="5"/>
      <c r="BI375" s="5"/>
      <c r="BJ375" s="5"/>
      <c r="BK375" s="5" t="s">
        <v>57</v>
      </c>
      <c r="BL375" s="5" t="s">
        <v>58</v>
      </c>
      <c r="BM375" s="5"/>
      <c r="BN375" s="5"/>
      <c r="BO375" s="5"/>
      <c r="BP375" s="5"/>
      <c r="BQ375" s="5"/>
      <c r="BR375" s="5"/>
      <c r="BS375" s="5"/>
      <c r="BT375" s="5"/>
      <c r="BU375" s="5" t="s">
        <v>64</v>
      </c>
      <c r="BV375" s="5"/>
      <c r="BW375" s="5"/>
      <c r="BX375" s="5" t="s">
        <v>67</v>
      </c>
      <c r="BY375" s="5"/>
      <c r="BZ375" s="5"/>
      <c r="CA375" s="5"/>
      <c r="CB375" s="5"/>
      <c r="CC375" s="5"/>
      <c r="CD375" s="5" t="s">
        <v>73</v>
      </c>
      <c r="CE375" s="5"/>
      <c r="CF375" s="5"/>
      <c r="CG375" s="5"/>
      <c r="CH375" s="5"/>
      <c r="CI375" s="5" t="s">
        <v>417</v>
      </c>
      <c r="CJ375" s="5"/>
      <c r="CK375" s="5" t="s">
        <v>141</v>
      </c>
      <c r="CL375" s="5" t="s">
        <v>178</v>
      </c>
      <c r="CM375" s="103" t="s">
        <v>418</v>
      </c>
      <c r="CN375" s="5" t="s">
        <v>416</v>
      </c>
      <c r="CO375" s="103" t="s">
        <v>82</v>
      </c>
      <c r="CP375" s="5" t="s">
        <v>83</v>
      </c>
      <c r="CQ375" s="5" t="s">
        <v>103</v>
      </c>
      <c r="CR375" s="103" t="s">
        <v>85</v>
      </c>
      <c r="CS375" s="103" t="s">
        <v>86</v>
      </c>
      <c r="CT375" s="5" t="s">
        <v>384</v>
      </c>
      <c r="CU375" s="5" t="s">
        <v>86</v>
      </c>
      <c r="CV375" s="5"/>
      <c r="CW375" s="5"/>
      <c r="CX375" s="5"/>
      <c r="CY375" s="5"/>
      <c r="CZ375" s="5"/>
      <c r="DA375" s="5"/>
    </row>
    <row r="376" spans="1:105">
      <c r="A376" s="5">
        <v>114096674095</v>
      </c>
      <c r="B376" s="5"/>
      <c r="C376" s="5"/>
      <c r="D376" s="5"/>
      <c r="E376" s="5"/>
      <c r="F376" s="5"/>
      <c r="G376" s="5"/>
      <c r="H376" s="5"/>
      <c r="I376" s="5"/>
      <c r="J376" s="5"/>
      <c r="K376" s="5"/>
      <c r="L376" s="5"/>
      <c r="M376" s="5"/>
      <c r="N376" s="5"/>
      <c r="O376" s="5"/>
      <c r="P376" s="5"/>
      <c r="Q376" s="5"/>
      <c r="R376" s="5" t="s">
        <v>18</v>
      </c>
      <c r="S376" s="5" t="s">
        <v>19</v>
      </c>
      <c r="T376" s="5"/>
      <c r="U376" s="5"/>
      <c r="V376" s="5"/>
      <c r="W376" s="5" t="s">
        <v>23</v>
      </c>
      <c r="X376" s="5"/>
      <c r="Y376" s="5"/>
      <c r="Z376" s="5"/>
      <c r="AA376" s="5"/>
      <c r="AB376" s="5"/>
      <c r="AC376" s="5"/>
      <c r="AD376" s="5"/>
      <c r="AE376" s="5"/>
      <c r="AF376" s="5"/>
      <c r="AG376" s="5"/>
      <c r="AH376" s="5"/>
      <c r="AI376" s="5" t="s">
        <v>34</v>
      </c>
      <c r="AJ376" s="5"/>
      <c r="AK376" s="5"/>
      <c r="AL376" s="5"/>
      <c r="AM376" s="5"/>
      <c r="AN376" s="5"/>
      <c r="AO376" s="5" t="s">
        <v>38</v>
      </c>
      <c r="AP376" s="5" t="s">
        <v>39</v>
      </c>
      <c r="AQ376" s="5"/>
      <c r="AR376" s="5"/>
      <c r="AS376" s="5" t="s">
        <v>42</v>
      </c>
      <c r="AT376" s="5" t="s">
        <v>37</v>
      </c>
      <c r="AU376" s="5" t="s">
        <v>43</v>
      </c>
      <c r="AV376" s="5"/>
      <c r="AW376" s="5"/>
      <c r="AX376" s="5"/>
      <c r="AY376" s="5" t="s">
        <v>47</v>
      </c>
      <c r="AZ376" s="5" t="s">
        <v>48</v>
      </c>
      <c r="BA376" s="5"/>
      <c r="BB376" s="5"/>
      <c r="BC376" s="5"/>
      <c r="BD376" s="5" t="s">
        <v>51</v>
      </c>
      <c r="BE376" s="5"/>
      <c r="BF376" s="5"/>
      <c r="BG376" s="5"/>
      <c r="BH376" s="5"/>
      <c r="BI376" s="5"/>
      <c r="BJ376" s="5"/>
      <c r="BK376" s="5"/>
      <c r="BL376" s="5"/>
      <c r="BM376" s="5" t="s">
        <v>59</v>
      </c>
      <c r="BN376" s="5"/>
      <c r="BO376" s="5"/>
      <c r="BP376" s="5"/>
      <c r="BQ376" s="5" t="s">
        <v>61</v>
      </c>
      <c r="BR376" s="5" t="s">
        <v>62</v>
      </c>
      <c r="BS376" s="5"/>
      <c r="BT376" s="5"/>
      <c r="BU376" s="5" t="s">
        <v>64</v>
      </c>
      <c r="BV376" s="5"/>
      <c r="BW376" s="5"/>
      <c r="BX376" s="5"/>
      <c r="BY376" s="5"/>
      <c r="BZ376" s="5"/>
      <c r="CA376" s="5"/>
      <c r="CB376" s="5"/>
      <c r="CC376" s="5"/>
      <c r="CD376" s="5"/>
      <c r="CE376" s="5"/>
      <c r="CF376" s="5"/>
      <c r="CG376" s="5"/>
      <c r="CH376" s="5"/>
      <c r="CI376" s="5" t="s">
        <v>417</v>
      </c>
      <c r="CJ376" s="5"/>
      <c r="CK376" s="5" t="s">
        <v>141</v>
      </c>
      <c r="CL376" s="5" t="s">
        <v>172</v>
      </c>
      <c r="CM376" s="103" t="s">
        <v>418</v>
      </c>
      <c r="CN376" s="5" t="s">
        <v>416</v>
      </c>
      <c r="CO376" s="103" t="s">
        <v>82</v>
      </c>
      <c r="CP376" s="5" t="s">
        <v>94</v>
      </c>
      <c r="CQ376" s="5" t="s">
        <v>88</v>
      </c>
      <c r="CR376" s="103" t="s">
        <v>99</v>
      </c>
      <c r="CS376" s="103" t="s">
        <v>86</v>
      </c>
      <c r="CT376" s="5" t="s">
        <v>385</v>
      </c>
      <c r="CU376" s="5" t="s">
        <v>86</v>
      </c>
      <c r="CV376" s="5"/>
      <c r="CW376" s="5"/>
      <c r="CX376" s="5"/>
      <c r="CY376" s="5"/>
      <c r="CZ376" s="5"/>
      <c r="DA376" s="5"/>
    </row>
    <row r="377" spans="1:105">
      <c r="A377" s="5">
        <v>114096668073</v>
      </c>
      <c r="B377" s="5"/>
      <c r="C377" s="5" t="s">
        <v>17</v>
      </c>
      <c r="D377" s="5"/>
      <c r="E377" s="5"/>
      <c r="F377" s="5"/>
      <c r="G377" s="5"/>
      <c r="H377" s="5"/>
      <c r="I377" s="5"/>
      <c r="J377" s="5" t="s">
        <v>24</v>
      </c>
      <c r="K377" s="5" t="s">
        <v>25</v>
      </c>
      <c r="L377" s="5"/>
      <c r="M377" s="5"/>
      <c r="N377" s="5"/>
      <c r="O377" s="5"/>
      <c r="P377" s="5"/>
      <c r="Q377" s="5"/>
      <c r="R377" s="5" t="s">
        <v>18</v>
      </c>
      <c r="S377" s="5" t="s">
        <v>19</v>
      </c>
      <c r="T377" s="5"/>
      <c r="U377" s="5"/>
      <c r="V377" s="5"/>
      <c r="W377" s="5"/>
      <c r="X377" s="5"/>
      <c r="Y377" s="5"/>
      <c r="Z377" s="5"/>
      <c r="AA377" s="5"/>
      <c r="AB377" s="5" t="s">
        <v>28</v>
      </c>
      <c r="AC377" s="5"/>
      <c r="AD377" s="5"/>
      <c r="AE377" s="5"/>
      <c r="AF377" s="5"/>
      <c r="AG377" s="5"/>
      <c r="AH377" s="5"/>
      <c r="AI377" s="5" t="s">
        <v>34</v>
      </c>
      <c r="AJ377" s="5"/>
      <c r="AK377" s="5"/>
      <c r="AL377" s="5"/>
      <c r="AM377" s="5"/>
      <c r="AN377" s="5"/>
      <c r="AO377" s="5"/>
      <c r="AP377" s="5"/>
      <c r="AQ377" s="5"/>
      <c r="AR377" s="5" t="s">
        <v>41</v>
      </c>
      <c r="AS377" s="5"/>
      <c r="AT377" s="5" t="s">
        <v>37</v>
      </c>
      <c r="AU377" s="5" t="s">
        <v>43</v>
      </c>
      <c r="AV377" s="5"/>
      <c r="AW377" s="5"/>
      <c r="AX377" s="5"/>
      <c r="AY377" s="5"/>
      <c r="AZ377" s="5"/>
      <c r="BA377" s="5"/>
      <c r="BB377" s="5"/>
      <c r="BC377" s="5"/>
      <c r="BD377" s="5"/>
      <c r="BE377" s="5"/>
      <c r="BF377" s="5"/>
      <c r="BG377" s="5"/>
      <c r="BH377" s="5" t="s">
        <v>54</v>
      </c>
      <c r="BI377" s="5"/>
      <c r="BJ377" s="5"/>
      <c r="BK377" s="5"/>
      <c r="BL377" s="5" t="s">
        <v>58</v>
      </c>
      <c r="BM377" s="5"/>
      <c r="BN377" s="5" t="s">
        <v>24</v>
      </c>
      <c r="BO377" s="5"/>
      <c r="BP377" s="5"/>
      <c r="BQ377" s="5"/>
      <c r="BR377" s="5"/>
      <c r="BS377" s="5"/>
      <c r="BT377" s="5"/>
      <c r="BU377" s="5" t="s">
        <v>64</v>
      </c>
      <c r="BV377" s="5"/>
      <c r="BW377" s="5" t="s">
        <v>66</v>
      </c>
      <c r="BX377" s="5"/>
      <c r="BY377" s="5" t="s">
        <v>68</v>
      </c>
      <c r="BZ377" s="5"/>
      <c r="CA377" s="5"/>
      <c r="CB377" s="5"/>
      <c r="CC377" s="5"/>
      <c r="CD377" s="5"/>
      <c r="CE377" s="5"/>
      <c r="CF377" s="5"/>
      <c r="CG377" s="5"/>
      <c r="CH377" s="5"/>
      <c r="CI377" s="5" t="s">
        <v>414</v>
      </c>
      <c r="CJ377" s="5"/>
      <c r="CK377" s="5" t="s">
        <v>141</v>
      </c>
      <c r="CL377" s="5" t="s">
        <v>150</v>
      </c>
      <c r="CM377" s="103" t="s">
        <v>418</v>
      </c>
      <c r="CN377" s="5" t="s">
        <v>416</v>
      </c>
      <c r="CO377" s="103" t="s">
        <v>82</v>
      </c>
      <c r="CP377" s="5" t="s">
        <v>94</v>
      </c>
      <c r="CQ377" s="5" t="s">
        <v>84</v>
      </c>
      <c r="CR377" s="103" t="s">
        <v>99</v>
      </c>
      <c r="CS377" s="103" t="s">
        <v>86</v>
      </c>
      <c r="CT377" s="5" t="s">
        <v>386</v>
      </c>
      <c r="CU377" s="5" t="s">
        <v>86</v>
      </c>
      <c r="CV377" s="5"/>
      <c r="CW377" s="5"/>
      <c r="CX377" s="5"/>
      <c r="CY377" s="5"/>
      <c r="CZ377" s="5"/>
      <c r="DA377" s="5"/>
    </row>
    <row r="378" spans="1:105">
      <c r="A378" s="5">
        <v>114096661817</v>
      </c>
      <c r="B378" s="5"/>
      <c r="C378" s="5" t="s">
        <v>17</v>
      </c>
      <c r="D378" s="5"/>
      <c r="E378" s="5"/>
      <c r="F378" s="5"/>
      <c r="G378" s="5"/>
      <c r="H378" s="5"/>
      <c r="I378" s="5" t="s">
        <v>23</v>
      </c>
      <c r="J378" s="5"/>
      <c r="K378" s="5" t="s">
        <v>25</v>
      </c>
      <c r="L378" s="5"/>
      <c r="M378" s="5"/>
      <c r="N378" s="5"/>
      <c r="O378" s="5"/>
      <c r="P378" s="5"/>
      <c r="Q378" s="5" t="s">
        <v>17</v>
      </c>
      <c r="R378" s="5"/>
      <c r="S378" s="5"/>
      <c r="T378" s="5"/>
      <c r="U378" s="5"/>
      <c r="V378" s="5"/>
      <c r="W378" s="5" t="s">
        <v>23</v>
      </c>
      <c r="X378" s="5"/>
      <c r="Y378" s="5"/>
      <c r="Z378" s="5"/>
      <c r="AA378" s="5" t="s">
        <v>27</v>
      </c>
      <c r="AB378" s="5"/>
      <c r="AC378" s="5"/>
      <c r="AD378" s="5"/>
      <c r="AE378" s="5"/>
      <c r="AF378" s="5"/>
      <c r="AG378" s="5"/>
      <c r="AH378" s="5"/>
      <c r="AI378" s="5" t="s">
        <v>34</v>
      </c>
      <c r="AJ378" s="5"/>
      <c r="AK378" s="5"/>
      <c r="AL378" s="5"/>
      <c r="AM378" s="5"/>
      <c r="AN378" s="5"/>
      <c r="AO378" s="5" t="s">
        <v>38</v>
      </c>
      <c r="AP378" s="5" t="s">
        <v>39</v>
      </c>
      <c r="AQ378" s="5"/>
      <c r="AR378" s="5"/>
      <c r="AS378" s="5"/>
      <c r="AT378" s="5"/>
      <c r="AU378" s="5"/>
      <c r="AV378" s="5"/>
      <c r="AW378" s="5"/>
      <c r="AX378" s="5" t="s">
        <v>46</v>
      </c>
      <c r="AY378" s="5"/>
      <c r="AZ378" s="5"/>
      <c r="BA378" s="5"/>
      <c r="BB378" s="5"/>
      <c r="BC378" s="5"/>
      <c r="BD378" s="5"/>
      <c r="BE378" s="5" t="s">
        <v>17</v>
      </c>
      <c r="BF378" s="5"/>
      <c r="BG378" s="5"/>
      <c r="BH378" s="5"/>
      <c r="BI378" s="5"/>
      <c r="BJ378" s="5"/>
      <c r="BK378" s="5"/>
      <c r="BL378" s="5"/>
      <c r="BM378" s="5"/>
      <c r="BN378" s="5"/>
      <c r="BO378" s="5"/>
      <c r="BP378" s="5" t="s">
        <v>60</v>
      </c>
      <c r="BQ378" s="5"/>
      <c r="BR378" s="5" t="s">
        <v>62</v>
      </c>
      <c r="BS378" s="5"/>
      <c r="BT378" s="5"/>
      <c r="BU378" s="5" t="s">
        <v>64</v>
      </c>
      <c r="BV378" s="5"/>
      <c r="BW378" s="5"/>
      <c r="BX378" s="5"/>
      <c r="BY378" s="5"/>
      <c r="BZ378" s="5"/>
      <c r="CA378" s="5"/>
      <c r="CB378" s="5"/>
      <c r="CC378" s="5"/>
      <c r="CD378" s="5" t="s">
        <v>73</v>
      </c>
      <c r="CE378" s="5"/>
      <c r="CF378" s="5"/>
      <c r="CG378" s="5"/>
      <c r="CH378" s="5"/>
      <c r="CI378" s="5" t="s">
        <v>417</v>
      </c>
      <c r="CJ378" s="5"/>
      <c r="CK378" s="5" t="s">
        <v>141</v>
      </c>
      <c r="CL378" s="5" t="s">
        <v>165</v>
      </c>
      <c r="CM378" s="103" t="s">
        <v>418</v>
      </c>
      <c r="CN378" s="5" t="s">
        <v>416</v>
      </c>
      <c r="CO378" s="103" t="s">
        <v>82</v>
      </c>
      <c r="CP378" s="5" t="s">
        <v>97</v>
      </c>
      <c r="CQ378" s="5" t="s">
        <v>95</v>
      </c>
      <c r="CR378" s="103" t="s">
        <v>99</v>
      </c>
      <c r="CS378" s="103" t="s">
        <v>86</v>
      </c>
      <c r="CT378" s="5" t="s">
        <v>385</v>
      </c>
      <c r="CU378" s="5" t="s">
        <v>86</v>
      </c>
      <c r="CV378" s="5"/>
      <c r="CW378" s="5"/>
      <c r="CX378" s="5"/>
      <c r="CY378" s="5"/>
      <c r="CZ378" s="5"/>
      <c r="DA378" s="5"/>
    </row>
    <row r="379" spans="1:105">
      <c r="A379" s="5">
        <v>114096658219</v>
      </c>
      <c r="B379" s="5"/>
      <c r="C379" s="5" t="s">
        <v>17</v>
      </c>
      <c r="D379" s="5" t="s">
        <v>18</v>
      </c>
      <c r="E379" s="5"/>
      <c r="F379" s="5"/>
      <c r="G379" s="5"/>
      <c r="H379" s="5"/>
      <c r="I379" s="5"/>
      <c r="J379" s="5"/>
      <c r="K379" s="5" t="s">
        <v>25</v>
      </c>
      <c r="L379" s="5" t="s">
        <v>26</v>
      </c>
      <c r="M379" s="5"/>
      <c r="N379" s="5"/>
      <c r="O379" s="5"/>
      <c r="P379" s="5"/>
      <c r="Q379" s="5" t="s">
        <v>17</v>
      </c>
      <c r="R379" s="5" t="s">
        <v>18</v>
      </c>
      <c r="S379" s="5"/>
      <c r="T379" s="5"/>
      <c r="U379" s="5"/>
      <c r="V379" s="5"/>
      <c r="W379" s="5" t="s">
        <v>23</v>
      </c>
      <c r="X379" s="5"/>
      <c r="Y379" s="5"/>
      <c r="Z379" s="5"/>
      <c r="AA379" s="5"/>
      <c r="AB379" s="5"/>
      <c r="AC379" s="5"/>
      <c r="AD379" s="5"/>
      <c r="AE379" s="5"/>
      <c r="AF379" s="5"/>
      <c r="AG379" s="5"/>
      <c r="AH379" s="5"/>
      <c r="AI379" s="5" t="s">
        <v>34</v>
      </c>
      <c r="AJ379" s="5"/>
      <c r="AK379" s="5"/>
      <c r="AL379" s="5"/>
      <c r="AM379" s="5"/>
      <c r="AN379" s="5"/>
      <c r="AO379" s="5" t="s">
        <v>38</v>
      </c>
      <c r="AP379" s="5"/>
      <c r="AQ379" s="5"/>
      <c r="AR379" s="5" t="s">
        <v>41</v>
      </c>
      <c r="AS379" s="5"/>
      <c r="AT379" s="5"/>
      <c r="AU379" s="5"/>
      <c r="AV379" s="5"/>
      <c r="AW379" s="5"/>
      <c r="AX379" s="5"/>
      <c r="AY379" s="5" t="s">
        <v>47</v>
      </c>
      <c r="AZ379" s="5"/>
      <c r="BA379" s="5"/>
      <c r="BB379" s="5"/>
      <c r="BC379" s="5"/>
      <c r="BD379" s="5"/>
      <c r="BE379" s="5"/>
      <c r="BF379" s="5"/>
      <c r="BG379" s="5" t="s">
        <v>53</v>
      </c>
      <c r="BH379" s="5"/>
      <c r="BI379" s="5" t="s">
        <v>55</v>
      </c>
      <c r="BJ379" s="5"/>
      <c r="BK379" s="5"/>
      <c r="BL379" s="5"/>
      <c r="BM379" s="5" t="s">
        <v>59</v>
      </c>
      <c r="BN379" s="5"/>
      <c r="BO379" s="5"/>
      <c r="BP379" s="5"/>
      <c r="BQ379" s="5" t="s">
        <v>61</v>
      </c>
      <c r="BR379" s="5"/>
      <c r="BS379" s="5"/>
      <c r="BT379" s="5"/>
      <c r="BU379" s="5" t="s">
        <v>64</v>
      </c>
      <c r="BV379" s="5"/>
      <c r="BW379" s="5"/>
      <c r="BX379" s="5"/>
      <c r="BY379" s="5"/>
      <c r="BZ379" s="5" t="s">
        <v>69</v>
      </c>
      <c r="CA379" s="5"/>
      <c r="CB379" s="5"/>
      <c r="CC379" s="5"/>
      <c r="CD379" s="5"/>
      <c r="CE379" s="5"/>
      <c r="CF379" s="5" t="s">
        <v>75</v>
      </c>
      <c r="CG379" s="5"/>
      <c r="CH379" s="5"/>
      <c r="CI379" s="5" t="s">
        <v>417</v>
      </c>
      <c r="CJ379" s="5"/>
      <c r="CK379" s="5" t="s">
        <v>141</v>
      </c>
      <c r="CL379" s="5" t="s">
        <v>172</v>
      </c>
      <c r="CM379" s="103" t="s">
        <v>418</v>
      </c>
      <c r="CN379" s="5" t="s">
        <v>416</v>
      </c>
      <c r="CO379" s="103" t="s">
        <v>82</v>
      </c>
      <c r="CP379" s="5" t="s">
        <v>93</v>
      </c>
      <c r="CQ379" s="5" t="s">
        <v>84</v>
      </c>
      <c r="CR379" s="103" t="s">
        <v>99</v>
      </c>
      <c r="CS379" s="103" t="s">
        <v>86</v>
      </c>
      <c r="CT379" s="5" t="s">
        <v>386</v>
      </c>
      <c r="CU379" s="5" t="s">
        <v>86</v>
      </c>
      <c r="CV379" s="5"/>
      <c r="CW379" s="5"/>
      <c r="CX379" s="5"/>
      <c r="CY379" s="5"/>
      <c r="CZ379" s="5"/>
      <c r="DA379" s="5"/>
    </row>
    <row r="380" spans="1:105">
      <c r="A380" s="5">
        <v>114089866335</v>
      </c>
      <c r="B380" s="5"/>
      <c r="C380" s="5"/>
      <c r="D380" s="5"/>
      <c r="E380" s="5"/>
      <c r="F380" s="5"/>
      <c r="G380" s="5"/>
      <c r="H380" s="5"/>
      <c r="I380" s="5" t="s">
        <v>23</v>
      </c>
      <c r="J380" s="5" t="s">
        <v>24</v>
      </c>
      <c r="K380" s="5" t="s">
        <v>25</v>
      </c>
      <c r="L380" s="5"/>
      <c r="M380" s="5"/>
      <c r="N380" s="5"/>
      <c r="O380" s="5"/>
      <c r="P380" s="5" t="s">
        <v>16</v>
      </c>
      <c r="Q380" s="5"/>
      <c r="R380" s="5"/>
      <c r="S380" s="5"/>
      <c r="T380" s="5"/>
      <c r="U380" s="5"/>
      <c r="V380" s="5"/>
      <c r="W380" s="5"/>
      <c r="X380" s="5" t="s">
        <v>24</v>
      </c>
      <c r="Y380" s="5"/>
      <c r="Z380" s="5"/>
      <c r="AA380" s="5"/>
      <c r="AB380" s="5" t="s">
        <v>28</v>
      </c>
      <c r="AC380" s="5"/>
      <c r="AD380" s="5"/>
      <c r="AE380" s="5"/>
      <c r="AF380" s="5"/>
      <c r="AG380" s="5"/>
      <c r="AH380" s="5"/>
      <c r="AI380" s="5"/>
      <c r="AJ380" s="5"/>
      <c r="AK380" s="5"/>
      <c r="AL380" s="5"/>
      <c r="AM380" s="5"/>
      <c r="AN380" s="5"/>
      <c r="AO380" s="5" t="s">
        <v>38</v>
      </c>
      <c r="AP380" s="5"/>
      <c r="AQ380" s="5"/>
      <c r="AR380" s="5"/>
      <c r="AS380" s="5"/>
      <c r="AT380" s="5"/>
      <c r="AU380" s="5"/>
      <c r="AV380" s="5"/>
      <c r="AW380" s="5" t="s">
        <v>45</v>
      </c>
      <c r="AX380" s="5"/>
      <c r="AY380" s="5"/>
      <c r="AZ380" s="5"/>
      <c r="BA380" s="5"/>
      <c r="BB380" s="5" t="s">
        <v>49</v>
      </c>
      <c r="BC380" s="5"/>
      <c r="BD380" s="5"/>
      <c r="BE380" s="5"/>
      <c r="BF380" s="5"/>
      <c r="BG380" s="5"/>
      <c r="BH380" s="5"/>
      <c r="BI380" s="5"/>
      <c r="BJ380" s="5"/>
      <c r="BK380" s="5" t="s">
        <v>57</v>
      </c>
      <c r="BL380" s="5"/>
      <c r="BM380" s="5"/>
      <c r="BN380" s="5" t="s">
        <v>24</v>
      </c>
      <c r="BO380" s="5"/>
      <c r="BP380" s="5"/>
      <c r="BQ380" s="5"/>
      <c r="BR380" s="5"/>
      <c r="BS380" s="5"/>
      <c r="BT380" s="5"/>
      <c r="BU380" s="5" t="s">
        <v>64</v>
      </c>
      <c r="BV380" s="5"/>
      <c r="BW380" s="5"/>
      <c r="BX380" s="5" t="s">
        <v>67</v>
      </c>
      <c r="BY380" s="5"/>
      <c r="BZ380" s="5"/>
      <c r="CA380" s="5"/>
      <c r="CB380" s="5"/>
      <c r="CC380" s="5"/>
      <c r="CD380" s="5"/>
      <c r="CE380" s="5"/>
      <c r="CF380" s="5" t="s">
        <v>75</v>
      </c>
      <c r="CG380" s="5"/>
      <c r="CH380" s="5"/>
      <c r="CI380" s="5" t="s">
        <v>417</v>
      </c>
      <c r="CJ380" s="5"/>
      <c r="CK380" s="5" t="s">
        <v>80</v>
      </c>
      <c r="CL380" s="5" t="s">
        <v>135</v>
      </c>
      <c r="CM380" s="103" t="s">
        <v>106</v>
      </c>
      <c r="CN380" s="5" t="s">
        <v>416</v>
      </c>
      <c r="CO380" s="103" t="s">
        <v>82</v>
      </c>
      <c r="CP380" s="5"/>
      <c r="CQ380" s="5" t="s">
        <v>84</v>
      </c>
      <c r="CR380" s="103" t="s">
        <v>85</v>
      </c>
      <c r="CS380" s="103" t="s">
        <v>86</v>
      </c>
      <c r="CT380" s="5" t="s">
        <v>384</v>
      </c>
      <c r="CU380" s="5" t="s">
        <v>86</v>
      </c>
      <c r="CV380" s="5"/>
      <c r="CW380" s="5"/>
      <c r="CX380" s="5"/>
      <c r="CY380" s="5"/>
      <c r="CZ380" s="5"/>
      <c r="DA380" s="5"/>
    </row>
    <row r="381" spans="1:105">
      <c r="A381" s="5">
        <v>114089496497</v>
      </c>
      <c r="B381" s="5"/>
      <c r="C381" s="5"/>
      <c r="D381" s="5"/>
      <c r="E381" s="5" t="s">
        <v>19</v>
      </c>
      <c r="F381" s="5"/>
      <c r="G381" s="5"/>
      <c r="H381" s="5" t="s">
        <v>22</v>
      </c>
      <c r="I381" s="5"/>
      <c r="J381" s="5"/>
      <c r="K381" s="5"/>
      <c r="L381" s="5" t="s">
        <v>26</v>
      </c>
      <c r="M381" s="5"/>
      <c r="N381" s="5"/>
      <c r="O381" s="5"/>
      <c r="P381" s="5"/>
      <c r="Q381" s="5" t="s">
        <v>17</v>
      </c>
      <c r="R381" s="5"/>
      <c r="S381" s="5"/>
      <c r="T381" s="5"/>
      <c r="U381" s="5"/>
      <c r="V381" s="5"/>
      <c r="W381" s="5" t="s">
        <v>23</v>
      </c>
      <c r="X381" s="5"/>
      <c r="Y381" s="5"/>
      <c r="Z381" s="5"/>
      <c r="AA381" s="5"/>
      <c r="AB381" s="5" t="s">
        <v>28</v>
      </c>
      <c r="AC381" s="5"/>
      <c r="AD381" s="5"/>
      <c r="AE381" s="5"/>
      <c r="AF381" s="5"/>
      <c r="AG381" s="5"/>
      <c r="AH381" s="5"/>
      <c r="AI381" s="5" t="s">
        <v>34</v>
      </c>
      <c r="AJ381" s="5"/>
      <c r="AK381" s="5"/>
      <c r="AL381" s="5"/>
      <c r="AM381" s="5"/>
      <c r="AN381" s="5"/>
      <c r="AO381" s="5"/>
      <c r="AP381" s="5" t="s">
        <v>39</v>
      </c>
      <c r="AQ381" s="5"/>
      <c r="AR381" s="5"/>
      <c r="AS381" s="5" t="s">
        <v>42</v>
      </c>
      <c r="AT381" s="5"/>
      <c r="AU381" s="5"/>
      <c r="AV381" s="5"/>
      <c r="AW381" s="5"/>
      <c r="AX381" s="5"/>
      <c r="AY381" s="5"/>
      <c r="AZ381" s="5"/>
      <c r="BA381" s="5"/>
      <c r="BB381" s="5"/>
      <c r="BC381" s="5"/>
      <c r="BD381" s="5"/>
      <c r="BE381" s="5" t="s">
        <v>17</v>
      </c>
      <c r="BF381" s="5" t="s">
        <v>52</v>
      </c>
      <c r="BG381" s="5"/>
      <c r="BH381" s="5"/>
      <c r="BI381" s="5"/>
      <c r="BJ381" s="5"/>
      <c r="BK381" s="5"/>
      <c r="BL381" s="5"/>
      <c r="BM381" s="5"/>
      <c r="BN381" s="5"/>
      <c r="BO381" s="5"/>
      <c r="BP381" s="5"/>
      <c r="BQ381" s="5"/>
      <c r="BR381" s="5" t="s">
        <v>62</v>
      </c>
      <c r="BS381" s="5"/>
      <c r="BT381" s="5"/>
      <c r="BU381" s="5" t="s">
        <v>64</v>
      </c>
      <c r="BV381" s="5"/>
      <c r="BW381" s="5" t="s">
        <v>66</v>
      </c>
      <c r="BX381" s="5"/>
      <c r="BY381" s="5"/>
      <c r="BZ381" s="5" t="s">
        <v>69</v>
      </c>
      <c r="CA381" s="5"/>
      <c r="CB381" s="5"/>
      <c r="CC381" s="5"/>
      <c r="CD381" s="5" t="s">
        <v>73</v>
      </c>
      <c r="CE381" s="5"/>
      <c r="CF381" s="5"/>
      <c r="CG381" s="5"/>
      <c r="CH381" s="5"/>
      <c r="CI381" s="5" t="s">
        <v>417</v>
      </c>
      <c r="CJ381" s="5"/>
      <c r="CK381" s="5" t="s">
        <v>141</v>
      </c>
      <c r="CL381" s="5" t="s">
        <v>148</v>
      </c>
      <c r="CM381" s="103" t="s">
        <v>418</v>
      </c>
      <c r="CN381" s="5" t="s">
        <v>416</v>
      </c>
      <c r="CO381" s="103" t="s">
        <v>82</v>
      </c>
      <c r="CP381" s="5" t="s">
        <v>93</v>
      </c>
      <c r="CQ381" s="5" t="s">
        <v>88</v>
      </c>
      <c r="CR381" s="103" t="s">
        <v>85</v>
      </c>
      <c r="CS381" s="103" t="s">
        <v>86</v>
      </c>
      <c r="CT381" s="5" t="s">
        <v>384</v>
      </c>
      <c r="CU381" s="5" t="s">
        <v>86</v>
      </c>
      <c r="CV381" s="5"/>
      <c r="CW381" s="5"/>
      <c r="CX381" s="5"/>
      <c r="CY381" s="5"/>
      <c r="CZ381" s="5"/>
      <c r="DA381" s="5"/>
    </row>
    <row r="382" spans="1:105">
      <c r="A382" s="5">
        <v>114089303117</v>
      </c>
      <c r="B382" s="5"/>
      <c r="C382" s="5"/>
      <c r="D382" s="5"/>
      <c r="E382" s="5" t="s">
        <v>19</v>
      </c>
      <c r="F382" s="5"/>
      <c r="G382" s="5"/>
      <c r="H382" s="5"/>
      <c r="I382" s="5" t="s">
        <v>23</v>
      </c>
      <c r="J382" s="5"/>
      <c r="K382" s="5"/>
      <c r="L382" s="5"/>
      <c r="M382" s="5"/>
      <c r="N382" s="5"/>
      <c r="O382" s="5"/>
      <c r="P382" s="5"/>
      <c r="Q382" s="5"/>
      <c r="R382" s="5"/>
      <c r="S382" s="5"/>
      <c r="T382" s="5"/>
      <c r="U382" s="5"/>
      <c r="V382" s="5"/>
      <c r="W382" s="5" t="s">
        <v>23</v>
      </c>
      <c r="X382" s="5"/>
      <c r="Y382" s="5"/>
      <c r="Z382" s="5"/>
      <c r="AA382" s="5"/>
      <c r="AB382" s="5"/>
      <c r="AC382" s="5"/>
      <c r="AD382" s="5"/>
      <c r="AE382" s="5"/>
      <c r="AF382" s="5"/>
      <c r="AG382" s="5"/>
      <c r="AH382" s="5"/>
      <c r="AI382" s="5" t="s">
        <v>34</v>
      </c>
      <c r="AJ382" s="5"/>
      <c r="AK382" s="5"/>
      <c r="AL382" s="5"/>
      <c r="AM382" s="5"/>
      <c r="AN382" s="5"/>
      <c r="AO382" s="5" t="s">
        <v>38</v>
      </c>
      <c r="AP382" s="5"/>
      <c r="AQ382" s="5"/>
      <c r="AR382" s="5"/>
      <c r="AS382" s="5"/>
      <c r="AT382" s="5"/>
      <c r="AU382" s="5"/>
      <c r="AV382" s="5"/>
      <c r="AW382" s="5"/>
      <c r="AX382" s="5"/>
      <c r="AY382" s="5" t="s">
        <v>47</v>
      </c>
      <c r="AZ382" s="5" t="s">
        <v>48</v>
      </c>
      <c r="BA382" s="5"/>
      <c r="BB382" s="5"/>
      <c r="BC382" s="5"/>
      <c r="BD382" s="5"/>
      <c r="BE382" s="5"/>
      <c r="BF382" s="5"/>
      <c r="BG382" s="5" t="s">
        <v>53</v>
      </c>
      <c r="BH382" s="5"/>
      <c r="BI382" s="5"/>
      <c r="BJ382" s="5"/>
      <c r="BK382" s="5"/>
      <c r="BL382" s="5"/>
      <c r="BM382" s="5"/>
      <c r="BN382" s="5"/>
      <c r="BO382" s="5"/>
      <c r="BP382" s="5" t="s">
        <v>60</v>
      </c>
      <c r="BQ382" s="5" t="s">
        <v>61</v>
      </c>
      <c r="BR382" s="5"/>
      <c r="BS382" s="5"/>
      <c r="BT382" s="5"/>
      <c r="BU382" s="5" t="s">
        <v>64</v>
      </c>
      <c r="BV382" s="5"/>
      <c r="BW382" s="5"/>
      <c r="BX382" s="5"/>
      <c r="BY382" s="5"/>
      <c r="BZ382" s="5"/>
      <c r="CA382" s="5" t="s">
        <v>70</v>
      </c>
      <c r="CB382" s="5"/>
      <c r="CC382" s="5"/>
      <c r="CD382" s="5"/>
      <c r="CE382" s="5"/>
      <c r="CF382" s="5"/>
      <c r="CG382" s="5"/>
      <c r="CH382" s="5"/>
      <c r="CI382" s="5" t="s">
        <v>417</v>
      </c>
      <c r="CJ382" s="5"/>
      <c r="CK382" s="5" t="s">
        <v>141</v>
      </c>
      <c r="CL382" s="5" t="s">
        <v>148</v>
      </c>
      <c r="CM382" s="103" t="s">
        <v>418</v>
      </c>
      <c r="CN382" s="5" t="s">
        <v>416</v>
      </c>
      <c r="CO382" s="103" t="s">
        <v>82</v>
      </c>
      <c r="CP382" s="5" t="s">
        <v>97</v>
      </c>
      <c r="CQ382" s="5" t="s">
        <v>88</v>
      </c>
      <c r="CR382" s="103" t="s">
        <v>96</v>
      </c>
      <c r="CS382" s="103" t="s">
        <v>86</v>
      </c>
      <c r="CT382" s="5" t="s">
        <v>468</v>
      </c>
      <c r="CU382" s="5" t="s">
        <v>86</v>
      </c>
      <c r="CV382" s="5"/>
      <c r="CW382" s="5"/>
      <c r="CX382" s="5"/>
      <c r="CY382" s="5"/>
      <c r="CZ382" s="5"/>
      <c r="DA382" s="5"/>
    </row>
    <row r="383" spans="1:105">
      <c r="A383" s="5">
        <v>114088122122</v>
      </c>
      <c r="B383" s="5"/>
      <c r="C383" s="5" t="s">
        <v>17</v>
      </c>
      <c r="D383" s="5"/>
      <c r="E383" s="5"/>
      <c r="F383" s="5"/>
      <c r="G383" s="5"/>
      <c r="H383" s="5"/>
      <c r="I383" s="5"/>
      <c r="J383" s="5"/>
      <c r="K383" s="5"/>
      <c r="L383" s="5" t="s">
        <v>26</v>
      </c>
      <c r="M383" s="5" t="s">
        <v>27</v>
      </c>
      <c r="N383" s="5"/>
      <c r="O383" s="5"/>
      <c r="P383" s="5"/>
      <c r="Q383" s="5" t="s">
        <v>17</v>
      </c>
      <c r="R383" s="5" t="s">
        <v>18</v>
      </c>
      <c r="S383" s="5"/>
      <c r="T383" s="5"/>
      <c r="U383" s="5"/>
      <c r="V383" s="5"/>
      <c r="W383" s="5"/>
      <c r="X383" s="5"/>
      <c r="Y383" s="5"/>
      <c r="Z383" s="5"/>
      <c r="AA383" s="5"/>
      <c r="AB383" s="5"/>
      <c r="AC383" s="5"/>
      <c r="AD383" s="5"/>
      <c r="AE383" s="5"/>
      <c r="AF383" s="5"/>
      <c r="AG383" s="5"/>
      <c r="AH383" s="5"/>
      <c r="AI383" s="5" t="s">
        <v>34</v>
      </c>
      <c r="AJ383" s="5"/>
      <c r="AK383" s="5"/>
      <c r="AL383" s="5"/>
      <c r="AM383" s="5"/>
      <c r="AN383" s="5"/>
      <c r="AO383" s="5"/>
      <c r="AP383" s="5"/>
      <c r="AQ383" s="5"/>
      <c r="AR383" s="5" t="s">
        <v>41</v>
      </c>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t="s">
        <v>64</v>
      </c>
      <c r="BV383" s="5"/>
      <c r="BW383" s="5"/>
      <c r="BX383" s="5"/>
      <c r="BY383" s="5"/>
      <c r="BZ383" s="5"/>
      <c r="CA383" s="5"/>
      <c r="CB383" s="5"/>
      <c r="CC383" s="5" t="s">
        <v>72</v>
      </c>
      <c r="CD383" s="5" t="s">
        <v>73</v>
      </c>
      <c r="CE383" s="5"/>
      <c r="CF383" s="5" t="s">
        <v>75</v>
      </c>
      <c r="CG383" s="5"/>
      <c r="CH383" s="5"/>
      <c r="CI383" s="5" t="s">
        <v>417</v>
      </c>
      <c r="CJ383" s="5"/>
      <c r="CK383" s="5" t="s">
        <v>141</v>
      </c>
      <c r="CL383" s="5" t="s">
        <v>167</v>
      </c>
      <c r="CM383" s="103" t="s">
        <v>418</v>
      </c>
      <c r="CN383" s="5" t="s">
        <v>416</v>
      </c>
      <c r="CO383" s="103" t="s">
        <v>82</v>
      </c>
      <c r="CP383" s="5" t="s">
        <v>94</v>
      </c>
      <c r="CQ383" s="5" t="s">
        <v>95</v>
      </c>
      <c r="CR383" s="103" t="s">
        <v>85</v>
      </c>
      <c r="CS383" s="103" t="s">
        <v>108</v>
      </c>
      <c r="CT383" s="5" t="s">
        <v>384</v>
      </c>
      <c r="CU383" s="5" t="s">
        <v>86</v>
      </c>
      <c r="CV383" s="5"/>
      <c r="CW383" s="5"/>
      <c r="CX383" s="5"/>
      <c r="CY383" s="5"/>
      <c r="CZ383" s="5"/>
      <c r="DA383" s="5"/>
    </row>
    <row r="384" spans="1:105">
      <c r="A384" s="5">
        <v>114087722061</v>
      </c>
      <c r="B384" s="5"/>
      <c r="C384" s="5"/>
      <c r="D384" s="5"/>
      <c r="E384" s="5"/>
      <c r="F384" s="5"/>
      <c r="G384" s="5"/>
      <c r="H384" s="5"/>
      <c r="I384" s="5"/>
      <c r="J384" s="5"/>
      <c r="K384" s="5" t="s">
        <v>25</v>
      </c>
      <c r="L384" s="5" t="s">
        <v>26</v>
      </c>
      <c r="M384" s="5"/>
      <c r="N384" s="5" t="s">
        <v>28</v>
      </c>
      <c r="O384" s="5"/>
      <c r="P384" s="5"/>
      <c r="Q384" s="5"/>
      <c r="R384" s="5"/>
      <c r="S384" s="5"/>
      <c r="T384" s="5"/>
      <c r="U384" s="5"/>
      <c r="V384" s="5"/>
      <c r="W384" s="5"/>
      <c r="X384" s="5"/>
      <c r="Y384" s="5" t="s">
        <v>25</v>
      </c>
      <c r="Z384" s="5"/>
      <c r="AA384" s="5"/>
      <c r="AB384" s="5"/>
      <c r="AC384" s="5"/>
      <c r="AD384" s="5"/>
      <c r="AE384" s="5"/>
      <c r="AF384" s="5"/>
      <c r="AG384" s="5" t="s">
        <v>32</v>
      </c>
      <c r="AH384" s="5"/>
      <c r="AI384" s="5"/>
      <c r="AJ384" s="5"/>
      <c r="AK384" s="5"/>
      <c r="AL384" s="5"/>
      <c r="AM384" s="5"/>
      <c r="AN384" s="5"/>
      <c r="AO384" s="5"/>
      <c r="AP384" s="5"/>
      <c r="AQ384" s="5"/>
      <c r="AR384" s="5"/>
      <c r="AS384" s="5" t="s">
        <v>42</v>
      </c>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t="s">
        <v>64</v>
      </c>
      <c r="BV384" s="5"/>
      <c r="BW384" s="5"/>
      <c r="BX384" s="5"/>
      <c r="BY384" s="5"/>
      <c r="BZ384" s="5"/>
      <c r="CA384" s="5"/>
      <c r="CB384" s="5"/>
      <c r="CC384" s="5"/>
      <c r="CD384" s="5" t="s">
        <v>73</v>
      </c>
      <c r="CE384" s="5"/>
      <c r="CF384" s="5" t="s">
        <v>75</v>
      </c>
      <c r="CG384" s="5"/>
      <c r="CH384" s="5"/>
      <c r="CI384" s="5" t="s">
        <v>417</v>
      </c>
      <c r="CJ384" s="5"/>
      <c r="CK384" s="5" t="s">
        <v>80</v>
      </c>
      <c r="CL384" s="5" t="s">
        <v>123</v>
      </c>
      <c r="CM384" s="103" t="s">
        <v>106</v>
      </c>
      <c r="CN384" s="5" t="s">
        <v>469</v>
      </c>
      <c r="CO384" s="103" t="s">
        <v>82</v>
      </c>
      <c r="CP384" s="5" t="s">
        <v>97</v>
      </c>
      <c r="CQ384" s="5" t="s">
        <v>88</v>
      </c>
      <c r="CR384" s="103" t="s">
        <v>85</v>
      </c>
      <c r="CS384" s="103" t="s">
        <v>86</v>
      </c>
      <c r="CT384" s="5" t="s">
        <v>384</v>
      </c>
      <c r="CU384" s="5" t="s">
        <v>86</v>
      </c>
      <c r="CV384" s="5"/>
      <c r="CW384" s="5"/>
      <c r="CX384" s="5"/>
      <c r="CY384" s="5"/>
      <c r="CZ384" s="5"/>
      <c r="DA384" s="5"/>
    </row>
    <row r="385" spans="1:105">
      <c r="A385" s="5">
        <v>114087334117</v>
      </c>
      <c r="B385" s="5"/>
      <c r="C385" s="5"/>
      <c r="D385" s="5"/>
      <c r="E385" s="5"/>
      <c r="F385" s="5"/>
      <c r="G385" s="5"/>
      <c r="H385" s="5"/>
      <c r="I385" s="5"/>
      <c r="J385" s="5"/>
      <c r="K385" s="5" t="s">
        <v>25</v>
      </c>
      <c r="L385" s="5" t="s">
        <v>26</v>
      </c>
      <c r="M385" s="5"/>
      <c r="N385" s="5"/>
      <c r="O385" s="5"/>
      <c r="P385" s="5" t="s">
        <v>16</v>
      </c>
      <c r="Q385" s="5"/>
      <c r="R385" s="5"/>
      <c r="S385" s="5"/>
      <c r="T385" s="5"/>
      <c r="U385" s="5"/>
      <c r="V385" s="5"/>
      <c r="W385" s="5"/>
      <c r="X385" s="5"/>
      <c r="Y385" s="5"/>
      <c r="Z385" s="5"/>
      <c r="AA385" s="5"/>
      <c r="AB385" s="5" t="s">
        <v>28</v>
      </c>
      <c r="AC385" s="5"/>
      <c r="AD385" s="5"/>
      <c r="AE385" s="5"/>
      <c r="AF385" s="5"/>
      <c r="AG385" s="5"/>
      <c r="AH385" s="5"/>
      <c r="AI385" s="5" t="s">
        <v>34</v>
      </c>
      <c r="AJ385" s="5"/>
      <c r="AK385" s="5"/>
      <c r="AL385" s="5"/>
      <c r="AM385" s="5"/>
      <c r="AN385" s="5"/>
      <c r="AO385" s="5"/>
      <c r="AP385" s="5" t="s">
        <v>39</v>
      </c>
      <c r="AQ385" s="5" t="s">
        <v>40</v>
      </c>
      <c r="AR385" s="5" t="s">
        <v>41</v>
      </c>
      <c r="AS385" s="5"/>
      <c r="AT385" s="5" t="s">
        <v>37</v>
      </c>
      <c r="AU385" s="5"/>
      <c r="AV385" s="5"/>
      <c r="AW385" s="5" t="s">
        <v>45</v>
      </c>
      <c r="AX385" s="5"/>
      <c r="AY385" s="5"/>
      <c r="AZ385" s="5"/>
      <c r="BA385" s="5"/>
      <c r="BB385" s="5"/>
      <c r="BC385" s="5"/>
      <c r="BD385" s="5" t="s">
        <v>51</v>
      </c>
      <c r="BE385" s="5"/>
      <c r="BF385" s="5" t="s">
        <v>52</v>
      </c>
      <c r="BG385" s="5"/>
      <c r="BH385" s="5"/>
      <c r="BI385" s="5"/>
      <c r="BJ385" s="5"/>
      <c r="BK385" s="5"/>
      <c r="BL385" s="5"/>
      <c r="BM385" s="5"/>
      <c r="BN385" s="5"/>
      <c r="BO385" s="5"/>
      <c r="BP385" s="5"/>
      <c r="BQ385" s="5"/>
      <c r="BR385" s="5"/>
      <c r="BS385" s="5" t="s">
        <v>63</v>
      </c>
      <c r="BT385" s="5"/>
      <c r="BU385" s="5" t="s">
        <v>64</v>
      </c>
      <c r="BV385" s="5"/>
      <c r="BW385" s="5" t="s">
        <v>66</v>
      </c>
      <c r="BX385" s="5" t="s">
        <v>67</v>
      </c>
      <c r="BY385" s="5"/>
      <c r="BZ385" s="5" t="s">
        <v>69</v>
      </c>
      <c r="CA385" s="5"/>
      <c r="CB385" s="5" t="s">
        <v>71</v>
      </c>
      <c r="CC385" s="5" t="s">
        <v>72</v>
      </c>
      <c r="CD385" s="5"/>
      <c r="CE385" s="5"/>
      <c r="CF385" s="5" t="s">
        <v>75</v>
      </c>
      <c r="CG385" s="5"/>
      <c r="CH385" s="5"/>
      <c r="CI385" s="5" t="s">
        <v>417</v>
      </c>
      <c r="CJ385" s="5"/>
      <c r="CK385" s="5" t="s">
        <v>80</v>
      </c>
      <c r="CL385" s="5" t="s">
        <v>124</v>
      </c>
      <c r="CM385" s="103" t="s">
        <v>418</v>
      </c>
      <c r="CN385" s="5" t="s">
        <v>416</v>
      </c>
      <c r="CO385" s="103" t="s">
        <v>82</v>
      </c>
      <c r="CP385" s="5" t="s">
        <v>94</v>
      </c>
      <c r="CQ385" s="5" t="s">
        <v>103</v>
      </c>
      <c r="CR385" s="103" t="s">
        <v>85</v>
      </c>
      <c r="CS385" s="103" t="s">
        <v>86</v>
      </c>
      <c r="CT385" s="5" t="s">
        <v>384</v>
      </c>
      <c r="CU385" s="5" t="s">
        <v>86</v>
      </c>
      <c r="CV385" s="5"/>
      <c r="CW385" s="5"/>
      <c r="CX385" s="5"/>
      <c r="CY385" s="5"/>
      <c r="CZ385" s="5"/>
      <c r="DA385" s="5"/>
    </row>
    <row r="386" spans="1:105">
      <c r="A386" s="5">
        <v>114087289322</v>
      </c>
      <c r="B386" s="5"/>
      <c r="C386" s="5"/>
      <c r="D386" s="5"/>
      <c r="E386" s="5" t="s">
        <v>19</v>
      </c>
      <c r="F386" s="5"/>
      <c r="G386" s="5"/>
      <c r="H386" s="5"/>
      <c r="I386" s="5" t="s">
        <v>23</v>
      </c>
      <c r="J386" s="5"/>
      <c r="K386" s="5" t="s">
        <v>25</v>
      </c>
      <c r="L386" s="5"/>
      <c r="M386" s="5"/>
      <c r="N386" s="5"/>
      <c r="O386" s="5"/>
      <c r="P386" s="5"/>
      <c r="Q386" s="5"/>
      <c r="R386" s="5" t="s">
        <v>18</v>
      </c>
      <c r="S386" s="5" t="s">
        <v>19</v>
      </c>
      <c r="T386" s="5"/>
      <c r="U386" s="5"/>
      <c r="V386" s="5"/>
      <c r="W386" s="5" t="s">
        <v>23</v>
      </c>
      <c r="X386" s="5"/>
      <c r="Y386" s="5"/>
      <c r="Z386" s="5"/>
      <c r="AA386" s="5"/>
      <c r="AB386" s="5"/>
      <c r="AC386" s="5"/>
      <c r="AD386" s="5"/>
      <c r="AE386" s="5"/>
      <c r="AF386" s="5"/>
      <c r="AG386" s="5"/>
      <c r="AH386" s="5"/>
      <c r="AI386" s="5" t="s">
        <v>34</v>
      </c>
      <c r="AJ386" s="5"/>
      <c r="AK386" s="5"/>
      <c r="AL386" s="5"/>
      <c r="AM386" s="5"/>
      <c r="AN386" s="5"/>
      <c r="AO386" s="5"/>
      <c r="AP386" s="5"/>
      <c r="AQ386" s="5" t="s">
        <v>40</v>
      </c>
      <c r="AR386" s="5" t="s">
        <v>41</v>
      </c>
      <c r="AS386" s="5"/>
      <c r="AT386" s="5"/>
      <c r="AU386" s="5"/>
      <c r="AV386" s="5"/>
      <c r="AW386" s="5"/>
      <c r="AX386" s="5"/>
      <c r="AY386" s="5" t="s">
        <v>47</v>
      </c>
      <c r="AZ386" s="5"/>
      <c r="BA386" s="5"/>
      <c r="BB386" s="5"/>
      <c r="BC386" s="5"/>
      <c r="BD386" s="5" t="s">
        <v>51</v>
      </c>
      <c r="BE386" s="5"/>
      <c r="BF386" s="5"/>
      <c r="BG386" s="5"/>
      <c r="BH386" s="5"/>
      <c r="BI386" s="5"/>
      <c r="BJ386" s="5"/>
      <c r="BK386" s="5"/>
      <c r="BL386" s="5"/>
      <c r="BM386" s="5" t="s">
        <v>59</v>
      </c>
      <c r="BN386" s="5"/>
      <c r="BO386" s="5"/>
      <c r="BP386" s="5"/>
      <c r="BQ386" s="5"/>
      <c r="BR386" s="5"/>
      <c r="BS386" s="5" t="s">
        <v>63</v>
      </c>
      <c r="BT386" s="5"/>
      <c r="BU386" s="5" t="s">
        <v>64</v>
      </c>
      <c r="BV386" s="5"/>
      <c r="BW386" s="5"/>
      <c r="BX386" s="5"/>
      <c r="BY386" s="5"/>
      <c r="BZ386" s="5"/>
      <c r="CA386" s="5"/>
      <c r="CB386" s="5"/>
      <c r="CC386" s="5"/>
      <c r="CD386" s="5"/>
      <c r="CE386" s="5"/>
      <c r="CF386" s="5"/>
      <c r="CG386" s="5"/>
      <c r="CH386" s="5"/>
      <c r="CI386" s="5" t="s">
        <v>417</v>
      </c>
      <c r="CJ386" s="5"/>
      <c r="CK386" s="5" t="s">
        <v>80</v>
      </c>
      <c r="CL386" s="5" t="s">
        <v>470</v>
      </c>
      <c r="CM386" s="103" t="s">
        <v>418</v>
      </c>
      <c r="CN386" s="5" t="s">
        <v>416</v>
      </c>
      <c r="CO386" s="103" t="s">
        <v>82</v>
      </c>
      <c r="CP386" s="5" t="s">
        <v>83</v>
      </c>
      <c r="CQ386" s="5" t="s">
        <v>84</v>
      </c>
      <c r="CR386" s="103" t="s">
        <v>85</v>
      </c>
      <c r="CS386" s="103" t="s">
        <v>86</v>
      </c>
      <c r="CT386" s="5" t="s">
        <v>384</v>
      </c>
      <c r="CU386" s="5" t="s">
        <v>86</v>
      </c>
      <c r="CV386" s="5"/>
      <c r="CW386" s="5"/>
      <c r="CX386" s="5"/>
      <c r="CY386" s="5"/>
      <c r="CZ386" s="5"/>
      <c r="DA386" s="5"/>
    </row>
    <row r="387" spans="1:105">
      <c r="A387" s="5">
        <v>114087207731</v>
      </c>
      <c r="B387" s="5"/>
      <c r="C387" s="5" t="s">
        <v>17</v>
      </c>
      <c r="D387" s="5" t="s">
        <v>18</v>
      </c>
      <c r="E387" s="5"/>
      <c r="F387" s="5"/>
      <c r="G387" s="5" t="s">
        <v>21</v>
      </c>
      <c r="H387" s="5"/>
      <c r="I387" s="5"/>
      <c r="J387" s="5" t="s">
        <v>24</v>
      </c>
      <c r="K387" s="5" t="s">
        <v>25</v>
      </c>
      <c r="L387" s="5"/>
      <c r="M387" s="5"/>
      <c r="N387" s="5"/>
      <c r="O387" s="5"/>
      <c r="P387" s="5"/>
      <c r="Q387" s="5"/>
      <c r="R387" s="5"/>
      <c r="S387" s="5"/>
      <c r="T387" s="5"/>
      <c r="U387" s="5"/>
      <c r="V387" s="5"/>
      <c r="W387" s="5"/>
      <c r="X387" s="5"/>
      <c r="Y387" s="5"/>
      <c r="Z387" s="5"/>
      <c r="AA387" s="5"/>
      <c r="AB387" s="5" t="s">
        <v>28</v>
      </c>
      <c r="AC387" s="5"/>
      <c r="AD387" s="5"/>
      <c r="AE387" s="5"/>
      <c r="AF387" s="5"/>
      <c r="AG387" s="5"/>
      <c r="AH387" s="5"/>
      <c r="AI387" s="5" t="s">
        <v>34</v>
      </c>
      <c r="AJ387" s="5"/>
      <c r="AK387" s="5"/>
      <c r="AL387" s="5"/>
      <c r="AM387" s="5"/>
      <c r="AN387" s="5"/>
      <c r="AO387" s="5"/>
      <c r="AP387" s="5"/>
      <c r="AQ387" s="5"/>
      <c r="AR387" s="5"/>
      <c r="AS387" s="5"/>
      <c r="AT387" s="5"/>
      <c r="AU387" s="5" t="s">
        <v>43</v>
      </c>
      <c r="AV387" s="5"/>
      <c r="AW387" s="5"/>
      <c r="AX387" s="5"/>
      <c r="AY387" s="5"/>
      <c r="AZ387" s="5"/>
      <c r="BA387" s="5"/>
      <c r="BB387" s="5"/>
      <c r="BC387" s="5"/>
      <c r="BD387" s="5"/>
      <c r="BE387" s="5"/>
      <c r="BF387" s="5"/>
      <c r="BG387" s="5"/>
      <c r="BH387" s="5"/>
      <c r="BI387" s="5" t="s">
        <v>55</v>
      </c>
      <c r="BJ387" s="5"/>
      <c r="BK387" s="5"/>
      <c r="BL387" s="5"/>
      <c r="BM387" s="5"/>
      <c r="BN387" s="5"/>
      <c r="BO387" s="5"/>
      <c r="BP387" s="5"/>
      <c r="BQ387" s="5" t="s">
        <v>61</v>
      </c>
      <c r="BR387" s="5" t="s">
        <v>62</v>
      </c>
      <c r="BS387" s="5"/>
      <c r="BT387" s="5"/>
      <c r="BU387" s="5" t="s">
        <v>64</v>
      </c>
      <c r="BV387" s="5"/>
      <c r="BW387" s="5"/>
      <c r="BX387" s="5"/>
      <c r="BY387" s="5"/>
      <c r="BZ387" s="5"/>
      <c r="CA387" s="5" t="s">
        <v>70</v>
      </c>
      <c r="CB387" s="5"/>
      <c r="CC387" s="5"/>
      <c r="CD387" s="5"/>
      <c r="CE387" s="5"/>
      <c r="CF387" s="5" t="s">
        <v>75</v>
      </c>
      <c r="CG387" s="5"/>
      <c r="CH387" s="5"/>
      <c r="CI387" s="5" t="s">
        <v>417</v>
      </c>
      <c r="CJ387" s="5"/>
      <c r="CK387" s="5" t="s">
        <v>80</v>
      </c>
      <c r="CL387" s="5" t="s">
        <v>122</v>
      </c>
      <c r="CM387" s="103" t="s">
        <v>418</v>
      </c>
      <c r="CN387" s="5" t="s">
        <v>416</v>
      </c>
      <c r="CO387" s="103" t="s">
        <v>82</v>
      </c>
      <c r="CP387" s="5" t="s">
        <v>94</v>
      </c>
      <c r="CQ387" s="5" t="s">
        <v>84</v>
      </c>
      <c r="CR387" s="103" t="s">
        <v>85</v>
      </c>
      <c r="CS387" s="103" t="s">
        <v>86</v>
      </c>
      <c r="CT387" s="5" t="s">
        <v>384</v>
      </c>
      <c r="CU387" s="5" t="s">
        <v>86</v>
      </c>
      <c r="CV387" s="5"/>
      <c r="CW387" s="5"/>
      <c r="CX387" s="5"/>
      <c r="CY387" s="5"/>
      <c r="CZ387" s="5"/>
      <c r="DA387" s="5"/>
    </row>
    <row r="388" spans="1:105">
      <c r="A388" s="5">
        <v>114086765018</v>
      </c>
      <c r="B388" s="5"/>
      <c r="C388" s="5"/>
      <c r="D388" s="5" t="s">
        <v>18</v>
      </c>
      <c r="E388" s="5"/>
      <c r="F388" s="5"/>
      <c r="G388" s="5"/>
      <c r="H388" s="5"/>
      <c r="I388" s="5" t="s">
        <v>23</v>
      </c>
      <c r="J388" s="5"/>
      <c r="K388" s="5"/>
      <c r="L388" s="5"/>
      <c r="M388" s="5" t="s">
        <v>27</v>
      </c>
      <c r="N388" s="5"/>
      <c r="O388" s="5"/>
      <c r="P388" s="5"/>
      <c r="Q388" s="5"/>
      <c r="R388" s="5"/>
      <c r="S388" s="5"/>
      <c r="T388" s="5"/>
      <c r="U388" s="5"/>
      <c r="V388" s="5"/>
      <c r="W388" s="5"/>
      <c r="X388" s="5" t="s">
        <v>24</v>
      </c>
      <c r="Y388" s="5"/>
      <c r="Z388" s="5"/>
      <c r="AA388" s="5"/>
      <c r="AB388" s="5" t="s">
        <v>28</v>
      </c>
      <c r="AC388" s="5"/>
      <c r="AD388" s="5"/>
      <c r="AE388" s="5"/>
      <c r="AF388" s="5"/>
      <c r="AG388" s="5"/>
      <c r="AH388" s="5"/>
      <c r="AI388" s="5" t="s">
        <v>34</v>
      </c>
      <c r="AJ388" s="5"/>
      <c r="AK388" s="5"/>
      <c r="AL388" s="5"/>
      <c r="AM388" s="5"/>
      <c r="AN388" s="5"/>
      <c r="AO388" s="5" t="s">
        <v>38</v>
      </c>
      <c r="AP388" s="5"/>
      <c r="AQ388" s="5"/>
      <c r="AR388" s="5"/>
      <c r="AS388" s="5"/>
      <c r="AT388" s="5"/>
      <c r="AU388" s="5" t="s">
        <v>43</v>
      </c>
      <c r="AV388" s="5" t="s">
        <v>44</v>
      </c>
      <c r="AW388" s="5"/>
      <c r="AX388" s="5"/>
      <c r="AY388" s="5"/>
      <c r="AZ388" s="5"/>
      <c r="BA388" s="5"/>
      <c r="BB388" s="5" t="s">
        <v>49</v>
      </c>
      <c r="BC388" s="5"/>
      <c r="BD388" s="5"/>
      <c r="BE388" s="5" t="s">
        <v>17</v>
      </c>
      <c r="BF388" s="5"/>
      <c r="BG388" s="5"/>
      <c r="BH388" s="5" t="s">
        <v>54</v>
      </c>
      <c r="BI388" s="5"/>
      <c r="BJ388" s="5"/>
      <c r="BK388" s="5"/>
      <c r="BL388" s="5"/>
      <c r="BM388" s="5"/>
      <c r="BN388" s="5"/>
      <c r="BO388" s="5"/>
      <c r="BP388" s="5"/>
      <c r="BQ388" s="5"/>
      <c r="BR388" s="5"/>
      <c r="BS388" s="5"/>
      <c r="BT388" s="5"/>
      <c r="BU388" s="5" t="s">
        <v>64</v>
      </c>
      <c r="BV388" s="5"/>
      <c r="BW388" s="5"/>
      <c r="BX388" s="5"/>
      <c r="BY388" s="5"/>
      <c r="BZ388" s="5"/>
      <c r="CA388" s="5"/>
      <c r="CB388" s="5"/>
      <c r="CC388" s="5"/>
      <c r="CD388" s="5"/>
      <c r="CE388" s="5"/>
      <c r="CF388" s="5" t="s">
        <v>75</v>
      </c>
      <c r="CG388" s="5"/>
      <c r="CH388" s="5"/>
      <c r="CI388" s="5" t="s">
        <v>414</v>
      </c>
      <c r="CJ388" s="5"/>
      <c r="CK388" s="5" t="s">
        <v>141</v>
      </c>
      <c r="CL388" s="5" t="s">
        <v>165</v>
      </c>
      <c r="CM388" s="103" t="s">
        <v>418</v>
      </c>
      <c r="CN388" s="5" t="s">
        <v>416</v>
      </c>
      <c r="CO388" s="103" t="s">
        <v>82</v>
      </c>
      <c r="CP388" s="5" t="s">
        <v>83</v>
      </c>
      <c r="CQ388" s="5" t="s">
        <v>84</v>
      </c>
      <c r="CR388" s="103" t="s">
        <v>85</v>
      </c>
      <c r="CS388" s="103" t="s">
        <v>86</v>
      </c>
      <c r="CT388" s="5" t="s">
        <v>384</v>
      </c>
      <c r="CU388" s="5" t="s">
        <v>86</v>
      </c>
      <c r="CV388" s="5"/>
      <c r="CW388" s="5"/>
      <c r="CX388" s="5"/>
      <c r="CY388" s="5"/>
      <c r="CZ388" s="5"/>
      <c r="DA388" s="5"/>
    </row>
    <row r="389" spans="1:105">
      <c r="A389" s="5">
        <v>114086729438</v>
      </c>
      <c r="B389" s="5"/>
      <c r="C389" s="5" t="s">
        <v>17</v>
      </c>
      <c r="D389" s="5"/>
      <c r="E389" s="5"/>
      <c r="F389" s="5"/>
      <c r="G389" s="5" t="s">
        <v>21</v>
      </c>
      <c r="H389" s="5"/>
      <c r="I389" s="5"/>
      <c r="J389" s="5"/>
      <c r="K389" s="5" t="s">
        <v>25</v>
      </c>
      <c r="L389" s="5"/>
      <c r="M389" s="5"/>
      <c r="N389" s="5"/>
      <c r="O389" s="5"/>
      <c r="P389" s="5"/>
      <c r="Q389" s="5" t="s">
        <v>17</v>
      </c>
      <c r="R389" s="5"/>
      <c r="S389" s="5"/>
      <c r="T389" s="5"/>
      <c r="U389" s="5"/>
      <c r="V389" s="5"/>
      <c r="W389" s="5" t="s">
        <v>23</v>
      </c>
      <c r="X389" s="5"/>
      <c r="Y389" s="5"/>
      <c r="Z389" s="5"/>
      <c r="AA389" s="5" t="s">
        <v>27</v>
      </c>
      <c r="AB389" s="5"/>
      <c r="AC389" s="5"/>
      <c r="AD389" s="5"/>
      <c r="AE389" s="5"/>
      <c r="AF389" s="5"/>
      <c r="AG389" s="5" t="s">
        <v>32</v>
      </c>
      <c r="AH389" s="5"/>
      <c r="AI389" s="5"/>
      <c r="AJ389" s="5"/>
      <c r="AK389" s="5"/>
      <c r="AL389" s="5"/>
      <c r="AM389" s="5"/>
      <c r="AN389" s="5"/>
      <c r="AO389" s="5" t="s">
        <v>38</v>
      </c>
      <c r="AP389" s="5" t="s">
        <v>39</v>
      </c>
      <c r="AQ389" s="5"/>
      <c r="AR389" s="5" t="s">
        <v>41</v>
      </c>
      <c r="AS389" s="5"/>
      <c r="AT389" s="5"/>
      <c r="AU389" s="5" t="s">
        <v>43</v>
      </c>
      <c r="AV389" s="5"/>
      <c r="AW389" s="5"/>
      <c r="AX389" s="5"/>
      <c r="AY389" s="5"/>
      <c r="AZ389" s="5"/>
      <c r="BA389" s="5"/>
      <c r="BB389" s="5"/>
      <c r="BC389" s="5"/>
      <c r="BD389" s="5"/>
      <c r="BE389" s="5" t="s">
        <v>17</v>
      </c>
      <c r="BF389" s="5"/>
      <c r="BG389" s="5"/>
      <c r="BH389" s="5" t="s">
        <v>54</v>
      </c>
      <c r="BI389" s="5"/>
      <c r="BJ389" s="5"/>
      <c r="BK389" s="5"/>
      <c r="BL389" s="5"/>
      <c r="BM389" s="5"/>
      <c r="BN389" s="5" t="s">
        <v>24</v>
      </c>
      <c r="BO389" s="5"/>
      <c r="BP389" s="5"/>
      <c r="BQ389" s="5"/>
      <c r="BR389" s="5"/>
      <c r="BS389" s="5"/>
      <c r="BT389" s="5"/>
      <c r="BU389" s="5" t="s">
        <v>64</v>
      </c>
      <c r="BV389" s="5"/>
      <c r="BW389" s="5"/>
      <c r="BX389" s="5"/>
      <c r="BY389" s="5"/>
      <c r="BZ389" s="5"/>
      <c r="CA389" s="5"/>
      <c r="CB389" s="5"/>
      <c r="CC389" s="5"/>
      <c r="CD389" s="5" t="s">
        <v>73</v>
      </c>
      <c r="CE389" s="5"/>
      <c r="CF389" s="5"/>
      <c r="CG389" s="5"/>
      <c r="CH389" s="5"/>
      <c r="CI389" s="5" t="s">
        <v>417</v>
      </c>
      <c r="CJ389" s="5"/>
      <c r="CK389" s="5" t="s">
        <v>80</v>
      </c>
      <c r="CL389" s="5" t="s">
        <v>471</v>
      </c>
      <c r="CM389" s="103" t="s">
        <v>418</v>
      </c>
      <c r="CN389" s="5" t="s">
        <v>416</v>
      </c>
      <c r="CP389" s="5" t="s">
        <v>94</v>
      </c>
      <c r="CQ389" s="5" t="s">
        <v>84</v>
      </c>
      <c r="CR389" s="103" t="s">
        <v>85</v>
      </c>
      <c r="CS389" s="103" t="s">
        <v>86</v>
      </c>
      <c r="CT389" s="5" t="s">
        <v>384</v>
      </c>
      <c r="CU389" s="5" t="s">
        <v>86</v>
      </c>
      <c r="CV389" s="5"/>
      <c r="CW389" s="5"/>
      <c r="CX389" s="5"/>
      <c r="CY389" s="5"/>
      <c r="CZ389" s="5"/>
      <c r="DA389" s="5"/>
    </row>
    <row r="390" spans="1:105">
      <c r="A390" s="5">
        <v>114086716435</v>
      </c>
      <c r="B390" s="5" t="s">
        <v>16</v>
      </c>
      <c r="C390" s="5" t="s">
        <v>17</v>
      </c>
      <c r="D390" s="5" t="s">
        <v>18</v>
      </c>
      <c r="E390" s="5"/>
      <c r="F390" s="5"/>
      <c r="G390" s="5"/>
      <c r="H390" s="5" t="s">
        <v>22</v>
      </c>
      <c r="I390" s="5" t="s">
        <v>23</v>
      </c>
      <c r="J390" s="5" t="s">
        <v>24</v>
      </c>
      <c r="K390" s="5"/>
      <c r="L390" s="5"/>
      <c r="M390" s="5"/>
      <c r="N390" s="5" t="s">
        <v>28</v>
      </c>
      <c r="O390" s="5"/>
      <c r="P390" s="5"/>
      <c r="Q390" s="5"/>
      <c r="R390" s="5" t="s">
        <v>18</v>
      </c>
      <c r="S390" s="5"/>
      <c r="T390" s="5"/>
      <c r="U390" s="5"/>
      <c r="V390" s="5"/>
      <c r="W390" s="5" t="s">
        <v>23</v>
      </c>
      <c r="X390" s="5" t="s">
        <v>24</v>
      </c>
      <c r="Y390" s="5"/>
      <c r="Z390" s="5"/>
      <c r="AA390" s="5"/>
      <c r="AB390" s="5" t="s">
        <v>28</v>
      </c>
      <c r="AC390" s="5"/>
      <c r="AD390" s="5"/>
      <c r="AE390" s="5" t="s">
        <v>30</v>
      </c>
      <c r="AF390" s="5"/>
      <c r="AG390" s="5"/>
      <c r="AH390" s="5"/>
      <c r="AI390" s="5"/>
      <c r="AJ390" s="5"/>
      <c r="AK390" s="5"/>
      <c r="AL390" s="5" t="s">
        <v>37</v>
      </c>
      <c r="AM390" s="5"/>
      <c r="AN390" s="5"/>
      <c r="AO390" s="5" t="s">
        <v>38</v>
      </c>
      <c r="AP390" s="5"/>
      <c r="AQ390" s="5"/>
      <c r="AR390" s="5"/>
      <c r="AS390" s="5"/>
      <c r="AT390" s="5"/>
      <c r="AU390" s="5" t="s">
        <v>43</v>
      </c>
      <c r="AV390" s="5"/>
      <c r="AW390" s="5"/>
      <c r="AX390" s="5"/>
      <c r="AY390" s="5"/>
      <c r="AZ390" s="5"/>
      <c r="BA390" s="5"/>
      <c r="BB390" s="5"/>
      <c r="BC390" s="5"/>
      <c r="BD390" s="5"/>
      <c r="BE390" s="5" t="s">
        <v>17</v>
      </c>
      <c r="BF390" s="5"/>
      <c r="BG390" s="5"/>
      <c r="BH390" s="5" t="s">
        <v>54</v>
      </c>
      <c r="BI390" s="5"/>
      <c r="BJ390" s="5"/>
      <c r="BK390" s="5" t="s">
        <v>57</v>
      </c>
      <c r="BL390" s="5"/>
      <c r="BM390" s="5"/>
      <c r="BN390" s="5" t="s">
        <v>24</v>
      </c>
      <c r="BO390" s="5"/>
      <c r="BP390" s="5"/>
      <c r="BQ390" s="5"/>
      <c r="BR390" s="5"/>
      <c r="BS390" s="5"/>
      <c r="BT390" s="5"/>
      <c r="BU390" s="5"/>
      <c r="BV390" s="5"/>
      <c r="BW390" s="5" t="s">
        <v>66</v>
      </c>
      <c r="BX390" s="5"/>
      <c r="BY390" s="5" t="s">
        <v>68</v>
      </c>
      <c r="BZ390" s="5"/>
      <c r="CA390" s="5"/>
      <c r="CB390" s="5"/>
      <c r="CC390" s="5"/>
      <c r="CD390" s="5"/>
      <c r="CE390" s="5"/>
      <c r="CF390" s="5" t="s">
        <v>75</v>
      </c>
      <c r="CG390" s="5"/>
      <c r="CH390" s="5"/>
      <c r="CI390" s="5" t="s">
        <v>417</v>
      </c>
      <c r="CJ390" s="5"/>
      <c r="CK390" s="5" t="s">
        <v>80</v>
      </c>
      <c r="CL390" s="5" t="s">
        <v>472</v>
      </c>
      <c r="CM390" s="103" t="s">
        <v>415</v>
      </c>
      <c r="CN390" s="5" t="s">
        <v>416</v>
      </c>
      <c r="CO390" s="103" t="s">
        <v>82</v>
      </c>
      <c r="CP390" s="5" t="s">
        <v>93</v>
      </c>
      <c r="CQ390" s="5" t="s">
        <v>84</v>
      </c>
      <c r="CR390" s="103" t="s">
        <v>85</v>
      </c>
      <c r="CS390" s="103" t="s">
        <v>86</v>
      </c>
      <c r="CT390" s="5" t="s">
        <v>384</v>
      </c>
      <c r="CU390" s="5" t="s">
        <v>86</v>
      </c>
      <c r="CV390" s="5"/>
      <c r="CW390" s="5"/>
      <c r="CX390" s="5"/>
      <c r="CY390" s="5"/>
      <c r="CZ390" s="5"/>
      <c r="DA390" s="5"/>
    </row>
    <row r="391" spans="1:105">
      <c r="A391" s="5">
        <v>114086712665</v>
      </c>
      <c r="B391" s="5"/>
      <c r="C391" s="5" t="s">
        <v>17</v>
      </c>
      <c r="D391" s="5" t="s">
        <v>18</v>
      </c>
      <c r="E391" s="5"/>
      <c r="F391" s="5"/>
      <c r="G391" s="5"/>
      <c r="H391" s="5"/>
      <c r="I391" s="5"/>
      <c r="J391" s="5"/>
      <c r="K391" s="5"/>
      <c r="L391" s="5" t="s">
        <v>26</v>
      </c>
      <c r="M391" s="5"/>
      <c r="N391" s="5"/>
      <c r="O391" s="5"/>
      <c r="P391" s="5"/>
      <c r="Q391" s="5"/>
      <c r="R391" s="5"/>
      <c r="S391" s="5"/>
      <c r="T391" s="5"/>
      <c r="U391" s="5"/>
      <c r="V391" s="5"/>
      <c r="W391" s="5" t="s">
        <v>23</v>
      </c>
      <c r="X391" s="5"/>
      <c r="Y391" s="5"/>
      <c r="Z391" s="5"/>
      <c r="AA391" s="5"/>
      <c r="AB391" s="5"/>
      <c r="AC391" s="5"/>
      <c r="AD391" s="5"/>
      <c r="AE391" s="5" t="s">
        <v>30</v>
      </c>
      <c r="AF391" s="5"/>
      <c r="AG391" s="5"/>
      <c r="AH391" s="5"/>
      <c r="AI391" s="5"/>
      <c r="AJ391" s="5"/>
      <c r="AK391" s="5"/>
      <c r="AL391" s="5"/>
      <c r="AM391" s="5"/>
      <c r="AN391" s="5"/>
      <c r="AO391" s="5"/>
      <c r="AP391" s="5" t="s">
        <v>39</v>
      </c>
      <c r="AQ391" s="5"/>
      <c r="AR391" s="5" t="s">
        <v>41</v>
      </c>
      <c r="AS391" s="5"/>
      <c r="AT391" s="5"/>
      <c r="AU391" s="5" t="s">
        <v>43</v>
      </c>
      <c r="AV391" s="5"/>
      <c r="AW391" s="5"/>
      <c r="AX391" s="5"/>
      <c r="AY391" s="5"/>
      <c r="AZ391" s="5"/>
      <c r="BA391" s="5"/>
      <c r="BB391" s="5"/>
      <c r="BC391" s="5"/>
      <c r="BD391" s="5" t="s">
        <v>51</v>
      </c>
      <c r="BE391" s="5"/>
      <c r="BF391" s="5"/>
      <c r="BG391" s="5"/>
      <c r="BH391" s="5"/>
      <c r="BI391" s="5"/>
      <c r="BJ391" s="5"/>
      <c r="BK391" s="5"/>
      <c r="BL391" s="5"/>
      <c r="BM391" s="5"/>
      <c r="BN391" s="5"/>
      <c r="BO391" s="5"/>
      <c r="BP391" s="5"/>
      <c r="BQ391" s="5" t="s">
        <v>61</v>
      </c>
      <c r="BR391" s="5"/>
      <c r="BS391" s="5" t="s">
        <v>63</v>
      </c>
      <c r="BT391" s="5"/>
      <c r="BU391" s="5" t="s">
        <v>64</v>
      </c>
      <c r="BV391" s="5"/>
      <c r="BW391" s="5"/>
      <c r="BX391" s="5"/>
      <c r="BY391" s="5"/>
      <c r="BZ391" s="5"/>
      <c r="CA391" s="5"/>
      <c r="CB391" s="5"/>
      <c r="CC391" s="5"/>
      <c r="CD391" s="5"/>
      <c r="CE391" s="5"/>
      <c r="CF391" s="5"/>
      <c r="CG391" s="5"/>
      <c r="CH391" s="5"/>
      <c r="CI391" s="5" t="s">
        <v>417</v>
      </c>
      <c r="CJ391" s="5"/>
      <c r="CK391" s="5"/>
      <c r="CL391" s="5" t="s">
        <v>132</v>
      </c>
      <c r="CM391" s="103" t="s">
        <v>420</v>
      </c>
      <c r="CN391" s="5" t="s">
        <v>416</v>
      </c>
      <c r="CP391" s="5" t="s">
        <v>94</v>
      </c>
      <c r="CQ391" s="5" t="s">
        <v>84</v>
      </c>
      <c r="CR391" s="103" t="s">
        <v>85</v>
      </c>
      <c r="CS391" s="103" t="s">
        <v>86</v>
      </c>
      <c r="CT391" s="5" t="s">
        <v>384</v>
      </c>
      <c r="CU391" s="5" t="s">
        <v>86</v>
      </c>
      <c r="CV391" s="5"/>
      <c r="CW391" s="5"/>
      <c r="CX391" s="5"/>
      <c r="CY391" s="5"/>
      <c r="CZ391" s="5"/>
      <c r="DA391" s="5"/>
    </row>
    <row r="392" spans="1:105">
      <c r="A392" s="5">
        <v>114086703421</v>
      </c>
      <c r="B392" s="5" t="s">
        <v>16</v>
      </c>
      <c r="C392" s="5" t="s">
        <v>17</v>
      </c>
      <c r="D392" s="5" t="s">
        <v>18</v>
      </c>
      <c r="E392" s="5"/>
      <c r="F392" s="5"/>
      <c r="G392" s="5"/>
      <c r="H392" s="5" t="s">
        <v>22</v>
      </c>
      <c r="I392" s="5"/>
      <c r="J392" s="5" t="s">
        <v>24</v>
      </c>
      <c r="K392" s="5" t="s">
        <v>25</v>
      </c>
      <c r="L392" s="5"/>
      <c r="M392" s="5"/>
      <c r="N392" s="5" t="s">
        <v>28</v>
      </c>
      <c r="O392" s="5"/>
      <c r="P392" s="5"/>
      <c r="Q392" s="5" t="s">
        <v>17</v>
      </c>
      <c r="R392" s="5"/>
      <c r="S392" s="5"/>
      <c r="T392" s="5"/>
      <c r="U392" s="5"/>
      <c r="V392" s="5"/>
      <c r="W392" s="5" t="s">
        <v>23</v>
      </c>
      <c r="X392" s="5"/>
      <c r="Y392" s="5" t="s">
        <v>25</v>
      </c>
      <c r="Z392" s="5"/>
      <c r="AA392" s="5"/>
      <c r="AB392" s="5" t="s">
        <v>28</v>
      </c>
      <c r="AC392" s="5"/>
      <c r="AD392" s="5"/>
      <c r="AE392" s="5"/>
      <c r="AF392" s="5"/>
      <c r="AG392" s="5"/>
      <c r="AH392" s="5"/>
      <c r="AI392" s="5"/>
      <c r="AJ392" s="5"/>
      <c r="AK392" s="5"/>
      <c r="AL392" s="5"/>
      <c r="AM392" s="5" t="s">
        <v>375</v>
      </c>
      <c r="AN392" s="5"/>
      <c r="AO392" s="5"/>
      <c r="AP392" s="5" t="s">
        <v>39</v>
      </c>
      <c r="AQ392" s="5"/>
      <c r="AR392" s="5"/>
      <c r="AS392" s="5"/>
      <c r="AT392" s="5"/>
      <c r="AU392" s="5" t="s">
        <v>43</v>
      </c>
      <c r="AV392" s="5" t="s">
        <v>44</v>
      </c>
      <c r="AW392" s="5" t="s">
        <v>45</v>
      </c>
      <c r="AX392" s="5"/>
      <c r="AY392" s="5"/>
      <c r="AZ392" s="5"/>
      <c r="BA392" s="5"/>
      <c r="BB392" s="5" t="s">
        <v>49</v>
      </c>
      <c r="BC392" s="5"/>
      <c r="BD392" s="5" t="s">
        <v>51</v>
      </c>
      <c r="BE392" s="5" t="s">
        <v>17</v>
      </c>
      <c r="BF392" s="5"/>
      <c r="BG392" s="5" t="s">
        <v>53</v>
      </c>
      <c r="BH392" s="5"/>
      <c r="BI392" s="5" t="s">
        <v>55</v>
      </c>
      <c r="BJ392" s="5"/>
      <c r="BK392" s="5"/>
      <c r="BL392" s="5" t="s">
        <v>58</v>
      </c>
      <c r="BM392" s="5"/>
      <c r="BN392" s="5" t="s">
        <v>24</v>
      </c>
      <c r="BO392" s="5"/>
      <c r="BP392" s="5" t="s">
        <v>60</v>
      </c>
      <c r="BQ392" s="5" t="s">
        <v>61</v>
      </c>
      <c r="BR392" s="5" t="s">
        <v>62</v>
      </c>
      <c r="BS392" s="5"/>
      <c r="BT392" s="5"/>
      <c r="BU392" s="5" t="s">
        <v>64</v>
      </c>
      <c r="BV392" s="5"/>
      <c r="BW392" s="5" t="s">
        <v>66</v>
      </c>
      <c r="BX392" s="5" t="s">
        <v>67</v>
      </c>
      <c r="BY392" s="5"/>
      <c r="BZ392" s="5" t="s">
        <v>69</v>
      </c>
      <c r="CA392" s="5"/>
      <c r="CB392" s="5"/>
      <c r="CC392" s="5" t="s">
        <v>72</v>
      </c>
      <c r="CD392" s="5"/>
      <c r="CE392" s="5"/>
      <c r="CF392" s="5" t="s">
        <v>75</v>
      </c>
      <c r="CG392" s="5"/>
      <c r="CH392" s="5"/>
      <c r="CI392" s="5" t="s">
        <v>417</v>
      </c>
      <c r="CJ392" s="5"/>
      <c r="CK392" s="5" t="s">
        <v>356</v>
      </c>
      <c r="CL392" s="5">
        <v>11367</v>
      </c>
      <c r="CM392" s="103" t="s">
        <v>418</v>
      </c>
      <c r="CN392" s="5" t="s">
        <v>419</v>
      </c>
      <c r="CO392" s="103" t="s">
        <v>82</v>
      </c>
      <c r="CP392" s="5" t="s">
        <v>83</v>
      </c>
      <c r="CQ392" s="5" t="s">
        <v>84</v>
      </c>
      <c r="CR392" s="103" t="s">
        <v>85</v>
      </c>
      <c r="CS392" s="103" t="s">
        <v>86</v>
      </c>
      <c r="CT392" s="5" t="s">
        <v>384</v>
      </c>
      <c r="CU392" s="5" t="s">
        <v>86</v>
      </c>
      <c r="CV392" s="5"/>
      <c r="CW392" s="5"/>
      <c r="CX392" s="5"/>
      <c r="CY392" s="5"/>
      <c r="CZ392" s="5"/>
      <c r="DA392" s="5"/>
    </row>
    <row r="393" spans="1:105">
      <c r="A393" s="5">
        <v>114086547834</v>
      </c>
      <c r="B393" s="5"/>
      <c r="C393" s="5"/>
      <c r="D393" s="5"/>
      <c r="E393" s="5" t="s">
        <v>19</v>
      </c>
      <c r="F393" s="5"/>
      <c r="G393" s="5"/>
      <c r="H393" s="5"/>
      <c r="I393" s="5"/>
      <c r="J393" s="5"/>
      <c r="K393" s="5" t="s">
        <v>25</v>
      </c>
      <c r="L393" s="5" t="s">
        <v>26</v>
      </c>
      <c r="M393" s="5"/>
      <c r="N393" s="5"/>
      <c r="O393" s="5"/>
      <c r="P393" s="5"/>
      <c r="Q393" s="5"/>
      <c r="R393" s="5"/>
      <c r="S393" s="5" t="s">
        <v>19</v>
      </c>
      <c r="T393" s="5"/>
      <c r="U393" s="5"/>
      <c r="V393" s="5"/>
      <c r="W393" s="5"/>
      <c r="X393" s="5"/>
      <c r="Y393" s="5" t="s">
        <v>25</v>
      </c>
      <c r="Z393" s="5"/>
      <c r="AA393" s="5" t="s">
        <v>27</v>
      </c>
      <c r="AB393" s="5"/>
      <c r="AC393" s="5"/>
      <c r="AD393" s="5"/>
      <c r="AE393" s="5"/>
      <c r="AF393" s="5"/>
      <c r="AG393" s="5"/>
      <c r="AH393" s="5"/>
      <c r="AI393" s="5" t="s">
        <v>34</v>
      </c>
      <c r="AJ393" s="5"/>
      <c r="AK393" s="5"/>
      <c r="AL393" s="5"/>
      <c r="AM393" s="5"/>
      <c r="AN393" s="5"/>
      <c r="AO393" s="5"/>
      <c r="AP393" s="5" t="s">
        <v>39</v>
      </c>
      <c r="AQ393" s="5"/>
      <c r="AR393" s="5"/>
      <c r="AS393" s="5"/>
      <c r="AT393" s="5"/>
      <c r="AU393" s="5"/>
      <c r="AV393" s="5" t="s">
        <v>44</v>
      </c>
      <c r="AW393" s="5"/>
      <c r="AX393" s="5" t="s">
        <v>46</v>
      </c>
      <c r="AY393" s="5"/>
      <c r="AZ393" s="5"/>
      <c r="BA393" s="5"/>
      <c r="BB393" s="5"/>
      <c r="BC393" s="5"/>
      <c r="BD393" s="5"/>
      <c r="BE393" s="5"/>
      <c r="BF393" s="5"/>
      <c r="BG393" s="5"/>
      <c r="BH393" s="5"/>
      <c r="BI393" s="5" t="s">
        <v>55</v>
      </c>
      <c r="BJ393" s="5"/>
      <c r="BK393" s="5"/>
      <c r="BL393" s="5"/>
      <c r="BM393" s="5" t="s">
        <v>59</v>
      </c>
      <c r="BN393" s="5"/>
      <c r="BO393" s="5"/>
      <c r="BP393" s="5"/>
      <c r="BQ393" s="5"/>
      <c r="BR393" s="5" t="s">
        <v>62</v>
      </c>
      <c r="BS393" s="5" t="s">
        <v>63</v>
      </c>
      <c r="BT393" s="5"/>
      <c r="BU393" s="5" t="s">
        <v>64</v>
      </c>
      <c r="BV393" s="5"/>
      <c r="BW393" s="5"/>
      <c r="BX393" s="5"/>
      <c r="BY393" s="5"/>
      <c r="BZ393" s="5"/>
      <c r="CA393" s="5"/>
      <c r="CB393" s="5"/>
      <c r="CC393" s="5"/>
      <c r="CD393" s="5"/>
      <c r="CE393" s="5"/>
      <c r="CF393" s="5" t="s">
        <v>75</v>
      </c>
      <c r="CG393" s="5"/>
      <c r="CH393" s="5"/>
      <c r="CI393" s="5" t="s">
        <v>417</v>
      </c>
      <c r="CJ393" s="5"/>
      <c r="CK393" s="5" t="s">
        <v>141</v>
      </c>
      <c r="CL393" s="5" t="s">
        <v>183</v>
      </c>
      <c r="CM393" s="103" t="s">
        <v>106</v>
      </c>
      <c r="CN393" s="5" t="s">
        <v>419</v>
      </c>
      <c r="CO393" s="103" t="s">
        <v>82</v>
      </c>
      <c r="CP393" s="5" t="s">
        <v>83</v>
      </c>
      <c r="CQ393" s="5" t="s">
        <v>103</v>
      </c>
      <c r="CR393" s="103" t="s">
        <v>85</v>
      </c>
      <c r="CS393" s="103" t="s">
        <v>86</v>
      </c>
      <c r="CT393" s="5" t="s">
        <v>384</v>
      </c>
      <c r="CU393" s="5" t="s">
        <v>86</v>
      </c>
      <c r="CV393" s="5"/>
      <c r="CW393" s="5"/>
      <c r="CX393" s="5"/>
      <c r="CY393" s="5"/>
      <c r="CZ393" s="5"/>
      <c r="DA393" s="5"/>
    </row>
    <row r="394" spans="1:105">
      <c r="A394" s="5">
        <v>114086512910</v>
      </c>
      <c r="B394" s="5"/>
      <c r="C394" s="5" t="s">
        <v>17</v>
      </c>
      <c r="D394" s="5"/>
      <c r="E394" s="5"/>
      <c r="F394" s="5"/>
      <c r="G394" s="5"/>
      <c r="H394" s="5" t="s">
        <v>22</v>
      </c>
      <c r="I394" s="5"/>
      <c r="J394" s="5"/>
      <c r="K394" s="5" t="s">
        <v>25</v>
      </c>
      <c r="L394" s="5" t="s">
        <v>26</v>
      </c>
      <c r="M394" s="5"/>
      <c r="N394" s="5"/>
      <c r="O394" s="5"/>
      <c r="P394" s="5"/>
      <c r="Q394" s="5"/>
      <c r="R394" s="5"/>
      <c r="S394" s="5"/>
      <c r="T394" s="5"/>
      <c r="U394" s="5"/>
      <c r="V394" s="5" t="s">
        <v>22</v>
      </c>
      <c r="W394" s="5"/>
      <c r="X394" s="5"/>
      <c r="Y394" s="5" t="s">
        <v>25</v>
      </c>
      <c r="Z394" s="5"/>
      <c r="AA394" s="5"/>
      <c r="AB394" s="5"/>
      <c r="AC394" s="5"/>
      <c r="AD394" s="5"/>
      <c r="AE394" s="5"/>
      <c r="AF394" s="5"/>
      <c r="AG394" s="5"/>
      <c r="AH394" s="5"/>
      <c r="AI394" s="5" t="s">
        <v>34</v>
      </c>
      <c r="AJ394" s="5"/>
      <c r="AK394" s="5"/>
      <c r="AL394" s="5"/>
      <c r="AM394" s="5"/>
      <c r="AN394" s="5"/>
      <c r="AO394" s="5"/>
      <c r="AP394" s="5" t="s">
        <v>39</v>
      </c>
      <c r="AQ394" s="5"/>
      <c r="AR394" s="5"/>
      <c r="AS394" s="5" t="s">
        <v>42</v>
      </c>
      <c r="AT394" s="5"/>
      <c r="AU394" s="5"/>
      <c r="AV394" s="5"/>
      <c r="AW394" s="5"/>
      <c r="AX394" s="5"/>
      <c r="AY394" s="5" t="s">
        <v>47</v>
      </c>
      <c r="AZ394" s="5"/>
      <c r="BA394" s="5"/>
      <c r="BB394" s="5"/>
      <c r="BC394" s="5" t="s">
        <v>50</v>
      </c>
      <c r="BD394" s="5" t="s">
        <v>51</v>
      </c>
      <c r="BE394" s="5" t="s">
        <v>17</v>
      </c>
      <c r="BF394" s="5"/>
      <c r="BG394" s="5"/>
      <c r="BH394" s="5"/>
      <c r="BI394" s="5"/>
      <c r="BJ394" s="5"/>
      <c r="BK394" s="5"/>
      <c r="BL394" s="5"/>
      <c r="BM394" s="5"/>
      <c r="BN394" s="5"/>
      <c r="BO394" s="5"/>
      <c r="BP394" s="5"/>
      <c r="BQ394" s="5"/>
      <c r="BR394" s="5"/>
      <c r="BS394" s="5"/>
      <c r="BT394" s="5"/>
      <c r="BU394" s="5" t="s">
        <v>64</v>
      </c>
      <c r="BV394" s="5"/>
      <c r="BW394" s="5"/>
      <c r="BX394" s="5"/>
      <c r="BY394" s="5"/>
      <c r="BZ394" s="5"/>
      <c r="CA394" s="5"/>
      <c r="CB394" s="5"/>
      <c r="CC394" s="5"/>
      <c r="CD394" s="5"/>
      <c r="CE394" s="5"/>
      <c r="CF394" s="5" t="s">
        <v>75</v>
      </c>
      <c r="CG394" s="5"/>
      <c r="CH394" s="5"/>
      <c r="CI394" s="5" t="s">
        <v>417</v>
      </c>
      <c r="CJ394" s="5"/>
      <c r="CK394" s="5" t="s">
        <v>141</v>
      </c>
      <c r="CL394" s="5" t="s">
        <v>165</v>
      </c>
      <c r="CM394" s="103" t="s">
        <v>418</v>
      </c>
      <c r="CN394" s="5" t="s">
        <v>416</v>
      </c>
      <c r="CO394" s="103" t="s">
        <v>82</v>
      </c>
      <c r="CP394" s="5"/>
      <c r="CQ394" s="5" t="s">
        <v>88</v>
      </c>
      <c r="CR394" s="103" t="s">
        <v>85</v>
      </c>
      <c r="CS394" s="103" t="s">
        <v>86</v>
      </c>
      <c r="CT394" s="5" t="s">
        <v>384</v>
      </c>
      <c r="CU394" s="5" t="s">
        <v>86</v>
      </c>
      <c r="CV394" s="5"/>
      <c r="CW394" s="5"/>
      <c r="CX394" s="5"/>
      <c r="CY394" s="5"/>
      <c r="CZ394" s="5"/>
      <c r="DA394" s="5"/>
    </row>
    <row r="395" spans="1:105">
      <c r="A395" s="5">
        <v>114086485509</v>
      </c>
      <c r="B395" s="5"/>
      <c r="C395" s="5"/>
      <c r="D395" s="5"/>
      <c r="E395" s="5" t="s">
        <v>19</v>
      </c>
      <c r="F395" s="5"/>
      <c r="G395" s="5"/>
      <c r="H395" s="5"/>
      <c r="I395" s="5"/>
      <c r="J395" s="5"/>
      <c r="K395" s="5"/>
      <c r="L395" s="5"/>
      <c r="M395" s="5"/>
      <c r="N395" s="5"/>
      <c r="O395" s="5"/>
      <c r="P395" s="5"/>
      <c r="Q395" s="5"/>
      <c r="R395" s="5"/>
      <c r="S395" s="5"/>
      <c r="T395" s="5"/>
      <c r="U395" s="5"/>
      <c r="V395" s="5"/>
      <c r="W395" s="5"/>
      <c r="X395" s="5"/>
      <c r="Y395" s="5"/>
      <c r="Z395" s="5"/>
      <c r="AA395" s="5"/>
      <c r="AB395" s="5" t="s">
        <v>28</v>
      </c>
      <c r="AC395" s="5"/>
      <c r="AD395" s="5"/>
      <c r="AE395" s="5"/>
      <c r="AF395" s="5"/>
      <c r="AG395" s="5"/>
      <c r="AH395" s="5"/>
      <c r="AI395" s="5" t="s">
        <v>34</v>
      </c>
      <c r="AJ395" s="5"/>
      <c r="AK395" s="5"/>
      <c r="AL395" s="5"/>
      <c r="AM395" s="5"/>
      <c r="AN395" s="5"/>
      <c r="AO395" s="5" t="s">
        <v>38</v>
      </c>
      <c r="AP395" s="5" t="s">
        <v>39</v>
      </c>
      <c r="AQ395" s="5"/>
      <c r="AR395" s="5"/>
      <c r="AS395" s="5"/>
      <c r="AT395" s="5"/>
      <c r="AU395" s="5" t="s">
        <v>43</v>
      </c>
      <c r="AV395" s="5"/>
      <c r="AW395" s="5"/>
      <c r="AX395" s="5" t="s">
        <v>46</v>
      </c>
      <c r="AY395" s="5" t="s">
        <v>47</v>
      </c>
      <c r="AZ395" s="5" t="s">
        <v>48</v>
      </c>
      <c r="BA395" s="5"/>
      <c r="BB395" s="5"/>
      <c r="BC395" s="5"/>
      <c r="BD395" s="5" t="s">
        <v>51</v>
      </c>
      <c r="BE395" s="5"/>
      <c r="BF395" s="5" t="s">
        <v>52</v>
      </c>
      <c r="BG395" s="5"/>
      <c r="BH395" s="5"/>
      <c r="BI395" s="5" t="s">
        <v>55</v>
      </c>
      <c r="BJ395" s="5"/>
      <c r="BK395" s="5"/>
      <c r="BL395" s="5"/>
      <c r="BM395" s="5"/>
      <c r="BN395" s="5"/>
      <c r="BO395" s="5"/>
      <c r="BP395" s="5"/>
      <c r="BQ395" s="5"/>
      <c r="BR395" s="5" t="s">
        <v>62</v>
      </c>
      <c r="BS395" s="5" t="s">
        <v>63</v>
      </c>
      <c r="BT395" s="5"/>
      <c r="BU395" s="5" t="s">
        <v>64</v>
      </c>
      <c r="BV395" s="5"/>
      <c r="BW395" s="5"/>
      <c r="BX395" s="5"/>
      <c r="BY395" s="5"/>
      <c r="BZ395" s="5"/>
      <c r="CA395" s="5"/>
      <c r="CB395" s="5"/>
      <c r="CC395" s="5"/>
      <c r="CD395" s="5"/>
      <c r="CE395" s="5"/>
      <c r="CF395" s="5"/>
      <c r="CG395" s="5"/>
      <c r="CH395" s="5"/>
      <c r="CI395" s="5" t="s">
        <v>417</v>
      </c>
      <c r="CJ395" s="5"/>
      <c r="CK395" s="5" t="s">
        <v>80</v>
      </c>
      <c r="CL395" s="5" t="s">
        <v>117</v>
      </c>
      <c r="CM395" s="103" t="s">
        <v>418</v>
      </c>
      <c r="CN395" s="5" t="s">
        <v>416</v>
      </c>
      <c r="CO395" s="103" t="s">
        <v>82</v>
      </c>
      <c r="CP395" s="5" t="s">
        <v>83</v>
      </c>
      <c r="CQ395" s="5" t="s">
        <v>84</v>
      </c>
      <c r="CR395" s="103" t="s">
        <v>85</v>
      </c>
      <c r="CS395" s="103" t="s">
        <v>86</v>
      </c>
      <c r="CT395" s="5" t="s">
        <v>384</v>
      </c>
      <c r="CU395" s="5" t="s">
        <v>86</v>
      </c>
      <c r="CV395" s="5"/>
      <c r="CW395" s="5"/>
      <c r="CX395" s="5"/>
      <c r="CY395" s="5"/>
      <c r="CZ395" s="5"/>
      <c r="DA395" s="5"/>
    </row>
    <row r="396" spans="1:105">
      <c r="A396" s="5">
        <v>114086434376</v>
      </c>
      <c r="B396" s="5"/>
      <c r="C396" s="5"/>
      <c r="D396" s="5"/>
      <c r="E396" s="5"/>
      <c r="F396" s="5"/>
      <c r="G396" s="5"/>
      <c r="H396" s="5"/>
      <c r="I396" s="5"/>
      <c r="J396" s="5"/>
      <c r="K396" s="5" t="s">
        <v>25</v>
      </c>
      <c r="L396" s="5" t="s">
        <v>26</v>
      </c>
      <c r="M396" s="5"/>
      <c r="N396" s="5"/>
      <c r="O396" s="5"/>
      <c r="P396" s="5"/>
      <c r="Q396" s="5"/>
      <c r="R396" s="5"/>
      <c r="S396" s="5"/>
      <c r="T396" s="5"/>
      <c r="U396" s="5"/>
      <c r="V396" s="5"/>
      <c r="W396" s="5"/>
      <c r="X396" s="5" t="s">
        <v>24</v>
      </c>
      <c r="Y396" s="5" t="s">
        <v>25</v>
      </c>
      <c r="Z396" s="5"/>
      <c r="AA396" s="5"/>
      <c r="AB396" s="5"/>
      <c r="AC396" s="5"/>
      <c r="AD396" s="5"/>
      <c r="AE396" s="5" t="s">
        <v>30</v>
      </c>
      <c r="AF396" s="5" t="s">
        <v>31</v>
      </c>
      <c r="AG396" s="5"/>
      <c r="AH396" s="5"/>
      <c r="AI396" s="5"/>
      <c r="AJ396" s="5"/>
      <c r="AK396" s="5"/>
      <c r="AL396" s="5" t="s">
        <v>37</v>
      </c>
      <c r="AM396" s="5" t="s">
        <v>375</v>
      </c>
      <c r="AN396" s="5"/>
      <c r="AO396" s="5"/>
      <c r="AP396" s="5" t="s">
        <v>39</v>
      </c>
      <c r="AQ396" s="5"/>
      <c r="AR396" s="5" t="s">
        <v>41</v>
      </c>
      <c r="AS396" s="5" t="s">
        <v>42</v>
      </c>
      <c r="AT396" s="5" t="s">
        <v>37</v>
      </c>
      <c r="AU396" s="5" t="s">
        <v>43</v>
      </c>
      <c r="AV396" s="5"/>
      <c r="AW396" s="5"/>
      <c r="AX396" s="5" t="s">
        <v>46</v>
      </c>
      <c r="AY396" s="5" t="s">
        <v>47</v>
      </c>
      <c r="AZ396" s="5" t="s">
        <v>48</v>
      </c>
      <c r="BA396" s="5"/>
      <c r="BB396" s="5" t="s">
        <v>49</v>
      </c>
      <c r="BC396" s="5"/>
      <c r="BD396" s="5" t="s">
        <v>51</v>
      </c>
      <c r="BE396" s="5"/>
      <c r="BF396" s="5" t="s">
        <v>52</v>
      </c>
      <c r="BG396" s="5"/>
      <c r="BH396" s="5"/>
      <c r="BI396" s="5"/>
      <c r="BJ396" s="5"/>
      <c r="BK396" s="5" t="s">
        <v>57</v>
      </c>
      <c r="BL396" s="5" t="s">
        <v>58</v>
      </c>
      <c r="BM396" s="5"/>
      <c r="BN396" s="5" t="s">
        <v>24</v>
      </c>
      <c r="BO396" s="5"/>
      <c r="BP396" s="5" t="s">
        <v>60</v>
      </c>
      <c r="BQ396" s="5" t="s">
        <v>61</v>
      </c>
      <c r="BR396" s="5"/>
      <c r="BS396" s="5" t="s">
        <v>63</v>
      </c>
      <c r="BT396" s="5"/>
      <c r="BU396" s="5" t="s">
        <v>64</v>
      </c>
      <c r="BV396" s="5"/>
      <c r="BW396" s="5"/>
      <c r="BX396" s="5"/>
      <c r="BY396" s="5"/>
      <c r="BZ396" s="5"/>
      <c r="CA396" s="5"/>
      <c r="CB396" s="5"/>
      <c r="CC396" s="5"/>
      <c r="CD396" s="5"/>
      <c r="CE396" s="5"/>
      <c r="CF396" s="5" t="s">
        <v>75</v>
      </c>
      <c r="CG396" s="5"/>
      <c r="CH396" s="5"/>
      <c r="CI396" s="5" t="s">
        <v>417</v>
      </c>
      <c r="CJ396" s="5"/>
      <c r="CK396" s="5" t="s">
        <v>80</v>
      </c>
      <c r="CL396" s="5" t="s">
        <v>131</v>
      </c>
      <c r="CM396" s="103" t="s">
        <v>420</v>
      </c>
      <c r="CN396" s="5" t="s">
        <v>419</v>
      </c>
      <c r="CO396" s="103" t="s">
        <v>82</v>
      </c>
      <c r="CP396" s="5" t="s">
        <v>97</v>
      </c>
      <c r="CQ396" s="5" t="s">
        <v>106</v>
      </c>
      <c r="CR396" s="103" t="s">
        <v>85</v>
      </c>
      <c r="CS396" s="103" t="s">
        <v>86</v>
      </c>
      <c r="CT396" s="5" t="s">
        <v>384</v>
      </c>
      <c r="CU396" s="5" t="s">
        <v>86</v>
      </c>
      <c r="CV396" s="5"/>
      <c r="CW396" s="5"/>
      <c r="CX396" s="5"/>
      <c r="CY396" s="5"/>
      <c r="CZ396" s="5"/>
      <c r="DA396" s="5"/>
    </row>
    <row r="397" spans="1:105">
      <c r="A397" s="5">
        <v>114086430098</v>
      </c>
      <c r="B397" s="5"/>
      <c r="C397" s="5"/>
      <c r="D397" s="5"/>
      <c r="E397" s="5"/>
      <c r="F397" s="5"/>
      <c r="G397" s="5"/>
      <c r="H397" s="5"/>
      <c r="I397" s="5"/>
      <c r="J397" s="5"/>
      <c r="K397" s="5" t="s">
        <v>25</v>
      </c>
      <c r="L397" s="5"/>
      <c r="M397" s="5"/>
      <c r="N397" s="5" t="s">
        <v>28</v>
      </c>
      <c r="O397" s="5"/>
      <c r="P397" s="5"/>
      <c r="Q397" s="5"/>
      <c r="R397" s="5" t="s">
        <v>18</v>
      </c>
      <c r="S397" s="5"/>
      <c r="T397" s="5"/>
      <c r="U397" s="5"/>
      <c r="V397" s="5"/>
      <c r="W397" s="5" t="s">
        <v>23</v>
      </c>
      <c r="X397" s="5" t="s">
        <v>24</v>
      </c>
      <c r="Y397" s="5"/>
      <c r="Z397" s="5"/>
      <c r="AA397" s="5"/>
      <c r="AB397" s="5" t="s">
        <v>28</v>
      </c>
      <c r="AC397" s="5"/>
      <c r="AD397" s="5"/>
      <c r="AE397" s="5"/>
      <c r="AF397" s="5"/>
      <c r="AG397" s="5"/>
      <c r="AH397" s="5"/>
      <c r="AI397" s="5"/>
      <c r="AJ397" s="5"/>
      <c r="AK397" s="5"/>
      <c r="AL397" s="5"/>
      <c r="AM397" s="5"/>
      <c r="AN397" s="5"/>
      <c r="AO397" s="5" t="s">
        <v>38</v>
      </c>
      <c r="AP397" s="5" t="s">
        <v>39</v>
      </c>
      <c r="AQ397" s="5"/>
      <c r="AR397" s="5"/>
      <c r="AS397" s="5" t="s">
        <v>42</v>
      </c>
      <c r="AT397" s="5"/>
      <c r="AU397" s="5" t="s">
        <v>43</v>
      </c>
      <c r="AV397" s="5"/>
      <c r="AW397" s="5"/>
      <c r="AX397" s="5" t="s">
        <v>46</v>
      </c>
      <c r="AY397" s="5"/>
      <c r="AZ397" s="5"/>
      <c r="BA397" s="5"/>
      <c r="BB397" s="5"/>
      <c r="BC397" s="5"/>
      <c r="BD397" s="5" t="s">
        <v>51</v>
      </c>
      <c r="BE397" s="5"/>
      <c r="BF397" s="5"/>
      <c r="BG397" s="5"/>
      <c r="BH397" s="5"/>
      <c r="BI397" s="5" t="s">
        <v>55</v>
      </c>
      <c r="BJ397" s="5"/>
      <c r="BK397" s="5"/>
      <c r="BL397" s="5"/>
      <c r="BM397" s="5"/>
      <c r="BN397" s="5"/>
      <c r="BO397" s="5"/>
      <c r="BP397" s="5"/>
      <c r="BQ397" s="5"/>
      <c r="BR397" s="5"/>
      <c r="BS397" s="5"/>
      <c r="BT397" s="5"/>
      <c r="BU397" s="5"/>
      <c r="BV397" s="5"/>
      <c r="BW397" s="5" t="s">
        <v>66</v>
      </c>
      <c r="BX397" s="5"/>
      <c r="BY397" s="5"/>
      <c r="BZ397" s="5" t="s">
        <v>69</v>
      </c>
      <c r="CA397" s="5"/>
      <c r="CB397" s="5"/>
      <c r="CC397" s="5"/>
      <c r="CD397" s="5" t="s">
        <v>73</v>
      </c>
      <c r="CE397" s="5"/>
      <c r="CF397" s="5" t="s">
        <v>75</v>
      </c>
      <c r="CG397" s="5"/>
      <c r="CH397" s="5"/>
      <c r="CI397" s="5" t="s">
        <v>417</v>
      </c>
      <c r="CJ397" s="5"/>
      <c r="CK397" s="5" t="s">
        <v>80</v>
      </c>
      <c r="CL397" s="5" t="s">
        <v>137</v>
      </c>
      <c r="CM397" s="103" t="s">
        <v>415</v>
      </c>
      <c r="CN397" s="5" t="s">
        <v>416</v>
      </c>
      <c r="CO397" s="103" t="s">
        <v>82</v>
      </c>
      <c r="CP397" s="5" t="s">
        <v>94</v>
      </c>
      <c r="CQ397" s="5" t="s">
        <v>103</v>
      </c>
      <c r="CR397" s="103" t="s">
        <v>85</v>
      </c>
      <c r="CS397" s="103" t="s">
        <v>86</v>
      </c>
      <c r="CT397" s="5" t="s">
        <v>384</v>
      </c>
      <c r="CU397" s="5" t="s">
        <v>86</v>
      </c>
      <c r="CV397" s="5"/>
      <c r="CW397" s="5"/>
      <c r="CX397" s="5"/>
      <c r="CY397" s="5"/>
      <c r="CZ397" s="5"/>
      <c r="DA397" s="5"/>
    </row>
    <row r="398" spans="1:105">
      <c r="A398" s="5">
        <v>114086397914</v>
      </c>
      <c r="B398" s="5"/>
      <c r="C398" s="5" t="s">
        <v>17</v>
      </c>
      <c r="D398" s="5"/>
      <c r="E398" s="5"/>
      <c r="F398" s="5"/>
      <c r="G398" s="5"/>
      <c r="H398" s="5"/>
      <c r="I398" s="5"/>
      <c r="J398" s="5"/>
      <c r="K398" s="5" t="s">
        <v>25</v>
      </c>
      <c r="L398" s="5" t="s">
        <v>26</v>
      </c>
      <c r="M398" s="5"/>
      <c r="N398" s="5"/>
      <c r="O398" s="5"/>
      <c r="P398" s="5"/>
      <c r="Q398" s="5" t="s">
        <v>17</v>
      </c>
      <c r="R398" s="5"/>
      <c r="S398" s="5" t="s">
        <v>19</v>
      </c>
      <c r="T398" s="5"/>
      <c r="U398" s="5"/>
      <c r="V398" s="5"/>
      <c r="W398" s="5"/>
      <c r="X398" s="5"/>
      <c r="Y398" s="5"/>
      <c r="Z398" s="5" t="s">
        <v>26</v>
      </c>
      <c r="AA398" s="5"/>
      <c r="AB398" s="5"/>
      <c r="AC398" s="5"/>
      <c r="AD398" s="5"/>
      <c r="AE398" s="5"/>
      <c r="AF398" s="5"/>
      <c r="AG398" s="5"/>
      <c r="AH398" s="5"/>
      <c r="AI398" s="5"/>
      <c r="AJ398" s="5" t="s">
        <v>35</v>
      </c>
      <c r="AK398" s="5"/>
      <c r="AL398" s="5"/>
      <c r="AM398" s="5"/>
      <c r="AN398" s="5"/>
      <c r="AO398" s="5" t="s">
        <v>38</v>
      </c>
      <c r="AP398" s="5" t="s">
        <v>39</v>
      </c>
      <c r="AQ398" s="5"/>
      <c r="AR398" s="5" t="s">
        <v>41</v>
      </c>
      <c r="AS398" s="5"/>
      <c r="AT398" s="5"/>
      <c r="AU398" s="5"/>
      <c r="AV398" s="5"/>
      <c r="AW398" s="5"/>
      <c r="AX398" s="5"/>
      <c r="AY398" s="5"/>
      <c r="AZ398" s="5"/>
      <c r="BA398" s="5"/>
      <c r="BB398" s="5"/>
      <c r="BC398" s="5"/>
      <c r="BD398" s="5" t="s">
        <v>51</v>
      </c>
      <c r="BE398" s="5"/>
      <c r="BF398" s="5"/>
      <c r="BG398" s="5"/>
      <c r="BH398" s="5"/>
      <c r="BI398" s="5"/>
      <c r="BJ398" s="5"/>
      <c r="BK398" s="5"/>
      <c r="BL398" s="5"/>
      <c r="BM398" s="5"/>
      <c r="BN398" s="5"/>
      <c r="BO398" s="5"/>
      <c r="BP398" s="5"/>
      <c r="BQ398" s="5"/>
      <c r="BR398" s="5" t="s">
        <v>62</v>
      </c>
      <c r="BS398" s="5" t="s">
        <v>63</v>
      </c>
      <c r="BT398" s="5"/>
      <c r="BU398" s="5" t="s">
        <v>64</v>
      </c>
      <c r="BV398" s="5"/>
      <c r="BW398" s="5"/>
      <c r="BX398" s="5"/>
      <c r="BY398" s="5"/>
      <c r="BZ398" s="5"/>
      <c r="CA398" s="5"/>
      <c r="CB398" s="5"/>
      <c r="CC398" s="5" t="s">
        <v>72</v>
      </c>
      <c r="CD398" s="5"/>
      <c r="CE398" s="5"/>
      <c r="CF398" s="5" t="s">
        <v>75</v>
      </c>
      <c r="CG398" s="5"/>
      <c r="CH398" s="5"/>
      <c r="CI398" s="5" t="s">
        <v>417</v>
      </c>
      <c r="CJ398" s="5"/>
      <c r="CK398" s="5" t="s">
        <v>141</v>
      </c>
      <c r="CL398" s="5" t="s">
        <v>145</v>
      </c>
      <c r="CM398" s="103" t="s">
        <v>418</v>
      </c>
      <c r="CN398" s="5" t="s">
        <v>469</v>
      </c>
      <c r="CO398" s="103" t="s">
        <v>82</v>
      </c>
      <c r="CP398" s="5" t="s">
        <v>93</v>
      </c>
      <c r="CQ398" s="5" t="s">
        <v>102</v>
      </c>
      <c r="CR398" s="103" t="s">
        <v>85</v>
      </c>
      <c r="CS398" s="103" t="s">
        <v>86</v>
      </c>
      <c r="CT398" s="5" t="s">
        <v>384</v>
      </c>
      <c r="CU398" s="5" t="s">
        <v>86</v>
      </c>
      <c r="CV398" s="5"/>
      <c r="CW398" s="5"/>
      <c r="CX398" s="5"/>
      <c r="CY398" s="5"/>
      <c r="CZ398" s="5"/>
      <c r="DA398" s="5"/>
    </row>
    <row r="399" spans="1:105">
      <c r="A399" s="5">
        <v>114086383426</v>
      </c>
      <c r="B399" s="5" t="s">
        <v>16</v>
      </c>
      <c r="C399" s="5"/>
      <c r="D399" s="5" t="s">
        <v>18</v>
      </c>
      <c r="E399" s="5"/>
      <c r="F399" s="5" t="s">
        <v>20</v>
      </c>
      <c r="G399" s="5" t="s">
        <v>21</v>
      </c>
      <c r="H399" s="5" t="s">
        <v>22</v>
      </c>
      <c r="I399" s="5" t="s">
        <v>23</v>
      </c>
      <c r="J399" s="5" t="s">
        <v>24</v>
      </c>
      <c r="K399" s="5" t="s">
        <v>25</v>
      </c>
      <c r="L399" s="5" t="s">
        <v>26</v>
      </c>
      <c r="M399" s="5"/>
      <c r="N399" s="5" t="s">
        <v>28</v>
      </c>
      <c r="O399" s="5"/>
      <c r="P399" s="5"/>
      <c r="Q399" s="5"/>
      <c r="R399" s="5"/>
      <c r="S399" s="5"/>
      <c r="T399" s="5"/>
      <c r="U399" s="5"/>
      <c r="V399" s="5" t="s">
        <v>22</v>
      </c>
      <c r="W399" s="5" t="s">
        <v>23</v>
      </c>
      <c r="X399" s="5"/>
      <c r="Y399" s="5"/>
      <c r="Z399" s="5"/>
      <c r="AA399" s="5"/>
      <c r="AB399" s="5"/>
      <c r="AC399" s="5"/>
      <c r="AD399" s="5"/>
      <c r="AE399" s="5" t="s">
        <v>30</v>
      </c>
      <c r="AF399" s="5"/>
      <c r="AG399" s="5"/>
      <c r="AH399" s="5"/>
      <c r="AI399" s="5"/>
      <c r="AJ399" s="5"/>
      <c r="AK399" s="5"/>
      <c r="AL399" s="5"/>
      <c r="AM399" s="5"/>
      <c r="AN399" s="5"/>
      <c r="AO399" s="5" t="s">
        <v>38</v>
      </c>
      <c r="AP399" s="5" t="s">
        <v>39</v>
      </c>
      <c r="AQ399" s="5" t="s">
        <v>40</v>
      </c>
      <c r="AR399" s="5" t="s">
        <v>41</v>
      </c>
      <c r="AS399" s="5" t="s">
        <v>42</v>
      </c>
      <c r="AT399" s="5" t="s">
        <v>37</v>
      </c>
      <c r="AU399" s="5" t="s">
        <v>43</v>
      </c>
      <c r="AV399" s="5" t="s">
        <v>44</v>
      </c>
      <c r="AW399" s="5" t="s">
        <v>45</v>
      </c>
      <c r="AX399" s="5" t="s">
        <v>46</v>
      </c>
      <c r="AY399" s="5" t="s">
        <v>47</v>
      </c>
      <c r="AZ399" s="5" t="s">
        <v>48</v>
      </c>
      <c r="BA399" s="5"/>
      <c r="BB399" s="5" t="s">
        <v>49</v>
      </c>
      <c r="BC399" s="5" t="s">
        <v>50</v>
      </c>
      <c r="BD399" s="5" t="s">
        <v>51</v>
      </c>
      <c r="BE399" s="5" t="s">
        <v>17</v>
      </c>
      <c r="BF399" s="5" t="s">
        <v>52</v>
      </c>
      <c r="BG399" s="5" t="s">
        <v>53</v>
      </c>
      <c r="BH399" s="5" t="s">
        <v>54</v>
      </c>
      <c r="BI399" s="5" t="s">
        <v>55</v>
      </c>
      <c r="BJ399" s="5" t="s">
        <v>56</v>
      </c>
      <c r="BK399" s="5" t="s">
        <v>57</v>
      </c>
      <c r="BL399" s="5" t="s">
        <v>58</v>
      </c>
      <c r="BM399" s="5" t="s">
        <v>59</v>
      </c>
      <c r="BN399" s="5" t="s">
        <v>24</v>
      </c>
      <c r="BO399" s="5" t="s">
        <v>20</v>
      </c>
      <c r="BP399" s="5" t="s">
        <v>60</v>
      </c>
      <c r="BQ399" s="5" t="s">
        <v>61</v>
      </c>
      <c r="BR399" s="5" t="s">
        <v>62</v>
      </c>
      <c r="BS399" s="5" t="s">
        <v>63</v>
      </c>
      <c r="BT399" s="5"/>
      <c r="BU399" s="5" t="s">
        <v>64</v>
      </c>
      <c r="BV399" s="5"/>
      <c r="BW399" s="5" t="s">
        <v>66</v>
      </c>
      <c r="BX399" s="5" t="s">
        <v>67</v>
      </c>
      <c r="BY399" s="5"/>
      <c r="BZ399" s="5" t="s">
        <v>69</v>
      </c>
      <c r="CA399" s="5" t="s">
        <v>70</v>
      </c>
      <c r="CB399" s="5"/>
      <c r="CC399" s="5"/>
      <c r="CD399" s="5" t="s">
        <v>73</v>
      </c>
      <c r="CE399" s="5" t="s">
        <v>74</v>
      </c>
      <c r="CF399" s="5" t="s">
        <v>75</v>
      </c>
      <c r="CG399" s="5"/>
      <c r="CH399" s="5"/>
      <c r="CI399" s="5" t="s">
        <v>417</v>
      </c>
      <c r="CJ399" s="5"/>
      <c r="CK399" s="5" t="s">
        <v>80</v>
      </c>
      <c r="CL399" s="5" t="s">
        <v>136</v>
      </c>
      <c r="CN399" s="5" t="s">
        <v>419</v>
      </c>
      <c r="CO399" s="103" t="s">
        <v>388</v>
      </c>
      <c r="CP399" s="5" t="s">
        <v>97</v>
      </c>
      <c r="CQ399" s="5" t="s">
        <v>88</v>
      </c>
      <c r="CR399" s="103" t="s">
        <v>85</v>
      </c>
      <c r="CS399" s="103" t="s">
        <v>86</v>
      </c>
      <c r="CT399" s="5" t="s">
        <v>384</v>
      </c>
      <c r="CU399" s="5" t="s">
        <v>86</v>
      </c>
      <c r="CV399" s="5"/>
      <c r="CW399" s="5"/>
      <c r="CX399" s="5"/>
      <c r="CY399" s="5"/>
      <c r="CZ399" s="5"/>
      <c r="DA399" s="5"/>
    </row>
    <row r="400" spans="1:105">
      <c r="A400" s="5">
        <v>114086379762</v>
      </c>
      <c r="B400" s="5"/>
      <c r="C400" s="5"/>
      <c r="D400" s="5"/>
      <c r="E400" s="5"/>
      <c r="F400" s="5"/>
      <c r="G400" s="5"/>
      <c r="H400" s="5" t="s">
        <v>22</v>
      </c>
      <c r="I400" s="5"/>
      <c r="J400" s="5"/>
      <c r="K400" s="5" t="s">
        <v>25</v>
      </c>
      <c r="L400" s="5" t="s">
        <v>26</v>
      </c>
      <c r="M400" s="5"/>
      <c r="N400" s="5"/>
      <c r="O400" s="5"/>
      <c r="P400" s="5"/>
      <c r="Q400" s="5"/>
      <c r="R400" s="5"/>
      <c r="S400" s="5"/>
      <c r="T400" s="5"/>
      <c r="U400" s="5"/>
      <c r="V400" s="5" t="s">
        <v>22</v>
      </c>
      <c r="W400" s="5"/>
      <c r="X400" s="5"/>
      <c r="Y400" s="5"/>
      <c r="Z400" s="5"/>
      <c r="AA400" s="5"/>
      <c r="AB400" s="5"/>
      <c r="AC400" s="5"/>
      <c r="AD400" s="5"/>
      <c r="AE400" s="5"/>
      <c r="AF400" s="5"/>
      <c r="AG400" s="5"/>
      <c r="AH400" s="5"/>
      <c r="AI400" s="5" t="s">
        <v>34</v>
      </c>
      <c r="AJ400" s="5"/>
      <c r="AK400" s="5"/>
      <c r="AL400" s="5"/>
      <c r="AM400" s="5"/>
      <c r="AN400" s="5"/>
      <c r="AO400" s="5"/>
      <c r="AP400" s="5" t="s">
        <v>39</v>
      </c>
      <c r="AQ400" s="5"/>
      <c r="AR400" s="5" t="s">
        <v>41</v>
      </c>
      <c r="AS400" s="5"/>
      <c r="AT400" s="5"/>
      <c r="AU400" s="5"/>
      <c r="AV400" s="5"/>
      <c r="AW400" s="5"/>
      <c r="AX400" s="5"/>
      <c r="AY400" s="5"/>
      <c r="AZ400" s="5"/>
      <c r="BA400" s="5"/>
      <c r="BB400" s="5"/>
      <c r="BC400" s="5"/>
      <c r="BD400" s="5" t="s">
        <v>51</v>
      </c>
      <c r="BE400" s="5"/>
      <c r="BF400" s="5"/>
      <c r="BG400" s="5"/>
      <c r="BH400" s="5"/>
      <c r="BI400" s="5"/>
      <c r="BJ400" s="5"/>
      <c r="BK400" s="5"/>
      <c r="BL400" s="5"/>
      <c r="BM400" s="5" t="s">
        <v>59</v>
      </c>
      <c r="BN400" s="5"/>
      <c r="BO400" s="5"/>
      <c r="BP400" s="5"/>
      <c r="BQ400" s="5"/>
      <c r="BR400" s="5"/>
      <c r="BS400" s="5" t="s">
        <v>63</v>
      </c>
      <c r="BT400" s="5"/>
      <c r="BU400" s="5" t="s">
        <v>64</v>
      </c>
      <c r="BV400" s="5"/>
      <c r="BW400" s="5"/>
      <c r="BX400" s="5"/>
      <c r="BY400" s="5"/>
      <c r="BZ400" s="5"/>
      <c r="CA400" s="5"/>
      <c r="CB400" s="5"/>
      <c r="CC400" s="5" t="s">
        <v>72</v>
      </c>
      <c r="CD400" s="5"/>
      <c r="CE400" s="5"/>
      <c r="CF400" s="5" t="s">
        <v>75</v>
      </c>
      <c r="CG400" s="5"/>
      <c r="CH400" s="5"/>
      <c r="CI400" s="5" t="s">
        <v>417</v>
      </c>
      <c r="CJ400" s="5"/>
      <c r="CK400" s="5" t="s">
        <v>80</v>
      </c>
      <c r="CL400" s="5" t="s">
        <v>117</v>
      </c>
      <c r="CN400" s="5" t="s">
        <v>416</v>
      </c>
      <c r="CO400" s="103" t="s">
        <v>82</v>
      </c>
      <c r="CP400" s="5" t="s">
        <v>83</v>
      </c>
      <c r="CQ400" s="5" t="s">
        <v>103</v>
      </c>
      <c r="CR400" s="103" t="s">
        <v>85</v>
      </c>
      <c r="CS400" s="103" t="s">
        <v>86</v>
      </c>
      <c r="CT400" s="5" t="s">
        <v>384</v>
      </c>
      <c r="CU400" s="5" t="s">
        <v>86</v>
      </c>
      <c r="CV400" s="5"/>
      <c r="CW400" s="5"/>
      <c r="CX400" s="5"/>
      <c r="CY400" s="5"/>
      <c r="CZ400" s="5"/>
      <c r="DA400" s="5"/>
    </row>
    <row r="401" spans="1:105">
      <c r="A401" s="5">
        <v>114086370794</v>
      </c>
      <c r="B401" s="5"/>
      <c r="C401" s="5" t="s">
        <v>17</v>
      </c>
      <c r="D401" s="5"/>
      <c r="E401" s="5"/>
      <c r="F401" s="5"/>
      <c r="G401" s="5"/>
      <c r="H401" s="5"/>
      <c r="I401" s="5"/>
      <c r="J401" s="5"/>
      <c r="K401" s="5"/>
      <c r="L401" s="5" t="s">
        <v>26</v>
      </c>
      <c r="M401" s="5"/>
      <c r="N401" s="5" t="s">
        <v>28</v>
      </c>
      <c r="O401" s="5"/>
      <c r="P401" s="5" t="s">
        <v>16</v>
      </c>
      <c r="Q401" s="5"/>
      <c r="R401" s="5"/>
      <c r="S401" s="5"/>
      <c r="T401" s="5"/>
      <c r="U401" s="5"/>
      <c r="V401" s="5"/>
      <c r="W401" s="5" t="s">
        <v>23</v>
      </c>
      <c r="X401" s="5"/>
      <c r="Y401" s="5"/>
      <c r="Z401" s="5"/>
      <c r="AA401" s="5"/>
      <c r="AB401" s="5"/>
      <c r="AC401" s="5"/>
      <c r="AD401" s="5"/>
      <c r="AE401" s="5"/>
      <c r="AF401" s="5" t="s">
        <v>31</v>
      </c>
      <c r="AG401" s="5"/>
      <c r="AH401" s="5"/>
      <c r="AI401" s="5"/>
      <c r="AJ401" s="5"/>
      <c r="AK401" s="5"/>
      <c r="AL401" s="5"/>
      <c r="AM401" s="5"/>
      <c r="AN401" s="5"/>
      <c r="AO401" s="5"/>
      <c r="AP401" s="5"/>
      <c r="AQ401" s="5"/>
      <c r="AR401" s="5" t="s">
        <v>41</v>
      </c>
      <c r="AS401" s="5"/>
      <c r="AT401" s="5"/>
      <c r="AU401" s="5" t="s">
        <v>43</v>
      </c>
      <c r="AV401" s="5"/>
      <c r="AW401" s="5"/>
      <c r="AX401" s="5" t="s">
        <v>46</v>
      </c>
      <c r="AY401" s="5"/>
      <c r="AZ401" s="5"/>
      <c r="BA401" s="5"/>
      <c r="BB401" s="5"/>
      <c r="BC401" s="5"/>
      <c r="BD401" s="5" t="s">
        <v>51</v>
      </c>
      <c r="BE401" s="5"/>
      <c r="BF401" s="5"/>
      <c r="BG401" s="5" t="s">
        <v>53</v>
      </c>
      <c r="BH401" s="5"/>
      <c r="BI401" s="5" t="s">
        <v>55</v>
      </c>
      <c r="BJ401" s="5"/>
      <c r="BK401" s="5"/>
      <c r="BL401" s="5"/>
      <c r="BM401" s="5"/>
      <c r="BN401" s="5"/>
      <c r="BO401" s="5"/>
      <c r="BP401" s="5"/>
      <c r="BQ401" s="5"/>
      <c r="BR401" s="5"/>
      <c r="BS401" s="5"/>
      <c r="BT401" s="5"/>
      <c r="BU401" s="5" t="s">
        <v>64</v>
      </c>
      <c r="BV401" s="5"/>
      <c r="BW401" s="5" t="s">
        <v>66</v>
      </c>
      <c r="BX401" s="5"/>
      <c r="BY401" s="5"/>
      <c r="BZ401" s="5"/>
      <c r="CA401" s="5"/>
      <c r="CB401" s="5"/>
      <c r="CC401" s="5"/>
      <c r="CD401" s="5"/>
      <c r="CE401" s="5"/>
      <c r="CF401" s="5" t="s">
        <v>75</v>
      </c>
      <c r="CG401" s="5"/>
      <c r="CH401" s="5"/>
      <c r="CI401" s="5" t="s">
        <v>417</v>
      </c>
      <c r="CJ401" s="5"/>
      <c r="CK401" s="5" t="s">
        <v>356</v>
      </c>
      <c r="CL401" s="5">
        <v>11414</v>
      </c>
      <c r="CN401" s="5" t="s">
        <v>419</v>
      </c>
      <c r="CO401" s="103" t="s">
        <v>473</v>
      </c>
      <c r="CP401" s="5" t="s">
        <v>93</v>
      </c>
      <c r="CQ401" s="5" t="s">
        <v>88</v>
      </c>
      <c r="CR401" s="103" t="s">
        <v>85</v>
      </c>
      <c r="CS401" s="103" t="s">
        <v>108</v>
      </c>
      <c r="CT401" s="5" t="s">
        <v>296</v>
      </c>
      <c r="CU401" s="5" t="s">
        <v>86</v>
      </c>
      <c r="CV401" s="5"/>
      <c r="CW401" s="5"/>
      <c r="CX401" s="5"/>
      <c r="CY401" s="5"/>
      <c r="CZ401" s="5"/>
      <c r="DA401" s="5"/>
    </row>
    <row r="402" spans="1:105">
      <c r="A402" s="5">
        <v>114086141494</v>
      </c>
      <c r="B402" s="5"/>
      <c r="C402" s="5" t="s">
        <v>17</v>
      </c>
      <c r="D402" s="5" t="s">
        <v>18</v>
      </c>
      <c r="E402" s="5"/>
      <c r="F402" s="5"/>
      <c r="G402" s="5"/>
      <c r="H402" s="5"/>
      <c r="I402" s="5"/>
      <c r="J402" s="5"/>
      <c r="K402" s="5" t="s">
        <v>25</v>
      </c>
      <c r="L402" s="5" t="s">
        <v>26</v>
      </c>
      <c r="M402" s="5"/>
      <c r="N402" s="5" t="s">
        <v>28</v>
      </c>
      <c r="O402" s="5"/>
      <c r="P402" s="5"/>
      <c r="Q402" s="5"/>
      <c r="R402" s="5"/>
      <c r="S402" s="5"/>
      <c r="T402" s="5"/>
      <c r="U402" s="5"/>
      <c r="V402" s="5"/>
      <c r="W402" s="5"/>
      <c r="X402" s="5"/>
      <c r="Y402" s="5" t="s">
        <v>25</v>
      </c>
      <c r="Z402" s="5"/>
      <c r="AA402" s="5"/>
      <c r="AB402" s="5" t="s">
        <v>28</v>
      </c>
      <c r="AC402" s="5"/>
      <c r="AD402" s="5"/>
      <c r="AE402" s="5"/>
      <c r="AF402" s="5" t="s">
        <v>31</v>
      </c>
      <c r="AG402" s="5"/>
      <c r="AH402" s="5"/>
      <c r="AI402" s="5"/>
      <c r="AJ402" s="5"/>
      <c r="AK402" s="5"/>
      <c r="AL402" s="5"/>
      <c r="AM402" s="5"/>
      <c r="AN402" s="5"/>
      <c r="AO402" s="5"/>
      <c r="AP402" s="5" t="s">
        <v>39</v>
      </c>
      <c r="AQ402" s="5"/>
      <c r="AR402" s="5"/>
      <c r="AS402" s="5"/>
      <c r="AT402" s="5"/>
      <c r="AU402" s="5"/>
      <c r="AV402" s="5"/>
      <c r="AW402" s="5" t="s">
        <v>45</v>
      </c>
      <c r="AX402" s="5"/>
      <c r="AY402" s="5"/>
      <c r="AZ402" s="5"/>
      <c r="BA402" s="5"/>
      <c r="BB402" s="5"/>
      <c r="BC402" s="5"/>
      <c r="BD402" s="5" t="s">
        <v>51</v>
      </c>
      <c r="BE402" s="5"/>
      <c r="BF402" s="5"/>
      <c r="BG402" s="5"/>
      <c r="BH402" s="5"/>
      <c r="BI402" s="5" t="s">
        <v>55</v>
      </c>
      <c r="BJ402" s="5"/>
      <c r="BK402" s="5"/>
      <c r="BL402" s="5"/>
      <c r="BM402" s="5"/>
      <c r="BN402" s="5"/>
      <c r="BO402" s="5"/>
      <c r="BP402" s="5"/>
      <c r="BQ402" s="5"/>
      <c r="BR402" s="5"/>
      <c r="BS402" s="5"/>
      <c r="BT402" s="5"/>
      <c r="BU402" s="5" t="s">
        <v>64</v>
      </c>
      <c r="BV402" s="5"/>
      <c r="BW402" s="5"/>
      <c r="BX402" s="5" t="s">
        <v>67</v>
      </c>
      <c r="BY402" s="5"/>
      <c r="BZ402" s="5"/>
      <c r="CA402" s="5"/>
      <c r="CB402" s="5"/>
      <c r="CC402" s="5" t="s">
        <v>72</v>
      </c>
      <c r="CD402" s="5" t="s">
        <v>73</v>
      </c>
      <c r="CE402" s="5"/>
      <c r="CF402" s="5" t="s">
        <v>75</v>
      </c>
      <c r="CG402" s="5" t="s">
        <v>76</v>
      </c>
      <c r="CH402" s="5"/>
      <c r="CI402" s="5" t="s">
        <v>414</v>
      </c>
      <c r="CJ402" s="5"/>
      <c r="CK402" s="5" t="s">
        <v>141</v>
      </c>
      <c r="CL402" s="5" t="s">
        <v>178</v>
      </c>
      <c r="CN402" s="5" t="s">
        <v>416</v>
      </c>
      <c r="CO402" s="103" t="s">
        <v>82</v>
      </c>
      <c r="CP402" s="5" t="s">
        <v>97</v>
      </c>
      <c r="CQ402" s="5" t="s">
        <v>111</v>
      </c>
      <c r="CR402" s="103" t="s">
        <v>85</v>
      </c>
      <c r="CS402" s="103" t="s">
        <v>86</v>
      </c>
      <c r="CT402" s="5" t="s">
        <v>384</v>
      </c>
      <c r="CU402" s="5" t="s">
        <v>86</v>
      </c>
      <c r="CV402" s="5"/>
      <c r="CW402" s="5"/>
      <c r="CX402" s="5"/>
      <c r="CY402" s="5"/>
      <c r="CZ402" s="5"/>
      <c r="DA402" s="5"/>
    </row>
    <row r="403" spans="1:105">
      <c r="A403" s="5">
        <v>114086076324</v>
      </c>
      <c r="B403" s="5"/>
      <c r="C403" s="5" t="s">
        <v>17</v>
      </c>
      <c r="D403" s="5"/>
      <c r="E403" s="5"/>
      <c r="F403" s="5"/>
      <c r="G403" s="5"/>
      <c r="H403" s="5"/>
      <c r="I403" s="5"/>
      <c r="J403" s="5"/>
      <c r="K403" s="5"/>
      <c r="L403" s="5"/>
      <c r="M403" s="5"/>
      <c r="N403" s="5"/>
      <c r="O403" s="5"/>
      <c r="P403" s="5"/>
      <c r="Q403" s="5" t="s">
        <v>17</v>
      </c>
      <c r="R403" s="5"/>
      <c r="S403" s="5"/>
      <c r="T403" s="5"/>
      <c r="U403" s="5"/>
      <c r="V403" s="5"/>
      <c r="W403" s="5"/>
      <c r="X403" s="5"/>
      <c r="Y403" s="5"/>
      <c r="Z403" s="5"/>
      <c r="AA403" s="5"/>
      <c r="AB403" s="5"/>
      <c r="AC403" s="5"/>
      <c r="AD403" s="5"/>
      <c r="AE403" s="5"/>
      <c r="AF403" s="5" t="s">
        <v>31</v>
      </c>
      <c r="AG403" s="5"/>
      <c r="AH403" s="5"/>
      <c r="AI403" s="5"/>
      <c r="AJ403" s="5"/>
      <c r="AK403" s="5"/>
      <c r="AL403" s="5"/>
      <c r="AM403" s="5"/>
      <c r="AN403" s="5"/>
      <c r="AO403" s="5" t="s">
        <v>38</v>
      </c>
      <c r="AP403" s="5"/>
      <c r="AQ403" s="5"/>
      <c r="AR403" s="5"/>
      <c r="AS403" s="5"/>
      <c r="AT403" s="5"/>
      <c r="AU403" s="5"/>
      <c r="AV403" s="5"/>
      <c r="AW403" s="5"/>
      <c r="AX403" s="5"/>
      <c r="AY403" s="5"/>
      <c r="AZ403" s="5"/>
      <c r="BA403" s="5"/>
      <c r="BB403" s="5"/>
      <c r="BC403" s="5"/>
      <c r="BD403" s="5"/>
      <c r="BE403" s="5" t="s">
        <v>17</v>
      </c>
      <c r="BF403" s="5"/>
      <c r="BG403" s="5"/>
      <c r="BH403" s="5"/>
      <c r="BI403" s="5"/>
      <c r="BJ403" s="5"/>
      <c r="BK403" s="5"/>
      <c r="BL403" s="5"/>
      <c r="BM403" s="5"/>
      <c r="BN403" s="5"/>
      <c r="BO403" s="5"/>
      <c r="BP403" s="5"/>
      <c r="BQ403" s="5"/>
      <c r="BR403" s="5"/>
      <c r="BS403" s="5"/>
      <c r="BT403" s="5"/>
      <c r="BU403" s="5" t="s">
        <v>64</v>
      </c>
      <c r="BV403" s="5"/>
      <c r="BW403" s="5"/>
      <c r="BX403" s="5"/>
      <c r="BY403" s="5"/>
      <c r="BZ403" s="5"/>
      <c r="CA403" s="5"/>
      <c r="CB403" s="5"/>
      <c r="CC403" s="5"/>
      <c r="CD403" s="5"/>
      <c r="CE403" s="5"/>
      <c r="CF403" s="5"/>
      <c r="CG403" s="5"/>
      <c r="CH403" s="5"/>
      <c r="CI403" s="5" t="s">
        <v>417</v>
      </c>
      <c r="CJ403" s="5"/>
      <c r="CK403" s="5" t="s">
        <v>80</v>
      </c>
      <c r="CL403" s="5" t="s">
        <v>118</v>
      </c>
      <c r="CN403" s="5" t="s">
        <v>416</v>
      </c>
      <c r="CO403" s="103" t="s">
        <v>82</v>
      </c>
      <c r="CP403" s="5" t="s">
        <v>83</v>
      </c>
      <c r="CQ403" s="5" t="s">
        <v>84</v>
      </c>
      <c r="CR403" s="103" t="s">
        <v>85</v>
      </c>
      <c r="CS403" s="103" t="s">
        <v>86</v>
      </c>
      <c r="CT403" s="5" t="s">
        <v>384</v>
      </c>
      <c r="CU403" s="5" t="s">
        <v>86</v>
      </c>
      <c r="CV403" s="5"/>
      <c r="CW403" s="5"/>
      <c r="CX403" s="5"/>
      <c r="CY403" s="5"/>
      <c r="CZ403" s="5"/>
      <c r="DA403" s="5"/>
    </row>
    <row r="404" spans="1:105">
      <c r="A404" s="5">
        <v>114086069086</v>
      </c>
      <c r="B404" s="5"/>
      <c r="C404" s="5" t="s">
        <v>17</v>
      </c>
      <c r="D404" s="5" t="s">
        <v>18</v>
      </c>
      <c r="E404" s="5"/>
      <c r="F404" s="5"/>
      <c r="G404" s="5"/>
      <c r="H404" s="5"/>
      <c r="I404" s="5" t="s">
        <v>23</v>
      </c>
      <c r="J404" s="5" t="s">
        <v>24</v>
      </c>
      <c r="K404" s="5"/>
      <c r="L404" s="5"/>
      <c r="M404" s="5"/>
      <c r="N404" s="5"/>
      <c r="O404" s="5"/>
      <c r="P404" s="5"/>
      <c r="Q404" s="5" t="s">
        <v>17</v>
      </c>
      <c r="R404" s="5"/>
      <c r="S404" s="5" t="s">
        <v>19</v>
      </c>
      <c r="T404" s="5"/>
      <c r="U404" s="5"/>
      <c r="V404" s="5"/>
      <c r="W404" s="5"/>
      <c r="X404" s="5"/>
      <c r="Y404" s="5"/>
      <c r="Z404" s="5"/>
      <c r="AA404" s="5" t="s">
        <v>27</v>
      </c>
      <c r="AB404" s="5"/>
      <c r="AC404" s="5"/>
      <c r="AD404" s="5"/>
      <c r="AE404" s="5"/>
      <c r="AF404" s="5"/>
      <c r="AG404" s="5"/>
      <c r="AH404" s="5"/>
      <c r="AI404" s="5"/>
      <c r="AJ404" s="5"/>
      <c r="AK404" s="5"/>
      <c r="AL404" s="5"/>
      <c r="AM404" s="5"/>
      <c r="AN404" s="5"/>
      <c r="AO404" s="5" t="s">
        <v>38</v>
      </c>
      <c r="AP404" s="5"/>
      <c r="AQ404" s="5"/>
      <c r="AR404" s="5"/>
      <c r="AS404" s="5"/>
      <c r="AT404" s="5"/>
      <c r="AU404" s="5"/>
      <c r="AV404" s="5"/>
      <c r="AW404" s="5"/>
      <c r="AX404" s="5" t="s">
        <v>46</v>
      </c>
      <c r="AY404" s="5"/>
      <c r="AZ404" s="5" t="s">
        <v>48</v>
      </c>
      <c r="BA404" s="5"/>
      <c r="BB404" s="5" t="s">
        <v>49</v>
      </c>
      <c r="BC404" s="5"/>
      <c r="BD404" s="5"/>
      <c r="BE404" s="5"/>
      <c r="BF404" s="5"/>
      <c r="BG404" s="5"/>
      <c r="BH404" s="5"/>
      <c r="BI404" s="5"/>
      <c r="BJ404" s="5"/>
      <c r="BK404" s="5" t="s">
        <v>57</v>
      </c>
      <c r="BL404" s="5" t="s">
        <v>58</v>
      </c>
      <c r="BM404" s="5"/>
      <c r="BN404" s="5"/>
      <c r="BO404" s="5"/>
      <c r="BP404" s="5"/>
      <c r="BQ404" s="5"/>
      <c r="BR404" s="5"/>
      <c r="BS404" s="5"/>
      <c r="BT404" s="5"/>
      <c r="BU404" s="5" t="s">
        <v>64</v>
      </c>
      <c r="BV404" s="5"/>
      <c r="BW404" s="5"/>
      <c r="BX404" s="5"/>
      <c r="BY404" s="5"/>
      <c r="BZ404" s="5"/>
      <c r="CA404" s="5"/>
      <c r="CB404" s="5"/>
      <c r="CC404" s="5"/>
      <c r="CD404" s="5"/>
      <c r="CE404" s="5"/>
      <c r="CF404" s="5"/>
      <c r="CG404" s="5"/>
      <c r="CH404" s="5"/>
      <c r="CI404" s="5" t="s">
        <v>417</v>
      </c>
      <c r="CJ404" s="5"/>
      <c r="CK404" s="5" t="s">
        <v>80</v>
      </c>
      <c r="CL404" s="5" t="s">
        <v>371</v>
      </c>
      <c r="CN404" s="5" t="s">
        <v>416</v>
      </c>
      <c r="CO404" s="103" t="s">
        <v>82</v>
      </c>
      <c r="CP404" s="5" t="s">
        <v>83</v>
      </c>
      <c r="CQ404" s="5" t="s">
        <v>103</v>
      </c>
      <c r="CR404" s="103" t="s">
        <v>85</v>
      </c>
      <c r="CS404" s="103" t="s">
        <v>86</v>
      </c>
      <c r="CT404" s="5" t="s">
        <v>384</v>
      </c>
      <c r="CU404" s="5" t="s">
        <v>86</v>
      </c>
      <c r="CV404" s="5"/>
      <c r="CW404" s="5"/>
      <c r="CX404" s="5"/>
      <c r="CY404" s="5"/>
      <c r="CZ404" s="5"/>
      <c r="DA404" s="5"/>
    </row>
    <row r="405" spans="1:105">
      <c r="A405" s="5">
        <v>114086062451</v>
      </c>
      <c r="B405" s="5"/>
      <c r="C405" s="5" t="s">
        <v>17</v>
      </c>
      <c r="D405" s="5"/>
      <c r="E405" s="5"/>
      <c r="F405" s="5"/>
      <c r="G405" s="5"/>
      <c r="H405" s="5"/>
      <c r="I405" s="5"/>
      <c r="J405" s="5" t="s">
        <v>24</v>
      </c>
      <c r="K405" s="5" t="s">
        <v>25</v>
      </c>
      <c r="L405" s="5"/>
      <c r="M405" s="5"/>
      <c r="N405" s="5"/>
      <c r="O405" s="5"/>
      <c r="P405" s="5"/>
      <c r="Q405" s="5" t="s">
        <v>17</v>
      </c>
      <c r="R405" s="5" t="s">
        <v>18</v>
      </c>
      <c r="S405" s="5"/>
      <c r="T405" s="5"/>
      <c r="U405" s="5"/>
      <c r="V405" s="5"/>
      <c r="W405" s="5"/>
      <c r="X405" s="5" t="s">
        <v>24</v>
      </c>
      <c r="Y405" s="5"/>
      <c r="Z405" s="5"/>
      <c r="AA405" s="5"/>
      <c r="AB405" s="5"/>
      <c r="AC405" s="5"/>
      <c r="AD405" s="5"/>
      <c r="AE405" s="5"/>
      <c r="AF405" s="5"/>
      <c r="AG405" s="5"/>
      <c r="AH405" s="5"/>
      <c r="AI405" s="5" t="s">
        <v>34</v>
      </c>
      <c r="AJ405" s="5"/>
      <c r="AK405" s="5"/>
      <c r="AL405" s="5"/>
      <c r="AM405" s="5"/>
      <c r="AN405" s="5"/>
      <c r="AO405" s="5"/>
      <c r="AP405" s="5" t="s">
        <v>39</v>
      </c>
      <c r="AQ405" s="5"/>
      <c r="AR405" s="5" t="s">
        <v>41</v>
      </c>
      <c r="AS405" s="5"/>
      <c r="AT405" s="5"/>
      <c r="AU405" s="5" t="s">
        <v>43</v>
      </c>
      <c r="AV405" s="5"/>
      <c r="AW405" s="5"/>
      <c r="AX405" s="5"/>
      <c r="AY405" s="5"/>
      <c r="AZ405" s="5"/>
      <c r="BA405" s="5"/>
      <c r="BB405" s="5"/>
      <c r="BC405" s="5"/>
      <c r="BD405" s="5" t="s">
        <v>51</v>
      </c>
      <c r="BE405" s="5"/>
      <c r="BF405" s="5"/>
      <c r="BG405" s="5" t="s">
        <v>53</v>
      </c>
      <c r="BH405" s="5"/>
      <c r="BI405" s="5" t="s">
        <v>55</v>
      </c>
      <c r="BJ405" s="5"/>
      <c r="BK405" s="5"/>
      <c r="BL405" s="5"/>
      <c r="BM405" s="5"/>
      <c r="BN405" s="5"/>
      <c r="BO405" s="5"/>
      <c r="BP405" s="5"/>
      <c r="BQ405" s="5"/>
      <c r="BR405" s="5"/>
      <c r="BS405" s="5"/>
      <c r="BT405" s="5"/>
      <c r="BU405" s="5"/>
      <c r="BV405" s="5"/>
      <c r="BW405" s="5" t="s">
        <v>66</v>
      </c>
      <c r="BX405" s="5"/>
      <c r="BY405" s="5"/>
      <c r="BZ405" s="5"/>
      <c r="CA405" s="5" t="s">
        <v>70</v>
      </c>
      <c r="CB405" s="5"/>
      <c r="CC405" s="5"/>
      <c r="CD405" s="5"/>
      <c r="CE405" s="5"/>
      <c r="CF405" s="5"/>
      <c r="CG405" s="5" t="s">
        <v>76</v>
      </c>
      <c r="CH405" s="5"/>
      <c r="CI405" s="5" t="s">
        <v>417</v>
      </c>
      <c r="CJ405" s="5"/>
      <c r="CK405" s="5" t="s">
        <v>80</v>
      </c>
      <c r="CL405" s="5" t="s">
        <v>124</v>
      </c>
      <c r="CN405" s="5" t="s">
        <v>416</v>
      </c>
      <c r="CO405" s="103" t="s">
        <v>393</v>
      </c>
      <c r="CP405" s="5" t="s">
        <v>83</v>
      </c>
      <c r="CQ405" s="5" t="s">
        <v>111</v>
      </c>
      <c r="CR405" s="103" t="s">
        <v>85</v>
      </c>
      <c r="CS405" s="103" t="s">
        <v>86</v>
      </c>
      <c r="CT405" s="5" t="s">
        <v>384</v>
      </c>
      <c r="CU405" s="5" t="s">
        <v>86</v>
      </c>
      <c r="CV405" s="5"/>
      <c r="CW405" s="5"/>
      <c r="CX405" s="5"/>
      <c r="CY405" s="5"/>
      <c r="CZ405" s="5"/>
      <c r="DA405" s="5"/>
    </row>
    <row r="406" spans="1:105">
      <c r="A406" s="5">
        <v>114085969464</v>
      </c>
      <c r="B406" s="5" t="s">
        <v>16</v>
      </c>
      <c r="C406" s="5" t="s">
        <v>17</v>
      </c>
      <c r="D406" s="5" t="s">
        <v>18</v>
      </c>
      <c r="E406" s="5"/>
      <c r="F406" s="5"/>
      <c r="G406" s="5"/>
      <c r="H406" s="5"/>
      <c r="I406" s="5"/>
      <c r="J406" s="5" t="s">
        <v>24</v>
      </c>
      <c r="K406" s="5" t="s">
        <v>25</v>
      </c>
      <c r="L406" s="5" t="s">
        <v>26</v>
      </c>
      <c r="M406" s="5" t="s">
        <v>27</v>
      </c>
      <c r="N406" s="5" t="s">
        <v>28</v>
      </c>
      <c r="O406" s="5"/>
      <c r="P406" s="5" t="s">
        <v>16</v>
      </c>
      <c r="Q406" s="5" t="s">
        <v>17</v>
      </c>
      <c r="R406" s="5" t="s">
        <v>18</v>
      </c>
      <c r="S406" s="5" t="s">
        <v>19</v>
      </c>
      <c r="T406" s="5"/>
      <c r="U406" s="5"/>
      <c r="V406" s="5"/>
      <c r="W406" s="5"/>
      <c r="X406" s="5" t="s">
        <v>24</v>
      </c>
      <c r="Y406" s="5" t="s">
        <v>25</v>
      </c>
      <c r="Z406" s="5" t="s">
        <v>26</v>
      </c>
      <c r="AA406" s="5" t="s">
        <v>27</v>
      </c>
      <c r="AB406" s="5" t="s">
        <v>28</v>
      </c>
      <c r="AC406" s="5"/>
      <c r="AD406" s="5"/>
      <c r="AE406" s="5"/>
      <c r="AF406" s="5"/>
      <c r="AG406" s="5"/>
      <c r="AH406" s="5"/>
      <c r="AI406" s="5" t="s">
        <v>34</v>
      </c>
      <c r="AJ406" s="5"/>
      <c r="AK406" s="5"/>
      <c r="AL406" s="5"/>
      <c r="AM406" s="5"/>
      <c r="AN406" s="5"/>
      <c r="AO406" s="5"/>
      <c r="AP406" s="5" t="s">
        <v>39</v>
      </c>
      <c r="AQ406" s="5"/>
      <c r="AR406" s="5"/>
      <c r="AS406" s="5"/>
      <c r="AT406" s="5"/>
      <c r="AU406" s="5" t="s">
        <v>43</v>
      </c>
      <c r="AV406" s="5"/>
      <c r="AW406" s="5" t="s">
        <v>45</v>
      </c>
      <c r="AX406" s="5"/>
      <c r="AY406" s="5"/>
      <c r="AZ406" s="5"/>
      <c r="BA406" s="5"/>
      <c r="BB406" s="5"/>
      <c r="BC406" s="5"/>
      <c r="BD406" s="5" t="s">
        <v>51</v>
      </c>
      <c r="BE406" s="5" t="s">
        <v>17</v>
      </c>
      <c r="BF406" s="5"/>
      <c r="BG406" s="5"/>
      <c r="BH406" s="5"/>
      <c r="BI406" s="5"/>
      <c r="BJ406" s="5"/>
      <c r="BK406" s="5"/>
      <c r="BL406" s="5"/>
      <c r="BM406" s="5"/>
      <c r="BN406" s="5" t="s">
        <v>24</v>
      </c>
      <c r="BO406" s="5"/>
      <c r="BP406" s="5"/>
      <c r="BQ406" s="5"/>
      <c r="BR406" s="5"/>
      <c r="BS406" s="5"/>
      <c r="BT406" s="5"/>
      <c r="BU406" s="5" t="s">
        <v>64</v>
      </c>
      <c r="BV406" s="5"/>
      <c r="BW406" s="5" t="s">
        <v>66</v>
      </c>
      <c r="BX406" s="5" t="s">
        <v>67</v>
      </c>
      <c r="BY406" s="5"/>
      <c r="BZ406" s="5"/>
      <c r="CA406" s="5"/>
      <c r="CB406" s="5"/>
      <c r="CC406" s="5"/>
      <c r="CD406" s="5"/>
      <c r="CE406" s="5"/>
      <c r="CF406" s="5" t="s">
        <v>75</v>
      </c>
      <c r="CG406" s="5"/>
      <c r="CH406" s="5"/>
      <c r="CI406" s="5" t="s">
        <v>414</v>
      </c>
      <c r="CJ406" s="5"/>
      <c r="CK406" s="5" t="s">
        <v>141</v>
      </c>
      <c r="CL406" s="5" t="s">
        <v>159</v>
      </c>
      <c r="CN406" s="5"/>
      <c r="CO406" s="103" t="s">
        <v>82</v>
      </c>
      <c r="CP406" s="5" t="s">
        <v>83</v>
      </c>
      <c r="CQ406" s="5" t="s">
        <v>84</v>
      </c>
      <c r="CR406" s="103" t="s">
        <v>85</v>
      </c>
      <c r="CS406" s="103" t="s">
        <v>86</v>
      </c>
      <c r="CT406" s="5" t="s">
        <v>384</v>
      </c>
      <c r="CU406" s="5" t="s">
        <v>86</v>
      </c>
      <c r="CV406" s="5"/>
      <c r="CW406" s="5"/>
      <c r="CX406" s="5"/>
      <c r="CY406" s="5"/>
      <c r="CZ406" s="5"/>
      <c r="DA406" s="5"/>
    </row>
    <row r="407" spans="1:105">
      <c r="A407" s="5">
        <v>114085966921</v>
      </c>
      <c r="B407" s="5" t="s">
        <v>16</v>
      </c>
      <c r="C407" s="5" t="s">
        <v>17</v>
      </c>
      <c r="D407" s="5"/>
      <c r="E407" s="5"/>
      <c r="F407" s="5"/>
      <c r="G407" s="5"/>
      <c r="H407" s="5"/>
      <c r="I407" s="5"/>
      <c r="J407" s="5"/>
      <c r="K407" s="5"/>
      <c r="L407" s="5" t="s">
        <v>26</v>
      </c>
      <c r="M407" s="5"/>
      <c r="N407" s="5"/>
      <c r="O407" s="5"/>
      <c r="P407" s="5"/>
      <c r="Q407" s="5"/>
      <c r="R407" s="5"/>
      <c r="S407" s="5"/>
      <c r="T407" s="5"/>
      <c r="U407" s="5"/>
      <c r="V407" s="5"/>
      <c r="W407" s="5" t="s">
        <v>23</v>
      </c>
      <c r="X407" s="5"/>
      <c r="Y407" s="5"/>
      <c r="Z407" s="5"/>
      <c r="AA407" s="5"/>
      <c r="AB407" s="5" t="s">
        <v>28</v>
      </c>
      <c r="AC407" s="5"/>
      <c r="AD407" s="5"/>
      <c r="AE407" s="5" t="s">
        <v>30</v>
      </c>
      <c r="AF407" s="5"/>
      <c r="AG407" s="5" t="s">
        <v>32</v>
      </c>
      <c r="AH407" s="5"/>
      <c r="AI407" s="5"/>
      <c r="AJ407" s="5"/>
      <c r="AK407" s="5"/>
      <c r="AL407" s="5"/>
      <c r="AM407" s="5"/>
      <c r="AN407" s="5"/>
      <c r="AO407" s="5"/>
      <c r="AP407" s="5" t="s">
        <v>39</v>
      </c>
      <c r="AQ407" s="5" t="s">
        <v>40</v>
      </c>
      <c r="AR407" s="5" t="s">
        <v>41</v>
      </c>
      <c r="AS407" s="5"/>
      <c r="AT407" s="5"/>
      <c r="AU407" s="5"/>
      <c r="AV407" s="5"/>
      <c r="AW407" s="5"/>
      <c r="AX407" s="5"/>
      <c r="AY407" s="5"/>
      <c r="AZ407" s="5"/>
      <c r="BA407" s="5"/>
      <c r="BB407" s="5"/>
      <c r="BC407" s="5" t="s">
        <v>50</v>
      </c>
      <c r="BD407" s="5"/>
      <c r="BE407" s="5" t="s">
        <v>17</v>
      </c>
      <c r="BF407" s="5"/>
      <c r="BG407" s="5"/>
      <c r="BH407" s="5"/>
      <c r="BI407" s="5"/>
      <c r="BJ407" s="5"/>
      <c r="BK407" s="5"/>
      <c r="BL407" s="5"/>
      <c r="BM407" s="5"/>
      <c r="BN407" s="5"/>
      <c r="BO407" s="5"/>
      <c r="BP407" s="5"/>
      <c r="BQ407" s="5"/>
      <c r="BR407" s="5"/>
      <c r="BS407" s="5" t="s">
        <v>63</v>
      </c>
      <c r="BT407" s="5"/>
      <c r="BU407" s="5" t="s">
        <v>64</v>
      </c>
      <c r="BV407" s="5"/>
      <c r="BW407" s="5"/>
      <c r="BX407" s="5" t="s">
        <v>67</v>
      </c>
      <c r="BY407" s="5"/>
      <c r="BZ407" s="5"/>
      <c r="CA407" s="5"/>
      <c r="CB407" s="5"/>
      <c r="CC407" s="5"/>
      <c r="CD407" s="5"/>
      <c r="CE407" s="5"/>
      <c r="CF407" s="5" t="s">
        <v>75</v>
      </c>
      <c r="CG407" s="5"/>
      <c r="CH407" s="5"/>
      <c r="CI407" s="5" t="s">
        <v>417</v>
      </c>
      <c r="CJ407" s="5"/>
      <c r="CK407" s="5" t="s">
        <v>80</v>
      </c>
      <c r="CL407" s="5" t="s">
        <v>117</v>
      </c>
      <c r="CN407" s="5" t="s">
        <v>416</v>
      </c>
      <c r="CO407" s="103" t="s">
        <v>82</v>
      </c>
      <c r="CP407" s="5" t="s">
        <v>83</v>
      </c>
      <c r="CQ407" s="5" t="s">
        <v>84</v>
      </c>
      <c r="CR407" s="103" t="s">
        <v>85</v>
      </c>
      <c r="CS407" s="103" t="s">
        <v>86</v>
      </c>
      <c r="CT407" s="5" t="s">
        <v>384</v>
      </c>
      <c r="CU407" s="5" t="s">
        <v>86</v>
      </c>
      <c r="CV407" s="5"/>
      <c r="CW407" s="5"/>
      <c r="CX407" s="5"/>
      <c r="CY407" s="5"/>
      <c r="CZ407" s="5"/>
      <c r="DA407" s="5"/>
    </row>
    <row r="408" spans="1:105">
      <c r="A408" s="5">
        <v>114085904332</v>
      </c>
      <c r="B408" s="5"/>
      <c r="C408" s="5"/>
      <c r="D408" s="5"/>
      <c r="E408" s="5"/>
      <c r="F408" s="5"/>
      <c r="G408" s="5" t="s">
        <v>21</v>
      </c>
      <c r="H408" s="5"/>
      <c r="I408" s="5"/>
      <c r="J408" s="5"/>
      <c r="K408" s="5"/>
      <c r="L408" s="5"/>
      <c r="M408" s="5"/>
      <c r="N408" s="5" t="s">
        <v>28</v>
      </c>
      <c r="O408" s="5"/>
      <c r="P408" s="5"/>
      <c r="Q408" s="5"/>
      <c r="R408" s="5"/>
      <c r="S408" s="5"/>
      <c r="T408" s="5"/>
      <c r="U408" s="5"/>
      <c r="V408" s="5"/>
      <c r="W408" s="5"/>
      <c r="X408" s="5"/>
      <c r="Y408" s="5"/>
      <c r="Z408" s="5"/>
      <c r="AA408" s="5"/>
      <c r="AB408" s="5" t="s">
        <v>28</v>
      </c>
      <c r="AC408" s="5"/>
      <c r="AD408" s="5"/>
      <c r="AE408" s="5"/>
      <c r="AF408" s="5" t="s">
        <v>31</v>
      </c>
      <c r="AG408" s="5"/>
      <c r="AH408" s="5"/>
      <c r="AI408" s="5"/>
      <c r="AJ408" s="5"/>
      <c r="AK408" s="5"/>
      <c r="AL408" s="5"/>
      <c r="AM408" s="5"/>
      <c r="AN408" s="5"/>
      <c r="AO408" s="5"/>
      <c r="AP408" s="5"/>
      <c r="AQ408" s="5"/>
      <c r="AR408" s="5"/>
      <c r="AS408" s="5"/>
      <c r="AT408" s="5"/>
      <c r="AU408" s="5"/>
      <c r="AV408" s="5"/>
      <c r="AW408" s="5" t="s">
        <v>45</v>
      </c>
      <c r="AX408" s="5"/>
      <c r="AY408" s="5"/>
      <c r="AZ408" s="5"/>
      <c r="BA408" s="5"/>
      <c r="BB408" s="5"/>
      <c r="BC408" s="5" t="s">
        <v>50</v>
      </c>
      <c r="BD408" s="5"/>
      <c r="BE408" s="5"/>
      <c r="BF408" s="5"/>
      <c r="BG408" s="5" t="s">
        <v>53</v>
      </c>
      <c r="BH408" s="5"/>
      <c r="BI408" s="5" t="s">
        <v>55</v>
      </c>
      <c r="BJ408" s="5"/>
      <c r="BK408" s="5" t="s">
        <v>57</v>
      </c>
      <c r="BL408" s="5"/>
      <c r="BM408" s="5"/>
      <c r="BN408" s="5"/>
      <c r="BO408" s="5"/>
      <c r="BP408" s="5"/>
      <c r="BQ408" s="5"/>
      <c r="BR408" s="5"/>
      <c r="BS408" s="5"/>
      <c r="BT408" s="5"/>
      <c r="BU408" s="5" t="s">
        <v>64</v>
      </c>
      <c r="BV408" s="5"/>
      <c r="BW408" s="5"/>
      <c r="BX408" s="5"/>
      <c r="BY408" s="5"/>
      <c r="BZ408" s="5"/>
      <c r="CA408" s="5"/>
      <c r="CB408" s="5"/>
      <c r="CC408" s="5"/>
      <c r="CD408" s="5" t="s">
        <v>73</v>
      </c>
      <c r="CE408" s="5"/>
      <c r="CF408" s="5"/>
      <c r="CG408" s="5"/>
      <c r="CH408" s="5"/>
      <c r="CI408" s="5" t="s">
        <v>417</v>
      </c>
      <c r="CJ408" s="5"/>
      <c r="CK408" s="5" t="s">
        <v>80</v>
      </c>
      <c r="CL408" s="5" t="s">
        <v>126</v>
      </c>
      <c r="CN408" s="5"/>
      <c r="CP408" s="5"/>
      <c r="CQ408" s="5"/>
      <c r="CT408" s="5"/>
      <c r="CU408" s="5"/>
      <c r="CV408" s="5"/>
      <c r="CW408" s="5"/>
      <c r="CX408" s="5"/>
      <c r="CY408" s="5"/>
      <c r="CZ408" s="5"/>
      <c r="DA408" s="5"/>
    </row>
    <row r="409" spans="1:105">
      <c r="A409" s="5">
        <v>114085903127</v>
      </c>
      <c r="B409" s="5"/>
      <c r="C409" s="5"/>
      <c r="D409" s="5"/>
      <c r="E409" s="5"/>
      <c r="F409" s="5"/>
      <c r="G409" s="5" t="s">
        <v>21</v>
      </c>
      <c r="H409" s="5" t="s">
        <v>22</v>
      </c>
      <c r="I409" s="5" t="s">
        <v>23</v>
      </c>
      <c r="J409" s="5" t="s">
        <v>24</v>
      </c>
      <c r="K409" s="5" t="s">
        <v>25</v>
      </c>
      <c r="L409" s="5"/>
      <c r="M409" s="5"/>
      <c r="N409" s="5" t="s">
        <v>28</v>
      </c>
      <c r="O409" s="5"/>
      <c r="P409" s="5"/>
      <c r="Q409" s="5"/>
      <c r="R409" s="5"/>
      <c r="S409" s="5" t="s">
        <v>19</v>
      </c>
      <c r="T409" s="5"/>
      <c r="U409" s="5" t="s">
        <v>21</v>
      </c>
      <c r="V409" s="5"/>
      <c r="W409" s="5" t="s">
        <v>23</v>
      </c>
      <c r="X409" s="5"/>
      <c r="Y409" s="5"/>
      <c r="Z409" s="5"/>
      <c r="AA409" s="5"/>
      <c r="AB409" s="5"/>
      <c r="AC409" s="5"/>
      <c r="AD409" s="5" t="s">
        <v>29</v>
      </c>
      <c r="AE409" s="5"/>
      <c r="AF409" s="5"/>
      <c r="AG409" s="5"/>
      <c r="AH409" s="5" t="s">
        <v>33</v>
      </c>
      <c r="AI409" s="5"/>
      <c r="AJ409" s="5"/>
      <c r="AK409" s="5"/>
      <c r="AL409" s="5"/>
      <c r="AM409" s="5"/>
      <c r="AN409" s="5"/>
      <c r="AO409" s="5" t="s">
        <v>38</v>
      </c>
      <c r="AP409" s="5" t="s">
        <v>39</v>
      </c>
      <c r="AQ409" s="5"/>
      <c r="AR409" s="5"/>
      <c r="AS409" s="5"/>
      <c r="AT409" s="5" t="s">
        <v>37</v>
      </c>
      <c r="AU409" s="5" t="s">
        <v>43</v>
      </c>
      <c r="AV409" s="5" t="s">
        <v>44</v>
      </c>
      <c r="AW409" s="5"/>
      <c r="AX409" s="5"/>
      <c r="AY409" s="5"/>
      <c r="AZ409" s="5"/>
      <c r="BA409" s="5"/>
      <c r="BB409" s="5"/>
      <c r="BC409" s="5"/>
      <c r="BD409" s="5" t="s">
        <v>51</v>
      </c>
      <c r="BE409" s="5"/>
      <c r="BF409" s="5"/>
      <c r="BG409" s="5" t="s">
        <v>53</v>
      </c>
      <c r="BH409" s="5"/>
      <c r="BI409" s="5" t="s">
        <v>55</v>
      </c>
      <c r="BJ409" s="5"/>
      <c r="BK409" s="5"/>
      <c r="BL409" s="5"/>
      <c r="BM409" s="5"/>
      <c r="BN409" s="5" t="s">
        <v>24</v>
      </c>
      <c r="BO409" s="5"/>
      <c r="BP409" s="5" t="s">
        <v>60</v>
      </c>
      <c r="BQ409" s="5"/>
      <c r="BR409" s="5"/>
      <c r="BS409" s="5"/>
      <c r="BT409" s="5"/>
      <c r="BU409" s="5" t="s">
        <v>64</v>
      </c>
      <c r="BV409" s="5"/>
      <c r="BW409" s="5"/>
      <c r="BX409" s="5"/>
      <c r="BY409" s="5"/>
      <c r="BZ409" s="5"/>
      <c r="CA409" s="5"/>
      <c r="CB409" s="5"/>
      <c r="CC409" s="5"/>
      <c r="CD409" s="5" t="s">
        <v>73</v>
      </c>
      <c r="CE409" s="5"/>
      <c r="CF409" s="5"/>
      <c r="CG409" s="5"/>
      <c r="CH409" s="5"/>
      <c r="CI409" s="5" t="s">
        <v>417</v>
      </c>
      <c r="CJ409" s="5"/>
      <c r="CK409" s="5" t="s">
        <v>80</v>
      </c>
      <c r="CL409" s="5" t="s">
        <v>474</v>
      </c>
      <c r="CN409" s="5" t="s">
        <v>416</v>
      </c>
      <c r="CP409" s="5" t="s">
        <v>93</v>
      </c>
      <c r="CQ409" s="5" t="s">
        <v>103</v>
      </c>
      <c r="CT409" s="5" t="s">
        <v>384</v>
      </c>
      <c r="CU409" s="5" t="s">
        <v>86</v>
      </c>
      <c r="CV409" s="5"/>
      <c r="CW409" s="5"/>
      <c r="CX409" s="5"/>
      <c r="CY409" s="5"/>
      <c r="CZ409" s="5"/>
      <c r="DA409" s="5"/>
    </row>
    <row r="410" spans="1:105">
      <c r="A410" s="5">
        <v>114085875144</v>
      </c>
      <c r="B410" s="5"/>
      <c r="C410" s="5"/>
      <c r="D410" s="5" t="s">
        <v>18</v>
      </c>
      <c r="E410" s="5"/>
      <c r="F410" s="5"/>
      <c r="G410" s="5"/>
      <c r="H410" s="5"/>
      <c r="I410" s="5" t="s">
        <v>23</v>
      </c>
      <c r="J410" s="5" t="s">
        <v>24</v>
      </c>
      <c r="K410" s="5"/>
      <c r="L410" s="5"/>
      <c r="M410" s="5"/>
      <c r="N410" s="5"/>
      <c r="O410" s="5"/>
      <c r="P410" s="5"/>
      <c r="Q410" s="5" t="s">
        <v>17</v>
      </c>
      <c r="R410" s="5" t="s">
        <v>18</v>
      </c>
      <c r="S410" s="5"/>
      <c r="T410" s="5"/>
      <c r="U410" s="5"/>
      <c r="V410" s="5"/>
      <c r="W410" s="5" t="s">
        <v>23</v>
      </c>
      <c r="X410" s="5"/>
      <c r="Y410" s="5"/>
      <c r="Z410" s="5"/>
      <c r="AA410" s="5"/>
      <c r="AB410" s="5"/>
      <c r="AC410" s="5"/>
      <c r="AD410" s="5"/>
      <c r="AE410" s="5" t="s">
        <v>30</v>
      </c>
      <c r="AF410" s="5"/>
      <c r="AG410" s="5" t="s">
        <v>32</v>
      </c>
      <c r="AH410" s="5"/>
      <c r="AI410" s="5"/>
      <c r="AJ410" s="5"/>
      <c r="AK410" s="5"/>
      <c r="AL410" s="5"/>
      <c r="AM410" s="5"/>
      <c r="AN410" s="5"/>
      <c r="AO410" s="5" t="s">
        <v>38</v>
      </c>
      <c r="AP410" s="5" t="s">
        <v>39</v>
      </c>
      <c r="AQ410" s="5"/>
      <c r="AR410" s="5" t="s">
        <v>41</v>
      </c>
      <c r="AS410" s="5"/>
      <c r="AT410" s="5"/>
      <c r="AU410" s="5"/>
      <c r="AV410" s="5"/>
      <c r="AW410" s="5"/>
      <c r="AX410" s="5"/>
      <c r="AY410" s="5"/>
      <c r="AZ410" s="5"/>
      <c r="BA410" s="5"/>
      <c r="BB410" s="5"/>
      <c r="BC410" s="5"/>
      <c r="BD410" s="5"/>
      <c r="BE410" s="5" t="s">
        <v>17</v>
      </c>
      <c r="BF410" s="5" t="s">
        <v>52</v>
      </c>
      <c r="BG410" s="5"/>
      <c r="BH410" s="5"/>
      <c r="BI410" s="5" t="s">
        <v>55</v>
      </c>
      <c r="BJ410" s="5"/>
      <c r="BK410" s="5"/>
      <c r="BL410" s="5"/>
      <c r="BM410" s="5"/>
      <c r="BN410" s="5"/>
      <c r="BO410" s="5"/>
      <c r="BP410" s="5"/>
      <c r="BQ410" s="5"/>
      <c r="BR410" s="5"/>
      <c r="BS410" s="5"/>
      <c r="BT410" s="5"/>
      <c r="BU410" s="5"/>
      <c r="BV410" s="5"/>
      <c r="BW410" s="5"/>
      <c r="BX410" s="5" t="s">
        <v>67</v>
      </c>
      <c r="BY410" s="5"/>
      <c r="BZ410" s="5" t="s">
        <v>69</v>
      </c>
      <c r="CA410" s="5"/>
      <c r="CB410" s="5"/>
      <c r="CC410" s="5"/>
      <c r="CD410" s="5" t="s">
        <v>73</v>
      </c>
      <c r="CE410" s="5"/>
      <c r="CF410" s="5"/>
      <c r="CG410" s="5"/>
      <c r="CH410" s="5"/>
      <c r="CI410" s="5" t="s">
        <v>417</v>
      </c>
      <c r="CJ410" s="5"/>
      <c r="CK410" s="5" t="s">
        <v>80</v>
      </c>
      <c r="CL410" s="5" t="s">
        <v>475</v>
      </c>
      <c r="CN410" s="5" t="s">
        <v>416</v>
      </c>
      <c r="CO410" s="103" t="s">
        <v>82</v>
      </c>
      <c r="CP410" s="5" t="s">
        <v>93</v>
      </c>
      <c r="CQ410" s="5" t="s">
        <v>84</v>
      </c>
      <c r="CT410" s="5" t="s">
        <v>384</v>
      </c>
      <c r="CU410" s="5" t="s">
        <v>86</v>
      </c>
      <c r="CV410" s="5"/>
      <c r="CW410" s="5"/>
      <c r="CX410" s="5"/>
      <c r="CY410" s="5"/>
      <c r="CZ410" s="5"/>
      <c r="DA410" s="5"/>
    </row>
    <row r="411" spans="1:105">
      <c r="A411" s="5">
        <v>114085855650</v>
      </c>
      <c r="B411" s="5"/>
      <c r="C411" s="5"/>
      <c r="D411" s="5"/>
      <c r="E411" s="5" t="s">
        <v>19</v>
      </c>
      <c r="F411" s="5"/>
      <c r="G411" s="5"/>
      <c r="H411" s="5"/>
      <c r="I411" s="5"/>
      <c r="J411" s="5"/>
      <c r="K411" s="5"/>
      <c r="L411" s="5" t="s">
        <v>26</v>
      </c>
      <c r="M411" s="5" t="s">
        <v>27</v>
      </c>
      <c r="N411" s="5"/>
      <c r="O411" s="5"/>
      <c r="P411" s="5"/>
      <c r="Q411" s="5"/>
      <c r="R411" s="5" t="s">
        <v>18</v>
      </c>
      <c r="S411" s="5" t="s">
        <v>19</v>
      </c>
      <c r="T411" s="5"/>
      <c r="U411" s="5" t="s">
        <v>21</v>
      </c>
      <c r="V411" s="5"/>
      <c r="W411" s="5"/>
      <c r="X411" s="5"/>
      <c r="Y411" s="5"/>
      <c r="Z411" s="5"/>
      <c r="AA411" s="5"/>
      <c r="AB411" s="5"/>
      <c r="AC411" s="5"/>
      <c r="AD411" s="5"/>
      <c r="AE411" s="5"/>
      <c r="AF411" s="5"/>
      <c r="AG411" s="5"/>
      <c r="AH411" s="5"/>
      <c r="AI411" s="5" t="s">
        <v>34</v>
      </c>
      <c r="AJ411" s="5"/>
      <c r="AK411" s="5"/>
      <c r="AL411" s="5"/>
      <c r="AM411" s="5"/>
      <c r="AN411" s="5"/>
      <c r="AO411" s="5"/>
      <c r="AP411" s="5"/>
      <c r="AQ411" s="5"/>
      <c r="AR411" s="5" t="s">
        <v>41</v>
      </c>
      <c r="AS411" s="5"/>
      <c r="AT411" s="5"/>
      <c r="AU411" s="5"/>
      <c r="AV411" s="5"/>
      <c r="AW411" s="5"/>
      <c r="AX411" s="5"/>
      <c r="AY411" s="5"/>
      <c r="AZ411" s="5"/>
      <c r="BA411" s="5"/>
      <c r="BB411" s="5"/>
      <c r="BC411" s="5"/>
      <c r="BD411" s="5"/>
      <c r="BE411" s="5"/>
      <c r="BF411" s="5" t="s">
        <v>52</v>
      </c>
      <c r="BG411" s="5"/>
      <c r="BH411" s="5"/>
      <c r="BI411" s="5"/>
      <c r="BJ411" s="5"/>
      <c r="BK411" s="5" t="s">
        <v>57</v>
      </c>
      <c r="BL411" s="5"/>
      <c r="BM411" s="5"/>
      <c r="BN411" s="5"/>
      <c r="BO411" s="5"/>
      <c r="BP411" s="5"/>
      <c r="BQ411" s="5"/>
      <c r="BR411" s="5"/>
      <c r="BS411" s="5"/>
      <c r="BT411" s="5"/>
      <c r="BU411" s="5" t="s">
        <v>64</v>
      </c>
      <c r="BV411" s="5"/>
      <c r="BW411" s="5"/>
      <c r="BX411" s="5" t="s">
        <v>67</v>
      </c>
      <c r="BY411" s="5"/>
      <c r="BZ411" s="5"/>
      <c r="CA411" s="5"/>
      <c r="CB411" s="5"/>
      <c r="CC411" s="5"/>
      <c r="CD411" s="5"/>
      <c r="CE411" s="5"/>
      <c r="CF411" s="5" t="s">
        <v>75</v>
      </c>
      <c r="CG411" s="5"/>
      <c r="CH411" s="5"/>
      <c r="CI411" s="5" t="s">
        <v>414</v>
      </c>
      <c r="CJ411" s="5"/>
      <c r="CK411" s="5" t="s">
        <v>80</v>
      </c>
      <c r="CL411" s="5" t="s">
        <v>132</v>
      </c>
      <c r="CN411" s="5" t="s">
        <v>416</v>
      </c>
      <c r="CO411" s="103" t="s">
        <v>82</v>
      </c>
      <c r="CP411" s="5"/>
      <c r="CQ411" s="5" t="s">
        <v>88</v>
      </c>
      <c r="CT411" s="5" t="s">
        <v>385</v>
      </c>
      <c r="CU411" s="5" t="s">
        <v>86</v>
      </c>
      <c r="CV411" s="5"/>
      <c r="CW411" s="5"/>
      <c r="CX411" s="5"/>
      <c r="CY411" s="5"/>
      <c r="CZ411" s="5"/>
      <c r="DA411" s="5"/>
    </row>
    <row r="412" spans="1:105">
      <c r="A412" s="5">
        <v>114085847217</v>
      </c>
      <c r="B412" s="5"/>
      <c r="C412" s="5" t="s">
        <v>17</v>
      </c>
      <c r="D412" s="5"/>
      <c r="E412" s="5"/>
      <c r="F412" s="5"/>
      <c r="G412" s="5"/>
      <c r="H412" s="5"/>
      <c r="I412" s="5"/>
      <c r="J412" s="5" t="s">
        <v>24</v>
      </c>
      <c r="K412" s="5" t="s">
        <v>25</v>
      </c>
      <c r="L412" s="5"/>
      <c r="M412" s="5"/>
      <c r="N412" s="5"/>
      <c r="O412" s="5"/>
      <c r="P412" s="5"/>
      <c r="Q412" s="5"/>
      <c r="R412" s="5"/>
      <c r="S412" s="5"/>
      <c r="T412" s="5"/>
      <c r="U412" s="5"/>
      <c r="V412" s="5"/>
      <c r="W412" s="5"/>
      <c r="X412" s="5"/>
      <c r="Y412" s="5"/>
      <c r="Z412" s="5"/>
      <c r="AA412" s="5"/>
      <c r="AB412" s="5"/>
      <c r="AC412" s="5"/>
      <c r="AD412" s="5"/>
      <c r="AE412" s="5"/>
      <c r="AF412" s="5"/>
      <c r="AG412" s="5"/>
      <c r="AH412" s="5"/>
      <c r="AI412" s="5" t="s">
        <v>34</v>
      </c>
      <c r="AJ412" s="5"/>
      <c r="AK412" s="5"/>
      <c r="AL412" s="5"/>
      <c r="AM412" s="5"/>
      <c r="AN412" s="5"/>
      <c r="AO412" s="5" t="s">
        <v>38</v>
      </c>
      <c r="AP412" s="5"/>
      <c r="AQ412" s="5"/>
      <c r="AR412" s="5"/>
      <c r="AS412" s="5" t="s">
        <v>42</v>
      </c>
      <c r="AT412" s="5" t="s">
        <v>37</v>
      </c>
      <c r="AU412" s="5"/>
      <c r="AV412" s="5" t="s">
        <v>44</v>
      </c>
      <c r="AW412" s="5"/>
      <c r="AX412" s="5"/>
      <c r="AY412" s="5"/>
      <c r="AZ412" s="5"/>
      <c r="BA412" s="5"/>
      <c r="BB412" s="5" t="s">
        <v>49</v>
      </c>
      <c r="BC412" s="5"/>
      <c r="BD412" s="5"/>
      <c r="BE412" s="5"/>
      <c r="BF412" s="5" t="s">
        <v>52</v>
      </c>
      <c r="BG412" s="5"/>
      <c r="BH412" s="5"/>
      <c r="BI412" s="5"/>
      <c r="BJ412" s="5"/>
      <c r="BK412" s="5" t="s">
        <v>57</v>
      </c>
      <c r="BL412" s="5"/>
      <c r="BM412" s="5" t="s">
        <v>59</v>
      </c>
      <c r="BN412" s="5"/>
      <c r="BO412" s="5"/>
      <c r="BP412" s="5"/>
      <c r="BQ412" s="5"/>
      <c r="BR412" s="5"/>
      <c r="BS412" s="5"/>
      <c r="BT412" s="5"/>
      <c r="BU412" s="5"/>
      <c r="BV412" s="5"/>
      <c r="BW412" s="5"/>
      <c r="BX412" s="5" t="s">
        <v>67</v>
      </c>
      <c r="BY412" s="5"/>
      <c r="BZ412" s="5"/>
      <c r="CA412" s="5" t="s">
        <v>70</v>
      </c>
      <c r="CB412" s="5"/>
      <c r="CC412" s="5"/>
      <c r="CD412" s="5" t="s">
        <v>73</v>
      </c>
      <c r="CE412" s="5"/>
      <c r="CF412" s="5" t="s">
        <v>75</v>
      </c>
      <c r="CG412" s="5"/>
      <c r="CH412" s="5"/>
      <c r="CI412" s="5" t="s">
        <v>417</v>
      </c>
      <c r="CJ412" s="5"/>
      <c r="CK412" s="5" t="s">
        <v>80</v>
      </c>
      <c r="CL412" s="5" t="s">
        <v>125</v>
      </c>
      <c r="CN412" s="5" t="s">
        <v>416</v>
      </c>
      <c r="CO412" s="103" t="s">
        <v>82</v>
      </c>
      <c r="CP412" s="5" t="s">
        <v>93</v>
      </c>
      <c r="CQ412" s="5" t="s">
        <v>103</v>
      </c>
      <c r="CT412" s="5" t="s">
        <v>384</v>
      </c>
      <c r="CU412" s="5" t="s">
        <v>86</v>
      </c>
      <c r="CV412" s="5"/>
      <c r="CW412" s="5"/>
      <c r="CX412" s="5"/>
      <c r="CY412" s="5"/>
      <c r="CZ412" s="5"/>
      <c r="DA412" s="5"/>
    </row>
    <row r="413" spans="1:105">
      <c r="A413" s="5">
        <v>114085845695</v>
      </c>
      <c r="B413" s="5"/>
      <c r="C413" s="5" t="s">
        <v>17</v>
      </c>
      <c r="D413" s="5" t="s">
        <v>18</v>
      </c>
      <c r="E413" s="5"/>
      <c r="F413" s="5"/>
      <c r="G413" s="5"/>
      <c r="H413" s="5"/>
      <c r="I413" s="5"/>
      <c r="J413" s="5"/>
      <c r="K413" s="5" t="s">
        <v>25</v>
      </c>
      <c r="L413" s="5"/>
      <c r="M413" s="5"/>
      <c r="N413" s="5"/>
      <c r="O413" s="5"/>
      <c r="P413" s="5"/>
      <c r="Q413" s="5"/>
      <c r="R413" s="5"/>
      <c r="S413" s="5"/>
      <c r="T413" s="5"/>
      <c r="U413" s="5"/>
      <c r="V413" s="5"/>
      <c r="W413" s="5"/>
      <c r="X413" s="5"/>
      <c r="Y413" s="5"/>
      <c r="Z413" s="5"/>
      <c r="AA413" s="5"/>
      <c r="AB413" s="5"/>
      <c r="AC413" s="5"/>
      <c r="AD413" s="5"/>
      <c r="AE413" s="5"/>
      <c r="AF413" s="5"/>
      <c r="AG413" s="5"/>
      <c r="AH413" s="5"/>
      <c r="AI413" s="5" t="s">
        <v>34</v>
      </c>
      <c r="AJ413" s="5"/>
      <c r="AK413" s="5"/>
      <c r="AL413" s="5"/>
      <c r="AM413" s="5"/>
      <c r="AN413" s="5"/>
      <c r="AO413" s="5" t="s">
        <v>38</v>
      </c>
      <c r="AP413" s="5" t="s">
        <v>39</v>
      </c>
      <c r="AQ413" s="5"/>
      <c r="AR413" s="5"/>
      <c r="AS413" s="5"/>
      <c r="AT413" s="5"/>
      <c r="AU413" s="5" t="s">
        <v>43</v>
      </c>
      <c r="AV413" s="5"/>
      <c r="AW413" s="5"/>
      <c r="AX413" s="5"/>
      <c r="AY413" s="5"/>
      <c r="AZ413" s="5"/>
      <c r="BA413" s="5"/>
      <c r="BB413" s="5"/>
      <c r="BC413" s="5"/>
      <c r="BD413" s="5" t="s">
        <v>51</v>
      </c>
      <c r="BE413" s="5" t="s">
        <v>17</v>
      </c>
      <c r="BF413" s="5" t="s">
        <v>52</v>
      </c>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t="s">
        <v>75</v>
      </c>
      <c r="CG413" s="5"/>
      <c r="CH413" s="5"/>
      <c r="CI413" s="5" t="s">
        <v>417</v>
      </c>
      <c r="CJ413" s="5"/>
      <c r="CK413" s="5" t="s">
        <v>80</v>
      </c>
      <c r="CL413" s="5" t="s">
        <v>476</v>
      </c>
      <c r="CN413" s="5" t="s">
        <v>416</v>
      </c>
      <c r="CO413" s="103" t="s">
        <v>82</v>
      </c>
      <c r="CP413" s="5" t="s">
        <v>94</v>
      </c>
      <c r="CQ413" s="5" t="s">
        <v>103</v>
      </c>
      <c r="CT413" s="5" t="s">
        <v>384</v>
      </c>
      <c r="CU413" s="5" t="s">
        <v>86</v>
      </c>
      <c r="CV413" s="5"/>
      <c r="CW413" s="5"/>
      <c r="CX413" s="5"/>
      <c r="CY413" s="5"/>
      <c r="CZ413" s="5"/>
      <c r="DA413" s="5"/>
    </row>
    <row r="414" spans="1:105">
      <c r="A414" s="5">
        <v>114085842785</v>
      </c>
      <c r="B414" s="5"/>
      <c r="C414" s="5"/>
      <c r="D414" s="5"/>
      <c r="E414" s="5" t="s">
        <v>19</v>
      </c>
      <c r="F414" s="5"/>
      <c r="G414" s="5"/>
      <c r="H414" s="5"/>
      <c r="I414" s="5"/>
      <c r="J414" s="5" t="s">
        <v>24</v>
      </c>
      <c r="K414" s="5"/>
      <c r="L414" s="5"/>
      <c r="M414" s="5"/>
      <c r="N414" s="5" t="s">
        <v>28</v>
      </c>
      <c r="O414" s="5"/>
      <c r="P414" s="5" t="s">
        <v>16</v>
      </c>
      <c r="Q414" s="5" t="s">
        <v>17</v>
      </c>
      <c r="R414" s="5" t="s">
        <v>18</v>
      </c>
      <c r="S414" s="5" t="s">
        <v>19</v>
      </c>
      <c r="T414" s="5"/>
      <c r="U414" s="5"/>
      <c r="V414" s="5"/>
      <c r="W414" s="5"/>
      <c r="X414" s="5"/>
      <c r="Y414" s="5"/>
      <c r="Z414" s="5"/>
      <c r="AA414" s="5"/>
      <c r="AB414" s="5"/>
      <c r="AC414" s="5"/>
      <c r="AD414" s="5"/>
      <c r="AE414" s="5"/>
      <c r="AF414" s="5"/>
      <c r="AG414" s="5"/>
      <c r="AH414" s="5"/>
      <c r="AI414" s="5" t="s">
        <v>34</v>
      </c>
      <c r="AJ414" s="5"/>
      <c r="AK414" s="5"/>
      <c r="AL414" s="5"/>
      <c r="AM414" s="5"/>
      <c r="AN414" s="5"/>
      <c r="AO414" s="5"/>
      <c r="AP414" s="5" t="s">
        <v>39</v>
      </c>
      <c r="AQ414" s="5"/>
      <c r="AR414" s="5" t="s">
        <v>41</v>
      </c>
      <c r="AS414" s="5"/>
      <c r="AT414" s="5"/>
      <c r="AU414" s="5" t="s">
        <v>43</v>
      </c>
      <c r="AV414" s="5" t="s">
        <v>44</v>
      </c>
      <c r="AW414" s="5"/>
      <c r="AX414" s="5"/>
      <c r="AY414" s="5"/>
      <c r="AZ414" s="5"/>
      <c r="BA414" s="5"/>
      <c r="BB414" s="5" t="s">
        <v>49</v>
      </c>
      <c r="BC414" s="5" t="s">
        <v>50</v>
      </c>
      <c r="BD414" s="5"/>
      <c r="BE414" s="5" t="s">
        <v>17</v>
      </c>
      <c r="BF414" s="5" t="s">
        <v>52</v>
      </c>
      <c r="BG414" s="5"/>
      <c r="BH414" s="5" t="s">
        <v>54</v>
      </c>
      <c r="BI414" s="5"/>
      <c r="BJ414" s="5"/>
      <c r="BK414" s="5"/>
      <c r="BL414" s="5" t="s">
        <v>58</v>
      </c>
      <c r="BM414" s="5"/>
      <c r="BN414" s="5" t="s">
        <v>24</v>
      </c>
      <c r="BO414" s="5"/>
      <c r="BP414" s="5"/>
      <c r="BQ414" s="5"/>
      <c r="BR414" s="5" t="s">
        <v>62</v>
      </c>
      <c r="BS414" s="5" t="s">
        <v>63</v>
      </c>
      <c r="BT414" s="5"/>
      <c r="BU414" s="5" t="s">
        <v>64</v>
      </c>
      <c r="BV414" s="5"/>
      <c r="BW414" s="5"/>
      <c r="BX414" s="5"/>
      <c r="BY414" s="5"/>
      <c r="BZ414" s="5"/>
      <c r="CA414" s="5"/>
      <c r="CB414" s="5"/>
      <c r="CC414" s="5"/>
      <c r="CD414" s="5"/>
      <c r="CE414" s="5"/>
      <c r="CF414" s="5" t="s">
        <v>75</v>
      </c>
      <c r="CG414" s="5"/>
      <c r="CH414" s="5"/>
      <c r="CI414" s="5" t="s">
        <v>417</v>
      </c>
      <c r="CJ414" s="5"/>
      <c r="CK414" s="5" t="s">
        <v>80</v>
      </c>
      <c r="CL414" s="5" t="s">
        <v>134</v>
      </c>
      <c r="CN414" s="5" t="s">
        <v>416</v>
      </c>
      <c r="CO414" s="103" t="s">
        <v>82</v>
      </c>
      <c r="CP414" s="5" t="s">
        <v>94</v>
      </c>
      <c r="CQ414" s="5" t="s">
        <v>95</v>
      </c>
      <c r="CT414" s="5" t="s">
        <v>384</v>
      </c>
      <c r="CU414" s="5" t="s">
        <v>86</v>
      </c>
      <c r="CV414" s="5"/>
      <c r="CW414" s="5"/>
      <c r="CX414" s="5"/>
      <c r="CY414" s="5"/>
      <c r="CZ414" s="5"/>
      <c r="DA414" s="5"/>
    </row>
    <row r="415" spans="1:105">
      <c r="A415" s="5">
        <v>114085835907</v>
      </c>
      <c r="B415" s="5"/>
      <c r="C415" s="5"/>
      <c r="D415" s="5"/>
      <c r="E415" s="5"/>
      <c r="F415" s="5"/>
      <c r="G415" s="5" t="s">
        <v>21</v>
      </c>
      <c r="H415" s="5"/>
      <c r="I415" s="5"/>
      <c r="J415" s="5" t="s">
        <v>24</v>
      </c>
      <c r="K415" s="5" t="s">
        <v>25</v>
      </c>
      <c r="L415" s="5" t="s">
        <v>26</v>
      </c>
      <c r="M415" s="5"/>
      <c r="N415" s="5"/>
      <c r="O415" s="5"/>
      <c r="P415" s="5"/>
      <c r="Q415" s="5"/>
      <c r="R415" s="5" t="s">
        <v>18</v>
      </c>
      <c r="S415" s="5"/>
      <c r="T415" s="5"/>
      <c r="U415" s="5"/>
      <c r="V415" s="5"/>
      <c r="W415" s="5" t="s">
        <v>23</v>
      </c>
      <c r="X415" s="5" t="s">
        <v>24</v>
      </c>
      <c r="Y415" s="5"/>
      <c r="Z415" s="5"/>
      <c r="AA415" s="5"/>
      <c r="AB415" s="5"/>
      <c r="AC415" s="5"/>
      <c r="AD415" s="5"/>
      <c r="AE415" s="5"/>
      <c r="AF415" s="5"/>
      <c r="AG415" s="5"/>
      <c r="AH415" s="5"/>
      <c r="AI415" s="5" t="s">
        <v>34</v>
      </c>
      <c r="AJ415" s="5"/>
      <c r="AK415" s="5"/>
      <c r="AL415" s="5"/>
      <c r="AM415" s="5"/>
      <c r="AN415" s="5"/>
      <c r="AO415" s="5"/>
      <c r="AP415" s="5" t="s">
        <v>39</v>
      </c>
      <c r="AQ415" s="5"/>
      <c r="AR415" s="5" t="s">
        <v>41</v>
      </c>
      <c r="AS415" s="5"/>
      <c r="AT415" s="5"/>
      <c r="AU415" s="5" t="s">
        <v>43</v>
      </c>
      <c r="AV415" s="5" t="s">
        <v>44</v>
      </c>
      <c r="AW415" s="5"/>
      <c r="AX415" s="5" t="s">
        <v>46</v>
      </c>
      <c r="AY415" s="5" t="s">
        <v>47</v>
      </c>
      <c r="AZ415" s="5" t="s">
        <v>48</v>
      </c>
      <c r="BA415" s="5"/>
      <c r="BB415" s="5" t="s">
        <v>49</v>
      </c>
      <c r="BC415" s="5"/>
      <c r="BD415" s="5" t="s">
        <v>51</v>
      </c>
      <c r="BE415" s="5"/>
      <c r="BF415" s="5"/>
      <c r="BG415" s="5" t="s">
        <v>53</v>
      </c>
      <c r="BH415" s="5" t="s">
        <v>54</v>
      </c>
      <c r="BI415" s="5" t="s">
        <v>55</v>
      </c>
      <c r="BJ415" s="5"/>
      <c r="BK415" s="5"/>
      <c r="BL415" s="5"/>
      <c r="BM415" s="5"/>
      <c r="BN415" s="5" t="s">
        <v>24</v>
      </c>
      <c r="BO415" s="5"/>
      <c r="BP415" s="5" t="s">
        <v>60</v>
      </c>
      <c r="BQ415" s="5"/>
      <c r="BR415" s="5"/>
      <c r="BS415" s="5" t="s">
        <v>63</v>
      </c>
      <c r="BT415" s="5"/>
      <c r="BU415" s="5" t="s">
        <v>64</v>
      </c>
      <c r="BV415" s="5"/>
      <c r="BW415" s="5" t="s">
        <v>66</v>
      </c>
      <c r="BX415" s="5"/>
      <c r="BY415" s="5"/>
      <c r="BZ415" s="5" t="s">
        <v>69</v>
      </c>
      <c r="CA415" s="5"/>
      <c r="CB415" s="5"/>
      <c r="CC415" s="5"/>
      <c r="CD415" s="5"/>
      <c r="CE415" s="5"/>
      <c r="CF415" s="5" t="s">
        <v>75</v>
      </c>
      <c r="CG415" s="5"/>
      <c r="CH415" s="5"/>
      <c r="CI415" s="5" t="s">
        <v>417</v>
      </c>
      <c r="CJ415" s="5"/>
      <c r="CK415" s="5" t="s">
        <v>80</v>
      </c>
      <c r="CL415" s="5" t="s">
        <v>114</v>
      </c>
      <c r="CN415" s="5" t="s">
        <v>416</v>
      </c>
      <c r="CO415" s="103" t="s">
        <v>82</v>
      </c>
      <c r="CP415" s="5" t="s">
        <v>93</v>
      </c>
      <c r="CQ415" s="5"/>
      <c r="CT415" s="5" t="s">
        <v>384</v>
      </c>
      <c r="CU415" s="5" t="s">
        <v>86</v>
      </c>
      <c r="CV415" s="5"/>
      <c r="CW415" s="5"/>
      <c r="CX415" s="5"/>
      <c r="CY415" s="5"/>
      <c r="CZ415" s="5"/>
      <c r="DA415" s="5"/>
    </row>
    <row r="416" spans="1:105">
      <c r="A416" s="5">
        <v>114085832464</v>
      </c>
      <c r="B416" s="5"/>
      <c r="C416" s="5" t="s">
        <v>17</v>
      </c>
      <c r="D416" s="5" t="s">
        <v>18</v>
      </c>
      <c r="E416" s="5"/>
      <c r="F416" s="5"/>
      <c r="G416" s="5" t="s">
        <v>21</v>
      </c>
      <c r="H416" s="5"/>
      <c r="I416" s="5"/>
      <c r="J416" s="5" t="s">
        <v>24</v>
      </c>
      <c r="K416" s="5" t="s">
        <v>25</v>
      </c>
      <c r="L416" s="5" t="s">
        <v>26</v>
      </c>
      <c r="M416" s="5"/>
      <c r="N416" s="5"/>
      <c r="O416" s="5"/>
      <c r="P416" s="5"/>
      <c r="Q416" s="5"/>
      <c r="R416" s="5"/>
      <c r="S416" s="5" t="s">
        <v>19</v>
      </c>
      <c r="T416" s="5"/>
      <c r="U416" s="5"/>
      <c r="V416" s="5"/>
      <c r="W416" s="5"/>
      <c r="X416" s="5"/>
      <c r="Y416" s="5"/>
      <c r="Z416" s="5"/>
      <c r="AA416" s="5"/>
      <c r="AB416" s="5"/>
      <c r="AC416" s="5"/>
      <c r="AD416" s="5"/>
      <c r="AE416" s="5" t="s">
        <v>30</v>
      </c>
      <c r="AF416" s="5"/>
      <c r="AG416" s="5"/>
      <c r="AH416" s="5"/>
      <c r="AI416" s="5"/>
      <c r="AJ416" s="5"/>
      <c r="AK416" s="5"/>
      <c r="AL416" s="5"/>
      <c r="AM416" s="5"/>
      <c r="AN416" s="5"/>
      <c r="AO416" s="5"/>
      <c r="AP416" s="5" t="s">
        <v>39</v>
      </c>
      <c r="AQ416" s="5" t="s">
        <v>40</v>
      </c>
      <c r="AR416" s="5" t="s">
        <v>41</v>
      </c>
      <c r="AS416" s="5"/>
      <c r="AT416" s="5"/>
      <c r="AU416" s="5"/>
      <c r="AV416" s="5"/>
      <c r="AW416" s="5"/>
      <c r="AX416" s="5"/>
      <c r="AY416" s="5" t="s">
        <v>47</v>
      </c>
      <c r="AZ416" s="5"/>
      <c r="BA416" s="5"/>
      <c r="BB416" s="5" t="s">
        <v>49</v>
      </c>
      <c r="BC416" s="5"/>
      <c r="BD416" s="5" t="s">
        <v>51</v>
      </c>
      <c r="BE416" s="5" t="s">
        <v>17</v>
      </c>
      <c r="BF416" s="5" t="s">
        <v>52</v>
      </c>
      <c r="BG416" s="5"/>
      <c r="BH416" s="5"/>
      <c r="BI416" s="5"/>
      <c r="BJ416" s="5"/>
      <c r="BK416" s="5"/>
      <c r="BL416" s="5" t="s">
        <v>58</v>
      </c>
      <c r="BM416" s="5" t="s">
        <v>59</v>
      </c>
      <c r="BN416" s="5"/>
      <c r="BO416" s="5"/>
      <c r="BP416" s="5"/>
      <c r="BQ416" s="5" t="s">
        <v>61</v>
      </c>
      <c r="BR416" s="5" t="s">
        <v>62</v>
      </c>
      <c r="BS416" s="5" t="s">
        <v>63</v>
      </c>
      <c r="BT416" s="5"/>
      <c r="BU416" s="5" t="s">
        <v>64</v>
      </c>
      <c r="BV416" s="5"/>
      <c r="BW416" s="5"/>
      <c r="BX416" s="5"/>
      <c r="BY416" s="5"/>
      <c r="BZ416" s="5"/>
      <c r="CA416" s="5"/>
      <c r="CB416" s="5"/>
      <c r="CC416" s="5" t="s">
        <v>72</v>
      </c>
      <c r="CD416" s="5" t="s">
        <v>73</v>
      </c>
      <c r="CE416" s="5"/>
      <c r="CF416" s="5" t="s">
        <v>75</v>
      </c>
      <c r="CG416" s="5"/>
      <c r="CH416" s="5"/>
      <c r="CI416" s="5" t="s">
        <v>414</v>
      </c>
      <c r="CJ416" s="5"/>
      <c r="CK416" s="5" t="s">
        <v>80</v>
      </c>
      <c r="CL416" s="5" t="s">
        <v>135</v>
      </c>
      <c r="CN416" s="5" t="s">
        <v>416</v>
      </c>
      <c r="CO416" s="103" t="s">
        <v>82</v>
      </c>
      <c r="CP416" s="5" t="s">
        <v>83</v>
      </c>
      <c r="CQ416" s="5" t="s">
        <v>111</v>
      </c>
      <c r="CT416" s="5" t="s">
        <v>386</v>
      </c>
      <c r="CU416" s="5" t="s">
        <v>86</v>
      </c>
      <c r="CV416" s="5"/>
      <c r="CW416" s="5"/>
      <c r="CX416" s="5"/>
      <c r="CY416" s="5"/>
      <c r="CZ416" s="5"/>
      <c r="DA416" s="5"/>
    </row>
    <row r="417" spans="1:105">
      <c r="A417" s="5">
        <v>114085828973</v>
      </c>
      <c r="B417" s="5"/>
      <c r="C417" s="5"/>
      <c r="D417" s="5" t="s">
        <v>18</v>
      </c>
      <c r="E417" s="5"/>
      <c r="F417" s="5"/>
      <c r="G417" s="5"/>
      <c r="H417" s="5"/>
      <c r="I417" s="5"/>
      <c r="J417" s="5" t="s">
        <v>24</v>
      </c>
      <c r="K417" s="5"/>
      <c r="L417" s="5"/>
      <c r="M417" s="5"/>
      <c r="N417" s="5" t="s">
        <v>28</v>
      </c>
      <c r="O417" s="5"/>
      <c r="P417" s="5"/>
      <c r="Q417" s="5"/>
      <c r="R417" s="5"/>
      <c r="S417" s="5"/>
      <c r="T417" s="5"/>
      <c r="U417" s="5" t="s">
        <v>21</v>
      </c>
      <c r="V417" s="5"/>
      <c r="W417" s="5" t="s">
        <v>23</v>
      </c>
      <c r="X417" s="5"/>
      <c r="Y417" s="5"/>
      <c r="Z417" s="5"/>
      <c r="AA417" s="5"/>
      <c r="AB417" s="5" t="s">
        <v>28</v>
      </c>
      <c r="AC417" s="5"/>
      <c r="AD417" s="5"/>
      <c r="AE417" s="5"/>
      <c r="AF417" s="5"/>
      <c r="AG417" s="5"/>
      <c r="AH417" s="5"/>
      <c r="AI417" s="5"/>
      <c r="AJ417" s="5"/>
      <c r="AK417" s="5"/>
      <c r="AL417" s="5"/>
      <c r="AM417" s="5"/>
      <c r="AN417" s="5"/>
      <c r="AO417" s="5"/>
      <c r="AP417" s="5"/>
      <c r="AQ417" s="5"/>
      <c r="AR417" s="5"/>
      <c r="AS417" s="5"/>
      <c r="AT417" s="5"/>
      <c r="AU417" s="5"/>
      <c r="AV417" s="5"/>
      <c r="AW417" s="5"/>
      <c r="AX417" s="5"/>
      <c r="AY417" s="5" t="s">
        <v>47</v>
      </c>
      <c r="AZ417" s="5"/>
      <c r="BA417" s="5"/>
      <c r="BB417" s="5"/>
      <c r="BC417" s="5"/>
      <c r="BD417" s="5"/>
      <c r="BE417" s="5"/>
      <c r="BF417" s="5"/>
      <c r="BG417" s="5"/>
      <c r="BH417" s="5"/>
      <c r="BI417" s="5"/>
      <c r="BJ417" s="5"/>
      <c r="BK417" s="5"/>
      <c r="BL417" s="5"/>
      <c r="BM417" s="5"/>
      <c r="BN417" s="5" t="s">
        <v>24</v>
      </c>
      <c r="BO417" s="5"/>
      <c r="BP417" s="5"/>
      <c r="BQ417" s="5"/>
      <c r="BR417" s="5"/>
      <c r="BS417" s="5"/>
      <c r="BT417" s="5"/>
      <c r="BU417" s="5" t="s">
        <v>64</v>
      </c>
      <c r="BV417" s="5"/>
      <c r="BW417" s="5"/>
      <c r="BX417" s="5"/>
      <c r="BY417" s="5"/>
      <c r="BZ417" s="5"/>
      <c r="CA417" s="5"/>
      <c r="CB417" s="5"/>
      <c r="CC417" s="5"/>
      <c r="CD417" s="5" t="s">
        <v>73</v>
      </c>
      <c r="CE417" s="5"/>
      <c r="CF417" s="5" t="s">
        <v>75</v>
      </c>
      <c r="CG417" s="5"/>
      <c r="CH417" s="5"/>
      <c r="CI417" s="5" t="s">
        <v>417</v>
      </c>
      <c r="CJ417" s="5"/>
      <c r="CK417" s="5" t="s">
        <v>141</v>
      </c>
      <c r="CL417" s="5" t="s">
        <v>145</v>
      </c>
      <c r="CN417" s="5" t="s">
        <v>416</v>
      </c>
      <c r="CO417" s="103" t="s">
        <v>82</v>
      </c>
      <c r="CP417" s="5" t="s">
        <v>94</v>
      </c>
      <c r="CQ417" s="5" t="s">
        <v>103</v>
      </c>
      <c r="CT417" s="5" t="s">
        <v>384</v>
      </c>
      <c r="CU417" s="5" t="s">
        <v>86</v>
      </c>
      <c r="CV417" s="5"/>
      <c r="CW417" s="5"/>
      <c r="CX417" s="5"/>
      <c r="CY417" s="5"/>
      <c r="CZ417" s="5"/>
      <c r="DA417" s="5"/>
    </row>
    <row r="418" spans="1:105">
      <c r="A418" s="5">
        <v>114085827353</v>
      </c>
      <c r="B418" s="5"/>
      <c r="C418" s="5" t="s">
        <v>17</v>
      </c>
      <c r="D418" s="5" t="s">
        <v>18</v>
      </c>
      <c r="E418" s="5"/>
      <c r="F418" s="5"/>
      <c r="G418" s="5" t="s">
        <v>21</v>
      </c>
      <c r="H418" s="5"/>
      <c r="I418" s="5"/>
      <c r="J418" s="5" t="s">
        <v>24</v>
      </c>
      <c r="K418" s="5" t="s">
        <v>25</v>
      </c>
      <c r="L418" s="5" t="s">
        <v>26</v>
      </c>
      <c r="M418" s="5" t="s">
        <v>27</v>
      </c>
      <c r="N418" s="5"/>
      <c r="O418" s="5"/>
      <c r="P418" s="5"/>
      <c r="Q418" s="5"/>
      <c r="R418" s="5" t="s">
        <v>18</v>
      </c>
      <c r="S418" s="5"/>
      <c r="T418" s="5"/>
      <c r="U418" s="5"/>
      <c r="V418" s="5"/>
      <c r="W418" s="5"/>
      <c r="X418" s="5"/>
      <c r="Y418" s="5"/>
      <c r="Z418" s="5"/>
      <c r="AA418" s="5"/>
      <c r="AB418" s="5"/>
      <c r="AC418" s="5"/>
      <c r="AD418" s="5"/>
      <c r="AE418" s="5"/>
      <c r="AF418" s="5"/>
      <c r="AG418" s="5"/>
      <c r="AH418" s="5"/>
      <c r="AI418" s="5" t="s">
        <v>34</v>
      </c>
      <c r="AJ418" s="5"/>
      <c r="AK418" s="5"/>
      <c r="AL418" s="5"/>
      <c r="AM418" s="5"/>
      <c r="AN418" s="5"/>
      <c r="AO418" s="5" t="s">
        <v>38</v>
      </c>
      <c r="AP418" s="5"/>
      <c r="AQ418" s="5"/>
      <c r="AR418" s="5"/>
      <c r="AS418" s="5"/>
      <c r="AT418" s="5" t="s">
        <v>37</v>
      </c>
      <c r="AU418" s="5"/>
      <c r="AV418" s="5"/>
      <c r="AW418" s="5"/>
      <c r="AX418" s="5"/>
      <c r="AY418" s="5"/>
      <c r="AZ418" s="5"/>
      <c r="BA418" s="5"/>
      <c r="BB418" s="5" t="s">
        <v>49</v>
      </c>
      <c r="BC418" s="5"/>
      <c r="BD418" s="5"/>
      <c r="BE418" s="5" t="s">
        <v>17</v>
      </c>
      <c r="BF418" s="5"/>
      <c r="BG418" s="5"/>
      <c r="BH418" s="5" t="s">
        <v>54</v>
      </c>
      <c r="BI418" s="5"/>
      <c r="BJ418" s="5"/>
      <c r="BK418" s="5"/>
      <c r="BL418" s="5"/>
      <c r="BM418" s="5"/>
      <c r="BN418" s="5"/>
      <c r="BO418" s="5"/>
      <c r="BP418" s="5" t="s">
        <v>60</v>
      </c>
      <c r="BQ418" s="5"/>
      <c r="BR418" s="5"/>
      <c r="BS418" s="5"/>
      <c r="BT418" s="5"/>
      <c r="BU418" s="5" t="s">
        <v>64</v>
      </c>
      <c r="BV418" s="5"/>
      <c r="BW418" s="5"/>
      <c r="BX418" s="5"/>
      <c r="BY418" s="5"/>
      <c r="BZ418" s="5"/>
      <c r="CA418" s="5"/>
      <c r="CB418" s="5"/>
      <c r="CC418" s="5"/>
      <c r="CD418" s="5"/>
      <c r="CE418" s="5"/>
      <c r="CF418" s="5"/>
      <c r="CG418" s="5"/>
      <c r="CH418" s="5"/>
      <c r="CI418" s="5" t="s">
        <v>414</v>
      </c>
      <c r="CJ418" s="5"/>
      <c r="CK418" s="5" t="s">
        <v>80</v>
      </c>
      <c r="CL418" s="5" t="s">
        <v>117</v>
      </c>
      <c r="CN418" s="5" t="s">
        <v>416</v>
      </c>
      <c r="CO418" s="103" t="s">
        <v>82</v>
      </c>
      <c r="CP418" s="5" t="s">
        <v>83</v>
      </c>
      <c r="CQ418" s="5" t="s">
        <v>111</v>
      </c>
      <c r="CT418" s="5" t="s">
        <v>384</v>
      </c>
      <c r="CU418" s="5" t="s">
        <v>86</v>
      </c>
      <c r="CV418" s="5"/>
      <c r="CW418" s="5"/>
      <c r="CX418" s="5"/>
      <c r="CY418" s="5"/>
      <c r="CZ418" s="5"/>
      <c r="DA418" s="5"/>
    </row>
    <row r="419" spans="1:105">
      <c r="A419" s="5">
        <v>114085823569</v>
      </c>
      <c r="B419" s="5"/>
      <c r="C419" s="5" t="s">
        <v>17</v>
      </c>
      <c r="D419" s="5" t="s">
        <v>18</v>
      </c>
      <c r="E419" s="5"/>
      <c r="F419" s="5"/>
      <c r="G419" s="5"/>
      <c r="H419" s="5"/>
      <c r="I419" s="5"/>
      <c r="J419" s="5" t="s">
        <v>24</v>
      </c>
      <c r="K419" s="5"/>
      <c r="L419" s="5"/>
      <c r="M419" s="5"/>
      <c r="N419" s="5"/>
      <c r="O419" s="5"/>
      <c r="P419" s="5"/>
      <c r="Q419" s="5"/>
      <c r="R419" s="5" t="s">
        <v>18</v>
      </c>
      <c r="S419" s="5"/>
      <c r="T419" s="5"/>
      <c r="U419" s="5"/>
      <c r="V419" s="5"/>
      <c r="W419" s="5" t="s">
        <v>23</v>
      </c>
      <c r="X419" s="5" t="s">
        <v>24</v>
      </c>
      <c r="Y419" s="5"/>
      <c r="Z419" s="5"/>
      <c r="AA419" s="5"/>
      <c r="AB419" s="5"/>
      <c r="AC419" s="5"/>
      <c r="AD419" s="5"/>
      <c r="AE419" s="5"/>
      <c r="AF419" s="5"/>
      <c r="AG419" s="5"/>
      <c r="AH419" s="5"/>
      <c r="AI419" s="5" t="s">
        <v>34</v>
      </c>
      <c r="AJ419" s="5"/>
      <c r="AK419" s="5"/>
      <c r="AL419" s="5"/>
      <c r="AM419" s="5"/>
      <c r="AN419" s="5"/>
      <c r="AO419" s="5"/>
      <c r="AP419" s="5" t="s">
        <v>39</v>
      </c>
      <c r="AQ419" s="5"/>
      <c r="AR419" s="5" t="s">
        <v>41</v>
      </c>
      <c r="AS419" s="5"/>
      <c r="AT419" s="5"/>
      <c r="AU419" s="5"/>
      <c r="AV419" s="5"/>
      <c r="AW419" s="5" t="s">
        <v>45</v>
      </c>
      <c r="AX419" s="5"/>
      <c r="AY419" s="5"/>
      <c r="AZ419" s="5"/>
      <c r="BA419" s="5"/>
      <c r="BB419" s="5"/>
      <c r="BC419" s="5"/>
      <c r="BD419" s="5" t="s">
        <v>51</v>
      </c>
      <c r="BE419" s="5"/>
      <c r="BF419" s="5"/>
      <c r="BG419" s="5"/>
      <c r="BH419" s="5"/>
      <c r="BI419" s="5"/>
      <c r="BJ419" s="5"/>
      <c r="BK419" s="5"/>
      <c r="BL419" s="5" t="s">
        <v>58</v>
      </c>
      <c r="BM419" s="5"/>
      <c r="BN419" s="5" t="s">
        <v>24</v>
      </c>
      <c r="BO419" s="5"/>
      <c r="BP419" s="5"/>
      <c r="BQ419" s="5"/>
      <c r="BR419" s="5"/>
      <c r="BS419" s="5"/>
      <c r="BT419" s="5"/>
      <c r="BU419" s="5" t="s">
        <v>64</v>
      </c>
      <c r="BV419" s="5"/>
      <c r="BW419" s="5"/>
      <c r="BX419" s="5"/>
      <c r="BY419" s="5" t="s">
        <v>68</v>
      </c>
      <c r="BZ419" s="5" t="s">
        <v>69</v>
      </c>
      <c r="CA419" s="5"/>
      <c r="CB419" s="5" t="s">
        <v>71</v>
      </c>
      <c r="CC419" s="5"/>
      <c r="CD419" s="5"/>
      <c r="CE419" s="5"/>
      <c r="CF419" s="5" t="s">
        <v>75</v>
      </c>
      <c r="CG419" s="5"/>
      <c r="CH419" s="5"/>
      <c r="CI419" s="5" t="s">
        <v>417</v>
      </c>
      <c r="CJ419" s="5"/>
      <c r="CK419" s="5" t="s">
        <v>141</v>
      </c>
      <c r="CL419" s="5" t="s">
        <v>145</v>
      </c>
      <c r="CN419" s="5" t="s">
        <v>416</v>
      </c>
      <c r="CO419" s="103" t="s">
        <v>82</v>
      </c>
      <c r="CP419" s="5" t="s">
        <v>83</v>
      </c>
      <c r="CQ419" s="5" t="s">
        <v>84</v>
      </c>
      <c r="CT419" s="5" t="s">
        <v>384</v>
      </c>
      <c r="CU419" s="5" t="s">
        <v>86</v>
      </c>
      <c r="CV419" s="5"/>
      <c r="CW419" s="5"/>
      <c r="CX419" s="5"/>
      <c r="CY419" s="5"/>
      <c r="CZ419" s="5"/>
      <c r="DA419" s="5"/>
    </row>
    <row r="420" spans="1:105">
      <c r="A420" s="5">
        <v>114085822022</v>
      </c>
      <c r="B420" s="5" t="s">
        <v>16</v>
      </c>
      <c r="C420" s="5" t="s">
        <v>17</v>
      </c>
      <c r="D420" s="5"/>
      <c r="E420" s="5"/>
      <c r="F420" s="5"/>
      <c r="G420" s="5"/>
      <c r="H420" s="5"/>
      <c r="I420" s="5"/>
      <c r="J420" s="5"/>
      <c r="K420" s="5" t="s">
        <v>25</v>
      </c>
      <c r="L420" s="5"/>
      <c r="M420" s="5" t="s">
        <v>27</v>
      </c>
      <c r="N420" s="5" t="s">
        <v>28</v>
      </c>
      <c r="O420" s="5"/>
      <c r="P420" s="5" t="s">
        <v>16</v>
      </c>
      <c r="Q420" s="5" t="s">
        <v>17</v>
      </c>
      <c r="R420" s="5"/>
      <c r="S420" s="5"/>
      <c r="T420" s="5"/>
      <c r="U420" s="5"/>
      <c r="V420" s="5"/>
      <c r="W420" s="5"/>
      <c r="X420" s="5"/>
      <c r="Y420" s="5" t="s">
        <v>25</v>
      </c>
      <c r="Z420" s="5"/>
      <c r="AA420" s="5" t="s">
        <v>27</v>
      </c>
      <c r="AB420" s="5" t="s">
        <v>28</v>
      </c>
      <c r="AC420" s="5"/>
      <c r="AD420" s="5"/>
      <c r="AE420" s="5"/>
      <c r="AF420" s="5" t="s">
        <v>31</v>
      </c>
      <c r="AG420" s="5"/>
      <c r="AH420" s="5"/>
      <c r="AI420" s="5"/>
      <c r="AJ420" s="5"/>
      <c r="AK420" s="5"/>
      <c r="AL420" s="5"/>
      <c r="AM420" s="5"/>
      <c r="AN420" s="5"/>
      <c r="AO420" s="5" t="s">
        <v>38</v>
      </c>
      <c r="AP420" s="5"/>
      <c r="AQ420" s="5"/>
      <c r="AR420" s="5"/>
      <c r="AS420" s="5" t="s">
        <v>42</v>
      </c>
      <c r="AT420" s="5"/>
      <c r="AU420" s="5"/>
      <c r="AV420" s="5"/>
      <c r="AW420" s="5" t="s">
        <v>45</v>
      </c>
      <c r="AX420" s="5"/>
      <c r="AY420" s="5"/>
      <c r="AZ420" s="5"/>
      <c r="BA420" s="5"/>
      <c r="BB420" s="5"/>
      <c r="BC420" s="5"/>
      <c r="BD420" s="5" t="s">
        <v>51</v>
      </c>
      <c r="BE420" s="5" t="s">
        <v>17</v>
      </c>
      <c r="BF420" s="5"/>
      <c r="BG420" s="5" t="s">
        <v>53</v>
      </c>
      <c r="BH420" s="5"/>
      <c r="BI420" s="5"/>
      <c r="BJ420" s="5"/>
      <c r="BK420" s="5"/>
      <c r="BL420" s="5"/>
      <c r="BM420" s="5"/>
      <c r="BN420" s="5"/>
      <c r="BO420" s="5"/>
      <c r="BP420" s="5"/>
      <c r="BQ420" s="5"/>
      <c r="BR420" s="5"/>
      <c r="BS420" s="5"/>
      <c r="BT420" s="5"/>
      <c r="BU420" s="5" t="s">
        <v>64</v>
      </c>
      <c r="BV420" s="5"/>
      <c r="BW420" s="5"/>
      <c r="BX420" s="5"/>
      <c r="BY420" s="5"/>
      <c r="BZ420" s="5"/>
      <c r="CA420" s="5"/>
      <c r="CB420" s="5"/>
      <c r="CC420" s="5"/>
      <c r="CD420" s="5"/>
      <c r="CE420" s="5"/>
      <c r="CF420" s="5" t="s">
        <v>75</v>
      </c>
      <c r="CG420" s="5"/>
      <c r="CH420" s="5"/>
      <c r="CI420" s="5" t="s">
        <v>417</v>
      </c>
      <c r="CJ420" s="5"/>
      <c r="CK420" s="5" t="s">
        <v>80</v>
      </c>
      <c r="CL420" s="5" t="s">
        <v>116</v>
      </c>
      <c r="CN420" s="5" t="s">
        <v>416</v>
      </c>
      <c r="CO420" s="103" t="s">
        <v>82</v>
      </c>
      <c r="CP420" s="5" t="s">
        <v>94</v>
      </c>
      <c r="CQ420" s="5" t="s">
        <v>84</v>
      </c>
      <c r="CT420" s="5" t="s">
        <v>384</v>
      </c>
      <c r="CU420" s="5" t="s">
        <v>86</v>
      </c>
      <c r="CV420" s="5"/>
      <c r="CW420" s="5"/>
      <c r="CX420" s="5"/>
      <c r="CY420" s="5"/>
      <c r="CZ420" s="5"/>
      <c r="DA420" s="5"/>
    </row>
    <row r="421" spans="1:105">
      <c r="A421" s="5">
        <v>114085818088</v>
      </c>
      <c r="B421" s="5"/>
      <c r="C421" s="5"/>
      <c r="D421" s="5"/>
      <c r="E421" s="5"/>
      <c r="F421" s="5"/>
      <c r="G421" s="5"/>
      <c r="H421" s="5"/>
      <c r="I421" s="5"/>
      <c r="J421" s="5" t="s">
        <v>24</v>
      </c>
      <c r="K421" s="5"/>
      <c r="L421" s="5"/>
      <c r="M421" s="5"/>
      <c r="N421" s="5" t="s">
        <v>28</v>
      </c>
      <c r="O421" s="5"/>
      <c r="P421" s="5"/>
      <c r="Q421" s="5"/>
      <c r="R421" s="5"/>
      <c r="S421" s="5"/>
      <c r="T421" s="5"/>
      <c r="U421" s="5"/>
      <c r="V421" s="5"/>
      <c r="W421" s="5" t="s">
        <v>23</v>
      </c>
      <c r="X421" s="5" t="s">
        <v>24</v>
      </c>
      <c r="Y421" s="5"/>
      <c r="Z421" s="5"/>
      <c r="AA421" s="5"/>
      <c r="AB421" s="5"/>
      <c r="AC421" s="5"/>
      <c r="AD421" s="5"/>
      <c r="AE421" s="5"/>
      <c r="AF421" s="5"/>
      <c r="AG421" s="5"/>
      <c r="AH421" s="5"/>
      <c r="AI421" s="5"/>
      <c r="AJ421" s="5"/>
      <c r="AK421" s="5"/>
      <c r="AL421" s="5"/>
      <c r="AM421" s="5"/>
      <c r="AN421" s="5"/>
      <c r="AO421" s="5"/>
      <c r="AP421" s="5" t="s">
        <v>39</v>
      </c>
      <c r="AQ421" s="5"/>
      <c r="AR421" s="5"/>
      <c r="AS421" s="5"/>
      <c r="AT421" s="5"/>
      <c r="AU421" s="5" t="s">
        <v>43</v>
      </c>
      <c r="AV421" s="5" t="s">
        <v>44</v>
      </c>
      <c r="AW421" s="5"/>
      <c r="AX421" s="5"/>
      <c r="AY421" s="5"/>
      <c r="AZ421" s="5"/>
      <c r="BA421" s="5"/>
      <c r="BB421" s="5" t="s">
        <v>49</v>
      </c>
      <c r="BC421" s="5"/>
      <c r="BD421" s="5"/>
      <c r="BE421" s="5"/>
      <c r="BF421" s="5"/>
      <c r="BG421" s="5"/>
      <c r="BH421" s="5" t="s">
        <v>54</v>
      </c>
      <c r="BI421" s="5"/>
      <c r="BJ421" s="5"/>
      <c r="BK421" s="5"/>
      <c r="BL421" s="5"/>
      <c r="BM421" s="5"/>
      <c r="BN421" s="5" t="s">
        <v>24</v>
      </c>
      <c r="BO421" s="5"/>
      <c r="BP421" s="5"/>
      <c r="BQ421" s="5"/>
      <c r="BR421" s="5"/>
      <c r="BS421" s="5"/>
      <c r="BT421" s="5"/>
      <c r="BU421" s="5" t="s">
        <v>64</v>
      </c>
      <c r="BV421" s="5"/>
      <c r="BW421" s="5"/>
      <c r="BX421" s="5"/>
      <c r="BY421" s="5"/>
      <c r="BZ421" s="5"/>
      <c r="CA421" s="5"/>
      <c r="CB421" s="5"/>
      <c r="CC421" s="5" t="s">
        <v>72</v>
      </c>
      <c r="CD421" s="5"/>
      <c r="CE421" s="5"/>
      <c r="CF421" s="5" t="s">
        <v>75</v>
      </c>
      <c r="CG421" s="5"/>
      <c r="CH421" s="5"/>
      <c r="CI421" s="5" t="s">
        <v>417</v>
      </c>
      <c r="CJ421" s="5"/>
      <c r="CK421" s="5" t="s">
        <v>80</v>
      </c>
      <c r="CL421" s="5" t="s">
        <v>130</v>
      </c>
      <c r="CN421" s="5" t="s">
        <v>416</v>
      </c>
      <c r="CO421" s="103" t="s">
        <v>82</v>
      </c>
      <c r="CP421" s="5" t="s">
        <v>83</v>
      </c>
      <c r="CQ421" s="5" t="s">
        <v>103</v>
      </c>
      <c r="CT421" s="5" t="s">
        <v>386</v>
      </c>
      <c r="CU421" s="5" t="s">
        <v>86</v>
      </c>
      <c r="CV421" s="5"/>
      <c r="CW421" s="5"/>
      <c r="CX421" s="5"/>
      <c r="CY421" s="5"/>
      <c r="CZ421" s="5"/>
      <c r="DA421" s="5"/>
    </row>
    <row r="422" spans="1:105">
      <c r="A422" s="5">
        <v>114085818365</v>
      </c>
      <c r="B422" s="5"/>
      <c r="C422" s="5" t="s">
        <v>17</v>
      </c>
      <c r="D422" s="5"/>
      <c r="E422" s="5"/>
      <c r="F422" s="5"/>
      <c r="G422" s="5" t="s">
        <v>21</v>
      </c>
      <c r="H422" s="5"/>
      <c r="I422" s="5" t="s">
        <v>23</v>
      </c>
      <c r="J422" s="5"/>
      <c r="K422" s="5" t="s">
        <v>25</v>
      </c>
      <c r="L422" s="5" t="s">
        <v>26</v>
      </c>
      <c r="M422" s="5" t="s">
        <v>27</v>
      </c>
      <c r="N422" s="5"/>
      <c r="O422" s="5"/>
      <c r="P422" s="5"/>
      <c r="Q422" s="5"/>
      <c r="R422" s="5"/>
      <c r="S422" s="5"/>
      <c r="T422" s="5"/>
      <c r="U422" s="5"/>
      <c r="V422" s="5"/>
      <c r="W422" s="5" t="s">
        <v>23</v>
      </c>
      <c r="X422" s="5"/>
      <c r="Y422" s="5" t="s">
        <v>25</v>
      </c>
      <c r="Z422" s="5"/>
      <c r="AA422" s="5"/>
      <c r="AB422" s="5"/>
      <c r="AC422" s="5"/>
      <c r="AD422" s="5"/>
      <c r="AE422" s="5"/>
      <c r="AF422" s="5" t="s">
        <v>31</v>
      </c>
      <c r="AG422" s="5"/>
      <c r="AH422" s="5"/>
      <c r="AI422" s="5"/>
      <c r="AJ422" s="5"/>
      <c r="AK422" s="5"/>
      <c r="AL422" s="5"/>
      <c r="AM422" s="5"/>
      <c r="AN422" s="5"/>
      <c r="AO422" s="5"/>
      <c r="AP422" s="5" t="s">
        <v>39</v>
      </c>
      <c r="AQ422" s="5"/>
      <c r="AR422" s="5"/>
      <c r="AS422" s="5" t="s">
        <v>42</v>
      </c>
      <c r="AT422" s="5" t="s">
        <v>37</v>
      </c>
      <c r="AU422" s="5"/>
      <c r="AV422" s="5" t="s">
        <v>44</v>
      </c>
      <c r="AW422" s="5"/>
      <c r="AX422" s="5" t="s">
        <v>46</v>
      </c>
      <c r="AY422" s="5"/>
      <c r="AZ422" s="5"/>
      <c r="BA422" s="5"/>
      <c r="BB422" s="5"/>
      <c r="BC422" s="5"/>
      <c r="BD422" s="5" t="s">
        <v>51</v>
      </c>
      <c r="BE422" s="5"/>
      <c r="BF422" s="5"/>
      <c r="BG422" s="5"/>
      <c r="BH422" s="5"/>
      <c r="BI422" s="5"/>
      <c r="BJ422" s="5"/>
      <c r="BK422" s="5"/>
      <c r="BL422" s="5"/>
      <c r="BM422" s="5" t="s">
        <v>59</v>
      </c>
      <c r="BN422" s="5"/>
      <c r="BO422" s="5"/>
      <c r="BP422" s="5"/>
      <c r="BQ422" s="5" t="s">
        <v>61</v>
      </c>
      <c r="BR422" s="5"/>
      <c r="BS422" s="5" t="s">
        <v>63</v>
      </c>
      <c r="BT422" s="5"/>
      <c r="BU422" s="5" t="s">
        <v>64</v>
      </c>
      <c r="BV422" s="5"/>
      <c r="BW422" s="5" t="s">
        <v>66</v>
      </c>
      <c r="BX422" s="5" t="s">
        <v>67</v>
      </c>
      <c r="BY422" s="5"/>
      <c r="BZ422" s="5" t="s">
        <v>69</v>
      </c>
      <c r="CA422" s="5" t="s">
        <v>70</v>
      </c>
      <c r="CB422" s="5"/>
      <c r="CC422" s="5"/>
      <c r="CD422" s="5"/>
      <c r="CE422" s="5"/>
      <c r="CF422" s="5" t="s">
        <v>75</v>
      </c>
      <c r="CG422" s="5" t="s">
        <v>76</v>
      </c>
      <c r="CH422" s="5"/>
      <c r="CI422" s="5" t="s">
        <v>417</v>
      </c>
      <c r="CJ422" s="5"/>
      <c r="CK422" s="5" t="s">
        <v>141</v>
      </c>
      <c r="CL422" s="5" t="s">
        <v>185</v>
      </c>
      <c r="CN422" s="5" t="s">
        <v>416</v>
      </c>
      <c r="CO422" s="103" t="s">
        <v>82</v>
      </c>
      <c r="CP422" s="5" t="s">
        <v>83</v>
      </c>
      <c r="CQ422" s="5" t="s">
        <v>84</v>
      </c>
      <c r="CT422" s="5" t="s">
        <v>384</v>
      </c>
      <c r="CU422" s="5" t="s">
        <v>86</v>
      </c>
      <c r="CV422" s="5"/>
      <c r="CW422" s="5"/>
      <c r="CX422" s="5"/>
      <c r="CY422" s="5"/>
      <c r="CZ422" s="5"/>
      <c r="DA422" s="5"/>
    </row>
    <row r="423" spans="1:105">
      <c r="A423" s="5">
        <v>114085818190</v>
      </c>
      <c r="B423" s="5"/>
      <c r="C423" s="5"/>
      <c r="D423" s="5" t="s">
        <v>18</v>
      </c>
      <c r="E423" s="5"/>
      <c r="F423" s="5"/>
      <c r="G423" s="5"/>
      <c r="H423" s="5"/>
      <c r="I423" s="5"/>
      <c r="J423" s="5"/>
      <c r="K423" s="5" t="s">
        <v>25</v>
      </c>
      <c r="L423" s="5" t="s">
        <v>26</v>
      </c>
      <c r="M423" s="5"/>
      <c r="N423" s="5"/>
      <c r="O423" s="5"/>
      <c r="P423" s="5"/>
      <c r="Q423" s="5"/>
      <c r="R423" s="5" t="s">
        <v>18</v>
      </c>
      <c r="S423" s="5"/>
      <c r="T423" s="5"/>
      <c r="U423" s="5"/>
      <c r="V423" s="5" t="s">
        <v>22</v>
      </c>
      <c r="W423" s="5"/>
      <c r="X423" s="5"/>
      <c r="Y423" s="5"/>
      <c r="Z423" s="5"/>
      <c r="AA423" s="5"/>
      <c r="AB423" s="5" t="s">
        <v>28</v>
      </c>
      <c r="AC423" s="5"/>
      <c r="AD423" s="5"/>
      <c r="AE423" s="5"/>
      <c r="AF423" s="5"/>
      <c r="AG423" s="5"/>
      <c r="AH423" s="5"/>
      <c r="AI423" s="5" t="s">
        <v>34</v>
      </c>
      <c r="AJ423" s="5"/>
      <c r="AK423" s="5"/>
      <c r="AL423" s="5"/>
      <c r="AM423" s="5"/>
      <c r="AN423" s="5"/>
      <c r="AO423" s="5" t="s">
        <v>38</v>
      </c>
      <c r="AP423" s="5" t="s">
        <v>39</v>
      </c>
      <c r="AQ423" s="5"/>
      <c r="AR423" s="5" t="s">
        <v>41</v>
      </c>
      <c r="AS423" s="5"/>
      <c r="AT423" s="5"/>
      <c r="AU423" s="5"/>
      <c r="AV423" s="5"/>
      <c r="AW423" s="5"/>
      <c r="AX423" s="5"/>
      <c r="AY423" s="5"/>
      <c r="AZ423" s="5"/>
      <c r="BA423" s="5"/>
      <c r="BB423" s="5"/>
      <c r="BC423" s="5"/>
      <c r="BD423" s="5"/>
      <c r="BE423" s="5" t="s">
        <v>17</v>
      </c>
      <c r="BF423" s="5"/>
      <c r="BG423" s="5"/>
      <c r="BH423" s="5"/>
      <c r="BI423" s="5"/>
      <c r="BJ423" s="5"/>
      <c r="BK423" s="5"/>
      <c r="BL423" s="5" t="s">
        <v>58</v>
      </c>
      <c r="BM423" s="5"/>
      <c r="BN423" s="5" t="s">
        <v>24</v>
      </c>
      <c r="BO423" s="5"/>
      <c r="BP423" s="5"/>
      <c r="BQ423" s="5"/>
      <c r="BR423" s="5"/>
      <c r="BS423" s="5"/>
      <c r="BT423" s="5"/>
      <c r="BU423" s="5" t="s">
        <v>64</v>
      </c>
      <c r="BV423" s="5"/>
      <c r="BW423" s="5"/>
      <c r="BX423" s="5"/>
      <c r="BY423" s="5"/>
      <c r="BZ423" s="5"/>
      <c r="CA423" s="5"/>
      <c r="CB423" s="5"/>
      <c r="CC423" s="5"/>
      <c r="CD423" s="5"/>
      <c r="CE423" s="5"/>
      <c r="CF423" s="5" t="s">
        <v>75</v>
      </c>
      <c r="CG423" s="5"/>
      <c r="CH423" s="5"/>
      <c r="CI423" s="5" t="s">
        <v>414</v>
      </c>
      <c r="CJ423" s="5"/>
      <c r="CK423" s="5" t="s">
        <v>80</v>
      </c>
      <c r="CL423" s="5" t="s">
        <v>139</v>
      </c>
      <c r="CN423" s="5" t="s">
        <v>416</v>
      </c>
      <c r="CO423" s="103" t="s">
        <v>82</v>
      </c>
      <c r="CP423" s="5" t="s">
        <v>83</v>
      </c>
      <c r="CQ423" s="5" t="s">
        <v>111</v>
      </c>
      <c r="CT423" s="5" t="s">
        <v>384</v>
      </c>
      <c r="CU423" s="5" t="s">
        <v>86</v>
      </c>
      <c r="CV423" s="5"/>
      <c r="CW423" s="5"/>
      <c r="CX423" s="5"/>
      <c r="CY423" s="5"/>
      <c r="CZ423" s="5"/>
      <c r="DA423" s="5"/>
    </row>
    <row r="424" spans="1:105">
      <c r="A424" s="5">
        <v>114085817474</v>
      </c>
      <c r="B424" s="5"/>
      <c r="C424" s="5"/>
      <c r="D424" s="5"/>
      <c r="E424" s="5"/>
      <c r="F424" s="5"/>
      <c r="G424" s="5"/>
      <c r="H424" s="5"/>
      <c r="I424" s="5"/>
      <c r="J424" s="5"/>
      <c r="K424" s="5" t="s">
        <v>25</v>
      </c>
      <c r="L424" s="5" t="s">
        <v>26</v>
      </c>
      <c r="M424" s="5"/>
      <c r="N424" s="5"/>
      <c r="O424" s="5"/>
      <c r="P424" s="5"/>
      <c r="Q424" s="5"/>
      <c r="R424" s="5"/>
      <c r="S424" s="5"/>
      <c r="T424" s="5"/>
      <c r="U424" s="5"/>
      <c r="V424" s="5"/>
      <c r="W424" s="5" t="s">
        <v>23</v>
      </c>
      <c r="X424" s="5"/>
      <c r="Y424" s="5"/>
      <c r="Z424" s="5"/>
      <c r="AA424" s="5"/>
      <c r="AB424" s="5"/>
      <c r="AC424" s="5"/>
      <c r="AD424" s="5"/>
      <c r="AE424" s="5"/>
      <c r="AF424" s="5"/>
      <c r="AG424" s="5"/>
      <c r="AH424" s="5"/>
      <c r="AI424" s="5"/>
      <c r="AJ424" s="5"/>
      <c r="AK424" s="5"/>
      <c r="AL424" s="5"/>
      <c r="AM424" s="5" t="s">
        <v>375</v>
      </c>
      <c r="AN424" s="5"/>
      <c r="AO424" s="5"/>
      <c r="AP424" s="5" t="s">
        <v>39</v>
      </c>
      <c r="AQ424" s="5"/>
      <c r="AR424" s="5" t="s">
        <v>41</v>
      </c>
      <c r="AS424" s="5"/>
      <c r="AT424" s="5"/>
      <c r="AU424" s="5"/>
      <c r="AV424" s="5"/>
      <c r="AW424" s="5"/>
      <c r="AX424" s="5"/>
      <c r="AY424" s="5"/>
      <c r="AZ424" s="5"/>
      <c r="BA424" s="5"/>
      <c r="BB424" s="5"/>
      <c r="BC424" s="5"/>
      <c r="BD424" s="5" t="s">
        <v>51</v>
      </c>
      <c r="BE424" s="5"/>
      <c r="BF424" s="5"/>
      <c r="BG424" s="5"/>
      <c r="BH424" s="5"/>
      <c r="BI424" s="5"/>
      <c r="BJ424" s="5"/>
      <c r="BK424" s="5"/>
      <c r="BL424" s="5"/>
      <c r="BM424" s="5"/>
      <c r="BN424" s="5"/>
      <c r="BO424" s="5"/>
      <c r="BP424" s="5"/>
      <c r="BQ424" s="5"/>
      <c r="BR424" s="5"/>
      <c r="BS424" s="5" t="s">
        <v>63</v>
      </c>
      <c r="BT424" s="5"/>
      <c r="BU424" s="5" t="s">
        <v>64</v>
      </c>
      <c r="BV424" s="5"/>
      <c r="BW424" s="5"/>
      <c r="BX424" s="5"/>
      <c r="BY424" s="5"/>
      <c r="BZ424" s="5"/>
      <c r="CA424" s="5"/>
      <c r="CB424" s="5"/>
      <c r="CC424" s="5"/>
      <c r="CD424" s="5"/>
      <c r="CE424" s="5"/>
      <c r="CF424" s="5"/>
      <c r="CG424" s="5"/>
      <c r="CH424" s="5"/>
      <c r="CI424" s="5" t="s">
        <v>417</v>
      </c>
      <c r="CJ424" s="5"/>
      <c r="CK424" s="5" t="s">
        <v>80</v>
      </c>
      <c r="CL424" s="5" t="s">
        <v>131</v>
      </c>
      <c r="CN424" s="5" t="s">
        <v>419</v>
      </c>
      <c r="CO424" s="103" t="s">
        <v>82</v>
      </c>
      <c r="CP424" s="5" t="s">
        <v>93</v>
      </c>
      <c r="CQ424" s="5" t="s">
        <v>84</v>
      </c>
      <c r="CT424" s="5" t="s">
        <v>384</v>
      </c>
      <c r="CU424" s="5" t="s">
        <v>86</v>
      </c>
      <c r="CV424" s="5"/>
      <c r="CW424" s="5"/>
      <c r="CX424" s="5"/>
      <c r="CY424" s="5"/>
      <c r="CZ424" s="5"/>
      <c r="DA424" s="5"/>
    </row>
    <row r="425" spans="1:105">
      <c r="A425" s="5">
        <v>114085817457</v>
      </c>
      <c r="B425" s="5"/>
      <c r="C425" s="5"/>
      <c r="D425" s="5"/>
      <c r="E425" s="5"/>
      <c r="F425" s="5"/>
      <c r="G425" s="5"/>
      <c r="H425" s="5" t="s">
        <v>22</v>
      </c>
      <c r="I425" s="5" t="s">
        <v>23</v>
      </c>
      <c r="J425" s="5"/>
      <c r="K425" s="5" t="s">
        <v>25</v>
      </c>
      <c r="L425" s="5" t="s">
        <v>26</v>
      </c>
      <c r="M425" s="5"/>
      <c r="N425" s="5" t="s">
        <v>28</v>
      </c>
      <c r="O425" s="5"/>
      <c r="P425" s="5"/>
      <c r="Q425" s="5"/>
      <c r="R425" s="5"/>
      <c r="S425" s="5"/>
      <c r="T425" s="5"/>
      <c r="U425" s="5"/>
      <c r="V425" s="5"/>
      <c r="W425" s="5"/>
      <c r="X425" s="5"/>
      <c r="Y425" s="5" t="s">
        <v>25</v>
      </c>
      <c r="Z425" s="5"/>
      <c r="AA425" s="5"/>
      <c r="AB425" s="5" t="s">
        <v>28</v>
      </c>
      <c r="AC425" s="5"/>
      <c r="AD425" s="5"/>
      <c r="AE425" s="5" t="s">
        <v>30</v>
      </c>
      <c r="AF425" s="5"/>
      <c r="AG425" s="5"/>
      <c r="AH425" s="5"/>
      <c r="AI425" s="5"/>
      <c r="AJ425" s="5"/>
      <c r="AK425" s="5"/>
      <c r="AL425" s="5"/>
      <c r="AM425" s="5"/>
      <c r="AN425" s="5"/>
      <c r="AO425" s="5"/>
      <c r="AP425" s="5" t="s">
        <v>39</v>
      </c>
      <c r="AQ425" s="5"/>
      <c r="AR425" s="5"/>
      <c r="AS425" s="5" t="s">
        <v>42</v>
      </c>
      <c r="AT425" s="5"/>
      <c r="AU425" s="5" t="s">
        <v>43</v>
      </c>
      <c r="AV425" s="5"/>
      <c r="AW425" s="5" t="s">
        <v>45</v>
      </c>
      <c r="AX425" s="5"/>
      <c r="AY425" s="5" t="s">
        <v>47</v>
      </c>
      <c r="AZ425" s="5"/>
      <c r="BA425" s="5"/>
      <c r="BB425" s="5" t="s">
        <v>49</v>
      </c>
      <c r="BC425" s="5"/>
      <c r="BD425" s="5" t="s">
        <v>51</v>
      </c>
      <c r="BE425" s="5"/>
      <c r="BF425" s="5"/>
      <c r="BG425" s="5"/>
      <c r="BH425" s="5"/>
      <c r="BI425" s="5" t="s">
        <v>55</v>
      </c>
      <c r="BJ425" s="5"/>
      <c r="BK425" s="5"/>
      <c r="BL425" s="5"/>
      <c r="BM425" s="5" t="s">
        <v>59</v>
      </c>
      <c r="BN425" s="5"/>
      <c r="BO425" s="5"/>
      <c r="BP425" s="5"/>
      <c r="BQ425" s="5"/>
      <c r="BR425" s="5"/>
      <c r="BS425" s="5"/>
      <c r="BT425" s="5"/>
      <c r="BU425" s="5"/>
      <c r="BV425" s="5"/>
      <c r="BW425" s="5"/>
      <c r="BX425" s="5" t="s">
        <v>67</v>
      </c>
      <c r="BY425" s="5" t="s">
        <v>68</v>
      </c>
      <c r="BZ425" s="5" t="s">
        <v>69</v>
      </c>
      <c r="CA425" s="5"/>
      <c r="CB425" s="5"/>
      <c r="CC425" s="5"/>
      <c r="CD425" s="5"/>
      <c r="CE425" s="5"/>
      <c r="CF425" s="5" t="s">
        <v>75</v>
      </c>
      <c r="CG425" s="5"/>
      <c r="CH425" s="5"/>
      <c r="CI425" s="5" t="s">
        <v>417</v>
      </c>
      <c r="CJ425" s="5"/>
      <c r="CK425" s="5" t="s">
        <v>80</v>
      </c>
      <c r="CL425" s="5" t="s">
        <v>120</v>
      </c>
      <c r="CN425" s="5" t="s">
        <v>416</v>
      </c>
      <c r="CO425" s="103" t="s">
        <v>82</v>
      </c>
      <c r="CP425" s="5" t="s">
        <v>97</v>
      </c>
      <c r="CQ425" s="5" t="s">
        <v>88</v>
      </c>
      <c r="CT425" s="5" t="s">
        <v>384</v>
      </c>
      <c r="CU425" s="5" t="s">
        <v>86</v>
      </c>
      <c r="CV425" s="5"/>
      <c r="CW425" s="5"/>
      <c r="CX425" s="5"/>
      <c r="CY425" s="5"/>
      <c r="CZ425" s="5"/>
      <c r="DA425" s="5"/>
    </row>
    <row r="426" spans="1:105">
      <c r="A426" s="5">
        <v>114085817331</v>
      </c>
      <c r="B426" s="5"/>
      <c r="C426" s="5"/>
      <c r="D426" s="5"/>
      <c r="E426" s="5"/>
      <c r="F426" s="5"/>
      <c r="G426" s="5"/>
      <c r="H426" s="5"/>
      <c r="I426" s="5"/>
      <c r="J426" s="5"/>
      <c r="K426" s="5" t="s">
        <v>25</v>
      </c>
      <c r="L426" s="5" t="s">
        <v>26</v>
      </c>
      <c r="M426" s="5"/>
      <c r="N426" s="5"/>
      <c r="O426" s="5"/>
      <c r="P426" s="5"/>
      <c r="Q426" s="5" t="s">
        <v>17</v>
      </c>
      <c r="R426" s="5"/>
      <c r="S426" s="5"/>
      <c r="T426" s="5"/>
      <c r="U426" s="5"/>
      <c r="V426" s="5"/>
      <c r="W426" s="5" t="s">
        <v>23</v>
      </c>
      <c r="X426" s="5"/>
      <c r="Y426" s="5"/>
      <c r="Z426" s="5"/>
      <c r="AA426" s="5"/>
      <c r="AB426" s="5"/>
      <c r="AC426" s="5"/>
      <c r="AD426" s="5"/>
      <c r="AE426" s="5"/>
      <c r="AF426" s="5"/>
      <c r="AG426" s="5"/>
      <c r="AH426" s="5"/>
      <c r="AI426" s="5" t="s">
        <v>34</v>
      </c>
      <c r="AJ426" s="5"/>
      <c r="AK426" s="5"/>
      <c r="AL426" s="5"/>
      <c r="AM426" s="5"/>
      <c r="AN426" s="5"/>
      <c r="AO426" s="5"/>
      <c r="AP426" s="5"/>
      <c r="AQ426" s="5"/>
      <c r="AR426" s="5" t="s">
        <v>41</v>
      </c>
      <c r="AS426" s="5"/>
      <c r="AT426" s="5"/>
      <c r="AU426" s="5"/>
      <c r="AV426" s="5"/>
      <c r="AW426" s="5"/>
      <c r="AX426" s="5" t="s">
        <v>46</v>
      </c>
      <c r="AY426" s="5"/>
      <c r="AZ426" s="5"/>
      <c r="BA426" s="5"/>
      <c r="BB426" s="5"/>
      <c r="BC426" s="5" t="s">
        <v>50</v>
      </c>
      <c r="BD426" s="5"/>
      <c r="BE426" s="5"/>
      <c r="BF426" s="5"/>
      <c r="BG426" s="5" t="s">
        <v>53</v>
      </c>
      <c r="BH426" s="5"/>
      <c r="BI426" s="5"/>
      <c r="BJ426" s="5" t="s">
        <v>56</v>
      </c>
      <c r="BK426" s="5"/>
      <c r="BL426" s="5"/>
      <c r="BM426" s="5" t="s">
        <v>59</v>
      </c>
      <c r="BN426" s="5"/>
      <c r="BO426" s="5"/>
      <c r="BP426" s="5"/>
      <c r="BQ426" s="5"/>
      <c r="BR426" s="5" t="s">
        <v>62</v>
      </c>
      <c r="BS426" s="5" t="s">
        <v>63</v>
      </c>
      <c r="BT426" s="5"/>
      <c r="BU426" s="5"/>
      <c r="BV426" s="5"/>
      <c r="BW426" s="5"/>
      <c r="BX426" s="5"/>
      <c r="BY426" s="5"/>
      <c r="BZ426" s="5"/>
      <c r="CA426" s="5"/>
      <c r="CB426" s="5"/>
      <c r="CC426" s="5" t="s">
        <v>72</v>
      </c>
      <c r="CD426" s="5" t="s">
        <v>73</v>
      </c>
      <c r="CE426" s="5"/>
      <c r="CF426" s="5"/>
      <c r="CG426" s="5"/>
      <c r="CH426" s="5"/>
      <c r="CI426" s="5" t="s">
        <v>417</v>
      </c>
      <c r="CJ426" s="5"/>
      <c r="CK426" s="5" t="s">
        <v>80</v>
      </c>
      <c r="CL426" s="5" t="s">
        <v>112</v>
      </c>
      <c r="CN426" s="5" t="s">
        <v>416</v>
      </c>
      <c r="CO426" s="103" t="s">
        <v>82</v>
      </c>
      <c r="CP426" s="5" t="s">
        <v>83</v>
      </c>
      <c r="CQ426" s="5" t="s">
        <v>103</v>
      </c>
      <c r="CT426" s="5" t="s">
        <v>384</v>
      </c>
      <c r="CU426" s="5" t="s">
        <v>86</v>
      </c>
      <c r="CV426" s="5"/>
      <c r="CW426" s="5"/>
      <c r="CX426" s="5"/>
      <c r="CY426" s="5"/>
      <c r="CZ426" s="5"/>
      <c r="DA426" s="5"/>
    </row>
    <row r="427" spans="1:105">
      <c r="A427" s="5">
        <v>114085816678</v>
      </c>
      <c r="B427" s="5" t="s">
        <v>16</v>
      </c>
      <c r="C427" s="5"/>
      <c r="D427" s="5" t="s">
        <v>18</v>
      </c>
      <c r="E427" s="5"/>
      <c r="F427" s="5"/>
      <c r="G427" s="5"/>
      <c r="H427" s="5"/>
      <c r="I427" s="5"/>
      <c r="J427" s="5"/>
      <c r="K427" s="5"/>
      <c r="L427" s="5" t="s">
        <v>26</v>
      </c>
      <c r="M427" s="5"/>
      <c r="N427" s="5"/>
      <c r="O427" s="5"/>
      <c r="P427" s="5"/>
      <c r="Q427" s="5"/>
      <c r="R427" s="5" t="s">
        <v>18</v>
      </c>
      <c r="S427" s="5"/>
      <c r="T427" s="5"/>
      <c r="U427" s="5"/>
      <c r="V427" s="5"/>
      <c r="W427" s="5" t="s">
        <v>23</v>
      </c>
      <c r="X427" s="5"/>
      <c r="Y427" s="5"/>
      <c r="Z427" s="5"/>
      <c r="AA427" s="5"/>
      <c r="AB427" s="5" t="s">
        <v>28</v>
      </c>
      <c r="AC427" s="5"/>
      <c r="AD427" s="5"/>
      <c r="AE427" s="5"/>
      <c r="AF427" s="5"/>
      <c r="AG427" s="5"/>
      <c r="AH427" s="5"/>
      <c r="AI427" s="5" t="s">
        <v>34</v>
      </c>
      <c r="AJ427" s="5"/>
      <c r="AK427" s="5"/>
      <c r="AL427" s="5"/>
      <c r="AM427" s="5"/>
      <c r="AN427" s="5"/>
      <c r="AO427" s="5"/>
      <c r="AP427" s="5" t="s">
        <v>39</v>
      </c>
      <c r="AQ427" s="5"/>
      <c r="AR427" s="5"/>
      <c r="AS427" s="5"/>
      <c r="AT427" s="5" t="s">
        <v>37</v>
      </c>
      <c r="AU427" s="5"/>
      <c r="AV427" s="5"/>
      <c r="AW427" s="5" t="s">
        <v>45</v>
      </c>
      <c r="AX427" s="5"/>
      <c r="AY427" s="5"/>
      <c r="AZ427" s="5"/>
      <c r="BA427" s="5"/>
      <c r="BB427" s="5"/>
      <c r="BC427" s="5"/>
      <c r="BD427" s="5" t="s">
        <v>51</v>
      </c>
      <c r="BE427" s="5"/>
      <c r="BF427" s="5"/>
      <c r="BG427" s="5" t="s">
        <v>53</v>
      </c>
      <c r="BH427" s="5"/>
      <c r="BI427" s="5"/>
      <c r="BJ427" s="5"/>
      <c r="BK427" s="5"/>
      <c r="BL427" s="5" t="s">
        <v>58</v>
      </c>
      <c r="BM427" s="5"/>
      <c r="BN427" s="5"/>
      <c r="BO427" s="5"/>
      <c r="BP427" s="5"/>
      <c r="BQ427" s="5"/>
      <c r="BR427" s="5"/>
      <c r="BS427" s="5"/>
      <c r="BT427" s="5"/>
      <c r="BU427" s="5" t="s">
        <v>64</v>
      </c>
      <c r="BV427" s="5"/>
      <c r="BW427" s="5"/>
      <c r="BX427" s="5"/>
      <c r="BY427" s="5"/>
      <c r="BZ427" s="5"/>
      <c r="CA427" s="5"/>
      <c r="CB427" s="5"/>
      <c r="CC427" s="5"/>
      <c r="CD427" s="5"/>
      <c r="CE427" s="5"/>
      <c r="CF427" s="5"/>
      <c r="CG427" s="5"/>
      <c r="CH427" s="5"/>
      <c r="CI427" s="5" t="s">
        <v>417</v>
      </c>
      <c r="CJ427" s="5"/>
      <c r="CK427" s="5" t="s">
        <v>80</v>
      </c>
      <c r="CL427" s="5" t="s">
        <v>127</v>
      </c>
      <c r="CN427" s="5" t="s">
        <v>416</v>
      </c>
      <c r="CO427" s="103" t="s">
        <v>82</v>
      </c>
      <c r="CP427" s="5" t="s">
        <v>83</v>
      </c>
      <c r="CQ427" s="5" t="s">
        <v>84</v>
      </c>
      <c r="CT427" s="5" t="s">
        <v>384</v>
      </c>
      <c r="CU427" s="5" t="s">
        <v>86</v>
      </c>
      <c r="CV427" s="5"/>
      <c r="CW427" s="5"/>
      <c r="CX427" s="5"/>
      <c r="CY427" s="5"/>
      <c r="CZ427" s="5"/>
      <c r="DA427" s="5"/>
    </row>
    <row r="428" spans="1:105">
      <c r="A428" s="5">
        <v>114083656423</v>
      </c>
      <c r="B428" s="5"/>
      <c r="C428" s="5" t="s">
        <v>17</v>
      </c>
      <c r="D428" s="5"/>
      <c r="E428" s="5"/>
      <c r="F428" s="5"/>
      <c r="G428" s="5"/>
      <c r="H428" s="5"/>
      <c r="I428" s="5"/>
      <c r="J428" s="5"/>
      <c r="K428" s="5" t="s">
        <v>25</v>
      </c>
      <c r="L428" s="5"/>
      <c r="M428" s="5" t="s">
        <v>27</v>
      </c>
      <c r="N428" s="5"/>
      <c r="O428" s="5"/>
      <c r="P428" s="5"/>
      <c r="Q428" s="5"/>
      <c r="R428" s="5"/>
      <c r="S428" s="5"/>
      <c r="T428" s="5"/>
      <c r="U428" s="5"/>
      <c r="V428" s="5"/>
      <c r="W428" s="5"/>
      <c r="X428" s="5"/>
      <c r="Y428" s="5" t="s">
        <v>25</v>
      </c>
      <c r="Z428" s="5"/>
      <c r="AA428" s="5"/>
      <c r="AB428" s="5" t="s">
        <v>28</v>
      </c>
      <c r="AC428" s="5"/>
      <c r="AD428" s="5"/>
      <c r="AE428" s="5"/>
      <c r="AF428" s="5"/>
      <c r="AG428" s="5"/>
      <c r="AH428" s="5"/>
      <c r="AI428" s="5"/>
      <c r="AJ428" s="5"/>
      <c r="AK428" s="5"/>
      <c r="AL428" s="5"/>
      <c r="AM428" s="5"/>
      <c r="AN428" s="5"/>
      <c r="AO428" s="5" t="s">
        <v>38</v>
      </c>
      <c r="AP428" s="5" t="s">
        <v>39</v>
      </c>
      <c r="AQ428" s="5"/>
      <c r="AR428" s="5"/>
      <c r="AS428" s="5"/>
      <c r="AT428" s="5"/>
      <c r="AU428" s="5" t="s">
        <v>43</v>
      </c>
      <c r="AV428" s="5"/>
      <c r="AW428" s="5"/>
      <c r="AX428" s="5"/>
      <c r="AY428" s="5"/>
      <c r="AZ428" s="5"/>
      <c r="BA428" s="5"/>
      <c r="BB428" s="5"/>
      <c r="BC428" s="5"/>
      <c r="BD428" s="5" t="s">
        <v>51</v>
      </c>
      <c r="BE428" s="5" t="s">
        <v>17</v>
      </c>
      <c r="BF428" s="5"/>
      <c r="BG428" s="5"/>
      <c r="BH428" s="5"/>
      <c r="BI428" s="5"/>
      <c r="BJ428" s="5"/>
      <c r="BK428" s="5"/>
      <c r="BL428" s="5"/>
      <c r="BM428" s="5"/>
      <c r="BN428" s="5"/>
      <c r="BO428" s="5"/>
      <c r="BP428" s="5"/>
      <c r="BQ428" s="5"/>
      <c r="BR428" s="5"/>
      <c r="BS428" s="5" t="s">
        <v>63</v>
      </c>
      <c r="BT428" s="5"/>
      <c r="BU428" s="5"/>
      <c r="BV428" s="5"/>
      <c r="BW428" s="5"/>
      <c r="BX428" s="5"/>
      <c r="BY428" s="5"/>
      <c r="BZ428" s="5"/>
      <c r="CA428" s="5"/>
      <c r="CB428" s="5"/>
      <c r="CC428" s="5"/>
      <c r="CD428" s="5"/>
      <c r="CE428" s="5"/>
      <c r="CF428" s="5" t="s">
        <v>75</v>
      </c>
      <c r="CG428" s="5"/>
      <c r="CH428" s="5"/>
      <c r="CI428" s="5" t="s">
        <v>417</v>
      </c>
      <c r="CJ428" s="5"/>
      <c r="CK428" s="5" t="s">
        <v>141</v>
      </c>
      <c r="CL428" s="5" t="s">
        <v>165</v>
      </c>
      <c r="CN428" s="5" t="s">
        <v>419</v>
      </c>
      <c r="CO428" s="103" t="s">
        <v>82</v>
      </c>
      <c r="CP428" s="5" t="s">
        <v>83</v>
      </c>
      <c r="CQ428" s="5" t="s">
        <v>103</v>
      </c>
      <c r="CT428" s="5" t="s">
        <v>384</v>
      </c>
      <c r="CU428" s="5" t="s">
        <v>86</v>
      </c>
      <c r="CV428" s="5"/>
      <c r="CW428" s="5"/>
      <c r="CX428" s="5"/>
      <c r="CY428" s="5"/>
      <c r="CZ428" s="5"/>
      <c r="DA428" s="5"/>
    </row>
    <row r="429" spans="1:105">
      <c r="A429" s="5">
        <v>114082818594</v>
      </c>
      <c r="B429" s="5"/>
      <c r="C429" s="5" t="s">
        <v>17</v>
      </c>
      <c r="D429" s="5"/>
      <c r="E429" s="5" t="s">
        <v>19</v>
      </c>
      <c r="F429" s="5"/>
      <c r="G429" s="5"/>
      <c r="H429" s="5"/>
      <c r="I429" s="5"/>
      <c r="J429" s="5"/>
      <c r="K429" s="5"/>
      <c r="L429" s="5" t="s">
        <v>26</v>
      </c>
      <c r="M429" s="5"/>
      <c r="N429" s="5"/>
      <c r="O429" s="5"/>
      <c r="P429" s="5"/>
      <c r="Q429" s="5" t="s">
        <v>17</v>
      </c>
      <c r="R429" s="5" t="s">
        <v>18</v>
      </c>
      <c r="S429" s="5" t="s">
        <v>19</v>
      </c>
      <c r="T429" s="5"/>
      <c r="U429" s="5"/>
      <c r="V429" s="5"/>
      <c r="W429" s="5"/>
      <c r="X429" s="5"/>
      <c r="Y429" s="5"/>
      <c r="Z429" s="5"/>
      <c r="AA429" s="5"/>
      <c r="AB429" s="5"/>
      <c r="AC429" s="5"/>
      <c r="AD429" s="5"/>
      <c r="AE429" s="5"/>
      <c r="AF429" s="5"/>
      <c r="AG429" s="5"/>
      <c r="AH429" s="5"/>
      <c r="AI429" s="5" t="s">
        <v>34</v>
      </c>
      <c r="AJ429" s="5"/>
      <c r="AK429" s="5"/>
      <c r="AL429" s="5"/>
      <c r="AM429" s="5"/>
      <c r="AN429" s="5"/>
      <c r="AO429" s="5" t="s">
        <v>38</v>
      </c>
      <c r="AP429" s="5"/>
      <c r="AQ429" s="5"/>
      <c r="AR429" s="5"/>
      <c r="AS429" s="5"/>
      <c r="AT429" s="5"/>
      <c r="AU429" s="5"/>
      <c r="AV429" s="5"/>
      <c r="AW429" s="5"/>
      <c r="AX429" s="5"/>
      <c r="AY429" s="5"/>
      <c r="AZ429" s="5" t="s">
        <v>48</v>
      </c>
      <c r="BA429" s="5"/>
      <c r="BB429" s="5"/>
      <c r="BC429" s="5"/>
      <c r="BD429" s="5" t="s">
        <v>51</v>
      </c>
      <c r="BE429" s="5"/>
      <c r="BF429" s="5" t="s">
        <v>52</v>
      </c>
      <c r="BG429" s="5"/>
      <c r="BH429" s="5"/>
      <c r="BI429" s="5"/>
      <c r="BJ429" s="5"/>
      <c r="BK429" s="5"/>
      <c r="BL429" s="5"/>
      <c r="BM429" s="5"/>
      <c r="BN429" s="5"/>
      <c r="BO429" s="5"/>
      <c r="BP429" s="5"/>
      <c r="BQ429" s="5"/>
      <c r="BR429" s="5" t="s">
        <v>62</v>
      </c>
      <c r="BS429" s="5" t="s">
        <v>63</v>
      </c>
      <c r="BT429" s="5"/>
      <c r="BU429" s="5" t="s">
        <v>64</v>
      </c>
      <c r="BV429" s="5"/>
      <c r="BW429" s="5"/>
      <c r="BX429" s="5"/>
      <c r="BY429" s="5"/>
      <c r="BZ429" s="5"/>
      <c r="CA429" s="5"/>
      <c r="CB429" s="5"/>
      <c r="CC429" s="5"/>
      <c r="CD429" s="5"/>
      <c r="CE429" s="5"/>
      <c r="CF429" s="5"/>
      <c r="CG429" s="5"/>
      <c r="CH429" s="5"/>
      <c r="CI429" s="5" t="s">
        <v>414</v>
      </c>
      <c r="CJ429" s="5"/>
      <c r="CK429" s="5" t="s">
        <v>80</v>
      </c>
      <c r="CL429" s="5" t="s">
        <v>129</v>
      </c>
      <c r="CN429" s="5" t="s">
        <v>416</v>
      </c>
      <c r="CO429" s="103" t="s">
        <v>82</v>
      </c>
      <c r="CP429" s="5" t="s">
        <v>83</v>
      </c>
      <c r="CQ429" s="5" t="s">
        <v>111</v>
      </c>
      <c r="CT429" s="5" t="s">
        <v>384</v>
      </c>
      <c r="CU429" s="5" t="s">
        <v>86</v>
      </c>
      <c r="CV429" s="5"/>
      <c r="CW429" s="5"/>
      <c r="CX429" s="5"/>
      <c r="CY429" s="5"/>
      <c r="CZ429" s="5"/>
      <c r="DA429" s="5"/>
    </row>
    <row r="430" spans="1:105">
      <c r="A430" s="5">
        <v>114087300174</v>
      </c>
      <c r="B430" s="5"/>
      <c r="C430" s="5" t="s">
        <v>17</v>
      </c>
      <c r="D430" s="5" t="s">
        <v>18</v>
      </c>
      <c r="E430" s="5"/>
      <c r="F430" s="5"/>
      <c r="G430" s="5"/>
      <c r="H430" s="5"/>
      <c r="I430" s="5"/>
      <c r="J430" s="5" t="s">
        <v>24</v>
      </c>
      <c r="K430" s="5" t="s">
        <v>25</v>
      </c>
      <c r="L430" s="5" t="s">
        <v>26</v>
      </c>
      <c r="M430" s="5"/>
      <c r="N430" s="5" t="s">
        <v>28</v>
      </c>
      <c r="O430" s="5"/>
      <c r="P430" s="5"/>
      <c r="Q430" s="5"/>
      <c r="R430" s="5" t="s">
        <v>18</v>
      </c>
      <c r="S430" s="5"/>
      <c r="T430" s="5"/>
      <c r="U430" s="5"/>
      <c r="V430" s="5"/>
      <c r="W430" s="5" t="s">
        <v>23</v>
      </c>
      <c r="X430" s="5"/>
      <c r="Y430" s="5"/>
      <c r="Z430" s="5"/>
      <c r="AA430" s="5"/>
      <c r="AB430" s="5" t="s">
        <v>28</v>
      </c>
      <c r="AC430" s="5"/>
      <c r="AD430" s="5"/>
      <c r="AE430" s="5"/>
      <c r="AF430" s="5"/>
      <c r="AG430" s="5"/>
      <c r="AH430" s="5"/>
      <c r="AI430" s="5" t="s">
        <v>34</v>
      </c>
      <c r="AJ430" s="5"/>
      <c r="AK430" s="5"/>
      <c r="AL430" s="5"/>
      <c r="AM430" s="5"/>
      <c r="AN430" s="5"/>
      <c r="AO430" s="5" t="s">
        <v>38</v>
      </c>
      <c r="AP430" s="5" t="s">
        <v>39</v>
      </c>
      <c r="AQ430" s="5"/>
      <c r="AR430" s="5" t="s">
        <v>41</v>
      </c>
      <c r="AS430" s="5"/>
      <c r="AT430" s="5"/>
      <c r="AU430" s="5"/>
      <c r="AV430" s="5"/>
      <c r="AW430" s="5" t="s">
        <v>45</v>
      </c>
      <c r="AX430" s="5"/>
      <c r="AY430" s="5"/>
      <c r="AZ430" s="5"/>
      <c r="BA430" s="5"/>
      <c r="BB430" s="5"/>
      <c r="BC430" s="5"/>
      <c r="BD430" s="5"/>
      <c r="BE430" s="5"/>
      <c r="BF430" s="5" t="s">
        <v>52</v>
      </c>
      <c r="BG430" s="5"/>
      <c r="BH430" s="5"/>
      <c r="BI430" s="5"/>
      <c r="BJ430" s="5"/>
      <c r="BK430" s="5"/>
      <c r="BL430" s="5"/>
      <c r="BM430" s="5"/>
      <c r="BN430" s="5"/>
      <c r="BO430" s="5"/>
      <c r="BP430" s="5" t="s">
        <v>60</v>
      </c>
      <c r="BQ430" s="5" t="s">
        <v>61</v>
      </c>
      <c r="BR430" s="5"/>
      <c r="BS430" s="5"/>
      <c r="BT430" s="5"/>
      <c r="BU430" s="5" t="s">
        <v>64</v>
      </c>
      <c r="BV430" s="5"/>
      <c r="BW430" s="5"/>
      <c r="BX430" s="5"/>
      <c r="BY430" s="5" t="s">
        <v>68</v>
      </c>
      <c r="BZ430" s="5"/>
      <c r="CA430" s="5"/>
      <c r="CB430" s="5"/>
      <c r="CC430" s="5" t="s">
        <v>72</v>
      </c>
      <c r="CD430" s="5"/>
      <c r="CE430" s="5" t="s">
        <v>74</v>
      </c>
      <c r="CF430" s="5"/>
      <c r="CG430" s="5"/>
      <c r="CH430" s="5"/>
      <c r="CI430" s="5" t="s">
        <v>417</v>
      </c>
      <c r="CJ430" s="5"/>
      <c r="CK430" s="5" t="s">
        <v>141</v>
      </c>
      <c r="CL430" s="5" t="s">
        <v>163</v>
      </c>
      <c r="CN430" s="5" t="s">
        <v>419</v>
      </c>
      <c r="CO430" s="103" t="s">
        <v>388</v>
      </c>
      <c r="CP430" s="5" t="s">
        <v>93</v>
      </c>
      <c r="CQ430" s="5" t="s">
        <v>84</v>
      </c>
      <c r="CS430" s="103" t="s">
        <v>86</v>
      </c>
      <c r="CT430" s="5"/>
      <c r="CU430" s="5" t="s">
        <v>86</v>
      </c>
      <c r="CV430" s="5"/>
      <c r="CW430" s="5"/>
      <c r="CX430" s="5"/>
      <c r="CY430" s="5"/>
      <c r="CZ430" s="5"/>
      <c r="DA430" s="5"/>
    </row>
    <row r="431" spans="1:105" s="158" customFormat="1">
      <c r="A431" s="157">
        <v>114201599852</v>
      </c>
      <c r="B431" s="157"/>
      <c r="C431" s="157" t="s">
        <v>17</v>
      </c>
      <c r="D431" s="157"/>
      <c r="E431" s="157"/>
      <c r="F431" s="157"/>
      <c r="G431" s="157"/>
      <c r="H431" s="157"/>
      <c r="I431" s="157"/>
      <c r="J431" s="157"/>
      <c r="K431" s="157"/>
      <c r="L431" s="157" t="s">
        <v>26</v>
      </c>
      <c r="M431" s="157" t="s">
        <v>27</v>
      </c>
      <c r="N431" s="157"/>
      <c r="O431" s="157"/>
      <c r="P431" s="157"/>
      <c r="Q431" s="157" t="s">
        <v>17</v>
      </c>
      <c r="R431" s="157"/>
      <c r="S431" s="157"/>
      <c r="T431" s="157"/>
      <c r="U431" s="157" t="s">
        <v>21</v>
      </c>
      <c r="V431" s="157"/>
      <c r="W431" s="157"/>
      <c r="X431" s="157"/>
      <c r="Y431" s="157"/>
      <c r="Z431" s="157"/>
      <c r="AA431" s="157" t="s">
        <v>27</v>
      </c>
      <c r="AB431" s="157"/>
      <c r="AC431" s="157"/>
      <c r="AD431" s="157"/>
      <c r="AE431" s="157" t="s">
        <v>30</v>
      </c>
      <c r="AF431" s="157"/>
      <c r="AG431" s="157"/>
      <c r="AH431" s="157"/>
      <c r="AI431" s="157"/>
      <c r="AJ431" s="157"/>
      <c r="AK431" s="157"/>
      <c r="AL431" s="157"/>
      <c r="AM431" s="157"/>
      <c r="AN431" s="157" t="s">
        <v>483</v>
      </c>
      <c r="AO431" s="157" t="s">
        <v>38</v>
      </c>
      <c r="AP431" s="157"/>
      <c r="AQ431" s="157"/>
      <c r="AR431" s="157"/>
      <c r="AS431" s="157"/>
      <c r="AT431" s="157"/>
      <c r="AU431" s="157" t="s">
        <v>43</v>
      </c>
      <c r="AV431" s="157"/>
      <c r="AW431" s="157" t="s">
        <v>45</v>
      </c>
      <c r="AX431" s="157"/>
      <c r="AY431" s="157"/>
      <c r="AZ431" s="157"/>
      <c r="BA431" s="157"/>
      <c r="BB431" s="157"/>
      <c r="BC431" s="157"/>
      <c r="BD431" s="157" t="s">
        <v>51</v>
      </c>
      <c r="BE431" s="157"/>
      <c r="BF431" s="157"/>
      <c r="BG431" s="157"/>
      <c r="BH431" s="157"/>
      <c r="BI431" s="157" t="s">
        <v>55</v>
      </c>
      <c r="BJ431" s="157"/>
      <c r="BK431" s="157" t="s">
        <v>57</v>
      </c>
      <c r="BL431" s="157"/>
      <c r="BM431" s="157"/>
      <c r="BN431" s="157"/>
      <c r="BO431" s="157"/>
      <c r="BP431" s="157"/>
      <c r="BQ431" s="157"/>
      <c r="BR431" s="157"/>
      <c r="BS431" s="157"/>
      <c r="BT431" s="157"/>
      <c r="BU431" s="157" t="s">
        <v>64</v>
      </c>
      <c r="BV431" s="157"/>
      <c r="BW431" s="157"/>
      <c r="BX431" s="157"/>
      <c r="BY431" s="157" t="s">
        <v>68</v>
      </c>
      <c r="BZ431" s="157"/>
      <c r="CA431" s="157"/>
      <c r="CB431" s="157"/>
      <c r="CC431" s="157"/>
      <c r="CD431" s="157"/>
      <c r="CE431" s="157"/>
      <c r="CF431" s="157" t="s">
        <v>75</v>
      </c>
      <c r="CG431" s="157"/>
      <c r="CH431" s="157"/>
      <c r="CI431" s="157" t="s">
        <v>417</v>
      </c>
      <c r="CJ431" s="157">
        <v>66</v>
      </c>
      <c r="CK431" s="157" t="s">
        <v>141</v>
      </c>
      <c r="CL431" s="157" t="s">
        <v>377</v>
      </c>
      <c r="CM431" s="157" t="s">
        <v>418</v>
      </c>
      <c r="CN431" s="157" t="s">
        <v>416</v>
      </c>
      <c r="CO431" s="157" t="s">
        <v>82</v>
      </c>
      <c r="CP431" s="157" t="s">
        <v>83</v>
      </c>
      <c r="CQ431" s="157" t="s">
        <v>103</v>
      </c>
      <c r="CR431" s="157" t="s">
        <v>85</v>
      </c>
      <c r="CS431" s="157" t="s">
        <v>86</v>
      </c>
      <c r="CT431" s="157" t="s">
        <v>384</v>
      </c>
      <c r="CU431" s="157" t="s">
        <v>86</v>
      </c>
      <c r="CV431" s="157"/>
      <c r="CW431" s="157"/>
      <c r="CX431" s="157"/>
      <c r="CY431" s="157"/>
      <c r="CZ431" s="157"/>
    </row>
    <row r="432" spans="1:105">
      <c r="A432" s="5">
        <v>114187605562</v>
      </c>
      <c r="B432" s="5"/>
      <c r="C432" s="5"/>
      <c r="D432" s="5"/>
      <c r="E432" s="5" t="s">
        <v>19</v>
      </c>
      <c r="F432" s="5"/>
      <c r="G432" s="5"/>
      <c r="H432" s="5"/>
      <c r="I432" s="5"/>
      <c r="J432" s="5"/>
      <c r="K432" s="5" t="s">
        <v>25</v>
      </c>
      <c r="L432" s="5" t="s">
        <v>26</v>
      </c>
      <c r="M432" s="5"/>
      <c r="N432" s="5"/>
      <c r="O432" s="5"/>
      <c r="P432" s="5"/>
      <c r="Q432" s="5"/>
      <c r="R432" s="5"/>
      <c r="S432" s="5" t="s">
        <v>19</v>
      </c>
      <c r="T432" s="5"/>
      <c r="U432" s="5"/>
      <c r="V432" s="5"/>
      <c r="W432" s="5"/>
      <c r="X432" s="5"/>
      <c r="Y432" s="5"/>
      <c r="Z432" s="5"/>
      <c r="AA432" s="5"/>
      <c r="AB432" s="5"/>
      <c r="AC432" s="5"/>
      <c r="AD432" s="5"/>
      <c r="AE432" s="5"/>
      <c r="AF432" s="5"/>
      <c r="AG432" s="5"/>
      <c r="AH432" s="5"/>
      <c r="AI432" s="5" t="s">
        <v>34</v>
      </c>
      <c r="AJ432" s="5"/>
      <c r="AK432" s="5"/>
      <c r="AL432" s="5"/>
      <c r="AM432" s="5"/>
      <c r="AN432" s="5"/>
      <c r="AO432" s="5"/>
      <c r="AP432" s="5" t="s">
        <v>39</v>
      </c>
      <c r="AQ432" s="5"/>
      <c r="AR432" s="5" t="s">
        <v>41</v>
      </c>
      <c r="AS432" s="5"/>
      <c r="AT432" s="5"/>
      <c r="AU432" s="5" t="s">
        <v>43</v>
      </c>
      <c r="AV432" s="5"/>
      <c r="AW432" s="5"/>
      <c r="AX432" s="5" t="s">
        <v>46</v>
      </c>
      <c r="AY432" s="5"/>
      <c r="AZ432" s="5"/>
      <c r="BA432" s="5"/>
      <c r="BB432" s="5"/>
      <c r="BC432" s="5"/>
      <c r="BD432" s="5"/>
      <c r="BE432" s="5"/>
      <c r="BF432" s="5" t="s">
        <v>52</v>
      </c>
      <c r="BG432" s="5"/>
      <c r="BH432" s="5"/>
      <c r="BI432" s="5"/>
      <c r="BJ432" s="5"/>
      <c r="BK432" s="5"/>
      <c r="BL432" s="5"/>
      <c r="BM432" s="5"/>
      <c r="BN432" s="5"/>
      <c r="BO432" s="5"/>
      <c r="BP432" s="5"/>
      <c r="BQ432" s="5" t="s">
        <v>61</v>
      </c>
      <c r="BR432" s="5"/>
      <c r="BS432" s="5" t="s">
        <v>63</v>
      </c>
      <c r="BT432" s="5"/>
      <c r="BU432" s="5" t="s">
        <v>64</v>
      </c>
      <c r="BV432" s="5"/>
      <c r="BW432" s="5"/>
      <c r="BX432" s="5" t="s">
        <v>67</v>
      </c>
      <c r="BY432" s="5"/>
      <c r="BZ432" s="5"/>
      <c r="CA432" s="5"/>
      <c r="CB432" s="5"/>
      <c r="CC432" s="5"/>
      <c r="CD432" s="5"/>
      <c r="CE432" s="5"/>
      <c r="CF432" s="5"/>
      <c r="CG432" s="5"/>
      <c r="CH432" s="5"/>
      <c r="CI432" s="5" t="s">
        <v>414</v>
      </c>
      <c r="CJ432" s="5">
        <v>53</v>
      </c>
      <c r="CK432" s="5" t="s">
        <v>80</v>
      </c>
      <c r="CL432" s="5" t="s">
        <v>129</v>
      </c>
      <c r="CM432" s="5" t="s">
        <v>418</v>
      </c>
      <c r="CN432" s="5" t="s">
        <v>416</v>
      </c>
      <c r="CO432" s="5" t="s">
        <v>82</v>
      </c>
      <c r="CP432" s="5" t="s">
        <v>83</v>
      </c>
      <c r="CQ432" s="5" t="s">
        <v>111</v>
      </c>
      <c r="CR432" s="5" t="s">
        <v>85</v>
      </c>
      <c r="CS432" s="5" t="s">
        <v>86</v>
      </c>
      <c r="CT432" s="5" t="s">
        <v>384</v>
      </c>
      <c r="CU432" s="5" t="s">
        <v>86</v>
      </c>
      <c r="CV432" s="5"/>
      <c r="CW432" s="5"/>
      <c r="CX432" s="5"/>
      <c r="CY432" s="5"/>
    </row>
    <row r="433" spans="1:102">
      <c r="A433" s="5">
        <v>114178252865</v>
      </c>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v>15</v>
      </c>
      <c r="CK433" s="5"/>
      <c r="CL433" s="5"/>
      <c r="CM433" s="5"/>
      <c r="CN433" s="5"/>
      <c r="CO433" s="5"/>
      <c r="CP433" s="5"/>
      <c r="CQ433" s="5"/>
      <c r="CR433" s="5"/>
      <c r="CS433" s="5"/>
      <c r="CT433" s="5"/>
      <c r="CU433" s="5"/>
      <c r="CV433" s="5"/>
      <c r="CW433" s="5"/>
      <c r="CX433" s="5"/>
    </row>
    <row r="434" spans="1:102">
      <c r="A434" s="5">
        <v>114155044650</v>
      </c>
      <c r="B434" s="5"/>
      <c r="C434" s="5"/>
      <c r="D434" s="5" t="s">
        <v>18</v>
      </c>
      <c r="E434" s="5"/>
      <c r="F434" s="5"/>
      <c r="G434" s="5" t="s">
        <v>21</v>
      </c>
      <c r="H434" s="5" t="s">
        <v>22</v>
      </c>
      <c r="I434" s="5" t="s">
        <v>23</v>
      </c>
      <c r="J434" s="5" t="s">
        <v>24</v>
      </c>
      <c r="K434" s="5" t="s">
        <v>25</v>
      </c>
      <c r="L434" s="5" t="s">
        <v>26</v>
      </c>
      <c r="M434" s="5"/>
      <c r="N434" s="5" t="s">
        <v>28</v>
      </c>
      <c r="O434" s="5"/>
      <c r="P434" s="5"/>
      <c r="Q434" s="5"/>
      <c r="R434" s="5"/>
      <c r="S434" s="5"/>
      <c r="T434" s="5"/>
      <c r="U434" s="5"/>
      <c r="V434" s="5"/>
      <c r="W434" s="5" t="s">
        <v>23</v>
      </c>
      <c r="X434" s="5"/>
      <c r="Y434" s="5"/>
      <c r="Z434" s="5"/>
      <c r="AA434" s="5"/>
      <c r="AB434" s="5"/>
      <c r="AC434" s="5"/>
      <c r="AD434" s="5"/>
      <c r="AE434" s="5"/>
      <c r="AF434" s="5" t="s">
        <v>31</v>
      </c>
      <c r="AG434" s="5"/>
      <c r="AH434" s="5" t="s">
        <v>33</v>
      </c>
      <c r="AI434" s="5"/>
      <c r="AJ434" s="5"/>
      <c r="AK434" s="5"/>
      <c r="AL434" s="5" t="s">
        <v>37</v>
      </c>
      <c r="AM434" s="5" t="s">
        <v>375</v>
      </c>
      <c r="AN434" s="5"/>
      <c r="AO434" s="5"/>
      <c r="AP434" s="5" t="s">
        <v>39</v>
      </c>
      <c r="AQ434" s="5"/>
      <c r="AR434" s="5"/>
      <c r="AS434" s="5"/>
      <c r="AT434" s="5" t="s">
        <v>37</v>
      </c>
      <c r="AU434" s="5"/>
      <c r="AV434" s="5" t="s">
        <v>44</v>
      </c>
      <c r="AW434" s="5"/>
      <c r="AX434" s="5"/>
      <c r="AY434" s="5"/>
      <c r="AZ434" s="5"/>
      <c r="BA434" s="5"/>
      <c r="BB434" s="5" t="s">
        <v>49</v>
      </c>
      <c r="BC434" s="5"/>
      <c r="BD434" s="5" t="s">
        <v>51</v>
      </c>
      <c r="BE434" s="5" t="s">
        <v>17</v>
      </c>
      <c r="BF434" s="5"/>
      <c r="BG434" s="5" t="s">
        <v>53</v>
      </c>
      <c r="BH434" s="5"/>
      <c r="BI434" s="5"/>
      <c r="BJ434" s="5" t="s">
        <v>56</v>
      </c>
      <c r="BK434" s="5" t="s">
        <v>57</v>
      </c>
      <c r="BL434" s="5" t="s">
        <v>58</v>
      </c>
      <c r="BM434" s="5"/>
      <c r="BN434" s="5" t="s">
        <v>24</v>
      </c>
      <c r="BO434" s="5"/>
      <c r="BP434" s="5" t="s">
        <v>60</v>
      </c>
      <c r="BQ434" s="5"/>
      <c r="BR434" s="5" t="s">
        <v>62</v>
      </c>
      <c r="BS434" s="5" t="s">
        <v>63</v>
      </c>
      <c r="BT434" s="5"/>
      <c r="BU434" s="5" t="s">
        <v>64</v>
      </c>
      <c r="BV434" s="5"/>
      <c r="BW434" s="5"/>
      <c r="BX434" s="5"/>
      <c r="BY434" s="5"/>
      <c r="BZ434" s="5"/>
      <c r="CA434" s="5"/>
      <c r="CB434" s="5"/>
      <c r="CC434" s="5"/>
      <c r="CD434" s="5"/>
      <c r="CE434" s="5"/>
      <c r="CF434" s="5"/>
      <c r="CG434" s="5"/>
      <c r="CH434" s="5"/>
      <c r="CI434" s="5" t="s">
        <v>417</v>
      </c>
      <c r="CJ434" s="5">
        <v>66</v>
      </c>
      <c r="CK434" s="5" t="s">
        <v>80</v>
      </c>
      <c r="CL434" s="5" t="s">
        <v>126</v>
      </c>
      <c r="CM434" s="5"/>
      <c r="CN434" s="5" t="s">
        <v>419</v>
      </c>
      <c r="CO434" s="5" t="s">
        <v>101</v>
      </c>
      <c r="CP434" s="5" t="s">
        <v>90</v>
      </c>
      <c r="CQ434" s="5" t="s">
        <v>98</v>
      </c>
      <c r="CR434" s="5" t="s">
        <v>92</v>
      </c>
      <c r="CS434" s="5" t="s">
        <v>81</v>
      </c>
      <c r="CT434" s="5"/>
      <c r="CU434" s="5" t="s">
        <v>81</v>
      </c>
      <c r="CV434" s="5"/>
      <c r="CW434" s="5"/>
      <c r="CX434" s="5"/>
    </row>
    <row r="435" spans="1:102">
      <c r="A435" s="5">
        <v>114138224772</v>
      </c>
      <c r="B435" s="5"/>
      <c r="C435" s="5"/>
      <c r="D435" s="5"/>
      <c r="E435" s="5" t="s">
        <v>19</v>
      </c>
      <c r="F435" s="5"/>
      <c r="G435" s="5"/>
      <c r="H435" s="5"/>
      <c r="I435" s="5"/>
      <c r="J435" s="5"/>
      <c r="K435" s="5" t="s">
        <v>25</v>
      </c>
      <c r="L435" s="5" t="s">
        <v>26</v>
      </c>
      <c r="M435" s="5"/>
      <c r="N435" s="5"/>
      <c r="O435" s="5"/>
      <c r="P435" s="5"/>
      <c r="Q435" s="5"/>
      <c r="R435" s="5"/>
      <c r="S435" s="5" t="s">
        <v>19</v>
      </c>
      <c r="T435" s="5"/>
      <c r="U435" s="5"/>
      <c r="V435" s="5"/>
      <c r="W435" s="5"/>
      <c r="X435" s="5"/>
      <c r="Y435" s="5"/>
      <c r="Z435" s="5" t="s">
        <v>26</v>
      </c>
      <c r="AA435" s="5"/>
      <c r="AB435" s="5"/>
      <c r="AC435" s="5"/>
      <c r="AD435" s="5"/>
      <c r="AE435" s="5" t="s">
        <v>30</v>
      </c>
      <c r="AF435" s="5" t="s">
        <v>31</v>
      </c>
      <c r="AG435" s="5"/>
      <c r="AH435" s="5"/>
      <c r="AI435" s="5"/>
      <c r="AJ435" s="5"/>
      <c r="AK435" s="5" t="s">
        <v>36</v>
      </c>
      <c r="AL435" s="5"/>
      <c r="AM435" s="5"/>
      <c r="AN435" s="5"/>
      <c r="AO435" s="5"/>
      <c r="AP435" s="5"/>
      <c r="AQ435" s="5"/>
      <c r="AR435" s="5"/>
      <c r="AS435" s="5"/>
      <c r="AT435" s="5"/>
      <c r="AU435" s="5"/>
      <c r="AV435" s="5"/>
      <c r="AW435" s="5"/>
      <c r="AX435" s="5" t="s">
        <v>46</v>
      </c>
      <c r="AY435" s="5"/>
      <c r="AZ435" s="5"/>
      <c r="BA435" s="5"/>
      <c r="BB435" s="5"/>
      <c r="BC435" s="5"/>
      <c r="BD435" s="5"/>
      <c r="BE435" s="5"/>
      <c r="BF435" s="5"/>
      <c r="BG435" s="5"/>
      <c r="BH435" s="5"/>
      <c r="BI435" s="5" t="s">
        <v>55</v>
      </c>
      <c r="BJ435" s="5"/>
      <c r="BK435" s="5"/>
      <c r="BL435" s="5"/>
      <c r="BM435" s="5"/>
      <c r="BN435" s="5"/>
      <c r="BO435" s="5"/>
      <c r="BP435" s="5"/>
      <c r="BQ435" s="5"/>
      <c r="BR435" s="5"/>
      <c r="BS435" s="5"/>
      <c r="BT435" s="5"/>
      <c r="BU435" s="5"/>
      <c r="BV435" s="5"/>
      <c r="BW435" s="5"/>
      <c r="BX435" s="5" t="s">
        <v>67</v>
      </c>
      <c r="BY435" s="5"/>
      <c r="BZ435" s="5"/>
      <c r="CA435" s="5"/>
      <c r="CB435" s="5"/>
      <c r="CC435" s="5"/>
      <c r="CD435" s="5"/>
      <c r="CE435" s="5"/>
      <c r="CF435" s="5" t="s">
        <v>75</v>
      </c>
      <c r="CG435" s="5"/>
      <c r="CH435" s="5"/>
      <c r="CI435" s="5" t="s">
        <v>414</v>
      </c>
      <c r="CJ435" s="5">
        <v>19</v>
      </c>
      <c r="CK435" s="5" t="s">
        <v>80</v>
      </c>
      <c r="CL435" s="5" t="s">
        <v>112</v>
      </c>
      <c r="CM435" s="5"/>
      <c r="CN435" s="5" t="s">
        <v>419</v>
      </c>
      <c r="CO435" s="5" t="s">
        <v>82</v>
      </c>
      <c r="CP435" s="5" t="s">
        <v>90</v>
      </c>
      <c r="CQ435" s="5" t="s">
        <v>88</v>
      </c>
      <c r="CR435" s="5" t="s">
        <v>85</v>
      </c>
      <c r="CS435" s="5" t="s">
        <v>86</v>
      </c>
      <c r="CT435" s="5" t="s">
        <v>384</v>
      </c>
      <c r="CU435" s="5" t="s">
        <v>86</v>
      </c>
      <c r="CV435" s="5"/>
      <c r="CW435" s="5"/>
      <c r="CX435" s="5"/>
    </row>
    <row r="436" spans="1:102">
      <c r="A436" s="5">
        <v>114137567525</v>
      </c>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t="s">
        <v>487</v>
      </c>
      <c r="CM436" s="5"/>
      <c r="CN436" s="5"/>
      <c r="CO436" s="5"/>
      <c r="CP436" s="5"/>
      <c r="CQ436" s="5"/>
      <c r="CR436" s="5"/>
      <c r="CS436" s="5"/>
      <c r="CT436" s="5"/>
      <c r="CU436" s="5"/>
      <c r="CV436" s="5"/>
      <c r="CW436" s="5"/>
      <c r="CX436" s="5"/>
    </row>
    <row r="437" spans="1:102">
      <c r="A437" s="5">
        <v>114131712001</v>
      </c>
      <c r="B437" s="5"/>
      <c r="C437" s="5" t="s">
        <v>17</v>
      </c>
      <c r="D437" s="5"/>
      <c r="E437" s="5"/>
      <c r="F437" s="5"/>
      <c r="G437" s="5" t="s">
        <v>21</v>
      </c>
      <c r="H437" s="5" t="s">
        <v>22</v>
      </c>
      <c r="I437" s="5"/>
      <c r="J437" s="5"/>
      <c r="K437" s="5" t="s">
        <v>25</v>
      </c>
      <c r="L437" s="5" t="s">
        <v>26</v>
      </c>
      <c r="M437" s="5"/>
      <c r="N437" s="5"/>
      <c r="O437" s="5"/>
      <c r="P437" s="5" t="s">
        <v>16</v>
      </c>
      <c r="Q437" s="5"/>
      <c r="R437" s="5"/>
      <c r="S437" s="5" t="s">
        <v>19</v>
      </c>
      <c r="T437" s="5"/>
      <c r="U437" s="5"/>
      <c r="V437" s="5"/>
      <c r="W437" s="5" t="s">
        <v>23</v>
      </c>
      <c r="X437" s="5"/>
      <c r="Y437" s="5" t="s">
        <v>25</v>
      </c>
      <c r="Z437" s="5"/>
      <c r="AA437" s="5"/>
      <c r="AB437" s="5" t="s">
        <v>28</v>
      </c>
      <c r="AC437" s="5"/>
      <c r="AD437" s="5"/>
      <c r="AE437" s="5"/>
      <c r="AF437" s="5"/>
      <c r="AG437" s="5"/>
      <c r="AH437" s="5"/>
      <c r="AI437" s="5"/>
      <c r="AJ437" s="5" t="s">
        <v>35</v>
      </c>
      <c r="AK437" s="5"/>
      <c r="AL437" s="5"/>
      <c r="AM437" s="5" t="s">
        <v>375</v>
      </c>
      <c r="AN437" s="5"/>
      <c r="AO437" s="5" t="s">
        <v>38</v>
      </c>
      <c r="AP437" s="5" t="s">
        <v>39</v>
      </c>
      <c r="AQ437" s="5"/>
      <c r="AR437" s="5"/>
      <c r="AS437" s="5" t="s">
        <v>42</v>
      </c>
      <c r="AT437" s="5"/>
      <c r="AU437" s="5"/>
      <c r="AV437" s="5"/>
      <c r="AW437" s="5"/>
      <c r="AX437" s="5"/>
      <c r="AY437" s="5" t="s">
        <v>47</v>
      </c>
      <c r="AZ437" s="5"/>
      <c r="BA437" s="5"/>
      <c r="BB437" s="5"/>
      <c r="BC437" s="5"/>
      <c r="BD437" s="5" t="s">
        <v>51</v>
      </c>
      <c r="BE437" s="5"/>
      <c r="BF437" s="5" t="s">
        <v>52</v>
      </c>
      <c r="BG437" s="5"/>
      <c r="BH437" s="5"/>
      <c r="BI437" s="5" t="s">
        <v>55</v>
      </c>
      <c r="BJ437" s="5"/>
      <c r="BK437" s="5"/>
      <c r="BL437" s="5" t="s">
        <v>58</v>
      </c>
      <c r="BM437" s="5"/>
      <c r="BN437" s="5"/>
      <c r="BO437" s="5"/>
      <c r="BP437" s="5"/>
      <c r="BQ437" s="5" t="s">
        <v>61</v>
      </c>
      <c r="BR437" s="5"/>
      <c r="BS437" s="5" t="s">
        <v>63</v>
      </c>
      <c r="BT437" s="5"/>
      <c r="BU437" s="5"/>
      <c r="BV437" s="5"/>
      <c r="BW437" s="5" t="s">
        <v>66</v>
      </c>
      <c r="BX437" s="5" t="s">
        <v>67</v>
      </c>
      <c r="BY437" s="5"/>
      <c r="BZ437" s="5" t="s">
        <v>69</v>
      </c>
      <c r="CA437" s="5"/>
      <c r="CB437" s="5"/>
      <c r="CC437" s="5"/>
      <c r="CD437" s="5"/>
      <c r="CE437" s="5"/>
      <c r="CF437" s="5"/>
      <c r="CG437" s="5" t="s">
        <v>76</v>
      </c>
      <c r="CH437" s="5"/>
      <c r="CI437" s="5" t="s">
        <v>417</v>
      </c>
      <c r="CJ437" s="5">
        <v>23</v>
      </c>
      <c r="CK437" s="5" t="s">
        <v>80</v>
      </c>
      <c r="CL437" s="5" t="s">
        <v>123</v>
      </c>
      <c r="CM437" s="5"/>
      <c r="CN437" s="5"/>
      <c r="CO437" s="5"/>
      <c r="CP437" s="5"/>
      <c r="CQ437" s="5"/>
      <c r="CR437" s="5"/>
      <c r="CS437" s="5"/>
      <c r="CT437" s="5"/>
      <c r="CU437" s="5"/>
      <c r="CV437" s="5"/>
      <c r="CW437" s="5"/>
    </row>
    <row r="438" spans="1:102">
      <c r="A438" s="5">
        <v>114119758093</v>
      </c>
      <c r="B438" s="5"/>
      <c r="C438" s="5" t="s">
        <v>17</v>
      </c>
      <c r="D438" s="5"/>
      <c r="E438" s="5"/>
      <c r="F438" s="5"/>
      <c r="G438" s="5"/>
      <c r="H438" s="5"/>
      <c r="I438" s="5"/>
      <c r="J438" s="5"/>
      <c r="K438" s="5"/>
      <c r="L438" s="5"/>
      <c r="M438" s="5" t="s">
        <v>27</v>
      </c>
      <c r="N438" s="5"/>
      <c r="O438" s="5"/>
      <c r="P438" s="5"/>
      <c r="Q438" s="5" t="s">
        <v>17</v>
      </c>
      <c r="R438" s="5" t="s">
        <v>18</v>
      </c>
      <c r="S438" s="5"/>
      <c r="T438" s="5"/>
      <c r="U438" s="5"/>
      <c r="V438" s="5"/>
      <c r="W438" s="5"/>
      <c r="X438" s="5"/>
      <c r="Y438" s="5"/>
      <c r="Z438" s="5"/>
      <c r="AA438" s="5"/>
      <c r="AB438" s="5"/>
      <c r="AC438" s="5"/>
      <c r="AD438" s="5"/>
      <c r="AE438" s="5" t="s">
        <v>30</v>
      </c>
      <c r="AF438" s="5"/>
      <c r="AG438" s="5"/>
      <c r="AH438" s="5"/>
      <c r="AI438" s="5"/>
      <c r="AJ438" s="5"/>
      <c r="AK438" s="5"/>
      <c r="AL438" s="5"/>
      <c r="AM438" s="5"/>
      <c r="AN438" s="5"/>
      <c r="AO438" s="5" t="s">
        <v>38</v>
      </c>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t="s">
        <v>64</v>
      </c>
      <c r="BV438" s="5"/>
      <c r="BW438" s="5"/>
      <c r="BX438" s="5"/>
      <c r="BY438" s="5"/>
      <c r="BZ438" s="5"/>
      <c r="CA438" s="5"/>
      <c r="CB438" s="5"/>
      <c r="CC438" s="5"/>
      <c r="CD438" s="5"/>
      <c r="CE438" s="5"/>
      <c r="CF438" s="5" t="s">
        <v>75</v>
      </c>
      <c r="CG438" s="5"/>
      <c r="CH438" s="5"/>
      <c r="CI438" s="5" t="s">
        <v>417</v>
      </c>
      <c r="CJ438" s="5">
        <v>56</v>
      </c>
      <c r="CK438" s="5" t="s">
        <v>141</v>
      </c>
      <c r="CL438" s="5" t="s">
        <v>165</v>
      </c>
      <c r="CM438" s="5" t="s">
        <v>418</v>
      </c>
      <c r="CN438" s="5" t="s">
        <v>416</v>
      </c>
      <c r="CO438" s="5" t="s">
        <v>82</v>
      </c>
      <c r="CP438" s="5"/>
      <c r="CQ438" s="5" t="s">
        <v>88</v>
      </c>
      <c r="CR438" s="5" t="s">
        <v>85</v>
      </c>
      <c r="CS438" s="5" t="s">
        <v>86</v>
      </c>
      <c r="CT438" s="5" t="s">
        <v>384</v>
      </c>
      <c r="CU438" s="5" t="s">
        <v>86</v>
      </c>
      <c r="CV438" s="5"/>
      <c r="CW438" s="5"/>
    </row>
    <row r="439" spans="1:102">
      <c r="A439" s="5">
        <v>114117609524</v>
      </c>
      <c r="B439" s="5"/>
      <c r="C439" s="5"/>
      <c r="D439" s="5"/>
      <c r="E439" s="5"/>
      <c r="F439" s="5"/>
      <c r="G439" s="5" t="s">
        <v>21</v>
      </c>
      <c r="H439" s="5"/>
      <c r="I439" s="5"/>
      <c r="J439" s="5"/>
      <c r="K439" s="5"/>
      <c r="L439" s="5" t="s">
        <v>26</v>
      </c>
      <c r="M439" s="5" t="s">
        <v>27</v>
      </c>
      <c r="N439" s="5"/>
      <c r="O439" s="5"/>
      <c r="P439" s="5"/>
      <c r="Q439" s="5"/>
      <c r="R439" s="5"/>
      <c r="S439" s="5"/>
      <c r="T439" s="5"/>
      <c r="U439" s="5" t="s">
        <v>21</v>
      </c>
      <c r="V439" s="5" t="s">
        <v>22</v>
      </c>
      <c r="W439" s="5"/>
      <c r="X439" s="5"/>
      <c r="Y439" s="5" t="s">
        <v>25</v>
      </c>
      <c r="Z439" s="5"/>
      <c r="AA439" s="5"/>
      <c r="AB439" s="5"/>
      <c r="AC439" s="5"/>
      <c r="AD439" s="5"/>
      <c r="AE439" s="5"/>
      <c r="AF439" s="5" t="s">
        <v>31</v>
      </c>
      <c r="AG439" s="5"/>
      <c r="AH439" s="5" t="s">
        <v>33</v>
      </c>
      <c r="AI439" s="5"/>
      <c r="AJ439" s="5"/>
      <c r="AK439" s="5"/>
      <c r="AL439" s="5"/>
      <c r="AM439" s="5" t="s">
        <v>375</v>
      </c>
      <c r="AN439" s="5"/>
      <c r="AO439" s="5"/>
      <c r="AP439" s="5" t="s">
        <v>39</v>
      </c>
      <c r="AQ439" s="5"/>
      <c r="AR439" s="5" t="s">
        <v>41</v>
      </c>
      <c r="AS439" s="5"/>
      <c r="AT439" s="5" t="s">
        <v>37</v>
      </c>
      <c r="AU439" s="5"/>
      <c r="AV439" s="5"/>
      <c r="AW439" s="5"/>
      <c r="AX439" s="5"/>
      <c r="AY439" s="5"/>
      <c r="AZ439" s="5"/>
      <c r="BA439" s="5"/>
      <c r="BB439" s="5"/>
      <c r="BC439" s="5"/>
      <c r="BD439" s="5"/>
      <c r="BE439" s="5"/>
      <c r="BF439" s="5"/>
      <c r="BG439" s="5"/>
      <c r="BH439" s="5"/>
      <c r="BI439" s="5"/>
      <c r="BJ439" s="5"/>
      <c r="BK439" s="5" t="s">
        <v>57</v>
      </c>
      <c r="BL439" s="5"/>
      <c r="BM439" s="5"/>
      <c r="BN439" s="5"/>
      <c r="BO439" s="5"/>
      <c r="BP439" s="5"/>
      <c r="BQ439" s="5"/>
      <c r="BR439" s="5" t="s">
        <v>62</v>
      </c>
      <c r="BS439" s="5" t="s">
        <v>63</v>
      </c>
      <c r="BT439" s="5"/>
      <c r="BU439" s="5"/>
      <c r="BV439" s="5"/>
      <c r="BW439" s="5" t="s">
        <v>66</v>
      </c>
      <c r="BX439" s="5"/>
      <c r="BY439" s="5" t="s">
        <v>68</v>
      </c>
      <c r="BZ439" s="5"/>
      <c r="CA439" s="5"/>
      <c r="CB439" s="5"/>
      <c r="CC439" s="5"/>
      <c r="CD439" s="5"/>
      <c r="CE439" s="5"/>
      <c r="CF439" s="5" t="s">
        <v>75</v>
      </c>
      <c r="CG439" s="5"/>
      <c r="CH439" s="5"/>
      <c r="CI439" s="5" t="s">
        <v>414</v>
      </c>
      <c r="CJ439" s="5">
        <v>66</v>
      </c>
      <c r="CK439" s="5" t="s">
        <v>141</v>
      </c>
      <c r="CL439" s="5" t="s">
        <v>159</v>
      </c>
      <c r="CM439" s="5" t="s">
        <v>418</v>
      </c>
      <c r="CN439" s="5" t="s">
        <v>419</v>
      </c>
      <c r="CO439" s="5" t="s">
        <v>388</v>
      </c>
      <c r="CP439" s="5" t="s">
        <v>90</v>
      </c>
      <c r="CQ439" s="5" t="s">
        <v>88</v>
      </c>
      <c r="CR439" s="5" t="s">
        <v>99</v>
      </c>
      <c r="CS439" s="5" t="s">
        <v>86</v>
      </c>
      <c r="CT439" s="5" t="s">
        <v>385</v>
      </c>
      <c r="CU439" s="5" t="s">
        <v>86</v>
      </c>
      <c r="CV439" s="5"/>
    </row>
    <row r="440" spans="1:102">
      <c r="A440" s="5">
        <v>114117487074</v>
      </c>
      <c r="B440" s="5"/>
      <c r="C440" s="5" t="s">
        <v>17</v>
      </c>
      <c r="D440" s="5" t="s">
        <v>18</v>
      </c>
      <c r="E440" s="5"/>
      <c r="F440" s="5"/>
      <c r="G440" s="5"/>
      <c r="H440" s="5"/>
      <c r="I440" s="5"/>
      <c r="J440" s="5" t="s">
        <v>24</v>
      </c>
      <c r="K440" s="5" t="s">
        <v>25</v>
      </c>
      <c r="L440" s="5"/>
      <c r="M440" s="5"/>
      <c r="N440" s="5"/>
      <c r="O440" s="5" t="s">
        <v>481</v>
      </c>
      <c r="P440" s="5"/>
      <c r="Q440" s="5" t="s">
        <v>17</v>
      </c>
      <c r="R440" s="5"/>
      <c r="S440" s="5"/>
      <c r="T440" s="5"/>
      <c r="U440" s="5"/>
      <c r="V440" s="5"/>
      <c r="W440" s="5"/>
      <c r="X440" s="5"/>
      <c r="Y440" s="5"/>
      <c r="Z440" s="5"/>
      <c r="AA440" s="5"/>
      <c r="AB440" s="5"/>
      <c r="AC440" s="5" t="s">
        <v>481</v>
      </c>
      <c r="AD440" s="5"/>
      <c r="AE440" s="5"/>
      <c r="AF440" s="5"/>
      <c r="AG440" s="5"/>
      <c r="AH440" s="5"/>
      <c r="AI440" s="5" t="s">
        <v>34</v>
      </c>
      <c r="AJ440" s="5"/>
      <c r="AK440" s="5"/>
      <c r="AL440" s="5"/>
      <c r="AM440" s="5"/>
      <c r="AN440" s="5"/>
      <c r="AO440" s="5"/>
      <c r="AP440" s="5"/>
      <c r="AQ440" s="5"/>
      <c r="AR440" s="5"/>
      <c r="AS440" s="5"/>
      <c r="AT440" s="5"/>
      <c r="AU440" s="5"/>
      <c r="AV440" s="5"/>
      <c r="AW440" s="5"/>
      <c r="AX440" s="5"/>
      <c r="AY440" s="5"/>
      <c r="AZ440" s="5"/>
      <c r="BA440" s="5" t="s">
        <v>481</v>
      </c>
      <c r="BB440" s="5"/>
      <c r="BC440" s="5"/>
      <c r="BD440" s="5" t="s">
        <v>51</v>
      </c>
      <c r="BE440" s="5"/>
      <c r="BF440" s="5" t="s">
        <v>52</v>
      </c>
      <c r="BG440" s="5"/>
      <c r="BH440" s="5"/>
      <c r="BI440" s="5"/>
      <c r="BJ440" s="5"/>
      <c r="BK440" s="5"/>
      <c r="BL440" s="5"/>
      <c r="BM440" s="5"/>
      <c r="BN440" s="5"/>
      <c r="BO440" s="5"/>
      <c r="BP440" s="5"/>
      <c r="BQ440" s="5"/>
      <c r="BR440" s="5" t="s">
        <v>62</v>
      </c>
      <c r="BS440" s="5"/>
      <c r="BT440" s="5"/>
      <c r="BU440" s="5" t="s">
        <v>64</v>
      </c>
      <c r="BV440" s="5"/>
      <c r="BW440" s="5" t="s">
        <v>66</v>
      </c>
      <c r="BX440" s="5" t="s">
        <v>67</v>
      </c>
      <c r="BY440" s="5" t="s">
        <v>68</v>
      </c>
      <c r="BZ440" s="5"/>
      <c r="CA440" s="5"/>
      <c r="CB440" s="5"/>
      <c r="CC440" s="5"/>
      <c r="CD440" s="5"/>
      <c r="CE440" s="5" t="s">
        <v>74</v>
      </c>
      <c r="CF440" s="5" t="s">
        <v>75</v>
      </c>
      <c r="CG440" s="5"/>
      <c r="CH440" s="5"/>
      <c r="CI440" s="5" t="s">
        <v>414</v>
      </c>
      <c r="CJ440" s="5">
        <v>66</v>
      </c>
      <c r="CK440" s="5" t="s">
        <v>141</v>
      </c>
      <c r="CL440" s="5" t="s">
        <v>183</v>
      </c>
      <c r="CM440" s="5" t="s">
        <v>418</v>
      </c>
      <c r="CN440" s="5" t="s">
        <v>416</v>
      </c>
      <c r="CO440" s="5" t="s">
        <v>82</v>
      </c>
      <c r="CP440" s="5" t="s">
        <v>93</v>
      </c>
      <c r="CQ440" s="5" t="s">
        <v>88</v>
      </c>
      <c r="CR440" s="5" t="s">
        <v>99</v>
      </c>
      <c r="CS440" s="5" t="s">
        <v>86</v>
      </c>
      <c r="CT440" s="5" t="s">
        <v>386</v>
      </c>
      <c r="CU440" s="5" t="s">
        <v>86</v>
      </c>
      <c r="CV440" s="5"/>
    </row>
    <row r="441" spans="1:102">
      <c r="A441" s="5">
        <v>114112557543</v>
      </c>
      <c r="B441" s="5"/>
      <c r="C441" s="5"/>
      <c r="D441" s="5" t="s">
        <v>18</v>
      </c>
      <c r="E441" s="5"/>
      <c r="F441" s="5"/>
      <c r="G441" s="5"/>
      <c r="H441" s="5" t="s">
        <v>22</v>
      </c>
      <c r="I441" s="5"/>
      <c r="J441" s="5"/>
      <c r="K441" s="5" t="s">
        <v>25</v>
      </c>
      <c r="L441" s="5"/>
      <c r="M441" s="5"/>
      <c r="N441" s="5"/>
      <c r="O441" s="5"/>
      <c r="P441" s="5"/>
      <c r="Q441" s="5"/>
      <c r="R441" s="5" t="s">
        <v>18</v>
      </c>
      <c r="S441" s="5"/>
      <c r="T441" s="5"/>
      <c r="U441" s="5"/>
      <c r="V441" s="5"/>
      <c r="W441" s="5"/>
      <c r="X441" s="5"/>
      <c r="Y441" s="5"/>
      <c r="Z441" s="5"/>
      <c r="AA441" s="5"/>
      <c r="AB441" s="5"/>
      <c r="AC441" s="5"/>
      <c r="AD441" s="5"/>
      <c r="AE441" s="5"/>
      <c r="AF441" s="5"/>
      <c r="AG441" s="5"/>
      <c r="AH441" s="5"/>
      <c r="AI441" s="5" t="s">
        <v>34</v>
      </c>
      <c r="AJ441" s="5"/>
      <c r="AK441" s="5"/>
      <c r="AL441" s="5"/>
      <c r="AM441" s="5"/>
      <c r="AN441" s="5"/>
      <c r="AO441" s="5" t="s">
        <v>38</v>
      </c>
      <c r="AP441" s="5" t="s">
        <v>39</v>
      </c>
      <c r="AQ441" s="5"/>
      <c r="AR441" s="5" t="s">
        <v>41</v>
      </c>
      <c r="AS441" s="5"/>
      <c r="AT441" s="5"/>
      <c r="AU441" s="5"/>
      <c r="AV441" s="5"/>
      <c r="AW441" s="5"/>
      <c r="AX441" s="5"/>
      <c r="AY441" s="5"/>
      <c r="AZ441" s="5"/>
      <c r="BA441" s="5"/>
      <c r="BB441" s="5"/>
      <c r="BC441" s="5"/>
      <c r="BD441" s="5" t="s">
        <v>51</v>
      </c>
      <c r="BE441" s="5"/>
      <c r="BF441" s="5"/>
      <c r="BG441" s="5"/>
      <c r="BH441" s="5"/>
      <c r="BI441" s="5"/>
      <c r="BJ441" s="5"/>
      <c r="BK441" s="5"/>
      <c r="BL441" s="5"/>
      <c r="BM441" s="5"/>
      <c r="BN441" s="5"/>
      <c r="BO441" s="5"/>
      <c r="BP441" s="5"/>
      <c r="BQ441" s="5" t="s">
        <v>61</v>
      </c>
      <c r="BR441" s="5" t="s">
        <v>62</v>
      </c>
      <c r="BS441" s="5"/>
      <c r="BT441" s="5"/>
      <c r="BU441" s="5" t="s">
        <v>64</v>
      </c>
      <c r="BV441" s="5" t="s">
        <v>65</v>
      </c>
      <c r="BW441" s="5" t="s">
        <v>66</v>
      </c>
      <c r="BX441" s="5" t="s">
        <v>67</v>
      </c>
      <c r="BY441" s="5" t="s">
        <v>68</v>
      </c>
      <c r="BZ441" s="5" t="s">
        <v>69</v>
      </c>
      <c r="CA441" s="5" t="s">
        <v>70</v>
      </c>
      <c r="CB441" s="5" t="s">
        <v>71</v>
      </c>
      <c r="CC441" s="5" t="s">
        <v>72</v>
      </c>
      <c r="CD441" s="5" t="s">
        <v>73</v>
      </c>
      <c r="CE441" s="5"/>
      <c r="CF441" s="5" t="s">
        <v>75</v>
      </c>
      <c r="CG441" s="5" t="s">
        <v>76</v>
      </c>
      <c r="CH441" s="5"/>
      <c r="CI441" s="5" t="s">
        <v>417</v>
      </c>
      <c r="CJ441" s="5">
        <v>63</v>
      </c>
      <c r="CK441" s="5" t="s">
        <v>141</v>
      </c>
      <c r="CL441" s="5" t="s">
        <v>165</v>
      </c>
      <c r="CM441" s="5" t="s">
        <v>418</v>
      </c>
      <c r="CN441" s="5" t="s">
        <v>416</v>
      </c>
      <c r="CO441" s="5" t="s">
        <v>82</v>
      </c>
      <c r="CP441" s="5" t="s">
        <v>83</v>
      </c>
      <c r="CQ441" s="5" t="s">
        <v>84</v>
      </c>
      <c r="CR441" s="5" t="s">
        <v>85</v>
      </c>
      <c r="CS441" s="5" t="s">
        <v>86</v>
      </c>
      <c r="CT441" s="5" t="s">
        <v>384</v>
      </c>
      <c r="CU441" s="5" t="s">
        <v>86</v>
      </c>
      <c r="CV441" s="5"/>
    </row>
    <row r="442" spans="1:102">
      <c r="A442" s="5">
        <v>114112353426</v>
      </c>
      <c r="B442" s="5"/>
      <c r="C442" s="5" t="s">
        <v>17</v>
      </c>
      <c r="D442" s="5" t="s">
        <v>18</v>
      </c>
      <c r="E442" s="5"/>
      <c r="F442" s="5"/>
      <c r="G442" s="5"/>
      <c r="H442" s="5"/>
      <c r="I442" s="5"/>
      <c r="J442" s="5"/>
      <c r="K442" s="5"/>
      <c r="L442" s="5" t="s">
        <v>26</v>
      </c>
      <c r="M442" s="5"/>
      <c r="N442" s="5"/>
      <c r="O442" s="5"/>
      <c r="P442" s="5"/>
      <c r="Q442" s="5" t="s">
        <v>17</v>
      </c>
      <c r="R442" s="5" t="s">
        <v>18</v>
      </c>
      <c r="S442" s="5" t="s">
        <v>19</v>
      </c>
      <c r="T442" s="5"/>
      <c r="U442" s="5"/>
      <c r="V442" s="5"/>
      <c r="W442" s="5"/>
      <c r="X442" s="5"/>
      <c r="Y442" s="5"/>
      <c r="Z442" s="5"/>
      <c r="AA442" s="5"/>
      <c r="AB442" s="5"/>
      <c r="AC442" s="5"/>
      <c r="AD442" s="5"/>
      <c r="AE442" s="5"/>
      <c r="AF442" s="5"/>
      <c r="AG442" s="5"/>
      <c r="AH442" s="5"/>
      <c r="AI442" s="5" t="s">
        <v>34</v>
      </c>
      <c r="AJ442" s="5"/>
      <c r="AK442" s="5"/>
      <c r="AL442" s="5"/>
      <c r="AM442" s="5"/>
      <c r="AN442" s="5"/>
      <c r="AO442" s="5"/>
      <c r="AP442" s="5"/>
      <c r="AQ442" s="5"/>
      <c r="AR442" s="5" t="s">
        <v>41</v>
      </c>
      <c r="AS442" s="5"/>
      <c r="AT442" s="5"/>
      <c r="AU442" s="5"/>
      <c r="AV442" s="5"/>
      <c r="AW442" s="5"/>
      <c r="AX442" s="5"/>
      <c r="AY442" s="5"/>
      <c r="AZ442" s="5"/>
      <c r="BA442" s="5"/>
      <c r="BB442" s="5"/>
      <c r="BC442" s="5"/>
      <c r="BD442" s="5"/>
      <c r="BE442" s="5" t="s">
        <v>17</v>
      </c>
      <c r="BF442" s="5"/>
      <c r="BG442" s="5"/>
      <c r="BH442" s="5"/>
      <c r="BI442" s="5"/>
      <c r="BJ442" s="5"/>
      <c r="BK442" s="5"/>
      <c r="BL442" s="5"/>
      <c r="BM442" s="5"/>
      <c r="BN442" s="5"/>
      <c r="BO442" s="5"/>
      <c r="BP442" s="5"/>
      <c r="BQ442" s="5"/>
      <c r="BR442" s="5"/>
      <c r="BS442" s="5" t="s">
        <v>63</v>
      </c>
      <c r="BT442" s="5"/>
      <c r="BU442" s="5" t="s">
        <v>64</v>
      </c>
      <c r="BV442" s="5"/>
      <c r="BW442" s="5"/>
      <c r="BX442" s="5"/>
      <c r="BY442" s="5"/>
      <c r="BZ442" s="5"/>
      <c r="CA442" s="5"/>
      <c r="CB442" s="5"/>
      <c r="CC442" s="5"/>
      <c r="CD442" s="5"/>
      <c r="CE442" s="5"/>
      <c r="CF442" s="5" t="s">
        <v>75</v>
      </c>
      <c r="CG442" s="5"/>
      <c r="CH442" s="5"/>
      <c r="CI442" s="5" t="s">
        <v>417</v>
      </c>
      <c r="CJ442" s="5">
        <v>66</v>
      </c>
      <c r="CK442" s="5" t="s">
        <v>141</v>
      </c>
      <c r="CL442" s="5" t="s">
        <v>148</v>
      </c>
      <c r="CM442" s="5" t="s">
        <v>418</v>
      </c>
      <c r="CN442" s="5" t="s">
        <v>416</v>
      </c>
      <c r="CO442" s="5" t="s">
        <v>82</v>
      </c>
      <c r="CP442" s="5"/>
      <c r="CQ442" s="5" t="s">
        <v>84</v>
      </c>
      <c r="CR442" s="5" t="s">
        <v>99</v>
      </c>
      <c r="CS442" s="5"/>
      <c r="CT442" s="5" t="s">
        <v>385</v>
      </c>
      <c r="CU442" s="5" t="s">
        <v>86</v>
      </c>
    </row>
    <row r="443" spans="1:102">
      <c r="A443" s="5">
        <v>114112316241</v>
      </c>
      <c r="B443" s="5"/>
      <c r="C443" s="5" t="s">
        <v>17</v>
      </c>
      <c r="D443" s="5" t="s">
        <v>18</v>
      </c>
      <c r="E443" s="5"/>
      <c r="F443" s="5"/>
      <c r="G443" s="5"/>
      <c r="H443" s="5"/>
      <c r="I443" s="5"/>
      <c r="J443" s="5"/>
      <c r="K443" s="5"/>
      <c r="L443" s="5"/>
      <c r="M443" s="5" t="s">
        <v>27</v>
      </c>
      <c r="N443" s="5"/>
      <c r="O443" s="5"/>
      <c r="P443" s="5"/>
      <c r="Q443" s="5" t="s">
        <v>17</v>
      </c>
      <c r="R443" s="5" t="s">
        <v>18</v>
      </c>
      <c r="S443" s="5"/>
      <c r="T443" s="5"/>
      <c r="U443" s="5"/>
      <c r="V443" s="5"/>
      <c r="W443" s="5" t="s">
        <v>23</v>
      </c>
      <c r="X443" s="5"/>
      <c r="Y443" s="5"/>
      <c r="Z443" s="5"/>
      <c r="AA443" s="5"/>
      <c r="AB443" s="5"/>
      <c r="AC443" s="5"/>
      <c r="AD443" s="5"/>
      <c r="AE443" s="5"/>
      <c r="AF443" s="5"/>
      <c r="AG443" s="5"/>
      <c r="AH443" s="5"/>
      <c r="AI443" s="5" t="s">
        <v>34</v>
      </c>
      <c r="AJ443" s="5"/>
      <c r="AK443" s="5"/>
      <c r="AL443" s="5"/>
      <c r="AM443" s="5"/>
      <c r="AN443" s="5"/>
      <c r="AO443" s="5" t="s">
        <v>38</v>
      </c>
      <c r="AP443" s="5"/>
      <c r="AQ443" s="5"/>
      <c r="AR443" s="5"/>
      <c r="AS443" s="5"/>
      <c r="AT443" s="5" t="s">
        <v>37</v>
      </c>
      <c r="AU443" s="5"/>
      <c r="AV443" s="5"/>
      <c r="AW443" s="5"/>
      <c r="AX443" s="5"/>
      <c r="AY443" s="5"/>
      <c r="AZ443" s="5"/>
      <c r="BA443" s="5"/>
      <c r="BB443" s="5"/>
      <c r="BC443" s="5"/>
      <c r="BD443" s="5"/>
      <c r="BE443" s="5" t="s">
        <v>17</v>
      </c>
      <c r="BF443" s="5"/>
      <c r="BG443" s="5"/>
      <c r="BH443" s="5"/>
      <c r="BI443" s="5"/>
      <c r="BJ443" s="5"/>
      <c r="BK443" s="5"/>
      <c r="BL443" s="5" t="s">
        <v>58</v>
      </c>
      <c r="BM443" s="5"/>
      <c r="BN443" s="5" t="s">
        <v>24</v>
      </c>
      <c r="BO443" s="5"/>
      <c r="BP443" s="5"/>
      <c r="BQ443" s="5"/>
      <c r="BR443" s="5"/>
      <c r="BS443" s="5"/>
      <c r="BT443" s="5"/>
      <c r="BU443" s="5" t="s">
        <v>64</v>
      </c>
      <c r="BV443" s="5"/>
      <c r="BW443" s="5"/>
      <c r="BX443" s="5"/>
      <c r="BY443" s="5" t="s">
        <v>68</v>
      </c>
      <c r="BZ443" s="5"/>
      <c r="CA443" s="5"/>
      <c r="CB443" s="5"/>
      <c r="CC443" s="5"/>
      <c r="CD443" s="5"/>
      <c r="CE443" s="5"/>
      <c r="CF443" s="5"/>
      <c r="CG443" s="5"/>
      <c r="CH443" s="5"/>
      <c r="CI443" s="5" t="s">
        <v>417</v>
      </c>
      <c r="CJ443" s="5">
        <v>66</v>
      </c>
      <c r="CK443" s="5" t="s">
        <v>141</v>
      </c>
      <c r="CL443" s="5" t="s">
        <v>488</v>
      </c>
      <c r="CM443" s="5" t="s">
        <v>418</v>
      </c>
      <c r="CN443" s="5" t="s">
        <v>416</v>
      </c>
      <c r="CO443" s="5" t="s">
        <v>82</v>
      </c>
      <c r="CP443" s="5" t="s">
        <v>90</v>
      </c>
      <c r="CQ443" s="5" t="s">
        <v>95</v>
      </c>
      <c r="CR443" s="5" t="s">
        <v>99</v>
      </c>
      <c r="CS443" s="5" t="s">
        <v>86</v>
      </c>
      <c r="CT443" s="5" t="s">
        <v>386</v>
      </c>
      <c r="CU443" s="5" t="s">
        <v>86</v>
      </c>
    </row>
    <row r="444" spans="1:102">
      <c r="A444" s="5">
        <v>114112302057</v>
      </c>
      <c r="B444" s="5"/>
      <c r="C444" s="5" t="s">
        <v>17</v>
      </c>
      <c r="D444" s="5" t="s">
        <v>18</v>
      </c>
      <c r="E444" s="5"/>
      <c r="F444" s="5"/>
      <c r="G444" s="5"/>
      <c r="H444" s="5"/>
      <c r="I444" s="5"/>
      <c r="J444" s="5" t="s">
        <v>24</v>
      </c>
      <c r="K444" s="5"/>
      <c r="L444" s="5"/>
      <c r="M444" s="5"/>
      <c r="N444" s="5"/>
      <c r="O444" s="5"/>
      <c r="P444" s="5" t="s">
        <v>16</v>
      </c>
      <c r="Q444" s="5"/>
      <c r="R444" s="5" t="s">
        <v>18</v>
      </c>
      <c r="S444" s="5"/>
      <c r="T444" s="5"/>
      <c r="U444" s="5"/>
      <c r="V444" s="5"/>
      <c r="W444" s="5" t="s">
        <v>23</v>
      </c>
      <c r="X444" s="5"/>
      <c r="Y444" s="5"/>
      <c r="Z444" s="5"/>
      <c r="AA444" s="5"/>
      <c r="AB444" s="5"/>
      <c r="AC444" s="5"/>
      <c r="AD444" s="5"/>
      <c r="AE444" s="5"/>
      <c r="AF444" s="5"/>
      <c r="AG444" s="5" t="s">
        <v>32</v>
      </c>
      <c r="AH444" s="5"/>
      <c r="AI444" s="5" t="s">
        <v>34</v>
      </c>
      <c r="AJ444" s="5"/>
      <c r="AK444" s="5"/>
      <c r="AL444" s="5" t="s">
        <v>37</v>
      </c>
      <c r="AM444" s="5"/>
      <c r="AN444" s="5"/>
      <c r="AO444" s="5" t="s">
        <v>38</v>
      </c>
      <c r="AP444" s="5"/>
      <c r="AQ444" s="5"/>
      <c r="AR444" s="5"/>
      <c r="AS444" s="5"/>
      <c r="AT444" s="5" t="s">
        <v>37</v>
      </c>
      <c r="AU444" s="5" t="s">
        <v>43</v>
      </c>
      <c r="AV444" s="5"/>
      <c r="AW444" s="5"/>
      <c r="AX444" s="5"/>
      <c r="AY444" s="5"/>
      <c r="AZ444" s="5"/>
      <c r="BA444" s="5"/>
      <c r="BB444" s="5"/>
      <c r="BC444" s="5"/>
      <c r="BD444" s="5"/>
      <c r="BE444" s="5"/>
      <c r="BF444" s="5" t="s">
        <v>52</v>
      </c>
      <c r="BG444" s="5"/>
      <c r="BH444" s="5"/>
      <c r="BI444" s="5"/>
      <c r="BJ444" s="5"/>
      <c r="BK444" s="5"/>
      <c r="BL444" s="5"/>
      <c r="BM444" s="5"/>
      <c r="BN444" s="5"/>
      <c r="BO444" s="5"/>
      <c r="BP444" s="5" t="s">
        <v>60</v>
      </c>
      <c r="BQ444" s="5" t="s">
        <v>61</v>
      </c>
      <c r="BR444" s="5"/>
      <c r="BS444" s="5"/>
      <c r="BT444" s="5"/>
      <c r="BU444" s="5" t="s">
        <v>64</v>
      </c>
      <c r="BV444" s="5"/>
      <c r="BW444" s="5"/>
      <c r="BX444" s="5"/>
      <c r="BY444" s="5" t="s">
        <v>68</v>
      </c>
      <c r="BZ444" s="5" t="s">
        <v>69</v>
      </c>
      <c r="CA444" s="5"/>
      <c r="CB444" s="5"/>
      <c r="CC444" s="5"/>
      <c r="CD444" s="5"/>
      <c r="CE444" s="5"/>
      <c r="CF444" s="5" t="s">
        <v>75</v>
      </c>
      <c r="CG444" s="5"/>
      <c r="CH444" s="5"/>
      <c r="CI444" s="5" t="s">
        <v>417</v>
      </c>
      <c r="CJ444" s="5">
        <v>66</v>
      </c>
      <c r="CK444" s="5" t="s">
        <v>141</v>
      </c>
      <c r="CL444" s="5" t="s">
        <v>172</v>
      </c>
      <c r="CM444" s="5" t="s">
        <v>418</v>
      </c>
      <c r="CN444" s="5" t="s">
        <v>416</v>
      </c>
      <c r="CO444" s="5" t="s">
        <v>82</v>
      </c>
      <c r="CP444" s="5" t="s">
        <v>97</v>
      </c>
      <c r="CQ444" s="5" t="s">
        <v>88</v>
      </c>
      <c r="CR444" s="5" t="s">
        <v>99</v>
      </c>
      <c r="CS444" s="5" t="s">
        <v>86</v>
      </c>
      <c r="CT444" s="5" t="s">
        <v>385</v>
      </c>
      <c r="CU444" s="5" t="s">
        <v>86</v>
      </c>
    </row>
    <row r="445" spans="1:102">
      <c r="A445" s="5">
        <v>114112230825</v>
      </c>
      <c r="B445" s="5"/>
      <c r="C445" s="5"/>
      <c r="D445" s="5"/>
      <c r="E445" s="5"/>
      <c r="F445" s="5"/>
      <c r="G445" s="5"/>
      <c r="H445" s="5" t="s">
        <v>22</v>
      </c>
      <c r="I445" s="5"/>
      <c r="J445" s="5"/>
      <c r="K445" s="5" t="s">
        <v>25</v>
      </c>
      <c r="L445" s="5" t="s">
        <v>26</v>
      </c>
      <c r="M445" s="5"/>
      <c r="N445" s="5"/>
      <c r="O445" s="5"/>
      <c r="P445" s="5"/>
      <c r="Q445" s="5"/>
      <c r="R445" s="5"/>
      <c r="S445" s="5"/>
      <c r="T445" s="5"/>
      <c r="U445" s="5"/>
      <c r="V445" s="5" t="s">
        <v>22</v>
      </c>
      <c r="W445" s="5" t="s">
        <v>23</v>
      </c>
      <c r="X445" s="5"/>
      <c r="Y445" s="5"/>
      <c r="Z445" s="5"/>
      <c r="AA445" s="5"/>
      <c r="AB445" s="5"/>
      <c r="AC445" s="5"/>
      <c r="AD445" s="5"/>
      <c r="AE445" s="5"/>
      <c r="AF445" s="5"/>
      <c r="AG445" s="5"/>
      <c r="AH445" s="5"/>
      <c r="AI445" s="5" t="s">
        <v>34</v>
      </c>
      <c r="AJ445" s="5"/>
      <c r="AK445" s="5"/>
      <c r="AL445" s="5"/>
      <c r="AM445" s="5"/>
      <c r="AN445" s="5"/>
      <c r="AO445" s="5" t="s">
        <v>38</v>
      </c>
      <c r="AP445" s="5"/>
      <c r="AQ445" s="5"/>
      <c r="AR445" s="5"/>
      <c r="AS445" s="5"/>
      <c r="AT445" s="5"/>
      <c r="AU445" s="5"/>
      <c r="AV445" s="5" t="s">
        <v>44</v>
      </c>
      <c r="AW445" s="5"/>
      <c r="AX445" s="5"/>
      <c r="AY445" s="5" t="s">
        <v>47</v>
      </c>
      <c r="AZ445" s="5"/>
      <c r="BA445" s="5"/>
      <c r="BB445" s="5" t="s">
        <v>49</v>
      </c>
      <c r="BC445" s="5"/>
      <c r="BD445" s="5"/>
      <c r="BE445" s="5"/>
      <c r="BF445" s="5" t="s">
        <v>52</v>
      </c>
      <c r="BG445" s="5"/>
      <c r="BH445" s="5"/>
      <c r="BI445" s="5"/>
      <c r="BJ445" s="5" t="s">
        <v>56</v>
      </c>
      <c r="BK445" s="5"/>
      <c r="BL445" s="5"/>
      <c r="BM445" s="5"/>
      <c r="BN445" s="5"/>
      <c r="BO445" s="5"/>
      <c r="BP445" s="5"/>
      <c r="BQ445" s="5"/>
      <c r="BR445" s="5"/>
      <c r="BS445" s="5"/>
      <c r="BT445" s="5"/>
      <c r="BU445" s="5" t="s">
        <v>64</v>
      </c>
      <c r="BV445" s="5"/>
      <c r="BW445" s="5"/>
      <c r="BX445" s="5"/>
      <c r="BY445" s="5"/>
      <c r="BZ445" s="5"/>
      <c r="CA445" s="5"/>
      <c r="CB445" s="5"/>
      <c r="CC445" s="5"/>
      <c r="CD445" s="5"/>
      <c r="CE445" s="5"/>
      <c r="CF445" s="5"/>
      <c r="CG445" s="5"/>
      <c r="CH445" s="5"/>
      <c r="CI445" s="5" t="s">
        <v>417</v>
      </c>
      <c r="CJ445" s="5">
        <v>36</v>
      </c>
      <c r="CK445" s="5" t="s">
        <v>141</v>
      </c>
      <c r="CL445" s="5" t="s">
        <v>172</v>
      </c>
      <c r="CM445" s="5" t="s">
        <v>418</v>
      </c>
      <c r="CN445" s="5" t="s">
        <v>416</v>
      </c>
      <c r="CO445" s="5" t="s">
        <v>82</v>
      </c>
      <c r="CP445" s="5" t="s">
        <v>94</v>
      </c>
      <c r="CQ445" s="5" t="s">
        <v>84</v>
      </c>
      <c r="CR445" s="5" t="s">
        <v>85</v>
      </c>
      <c r="CS445" s="5" t="s">
        <v>86</v>
      </c>
      <c r="CT445" s="5" t="s">
        <v>384</v>
      </c>
      <c r="CU445" s="5" t="s">
        <v>86</v>
      </c>
    </row>
    <row r="446" spans="1:102">
      <c r="A446" s="5">
        <v>114112163696</v>
      </c>
      <c r="B446" s="5"/>
      <c r="C446" s="5" t="s">
        <v>17</v>
      </c>
      <c r="D446" s="5" t="s">
        <v>18</v>
      </c>
      <c r="E446" s="5"/>
      <c r="F446" s="5"/>
      <c r="G446" s="5"/>
      <c r="H446" s="5"/>
      <c r="I446" s="5"/>
      <c r="J446" s="5" t="s">
        <v>24</v>
      </c>
      <c r="K446" s="5"/>
      <c r="L446" s="5"/>
      <c r="M446" s="5"/>
      <c r="N446" s="5"/>
      <c r="O446" s="5"/>
      <c r="P446" s="5"/>
      <c r="Q446" s="5"/>
      <c r="R446" s="5"/>
      <c r="S446" s="5"/>
      <c r="T446" s="5"/>
      <c r="U446" s="5"/>
      <c r="V446" s="5"/>
      <c r="W446" s="5" t="s">
        <v>23</v>
      </c>
      <c r="X446" s="5"/>
      <c r="Y446" s="5"/>
      <c r="Z446" s="5"/>
      <c r="AA446" s="5"/>
      <c r="AB446" s="5"/>
      <c r="AC446" s="5"/>
      <c r="AD446" s="5"/>
      <c r="AE446" s="5"/>
      <c r="AF446" s="5"/>
      <c r="AG446" s="5"/>
      <c r="AH446" s="5"/>
      <c r="AI446" s="5" t="s">
        <v>34</v>
      </c>
      <c r="AJ446" s="5"/>
      <c r="AK446" s="5"/>
      <c r="AL446" s="5"/>
      <c r="AM446" s="5"/>
      <c r="AN446" s="5"/>
      <c r="AO446" s="5"/>
      <c r="AP446" s="5"/>
      <c r="AQ446" s="5"/>
      <c r="AR446" s="5"/>
      <c r="AS446" s="5"/>
      <c r="AT446" s="5"/>
      <c r="AU446" s="5"/>
      <c r="AV446" s="5" t="s">
        <v>44</v>
      </c>
      <c r="AW446" s="5"/>
      <c r="AX446" s="5"/>
      <c r="AY446" s="5" t="s">
        <v>47</v>
      </c>
      <c r="AZ446" s="5"/>
      <c r="BA446" s="5"/>
      <c r="BB446" s="5"/>
      <c r="BC446" s="5"/>
      <c r="BD446" s="5"/>
      <c r="BE446" s="5"/>
      <c r="BF446" s="5"/>
      <c r="BG446" s="5" t="s">
        <v>53</v>
      </c>
      <c r="BH446" s="5"/>
      <c r="BI446" s="5" t="s">
        <v>55</v>
      </c>
      <c r="BJ446" s="5"/>
      <c r="BK446" s="5"/>
      <c r="BL446" s="5"/>
      <c r="BM446" s="5"/>
      <c r="BN446" s="5"/>
      <c r="BO446" s="5"/>
      <c r="BP446" s="5"/>
      <c r="BQ446" s="5"/>
      <c r="BR446" s="5" t="s">
        <v>62</v>
      </c>
      <c r="BS446" s="5"/>
      <c r="BT446" s="5"/>
      <c r="BU446" s="5" t="s">
        <v>64</v>
      </c>
      <c r="BV446" s="5"/>
      <c r="BW446" s="5"/>
      <c r="BX446" s="5" t="s">
        <v>67</v>
      </c>
      <c r="BY446" s="5"/>
      <c r="BZ446" s="5"/>
      <c r="CA446" s="5"/>
      <c r="CB446" s="5"/>
      <c r="CC446" s="5"/>
      <c r="CD446" s="5"/>
      <c r="CE446" s="5"/>
      <c r="CF446" s="5" t="s">
        <v>75</v>
      </c>
      <c r="CG446" s="5"/>
      <c r="CH446" s="5"/>
      <c r="CI446" s="5" t="s">
        <v>417</v>
      </c>
      <c r="CJ446" s="5">
        <v>66</v>
      </c>
      <c r="CK446" s="5" t="s">
        <v>141</v>
      </c>
      <c r="CL446" s="5" t="s">
        <v>172</v>
      </c>
      <c r="CM446" s="5" t="s">
        <v>418</v>
      </c>
      <c r="CN446" s="5" t="s">
        <v>416</v>
      </c>
      <c r="CO446" s="5" t="s">
        <v>82</v>
      </c>
      <c r="CP446" s="5" t="s">
        <v>83</v>
      </c>
      <c r="CQ446" s="5" t="s">
        <v>84</v>
      </c>
      <c r="CR446" s="5" t="s">
        <v>99</v>
      </c>
      <c r="CS446" s="5" t="s">
        <v>86</v>
      </c>
      <c r="CT446" s="5" t="s">
        <v>385</v>
      </c>
      <c r="CU446" s="5" t="s">
        <v>86</v>
      </c>
    </row>
    <row r="447" spans="1:102">
      <c r="A447" s="5">
        <v>114112120887</v>
      </c>
      <c r="B447" s="5" t="s">
        <v>16</v>
      </c>
      <c r="C447" s="5"/>
      <c r="D447" s="5"/>
      <c r="E447" s="5"/>
      <c r="F447" s="5"/>
      <c r="G447" s="5"/>
      <c r="H447" s="5"/>
      <c r="I447" s="5"/>
      <c r="J447" s="5"/>
      <c r="K447" s="5" t="s">
        <v>25</v>
      </c>
      <c r="L447" s="5"/>
      <c r="M447" s="5" t="s">
        <v>27</v>
      </c>
      <c r="N447" s="5"/>
      <c r="O447" s="5"/>
      <c r="P447" s="5" t="s">
        <v>16</v>
      </c>
      <c r="Q447" s="5"/>
      <c r="R447" s="5"/>
      <c r="S447" s="5"/>
      <c r="T447" s="5"/>
      <c r="U447" s="5"/>
      <c r="V447" s="5"/>
      <c r="W447" s="5"/>
      <c r="X447" s="5"/>
      <c r="Y447" s="5"/>
      <c r="Z447" s="5"/>
      <c r="AA447" s="5"/>
      <c r="AB447" s="5"/>
      <c r="AC447" s="5"/>
      <c r="AD447" s="5"/>
      <c r="AE447" s="5"/>
      <c r="AF447" s="5"/>
      <c r="AG447" s="5"/>
      <c r="AH447" s="5"/>
      <c r="AI447" s="5"/>
      <c r="AJ447" s="5"/>
      <c r="AK447" s="5"/>
      <c r="AL447" s="5"/>
      <c r="AM447" s="5"/>
      <c r="AN447" s="5" t="s">
        <v>484</v>
      </c>
      <c r="AO447" s="5" t="s">
        <v>38</v>
      </c>
      <c r="AP447" s="5"/>
      <c r="AQ447" s="5"/>
      <c r="AR447" s="5"/>
      <c r="AS447" s="5"/>
      <c r="AT447" s="5"/>
      <c r="AU447" s="5" t="s">
        <v>43</v>
      </c>
      <c r="AV447" s="5"/>
      <c r="AW447" s="5"/>
      <c r="AX447" s="5"/>
      <c r="AY447" s="5" t="s">
        <v>47</v>
      </c>
      <c r="AZ447" s="5"/>
      <c r="BA447" s="5"/>
      <c r="BB447" s="5"/>
      <c r="BC447" s="5"/>
      <c r="BD447" s="5"/>
      <c r="BE447" s="5"/>
      <c r="BF447" s="5" t="s">
        <v>52</v>
      </c>
      <c r="BG447" s="5" t="s">
        <v>53</v>
      </c>
      <c r="BH447" s="5"/>
      <c r="BI447" s="5" t="s">
        <v>55</v>
      </c>
      <c r="BJ447" s="5"/>
      <c r="BK447" s="5"/>
      <c r="BL447" s="5"/>
      <c r="BM447" s="5"/>
      <c r="BN447" s="5"/>
      <c r="BO447" s="5"/>
      <c r="BP447" s="5"/>
      <c r="BQ447" s="5" t="s">
        <v>61</v>
      </c>
      <c r="BR447" s="5" t="s">
        <v>62</v>
      </c>
      <c r="BS447" s="5"/>
      <c r="BT447" s="5"/>
      <c r="BU447" s="5" t="s">
        <v>64</v>
      </c>
      <c r="BV447" s="5"/>
      <c r="BW447" s="5"/>
      <c r="BX447" s="5"/>
      <c r="BY447" s="5"/>
      <c r="BZ447" s="5"/>
      <c r="CA447" s="5"/>
      <c r="CB447" s="5"/>
      <c r="CC447" s="5"/>
      <c r="CD447" s="5"/>
      <c r="CE447" s="5" t="s">
        <v>74</v>
      </c>
      <c r="CF447" s="5"/>
      <c r="CG447" s="5"/>
      <c r="CH447" s="5" t="s">
        <v>486</v>
      </c>
      <c r="CI447" s="5" t="s">
        <v>417</v>
      </c>
      <c r="CJ447" s="5">
        <v>63</v>
      </c>
      <c r="CK447" s="5" t="s">
        <v>141</v>
      </c>
      <c r="CL447" s="5" t="s">
        <v>143</v>
      </c>
      <c r="CM447" s="5" t="s">
        <v>418</v>
      </c>
      <c r="CN447" s="5" t="s">
        <v>416</v>
      </c>
      <c r="CO447" s="5" t="s">
        <v>82</v>
      </c>
      <c r="CP447" s="5" t="s">
        <v>93</v>
      </c>
      <c r="CQ447" s="5" t="s">
        <v>102</v>
      </c>
      <c r="CR447" s="5" t="s">
        <v>85</v>
      </c>
      <c r="CS447" s="5" t="s">
        <v>86</v>
      </c>
      <c r="CT447" s="5" t="s">
        <v>384</v>
      </c>
      <c r="CU447" s="5" t="s">
        <v>86</v>
      </c>
    </row>
    <row r="448" spans="1:102">
      <c r="A448" s="5">
        <v>114112097119</v>
      </c>
      <c r="B448" s="5"/>
      <c r="C448" s="5"/>
      <c r="D448" s="5" t="s">
        <v>18</v>
      </c>
      <c r="E448" s="5"/>
      <c r="F448" s="5"/>
      <c r="G448" s="5"/>
      <c r="H448" s="5"/>
      <c r="I448" s="5" t="s">
        <v>23</v>
      </c>
      <c r="J448" s="5"/>
      <c r="K448" s="5"/>
      <c r="L448" s="5"/>
      <c r="M448" s="5"/>
      <c r="N448" s="5"/>
      <c r="O448" s="5" t="s">
        <v>482</v>
      </c>
      <c r="P448" s="5"/>
      <c r="Q448" s="5" t="s">
        <v>17</v>
      </c>
      <c r="R448" s="5" t="s">
        <v>18</v>
      </c>
      <c r="S448" s="5"/>
      <c r="T448" s="5"/>
      <c r="U448" s="5"/>
      <c r="V448" s="5"/>
      <c r="W448" s="5"/>
      <c r="X448" s="5"/>
      <c r="Y448" s="5" t="s">
        <v>25</v>
      </c>
      <c r="Z448" s="5"/>
      <c r="AA448" s="5"/>
      <c r="AB448" s="5"/>
      <c r="AC448" s="5"/>
      <c r="AD448" s="5"/>
      <c r="AE448" s="5"/>
      <c r="AF448" s="5" t="s">
        <v>31</v>
      </c>
      <c r="AG448" s="5"/>
      <c r="AH448" s="5"/>
      <c r="AI448" s="5"/>
      <c r="AJ448" s="5"/>
      <c r="AK448" s="5"/>
      <c r="AL448" s="5"/>
      <c r="AM448" s="5"/>
      <c r="AN448" s="5" t="s">
        <v>485</v>
      </c>
      <c r="AO448" s="5"/>
      <c r="AP448" s="5" t="s">
        <v>39</v>
      </c>
      <c r="AQ448" s="5"/>
      <c r="AR448" s="5" t="s">
        <v>41</v>
      </c>
      <c r="AS448" s="5"/>
      <c r="AT448" s="5"/>
      <c r="AU448" s="5"/>
      <c r="AV448" s="5" t="s">
        <v>44</v>
      </c>
      <c r="AW448" s="5"/>
      <c r="AX448" s="5"/>
      <c r="AY448" s="5"/>
      <c r="AZ448" s="5"/>
      <c r="BA448" s="5"/>
      <c r="BB448" s="5"/>
      <c r="BC448" s="5"/>
      <c r="BD448" s="5" t="s">
        <v>51</v>
      </c>
      <c r="BE448" s="5"/>
      <c r="BF448" s="5"/>
      <c r="BG448" s="5"/>
      <c r="BH448" s="5"/>
      <c r="BI448" s="5"/>
      <c r="BJ448" s="5"/>
      <c r="BK448" s="5"/>
      <c r="BL448" s="5"/>
      <c r="BM448" s="5" t="s">
        <v>59</v>
      </c>
      <c r="BN448" s="5"/>
      <c r="BO448" s="5"/>
      <c r="BP448" s="5"/>
      <c r="BQ448" s="5" t="s">
        <v>61</v>
      </c>
      <c r="BR448" s="5"/>
      <c r="BS448" s="5"/>
      <c r="BT448" s="5"/>
      <c r="BU448" s="5" t="s">
        <v>64</v>
      </c>
      <c r="BV448" s="5"/>
      <c r="BW448" s="5"/>
      <c r="BX448" s="5" t="s">
        <v>67</v>
      </c>
      <c r="BY448" s="5"/>
      <c r="BZ448" s="5"/>
      <c r="CA448" s="5"/>
      <c r="CB448" s="5"/>
      <c r="CC448" s="5"/>
      <c r="CD448" s="5"/>
      <c r="CE448" s="5"/>
      <c r="CF448" s="5" t="s">
        <v>75</v>
      </c>
      <c r="CG448" s="5"/>
      <c r="CH448" s="5"/>
      <c r="CI448" s="5" t="s">
        <v>417</v>
      </c>
      <c r="CJ448" s="5">
        <v>66</v>
      </c>
      <c r="CK448" s="5" t="s">
        <v>141</v>
      </c>
      <c r="CL448" s="5" t="s">
        <v>165</v>
      </c>
      <c r="CM448" s="5" t="s">
        <v>418</v>
      </c>
      <c r="CN448" s="5" t="s">
        <v>416</v>
      </c>
      <c r="CO448" s="5" t="s">
        <v>82</v>
      </c>
      <c r="CP448" s="5" t="s">
        <v>97</v>
      </c>
      <c r="CQ448" s="5" t="s">
        <v>95</v>
      </c>
      <c r="CR448" s="5" t="s">
        <v>99</v>
      </c>
      <c r="CS448" s="5" t="s">
        <v>86</v>
      </c>
      <c r="CT448" s="5" t="s">
        <v>384</v>
      </c>
      <c r="CU448" s="5" t="s">
        <v>86</v>
      </c>
    </row>
    <row r="449" spans="1:99">
      <c r="A449" s="5">
        <v>114112093865</v>
      </c>
      <c r="B449" s="5"/>
      <c r="C449" s="5" t="s">
        <v>17</v>
      </c>
      <c r="D449" s="5"/>
      <c r="E449" s="5"/>
      <c r="F449" s="5"/>
      <c r="G449" s="5"/>
      <c r="H449" s="5"/>
      <c r="I449" s="5"/>
      <c r="J449" s="5"/>
      <c r="K449" s="5" t="s">
        <v>25</v>
      </c>
      <c r="L449" s="5"/>
      <c r="M449" s="5"/>
      <c r="N449" s="5"/>
      <c r="O449" s="5"/>
      <c r="P449" s="5"/>
      <c r="Q449" s="5" t="s">
        <v>17</v>
      </c>
      <c r="R449" s="5"/>
      <c r="S449" s="5"/>
      <c r="T449" s="5"/>
      <c r="U449" s="5"/>
      <c r="V449" s="5"/>
      <c r="W449" s="5"/>
      <c r="X449" s="5"/>
      <c r="Y449" s="5" t="s">
        <v>25</v>
      </c>
      <c r="Z449" s="5"/>
      <c r="AA449" s="5"/>
      <c r="AB449" s="5"/>
      <c r="AC449" s="5"/>
      <c r="AD449" s="5"/>
      <c r="AE449" s="5"/>
      <c r="AF449" s="5" t="s">
        <v>31</v>
      </c>
      <c r="AG449" s="5"/>
      <c r="AH449" s="5"/>
      <c r="AI449" s="5"/>
      <c r="AJ449" s="5"/>
      <c r="AK449" s="5" t="s">
        <v>36</v>
      </c>
      <c r="AL449" s="5"/>
      <c r="AM449" s="5"/>
      <c r="AN449" s="5"/>
      <c r="AO449" s="5"/>
      <c r="AP449" s="5" t="s">
        <v>39</v>
      </c>
      <c r="AQ449" s="5"/>
      <c r="AR449" s="5" t="s">
        <v>41</v>
      </c>
      <c r="AS449" s="5"/>
      <c r="AT449" s="5"/>
      <c r="AU449" s="5" t="s">
        <v>43</v>
      </c>
      <c r="AV449" s="5"/>
      <c r="AW449" s="5"/>
      <c r="AX449" s="5"/>
      <c r="AY449" s="5"/>
      <c r="AZ449" s="5"/>
      <c r="BA449" s="5"/>
      <c r="BB449" s="5"/>
      <c r="BC449" s="5" t="s">
        <v>50</v>
      </c>
      <c r="BD449" s="5" t="s">
        <v>51</v>
      </c>
      <c r="BE449" s="5"/>
      <c r="BF449" s="5"/>
      <c r="BG449" s="5"/>
      <c r="BH449" s="5"/>
      <c r="BI449" s="5"/>
      <c r="BJ449" s="5"/>
      <c r="BK449" s="5"/>
      <c r="BL449" s="5"/>
      <c r="BM449" s="5"/>
      <c r="BN449" s="5"/>
      <c r="BO449" s="5"/>
      <c r="BP449" s="5"/>
      <c r="BQ449" s="5"/>
      <c r="BR449" s="5"/>
      <c r="BS449" s="5" t="s">
        <v>63</v>
      </c>
      <c r="BT449" s="5"/>
      <c r="BU449" s="5"/>
      <c r="BV449" s="5"/>
      <c r="BW449" s="5"/>
      <c r="BX449" s="5"/>
      <c r="BY449" s="5"/>
      <c r="BZ449" s="5"/>
      <c r="CA449" s="5"/>
      <c r="CB449" s="5"/>
      <c r="CC449" s="5"/>
      <c r="CD449" s="5"/>
      <c r="CE449" s="5"/>
      <c r="CF449" s="5" t="s">
        <v>75</v>
      </c>
      <c r="CG449" s="5"/>
      <c r="CH449" s="5"/>
      <c r="CI449" s="5" t="s">
        <v>417</v>
      </c>
      <c r="CJ449" s="5">
        <v>63</v>
      </c>
      <c r="CK449" s="5" t="s">
        <v>141</v>
      </c>
      <c r="CL449" s="5" t="s">
        <v>148</v>
      </c>
      <c r="CM449" s="5" t="s">
        <v>418</v>
      </c>
      <c r="CN449" s="5" t="s">
        <v>416</v>
      </c>
      <c r="CO449" s="5" t="s">
        <v>82</v>
      </c>
      <c r="CP449" s="5" t="s">
        <v>93</v>
      </c>
      <c r="CQ449" s="5" t="s">
        <v>88</v>
      </c>
      <c r="CR449" s="5" t="s">
        <v>85</v>
      </c>
      <c r="CS449" s="5" t="s">
        <v>108</v>
      </c>
      <c r="CT449" s="5" t="s">
        <v>296</v>
      </c>
      <c r="CU449" s="5" t="s">
        <v>86</v>
      </c>
    </row>
    <row r="450" spans="1:99">
      <c r="A450" s="5">
        <v>114108705734</v>
      </c>
      <c r="B450" s="5"/>
      <c r="C450" s="5"/>
      <c r="D450" s="5" t="s">
        <v>18</v>
      </c>
      <c r="E450" s="5"/>
      <c r="F450" s="5"/>
      <c r="G450" s="5"/>
      <c r="H450" s="5"/>
      <c r="I450" s="5" t="s">
        <v>23</v>
      </c>
      <c r="J450" s="5" t="s">
        <v>24</v>
      </c>
      <c r="K450" s="5" t="s">
        <v>25</v>
      </c>
      <c r="L450" s="5"/>
      <c r="M450" s="5"/>
      <c r="N450" s="5" t="s">
        <v>28</v>
      </c>
      <c r="O450" s="5"/>
      <c r="P450" s="5"/>
      <c r="Q450" s="5"/>
      <c r="R450" s="5"/>
      <c r="S450" s="5"/>
      <c r="T450" s="5"/>
      <c r="U450" s="5"/>
      <c r="V450" s="5"/>
      <c r="W450" s="5"/>
      <c r="X450" s="5"/>
      <c r="Y450" s="5" t="s">
        <v>25</v>
      </c>
      <c r="Z450" s="5"/>
      <c r="AA450" s="5"/>
      <c r="AB450" s="5"/>
      <c r="AC450" s="5"/>
      <c r="AD450" s="5"/>
      <c r="AE450" s="5" t="s">
        <v>30</v>
      </c>
      <c r="AF450" s="5"/>
      <c r="AG450" s="5"/>
      <c r="AH450" s="5"/>
      <c r="AI450" s="5"/>
      <c r="AJ450" s="5"/>
      <c r="AK450" s="5"/>
      <c r="AL450" s="5"/>
      <c r="AM450" s="5"/>
      <c r="AN450" s="5"/>
      <c r="AO450" s="5"/>
      <c r="AP450" s="5" t="s">
        <v>39</v>
      </c>
      <c r="AQ450" s="5"/>
      <c r="AR450" s="5"/>
      <c r="AS450" s="5"/>
      <c r="AT450" s="5"/>
      <c r="AU450" s="5"/>
      <c r="AV450" s="5"/>
      <c r="AW450" s="5" t="s">
        <v>45</v>
      </c>
      <c r="AX450" s="5"/>
      <c r="AY450" s="5"/>
      <c r="AZ450" s="5"/>
      <c r="BA450" s="5"/>
      <c r="BB450" s="5" t="s">
        <v>49</v>
      </c>
      <c r="BC450" s="5"/>
      <c r="BD450" s="5" t="s">
        <v>51</v>
      </c>
      <c r="BE450" s="5"/>
      <c r="BF450" s="5"/>
      <c r="BG450" s="5"/>
      <c r="BH450" s="5"/>
      <c r="BI450" s="5" t="s">
        <v>55</v>
      </c>
      <c r="BJ450" s="5"/>
      <c r="BK450" s="5" t="s">
        <v>57</v>
      </c>
      <c r="BL450" s="5" t="s">
        <v>58</v>
      </c>
      <c r="BM450" s="5"/>
      <c r="BN450" s="5" t="s">
        <v>24</v>
      </c>
      <c r="BO450" s="5"/>
      <c r="BP450" s="5"/>
      <c r="BQ450" s="5"/>
      <c r="BR450" s="5"/>
      <c r="BS450" s="5" t="s">
        <v>63</v>
      </c>
      <c r="BT450" s="5"/>
      <c r="BU450" s="5" t="s">
        <v>64</v>
      </c>
      <c r="BV450" s="5"/>
      <c r="BW450" s="5"/>
      <c r="BX450" s="5"/>
      <c r="BY450" s="5"/>
      <c r="BZ450" s="5"/>
      <c r="CA450" s="5"/>
      <c r="CB450" s="5"/>
      <c r="CC450" s="5"/>
      <c r="CD450" s="5"/>
      <c r="CE450" s="5"/>
      <c r="CF450" s="5" t="s">
        <v>75</v>
      </c>
      <c r="CG450" s="5"/>
      <c r="CH450" s="5"/>
      <c r="CI450" s="5"/>
      <c r="CJ450" s="5"/>
      <c r="CK450" s="5"/>
      <c r="CL450" s="5"/>
      <c r="CM450" s="5"/>
      <c r="CN450" s="5"/>
      <c r="CO450" s="5"/>
      <c r="CP450" s="5"/>
      <c r="CQ450" s="5"/>
      <c r="CR450" s="5"/>
      <c r="CS450" s="5"/>
      <c r="CT450" s="5"/>
      <c r="CU450" s="5"/>
    </row>
    <row r="451" spans="1:99">
      <c r="A451" s="5">
        <v>18032059967</v>
      </c>
      <c r="B451" s="5"/>
      <c r="C451" s="5"/>
      <c r="D451" s="5"/>
      <c r="E451" s="5"/>
      <c r="F451" s="5"/>
      <c r="G451" s="5" t="s">
        <v>21</v>
      </c>
      <c r="H451" s="5"/>
      <c r="I451" s="5"/>
      <c r="J451" s="5" t="s">
        <v>24</v>
      </c>
      <c r="K451" s="5"/>
      <c r="L451" s="5"/>
      <c r="M451" s="5"/>
      <c r="N451" s="5"/>
      <c r="O451" s="5" t="s">
        <v>489</v>
      </c>
      <c r="P451" s="5"/>
      <c r="Q451" s="5"/>
      <c r="R451" s="5"/>
      <c r="S451" s="5"/>
      <c r="T451" s="5"/>
      <c r="U451" s="5" t="s">
        <v>21</v>
      </c>
      <c r="V451" s="5" t="s">
        <v>22</v>
      </c>
      <c r="W451" s="5"/>
      <c r="X451" s="5" t="s">
        <v>24</v>
      </c>
      <c r="Y451" s="5"/>
      <c r="Z451" s="5"/>
      <c r="AA451" s="5"/>
      <c r="AB451" s="5"/>
      <c r="AC451" s="5" t="s">
        <v>489</v>
      </c>
      <c r="AD451" s="5"/>
      <c r="AE451" s="5"/>
      <c r="AF451" s="5"/>
      <c r="AG451" s="5"/>
      <c r="AH451" s="5"/>
      <c r="AI451" s="5"/>
      <c r="AJ451" s="5"/>
      <c r="AK451" s="5"/>
      <c r="AL451" s="5"/>
      <c r="AM451" s="5"/>
      <c r="AN451" s="5" t="s">
        <v>489</v>
      </c>
      <c r="AO451" s="5" t="s">
        <v>38</v>
      </c>
      <c r="AP451" s="5" t="s">
        <v>39</v>
      </c>
      <c r="AQ451" s="5"/>
      <c r="AR451" s="5" t="s">
        <v>41</v>
      </c>
      <c r="AS451" s="5"/>
      <c r="AT451" s="5"/>
      <c r="AU451" s="5"/>
      <c r="AV451" s="5"/>
      <c r="AW451" s="5"/>
      <c r="AX451" s="5"/>
      <c r="AY451" s="5"/>
      <c r="AZ451" s="5"/>
      <c r="BA451" s="5" t="s">
        <v>489</v>
      </c>
      <c r="BB451" s="5"/>
      <c r="BC451" s="5"/>
      <c r="BD451" s="5"/>
      <c r="BE451" s="5"/>
      <c r="BF451" s="5"/>
      <c r="BG451" s="5" t="s">
        <v>53</v>
      </c>
      <c r="BH451" s="5"/>
      <c r="BI451" s="5"/>
      <c r="BJ451" s="5"/>
      <c r="BK451" s="5"/>
      <c r="BL451" s="5"/>
      <c r="BM451" s="5"/>
      <c r="BN451" s="5" t="s">
        <v>24</v>
      </c>
      <c r="BO451" s="5"/>
      <c r="BP451" s="5" t="s">
        <v>60</v>
      </c>
      <c r="BQ451" s="5"/>
      <c r="BR451" s="5"/>
      <c r="BS451" s="5" t="s">
        <v>63</v>
      </c>
      <c r="BT451" s="5" t="s">
        <v>489</v>
      </c>
      <c r="BU451" s="5" t="s">
        <v>64</v>
      </c>
      <c r="BV451" s="5"/>
      <c r="BW451" s="5"/>
      <c r="BX451" s="5" t="s">
        <v>67</v>
      </c>
      <c r="BY451" s="5" t="s">
        <v>68</v>
      </c>
      <c r="BZ451" s="5" t="s">
        <v>69</v>
      </c>
      <c r="CA451" s="5"/>
      <c r="CB451" s="5" t="s">
        <v>71</v>
      </c>
      <c r="CC451" s="5"/>
      <c r="CD451" s="5"/>
      <c r="CE451" s="5"/>
      <c r="CF451" s="5" t="s">
        <v>75</v>
      </c>
      <c r="CG451" s="5"/>
      <c r="CH451" s="5" t="s">
        <v>489</v>
      </c>
      <c r="CI451" s="5" t="s">
        <v>414</v>
      </c>
      <c r="CJ451" s="5">
        <v>67</v>
      </c>
      <c r="CK451" s="5" t="s">
        <v>80</v>
      </c>
      <c r="CL451" s="5" t="s">
        <v>119</v>
      </c>
      <c r="CM451" s="5" t="s">
        <v>418</v>
      </c>
      <c r="CN451" s="5" t="s">
        <v>416</v>
      </c>
      <c r="CO451" s="5" t="s">
        <v>82</v>
      </c>
      <c r="CP451" s="5" t="s">
        <v>94</v>
      </c>
      <c r="CQ451" s="5" t="s">
        <v>88</v>
      </c>
      <c r="CR451" s="5" t="s">
        <v>99</v>
      </c>
      <c r="CS451" s="5" t="s">
        <v>86</v>
      </c>
      <c r="CT451" s="5" t="s">
        <v>385</v>
      </c>
      <c r="CU451" s="5" t="s">
        <v>86</v>
      </c>
    </row>
    <row r="452" spans="1:99">
      <c r="A452" s="5">
        <v>18032014754</v>
      </c>
      <c r="B452" s="5"/>
      <c r="C452" s="5"/>
      <c r="D452" s="5"/>
      <c r="E452" s="5" t="s">
        <v>19</v>
      </c>
      <c r="F452" s="5"/>
      <c r="G452" s="5"/>
      <c r="H452" s="5"/>
      <c r="I452" s="5"/>
      <c r="J452" s="5"/>
      <c r="K452" s="5" t="s">
        <v>25</v>
      </c>
      <c r="L452" s="5"/>
      <c r="M452" s="5" t="s">
        <v>27</v>
      </c>
      <c r="N452" s="5"/>
      <c r="O452" s="5"/>
      <c r="P452" s="5"/>
      <c r="Q452" s="5"/>
      <c r="R452" s="5"/>
      <c r="S452" s="5" t="s">
        <v>19</v>
      </c>
      <c r="T452" s="5"/>
      <c r="U452" s="5"/>
      <c r="V452" s="5"/>
      <c r="W452" s="5"/>
      <c r="X452" s="5"/>
      <c r="Y452" s="5"/>
      <c r="Z452" s="5"/>
      <c r="AA452" s="5" t="s">
        <v>27</v>
      </c>
      <c r="AB452" s="5"/>
      <c r="AC452" s="5"/>
      <c r="AD452" s="5"/>
      <c r="AE452" s="5"/>
      <c r="AF452" s="5"/>
      <c r="AG452" s="5"/>
      <c r="AH452" s="5"/>
      <c r="AI452" s="5" t="s">
        <v>34</v>
      </c>
      <c r="AJ452" s="5"/>
      <c r="AK452" s="5"/>
      <c r="AL452" s="5"/>
      <c r="AM452" s="5"/>
      <c r="AN452" s="5"/>
      <c r="AO452" s="5"/>
      <c r="AP452" s="5" t="s">
        <v>39</v>
      </c>
      <c r="AQ452" s="5"/>
      <c r="AR452" s="5"/>
      <c r="AS452" s="5"/>
      <c r="AT452" s="5"/>
      <c r="AU452" s="5" t="s">
        <v>43</v>
      </c>
      <c r="AV452" s="5"/>
      <c r="AW452" s="5"/>
      <c r="AX452" s="5"/>
      <c r="AY452" s="5" t="s">
        <v>47</v>
      </c>
      <c r="AZ452" s="5"/>
      <c r="BA452" s="5"/>
      <c r="BB452" s="5"/>
      <c r="BC452" s="5"/>
      <c r="BD452" s="5" t="s">
        <v>51</v>
      </c>
      <c r="BE452" s="5"/>
      <c r="BF452" s="5"/>
      <c r="BG452" s="5"/>
      <c r="BH452" s="5"/>
      <c r="BI452" s="5"/>
      <c r="BJ452" s="5"/>
      <c r="BK452" s="5"/>
      <c r="BL452" s="5"/>
      <c r="BM452" s="5"/>
      <c r="BN452" s="5"/>
      <c r="BO452" s="5"/>
      <c r="BP452" s="5"/>
      <c r="BQ452" s="5"/>
      <c r="BR452" s="5" t="s">
        <v>62</v>
      </c>
      <c r="BS452" s="5" t="s">
        <v>63</v>
      </c>
      <c r="BT452" s="5"/>
      <c r="BU452" s="5" t="s">
        <v>64</v>
      </c>
      <c r="BV452" s="5"/>
      <c r="BW452" s="5" t="s">
        <v>66</v>
      </c>
      <c r="BX452" s="5"/>
      <c r="BY452" s="5" t="s">
        <v>68</v>
      </c>
      <c r="BZ452" s="5" t="s">
        <v>69</v>
      </c>
      <c r="CA452" s="5"/>
      <c r="CB452" s="5"/>
      <c r="CC452" s="5"/>
      <c r="CD452" s="5"/>
      <c r="CE452" s="5"/>
      <c r="CF452" s="5" t="s">
        <v>75</v>
      </c>
      <c r="CG452" s="5"/>
      <c r="CH452" s="5"/>
      <c r="CI452" s="5" t="s">
        <v>417</v>
      </c>
      <c r="CJ452" s="5">
        <v>16</v>
      </c>
      <c r="CK452" s="5" t="s">
        <v>141</v>
      </c>
      <c r="CL452" s="5" t="s">
        <v>158</v>
      </c>
      <c r="CM452" s="5" t="s">
        <v>418</v>
      </c>
      <c r="CN452" s="5" t="s">
        <v>416</v>
      </c>
      <c r="CO452" s="5" t="s">
        <v>82</v>
      </c>
      <c r="CP452" s="5" t="s">
        <v>93</v>
      </c>
      <c r="CQ452" s="5" t="s">
        <v>104</v>
      </c>
      <c r="CR452" s="5" t="s">
        <v>89</v>
      </c>
      <c r="CS452" s="5" t="s">
        <v>86</v>
      </c>
      <c r="CT452" s="5" t="s">
        <v>384</v>
      </c>
      <c r="CU452" s="5" t="s">
        <v>86</v>
      </c>
    </row>
    <row r="453" spans="1:99">
      <c r="A453" s="5">
        <v>18031752968</v>
      </c>
      <c r="B453" s="5"/>
      <c r="C453" s="5"/>
      <c r="D453" s="5"/>
      <c r="E453" s="5" t="s">
        <v>19</v>
      </c>
      <c r="F453" s="5"/>
      <c r="G453" s="5"/>
      <c r="H453" s="5"/>
      <c r="I453" s="5"/>
      <c r="J453" s="5" t="s">
        <v>24</v>
      </c>
      <c r="K453" s="5"/>
      <c r="L453" s="5"/>
      <c r="M453" s="5"/>
      <c r="N453" s="5" t="s">
        <v>28</v>
      </c>
      <c r="O453" s="5"/>
      <c r="P453" s="5" t="s">
        <v>16</v>
      </c>
      <c r="Q453" s="5"/>
      <c r="R453" s="5"/>
      <c r="S453" s="5" t="s">
        <v>19</v>
      </c>
      <c r="T453" s="5"/>
      <c r="U453" s="5"/>
      <c r="V453" s="5"/>
      <c r="W453" s="5"/>
      <c r="X453" s="5"/>
      <c r="Y453" s="5"/>
      <c r="Z453" s="5"/>
      <c r="AA453" s="5"/>
      <c r="AB453" s="5" t="s">
        <v>28</v>
      </c>
      <c r="AC453" s="5"/>
      <c r="AD453" s="5"/>
      <c r="AE453" s="5"/>
      <c r="AF453" s="5"/>
      <c r="AG453" s="5"/>
      <c r="AH453" s="5"/>
      <c r="AI453" s="5"/>
      <c r="AJ453" s="5"/>
      <c r="AK453" s="5"/>
      <c r="AL453" s="5"/>
      <c r="AM453" s="5"/>
      <c r="AN453" s="5"/>
      <c r="AO453" s="5" t="s">
        <v>38</v>
      </c>
      <c r="AP453" s="5"/>
      <c r="AQ453" s="5"/>
      <c r="AR453" s="5"/>
      <c r="AS453" s="5"/>
      <c r="AT453" s="5"/>
      <c r="AU453" s="5"/>
      <c r="AV453" s="5"/>
      <c r="AW453" s="5" t="s">
        <v>45</v>
      </c>
      <c r="AX453" s="5"/>
      <c r="AY453" s="5"/>
      <c r="AZ453" s="5"/>
      <c r="BA453" s="5"/>
      <c r="BB453" s="5"/>
      <c r="BC453" s="5"/>
      <c r="BD453" s="5"/>
      <c r="BE453" s="5" t="s">
        <v>17</v>
      </c>
      <c r="BF453" s="5"/>
      <c r="BG453" s="5"/>
      <c r="BH453" s="5" t="s">
        <v>54</v>
      </c>
      <c r="BI453" s="5"/>
      <c r="BJ453" s="5"/>
      <c r="BK453" s="5"/>
      <c r="BL453" s="5"/>
      <c r="BM453" s="5"/>
      <c r="BN453" s="5" t="s">
        <v>24</v>
      </c>
      <c r="BO453" s="5"/>
      <c r="BP453" s="5"/>
      <c r="BQ453" s="5"/>
      <c r="BR453" s="5"/>
      <c r="BS453" s="5"/>
      <c r="BT453" s="5"/>
      <c r="BU453" s="5"/>
      <c r="BV453" s="5"/>
      <c r="BW453" s="5"/>
      <c r="BX453" s="5" t="s">
        <v>67</v>
      </c>
      <c r="BY453" s="5"/>
      <c r="BZ453" s="5" t="s">
        <v>69</v>
      </c>
      <c r="CA453" s="5"/>
      <c r="CB453" s="5"/>
      <c r="CC453" s="5"/>
      <c r="CD453" s="5"/>
      <c r="CE453" s="5"/>
      <c r="CF453" s="5" t="s">
        <v>75</v>
      </c>
      <c r="CG453" s="5"/>
      <c r="CH453" s="5"/>
      <c r="CI453" s="5" t="s">
        <v>414</v>
      </c>
      <c r="CJ453" s="5"/>
      <c r="CK453" s="5" t="s">
        <v>80</v>
      </c>
      <c r="CL453" s="5" t="s">
        <v>121</v>
      </c>
      <c r="CM453" s="5" t="s">
        <v>418</v>
      </c>
      <c r="CN453" s="5" t="s">
        <v>416</v>
      </c>
      <c r="CO453" s="5" t="s">
        <v>82</v>
      </c>
      <c r="CP453" s="5"/>
      <c r="CQ453" s="5" t="s">
        <v>103</v>
      </c>
      <c r="CR453" s="5"/>
      <c r="CS453" s="5"/>
      <c r="CT453" s="5"/>
      <c r="CU453" s="5"/>
    </row>
    <row r="454" spans="1:99">
      <c r="A454" s="5">
        <v>18031752783</v>
      </c>
      <c r="B454" s="5"/>
      <c r="C454" s="5" t="s">
        <v>17</v>
      </c>
      <c r="D454" s="5" t="s">
        <v>18</v>
      </c>
      <c r="E454" s="5"/>
      <c r="F454" s="5"/>
      <c r="G454" s="5"/>
      <c r="H454" s="5"/>
      <c r="I454" s="5"/>
      <c r="J454" s="5"/>
      <c r="K454" s="5" t="s">
        <v>25</v>
      </c>
      <c r="L454" s="5" t="s">
        <v>26</v>
      </c>
      <c r="M454" s="5" t="s">
        <v>27</v>
      </c>
      <c r="N454" s="5" t="s">
        <v>28</v>
      </c>
      <c r="O454" s="5"/>
      <c r="P454" s="5"/>
      <c r="Q454" s="5"/>
      <c r="R454" s="5"/>
      <c r="S454" s="5" t="s">
        <v>19</v>
      </c>
      <c r="T454" s="5"/>
      <c r="U454" s="5"/>
      <c r="V454" s="5"/>
      <c r="W454" s="5"/>
      <c r="X454" s="5"/>
      <c r="Y454" s="5"/>
      <c r="Z454" s="5"/>
      <c r="AA454" s="5" t="s">
        <v>27</v>
      </c>
      <c r="AB454" s="5"/>
      <c r="AC454" s="5"/>
      <c r="AD454" s="5"/>
      <c r="AE454" s="5"/>
      <c r="AF454" s="5"/>
      <c r="AG454" s="5"/>
      <c r="AH454" s="5" t="s">
        <v>33</v>
      </c>
      <c r="AI454" s="5"/>
      <c r="AJ454" s="5"/>
      <c r="AK454" s="5" t="s">
        <v>36</v>
      </c>
      <c r="AL454" s="5"/>
      <c r="AM454" s="5" t="s">
        <v>375</v>
      </c>
      <c r="AN454" s="5"/>
      <c r="AO454" s="5" t="s">
        <v>38</v>
      </c>
      <c r="AP454" s="5"/>
      <c r="AQ454" s="5"/>
      <c r="AR454" s="5"/>
      <c r="AS454" s="5"/>
      <c r="AT454" s="5"/>
      <c r="AU454" s="5" t="s">
        <v>43</v>
      </c>
      <c r="AV454" s="5"/>
      <c r="AW454" s="5"/>
      <c r="AX454" s="5"/>
      <c r="AY454" s="5" t="s">
        <v>47</v>
      </c>
      <c r="AZ454" s="5"/>
      <c r="BA454" s="5"/>
      <c r="BB454" s="5"/>
      <c r="BC454" s="5"/>
      <c r="BD454" s="5"/>
      <c r="BE454" s="5" t="s">
        <v>17</v>
      </c>
      <c r="BF454" s="5"/>
      <c r="BG454" s="5" t="s">
        <v>53</v>
      </c>
      <c r="BH454" s="5"/>
      <c r="BI454" s="5"/>
      <c r="BJ454" s="5"/>
      <c r="BK454" s="5"/>
      <c r="BL454" s="5" t="s">
        <v>58</v>
      </c>
      <c r="BM454" s="5"/>
      <c r="BN454" s="5"/>
      <c r="BO454" s="5"/>
      <c r="BP454" s="5"/>
      <c r="BQ454" s="5"/>
      <c r="BR454" s="5"/>
      <c r="BS454" s="5"/>
      <c r="BT454" s="5"/>
      <c r="BU454" s="5"/>
      <c r="BV454" s="5"/>
      <c r="BW454" s="5"/>
      <c r="BX454" s="5" t="s">
        <v>67</v>
      </c>
      <c r="BY454" s="5"/>
      <c r="BZ454" s="5" t="s">
        <v>69</v>
      </c>
      <c r="CA454" s="5"/>
      <c r="CB454" s="5"/>
      <c r="CC454" s="5"/>
      <c r="CD454" s="5"/>
      <c r="CE454" s="5" t="s">
        <v>74</v>
      </c>
      <c r="CF454" s="5"/>
      <c r="CG454" s="5" t="s">
        <v>76</v>
      </c>
      <c r="CH454" s="5"/>
      <c r="CI454" s="5" t="s">
        <v>414</v>
      </c>
      <c r="CJ454" s="5">
        <v>58</v>
      </c>
      <c r="CK454" s="5" t="s">
        <v>80</v>
      </c>
      <c r="CL454" s="5" t="s">
        <v>121</v>
      </c>
      <c r="CM454" s="5" t="s">
        <v>418</v>
      </c>
      <c r="CN454" s="5"/>
      <c r="CO454" s="5" t="s">
        <v>82</v>
      </c>
      <c r="CP454" s="5" t="s">
        <v>90</v>
      </c>
      <c r="CQ454" s="5" t="s">
        <v>103</v>
      </c>
      <c r="CR454" s="5" t="s">
        <v>105</v>
      </c>
      <c r="CS454" s="5" t="s">
        <v>81</v>
      </c>
      <c r="CT454" s="5" t="s">
        <v>296</v>
      </c>
      <c r="CU454" s="5" t="s">
        <v>81</v>
      </c>
    </row>
    <row r="455" spans="1:99">
      <c r="A455" s="5">
        <v>18031752813</v>
      </c>
      <c r="B455" s="5"/>
      <c r="C455" s="5"/>
      <c r="D455" s="5"/>
      <c r="E455" s="5"/>
      <c r="F455" s="5"/>
      <c r="G455" s="5"/>
      <c r="H455" s="5"/>
      <c r="I455" s="5"/>
      <c r="J455" s="5"/>
      <c r="K455" s="5" t="s">
        <v>25</v>
      </c>
      <c r="L455" s="5" t="s">
        <v>26</v>
      </c>
      <c r="M455" s="5"/>
      <c r="N455" s="5" t="s">
        <v>28</v>
      </c>
      <c r="O455" s="5"/>
      <c r="P455" s="5"/>
      <c r="Q455" s="5"/>
      <c r="R455" s="5" t="s">
        <v>18</v>
      </c>
      <c r="S455" s="5"/>
      <c r="T455" s="5"/>
      <c r="U455" s="5" t="s">
        <v>21</v>
      </c>
      <c r="V455" s="5"/>
      <c r="W455" s="5"/>
      <c r="X455" s="5"/>
      <c r="Y455" s="5"/>
      <c r="Z455" s="5"/>
      <c r="AA455" s="5"/>
      <c r="AB455" s="5" t="s">
        <v>28</v>
      </c>
      <c r="AC455" s="5"/>
      <c r="AD455" s="5"/>
      <c r="AE455" s="5" t="s">
        <v>30</v>
      </c>
      <c r="AF455" s="5"/>
      <c r="AG455" s="5"/>
      <c r="AH455" s="5"/>
      <c r="AI455" s="5"/>
      <c r="AJ455" s="5" t="s">
        <v>35</v>
      </c>
      <c r="AK455" s="5"/>
      <c r="AL455" s="5"/>
      <c r="AM455" s="5"/>
      <c r="AN455" s="5"/>
      <c r="AO455" s="5"/>
      <c r="AP455" s="5" t="s">
        <v>39</v>
      </c>
      <c r="AQ455" s="5"/>
      <c r="AR455" s="5"/>
      <c r="AS455" s="5"/>
      <c r="AT455" s="5"/>
      <c r="AU455" s="5"/>
      <c r="AV455" s="5"/>
      <c r="AW455" s="5"/>
      <c r="AX455" s="5" t="s">
        <v>46</v>
      </c>
      <c r="AY455" s="5"/>
      <c r="AZ455" s="5"/>
      <c r="BA455" s="5"/>
      <c r="BB455" s="5"/>
      <c r="BC455" s="5"/>
      <c r="BD455" s="5" t="s">
        <v>51</v>
      </c>
      <c r="BE455" s="5"/>
      <c r="BF455" s="5"/>
      <c r="BG455" s="5" t="s">
        <v>53</v>
      </c>
      <c r="BH455" s="5"/>
      <c r="BI455" s="5"/>
      <c r="BJ455" s="5"/>
      <c r="BK455" s="5"/>
      <c r="BL455" s="5"/>
      <c r="BM455" s="5"/>
      <c r="BN455" s="5"/>
      <c r="BO455" s="5"/>
      <c r="BP455" s="5"/>
      <c r="BQ455" s="5"/>
      <c r="BR455" s="5" t="s">
        <v>62</v>
      </c>
      <c r="BS455" s="5"/>
      <c r="BT455" s="5"/>
      <c r="BU455" s="5" t="s">
        <v>64</v>
      </c>
      <c r="BV455" s="5"/>
      <c r="BW455" s="5"/>
      <c r="BX455" s="5" t="s">
        <v>67</v>
      </c>
      <c r="BY455" s="5"/>
      <c r="BZ455" s="5"/>
      <c r="CA455" s="5"/>
      <c r="CB455" s="5"/>
      <c r="CC455" s="5"/>
      <c r="CD455" s="5"/>
      <c r="CE455" s="5"/>
      <c r="CF455" s="5" t="s">
        <v>75</v>
      </c>
      <c r="CG455" s="5"/>
      <c r="CH455" s="5"/>
      <c r="CI455" s="5" t="s">
        <v>414</v>
      </c>
      <c r="CJ455" s="5">
        <v>28</v>
      </c>
      <c r="CK455" s="5" t="s">
        <v>141</v>
      </c>
      <c r="CL455" s="5" t="s">
        <v>184</v>
      </c>
      <c r="CM455" s="5" t="s">
        <v>418</v>
      </c>
      <c r="CN455" s="5" t="s">
        <v>416</v>
      </c>
      <c r="CO455" s="5" t="s">
        <v>82</v>
      </c>
      <c r="CP455" s="5" t="s">
        <v>94</v>
      </c>
      <c r="CQ455" s="5" t="s">
        <v>103</v>
      </c>
      <c r="CR455" s="5" t="s">
        <v>85</v>
      </c>
      <c r="CS455" s="5" t="s">
        <v>86</v>
      </c>
      <c r="CT455" s="5" t="s">
        <v>384</v>
      </c>
      <c r="CU455" s="5" t="s">
        <v>86</v>
      </c>
    </row>
    <row r="456" spans="1:99">
      <c r="A456" s="5">
        <v>18031752705</v>
      </c>
      <c r="B456" s="5"/>
      <c r="C456" s="5"/>
      <c r="D456" s="5"/>
      <c r="E456" s="5"/>
      <c r="F456" s="5"/>
      <c r="G456" s="5"/>
      <c r="H456" s="5"/>
      <c r="I456" s="5"/>
      <c r="J456" s="5"/>
      <c r="K456" s="5" t="s">
        <v>25</v>
      </c>
      <c r="L456" s="5" t="s">
        <v>26</v>
      </c>
      <c r="M456" s="5" t="s">
        <v>27</v>
      </c>
      <c r="N456" s="5"/>
      <c r="O456" s="5"/>
      <c r="P456" s="5"/>
      <c r="Q456" s="5" t="s">
        <v>17</v>
      </c>
      <c r="R456" s="5" t="s">
        <v>18</v>
      </c>
      <c r="S456" s="5"/>
      <c r="T456" s="5"/>
      <c r="U456" s="5"/>
      <c r="V456" s="5"/>
      <c r="W456" s="5"/>
      <c r="X456" s="5"/>
      <c r="Y456" s="5"/>
      <c r="Z456" s="5"/>
      <c r="AA456" s="5"/>
      <c r="AB456" s="5" t="s">
        <v>28</v>
      </c>
      <c r="AC456" s="5"/>
      <c r="AD456" s="5"/>
      <c r="AE456" s="5"/>
      <c r="AF456" s="5" t="s">
        <v>31</v>
      </c>
      <c r="AG456" s="5"/>
      <c r="AH456" s="5"/>
      <c r="AI456" s="5"/>
      <c r="AJ456" s="5" t="s">
        <v>35</v>
      </c>
      <c r="AK456" s="5" t="s">
        <v>36</v>
      </c>
      <c r="AL456" s="5"/>
      <c r="AM456" s="5"/>
      <c r="AN456" s="5"/>
      <c r="AO456" s="5"/>
      <c r="AP456" s="5"/>
      <c r="AQ456" s="5"/>
      <c r="AR456" s="5" t="s">
        <v>41</v>
      </c>
      <c r="AS456" s="5" t="s">
        <v>42</v>
      </c>
      <c r="AT456" s="5" t="s">
        <v>37</v>
      </c>
      <c r="AU456" s="5"/>
      <c r="AV456" s="5"/>
      <c r="AW456" s="5"/>
      <c r="AX456" s="5"/>
      <c r="AY456" s="5"/>
      <c r="AZ456" s="5"/>
      <c r="BA456" s="5"/>
      <c r="BB456" s="5"/>
      <c r="BC456" s="5"/>
      <c r="BD456" s="5"/>
      <c r="BE456" s="5"/>
      <c r="BF456" s="5"/>
      <c r="BG456" s="5" t="s">
        <v>53</v>
      </c>
      <c r="BH456" s="5"/>
      <c r="BI456" s="5" t="s">
        <v>55</v>
      </c>
      <c r="BJ456" s="5"/>
      <c r="BK456" s="5"/>
      <c r="BL456" s="5"/>
      <c r="BM456" s="5"/>
      <c r="BN456" s="5"/>
      <c r="BO456" s="5"/>
      <c r="BP456" s="5"/>
      <c r="BQ456" s="5"/>
      <c r="BR456" s="5" t="s">
        <v>62</v>
      </c>
      <c r="BS456" s="5"/>
      <c r="BT456" s="5"/>
      <c r="BU456" s="5" t="s">
        <v>64</v>
      </c>
      <c r="BV456" s="5"/>
      <c r="BW456" s="5"/>
      <c r="BX456" s="5" t="s">
        <v>67</v>
      </c>
      <c r="BY456" s="5"/>
      <c r="BZ456" s="5"/>
      <c r="CA456" s="5"/>
      <c r="CB456" s="5"/>
      <c r="CC456" s="5"/>
      <c r="CD456" s="5"/>
      <c r="CE456" s="5"/>
      <c r="CF456" s="5"/>
      <c r="CG456" s="5"/>
      <c r="CH456" s="5"/>
      <c r="CI456" s="5" t="s">
        <v>414</v>
      </c>
      <c r="CJ456" s="5">
        <v>91</v>
      </c>
      <c r="CK456" s="5" t="s">
        <v>80</v>
      </c>
      <c r="CL456" s="5" t="s">
        <v>121</v>
      </c>
      <c r="CM456" s="5" t="s">
        <v>418</v>
      </c>
      <c r="CN456" s="5" t="s">
        <v>416</v>
      </c>
      <c r="CO456" s="5" t="s">
        <v>82</v>
      </c>
      <c r="CP456" s="5" t="s">
        <v>97</v>
      </c>
      <c r="CQ456" s="5" t="s">
        <v>88</v>
      </c>
      <c r="CR456" s="5" t="s">
        <v>99</v>
      </c>
      <c r="CS456" s="5" t="s">
        <v>86</v>
      </c>
      <c r="CT456" s="5" t="s">
        <v>385</v>
      </c>
      <c r="CU456" s="5" t="s">
        <v>86</v>
      </c>
    </row>
    <row r="457" spans="1:99">
      <c r="A457" s="5">
        <v>18031752630</v>
      </c>
      <c r="B457" s="5"/>
      <c r="C457" s="5"/>
      <c r="D457" s="5"/>
      <c r="E457" s="5"/>
      <c r="F457" s="5"/>
      <c r="G457" s="5" t="s">
        <v>21</v>
      </c>
      <c r="H457" s="5"/>
      <c r="I457" s="5"/>
      <c r="J457" s="5"/>
      <c r="K457" s="5"/>
      <c r="L457" s="5"/>
      <c r="M457" s="5"/>
      <c r="N457" s="5"/>
      <c r="O457" s="5"/>
      <c r="P457" s="5"/>
      <c r="Q457" s="5"/>
      <c r="R457" s="5" t="s">
        <v>18</v>
      </c>
      <c r="S457" s="5"/>
      <c r="T457" s="5"/>
      <c r="U457" s="5"/>
      <c r="V457" s="5"/>
      <c r="W457" s="5"/>
      <c r="X457" s="5"/>
      <c r="Y457" s="5"/>
      <c r="Z457" s="5"/>
      <c r="AA457" s="5" t="s">
        <v>27</v>
      </c>
      <c r="AB457" s="5"/>
      <c r="AC457" s="5"/>
      <c r="AD457" s="5"/>
      <c r="AE457" s="5"/>
      <c r="AF457" s="5"/>
      <c r="AG457" s="5"/>
      <c r="AH457" s="5"/>
      <c r="AI457" s="5"/>
      <c r="AJ457" s="5"/>
      <c r="AK457" s="5" t="s">
        <v>36</v>
      </c>
      <c r="AL457" s="5"/>
      <c r="AM457" s="5"/>
      <c r="AN457" s="5"/>
      <c r="AO457" s="5"/>
      <c r="AP457" s="5"/>
      <c r="AQ457" s="5"/>
      <c r="AR457" s="5"/>
      <c r="AS457" s="5"/>
      <c r="AT457" s="5"/>
      <c r="AU457" s="5" t="s">
        <v>43</v>
      </c>
      <c r="AV457" s="5"/>
      <c r="AW457" s="5"/>
      <c r="AX457" s="5"/>
      <c r="AY457" s="5"/>
      <c r="AZ457" s="5"/>
      <c r="BA457" s="5"/>
      <c r="BB457" s="5"/>
      <c r="BC457" s="5"/>
      <c r="BD457" s="5"/>
      <c r="BE457" s="5" t="s">
        <v>17</v>
      </c>
      <c r="BF457" s="5"/>
      <c r="BG457" s="5" t="s">
        <v>53</v>
      </c>
      <c r="BH457" s="5"/>
      <c r="BI457" s="5"/>
      <c r="BJ457" s="5"/>
      <c r="BK457" s="5"/>
      <c r="BL457" s="5"/>
      <c r="BM457" s="5"/>
      <c r="BN457" s="5"/>
      <c r="BO457" s="5"/>
      <c r="BP457" s="5"/>
      <c r="BQ457" s="5"/>
      <c r="BR457" s="5"/>
      <c r="BS457" s="5"/>
      <c r="BT457" s="5"/>
      <c r="BU457" s="5" t="s">
        <v>64</v>
      </c>
      <c r="BV457" s="5"/>
      <c r="BW457" s="5"/>
      <c r="BX457" s="5"/>
      <c r="BY457" s="5"/>
      <c r="BZ457" s="5"/>
      <c r="CA457" s="5"/>
      <c r="CB457" s="5"/>
      <c r="CC457" s="5"/>
      <c r="CD457" s="5"/>
      <c r="CE457" s="5" t="s">
        <v>74</v>
      </c>
      <c r="CF457" s="5" t="s">
        <v>75</v>
      </c>
      <c r="CG457" s="5"/>
      <c r="CH457" s="5"/>
      <c r="CI457" s="5" t="s">
        <v>414</v>
      </c>
      <c r="CJ457" s="5">
        <v>68</v>
      </c>
      <c r="CK457" s="5" t="s">
        <v>80</v>
      </c>
      <c r="CL457" s="5" t="s">
        <v>121</v>
      </c>
      <c r="CM457" s="5" t="s">
        <v>418</v>
      </c>
      <c r="CN457" s="5" t="s">
        <v>416</v>
      </c>
      <c r="CO457" s="5" t="s">
        <v>82</v>
      </c>
      <c r="CP457" s="5" t="s">
        <v>93</v>
      </c>
      <c r="CQ457" s="5" t="s">
        <v>88</v>
      </c>
      <c r="CR457" s="5" t="s">
        <v>99</v>
      </c>
      <c r="CS457" s="5" t="s">
        <v>86</v>
      </c>
      <c r="CT457" s="5" t="s">
        <v>385</v>
      </c>
      <c r="CU457" s="5" t="s">
        <v>86</v>
      </c>
    </row>
    <row r="458" spans="1:99">
      <c r="A458" s="5">
        <v>18031752588</v>
      </c>
      <c r="B458" s="5"/>
      <c r="C458" s="5"/>
      <c r="D458" s="5"/>
      <c r="E458" s="5"/>
      <c r="F458" s="5"/>
      <c r="G458" s="5"/>
      <c r="H458" s="5"/>
      <c r="I458" s="5"/>
      <c r="J458" s="5"/>
      <c r="K458" s="5"/>
      <c r="L458" s="5" t="s">
        <v>26</v>
      </c>
      <c r="M458" s="5" t="s">
        <v>27</v>
      </c>
      <c r="N458" s="5" t="s">
        <v>28</v>
      </c>
      <c r="O458" s="5"/>
      <c r="P458" s="5"/>
      <c r="Q458" s="5"/>
      <c r="R458" s="5"/>
      <c r="S458" s="5"/>
      <c r="T458" s="5"/>
      <c r="U458" s="5"/>
      <c r="V458" s="5"/>
      <c r="W458" s="5"/>
      <c r="X458" s="5" t="s">
        <v>24</v>
      </c>
      <c r="Y458" s="5"/>
      <c r="Z458" s="5"/>
      <c r="AA458" s="5" t="s">
        <v>27</v>
      </c>
      <c r="AB458" s="5" t="s">
        <v>28</v>
      </c>
      <c r="AC458" s="5"/>
      <c r="AD458" s="5" t="s">
        <v>29</v>
      </c>
      <c r="AE458" s="5"/>
      <c r="AF458" s="5"/>
      <c r="AG458" s="5" t="s">
        <v>32</v>
      </c>
      <c r="AH458" s="5" t="s">
        <v>33</v>
      </c>
      <c r="AI458" s="5"/>
      <c r="AJ458" s="5"/>
      <c r="AK458" s="5"/>
      <c r="AL458" s="5"/>
      <c r="AM458" s="5"/>
      <c r="AN458" s="5"/>
      <c r="AO458" s="5" t="s">
        <v>38</v>
      </c>
      <c r="AP458" s="5"/>
      <c r="AQ458" s="5"/>
      <c r="AR458" s="5"/>
      <c r="AS458" s="5" t="s">
        <v>42</v>
      </c>
      <c r="AT458" s="5"/>
      <c r="AU458" s="5" t="s">
        <v>43</v>
      </c>
      <c r="AV458" s="5"/>
      <c r="AW458" s="5"/>
      <c r="AX458" s="5"/>
      <c r="AY458" s="5"/>
      <c r="AZ458" s="5"/>
      <c r="BA458" s="5"/>
      <c r="BB458" s="5"/>
      <c r="BC458" s="5"/>
      <c r="BD458" s="5"/>
      <c r="BE458" s="5"/>
      <c r="BF458" s="5"/>
      <c r="BG458" s="5"/>
      <c r="BH458" s="5"/>
      <c r="BI458" s="5" t="s">
        <v>55</v>
      </c>
      <c r="BJ458" s="5"/>
      <c r="BK458" s="5"/>
      <c r="BL458" s="5" t="s">
        <v>58</v>
      </c>
      <c r="BM458" s="5" t="s">
        <v>59</v>
      </c>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row>
    <row r="459" spans="1:99">
      <c r="A459" s="5">
        <v>18031752510</v>
      </c>
      <c r="B459" s="5"/>
      <c r="C459" s="5"/>
      <c r="D459" s="5"/>
      <c r="E459" s="5" t="s">
        <v>19</v>
      </c>
      <c r="F459" s="5"/>
      <c r="G459" s="5"/>
      <c r="H459" s="5"/>
      <c r="I459" s="5"/>
      <c r="J459" s="5"/>
      <c r="K459" s="5" t="s">
        <v>25</v>
      </c>
      <c r="L459" s="5"/>
      <c r="M459" s="5"/>
      <c r="N459" s="5" t="s">
        <v>28</v>
      </c>
      <c r="O459" s="5"/>
      <c r="P459" s="5"/>
      <c r="Q459" s="5"/>
      <c r="R459" s="5"/>
      <c r="S459" s="5"/>
      <c r="T459" s="5"/>
      <c r="U459" s="5"/>
      <c r="V459" s="5"/>
      <c r="W459" s="5"/>
      <c r="X459" s="5"/>
      <c r="Y459" s="5"/>
      <c r="Z459" s="5"/>
      <c r="AA459" s="5"/>
      <c r="AB459" s="5"/>
      <c r="AC459" s="5" t="s">
        <v>140</v>
      </c>
      <c r="AD459" s="5" t="s">
        <v>29</v>
      </c>
      <c r="AE459" s="5"/>
      <c r="AF459" s="5"/>
      <c r="AG459" s="5"/>
      <c r="AH459" s="5"/>
      <c r="AI459" s="5"/>
      <c r="AJ459" s="5"/>
      <c r="AK459" s="5"/>
      <c r="AL459" s="5" t="s">
        <v>37</v>
      </c>
      <c r="AM459" s="5" t="s">
        <v>375</v>
      </c>
      <c r="AN459" s="5"/>
      <c r="AO459" s="5"/>
      <c r="AP459" s="5" t="s">
        <v>39</v>
      </c>
      <c r="AQ459" s="5"/>
      <c r="AR459" s="5" t="s">
        <v>41</v>
      </c>
      <c r="AS459" s="5"/>
      <c r="AT459" s="5"/>
      <c r="AU459" s="5"/>
      <c r="AV459" s="5"/>
      <c r="AW459" s="5" t="s">
        <v>45</v>
      </c>
      <c r="AX459" s="5"/>
      <c r="AY459" s="5"/>
      <c r="AZ459" s="5"/>
      <c r="BA459" s="5"/>
      <c r="BB459" s="5" t="s">
        <v>49</v>
      </c>
      <c r="BC459" s="5"/>
      <c r="BD459" s="5" t="s">
        <v>51</v>
      </c>
      <c r="BE459" s="5"/>
      <c r="BF459" s="5"/>
      <c r="BG459" s="5"/>
      <c r="BH459" s="5"/>
      <c r="BI459" s="5" t="s">
        <v>55</v>
      </c>
      <c r="BJ459" s="5"/>
      <c r="BK459" s="5"/>
      <c r="BL459" s="5"/>
      <c r="BM459" s="5"/>
      <c r="BN459" s="5"/>
      <c r="BO459" s="5"/>
      <c r="BP459" s="5"/>
      <c r="BQ459" s="5"/>
      <c r="BR459" s="5"/>
      <c r="BS459" s="5"/>
      <c r="BT459" s="5"/>
      <c r="BU459" s="5" t="s">
        <v>64</v>
      </c>
      <c r="BV459" s="5"/>
      <c r="BW459" s="5" t="s">
        <v>66</v>
      </c>
      <c r="BX459" s="5"/>
      <c r="BY459" s="5"/>
      <c r="BZ459" s="5"/>
      <c r="CA459" s="5"/>
      <c r="CB459" s="5"/>
      <c r="CC459" s="5"/>
      <c r="CD459" s="5"/>
      <c r="CE459" s="5"/>
      <c r="CF459" s="5"/>
      <c r="CG459" s="5"/>
      <c r="CH459" s="5"/>
      <c r="CI459" s="5" t="s">
        <v>414</v>
      </c>
      <c r="CJ459" s="5">
        <v>19</v>
      </c>
      <c r="CK459" s="5" t="s">
        <v>80</v>
      </c>
      <c r="CL459" s="5" t="s">
        <v>120</v>
      </c>
      <c r="CM459" s="5"/>
      <c r="CN459" s="5" t="s">
        <v>419</v>
      </c>
      <c r="CO459" s="5" t="s">
        <v>388</v>
      </c>
      <c r="CP459" s="5"/>
      <c r="CQ459" s="5" t="s">
        <v>95</v>
      </c>
      <c r="CR459" s="5" t="s">
        <v>85</v>
      </c>
      <c r="CS459" s="5" t="s">
        <v>86</v>
      </c>
      <c r="CT459" s="5"/>
      <c r="CU459" s="5" t="s">
        <v>86</v>
      </c>
    </row>
    <row r="460" spans="1:99">
      <c r="A460" s="5">
        <v>18031752417</v>
      </c>
      <c r="B460" s="5"/>
      <c r="C460" s="5"/>
      <c r="D460" s="5" t="s">
        <v>18</v>
      </c>
      <c r="E460" s="5"/>
      <c r="F460" s="5"/>
      <c r="G460" s="5"/>
      <c r="H460" s="5"/>
      <c r="I460" s="5"/>
      <c r="J460" s="5"/>
      <c r="K460" s="5"/>
      <c r="L460" s="5"/>
      <c r="M460" s="5"/>
      <c r="N460" s="5" t="s">
        <v>28</v>
      </c>
      <c r="O460" s="5" t="s">
        <v>490</v>
      </c>
      <c r="P460" s="5"/>
      <c r="Q460" s="5"/>
      <c r="R460" s="5" t="s">
        <v>18</v>
      </c>
      <c r="S460" s="5"/>
      <c r="T460" s="5"/>
      <c r="U460" s="5"/>
      <c r="V460" s="5"/>
      <c r="W460" s="5"/>
      <c r="X460" s="5"/>
      <c r="Y460" s="5"/>
      <c r="Z460" s="5"/>
      <c r="AA460" s="5"/>
      <c r="AB460" s="5"/>
      <c r="AC460" s="5"/>
      <c r="AD460" s="5"/>
      <c r="AE460" s="5"/>
      <c r="AF460" s="5"/>
      <c r="AG460" s="5"/>
      <c r="AH460" s="5"/>
      <c r="AI460" s="5" t="s">
        <v>34</v>
      </c>
      <c r="AJ460" s="5"/>
      <c r="AK460" s="5"/>
      <c r="AL460" s="5"/>
      <c r="AM460" s="5"/>
      <c r="AN460" s="5"/>
      <c r="AO460" s="5"/>
      <c r="AP460" s="5"/>
      <c r="AQ460" s="5"/>
      <c r="AR460" s="5"/>
      <c r="AS460" s="5"/>
      <c r="AT460" s="5" t="s">
        <v>37</v>
      </c>
      <c r="AU460" s="5"/>
      <c r="AV460" s="5"/>
      <c r="AW460" s="5"/>
      <c r="AX460" s="5"/>
      <c r="AY460" s="5"/>
      <c r="AZ460" s="5"/>
      <c r="BA460" s="5"/>
      <c r="BB460" s="5"/>
      <c r="BC460" s="5"/>
      <c r="BD460" s="5"/>
      <c r="BE460" s="5"/>
      <c r="BF460" s="5"/>
      <c r="BG460" s="5"/>
      <c r="BH460" s="5"/>
      <c r="BI460" s="5"/>
      <c r="BJ460" s="5"/>
      <c r="BK460" s="5"/>
      <c r="BL460" s="5"/>
      <c r="BM460" s="5" t="s">
        <v>59</v>
      </c>
      <c r="BN460" s="5"/>
      <c r="BO460" s="5"/>
      <c r="BP460" s="5"/>
      <c r="BQ460" s="5"/>
      <c r="BR460" s="5"/>
      <c r="BS460" s="5"/>
      <c r="BT460" s="5"/>
      <c r="BU460" s="5" t="s">
        <v>64</v>
      </c>
      <c r="BV460" s="5"/>
      <c r="BW460" s="5"/>
      <c r="BX460" s="5"/>
      <c r="BY460" s="5"/>
      <c r="BZ460" s="5"/>
      <c r="CA460" s="5"/>
      <c r="CB460" s="5"/>
      <c r="CC460" s="5"/>
      <c r="CD460" s="5"/>
      <c r="CE460" s="5"/>
      <c r="CF460" s="5"/>
      <c r="CG460" s="5"/>
      <c r="CH460" s="5"/>
      <c r="CI460" s="5" t="s">
        <v>417</v>
      </c>
      <c r="CJ460" s="5"/>
      <c r="CK460" s="5"/>
      <c r="CL460" s="5"/>
      <c r="CM460" s="5"/>
      <c r="CN460" s="5"/>
      <c r="CO460" s="5" t="s">
        <v>133</v>
      </c>
      <c r="CP460" s="5" t="s">
        <v>94</v>
      </c>
      <c r="CQ460" s="5" t="s">
        <v>84</v>
      </c>
      <c r="CR460" s="5" t="s">
        <v>99</v>
      </c>
      <c r="CS460" s="5" t="s">
        <v>86</v>
      </c>
      <c r="CT460" s="5" t="s">
        <v>387</v>
      </c>
      <c r="CU460" s="5" t="s">
        <v>86</v>
      </c>
    </row>
    <row r="461" spans="1:99">
      <c r="A461" s="5">
        <v>18031752360</v>
      </c>
      <c r="B461" s="5"/>
      <c r="C461" s="5" t="s">
        <v>17</v>
      </c>
      <c r="D461" s="5"/>
      <c r="E461" s="5"/>
      <c r="F461" s="5"/>
      <c r="G461" s="5"/>
      <c r="H461" s="5"/>
      <c r="I461" s="5"/>
      <c r="J461" s="5"/>
      <c r="K461" s="5"/>
      <c r="L461" s="5"/>
      <c r="M461" s="5"/>
      <c r="N461" s="5"/>
      <c r="O461" s="5"/>
      <c r="P461" s="5"/>
      <c r="Q461" s="5"/>
      <c r="R461" s="5" t="s">
        <v>18</v>
      </c>
      <c r="S461" s="5"/>
      <c r="T461" s="5"/>
      <c r="U461" s="5"/>
      <c r="V461" s="5"/>
      <c r="W461" s="5"/>
      <c r="X461" s="5"/>
      <c r="Y461" s="5" t="s">
        <v>25</v>
      </c>
      <c r="Z461" s="5"/>
      <c r="AA461" s="5"/>
      <c r="AB461" s="5"/>
      <c r="AC461" s="5"/>
      <c r="AD461" s="5"/>
      <c r="AE461" s="5"/>
      <c r="AF461" s="5"/>
      <c r="AG461" s="5"/>
      <c r="AH461" s="5"/>
      <c r="AI461" s="5"/>
      <c r="AJ461" s="5"/>
      <c r="AK461" s="5"/>
      <c r="AL461" s="5"/>
      <c r="AM461" s="5"/>
      <c r="AN461" s="5"/>
      <c r="AO461" s="5" t="s">
        <v>38</v>
      </c>
      <c r="AP461" s="5" t="s">
        <v>39</v>
      </c>
      <c r="AQ461" s="5"/>
      <c r="AR461" s="5"/>
      <c r="AS461" s="5"/>
      <c r="AT461" s="5"/>
      <c r="AU461" s="5"/>
      <c r="AV461" s="5"/>
      <c r="AW461" s="5"/>
      <c r="AX461" s="5"/>
      <c r="AY461" s="5"/>
      <c r="AZ461" s="5"/>
      <c r="BA461" s="5"/>
      <c r="BB461" s="5" t="s">
        <v>49</v>
      </c>
      <c r="BC461" s="5"/>
      <c r="BD461" s="5"/>
      <c r="BE461" s="5"/>
      <c r="BF461" s="5"/>
      <c r="BG461" s="5"/>
      <c r="BH461" s="5" t="s">
        <v>54</v>
      </c>
      <c r="BI461" s="5"/>
      <c r="BJ461" s="5"/>
      <c r="BK461" s="5" t="s">
        <v>57</v>
      </c>
      <c r="BL461" s="5" t="s">
        <v>58</v>
      </c>
      <c r="BM461" s="5"/>
      <c r="BN461" s="5"/>
      <c r="BO461" s="5"/>
      <c r="BP461" s="5"/>
      <c r="BQ461" s="5"/>
      <c r="BR461" s="5"/>
      <c r="BS461" s="5"/>
      <c r="BT461" s="5"/>
      <c r="BU461" s="5"/>
      <c r="BV461" s="5" t="s">
        <v>65</v>
      </c>
      <c r="BW461" s="5"/>
      <c r="BX461" s="5"/>
      <c r="BY461" s="5"/>
      <c r="BZ461" s="5"/>
      <c r="CA461" s="5"/>
      <c r="CB461" s="5"/>
      <c r="CC461" s="5"/>
      <c r="CD461" s="5"/>
      <c r="CE461" s="5"/>
      <c r="CF461" s="5"/>
      <c r="CG461" s="5"/>
      <c r="CH461" s="5" t="s">
        <v>505</v>
      </c>
      <c r="CI461" s="5" t="s">
        <v>414</v>
      </c>
      <c r="CJ461" s="5">
        <v>89</v>
      </c>
      <c r="CK461" s="5" t="s">
        <v>80</v>
      </c>
      <c r="CL461" s="5" t="s">
        <v>130</v>
      </c>
      <c r="CM461" s="5" t="s">
        <v>418</v>
      </c>
      <c r="CN461" s="5"/>
      <c r="CO461" s="5" t="s">
        <v>82</v>
      </c>
      <c r="CP461" s="5"/>
      <c r="CQ461" s="5" t="s">
        <v>104</v>
      </c>
      <c r="CR461" s="5" t="s">
        <v>99</v>
      </c>
      <c r="CS461" s="5" t="s">
        <v>86</v>
      </c>
      <c r="CT461" s="5" t="s">
        <v>385</v>
      </c>
      <c r="CU461" s="5" t="s">
        <v>81</v>
      </c>
    </row>
    <row r="462" spans="1:99">
      <c r="A462" s="5">
        <v>18031752309</v>
      </c>
      <c r="B462" s="5"/>
      <c r="C462" s="5" t="s">
        <v>17</v>
      </c>
      <c r="D462" s="5" t="s">
        <v>18</v>
      </c>
      <c r="E462" s="5"/>
      <c r="F462" s="5"/>
      <c r="G462" s="5"/>
      <c r="H462" s="5"/>
      <c r="I462" s="5"/>
      <c r="J462" s="5"/>
      <c r="K462" s="5"/>
      <c r="L462" s="5"/>
      <c r="M462" s="5"/>
      <c r="N462" s="5"/>
      <c r="O462" s="5"/>
      <c r="P462" s="5"/>
      <c r="Q462" s="5"/>
      <c r="R462" s="5" t="s">
        <v>18</v>
      </c>
      <c r="S462" s="5"/>
      <c r="T462" s="5"/>
      <c r="U462" s="5"/>
      <c r="V462" s="5" t="s">
        <v>22</v>
      </c>
      <c r="W462" s="5"/>
      <c r="X462" s="5"/>
      <c r="Y462" s="5" t="s">
        <v>25</v>
      </c>
      <c r="Z462" s="5"/>
      <c r="AA462" s="5"/>
      <c r="AB462" s="5"/>
      <c r="AC462" s="5"/>
      <c r="AD462" s="5"/>
      <c r="AE462" s="5"/>
      <c r="AF462" s="5"/>
      <c r="AG462" s="5"/>
      <c r="AH462" s="5"/>
      <c r="AI462" s="5"/>
      <c r="AJ462" s="5"/>
      <c r="AK462" s="5"/>
      <c r="AL462" s="5"/>
      <c r="AM462" s="5"/>
      <c r="AN462" s="5"/>
      <c r="AO462" s="5" t="s">
        <v>38</v>
      </c>
      <c r="AP462" s="5" t="s">
        <v>39</v>
      </c>
      <c r="AQ462" s="5"/>
      <c r="AR462" s="5"/>
      <c r="AS462" s="5"/>
      <c r="AT462" s="5" t="s">
        <v>37</v>
      </c>
      <c r="AU462" s="5"/>
      <c r="AV462" s="5"/>
      <c r="AW462" s="5"/>
      <c r="AX462" s="5"/>
      <c r="AY462" s="5"/>
      <c r="AZ462" s="5"/>
      <c r="BA462" s="5"/>
      <c r="BB462" s="5"/>
      <c r="BC462" s="5"/>
      <c r="BD462" s="5" t="s">
        <v>51</v>
      </c>
      <c r="BE462" s="5" t="s">
        <v>17</v>
      </c>
      <c r="BF462" s="5"/>
      <c r="BG462" s="5"/>
      <c r="BH462" s="5"/>
      <c r="BI462" s="5"/>
      <c r="BJ462" s="5"/>
      <c r="BK462" s="5" t="s">
        <v>57</v>
      </c>
      <c r="BL462" s="5"/>
      <c r="BM462" s="5"/>
      <c r="BN462" s="5"/>
      <c r="BO462" s="5"/>
      <c r="BP462" s="5"/>
      <c r="BQ462" s="5"/>
      <c r="BR462" s="5"/>
      <c r="BS462" s="5"/>
      <c r="BT462" s="5"/>
      <c r="BU462" s="5"/>
      <c r="BV462" s="5" t="s">
        <v>65</v>
      </c>
      <c r="BW462" s="5"/>
      <c r="BX462" s="5"/>
      <c r="BY462" s="5"/>
      <c r="BZ462" s="5"/>
      <c r="CA462" s="5"/>
      <c r="CB462" s="5"/>
      <c r="CC462" s="5"/>
      <c r="CD462" s="5"/>
      <c r="CE462" s="5"/>
      <c r="CF462" s="5"/>
      <c r="CG462" s="5"/>
      <c r="CH462" s="5" t="s">
        <v>505</v>
      </c>
      <c r="CI462" s="5" t="s">
        <v>417</v>
      </c>
      <c r="CJ462" s="5"/>
      <c r="CK462" s="5"/>
      <c r="CL462" s="5"/>
      <c r="CM462" s="5" t="s">
        <v>418</v>
      </c>
      <c r="CN462" s="5" t="s">
        <v>416</v>
      </c>
      <c r="CO462" s="5" t="s">
        <v>82</v>
      </c>
      <c r="CP462" s="5"/>
      <c r="CQ462" s="5" t="s">
        <v>95</v>
      </c>
      <c r="CR462" s="5" t="s">
        <v>99</v>
      </c>
      <c r="CS462" s="5" t="s">
        <v>86</v>
      </c>
      <c r="CT462" s="5" t="s">
        <v>385</v>
      </c>
      <c r="CU462" s="5"/>
    </row>
    <row r="463" spans="1:99">
      <c r="A463" s="5">
        <v>18031752239</v>
      </c>
      <c r="B463" s="5"/>
      <c r="C463" s="5" t="s">
        <v>17</v>
      </c>
      <c r="D463" s="5" t="s">
        <v>18</v>
      </c>
      <c r="E463" s="5"/>
      <c r="F463" s="5"/>
      <c r="G463" s="5"/>
      <c r="H463" s="5"/>
      <c r="I463" s="5"/>
      <c r="J463" s="5"/>
      <c r="K463" s="5"/>
      <c r="L463" s="5"/>
      <c r="M463" s="5"/>
      <c r="N463" s="5"/>
      <c r="O463" s="5" t="s">
        <v>490</v>
      </c>
      <c r="P463" s="5"/>
      <c r="Q463" s="5" t="s">
        <v>17</v>
      </c>
      <c r="R463" s="5" t="s">
        <v>18</v>
      </c>
      <c r="S463" s="5"/>
      <c r="T463" s="5"/>
      <c r="U463" s="5"/>
      <c r="V463" s="5"/>
      <c r="W463" s="5"/>
      <c r="X463" s="5"/>
      <c r="Y463" s="5"/>
      <c r="Z463" s="5"/>
      <c r="AA463" s="5"/>
      <c r="AB463" s="5"/>
      <c r="AC463" s="5" t="s">
        <v>490</v>
      </c>
      <c r="AD463" s="5"/>
      <c r="AE463" s="5"/>
      <c r="AF463" s="5"/>
      <c r="AG463" s="5"/>
      <c r="AH463" s="5"/>
      <c r="AI463" s="5" t="s">
        <v>34</v>
      </c>
      <c r="AJ463" s="5"/>
      <c r="AK463" s="5"/>
      <c r="AL463" s="5"/>
      <c r="AM463" s="5"/>
      <c r="AN463" s="5"/>
      <c r="AO463" s="5"/>
      <c r="AP463" s="5"/>
      <c r="AQ463" s="5"/>
      <c r="AR463" s="5"/>
      <c r="AS463" s="5" t="s">
        <v>42</v>
      </c>
      <c r="AT463" s="5" t="s">
        <v>37</v>
      </c>
      <c r="AU463" s="5"/>
      <c r="AV463" s="5"/>
      <c r="AW463" s="5"/>
      <c r="AX463" s="5"/>
      <c r="AY463" s="5"/>
      <c r="AZ463" s="5"/>
      <c r="BA463" s="5"/>
      <c r="BB463" s="5"/>
      <c r="BC463" s="5"/>
      <c r="BD463" s="5"/>
      <c r="BE463" s="5"/>
      <c r="BF463" s="5" t="s">
        <v>52</v>
      </c>
      <c r="BG463" s="5"/>
      <c r="BH463" s="5" t="s">
        <v>54</v>
      </c>
      <c r="BI463" s="5" t="s">
        <v>55</v>
      </c>
      <c r="BJ463" s="5"/>
      <c r="BK463" s="5"/>
      <c r="BL463" s="5"/>
      <c r="BM463" s="5"/>
      <c r="BN463" s="5"/>
      <c r="BO463" s="5"/>
      <c r="BP463" s="5"/>
      <c r="BQ463" s="5"/>
      <c r="BR463" s="5"/>
      <c r="BS463" s="5"/>
      <c r="BT463" s="5"/>
      <c r="BU463" s="5" t="s">
        <v>64</v>
      </c>
      <c r="BV463" s="5"/>
      <c r="BW463" s="5"/>
      <c r="BX463" s="5" t="s">
        <v>67</v>
      </c>
      <c r="BY463" s="5"/>
      <c r="BZ463" s="5"/>
      <c r="CA463" s="5"/>
      <c r="CB463" s="5"/>
      <c r="CC463" s="5"/>
      <c r="CD463" s="5"/>
      <c r="CE463" s="5"/>
      <c r="CF463" s="5" t="s">
        <v>75</v>
      </c>
      <c r="CG463" s="5"/>
      <c r="CH463" s="5"/>
      <c r="CI463" s="5" t="s">
        <v>417</v>
      </c>
      <c r="CJ463" s="5">
        <v>77</v>
      </c>
      <c r="CK463" s="5" t="s">
        <v>80</v>
      </c>
      <c r="CL463" s="5" t="s">
        <v>508</v>
      </c>
      <c r="CM463" s="5" t="s">
        <v>418</v>
      </c>
      <c r="CN463" s="5" t="s">
        <v>416</v>
      </c>
      <c r="CO463" s="5" t="s">
        <v>82</v>
      </c>
      <c r="CP463" s="5"/>
      <c r="CQ463" s="5"/>
      <c r="CR463" s="5" t="s">
        <v>99</v>
      </c>
      <c r="CS463" s="5" t="s">
        <v>86</v>
      </c>
      <c r="CT463" s="5" t="s">
        <v>386</v>
      </c>
      <c r="CU463" s="5" t="s">
        <v>86</v>
      </c>
    </row>
    <row r="464" spans="1:99">
      <c r="A464" s="5">
        <v>18031752178</v>
      </c>
      <c r="B464" s="5"/>
      <c r="C464" s="5"/>
      <c r="D464" s="5"/>
      <c r="E464" s="5" t="s">
        <v>19</v>
      </c>
      <c r="F464" s="5"/>
      <c r="G464" s="5" t="s">
        <v>21</v>
      </c>
      <c r="H464" s="5"/>
      <c r="I464" s="5" t="s">
        <v>23</v>
      </c>
      <c r="J464" s="5"/>
      <c r="K464" s="5" t="s">
        <v>25</v>
      </c>
      <c r="L464" s="5"/>
      <c r="M464" s="5" t="s">
        <v>27</v>
      </c>
      <c r="N464" s="5" t="s">
        <v>28</v>
      </c>
      <c r="O464" s="5"/>
      <c r="P464" s="5"/>
      <c r="Q464" s="5"/>
      <c r="R464" s="5"/>
      <c r="S464" s="5" t="s">
        <v>19</v>
      </c>
      <c r="T464" s="5"/>
      <c r="U464" s="5"/>
      <c r="V464" s="5"/>
      <c r="W464" s="5" t="s">
        <v>23</v>
      </c>
      <c r="X464" s="5"/>
      <c r="Y464" s="5"/>
      <c r="Z464" s="5"/>
      <c r="AA464" s="5"/>
      <c r="AB464" s="5"/>
      <c r="AC464" s="5"/>
      <c r="AD464" s="5"/>
      <c r="AE464" s="5"/>
      <c r="AF464" s="5" t="s">
        <v>31</v>
      </c>
      <c r="AG464" s="5"/>
      <c r="AH464" s="5"/>
      <c r="AI464" s="5"/>
      <c r="AJ464" s="5"/>
      <c r="AK464" s="5" t="s">
        <v>36</v>
      </c>
      <c r="AL464" s="5"/>
      <c r="AM464" s="5" t="s">
        <v>375</v>
      </c>
      <c r="AN464" s="5"/>
      <c r="AO464" s="5"/>
      <c r="AP464" s="5" t="s">
        <v>39</v>
      </c>
      <c r="AQ464" s="5"/>
      <c r="AR464" s="5"/>
      <c r="AS464" s="5" t="s">
        <v>42</v>
      </c>
      <c r="AT464" s="5"/>
      <c r="AU464" s="5"/>
      <c r="AV464" s="5"/>
      <c r="AW464" s="5" t="s">
        <v>45</v>
      </c>
      <c r="AX464" s="5"/>
      <c r="AY464" s="5"/>
      <c r="AZ464" s="5"/>
      <c r="BA464" s="5"/>
      <c r="BB464" s="5"/>
      <c r="BC464" s="5"/>
      <c r="BD464" s="5"/>
      <c r="BE464" s="5"/>
      <c r="BF464" s="5"/>
      <c r="BG464" s="5"/>
      <c r="BH464" s="5"/>
      <c r="BI464" s="5" t="s">
        <v>55</v>
      </c>
      <c r="BJ464" s="5"/>
      <c r="BK464" s="5"/>
      <c r="BL464" s="5" t="s">
        <v>58</v>
      </c>
      <c r="BM464" s="5"/>
      <c r="BN464" s="5"/>
      <c r="BO464" s="5"/>
      <c r="BP464" s="5"/>
      <c r="BQ464" s="5"/>
      <c r="BR464" s="5" t="s">
        <v>62</v>
      </c>
      <c r="BS464" s="5"/>
      <c r="BT464" s="5"/>
      <c r="BU464" s="5" t="s">
        <v>64</v>
      </c>
      <c r="BV464" s="5"/>
      <c r="BW464" s="5"/>
      <c r="BX464" s="5"/>
      <c r="BY464" s="5"/>
      <c r="BZ464" s="5"/>
      <c r="CA464" s="5"/>
      <c r="CB464" s="5"/>
      <c r="CC464" s="5"/>
      <c r="CD464" s="5"/>
      <c r="CE464" s="5"/>
      <c r="CF464" s="5"/>
      <c r="CG464" s="5"/>
      <c r="CH464" s="5"/>
      <c r="CI464" s="5" t="s">
        <v>417</v>
      </c>
      <c r="CJ464" s="5">
        <v>73</v>
      </c>
      <c r="CK464" s="5" t="s">
        <v>80</v>
      </c>
      <c r="CL464" s="5" t="s">
        <v>509</v>
      </c>
      <c r="CM464" s="5" t="s">
        <v>418</v>
      </c>
      <c r="CN464" s="5" t="s">
        <v>416</v>
      </c>
      <c r="CO464" s="5" t="s">
        <v>82</v>
      </c>
      <c r="CP464" s="5" t="s">
        <v>94</v>
      </c>
      <c r="CQ464" s="5" t="s">
        <v>84</v>
      </c>
      <c r="CR464" s="5" t="s">
        <v>99</v>
      </c>
      <c r="CS464" s="5" t="s">
        <v>86</v>
      </c>
      <c r="CT464" s="5" t="s">
        <v>385</v>
      </c>
      <c r="CU464" s="5" t="s">
        <v>86</v>
      </c>
    </row>
    <row r="465" spans="1:99">
      <c r="A465" s="5">
        <v>18031752106</v>
      </c>
      <c r="B465" s="5"/>
      <c r="C465" s="5"/>
      <c r="D465" s="5"/>
      <c r="E465" s="5"/>
      <c r="F465" s="5"/>
      <c r="G465" s="5"/>
      <c r="H465" s="5"/>
      <c r="I465" s="5"/>
      <c r="J465" s="5"/>
      <c r="K465" s="5" t="s">
        <v>25</v>
      </c>
      <c r="L465" s="5" t="s">
        <v>26</v>
      </c>
      <c r="M465" s="5"/>
      <c r="N465" s="5" t="s">
        <v>28</v>
      </c>
      <c r="O465" s="5"/>
      <c r="P465" s="5"/>
      <c r="Q465" s="5" t="s">
        <v>17</v>
      </c>
      <c r="R465" s="5" t="s">
        <v>18</v>
      </c>
      <c r="S465" s="5"/>
      <c r="T465" s="5"/>
      <c r="U465" s="5"/>
      <c r="V465" s="5"/>
      <c r="W465" s="5"/>
      <c r="X465" s="5"/>
      <c r="Y465" s="5"/>
      <c r="Z465" s="5"/>
      <c r="AA465" s="5"/>
      <c r="AB465" s="5"/>
      <c r="AC465" s="5"/>
      <c r="AD465" s="5" t="s">
        <v>29</v>
      </c>
      <c r="AE465" s="5"/>
      <c r="AF465" s="5"/>
      <c r="AG465" s="5"/>
      <c r="AH465" s="5"/>
      <c r="AI465" s="5"/>
      <c r="AJ465" s="5"/>
      <c r="AK465" s="5" t="s">
        <v>36</v>
      </c>
      <c r="AL465" s="5"/>
      <c r="AM465" s="5"/>
      <c r="AN465" s="5"/>
      <c r="AO465" s="5" t="s">
        <v>38</v>
      </c>
      <c r="AP465" s="5" t="s">
        <v>39</v>
      </c>
      <c r="AQ465" s="5"/>
      <c r="AR465" s="5"/>
      <c r="AS465" s="5" t="s">
        <v>42</v>
      </c>
      <c r="AT465" s="5"/>
      <c r="AU465" s="5"/>
      <c r="AV465" s="5"/>
      <c r="AW465" s="5"/>
      <c r="AX465" s="5"/>
      <c r="AY465" s="5"/>
      <c r="AZ465" s="5"/>
      <c r="BA465" s="5"/>
      <c r="BB465" s="5" t="s">
        <v>49</v>
      </c>
      <c r="BC465" s="5"/>
      <c r="BD465" s="5"/>
      <c r="BE465" s="5" t="s">
        <v>17</v>
      </c>
      <c r="BF465" s="5"/>
      <c r="BG465" s="5"/>
      <c r="BH465" s="5"/>
      <c r="BI465" s="5" t="s">
        <v>55</v>
      </c>
      <c r="BJ465" s="5"/>
      <c r="BK465" s="5"/>
      <c r="BL465" s="5"/>
      <c r="BM465" s="5"/>
      <c r="BN465" s="5"/>
      <c r="BO465" s="5"/>
      <c r="BP465" s="5"/>
      <c r="BQ465" s="5"/>
      <c r="BR465" s="5"/>
      <c r="BS465" s="5"/>
      <c r="BT465" s="5"/>
      <c r="BU465" s="5" t="s">
        <v>64</v>
      </c>
      <c r="BV465" s="5"/>
      <c r="BW465" s="5" t="s">
        <v>66</v>
      </c>
      <c r="BX465" s="5"/>
      <c r="BY465" s="5"/>
      <c r="BZ465" s="5" t="s">
        <v>69</v>
      </c>
      <c r="CA465" s="5"/>
      <c r="CB465" s="5"/>
      <c r="CC465" s="5"/>
      <c r="CD465" s="5"/>
      <c r="CE465" s="5"/>
      <c r="CF465" s="5"/>
      <c r="CG465" s="5"/>
      <c r="CH465" s="5"/>
      <c r="CI465" s="5" t="s">
        <v>414</v>
      </c>
      <c r="CJ465" s="5">
        <v>74</v>
      </c>
      <c r="CK465" s="5" t="s">
        <v>80</v>
      </c>
      <c r="CL465" s="5" t="s">
        <v>114</v>
      </c>
      <c r="CM465" s="5" t="s">
        <v>418</v>
      </c>
      <c r="CN465" s="5"/>
      <c r="CO465" s="5" t="s">
        <v>82</v>
      </c>
      <c r="CP465" s="5" t="s">
        <v>83</v>
      </c>
      <c r="CQ465" s="5" t="s">
        <v>103</v>
      </c>
      <c r="CR465" s="5" t="s">
        <v>99</v>
      </c>
      <c r="CS465" s="5" t="s">
        <v>86</v>
      </c>
      <c r="CT465" s="5" t="s">
        <v>386</v>
      </c>
      <c r="CU465" s="5" t="s">
        <v>86</v>
      </c>
    </row>
    <row r="466" spans="1:99">
      <c r="A466" s="5">
        <v>18031752041</v>
      </c>
      <c r="B466" s="5"/>
      <c r="C466" s="5" t="s">
        <v>17</v>
      </c>
      <c r="D466" s="5"/>
      <c r="E466" s="5"/>
      <c r="F466" s="5"/>
      <c r="G466" s="5"/>
      <c r="H466" s="5"/>
      <c r="I466" s="5"/>
      <c r="J466" s="5"/>
      <c r="K466" s="5"/>
      <c r="L466" s="5" t="s">
        <v>26</v>
      </c>
      <c r="M466" s="5" t="s">
        <v>27</v>
      </c>
      <c r="N466" s="5"/>
      <c r="O466" s="5"/>
      <c r="P466" s="5"/>
      <c r="Q466" s="5"/>
      <c r="R466" s="5" t="s">
        <v>18</v>
      </c>
      <c r="S466" s="5"/>
      <c r="T466" s="5"/>
      <c r="U466" s="5"/>
      <c r="V466" s="5"/>
      <c r="W466" s="5"/>
      <c r="X466" s="5"/>
      <c r="Y466" s="5"/>
      <c r="Z466" s="5"/>
      <c r="AA466" s="5"/>
      <c r="AB466" s="5" t="s">
        <v>28</v>
      </c>
      <c r="AC466" s="5"/>
      <c r="AD466" s="5"/>
      <c r="AE466" s="5"/>
      <c r="AF466" s="5"/>
      <c r="AG466" s="5"/>
      <c r="AH466" s="5"/>
      <c r="AI466" s="5" t="s">
        <v>34</v>
      </c>
      <c r="AJ466" s="5"/>
      <c r="AK466" s="5"/>
      <c r="AL466" s="5"/>
      <c r="AM466" s="5"/>
      <c r="AN466" s="5"/>
      <c r="AO466" s="5" t="s">
        <v>38</v>
      </c>
      <c r="AP466" s="5"/>
      <c r="AQ466" s="5"/>
      <c r="AR466" s="5"/>
      <c r="AS466" s="5"/>
      <c r="AT466" s="5"/>
      <c r="AU466" s="5"/>
      <c r="AV466" s="5"/>
      <c r="AW466" s="5"/>
      <c r="AX466" s="5"/>
      <c r="AY466" s="5"/>
      <c r="AZ466" s="5"/>
      <c r="BA466" s="5"/>
      <c r="BB466" s="5"/>
      <c r="BC466" s="5"/>
      <c r="BD466" s="5"/>
      <c r="BE466" s="5"/>
      <c r="BF466" s="5"/>
      <c r="BG466" s="5"/>
      <c r="BH466" s="5" t="s">
        <v>54</v>
      </c>
      <c r="BI466" s="5" t="s">
        <v>55</v>
      </c>
      <c r="BJ466" s="5"/>
      <c r="BK466" s="5"/>
      <c r="BL466" s="5" t="s">
        <v>58</v>
      </c>
      <c r="BM466" s="5"/>
      <c r="BN466" s="5"/>
      <c r="BO466" s="5"/>
      <c r="BP466" s="5"/>
      <c r="BQ466" s="5"/>
      <c r="BR466" s="5"/>
      <c r="BS466" s="5"/>
      <c r="BT466" s="5"/>
      <c r="BU466" s="5" t="s">
        <v>64</v>
      </c>
      <c r="BV466" s="5"/>
      <c r="BW466" s="5"/>
      <c r="BX466" s="5"/>
      <c r="BY466" s="5"/>
      <c r="BZ466" s="5"/>
      <c r="CA466" s="5"/>
      <c r="CB466" s="5"/>
      <c r="CC466" s="5"/>
      <c r="CD466" s="5"/>
      <c r="CE466" s="5"/>
      <c r="CF466" s="5"/>
      <c r="CG466" s="5"/>
      <c r="CH466" s="5"/>
      <c r="CI466" s="5" t="s">
        <v>417</v>
      </c>
      <c r="CJ466" s="5">
        <v>63</v>
      </c>
      <c r="CK466" s="5" t="s">
        <v>80</v>
      </c>
      <c r="CL466" s="5" t="s">
        <v>510</v>
      </c>
      <c r="CM466" s="5" t="s">
        <v>418</v>
      </c>
      <c r="CN466" s="5" t="s">
        <v>416</v>
      </c>
      <c r="CO466" s="5" t="s">
        <v>82</v>
      </c>
      <c r="CP466" s="5"/>
      <c r="CQ466" s="5" t="s">
        <v>84</v>
      </c>
      <c r="CR466" s="5" t="s">
        <v>99</v>
      </c>
      <c r="CS466" s="5" t="s">
        <v>86</v>
      </c>
      <c r="CT466" s="5" t="s">
        <v>384</v>
      </c>
      <c r="CU466" s="5" t="s">
        <v>86</v>
      </c>
    </row>
    <row r="467" spans="1:99">
      <c r="A467" s="5">
        <v>18031751982</v>
      </c>
      <c r="B467" s="5"/>
      <c r="C467" s="5" t="s">
        <v>17</v>
      </c>
      <c r="D467" s="5" t="s">
        <v>18</v>
      </c>
      <c r="E467" s="5"/>
      <c r="F467" s="5"/>
      <c r="G467" s="5"/>
      <c r="H467" s="5"/>
      <c r="I467" s="5"/>
      <c r="J467" s="5" t="s">
        <v>24</v>
      </c>
      <c r="K467" s="5"/>
      <c r="L467" s="5"/>
      <c r="M467" s="5"/>
      <c r="N467" s="5"/>
      <c r="O467" s="5"/>
      <c r="P467" s="5" t="s">
        <v>16</v>
      </c>
      <c r="Q467" s="5"/>
      <c r="R467" s="5"/>
      <c r="S467" s="5"/>
      <c r="T467" s="5"/>
      <c r="U467" s="5"/>
      <c r="V467" s="5"/>
      <c r="W467" s="5" t="s">
        <v>23</v>
      </c>
      <c r="X467" s="5"/>
      <c r="Y467" s="5"/>
      <c r="Z467" s="5"/>
      <c r="AA467" s="5"/>
      <c r="AB467" s="5" t="s">
        <v>28</v>
      </c>
      <c r="AC467" s="5"/>
      <c r="AD467" s="5"/>
      <c r="AE467" s="5"/>
      <c r="AF467" s="5" t="s">
        <v>31</v>
      </c>
      <c r="AG467" s="5"/>
      <c r="AH467" s="5"/>
      <c r="AI467" s="5"/>
      <c r="AJ467" s="5"/>
      <c r="AK467" s="5" t="s">
        <v>36</v>
      </c>
      <c r="AL467" s="5"/>
      <c r="AM467" s="5" t="s">
        <v>375</v>
      </c>
      <c r="AN467" s="5"/>
      <c r="AO467" s="5"/>
      <c r="AP467" s="5" t="s">
        <v>39</v>
      </c>
      <c r="AQ467" s="5" t="s">
        <v>40</v>
      </c>
      <c r="AR467" s="5"/>
      <c r="AS467" s="5"/>
      <c r="AT467" s="5"/>
      <c r="AU467" s="5"/>
      <c r="AV467" s="5"/>
      <c r="AW467" s="5" t="s">
        <v>45</v>
      </c>
      <c r="AX467" s="5"/>
      <c r="AY467" s="5"/>
      <c r="AZ467" s="5"/>
      <c r="BA467" s="5"/>
      <c r="BB467" s="5"/>
      <c r="BC467" s="5"/>
      <c r="BD467" s="5" t="s">
        <v>51</v>
      </c>
      <c r="BE467" s="5"/>
      <c r="BF467" s="5"/>
      <c r="BG467" s="5"/>
      <c r="BH467" s="5"/>
      <c r="BI467" s="5"/>
      <c r="BJ467" s="5"/>
      <c r="BK467" s="5"/>
      <c r="BL467" s="5" t="s">
        <v>58</v>
      </c>
      <c r="BM467" s="5"/>
      <c r="BN467" s="5" t="s">
        <v>24</v>
      </c>
      <c r="BO467" s="5"/>
      <c r="BP467" s="5"/>
      <c r="BQ467" s="5"/>
      <c r="BR467" s="5"/>
      <c r="BS467" s="5"/>
      <c r="BT467" s="5"/>
      <c r="BU467" s="5" t="s">
        <v>64</v>
      </c>
      <c r="BV467" s="5"/>
      <c r="BW467" s="5"/>
      <c r="BX467" s="5"/>
      <c r="BY467" s="5"/>
      <c r="BZ467" s="5"/>
      <c r="CA467" s="5"/>
      <c r="CB467" s="5"/>
      <c r="CC467" s="5"/>
      <c r="CD467" s="5"/>
      <c r="CE467" s="5"/>
      <c r="CF467" s="5"/>
      <c r="CG467" s="5"/>
      <c r="CH467" s="5"/>
      <c r="CI467" s="5" t="s">
        <v>417</v>
      </c>
      <c r="CJ467" s="5"/>
      <c r="CK467" s="5" t="s">
        <v>141</v>
      </c>
      <c r="CL467" s="5" t="s">
        <v>152</v>
      </c>
      <c r="CM467" s="5" t="s">
        <v>418</v>
      </c>
      <c r="CN467" s="5" t="s">
        <v>416</v>
      </c>
      <c r="CO467" s="5" t="s">
        <v>82</v>
      </c>
      <c r="CP467" s="5" t="s">
        <v>83</v>
      </c>
      <c r="CQ467" s="5" t="s">
        <v>103</v>
      </c>
      <c r="CR467" s="5" t="s">
        <v>85</v>
      </c>
      <c r="CS467" s="5" t="s">
        <v>86</v>
      </c>
      <c r="CT467" s="5" t="s">
        <v>384</v>
      </c>
      <c r="CU467" s="5" t="s">
        <v>86</v>
      </c>
    </row>
    <row r="468" spans="1:99">
      <c r="A468" s="5">
        <v>18031751744</v>
      </c>
      <c r="B468" s="5"/>
      <c r="C468" s="5"/>
      <c r="D468" s="5" t="s">
        <v>18</v>
      </c>
      <c r="E468" s="5"/>
      <c r="F468" s="5"/>
      <c r="G468" s="5"/>
      <c r="H468" s="5"/>
      <c r="I468" s="5"/>
      <c r="J468" s="5" t="s">
        <v>24</v>
      </c>
      <c r="K468" s="5" t="s">
        <v>25</v>
      </c>
      <c r="L468" s="5" t="s">
        <v>26</v>
      </c>
      <c r="M468" s="5"/>
      <c r="N468" s="5"/>
      <c r="O468" s="5"/>
      <c r="P468" s="5"/>
      <c r="Q468" s="5"/>
      <c r="R468" s="5"/>
      <c r="S468" s="5"/>
      <c r="T468" s="5"/>
      <c r="U468" s="5"/>
      <c r="V468" s="5"/>
      <c r="W468" s="5"/>
      <c r="X468" s="5" t="s">
        <v>24</v>
      </c>
      <c r="Y468" s="5"/>
      <c r="Z468" s="5"/>
      <c r="AA468" s="5"/>
      <c r="AB468" s="5"/>
      <c r="AC468" s="5"/>
      <c r="AD468" s="5"/>
      <c r="AE468" s="5"/>
      <c r="AF468" s="5"/>
      <c r="AG468" s="5"/>
      <c r="AH468" s="5"/>
      <c r="AI468" s="5" t="s">
        <v>34</v>
      </c>
      <c r="AJ468" s="5"/>
      <c r="AK468" s="5" t="s">
        <v>36</v>
      </c>
      <c r="AL468" s="5"/>
      <c r="AM468" s="5" t="s">
        <v>375</v>
      </c>
      <c r="AN468" s="5"/>
      <c r="AO468" s="5"/>
      <c r="AP468" s="5" t="s">
        <v>39</v>
      </c>
      <c r="AQ468" s="5"/>
      <c r="AR468" s="5"/>
      <c r="AS468" s="5"/>
      <c r="AT468" s="5"/>
      <c r="AU468" s="5" t="s">
        <v>43</v>
      </c>
      <c r="AV468" s="5"/>
      <c r="AW468" s="5" t="s">
        <v>45</v>
      </c>
      <c r="AX468" s="5"/>
      <c r="AY468" s="5"/>
      <c r="AZ468" s="5"/>
      <c r="BA468" s="5"/>
      <c r="BB468" s="5"/>
      <c r="BC468" s="5"/>
      <c r="BD468" s="5" t="s">
        <v>51</v>
      </c>
      <c r="BE468" s="5"/>
      <c r="BF468" s="5"/>
      <c r="BG468" s="5"/>
      <c r="BH468" s="5"/>
      <c r="BI468" s="5" t="s">
        <v>55</v>
      </c>
      <c r="BJ468" s="5"/>
      <c r="BK468" s="5"/>
      <c r="BL468" s="5"/>
      <c r="BM468" s="5"/>
      <c r="BN468" s="5" t="s">
        <v>24</v>
      </c>
      <c r="BO468" s="5"/>
      <c r="BP468" s="5"/>
      <c r="BQ468" s="5"/>
      <c r="BR468" s="5"/>
      <c r="BS468" s="5"/>
      <c r="BT468" s="5"/>
      <c r="BU468" s="5" t="s">
        <v>64</v>
      </c>
      <c r="BV468" s="5"/>
      <c r="BW468" s="5"/>
      <c r="BX468" s="5" t="s">
        <v>67</v>
      </c>
      <c r="BY468" s="5" t="s">
        <v>68</v>
      </c>
      <c r="BZ468" s="5"/>
      <c r="CA468" s="5" t="s">
        <v>70</v>
      </c>
      <c r="CB468" s="5"/>
      <c r="CC468" s="5"/>
      <c r="CD468" s="5" t="s">
        <v>73</v>
      </c>
      <c r="CE468" s="5"/>
      <c r="CF468" s="5"/>
      <c r="CG468" s="5"/>
      <c r="CH468" s="5"/>
      <c r="CI468" s="5" t="s">
        <v>414</v>
      </c>
      <c r="CJ468" s="5">
        <v>59</v>
      </c>
      <c r="CK468" s="5" t="s">
        <v>141</v>
      </c>
      <c r="CL468" s="5" t="s">
        <v>176</v>
      </c>
      <c r="CM468" s="5" t="s">
        <v>415</v>
      </c>
      <c r="CN468" s="5" t="s">
        <v>416</v>
      </c>
      <c r="CO468" s="5" t="s">
        <v>82</v>
      </c>
      <c r="CP468" s="5" t="s">
        <v>83</v>
      </c>
      <c r="CQ468" s="5" t="s">
        <v>103</v>
      </c>
      <c r="CR468" s="5" t="s">
        <v>105</v>
      </c>
      <c r="CS468" s="5" t="s">
        <v>86</v>
      </c>
      <c r="CT468" s="5" t="s">
        <v>384</v>
      </c>
      <c r="CU468" s="5" t="s">
        <v>86</v>
      </c>
    </row>
    <row r="469" spans="1:99">
      <c r="A469" s="5">
        <v>18031751661</v>
      </c>
      <c r="B469" s="5"/>
      <c r="C469" s="5" t="s">
        <v>17</v>
      </c>
      <c r="D469" s="5" t="s">
        <v>18</v>
      </c>
      <c r="E469" s="5"/>
      <c r="F469" s="5"/>
      <c r="G469" s="5"/>
      <c r="H469" s="5"/>
      <c r="I469" s="5"/>
      <c r="J469" s="5"/>
      <c r="K469" s="5"/>
      <c r="L469" s="5"/>
      <c r="M469" s="5" t="s">
        <v>27</v>
      </c>
      <c r="N469" s="5"/>
      <c r="O469" s="5"/>
      <c r="P469" s="5"/>
      <c r="Q469" s="5" t="s">
        <v>17</v>
      </c>
      <c r="R469" s="5" t="s">
        <v>18</v>
      </c>
      <c r="S469" s="5"/>
      <c r="T469" s="5"/>
      <c r="U469" s="5"/>
      <c r="V469" s="5"/>
      <c r="W469" s="5"/>
      <c r="X469" s="5"/>
      <c r="Y469" s="5"/>
      <c r="Z469" s="5"/>
      <c r="AA469" s="5"/>
      <c r="AB469" s="5"/>
      <c r="AC469" s="5"/>
      <c r="AD469" s="5"/>
      <c r="AE469" s="5"/>
      <c r="AF469" s="5"/>
      <c r="AG469" s="5"/>
      <c r="AH469" s="5"/>
      <c r="AI469" s="5"/>
      <c r="AJ469" s="5"/>
      <c r="AK469" s="5" t="s">
        <v>36</v>
      </c>
      <c r="AL469" s="5"/>
      <c r="AM469" s="5" t="s">
        <v>375</v>
      </c>
      <c r="AN469" s="5"/>
      <c r="AO469" s="5" t="s">
        <v>38</v>
      </c>
      <c r="AP469" s="5"/>
      <c r="AQ469" s="5"/>
      <c r="AR469" s="5"/>
      <c r="AS469" s="5"/>
      <c r="AT469" s="5"/>
      <c r="AU469" s="5" t="s">
        <v>43</v>
      </c>
      <c r="AV469" s="5"/>
      <c r="AW469" s="5"/>
      <c r="AX469" s="5"/>
      <c r="AY469" s="5"/>
      <c r="AZ469" s="5"/>
      <c r="BA469" s="5"/>
      <c r="BB469" s="5"/>
      <c r="BC469" s="5"/>
      <c r="BD469" s="5"/>
      <c r="BE469" s="5"/>
      <c r="BF469" s="5"/>
      <c r="BG469" s="5"/>
      <c r="BH469" s="5"/>
      <c r="BI469" s="5"/>
      <c r="BJ469" s="5"/>
      <c r="BK469" s="5"/>
      <c r="BL469" s="5" t="s">
        <v>58</v>
      </c>
      <c r="BM469" s="5"/>
      <c r="BN469" s="5"/>
      <c r="BO469" s="5"/>
      <c r="BP469" s="5"/>
      <c r="BQ469" s="5"/>
      <c r="BR469" s="5" t="s">
        <v>62</v>
      </c>
      <c r="BS469" s="5"/>
      <c r="BT469" s="5"/>
      <c r="BU469" s="5" t="s">
        <v>64</v>
      </c>
      <c r="BV469" s="5"/>
      <c r="BW469" s="5"/>
      <c r="BX469" s="5" t="s">
        <v>67</v>
      </c>
      <c r="BY469" s="5"/>
      <c r="BZ469" s="5"/>
      <c r="CA469" s="5"/>
      <c r="CB469" s="5"/>
      <c r="CC469" s="5"/>
      <c r="CD469" s="5"/>
      <c r="CE469" s="5"/>
      <c r="CF469" s="5"/>
      <c r="CG469" s="5"/>
      <c r="CH469" s="5"/>
      <c r="CI469" s="5" t="s">
        <v>417</v>
      </c>
      <c r="CJ469" s="5">
        <v>71</v>
      </c>
      <c r="CK469" s="5" t="s">
        <v>80</v>
      </c>
      <c r="CL469" s="5" t="s">
        <v>116</v>
      </c>
      <c r="CM469" s="5" t="s">
        <v>418</v>
      </c>
      <c r="CN469" s="5" t="s">
        <v>416</v>
      </c>
      <c r="CO469" s="5" t="s">
        <v>82</v>
      </c>
      <c r="CP469" s="5" t="s">
        <v>97</v>
      </c>
      <c r="CQ469" s="5" t="s">
        <v>95</v>
      </c>
      <c r="CR469" s="5" t="s">
        <v>99</v>
      </c>
      <c r="CS469" s="5" t="s">
        <v>86</v>
      </c>
      <c r="CT469" s="5" t="s">
        <v>385</v>
      </c>
      <c r="CU469" s="5" t="s">
        <v>86</v>
      </c>
    </row>
    <row r="470" spans="1:99">
      <c r="A470" s="5">
        <v>18031751575</v>
      </c>
      <c r="B470" s="5"/>
      <c r="C470" s="5" t="s">
        <v>17</v>
      </c>
      <c r="D470" s="5" t="s">
        <v>18</v>
      </c>
      <c r="E470" s="5"/>
      <c r="F470" s="5"/>
      <c r="G470" s="5"/>
      <c r="H470" s="5"/>
      <c r="I470" s="5"/>
      <c r="J470" s="5" t="s">
        <v>24</v>
      </c>
      <c r="K470" s="5"/>
      <c r="L470" s="5"/>
      <c r="M470" s="5"/>
      <c r="N470" s="5"/>
      <c r="O470" s="5"/>
      <c r="P470" s="5"/>
      <c r="Q470" s="5"/>
      <c r="R470" s="5" t="s">
        <v>18</v>
      </c>
      <c r="S470" s="5"/>
      <c r="T470" s="5"/>
      <c r="U470" s="5"/>
      <c r="V470" s="5"/>
      <c r="W470" s="5"/>
      <c r="X470" s="5" t="s">
        <v>24</v>
      </c>
      <c r="Y470" s="5"/>
      <c r="Z470" s="5"/>
      <c r="AA470" s="5"/>
      <c r="AB470" s="5"/>
      <c r="AC470" s="5"/>
      <c r="AD470" s="5"/>
      <c r="AE470" s="5"/>
      <c r="AF470" s="5"/>
      <c r="AG470" s="5"/>
      <c r="AH470" s="5"/>
      <c r="AI470" s="5"/>
      <c r="AJ470" s="5"/>
      <c r="AK470" s="5" t="s">
        <v>36</v>
      </c>
      <c r="AL470" s="5"/>
      <c r="AM470" s="5" t="s">
        <v>375</v>
      </c>
      <c r="AN470" s="5"/>
      <c r="AO470" s="5" t="s">
        <v>38</v>
      </c>
      <c r="AP470" s="5"/>
      <c r="AQ470" s="5"/>
      <c r="AR470" s="5"/>
      <c r="AS470" s="5"/>
      <c r="AT470" s="5"/>
      <c r="AU470" s="5" t="s">
        <v>43</v>
      </c>
      <c r="AV470" s="5"/>
      <c r="AW470" s="5"/>
      <c r="AX470" s="5"/>
      <c r="AY470" s="5"/>
      <c r="AZ470" s="5"/>
      <c r="BA470" s="5"/>
      <c r="BB470" s="5"/>
      <c r="BC470" s="5"/>
      <c r="BD470" s="5"/>
      <c r="BE470" s="5"/>
      <c r="BF470" s="5"/>
      <c r="BG470" s="5"/>
      <c r="BH470" s="5"/>
      <c r="BI470" s="5"/>
      <c r="BJ470" s="5"/>
      <c r="BK470" s="5"/>
      <c r="BL470" s="5" t="s">
        <v>58</v>
      </c>
      <c r="BM470" s="5"/>
      <c r="BN470" s="5" t="s">
        <v>24</v>
      </c>
      <c r="BO470" s="5"/>
      <c r="BP470" s="5"/>
      <c r="BQ470" s="5"/>
      <c r="BR470" s="5" t="s">
        <v>62</v>
      </c>
      <c r="BS470" s="5"/>
      <c r="BT470" s="5"/>
      <c r="BU470" s="5" t="s">
        <v>64</v>
      </c>
      <c r="BV470" s="5"/>
      <c r="BW470" s="5"/>
      <c r="BX470" s="5" t="s">
        <v>67</v>
      </c>
      <c r="BY470" s="5"/>
      <c r="BZ470" s="5"/>
      <c r="CA470" s="5"/>
      <c r="CB470" s="5"/>
      <c r="CC470" s="5"/>
      <c r="CD470" s="5"/>
      <c r="CE470" s="5"/>
      <c r="CF470" s="5"/>
      <c r="CG470" s="5"/>
      <c r="CH470" s="5"/>
      <c r="CI470" s="5" t="s">
        <v>414</v>
      </c>
      <c r="CJ470" s="5">
        <v>71</v>
      </c>
      <c r="CK470" s="5" t="s">
        <v>80</v>
      </c>
      <c r="CL470" s="5" t="s">
        <v>116</v>
      </c>
      <c r="CM470" s="5" t="s">
        <v>418</v>
      </c>
      <c r="CN470" s="5" t="s">
        <v>416</v>
      </c>
      <c r="CO470" s="5" t="s">
        <v>82</v>
      </c>
      <c r="CP470" s="5" t="s">
        <v>93</v>
      </c>
      <c r="CQ470" s="5" t="s">
        <v>104</v>
      </c>
      <c r="CR470" s="5" t="s">
        <v>99</v>
      </c>
      <c r="CS470" s="5" t="s">
        <v>86</v>
      </c>
      <c r="CT470" s="5" t="s">
        <v>385</v>
      </c>
      <c r="CU470" s="5" t="s">
        <v>86</v>
      </c>
    </row>
    <row r="471" spans="1:99">
      <c r="A471" s="5">
        <v>18031751500</v>
      </c>
      <c r="B471" s="5"/>
      <c r="C471" s="5"/>
      <c r="D471" s="5"/>
      <c r="E471" s="5" t="s">
        <v>19</v>
      </c>
      <c r="F471" s="5"/>
      <c r="G471" s="5"/>
      <c r="H471" s="5"/>
      <c r="I471" s="5"/>
      <c r="J471" s="5"/>
      <c r="K471" s="5"/>
      <c r="L471" s="5"/>
      <c r="M471" s="5"/>
      <c r="N471" s="5"/>
      <c r="O471" s="5"/>
      <c r="P471" s="5"/>
      <c r="Q471" s="5" t="s">
        <v>17</v>
      </c>
      <c r="R471" s="5" t="s">
        <v>18</v>
      </c>
      <c r="S471" s="5"/>
      <c r="T471" s="5"/>
      <c r="U471" s="5"/>
      <c r="V471" s="5" t="s">
        <v>22</v>
      </c>
      <c r="W471" s="5"/>
      <c r="X471" s="5"/>
      <c r="Y471" s="5"/>
      <c r="Z471" s="5"/>
      <c r="AA471" s="5"/>
      <c r="AB471" s="5"/>
      <c r="AC471" s="5"/>
      <c r="AD471" s="5"/>
      <c r="AE471" s="5" t="s">
        <v>30</v>
      </c>
      <c r="AF471" s="5" t="s">
        <v>31</v>
      </c>
      <c r="AG471" s="5"/>
      <c r="AH471" s="5"/>
      <c r="AI471" s="5"/>
      <c r="AJ471" s="5" t="s">
        <v>35</v>
      </c>
      <c r="AK471" s="5"/>
      <c r="AL471" s="5"/>
      <c r="AM471" s="5"/>
      <c r="AN471" s="5"/>
      <c r="AO471" s="5" t="s">
        <v>38</v>
      </c>
      <c r="AP471" s="5" t="s">
        <v>39</v>
      </c>
      <c r="AQ471" s="5"/>
      <c r="AR471" s="5"/>
      <c r="AS471" s="5"/>
      <c r="AT471" s="5" t="s">
        <v>37</v>
      </c>
      <c r="AU471" s="5"/>
      <c r="AV471" s="5"/>
      <c r="AW471" s="5"/>
      <c r="AX471" s="5"/>
      <c r="AY471" s="5"/>
      <c r="AZ471" s="5"/>
      <c r="BA471" s="5"/>
      <c r="BB471" s="5"/>
      <c r="BC471" s="5"/>
      <c r="BD471" s="5"/>
      <c r="BE471" s="5" t="s">
        <v>17</v>
      </c>
      <c r="BF471" s="5"/>
      <c r="BG471" s="5"/>
      <c r="BH471" s="5"/>
      <c r="BI471" s="5"/>
      <c r="BJ471" s="5"/>
      <c r="BK471" s="5"/>
      <c r="BL471" s="5" t="s">
        <v>58</v>
      </c>
      <c r="BM471" s="5"/>
      <c r="BN471" s="5" t="s">
        <v>24</v>
      </c>
      <c r="BO471" s="5"/>
      <c r="BP471" s="5"/>
      <c r="BQ471" s="5"/>
      <c r="BR471" s="5"/>
      <c r="BS471" s="5"/>
      <c r="BT471" s="5"/>
      <c r="BU471" s="5" t="s">
        <v>64</v>
      </c>
      <c r="BV471" s="5"/>
      <c r="BW471" s="5"/>
      <c r="BX471" s="5"/>
      <c r="BY471" s="5"/>
      <c r="BZ471" s="5"/>
      <c r="CA471" s="5"/>
      <c r="CB471" s="5"/>
      <c r="CC471" s="5"/>
      <c r="CD471" s="5"/>
      <c r="CE471" s="5"/>
      <c r="CF471" s="5" t="s">
        <v>75</v>
      </c>
      <c r="CG471" s="5"/>
      <c r="CH471" s="5"/>
      <c r="CI471" s="5" t="s">
        <v>417</v>
      </c>
      <c r="CJ471" s="5">
        <v>65</v>
      </c>
      <c r="CK471" s="5" t="s">
        <v>141</v>
      </c>
      <c r="CL471" s="5" t="s">
        <v>177</v>
      </c>
      <c r="CM471" s="5" t="s">
        <v>423</v>
      </c>
      <c r="CN471" s="5"/>
      <c r="CO471" s="5" t="s">
        <v>82</v>
      </c>
      <c r="CP471" s="5" t="s">
        <v>83</v>
      </c>
      <c r="CQ471" s="5" t="s">
        <v>84</v>
      </c>
      <c r="CR471" s="5" t="s">
        <v>85</v>
      </c>
      <c r="CS471" s="5" t="s">
        <v>86</v>
      </c>
      <c r="CT471" s="5" t="s">
        <v>384</v>
      </c>
      <c r="CU471" s="5" t="s">
        <v>86</v>
      </c>
    </row>
    <row r="472" spans="1:99">
      <c r="A472" s="5">
        <v>18031751432</v>
      </c>
      <c r="B472" s="5"/>
      <c r="C472" s="5"/>
      <c r="D472" s="5" t="s">
        <v>18</v>
      </c>
      <c r="E472" s="5" t="s">
        <v>19</v>
      </c>
      <c r="F472" s="5"/>
      <c r="G472" s="5"/>
      <c r="H472" s="5"/>
      <c r="I472" s="5"/>
      <c r="J472" s="5"/>
      <c r="K472" s="5"/>
      <c r="L472" s="5" t="s">
        <v>26</v>
      </c>
      <c r="M472" s="5"/>
      <c r="N472" s="5"/>
      <c r="O472" s="5"/>
      <c r="P472" s="5"/>
      <c r="Q472" s="5"/>
      <c r="R472" s="5" t="s">
        <v>18</v>
      </c>
      <c r="S472" s="5" t="s">
        <v>19</v>
      </c>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t="s">
        <v>41</v>
      </c>
      <c r="AS472" s="5"/>
      <c r="AT472" s="5"/>
      <c r="AU472" s="5"/>
      <c r="AV472" s="5"/>
      <c r="AW472" s="5"/>
      <c r="AX472" s="5"/>
      <c r="AY472" s="5" t="s">
        <v>47</v>
      </c>
      <c r="AZ472" s="5"/>
      <c r="BA472" s="5"/>
      <c r="BB472" s="5" t="s">
        <v>49</v>
      </c>
      <c r="BC472" s="5"/>
      <c r="BD472" s="5"/>
      <c r="BE472" s="5"/>
      <c r="BF472" s="5"/>
      <c r="BG472" s="5"/>
      <c r="BH472" s="5"/>
      <c r="BI472" s="5"/>
      <c r="BJ472" s="5"/>
      <c r="BK472" s="5" t="s">
        <v>57</v>
      </c>
      <c r="BL472" s="5"/>
      <c r="BM472" s="5"/>
      <c r="BN472" s="5"/>
      <c r="BO472" s="5"/>
      <c r="BP472" s="5"/>
      <c r="BQ472" s="5"/>
      <c r="BR472" s="5"/>
      <c r="BS472" s="5" t="s">
        <v>63</v>
      </c>
      <c r="BT472" s="5"/>
      <c r="BU472" s="5"/>
      <c r="BV472" s="5"/>
      <c r="BW472" s="5"/>
      <c r="BX472" s="5" t="s">
        <v>67</v>
      </c>
      <c r="BY472" s="5"/>
      <c r="BZ472" s="5"/>
      <c r="CA472" s="5"/>
      <c r="CB472" s="5"/>
      <c r="CC472" s="5"/>
      <c r="CD472" s="5"/>
      <c r="CE472" s="5" t="s">
        <v>74</v>
      </c>
      <c r="CF472" s="5"/>
      <c r="CG472" s="5"/>
      <c r="CH472" s="5"/>
      <c r="CI472" s="5" t="s">
        <v>417</v>
      </c>
      <c r="CJ472" s="5">
        <v>72</v>
      </c>
      <c r="CK472" s="5" t="s">
        <v>141</v>
      </c>
      <c r="CL472" s="5" t="s">
        <v>182</v>
      </c>
      <c r="CM472" s="5" t="s">
        <v>418</v>
      </c>
      <c r="CN472" s="5" t="s">
        <v>416</v>
      </c>
      <c r="CO472" s="5" t="s">
        <v>82</v>
      </c>
      <c r="CP472" s="5" t="s">
        <v>97</v>
      </c>
      <c r="CQ472" s="5" t="s">
        <v>95</v>
      </c>
      <c r="CR472" s="5" t="s">
        <v>99</v>
      </c>
      <c r="CS472" s="5" t="s">
        <v>86</v>
      </c>
      <c r="CT472" s="5" t="s">
        <v>386</v>
      </c>
      <c r="CU472" s="5" t="s">
        <v>86</v>
      </c>
    </row>
    <row r="473" spans="1:99">
      <c r="A473" s="5">
        <v>18031751329</v>
      </c>
      <c r="B473" s="5"/>
      <c r="C473" s="5"/>
      <c r="D473" s="5"/>
      <c r="E473" s="5"/>
      <c r="F473" s="5"/>
      <c r="G473" s="5"/>
      <c r="H473" s="5"/>
      <c r="I473" s="5"/>
      <c r="J473" s="5" t="s">
        <v>24</v>
      </c>
      <c r="K473" s="5" t="s">
        <v>25</v>
      </c>
      <c r="L473" s="5"/>
      <c r="M473" s="5" t="s">
        <v>27</v>
      </c>
      <c r="N473" s="5" t="s">
        <v>28</v>
      </c>
      <c r="O473" s="5"/>
      <c r="P473" s="5"/>
      <c r="Q473" s="5" t="s">
        <v>17</v>
      </c>
      <c r="R473" s="5" t="s">
        <v>18</v>
      </c>
      <c r="S473" s="5"/>
      <c r="T473" s="5"/>
      <c r="U473" s="5"/>
      <c r="V473" s="5"/>
      <c r="W473" s="5"/>
      <c r="X473" s="5" t="s">
        <v>24</v>
      </c>
      <c r="Y473" s="5"/>
      <c r="Z473" s="5"/>
      <c r="AA473" s="5"/>
      <c r="AB473" s="5"/>
      <c r="AC473" s="5"/>
      <c r="AD473" s="5"/>
      <c r="AE473" s="5"/>
      <c r="AF473" s="5"/>
      <c r="AG473" s="5"/>
      <c r="AH473" s="5"/>
      <c r="AI473" s="5"/>
      <c r="AJ473" s="5"/>
      <c r="AK473" s="5"/>
      <c r="AL473" s="5"/>
      <c r="AM473" s="5" t="s">
        <v>375</v>
      </c>
      <c r="AN473" s="5" t="s">
        <v>495</v>
      </c>
      <c r="AO473" s="5" t="s">
        <v>38</v>
      </c>
      <c r="AP473" s="5"/>
      <c r="AQ473" s="5"/>
      <c r="AR473" s="5"/>
      <c r="AS473" s="5"/>
      <c r="AT473" s="5"/>
      <c r="AU473" s="5" t="s">
        <v>43</v>
      </c>
      <c r="AV473" s="5"/>
      <c r="AW473" s="5" t="s">
        <v>45</v>
      </c>
      <c r="AX473" s="5"/>
      <c r="AY473" s="5"/>
      <c r="AZ473" s="5"/>
      <c r="BA473" s="5"/>
      <c r="BB473" s="5" t="s">
        <v>49</v>
      </c>
      <c r="BC473" s="5"/>
      <c r="BD473" s="5"/>
      <c r="BE473" s="5"/>
      <c r="BF473" s="5"/>
      <c r="BG473" s="5"/>
      <c r="BH473" s="5" t="s">
        <v>54</v>
      </c>
      <c r="BI473" s="5"/>
      <c r="BJ473" s="5"/>
      <c r="BK473" s="5"/>
      <c r="BL473" s="5"/>
      <c r="BM473" s="5"/>
      <c r="BN473" s="5" t="s">
        <v>24</v>
      </c>
      <c r="BO473" s="5"/>
      <c r="BP473" s="5"/>
      <c r="BQ473" s="5"/>
      <c r="BR473" s="5"/>
      <c r="BS473" s="5"/>
      <c r="BT473" s="5"/>
      <c r="BU473" s="5" t="s">
        <v>64</v>
      </c>
      <c r="BV473" s="5"/>
      <c r="BW473" s="5"/>
      <c r="BX473" s="5"/>
      <c r="BY473" s="5"/>
      <c r="BZ473" s="5"/>
      <c r="CA473" s="5"/>
      <c r="CB473" s="5"/>
      <c r="CC473" s="5"/>
      <c r="CD473" s="5"/>
      <c r="CE473" s="5"/>
      <c r="CF473" s="5" t="s">
        <v>75</v>
      </c>
      <c r="CG473" s="5"/>
      <c r="CH473" s="5"/>
      <c r="CI473" s="5" t="s">
        <v>417</v>
      </c>
      <c r="CJ473" s="5"/>
      <c r="CK473" s="5" t="s">
        <v>80</v>
      </c>
      <c r="CL473" s="5" t="s">
        <v>112</v>
      </c>
      <c r="CM473" s="5" t="s">
        <v>418</v>
      </c>
      <c r="CN473" s="5" t="s">
        <v>416</v>
      </c>
      <c r="CO473" s="5" t="s">
        <v>82</v>
      </c>
      <c r="CP473" s="5" t="s">
        <v>90</v>
      </c>
      <c r="CQ473" s="5"/>
      <c r="CR473" s="5" t="s">
        <v>96</v>
      </c>
      <c r="CS473" s="5" t="s">
        <v>86</v>
      </c>
      <c r="CT473" s="5" t="s">
        <v>385</v>
      </c>
      <c r="CU473" s="5" t="s">
        <v>86</v>
      </c>
    </row>
    <row r="474" spans="1:99">
      <c r="A474" s="5">
        <v>18031751209</v>
      </c>
      <c r="B474" s="5"/>
      <c r="C474" s="5" t="s">
        <v>17</v>
      </c>
      <c r="D474" s="5"/>
      <c r="E474" s="5"/>
      <c r="F474" s="5"/>
      <c r="G474" s="5"/>
      <c r="H474" s="5"/>
      <c r="I474" s="5"/>
      <c r="J474" s="5"/>
      <c r="K474" s="5"/>
      <c r="L474" s="5"/>
      <c r="M474" s="5"/>
      <c r="N474" s="5"/>
      <c r="O474" s="5"/>
      <c r="P474" s="5"/>
      <c r="Q474" s="5"/>
      <c r="R474" s="5"/>
      <c r="S474" s="5"/>
      <c r="T474" s="5"/>
      <c r="U474" s="5"/>
      <c r="V474" s="5"/>
      <c r="W474" s="5"/>
      <c r="X474" s="5" t="s">
        <v>24</v>
      </c>
      <c r="Y474" s="5"/>
      <c r="Z474" s="5"/>
      <c r="AA474" s="5"/>
      <c r="AB474" s="5"/>
      <c r="AC474" s="5"/>
      <c r="AD474" s="5"/>
      <c r="AE474" s="5"/>
      <c r="AF474" s="5"/>
      <c r="AG474" s="5"/>
      <c r="AH474" s="5"/>
      <c r="AI474" s="5"/>
      <c r="AJ474" s="5"/>
      <c r="AK474" s="5" t="s">
        <v>36</v>
      </c>
      <c r="AL474" s="5"/>
      <c r="AM474" s="5"/>
      <c r="AN474" s="5"/>
      <c r="AO474" s="5" t="s">
        <v>38</v>
      </c>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t="s">
        <v>24</v>
      </c>
      <c r="BO474" s="5"/>
      <c r="BP474" s="5"/>
      <c r="BQ474" s="5"/>
      <c r="BR474" s="5"/>
      <c r="BS474" s="5"/>
      <c r="BT474" s="5"/>
      <c r="BU474" s="5" t="s">
        <v>64</v>
      </c>
      <c r="BV474" s="5"/>
      <c r="BW474" s="5"/>
      <c r="BX474" s="5"/>
      <c r="BY474" s="5"/>
      <c r="BZ474" s="5"/>
      <c r="CA474" s="5"/>
      <c r="CB474" s="5"/>
      <c r="CC474" s="5"/>
      <c r="CD474" s="5"/>
      <c r="CE474" s="5"/>
      <c r="CF474" s="5"/>
      <c r="CG474" s="5"/>
      <c r="CH474" s="5"/>
      <c r="CI474" s="5" t="s">
        <v>414</v>
      </c>
      <c r="CJ474" s="5">
        <v>81</v>
      </c>
      <c r="CK474" s="5" t="s">
        <v>80</v>
      </c>
      <c r="CL474" s="5" t="s">
        <v>511</v>
      </c>
      <c r="CM474" s="5" t="s">
        <v>418</v>
      </c>
      <c r="CN474" s="5" t="s">
        <v>416</v>
      </c>
      <c r="CO474" s="5" t="s">
        <v>82</v>
      </c>
      <c r="CP474" s="5" t="s">
        <v>94</v>
      </c>
      <c r="CQ474" s="5" t="s">
        <v>104</v>
      </c>
      <c r="CR474" s="5" t="s">
        <v>85</v>
      </c>
      <c r="CS474" s="5" t="s">
        <v>86</v>
      </c>
      <c r="CT474" s="5" t="s">
        <v>386</v>
      </c>
      <c r="CU474" s="5" t="s">
        <v>86</v>
      </c>
    </row>
    <row r="475" spans="1:99">
      <c r="A475" s="5">
        <v>18031751111</v>
      </c>
      <c r="B475" s="5"/>
      <c r="C475" s="5" t="s">
        <v>17</v>
      </c>
      <c r="D475" s="5"/>
      <c r="E475" s="5"/>
      <c r="F475" s="5"/>
      <c r="G475" s="5" t="s">
        <v>21</v>
      </c>
      <c r="H475" s="5"/>
      <c r="I475" s="5" t="s">
        <v>23</v>
      </c>
      <c r="J475" s="5"/>
      <c r="K475" s="5"/>
      <c r="L475" s="5"/>
      <c r="M475" s="5"/>
      <c r="N475" s="5"/>
      <c r="O475" s="5"/>
      <c r="P475" s="5"/>
      <c r="Q475" s="5" t="s">
        <v>17</v>
      </c>
      <c r="R475" s="5"/>
      <c r="S475" s="5"/>
      <c r="T475" s="5"/>
      <c r="U475" s="5" t="s">
        <v>21</v>
      </c>
      <c r="V475" s="5"/>
      <c r="W475" s="5" t="s">
        <v>23</v>
      </c>
      <c r="X475" s="5"/>
      <c r="Y475" s="5"/>
      <c r="Z475" s="5"/>
      <c r="AA475" s="5"/>
      <c r="AB475" s="5"/>
      <c r="AC475" s="5"/>
      <c r="AD475" s="5"/>
      <c r="AE475" s="5"/>
      <c r="AF475" s="5"/>
      <c r="AG475" s="5" t="s">
        <v>32</v>
      </c>
      <c r="AH475" s="5"/>
      <c r="AI475" s="5"/>
      <c r="AJ475" s="5" t="s">
        <v>35</v>
      </c>
      <c r="AK475" s="5"/>
      <c r="AL475" s="5"/>
      <c r="AM475" s="5" t="s">
        <v>375</v>
      </c>
      <c r="AN475" s="5"/>
      <c r="AO475" s="5" t="s">
        <v>38</v>
      </c>
      <c r="AP475" s="5"/>
      <c r="AQ475" s="5"/>
      <c r="AR475" s="5"/>
      <c r="AS475" s="5"/>
      <c r="AT475" s="5" t="s">
        <v>37</v>
      </c>
      <c r="AU475" s="5"/>
      <c r="AV475" s="5"/>
      <c r="AW475" s="5"/>
      <c r="AX475" s="5"/>
      <c r="AY475" s="5" t="s">
        <v>47</v>
      </c>
      <c r="AZ475" s="5"/>
      <c r="BA475" s="5"/>
      <c r="BB475" s="5"/>
      <c r="BC475" s="5"/>
      <c r="BD475" s="5"/>
      <c r="BE475" s="5" t="s">
        <v>17</v>
      </c>
      <c r="BF475" s="5"/>
      <c r="BG475" s="5"/>
      <c r="BH475" s="5"/>
      <c r="BI475" s="5"/>
      <c r="BJ475" s="5"/>
      <c r="BK475" s="5"/>
      <c r="BL475" s="5"/>
      <c r="BM475" s="5"/>
      <c r="BN475" s="5"/>
      <c r="BO475" s="5"/>
      <c r="BP475" s="5" t="s">
        <v>60</v>
      </c>
      <c r="BQ475" s="5"/>
      <c r="BR475" s="5" t="s">
        <v>62</v>
      </c>
      <c r="BS475" s="5"/>
      <c r="BT475" s="5"/>
      <c r="BU475" s="5" t="s">
        <v>64</v>
      </c>
      <c r="BV475" s="5"/>
      <c r="BW475" s="5"/>
      <c r="BX475" s="5"/>
      <c r="BY475" s="5"/>
      <c r="BZ475" s="5" t="s">
        <v>69</v>
      </c>
      <c r="CA475" s="5" t="s">
        <v>70</v>
      </c>
      <c r="CB475" s="5" t="s">
        <v>71</v>
      </c>
      <c r="CC475" s="5"/>
      <c r="CD475" s="5"/>
      <c r="CE475" s="5"/>
      <c r="CF475" s="5"/>
      <c r="CG475" s="5"/>
      <c r="CH475" s="5"/>
      <c r="CI475" s="5" t="s">
        <v>417</v>
      </c>
      <c r="CJ475" s="5">
        <v>61</v>
      </c>
      <c r="CK475" s="5" t="s">
        <v>80</v>
      </c>
      <c r="CL475" s="5" t="s">
        <v>371</v>
      </c>
      <c r="CM475" s="5" t="s">
        <v>418</v>
      </c>
      <c r="CN475" s="5" t="s">
        <v>416</v>
      </c>
      <c r="CO475" s="5" t="s">
        <v>82</v>
      </c>
      <c r="CP475" s="5" t="s">
        <v>93</v>
      </c>
      <c r="CQ475" s="5" t="s">
        <v>103</v>
      </c>
      <c r="CR475" s="5" t="s">
        <v>85</v>
      </c>
      <c r="CS475" s="5" t="s">
        <v>81</v>
      </c>
      <c r="CT475" s="5" t="s">
        <v>296</v>
      </c>
      <c r="CU475" s="5" t="s">
        <v>86</v>
      </c>
    </row>
    <row r="476" spans="1:99">
      <c r="A476" s="5">
        <v>18031750983</v>
      </c>
      <c r="B476" s="5"/>
      <c r="C476" s="5"/>
      <c r="D476" s="5" t="s">
        <v>18</v>
      </c>
      <c r="E476" s="5" t="s">
        <v>19</v>
      </c>
      <c r="F476" s="5"/>
      <c r="G476" s="5"/>
      <c r="H476" s="5"/>
      <c r="I476" s="5"/>
      <c r="J476" s="5" t="s">
        <v>24</v>
      </c>
      <c r="K476" s="5"/>
      <c r="L476" s="5"/>
      <c r="M476" s="5" t="s">
        <v>27</v>
      </c>
      <c r="N476" s="5"/>
      <c r="O476" s="5"/>
      <c r="P476" s="5"/>
      <c r="Q476" s="5"/>
      <c r="R476" s="5" t="s">
        <v>18</v>
      </c>
      <c r="S476" s="5"/>
      <c r="T476" s="5"/>
      <c r="U476" s="5"/>
      <c r="V476" s="5"/>
      <c r="W476" s="5"/>
      <c r="X476" s="5" t="s">
        <v>24</v>
      </c>
      <c r="Y476" s="5"/>
      <c r="Z476" s="5"/>
      <c r="AA476" s="5"/>
      <c r="AB476" s="5"/>
      <c r="AC476" s="5"/>
      <c r="AD476" s="5"/>
      <c r="AE476" s="5"/>
      <c r="AF476" s="5"/>
      <c r="AG476" s="5" t="s">
        <v>32</v>
      </c>
      <c r="AH476" s="5"/>
      <c r="AI476" s="5"/>
      <c r="AJ476" s="5"/>
      <c r="AK476" s="5"/>
      <c r="AL476" s="5"/>
      <c r="AM476" s="5"/>
      <c r="AN476" s="5"/>
      <c r="AO476" s="5" t="s">
        <v>38</v>
      </c>
      <c r="AP476" s="5"/>
      <c r="AQ476" s="5"/>
      <c r="AR476" s="5"/>
      <c r="AS476" s="5" t="s">
        <v>42</v>
      </c>
      <c r="AT476" s="5"/>
      <c r="AU476" s="5"/>
      <c r="AV476" s="5"/>
      <c r="AW476" s="5"/>
      <c r="AX476" s="5"/>
      <c r="AY476" s="5"/>
      <c r="AZ476" s="5"/>
      <c r="BA476" s="5"/>
      <c r="BB476" s="5" t="s">
        <v>49</v>
      </c>
      <c r="BC476" s="5"/>
      <c r="BD476" s="5"/>
      <c r="BE476" s="5" t="s">
        <v>17</v>
      </c>
      <c r="BF476" s="5"/>
      <c r="BG476" s="5"/>
      <c r="BH476" s="5" t="s">
        <v>54</v>
      </c>
      <c r="BI476" s="5"/>
      <c r="BJ476" s="5" t="s">
        <v>56</v>
      </c>
      <c r="BK476" s="5"/>
      <c r="BL476" s="5" t="s">
        <v>58</v>
      </c>
      <c r="BM476" s="5"/>
      <c r="BN476" s="5" t="s">
        <v>24</v>
      </c>
      <c r="BO476" s="5"/>
      <c r="BP476" s="5"/>
      <c r="BQ476" s="5"/>
      <c r="BR476" s="5"/>
      <c r="BS476" s="5"/>
      <c r="BT476" s="5"/>
      <c r="BU476" s="5"/>
      <c r="BV476" s="5"/>
      <c r="BW476" s="5"/>
      <c r="BX476" s="5"/>
      <c r="BY476" s="5"/>
      <c r="BZ476" s="5"/>
      <c r="CA476" s="5"/>
      <c r="CB476" s="5"/>
      <c r="CC476" s="5"/>
      <c r="CD476" s="5"/>
      <c r="CE476" s="5"/>
      <c r="CF476" s="5"/>
      <c r="CG476" s="5"/>
      <c r="CH476" s="5"/>
      <c r="CI476" s="5" t="s">
        <v>414</v>
      </c>
      <c r="CJ476" s="5">
        <v>61</v>
      </c>
      <c r="CK476" s="5" t="s">
        <v>80</v>
      </c>
      <c r="CL476" s="5" t="s">
        <v>512</v>
      </c>
      <c r="CM476" s="5" t="s">
        <v>418</v>
      </c>
      <c r="CN476" s="5" t="s">
        <v>416</v>
      </c>
      <c r="CO476" s="5" t="s">
        <v>82</v>
      </c>
      <c r="CP476" s="5"/>
      <c r="CQ476" s="5" t="s">
        <v>84</v>
      </c>
      <c r="CR476" s="5" t="s">
        <v>85</v>
      </c>
      <c r="CS476" s="5" t="s">
        <v>86</v>
      </c>
      <c r="CT476" s="5" t="s">
        <v>384</v>
      </c>
      <c r="CU476" s="5" t="s">
        <v>86</v>
      </c>
    </row>
    <row r="477" spans="1:99">
      <c r="A477" s="5">
        <v>18031750464</v>
      </c>
      <c r="B477" s="5"/>
      <c r="C477" s="5"/>
      <c r="D477" s="5"/>
      <c r="E477" s="5" t="s">
        <v>19</v>
      </c>
      <c r="F477" s="5"/>
      <c r="G477" s="5" t="s">
        <v>21</v>
      </c>
      <c r="H477" s="5"/>
      <c r="I477" s="5" t="s">
        <v>23</v>
      </c>
      <c r="J477" s="5"/>
      <c r="K477" s="5"/>
      <c r="L477" s="5"/>
      <c r="M477" s="5"/>
      <c r="N477" s="5"/>
      <c r="O477" s="5"/>
      <c r="P477" s="5"/>
      <c r="Q477" s="5"/>
      <c r="R477" s="5"/>
      <c r="S477" s="5" t="s">
        <v>19</v>
      </c>
      <c r="T477" s="5"/>
      <c r="U477" s="5" t="s">
        <v>21</v>
      </c>
      <c r="V477" s="5"/>
      <c r="W477" s="5" t="s">
        <v>23</v>
      </c>
      <c r="X477" s="5"/>
      <c r="Y477" s="5"/>
      <c r="Z477" s="5"/>
      <c r="AA477" s="5"/>
      <c r="AB477" s="5"/>
      <c r="AC477" s="5"/>
      <c r="AD477" s="5"/>
      <c r="AE477" s="5"/>
      <c r="AF477" s="5"/>
      <c r="AG477" s="5"/>
      <c r="AH477" s="5"/>
      <c r="AI477" s="5" t="s">
        <v>34</v>
      </c>
      <c r="AJ477" s="5"/>
      <c r="AK477" s="5"/>
      <c r="AL477" s="5"/>
      <c r="AM477" s="5"/>
      <c r="AN477" s="5"/>
      <c r="AO477" s="5"/>
      <c r="AP477" s="5" t="s">
        <v>39</v>
      </c>
      <c r="AQ477" s="5"/>
      <c r="AR477" s="5"/>
      <c r="AS477" s="5"/>
      <c r="AT477" s="5"/>
      <c r="AU477" s="5"/>
      <c r="AV477" s="5"/>
      <c r="AW477" s="5"/>
      <c r="AX477" s="5"/>
      <c r="AY477" s="5"/>
      <c r="AZ477" s="5"/>
      <c r="BA477" s="5"/>
      <c r="BB477" s="5" t="s">
        <v>49</v>
      </c>
      <c r="BC477" s="5"/>
      <c r="BD477" s="5"/>
      <c r="BE477" s="5"/>
      <c r="BF477" s="5"/>
      <c r="BG477" s="5"/>
      <c r="BH477" s="5"/>
      <c r="BI477" s="5"/>
      <c r="BJ477" s="5"/>
      <c r="BK477" s="5"/>
      <c r="BL477" s="5"/>
      <c r="BM477" s="5"/>
      <c r="BN477" s="5"/>
      <c r="BO477" s="5"/>
      <c r="BP477" s="5"/>
      <c r="BQ477" s="5"/>
      <c r="BR477" s="5"/>
      <c r="BS477" s="5"/>
      <c r="BT477" s="5"/>
      <c r="BU477" s="5" t="s">
        <v>64</v>
      </c>
      <c r="BV477" s="5"/>
      <c r="BW477" s="5"/>
      <c r="BX477" s="5"/>
      <c r="BY477" s="5"/>
      <c r="BZ477" s="5"/>
      <c r="CA477" s="5"/>
      <c r="CB477" s="5"/>
      <c r="CC477" s="5"/>
      <c r="CD477" s="5"/>
      <c r="CE477" s="5"/>
      <c r="CF477" s="5"/>
      <c r="CG477" s="5"/>
      <c r="CH477" s="5"/>
      <c r="CI477" s="5" t="s">
        <v>417</v>
      </c>
      <c r="CJ477" s="5">
        <v>74</v>
      </c>
      <c r="CK477" s="5" t="s">
        <v>80</v>
      </c>
      <c r="CL477" s="5" t="s">
        <v>121</v>
      </c>
      <c r="CM477" s="5" t="s">
        <v>418</v>
      </c>
      <c r="CN477" s="5" t="s">
        <v>416</v>
      </c>
      <c r="CO477" s="5" t="s">
        <v>82</v>
      </c>
      <c r="CP477" s="5" t="s">
        <v>94</v>
      </c>
      <c r="CQ477" s="5" t="s">
        <v>103</v>
      </c>
      <c r="CR477" s="5" t="s">
        <v>105</v>
      </c>
      <c r="CS477" s="5" t="s">
        <v>86</v>
      </c>
      <c r="CT477" s="5" t="s">
        <v>386</v>
      </c>
      <c r="CU477" s="5" t="s">
        <v>86</v>
      </c>
    </row>
    <row r="478" spans="1:99">
      <c r="A478" s="5">
        <v>18031749512</v>
      </c>
      <c r="B478" s="5"/>
      <c r="C478" s="5" t="s">
        <v>17</v>
      </c>
      <c r="D478" s="5" t="s">
        <v>18</v>
      </c>
      <c r="E478" s="5"/>
      <c r="F478" s="5"/>
      <c r="G478" s="5"/>
      <c r="H478" s="5"/>
      <c r="I478" s="5"/>
      <c r="J478" s="5"/>
      <c r="K478" s="5" t="s">
        <v>25</v>
      </c>
      <c r="L478" s="5"/>
      <c r="M478" s="5"/>
      <c r="N478" s="5"/>
      <c r="O478" s="5"/>
      <c r="P478" s="5"/>
      <c r="Q478" s="5" t="s">
        <v>17</v>
      </c>
      <c r="R478" s="5"/>
      <c r="S478" s="5"/>
      <c r="T478" s="5"/>
      <c r="U478" s="5"/>
      <c r="V478" s="5"/>
      <c r="W478" s="5"/>
      <c r="X478" s="5"/>
      <c r="Y478" s="5" t="s">
        <v>25</v>
      </c>
      <c r="Z478" s="5"/>
      <c r="AA478" s="5"/>
      <c r="AB478" s="5" t="s">
        <v>28</v>
      </c>
      <c r="AC478" s="5"/>
      <c r="AD478" s="5"/>
      <c r="AE478" s="5"/>
      <c r="AF478" s="5"/>
      <c r="AG478" s="5"/>
      <c r="AH478" s="5"/>
      <c r="AI478" s="5"/>
      <c r="AJ478" s="5"/>
      <c r="AK478" s="5" t="s">
        <v>36</v>
      </c>
      <c r="AL478" s="5" t="s">
        <v>37</v>
      </c>
      <c r="AM478" s="5"/>
      <c r="AN478" s="5"/>
      <c r="AO478" s="5"/>
      <c r="AP478" s="5" t="s">
        <v>39</v>
      </c>
      <c r="AQ478" s="5"/>
      <c r="AR478" s="5"/>
      <c r="AS478" s="5" t="s">
        <v>42</v>
      </c>
      <c r="AT478" s="5" t="s">
        <v>37</v>
      </c>
      <c r="AU478" s="5"/>
      <c r="AV478" s="5"/>
      <c r="AW478" s="5"/>
      <c r="AX478" s="5"/>
      <c r="AY478" s="5"/>
      <c r="AZ478" s="5"/>
      <c r="BA478" s="5"/>
      <c r="BB478" s="5"/>
      <c r="BC478" s="5"/>
      <c r="BD478" s="5" t="s">
        <v>51</v>
      </c>
      <c r="BE478" s="5"/>
      <c r="BF478" s="5" t="s">
        <v>52</v>
      </c>
      <c r="BG478" s="5"/>
      <c r="BH478" s="5"/>
      <c r="BI478" s="5"/>
      <c r="BJ478" s="5"/>
      <c r="BK478" s="5"/>
      <c r="BL478" s="5" t="s">
        <v>58</v>
      </c>
      <c r="BM478" s="5"/>
      <c r="BN478" s="5"/>
      <c r="BO478" s="5"/>
      <c r="BP478" s="5"/>
      <c r="BQ478" s="5"/>
      <c r="BR478" s="5"/>
      <c r="BS478" s="5"/>
      <c r="BT478" s="5"/>
      <c r="BU478" s="5" t="s">
        <v>64</v>
      </c>
      <c r="BV478" s="5"/>
      <c r="BW478" s="5"/>
      <c r="BX478" s="5"/>
      <c r="BY478" s="5"/>
      <c r="BZ478" s="5"/>
      <c r="CA478" s="5"/>
      <c r="CB478" s="5"/>
      <c r="CC478" s="5"/>
      <c r="CD478" s="5"/>
      <c r="CE478" s="5"/>
      <c r="CF478" s="5"/>
      <c r="CG478" s="5"/>
      <c r="CH478" s="5"/>
      <c r="CI478" s="5" t="s">
        <v>417</v>
      </c>
      <c r="CJ478" s="5">
        <v>70</v>
      </c>
      <c r="CK478" s="5" t="s">
        <v>80</v>
      </c>
      <c r="CL478" s="5" t="s">
        <v>513</v>
      </c>
      <c r="CM478" s="5" t="s">
        <v>418</v>
      </c>
      <c r="CN478" s="5" t="s">
        <v>416</v>
      </c>
      <c r="CO478" s="5" t="s">
        <v>82</v>
      </c>
      <c r="CP478" s="5" t="s">
        <v>94</v>
      </c>
      <c r="CQ478" s="5" t="s">
        <v>103</v>
      </c>
      <c r="CR478" s="5" t="s">
        <v>99</v>
      </c>
      <c r="CS478" s="5" t="s">
        <v>86</v>
      </c>
      <c r="CT478" s="5" t="s">
        <v>386</v>
      </c>
      <c r="CU478" s="5" t="s">
        <v>86</v>
      </c>
    </row>
    <row r="479" spans="1:99">
      <c r="A479" s="5">
        <v>18031749227</v>
      </c>
      <c r="B479" s="5"/>
      <c r="C479" s="5" t="s">
        <v>17</v>
      </c>
      <c r="D479" s="5"/>
      <c r="E479" s="5"/>
      <c r="F479" s="5"/>
      <c r="G479" s="5"/>
      <c r="H479" s="5"/>
      <c r="I479" s="5"/>
      <c r="J479" s="5"/>
      <c r="K479" s="5"/>
      <c r="L479" s="5"/>
      <c r="M479" s="5"/>
      <c r="N479" s="5" t="s">
        <v>28</v>
      </c>
      <c r="O479" s="5"/>
      <c r="P479" s="5"/>
      <c r="Q479" s="5" t="s">
        <v>17</v>
      </c>
      <c r="R479" s="5"/>
      <c r="S479" s="5"/>
      <c r="T479" s="5"/>
      <c r="U479" s="5"/>
      <c r="V479" s="5"/>
      <c r="W479" s="5" t="s">
        <v>23</v>
      </c>
      <c r="X479" s="5"/>
      <c r="Y479" s="5"/>
      <c r="Z479" s="5"/>
      <c r="AA479" s="5"/>
      <c r="AB479" s="5" t="s">
        <v>28</v>
      </c>
      <c r="AC479" s="5"/>
      <c r="AD479" s="5"/>
      <c r="AE479" s="5"/>
      <c r="AF479" s="5" t="s">
        <v>31</v>
      </c>
      <c r="AG479" s="5"/>
      <c r="AH479" s="5"/>
      <c r="AI479" s="5"/>
      <c r="AJ479" s="5" t="s">
        <v>35</v>
      </c>
      <c r="AK479" s="5" t="s">
        <v>36</v>
      </c>
      <c r="AL479" s="5"/>
      <c r="AM479" s="5"/>
      <c r="AN479" s="5"/>
      <c r="AO479" s="5"/>
      <c r="AP479" s="5"/>
      <c r="AQ479" s="5"/>
      <c r="AR479" s="5"/>
      <c r="AS479" s="5" t="s">
        <v>42</v>
      </c>
      <c r="AT479" s="5"/>
      <c r="AU479" s="5"/>
      <c r="AV479" s="5"/>
      <c r="AW479" s="5"/>
      <c r="AX479" s="5"/>
      <c r="AY479" s="5" t="s">
        <v>47</v>
      </c>
      <c r="AZ479" s="5"/>
      <c r="BA479" s="5"/>
      <c r="BB479" s="5" t="s">
        <v>49</v>
      </c>
      <c r="BC479" s="5"/>
      <c r="BD479" s="5"/>
      <c r="BE479" s="5"/>
      <c r="BF479" s="5"/>
      <c r="BG479" s="5"/>
      <c r="BH479" s="5" t="s">
        <v>54</v>
      </c>
      <c r="BI479" s="5"/>
      <c r="BJ479" s="5"/>
      <c r="BK479" s="5"/>
      <c r="BL479" s="5"/>
      <c r="BM479" s="5"/>
      <c r="BN479" s="5"/>
      <c r="BO479" s="5"/>
      <c r="BP479" s="5"/>
      <c r="BQ479" s="5"/>
      <c r="BR479" s="5"/>
      <c r="BS479" s="5"/>
      <c r="BT479" s="5"/>
      <c r="BU479" s="5" t="s">
        <v>64</v>
      </c>
      <c r="BV479" s="5"/>
      <c r="BW479" s="5"/>
      <c r="BX479" s="5"/>
      <c r="BY479" s="5"/>
      <c r="BZ479" s="5"/>
      <c r="CA479" s="5"/>
      <c r="CB479" s="5"/>
      <c r="CC479" s="5"/>
      <c r="CD479" s="5"/>
      <c r="CE479" s="5"/>
      <c r="CF479" s="5"/>
      <c r="CG479" s="5"/>
      <c r="CH479" s="5"/>
      <c r="CI479" s="5" t="s">
        <v>417</v>
      </c>
      <c r="CJ479" s="5">
        <v>40</v>
      </c>
      <c r="CK479" s="5" t="s">
        <v>80</v>
      </c>
      <c r="CL479" s="5" t="s">
        <v>513</v>
      </c>
      <c r="CM479" s="5" t="s">
        <v>418</v>
      </c>
      <c r="CN479" s="5" t="s">
        <v>416</v>
      </c>
      <c r="CO479" s="5" t="s">
        <v>82</v>
      </c>
      <c r="CP479" s="5"/>
      <c r="CQ479" s="5" t="s">
        <v>84</v>
      </c>
      <c r="CR479" s="5" t="s">
        <v>92</v>
      </c>
      <c r="CS479" s="5" t="s">
        <v>86</v>
      </c>
      <c r="CT479" s="5" t="s">
        <v>384</v>
      </c>
      <c r="CU479" s="5" t="s">
        <v>86</v>
      </c>
    </row>
    <row r="480" spans="1:99">
      <c r="A480" s="5">
        <v>18031749129</v>
      </c>
      <c r="B480" s="5"/>
      <c r="C480" s="5"/>
      <c r="D480" s="5"/>
      <c r="E480" s="5"/>
      <c r="F480" s="5"/>
      <c r="G480" s="5"/>
      <c r="H480" s="5"/>
      <c r="I480" s="5"/>
      <c r="J480" s="5"/>
      <c r="K480" s="5"/>
      <c r="L480" s="5"/>
      <c r="M480" s="5"/>
      <c r="N480" s="5"/>
      <c r="O480" s="5" t="s">
        <v>491</v>
      </c>
      <c r="P480" s="5"/>
      <c r="Q480" s="5"/>
      <c r="R480" s="5"/>
      <c r="S480" s="5"/>
      <c r="T480" s="5"/>
      <c r="U480" s="5"/>
      <c r="V480" s="5"/>
      <c r="W480" s="5"/>
      <c r="X480" s="5"/>
      <c r="Y480" s="5"/>
      <c r="Z480" s="5"/>
      <c r="AA480" s="5"/>
      <c r="AB480" s="5" t="s">
        <v>28</v>
      </c>
      <c r="AC480" s="5" t="s">
        <v>492</v>
      </c>
      <c r="AD480" s="5"/>
      <c r="AE480" s="5"/>
      <c r="AF480" s="5"/>
      <c r="AG480" s="5"/>
      <c r="AH480" s="5"/>
      <c r="AI480" s="5" t="s">
        <v>34</v>
      </c>
      <c r="AJ480" s="5"/>
      <c r="AK480" s="5"/>
      <c r="AL480" s="5"/>
      <c r="AM480" s="5"/>
      <c r="AN480" s="5"/>
      <c r="AO480" s="5"/>
      <c r="AP480" s="5"/>
      <c r="AQ480" s="5" t="s">
        <v>40</v>
      </c>
      <c r="AR480" s="5" t="s">
        <v>41</v>
      </c>
      <c r="AS480" s="5"/>
      <c r="AT480" s="5"/>
      <c r="AU480" s="5" t="s">
        <v>43</v>
      </c>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t="s">
        <v>496</v>
      </c>
      <c r="BU480" s="5" t="s">
        <v>64</v>
      </c>
      <c r="BV480" s="5"/>
      <c r="BW480" s="5"/>
      <c r="BX480" s="5"/>
      <c r="BY480" s="5"/>
      <c r="BZ480" s="5"/>
      <c r="CA480" s="5"/>
      <c r="CB480" s="5"/>
      <c r="CC480" s="5"/>
      <c r="CD480" s="5"/>
      <c r="CE480" s="5"/>
      <c r="CF480" s="5"/>
      <c r="CG480" s="5"/>
      <c r="CH480" s="5"/>
      <c r="CI480" s="5" t="s">
        <v>417</v>
      </c>
      <c r="CJ480" s="5">
        <v>75</v>
      </c>
      <c r="CK480" s="5" t="s">
        <v>141</v>
      </c>
      <c r="CL480" s="5" t="s">
        <v>156</v>
      </c>
      <c r="CM480" s="5" t="s">
        <v>418</v>
      </c>
      <c r="CN480" s="5" t="s">
        <v>416</v>
      </c>
      <c r="CO480" s="5" t="s">
        <v>82</v>
      </c>
      <c r="CP480" s="5" t="s">
        <v>94</v>
      </c>
      <c r="CQ480" s="5" t="s">
        <v>103</v>
      </c>
      <c r="CR480" s="5" t="s">
        <v>99</v>
      </c>
      <c r="CS480" s="5" t="s">
        <v>86</v>
      </c>
      <c r="CT480" s="5" t="s">
        <v>386</v>
      </c>
      <c r="CU480" s="5" t="s">
        <v>86</v>
      </c>
    </row>
    <row r="481" spans="1:99">
      <c r="A481" s="5">
        <v>18031748998</v>
      </c>
      <c r="B481" s="5"/>
      <c r="C481" s="5"/>
      <c r="D481" s="5"/>
      <c r="E481" s="5" t="s">
        <v>19</v>
      </c>
      <c r="F481" s="5"/>
      <c r="G481" s="5"/>
      <c r="H481" s="5"/>
      <c r="I481" s="5"/>
      <c r="J481" s="5"/>
      <c r="K481" s="5"/>
      <c r="L481" s="5" t="s">
        <v>26</v>
      </c>
      <c r="M481" s="5"/>
      <c r="N481" s="5"/>
      <c r="O481" s="5"/>
      <c r="P481" s="5"/>
      <c r="Q481" s="5"/>
      <c r="R481" s="5"/>
      <c r="S481" s="5" t="s">
        <v>19</v>
      </c>
      <c r="T481" s="5"/>
      <c r="U481" s="5"/>
      <c r="V481" s="5"/>
      <c r="W481" s="5"/>
      <c r="X481" s="5" t="s">
        <v>24</v>
      </c>
      <c r="Y481" s="5"/>
      <c r="Z481" s="5" t="s">
        <v>26</v>
      </c>
      <c r="AA481" s="5"/>
      <c r="AB481" s="5"/>
      <c r="AC481" s="5"/>
      <c r="AD481" s="5"/>
      <c r="AE481" s="5"/>
      <c r="AF481" s="5"/>
      <c r="AG481" s="5"/>
      <c r="AH481" s="5"/>
      <c r="AI481" s="5"/>
      <c r="AJ481" s="5"/>
      <c r="AK481" s="5"/>
      <c r="AL481" s="5"/>
      <c r="AM481" s="5" t="s">
        <v>375</v>
      </c>
      <c r="AN481" s="5"/>
      <c r="AO481" s="5"/>
      <c r="AP481" s="5"/>
      <c r="AQ481" s="5"/>
      <c r="AR481" s="5" t="s">
        <v>41</v>
      </c>
      <c r="AS481" s="5"/>
      <c r="AT481" s="5"/>
      <c r="AU481" s="5"/>
      <c r="AV481" s="5"/>
      <c r="AW481" s="5" t="s">
        <v>45</v>
      </c>
      <c r="AX481" s="5" t="s">
        <v>46</v>
      </c>
      <c r="AY481" s="5"/>
      <c r="AZ481" s="5"/>
      <c r="BA481" s="5"/>
      <c r="BB481" s="5"/>
      <c r="BC481" s="5"/>
      <c r="BD481" s="5"/>
      <c r="BE481" s="5"/>
      <c r="BF481" s="5"/>
      <c r="BG481" s="5"/>
      <c r="BH481" s="5" t="s">
        <v>54</v>
      </c>
      <c r="BI481" s="5" t="s">
        <v>55</v>
      </c>
      <c r="BJ481" s="5"/>
      <c r="BK481" s="5"/>
      <c r="BL481" s="5"/>
      <c r="BM481" s="5"/>
      <c r="BN481" s="5"/>
      <c r="BO481" s="5"/>
      <c r="BP481" s="5"/>
      <c r="BQ481" s="5"/>
      <c r="BR481" s="5"/>
      <c r="BS481" s="5" t="s">
        <v>63</v>
      </c>
      <c r="BT481" s="5"/>
      <c r="BU481" s="5" t="s">
        <v>64</v>
      </c>
      <c r="BV481" s="5"/>
      <c r="BW481" s="5"/>
      <c r="BX481" s="5"/>
      <c r="BY481" s="5"/>
      <c r="BZ481" s="5"/>
      <c r="CA481" s="5"/>
      <c r="CB481" s="5"/>
      <c r="CC481" s="5"/>
      <c r="CD481" s="5" t="s">
        <v>73</v>
      </c>
      <c r="CE481" s="5"/>
      <c r="CF481" s="5"/>
      <c r="CG481" s="5"/>
      <c r="CH481" s="5"/>
      <c r="CI481" s="5" t="s">
        <v>417</v>
      </c>
      <c r="CJ481" s="5"/>
      <c r="CK481" s="5" t="s">
        <v>80</v>
      </c>
      <c r="CL481" s="5" t="s">
        <v>114</v>
      </c>
      <c r="CM481" s="5" t="s">
        <v>415</v>
      </c>
      <c r="CN481" s="5" t="s">
        <v>416</v>
      </c>
      <c r="CO481" s="5" t="s">
        <v>82</v>
      </c>
      <c r="CP481" s="5" t="s">
        <v>93</v>
      </c>
      <c r="CQ481" s="5" t="s">
        <v>103</v>
      </c>
      <c r="CR481" s="5" t="s">
        <v>85</v>
      </c>
      <c r="CS481" s="5" t="s">
        <v>86</v>
      </c>
      <c r="CT481" s="5" t="s">
        <v>384</v>
      </c>
      <c r="CU481" s="5"/>
    </row>
    <row r="482" spans="1:99">
      <c r="A482" s="5">
        <v>18031748776</v>
      </c>
      <c r="B482" s="5"/>
      <c r="C482" s="5"/>
      <c r="D482" s="5"/>
      <c r="E482" s="5"/>
      <c r="F482" s="5"/>
      <c r="G482" s="5"/>
      <c r="H482" s="5"/>
      <c r="I482" s="5"/>
      <c r="J482" s="5"/>
      <c r="K482" s="5"/>
      <c r="L482" s="5"/>
      <c r="M482" s="5"/>
      <c r="N482" s="5" t="s">
        <v>28</v>
      </c>
      <c r="O482" s="5"/>
      <c r="P482" s="5"/>
      <c r="Q482" s="5"/>
      <c r="R482" s="5"/>
      <c r="S482" s="5"/>
      <c r="T482" s="5"/>
      <c r="U482" s="5"/>
      <c r="V482" s="5"/>
      <c r="W482" s="5"/>
      <c r="X482" s="5"/>
      <c r="Y482" s="5"/>
      <c r="Z482" s="5"/>
      <c r="AA482" s="5"/>
      <c r="AB482" s="5" t="s">
        <v>28</v>
      </c>
      <c r="AC482" s="5"/>
      <c r="AD482" s="5"/>
      <c r="AE482" s="5"/>
      <c r="AF482" s="5"/>
      <c r="AG482" s="5"/>
      <c r="AH482" s="5"/>
      <c r="AI482" s="5"/>
      <c r="AJ482" s="5"/>
      <c r="AK482" s="5"/>
      <c r="AL482" s="5"/>
      <c r="AM482" s="5"/>
      <c r="AN482" s="5"/>
      <c r="AO482" s="5"/>
      <c r="AP482" s="5"/>
      <c r="AQ482" s="5"/>
      <c r="AR482" s="5"/>
      <c r="AS482" s="5" t="s">
        <v>42</v>
      </c>
      <c r="AT482" s="5"/>
      <c r="AU482" s="5"/>
      <c r="AV482" s="5"/>
      <c r="AW482" s="5" t="s">
        <v>45</v>
      </c>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t="s">
        <v>64</v>
      </c>
      <c r="BV482" s="5"/>
      <c r="BW482" s="5"/>
      <c r="BX482" s="5" t="s">
        <v>67</v>
      </c>
      <c r="BY482" s="5"/>
      <c r="BZ482" s="5"/>
      <c r="CA482" s="5"/>
      <c r="CB482" s="5"/>
      <c r="CC482" s="5"/>
      <c r="CD482" s="5" t="s">
        <v>73</v>
      </c>
      <c r="CE482" s="5"/>
      <c r="CF482" s="5"/>
      <c r="CG482" s="5"/>
      <c r="CH482" s="5"/>
      <c r="CI482" s="5" t="s">
        <v>417</v>
      </c>
      <c r="CJ482" s="5">
        <v>82</v>
      </c>
      <c r="CK482" s="5" t="s">
        <v>80</v>
      </c>
      <c r="CL482" s="5" t="s">
        <v>115</v>
      </c>
      <c r="CM482" s="5" t="s">
        <v>420</v>
      </c>
      <c r="CN482" s="5" t="s">
        <v>416</v>
      </c>
      <c r="CO482" s="5" t="s">
        <v>82</v>
      </c>
      <c r="CP482" s="5" t="s">
        <v>90</v>
      </c>
      <c r="CQ482" s="5" t="s">
        <v>95</v>
      </c>
      <c r="CR482" s="5" t="s">
        <v>99</v>
      </c>
      <c r="CS482" s="5" t="s">
        <v>86</v>
      </c>
      <c r="CT482" s="5" t="s">
        <v>385</v>
      </c>
      <c r="CU482" s="5" t="s">
        <v>86</v>
      </c>
    </row>
    <row r="483" spans="1:99">
      <c r="A483" s="5">
        <v>18031748295</v>
      </c>
      <c r="B483" s="5"/>
      <c r="C483" s="5"/>
      <c r="D483" s="5"/>
      <c r="E483" s="5"/>
      <c r="F483" s="5"/>
      <c r="G483" s="5"/>
      <c r="H483" s="5"/>
      <c r="I483" s="5"/>
      <c r="J483" s="5"/>
      <c r="K483" s="5"/>
      <c r="L483" s="5"/>
      <c r="M483" s="5"/>
      <c r="N483" s="5"/>
      <c r="O483" s="5" t="s">
        <v>492</v>
      </c>
      <c r="P483" s="5"/>
      <c r="Q483" s="5"/>
      <c r="R483" s="5"/>
      <c r="S483" s="5"/>
      <c r="T483" s="5"/>
      <c r="U483" s="5"/>
      <c r="V483" s="5"/>
      <c r="W483" s="5"/>
      <c r="X483" s="5"/>
      <c r="Y483" s="5"/>
      <c r="Z483" s="5"/>
      <c r="AA483" s="5"/>
      <c r="AB483" s="5"/>
      <c r="AC483" s="5" t="s">
        <v>492</v>
      </c>
      <c r="AD483" s="5"/>
      <c r="AE483" s="5"/>
      <c r="AF483" s="5"/>
      <c r="AG483" s="5"/>
      <c r="AH483" s="5"/>
      <c r="AI483" s="5"/>
      <c r="AJ483" s="5"/>
      <c r="AK483" s="5"/>
      <c r="AL483" s="5" t="s">
        <v>37</v>
      </c>
      <c r="AM483" s="5"/>
      <c r="AN483" s="5"/>
      <c r="AO483" s="5"/>
      <c r="AP483" s="5"/>
      <c r="AQ483" s="5" t="s">
        <v>40</v>
      </c>
      <c r="AR483" s="5"/>
      <c r="AS483" s="5"/>
      <c r="AT483" s="5" t="s">
        <v>37</v>
      </c>
      <c r="AU483" s="5"/>
      <c r="AV483" s="5"/>
      <c r="AW483" s="5" t="s">
        <v>45</v>
      </c>
      <c r="AX483" s="5"/>
      <c r="AY483" s="5"/>
      <c r="AZ483" s="5"/>
      <c r="BA483" s="5"/>
      <c r="BB483" s="5" t="s">
        <v>49</v>
      </c>
      <c r="BC483" s="5" t="s">
        <v>50</v>
      </c>
      <c r="BD483" s="5"/>
      <c r="BE483" s="5"/>
      <c r="BF483" s="5"/>
      <c r="BG483" s="5" t="s">
        <v>53</v>
      </c>
      <c r="BH483" s="5"/>
      <c r="BI483" s="5"/>
      <c r="BJ483" s="5"/>
      <c r="BK483" s="5" t="s">
        <v>57</v>
      </c>
      <c r="BL483" s="5" t="s">
        <v>58</v>
      </c>
      <c r="BM483" s="5"/>
      <c r="BN483" s="5" t="s">
        <v>24</v>
      </c>
      <c r="BO483" s="5"/>
      <c r="BP483" s="5"/>
      <c r="BQ483" s="5"/>
      <c r="BR483" s="5"/>
      <c r="BS483" s="5"/>
      <c r="BT483" s="5"/>
      <c r="BU483" s="5" t="s">
        <v>64</v>
      </c>
      <c r="BV483" s="5"/>
      <c r="BW483" s="5" t="s">
        <v>66</v>
      </c>
      <c r="BX483" s="5"/>
      <c r="BY483" s="5"/>
      <c r="BZ483" s="5"/>
      <c r="CA483" s="5"/>
      <c r="CB483" s="5"/>
      <c r="CC483" s="5"/>
      <c r="CD483" s="5"/>
      <c r="CE483" s="5"/>
      <c r="CF483" s="5"/>
      <c r="CG483" s="5"/>
      <c r="CH483" s="5"/>
      <c r="CI483" s="5" t="s">
        <v>417</v>
      </c>
      <c r="CJ483" s="5">
        <v>64</v>
      </c>
      <c r="CK483" s="5" t="s">
        <v>356</v>
      </c>
      <c r="CL483" s="5"/>
      <c r="CM483" s="5" t="s">
        <v>423</v>
      </c>
      <c r="CN483" s="5" t="s">
        <v>416</v>
      </c>
      <c r="CO483" s="5" t="s">
        <v>82</v>
      </c>
      <c r="CP483" s="5" t="s">
        <v>93</v>
      </c>
      <c r="CQ483" s="5" t="s">
        <v>88</v>
      </c>
      <c r="CR483" s="5" t="s">
        <v>85</v>
      </c>
      <c r="CS483" s="5" t="s">
        <v>86</v>
      </c>
      <c r="CT483" s="5" t="s">
        <v>385</v>
      </c>
      <c r="CU483" s="5" t="s">
        <v>86</v>
      </c>
    </row>
    <row r="484" spans="1:99">
      <c r="A484" s="5">
        <v>18031748212</v>
      </c>
      <c r="B484" s="5"/>
      <c r="C484" s="5" t="s">
        <v>17</v>
      </c>
      <c r="D484" s="5"/>
      <c r="E484" s="5"/>
      <c r="F484" s="5"/>
      <c r="G484" s="5"/>
      <c r="H484" s="5"/>
      <c r="I484" s="5"/>
      <c r="J484" s="5"/>
      <c r="K484" s="5" t="s">
        <v>25</v>
      </c>
      <c r="L484" s="5"/>
      <c r="M484" s="5"/>
      <c r="N484" s="5"/>
      <c r="O484" s="5"/>
      <c r="P484" s="5"/>
      <c r="Q484" s="5" t="s">
        <v>17</v>
      </c>
      <c r="R484" s="5" t="s">
        <v>18</v>
      </c>
      <c r="S484" s="5"/>
      <c r="T484" s="5"/>
      <c r="U484" s="5"/>
      <c r="V484" s="5"/>
      <c r="W484" s="5"/>
      <c r="X484" s="5"/>
      <c r="Y484" s="5"/>
      <c r="Z484" s="5"/>
      <c r="AA484" s="5"/>
      <c r="AB484" s="5"/>
      <c r="AC484" s="5"/>
      <c r="AD484" s="5"/>
      <c r="AE484" s="5" t="s">
        <v>30</v>
      </c>
      <c r="AF484" s="5"/>
      <c r="AG484" s="5"/>
      <c r="AH484" s="5" t="s">
        <v>33</v>
      </c>
      <c r="AI484" s="5"/>
      <c r="AJ484" s="5"/>
      <c r="AK484" s="5"/>
      <c r="AL484" s="5" t="s">
        <v>37</v>
      </c>
      <c r="AM484" s="5"/>
      <c r="AN484" s="5"/>
      <c r="AO484" s="5"/>
      <c r="AP484" s="5" t="s">
        <v>39</v>
      </c>
      <c r="AQ484" s="5"/>
      <c r="AR484" s="5"/>
      <c r="AS484" s="5" t="s">
        <v>42</v>
      </c>
      <c r="AT484" s="5"/>
      <c r="AU484" s="5" t="s">
        <v>43</v>
      </c>
      <c r="AV484" s="5"/>
      <c r="AW484" s="5"/>
      <c r="AX484" s="5"/>
      <c r="AY484" s="5"/>
      <c r="AZ484" s="5"/>
      <c r="BA484" s="5"/>
      <c r="BB484" s="5"/>
      <c r="BC484" s="5"/>
      <c r="BD484" s="5" t="s">
        <v>51</v>
      </c>
      <c r="BE484" s="5"/>
      <c r="BF484" s="5"/>
      <c r="BG484" s="5" t="s">
        <v>53</v>
      </c>
      <c r="BH484" s="5"/>
      <c r="BI484" s="5"/>
      <c r="BJ484" s="5"/>
      <c r="BK484" s="5"/>
      <c r="BL484" s="5" t="s">
        <v>58</v>
      </c>
      <c r="BM484" s="5"/>
      <c r="BN484" s="5"/>
      <c r="BO484" s="5"/>
      <c r="BP484" s="5"/>
      <c r="BQ484" s="5"/>
      <c r="BR484" s="5"/>
      <c r="BS484" s="5"/>
      <c r="BT484" s="5"/>
      <c r="BU484" s="5" t="s">
        <v>64</v>
      </c>
      <c r="BV484" s="5"/>
      <c r="BW484" s="5"/>
      <c r="BX484" s="5" t="s">
        <v>67</v>
      </c>
      <c r="BY484" s="5"/>
      <c r="BZ484" s="5"/>
      <c r="CA484" s="5"/>
      <c r="CB484" s="5"/>
      <c r="CC484" s="5"/>
      <c r="CD484" s="5"/>
      <c r="CE484" s="5"/>
      <c r="CF484" s="5"/>
      <c r="CG484" s="5"/>
      <c r="CH484" s="5"/>
      <c r="CI484" s="5" t="s">
        <v>417</v>
      </c>
      <c r="CJ484" s="5">
        <v>50</v>
      </c>
      <c r="CK484" s="5" t="s">
        <v>80</v>
      </c>
      <c r="CL484" s="5" t="s">
        <v>130</v>
      </c>
      <c r="CM484" s="5" t="s">
        <v>415</v>
      </c>
      <c r="CN484" s="5" t="s">
        <v>416</v>
      </c>
      <c r="CO484" s="5" t="s">
        <v>514</v>
      </c>
      <c r="CP484" s="5" t="s">
        <v>83</v>
      </c>
      <c r="CQ484" s="5" t="s">
        <v>84</v>
      </c>
      <c r="CR484" s="5" t="s">
        <v>85</v>
      </c>
      <c r="CS484" s="5" t="s">
        <v>86</v>
      </c>
      <c r="CT484" s="5" t="s">
        <v>384</v>
      </c>
      <c r="CU484" s="5" t="s">
        <v>86</v>
      </c>
    </row>
    <row r="485" spans="1:99">
      <c r="A485" s="5">
        <v>18031748123</v>
      </c>
      <c r="B485" s="5"/>
      <c r="C485" s="5"/>
      <c r="D485" s="5"/>
      <c r="E485" s="5"/>
      <c r="F485" s="5"/>
      <c r="G485" s="5"/>
      <c r="H485" s="5"/>
      <c r="I485" s="5"/>
      <c r="J485" s="5" t="s">
        <v>24</v>
      </c>
      <c r="K485" s="5"/>
      <c r="L485" s="5"/>
      <c r="M485" s="5"/>
      <c r="N485" s="5"/>
      <c r="O485" s="5"/>
      <c r="P485" s="5"/>
      <c r="Q485" s="5" t="s">
        <v>17</v>
      </c>
      <c r="R485" s="5"/>
      <c r="S485" s="5" t="s">
        <v>19</v>
      </c>
      <c r="T485" s="5"/>
      <c r="U485" s="5"/>
      <c r="V485" s="5"/>
      <c r="W485" s="5"/>
      <c r="X485" s="5" t="s">
        <v>24</v>
      </c>
      <c r="Y485" s="5"/>
      <c r="Z485" s="5"/>
      <c r="AA485" s="5"/>
      <c r="AB485" s="5"/>
      <c r="AC485" s="5"/>
      <c r="AD485" s="5"/>
      <c r="AE485" s="5"/>
      <c r="AF485" s="5"/>
      <c r="AG485" s="5"/>
      <c r="AH485" s="5"/>
      <c r="AI485" s="5"/>
      <c r="AJ485" s="5"/>
      <c r="AK485" s="5"/>
      <c r="AL485" s="5"/>
      <c r="AM485" s="5"/>
      <c r="AN485" s="5"/>
      <c r="AO485" s="5" t="s">
        <v>38</v>
      </c>
      <c r="AP485" s="5"/>
      <c r="AQ485" s="5"/>
      <c r="AR485" s="5"/>
      <c r="AS485" s="5"/>
      <c r="AT485" s="5"/>
      <c r="AU485" s="5"/>
      <c r="AV485" s="5"/>
      <c r="AW485" s="5"/>
      <c r="AX485" s="5"/>
      <c r="AY485" s="5"/>
      <c r="AZ485" s="5"/>
      <c r="BA485" s="5"/>
      <c r="BB485" s="5"/>
      <c r="BC485" s="5" t="s">
        <v>50</v>
      </c>
      <c r="BD485" s="5"/>
      <c r="BE485" s="5"/>
      <c r="BF485" s="5"/>
      <c r="BG485" s="5" t="s">
        <v>53</v>
      </c>
      <c r="BH485" s="5"/>
      <c r="BI485" s="5"/>
      <c r="BJ485" s="5"/>
      <c r="BK485" s="5"/>
      <c r="BL485" s="5"/>
      <c r="BM485" s="5"/>
      <c r="BN485" s="5"/>
      <c r="BO485" s="5"/>
      <c r="BP485" s="5"/>
      <c r="BQ485" s="5"/>
      <c r="BR485" s="5"/>
      <c r="BS485" s="5"/>
      <c r="BT485" s="5"/>
      <c r="BU485" s="5" t="s">
        <v>64</v>
      </c>
      <c r="BV485" s="5"/>
      <c r="BW485" s="5"/>
      <c r="BX485" s="5"/>
      <c r="BY485" s="5"/>
      <c r="BZ485" s="5"/>
      <c r="CA485" s="5"/>
      <c r="CB485" s="5"/>
      <c r="CC485" s="5"/>
      <c r="CD485" s="5"/>
      <c r="CE485" s="5"/>
      <c r="CF485" s="5"/>
      <c r="CG485" s="5"/>
      <c r="CH485" s="5"/>
      <c r="CI485" s="5" t="s">
        <v>417</v>
      </c>
      <c r="CJ485" s="5">
        <v>81</v>
      </c>
      <c r="CK485" s="5" t="s">
        <v>80</v>
      </c>
      <c r="CL485" s="5" t="s">
        <v>115</v>
      </c>
      <c r="CM485" s="5" t="s">
        <v>423</v>
      </c>
      <c r="CN485" s="5" t="s">
        <v>416</v>
      </c>
      <c r="CO485" s="5" t="s">
        <v>82</v>
      </c>
      <c r="CP485" s="5"/>
      <c r="CQ485" s="5" t="s">
        <v>95</v>
      </c>
      <c r="CR485" s="5" t="s">
        <v>99</v>
      </c>
      <c r="CS485" s="5" t="s">
        <v>86</v>
      </c>
      <c r="CT485" s="5" t="s">
        <v>385</v>
      </c>
      <c r="CU485" s="5" t="s">
        <v>81</v>
      </c>
    </row>
    <row r="486" spans="1:99">
      <c r="A486" s="5">
        <v>18031747963</v>
      </c>
      <c r="B486" s="5"/>
      <c r="C486" s="5"/>
      <c r="D486" s="5"/>
      <c r="E486" s="5"/>
      <c r="F486" s="5"/>
      <c r="G486" s="5"/>
      <c r="H486" s="5"/>
      <c r="I486" s="5"/>
      <c r="J486" s="5"/>
      <c r="K486" s="5"/>
      <c r="L486" s="5"/>
      <c r="M486" s="5"/>
      <c r="N486" s="5" t="s">
        <v>28</v>
      </c>
      <c r="O486" s="5"/>
      <c r="P486" s="5"/>
      <c r="Q486" s="5"/>
      <c r="R486" s="5"/>
      <c r="S486" s="5"/>
      <c r="T486" s="5"/>
      <c r="U486" s="5"/>
      <c r="V486" s="5"/>
      <c r="W486" s="5"/>
      <c r="X486" s="5"/>
      <c r="Y486" s="5"/>
      <c r="Z486" s="5"/>
      <c r="AA486" s="5"/>
      <c r="AB486" s="5" t="s">
        <v>28</v>
      </c>
      <c r="AC486" s="5"/>
      <c r="AD486" s="5"/>
      <c r="AE486" s="5"/>
      <c r="AF486" s="5"/>
      <c r="AG486" s="5"/>
      <c r="AH486" s="5"/>
      <c r="AI486" s="5"/>
      <c r="AJ486" s="5"/>
      <c r="AK486" s="5"/>
      <c r="AL486" s="5"/>
      <c r="AM486" s="5" t="s">
        <v>375</v>
      </c>
      <c r="AN486" s="5"/>
      <c r="AO486" s="5"/>
      <c r="AP486" s="5"/>
      <c r="AQ486" s="5"/>
      <c r="AR486" s="5"/>
      <c r="AS486" s="5"/>
      <c r="AT486" s="5"/>
      <c r="AU486" s="5" t="s">
        <v>43</v>
      </c>
      <c r="AV486" s="5"/>
      <c r="AW486" s="5" t="s">
        <v>45</v>
      </c>
      <c r="AX486" s="5"/>
      <c r="AY486" s="5"/>
      <c r="AZ486" s="5"/>
      <c r="BA486" s="5"/>
      <c r="BB486" s="5"/>
      <c r="BC486" s="5"/>
      <c r="BD486" s="5"/>
      <c r="BE486" s="5"/>
      <c r="BF486" s="5"/>
      <c r="BG486" s="5"/>
      <c r="BH486" s="5"/>
      <c r="BI486" s="5"/>
      <c r="BJ486" s="5"/>
      <c r="BK486" s="5"/>
      <c r="BL486" s="5"/>
      <c r="BM486" s="5"/>
      <c r="BN486" s="5" t="s">
        <v>24</v>
      </c>
      <c r="BO486" s="5"/>
      <c r="BP486" s="5"/>
      <c r="BQ486" s="5"/>
      <c r="BR486" s="5"/>
      <c r="BS486" s="5"/>
      <c r="BT486" s="5"/>
      <c r="BU486" s="5" t="s">
        <v>64</v>
      </c>
      <c r="BV486" s="5"/>
      <c r="BW486" s="5"/>
      <c r="BX486" s="5"/>
      <c r="BY486" s="5" t="s">
        <v>68</v>
      </c>
      <c r="BZ486" s="5"/>
      <c r="CA486" s="5"/>
      <c r="CB486" s="5"/>
      <c r="CC486" s="5"/>
      <c r="CD486" s="5"/>
      <c r="CE486" s="5"/>
      <c r="CF486" s="5"/>
      <c r="CG486" s="5"/>
      <c r="CH486" s="5"/>
      <c r="CI486" s="5" t="s">
        <v>414</v>
      </c>
      <c r="CJ486" s="5">
        <v>79</v>
      </c>
      <c r="CK486" s="5"/>
      <c r="CL486" s="5"/>
      <c r="CM486" s="5" t="s">
        <v>418</v>
      </c>
      <c r="CN486" s="5" t="s">
        <v>416</v>
      </c>
      <c r="CO486" s="5" t="s">
        <v>82</v>
      </c>
      <c r="CP486" s="5" t="s">
        <v>94</v>
      </c>
      <c r="CQ486" s="5" t="s">
        <v>84</v>
      </c>
      <c r="CR486" s="5" t="s">
        <v>99</v>
      </c>
      <c r="CS486" s="5" t="s">
        <v>86</v>
      </c>
      <c r="CT486" s="5" t="s">
        <v>385</v>
      </c>
      <c r="CU486" s="5" t="s">
        <v>86</v>
      </c>
    </row>
    <row r="487" spans="1:99">
      <c r="A487" s="5">
        <v>18031747878</v>
      </c>
      <c r="B487" s="5"/>
      <c r="C487" s="5"/>
      <c r="D487" s="5" t="s">
        <v>18</v>
      </c>
      <c r="E487" s="5" t="s">
        <v>19</v>
      </c>
      <c r="F487" s="5"/>
      <c r="G487" s="5" t="s">
        <v>21</v>
      </c>
      <c r="H487" s="5"/>
      <c r="I487" s="5"/>
      <c r="J487" s="5"/>
      <c r="K487" s="5"/>
      <c r="L487" s="5"/>
      <c r="M487" s="5"/>
      <c r="N487" s="5"/>
      <c r="O487" s="5"/>
      <c r="P487" s="5"/>
      <c r="Q487" s="5"/>
      <c r="R487" s="5" t="s">
        <v>18</v>
      </c>
      <c r="S487" s="5" t="s">
        <v>19</v>
      </c>
      <c r="T487" s="5"/>
      <c r="U487" s="5" t="s">
        <v>21</v>
      </c>
      <c r="V487" s="5"/>
      <c r="W487" s="5"/>
      <c r="X487" s="5"/>
      <c r="Y487" s="5"/>
      <c r="Z487" s="5"/>
      <c r="AA487" s="5"/>
      <c r="AB487" s="5"/>
      <c r="AC487" s="5"/>
      <c r="AD487" s="5"/>
      <c r="AE487" s="5"/>
      <c r="AF487" s="5"/>
      <c r="AG487" s="5"/>
      <c r="AH487" s="5"/>
      <c r="AI487" s="5" t="s">
        <v>34</v>
      </c>
      <c r="AJ487" s="5" t="s">
        <v>35</v>
      </c>
      <c r="AK487" s="5"/>
      <c r="AL487" s="5"/>
      <c r="AM487" s="5" t="s">
        <v>375</v>
      </c>
      <c r="AN487" s="5"/>
      <c r="AO487" s="5"/>
      <c r="AP487" s="5"/>
      <c r="AQ487" s="5"/>
      <c r="AR487" s="5"/>
      <c r="AS487" s="5" t="s">
        <v>42</v>
      </c>
      <c r="AT487" s="5"/>
      <c r="AU487" s="5"/>
      <c r="AV487" s="5"/>
      <c r="AW487" s="5" t="s">
        <v>45</v>
      </c>
      <c r="AX487" s="5"/>
      <c r="AY487" s="5"/>
      <c r="AZ487" s="5" t="s">
        <v>48</v>
      </c>
      <c r="BA487" s="5"/>
      <c r="BB487" s="5"/>
      <c r="BC487" s="5"/>
      <c r="BD487" s="5"/>
      <c r="BE487" s="5"/>
      <c r="BF487" s="5"/>
      <c r="BG487" s="5"/>
      <c r="BH487" s="5"/>
      <c r="BI487" s="5" t="s">
        <v>55</v>
      </c>
      <c r="BJ487" s="5"/>
      <c r="BK487" s="5"/>
      <c r="BL487" s="5"/>
      <c r="BM487" s="5"/>
      <c r="BN487" s="5"/>
      <c r="BO487" s="5"/>
      <c r="BP487" s="5" t="s">
        <v>60</v>
      </c>
      <c r="BQ487" s="5"/>
      <c r="BR487" s="5"/>
      <c r="BS487" s="5"/>
      <c r="BT487" s="5"/>
      <c r="BU487" s="5" t="s">
        <v>64</v>
      </c>
      <c r="BV487" s="5"/>
      <c r="BW487" s="5"/>
      <c r="BX487" s="5"/>
      <c r="BY487" s="5"/>
      <c r="BZ487" s="5"/>
      <c r="CA487" s="5"/>
      <c r="CB487" s="5"/>
      <c r="CC487" s="5"/>
      <c r="CD487" s="5"/>
      <c r="CE487" s="5"/>
      <c r="CF487" s="5"/>
      <c r="CG487" s="5"/>
      <c r="CH487" s="5"/>
      <c r="CI487" s="5" t="s">
        <v>417</v>
      </c>
      <c r="CJ487" s="5">
        <v>86</v>
      </c>
      <c r="CK487" s="5" t="s">
        <v>80</v>
      </c>
      <c r="CL487" s="5" t="s">
        <v>130</v>
      </c>
      <c r="CM487" s="5" t="s">
        <v>418</v>
      </c>
      <c r="CN487" s="5" t="s">
        <v>416</v>
      </c>
      <c r="CO487" s="5" t="s">
        <v>82</v>
      </c>
      <c r="CP487" s="5"/>
      <c r="CQ487" s="5" t="s">
        <v>95</v>
      </c>
      <c r="CR487" s="5" t="s">
        <v>99</v>
      </c>
      <c r="CS487" s="5" t="s">
        <v>86</v>
      </c>
      <c r="CT487" s="5" t="s">
        <v>385</v>
      </c>
      <c r="CU487" s="5" t="s">
        <v>81</v>
      </c>
    </row>
    <row r="488" spans="1:99">
      <c r="A488" s="5">
        <v>18031747796</v>
      </c>
      <c r="B488" s="5"/>
      <c r="C488" s="5"/>
      <c r="D488" s="5"/>
      <c r="E488" s="5"/>
      <c r="F488" s="5"/>
      <c r="G488" s="5"/>
      <c r="H488" s="5"/>
      <c r="I488" s="5"/>
      <c r="J488" s="5"/>
      <c r="K488" s="5"/>
      <c r="L488" s="5"/>
      <c r="M488" s="5" t="s">
        <v>27</v>
      </c>
      <c r="N488" s="5"/>
      <c r="O488" s="5" t="s">
        <v>493</v>
      </c>
      <c r="P488" s="5"/>
      <c r="Q488" s="5"/>
      <c r="R488" s="5"/>
      <c r="S488" s="5"/>
      <c r="T488" s="5"/>
      <c r="U488" s="5"/>
      <c r="V488" s="5"/>
      <c r="W488" s="5"/>
      <c r="X488" s="5"/>
      <c r="Y488" s="5"/>
      <c r="Z488" s="5"/>
      <c r="AA488" s="5" t="s">
        <v>27</v>
      </c>
      <c r="AB488" s="5"/>
      <c r="AC488" s="5"/>
      <c r="AD488" s="5" t="s">
        <v>29</v>
      </c>
      <c r="AE488" s="5"/>
      <c r="AF488" s="5"/>
      <c r="AG488" s="5"/>
      <c r="AH488" s="5"/>
      <c r="AI488" s="5"/>
      <c r="AJ488" s="5"/>
      <c r="AK488" s="5"/>
      <c r="AL488" s="5" t="s">
        <v>37</v>
      </c>
      <c r="AM488" s="5" t="s">
        <v>375</v>
      </c>
      <c r="AN488" s="5"/>
      <c r="AO488" s="5"/>
      <c r="AP488" s="5"/>
      <c r="AQ488" s="5"/>
      <c r="AR488" s="5"/>
      <c r="AS488" s="5" t="s">
        <v>42</v>
      </c>
      <c r="AT488" s="5" t="s">
        <v>37</v>
      </c>
      <c r="AU488" s="5"/>
      <c r="AV488" s="5"/>
      <c r="AW488" s="5"/>
      <c r="AX488" s="5" t="s">
        <v>46</v>
      </c>
      <c r="AY488" s="5"/>
      <c r="AZ488" s="5"/>
      <c r="BA488" s="5"/>
      <c r="BB488" s="5"/>
      <c r="BC488" s="5" t="s">
        <v>50</v>
      </c>
      <c r="BD488" s="5"/>
      <c r="BE488" s="5"/>
      <c r="BF488" s="5"/>
      <c r="BG488" s="5" t="s">
        <v>53</v>
      </c>
      <c r="BH488" s="5" t="s">
        <v>54</v>
      </c>
      <c r="BI488" s="5"/>
      <c r="BJ488" s="5"/>
      <c r="BK488" s="5"/>
      <c r="BL488" s="5"/>
      <c r="BM488" s="5"/>
      <c r="BN488" s="5" t="s">
        <v>24</v>
      </c>
      <c r="BO488" s="5"/>
      <c r="BP488" s="5"/>
      <c r="BQ488" s="5"/>
      <c r="BR488" s="5"/>
      <c r="BS488" s="5"/>
      <c r="BT488" s="5"/>
      <c r="BU488" s="5"/>
      <c r="BV488" s="5"/>
      <c r="BW488" s="5"/>
      <c r="BX488" s="5"/>
      <c r="BY488" s="5"/>
      <c r="BZ488" s="5" t="s">
        <v>69</v>
      </c>
      <c r="CA488" s="5"/>
      <c r="CB488" s="5" t="s">
        <v>71</v>
      </c>
      <c r="CC488" s="5"/>
      <c r="CD488" s="5"/>
      <c r="CE488" s="5"/>
      <c r="CF488" s="5"/>
      <c r="CG488" s="5"/>
      <c r="CH488" s="5"/>
      <c r="CI488" s="5" t="s">
        <v>414</v>
      </c>
      <c r="CJ488" s="5">
        <v>56</v>
      </c>
      <c r="CK488" s="5" t="s">
        <v>80</v>
      </c>
      <c r="CL488" s="5" t="s">
        <v>115</v>
      </c>
      <c r="CM488" s="5" t="s">
        <v>418</v>
      </c>
      <c r="CN488" s="5" t="s">
        <v>416</v>
      </c>
      <c r="CO488" s="5" t="s">
        <v>82</v>
      </c>
      <c r="CP488" s="5" t="s">
        <v>87</v>
      </c>
      <c r="CQ488" s="5" t="s">
        <v>88</v>
      </c>
      <c r="CR488" s="5" t="s">
        <v>96</v>
      </c>
      <c r="CS488" s="5" t="s">
        <v>86</v>
      </c>
      <c r="CT488" s="5" t="s">
        <v>387</v>
      </c>
      <c r="CU488" s="5" t="s">
        <v>81</v>
      </c>
    </row>
    <row r="489" spans="1:99">
      <c r="A489" s="5">
        <v>18031747661</v>
      </c>
      <c r="B489" s="5"/>
      <c r="C489" s="5" t="s">
        <v>17</v>
      </c>
      <c r="D489" s="5"/>
      <c r="E489" s="5"/>
      <c r="F489" s="5"/>
      <c r="G489" s="5"/>
      <c r="H489" s="5"/>
      <c r="I489" s="5"/>
      <c r="J489" s="5"/>
      <c r="K489" s="5"/>
      <c r="L489" s="5" t="s">
        <v>26</v>
      </c>
      <c r="M489" s="5" t="s">
        <v>27</v>
      </c>
      <c r="N489" s="5"/>
      <c r="O489" s="5"/>
      <c r="P489" s="5"/>
      <c r="Q489" s="5" t="s">
        <v>17</v>
      </c>
      <c r="R489" s="5" t="s">
        <v>18</v>
      </c>
      <c r="S489" s="5"/>
      <c r="T489" s="5"/>
      <c r="U489" s="5"/>
      <c r="V489" s="5"/>
      <c r="W489" s="5"/>
      <c r="X489" s="5"/>
      <c r="Y489" s="5"/>
      <c r="Z489" s="5"/>
      <c r="AA489" s="5" t="s">
        <v>27</v>
      </c>
      <c r="AB489" s="5"/>
      <c r="AC489" s="5"/>
      <c r="AD489" s="5"/>
      <c r="AE489" s="5"/>
      <c r="AF489" s="5"/>
      <c r="AG489" s="5" t="s">
        <v>32</v>
      </c>
      <c r="AH489" s="5"/>
      <c r="AI489" s="5"/>
      <c r="AJ489" s="5"/>
      <c r="AK489" s="5"/>
      <c r="AL489" s="5"/>
      <c r="AM489" s="5" t="s">
        <v>375</v>
      </c>
      <c r="AN489" s="5"/>
      <c r="AO489" s="5"/>
      <c r="AP489" s="5"/>
      <c r="AQ489" s="5"/>
      <c r="AR489" s="5" t="s">
        <v>41</v>
      </c>
      <c r="AS489" s="5"/>
      <c r="AT489" s="5"/>
      <c r="AU489" s="5"/>
      <c r="AV489" s="5"/>
      <c r="AW489" s="5"/>
      <c r="AX489" s="5"/>
      <c r="AY489" s="5"/>
      <c r="AZ489" s="5"/>
      <c r="BA489" s="5"/>
      <c r="BB489" s="5" t="s">
        <v>49</v>
      </c>
      <c r="BC489" s="5"/>
      <c r="BD489" s="5"/>
      <c r="BE489" s="5" t="s">
        <v>17</v>
      </c>
      <c r="BF489" s="5"/>
      <c r="BG489" s="5"/>
      <c r="BH489" s="5"/>
      <c r="BI489" s="5"/>
      <c r="BJ489" s="5"/>
      <c r="BK489" s="5"/>
      <c r="BL489" s="5"/>
      <c r="BM489" s="5"/>
      <c r="BN489" s="5"/>
      <c r="BO489" s="5"/>
      <c r="BP489" s="5"/>
      <c r="BQ489" s="5"/>
      <c r="BR489" s="5"/>
      <c r="BS489" s="5" t="s">
        <v>63</v>
      </c>
      <c r="BT489" s="5"/>
      <c r="BU489" s="5" t="s">
        <v>64</v>
      </c>
      <c r="BV489" s="5"/>
      <c r="BW489" s="5"/>
      <c r="BX489" s="5"/>
      <c r="BY489" s="5"/>
      <c r="BZ489" s="5"/>
      <c r="CA489" s="5"/>
      <c r="CB489" s="5"/>
      <c r="CC489" s="5"/>
      <c r="CD489" s="5"/>
      <c r="CE489" s="5"/>
      <c r="CF489" s="5"/>
      <c r="CG489" s="5"/>
      <c r="CH489" s="5"/>
      <c r="CI489" s="5" t="s">
        <v>417</v>
      </c>
      <c r="CJ489" s="5">
        <v>62</v>
      </c>
      <c r="CK489" s="5" t="s">
        <v>80</v>
      </c>
      <c r="CL489" s="5" t="s">
        <v>470</v>
      </c>
      <c r="CM489" s="5" t="s">
        <v>418</v>
      </c>
      <c r="CN489" s="5"/>
      <c r="CO489" s="5" t="s">
        <v>82</v>
      </c>
      <c r="CP489" s="5" t="s">
        <v>94</v>
      </c>
      <c r="CQ489" s="5" t="s">
        <v>95</v>
      </c>
      <c r="CR489" s="5" t="s">
        <v>85</v>
      </c>
      <c r="CS489" s="5" t="s">
        <v>86</v>
      </c>
      <c r="CT489" s="5" t="s">
        <v>384</v>
      </c>
      <c r="CU489" s="5" t="s">
        <v>86</v>
      </c>
    </row>
    <row r="490" spans="1:99">
      <c r="A490" s="5">
        <v>18031747461</v>
      </c>
      <c r="B490" s="5"/>
      <c r="C490" s="5" t="s">
        <v>17</v>
      </c>
      <c r="D490" s="5"/>
      <c r="E490" s="5"/>
      <c r="F490" s="5"/>
      <c r="G490" s="5"/>
      <c r="H490" s="5"/>
      <c r="I490" s="5"/>
      <c r="J490" s="5"/>
      <c r="K490" s="5"/>
      <c r="L490" s="5"/>
      <c r="M490" s="5" t="s">
        <v>27</v>
      </c>
      <c r="N490" s="5"/>
      <c r="O490" s="5"/>
      <c r="P490" s="5"/>
      <c r="Q490" s="5"/>
      <c r="R490" s="5"/>
      <c r="S490" s="5"/>
      <c r="T490" s="5"/>
      <c r="U490" s="5"/>
      <c r="V490" s="5"/>
      <c r="W490" s="5"/>
      <c r="X490" s="5"/>
      <c r="Y490" s="5"/>
      <c r="Z490" s="5"/>
      <c r="AA490" s="5"/>
      <c r="AB490" s="5"/>
      <c r="AC490" s="5"/>
      <c r="AD490" s="5"/>
      <c r="AE490" s="5"/>
      <c r="AF490" s="5"/>
      <c r="AG490" s="5"/>
      <c r="AH490" s="5"/>
      <c r="AI490" s="5" t="s">
        <v>34</v>
      </c>
      <c r="AJ490" s="5"/>
      <c r="AK490" s="5"/>
      <c r="AL490" s="5"/>
      <c r="AM490" s="5"/>
      <c r="AN490" s="5"/>
      <c r="AO490" s="5" t="s">
        <v>38</v>
      </c>
      <c r="AP490" s="5"/>
      <c r="AQ490" s="5"/>
      <c r="AR490" s="5"/>
      <c r="AS490" s="5"/>
      <c r="AT490" s="5"/>
      <c r="AU490" s="5"/>
      <c r="AV490" s="5"/>
      <c r="AW490" s="5"/>
      <c r="AX490" s="5"/>
      <c r="AY490" s="5"/>
      <c r="AZ490" s="5"/>
      <c r="BA490" s="5"/>
      <c r="BB490" s="5"/>
      <c r="BC490" s="5"/>
      <c r="BD490" s="5" t="s">
        <v>51</v>
      </c>
      <c r="BE490" s="5" t="s">
        <v>17</v>
      </c>
      <c r="BF490" s="5"/>
      <c r="BG490" s="5"/>
      <c r="BH490" s="5"/>
      <c r="BI490" s="5"/>
      <c r="BJ490" s="5"/>
      <c r="BK490" s="5"/>
      <c r="BL490" s="5"/>
      <c r="BM490" s="5"/>
      <c r="BN490" s="5"/>
      <c r="BO490" s="5"/>
      <c r="BP490" s="5"/>
      <c r="BQ490" s="5"/>
      <c r="BR490" s="5"/>
      <c r="BS490" s="5"/>
      <c r="BT490" s="5"/>
      <c r="BU490" s="5" t="s">
        <v>64</v>
      </c>
      <c r="BV490" s="5"/>
      <c r="BW490" s="5"/>
      <c r="BX490" s="5"/>
      <c r="BY490" s="5"/>
      <c r="BZ490" s="5"/>
      <c r="CA490" s="5"/>
      <c r="CB490" s="5"/>
      <c r="CC490" s="5"/>
      <c r="CD490" s="5"/>
      <c r="CE490" s="5"/>
      <c r="CF490" s="5"/>
      <c r="CG490" s="5"/>
      <c r="CH490" s="5"/>
      <c r="CI490" s="5"/>
      <c r="CJ490" s="5"/>
      <c r="CK490" s="5" t="s">
        <v>141</v>
      </c>
      <c r="CL490" s="5" t="s">
        <v>377</v>
      </c>
      <c r="CM490" s="5" t="s">
        <v>418</v>
      </c>
      <c r="CN490" s="5"/>
      <c r="CO490" s="5" t="s">
        <v>82</v>
      </c>
      <c r="CP490" s="5"/>
      <c r="CQ490" s="5" t="s">
        <v>84</v>
      </c>
      <c r="CR490" s="5" t="s">
        <v>92</v>
      </c>
      <c r="CS490" s="5" t="s">
        <v>86</v>
      </c>
      <c r="CT490" s="5"/>
      <c r="CU490" s="5" t="s">
        <v>86</v>
      </c>
    </row>
    <row r="491" spans="1:99">
      <c r="A491" s="5">
        <v>18031747331</v>
      </c>
      <c r="B491" s="5"/>
      <c r="C491" s="5"/>
      <c r="D491" s="5"/>
      <c r="E491" s="5"/>
      <c r="F491" s="5"/>
      <c r="G491" s="5"/>
      <c r="H491" s="5"/>
      <c r="I491" s="5"/>
      <c r="J491" s="5"/>
      <c r="K491" s="5"/>
      <c r="L491" s="5"/>
      <c r="M491" s="5"/>
      <c r="N491" s="5" t="s">
        <v>28</v>
      </c>
      <c r="O491" s="5" t="s">
        <v>490</v>
      </c>
      <c r="P491" s="5"/>
      <c r="Q491" s="5" t="s">
        <v>17</v>
      </c>
      <c r="R491" s="5"/>
      <c r="S491" s="5"/>
      <c r="T491" s="5"/>
      <c r="U491" s="5"/>
      <c r="V491" s="5"/>
      <c r="W491" s="5"/>
      <c r="X491" s="5"/>
      <c r="Y491" s="5"/>
      <c r="Z491" s="5"/>
      <c r="AA491" s="5"/>
      <c r="AB491" s="5" t="s">
        <v>28</v>
      </c>
      <c r="AC491" s="5"/>
      <c r="AD491" s="5"/>
      <c r="AE491" s="5"/>
      <c r="AF491" s="5"/>
      <c r="AG491" s="5"/>
      <c r="AH491" s="5"/>
      <c r="AI491" s="5"/>
      <c r="AJ491" s="5" t="s">
        <v>35</v>
      </c>
      <c r="AK491" s="5"/>
      <c r="AL491" s="5"/>
      <c r="AM491" s="5" t="s">
        <v>375</v>
      </c>
      <c r="AN491" s="5"/>
      <c r="AO491" s="5"/>
      <c r="AP491" s="5"/>
      <c r="AQ491" s="5"/>
      <c r="AR491" s="5"/>
      <c r="AS491" s="5"/>
      <c r="AT491" s="5" t="s">
        <v>37</v>
      </c>
      <c r="AU491" s="5" t="s">
        <v>43</v>
      </c>
      <c r="AV491" s="5"/>
      <c r="AW491" s="5"/>
      <c r="AX491" s="5"/>
      <c r="AY491" s="5"/>
      <c r="AZ491" s="5"/>
      <c r="BA491" s="5"/>
      <c r="BB491" s="5" t="s">
        <v>49</v>
      </c>
      <c r="BC491" s="5"/>
      <c r="BD491" s="5"/>
      <c r="BE491" s="5"/>
      <c r="BF491" s="5"/>
      <c r="BG491" s="5"/>
      <c r="BH491" s="5"/>
      <c r="BI491" s="5"/>
      <c r="BJ491" s="5"/>
      <c r="BK491" s="5" t="s">
        <v>57</v>
      </c>
      <c r="BL491" s="5"/>
      <c r="BM491" s="5"/>
      <c r="BN491" s="5"/>
      <c r="BO491" s="5"/>
      <c r="BP491" s="5"/>
      <c r="BQ491" s="5"/>
      <c r="BR491" s="5" t="s">
        <v>62</v>
      </c>
      <c r="BS491" s="5"/>
      <c r="BT491" s="5"/>
      <c r="BU491" s="5" t="s">
        <v>64</v>
      </c>
      <c r="BV491" s="5"/>
      <c r="BW491" s="5"/>
      <c r="BX491" s="5"/>
      <c r="BY491" s="5"/>
      <c r="BZ491" s="5"/>
      <c r="CA491" s="5"/>
      <c r="CB491" s="5"/>
      <c r="CC491" s="5"/>
      <c r="CD491" s="5"/>
      <c r="CE491" s="5"/>
      <c r="CF491" s="5" t="s">
        <v>75</v>
      </c>
      <c r="CG491" s="5"/>
      <c r="CH491" s="5"/>
      <c r="CI491" s="5" t="s">
        <v>417</v>
      </c>
      <c r="CJ491" s="5">
        <v>69</v>
      </c>
      <c r="CK491" s="5" t="s">
        <v>80</v>
      </c>
      <c r="CL491" s="5" t="s">
        <v>515</v>
      </c>
      <c r="CM491" s="5" t="s">
        <v>418</v>
      </c>
      <c r="CN491" s="5" t="s">
        <v>416</v>
      </c>
      <c r="CO491" s="5" t="s">
        <v>82</v>
      </c>
      <c r="CP491" s="5" t="s">
        <v>97</v>
      </c>
      <c r="CQ491" s="5" t="s">
        <v>103</v>
      </c>
      <c r="CR491" s="5" t="s">
        <v>99</v>
      </c>
      <c r="CS491" s="5" t="s">
        <v>86</v>
      </c>
      <c r="CT491" s="5" t="s">
        <v>385</v>
      </c>
      <c r="CU491" s="5" t="s">
        <v>86</v>
      </c>
    </row>
    <row r="492" spans="1:99">
      <c r="A492" s="5">
        <v>18031747137</v>
      </c>
      <c r="B492" s="5"/>
      <c r="C492" s="5"/>
      <c r="D492" s="5"/>
      <c r="E492" s="5"/>
      <c r="F492" s="5"/>
      <c r="G492" s="5"/>
      <c r="H492" s="5"/>
      <c r="I492" s="5"/>
      <c r="J492" s="5"/>
      <c r="K492" s="5"/>
      <c r="L492" s="5" t="s">
        <v>26</v>
      </c>
      <c r="M492" s="5"/>
      <c r="N492" s="5"/>
      <c r="O492" s="5"/>
      <c r="P492" s="5"/>
      <c r="Q492" s="5"/>
      <c r="R492" s="5"/>
      <c r="S492" s="5"/>
      <c r="T492" s="5"/>
      <c r="U492" s="5"/>
      <c r="V492" s="5"/>
      <c r="W492" s="5"/>
      <c r="X492" s="5" t="s">
        <v>24</v>
      </c>
      <c r="Y492" s="5"/>
      <c r="Z492" s="5"/>
      <c r="AA492" s="5"/>
      <c r="AB492" s="5"/>
      <c r="AC492" s="5"/>
      <c r="AD492" s="5"/>
      <c r="AE492" s="5"/>
      <c r="AF492" s="5"/>
      <c r="AG492" s="5"/>
      <c r="AH492" s="5"/>
      <c r="AI492" s="5"/>
      <c r="AJ492" s="5"/>
      <c r="AK492" s="5"/>
      <c r="AL492" s="5" t="s">
        <v>37</v>
      </c>
      <c r="AM492" s="5"/>
      <c r="AN492" s="5"/>
      <c r="AO492" s="5"/>
      <c r="AP492" s="5"/>
      <c r="AQ492" s="5"/>
      <c r="AR492" s="5"/>
      <c r="AS492" s="5"/>
      <c r="AT492" s="5"/>
      <c r="AU492" s="5"/>
      <c r="AV492" s="5"/>
      <c r="AW492" s="5" t="s">
        <v>45</v>
      </c>
      <c r="AX492" s="5"/>
      <c r="AY492" s="5" t="s">
        <v>47</v>
      </c>
      <c r="AZ492" s="5"/>
      <c r="BA492" s="5"/>
      <c r="BB492" s="5" t="s">
        <v>49</v>
      </c>
      <c r="BC492" s="5"/>
      <c r="BD492" s="5"/>
      <c r="BE492" s="5"/>
      <c r="BF492" s="5"/>
      <c r="BG492" s="5"/>
      <c r="BH492" s="5" t="s">
        <v>54</v>
      </c>
      <c r="BI492" s="5"/>
      <c r="BJ492" s="5"/>
      <c r="BK492" s="5"/>
      <c r="BL492" s="5"/>
      <c r="BM492" s="5"/>
      <c r="BN492" s="5"/>
      <c r="BO492" s="5"/>
      <c r="BP492" s="5"/>
      <c r="BQ492" s="5"/>
      <c r="BR492" s="5"/>
      <c r="BS492" s="5"/>
      <c r="BT492" s="5"/>
      <c r="BU492" s="5" t="s">
        <v>64</v>
      </c>
      <c r="BV492" s="5"/>
      <c r="BW492" s="5"/>
      <c r="BX492" s="5"/>
      <c r="BY492" s="5"/>
      <c r="BZ492" s="5"/>
      <c r="CA492" s="5"/>
      <c r="CB492" s="5"/>
      <c r="CC492" s="5"/>
      <c r="CD492" s="5"/>
      <c r="CE492" s="5"/>
      <c r="CF492" s="5"/>
      <c r="CG492" s="5"/>
      <c r="CH492" s="5"/>
      <c r="CI492" s="5" t="s">
        <v>414</v>
      </c>
      <c r="CJ492" s="5">
        <v>57</v>
      </c>
      <c r="CK492" s="5" t="s">
        <v>80</v>
      </c>
      <c r="CL492" s="5" t="s">
        <v>113</v>
      </c>
      <c r="CM492" s="5" t="s">
        <v>418</v>
      </c>
      <c r="CN492" s="5" t="s">
        <v>416</v>
      </c>
      <c r="CO492" s="5" t="s">
        <v>82</v>
      </c>
      <c r="CP492" s="5" t="s">
        <v>94</v>
      </c>
      <c r="CQ492" s="5" t="s">
        <v>95</v>
      </c>
      <c r="CR492" s="5" t="s">
        <v>99</v>
      </c>
      <c r="CS492" s="5" t="s">
        <v>86</v>
      </c>
      <c r="CT492" s="5" t="s">
        <v>384</v>
      </c>
      <c r="CU492" s="5" t="s">
        <v>86</v>
      </c>
    </row>
    <row r="493" spans="1:99">
      <c r="A493" s="5">
        <v>18031747033</v>
      </c>
      <c r="B493" s="5" t="s">
        <v>16</v>
      </c>
      <c r="C493" s="5" t="s">
        <v>17</v>
      </c>
      <c r="D493" s="5"/>
      <c r="E493" s="5"/>
      <c r="F493" s="5"/>
      <c r="G493" s="5"/>
      <c r="H493" s="5"/>
      <c r="I493" s="5"/>
      <c r="J493" s="5"/>
      <c r="K493" s="5"/>
      <c r="L493" s="5"/>
      <c r="M493" s="5"/>
      <c r="N493" s="5" t="s">
        <v>28</v>
      </c>
      <c r="O493" s="5"/>
      <c r="P493" s="5" t="s">
        <v>16</v>
      </c>
      <c r="Q493" s="5"/>
      <c r="R493" s="5" t="s">
        <v>18</v>
      </c>
      <c r="S493" s="5"/>
      <c r="T493" s="5"/>
      <c r="U493" s="5"/>
      <c r="V493" s="5"/>
      <c r="W493" s="5" t="s">
        <v>23</v>
      </c>
      <c r="X493" s="5" t="s">
        <v>24</v>
      </c>
      <c r="Y493" s="5" t="s">
        <v>25</v>
      </c>
      <c r="Z493" s="5"/>
      <c r="AA493" s="5"/>
      <c r="AB493" s="5" t="s">
        <v>28</v>
      </c>
      <c r="AC493" s="5"/>
      <c r="AD493" s="5"/>
      <c r="AE493" s="5"/>
      <c r="AF493" s="5"/>
      <c r="AG493" s="5"/>
      <c r="AH493" s="5"/>
      <c r="AI493" s="5"/>
      <c r="AJ493" s="5"/>
      <c r="AK493" s="5"/>
      <c r="AL493" s="5"/>
      <c r="AM493" s="5"/>
      <c r="AN493" s="5" t="s">
        <v>497</v>
      </c>
      <c r="AO493" s="5"/>
      <c r="AP493" s="5"/>
      <c r="AQ493" s="5"/>
      <c r="AR493" s="5" t="s">
        <v>41</v>
      </c>
      <c r="AS493" s="5"/>
      <c r="AT493" s="5"/>
      <c r="AU493" s="5"/>
      <c r="AV493" s="5"/>
      <c r="AW493" s="5"/>
      <c r="AX493" s="5" t="s">
        <v>46</v>
      </c>
      <c r="AY493" s="5"/>
      <c r="AZ493" s="5"/>
      <c r="BA493" s="5"/>
      <c r="BB493" s="5" t="s">
        <v>49</v>
      </c>
      <c r="BC493" s="5"/>
      <c r="BD493" s="5"/>
      <c r="BE493" s="5" t="s">
        <v>17</v>
      </c>
      <c r="BF493" s="5"/>
      <c r="BG493" s="5"/>
      <c r="BH493" s="5" t="s">
        <v>54</v>
      </c>
      <c r="BI493" s="5"/>
      <c r="BJ493" s="5"/>
      <c r="BK493" s="5"/>
      <c r="BL493" s="5" t="s">
        <v>58</v>
      </c>
      <c r="BM493" s="5" t="s">
        <v>59</v>
      </c>
      <c r="BN493" s="5"/>
      <c r="BO493" s="5"/>
      <c r="BP493" s="5"/>
      <c r="BQ493" s="5"/>
      <c r="BR493" s="5"/>
      <c r="BS493" s="5"/>
      <c r="BT493" s="5"/>
      <c r="BU493" s="5" t="s">
        <v>64</v>
      </c>
      <c r="BV493" s="5"/>
      <c r="BW493" s="5"/>
      <c r="BX493" s="5"/>
      <c r="BY493" s="5"/>
      <c r="BZ493" s="5"/>
      <c r="CA493" s="5"/>
      <c r="CB493" s="5"/>
      <c r="CC493" s="5"/>
      <c r="CD493" s="5"/>
      <c r="CE493" s="5"/>
      <c r="CF493" s="5" t="s">
        <v>75</v>
      </c>
      <c r="CG493" s="5"/>
      <c r="CH493" s="5"/>
      <c r="CI493" s="5" t="s">
        <v>417</v>
      </c>
      <c r="CJ493" s="5">
        <v>56</v>
      </c>
      <c r="CK493" s="5" t="s">
        <v>80</v>
      </c>
      <c r="CL493" s="5" t="s">
        <v>516</v>
      </c>
      <c r="CM493" s="5"/>
      <c r="CN493" s="5" t="s">
        <v>419</v>
      </c>
      <c r="CO493" s="5" t="s">
        <v>388</v>
      </c>
      <c r="CP493" s="5" t="s">
        <v>94</v>
      </c>
      <c r="CQ493" s="5" t="s">
        <v>84</v>
      </c>
      <c r="CR493" s="5" t="s">
        <v>85</v>
      </c>
      <c r="CS493" s="5" t="s">
        <v>86</v>
      </c>
      <c r="CT493" s="5" t="s">
        <v>384</v>
      </c>
      <c r="CU493" s="5" t="s">
        <v>86</v>
      </c>
    </row>
    <row r="494" spans="1:99">
      <c r="A494" s="5">
        <v>18031743094</v>
      </c>
      <c r="B494" s="5"/>
      <c r="C494" s="5"/>
      <c r="D494" s="5"/>
      <c r="E494" s="5" t="s">
        <v>19</v>
      </c>
      <c r="F494" s="5"/>
      <c r="G494" s="5"/>
      <c r="H494" s="5"/>
      <c r="I494" s="5"/>
      <c r="J494" s="5"/>
      <c r="K494" s="5" t="s">
        <v>25</v>
      </c>
      <c r="L494" s="5" t="s">
        <v>26</v>
      </c>
      <c r="M494" s="5"/>
      <c r="N494" s="5"/>
      <c r="O494" s="5"/>
      <c r="P494" s="5"/>
      <c r="Q494" s="5"/>
      <c r="R494" s="5" t="s">
        <v>18</v>
      </c>
      <c r="S494" s="5" t="s">
        <v>19</v>
      </c>
      <c r="T494" s="5"/>
      <c r="U494" s="5"/>
      <c r="V494" s="5"/>
      <c r="W494" s="5"/>
      <c r="X494" s="5"/>
      <c r="Y494" s="5"/>
      <c r="Z494" s="5"/>
      <c r="AA494" s="5" t="s">
        <v>27</v>
      </c>
      <c r="AB494" s="5"/>
      <c r="AC494" s="5"/>
      <c r="AD494" s="5"/>
      <c r="AE494" s="5"/>
      <c r="AF494" s="5"/>
      <c r="AG494" s="5"/>
      <c r="AH494" s="5"/>
      <c r="AI494" s="5"/>
      <c r="AJ494" s="5"/>
      <c r="AK494" s="5" t="s">
        <v>36</v>
      </c>
      <c r="AL494" s="5" t="s">
        <v>37</v>
      </c>
      <c r="AM494" s="5" t="s">
        <v>375</v>
      </c>
      <c r="AN494" s="5"/>
      <c r="AO494" s="5"/>
      <c r="AP494" s="5"/>
      <c r="AQ494" s="5"/>
      <c r="AR494" s="5"/>
      <c r="AS494" s="5"/>
      <c r="AT494" s="5"/>
      <c r="AU494" s="5" t="s">
        <v>43</v>
      </c>
      <c r="AV494" s="5"/>
      <c r="AW494" s="5"/>
      <c r="AX494" s="5" t="s">
        <v>46</v>
      </c>
      <c r="AY494" s="5" t="s">
        <v>47</v>
      </c>
      <c r="AZ494" s="5"/>
      <c r="BA494" s="5"/>
      <c r="BB494" s="5" t="s">
        <v>49</v>
      </c>
      <c r="BC494" s="5"/>
      <c r="BD494" s="5"/>
      <c r="BE494" s="5"/>
      <c r="BF494" s="5"/>
      <c r="BG494" s="5"/>
      <c r="BH494" s="5"/>
      <c r="BI494" s="5" t="s">
        <v>55</v>
      </c>
      <c r="BJ494" s="5"/>
      <c r="BK494" s="5"/>
      <c r="BL494" s="5"/>
      <c r="BM494" s="5"/>
      <c r="BN494" s="5" t="s">
        <v>24</v>
      </c>
      <c r="BO494" s="5"/>
      <c r="BP494" s="5"/>
      <c r="BQ494" s="5"/>
      <c r="BR494" s="5"/>
      <c r="BS494" s="5"/>
      <c r="BT494" s="5"/>
      <c r="BU494" s="5" t="s">
        <v>64</v>
      </c>
      <c r="BV494" s="5"/>
      <c r="BW494" s="5"/>
      <c r="BX494" s="5"/>
      <c r="BY494" s="5"/>
      <c r="BZ494" s="5"/>
      <c r="CA494" s="5"/>
      <c r="CB494" s="5"/>
      <c r="CC494" s="5"/>
      <c r="CD494" s="5"/>
      <c r="CE494" s="5"/>
      <c r="CF494" s="5" t="s">
        <v>75</v>
      </c>
      <c r="CG494" s="5"/>
      <c r="CH494" s="5"/>
      <c r="CI494" s="5" t="s">
        <v>414</v>
      </c>
      <c r="CJ494" s="5">
        <v>78</v>
      </c>
      <c r="CK494" s="5" t="s">
        <v>141</v>
      </c>
      <c r="CL494" s="5" t="s">
        <v>174</v>
      </c>
      <c r="CM494" s="5" t="s">
        <v>418</v>
      </c>
      <c r="CN494" s="5" t="s">
        <v>416</v>
      </c>
      <c r="CO494" s="5" t="s">
        <v>517</v>
      </c>
      <c r="CP494" s="5" t="s">
        <v>93</v>
      </c>
      <c r="CQ494" s="5" t="s">
        <v>111</v>
      </c>
      <c r="CR494" s="5" t="s">
        <v>99</v>
      </c>
      <c r="CS494" s="5" t="s">
        <v>86</v>
      </c>
      <c r="CT494" s="5" t="s">
        <v>384</v>
      </c>
      <c r="CU494" s="5" t="s">
        <v>86</v>
      </c>
    </row>
    <row r="495" spans="1:99">
      <c r="A495" s="5">
        <v>18031732007</v>
      </c>
      <c r="B495" s="5"/>
      <c r="C495" s="5" t="s">
        <v>17</v>
      </c>
      <c r="D495" s="5"/>
      <c r="E495" s="5"/>
      <c r="F495" s="5"/>
      <c r="G495" s="5"/>
      <c r="H495" s="5"/>
      <c r="I495" s="5"/>
      <c r="J495" s="5"/>
      <c r="K495" s="5" t="s">
        <v>25</v>
      </c>
      <c r="L495" s="5" t="s">
        <v>26</v>
      </c>
      <c r="M495" s="5"/>
      <c r="N495" s="5" t="s">
        <v>28</v>
      </c>
      <c r="O495" s="5"/>
      <c r="P495" s="5"/>
      <c r="Q495" s="5"/>
      <c r="R495" s="5" t="s">
        <v>18</v>
      </c>
      <c r="S495" s="5"/>
      <c r="T495" s="5"/>
      <c r="U495" s="5"/>
      <c r="V495" s="5"/>
      <c r="W495" s="5"/>
      <c r="X495" s="5"/>
      <c r="Y495" s="5"/>
      <c r="Z495" s="5"/>
      <c r="AA495" s="5"/>
      <c r="AB495" s="5" t="s">
        <v>28</v>
      </c>
      <c r="AC495" s="5"/>
      <c r="AD495" s="5"/>
      <c r="AE495" s="5"/>
      <c r="AF495" s="5"/>
      <c r="AG495" s="5"/>
      <c r="AH495" s="5"/>
      <c r="AI495" s="5"/>
      <c r="AJ495" s="5"/>
      <c r="AK495" s="5"/>
      <c r="AL495" s="5"/>
      <c r="AM495" s="5" t="s">
        <v>375</v>
      </c>
      <c r="AN495" s="5"/>
      <c r="AO495" s="5" t="s">
        <v>38</v>
      </c>
      <c r="AP495" s="5" t="s">
        <v>39</v>
      </c>
      <c r="AQ495" s="5"/>
      <c r="AR495" s="5"/>
      <c r="AS495" s="5"/>
      <c r="AT495" s="5"/>
      <c r="AU495" s="5" t="s">
        <v>43</v>
      </c>
      <c r="AV495" s="5"/>
      <c r="AW495" s="5"/>
      <c r="AX495" s="5"/>
      <c r="AY495" s="5"/>
      <c r="AZ495" s="5"/>
      <c r="BA495" s="5"/>
      <c r="BB495" s="5"/>
      <c r="BC495" s="5"/>
      <c r="BD495" s="5" t="s">
        <v>51</v>
      </c>
      <c r="BE495" s="5"/>
      <c r="BF495" s="5"/>
      <c r="BG495" s="5" t="s">
        <v>53</v>
      </c>
      <c r="BH495" s="5" t="s">
        <v>54</v>
      </c>
      <c r="BI495" s="5"/>
      <c r="BJ495" s="5"/>
      <c r="BK495" s="5"/>
      <c r="BL495" s="5"/>
      <c r="BM495" s="5"/>
      <c r="BN495" s="5"/>
      <c r="BO495" s="5"/>
      <c r="BP495" s="5"/>
      <c r="BQ495" s="5"/>
      <c r="BR495" s="5"/>
      <c r="BS495" s="5"/>
      <c r="BT495" s="5"/>
      <c r="BU495" s="5" t="s">
        <v>64</v>
      </c>
      <c r="BV495" s="5"/>
      <c r="BW495" s="5"/>
      <c r="BX495" s="5" t="s">
        <v>67</v>
      </c>
      <c r="BY495" s="5"/>
      <c r="BZ495" s="5"/>
      <c r="CA495" s="5"/>
      <c r="CB495" s="5"/>
      <c r="CC495" s="5"/>
      <c r="CD495" s="5" t="s">
        <v>73</v>
      </c>
      <c r="CE495" s="5"/>
      <c r="CF495" s="5" t="s">
        <v>75</v>
      </c>
      <c r="CG495" s="5"/>
      <c r="CH495" s="5"/>
      <c r="CI495" s="5" t="s">
        <v>414</v>
      </c>
      <c r="CJ495" s="5">
        <v>26</v>
      </c>
      <c r="CK495" s="5" t="s">
        <v>141</v>
      </c>
      <c r="CL495" s="5" t="s">
        <v>177</v>
      </c>
      <c r="CM495" s="5" t="s">
        <v>418</v>
      </c>
      <c r="CN495" s="5" t="s">
        <v>416</v>
      </c>
      <c r="CO495" s="5" t="s">
        <v>82</v>
      </c>
      <c r="CP495" s="5" t="s">
        <v>93</v>
      </c>
      <c r="CQ495" s="5" t="s">
        <v>103</v>
      </c>
      <c r="CR495" s="5" t="s">
        <v>85</v>
      </c>
      <c r="CS495" s="5" t="s">
        <v>86</v>
      </c>
      <c r="CT495" s="5" t="s">
        <v>384</v>
      </c>
      <c r="CU495" s="5" t="s">
        <v>86</v>
      </c>
    </row>
    <row r="496" spans="1:99">
      <c r="A496" s="5">
        <v>18031555405</v>
      </c>
      <c r="B496" s="5"/>
      <c r="C496" s="5"/>
      <c r="D496" s="5"/>
      <c r="E496" s="5"/>
      <c r="F496" s="5"/>
      <c r="G496" s="5"/>
      <c r="H496" s="5"/>
      <c r="I496" s="5"/>
      <c r="J496" s="5"/>
      <c r="K496" s="5" t="s">
        <v>25</v>
      </c>
      <c r="L496" s="5" t="s">
        <v>26</v>
      </c>
      <c r="M496" s="5"/>
      <c r="N496" s="5" t="s">
        <v>28</v>
      </c>
      <c r="O496" s="5"/>
      <c r="P496" s="5"/>
      <c r="Q496" s="5"/>
      <c r="R496" s="5"/>
      <c r="S496" s="5"/>
      <c r="T496" s="5"/>
      <c r="U496" s="5"/>
      <c r="V496" s="5"/>
      <c r="W496" s="5"/>
      <c r="X496" s="5"/>
      <c r="Y496" s="5"/>
      <c r="Z496" s="5"/>
      <c r="AA496" s="5"/>
      <c r="AB496" s="5" t="s">
        <v>28</v>
      </c>
      <c r="AC496" s="5"/>
      <c r="AD496" s="5"/>
      <c r="AE496" s="5"/>
      <c r="AF496" s="5"/>
      <c r="AG496" s="5"/>
      <c r="AH496" s="5" t="s">
        <v>33</v>
      </c>
      <c r="AI496" s="5"/>
      <c r="AJ496" s="5"/>
      <c r="AK496" s="5" t="s">
        <v>36</v>
      </c>
      <c r="AL496" s="5"/>
      <c r="AM496" s="5" t="s">
        <v>375</v>
      </c>
      <c r="AN496" s="5"/>
      <c r="AO496" s="5"/>
      <c r="AP496" s="5" t="s">
        <v>39</v>
      </c>
      <c r="AQ496" s="5"/>
      <c r="AR496" s="5" t="s">
        <v>41</v>
      </c>
      <c r="AS496" s="5"/>
      <c r="AT496" s="5"/>
      <c r="AU496" s="5" t="s">
        <v>43</v>
      </c>
      <c r="AV496" s="5" t="s">
        <v>44</v>
      </c>
      <c r="AW496" s="5" t="s">
        <v>45</v>
      </c>
      <c r="AX496" s="5" t="s">
        <v>46</v>
      </c>
      <c r="AY496" s="5" t="s">
        <v>47</v>
      </c>
      <c r="AZ496" s="5"/>
      <c r="BA496" s="5"/>
      <c r="BB496" s="5"/>
      <c r="BC496" s="5" t="s">
        <v>50</v>
      </c>
      <c r="BD496" s="5" t="s">
        <v>51</v>
      </c>
      <c r="BE496" s="5"/>
      <c r="BF496" s="5"/>
      <c r="BG496" s="5"/>
      <c r="BH496" s="5"/>
      <c r="BI496" s="5" t="s">
        <v>55</v>
      </c>
      <c r="BJ496" s="5"/>
      <c r="BK496" s="5"/>
      <c r="BL496" s="5"/>
      <c r="BM496" s="5" t="s">
        <v>59</v>
      </c>
      <c r="BN496" s="5"/>
      <c r="BO496" s="5" t="s">
        <v>20</v>
      </c>
      <c r="BP496" s="5" t="s">
        <v>60</v>
      </c>
      <c r="BQ496" s="5"/>
      <c r="BR496" s="5"/>
      <c r="BS496" s="5" t="s">
        <v>63</v>
      </c>
      <c r="BT496" s="5"/>
      <c r="BU496" s="5" t="s">
        <v>64</v>
      </c>
      <c r="BV496" s="5"/>
      <c r="BW496" s="5" t="s">
        <v>66</v>
      </c>
      <c r="BX496" s="5" t="s">
        <v>67</v>
      </c>
      <c r="BY496" s="5" t="s">
        <v>68</v>
      </c>
      <c r="BZ496" s="5" t="s">
        <v>69</v>
      </c>
      <c r="CA496" s="5"/>
      <c r="CB496" s="5"/>
      <c r="CC496" s="5"/>
      <c r="CD496" s="5"/>
      <c r="CE496" s="5"/>
      <c r="CF496" s="5" t="s">
        <v>75</v>
      </c>
      <c r="CG496" s="5" t="s">
        <v>76</v>
      </c>
      <c r="CH496" s="5"/>
      <c r="CI496" s="5" t="s">
        <v>417</v>
      </c>
      <c r="CJ496" s="5">
        <v>16</v>
      </c>
      <c r="CK496" s="5" t="s">
        <v>141</v>
      </c>
      <c r="CL496" s="5" t="s">
        <v>184</v>
      </c>
      <c r="CM496" s="5"/>
      <c r="CN496" s="5" t="s">
        <v>419</v>
      </c>
      <c r="CO496" s="5" t="s">
        <v>388</v>
      </c>
      <c r="CP496" s="5" t="s">
        <v>87</v>
      </c>
      <c r="CQ496" s="5" t="s">
        <v>104</v>
      </c>
      <c r="CR496" s="5" t="s">
        <v>92</v>
      </c>
      <c r="CS496" s="5" t="s">
        <v>86</v>
      </c>
      <c r="CT496" s="5" t="s">
        <v>387</v>
      </c>
      <c r="CU496" s="5" t="s">
        <v>86</v>
      </c>
    </row>
    <row r="497" spans="1:99">
      <c r="A497" s="5">
        <v>18031341675</v>
      </c>
      <c r="B497" s="5"/>
      <c r="C497" s="5" t="s">
        <v>17</v>
      </c>
      <c r="D497" s="5" t="s">
        <v>18</v>
      </c>
      <c r="E497" s="5" t="s">
        <v>19</v>
      </c>
      <c r="F497" s="5"/>
      <c r="G497" s="5" t="s">
        <v>21</v>
      </c>
      <c r="H497" s="5"/>
      <c r="I497" s="5" t="s">
        <v>23</v>
      </c>
      <c r="J497" s="5"/>
      <c r="K497" s="5" t="s">
        <v>25</v>
      </c>
      <c r="L497" s="5"/>
      <c r="M497" s="5" t="s">
        <v>27</v>
      </c>
      <c r="N497" s="5" t="s">
        <v>28</v>
      </c>
      <c r="O497" s="5" t="s">
        <v>481</v>
      </c>
      <c r="P497" s="5"/>
      <c r="Q497" s="5" t="s">
        <v>17</v>
      </c>
      <c r="R497" s="5" t="s">
        <v>18</v>
      </c>
      <c r="S497" s="5" t="s">
        <v>19</v>
      </c>
      <c r="T497" s="5"/>
      <c r="U497" s="5" t="s">
        <v>21</v>
      </c>
      <c r="V497" s="5"/>
      <c r="W497" s="5" t="s">
        <v>23</v>
      </c>
      <c r="X497" s="5"/>
      <c r="Y497" s="5"/>
      <c r="Z497" s="5"/>
      <c r="AA497" s="5" t="s">
        <v>27</v>
      </c>
      <c r="AB497" s="5" t="s">
        <v>28</v>
      </c>
      <c r="AC497" s="5" t="s">
        <v>481</v>
      </c>
      <c r="AD497" s="5"/>
      <c r="AE497" s="5" t="s">
        <v>30</v>
      </c>
      <c r="AF497" s="5" t="s">
        <v>31</v>
      </c>
      <c r="AG497" s="5" t="s">
        <v>32</v>
      </c>
      <c r="AH497" s="5"/>
      <c r="AI497" s="5"/>
      <c r="AJ497" s="5"/>
      <c r="AK497" s="5" t="s">
        <v>36</v>
      </c>
      <c r="AL497" s="5"/>
      <c r="AM497" s="5"/>
      <c r="AN497" s="5"/>
      <c r="AO497" s="5" t="s">
        <v>38</v>
      </c>
      <c r="AP497" s="5" t="s">
        <v>39</v>
      </c>
      <c r="AQ497" s="5"/>
      <c r="AR497" s="5"/>
      <c r="AS497" s="5"/>
      <c r="AT497" s="5"/>
      <c r="AU497" s="5" t="s">
        <v>43</v>
      </c>
      <c r="AV497" s="5" t="s">
        <v>44</v>
      </c>
      <c r="AW497" s="5" t="s">
        <v>45</v>
      </c>
      <c r="AX497" s="5" t="s">
        <v>46</v>
      </c>
      <c r="AY497" s="5" t="s">
        <v>47</v>
      </c>
      <c r="AZ497" s="5" t="s">
        <v>48</v>
      </c>
      <c r="BA497" s="5"/>
      <c r="BB497" s="5"/>
      <c r="BC497" s="5"/>
      <c r="BD497" s="5"/>
      <c r="BE497" s="5" t="s">
        <v>17</v>
      </c>
      <c r="BF497" s="5" t="s">
        <v>52</v>
      </c>
      <c r="BG497" s="5"/>
      <c r="BH497" s="5"/>
      <c r="BI497" s="5" t="s">
        <v>55</v>
      </c>
      <c r="BJ497" s="5"/>
      <c r="BK497" s="5"/>
      <c r="BL497" s="5" t="s">
        <v>58</v>
      </c>
      <c r="BM497" s="5"/>
      <c r="BN497" s="5"/>
      <c r="BO497" s="5"/>
      <c r="BP497" s="5" t="s">
        <v>60</v>
      </c>
      <c r="BQ497" s="5" t="s">
        <v>61</v>
      </c>
      <c r="BR497" s="5"/>
      <c r="BS497" s="5"/>
      <c r="BT497" s="5" t="s">
        <v>481</v>
      </c>
      <c r="BU497" s="5" t="s">
        <v>64</v>
      </c>
      <c r="BV497" s="5" t="s">
        <v>65</v>
      </c>
      <c r="BW497" s="5"/>
      <c r="BX497" s="5"/>
      <c r="BY497" s="5"/>
      <c r="BZ497" s="5"/>
      <c r="CA497" s="5" t="s">
        <v>70</v>
      </c>
      <c r="CB497" s="5"/>
      <c r="CC497" s="5"/>
      <c r="CD497" s="5" t="s">
        <v>73</v>
      </c>
      <c r="CE497" s="5"/>
      <c r="CF497" s="5"/>
      <c r="CG497" s="5"/>
      <c r="CH497" s="5" t="s">
        <v>506</v>
      </c>
      <c r="CI497" s="5" t="s">
        <v>417</v>
      </c>
      <c r="CJ497" s="5">
        <v>28</v>
      </c>
      <c r="CK497" s="5" t="s">
        <v>80</v>
      </c>
      <c r="CL497" s="5" t="s">
        <v>364</v>
      </c>
      <c r="CM497" s="5" t="s">
        <v>418</v>
      </c>
      <c r="CN497" s="5" t="s">
        <v>416</v>
      </c>
      <c r="CO497" s="5" t="s">
        <v>82</v>
      </c>
      <c r="CP497" s="5" t="s">
        <v>87</v>
      </c>
      <c r="CQ497" s="5" t="s">
        <v>111</v>
      </c>
      <c r="CR497" s="5" t="s">
        <v>85</v>
      </c>
      <c r="CS497" s="5" t="s">
        <v>86</v>
      </c>
      <c r="CT497" s="5" t="s">
        <v>392</v>
      </c>
      <c r="CU497" s="5" t="s">
        <v>86</v>
      </c>
    </row>
    <row r="498" spans="1:99">
      <c r="A498" s="5">
        <v>18029657257</v>
      </c>
      <c r="B498" s="5"/>
      <c r="C498" s="5"/>
      <c r="D498" s="5"/>
      <c r="E498" s="5"/>
      <c r="F498" s="5"/>
      <c r="G498" s="5"/>
      <c r="H498" s="5"/>
      <c r="I498" s="5"/>
      <c r="J498" s="5"/>
      <c r="K498" s="5"/>
      <c r="L498" s="5"/>
      <c r="M498" s="5"/>
      <c r="N498" s="5"/>
      <c r="O498" s="5"/>
      <c r="P498" s="5" t="s">
        <v>16</v>
      </c>
      <c r="Q498" s="5"/>
      <c r="R498" s="5"/>
      <c r="S498" s="5"/>
      <c r="T498" s="5"/>
      <c r="U498" s="5"/>
      <c r="V498" s="5"/>
      <c r="W498" s="5"/>
      <c r="X498" s="5"/>
      <c r="Y498" s="5"/>
      <c r="Z498" s="5"/>
      <c r="AA498" s="5"/>
      <c r="AB498" s="5"/>
      <c r="AC498" s="5" t="s">
        <v>498</v>
      </c>
      <c r="AD498" s="5"/>
      <c r="AE498" s="5"/>
      <c r="AF498" s="5"/>
      <c r="AG498" s="5" t="s">
        <v>32</v>
      </c>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t="s">
        <v>507</v>
      </c>
      <c r="CI498" s="5" t="s">
        <v>417</v>
      </c>
      <c r="CJ498" s="5">
        <v>43</v>
      </c>
      <c r="CK498" s="5" t="s">
        <v>80</v>
      </c>
      <c r="CL498" s="5" t="s">
        <v>518</v>
      </c>
      <c r="CM498" s="5"/>
      <c r="CN498" s="5"/>
      <c r="CO498" s="5"/>
      <c r="CP498" s="5"/>
      <c r="CQ498" s="5"/>
      <c r="CR498" s="5"/>
      <c r="CS498" s="5"/>
      <c r="CT498" s="5"/>
      <c r="CU498" s="5"/>
    </row>
    <row r="499" spans="1:99">
      <c r="A499" s="5">
        <v>18029332229</v>
      </c>
      <c r="B499" s="5"/>
      <c r="C499" s="5" t="s">
        <v>17</v>
      </c>
      <c r="D499" s="5"/>
      <c r="E499" s="5"/>
      <c r="F499" s="5"/>
      <c r="G499" s="5"/>
      <c r="H499" s="5"/>
      <c r="I499" s="5"/>
      <c r="J499" s="5"/>
      <c r="K499" s="5" t="s">
        <v>25</v>
      </c>
      <c r="L499" s="5" t="s">
        <v>26</v>
      </c>
      <c r="M499" s="5"/>
      <c r="N499" s="5"/>
      <c r="O499" s="5"/>
      <c r="P499" s="5"/>
      <c r="Q499" s="5"/>
      <c r="R499" s="5"/>
      <c r="S499" s="5"/>
      <c r="T499" s="5"/>
      <c r="U499" s="5"/>
      <c r="V499" s="5"/>
      <c r="W499" s="5"/>
      <c r="X499" s="5"/>
      <c r="Y499" s="5"/>
      <c r="Z499" s="5"/>
      <c r="AA499" s="5"/>
      <c r="AB499" s="5"/>
      <c r="AC499" s="5" t="s">
        <v>499</v>
      </c>
      <c r="AD499" s="5"/>
      <c r="AE499" s="5"/>
      <c r="AF499" s="5"/>
      <c r="AG499" s="5"/>
      <c r="AH499" s="5"/>
      <c r="AI499" s="5"/>
      <c r="AJ499" s="5"/>
      <c r="AK499" s="5"/>
      <c r="AL499" s="5"/>
      <c r="AM499" s="5"/>
      <c r="AN499" s="5" t="s">
        <v>500</v>
      </c>
      <c r="AO499" s="5"/>
      <c r="AP499" s="5" t="s">
        <v>39</v>
      </c>
      <c r="AQ499" s="5"/>
      <c r="AR499" s="5" t="s">
        <v>41</v>
      </c>
      <c r="AS499" s="5"/>
      <c r="AT499" s="5"/>
      <c r="AU499" s="5"/>
      <c r="AV499" s="5"/>
      <c r="AW499" s="5"/>
      <c r="AX499" s="5"/>
      <c r="AY499" s="5"/>
      <c r="AZ499" s="5" t="s">
        <v>48</v>
      </c>
      <c r="BA499" s="5"/>
      <c r="BB499" s="5" t="s">
        <v>49</v>
      </c>
      <c r="BC499" s="5"/>
      <c r="BD499" s="5"/>
      <c r="BE499" s="5" t="s">
        <v>17</v>
      </c>
      <c r="BF499" s="5" t="s">
        <v>52</v>
      </c>
      <c r="BG499" s="5"/>
      <c r="BH499" s="5"/>
      <c r="BI499" s="5" t="s">
        <v>55</v>
      </c>
      <c r="BJ499" s="5"/>
      <c r="BK499" s="5"/>
      <c r="BL499" s="5"/>
      <c r="BM499" s="5" t="s">
        <v>59</v>
      </c>
      <c r="BN499" s="5"/>
      <c r="BO499" s="5"/>
      <c r="BP499" s="5"/>
      <c r="BQ499" s="5"/>
      <c r="BR499" s="5"/>
      <c r="BS499" s="5"/>
      <c r="BT499" s="5"/>
      <c r="BU499" s="5" t="s">
        <v>64</v>
      </c>
      <c r="BV499" s="5"/>
      <c r="BW499" s="5"/>
      <c r="BX499" s="5"/>
      <c r="BY499" s="5"/>
      <c r="BZ499" s="5"/>
      <c r="CA499" s="5"/>
      <c r="CB499" s="5"/>
      <c r="CC499" s="5"/>
      <c r="CD499" s="5"/>
      <c r="CE499" s="5"/>
      <c r="CF499" s="5"/>
      <c r="CG499" s="5" t="s">
        <v>76</v>
      </c>
      <c r="CH499" s="5"/>
      <c r="CI499" s="5" t="s">
        <v>414</v>
      </c>
      <c r="CJ499" s="5">
        <v>65</v>
      </c>
      <c r="CK499" s="5" t="s">
        <v>80</v>
      </c>
      <c r="CL499" s="5" t="s">
        <v>134</v>
      </c>
      <c r="CM499" s="5" t="s">
        <v>420</v>
      </c>
      <c r="CN499" s="5"/>
      <c r="CO499" s="5" t="s">
        <v>82</v>
      </c>
      <c r="CP499" s="5" t="s">
        <v>83</v>
      </c>
      <c r="CQ499" s="5" t="s">
        <v>84</v>
      </c>
      <c r="CR499" s="5" t="s">
        <v>85</v>
      </c>
      <c r="CS499" s="5" t="s">
        <v>86</v>
      </c>
      <c r="CT499" s="5" t="s">
        <v>384</v>
      </c>
      <c r="CU499" s="5" t="s">
        <v>86</v>
      </c>
    </row>
    <row r="500" spans="1:99">
      <c r="A500" s="5">
        <v>18028570366</v>
      </c>
      <c r="B500" s="5"/>
      <c r="C500" s="5" t="s">
        <v>17</v>
      </c>
      <c r="D500" s="5"/>
      <c r="E500" s="5"/>
      <c r="F500" s="5"/>
      <c r="G500" s="5" t="s">
        <v>21</v>
      </c>
      <c r="H500" s="5"/>
      <c r="I500" s="5"/>
      <c r="J500" s="5"/>
      <c r="K500" s="5"/>
      <c r="L500" s="5"/>
      <c r="M500" s="5" t="s">
        <v>27</v>
      </c>
      <c r="N500" s="5"/>
      <c r="O500" s="5"/>
      <c r="P500" s="5"/>
      <c r="Q500" s="5" t="s">
        <v>17</v>
      </c>
      <c r="R500" s="5" t="s">
        <v>18</v>
      </c>
      <c r="S500" s="5"/>
      <c r="T500" s="5"/>
      <c r="U500" s="5"/>
      <c r="V500" s="5"/>
      <c r="W500" s="5"/>
      <c r="X500" s="5"/>
      <c r="Y500" s="5"/>
      <c r="Z500" s="5"/>
      <c r="AA500" s="5"/>
      <c r="AB500" s="5"/>
      <c r="AC500" s="5"/>
      <c r="AD500" s="5"/>
      <c r="AE500" s="5"/>
      <c r="AF500" s="5"/>
      <c r="AG500" s="5"/>
      <c r="AH500" s="5"/>
      <c r="AI500" s="5" t="s">
        <v>34</v>
      </c>
      <c r="AJ500" s="5"/>
      <c r="AK500" s="5"/>
      <c r="AL500" s="5"/>
      <c r="AM500" s="5"/>
      <c r="AN500" s="5"/>
      <c r="AO500" s="5" t="s">
        <v>38</v>
      </c>
      <c r="AP500" s="5"/>
      <c r="AQ500" s="5"/>
      <c r="AR500" s="5"/>
      <c r="AS500" s="5"/>
      <c r="AT500" s="5"/>
      <c r="AU500" s="5"/>
      <c r="AV500" s="5"/>
      <c r="AW500" s="5"/>
      <c r="AX500" s="5"/>
      <c r="AY500" s="5"/>
      <c r="AZ500" s="5"/>
      <c r="BA500" s="5"/>
      <c r="BB500" s="5"/>
      <c r="BC500" s="5"/>
      <c r="BD500" s="5"/>
      <c r="BE500" s="5"/>
      <c r="BF500" s="5"/>
      <c r="BG500" s="5" t="s">
        <v>53</v>
      </c>
      <c r="BH500" s="5"/>
      <c r="BI500" s="5"/>
      <c r="BJ500" s="5"/>
      <c r="BK500" s="5"/>
      <c r="BL500" s="5" t="s">
        <v>58</v>
      </c>
      <c r="BM500" s="5"/>
      <c r="BN500" s="5"/>
      <c r="BO500" s="5"/>
      <c r="BP500" s="5"/>
      <c r="BQ500" s="5"/>
      <c r="BR500" s="5" t="s">
        <v>62</v>
      </c>
      <c r="BS500" s="5"/>
      <c r="BT500" s="5"/>
      <c r="BU500" s="5" t="s">
        <v>64</v>
      </c>
      <c r="BV500" s="5"/>
      <c r="BW500" s="5"/>
      <c r="BX500" s="5"/>
      <c r="BY500" s="5"/>
      <c r="BZ500" s="5"/>
      <c r="CA500" s="5"/>
      <c r="CB500" s="5"/>
      <c r="CC500" s="5"/>
      <c r="CD500" s="5" t="s">
        <v>73</v>
      </c>
      <c r="CE500" s="5"/>
      <c r="CF500" s="5" t="s">
        <v>75</v>
      </c>
      <c r="CG500" s="5"/>
      <c r="CH500" s="5"/>
      <c r="CI500" s="5" t="s">
        <v>414</v>
      </c>
      <c r="CJ500" s="5">
        <v>75</v>
      </c>
      <c r="CK500" s="5" t="s">
        <v>80</v>
      </c>
      <c r="CL500" s="5" t="s">
        <v>519</v>
      </c>
      <c r="CM500" s="5" t="s">
        <v>418</v>
      </c>
      <c r="CN500" s="5" t="s">
        <v>416</v>
      </c>
      <c r="CO500" s="5" t="s">
        <v>82</v>
      </c>
      <c r="CP500" s="5"/>
      <c r="CQ500" s="5" t="s">
        <v>103</v>
      </c>
      <c r="CR500" s="5" t="s">
        <v>105</v>
      </c>
      <c r="CS500" s="5" t="s">
        <v>86</v>
      </c>
      <c r="CT500" s="5" t="s">
        <v>385</v>
      </c>
      <c r="CU500" s="5"/>
    </row>
    <row r="501" spans="1:99">
      <c r="A501" s="5">
        <v>18028478878</v>
      </c>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t="s">
        <v>487</v>
      </c>
      <c r="CM501" s="5"/>
      <c r="CN501" s="5"/>
      <c r="CO501" s="5"/>
      <c r="CP501" s="5"/>
      <c r="CQ501" s="5"/>
      <c r="CR501" s="5"/>
      <c r="CS501" s="5"/>
      <c r="CT501" s="5"/>
      <c r="CU501" s="5"/>
    </row>
    <row r="502" spans="1:99">
      <c r="A502" s="5">
        <v>18027546776</v>
      </c>
      <c r="B502" s="5"/>
      <c r="C502" s="5" t="s">
        <v>17</v>
      </c>
      <c r="D502" s="5"/>
      <c r="E502" s="5"/>
      <c r="F502" s="5"/>
      <c r="G502" s="5"/>
      <c r="H502" s="5"/>
      <c r="I502" s="5"/>
      <c r="J502" s="5"/>
      <c r="K502" s="5"/>
      <c r="L502" s="5" t="s">
        <v>26</v>
      </c>
      <c r="M502" s="5" t="s">
        <v>27</v>
      </c>
      <c r="N502" s="5"/>
      <c r="O502" s="5"/>
      <c r="P502" s="5"/>
      <c r="Q502" s="5"/>
      <c r="R502" s="5"/>
      <c r="S502" s="5"/>
      <c r="T502" s="5"/>
      <c r="U502" s="5"/>
      <c r="V502" s="5"/>
      <c r="W502" s="5"/>
      <c r="X502" s="5"/>
      <c r="Y502" s="5"/>
      <c r="Z502" s="5"/>
      <c r="AA502" s="5" t="s">
        <v>27</v>
      </c>
      <c r="AB502" s="5" t="s">
        <v>28</v>
      </c>
      <c r="AC502" s="5"/>
      <c r="AD502" s="5"/>
      <c r="AE502" s="5"/>
      <c r="AF502" s="5"/>
      <c r="AG502" s="5"/>
      <c r="AH502" s="5"/>
      <c r="AI502" s="5" t="s">
        <v>34</v>
      </c>
      <c r="AJ502" s="5"/>
      <c r="AK502" s="5"/>
      <c r="AL502" s="5"/>
      <c r="AM502" s="5"/>
      <c r="AN502" s="5"/>
      <c r="AO502" s="5"/>
      <c r="AP502" s="5"/>
      <c r="AQ502" s="5"/>
      <c r="AR502" s="5"/>
      <c r="AS502" s="5"/>
      <c r="AT502" s="5"/>
      <c r="AU502" s="5" t="s">
        <v>43</v>
      </c>
      <c r="AV502" s="5"/>
      <c r="AW502" s="5"/>
      <c r="AX502" s="5"/>
      <c r="AY502" s="5"/>
      <c r="AZ502" s="5" t="s">
        <v>48</v>
      </c>
      <c r="BA502" s="5"/>
      <c r="BB502" s="5"/>
      <c r="BC502" s="5"/>
      <c r="BD502" s="5" t="s">
        <v>51</v>
      </c>
      <c r="BE502" s="5"/>
      <c r="BF502" s="5"/>
      <c r="BG502" s="5"/>
      <c r="BH502" s="5"/>
      <c r="BI502" s="5"/>
      <c r="BJ502" s="5"/>
      <c r="BK502" s="5"/>
      <c r="BL502" s="5"/>
      <c r="BM502" s="5"/>
      <c r="BN502" s="5"/>
      <c r="BO502" s="5"/>
      <c r="BP502" s="5"/>
      <c r="BQ502" s="5"/>
      <c r="BR502" s="5"/>
      <c r="BS502" s="5"/>
      <c r="BT502" s="5" t="s">
        <v>501</v>
      </c>
      <c r="BU502" s="5"/>
      <c r="BV502" s="5"/>
      <c r="BW502" s="5"/>
      <c r="BX502" s="5"/>
      <c r="BY502" s="5"/>
      <c r="BZ502" s="5"/>
      <c r="CA502" s="5" t="s">
        <v>70</v>
      </c>
      <c r="CB502" s="5"/>
      <c r="CC502" s="5"/>
      <c r="CD502" s="5"/>
      <c r="CE502" s="5"/>
      <c r="CF502" s="5" t="s">
        <v>75</v>
      </c>
      <c r="CG502" s="5"/>
      <c r="CH502" s="5"/>
      <c r="CI502" s="5"/>
      <c r="CJ502" s="5"/>
      <c r="CK502" s="5" t="s">
        <v>80</v>
      </c>
      <c r="CL502" s="5" t="s">
        <v>117</v>
      </c>
      <c r="CM502" s="5" t="s">
        <v>418</v>
      </c>
      <c r="CN502" s="5" t="s">
        <v>416</v>
      </c>
      <c r="CO502" s="5" t="s">
        <v>82</v>
      </c>
      <c r="CP502" s="5"/>
      <c r="CQ502" s="5" t="s">
        <v>103</v>
      </c>
      <c r="CR502" s="5" t="s">
        <v>85</v>
      </c>
      <c r="CS502" s="5" t="s">
        <v>86</v>
      </c>
      <c r="CT502" s="5" t="s">
        <v>384</v>
      </c>
      <c r="CU502" s="5"/>
    </row>
    <row r="503" spans="1:99">
      <c r="A503" s="5">
        <v>18027489857</v>
      </c>
      <c r="B503" s="5"/>
      <c r="C503" s="5"/>
      <c r="D503" s="5"/>
      <c r="E503" s="5" t="s">
        <v>19</v>
      </c>
      <c r="F503" s="5"/>
      <c r="G503" s="5"/>
      <c r="H503" s="5"/>
      <c r="I503" s="5"/>
      <c r="J503" s="5"/>
      <c r="K503" s="5"/>
      <c r="L503" s="5"/>
      <c r="M503" s="5" t="s">
        <v>27</v>
      </c>
      <c r="N503" s="5"/>
      <c r="O503" s="5" t="s">
        <v>494</v>
      </c>
      <c r="P503" s="5"/>
      <c r="Q503" s="5"/>
      <c r="R503" s="5"/>
      <c r="S503" s="5" t="s">
        <v>19</v>
      </c>
      <c r="T503" s="5"/>
      <c r="U503" s="5" t="s">
        <v>21</v>
      </c>
      <c r="V503" s="5"/>
      <c r="W503" s="5" t="s">
        <v>23</v>
      </c>
      <c r="X503" s="5"/>
      <c r="Y503" s="5"/>
      <c r="Z503" s="5"/>
      <c r="AA503" s="5"/>
      <c r="AB503" s="5"/>
      <c r="AC503" s="5"/>
      <c r="AD503" s="5"/>
      <c r="AE503" s="5"/>
      <c r="AF503" s="5" t="s">
        <v>31</v>
      </c>
      <c r="AG503" s="5"/>
      <c r="AH503" s="5"/>
      <c r="AI503" s="5"/>
      <c r="AJ503" s="5"/>
      <c r="AK503" s="5"/>
      <c r="AL503" s="5"/>
      <c r="AM503" s="5"/>
      <c r="AN503" s="5" t="s">
        <v>502</v>
      </c>
      <c r="AO503" s="5" t="s">
        <v>38</v>
      </c>
      <c r="AP503" s="5"/>
      <c r="AQ503" s="5"/>
      <c r="AR503" s="5"/>
      <c r="AS503" s="5"/>
      <c r="AT503" s="5"/>
      <c r="AU503" s="5"/>
      <c r="AV503" s="5"/>
      <c r="AW503" s="5"/>
      <c r="AX503" s="5" t="s">
        <v>46</v>
      </c>
      <c r="AY503" s="5" t="s">
        <v>47</v>
      </c>
      <c r="AZ503" s="5"/>
      <c r="BA503" s="5"/>
      <c r="BB503" s="5"/>
      <c r="BC503" s="5"/>
      <c r="BD503" s="5"/>
      <c r="BE503" s="5"/>
      <c r="BF503" s="5"/>
      <c r="BG503" s="5"/>
      <c r="BH503" s="5"/>
      <c r="BI503" s="5"/>
      <c r="BJ503" s="5"/>
      <c r="BK503" s="5"/>
      <c r="BL503" s="5"/>
      <c r="BM503" s="5"/>
      <c r="BN503" s="5"/>
      <c r="BO503" s="5"/>
      <c r="BP503" s="5" t="s">
        <v>60</v>
      </c>
      <c r="BQ503" s="5" t="s">
        <v>61</v>
      </c>
      <c r="BR503" s="5"/>
      <c r="BS503" s="5"/>
      <c r="BT503" s="5"/>
      <c r="BU503" s="5" t="s">
        <v>64</v>
      </c>
      <c r="BV503" s="5"/>
      <c r="BW503" s="5"/>
      <c r="BX503" s="5" t="s">
        <v>67</v>
      </c>
      <c r="BY503" s="5"/>
      <c r="BZ503" s="5"/>
      <c r="CA503" s="5"/>
      <c r="CB503" s="5"/>
      <c r="CC503" s="5"/>
      <c r="CD503" s="5"/>
      <c r="CE503" s="5"/>
      <c r="CF503" s="5"/>
      <c r="CG503" s="5"/>
      <c r="CH503" s="5"/>
      <c r="CI503" s="5" t="s">
        <v>417</v>
      </c>
      <c r="CJ503" s="5">
        <v>25</v>
      </c>
      <c r="CK503" s="5" t="s">
        <v>80</v>
      </c>
      <c r="CL503" s="5" t="s">
        <v>125</v>
      </c>
      <c r="CM503" s="5" t="s">
        <v>418</v>
      </c>
      <c r="CN503" s="5" t="s">
        <v>416</v>
      </c>
      <c r="CO503" s="5"/>
      <c r="CP503" s="5" t="s">
        <v>93</v>
      </c>
      <c r="CQ503" s="5" t="s">
        <v>84</v>
      </c>
      <c r="CR503" s="5" t="s">
        <v>85</v>
      </c>
      <c r="CS503" s="5" t="s">
        <v>86</v>
      </c>
      <c r="CT503" s="5" t="s">
        <v>384</v>
      </c>
      <c r="CU503" s="5" t="s">
        <v>86</v>
      </c>
    </row>
    <row r="504" spans="1:99">
      <c r="A504" s="5">
        <v>18027026943</v>
      </c>
      <c r="B504" s="5"/>
      <c r="C504" s="5"/>
      <c r="D504" s="5"/>
      <c r="E504" s="5"/>
      <c r="F504" s="5"/>
      <c r="G504" s="5"/>
      <c r="H504" s="5"/>
      <c r="I504" s="5" t="s">
        <v>23</v>
      </c>
      <c r="J504" s="5"/>
      <c r="K504" s="5"/>
      <c r="L504" s="5"/>
      <c r="M504" s="5"/>
      <c r="N504" s="5"/>
      <c r="O504" s="5"/>
      <c r="P504" s="5"/>
      <c r="Q504" s="5"/>
      <c r="R504" s="5"/>
      <c r="S504" s="5"/>
      <c r="T504" s="5"/>
      <c r="U504" s="5"/>
      <c r="V504" s="5"/>
      <c r="W504" s="5"/>
      <c r="X504" s="5"/>
      <c r="Y504" s="5" t="s">
        <v>25</v>
      </c>
      <c r="Z504" s="5"/>
      <c r="AA504" s="5"/>
      <c r="AB504" s="5"/>
      <c r="AC504" s="5"/>
      <c r="AD504" s="5"/>
      <c r="AE504" s="5" t="s">
        <v>30</v>
      </c>
      <c r="AF504" s="5" t="s">
        <v>31</v>
      </c>
      <c r="AG504" s="5"/>
      <c r="AH504" s="5"/>
      <c r="AI504" s="5"/>
      <c r="AJ504" s="5"/>
      <c r="AK504" s="5"/>
      <c r="AL504" s="5"/>
      <c r="AM504" s="5"/>
      <c r="AN504" s="5"/>
      <c r="AO504" s="5" t="s">
        <v>38</v>
      </c>
      <c r="AP504" s="5"/>
      <c r="AQ504" s="5"/>
      <c r="AR504" s="5"/>
      <c r="AS504" s="5" t="s">
        <v>42</v>
      </c>
      <c r="AT504" s="5"/>
      <c r="AU504" s="5" t="s">
        <v>43</v>
      </c>
      <c r="AV504" s="5"/>
      <c r="AW504" s="5"/>
      <c r="AX504" s="5"/>
      <c r="AY504" s="5"/>
      <c r="AZ504" s="5"/>
      <c r="BA504" s="5"/>
      <c r="BB504" s="5"/>
      <c r="BC504" s="5"/>
      <c r="BD504" s="5" t="s">
        <v>51</v>
      </c>
      <c r="BE504" s="5"/>
      <c r="BF504" s="5" t="s">
        <v>52</v>
      </c>
      <c r="BG504" s="5"/>
      <c r="BH504" s="5"/>
      <c r="BI504" s="5"/>
      <c r="BJ504" s="5"/>
      <c r="BK504" s="5"/>
      <c r="BL504" s="5"/>
      <c r="BM504" s="5"/>
      <c r="BN504" s="5"/>
      <c r="BO504" s="5"/>
      <c r="BP504" s="5"/>
      <c r="BQ504" s="5"/>
      <c r="BR504" s="5"/>
      <c r="BS504" s="5"/>
      <c r="BT504" s="5"/>
      <c r="BU504" s="5" t="s">
        <v>64</v>
      </c>
      <c r="BV504" s="5"/>
      <c r="BW504" s="5"/>
      <c r="BX504" s="5"/>
      <c r="BY504" s="5"/>
      <c r="BZ504" s="5"/>
      <c r="CA504" s="5"/>
      <c r="CB504" s="5"/>
      <c r="CC504" s="5"/>
      <c r="CD504" s="5"/>
      <c r="CE504" s="5"/>
      <c r="CF504" s="5"/>
      <c r="CG504" s="5"/>
      <c r="CH504" s="5"/>
      <c r="CI504" s="5" t="s">
        <v>417</v>
      </c>
      <c r="CJ504" s="5">
        <v>47</v>
      </c>
      <c r="CK504" s="5" t="s">
        <v>80</v>
      </c>
      <c r="CL504" s="5" t="s">
        <v>122</v>
      </c>
      <c r="CM504" s="5" t="s">
        <v>418</v>
      </c>
      <c r="CN504" s="5" t="s">
        <v>416</v>
      </c>
      <c r="CO504" s="5" t="s">
        <v>82</v>
      </c>
      <c r="CP504" s="5" t="s">
        <v>94</v>
      </c>
      <c r="CQ504" s="5" t="s">
        <v>88</v>
      </c>
      <c r="CR504" s="5" t="s">
        <v>96</v>
      </c>
      <c r="CS504" s="5"/>
      <c r="CT504" s="5" t="s">
        <v>387</v>
      </c>
      <c r="CU504" s="5" t="s">
        <v>86</v>
      </c>
    </row>
    <row r="505" spans="1:99">
      <c r="A505" s="5">
        <v>18026792737</v>
      </c>
      <c r="B505" s="5"/>
      <c r="C505" s="5"/>
      <c r="D505" s="5"/>
      <c r="E505" s="5"/>
      <c r="F505" s="5"/>
      <c r="G505" s="5" t="s">
        <v>21</v>
      </c>
      <c r="H505" s="5"/>
      <c r="I505" s="5"/>
      <c r="J505" s="5"/>
      <c r="K505" s="5" t="s">
        <v>25</v>
      </c>
      <c r="L505" s="5"/>
      <c r="M505" s="5"/>
      <c r="N505" s="5" t="s">
        <v>28</v>
      </c>
      <c r="O505" s="5"/>
      <c r="P505" s="5"/>
      <c r="Q505" s="5"/>
      <c r="R505" s="5" t="s">
        <v>18</v>
      </c>
      <c r="S505" s="5"/>
      <c r="T505" s="5"/>
      <c r="U505" s="5" t="s">
        <v>21</v>
      </c>
      <c r="V505" s="5"/>
      <c r="W505" s="5"/>
      <c r="X505" s="5"/>
      <c r="Y505" s="5"/>
      <c r="Z505" s="5"/>
      <c r="AA505" s="5"/>
      <c r="AB505" s="5"/>
      <c r="AC505" s="5"/>
      <c r="AD505" s="5" t="s">
        <v>29</v>
      </c>
      <c r="AE505" s="5"/>
      <c r="AF505" s="5"/>
      <c r="AG505" s="5"/>
      <c r="AH505" s="5"/>
      <c r="AI505" s="5"/>
      <c r="AJ505" s="5" t="s">
        <v>35</v>
      </c>
      <c r="AK505" s="5" t="s">
        <v>36</v>
      </c>
      <c r="AL505" s="5"/>
      <c r="AM505" s="5"/>
      <c r="AN505" s="5"/>
      <c r="AO505" s="5"/>
      <c r="AP505" s="5" t="s">
        <v>39</v>
      </c>
      <c r="AQ505" s="5"/>
      <c r="AR505" s="5"/>
      <c r="AS505" s="5"/>
      <c r="AT505" s="5" t="s">
        <v>37</v>
      </c>
      <c r="AU505" s="5"/>
      <c r="AV505" s="5"/>
      <c r="AW505" s="5"/>
      <c r="AX505" s="5"/>
      <c r="AY505" s="5"/>
      <c r="AZ505" s="5"/>
      <c r="BA505" s="5"/>
      <c r="BB505" s="5" t="s">
        <v>49</v>
      </c>
      <c r="BC505" s="5"/>
      <c r="BD505" s="5"/>
      <c r="BE505" s="5"/>
      <c r="BF505" s="5"/>
      <c r="BG505" s="5"/>
      <c r="BH505" s="5"/>
      <c r="BI505" s="5"/>
      <c r="BJ505" s="5"/>
      <c r="BK505" s="5" t="s">
        <v>57</v>
      </c>
      <c r="BL505" s="5"/>
      <c r="BM505" s="5"/>
      <c r="BN505" s="5"/>
      <c r="BO505" s="5"/>
      <c r="BP505" s="5" t="s">
        <v>60</v>
      </c>
      <c r="BQ505" s="5"/>
      <c r="BR505" s="5"/>
      <c r="BS505" s="5"/>
      <c r="BT505" s="5"/>
      <c r="BU505" s="5" t="s">
        <v>64</v>
      </c>
      <c r="BV505" s="5"/>
      <c r="BW505" s="5"/>
      <c r="BX505" s="5"/>
      <c r="BY505" s="5" t="s">
        <v>68</v>
      </c>
      <c r="BZ505" s="5"/>
      <c r="CA505" s="5"/>
      <c r="CB505" s="5"/>
      <c r="CC505" s="5"/>
      <c r="CD505" s="5"/>
      <c r="CE505" s="5"/>
      <c r="CF505" s="5" t="s">
        <v>75</v>
      </c>
      <c r="CG505" s="5"/>
      <c r="CH505" s="5"/>
      <c r="CI505" s="5" t="s">
        <v>414</v>
      </c>
      <c r="CJ505" s="5">
        <v>74</v>
      </c>
      <c r="CK505" s="5" t="s">
        <v>80</v>
      </c>
      <c r="CL505" s="5" t="s">
        <v>520</v>
      </c>
      <c r="CM505" s="5"/>
      <c r="CN505" s="5" t="s">
        <v>416</v>
      </c>
      <c r="CO505" s="5"/>
      <c r="CP505" s="5"/>
      <c r="CQ505" s="5"/>
      <c r="CR505" s="5"/>
      <c r="CS505" s="5"/>
      <c r="CT505" s="5"/>
      <c r="CU505" s="5"/>
    </row>
    <row r="506" spans="1:99">
      <c r="A506" s="5">
        <v>18026792525</v>
      </c>
      <c r="B506" s="5"/>
      <c r="C506" s="5"/>
      <c r="D506" s="5" t="s">
        <v>18</v>
      </c>
      <c r="E506" s="5"/>
      <c r="F506" s="5"/>
      <c r="G506" s="5"/>
      <c r="H506" s="5"/>
      <c r="I506" s="5"/>
      <c r="J506" s="5"/>
      <c r="K506" s="5" t="s">
        <v>25</v>
      </c>
      <c r="L506" s="5" t="s">
        <v>26</v>
      </c>
      <c r="M506" s="5"/>
      <c r="N506" s="5"/>
      <c r="O506" s="5"/>
      <c r="P506" s="5"/>
      <c r="Q506" s="5"/>
      <c r="R506" s="5" t="s">
        <v>18</v>
      </c>
      <c r="S506" s="5" t="s">
        <v>19</v>
      </c>
      <c r="T506" s="5"/>
      <c r="U506" s="5"/>
      <c r="V506" s="5"/>
      <c r="W506" s="5" t="s">
        <v>23</v>
      </c>
      <c r="X506" s="5"/>
      <c r="Y506" s="5"/>
      <c r="Z506" s="5"/>
      <c r="AA506" s="5"/>
      <c r="AB506" s="5"/>
      <c r="AC506" s="5"/>
      <c r="AD506" s="5"/>
      <c r="AE506" s="5"/>
      <c r="AF506" s="5"/>
      <c r="AG506" s="5"/>
      <c r="AH506" s="5"/>
      <c r="AI506" s="5"/>
      <c r="AJ506" s="5" t="s">
        <v>35</v>
      </c>
      <c r="AK506" s="5" t="s">
        <v>36</v>
      </c>
      <c r="AL506" s="5"/>
      <c r="AM506" s="5" t="s">
        <v>375</v>
      </c>
      <c r="AN506" s="5"/>
      <c r="AO506" s="5" t="s">
        <v>38</v>
      </c>
      <c r="AP506" s="5" t="s">
        <v>39</v>
      </c>
      <c r="AQ506" s="5"/>
      <c r="AR506" s="5"/>
      <c r="AS506" s="5"/>
      <c r="AT506" s="5"/>
      <c r="AU506" s="5"/>
      <c r="AV506" s="5" t="s">
        <v>44</v>
      </c>
      <c r="AW506" s="5"/>
      <c r="AX506" s="5"/>
      <c r="AY506" s="5"/>
      <c r="AZ506" s="5"/>
      <c r="BA506" s="5"/>
      <c r="BB506" s="5"/>
      <c r="BC506" s="5"/>
      <c r="BD506" s="5" t="s">
        <v>51</v>
      </c>
      <c r="BE506" s="5"/>
      <c r="BF506" s="5"/>
      <c r="BG506" s="5"/>
      <c r="BH506" s="5"/>
      <c r="BI506" s="5"/>
      <c r="BJ506" s="5"/>
      <c r="BK506" s="5"/>
      <c r="BL506" s="5" t="s">
        <v>58</v>
      </c>
      <c r="BM506" s="5"/>
      <c r="BN506" s="5"/>
      <c r="BO506" s="5"/>
      <c r="BP506" s="5"/>
      <c r="BQ506" s="5"/>
      <c r="BR506" s="5" t="s">
        <v>62</v>
      </c>
      <c r="BS506" s="5"/>
      <c r="BT506" s="5"/>
      <c r="BU506" s="5" t="s">
        <v>64</v>
      </c>
      <c r="BV506" s="5"/>
      <c r="BW506" s="5"/>
      <c r="BX506" s="5"/>
      <c r="BY506" s="5"/>
      <c r="BZ506" s="5"/>
      <c r="CA506" s="5"/>
      <c r="CB506" s="5"/>
      <c r="CC506" s="5"/>
      <c r="CD506" s="5"/>
      <c r="CE506" s="5"/>
      <c r="CF506" s="5" t="s">
        <v>75</v>
      </c>
      <c r="CG506" s="5"/>
      <c r="CH506" s="5"/>
      <c r="CI506" s="5" t="s">
        <v>417</v>
      </c>
      <c r="CJ506" s="5">
        <v>63</v>
      </c>
      <c r="CK506" s="5" t="s">
        <v>80</v>
      </c>
      <c r="CL506" s="5" t="s">
        <v>520</v>
      </c>
      <c r="CM506" s="5" t="s">
        <v>418</v>
      </c>
      <c r="CN506" s="5" t="s">
        <v>416</v>
      </c>
      <c r="CO506" s="5" t="s">
        <v>82</v>
      </c>
      <c r="CP506" s="5" t="s">
        <v>90</v>
      </c>
      <c r="CQ506" s="5" t="s">
        <v>103</v>
      </c>
      <c r="CR506" s="5" t="s">
        <v>99</v>
      </c>
      <c r="CS506" s="5" t="s">
        <v>81</v>
      </c>
      <c r="CT506" s="5" t="s">
        <v>296</v>
      </c>
      <c r="CU506" s="5" t="s">
        <v>86</v>
      </c>
    </row>
    <row r="507" spans="1:99">
      <c r="A507" s="5">
        <v>18026792379</v>
      </c>
      <c r="B507" s="5"/>
      <c r="C507" s="5"/>
      <c r="D507" s="5"/>
      <c r="E507" s="5"/>
      <c r="F507" s="5"/>
      <c r="G507" s="5"/>
      <c r="H507" s="5"/>
      <c r="I507" s="5" t="s">
        <v>23</v>
      </c>
      <c r="J507" s="5" t="s">
        <v>24</v>
      </c>
      <c r="K507" s="5"/>
      <c r="L507" s="5"/>
      <c r="M507" s="5"/>
      <c r="N507" s="5" t="s">
        <v>28</v>
      </c>
      <c r="O507" s="5"/>
      <c r="P507" s="5"/>
      <c r="Q507" s="5"/>
      <c r="R507" s="5"/>
      <c r="S507" s="5"/>
      <c r="T507" s="5"/>
      <c r="U507" s="5"/>
      <c r="V507" s="5"/>
      <c r="W507" s="5" t="s">
        <v>23</v>
      </c>
      <c r="X507" s="5" t="s">
        <v>24</v>
      </c>
      <c r="Y507" s="5"/>
      <c r="Z507" s="5"/>
      <c r="AA507" s="5"/>
      <c r="AB507" s="5" t="s">
        <v>28</v>
      </c>
      <c r="AC507" s="5"/>
      <c r="AD507" s="5"/>
      <c r="AE507" s="5" t="s">
        <v>30</v>
      </c>
      <c r="AF507" s="5"/>
      <c r="AG507" s="5"/>
      <c r="AH507" s="5" t="s">
        <v>33</v>
      </c>
      <c r="AI507" s="5"/>
      <c r="AJ507" s="5"/>
      <c r="AK507" s="5" t="s">
        <v>36</v>
      </c>
      <c r="AL507" s="5"/>
      <c r="AM507" s="5"/>
      <c r="AN507" s="5"/>
      <c r="AO507" s="5"/>
      <c r="AP507" s="5"/>
      <c r="AQ507" s="5"/>
      <c r="AR507" s="5"/>
      <c r="AS507" s="5" t="s">
        <v>42</v>
      </c>
      <c r="AT507" s="5"/>
      <c r="AU507" s="5" t="s">
        <v>43</v>
      </c>
      <c r="AV507" s="5"/>
      <c r="AW507" s="5" t="s">
        <v>45</v>
      </c>
      <c r="AX507" s="5"/>
      <c r="AY507" s="5"/>
      <c r="AZ507" s="5"/>
      <c r="BA507" s="5"/>
      <c r="BB507" s="5" t="s">
        <v>49</v>
      </c>
      <c r="BC507" s="5"/>
      <c r="BD507" s="5"/>
      <c r="BE507" s="5"/>
      <c r="BF507" s="5"/>
      <c r="BG507" s="5"/>
      <c r="BH507" s="5" t="s">
        <v>54</v>
      </c>
      <c r="BI507" s="5"/>
      <c r="BJ507" s="5"/>
      <c r="BK507" s="5"/>
      <c r="BL507" s="5"/>
      <c r="BM507" s="5"/>
      <c r="BN507" s="5" t="s">
        <v>24</v>
      </c>
      <c r="BO507" s="5"/>
      <c r="BP507" s="5"/>
      <c r="BQ507" s="5"/>
      <c r="BR507" s="5"/>
      <c r="BS507" s="5"/>
      <c r="BT507" s="5"/>
      <c r="BU507" s="5" t="s">
        <v>64</v>
      </c>
      <c r="BV507" s="5"/>
      <c r="BW507" s="5"/>
      <c r="BX507" s="5"/>
      <c r="BY507" s="5"/>
      <c r="BZ507" s="5" t="s">
        <v>69</v>
      </c>
      <c r="CA507" s="5"/>
      <c r="CB507" s="5"/>
      <c r="CC507" s="5"/>
      <c r="CD507" s="5"/>
      <c r="CE507" s="5"/>
      <c r="CF507" s="5"/>
      <c r="CG507" s="5"/>
      <c r="CH507" s="5"/>
      <c r="CI507" s="5" t="s">
        <v>417</v>
      </c>
      <c r="CJ507" s="5">
        <v>71</v>
      </c>
      <c r="CK507" s="5" t="s">
        <v>80</v>
      </c>
      <c r="CL507" s="5" t="s">
        <v>520</v>
      </c>
      <c r="CM507" s="5" t="s">
        <v>418</v>
      </c>
      <c r="CN507" s="5" t="s">
        <v>416</v>
      </c>
      <c r="CO507" s="5" t="s">
        <v>82</v>
      </c>
      <c r="CP507" s="5" t="s">
        <v>90</v>
      </c>
      <c r="CQ507" s="5" t="s">
        <v>95</v>
      </c>
      <c r="CR507" s="5" t="s">
        <v>99</v>
      </c>
      <c r="CS507" s="5" t="s">
        <v>86</v>
      </c>
      <c r="CT507" s="5" t="s">
        <v>385</v>
      </c>
      <c r="CU507" s="5" t="s">
        <v>81</v>
      </c>
    </row>
    <row r="508" spans="1:99">
      <c r="A508" s="5">
        <v>18026792254</v>
      </c>
      <c r="B508" s="5" t="s">
        <v>16</v>
      </c>
      <c r="C508" s="5" t="s">
        <v>17</v>
      </c>
      <c r="D508" s="5" t="s">
        <v>18</v>
      </c>
      <c r="E508" s="5" t="s">
        <v>19</v>
      </c>
      <c r="F508" s="5"/>
      <c r="G508" s="5"/>
      <c r="H508" s="5"/>
      <c r="I508" s="5" t="s">
        <v>23</v>
      </c>
      <c r="J508" s="5" t="s">
        <v>24</v>
      </c>
      <c r="K508" s="5"/>
      <c r="L508" s="5"/>
      <c r="M508" s="5"/>
      <c r="N508" s="5" t="s">
        <v>28</v>
      </c>
      <c r="O508" s="5"/>
      <c r="P508" s="5" t="s">
        <v>16</v>
      </c>
      <c r="Q508" s="5"/>
      <c r="R508" s="5"/>
      <c r="S508" s="5" t="s">
        <v>19</v>
      </c>
      <c r="T508" s="5"/>
      <c r="U508" s="5"/>
      <c r="V508" s="5"/>
      <c r="W508" s="5" t="s">
        <v>23</v>
      </c>
      <c r="X508" s="5"/>
      <c r="Y508" s="5"/>
      <c r="Z508" s="5"/>
      <c r="AA508" s="5"/>
      <c r="AB508" s="5"/>
      <c r="AC508" s="5"/>
      <c r="AD508" s="5"/>
      <c r="AE508" s="5"/>
      <c r="AF508" s="5"/>
      <c r="AG508" s="5"/>
      <c r="AH508" s="5"/>
      <c r="AI508" s="5"/>
      <c r="AJ508" s="5"/>
      <c r="AK508" s="5"/>
      <c r="AL508" s="5"/>
      <c r="AM508" s="5" t="s">
        <v>375</v>
      </c>
      <c r="AN508" s="5"/>
      <c r="AO508" s="5" t="s">
        <v>38</v>
      </c>
      <c r="AP508" s="5"/>
      <c r="AQ508" s="5"/>
      <c r="AR508" s="5"/>
      <c r="AS508" s="5"/>
      <c r="AT508" s="5"/>
      <c r="AU508" s="5" t="s">
        <v>43</v>
      </c>
      <c r="AV508" s="5"/>
      <c r="AW508" s="5" t="s">
        <v>45</v>
      </c>
      <c r="AX508" s="5"/>
      <c r="AY508" s="5"/>
      <c r="AZ508" s="5"/>
      <c r="BA508" s="5"/>
      <c r="BB508" s="5"/>
      <c r="BC508" s="5"/>
      <c r="BD508" s="5"/>
      <c r="BE508" s="5"/>
      <c r="BF508" s="5"/>
      <c r="BG508" s="5" t="s">
        <v>53</v>
      </c>
      <c r="BH508" s="5" t="s">
        <v>54</v>
      </c>
      <c r="BI508" s="5" t="s">
        <v>55</v>
      </c>
      <c r="BJ508" s="5"/>
      <c r="BK508" s="5"/>
      <c r="BL508" s="5"/>
      <c r="BM508" s="5"/>
      <c r="BN508" s="5" t="s">
        <v>24</v>
      </c>
      <c r="BO508" s="5"/>
      <c r="BP508" s="5"/>
      <c r="BQ508" s="5"/>
      <c r="BR508" s="5"/>
      <c r="BS508" s="5"/>
      <c r="BT508" s="5"/>
      <c r="BU508" s="5" t="s">
        <v>64</v>
      </c>
      <c r="BV508" s="5"/>
      <c r="BW508" s="5"/>
      <c r="BX508" s="5" t="s">
        <v>67</v>
      </c>
      <c r="BY508" s="5" t="s">
        <v>68</v>
      </c>
      <c r="BZ508" s="5" t="s">
        <v>69</v>
      </c>
      <c r="CA508" s="5"/>
      <c r="CB508" s="5"/>
      <c r="CC508" s="5"/>
      <c r="CD508" s="5"/>
      <c r="CE508" s="5"/>
      <c r="CF508" s="5"/>
      <c r="CG508" s="5"/>
      <c r="CH508" s="5"/>
      <c r="CI508" s="5" t="s">
        <v>417</v>
      </c>
      <c r="CJ508" s="5">
        <v>72</v>
      </c>
      <c r="CK508" s="5" t="s">
        <v>80</v>
      </c>
      <c r="CL508" s="5" t="s">
        <v>110</v>
      </c>
      <c r="CM508" s="5" t="s">
        <v>418</v>
      </c>
      <c r="CN508" s="5" t="s">
        <v>416</v>
      </c>
      <c r="CO508" s="5" t="s">
        <v>82</v>
      </c>
      <c r="CP508" s="5" t="s">
        <v>94</v>
      </c>
      <c r="CQ508" s="5" t="s">
        <v>103</v>
      </c>
      <c r="CR508" s="5" t="s">
        <v>99</v>
      </c>
      <c r="CS508" s="5" t="s">
        <v>86</v>
      </c>
      <c r="CT508" s="5" t="s">
        <v>386</v>
      </c>
      <c r="CU508" s="5" t="s">
        <v>86</v>
      </c>
    </row>
    <row r="509" spans="1:99">
      <c r="A509" s="5">
        <v>18026792090</v>
      </c>
      <c r="B509" s="5"/>
      <c r="C509" s="5"/>
      <c r="D509" s="5" t="s">
        <v>18</v>
      </c>
      <c r="E509" s="5" t="s">
        <v>19</v>
      </c>
      <c r="F509" s="5"/>
      <c r="G509" s="5"/>
      <c r="H509" s="5"/>
      <c r="I509" s="5"/>
      <c r="J509" s="5"/>
      <c r="K509" s="5"/>
      <c r="L509" s="5"/>
      <c r="M509" s="5"/>
      <c r="N509" s="5" t="s">
        <v>28</v>
      </c>
      <c r="O509" s="5"/>
      <c r="P509" s="5"/>
      <c r="Q509" s="5" t="s">
        <v>17</v>
      </c>
      <c r="R509" s="5"/>
      <c r="S509" s="5"/>
      <c r="T509" s="5"/>
      <c r="U509" s="5"/>
      <c r="V509" s="5"/>
      <c r="W509" s="5" t="s">
        <v>23</v>
      </c>
      <c r="X509" s="5"/>
      <c r="Y509" s="5"/>
      <c r="Z509" s="5"/>
      <c r="AA509" s="5"/>
      <c r="AB509" s="5" t="s">
        <v>28</v>
      </c>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t="s">
        <v>49</v>
      </c>
      <c r="BC509" s="5"/>
      <c r="BD509" s="5"/>
      <c r="BE509" s="5"/>
      <c r="BF509" s="5" t="s">
        <v>52</v>
      </c>
      <c r="BG509" s="5"/>
      <c r="BH509" s="5"/>
      <c r="BI509" s="5"/>
      <c r="BJ509" s="5"/>
      <c r="BK509" s="5"/>
      <c r="BL509" s="5"/>
      <c r="BM509" s="5"/>
      <c r="BN509" s="5"/>
      <c r="BO509" s="5"/>
      <c r="BP509" s="5"/>
      <c r="BQ509" s="5"/>
      <c r="BR509" s="5"/>
      <c r="BS509" s="5"/>
      <c r="BT509" s="5"/>
      <c r="BU509" s="5" t="s">
        <v>64</v>
      </c>
      <c r="BV509" s="5"/>
      <c r="BW509" s="5"/>
      <c r="BX509" s="5"/>
      <c r="BY509" s="5"/>
      <c r="BZ509" s="5"/>
      <c r="CA509" s="5"/>
      <c r="CB509" s="5"/>
      <c r="CC509" s="5"/>
      <c r="CD509" s="5"/>
      <c r="CE509" s="5"/>
      <c r="CF509" s="5"/>
      <c r="CG509" s="5"/>
      <c r="CH509" s="5"/>
      <c r="CI509" s="5" t="s">
        <v>417</v>
      </c>
      <c r="CJ509" s="5">
        <v>69</v>
      </c>
      <c r="CK509" s="5" t="s">
        <v>80</v>
      </c>
      <c r="CL509" s="5" t="s">
        <v>110</v>
      </c>
      <c r="CM509" s="5" t="s">
        <v>418</v>
      </c>
      <c r="CN509" s="5" t="s">
        <v>416</v>
      </c>
      <c r="CO509" s="5"/>
      <c r="CP509" s="5"/>
      <c r="CQ509" s="5" t="s">
        <v>84</v>
      </c>
      <c r="CR509" s="5" t="s">
        <v>99</v>
      </c>
      <c r="CS509" s="5" t="s">
        <v>86</v>
      </c>
      <c r="CT509" s="5" t="s">
        <v>385</v>
      </c>
      <c r="CU509" s="5" t="s">
        <v>86</v>
      </c>
    </row>
    <row r="510" spans="1:99">
      <c r="A510" s="5">
        <v>18026791962</v>
      </c>
      <c r="B510" s="5"/>
      <c r="C510" s="5"/>
      <c r="D510" s="5" t="s">
        <v>18</v>
      </c>
      <c r="E510" s="5"/>
      <c r="F510" s="5"/>
      <c r="G510" s="5"/>
      <c r="H510" s="5"/>
      <c r="I510" s="5"/>
      <c r="J510" s="5" t="s">
        <v>24</v>
      </c>
      <c r="K510" s="5"/>
      <c r="L510" s="5"/>
      <c r="M510" s="5"/>
      <c r="N510" s="5" t="s">
        <v>28</v>
      </c>
      <c r="O510" s="5"/>
      <c r="P510" s="5"/>
      <c r="Q510" s="5"/>
      <c r="R510" s="5" t="s">
        <v>18</v>
      </c>
      <c r="S510" s="5"/>
      <c r="T510" s="5"/>
      <c r="U510" s="5"/>
      <c r="V510" s="5"/>
      <c r="W510" s="5"/>
      <c r="X510" s="5" t="s">
        <v>24</v>
      </c>
      <c r="Y510" s="5"/>
      <c r="Z510" s="5"/>
      <c r="AA510" s="5"/>
      <c r="AB510" s="5" t="s">
        <v>28</v>
      </c>
      <c r="AC510" s="5"/>
      <c r="AD510" s="5"/>
      <c r="AE510" s="5"/>
      <c r="AF510" s="5" t="s">
        <v>31</v>
      </c>
      <c r="AG510" s="5"/>
      <c r="AH510" s="5"/>
      <c r="AI510" s="5"/>
      <c r="AJ510" s="5" t="s">
        <v>35</v>
      </c>
      <c r="AK510" s="5"/>
      <c r="AL510" s="5"/>
      <c r="AM510" s="5" t="s">
        <v>375</v>
      </c>
      <c r="AN510" s="5"/>
      <c r="AO510" s="5"/>
      <c r="AP510" s="5"/>
      <c r="AQ510" s="5"/>
      <c r="AR510" s="5"/>
      <c r="AS510" s="5"/>
      <c r="AT510" s="5"/>
      <c r="AU510" s="5"/>
      <c r="AV510" s="5"/>
      <c r="AW510" s="5"/>
      <c r="AX510" s="5"/>
      <c r="AY510" s="5"/>
      <c r="AZ510" s="5"/>
      <c r="BA510" s="5"/>
      <c r="BB510" s="5" t="s">
        <v>49</v>
      </c>
      <c r="BC510" s="5"/>
      <c r="BD510" s="5"/>
      <c r="BE510" s="5"/>
      <c r="BF510" s="5"/>
      <c r="BG510" s="5"/>
      <c r="BH510" s="5" t="s">
        <v>54</v>
      </c>
      <c r="BI510" s="5"/>
      <c r="BJ510" s="5"/>
      <c r="BK510" s="5" t="s">
        <v>57</v>
      </c>
      <c r="BL510" s="5"/>
      <c r="BM510" s="5"/>
      <c r="BN510" s="5" t="s">
        <v>24</v>
      </c>
      <c r="BO510" s="5"/>
      <c r="BP510" s="5"/>
      <c r="BQ510" s="5"/>
      <c r="BR510" s="5"/>
      <c r="BS510" s="5"/>
      <c r="BT510" s="5"/>
      <c r="BU510" s="5" t="s">
        <v>64</v>
      </c>
      <c r="BV510" s="5"/>
      <c r="BW510" s="5"/>
      <c r="BX510" s="5"/>
      <c r="BY510" s="5"/>
      <c r="BZ510" s="5"/>
      <c r="CA510" s="5"/>
      <c r="CB510" s="5"/>
      <c r="CC510" s="5"/>
      <c r="CD510" s="5"/>
      <c r="CE510" s="5"/>
      <c r="CF510" s="5"/>
      <c r="CG510" s="5"/>
      <c r="CH510" s="5"/>
      <c r="CI510" s="5" t="s">
        <v>417</v>
      </c>
      <c r="CJ510" s="5">
        <v>35</v>
      </c>
      <c r="CK510" s="5" t="s">
        <v>80</v>
      </c>
      <c r="CL510" s="5" t="s">
        <v>110</v>
      </c>
      <c r="CM510" s="5" t="s">
        <v>415</v>
      </c>
      <c r="CN510" s="5" t="s">
        <v>416</v>
      </c>
      <c r="CO510" s="5" t="s">
        <v>82</v>
      </c>
      <c r="CP510" s="5"/>
      <c r="CQ510" s="5" t="s">
        <v>84</v>
      </c>
      <c r="CR510" s="5" t="s">
        <v>96</v>
      </c>
      <c r="CS510" s="5" t="s">
        <v>86</v>
      </c>
      <c r="CT510" s="5" t="s">
        <v>384</v>
      </c>
      <c r="CU510" s="5" t="s">
        <v>86</v>
      </c>
    </row>
    <row r="511" spans="1:99">
      <c r="A511" s="5">
        <v>18026791810</v>
      </c>
      <c r="B511" s="5"/>
      <c r="C511" s="5"/>
      <c r="D511" s="5"/>
      <c r="E511" s="5"/>
      <c r="F511" s="5"/>
      <c r="G511" s="5"/>
      <c r="H511" s="5"/>
      <c r="I511" s="5" t="s">
        <v>23</v>
      </c>
      <c r="J511" s="5"/>
      <c r="K511" s="5"/>
      <c r="L511" s="5"/>
      <c r="M511" s="5"/>
      <c r="N511" s="5"/>
      <c r="O511" s="5"/>
      <c r="P511" s="5"/>
      <c r="Q511" s="5" t="s">
        <v>17</v>
      </c>
      <c r="R511" s="5" t="s">
        <v>18</v>
      </c>
      <c r="S511" s="5"/>
      <c r="T511" s="5"/>
      <c r="U511" s="5" t="s">
        <v>21</v>
      </c>
      <c r="V511" s="5"/>
      <c r="W511" s="5"/>
      <c r="X511" s="5"/>
      <c r="Y511" s="5"/>
      <c r="Z511" s="5"/>
      <c r="AA511" s="5"/>
      <c r="AB511" s="5"/>
      <c r="AC511" s="5"/>
      <c r="AD511" s="5"/>
      <c r="AE511" s="5"/>
      <c r="AF511" s="5"/>
      <c r="AG511" s="5"/>
      <c r="AH511" s="5"/>
      <c r="AI511" s="5" t="s">
        <v>34</v>
      </c>
      <c r="AJ511" s="5"/>
      <c r="AK511" s="5"/>
      <c r="AL511" s="5"/>
      <c r="AM511" s="5"/>
      <c r="AN511" s="5"/>
      <c r="AO511" s="5" t="s">
        <v>38</v>
      </c>
      <c r="AP511" s="5"/>
      <c r="AQ511" s="5"/>
      <c r="AR511" s="5"/>
      <c r="AS511" s="5"/>
      <c r="AT511" s="5"/>
      <c r="AU511" s="5" t="s">
        <v>43</v>
      </c>
      <c r="AV511" s="5"/>
      <c r="AW511" s="5"/>
      <c r="AX511" s="5"/>
      <c r="AY511" s="5"/>
      <c r="AZ511" s="5"/>
      <c r="BA511" s="5"/>
      <c r="BB511" s="5"/>
      <c r="BC511" s="5"/>
      <c r="BD511" s="5"/>
      <c r="BE511" s="5"/>
      <c r="BF511" s="5"/>
      <c r="BG511" s="5"/>
      <c r="BH511" s="5"/>
      <c r="BI511" s="5"/>
      <c r="BJ511" s="5"/>
      <c r="BK511" s="5" t="s">
        <v>57</v>
      </c>
      <c r="BL511" s="5" t="s">
        <v>58</v>
      </c>
      <c r="BM511" s="5"/>
      <c r="BN511" s="5"/>
      <c r="BO511" s="5"/>
      <c r="BP511" s="5"/>
      <c r="BQ511" s="5"/>
      <c r="BR511" s="5"/>
      <c r="BS511" s="5"/>
      <c r="BT511" s="5"/>
      <c r="BU511" s="5"/>
      <c r="BV511" s="5"/>
      <c r="BW511" s="5"/>
      <c r="BX511" s="5" t="s">
        <v>67</v>
      </c>
      <c r="BY511" s="5"/>
      <c r="BZ511" s="5"/>
      <c r="CA511" s="5"/>
      <c r="CB511" s="5"/>
      <c r="CC511" s="5"/>
      <c r="CD511" s="5"/>
      <c r="CE511" s="5"/>
      <c r="CF511" s="5"/>
      <c r="CG511" s="5"/>
      <c r="CH511" s="5"/>
      <c r="CI511" s="5" t="s">
        <v>417</v>
      </c>
      <c r="CJ511" s="5">
        <v>85</v>
      </c>
      <c r="CK511" s="5" t="s">
        <v>80</v>
      </c>
      <c r="CL511" s="5" t="s">
        <v>117</v>
      </c>
      <c r="CM511" s="5" t="s">
        <v>418</v>
      </c>
      <c r="CN511" s="5"/>
      <c r="CO511" s="5" t="s">
        <v>82</v>
      </c>
      <c r="CP511" s="5" t="s">
        <v>90</v>
      </c>
      <c r="CQ511" s="5" t="s">
        <v>84</v>
      </c>
      <c r="CR511" s="5" t="s">
        <v>99</v>
      </c>
      <c r="CS511" s="5" t="s">
        <v>86</v>
      </c>
      <c r="CT511" s="5" t="s">
        <v>385</v>
      </c>
      <c r="CU511" s="5" t="s">
        <v>81</v>
      </c>
    </row>
    <row r="512" spans="1:99">
      <c r="A512" s="5">
        <v>18026791613</v>
      </c>
      <c r="B512" s="5"/>
      <c r="C512" s="5"/>
      <c r="D512" s="5"/>
      <c r="E512" s="5" t="s">
        <v>19</v>
      </c>
      <c r="F512" s="5"/>
      <c r="G512" s="5"/>
      <c r="H512" s="5"/>
      <c r="I512" s="5"/>
      <c r="J512" s="5"/>
      <c r="K512" s="5" t="s">
        <v>25</v>
      </c>
      <c r="L512" s="5" t="s">
        <v>26</v>
      </c>
      <c r="M512" s="5"/>
      <c r="N512" s="5"/>
      <c r="O512" s="5"/>
      <c r="P512" s="5"/>
      <c r="Q512" s="5" t="s">
        <v>17</v>
      </c>
      <c r="R512" s="5"/>
      <c r="S512" s="5" t="s">
        <v>19</v>
      </c>
      <c r="T512" s="5"/>
      <c r="U512" s="5"/>
      <c r="V512" s="5"/>
      <c r="W512" s="5"/>
      <c r="X512" s="5"/>
      <c r="Y512" s="5"/>
      <c r="Z512" s="5"/>
      <c r="AA512" s="5" t="s">
        <v>27</v>
      </c>
      <c r="AB512" s="5"/>
      <c r="AC512" s="5"/>
      <c r="AD512" s="5"/>
      <c r="AE512" s="5"/>
      <c r="AF512" s="5"/>
      <c r="AG512" s="5" t="s">
        <v>32</v>
      </c>
      <c r="AH512" s="5"/>
      <c r="AI512" s="5"/>
      <c r="AJ512" s="5"/>
      <c r="AK512" s="5" t="s">
        <v>36</v>
      </c>
      <c r="AL512" s="5"/>
      <c r="AM512" s="5" t="s">
        <v>375</v>
      </c>
      <c r="AN512" s="5"/>
      <c r="AO512" s="5"/>
      <c r="AP512" s="5"/>
      <c r="AQ512" s="5"/>
      <c r="AR512" s="5" t="s">
        <v>41</v>
      </c>
      <c r="AS512" s="5"/>
      <c r="AT512" s="5" t="s">
        <v>37</v>
      </c>
      <c r="AU512" s="5"/>
      <c r="AV512" s="5"/>
      <c r="AW512" s="5"/>
      <c r="AX512" s="5"/>
      <c r="AY512" s="5"/>
      <c r="AZ512" s="5"/>
      <c r="BA512" s="5"/>
      <c r="BB512" s="5"/>
      <c r="BC512" s="5"/>
      <c r="BD512" s="5"/>
      <c r="BE512" s="5"/>
      <c r="BF512" s="5"/>
      <c r="BG512" s="5"/>
      <c r="BH512" s="5"/>
      <c r="BI512" s="5"/>
      <c r="BJ512" s="5"/>
      <c r="BK512" s="5" t="s">
        <v>57</v>
      </c>
      <c r="BL512" s="5"/>
      <c r="BM512" s="5"/>
      <c r="BN512" s="5"/>
      <c r="BO512" s="5"/>
      <c r="BP512" s="5"/>
      <c r="BQ512" s="5"/>
      <c r="BR512" s="5"/>
      <c r="BS512" s="5" t="s">
        <v>63</v>
      </c>
      <c r="BT512" s="5"/>
      <c r="BU512" s="5" t="s">
        <v>64</v>
      </c>
      <c r="BV512" s="5"/>
      <c r="BW512" s="5"/>
      <c r="BX512" s="5"/>
      <c r="BY512" s="5"/>
      <c r="BZ512" s="5"/>
      <c r="CA512" s="5"/>
      <c r="CB512" s="5"/>
      <c r="CC512" s="5"/>
      <c r="CD512" s="5"/>
      <c r="CE512" s="5"/>
      <c r="CF512" s="5" t="s">
        <v>75</v>
      </c>
      <c r="CG512" s="5"/>
      <c r="CH512" s="5"/>
      <c r="CI512" s="5" t="s">
        <v>414</v>
      </c>
      <c r="CJ512" s="5">
        <v>68</v>
      </c>
      <c r="CK512" s="5" t="s">
        <v>80</v>
      </c>
      <c r="CL512" s="5" t="s">
        <v>121</v>
      </c>
      <c r="CM512" s="5" t="s">
        <v>418</v>
      </c>
      <c r="CN512" s="5"/>
      <c r="CO512" s="5" t="s">
        <v>82</v>
      </c>
      <c r="CP512" s="5"/>
      <c r="CQ512" s="5" t="s">
        <v>88</v>
      </c>
      <c r="CR512" s="5" t="s">
        <v>99</v>
      </c>
      <c r="CS512" s="5"/>
      <c r="CT512" s="5" t="s">
        <v>385</v>
      </c>
      <c r="CU512" s="5"/>
    </row>
    <row r="513" spans="1:99">
      <c r="A513" s="5">
        <v>18026791463</v>
      </c>
      <c r="B513" s="5"/>
      <c r="C513" s="5"/>
      <c r="D513" s="5" t="s">
        <v>18</v>
      </c>
      <c r="E513" s="5"/>
      <c r="F513" s="5"/>
      <c r="G513" s="5"/>
      <c r="H513" s="5"/>
      <c r="I513" s="5" t="s">
        <v>23</v>
      </c>
      <c r="J513" s="5"/>
      <c r="K513" s="5"/>
      <c r="L513" s="5"/>
      <c r="M513" s="5"/>
      <c r="N513" s="5" t="s">
        <v>28</v>
      </c>
      <c r="O513" s="5"/>
      <c r="P513" s="5"/>
      <c r="Q513" s="5"/>
      <c r="R513" s="5" t="s">
        <v>18</v>
      </c>
      <c r="S513" s="5"/>
      <c r="T513" s="5"/>
      <c r="U513" s="5"/>
      <c r="V513" s="5"/>
      <c r="W513" s="5" t="s">
        <v>23</v>
      </c>
      <c r="X513" s="5"/>
      <c r="Y513" s="5"/>
      <c r="Z513" s="5"/>
      <c r="AA513" s="5"/>
      <c r="AB513" s="5" t="s">
        <v>28</v>
      </c>
      <c r="AC513" s="5"/>
      <c r="AD513" s="5"/>
      <c r="AE513" s="5"/>
      <c r="AF513" s="5" t="s">
        <v>31</v>
      </c>
      <c r="AG513" s="5"/>
      <c r="AH513" s="5"/>
      <c r="AI513" s="5"/>
      <c r="AJ513" s="5"/>
      <c r="AK513" s="5"/>
      <c r="AL513" s="5" t="s">
        <v>37</v>
      </c>
      <c r="AM513" s="5" t="s">
        <v>375</v>
      </c>
      <c r="AN513" s="5"/>
      <c r="AO513" s="5"/>
      <c r="AP513" s="5"/>
      <c r="AQ513" s="5"/>
      <c r="AR513" s="5"/>
      <c r="AS513" s="5"/>
      <c r="AT513" s="5"/>
      <c r="AU513" s="5" t="s">
        <v>43</v>
      </c>
      <c r="AV513" s="5"/>
      <c r="AW513" s="5" t="s">
        <v>45</v>
      </c>
      <c r="AX513" s="5"/>
      <c r="AY513" s="5"/>
      <c r="AZ513" s="5"/>
      <c r="BA513" s="5"/>
      <c r="BB513" s="5" t="s">
        <v>49</v>
      </c>
      <c r="BC513" s="5"/>
      <c r="BD513" s="5" t="s">
        <v>51</v>
      </c>
      <c r="BE513" s="5"/>
      <c r="BF513" s="5"/>
      <c r="BG513" s="5"/>
      <c r="BH513" s="5"/>
      <c r="BI513" s="5"/>
      <c r="BJ513" s="5"/>
      <c r="BK513" s="5"/>
      <c r="BL513" s="5" t="s">
        <v>58</v>
      </c>
      <c r="BM513" s="5"/>
      <c r="BN513" s="5"/>
      <c r="BO513" s="5"/>
      <c r="BP513" s="5"/>
      <c r="BQ513" s="5"/>
      <c r="BR513" s="5"/>
      <c r="BS513" s="5"/>
      <c r="BT513" s="5"/>
      <c r="BU513" s="5" t="s">
        <v>64</v>
      </c>
      <c r="BV513" s="5"/>
      <c r="BW513" s="5" t="s">
        <v>66</v>
      </c>
      <c r="BX513" s="5"/>
      <c r="BY513" s="5" t="s">
        <v>68</v>
      </c>
      <c r="BZ513" s="5"/>
      <c r="CA513" s="5"/>
      <c r="CB513" s="5"/>
      <c r="CC513" s="5"/>
      <c r="CD513" s="5"/>
      <c r="CE513" s="5"/>
      <c r="CF513" s="5"/>
      <c r="CG513" s="5"/>
      <c r="CH513" s="5"/>
      <c r="CI513" s="5" t="s">
        <v>417</v>
      </c>
      <c r="CJ513" s="5">
        <v>75</v>
      </c>
      <c r="CK513" s="5" t="s">
        <v>80</v>
      </c>
      <c r="CL513" s="5" t="s">
        <v>121</v>
      </c>
      <c r="CM513" s="5" t="s">
        <v>418</v>
      </c>
      <c r="CN513" s="5" t="s">
        <v>416</v>
      </c>
      <c r="CO513" s="5" t="s">
        <v>82</v>
      </c>
      <c r="CP513" s="5" t="s">
        <v>90</v>
      </c>
      <c r="CQ513" s="5" t="s">
        <v>88</v>
      </c>
      <c r="CR513" s="5" t="s">
        <v>99</v>
      </c>
      <c r="CS513" s="5" t="s">
        <v>86</v>
      </c>
      <c r="CT513" s="5" t="s">
        <v>385</v>
      </c>
      <c r="CU513" s="5"/>
    </row>
    <row r="514" spans="1:99">
      <c r="A514" s="5">
        <v>18026791236</v>
      </c>
      <c r="B514" s="5"/>
      <c r="C514" s="5"/>
      <c r="D514" s="5"/>
      <c r="E514" s="5"/>
      <c r="F514" s="5"/>
      <c r="G514" s="5"/>
      <c r="H514" s="5"/>
      <c r="I514" s="5"/>
      <c r="J514" s="5"/>
      <c r="K514" s="5" t="s">
        <v>25</v>
      </c>
      <c r="L514" s="5" t="s">
        <v>26</v>
      </c>
      <c r="M514" s="5"/>
      <c r="N514" s="5"/>
      <c r="O514" s="5"/>
      <c r="P514" s="5"/>
      <c r="Q514" s="5"/>
      <c r="R514" s="5"/>
      <c r="S514" s="5"/>
      <c r="T514" s="5"/>
      <c r="U514" s="5"/>
      <c r="V514" s="5"/>
      <c r="W514" s="5"/>
      <c r="X514" s="5"/>
      <c r="Y514" s="5"/>
      <c r="Z514" s="5"/>
      <c r="AA514" s="5"/>
      <c r="AB514" s="5" t="s">
        <v>28</v>
      </c>
      <c r="AC514" s="5" t="s">
        <v>503</v>
      </c>
      <c r="AD514" s="5"/>
      <c r="AE514" s="5"/>
      <c r="AF514" s="5" t="s">
        <v>31</v>
      </c>
      <c r="AG514" s="5"/>
      <c r="AH514" s="5"/>
      <c r="AI514" s="5"/>
      <c r="AJ514" s="5"/>
      <c r="AK514" s="5"/>
      <c r="AL514" s="5"/>
      <c r="AM514" s="5" t="s">
        <v>375</v>
      </c>
      <c r="AN514" s="5"/>
      <c r="AO514" s="5"/>
      <c r="AP514" s="5" t="s">
        <v>39</v>
      </c>
      <c r="AQ514" s="5"/>
      <c r="AR514" s="5"/>
      <c r="AS514" s="5"/>
      <c r="AT514" s="5"/>
      <c r="AU514" s="5"/>
      <c r="AV514" s="5"/>
      <c r="AW514" s="5" t="s">
        <v>45</v>
      </c>
      <c r="AX514" s="5"/>
      <c r="AY514" s="5"/>
      <c r="AZ514" s="5"/>
      <c r="BA514" s="5"/>
      <c r="BB514" s="5"/>
      <c r="BC514" s="5"/>
      <c r="BD514" s="5"/>
      <c r="BE514" s="5"/>
      <c r="BF514" s="5"/>
      <c r="BG514" s="5"/>
      <c r="BH514" s="5"/>
      <c r="BI514" s="5"/>
      <c r="BJ514" s="5" t="s">
        <v>56</v>
      </c>
      <c r="BK514" s="5"/>
      <c r="BL514" s="5"/>
      <c r="BM514" s="5"/>
      <c r="BN514" s="5"/>
      <c r="BO514" s="5"/>
      <c r="BP514" s="5"/>
      <c r="BQ514" s="5"/>
      <c r="BR514" s="5" t="s">
        <v>62</v>
      </c>
      <c r="BS514" s="5"/>
      <c r="BT514" s="5"/>
      <c r="BU514" s="5" t="s">
        <v>64</v>
      </c>
      <c r="BV514" s="5"/>
      <c r="BW514" s="5"/>
      <c r="BX514" s="5"/>
      <c r="BY514" s="5"/>
      <c r="BZ514" s="5"/>
      <c r="CA514" s="5"/>
      <c r="CB514" s="5"/>
      <c r="CC514" s="5"/>
      <c r="CD514" s="5"/>
      <c r="CE514" s="5"/>
      <c r="CF514" s="5"/>
      <c r="CG514" s="5"/>
      <c r="CH514" s="5"/>
      <c r="CI514" s="5" t="s">
        <v>414</v>
      </c>
      <c r="CJ514" s="5">
        <v>92</v>
      </c>
      <c r="CK514" s="5" t="s">
        <v>80</v>
      </c>
      <c r="CL514" s="5" t="s">
        <v>117</v>
      </c>
      <c r="CM514" s="5" t="s">
        <v>418</v>
      </c>
      <c r="CN514" s="5" t="s">
        <v>416</v>
      </c>
      <c r="CO514" s="5" t="s">
        <v>82</v>
      </c>
      <c r="CP514" s="5" t="s">
        <v>93</v>
      </c>
      <c r="CQ514" s="5" t="s">
        <v>88</v>
      </c>
      <c r="CR514" s="5" t="s">
        <v>99</v>
      </c>
      <c r="CS514" s="5" t="s">
        <v>86</v>
      </c>
      <c r="CT514" s="5" t="s">
        <v>386</v>
      </c>
      <c r="CU514" s="5"/>
    </row>
    <row r="515" spans="1:99">
      <c r="A515" s="5">
        <v>18026547733</v>
      </c>
      <c r="B515" s="5"/>
      <c r="C515" s="5"/>
      <c r="D515" s="5"/>
      <c r="E515" s="5"/>
      <c r="F515" s="5"/>
      <c r="G515" s="5" t="s">
        <v>21</v>
      </c>
      <c r="H515" s="5"/>
      <c r="I515" s="5" t="s">
        <v>23</v>
      </c>
      <c r="J515" s="5"/>
      <c r="K515" s="5"/>
      <c r="L515" s="5"/>
      <c r="M515" s="5"/>
      <c r="N515" s="5" t="s">
        <v>28</v>
      </c>
      <c r="O515" s="5"/>
      <c r="P515" s="5"/>
      <c r="Q515" s="5"/>
      <c r="R515" s="5"/>
      <c r="S515" s="5"/>
      <c r="T515" s="5"/>
      <c r="U515" s="5"/>
      <c r="V515" s="5"/>
      <c r="W515" s="5" t="s">
        <v>23</v>
      </c>
      <c r="X515" s="5"/>
      <c r="Y515" s="5"/>
      <c r="Z515" s="5"/>
      <c r="AA515" s="5" t="s">
        <v>27</v>
      </c>
      <c r="AB515" s="5" t="s">
        <v>28</v>
      </c>
      <c r="AC515" s="5"/>
      <c r="AD515" s="5"/>
      <c r="AE515" s="5" t="s">
        <v>30</v>
      </c>
      <c r="AF515" s="5"/>
      <c r="AG515" s="5"/>
      <c r="AH515" s="5"/>
      <c r="AI515" s="5"/>
      <c r="AJ515" s="5"/>
      <c r="AK515" s="5"/>
      <c r="AL515" s="5"/>
      <c r="AM515" s="5"/>
      <c r="AN515" s="5"/>
      <c r="AO515" s="5"/>
      <c r="AP515" s="5"/>
      <c r="AQ515" s="5"/>
      <c r="AR515" s="5"/>
      <c r="AS515" s="5"/>
      <c r="AT515" s="5"/>
      <c r="AU515" s="5" t="s">
        <v>43</v>
      </c>
      <c r="AV515" s="5"/>
      <c r="AW515" s="5" t="s">
        <v>45</v>
      </c>
      <c r="AX515" s="5"/>
      <c r="AY515" s="5" t="s">
        <v>47</v>
      </c>
      <c r="AZ515" s="5"/>
      <c r="BA515" s="5"/>
      <c r="BB515" s="5"/>
      <c r="BC515" s="5"/>
      <c r="BD515" s="5"/>
      <c r="BE515" s="5"/>
      <c r="BF515" s="5"/>
      <c r="BG515" s="5" t="s">
        <v>53</v>
      </c>
      <c r="BH515" s="5"/>
      <c r="BI515" s="5" t="s">
        <v>55</v>
      </c>
      <c r="BJ515" s="5"/>
      <c r="BK515" s="5"/>
      <c r="BL515" s="5"/>
      <c r="BM515" s="5"/>
      <c r="BN515" s="5"/>
      <c r="BO515" s="5"/>
      <c r="BP515" s="5" t="s">
        <v>60</v>
      </c>
      <c r="BQ515" s="5"/>
      <c r="BR515" s="5"/>
      <c r="BS515" s="5"/>
      <c r="BT515" s="5"/>
      <c r="BU515" s="5" t="s">
        <v>64</v>
      </c>
      <c r="BV515" s="5"/>
      <c r="BW515" s="5"/>
      <c r="BX515" s="5"/>
      <c r="BY515" s="5"/>
      <c r="BZ515" s="5" t="s">
        <v>69</v>
      </c>
      <c r="CA515" s="5" t="s">
        <v>70</v>
      </c>
      <c r="CB515" s="5" t="s">
        <v>71</v>
      </c>
      <c r="CC515" s="5"/>
      <c r="CD515" s="5" t="s">
        <v>73</v>
      </c>
      <c r="CE515" s="5"/>
      <c r="CF515" s="5"/>
      <c r="CG515" s="5"/>
      <c r="CH515" s="5"/>
      <c r="CI515" s="5" t="s">
        <v>417</v>
      </c>
      <c r="CJ515" s="5">
        <v>49</v>
      </c>
      <c r="CK515" s="5" t="s">
        <v>141</v>
      </c>
      <c r="CL515" s="5" t="s">
        <v>175</v>
      </c>
      <c r="CM515" s="5" t="s">
        <v>418</v>
      </c>
      <c r="CN515" s="5" t="s">
        <v>416</v>
      </c>
      <c r="CO515" s="5" t="s">
        <v>82</v>
      </c>
      <c r="CP515" s="5" t="s">
        <v>83</v>
      </c>
      <c r="CQ515" s="5" t="s">
        <v>84</v>
      </c>
      <c r="CR515" s="5" t="s">
        <v>85</v>
      </c>
      <c r="CS515" s="5" t="s">
        <v>86</v>
      </c>
      <c r="CT515" s="5" t="s">
        <v>384</v>
      </c>
      <c r="CU515" s="5" t="s">
        <v>86</v>
      </c>
    </row>
    <row r="516" spans="1:99">
      <c r="A516" s="5">
        <v>18026539753</v>
      </c>
      <c r="B516" s="5"/>
      <c r="C516" s="5"/>
      <c r="D516" s="5"/>
      <c r="E516" s="5"/>
      <c r="F516" s="5"/>
      <c r="G516" s="5"/>
      <c r="H516" s="5"/>
      <c r="I516" s="5"/>
      <c r="J516" s="5" t="s">
        <v>24</v>
      </c>
      <c r="K516" s="5" t="s">
        <v>25</v>
      </c>
      <c r="L516" s="5"/>
      <c r="M516" s="5"/>
      <c r="N516" s="5" t="s">
        <v>28</v>
      </c>
      <c r="O516" s="5"/>
      <c r="P516" s="5"/>
      <c r="Q516" s="5"/>
      <c r="R516" s="5"/>
      <c r="S516" s="5"/>
      <c r="T516" s="5"/>
      <c r="U516" s="5"/>
      <c r="V516" s="5"/>
      <c r="W516" s="5"/>
      <c r="X516" s="5"/>
      <c r="Y516" s="5" t="s">
        <v>25</v>
      </c>
      <c r="Z516" s="5"/>
      <c r="AA516" s="5"/>
      <c r="AB516" s="5" t="s">
        <v>28</v>
      </c>
      <c r="AC516" s="5"/>
      <c r="AD516" s="5"/>
      <c r="AE516" s="5"/>
      <c r="AF516" s="5" t="s">
        <v>31</v>
      </c>
      <c r="AG516" s="5"/>
      <c r="AH516" s="5"/>
      <c r="AI516" s="5"/>
      <c r="AJ516" s="5"/>
      <c r="AK516" s="5"/>
      <c r="AL516" s="5"/>
      <c r="AM516" s="5"/>
      <c r="AN516" s="5"/>
      <c r="AO516" s="5"/>
      <c r="AP516" s="5" t="s">
        <v>39</v>
      </c>
      <c r="AQ516" s="5"/>
      <c r="AR516" s="5"/>
      <c r="AS516" s="5"/>
      <c r="AT516" s="5"/>
      <c r="AU516" s="5" t="s">
        <v>43</v>
      </c>
      <c r="AV516" s="5"/>
      <c r="AW516" s="5" t="s">
        <v>45</v>
      </c>
      <c r="AX516" s="5"/>
      <c r="AY516" s="5"/>
      <c r="AZ516" s="5"/>
      <c r="BA516" s="5"/>
      <c r="BB516" s="5"/>
      <c r="BC516" s="5"/>
      <c r="BD516" s="5" t="s">
        <v>51</v>
      </c>
      <c r="BE516" s="5"/>
      <c r="BF516" s="5"/>
      <c r="BG516" s="5"/>
      <c r="BH516" s="5" t="s">
        <v>54</v>
      </c>
      <c r="BI516" s="5"/>
      <c r="BJ516" s="5"/>
      <c r="BK516" s="5" t="s">
        <v>57</v>
      </c>
      <c r="BL516" s="5"/>
      <c r="BM516" s="5"/>
      <c r="BN516" s="5"/>
      <c r="BO516" s="5"/>
      <c r="BP516" s="5"/>
      <c r="BQ516" s="5"/>
      <c r="BR516" s="5"/>
      <c r="BS516" s="5"/>
      <c r="BT516" s="5"/>
      <c r="BU516" s="5" t="s">
        <v>64</v>
      </c>
      <c r="BV516" s="5"/>
      <c r="BW516" s="5"/>
      <c r="BX516" s="5"/>
      <c r="BY516" s="5"/>
      <c r="BZ516" s="5"/>
      <c r="CA516" s="5"/>
      <c r="CB516" s="5"/>
      <c r="CC516" s="5"/>
      <c r="CD516" s="5"/>
      <c r="CE516" s="5"/>
      <c r="CF516" s="5" t="s">
        <v>75</v>
      </c>
      <c r="CG516" s="5"/>
      <c r="CH516" s="5"/>
      <c r="CI516" s="5" t="s">
        <v>417</v>
      </c>
      <c r="CJ516" s="5">
        <v>30</v>
      </c>
      <c r="CK516" s="5" t="s">
        <v>141</v>
      </c>
      <c r="CL516" s="5" t="s">
        <v>157</v>
      </c>
      <c r="CM516" s="5" t="s">
        <v>418</v>
      </c>
      <c r="CN516" s="5" t="s">
        <v>416</v>
      </c>
      <c r="CO516" s="5" t="s">
        <v>82</v>
      </c>
      <c r="CP516" s="5" t="s">
        <v>94</v>
      </c>
      <c r="CQ516" s="5" t="s">
        <v>84</v>
      </c>
      <c r="CR516" s="5" t="s">
        <v>85</v>
      </c>
      <c r="CS516" s="5" t="s">
        <v>86</v>
      </c>
      <c r="CT516" s="5" t="s">
        <v>384</v>
      </c>
      <c r="CU516" s="5" t="s">
        <v>86</v>
      </c>
    </row>
    <row r="517" spans="1:99">
      <c r="A517" s="5">
        <v>18026486994</v>
      </c>
      <c r="B517" s="5" t="s">
        <v>16</v>
      </c>
      <c r="C517" s="5"/>
      <c r="D517" s="5"/>
      <c r="E517" s="5"/>
      <c r="F517" s="5"/>
      <c r="G517" s="5" t="s">
        <v>21</v>
      </c>
      <c r="H517" s="5"/>
      <c r="I517" s="5"/>
      <c r="J517" s="5"/>
      <c r="K517" s="5"/>
      <c r="L517" s="5"/>
      <c r="M517" s="5"/>
      <c r="N517" s="5" t="s">
        <v>28</v>
      </c>
      <c r="O517" s="5"/>
      <c r="P517" s="5"/>
      <c r="Q517" s="5"/>
      <c r="R517" s="5" t="s">
        <v>18</v>
      </c>
      <c r="S517" s="5"/>
      <c r="T517" s="5"/>
      <c r="U517" s="5"/>
      <c r="V517" s="5"/>
      <c r="W517" s="5" t="s">
        <v>23</v>
      </c>
      <c r="X517" s="5"/>
      <c r="Y517" s="5"/>
      <c r="Z517" s="5"/>
      <c r="AA517" s="5"/>
      <c r="AB517" s="5" t="s">
        <v>28</v>
      </c>
      <c r="AC517" s="5"/>
      <c r="AD517" s="5"/>
      <c r="AE517" s="5"/>
      <c r="AF517" s="5"/>
      <c r="AG517" s="5"/>
      <c r="AH517" s="5"/>
      <c r="AI517" s="5"/>
      <c r="AJ517" s="5"/>
      <c r="AK517" s="5"/>
      <c r="AL517" s="5"/>
      <c r="AM517" s="5"/>
      <c r="AN517" s="5" t="s">
        <v>504</v>
      </c>
      <c r="AO517" s="5"/>
      <c r="AP517" s="5"/>
      <c r="AQ517" s="5"/>
      <c r="AR517" s="5"/>
      <c r="AS517" s="5"/>
      <c r="AT517" s="5"/>
      <c r="AU517" s="5" t="s">
        <v>43</v>
      </c>
      <c r="AV517" s="5"/>
      <c r="AW517" s="5" t="s">
        <v>45</v>
      </c>
      <c r="AX517" s="5"/>
      <c r="AY517" s="5"/>
      <c r="AZ517" s="5"/>
      <c r="BA517" s="5"/>
      <c r="BB517" s="5" t="s">
        <v>49</v>
      </c>
      <c r="BC517" s="5"/>
      <c r="BD517" s="5" t="s">
        <v>51</v>
      </c>
      <c r="BE517" s="5"/>
      <c r="BF517" s="5"/>
      <c r="BG517" s="5"/>
      <c r="BH517" s="5"/>
      <c r="BI517" s="5"/>
      <c r="BJ517" s="5"/>
      <c r="BK517" s="5" t="s">
        <v>57</v>
      </c>
      <c r="BL517" s="5"/>
      <c r="BM517" s="5"/>
      <c r="BN517" s="5"/>
      <c r="BO517" s="5"/>
      <c r="BP517" s="5"/>
      <c r="BQ517" s="5"/>
      <c r="BR517" s="5"/>
      <c r="BS517" s="5"/>
      <c r="BT517" s="5"/>
      <c r="BU517" s="5" t="s">
        <v>64</v>
      </c>
      <c r="BV517" s="5"/>
      <c r="BW517" s="5"/>
      <c r="BX517" s="5"/>
      <c r="BY517" s="5"/>
      <c r="BZ517" s="5"/>
      <c r="CA517" s="5"/>
      <c r="CB517" s="5"/>
      <c r="CC517" s="5"/>
      <c r="CD517" s="5"/>
      <c r="CE517" s="5"/>
      <c r="CF517" s="5"/>
      <c r="CG517" s="5"/>
      <c r="CH517" s="5"/>
      <c r="CI517" s="5" t="s">
        <v>417</v>
      </c>
      <c r="CJ517" s="5">
        <v>64</v>
      </c>
      <c r="CK517" s="5" t="s">
        <v>80</v>
      </c>
      <c r="CL517" s="5" t="s">
        <v>114</v>
      </c>
      <c r="CM517" s="5" t="s">
        <v>418</v>
      </c>
      <c r="CN517" s="5" t="s">
        <v>416</v>
      </c>
      <c r="CO517" s="5" t="s">
        <v>82</v>
      </c>
      <c r="CP517" s="5" t="s">
        <v>83</v>
      </c>
      <c r="CQ517" s="5" t="s">
        <v>84</v>
      </c>
      <c r="CR517" s="5" t="s">
        <v>99</v>
      </c>
      <c r="CS517" s="5" t="s">
        <v>86</v>
      </c>
      <c r="CT517" s="5" t="s">
        <v>384</v>
      </c>
      <c r="CU517" s="5" t="s">
        <v>86</v>
      </c>
    </row>
    <row r="518" spans="1:99">
      <c r="A518" s="5">
        <v>18026481858</v>
      </c>
      <c r="B518" s="5"/>
      <c r="C518" s="5"/>
      <c r="D518" s="5"/>
      <c r="E518" s="5"/>
      <c r="F518" s="5"/>
      <c r="G518" s="5" t="s">
        <v>21</v>
      </c>
      <c r="H518" s="5"/>
      <c r="I518" s="5"/>
      <c r="J518" s="5"/>
      <c r="K518" s="5" t="s">
        <v>25</v>
      </c>
      <c r="L518" s="5"/>
      <c r="M518" s="5" t="s">
        <v>27</v>
      </c>
      <c r="N518" s="5"/>
      <c r="O518" s="5"/>
      <c r="P518" s="5"/>
      <c r="Q518" s="5"/>
      <c r="R518" s="5"/>
      <c r="S518" s="5" t="s">
        <v>19</v>
      </c>
      <c r="T518" s="5"/>
      <c r="U518" s="5"/>
      <c r="V518" s="5"/>
      <c r="W518" s="5"/>
      <c r="X518" s="5"/>
      <c r="Y518" s="5" t="s">
        <v>25</v>
      </c>
      <c r="Z518" s="5"/>
      <c r="AA518" s="5" t="s">
        <v>27</v>
      </c>
      <c r="AB518" s="5"/>
      <c r="AC518" s="5"/>
      <c r="AD518" s="5"/>
      <c r="AE518" s="5" t="s">
        <v>30</v>
      </c>
      <c r="AF518" s="5" t="s">
        <v>31</v>
      </c>
      <c r="AG518" s="5"/>
      <c r="AH518" s="5"/>
      <c r="AI518" s="5"/>
      <c r="AJ518" s="5"/>
      <c r="AK518" s="5"/>
      <c r="AL518" s="5" t="s">
        <v>37</v>
      </c>
      <c r="AM518" s="5"/>
      <c r="AN518" s="5"/>
      <c r="AO518" s="5" t="s">
        <v>38</v>
      </c>
      <c r="AP518" s="5" t="s">
        <v>39</v>
      </c>
      <c r="AQ518" s="5"/>
      <c r="AR518" s="5"/>
      <c r="AS518" s="5"/>
      <c r="AT518" s="5"/>
      <c r="AU518" s="5"/>
      <c r="AV518" s="5"/>
      <c r="AW518" s="5"/>
      <c r="AX518" s="5" t="s">
        <v>46</v>
      </c>
      <c r="AY518" s="5"/>
      <c r="AZ518" s="5"/>
      <c r="BA518" s="5"/>
      <c r="BB518" s="5"/>
      <c r="BC518" s="5"/>
      <c r="BD518" s="5"/>
      <c r="BE518" s="5"/>
      <c r="BF518" s="5" t="s">
        <v>52</v>
      </c>
      <c r="BG518" s="5"/>
      <c r="BH518" s="5"/>
      <c r="BI518" s="5"/>
      <c r="BJ518" s="5"/>
      <c r="BK518" s="5"/>
      <c r="BL518" s="5"/>
      <c r="BM518" s="5"/>
      <c r="BN518" s="5"/>
      <c r="BO518" s="5"/>
      <c r="BP518" s="5" t="s">
        <v>60</v>
      </c>
      <c r="BQ518" s="5"/>
      <c r="BR518" s="5" t="s">
        <v>62</v>
      </c>
      <c r="BS518" s="5"/>
      <c r="BT518" s="5"/>
      <c r="BU518" s="5" t="s">
        <v>64</v>
      </c>
      <c r="BV518" s="5"/>
      <c r="BW518" s="5" t="s">
        <v>66</v>
      </c>
      <c r="BX518" s="5" t="s">
        <v>67</v>
      </c>
      <c r="BY518" s="5" t="s">
        <v>68</v>
      </c>
      <c r="BZ518" s="5" t="s">
        <v>69</v>
      </c>
      <c r="CA518" s="5" t="s">
        <v>70</v>
      </c>
      <c r="CB518" s="5"/>
      <c r="CC518" s="5"/>
      <c r="CD518" s="5" t="s">
        <v>73</v>
      </c>
      <c r="CE518" s="5"/>
      <c r="CF518" s="5" t="s">
        <v>75</v>
      </c>
      <c r="CG518" s="5" t="s">
        <v>76</v>
      </c>
      <c r="CH518" s="5"/>
      <c r="CI518" s="5" t="s">
        <v>414</v>
      </c>
      <c r="CJ518" s="5">
        <v>37</v>
      </c>
      <c r="CK518" s="5" t="s">
        <v>141</v>
      </c>
      <c r="CL518" s="5" t="s">
        <v>160</v>
      </c>
      <c r="CM518" s="5" t="s">
        <v>418</v>
      </c>
      <c r="CN518" s="5" t="s">
        <v>416</v>
      </c>
      <c r="CO518" s="5"/>
      <c r="CP518" s="5" t="s">
        <v>90</v>
      </c>
      <c r="CQ518" s="5" t="s">
        <v>84</v>
      </c>
      <c r="CR518" s="5" t="s">
        <v>92</v>
      </c>
      <c r="CS518" s="5" t="s">
        <v>86</v>
      </c>
      <c r="CT518" s="5" t="s">
        <v>391</v>
      </c>
      <c r="CU518" s="5" t="s">
        <v>86</v>
      </c>
    </row>
    <row r="519" spans="1:99">
      <c r="A519" s="5">
        <v>18026458777</v>
      </c>
      <c r="B519" s="5"/>
      <c r="C519" s="5" t="s">
        <v>17</v>
      </c>
      <c r="D519" s="5"/>
      <c r="E519" s="5" t="s">
        <v>19</v>
      </c>
      <c r="F519" s="5"/>
      <c r="G519" s="5"/>
      <c r="H519" s="5"/>
      <c r="I519" s="5" t="s">
        <v>23</v>
      </c>
      <c r="J519" s="5"/>
      <c r="K519" s="5" t="s">
        <v>25</v>
      </c>
      <c r="L519" s="5" t="s">
        <v>26</v>
      </c>
      <c r="M519" s="5"/>
      <c r="N519" s="5"/>
      <c r="O519" s="5"/>
      <c r="P519" s="5"/>
      <c r="Q519" s="5"/>
      <c r="R519" s="5"/>
      <c r="S519" s="5"/>
      <c r="T519" s="5"/>
      <c r="U519" s="5"/>
      <c r="V519" s="5"/>
      <c r="W519" s="5" t="s">
        <v>23</v>
      </c>
      <c r="X519" s="5"/>
      <c r="Y519" s="5"/>
      <c r="Z519" s="5"/>
      <c r="AA519" s="5"/>
      <c r="AB519" s="5"/>
      <c r="AC519" s="5"/>
      <c r="AD519" s="5"/>
      <c r="AE519" s="5"/>
      <c r="AF519" s="5"/>
      <c r="AG519" s="5"/>
      <c r="AH519" s="5"/>
      <c r="AI519" s="5" t="s">
        <v>34</v>
      </c>
      <c r="AJ519" s="5"/>
      <c r="AK519" s="5"/>
      <c r="AL519" s="5"/>
      <c r="AM519" s="5"/>
      <c r="AN519" s="5"/>
      <c r="AO519" s="5"/>
      <c r="AP519" s="5" t="s">
        <v>39</v>
      </c>
      <c r="AQ519" s="5"/>
      <c r="AR519" s="5"/>
      <c r="AS519" s="5"/>
      <c r="AT519" s="5"/>
      <c r="AU519" s="5" t="s">
        <v>43</v>
      </c>
      <c r="AV519" s="5"/>
      <c r="AW519" s="5"/>
      <c r="AX519" s="5"/>
      <c r="AY519" s="5" t="s">
        <v>47</v>
      </c>
      <c r="AZ519" s="5"/>
      <c r="BA519" s="5"/>
      <c r="BB519" s="5"/>
      <c r="BC519" s="5"/>
      <c r="BD519" s="5" t="s">
        <v>51</v>
      </c>
      <c r="BE519" s="5" t="s">
        <v>17</v>
      </c>
      <c r="BF519" s="5"/>
      <c r="BG519" s="5"/>
      <c r="BH519" s="5"/>
      <c r="BI519" s="5"/>
      <c r="BJ519" s="5"/>
      <c r="BK519" s="5" t="s">
        <v>57</v>
      </c>
      <c r="BL519" s="5"/>
      <c r="BM519" s="5"/>
      <c r="BN519" s="5"/>
      <c r="BO519" s="5"/>
      <c r="BP519" s="5"/>
      <c r="BQ519" s="5"/>
      <c r="BR519" s="5"/>
      <c r="BS519" s="5"/>
      <c r="BT519" s="5"/>
      <c r="BU519" s="5" t="s">
        <v>64</v>
      </c>
      <c r="BV519" s="5"/>
      <c r="BW519" s="5"/>
      <c r="BX519" s="5"/>
      <c r="BY519" s="5"/>
      <c r="BZ519" s="5" t="s">
        <v>69</v>
      </c>
      <c r="CA519" s="5"/>
      <c r="CB519" s="5"/>
      <c r="CC519" s="5"/>
      <c r="CD519" s="5" t="s">
        <v>73</v>
      </c>
      <c r="CE519" s="5"/>
      <c r="CF519" s="5"/>
      <c r="CG519" s="5"/>
      <c r="CH519" s="5"/>
      <c r="CI519" s="5" t="s">
        <v>417</v>
      </c>
      <c r="CJ519" s="5">
        <v>55</v>
      </c>
      <c r="CK519" s="5" t="s">
        <v>141</v>
      </c>
      <c r="CL519" s="5" t="s">
        <v>184</v>
      </c>
      <c r="CM519" s="5" t="s">
        <v>418</v>
      </c>
      <c r="CN519" s="5" t="s">
        <v>416</v>
      </c>
      <c r="CO519" s="5" t="s">
        <v>82</v>
      </c>
      <c r="CP519" s="5" t="s">
        <v>83</v>
      </c>
      <c r="CQ519" s="5" t="s">
        <v>103</v>
      </c>
      <c r="CR519" s="5" t="s">
        <v>85</v>
      </c>
      <c r="CS519" s="5" t="s">
        <v>86</v>
      </c>
      <c r="CT519" s="5" t="s">
        <v>384</v>
      </c>
      <c r="CU519" s="5" t="s">
        <v>86</v>
      </c>
    </row>
    <row r="520" spans="1:99">
      <c r="A520" s="5">
        <v>18031750233</v>
      </c>
      <c r="B520" s="5"/>
      <c r="C520" s="5" t="s">
        <v>17</v>
      </c>
      <c r="D520" s="5"/>
      <c r="E520" s="5"/>
      <c r="F520" s="5"/>
      <c r="G520" s="5"/>
      <c r="H520" s="5"/>
      <c r="I520" s="5"/>
      <c r="J520" s="5" t="s">
        <v>24</v>
      </c>
      <c r="K520" s="5"/>
      <c r="L520" s="5"/>
      <c r="M520" s="5"/>
      <c r="N520" s="5" t="s">
        <v>28</v>
      </c>
      <c r="O520" s="5"/>
      <c r="P520" s="5"/>
      <c r="Q520" s="5"/>
      <c r="R520" s="5"/>
      <c r="S520" s="5"/>
      <c r="T520" s="5"/>
      <c r="U520" s="5" t="s">
        <v>21</v>
      </c>
      <c r="V520" s="5" t="s">
        <v>22</v>
      </c>
      <c r="W520" s="5"/>
      <c r="X520" s="5"/>
      <c r="Y520" s="5"/>
      <c r="Z520" s="5"/>
      <c r="AA520" s="5"/>
      <c r="AB520" s="5" t="s">
        <v>28</v>
      </c>
      <c r="AC520" s="5"/>
      <c r="AD520" s="5"/>
      <c r="AE520" s="5"/>
      <c r="AF520" s="5"/>
      <c r="AG520" s="5" t="s">
        <v>32</v>
      </c>
      <c r="AH520" s="5" t="s">
        <v>33</v>
      </c>
      <c r="AI520" s="5"/>
      <c r="AJ520" s="5"/>
      <c r="AK520" s="5" t="s">
        <v>36</v>
      </c>
      <c r="AL520" s="5"/>
      <c r="AM520" s="5"/>
      <c r="AN520" s="5"/>
      <c r="AO520" s="5"/>
      <c r="AP520" s="5"/>
      <c r="AQ520" s="5"/>
      <c r="AR520" s="5"/>
      <c r="AS520" s="5"/>
      <c r="AT520" s="5"/>
      <c r="AU520" s="5" t="s">
        <v>43</v>
      </c>
      <c r="AV520" s="5" t="s">
        <v>44</v>
      </c>
      <c r="AW520" s="5" t="s">
        <v>45</v>
      </c>
      <c r="AX520" s="5"/>
      <c r="AY520" s="5"/>
      <c r="AZ520" s="5"/>
      <c r="BA520" s="5"/>
      <c r="BB520" s="5"/>
      <c r="BC520" s="5"/>
      <c r="BD520" s="5"/>
      <c r="BE520" s="5"/>
      <c r="BF520" s="5"/>
      <c r="BG520" s="5" t="s">
        <v>53</v>
      </c>
      <c r="BH520" s="5"/>
      <c r="BI520" s="5"/>
      <c r="BJ520" s="5"/>
      <c r="BK520" s="5"/>
      <c r="BL520" s="5"/>
      <c r="BM520" s="5"/>
      <c r="BN520" s="5"/>
      <c r="BO520" s="5"/>
      <c r="BP520" s="5"/>
      <c r="BQ520" s="5" t="s">
        <v>61</v>
      </c>
      <c r="BR520" s="5"/>
      <c r="BS520" s="5" t="s">
        <v>63</v>
      </c>
      <c r="BT520" s="5"/>
      <c r="BU520" s="5"/>
      <c r="BV520" s="5"/>
      <c r="BW520" s="5" t="s">
        <v>66</v>
      </c>
      <c r="BX520" s="5"/>
      <c r="BY520" s="5"/>
      <c r="BZ520" s="5"/>
      <c r="CA520" s="5"/>
      <c r="CB520" s="5"/>
      <c r="CC520" s="5"/>
      <c r="CD520" s="5"/>
      <c r="CE520" s="5" t="s">
        <v>74</v>
      </c>
      <c r="CF520" s="5" t="s">
        <v>75</v>
      </c>
      <c r="CG520" s="5"/>
      <c r="CH520" s="5"/>
      <c r="CI520" s="5" t="s">
        <v>417</v>
      </c>
      <c r="CJ520" s="5">
        <v>37</v>
      </c>
      <c r="CK520" s="5" t="s">
        <v>141</v>
      </c>
      <c r="CL520" s="5" t="s">
        <v>155</v>
      </c>
      <c r="CM520" s="5"/>
      <c r="CN520" s="5" t="s">
        <v>419</v>
      </c>
      <c r="CO520" s="5" t="s">
        <v>101</v>
      </c>
      <c r="CP520" s="5" t="s">
        <v>90</v>
      </c>
      <c r="CQ520" s="5" t="s">
        <v>98</v>
      </c>
      <c r="CR520" s="5" t="s">
        <v>105</v>
      </c>
      <c r="CS520" s="5" t="s">
        <v>86</v>
      </c>
      <c r="CT520" s="5" t="s">
        <v>384</v>
      </c>
      <c r="CU520" s="5" t="s">
        <v>86</v>
      </c>
    </row>
    <row r="521" spans="1:99">
      <c r="A521" s="5">
        <v>18031750066</v>
      </c>
      <c r="B521" s="5" t="s">
        <v>16</v>
      </c>
      <c r="C521" s="5" t="s">
        <v>17</v>
      </c>
      <c r="D521" s="5" t="s">
        <v>18</v>
      </c>
      <c r="E521" s="5" t="s">
        <v>19</v>
      </c>
      <c r="F521" s="5" t="s">
        <v>20</v>
      </c>
      <c r="G521" s="5" t="s">
        <v>21</v>
      </c>
      <c r="H521" s="5" t="s">
        <v>22</v>
      </c>
      <c r="I521" s="5" t="s">
        <v>23</v>
      </c>
      <c r="J521" s="5" t="s">
        <v>24</v>
      </c>
      <c r="K521" s="5" t="s">
        <v>25</v>
      </c>
      <c r="L521" s="5" t="s">
        <v>26</v>
      </c>
      <c r="M521" s="5" t="s">
        <v>27</v>
      </c>
      <c r="N521" s="5" t="s">
        <v>28</v>
      </c>
      <c r="O521" s="5"/>
      <c r="P521" s="5" t="s">
        <v>16</v>
      </c>
      <c r="Q521" s="5" t="s">
        <v>17</v>
      </c>
      <c r="R521" s="5" t="s">
        <v>18</v>
      </c>
      <c r="S521" s="5"/>
      <c r="T521" s="5" t="s">
        <v>20</v>
      </c>
      <c r="U521" s="5" t="s">
        <v>21</v>
      </c>
      <c r="V521" s="5" t="s">
        <v>22</v>
      </c>
      <c r="W521" s="5"/>
      <c r="X521" s="5" t="s">
        <v>24</v>
      </c>
      <c r="Y521" s="5" t="s">
        <v>25</v>
      </c>
      <c r="Z521" s="5" t="s">
        <v>26</v>
      </c>
      <c r="AA521" s="5" t="s">
        <v>27</v>
      </c>
      <c r="AB521" s="5" t="s">
        <v>28</v>
      </c>
      <c r="AC521" s="5"/>
      <c r="AD521" s="5"/>
      <c r="AE521" s="5"/>
      <c r="AF521" s="5" t="s">
        <v>31</v>
      </c>
      <c r="AG521" s="5"/>
      <c r="AH521" s="5"/>
      <c r="AI521" s="5"/>
      <c r="AJ521" s="5"/>
      <c r="AK521" s="5" t="s">
        <v>36</v>
      </c>
      <c r="AL521" s="5"/>
      <c r="AM521" s="5"/>
      <c r="AN521" s="5"/>
      <c r="AO521" s="5"/>
      <c r="AP521" s="5"/>
      <c r="AQ521" s="5"/>
      <c r="AR521" s="5"/>
      <c r="AS521" s="5"/>
      <c r="AT521" s="5"/>
      <c r="AU521" s="5" t="s">
        <v>43</v>
      </c>
      <c r="AV521" s="5"/>
      <c r="AW521" s="5"/>
      <c r="AX521" s="5" t="s">
        <v>46</v>
      </c>
      <c r="AY521" s="5"/>
      <c r="AZ521" s="5"/>
      <c r="BA521" s="5"/>
      <c r="BB521" s="5" t="s">
        <v>49</v>
      </c>
      <c r="BC521" s="5"/>
      <c r="BD521" s="5"/>
      <c r="BE521" s="5" t="s">
        <v>17</v>
      </c>
      <c r="BF521" s="5"/>
      <c r="BG521" s="5" t="s">
        <v>53</v>
      </c>
      <c r="BH521" s="5" t="s">
        <v>54</v>
      </c>
      <c r="BI521" s="5"/>
      <c r="BJ521" s="5"/>
      <c r="BK521" s="5"/>
      <c r="BL521" s="5"/>
      <c r="BM521" s="5"/>
      <c r="BN521" s="5" t="s">
        <v>24</v>
      </c>
      <c r="BO521" s="5"/>
      <c r="BP521" s="5" t="s">
        <v>60</v>
      </c>
      <c r="BQ521" s="5"/>
      <c r="BR521" s="5"/>
      <c r="BS521" s="5"/>
      <c r="BT521" s="5"/>
      <c r="BU521" s="5"/>
      <c r="BV521" s="5"/>
      <c r="BW521" s="5"/>
      <c r="BX521" s="5" t="s">
        <v>67</v>
      </c>
      <c r="BY521" s="5"/>
      <c r="BZ521" s="5"/>
      <c r="CA521" s="5"/>
      <c r="CB521" s="5"/>
      <c r="CC521" s="5"/>
      <c r="CD521" s="5"/>
      <c r="CE521" s="5"/>
      <c r="CF521" s="5"/>
      <c r="CG521" s="5"/>
      <c r="CH521" s="5"/>
      <c r="CI521" s="5" t="s">
        <v>414</v>
      </c>
      <c r="CJ521" s="5">
        <v>44</v>
      </c>
      <c r="CK521" s="5" t="s">
        <v>141</v>
      </c>
      <c r="CL521" s="5" t="s">
        <v>155</v>
      </c>
      <c r="CM521" s="5" t="s">
        <v>418</v>
      </c>
      <c r="CN521" s="5" t="s">
        <v>419</v>
      </c>
      <c r="CO521" s="5" t="s">
        <v>101</v>
      </c>
      <c r="CP521" s="5" t="s">
        <v>90</v>
      </c>
      <c r="CQ521" s="5" t="s">
        <v>104</v>
      </c>
      <c r="CR521" s="5" t="s">
        <v>85</v>
      </c>
      <c r="CS521" s="5" t="s">
        <v>81</v>
      </c>
      <c r="CT521" s="5" t="s">
        <v>296</v>
      </c>
      <c r="CU521" s="5" t="s">
        <v>86</v>
      </c>
    </row>
    <row r="522" spans="1:99">
      <c r="A522" s="5">
        <v>18031749313</v>
      </c>
      <c r="B522" s="5" t="s">
        <v>16</v>
      </c>
      <c r="C522" s="5"/>
      <c r="D522" s="5"/>
      <c r="E522" s="5"/>
      <c r="F522" s="5"/>
      <c r="G522" s="5"/>
      <c r="H522" s="5"/>
      <c r="I522" s="5"/>
      <c r="J522" s="5"/>
      <c r="K522" s="5"/>
      <c r="L522" s="5"/>
      <c r="M522" s="5"/>
      <c r="N522" s="5"/>
      <c r="O522" s="5"/>
      <c r="P522" s="5" t="s">
        <v>16</v>
      </c>
      <c r="Q522" s="5" t="s">
        <v>17</v>
      </c>
      <c r="R522" s="5"/>
      <c r="S522" s="5"/>
      <c r="T522" s="5"/>
      <c r="U522" s="5"/>
      <c r="V522" s="5"/>
      <c r="W522" s="5"/>
      <c r="X522" s="5"/>
      <c r="Y522" s="5"/>
      <c r="Z522" s="5"/>
      <c r="AA522" s="5"/>
      <c r="AB522" s="5"/>
      <c r="AC522" s="5"/>
      <c r="AD522" s="5"/>
      <c r="AE522" s="5"/>
      <c r="AF522" s="5"/>
      <c r="AG522" s="5"/>
      <c r="AH522" s="5"/>
      <c r="AI522" s="5"/>
      <c r="AJ522" s="5"/>
      <c r="AK522" s="5" t="s">
        <v>36</v>
      </c>
      <c r="AL522" s="5"/>
      <c r="AM522" s="5"/>
      <c r="AN522" s="5"/>
      <c r="AO522" s="5"/>
      <c r="AP522" s="5"/>
      <c r="AQ522" s="5"/>
      <c r="AR522" s="5"/>
      <c r="AS522" s="5"/>
      <c r="AT522" s="5"/>
      <c r="AU522" s="5"/>
      <c r="AV522" s="5"/>
      <c r="AW522" s="5"/>
      <c r="AX522" s="5"/>
      <c r="AY522" s="5"/>
      <c r="AZ522" s="5"/>
      <c r="BA522" s="5"/>
      <c r="BB522" s="5"/>
      <c r="BC522" s="5"/>
      <c r="BD522" s="5"/>
      <c r="BE522" s="5" t="s">
        <v>17</v>
      </c>
      <c r="BF522" s="5"/>
      <c r="BG522" s="5"/>
      <c r="BH522" s="5"/>
      <c r="BI522" s="5"/>
      <c r="BJ522" s="5"/>
      <c r="BK522" s="5"/>
      <c r="BL522" s="5"/>
      <c r="BM522" s="5"/>
      <c r="BN522" s="5" t="s">
        <v>24</v>
      </c>
      <c r="BO522" s="5"/>
      <c r="BP522" s="5"/>
      <c r="BQ522" s="5"/>
      <c r="BR522" s="5"/>
      <c r="BS522" s="5"/>
      <c r="BT522" s="5"/>
      <c r="BU522" s="5"/>
      <c r="BV522" s="5"/>
      <c r="BW522" s="5"/>
      <c r="BX522" s="5"/>
      <c r="BY522" s="5"/>
      <c r="BZ522" s="5"/>
      <c r="CA522" s="5" t="s">
        <v>70</v>
      </c>
      <c r="CB522" s="5"/>
      <c r="CC522" s="5"/>
      <c r="CD522" s="5"/>
      <c r="CE522" s="5"/>
      <c r="CF522" s="5" t="s">
        <v>75</v>
      </c>
      <c r="CG522" s="5"/>
      <c r="CH522" s="5"/>
      <c r="CI522" s="5"/>
      <c r="CJ522" s="5"/>
      <c r="CK522" s="5"/>
      <c r="CL522" s="5"/>
      <c r="CM522" s="5"/>
      <c r="CN522" s="5" t="s">
        <v>419</v>
      </c>
      <c r="CO522" s="5" t="s">
        <v>101</v>
      </c>
      <c r="CP522" s="5" t="s">
        <v>90</v>
      </c>
      <c r="CQ522" s="5" t="s">
        <v>104</v>
      </c>
      <c r="CR522" s="5"/>
      <c r="CS522" s="5" t="s">
        <v>81</v>
      </c>
      <c r="CT522" s="5" t="s">
        <v>296</v>
      </c>
      <c r="CU522" s="5" t="s">
        <v>86</v>
      </c>
    </row>
    <row r="523" spans="1:99">
      <c r="A523" s="5">
        <v>18031746891</v>
      </c>
      <c r="B523" s="5"/>
      <c r="C523" s="5"/>
      <c r="D523" s="5" t="s">
        <v>18</v>
      </c>
      <c r="E523" s="5"/>
      <c r="F523" s="5"/>
      <c r="G523" s="5"/>
      <c r="H523" s="5"/>
      <c r="I523" s="5"/>
      <c r="J523" s="5" t="s">
        <v>24</v>
      </c>
      <c r="K523" s="5"/>
      <c r="L523" s="5"/>
      <c r="M523" s="5"/>
      <c r="N523" s="5" t="s">
        <v>28</v>
      </c>
      <c r="O523" s="5"/>
      <c r="P523" s="5"/>
      <c r="Q523" s="5"/>
      <c r="R523" s="5"/>
      <c r="S523" s="5"/>
      <c r="T523" s="5"/>
      <c r="U523" s="5"/>
      <c r="V523" s="5"/>
      <c r="W523" s="5" t="s">
        <v>23</v>
      </c>
      <c r="X523" s="5" t="s">
        <v>24</v>
      </c>
      <c r="Y523" s="5"/>
      <c r="Z523" s="5"/>
      <c r="AA523" s="5"/>
      <c r="AB523" s="5" t="s">
        <v>28</v>
      </c>
      <c r="AC523" s="5"/>
      <c r="AD523" s="5"/>
      <c r="AE523" s="5"/>
      <c r="AF523" s="5"/>
      <c r="AG523" s="5"/>
      <c r="AH523" s="5" t="s">
        <v>33</v>
      </c>
      <c r="AI523" s="5"/>
      <c r="AJ523" s="5"/>
      <c r="AK523" s="5" t="s">
        <v>36</v>
      </c>
      <c r="AL523" s="5"/>
      <c r="AM523" s="5"/>
      <c r="AN523" s="5"/>
      <c r="AO523" s="5"/>
      <c r="AP523" s="5"/>
      <c r="AQ523" s="5"/>
      <c r="AR523" s="5"/>
      <c r="AS523" s="5"/>
      <c r="AT523" s="5"/>
      <c r="AU523" s="5"/>
      <c r="AV523" s="5"/>
      <c r="AW523" s="5"/>
      <c r="AX523" s="5"/>
      <c r="AY523" s="5"/>
      <c r="AZ523" s="5"/>
      <c r="BA523" s="5"/>
      <c r="BB523" s="5" t="s">
        <v>49</v>
      </c>
      <c r="BC523" s="5"/>
      <c r="BD523" s="5"/>
      <c r="BE523" s="5"/>
      <c r="BF523" s="5"/>
      <c r="BG523" s="5"/>
      <c r="BH523" s="5" t="s">
        <v>54</v>
      </c>
      <c r="BI523" s="5"/>
      <c r="BJ523" s="5"/>
      <c r="BK523" s="5"/>
      <c r="BL523" s="5"/>
      <c r="BM523" s="5"/>
      <c r="BN523" s="5" t="s">
        <v>24</v>
      </c>
      <c r="BO523" s="5"/>
      <c r="BP523" s="5" t="s">
        <v>60</v>
      </c>
      <c r="BQ523" s="5"/>
      <c r="BR523" s="5"/>
      <c r="BS523" s="5"/>
      <c r="BT523" s="5"/>
      <c r="BU523" s="5" t="s">
        <v>64</v>
      </c>
      <c r="BV523" s="5"/>
      <c r="BW523" s="5"/>
      <c r="BX523" s="5"/>
      <c r="BY523" s="5"/>
      <c r="BZ523" s="5"/>
      <c r="CA523" s="5"/>
      <c r="CB523" s="5"/>
      <c r="CC523" s="5"/>
      <c r="CD523" s="5"/>
      <c r="CE523" s="5"/>
      <c r="CF523" s="5"/>
      <c r="CG523" s="5"/>
      <c r="CH523" s="5"/>
      <c r="CI523" s="5" t="s">
        <v>417</v>
      </c>
      <c r="CJ523" s="5">
        <v>65</v>
      </c>
      <c r="CK523" s="5" t="s">
        <v>80</v>
      </c>
      <c r="CL523" s="5" t="s">
        <v>124</v>
      </c>
      <c r="CM523" s="5"/>
      <c r="CN523" s="5" t="s">
        <v>419</v>
      </c>
      <c r="CO523" s="5" t="s">
        <v>101</v>
      </c>
      <c r="CP523" s="5"/>
      <c r="CQ523" s="5"/>
      <c r="CR523" s="5" t="s">
        <v>99</v>
      </c>
      <c r="CS523" s="5" t="s">
        <v>86</v>
      </c>
      <c r="CT523" s="5" t="s">
        <v>391</v>
      </c>
      <c r="CU523" s="5" t="s">
        <v>86</v>
      </c>
    </row>
    <row r="524" spans="1:99">
      <c r="A524" s="5">
        <v>18031746567</v>
      </c>
      <c r="B524" s="5"/>
      <c r="C524" s="5"/>
      <c r="D524" s="5" t="s">
        <v>18</v>
      </c>
      <c r="E524" s="5"/>
      <c r="F524" s="5"/>
      <c r="G524" s="5"/>
      <c r="H524" s="5"/>
      <c r="I524" s="5"/>
      <c r="J524" s="5" t="s">
        <v>24</v>
      </c>
      <c r="K524" s="5"/>
      <c r="L524" s="5"/>
      <c r="M524" s="5"/>
      <c r="N524" s="5" t="s">
        <v>28</v>
      </c>
      <c r="O524" s="5"/>
      <c r="P524" s="5"/>
      <c r="Q524" s="5"/>
      <c r="R524" s="5"/>
      <c r="S524" s="5"/>
      <c r="T524" s="5"/>
      <c r="U524" s="5"/>
      <c r="V524" s="5"/>
      <c r="W524" s="5" t="s">
        <v>23</v>
      </c>
      <c r="X524" s="5" t="s">
        <v>24</v>
      </c>
      <c r="Y524" s="5"/>
      <c r="Z524" s="5"/>
      <c r="AA524" s="5"/>
      <c r="AB524" s="5" t="s">
        <v>28</v>
      </c>
      <c r="AC524" s="5"/>
      <c r="AD524" s="5"/>
      <c r="AE524" s="5"/>
      <c r="AF524" s="5"/>
      <c r="AG524" s="5"/>
      <c r="AH524" s="5" t="s">
        <v>33</v>
      </c>
      <c r="AI524" s="5"/>
      <c r="AJ524" s="5"/>
      <c r="AK524" s="5" t="s">
        <v>36</v>
      </c>
      <c r="AL524" s="5"/>
      <c r="AM524" s="5"/>
      <c r="AN524" s="5"/>
      <c r="AO524" s="5"/>
      <c r="AP524" s="5"/>
      <c r="AQ524" s="5"/>
      <c r="AR524" s="5"/>
      <c r="AS524" s="5"/>
      <c r="AT524" s="5"/>
      <c r="AU524" s="5"/>
      <c r="AV524" s="5"/>
      <c r="AW524" s="5"/>
      <c r="AX524" s="5"/>
      <c r="AY524" s="5"/>
      <c r="AZ524" s="5"/>
      <c r="BA524" s="5"/>
      <c r="BB524" s="5" t="s">
        <v>49</v>
      </c>
      <c r="BC524" s="5"/>
      <c r="BD524" s="5"/>
      <c r="BE524" s="5"/>
      <c r="BF524" s="5"/>
      <c r="BG524" s="5"/>
      <c r="BH524" s="5" t="s">
        <v>54</v>
      </c>
      <c r="BI524" s="5"/>
      <c r="BJ524" s="5"/>
      <c r="BK524" s="5"/>
      <c r="BL524" s="5"/>
      <c r="BM524" s="5"/>
      <c r="BN524" s="5" t="s">
        <v>24</v>
      </c>
      <c r="BO524" s="5"/>
      <c r="BP524" s="5" t="s">
        <v>60</v>
      </c>
      <c r="BQ524" s="5"/>
      <c r="BR524" s="5"/>
      <c r="BS524" s="5"/>
      <c r="BT524" s="5"/>
      <c r="BU524" s="5" t="s">
        <v>64</v>
      </c>
      <c r="BV524" s="5"/>
      <c r="BW524" s="5"/>
      <c r="BX524" s="5"/>
      <c r="BY524" s="5"/>
      <c r="BZ524" s="5"/>
      <c r="CA524" s="5"/>
      <c r="CB524" s="5"/>
      <c r="CC524" s="5"/>
      <c r="CD524" s="5"/>
      <c r="CE524" s="5"/>
      <c r="CF524" s="5"/>
      <c r="CG524" s="5"/>
      <c r="CH524" s="5"/>
      <c r="CI524" s="5" t="s">
        <v>417</v>
      </c>
      <c r="CJ524" s="5">
        <v>65</v>
      </c>
      <c r="CK524" s="5" t="s">
        <v>80</v>
      </c>
      <c r="CL524" s="5" t="s">
        <v>124</v>
      </c>
      <c r="CM524" s="5"/>
      <c r="CN524" s="5"/>
      <c r="CO524" s="5"/>
      <c r="CP524" s="5"/>
      <c r="CQ524" s="5"/>
      <c r="CR524" s="5"/>
      <c r="CS524" s="5"/>
      <c r="CT524" s="5"/>
      <c r="CU524" s="5"/>
    </row>
    <row r="525" spans="1:99">
      <c r="A525" s="5">
        <v>18031743313</v>
      </c>
      <c r="B525" s="5"/>
      <c r="C525" s="5"/>
      <c r="D525" s="5" t="s">
        <v>18</v>
      </c>
      <c r="E525" s="5"/>
      <c r="F525" s="5"/>
      <c r="G525" s="5"/>
      <c r="H525" s="5"/>
      <c r="I525" s="5"/>
      <c r="J525" s="5" t="s">
        <v>24</v>
      </c>
      <c r="K525" s="5"/>
      <c r="L525" s="5"/>
      <c r="M525" s="5"/>
      <c r="N525" s="5" t="s">
        <v>28</v>
      </c>
      <c r="O525" s="5"/>
      <c r="P525" s="5"/>
      <c r="Q525" s="5"/>
      <c r="R525" s="5"/>
      <c r="S525" s="5"/>
      <c r="T525" s="5"/>
      <c r="U525" s="5"/>
      <c r="V525" s="5"/>
      <c r="W525" s="5" t="s">
        <v>23</v>
      </c>
      <c r="X525" s="5" t="s">
        <v>24</v>
      </c>
      <c r="Y525" s="5"/>
      <c r="Z525" s="5"/>
      <c r="AA525" s="5"/>
      <c r="AB525" s="5" t="s">
        <v>28</v>
      </c>
      <c r="AC525" s="5"/>
      <c r="AD525" s="5"/>
      <c r="AE525" s="5"/>
      <c r="AF525" s="5"/>
      <c r="AG525" s="5"/>
      <c r="AH525" s="5" t="s">
        <v>33</v>
      </c>
      <c r="AI525" s="5"/>
      <c r="AJ525" s="5"/>
      <c r="AK525" s="5" t="s">
        <v>36</v>
      </c>
      <c r="AL525" s="5"/>
      <c r="AM525" s="5"/>
      <c r="AN525" s="5"/>
      <c r="AO525" s="5"/>
      <c r="AP525" s="5"/>
      <c r="AQ525" s="5"/>
      <c r="AR525" s="5"/>
      <c r="AS525" s="5"/>
      <c r="AT525" s="5"/>
      <c r="AU525" s="5"/>
      <c r="AV525" s="5"/>
      <c r="AW525" s="5"/>
      <c r="AX525" s="5"/>
      <c r="AY525" s="5"/>
      <c r="AZ525" s="5"/>
      <c r="BA525" s="5"/>
      <c r="BB525" s="5" t="s">
        <v>49</v>
      </c>
      <c r="BC525" s="5"/>
      <c r="BD525" s="5"/>
      <c r="BE525" s="5"/>
      <c r="BF525" s="5"/>
      <c r="BG525" s="5"/>
      <c r="BH525" s="5" t="s">
        <v>54</v>
      </c>
      <c r="BI525" s="5"/>
      <c r="BJ525" s="5"/>
      <c r="BK525" s="5"/>
      <c r="BL525" s="5" t="s">
        <v>58</v>
      </c>
      <c r="BM525" s="5"/>
      <c r="BN525" s="5" t="s">
        <v>24</v>
      </c>
      <c r="BO525" s="5"/>
      <c r="BP525" s="5" t="s">
        <v>60</v>
      </c>
      <c r="BQ525" s="5"/>
      <c r="BR525" s="5"/>
      <c r="BS525" s="5"/>
      <c r="BT525" s="5"/>
      <c r="BU525" s="5" t="s">
        <v>64</v>
      </c>
      <c r="BV525" s="5"/>
      <c r="BW525" s="5"/>
      <c r="BX525" s="5"/>
      <c r="BY525" s="5"/>
      <c r="BZ525" s="5"/>
      <c r="CA525" s="5"/>
      <c r="CB525" s="5"/>
      <c r="CC525" s="5"/>
      <c r="CD525" s="5"/>
      <c r="CE525" s="5"/>
      <c r="CF525" s="5"/>
      <c r="CG525" s="5"/>
      <c r="CH525" s="5"/>
      <c r="CI525" s="5" t="s">
        <v>417</v>
      </c>
      <c r="CJ525" s="5">
        <v>65</v>
      </c>
      <c r="CK525" s="5" t="s">
        <v>80</v>
      </c>
      <c r="CL525" s="5" t="s">
        <v>124</v>
      </c>
      <c r="CM525" s="5"/>
      <c r="CN525" s="5"/>
      <c r="CO525" s="5"/>
      <c r="CP525" s="5"/>
      <c r="CQ525" s="5"/>
      <c r="CR525" s="5"/>
      <c r="CS525" s="5"/>
      <c r="CT525" s="5"/>
      <c r="CU525" s="5"/>
    </row>
    <row r="526" spans="1:99">
      <c r="A526" s="5">
        <v>18031103447</v>
      </c>
      <c r="B526" s="5"/>
      <c r="C526" s="5"/>
      <c r="D526" s="5"/>
      <c r="E526" s="5"/>
      <c r="F526" s="5" t="s">
        <v>20</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row>
    <row r="527" spans="1:99">
      <c r="A527" s="5">
        <v>18030570632</v>
      </c>
      <c r="B527" s="5"/>
      <c r="C527" s="5" t="s">
        <v>17</v>
      </c>
      <c r="D527" s="5" t="s">
        <v>18</v>
      </c>
      <c r="E527" s="5"/>
      <c r="F527" s="5"/>
      <c r="G527" s="5"/>
      <c r="H527" s="5"/>
      <c r="I527" s="5"/>
      <c r="J527" s="5" t="s">
        <v>24</v>
      </c>
      <c r="K527" s="5"/>
      <c r="L527" s="5"/>
      <c r="M527" s="5" t="s">
        <v>27</v>
      </c>
      <c r="N527" s="5"/>
      <c r="O527" s="5"/>
      <c r="P527" s="5"/>
      <c r="Q527" s="5" t="s">
        <v>17</v>
      </c>
      <c r="R527" s="5" t="s">
        <v>18</v>
      </c>
      <c r="S527" s="5"/>
      <c r="T527" s="5"/>
      <c r="U527" s="5"/>
      <c r="V527" s="5"/>
      <c r="W527" s="5"/>
      <c r="X527" s="5" t="s">
        <v>24</v>
      </c>
      <c r="Y527" s="5" t="s">
        <v>25</v>
      </c>
      <c r="Z527" s="5"/>
      <c r="AA527" s="5" t="s">
        <v>27</v>
      </c>
      <c r="AB527" s="5"/>
      <c r="AC527" s="5"/>
      <c r="AD527" s="5" t="s">
        <v>29</v>
      </c>
      <c r="AE527" s="5" t="s">
        <v>30</v>
      </c>
      <c r="AF527" s="5" t="s">
        <v>31</v>
      </c>
      <c r="AG527" s="5"/>
      <c r="AH527" s="5"/>
      <c r="AI527" s="5" t="s">
        <v>34</v>
      </c>
      <c r="AJ527" s="5" t="s">
        <v>521</v>
      </c>
      <c r="AK527" s="5"/>
      <c r="AL527" s="5"/>
      <c r="AM527" s="5"/>
      <c r="AN527" s="5"/>
      <c r="AO527" s="5"/>
      <c r="AP527" s="5"/>
      <c r="AQ527" s="5"/>
      <c r="AR527" s="5" t="s">
        <v>41</v>
      </c>
      <c r="AS527" s="5"/>
      <c r="AT527" s="5"/>
      <c r="AU527" s="5" t="s">
        <v>43</v>
      </c>
      <c r="AV527" s="5" t="s">
        <v>44</v>
      </c>
      <c r="AW527" s="5" t="s">
        <v>45</v>
      </c>
      <c r="AX527" s="5" t="s">
        <v>46</v>
      </c>
      <c r="AY527" s="5"/>
      <c r="AZ527" s="5"/>
      <c r="BA527" s="5"/>
      <c r="BB527" s="5"/>
      <c r="BC527" s="5"/>
      <c r="BD527" s="5"/>
      <c r="BE527" s="5" t="s">
        <v>17</v>
      </c>
      <c r="BF527" s="5"/>
      <c r="BG527" s="5" t="s">
        <v>53</v>
      </c>
      <c r="BH527" s="5"/>
      <c r="BI527" s="5" t="s">
        <v>55</v>
      </c>
      <c r="BJ527" s="5"/>
      <c r="BK527" s="5"/>
      <c r="BL527" s="5" t="s">
        <v>58</v>
      </c>
      <c r="BM527" s="5"/>
      <c r="BN527" s="5" t="s">
        <v>24</v>
      </c>
      <c r="BO527" s="5"/>
      <c r="BP527" s="5"/>
      <c r="BQ527" s="5"/>
      <c r="BR527" s="5"/>
      <c r="BS527" s="5"/>
      <c r="BT527" s="5"/>
      <c r="BU527" s="5" t="s">
        <v>64</v>
      </c>
      <c r="BV527" s="5"/>
      <c r="BW527" s="5"/>
      <c r="BX527" s="5" t="s">
        <v>67</v>
      </c>
      <c r="BY527" s="5" t="s">
        <v>68</v>
      </c>
      <c r="BZ527" s="5"/>
      <c r="CA527" s="5"/>
      <c r="CB527" s="5" t="s">
        <v>71</v>
      </c>
      <c r="CC527" s="5" t="s">
        <v>72</v>
      </c>
      <c r="CD527" s="5"/>
      <c r="CE527" s="5"/>
      <c r="CF527" s="5"/>
      <c r="CG527" s="5" t="s">
        <v>76</v>
      </c>
      <c r="CH527" s="5"/>
      <c r="CI527" s="5" t="s">
        <v>414</v>
      </c>
      <c r="CJ527" s="5"/>
      <c r="CK527" s="5"/>
      <c r="CL527" s="5" t="s">
        <v>522</v>
      </c>
      <c r="CM527" s="5" t="s">
        <v>91</v>
      </c>
      <c r="CN527" s="5"/>
      <c r="CO527" s="5" t="s">
        <v>523</v>
      </c>
      <c r="CP527" s="5" t="s">
        <v>87</v>
      </c>
      <c r="CQ527" s="5" t="s">
        <v>103</v>
      </c>
      <c r="CR527" s="5" t="s">
        <v>99</v>
      </c>
      <c r="CS527" s="5" t="s">
        <v>108</v>
      </c>
      <c r="CT527" s="5"/>
      <c r="CU527" s="5" t="s">
        <v>86</v>
      </c>
    </row>
    <row r="528" spans="1:99">
      <c r="A528" s="5">
        <v>18030570608</v>
      </c>
      <c r="B528" s="5"/>
      <c r="C528" s="5" t="s">
        <v>17</v>
      </c>
      <c r="D528" s="5" t="s">
        <v>18</v>
      </c>
      <c r="E528" s="5"/>
      <c r="F528" s="5"/>
      <c r="G528" s="5"/>
      <c r="H528" s="5"/>
      <c r="I528" s="5"/>
      <c r="J528" s="5" t="s">
        <v>24</v>
      </c>
      <c r="K528" s="5"/>
      <c r="L528" s="5"/>
      <c r="M528" s="5"/>
      <c r="N528" s="5"/>
      <c r="O528" s="5"/>
      <c r="P528" s="5"/>
      <c r="Q528" s="5"/>
      <c r="R528" s="5" t="s">
        <v>18</v>
      </c>
      <c r="S528" s="5"/>
      <c r="T528" s="5"/>
      <c r="U528" s="5"/>
      <c r="V528" s="5"/>
      <c r="W528" s="5"/>
      <c r="X528" s="5"/>
      <c r="Y528" s="5" t="s">
        <v>25</v>
      </c>
      <c r="Z528" s="5"/>
      <c r="AA528" s="5" t="s">
        <v>27</v>
      </c>
      <c r="AB528" s="5"/>
      <c r="AC528" s="5"/>
      <c r="AD528" s="5"/>
      <c r="AE528" s="5" t="s">
        <v>30</v>
      </c>
      <c r="AF528" s="5"/>
      <c r="AG528" s="5"/>
      <c r="AH528" s="5"/>
      <c r="AI528" s="5" t="s">
        <v>34</v>
      </c>
      <c r="AJ528" s="5" t="s">
        <v>521</v>
      </c>
      <c r="AK528" s="5"/>
      <c r="AL528" s="5"/>
      <c r="AM528" s="5"/>
      <c r="AN528" s="5"/>
      <c r="AO528" s="5"/>
      <c r="AP528" s="5"/>
      <c r="AQ528" s="5"/>
      <c r="AR528" s="5"/>
      <c r="AS528" s="5"/>
      <c r="AT528" s="5"/>
      <c r="AU528" s="5" t="s">
        <v>43</v>
      </c>
      <c r="AV528" s="5"/>
      <c r="AW528" s="5" t="s">
        <v>45</v>
      </c>
      <c r="AX528" s="5" t="s">
        <v>46</v>
      </c>
      <c r="AY528" s="5"/>
      <c r="AZ528" s="5"/>
      <c r="BA528" s="5"/>
      <c r="BB528" s="5"/>
      <c r="BC528" s="5"/>
      <c r="BD528" s="5"/>
      <c r="BE528" s="5" t="s">
        <v>17</v>
      </c>
      <c r="BF528" s="5"/>
      <c r="BG528" s="5"/>
      <c r="BH528" s="5"/>
      <c r="BI528" s="5" t="s">
        <v>55</v>
      </c>
      <c r="BJ528" s="5"/>
      <c r="BK528" s="5"/>
      <c r="BL528" s="5" t="s">
        <v>58</v>
      </c>
      <c r="BM528" s="5"/>
      <c r="BN528" s="5"/>
      <c r="BO528" s="5"/>
      <c r="BP528" s="5"/>
      <c r="BQ528" s="5"/>
      <c r="BR528" s="5"/>
      <c r="BS528" s="5"/>
      <c r="BT528" s="5"/>
      <c r="BU528" s="5"/>
      <c r="BV528" s="5"/>
      <c r="BW528" s="5"/>
      <c r="BX528" s="5" t="s">
        <v>67</v>
      </c>
      <c r="BY528" s="5"/>
      <c r="BZ528" s="5"/>
      <c r="CA528" s="5"/>
      <c r="CB528" s="5"/>
      <c r="CC528" s="5" t="s">
        <v>72</v>
      </c>
      <c r="CD528" s="5"/>
      <c r="CE528" s="5"/>
      <c r="CF528" s="5"/>
      <c r="CG528" s="5" t="s">
        <v>76</v>
      </c>
      <c r="CH528" s="5"/>
      <c r="CI528" s="5" t="s">
        <v>414</v>
      </c>
      <c r="CJ528" s="5">
        <v>26</v>
      </c>
      <c r="CK528" s="5" t="s">
        <v>80</v>
      </c>
      <c r="CL528" s="5"/>
      <c r="CM528" s="5"/>
      <c r="CN528" s="5"/>
      <c r="CO528" s="5"/>
      <c r="CP528" s="5"/>
      <c r="CQ528" s="5"/>
      <c r="CR528" s="5"/>
      <c r="CS528" s="5"/>
      <c r="CT528" s="5"/>
      <c r="CU528" s="5"/>
    </row>
    <row r="529" spans="1:99">
      <c r="A529" s="5">
        <v>18030569067</v>
      </c>
      <c r="B529" s="5"/>
      <c r="C529" s="5"/>
      <c r="D529" s="5" t="s">
        <v>18</v>
      </c>
      <c r="E529" s="5"/>
      <c r="F529" s="5"/>
      <c r="G529" s="5"/>
      <c r="H529" s="5"/>
      <c r="I529" s="5"/>
      <c r="J529" s="5" t="s">
        <v>24</v>
      </c>
      <c r="K529" s="5"/>
      <c r="L529" s="5" t="s">
        <v>26</v>
      </c>
      <c r="M529" s="5"/>
      <c r="N529" s="5"/>
      <c r="O529" s="5"/>
      <c r="P529" s="5"/>
      <c r="Q529" s="5"/>
      <c r="R529" s="5"/>
      <c r="S529" s="5" t="s">
        <v>19</v>
      </c>
      <c r="T529" s="5"/>
      <c r="U529" s="5"/>
      <c r="V529" s="5"/>
      <c r="W529" s="5"/>
      <c r="X529" s="5" t="s">
        <v>24</v>
      </c>
      <c r="Y529" s="5"/>
      <c r="Z529" s="5"/>
      <c r="AA529" s="5"/>
      <c r="AB529" s="5"/>
      <c r="AC529" s="5"/>
      <c r="AD529" s="5"/>
      <c r="AE529" s="5" t="s">
        <v>30</v>
      </c>
      <c r="AF529" s="5" t="s">
        <v>31</v>
      </c>
      <c r="AG529" s="5"/>
      <c r="AH529" s="5"/>
      <c r="AI529" s="5"/>
      <c r="AJ529" s="5"/>
      <c r="AK529" s="5"/>
      <c r="AL529" s="5"/>
      <c r="AM529" s="5"/>
      <c r="AN529" s="5"/>
      <c r="AO529" s="5"/>
      <c r="AP529" s="5"/>
      <c r="AQ529" s="5"/>
      <c r="AR529" s="5"/>
      <c r="AS529" s="5"/>
      <c r="AT529" s="5"/>
      <c r="AU529" s="5" t="s">
        <v>43</v>
      </c>
      <c r="AV529" s="5"/>
      <c r="AW529" s="5"/>
      <c r="AX529" s="5" t="s">
        <v>46</v>
      </c>
      <c r="AY529" s="5"/>
      <c r="AZ529" s="5" t="s">
        <v>48</v>
      </c>
      <c r="BA529" s="5"/>
      <c r="BB529" s="5"/>
      <c r="BC529" s="5" t="s">
        <v>50</v>
      </c>
      <c r="BD529" s="5"/>
      <c r="BE529" s="5" t="s">
        <v>17</v>
      </c>
      <c r="BF529" s="5"/>
      <c r="BG529" s="5"/>
      <c r="BH529" s="5"/>
      <c r="BI529" s="5"/>
      <c r="BJ529" s="5"/>
      <c r="BK529" s="5"/>
      <c r="BL529" s="5"/>
      <c r="BM529" s="5"/>
      <c r="BN529" s="5"/>
      <c r="BO529" s="5"/>
      <c r="BP529" s="5"/>
      <c r="BQ529" s="5"/>
      <c r="BR529" s="5"/>
      <c r="BS529" s="5" t="s">
        <v>63</v>
      </c>
      <c r="BT529" s="5"/>
      <c r="BU529" s="5"/>
      <c r="BV529" s="5"/>
      <c r="BW529" s="5"/>
      <c r="BX529" s="5"/>
      <c r="BY529" s="5"/>
      <c r="BZ529" s="5"/>
      <c r="CA529" s="5" t="s">
        <v>70</v>
      </c>
      <c r="CB529" s="5"/>
      <c r="CC529" s="5"/>
      <c r="CD529" s="5"/>
      <c r="CE529" s="5"/>
      <c r="CF529" s="5" t="s">
        <v>75</v>
      </c>
      <c r="CG529" s="5"/>
      <c r="CH529" s="5"/>
      <c r="CI529" s="5"/>
      <c r="CJ529" s="5"/>
      <c r="CK529" s="5"/>
      <c r="CL529" s="5"/>
      <c r="CM529" s="5"/>
      <c r="CN529" s="5"/>
      <c r="CO529" s="5"/>
      <c r="CP529" s="5"/>
      <c r="CQ529" s="5"/>
      <c r="CR529" s="5"/>
      <c r="CS529" s="5"/>
      <c r="CT529" s="5"/>
      <c r="CU529" s="5"/>
    </row>
    <row r="530" spans="1:99">
      <c r="A530" s="5">
        <v>18030545755</v>
      </c>
      <c r="B530" s="5"/>
      <c r="C530" s="5"/>
      <c r="D530" s="5"/>
      <c r="E530" s="5"/>
      <c r="F530" s="5"/>
      <c r="G530" s="5"/>
      <c r="H530" s="5"/>
      <c r="I530" s="5"/>
      <c r="J530" s="5"/>
      <c r="K530" s="5"/>
      <c r="L530" s="5" t="s">
        <v>26</v>
      </c>
      <c r="M530" s="5"/>
      <c r="N530" s="5"/>
      <c r="O530" s="5"/>
      <c r="P530" s="5"/>
      <c r="Q530" s="5"/>
      <c r="R530" s="5"/>
      <c r="S530" s="5"/>
      <c r="T530" s="5"/>
      <c r="U530" s="5"/>
      <c r="V530" s="5"/>
      <c r="W530" s="5"/>
      <c r="X530" s="5" t="s">
        <v>24</v>
      </c>
      <c r="Y530" s="5" t="s">
        <v>25</v>
      </c>
      <c r="Z530" s="5"/>
      <c r="AA530" s="5"/>
      <c r="AB530" s="5"/>
      <c r="AC530" s="5"/>
      <c r="AD530" s="5"/>
      <c r="AE530" s="5" t="s">
        <v>30</v>
      </c>
      <c r="AF530" s="5" t="s">
        <v>31</v>
      </c>
      <c r="AG530" s="5"/>
      <c r="AH530" s="5"/>
      <c r="AI530" s="5"/>
      <c r="AJ530" s="5"/>
      <c r="AK530" s="5"/>
      <c r="AL530" s="5"/>
      <c r="AM530" s="5"/>
      <c r="AN530" s="5"/>
      <c r="AO530" s="5"/>
      <c r="AP530" s="5" t="s">
        <v>39</v>
      </c>
      <c r="AQ530" s="5"/>
      <c r="AR530" s="5"/>
      <c r="AS530" s="5"/>
      <c r="AT530" s="5"/>
      <c r="AU530" s="5" t="s">
        <v>43</v>
      </c>
      <c r="AV530" s="5"/>
      <c r="AW530" s="5" t="s">
        <v>45</v>
      </c>
      <c r="AX530" s="5" t="s">
        <v>46</v>
      </c>
      <c r="AY530" s="5"/>
      <c r="AZ530" s="5"/>
      <c r="BA530" s="5"/>
      <c r="BB530" s="5"/>
      <c r="BC530" s="5"/>
      <c r="BD530" s="5" t="s">
        <v>51</v>
      </c>
      <c r="BE530" s="5"/>
      <c r="BF530" s="5"/>
      <c r="BG530" s="5" t="s">
        <v>53</v>
      </c>
      <c r="BH530" s="5"/>
      <c r="BI530" s="5" t="s">
        <v>55</v>
      </c>
      <c r="BJ530" s="5"/>
      <c r="BK530" s="5"/>
      <c r="BL530" s="5"/>
      <c r="BM530" s="5"/>
      <c r="BN530" s="5" t="s">
        <v>24</v>
      </c>
      <c r="BO530" s="5"/>
      <c r="BP530" s="5"/>
      <c r="BQ530" s="5"/>
      <c r="BR530" s="5"/>
      <c r="BS530" s="5" t="s">
        <v>63</v>
      </c>
      <c r="BT530" s="5"/>
      <c r="BU530" s="5"/>
      <c r="BV530" s="5"/>
      <c r="BW530" s="5" t="s">
        <v>66</v>
      </c>
      <c r="BX530" s="5"/>
      <c r="BY530" s="5"/>
      <c r="BZ530" s="5" t="s">
        <v>69</v>
      </c>
      <c r="CA530" s="5"/>
      <c r="CB530" s="5"/>
      <c r="CC530" s="5"/>
      <c r="CD530" s="5"/>
      <c r="CE530" s="5"/>
      <c r="CF530" s="5" t="s">
        <v>75</v>
      </c>
      <c r="CG530" s="5"/>
      <c r="CH530" s="5"/>
      <c r="CI530" s="5" t="s">
        <v>417</v>
      </c>
      <c r="CJ530" s="5"/>
      <c r="CK530" s="5" t="s">
        <v>80</v>
      </c>
      <c r="CL530" s="5"/>
      <c r="CM530" s="5"/>
      <c r="CN530" s="5"/>
      <c r="CO530" s="5"/>
      <c r="CP530" s="5"/>
      <c r="CQ530" s="5"/>
      <c r="CR530" s="5"/>
      <c r="CS530" s="5"/>
      <c r="CT530" s="5"/>
      <c r="CU530" s="5"/>
    </row>
    <row r="531" spans="1:99">
      <c r="A531" s="5">
        <v>18029414524</v>
      </c>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t="s">
        <v>113</v>
      </c>
      <c r="CM531" s="5"/>
      <c r="CN531" s="5"/>
      <c r="CO531" s="5"/>
      <c r="CP531" s="5"/>
      <c r="CQ531" s="5"/>
      <c r="CR531" s="5"/>
      <c r="CS531" s="5"/>
      <c r="CT531" s="5"/>
      <c r="CU531" s="5"/>
    </row>
    <row r="532" spans="1:99">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row>
    <row r="533" spans="1:99">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row>
    <row r="534" spans="1:99">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row>
    <row r="535" spans="1:99">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row>
    <row r="536" spans="1:99">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row>
    <row r="537" spans="1:99">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row>
    <row r="538" spans="1:99">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row>
    <row r="539" spans="1:9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row>
    <row r="540" spans="1:99">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row>
    <row r="541" spans="1:99">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row>
    <row r="542" spans="1:99">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row>
    <row r="543" spans="1:99">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row>
    <row r="544" spans="1:99">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row>
    <row r="545" spans="1:99">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row>
    <row r="546" spans="1:99">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row>
    <row r="547" spans="1:99">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row>
    <row r="548" spans="1:99">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row>
    <row r="549" spans="1:9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row>
    <row r="550" spans="1:99">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row>
    <row r="551" spans="1:99">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row>
    <row r="552" spans="1:99">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row>
    <row r="553" spans="1:99">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row>
    <row r="554" spans="1:99">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row>
    <row r="555" spans="1:99">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row>
    <row r="556" spans="1:99">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row>
    <row r="557" spans="1:99">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row>
    <row r="558" spans="1:99">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row>
    <row r="559" spans="1:9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row>
    <row r="560" spans="1:99">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row>
    <row r="561" spans="1:99">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row>
    <row r="562" spans="1:99">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row>
    <row r="563" spans="1:99">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row>
    <row r="564" spans="1:99">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row>
    <row r="565" spans="1:99">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row>
    <row r="566" spans="1:99">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row>
    <row r="567" spans="1:99">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row>
    <row r="568" spans="1:99">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row>
    <row r="569" spans="1:9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row>
    <row r="570" spans="1:99">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row>
    <row r="571" spans="1:99">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row>
    <row r="572" spans="1:99">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row>
    <row r="573" spans="1:99">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row>
    <row r="574" spans="1:99">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row>
    <row r="575" spans="1:99">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row>
    <row r="576" spans="1:99">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row>
    <row r="577" spans="1:99">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row>
    <row r="578" spans="1:99">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row>
    <row r="579" spans="1:9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row>
    <row r="580" spans="1:99">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row>
    <row r="581" spans="1:99">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row>
    <row r="582" spans="1:99">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row>
    <row r="583" spans="1:99">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row>
    <row r="584" spans="1:99">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row>
    <row r="585" spans="1:99">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row>
    <row r="586" spans="1:99">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row>
    <row r="587" spans="1:99">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c r="BT587" s="5"/>
      <c r="BU587" s="5"/>
      <c r="BV587" s="5"/>
      <c r="BW587" s="5"/>
      <c r="BX587" s="5"/>
      <c r="BY587" s="5"/>
      <c r="BZ587" s="5"/>
      <c r="CA587" s="5"/>
      <c r="CB587" s="5"/>
      <c r="CC587" s="5"/>
      <c r="CD587" s="5"/>
      <c r="CE587" s="5"/>
      <c r="CF587" s="5"/>
      <c r="CG587" s="5"/>
      <c r="CH587" s="5"/>
      <c r="CI587" s="5"/>
      <c r="CJ587" s="5"/>
      <c r="CK587" s="5"/>
      <c r="CL587" s="5"/>
      <c r="CM587" s="5"/>
      <c r="CN587" s="5"/>
      <c r="CO587" s="5"/>
      <c r="CP587" s="5"/>
      <c r="CQ587" s="5"/>
      <c r="CR587" s="5"/>
      <c r="CS587" s="5"/>
      <c r="CT587" s="5"/>
      <c r="CU587" s="5"/>
    </row>
    <row r="588" spans="1:99">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row>
    <row r="589" spans="1:9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row>
    <row r="590" spans="1:99">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c r="CS590" s="5"/>
      <c r="CT590" s="5"/>
      <c r="CU590" s="5"/>
    </row>
    <row r="591" spans="1:99">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row>
    <row r="592" spans="1:99">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row>
    <row r="593" spans="1:99">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row>
    <row r="594" spans="1:99">
      <c r="A594" s="107"/>
      <c r="B594" s="107"/>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c r="Z594" s="107"/>
      <c r="AA594" s="107"/>
      <c r="AB594" s="107"/>
      <c r="AC594" s="107"/>
      <c r="AD594" s="107"/>
      <c r="AE594" s="107"/>
      <c r="AF594" s="107"/>
      <c r="AG594" s="107"/>
      <c r="AH594" s="107"/>
      <c r="AI594" s="107"/>
      <c r="AJ594" s="107"/>
      <c r="AK594" s="107"/>
      <c r="AL594" s="107"/>
      <c r="AM594" s="107"/>
      <c r="AN594" s="107"/>
      <c r="AO594" s="107"/>
      <c r="AP594" s="107"/>
      <c r="AQ594" s="107"/>
      <c r="AR594" s="107"/>
      <c r="AS594" s="107"/>
      <c r="AT594" s="107"/>
      <c r="AU594" s="107"/>
      <c r="AV594" s="107"/>
      <c r="AW594" s="107"/>
      <c r="AX594" s="107"/>
      <c r="AY594" s="107"/>
      <c r="AZ594" s="107"/>
      <c r="BA594" s="107"/>
      <c r="BB594" s="107"/>
      <c r="BC594" s="107"/>
      <c r="BD594" s="107"/>
      <c r="BE594" s="107"/>
      <c r="BF594" s="107"/>
      <c r="BG594" s="107"/>
      <c r="BH594" s="107"/>
      <c r="BI594" s="107"/>
      <c r="BJ594" s="107"/>
      <c r="BK594" s="107"/>
      <c r="BL594" s="107"/>
      <c r="BM594" s="107"/>
      <c r="BN594" s="107"/>
      <c r="BO594" s="107"/>
      <c r="BP594" s="107"/>
      <c r="BQ594" s="107"/>
      <c r="BR594" s="107"/>
      <c r="BS594" s="107"/>
      <c r="BT594" s="107"/>
      <c r="BU594" s="107"/>
      <c r="BV594" s="107"/>
      <c r="BW594" s="107"/>
      <c r="BX594" s="107"/>
      <c r="BY594" s="107"/>
      <c r="BZ594" s="107"/>
      <c r="CA594" s="107"/>
      <c r="CB594" s="107"/>
      <c r="CC594" s="107"/>
      <c r="CD594" s="107"/>
      <c r="CE594" s="107"/>
      <c r="CF594" s="107"/>
      <c r="CG594" s="107"/>
      <c r="CH594" s="107"/>
      <c r="CI594" s="107"/>
      <c r="CJ594" s="107"/>
      <c r="CK594" s="107"/>
      <c r="CL594" s="107"/>
      <c r="CM594" s="107"/>
      <c r="CN594" s="107"/>
      <c r="CO594" s="107"/>
      <c r="CP594" s="107"/>
      <c r="CQ594" s="107"/>
      <c r="CR594" s="107"/>
      <c r="CS594" s="107"/>
      <c r="CT594" s="107"/>
      <c r="CU594" s="107"/>
    </row>
    <row r="595" spans="1:99">
      <c r="A595" s="107"/>
      <c r="B595" s="107"/>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c r="Z595" s="107"/>
      <c r="AA595" s="107"/>
      <c r="AB595" s="107"/>
      <c r="AC595" s="107"/>
      <c r="AD595" s="107"/>
      <c r="AE595" s="107"/>
      <c r="AF595" s="107"/>
      <c r="AG595" s="107"/>
      <c r="AH595" s="107"/>
      <c r="AI595" s="107"/>
      <c r="AJ595" s="107"/>
      <c r="AK595" s="107"/>
      <c r="AL595" s="107"/>
      <c r="AM595" s="107"/>
      <c r="AN595" s="107"/>
      <c r="AO595" s="107"/>
      <c r="AP595" s="107"/>
      <c r="AQ595" s="107"/>
      <c r="AR595" s="107"/>
      <c r="AS595" s="107"/>
      <c r="AT595" s="107"/>
      <c r="AU595" s="107"/>
      <c r="AV595" s="107"/>
      <c r="AW595" s="107"/>
      <c r="AX595" s="107"/>
      <c r="AY595" s="107"/>
      <c r="AZ595" s="107"/>
      <c r="BA595" s="107"/>
      <c r="BB595" s="107"/>
      <c r="BC595" s="107"/>
      <c r="BD595" s="107"/>
      <c r="BE595" s="107"/>
      <c r="BF595" s="107"/>
      <c r="BG595" s="107"/>
      <c r="BH595" s="107"/>
      <c r="BI595" s="107"/>
      <c r="BJ595" s="107"/>
      <c r="BK595" s="107"/>
      <c r="BL595" s="107"/>
      <c r="BM595" s="107"/>
      <c r="BN595" s="107"/>
      <c r="BO595" s="107"/>
      <c r="BP595" s="107"/>
      <c r="BQ595" s="107"/>
      <c r="BR595" s="107"/>
      <c r="BS595" s="107"/>
      <c r="BT595" s="107"/>
      <c r="BU595" s="107"/>
      <c r="BV595" s="107"/>
      <c r="BW595" s="107"/>
      <c r="BX595" s="107"/>
      <c r="BY595" s="107"/>
      <c r="BZ595" s="107"/>
      <c r="CA595" s="107"/>
      <c r="CB595" s="107"/>
      <c r="CC595" s="107"/>
      <c r="CD595" s="107"/>
      <c r="CE595" s="107"/>
      <c r="CF595" s="107"/>
      <c r="CG595" s="107"/>
      <c r="CH595" s="107"/>
      <c r="CI595" s="107"/>
      <c r="CJ595" s="107"/>
      <c r="CK595" s="107"/>
      <c r="CL595" s="107"/>
      <c r="CM595" s="107"/>
      <c r="CN595" s="107"/>
      <c r="CO595" s="107"/>
      <c r="CP595" s="107"/>
      <c r="CQ595" s="107"/>
      <c r="CR595" s="107"/>
      <c r="CS595" s="107"/>
      <c r="CT595" s="107"/>
      <c r="CU595" s="107"/>
    </row>
    <row r="596" spans="1:99">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row>
    <row r="597" spans="1:99">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row>
    <row r="598" spans="1:99">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c r="BT598" s="5"/>
      <c r="BU598" s="5"/>
      <c r="BV598" s="5"/>
      <c r="BW598" s="5"/>
      <c r="BX598" s="5"/>
      <c r="BY598" s="5"/>
      <c r="BZ598" s="5"/>
      <c r="CA598" s="5"/>
      <c r="CB598" s="5"/>
      <c r="CC598" s="5"/>
      <c r="CD598" s="5"/>
      <c r="CE598" s="5"/>
      <c r="CF598" s="5"/>
      <c r="CG598" s="5"/>
      <c r="CH598" s="5"/>
      <c r="CI598" s="5"/>
      <c r="CJ598" s="5"/>
      <c r="CK598" s="5"/>
      <c r="CL598" s="5"/>
      <c r="CM598" s="5"/>
      <c r="CN598" s="5"/>
      <c r="CO598" s="5"/>
      <c r="CP598" s="5"/>
      <c r="CQ598" s="5"/>
      <c r="CR598" s="5"/>
      <c r="CS598" s="5"/>
      <c r="CT598" s="5"/>
      <c r="CU598" s="5"/>
    </row>
    <row r="599" spans="1: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c r="BT599" s="5"/>
      <c r="BU599" s="5"/>
      <c r="BV599" s="5"/>
      <c r="BW599" s="5"/>
      <c r="BX599" s="5"/>
      <c r="BY599" s="5"/>
      <c r="BZ599" s="5"/>
      <c r="CA599" s="5"/>
      <c r="CB599" s="5"/>
      <c r="CC599" s="5"/>
      <c r="CD599" s="5"/>
      <c r="CE599" s="5"/>
      <c r="CF599" s="5"/>
      <c r="CG599" s="5"/>
      <c r="CH599" s="5"/>
      <c r="CI599" s="5"/>
      <c r="CJ599" s="5"/>
      <c r="CK599" s="5"/>
      <c r="CL599" s="5"/>
      <c r="CM599" s="5"/>
      <c r="CN599" s="5"/>
      <c r="CO599" s="5"/>
      <c r="CP599" s="5"/>
      <c r="CQ599" s="5"/>
      <c r="CR599" s="5"/>
      <c r="CS599" s="5"/>
      <c r="CT599" s="5"/>
      <c r="CU599" s="5"/>
    </row>
    <row r="600" spans="1:99">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row>
    <row r="601" spans="1:99">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row>
    <row r="602" spans="1:99">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row>
    <row r="603" spans="1:99">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row>
    <row r="604" spans="1:99">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c r="BT604" s="5"/>
      <c r="BU604" s="5"/>
      <c r="BV604" s="5"/>
      <c r="BW604" s="5"/>
      <c r="BX604" s="5"/>
      <c r="BY604" s="5"/>
      <c r="BZ604" s="5"/>
      <c r="CA604" s="5"/>
      <c r="CB604" s="5"/>
      <c r="CC604" s="5"/>
      <c r="CD604" s="5"/>
      <c r="CE604" s="5"/>
      <c r="CF604" s="5"/>
      <c r="CG604" s="5"/>
      <c r="CH604" s="5"/>
      <c r="CI604" s="5"/>
      <c r="CJ604" s="5"/>
      <c r="CK604" s="5"/>
      <c r="CL604" s="5"/>
      <c r="CM604" s="5"/>
      <c r="CN604" s="5"/>
      <c r="CO604" s="5"/>
      <c r="CP604" s="5"/>
      <c r="CQ604" s="5"/>
      <c r="CR604" s="5"/>
      <c r="CS604" s="5"/>
      <c r="CT604" s="5"/>
      <c r="CU604" s="5"/>
    </row>
    <row r="605" spans="1:99">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c r="BT605" s="5"/>
      <c r="BU605" s="5"/>
      <c r="BV605" s="5"/>
      <c r="BW605" s="5"/>
      <c r="BX605" s="5"/>
      <c r="BY605" s="5"/>
      <c r="BZ605" s="5"/>
      <c r="CA605" s="5"/>
      <c r="CB605" s="5"/>
      <c r="CC605" s="5"/>
      <c r="CD605" s="5"/>
      <c r="CE605" s="5"/>
      <c r="CF605" s="5"/>
      <c r="CG605" s="5"/>
      <c r="CH605" s="5"/>
      <c r="CI605" s="5"/>
      <c r="CJ605" s="5"/>
      <c r="CK605" s="5"/>
      <c r="CL605" s="5"/>
      <c r="CM605" s="5"/>
      <c r="CN605" s="5"/>
      <c r="CO605" s="5"/>
      <c r="CP605" s="5"/>
      <c r="CQ605" s="5"/>
      <c r="CR605" s="5"/>
      <c r="CS605" s="5"/>
      <c r="CT605" s="5"/>
      <c r="CU605" s="5"/>
    </row>
    <row r="606" spans="1:99">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row>
    <row r="607" spans="1:99">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row>
    <row r="608" spans="1:99">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row>
    <row r="609" spans="1:9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row>
    <row r="610" spans="1:99">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row>
    <row r="611" spans="1:99">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c r="BU611" s="5"/>
      <c r="BV611" s="5"/>
      <c r="BW611" s="5"/>
      <c r="BX611" s="5"/>
      <c r="BY611" s="5"/>
      <c r="BZ611" s="5"/>
      <c r="CA611" s="5"/>
      <c r="CB611" s="5"/>
      <c r="CC611" s="5"/>
      <c r="CD611" s="5"/>
      <c r="CE611" s="5"/>
      <c r="CF611" s="5"/>
      <c r="CG611" s="5"/>
      <c r="CH611" s="5"/>
      <c r="CI611" s="5"/>
      <c r="CJ611" s="5"/>
      <c r="CK611" s="5"/>
      <c r="CL611" s="5"/>
      <c r="CM611" s="5"/>
      <c r="CN611" s="5"/>
      <c r="CO611" s="5"/>
      <c r="CP611" s="5"/>
      <c r="CQ611" s="5"/>
      <c r="CR611" s="5"/>
      <c r="CS611" s="5"/>
      <c r="CT611" s="5"/>
      <c r="CU611" s="5"/>
    </row>
    <row r="612" spans="1:99">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5"/>
      <c r="CR612" s="5"/>
      <c r="CS612" s="5"/>
      <c r="CT612" s="5"/>
      <c r="CU612" s="5"/>
    </row>
    <row r="613" spans="1:99">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row>
    <row r="614" spans="1:99">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row>
    <row r="615" spans="1:99">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row>
    <row r="616" spans="1:99">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c r="BT616" s="5"/>
      <c r="BU616" s="5"/>
      <c r="BV616" s="5"/>
      <c r="BW616" s="5"/>
      <c r="BX616" s="5"/>
      <c r="BY616" s="5"/>
      <c r="BZ616" s="5"/>
      <c r="CA616" s="5"/>
      <c r="CB616" s="5"/>
      <c r="CC616" s="5"/>
      <c r="CD616" s="5"/>
      <c r="CE616" s="5"/>
      <c r="CF616" s="5"/>
      <c r="CG616" s="5"/>
      <c r="CH616" s="5"/>
      <c r="CI616" s="5"/>
      <c r="CJ616" s="5"/>
      <c r="CK616" s="5"/>
      <c r="CL616" s="5"/>
      <c r="CM616" s="5"/>
      <c r="CN616" s="5"/>
      <c r="CO616" s="5"/>
      <c r="CP616" s="5"/>
      <c r="CQ616" s="5"/>
      <c r="CR616" s="5"/>
      <c r="CS616" s="5"/>
      <c r="CT616" s="5"/>
      <c r="CU616" s="5"/>
    </row>
    <row r="617" spans="1:99">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5"/>
      <c r="CN617" s="5"/>
      <c r="CO617" s="5"/>
      <c r="CP617" s="5"/>
      <c r="CQ617" s="5"/>
      <c r="CR617" s="5"/>
      <c r="CS617" s="5"/>
      <c r="CT617" s="5"/>
      <c r="CU617" s="5"/>
    </row>
    <row r="618" spans="1:99">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c r="BT618" s="5"/>
      <c r="BU618" s="5"/>
      <c r="BV618" s="5"/>
      <c r="BW618" s="5"/>
      <c r="BX618" s="5"/>
      <c r="BY618" s="5"/>
      <c r="BZ618" s="5"/>
      <c r="CA618" s="5"/>
      <c r="CB618" s="5"/>
      <c r="CC618" s="5"/>
      <c r="CD618" s="5"/>
      <c r="CE618" s="5"/>
      <c r="CF618" s="5"/>
      <c r="CG618" s="5"/>
      <c r="CH618" s="5"/>
      <c r="CI618" s="5"/>
      <c r="CJ618" s="5"/>
      <c r="CK618" s="5"/>
      <c r="CL618" s="5"/>
      <c r="CM618" s="5"/>
      <c r="CN618" s="5"/>
      <c r="CO618" s="5"/>
      <c r="CP618" s="5"/>
      <c r="CQ618" s="5"/>
      <c r="CR618" s="5"/>
      <c r="CS618" s="5"/>
      <c r="CT618" s="5"/>
      <c r="CU618" s="5"/>
    </row>
    <row r="619" spans="1:9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c r="CS619" s="5"/>
      <c r="CT619" s="5"/>
      <c r="CU619" s="5"/>
    </row>
    <row r="620" spans="1:99">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c r="BT620" s="5"/>
      <c r="BU620" s="5"/>
      <c r="BV620" s="5"/>
      <c r="BW620" s="5"/>
      <c r="BX620" s="5"/>
      <c r="BY620" s="5"/>
      <c r="BZ620" s="5"/>
      <c r="CA620" s="5"/>
      <c r="CB620" s="5"/>
      <c r="CC620" s="5"/>
      <c r="CD620" s="5"/>
      <c r="CE620" s="5"/>
      <c r="CF620" s="5"/>
      <c r="CG620" s="5"/>
      <c r="CH620" s="5"/>
      <c r="CI620" s="5"/>
      <c r="CJ620" s="5"/>
      <c r="CK620" s="5"/>
      <c r="CL620" s="5"/>
      <c r="CM620" s="5"/>
      <c r="CN620" s="5"/>
      <c r="CO620" s="5"/>
      <c r="CP620" s="5"/>
      <c r="CQ620" s="5"/>
      <c r="CR620" s="5"/>
      <c r="CS620" s="5"/>
      <c r="CT620" s="5"/>
      <c r="CU620" s="5"/>
    </row>
    <row r="621" spans="1:99">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row>
    <row r="622" spans="1:99">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c r="BT622" s="5"/>
      <c r="BU622" s="5"/>
      <c r="BV622" s="5"/>
      <c r="BW622" s="5"/>
      <c r="BX622" s="5"/>
      <c r="BY622" s="5"/>
      <c r="BZ622" s="5"/>
      <c r="CA622" s="5"/>
      <c r="CB622" s="5"/>
      <c r="CC622" s="5"/>
      <c r="CD622" s="5"/>
      <c r="CE622" s="5"/>
      <c r="CF622" s="5"/>
      <c r="CG622" s="5"/>
      <c r="CH622" s="5"/>
      <c r="CI622" s="5"/>
      <c r="CJ622" s="5"/>
      <c r="CK622" s="5"/>
      <c r="CL622" s="5"/>
      <c r="CM622" s="5"/>
      <c r="CN622" s="5"/>
      <c r="CO622" s="5"/>
      <c r="CP622" s="5"/>
      <c r="CQ622" s="5"/>
      <c r="CR622" s="5"/>
      <c r="CS622" s="5"/>
      <c r="CT622" s="5"/>
      <c r="CU622" s="5"/>
    </row>
    <row r="623" spans="1:99">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row>
    <row r="624" spans="1:99">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c r="CA624" s="5"/>
      <c r="CB624" s="5"/>
      <c r="CC624" s="5"/>
      <c r="CD624" s="5"/>
      <c r="CE624" s="5"/>
      <c r="CF624" s="5"/>
      <c r="CG624" s="5"/>
      <c r="CH624" s="5"/>
      <c r="CI624" s="5"/>
      <c r="CJ624" s="5"/>
      <c r="CK624" s="5"/>
      <c r="CL624" s="5"/>
      <c r="CM624" s="5"/>
      <c r="CN624" s="5"/>
      <c r="CO624" s="5"/>
      <c r="CP624" s="5"/>
      <c r="CQ624" s="5"/>
      <c r="CR624" s="5"/>
      <c r="CS624" s="5"/>
      <c r="CT624" s="5"/>
      <c r="CU624" s="5"/>
    </row>
    <row r="625" spans="1:99">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c r="BT625" s="5"/>
      <c r="BU625" s="5"/>
      <c r="BV625" s="5"/>
      <c r="BW625" s="5"/>
      <c r="BX625" s="5"/>
      <c r="BY625" s="5"/>
      <c r="BZ625" s="5"/>
      <c r="CA625" s="5"/>
      <c r="CB625" s="5"/>
      <c r="CC625" s="5"/>
      <c r="CD625" s="5"/>
      <c r="CE625" s="5"/>
      <c r="CF625" s="5"/>
      <c r="CG625" s="5"/>
      <c r="CH625" s="5"/>
      <c r="CI625" s="5"/>
      <c r="CJ625" s="5"/>
      <c r="CK625" s="5"/>
      <c r="CL625" s="5"/>
      <c r="CM625" s="5"/>
      <c r="CN625" s="5"/>
      <c r="CO625" s="5"/>
      <c r="CP625" s="5"/>
      <c r="CQ625" s="5"/>
      <c r="CR625" s="5"/>
      <c r="CS625" s="5"/>
      <c r="CT625" s="5"/>
      <c r="CU625" s="5"/>
    </row>
    <row r="626" spans="1:99">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c r="BT626" s="5"/>
      <c r="BU626" s="5"/>
      <c r="BV626" s="5"/>
      <c r="BW626" s="5"/>
      <c r="BX626" s="5"/>
      <c r="BY626" s="5"/>
      <c r="BZ626" s="5"/>
      <c r="CA626" s="5"/>
      <c r="CB626" s="5"/>
      <c r="CC626" s="5"/>
      <c r="CD626" s="5"/>
      <c r="CE626" s="5"/>
      <c r="CF626" s="5"/>
      <c r="CG626" s="5"/>
      <c r="CH626" s="5"/>
      <c r="CI626" s="5"/>
      <c r="CJ626" s="5"/>
      <c r="CK626" s="5"/>
      <c r="CL626" s="5"/>
      <c r="CM626" s="5"/>
      <c r="CN626" s="5"/>
      <c r="CO626" s="5"/>
      <c r="CP626" s="5"/>
      <c r="CQ626" s="5"/>
      <c r="CR626" s="5"/>
      <c r="CS626" s="5"/>
      <c r="CT626" s="5"/>
      <c r="CU626" s="5"/>
    </row>
    <row r="627" spans="1:99">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c r="BT627" s="5"/>
      <c r="BU627" s="5"/>
      <c r="BV627" s="5"/>
      <c r="BW627" s="5"/>
      <c r="BX627" s="5"/>
      <c r="BY627" s="5"/>
      <c r="BZ627" s="5"/>
      <c r="CA627" s="5"/>
      <c r="CB627" s="5"/>
      <c r="CC627" s="5"/>
      <c r="CD627" s="5"/>
      <c r="CE627" s="5"/>
      <c r="CF627" s="5"/>
      <c r="CG627" s="5"/>
      <c r="CH627" s="5"/>
      <c r="CI627" s="5"/>
      <c r="CJ627" s="5"/>
      <c r="CK627" s="5"/>
      <c r="CL627" s="5"/>
      <c r="CM627" s="5"/>
      <c r="CN627" s="5"/>
      <c r="CO627" s="5"/>
      <c r="CP627" s="5"/>
      <c r="CQ627" s="5"/>
      <c r="CR627" s="5"/>
      <c r="CS627" s="5"/>
      <c r="CT627" s="5"/>
      <c r="CU627" s="5"/>
    </row>
    <row r="628" spans="1:99">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c r="BT628" s="5"/>
      <c r="BU628" s="5"/>
      <c r="BV628" s="5"/>
      <c r="BW628" s="5"/>
      <c r="BX628" s="5"/>
      <c r="BY628" s="5"/>
      <c r="BZ628" s="5"/>
      <c r="CA628" s="5"/>
      <c r="CB628" s="5"/>
      <c r="CC628" s="5"/>
      <c r="CD628" s="5"/>
      <c r="CE628" s="5"/>
      <c r="CF628" s="5"/>
      <c r="CG628" s="5"/>
      <c r="CH628" s="5"/>
      <c r="CI628" s="5"/>
      <c r="CJ628" s="5"/>
      <c r="CK628" s="5"/>
      <c r="CL628" s="5"/>
      <c r="CM628" s="5"/>
      <c r="CN628" s="5"/>
      <c r="CO628" s="5"/>
      <c r="CP628" s="5"/>
      <c r="CQ628" s="5"/>
      <c r="CR628" s="5"/>
      <c r="CS628" s="5"/>
      <c r="CT628" s="5"/>
      <c r="CU628" s="5"/>
    </row>
    <row r="629" spans="1:9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5"/>
      <c r="CN629" s="5"/>
      <c r="CO629" s="5"/>
      <c r="CP629" s="5"/>
      <c r="CQ629" s="5"/>
      <c r="CR629" s="5"/>
      <c r="CS629" s="5"/>
      <c r="CT629" s="5"/>
      <c r="CU629" s="5"/>
    </row>
    <row r="630" spans="1:99">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c r="CS630" s="5"/>
      <c r="CT630" s="5"/>
      <c r="CU630" s="5"/>
    </row>
    <row r="631" spans="1:99">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c r="BT631" s="5"/>
      <c r="BU631" s="5"/>
      <c r="BV631" s="5"/>
      <c r="BW631" s="5"/>
      <c r="BX631" s="5"/>
      <c r="BY631" s="5"/>
      <c r="BZ631" s="5"/>
      <c r="CA631" s="5"/>
      <c r="CB631" s="5"/>
      <c r="CC631" s="5"/>
      <c r="CD631" s="5"/>
      <c r="CE631" s="5"/>
      <c r="CF631" s="5"/>
      <c r="CG631" s="5"/>
      <c r="CH631" s="5"/>
      <c r="CI631" s="5"/>
      <c r="CJ631" s="5"/>
      <c r="CK631" s="5"/>
      <c r="CL631" s="5"/>
      <c r="CM631" s="5"/>
      <c r="CN631" s="5"/>
      <c r="CO631" s="5"/>
      <c r="CP631" s="5"/>
      <c r="CQ631" s="5"/>
      <c r="CR631" s="5"/>
      <c r="CS631" s="5"/>
      <c r="CT631" s="5"/>
      <c r="CU631" s="5"/>
    </row>
    <row r="632" spans="1:99">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c r="CA632" s="5"/>
      <c r="CB632" s="5"/>
      <c r="CC632" s="5"/>
      <c r="CD632" s="5"/>
      <c r="CE632" s="5"/>
      <c r="CF632" s="5"/>
      <c r="CG632" s="5"/>
      <c r="CH632" s="5"/>
      <c r="CI632" s="5"/>
      <c r="CJ632" s="5"/>
      <c r="CK632" s="5"/>
      <c r="CL632" s="5"/>
      <c r="CM632" s="5"/>
      <c r="CN632" s="5"/>
      <c r="CO632" s="5"/>
      <c r="CP632" s="5"/>
      <c r="CQ632" s="5"/>
      <c r="CR632" s="5"/>
      <c r="CS632" s="5"/>
      <c r="CT632" s="5"/>
      <c r="CU632" s="5"/>
    </row>
    <row r="633" spans="1:99">
      <c r="A633" s="107"/>
      <c r="B633" s="107"/>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7"/>
      <c r="AA633" s="107"/>
      <c r="AB633" s="107"/>
      <c r="AC633" s="107"/>
      <c r="AD633" s="107"/>
      <c r="AE633" s="107"/>
      <c r="AF633" s="107"/>
      <c r="AG633" s="107"/>
      <c r="AH633" s="107"/>
      <c r="AI633" s="107"/>
      <c r="AJ633" s="107"/>
      <c r="AK633" s="107"/>
      <c r="AL633" s="107"/>
      <c r="AM633" s="107"/>
      <c r="AN633" s="107"/>
      <c r="AO633" s="107"/>
      <c r="AP633" s="107"/>
      <c r="AQ633" s="107"/>
      <c r="AR633" s="107"/>
      <c r="AS633" s="107"/>
      <c r="AT633" s="107"/>
      <c r="AU633" s="107"/>
      <c r="AV633" s="107"/>
      <c r="AW633" s="107"/>
      <c r="AX633" s="107"/>
      <c r="AY633" s="107"/>
      <c r="AZ633" s="107"/>
      <c r="BA633" s="107"/>
      <c r="BB633" s="107"/>
      <c r="BC633" s="107"/>
      <c r="BD633" s="107"/>
      <c r="BE633" s="107"/>
      <c r="BF633" s="107"/>
      <c r="BG633" s="107"/>
      <c r="BH633" s="107"/>
      <c r="BI633" s="107"/>
      <c r="BJ633" s="107"/>
      <c r="BK633" s="107"/>
      <c r="BL633" s="107"/>
      <c r="BM633" s="107"/>
      <c r="BN633" s="107"/>
      <c r="BO633" s="107"/>
      <c r="BP633" s="107"/>
      <c r="BQ633" s="107"/>
      <c r="BR633" s="107"/>
      <c r="BS633" s="107"/>
      <c r="BT633" s="107"/>
      <c r="BU633" s="107"/>
      <c r="BV633" s="107"/>
      <c r="BW633" s="107"/>
      <c r="BX633" s="107"/>
      <c r="BY633" s="107"/>
      <c r="BZ633" s="107"/>
      <c r="CA633" s="107"/>
      <c r="CB633" s="107"/>
      <c r="CC633" s="107"/>
      <c r="CD633" s="107"/>
      <c r="CE633" s="107"/>
      <c r="CF633" s="107"/>
      <c r="CG633" s="107"/>
      <c r="CH633" s="107"/>
      <c r="CI633" s="107"/>
      <c r="CJ633" s="107"/>
      <c r="CK633" s="107"/>
      <c r="CL633" s="107"/>
      <c r="CM633" s="107"/>
      <c r="CN633" s="107"/>
      <c r="CO633" s="107"/>
      <c r="CP633" s="107"/>
      <c r="CQ633" s="107"/>
      <c r="CR633" s="107"/>
      <c r="CS633" s="107"/>
      <c r="CT633" s="107"/>
      <c r="CU633" s="107"/>
    </row>
    <row r="634" spans="1:99">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row>
    <row r="635" spans="1:99">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c r="BT635" s="5"/>
      <c r="BU635" s="5"/>
      <c r="BV635" s="5"/>
      <c r="BW635" s="5"/>
      <c r="BX635" s="5"/>
      <c r="BY635" s="5"/>
      <c r="BZ635" s="5"/>
      <c r="CA635" s="5"/>
      <c r="CB635" s="5"/>
      <c r="CC635" s="5"/>
      <c r="CD635" s="5"/>
      <c r="CE635" s="5"/>
      <c r="CF635" s="5"/>
      <c r="CG635" s="5"/>
      <c r="CH635" s="5"/>
      <c r="CI635" s="5"/>
      <c r="CJ635" s="5"/>
      <c r="CK635" s="5"/>
      <c r="CL635" s="5"/>
      <c r="CM635" s="5"/>
      <c r="CN635" s="5"/>
      <c r="CO635" s="5"/>
      <c r="CP635" s="5"/>
      <c r="CQ635" s="5"/>
      <c r="CR635" s="5"/>
      <c r="CS635" s="5"/>
      <c r="CT635" s="5"/>
      <c r="CU635" s="5"/>
    </row>
    <row r="636" spans="1:99">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c r="BU636" s="5"/>
      <c r="BV636" s="5"/>
      <c r="BW636" s="5"/>
      <c r="BX636" s="5"/>
      <c r="BY636" s="5"/>
      <c r="BZ636" s="5"/>
      <c r="CA636" s="5"/>
      <c r="CB636" s="5"/>
      <c r="CC636" s="5"/>
      <c r="CD636" s="5"/>
      <c r="CE636" s="5"/>
      <c r="CF636" s="5"/>
      <c r="CG636" s="5"/>
      <c r="CH636" s="5"/>
      <c r="CI636" s="5"/>
      <c r="CJ636" s="5"/>
      <c r="CK636" s="5"/>
      <c r="CL636" s="5"/>
      <c r="CM636" s="5"/>
      <c r="CN636" s="5"/>
      <c r="CO636" s="5"/>
      <c r="CP636" s="5"/>
      <c r="CQ636" s="5"/>
      <c r="CR636" s="5"/>
      <c r="CS636" s="5"/>
      <c r="CT636" s="5"/>
      <c r="CU636" s="5"/>
    </row>
    <row r="637" spans="1:99">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c r="BT637" s="5"/>
      <c r="BU637" s="5"/>
      <c r="BV637" s="5"/>
      <c r="BW637" s="5"/>
      <c r="BX637" s="5"/>
      <c r="BY637" s="5"/>
      <c r="BZ637" s="5"/>
      <c r="CA637" s="5"/>
      <c r="CB637" s="5"/>
      <c r="CC637" s="5"/>
      <c r="CD637" s="5"/>
      <c r="CE637" s="5"/>
      <c r="CF637" s="5"/>
      <c r="CG637" s="5"/>
      <c r="CH637" s="5"/>
      <c r="CI637" s="5"/>
      <c r="CJ637" s="5"/>
      <c r="CK637" s="5"/>
      <c r="CL637" s="5"/>
      <c r="CM637" s="5"/>
      <c r="CN637" s="5"/>
      <c r="CO637" s="5"/>
      <c r="CP637" s="5"/>
      <c r="CQ637" s="5"/>
      <c r="CR637" s="5"/>
      <c r="CS637" s="5"/>
      <c r="CT637" s="5"/>
      <c r="CU637" s="5"/>
    </row>
    <row r="638" spans="1:99">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c r="BT638" s="5"/>
      <c r="BU638" s="5"/>
      <c r="BV638" s="5"/>
      <c r="BW638" s="5"/>
      <c r="BX638" s="5"/>
      <c r="BY638" s="5"/>
      <c r="BZ638" s="5"/>
      <c r="CA638" s="5"/>
      <c r="CB638" s="5"/>
      <c r="CC638" s="5"/>
      <c r="CD638" s="5"/>
      <c r="CE638" s="5"/>
      <c r="CF638" s="5"/>
      <c r="CG638" s="5"/>
      <c r="CH638" s="5"/>
      <c r="CI638" s="5"/>
      <c r="CJ638" s="5"/>
      <c r="CK638" s="5"/>
      <c r="CL638" s="5"/>
      <c r="CM638" s="5"/>
      <c r="CN638" s="5"/>
      <c r="CO638" s="5"/>
      <c r="CP638" s="5"/>
      <c r="CQ638" s="5"/>
      <c r="CR638" s="5"/>
      <c r="CS638" s="5"/>
      <c r="CT638" s="5"/>
      <c r="CU638" s="5"/>
    </row>
    <row r="639" spans="1:9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row>
    <row r="640" spans="1:99">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c r="BT640" s="5"/>
      <c r="BU640" s="5"/>
      <c r="BV640" s="5"/>
      <c r="BW640" s="5"/>
      <c r="BX640" s="5"/>
      <c r="BY640" s="5"/>
      <c r="BZ640" s="5"/>
      <c r="CA640" s="5"/>
      <c r="CB640" s="5"/>
      <c r="CC640" s="5"/>
      <c r="CD640" s="5"/>
      <c r="CE640" s="5"/>
      <c r="CF640" s="5"/>
      <c r="CG640" s="5"/>
      <c r="CH640" s="5"/>
      <c r="CI640" s="5"/>
      <c r="CJ640" s="5"/>
      <c r="CK640" s="5"/>
      <c r="CL640" s="5"/>
      <c r="CM640" s="5"/>
      <c r="CN640" s="5"/>
      <c r="CO640" s="5"/>
      <c r="CP640" s="5"/>
      <c r="CQ640" s="5"/>
      <c r="CR640" s="5"/>
      <c r="CS640" s="5"/>
      <c r="CT640" s="5"/>
      <c r="CU640" s="5"/>
    </row>
    <row r="641" spans="1:99">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row>
    <row r="642" spans="1:99">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row>
    <row r="643" spans="1:99">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c r="CI643" s="5"/>
      <c r="CJ643" s="5"/>
      <c r="CK643" s="5"/>
      <c r="CL643" s="5"/>
      <c r="CM643" s="5"/>
      <c r="CN643" s="5"/>
      <c r="CO643" s="5"/>
      <c r="CP643" s="5"/>
      <c r="CQ643" s="5"/>
      <c r="CR643" s="5"/>
      <c r="CS643" s="5"/>
      <c r="CT643" s="5"/>
      <c r="CU643" s="5"/>
    </row>
    <row r="644" spans="1:99">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c r="BU644" s="5"/>
      <c r="BV644" s="5"/>
      <c r="BW644" s="5"/>
      <c r="BX644" s="5"/>
      <c r="BY644" s="5"/>
      <c r="BZ644" s="5"/>
      <c r="CA644" s="5"/>
      <c r="CB644" s="5"/>
      <c r="CC644" s="5"/>
      <c r="CD644" s="5"/>
      <c r="CE644" s="5"/>
      <c r="CF644" s="5"/>
      <c r="CG644" s="5"/>
      <c r="CH644" s="5"/>
      <c r="CI644" s="5"/>
      <c r="CJ644" s="5"/>
      <c r="CK644" s="5"/>
      <c r="CL644" s="5"/>
      <c r="CM644" s="5"/>
      <c r="CN644" s="5"/>
      <c r="CO644" s="5"/>
      <c r="CP644" s="5"/>
      <c r="CQ644" s="5"/>
      <c r="CR644" s="5"/>
      <c r="CS644" s="5"/>
      <c r="CT644" s="5"/>
      <c r="CU644" s="5"/>
    </row>
    <row r="645" spans="1:99">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5"/>
      <c r="CO645" s="5"/>
      <c r="CP645" s="5"/>
      <c r="CQ645" s="5"/>
      <c r="CR645" s="5"/>
      <c r="CS645" s="5"/>
      <c r="CT645" s="5"/>
      <c r="CU645" s="5"/>
    </row>
    <row r="646" spans="1:99">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c r="BT646" s="5"/>
      <c r="BU646" s="5"/>
      <c r="BV646" s="5"/>
      <c r="BW646" s="5"/>
      <c r="BX646" s="5"/>
      <c r="BY646" s="5"/>
      <c r="BZ646" s="5"/>
      <c r="CA646" s="5"/>
      <c r="CB646" s="5"/>
      <c r="CC646" s="5"/>
      <c r="CD646" s="5"/>
      <c r="CE646" s="5"/>
      <c r="CF646" s="5"/>
      <c r="CG646" s="5"/>
      <c r="CH646" s="5"/>
      <c r="CI646" s="5"/>
      <c r="CJ646" s="5"/>
      <c r="CK646" s="5"/>
      <c r="CL646" s="5"/>
      <c r="CM646" s="5"/>
      <c r="CN646" s="5"/>
      <c r="CO646" s="5"/>
      <c r="CP646" s="5"/>
      <c r="CQ646" s="5"/>
      <c r="CR646" s="5"/>
      <c r="CS646" s="5"/>
      <c r="CT646" s="5"/>
      <c r="CU646" s="5"/>
    </row>
    <row r="647" spans="1:99">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c r="CA647" s="5"/>
      <c r="CB647" s="5"/>
      <c r="CC647" s="5"/>
      <c r="CD647" s="5"/>
      <c r="CE647" s="5"/>
      <c r="CF647" s="5"/>
      <c r="CG647" s="5"/>
      <c r="CH647" s="5"/>
      <c r="CI647" s="5"/>
      <c r="CJ647" s="5"/>
      <c r="CK647" s="5"/>
      <c r="CL647" s="5"/>
      <c r="CM647" s="5"/>
      <c r="CN647" s="5"/>
      <c r="CO647" s="5"/>
      <c r="CP647" s="5"/>
      <c r="CQ647" s="5"/>
      <c r="CR647" s="5"/>
      <c r="CS647" s="5"/>
      <c r="CT647" s="5"/>
      <c r="CU647" s="5"/>
    </row>
    <row r="648" spans="1:99">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row>
    <row r="649" spans="1:9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row>
    <row r="650" spans="1:99">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c r="BT650" s="5"/>
      <c r="BU650" s="5"/>
      <c r="BV650" s="5"/>
      <c r="BW650" s="5"/>
      <c r="BX650" s="5"/>
      <c r="BY650" s="5"/>
      <c r="BZ650" s="5"/>
      <c r="CA650" s="5"/>
      <c r="CB650" s="5"/>
      <c r="CC650" s="5"/>
      <c r="CD650" s="5"/>
      <c r="CE650" s="5"/>
      <c r="CF650" s="5"/>
      <c r="CG650" s="5"/>
      <c r="CH650" s="5"/>
      <c r="CI650" s="5"/>
      <c r="CJ650" s="5"/>
      <c r="CK650" s="5"/>
      <c r="CL650" s="5"/>
      <c r="CM650" s="5"/>
      <c r="CN650" s="5"/>
      <c r="CO650" s="5"/>
      <c r="CP650" s="5"/>
      <c r="CQ650" s="5"/>
      <c r="CR650" s="5"/>
      <c r="CS650" s="5"/>
      <c r="CT650" s="5"/>
      <c r="CU650" s="5"/>
    </row>
    <row r="651" spans="1:99">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row>
    <row r="652" spans="1:99">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row>
    <row r="653" spans="1:99">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c r="BT653" s="5"/>
      <c r="BU653" s="5"/>
      <c r="BV653" s="5"/>
      <c r="BW653" s="5"/>
      <c r="BX653" s="5"/>
      <c r="BY653" s="5"/>
      <c r="BZ653" s="5"/>
      <c r="CA653" s="5"/>
      <c r="CB653" s="5"/>
      <c r="CC653" s="5"/>
      <c r="CD653" s="5"/>
      <c r="CE653" s="5"/>
      <c r="CF653" s="5"/>
      <c r="CG653" s="5"/>
      <c r="CH653" s="5"/>
      <c r="CI653" s="5"/>
      <c r="CJ653" s="5"/>
      <c r="CK653" s="5"/>
      <c r="CL653" s="5"/>
      <c r="CM653" s="5"/>
      <c r="CN653" s="5"/>
      <c r="CO653" s="5"/>
      <c r="CP653" s="5"/>
      <c r="CQ653" s="5"/>
      <c r="CR653" s="5"/>
      <c r="CS653" s="5"/>
      <c r="CT653" s="5"/>
      <c r="CU653" s="5"/>
    </row>
    <row r="654" spans="1:99">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5"/>
      <c r="CH654" s="5"/>
      <c r="CI654" s="5"/>
      <c r="CJ654" s="5"/>
      <c r="CK654" s="5"/>
      <c r="CL654" s="5"/>
      <c r="CM654" s="5"/>
      <c r="CN654" s="5"/>
      <c r="CO654" s="5"/>
      <c r="CP654" s="5"/>
      <c r="CQ654" s="5"/>
      <c r="CR654" s="5"/>
      <c r="CS654" s="5"/>
      <c r="CT654" s="5"/>
      <c r="CU654" s="5"/>
    </row>
    <row r="655" spans="1:99">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row>
    <row r="656" spans="1:99">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row>
    <row r="657" spans="1:99">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row>
    <row r="658" spans="1:99">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c r="BT658" s="5"/>
      <c r="BU658" s="5"/>
      <c r="BV658" s="5"/>
      <c r="BW658" s="5"/>
      <c r="BX658" s="5"/>
      <c r="BY658" s="5"/>
      <c r="BZ658" s="5"/>
      <c r="CA658" s="5"/>
      <c r="CB658" s="5"/>
      <c r="CC658" s="5"/>
      <c r="CD658" s="5"/>
      <c r="CE658" s="5"/>
      <c r="CF658" s="5"/>
      <c r="CG658" s="5"/>
      <c r="CH658" s="5"/>
      <c r="CI658" s="5"/>
      <c r="CJ658" s="5"/>
      <c r="CK658" s="5"/>
      <c r="CL658" s="5"/>
      <c r="CM658" s="5"/>
      <c r="CN658" s="5"/>
      <c r="CO658" s="5"/>
      <c r="CP658" s="5"/>
      <c r="CQ658" s="5"/>
      <c r="CR658" s="5"/>
      <c r="CS658" s="5"/>
      <c r="CT658" s="5"/>
      <c r="CU658" s="5"/>
    </row>
    <row r="659" spans="1:9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c r="BT659" s="5"/>
      <c r="BU659" s="5"/>
      <c r="BV659" s="5"/>
      <c r="BW659" s="5"/>
      <c r="BX659" s="5"/>
      <c r="BY659" s="5"/>
      <c r="BZ659" s="5"/>
      <c r="CA659" s="5"/>
      <c r="CB659" s="5"/>
      <c r="CC659" s="5"/>
      <c r="CD659" s="5"/>
      <c r="CE659" s="5"/>
      <c r="CF659" s="5"/>
      <c r="CG659" s="5"/>
      <c r="CH659" s="5"/>
      <c r="CI659" s="5"/>
      <c r="CJ659" s="5"/>
      <c r="CK659" s="5"/>
      <c r="CL659" s="5"/>
      <c r="CM659" s="5"/>
      <c r="CN659" s="5"/>
      <c r="CO659" s="5"/>
      <c r="CP659" s="5"/>
      <c r="CQ659" s="5"/>
      <c r="CR659" s="5"/>
      <c r="CS659" s="5"/>
      <c r="CT659" s="5"/>
      <c r="CU659" s="5"/>
    </row>
    <row r="660" spans="1:99">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c r="BT660" s="5"/>
      <c r="BU660" s="5"/>
      <c r="BV660" s="5"/>
      <c r="BW660" s="5"/>
      <c r="BX660" s="5"/>
      <c r="BY660" s="5"/>
      <c r="BZ660" s="5"/>
      <c r="CA660" s="5"/>
      <c r="CB660" s="5"/>
      <c r="CC660" s="5"/>
      <c r="CD660" s="5"/>
      <c r="CE660" s="5"/>
      <c r="CF660" s="5"/>
      <c r="CG660" s="5"/>
      <c r="CH660" s="5"/>
      <c r="CI660" s="5"/>
      <c r="CJ660" s="5"/>
      <c r="CK660" s="5"/>
      <c r="CL660" s="5"/>
      <c r="CM660" s="5"/>
      <c r="CN660" s="5"/>
      <c r="CO660" s="5"/>
      <c r="CP660" s="5"/>
      <c r="CQ660" s="5"/>
      <c r="CR660" s="5"/>
      <c r="CS660" s="5"/>
      <c r="CT660" s="5"/>
      <c r="CU660" s="5"/>
    </row>
    <row r="661" spans="1:99">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J661" s="5"/>
      <c r="CK661" s="5"/>
      <c r="CL661" s="5"/>
      <c r="CM661" s="5"/>
      <c r="CN661" s="5"/>
      <c r="CO661" s="5"/>
      <c r="CP661" s="5"/>
      <c r="CQ661" s="5"/>
      <c r="CR661" s="5"/>
      <c r="CS661" s="5"/>
      <c r="CT661" s="5"/>
      <c r="CU661" s="5"/>
    </row>
    <row r="662" spans="1:99">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c r="CF662" s="5"/>
      <c r="CG662" s="5"/>
      <c r="CH662" s="5"/>
      <c r="CI662" s="5"/>
      <c r="CJ662" s="5"/>
      <c r="CK662" s="5"/>
      <c r="CL662" s="5"/>
      <c r="CM662" s="5"/>
      <c r="CN662" s="5"/>
      <c r="CO662" s="5"/>
      <c r="CP662" s="5"/>
      <c r="CQ662" s="5"/>
      <c r="CR662" s="5"/>
      <c r="CS662" s="5"/>
      <c r="CT662" s="5"/>
      <c r="CU662" s="5"/>
    </row>
    <row r="663" spans="1:99">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c r="BU663" s="5"/>
      <c r="BV663" s="5"/>
      <c r="BW663" s="5"/>
      <c r="BX663" s="5"/>
      <c r="BY663" s="5"/>
      <c r="BZ663" s="5"/>
      <c r="CA663" s="5"/>
      <c r="CB663" s="5"/>
      <c r="CC663" s="5"/>
      <c r="CD663" s="5"/>
      <c r="CE663" s="5"/>
      <c r="CF663" s="5"/>
      <c r="CG663" s="5"/>
      <c r="CH663" s="5"/>
      <c r="CI663" s="5"/>
      <c r="CJ663" s="5"/>
      <c r="CK663" s="5"/>
      <c r="CL663" s="5"/>
      <c r="CM663" s="5"/>
      <c r="CN663" s="5"/>
      <c r="CO663" s="5"/>
      <c r="CP663" s="5"/>
      <c r="CQ663" s="5"/>
      <c r="CR663" s="5"/>
      <c r="CS663" s="5"/>
      <c r="CT663" s="5"/>
      <c r="CU663" s="5"/>
    </row>
    <row r="664" spans="1:99">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row>
    <row r="665" spans="1:99">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row>
    <row r="666" spans="1:99">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c r="CS666" s="5"/>
      <c r="CT666" s="5"/>
      <c r="CU666" s="5"/>
    </row>
    <row r="667" spans="1:99">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5"/>
      <c r="CN667" s="5"/>
      <c r="CO667" s="5"/>
      <c r="CP667" s="5"/>
      <c r="CQ667" s="5"/>
      <c r="CR667" s="5"/>
      <c r="CS667" s="5"/>
      <c r="CT667" s="5"/>
      <c r="CU667" s="5"/>
    </row>
    <row r="668" spans="1:99">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row>
    <row r="669" spans="1:9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row>
    <row r="670" spans="1:99">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row>
    <row r="671" spans="1:99">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row>
    <row r="672" spans="1:99">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row>
    <row r="673" spans="1:99">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c r="BU673" s="5"/>
      <c r="BV673" s="5"/>
      <c r="BW673" s="5"/>
      <c r="BX673" s="5"/>
      <c r="BY673" s="5"/>
      <c r="BZ673" s="5"/>
      <c r="CA673" s="5"/>
      <c r="CB673" s="5"/>
      <c r="CC673" s="5"/>
      <c r="CD673" s="5"/>
      <c r="CE673" s="5"/>
      <c r="CF673" s="5"/>
      <c r="CG673" s="5"/>
      <c r="CH673" s="5"/>
      <c r="CI673" s="5"/>
      <c r="CJ673" s="5"/>
      <c r="CK673" s="5"/>
      <c r="CL673" s="5"/>
      <c r="CM673" s="5"/>
      <c r="CN673" s="5"/>
      <c r="CO673" s="5"/>
      <c r="CP673" s="5"/>
      <c r="CQ673" s="5"/>
      <c r="CR673" s="5"/>
      <c r="CS673" s="5"/>
      <c r="CT673" s="5"/>
      <c r="CU673" s="5"/>
    </row>
    <row r="674" spans="1:99">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c r="BT674" s="5"/>
      <c r="BU674" s="5"/>
      <c r="BV674" s="5"/>
      <c r="BW674" s="5"/>
      <c r="BX674" s="5"/>
      <c r="BY674" s="5"/>
      <c r="BZ674" s="5"/>
      <c r="CA674" s="5"/>
      <c r="CB674" s="5"/>
      <c r="CC674" s="5"/>
      <c r="CD674" s="5"/>
      <c r="CE674" s="5"/>
      <c r="CF674" s="5"/>
      <c r="CG674" s="5"/>
      <c r="CH674" s="5"/>
      <c r="CI674" s="5"/>
      <c r="CJ674" s="5"/>
      <c r="CK674" s="5"/>
      <c r="CL674" s="5"/>
      <c r="CM674" s="5"/>
      <c r="CN674" s="5"/>
      <c r="CO674" s="5"/>
      <c r="CP674" s="5"/>
      <c r="CQ674" s="5"/>
      <c r="CR674" s="5"/>
      <c r="CS674" s="5"/>
      <c r="CT674" s="5"/>
      <c r="CU674" s="5"/>
    </row>
    <row r="675" spans="1:99">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row>
    <row r="676" spans="1:99">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row>
    <row r="677" spans="1:99">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row>
    <row r="678" spans="1:99">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row>
    <row r="679" spans="1:9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row>
    <row r="680" spans="1:99">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c r="BU680" s="5"/>
      <c r="BV680" s="5"/>
      <c r="BW680" s="5"/>
      <c r="BX680" s="5"/>
      <c r="BY680" s="5"/>
      <c r="BZ680" s="5"/>
      <c r="CA680" s="5"/>
      <c r="CB680" s="5"/>
      <c r="CC680" s="5"/>
      <c r="CD680" s="5"/>
      <c r="CE680" s="5"/>
      <c r="CF680" s="5"/>
      <c r="CG680" s="5"/>
      <c r="CH680" s="5"/>
      <c r="CI680" s="5"/>
      <c r="CJ680" s="5"/>
      <c r="CK680" s="5"/>
      <c r="CL680" s="5"/>
      <c r="CM680" s="5"/>
      <c r="CN680" s="5"/>
      <c r="CO680" s="5"/>
      <c r="CP680" s="5"/>
      <c r="CQ680" s="5"/>
      <c r="CR680" s="5"/>
      <c r="CS680" s="5"/>
      <c r="CT680" s="5"/>
      <c r="CU680" s="5"/>
    </row>
    <row r="681" spans="1:99">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c r="BU681" s="5"/>
      <c r="BV681" s="5"/>
      <c r="BW681" s="5"/>
      <c r="BX681" s="5"/>
      <c r="BY681" s="5"/>
      <c r="BZ681" s="5"/>
      <c r="CA681" s="5"/>
      <c r="CB681" s="5"/>
      <c r="CC681" s="5"/>
      <c r="CD681" s="5"/>
      <c r="CE681" s="5"/>
      <c r="CF681" s="5"/>
      <c r="CG681" s="5"/>
      <c r="CH681" s="5"/>
      <c r="CI681" s="5"/>
      <c r="CJ681" s="5"/>
      <c r="CK681" s="5"/>
      <c r="CL681" s="5"/>
      <c r="CM681" s="5"/>
      <c r="CN681" s="5"/>
      <c r="CO681" s="5"/>
      <c r="CP681" s="5"/>
      <c r="CQ681" s="5"/>
      <c r="CR681" s="5"/>
      <c r="CS681" s="5"/>
      <c r="CT681" s="5"/>
      <c r="CU681" s="5"/>
    </row>
    <row r="682" spans="1:99">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row>
    <row r="683" spans="1:99">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row>
    <row r="684" spans="1:99">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row>
    <row r="685" spans="1:99">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row>
    <row r="686" spans="1:99">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row>
    <row r="687" spans="1:99">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row>
    <row r="688" spans="1:99">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5"/>
      <c r="CP688" s="5"/>
      <c r="CQ688" s="5"/>
      <c r="CR688" s="5"/>
      <c r="CS688" s="5"/>
      <c r="CT688" s="5"/>
      <c r="CU688" s="5"/>
    </row>
    <row r="689" spans="1:9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c r="BT689" s="5"/>
      <c r="BU689" s="5"/>
      <c r="BV689" s="5"/>
      <c r="BW689" s="5"/>
      <c r="BX689" s="5"/>
      <c r="BY689" s="5"/>
      <c r="BZ689" s="5"/>
      <c r="CA689" s="5"/>
      <c r="CB689" s="5"/>
      <c r="CC689" s="5"/>
      <c r="CD689" s="5"/>
      <c r="CE689" s="5"/>
      <c r="CF689" s="5"/>
      <c r="CG689" s="5"/>
      <c r="CH689" s="5"/>
      <c r="CI689" s="5"/>
      <c r="CJ689" s="5"/>
      <c r="CK689" s="5"/>
      <c r="CL689" s="5"/>
      <c r="CM689" s="5"/>
      <c r="CN689" s="5"/>
      <c r="CO689" s="5"/>
      <c r="CP689" s="5"/>
      <c r="CQ689" s="5"/>
      <c r="CR689" s="5"/>
      <c r="CS689" s="5"/>
      <c r="CT689" s="5"/>
      <c r="CU689" s="5"/>
    </row>
    <row r="690" spans="1:99">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c r="BT690" s="5"/>
      <c r="BU690" s="5"/>
      <c r="BV690" s="5"/>
      <c r="BW690" s="5"/>
      <c r="BX690" s="5"/>
      <c r="BY690" s="5"/>
      <c r="BZ690" s="5"/>
      <c r="CA690" s="5"/>
      <c r="CB690" s="5"/>
      <c r="CC690" s="5"/>
      <c r="CD690" s="5"/>
      <c r="CE690" s="5"/>
      <c r="CF690" s="5"/>
      <c r="CG690" s="5"/>
      <c r="CH690" s="5"/>
      <c r="CI690" s="5"/>
      <c r="CJ690" s="5"/>
      <c r="CK690" s="5"/>
      <c r="CL690" s="5"/>
      <c r="CM690" s="5"/>
      <c r="CN690" s="5"/>
      <c r="CO690" s="5"/>
      <c r="CP690" s="5"/>
      <c r="CQ690" s="5"/>
      <c r="CR690" s="5"/>
      <c r="CS690" s="5"/>
      <c r="CT690" s="5"/>
      <c r="CU690" s="5"/>
    </row>
    <row r="691" spans="1:99">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c r="BT691" s="5"/>
      <c r="BU691" s="5"/>
      <c r="BV691" s="5"/>
      <c r="BW691" s="5"/>
      <c r="BX691" s="5"/>
      <c r="BY691" s="5"/>
      <c r="BZ691" s="5"/>
      <c r="CA691" s="5"/>
      <c r="CB691" s="5"/>
      <c r="CC691" s="5"/>
      <c r="CD691" s="5"/>
      <c r="CE691" s="5"/>
      <c r="CF691" s="5"/>
      <c r="CG691" s="5"/>
      <c r="CH691" s="5"/>
      <c r="CI691" s="5"/>
      <c r="CJ691" s="5"/>
      <c r="CK691" s="5"/>
      <c r="CL691" s="5"/>
      <c r="CM691" s="5"/>
      <c r="CN691" s="5"/>
      <c r="CO691" s="5"/>
      <c r="CP691" s="5"/>
      <c r="CQ691" s="5"/>
      <c r="CR691" s="5"/>
      <c r="CS691" s="5"/>
      <c r="CT691" s="5"/>
      <c r="CU691" s="5"/>
    </row>
    <row r="692" spans="1:99">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c r="BT692" s="5"/>
      <c r="BU692" s="5"/>
      <c r="BV692" s="5"/>
      <c r="BW692" s="5"/>
      <c r="BX692" s="5"/>
      <c r="BY692" s="5"/>
      <c r="BZ692" s="5"/>
      <c r="CA692" s="5"/>
      <c r="CB692" s="5"/>
      <c r="CC692" s="5"/>
      <c r="CD692" s="5"/>
      <c r="CE692" s="5"/>
      <c r="CF692" s="5"/>
      <c r="CG692" s="5"/>
      <c r="CH692" s="5"/>
      <c r="CI692" s="5"/>
      <c r="CJ692" s="5"/>
      <c r="CK692" s="5"/>
      <c r="CL692" s="5"/>
      <c r="CM692" s="5"/>
      <c r="CN692" s="5"/>
      <c r="CO692" s="5"/>
      <c r="CP692" s="5"/>
      <c r="CQ692" s="5"/>
      <c r="CR692" s="5"/>
      <c r="CS692" s="5"/>
      <c r="CT692" s="5"/>
      <c r="CU692" s="5"/>
    </row>
    <row r="693" spans="1:99">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5"/>
      <c r="CN693" s="5"/>
      <c r="CO693" s="5"/>
      <c r="CP693" s="5"/>
      <c r="CQ693" s="5"/>
      <c r="CR693" s="5"/>
      <c r="CS693" s="5"/>
      <c r="CT693" s="5"/>
      <c r="CU693" s="5"/>
    </row>
    <row r="694" spans="1:99">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c r="BT694" s="5"/>
      <c r="BU694" s="5"/>
      <c r="BV694" s="5"/>
      <c r="BW694" s="5"/>
      <c r="BX694" s="5"/>
      <c r="BY694" s="5"/>
      <c r="BZ694" s="5"/>
      <c r="CA694" s="5"/>
      <c r="CB694" s="5"/>
      <c r="CC694" s="5"/>
      <c r="CD694" s="5"/>
      <c r="CE694" s="5"/>
      <c r="CF694" s="5"/>
      <c r="CG694" s="5"/>
      <c r="CH694" s="5"/>
      <c r="CI694" s="5"/>
      <c r="CJ694" s="5"/>
      <c r="CK694" s="5"/>
      <c r="CL694" s="5"/>
      <c r="CM694" s="5"/>
      <c r="CN694" s="5"/>
      <c r="CO694" s="5"/>
      <c r="CP694" s="5"/>
      <c r="CQ694" s="5"/>
      <c r="CR694" s="5"/>
      <c r="CS694" s="5"/>
      <c r="CT694" s="5"/>
      <c r="CU694" s="5"/>
    </row>
    <row r="695" spans="1:99">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c r="BU695" s="5"/>
      <c r="BV695" s="5"/>
      <c r="BW695" s="5"/>
      <c r="BX695" s="5"/>
      <c r="BY695" s="5"/>
      <c r="BZ695" s="5"/>
      <c r="CA695" s="5"/>
      <c r="CB695" s="5"/>
      <c r="CC695" s="5"/>
      <c r="CD695" s="5"/>
      <c r="CE695" s="5"/>
      <c r="CF695" s="5"/>
      <c r="CG695" s="5"/>
      <c r="CH695" s="5"/>
      <c r="CI695" s="5"/>
      <c r="CJ695" s="5"/>
      <c r="CK695" s="5"/>
      <c r="CL695" s="5"/>
      <c r="CM695" s="5"/>
      <c r="CN695" s="5"/>
      <c r="CO695" s="5"/>
      <c r="CP695" s="5"/>
      <c r="CQ695" s="5"/>
      <c r="CR695" s="5"/>
      <c r="CS695" s="5"/>
      <c r="CT695" s="5"/>
      <c r="CU695" s="5"/>
    </row>
    <row r="696" spans="1:99">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c r="BU696" s="5"/>
      <c r="BV696" s="5"/>
      <c r="BW696" s="5"/>
      <c r="BX696" s="5"/>
      <c r="BY696" s="5"/>
      <c r="BZ696" s="5"/>
      <c r="CA696" s="5"/>
      <c r="CB696" s="5"/>
      <c r="CC696" s="5"/>
      <c r="CD696" s="5"/>
      <c r="CE696" s="5"/>
      <c r="CF696" s="5"/>
      <c r="CG696" s="5"/>
      <c r="CH696" s="5"/>
      <c r="CI696" s="5"/>
      <c r="CJ696" s="5"/>
      <c r="CK696" s="5"/>
      <c r="CL696" s="5"/>
      <c r="CM696" s="5"/>
      <c r="CN696" s="5"/>
      <c r="CO696" s="5"/>
      <c r="CP696" s="5"/>
      <c r="CQ696" s="5"/>
      <c r="CR696" s="5"/>
      <c r="CS696" s="5"/>
      <c r="CT696" s="5"/>
      <c r="CU696" s="5"/>
    </row>
    <row r="697" spans="1:99">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c r="BU697" s="5"/>
      <c r="BV697" s="5"/>
      <c r="BW697" s="5"/>
      <c r="BX697" s="5"/>
      <c r="BY697" s="5"/>
      <c r="BZ697" s="5"/>
      <c r="CA697" s="5"/>
      <c r="CB697" s="5"/>
      <c r="CC697" s="5"/>
      <c r="CD697" s="5"/>
      <c r="CE697" s="5"/>
      <c r="CF697" s="5"/>
      <c r="CG697" s="5"/>
      <c r="CH697" s="5"/>
      <c r="CI697" s="5"/>
      <c r="CJ697" s="5"/>
      <c r="CK697" s="5"/>
      <c r="CL697" s="5"/>
      <c r="CM697" s="5"/>
      <c r="CN697" s="5"/>
      <c r="CO697" s="5"/>
      <c r="CP697" s="5"/>
      <c r="CQ697" s="5"/>
      <c r="CR697" s="5"/>
      <c r="CS697" s="5"/>
      <c r="CT697" s="5"/>
      <c r="CU697" s="5"/>
    </row>
    <row r="698" spans="1:99">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c r="BU698" s="5"/>
      <c r="BV698" s="5"/>
      <c r="BW698" s="5"/>
      <c r="BX698" s="5"/>
      <c r="BY698" s="5"/>
      <c r="BZ698" s="5"/>
      <c r="CA698" s="5"/>
      <c r="CB698" s="5"/>
      <c r="CC698" s="5"/>
      <c r="CD698" s="5"/>
      <c r="CE698" s="5"/>
      <c r="CF698" s="5"/>
      <c r="CG698" s="5"/>
      <c r="CH698" s="5"/>
      <c r="CI698" s="5"/>
      <c r="CJ698" s="5"/>
      <c r="CK698" s="5"/>
      <c r="CL698" s="5"/>
      <c r="CM698" s="5"/>
      <c r="CN698" s="5"/>
      <c r="CO698" s="5"/>
      <c r="CP698" s="5"/>
      <c r="CQ698" s="5"/>
      <c r="CR698" s="5"/>
      <c r="CS698" s="5"/>
      <c r="CT698" s="5"/>
      <c r="CU698" s="5"/>
    </row>
    <row r="699" spans="1: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c r="CP699" s="5"/>
      <c r="CQ699" s="5"/>
      <c r="CR699" s="5"/>
      <c r="CS699" s="5"/>
      <c r="CT699" s="5"/>
      <c r="CU699" s="5"/>
    </row>
    <row r="700" spans="1:99">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c r="BU700" s="5"/>
      <c r="BV700" s="5"/>
      <c r="BW700" s="5"/>
      <c r="BX700" s="5"/>
      <c r="BY700" s="5"/>
      <c r="BZ700" s="5"/>
      <c r="CA700" s="5"/>
      <c r="CB700" s="5"/>
      <c r="CC700" s="5"/>
      <c r="CD700" s="5"/>
      <c r="CE700" s="5"/>
      <c r="CF700" s="5"/>
      <c r="CG700" s="5"/>
      <c r="CH700" s="5"/>
      <c r="CI700" s="5"/>
      <c r="CJ700" s="5"/>
      <c r="CK700" s="5"/>
      <c r="CL700" s="5"/>
      <c r="CM700" s="5"/>
      <c r="CN700" s="5"/>
      <c r="CO700" s="5"/>
      <c r="CP700" s="5"/>
      <c r="CQ700" s="5"/>
      <c r="CR700" s="5"/>
      <c r="CS700" s="5"/>
      <c r="CT700" s="5"/>
      <c r="CU700" s="5"/>
    </row>
    <row r="701" spans="1:99">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c r="BU701" s="5"/>
      <c r="BV701" s="5"/>
      <c r="BW701" s="5"/>
      <c r="BX701" s="5"/>
      <c r="BY701" s="5"/>
      <c r="BZ701" s="5"/>
      <c r="CA701" s="5"/>
      <c r="CB701" s="5"/>
      <c r="CC701" s="5"/>
      <c r="CD701" s="5"/>
      <c r="CE701" s="5"/>
      <c r="CF701" s="5"/>
      <c r="CG701" s="5"/>
      <c r="CH701" s="5"/>
      <c r="CI701" s="5"/>
      <c r="CJ701" s="5"/>
      <c r="CK701" s="5"/>
      <c r="CL701" s="5"/>
      <c r="CM701" s="5"/>
      <c r="CN701" s="5"/>
      <c r="CO701" s="5"/>
      <c r="CP701" s="5"/>
      <c r="CQ701" s="5"/>
      <c r="CR701" s="5"/>
      <c r="CS701" s="5"/>
      <c r="CT701" s="5"/>
      <c r="CU701" s="5"/>
    </row>
    <row r="702" spans="1:99">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c r="BU702" s="5"/>
      <c r="BV702" s="5"/>
      <c r="BW702" s="5"/>
      <c r="BX702" s="5"/>
      <c r="BY702" s="5"/>
      <c r="BZ702" s="5"/>
      <c r="CA702" s="5"/>
      <c r="CB702" s="5"/>
      <c r="CC702" s="5"/>
      <c r="CD702" s="5"/>
      <c r="CE702" s="5"/>
      <c r="CF702" s="5"/>
      <c r="CG702" s="5"/>
      <c r="CH702" s="5"/>
      <c r="CI702" s="5"/>
      <c r="CJ702" s="5"/>
      <c r="CK702" s="5"/>
      <c r="CL702" s="5"/>
      <c r="CM702" s="5"/>
      <c r="CN702" s="5"/>
      <c r="CO702" s="5"/>
      <c r="CP702" s="5"/>
      <c r="CQ702" s="5"/>
      <c r="CR702" s="5"/>
      <c r="CS702" s="5"/>
      <c r="CT702" s="5"/>
      <c r="CU702" s="5"/>
    </row>
    <row r="703" spans="1:99">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row>
    <row r="704" spans="1:99">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row>
    <row r="705" spans="1:99">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c r="CP705" s="5"/>
      <c r="CQ705" s="5"/>
      <c r="CR705" s="5"/>
      <c r="CS705" s="5"/>
      <c r="CT705" s="5"/>
      <c r="CU705" s="5"/>
    </row>
    <row r="706" spans="1:99">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row>
    <row r="707" spans="1:99">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row>
    <row r="708" spans="1:99">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5"/>
      <c r="CP708" s="5"/>
      <c r="CQ708" s="5"/>
      <c r="CR708" s="5"/>
      <c r="CS708" s="5"/>
      <c r="CT708" s="5"/>
      <c r="CU708" s="5"/>
    </row>
    <row r="709" spans="1:9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row>
    <row r="710" spans="1:99">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5"/>
      <c r="CQ710" s="5"/>
      <c r="CR710" s="5"/>
      <c r="CS710" s="5"/>
      <c r="CT710" s="5"/>
      <c r="CU710" s="5"/>
    </row>
    <row r="711" spans="1:99">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c r="CA711" s="5"/>
      <c r="CB711" s="5"/>
      <c r="CC711" s="5"/>
      <c r="CD711" s="5"/>
      <c r="CE711" s="5"/>
      <c r="CF711" s="5"/>
      <c r="CG711" s="5"/>
      <c r="CH711" s="5"/>
      <c r="CI711" s="5"/>
      <c r="CJ711" s="5"/>
      <c r="CK711" s="5"/>
      <c r="CL711" s="5"/>
      <c r="CM711" s="5"/>
      <c r="CN711" s="5"/>
      <c r="CO711" s="5"/>
      <c r="CP711" s="5"/>
      <c r="CQ711" s="5"/>
      <c r="CR711" s="5"/>
      <c r="CS711" s="5"/>
      <c r="CT711" s="5"/>
      <c r="CU711" s="5"/>
    </row>
    <row r="712" spans="1:99">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row>
    <row r="713" spans="1:99">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row>
    <row r="714" spans="1:99">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row>
    <row r="715" spans="1:99">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row>
    <row r="716" spans="1:99">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row>
    <row r="717" spans="1:99">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c r="BT717" s="5"/>
      <c r="BU717" s="5"/>
      <c r="BV717" s="5"/>
      <c r="BW717" s="5"/>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row>
    <row r="718" spans="1:99">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row>
    <row r="719" spans="1:9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row>
    <row r="720" spans="1:99">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row>
    <row r="721" spans="1:99">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row>
    <row r="722" spans="1:99">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row>
    <row r="723" spans="1:99">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row>
    <row r="724" spans="1:99">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5"/>
      <c r="BW724" s="5"/>
      <c r="BX724" s="5"/>
      <c r="BY724" s="5"/>
      <c r="BZ724" s="5"/>
      <c r="CA724" s="5"/>
      <c r="CB724" s="5"/>
      <c r="CC724" s="5"/>
      <c r="CD724" s="5"/>
      <c r="CE724" s="5"/>
      <c r="CF724" s="5"/>
      <c r="CG724" s="5"/>
      <c r="CH724" s="5"/>
      <c r="CI724" s="5"/>
      <c r="CJ724" s="5"/>
      <c r="CK724" s="5"/>
      <c r="CL724" s="5"/>
      <c r="CM724" s="5"/>
      <c r="CN724" s="5"/>
      <c r="CO724" s="5"/>
      <c r="CP724" s="5"/>
      <c r="CQ724" s="5"/>
      <c r="CR724" s="5"/>
      <c r="CS724" s="5"/>
      <c r="CT724" s="5"/>
      <c r="CU724" s="5"/>
    </row>
    <row r="725" spans="1:99">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c r="CI725" s="5"/>
      <c r="CJ725" s="5"/>
      <c r="CK725" s="5"/>
      <c r="CL725" s="5"/>
      <c r="CM725" s="5"/>
      <c r="CN725" s="5"/>
      <c r="CO725" s="5"/>
      <c r="CP725" s="5"/>
      <c r="CQ725" s="5"/>
      <c r="CR725" s="5"/>
      <c r="CS725" s="5"/>
      <c r="CT725" s="5"/>
      <c r="CU725" s="5"/>
    </row>
    <row r="726" spans="1:99">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5"/>
      <c r="CN726" s="5"/>
      <c r="CO726" s="5"/>
      <c r="CP726" s="5"/>
      <c r="CQ726" s="5"/>
      <c r="CR726" s="5"/>
      <c r="CS726" s="5"/>
      <c r="CT726" s="5"/>
      <c r="CU726" s="5"/>
    </row>
    <row r="727" spans="1:99">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c r="BT727" s="5"/>
      <c r="BU727" s="5"/>
      <c r="BV727" s="5"/>
      <c r="BW727" s="5"/>
      <c r="BX727" s="5"/>
      <c r="BY727" s="5"/>
      <c r="BZ727" s="5"/>
      <c r="CA727" s="5"/>
      <c r="CB727" s="5"/>
      <c r="CC727" s="5"/>
      <c r="CD727" s="5"/>
      <c r="CE727" s="5"/>
      <c r="CF727" s="5"/>
      <c r="CG727" s="5"/>
      <c r="CH727" s="5"/>
      <c r="CI727" s="5"/>
      <c r="CJ727" s="5"/>
      <c r="CK727" s="5"/>
      <c r="CL727" s="5"/>
      <c r="CM727" s="5"/>
      <c r="CN727" s="5"/>
      <c r="CO727" s="5"/>
      <c r="CP727" s="5"/>
      <c r="CQ727" s="5"/>
      <c r="CR727" s="5"/>
      <c r="CS727" s="5"/>
      <c r="CT727" s="5"/>
      <c r="CU727" s="5"/>
    </row>
    <row r="728" spans="1:99">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c r="CA728" s="5"/>
      <c r="CB728" s="5"/>
      <c r="CC728" s="5"/>
      <c r="CD728" s="5"/>
      <c r="CE728" s="5"/>
      <c r="CF728" s="5"/>
      <c r="CG728" s="5"/>
      <c r="CH728" s="5"/>
      <c r="CI728" s="5"/>
      <c r="CJ728" s="5"/>
      <c r="CK728" s="5"/>
      <c r="CL728" s="5"/>
      <c r="CM728" s="5"/>
      <c r="CN728" s="5"/>
      <c r="CO728" s="5"/>
      <c r="CP728" s="5"/>
      <c r="CQ728" s="5"/>
      <c r="CR728" s="5"/>
      <c r="CS728" s="5"/>
      <c r="CT728" s="5"/>
      <c r="CU728" s="5"/>
    </row>
    <row r="729" spans="1:9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c r="CA729" s="5"/>
      <c r="CB729" s="5"/>
      <c r="CC729" s="5"/>
      <c r="CD729" s="5"/>
      <c r="CE729" s="5"/>
      <c r="CF729" s="5"/>
      <c r="CG729" s="5"/>
      <c r="CH729" s="5"/>
      <c r="CI729" s="5"/>
      <c r="CJ729" s="5"/>
      <c r="CK729" s="5"/>
      <c r="CL729" s="5"/>
      <c r="CM729" s="5"/>
      <c r="CN729" s="5"/>
      <c r="CO729" s="5"/>
      <c r="CP729" s="5"/>
      <c r="CQ729" s="5"/>
      <c r="CR729" s="5"/>
      <c r="CS729" s="5"/>
      <c r="CT729" s="5"/>
      <c r="CU729" s="5"/>
    </row>
    <row r="730" spans="1:99">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c r="CA730" s="5"/>
      <c r="CB730" s="5"/>
      <c r="CC730" s="5"/>
      <c r="CD730" s="5"/>
      <c r="CE730" s="5"/>
      <c r="CF730" s="5"/>
      <c r="CG730" s="5"/>
      <c r="CH730" s="5"/>
      <c r="CI730" s="5"/>
      <c r="CJ730" s="5"/>
      <c r="CK730" s="5"/>
      <c r="CL730" s="5"/>
      <c r="CM730" s="5"/>
      <c r="CN730" s="5"/>
      <c r="CO730" s="5"/>
      <c r="CP730" s="5"/>
      <c r="CQ730" s="5"/>
      <c r="CR730" s="5"/>
      <c r="CS730" s="5"/>
      <c r="CT730" s="5"/>
      <c r="CU730" s="5"/>
    </row>
    <row r="731" spans="1:99">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5"/>
      <c r="CQ731" s="5"/>
      <c r="CR731" s="5"/>
      <c r="CS731" s="5"/>
      <c r="CT731" s="5"/>
      <c r="CU731" s="5"/>
    </row>
    <row r="732" spans="1:99">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5"/>
      <c r="BW732" s="5"/>
      <c r="BX732" s="5"/>
      <c r="BY732" s="5"/>
      <c r="BZ732" s="5"/>
      <c r="CA732" s="5"/>
      <c r="CB732" s="5"/>
      <c r="CC732" s="5"/>
      <c r="CD732" s="5"/>
      <c r="CE732" s="5"/>
      <c r="CF732" s="5"/>
      <c r="CG732" s="5"/>
      <c r="CH732" s="5"/>
      <c r="CI732" s="5"/>
      <c r="CJ732" s="5"/>
      <c r="CK732" s="5"/>
      <c r="CL732" s="5"/>
      <c r="CM732" s="5"/>
      <c r="CN732" s="5"/>
      <c r="CO732" s="5"/>
      <c r="CP732" s="5"/>
      <c r="CQ732" s="5"/>
      <c r="CR732" s="5"/>
      <c r="CS732" s="5"/>
      <c r="CT732" s="5"/>
      <c r="CU732" s="5"/>
    </row>
    <row r="733" spans="1:99">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row>
    <row r="734" spans="1:99">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c r="BT734" s="5"/>
      <c r="BU734" s="5"/>
      <c r="BV734" s="5"/>
      <c r="BW734" s="5"/>
      <c r="BX734" s="5"/>
      <c r="BY734" s="5"/>
      <c r="BZ734" s="5"/>
      <c r="CA734" s="5"/>
      <c r="CB734" s="5"/>
      <c r="CC734" s="5"/>
      <c r="CD734" s="5"/>
      <c r="CE734" s="5"/>
      <c r="CF734" s="5"/>
      <c r="CG734" s="5"/>
      <c r="CH734" s="5"/>
      <c r="CI734" s="5"/>
      <c r="CJ734" s="5"/>
      <c r="CK734" s="5"/>
      <c r="CL734" s="5"/>
      <c r="CM734" s="5"/>
      <c r="CN734" s="5"/>
      <c r="CO734" s="5"/>
      <c r="CP734" s="5"/>
      <c r="CQ734" s="5"/>
      <c r="CR734" s="5"/>
      <c r="CS734" s="5"/>
      <c r="CT734" s="5"/>
      <c r="CU734" s="5"/>
    </row>
    <row r="735" spans="1:99">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c r="BU735" s="5"/>
      <c r="BV735" s="5"/>
      <c r="BW735" s="5"/>
      <c r="BX735" s="5"/>
      <c r="BY735" s="5"/>
      <c r="BZ735" s="5"/>
      <c r="CA735" s="5"/>
      <c r="CB735" s="5"/>
      <c r="CC735" s="5"/>
      <c r="CD735" s="5"/>
      <c r="CE735" s="5"/>
      <c r="CF735" s="5"/>
      <c r="CG735" s="5"/>
      <c r="CH735" s="5"/>
      <c r="CI735" s="5"/>
      <c r="CJ735" s="5"/>
      <c r="CK735" s="5"/>
      <c r="CL735" s="5"/>
      <c r="CM735" s="5"/>
      <c r="CN735" s="5"/>
      <c r="CO735" s="5"/>
      <c r="CP735" s="5"/>
      <c r="CQ735" s="5"/>
      <c r="CR735" s="5"/>
      <c r="CS735" s="5"/>
      <c r="CT735" s="5"/>
      <c r="CU735" s="5"/>
    </row>
    <row r="736" spans="1:99">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c r="BT736" s="5"/>
      <c r="BU736" s="5"/>
      <c r="BV736" s="5"/>
      <c r="BW736" s="5"/>
      <c r="BX736" s="5"/>
      <c r="BY736" s="5"/>
      <c r="BZ736" s="5"/>
      <c r="CA736" s="5"/>
      <c r="CB736" s="5"/>
      <c r="CC736" s="5"/>
      <c r="CD736" s="5"/>
      <c r="CE736" s="5"/>
      <c r="CF736" s="5"/>
      <c r="CG736" s="5"/>
      <c r="CH736" s="5"/>
      <c r="CI736" s="5"/>
      <c r="CJ736" s="5"/>
      <c r="CK736" s="5"/>
      <c r="CL736" s="5"/>
      <c r="CM736" s="5"/>
      <c r="CN736" s="5"/>
      <c r="CO736" s="5"/>
      <c r="CP736" s="5"/>
      <c r="CQ736" s="5"/>
      <c r="CR736" s="5"/>
      <c r="CS736" s="5"/>
      <c r="CT736" s="5"/>
      <c r="CU736" s="5"/>
    </row>
    <row r="737" spans="1:99">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5"/>
      <c r="CN737" s="5"/>
      <c r="CO737" s="5"/>
      <c r="CP737" s="5"/>
      <c r="CQ737" s="5"/>
      <c r="CR737" s="5"/>
      <c r="CS737" s="5"/>
      <c r="CT737" s="5"/>
      <c r="CU737" s="5"/>
    </row>
    <row r="738" spans="1:99">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c r="BT738" s="5"/>
      <c r="BU738" s="5"/>
      <c r="BV738" s="5"/>
      <c r="BW738" s="5"/>
      <c r="BX738" s="5"/>
      <c r="BY738" s="5"/>
      <c r="BZ738" s="5"/>
      <c r="CA738" s="5"/>
      <c r="CB738" s="5"/>
      <c r="CC738" s="5"/>
      <c r="CD738" s="5"/>
      <c r="CE738" s="5"/>
      <c r="CF738" s="5"/>
      <c r="CG738" s="5"/>
      <c r="CH738" s="5"/>
      <c r="CI738" s="5"/>
      <c r="CJ738" s="5"/>
      <c r="CK738" s="5"/>
      <c r="CL738" s="5"/>
      <c r="CM738" s="5"/>
      <c r="CN738" s="5"/>
      <c r="CO738" s="5"/>
      <c r="CP738" s="5"/>
      <c r="CQ738" s="5"/>
      <c r="CR738" s="5"/>
      <c r="CS738" s="5"/>
      <c r="CT738" s="5"/>
      <c r="CU738" s="5"/>
    </row>
    <row r="739" spans="1:9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c r="BT739" s="5"/>
      <c r="BU739" s="5"/>
      <c r="BV739" s="5"/>
      <c r="BW739" s="5"/>
      <c r="BX739" s="5"/>
      <c r="BY739" s="5"/>
      <c r="BZ739" s="5"/>
      <c r="CA739" s="5"/>
      <c r="CB739" s="5"/>
      <c r="CC739" s="5"/>
      <c r="CD739" s="5"/>
      <c r="CE739" s="5"/>
      <c r="CF739" s="5"/>
      <c r="CG739" s="5"/>
      <c r="CH739" s="5"/>
      <c r="CI739" s="5"/>
      <c r="CJ739" s="5"/>
      <c r="CK739" s="5"/>
      <c r="CL739" s="5"/>
      <c r="CM739" s="5"/>
      <c r="CN739" s="5"/>
      <c r="CO739" s="5"/>
      <c r="CP739" s="5"/>
      <c r="CQ739" s="5"/>
      <c r="CR739" s="5"/>
      <c r="CS739" s="5"/>
      <c r="CT739" s="5"/>
      <c r="CU739" s="5"/>
    </row>
    <row r="740" spans="1:99">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J740" s="5"/>
      <c r="CK740" s="5"/>
      <c r="CL740" s="5"/>
      <c r="CM740" s="5"/>
      <c r="CN740" s="5"/>
      <c r="CO740" s="5"/>
      <c r="CP740" s="5"/>
      <c r="CQ740" s="5"/>
      <c r="CR740" s="5"/>
      <c r="CS740" s="5"/>
      <c r="CT740" s="5"/>
      <c r="CU740" s="5"/>
    </row>
    <row r="741" spans="1:99">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row>
    <row r="742" spans="1:99">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row>
    <row r="743" spans="1:99">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5"/>
      <c r="CQ743" s="5"/>
      <c r="CR743" s="5"/>
      <c r="CS743" s="5"/>
      <c r="CT743" s="5"/>
      <c r="CU743" s="5"/>
    </row>
    <row r="744" spans="1:99">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5"/>
      <c r="CQ744" s="5"/>
      <c r="CR744" s="5"/>
      <c r="CS744" s="5"/>
      <c r="CT744" s="5"/>
      <c r="CU744" s="5"/>
    </row>
    <row r="745" spans="1:99">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row>
    <row r="746" spans="1:99">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5"/>
      <c r="CQ746" s="5"/>
      <c r="CR746" s="5"/>
      <c r="CS746" s="5"/>
      <c r="CT746" s="5"/>
      <c r="CU746" s="5"/>
    </row>
    <row r="747" spans="1:99">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row>
    <row r="748" spans="1:99">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5"/>
      <c r="CQ748" s="5"/>
      <c r="CR748" s="5"/>
      <c r="CS748" s="5"/>
      <c r="CT748" s="5"/>
      <c r="CU748" s="5"/>
    </row>
    <row r="749" spans="1:9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c r="BT749" s="5"/>
      <c r="BU749" s="5"/>
      <c r="BV749" s="5"/>
      <c r="BW749" s="5"/>
      <c r="BX749" s="5"/>
      <c r="BY749" s="5"/>
      <c r="BZ749" s="5"/>
      <c r="CA749" s="5"/>
      <c r="CB749" s="5"/>
      <c r="CC749" s="5"/>
      <c r="CD749" s="5"/>
      <c r="CE749" s="5"/>
      <c r="CF749" s="5"/>
      <c r="CG749" s="5"/>
      <c r="CH749" s="5"/>
      <c r="CI749" s="5"/>
      <c r="CJ749" s="5"/>
      <c r="CK749" s="5"/>
      <c r="CL749" s="5"/>
      <c r="CM749" s="5"/>
      <c r="CN749" s="5"/>
      <c r="CO749" s="5"/>
      <c r="CP749" s="5"/>
      <c r="CQ749" s="5"/>
      <c r="CR749" s="5"/>
      <c r="CS749" s="5"/>
      <c r="CT749" s="5"/>
      <c r="CU749" s="5"/>
    </row>
    <row r="750" spans="1:99">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c r="BT750" s="5"/>
      <c r="BU750" s="5"/>
      <c r="BV750" s="5"/>
      <c r="BW750" s="5"/>
      <c r="BX750" s="5"/>
      <c r="BY750" s="5"/>
      <c r="BZ750" s="5"/>
      <c r="CA750" s="5"/>
      <c r="CB750" s="5"/>
      <c r="CC750" s="5"/>
      <c r="CD750" s="5"/>
      <c r="CE750" s="5"/>
      <c r="CF750" s="5"/>
      <c r="CG750" s="5"/>
      <c r="CH750" s="5"/>
      <c r="CI750" s="5"/>
      <c r="CJ750" s="5"/>
      <c r="CK750" s="5"/>
      <c r="CL750" s="5"/>
      <c r="CM750" s="5"/>
      <c r="CN750" s="5"/>
      <c r="CO750" s="5"/>
      <c r="CP750" s="5"/>
      <c r="CQ750" s="5"/>
      <c r="CR750" s="5"/>
      <c r="CS750" s="5"/>
      <c r="CT750" s="5"/>
      <c r="CU750" s="5"/>
    </row>
    <row r="751" spans="1:99">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row>
    <row r="752" spans="1:99">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row>
    <row r="753" spans="1:99">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row>
    <row r="754" spans="1:99">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5"/>
      <c r="CQ754" s="5"/>
      <c r="CR754" s="5"/>
      <c r="CS754" s="5"/>
      <c r="CT754" s="5"/>
      <c r="CU754" s="5"/>
    </row>
    <row r="755" spans="1:99">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5"/>
      <c r="CQ755" s="5"/>
      <c r="CR755" s="5"/>
      <c r="CS755" s="5"/>
      <c r="CT755" s="5"/>
      <c r="CU755" s="5"/>
    </row>
    <row r="756" spans="1:99">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5"/>
      <c r="CR756" s="5"/>
      <c r="CS756" s="5"/>
      <c r="CT756" s="5"/>
      <c r="CU756" s="5"/>
    </row>
    <row r="757" spans="1:99">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5"/>
      <c r="CR757" s="5"/>
      <c r="CS757" s="5"/>
      <c r="CT757" s="5"/>
      <c r="CU757" s="5"/>
    </row>
    <row r="758" spans="1:99">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5"/>
      <c r="BW758" s="5"/>
      <c r="BX758" s="5"/>
      <c r="BY758" s="5"/>
      <c r="BZ758" s="5"/>
      <c r="CA758" s="5"/>
      <c r="CB758" s="5"/>
      <c r="CC758" s="5"/>
      <c r="CD758" s="5"/>
      <c r="CE758" s="5"/>
      <c r="CF758" s="5"/>
      <c r="CG758" s="5"/>
      <c r="CH758" s="5"/>
      <c r="CI758" s="5"/>
      <c r="CJ758" s="5"/>
      <c r="CK758" s="5"/>
      <c r="CL758" s="5"/>
      <c r="CM758" s="5"/>
      <c r="CN758" s="5"/>
      <c r="CO758" s="5"/>
      <c r="CP758" s="5"/>
      <c r="CQ758" s="5"/>
      <c r="CR758" s="5"/>
      <c r="CS758" s="5"/>
      <c r="CT758" s="5"/>
      <c r="CU758" s="5"/>
    </row>
    <row r="759" spans="1:9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c r="CA759" s="5"/>
      <c r="CB759" s="5"/>
      <c r="CC759" s="5"/>
      <c r="CD759" s="5"/>
      <c r="CE759" s="5"/>
      <c r="CF759" s="5"/>
      <c r="CG759" s="5"/>
      <c r="CH759" s="5"/>
      <c r="CI759" s="5"/>
      <c r="CJ759" s="5"/>
      <c r="CK759" s="5"/>
      <c r="CL759" s="5"/>
      <c r="CM759" s="5"/>
      <c r="CN759" s="5"/>
      <c r="CO759" s="5"/>
      <c r="CP759" s="5"/>
      <c r="CQ759" s="5"/>
      <c r="CR759" s="5"/>
      <c r="CS759" s="5"/>
      <c r="CT759" s="5"/>
      <c r="CU759" s="5"/>
    </row>
    <row r="760" spans="1:99">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5"/>
      <c r="BU760" s="5"/>
      <c r="BV760" s="5"/>
      <c r="BW760" s="5"/>
      <c r="BX760" s="5"/>
      <c r="BY760" s="5"/>
      <c r="BZ760" s="5"/>
      <c r="CA760" s="5"/>
      <c r="CB760" s="5"/>
      <c r="CC760" s="5"/>
      <c r="CD760" s="5"/>
      <c r="CE760" s="5"/>
      <c r="CF760" s="5"/>
      <c r="CG760" s="5"/>
      <c r="CH760" s="5"/>
      <c r="CI760" s="5"/>
      <c r="CJ760" s="5"/>
      <c r="CK760" s="5"/>
      <c r="CL760" s="5"/>
      <c r="CM760" s="5"/>
      <c r="CN760" s="5"/>
      <c r="CO760" s="5"/>
      <c r="CP760" s="5"/>
      <c r="CQ760" s="5"/>
      <c r="CR760" s="5"/>
      <c r="CS760" s="5"/>
      <c r="CT760" s="5"/>
      <c r="CU760" s="5"/>
    </row>
    <row r="761" spans="1:99">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c r="CA761" s="5"/>
      <c r="CB761" s="5"/>
      <c r="CC761" s="5"/>
      <c r="CD761" s="5"/>
      <c r="CE761" s="5"/>
      <c r="CF761" s="5"/>
      <c r="CG761" s="5"/>
      <c r="CH761" s="5"/>
      <c r="CI761" s="5"/>
      <c r="CJ761" s="5"/>
      <c r="CK761" s="5"/>
      <c r="CL761" s="5"/>
      <c r="CM761" s="5"/>
      <c r="CN761" s="5"/>
      <c r="CO761" s="5"/>
      <c r="CP761" s="5"/>
      <c r="CQ761" s="5"/>
      <c r="CR761" s="5"/>
      <c r="CS761" s="5"/>
      <c r="CT761" s="5"/>
      <c r="CU761" s="5"/>
    </row>
    <row r="762" spans="1:99">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c r="CF762" s="5"/>
      <c r="CG762" s="5"/>
      <c r="CH762" s="5"/>
      <c r="CI762" s="5"/>
      <c r="CJ762" s="5"/>
      <c r="CK762" s="5"/>
      <c r="CL762" s="5"/>
      <c r="CM762" s="5"/>
      <c r="CN762" s="5"/>
      <c r="CO762" s="5"/>
      <c r="CP762" s="5"/>
      <c r="CQ762" s="5"/>
      <c r="CR762" s="5"/>
      <c r="CS762" s="5"/>
      <c r="CT762" s="5"/>
      <c r="CU762" s="5"/>
    </row>
    <row r="763" spans="1:99">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c r="CA763" s="5"/>
      <c r="CB763" s="5"/>
      <c r="CC763" s="5"/>
      <c r="CD763" s="5"/>
      <c r="CE763" s="5"/>
      <c r="CF763" s="5"/>
      <c r="CG763" s="5"/>
      <c r="CH763" s="5"/>
      <c r="CI763" s="5"/>
      <c r="CJ763" s="5"/>
      <c r="CK763" s="5"/>
      <c r="CL763" s="5"/>
      <c r="CM763" s="5"/>
      <c r="CN763" s="5"/>
      <c r="CO763" s="5"/>
      <c r="CP763" s="5"/>
      <c r="CQ763" s="5"/>
      <c r="CR763" s="5"/>
      <c r="CS763" s="5"/>
      <c r="CT763" s="5"/>
      <c r="CU763" s="5"/>
    </row>
    <row r="764" spans="1:99">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5"/>
      <c r="BU764" s="5"/>
      <c r="BV764" s="5"/>
      <c r="BW764" s="5"/>
      <c r="BX764" s="5"/>
      <c r="BY764" s="5"/>
      <c r="BZ764" s="5"/>
      <c r="CA764" s="5"/>
      <c r="CB764" s="5"/>
      <c r="CC764" s="5"/>
      <c r="CD764" s="5"/>
      <c r="CE764" s="5"/>
      <c r="CF764" s="5"/>
      <c r="CG764" s="5"/>
      <c r="CH764" s="5"/>
      <c r="CI764" s="5"/>
      <c r="CJ764" s="5"/>
      <c r="CK764" s="5"/>
      <c r="CL764" s="5"/>
      <c r="CM764" s="5"/>
      <c r="CN764" s="5"/>
      <c r="CO764" s="5"/>
      <c r="CP764" s="5"/>
      <c r="CQ764" s="5"/>
      <c r="CR764" s="5"/>
      <c r="CS764" s="5"/>
      <c r="CT764" s="5"/>
      <c r="CU764" s="5"/>
    </row>
    <row r="765" spans="1:99">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5"/>
      <c r="BU765" s="5"/>
      <c r="BV765" s="5"/>
      <c r="BW765" s="5"/>
      <c r="BX765" s="5"/>
      <c r="BY765" s="5"/>
      <c r="BZ765" s="5"/>
      <c r="CA765" s="5"/>
      <c r="CB765" s="5"/>
      <c r="CC765" s="5"/>
      <c r="CD765" s="5"/>
      <c r="CE765" s="5"/>
      <c r="CF765" s="5"/>
      <c r="CG765" s="5"/>
      <c r="CH765" s="5"/>
      <c r="CI765" s="5"/>
      <c r="CJ765" s="5"/>
      <c r="CK765" s="5"/>
      <c r="CL765" s="5"/>
      <c r="CM765" s="5"/>
      <c r="CN765" s="5"/>
      <c r="CO765" s="5"/>
      <c r="CP765" s="5"/>
      <c r="CQ765" s="5"/>
      <c r="CR765" s="5"/>
      <c r="CS765" s="5"/>
      <c r="CT765" s="5"/>
      <c r="CU765" s="5"/>
    </row>
    <row r="766" spans="1:99">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c r="BT766" s="5"/>
      <c r="BU766" s="5"/>
      <c r="BV766" s="5"/>
      <c r="BW766" s="5"/>
      <c r="BX766" s="5"/>
      <c r="BY766" s="5"/>
      <c r="BZ766" s="5"/>
      <c r="CA766" s="5"/>
      <c r="CB766" s="5"/>
      <c r="CC766" s="5"/>
      <c r="CD766" s="5"/>
      <c r="CE766" s="5"/>
      <c r="CF766" s="5"/>
      <c r="CG766" s="5"/>
      <c r="CH766" s="5"/>
      <c r="CI766" s="5"/>
      <c r="CJ766" s="5"/>
      <c r="CK766" s="5"/>
      <c r="CL766" s="5"/>
      <c r="CM766" s="5"/>
      <c r="CN766" s="5"/>
      <c r="CO766" s="5"/>
      <c r="CP766" s="5"/>
      <c r="CQ766" s="5"/>
      <c r="CR766" s="5"/>
      <c r="CS766" s="5"/>
      <c r="CT766" s="5"/>
      <c r="CU766" s="5"/>
    </row>
    <row r="767" spans="1:99">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c r="BT767" s="5"/>
      <c r="BU767" s="5"/>
      <c r="BV767" s="5"/>
      <c r="BW767" s="5"/>
      <c r="BX767" s="5"/>
      <c r="BY767" s="5"/>
      <c r="BZ767" s="5"/>
      <c r="CA767" s="5"/>
      <c r="CB767" s="5"/>
      <c r="CC767" s="5"/>
      <c r="CD767" s="5"/>
      <c r="CE767" s="5"/>
      <c r="CF767" s="5"/>
      <c r="CG767" s="5"/>
      <c r="CH767" s="5"/>
      <c r="CI767" s="5"/>
      <c r="CJ767" s="5"/>
      <c r="CK767" s="5"/>
      <c r="CL767" s="5"/>
      <c r="CM767" s="5"/>
      <c r="CN767" s="5"/>
      <c r="CO767" s="5"/>
      <c r="CP767" s="5"/>
      <c r="CQ767" s="5"/>
      <c r="CR767" s="5"/>
      <c r="CS767" s="5"/>
      <c r="CT767" s="5"/>
      <c r="CU767" s="5"/>
    </row>
    <row r="768" spans="1:99">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c r="CA768" s="5"/>
      <c r="CB768" s="5"/>
      <c r="CC768" s="5"/>
      <c r="CD768" s="5"/>
      <c r="CE768" s="5"/>
      <c r="CF768" s="5"/>
      <c r="CG768" s="5"/>
      <c r="CH768" s="5"/>
      <c r="CI768" s="5"/>
      <c r="CJ768" s="5"/>
      <c r="CK768" s="5"/>
      <c r="CL768" s="5"/>
      <c r="CM768" s="5"/>
      <c r="CN768" s="5"/>
      <c r="CO768" s="5"/>
      <c r="CP768" s="5"/>
      <c r="CQ768" s="5"/>
      <c r="CR768" s="5"/>
      <c r="CS768" s="5"/>
      <c r="CT768" s="5"/>
      <c r="CU768" s="5"/>
    </row>
    <row r="769" spans="1:9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c r="CA769" s="5"/>
      <c r="CB769" s="5"/>
      <c r="CC769" s="5"/>
      <c r="CD769" s="5"/>
      <c r="CE769" s="5"/>
      <c r="CF769" s="5"/>
      <c r="CG769" s="5"/>
      <c r="CH769" s="5"/>
      <c r="CI769" s="5"/>
      <c r="CJ769" s="5"/>
      <c r="CK769" s="5"/>
      <c r="CL769" s="5"/>
      <c r="CM769" s="5"/>
      <c r="CN769" s="5"/>
      <c r="CO769" s="5"/>
      <c r="CP769" s="5"/>
      <c r="CQ769" s="5"/>
      <c r="CR769" s="5"/>
      <c r="CS769" s="5"/>
      <c r="CT769" s="5"/>
      <c r="CU769" s="5"/>
    </row>
    <row r="770" spans="1:99">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c r="CA770" s="5"/>
      <c r="CB770" s="5"/>
      <c r="CC770" s="5"/>
      <c r="CD770" s="5"/>
      <c r="CE770" s="5"/>
      <c r="CF770" s="5"/>
      <c r="CG770" s="5"/>
      <c r="CH770" s="5"/>
      <c r="CI770" s="5"/>
      <c r="CJ770" s="5"/>
      <c r="CK770" s="5"/>
      <c r="CL770" s="5"/>
      <c r="CM770" s="5"/>
      <c r="CN770" s="5"/>
      <c r="CO770" s="5"/>
      <c r="CP770" s="5"/>
      <c r="CQ770" s="5"/>
      <c r="CR770" s="5"/>
      <c r="CS770" s="5"/>
      <c r="CT770" s="5"/>
      <c r="CU770" s="5"/>
    </row>
    <row r="771" spans="1:99">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c r="CA771" s="5"/>
      <c r="CB771" s="5"/>
      <c r="CC771" s="5"/>
      <c r="CD771" s="5"/>
      <c r="CE771" s="5"/>
      <c r="CF771" s="5"/>
      <c r="CG771" s="5"/>
      <c r="CH771" s="5"/>
      <c r="CI771" s="5"/>
      <c r="CJ771" s="5"/>
      <c r="CK771" s="5"/>
      <c r="CL771" s="5"/>
      <c r="CM771" s="5"/>
      <c r="CN771" s="5"/>
      <c r="CO771" s="5"/>
      <c r="CP771" s="5"/>
      <c r="CQ771" s="5"/>
      <c r="CR771" s="5"/>
      <c r="CS771" s="5"/>
      <c r="CT771" s="5"/>
      <c r="CU771" s="5"/>
    </row>
    <row r="772" spans="1:99">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c r="CA772" s="5"/>
      <c r="CB772" s="5"/>
      <c r="CC772" s="5"/>
      <c r="CD772" s="5"/>
      <c r="CE772" s="5"/>
      <c r="CF772" s="5"/>
      <c r="CG772" s="5"/>
      <c r="CH772" s="5"/>
      <c r="CI772" s="5"/>
      <c r="CJ772" s="5"/>
      <c r="CK772" s="5"/>
      <c r="CL772" s="5"/>
      <c r="CM772" s="5"/>
      <c r="CN772" s="5"/>
      <c r="CO772" s="5"/>
      <c r="CP772" s="5"/>
      <c r="CQ772" s="5"/>
      <c r="CR772" s="5"/>
      <c r="CS772" s="5"/>
      <c r="CT772" s="5"/>
      <c r="CU772" s="5"/>
    </row>
    <row r="773" spans="1:99">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c r="BT773" s="5"/>
      <c r="BU773" s="5"/>
      <c r="BV773" s="5"/>
      <c r="BW773" s="5"/>
      <c r="BX773" s="5"/>
      <c r="BY773" s="5"/>
      <c r="BZ773" s="5"/>
      <c r="CA773" s="5"/>
      <c r="CB773" s="5"/>
      <c r="CC773" s="5"/>
      <c r="CD773" s="5"/>
      <c r="CE773" s="5"/>
      <c r="CF773" s="5"/>
      <c r="CG773" s="5"/>
      <c r="CH773" s="5"/>
      <c r="CI773" s="5"/>
      <c r="CJ773" s="5"/>
      <c r="CK773" s="5"/>
      <c r="CL773" s="5"/>
      <c r="CM773" s="5"/>
      <c r="CN773" s="5"/>
      <c r="CO773" s="5"/>
      <c r="CP773" s="5"/>
      <c r="CQ773" s="5"/>
      <c r="CR773" s="5"/>
      <c r="CS773" s="5"/>
      <c r="CT773" s="5"/>
      <c r="CU773" s="5"/>
    </row>
    <row r="774" spans="1:99">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c r="CA774" s="5"/>
      <c r="CB774" s="5"/>
      <c r="CC774" s="5"/>
      <c r="CD774" s="5"/>
      <c r="CE774" s="5"/>
      <c r="CF774" s="5"/>
      <c r="CG774" s="5"/>
      <c r="CH774" s="5"/>
      <c r="CI774" s="5"/>
      <c r="CJ774" s="5"/>
      <c r="CK774" s="5"/>
      <c r="CL774" s="5"/>
      <c r="CM774" s="5"/>
      <c r="CN774" s="5"/>
      <c r="CO774" s="5"/>
      <c r="CP774" s="5"/>
      <c r="CQ774" s="5"/>
      <c r="CR774" s="5"/>
      <c r="CS774" s="5"/>
      <c r="CT774" s="5"/>
      <c r="CU774" s="5"/>
    </row>
    <row r="775" spans="1:99">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c r="BT775" s="5"/>
      <c r="BU775" s="5"/>
      <c r="BV775" s="5"/>
      <c r="BW775" s="5"/>
      <c r="BX775" s="5"/>
      <c r="BY775" s="5"/>
      <c r="BZ775" s="5"/>
      <c r="CA775" s="5"/>
      <c r="CB775" s="5"/>
      <c r="CC775" s="5"/>
      <c r="CD775" s="5"/>
      <c r="CE775" s="5"/>
      <c r="CF775" s="5"/>
      <c r="CG775" s="5"/>
      <c r="CH775" s="5"/>
      <c r="CI775" s="5"/>
      <c r="CJ775" s="5"/>
      <c r="CK775" s="5"/>
      <c r="CL775" s="5"/>
      <c r="CM775" s="5"/>
      <c r="CN775" s="5"/>
      <c r="CO775" s="5"/>
      <c r="CP775" s="5"/>
      <c r="CQ775" s="5"/>
      <c r="CR775" s="5"/>
      <c r="CS775" s="5"/>
      <c r="CT775" s="5"/>
      <c r="CU775" s="5"/>
    </row>
    <row r="776" spans="1:99">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c r="CA776" s="5"/>
      <c r="CB776" s="5"/>
      <c r="CC776" s="5"/>
      <c r="CD776" s="5"/>
      <c r="CE776" s="5"/>
      <c r="CF776" s="5"/>
      <c r="CG776" s="5"/>
      <c r="CH776" s="5"/>
      <c r="CI776" s="5"/>
      <c r="CJ776" s="5"/>
      <c r="CK776" s="5"/>
      <c r="CL776" s="5"/>
      <c r="CM776" s="5"/>
      <c r="CN776" s="5"/>
      <c r="CO776" s="5"/>
      <c r="CP776" s="5"/>
      <c r="CQ776" s="5"/>
      <c r="CR776" s="5"/>
      <c r="CS776" s="5"/>
      <c r="CT776" s="5"/>
      <c r="CU776" s="5"/>
    </row>
    <row r="777" spans="1:99">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c r="CA777" s="5"/>
      <c r="CB777" s="5"/>
      <c r="CC777" s="5"/>
      <c r="CD777" s="5"/>
      <c r="CE777" s="5"/>
      <c r="CF777" s="5"/>
      <c r="CG777" s="5"/>
      <c r="CH777" s="5"/>
      <c r="CI777" s="5"/>
      <c r="CJ777" s="5"/>
      <c r="CK777" s="5"/>
      <c r="CL777" s="5"/>
      <c r="CM777" s="5"/>
      <c r="CN777" s="5"/>
      <c r="CO777" s="5"/>
      <c r="CP777" s="5"/>
      <c r="CQ777" s="5"/>
      <c r="CR777" s="5"/>
      <c r="CS777" s="5"/>
      <c r="CT777" s="5"/>
      <c r="CU777" s="5"/>
    </row>
    <row r="778" spans="1:99">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c r="CA778" s="5"/>
      <c r="CB778" s="5"/>
      <c r="CC778" s="5"/>
      <c r="CD778" s="5"/>
      <c r="CE778" s="5"/>
      <c r="CF778" s="5"/>
      <c r="CG778" s="5"/>
      <c r="CH778" s="5"/>
      <c r="CI778" s="5"/>
      <c r="CJ778" s="5"/>
      <c r="CK778" s="5"/>
      <c r="CL778" s="5"/>
      <c r="CM778" s="5"/>
      <c r="CN778" s="5"/>
      <c r="CO778" s="5"/>
      <c r="CP778" s="5"/>
      <c r="CQ778" s="5"/>
      <c r="CR778" s="5"/>
      <c r="CS778" s="5"/>
      <c r="CT778" s="5"/>
      <c r="CU778" s="5"/>
    </row>
    <row r="779" spans="1:9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c r="CA779" s="5"/>
      <c r="CB779" s="5"/>
      <c r="CC779" s="5"/>
      <c r="CD779" s="5"/>
      <c r="CE779" s="5"/>
      <c r="CF779" s="5"/>
      <c r="CG779" s="5"/>
      <c r="CH779" s="5"/>
      <c r="CI779" s="5"/>
      <c r="CJ779" s="5"/>
      <c r="CK779" s="5"/>
      <c r="CL779" s="5"/>
      <c r="CM779" s="5"/>
      <c r="CN779" s="5"/>
      <c r="CO779" s="5"/>
      <c r="CP779" s="5"/>
      <c r="CQ779" s="5"/>
      <c r="CR779" s="5"/>
      <c r="CS779" s="5"/>
      <c r="CT779" s="5"/>
      <c r="CU779" s="5"/>
    </row>
    <row r="780" spans="1:99">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c r="CA780" s="5"/>
      <c r="CB780" s="5"/>
      <c r="CC780" s="5"/>
      <c r="CD780" s="5"/>
      <c r="CE780" s="5"/>
      <c r="CF780" s="5"/>
      <c r="CG780" s="5"/>
      <c r="CH780" s="5"/>
      <c r="CI780" s="5"/>
      <c r="CJ780" s="5"/>
      <c r="CK780" s="5"/>
      <c r="CL780" s="5"/>
      <c r="CM780" s="5"/>
      <c r="CN780" s="5"/>
      <c r="CO780" s="5"/>
      <c r="CP780" s="5"/>
      <c r="CQ780" s="5"/>
      <c r="CR780" s="5"/>
      <c r="CS780" s="5"/>
      <c r="CT780" s="5"/>
      <c r="CU780" s="5"/>
    </row>
    <row r="781" spans="1:99">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c r="CM781" s="5"/>
      <c r="CN781" s="5"/>
      <c r="CO781" s="5"/>
      <c r="CP781" s="5"/>
      <c r="CQ781" s="5"/>
      <c r="CR781" s="5"/>
      <c r="CS781" s="5"/>
      <c r="CT781" s="5"/>
      <c r="CU781" s="5"/>
    </row>
    <row r="782" spans="1:99">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c r="BT782" s="5"/>
      <c r="BU782" s="5"/>
      <c r="BV782" s="5"/>
      <c r="BW782" s="5"/>
      <c r="BX782" s="5"/>
      <c r="BY782" s="5"/>
      <c r="BZ782" s="5"/>
      <c r="CA782" s="5"/>
      <c r="CB782" s="5"/>
      <c r="CC782" s="5"/>
      <c r="CD782" s="5"/>
      <c r="CE782" s="5"/>
      <c r="CF782" s="5"/>
      <c r="CG782" s="5"/>
      <c r="CH782" s="5"/>
      <c r="CI782" s="5"/>
      <c r="CJ782" s="5"/>
      <c r="CK782" s="5"/>
      <c r="CL782" s="5"/>
      <c r="CM782" s="5"/>
      <c r="CN782" s="5"/>
      <c r="CO782" s="5"/>
      <c r="CP782" s="5"/>
      <c r="CQ782" s="5"/>
      <c r="CR782" s="5"/>
      <c r="CS782" s="5"/>
      <c r="CT782" s="5"/>
      <c r="CU782" s="5"/>
    </row>
    <row r="783" spans="1:99">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c r="BU783" s="5"/>
      <c r="BV783" s="5"/>
      <c r="BW783" s="5"/>
      <c r="BX783" s="5"/>
      <c r="BY783" s="5"/>
      <c r="BZ783" s="5"/>
      <c r="CA783" s="5"/>
      <c r="CB783" s="5"/>
      <c r="CC783" s="5"/>
      <c r="CD783" s="5"/>
      <c r="CE783" s="5"/>
      <c r="CF783" s="5"/>
      <c r="CG783" s="5"/>
      <c r="CH783" s="5"/>
      <c r="CI783" s="5"/>
      <c r="CJ783" s="5"/>
      <c r="CK783" s="5"/>
      <c r="CL783" s="5"/>
      <c r="CM783" s="5"/>
      <c r="CN783" s="5"/>
      <c r="CO783" s="5"/>
      <c r="CP783" s="5"/>
      <c r="CQ783" s="5"/>
      <c r="CR783" s="5"/>
      <c r="CS783" s="5"/>
      <c r="CT783" s="5"/>
      <c r="CU783" s="5"/>
    </row>
    <row r="784" spans="1:99">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c r="CO784" s="5"/>
      <c r="CP784" s="5"/>
      <c r="CQ784" s="5"/>
      <c r="CR784" s="5"/>
      <c r="CS784" s="5"/>
      <c r="CT784" s="5"/>
      <c r="CU784" s="5"/>
    </row>
    <row r="785" spans="1:99">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c r="BT785" s="5"/>
      <c r="BU785" s="5"/>
      <c r="BV785" s="5"/>
      <c r="BW785" s="5"/>
      <c r="BX785" s="5"/>
      <c r="BY785" s="5"/>
      <c r="BZ785" s="5"/>
      <c r="CA785" s="5"/>
      <c r="CB785" s="5"/>
      <c r="CC785" s="5"/>
      <c r="CD785" s="5"/>
      <c r="CE785" s="5"/>
      <c r="CF785" s="5"/>
      <c r="CG785" s="5"/>
      <c r="CH785" s="5"/>
      <c r="CI785" s="5"/>
      <c r="CJ785" s="5"/>
      <c r="CK785" s="5"/>
      <c r="CL785" s="5"/>
      <c r="CM785" s="5"/>
      <c r="CN785" s="5"/>
      <c r="CO785" s="5"/>
      <c r="CP785" s="5"/>
      <c r="CQ785" s="5"/>
      <c r="CR785" s="5"/>
      <c r="CS785" s="5"/>
      <c r="CT785" s="5"/>
      <c r="CU785" s="5"/>
    </row>
    <row r="786" spans="1:99">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c r="BT786" s="5"/>
      <c r="BU786" s="5"/>
      <c r="BV786" s="5"/>
      <c r="BW786" s="5"/>
      <c r="BX786" s="5"/>
      <c r="BY786" s="5"/>
      <c r="BZ786" s="5"/>
      <c r="CA786" s="5"/>
      <c r="CB786" s="5"/>
      <c r="CC786" s="5"/>
      <c r="CD786" s="5"/>
      <c r="CE786" s="5"/>
      <c r="CF786" s="5"/>
      <c r="CG786" s="5"/>
      <c r="CH786" s="5"/>
      <c r="CI786" s="5"/>
      <c r="CJ786" s="5"/>
      <c r="CK786" s="5"/>
      <c r="CL786" s="5"/>
      <c r="CM786" s="5"/>
      <c r="CN786" s="5"/>
      <c r="CO786" s="5"/>
      <c r="CP786" s="5"/>
      <c r="CQ786" s="5"/>
      <c r="CR786" s="5"/>
      <c r="CS786" s="5"/>
      <c r="CT786" s="5"/>
      <c r="CU786" s="5"/>
    </row>
    <row r="787" spans="1:99">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c r="BT787" s="5"/>
      <c r="BU787" s="5"/>
      <c r="BV787" s="5"/>
      <c r="BW787" s="5"/>
      <c r="BX787" s="5"/>
      <c r="BY787" s="5"/>
      <c r="BZ787" s="5"/>
      <c r="CA787" s="5"/>
      <c r="CB787" s="5"/>
      <c r="CC787" s="5"/>
      <c r="CD787" s="5"/>
      <c r="CE787" s="5"/>
      <c r="CF787" s="5"/>
      <c r="CG787" s="5"/>
      <c r="CH787" s="5"/>
      <c r="CI787" s="5"/>
      <c r="CJ787" s="5"/>
      <c r="CK787" s="5"/>
      <c r="CL787" s="5"/>
      <c r="CM787" s="5"/>
      <c r="CN787" s="5"/>
      <c r="CO787" s="5"/>
      <c r="CP787" s="5"/>
      <c r="CQ787" s="5"/>
      <c r="CR787" s="5"/>
      <c r="CS787" s="5"/>
      <c r="CT787" s="5"/>
      <c r="CU787" s="5"/>
    </row>
    <row r="788" spans="1:99">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c r="BT788" s="5"/>
      <c r="BU788" s="5"/>
      <c r="BV788" s="5"/>
      <c r="BW788" s="5"/>
      <c r="BX788" s="5"/>
      <c r="BY788" s="5"/>
      <c r="BZ788" s="5"/>
      <c r="CA788" s="5"/>
      <c r="CB788" s="5"/>
      <c r="CC788" s="5"/>
      <c r="CD788" s="5"/>
      <c r="CE788" s="5"/>
      <c r="CF788" s="5"/>
      <c r="CG788" s="5"/>
      <c r="CH788" s="5"/>
      <c r="CI788" s="5"/>
      <c r="CJ788" s="5"/>
      <c r="CK788" s="5"/>
      <c r="CL788" s="5"/>
      <c r="CM788" s="5"/>
      <c r="CN788" s="5"/>
      <c r="CO788" s="5"/>
      <c r="CP788" s="5"/>
      <c r="CQ788" s="5"/>
      <c r="CR788" s="5"/>
      <c r="CS788" s="5"/>
      <c r="CT788" s="5"/>
      <c r="CU788" s="5"/>
    </row>
    <row r="789" spans="1:9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c r="BT789" s="5"/>
      <c r="BU789" s="5"/>
      <c r="BV789" s="5"/>
      <c r="BW789" s="5"/>
      <c r="BX789" s="5"/>
      <c r="BY789" s="5"/>
      <c r="BZ789" s="5"/>
      <c r="CA789" s="5"/>
      <c r="CB789" s="5"/>
      <c r="CC789" s="5"/>
      <c r="CD789" s="5"/>
      <c r="CE789" s="5"/>
      <c r="CF789" s="5"/>
      <c r="CG789" s="5"/>
      <c r="CH789" s="5"/>
      <c r="CI789" s="5"/>
      <c r="CJ789" s="5"/>
      <c r="CK789" s="5"/>
      <c r="CL789" s="5"/>
      <c r="CM789" s="5"/>
      <c r="CN789" s="5"/>
      <c r="CO789" s="5"/>
      <c r="CP789" s="5"/>
      <c r="CQ789" s="5"/>
      <c r="CR789" s="5"/>
      <c r="CS789" s="5"/>
      <c r="CT789" s="5"/>
      <c r="CU789" s="5"/>
    </row>
    <row r="790" spans="1:99">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c r="BU790" s="5"/>
      <c r="BV790" s="5"/>
      <c r="BW790" s="5"/>
      <c r="BX790" s="5"/>
      <c r="BY790" s="5"/>
      <c r="BZ790" s="5"/>
      <c r="CA790" s="5"/>
      <c r="CB790" s="5"/>
      <c r="CC790" s="5"/>
      <c r="CD790" s="5"/>
      <c r="CE790" s="5"/>
      <c r="CF790" s="5"/>
      <c r="CG790" s="5"/>
      <c r="CH790" s="5"/>
      <c r="CI790" s="5"/>
      <c r="CJ790" s="5"/>
      <c r="CK790" s="5"/>
      <c r="CL790" s="5"/>
      <c r="CM790" s="5"/>
      <c r="CN790" s="5"/>
      <c r="CO790" s="5"/>
      <c r="CP790" s="5"/>
      <c r="CQ790" s="5"/>
      <c r="CR790" s="5"/>
      <c r="CS790" s="5"/>
      <c r="CT790" s="5"/>
      <c r="CU790" s="5"/>
    </row>
    <row r="791" spans="1:99">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c r="BT791" s="5"/>
      <c r="BU791" s="5"/>
      <c r="BV791" s="5"/>
      <c r="BW791" s="5"/>
      <c r="BX791" s="5"/>
      <c r="BY791" s="5"/>
      <c r="BZ791" s="5"/>
      <c r="CA791" s="5"/>
      <c r="CB791" s="5"/>
      <c r="CC791" s="5"/>
      <c r="CD791" s="5"/>
      <c r="CE791" s="5"/>
      <c r="CF791" s="5"/>
      <c r="CG791" s="5"/>
      <c r="CH791" s="5"/>
      <c r="CI791" s="5"/>
      <c r="CJ791" s="5"/>
      <c r="CK791" s="5"/>
      <c r="CL791" s="5"/>
      <c r="CM791" s="5"/>
      <c r="CN791" s="5"/>
      <c r="CO791" s="5"/>
      <c r="CP791" s="5"/>
      <c r="CQ791" s="5"/>
      <c r="CR791" s="5"/>
      <c r="CS791" s="5"/>
      <c r="CT791" s="5"/>
      <c r="CU791" s="5"/>
    </row>
    <row r="792" spans="1:99">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c r="BU792" s="5"/>
      <c r="BV792" s="5"/>
      <c r="BW792" s="5"/>
      <c r="BX792" s="5"/>
      <c r="BY792" s="5"/>
      <c r="BZ792" s="5"/>
      <c r="CA792" s="5"/>
      <c r="CB792" s="5"/>
      <c r="CC792" s="5"/>
      <c r="CD792" s="5"/>
      <c r="CE792" s="5"/>
      <c r="CF792" s="5"/>
      <c r="CG792" s="5"/>
      <c r="CH792" s="5"/>
      <c r="CI792" s="5"/>
      <c r="CJ792" s="5"/>
      <c r="CK792" s="5"/>
      <c r="CL792" s="5"/>
      <c r="CM792" s="5"/>
      <c r="CN792" s="5"/>
      <c r="CO792" s="5"/>
      <c r="CP792" s="5"/>
      <c r="CQ792" s="5"/>
      <c r="CR792" s="5"/>
      <c r="CS792" s="5"/>
      <c r="CT792" s="5"/>
      <c r="CU792" s="5"/>
    </row>
    <row r="793" spans="1:99">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c r="BU793" s="5"/>
      <c r="BV793" s="5"/>
      <c r="BW793" s="5"/>
      <c r="BX793" s="5"/>
      <c r="BY793" s="5"/>
      <c r="BZ793" s="5"/>
      <c r="CA793" s="5"/>
      <c r="CB793" s="5"/>
      <c r="CC793" s="5"/>
      <c r="CD793" s="5"/>
      <c r="CE793" s="5"/>
      <c r="CF793" s="5"/>
      <c r="CG793" s="5"/>
      <c r="CH793" s="5"/>
      <c r="CI793" s="5"/>
      <c r="CJ793" s="5"/>
      <c r="CK793" s="5"/>
      <c r="CL793" s="5"/>
      <c r="CM793" s="5"/>
      <c r="CN793" s="5"/>
      <c r="CO793" s="5"/>
      <c r="CP793" s="5"/>
      <c r="CQ793" s="5"/>
      <c r="CR793" s="5"/>
      <c r="CS793" s="5"/>
      <c r="CT793" s="5"/>
      <c r="CU793" s="5"/>
    </row>
    <row r="794" spans="1:99">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c r="BT794" s="5"/>
      <c r="BU794" s="5"/>
      <c r="BV794" s="5"/>
      <c r="BW794" s="5"/>
      <c r="BX794" s="5"/>
      <c r="BY794" s="5"/>
      <c r="BZ794" s="5"/>
      <c r="CA794" s="5"/>
      <c r="CB794" s="5"/>
      <c r="CC794" s="5"/>
      <c r="CD794" s="5"/>
      <c r="CE794" s="5"/>
      <c r="CF794" s="5"/>
      <c r="CG794" s="5"/>
      <c r="CH794" s="5"/>
      <c r="CI794" s="5"/>
      <c r="CJ794" s="5"/>
      <c r="CK794" s="5"/>
      <c r="CL794" s="5"/>
      <c r="CM794" s="5"/>
      <c r="CN794" s="5"/>
      <c r="CO794" s="5"/>
      <c r="CP794" s="5"/>
      <c r="CQ794" s="5"/>
      <c r="CR794" s="5"/>
      <c r="CS794" s="5"/>
      <c r="CT794" s="5"/>
      <c r="CU794" s="5"/>
    </row>
    <row r="795" spans="1:99">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c r="BU795" s="5"/>
      <c r="BV795" s="5"/>
      <c r="BW795" s="5"/>
      <c r="BX795" s="5"/>
      <c r="BY795" s="5"/>
      <c r="BZ795" s="5"/>
      <c r="CA795" s="5"/>
      <c r="CB795" s="5"/>
      <c r="CC795" s="5"/>
      <c r="CD795" s="5"/>
      <c r="CE795" s="5"/>
      <c r="CF795" s="5"/>
      <c r="CG795" s="5"/>
      <c r="CH795" s="5"/>
      <c r="CI795" s="5"/>
      <c r="CJ795" s="5"/>
      <c r="CK795" s="5"/>
      <c r="CL795" s="5"/>
      <c r="CM795" s="5"/>
      <c r="CN795" s="5"/>
      <c r="CO795" s="5"/>
      <c r="CP795" s="5"/>
      <c r="CQ795" s="5"/>
      <c r="CR795" s="5"/>
      <c r="CS795" s="5"/>
      <c r="CT795" s="5"/>
      <c r="CU795" s="5"/>
    </row>
    <row r="796" spans="1:99">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c r="BT796" s="5"/>
      <c r="BU796" s="5"/>
      <c r="BV796" s="5"/>
      <c r="BW796" s="5"/>
      <c r="BX796" s="5"/>
      <c r="BY796" s="5"/>
      <c r="BZ796" s="5"/>
      <c r="CA796" s="5"/>
      <c r="CB796" s="5"/>
      <c r="CC796" s="5"/>
      <c r="CD796" s="5"/>
      <c r="CE796" s="5"/>
      <c r="CF796" s="5"/>
      <c r="CG796" s="5"/>
      <c r="CH796" s="5"/>
      <c r="CI796" s="5"/>
      <c r="CJ796" s="5"/>
      <c r="CK796" s="5"/>
      <c r="CL796" s="5"/>
      <c r="CM796" s="5"/>
      <c r="CN796" s="5"/>
      <c r="CO796" s="5"/>
      <c r="CP796" s="5"/>
      <c r="CQ796" s="5"/>
      <c r="CR796" s="5"/>
      <c r="CS796" s="5"/>
      <c r="CT796" s="5"/>
      <c r="CU796" s="5"/>
    </row>
    <row r="797" spans="1:99">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c r="CO797" s="5"/>
      <c r="CP797" s="5"/>
      <c r="CQ797" s="5"/>
      <c r="CR797" s="5"/>
      <c r="CS797" s="5"/>
      <c r="CT797" s="5"/>
      <c r="CU797" s="5"/>
    </row>
    <row r="798" spans="1:99">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c r="BT798" s="5"/>
      <c r="BU798" s="5"/>
      <c r="BV798" s="5"/>
      <c r="BW798" s="5"/>
      <c r="BX798" s="5"/>
      <c r="BY798" s="5"/>
      <c r="BZ798" s="5"/>
      <c r="CA798" s="5"/>
      <c r="CB798" s="5"/>
      <c r="CC798" s="5"/>
      <c r="CD798" s="5"/>
      <c r="CE798" s="5"/>
      <c r="CF798" s="5"/>
      <c r="CG798" s="5"/>
      <c r="CH798" s="5"/>
      <c r="CI798" s="5"/>
      <c r="CJ798" s="5"/>
      <c r="CK798" s="5"/>
      <c r="CL798" s="5"/>
      <c r="CM798" s="5"/>
      <c r="CN798" s="5"/>
      <c r="CO798" s="5"/>
      <c r="CP798" s="5"/>
      <c r="CQ798" s="5"/>
      <c r="CR798" s="5"/>
      <c r="CS798" s="5"/>
      <c r="CT798" s="5"/>
      <c r="CU798" s="5"/>
    </row>
    <row r="799" spans="1: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5"/>
      <c r="CR799" s="5"/>
      <c r="CS799" s="5"/>
      <c r="CT799" s="5"/>
      <c r="CU799" s="5"/>
    </row>
    <row r="800" spans="1:99">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5"/>
      <c r="CR800" s="5"/>
      <c r="CS800" s="5"/>
      <c r="CT800" s="5"/>
      <c r="CU800" s="5"/>
    </row>
    <row r="801" spans="1:99">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c r="BT801" s="5"/>
      <c r="BU801" s="5"/>
      <c r="BV801" s="5"/>
      <c r="BW801" s="5"/>
      <c r="BX801" s="5"/>
      <c r="BY801" s="5"/>
      <c r="BZ801" s="5"/>
      <c r="CA801" s="5"/>
      <c r="CB801" s="5"/>
      <c r="CC801" s="5"/>
      <c r="CD801" s="5"/>
      <c r="CE801" s="5"/>
      <c r="CF801" s="5"/>
      <c r="CG801" s="5"/>
      <c r="CH801" s="5"/>
      <c r="CI801" s="5"/>
      <c r="CJ801" s="5"/>
      <c r="CK801" s="5"/>
      <c r="CL801" s="5"/>
      <c r="CM801" s="5"/>
      <c r="CN801" s="5"/>
      <c r="CO801" s="5"/>
      <c r="CP801" s="5"/>
      <c r="CQ801" s="5"/>
      <c r="CR801" s="5"/>
      <c r="CS801" s="5"/>
      <c r="CT801" s="5"/>
      <c r="CU801" s="5"/>
    </row>
    <row r="802" spans="1:99">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row>
    <row r="803" spans="1:99">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5"/>
      <c r="CQ803" s="5"/>
      <c r="CR803" s="5"/>
      <c r="CS803" s="5"/>
      <c r="CT803" s="5"/>
      <c r="CU803" s="5"/>
    </row>
    <row r="804" spans="1:99">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c r="BP804" s="5"/>
      <c r="BQ804" s="5"/>
      <c r="BR804" s="5"/>
      <c r="BS804" s="5"/>
      <c r="BT804" s="5"/>
      <c r="BU804" s="5"/>
      <c r="BV804" s="5"/>
      <c r="BW804" s="5"/>
      <c r="BX804" s="5"/>
      <c r="BY804" s="5"/>
      <c r="BZ804" s="5"/>
      <c r="CA804" s="5"/>
      <c r="CB804" s="5"/>
      <c r="CC804" s="5"/>
      <c r="CD804" s="5"/>
      <c r="CE804" s="5"/>
      <c r="CF804" s="5"/>
      <c r="CG804" s="5"/>
      <c r="CH804" s="5"/>
      <c r="CI804" s="5"/>
      <c r="CJ804" s="5"/>
      <c r="CK804" s="5"/>
      <c r="CL804" s="5"/>
      <c r="CM804" s="5"/>
      <c r="CN804" s="5"/>
      <c r="CO804" s="5"/>
      <c r="CP804" s="5"/>
      <c r="CQ804" s="5"/>
      <c r="CR804" s="5"/>
      <c r="CS804" s="5"/>
      <c r="CT804" s="5"/>
      <c r="CU804" s="5"/>
    </row>
    <row r="805" spans="1:99">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row>
    <row r="806" spans="1:99">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c r="BT806" s="5"/>
      <c r="BU806" s="5"/>
      <c r="BV806" s="5"/>
      <c r="BW806" s="5"/>
      <c r="BX806" s="5"/>
      <c r="BY806" s="5"/>
      <c r="BZ806" s="5"/>
      <c r="CA806" s="5"/>
      <c r="CB806" s="5"/>
      <c r="CC806" s="5"/>
      <c r="CD806" s="5"/>
      <c r="CE806" s="5"/>
      <c r="CF806" s="5"/>
      <c r="CG806" s="5"/>
      <c r="CH806" s="5"/>
      <c r="CI806" s="5"/>
      <c r="CJ806" s="5"/>
      <c r="CK806" s="5"/>
      <c r="CL806" s="5"/>
      <c r="CM806" s="5"/>
      <c r="CN806" s="5"/>
      <c r="CO806" s="5"/>
      <c r="CP806" s="5"/>
      <c r="CQ806" s="5"/>
      <c r="CR806" s="5"/>
      <c r="CS806" s="5"/>
      <c r="CT806" s="5"/>
      <c r="CU806" s="5"/>
    </row>
    <row r="807" spans="1:99">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c r="BT807" s="5"/>
      <c r="BU807" s="5"/>
      <c r="BV807" s="5"/>
      <c r="BW807" s="5"/>
      <c r="BX807" s="5"/>
      <c r="BY807" s="5"/>
      <c r="BZ807" s="5"/>
      <c r="CA807" s="5"/>
      <c r="CB807" s="5"/>
      <c r="CC807" s="5"/>
      <c r="CD807" s="5"/>
      <c r="CE807" s="5"/>
      <c r="CF807" s="5"/>
      <c r="CG807" s="5"/>
      <c r="CH807" s="5"/>
      <c r="CI807" s="5"/>
      <c r="CJ807" s="5"/>
      <c r="CK807" s="5"/>
      <c r="CL807" s="5"/>
      <c r="CM807" s="5"/>
      <c r="CN807" s="5"/>
      <c r="CO807" s="5"/>
      <c r="CP807" s="5"/>
      <c r="CQ807" s="5"/>
      <c r="CR807" s="5"/>
      <c r="CS807" s="5"/>
      <c r="CT807" s="5"/>
      <c r="CU807" s="5"/>
    </row>
    <row r="808" spans="1:99">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c r="BT808" s="5"/>
      <c r="BU808" s="5"/>
      <c r="BV808" s="5"/>
      <c r="BW808" s="5"/>
      <c r="BX808" s="5"/>
      <c r="BY808" s="5"/>
      <c r="BZ808" s="5"/>
      <c r="CA808" s="5"/>
      <c r="CB808" s="5"/>
      <c r="CC808" s="5"/>
      <c r="CD808" s="5"/>
      <c r="CE808" s="5"/>
      <c r="CF808" s="5"/>
      <c r="CG808" s="5"/>
      <c r="CH808" s="5"/>
      <c r="CI808" s="5"/>
      <c r="CJ808" s="5"/>
      <c r="CK808" s="5"/>
      <c r="CL808" s="5"/>
      <c r="CM808" s="5"/>
      <c r="CN808" s="5"/>
      <c r="CO808" s="5"/>
      <c r="CP808" s="5"/>
      <c r="CQ808" s="5"/>
      <c r="CR808" s="5"/>
      <c r="CS808" s="5"/>
      <c r="CT808" s="5"/>
      <c r="CU808" s="5"/>
    </row>
    <row r="809" spans="1:9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c r="BT809" s="5"/>
      <c r="BU809" s="5"/>
      <c r="BV809" s="5"/>
      <c r="BW809" s="5"/>
      <c r="BX809" s="5"/>
      <c r="BY809" s="5"/>
      <c r="BZ809" s="5"/>
      <c r="CA809" s="5"/>
      <c r="CB809" s="5"/>
      <c r="CC809" s="5"/>
      <c r="CD809" s="5"/>
      <c r="CE809" s="5"/>
      <c r="CF809" s="5"/>
      <c r="CG809" s="5"/>
      <c r="CH809" s="5"/>
      <c r="CI809" s="5"/>
      <c r="CJ809" s="5"/>
      <c r="CK809" s="5"/>
      <c r="CL809" s="5"/>
      <c r="CM809" s="5"/>
      <c r="CN809" s="5"/>
      <c r="CO809" s="5"/>
      <c r="CP809" s="5"/>
      <c r="CQ809" s="5"/>
      <c r="CR809" s="5"/>
      <c r="CS809" s="5"/>
      <c r="CT809" s="5"/>
      <c r="CU809" s="5"/>
    </row>
    <row r="810" spans="1:99">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c r="CA810" s="5"/>
      <c r="CB810" s="5"/>
      <c r="CC810" s="5"/>
      <c r="CD810" s="5"/>
      <c r="CE810" s="5"/>
      <c r="CF810" s="5"/>
      <c r="CG810" s="5"/>
      <c r="CH810" s="5"/>
      <c r="CI810" s="5"/>
      <c r="CJ810" s="5"/>
      <c r="CK810" s="5"/>
      <c r="CL810" s="5"/>
      <c r="CM810" s="5"/>
      <c r="CN810" s="5"/>
      <c r="CO810" s="5"/>
      <c r="CP810" s="5"/>
      <c r="CQ810" s="5"/>
      <c r="CR810" s="5"/>
      <c r="CS810" s="5"/>
      <c r="CT810" s="5"/>
      <c r="CU810" s="5"/>
    </row>
    <row r="811" spans="1:99">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5"/>
      <c r="BV811" s="5"/>
      <c r="BW811" s="5"/>
      <c r="BX811" s="5"/>
      <c r="BY811" s="5"/>
      <c r="BZ811" s="5"/>
      <c r="CA811" s="5"/>
      <c r="CB811" s="5"/>
      <c r="CC811" s="5"/>
      <c r="CD811" s="5"/>
      <c r="CE811" s="5"/>
      <c r="CF811" s="5"/>
      <c r="CG811" s="5"/>
      <c r="CH811" s="5"/>
      <c r="CI811" s="5"/>
      <c r="CJ811" s="5"/>
      <c r="CK811" s="5"/>
      <c r="CL811" s="5"/>
      <c r="CM811" s="5"/>
      <c r="CN811" s="5"/>
      <c r="CO811" s="5"/>
      <c r="CP811" s="5"/>
      <c r="CQ811" s="5"/>
      <c r="CR811" s="5"/>
      <c r="CS811" s="5"/>
      <c r="CT811" s="5"/>
      <c r="CU811" s="5"/>
    </row>
    <row r="812" spans="1:99">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c r="BU812" s="5"/>
      <c r="BV812" s="5"/>
      <c r="BW812" s="5"/>
      <c r="BX812" s="5"/>
      <c r="BY812" s="5"/>
      <c r="BZ812" s="5"/>
      <c r="CA812" s="5"/>
      <c r="CB812" s="5"/>
      <c r="CC812" s="5"/>
      <c r="CD812" s="5"/>
      <c r="CE812" s="5"/>
      <c r="CF812" s="5"/>
      <c r="CG812" s="5"/>
      <c r="CH812" s="5"/>
      <c r="CI812" s="5"/>
      <c r="CJ812" s="5"/>
      <c r="CK812" s="5"/>
      <c r="CL812" s="5"/>
      <c r="CM812" s="5"/>
      <c r="CN812" s="5"/>
      <c r="CO812" s="5"/>
      <c r="CP812" s="5"/>
      <c r="CQ812" s="5"/>
      <c r="CR812" s="5"/>
      <c r="CS812" s="5"/>
      <c r="CT812" s="5"/>
      <c r="CU812" s="5"/>
    </row>
    <row r="813" spans="1:99">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c r="BT813" s="5"/>
      <c r="BU813" s="5"/>
      <c r="BV813" s="5"/>
      <c r="BW813" s="5"/>
      <c r="BX813" s="5"/>
      <c r="BY813" s="5"/>
      <c r="BZ813" s="5"/>
      <c r="CA813" s="5"/>
      <c r="CB813" s="5"/>
      <c r="CC813" s="5"/>
      <c r="CD813" s="5"/>
      <c r="CE813" s="5"/>
      <c r="CF813" s="5"/>
      <c r="CG813" s="5"/>
      <c r="CH813" s="5"/>
      <c r="CI813" s="5"/>
      <c r="CJ813" s="5"/>
      <c r="CK813" s="5"/>
      <c r="CL813" s="5"/>
      <c r="CM813" s="5"/>
      <c r="CN813" s="5"/>
      <c r="CO813" s="5"/>
      <c r="CP813" s="5"/>
      <c r="CQ813" s="5"/>
      <c r="CR813" s="5"/>
      <c r="CS813" s="5"/>
      <c r="CT813" s="5"/>
      <c r="CU813" s="5"/>
    </row>
    <row r="814" spans="1:99">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c r="CA814" s="5"/>
      <c r="CB814" s="5"/>
      <c r="CC814" s="5"/>
      <c r="CD814" s="5"/>
      <c r="CE814" s="5"/>
      <c r="CF814" s="5"/>
      <c r="CG814" s="5"/>
      <c r="CH814" s="5"/>
      <c r="CI814" s="5"/>
      <c r="CJ814" s="5"/>
      <c r="CK814" s="5"/>
      <c r="CL814" s="5"/>
      <c r="CM814" s="5"/>
      <c r="CN814" s="5"/>
      <c r="CO814" s="5"/>
      <c r="CP814" s="5"/>
      <c r="CQ814" s="5"/>
      <c r="CR814" s="5"/>
      <c r="CS814" s="5"/>
      <c r="CT814" s="5"/>
      <c r="CU814" s="5"/>
    </row>
    <row r="815" spans="1:99">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c r="CA815" s="5"/>
      <c r="CB815" s="5"/>
      <c r="CC815" s="5"/>
      <c r="CD815" s="5"/>
      <c r="CE815" s="5"/>
      <c r="CF815" s="5"/>
      <c r="CG815" s="5"/>
      <c r="CH815" s="5"/>
      <c r="CI815" s="5"/>
      <c r="CJ815" s="5"/>
      <c r="CK815" s="5"/>
      <c r="CL815" s="5"/>
      <c r="CM815" s="5"/>
      <c r="CN815" s="5"/>
      <c r="CO815" s="5"/>
      <c r="CP815" s="5"/>
      <c r="CQ815" s="5"/>
      <c r="CR815" s="5"/>
      <c r="CS815" s="5"/>
      <c r="CT815" s="5"/>
      <c r="CU815" s="5"/>
    </row>
    <row r="816" spans="1:99">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c r="CA816" s="5"/>
      <c r="CB816" s="5"/>
      <c r="CC816" s="5"/>
      <c r="CD816" s="5"/>
      <c r="CE816" s="5"/>
      <c r="CF816" s="5"/>
      <c r="CG816" s="5"/>
      <c r="CH816" s="5"/>
      <c r="CI816" s="5"/>
      <c r="CJ816" s="5"/>
      <c r="CK816" s="5"/>
      <c r="CL816" s="5"/>
      <c r="CM816" s="5"/>
      <c r="CN816" s="5"/>
      <c r="CO816" s="5"/>
      <c r="CP816" s="5"/>
      <c r="CQ816" s="5"/>
      <c r="CR816" s="5"/>
      <c r="CS816" s="5"/>
      <c r="CT816" s="5"/>
      <c r="CU816" s="5"/>
    </row>
    <row r="817" spans="1:99">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c r="CA817" s="5"/>
      <c r="CB817" s="5"/>
      <c r="CC817" s="5"/>
      <c r="CD817" s="5"/>
      <c r="CE817" s="5"/>
      <c r="CF817" s="5"/>
      <c r="CG817" s="5"/>
      <c r="CH817" s="5"/>
      <c r="CI817" s="5"/>
      <c r="CJ817" s="5"/>
      <c r="CK817" s="5"/>
      <c r="CL817" s="5"/>
      <c r="CM817" s="5"/>
      <c r="CN817" s="5"/>
      <c r="CO817" s="5"/>
      <c r="CP817" s="5"/>
      <c r="CQ817" s="5"/>
      <c r="CR817" s="5"/>
      <c r="CS817" s="5"/>
      <c r="CT817" s="5"/>
      <c r="CU817" s="5"/>
    </row>
    <row r="818" spans="1:99">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c r="CA818" s="5"/>
      <c r="CB818" s="5"/>
      <c r="CC818" s="5"/>
      <c r="CD818" s="5"/>
      <c r="CE818" s="5"/>
      <c r="CF818" s="5"/>
      <c r="CG818" s="5"/>
      <c r="CH818" s="5"/>
      <c r="CI818" s="5"/>
      <c r="CJ818" s="5"/>
      <c r="CK818" s="5"/>
      <c r="CL818" s="5"/>
      <c r="CM818" s="5"/>
      <c r="CN818" s="5"/>
      <c r="CO818" s="5"/>
      <c r="CP818" s="5"/>
      <c r="CQ818" s="5"/>
      <c r="CR818" s="5"/>
      <c r="CS818" s="5"/>
      <c r="CT818" s="5"/>
      <c r="CU818" s="5"/>
    </row>
    <row r="819" spans="1:9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c r="CA819" s="5"/>
      <c r="CB819" s="5"/>
      <c r="CC819" s="5"/>
      <c r="CD819" s="5"/>
      <c r="CE819" s="5"/>
      <c r="CF819" s="5"/>
      <c r="CG819" s="5"/>
      <c r="CH819" s="5"/>
      <c r="CI819" s="5"/>
      <c r="CJ819" s="5"/>
      <c r="CK819" s="5"/>
      <c r="CL819" s="5"/>
      <c r="CM819" s="5"/>
      <c r="CN819" s="5"/>
      <c r="CO819" s="5"/>
      <c r="CP819" s="5"/>
      <c r="CQ819" s="5"/>
      <c r="CR819" s="5"/>
      <c r="CS819" s="5"/>
      <c r="CT819" s="5"/>
      <c r="CU819" s="5"/>
    </row>
    <row r="820" spans="1:99">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c r="CA820" s="5"/>
      <c r="CB820" s="5"/>
      <c r="CC820" s="5"/>
      <c r="CD820" s="5"/>
      <c r="CE820" s="5"/>
      <c r="CF820" s="5"/>
      <c r="CG820" s="5"/>
      <c r="CH820" s="5"/>
      <c r="CI820" s="5"/>
      <c r="CJ820" s="5"/>
      <c r="CK820" s="5"/>
      <c r="CL820" s="5"/>
      <c r="CM820" s="5"/>
      <c r="CN820" s="5"/>
      <c r="CO820" s="5"/>
      <c r="CP820" s="5"/>
      <c r="CQ820" s="5"/>
      <c r="CR820" s="5"/>
      <c r="CS820" s="5"/>
      <c r="CT820" s="5"/>
      <c r="CU820" s="5"/>
    </row>
    <row r="821" spans="1:99">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c r="CA821" s="5"/>
      <c r="CB821" s="5"/>
      <c r="CC821" s="5"/>
      <c r="CD821" s="5"/>
      <c r="CE821" s="5"/>
      <c r="CF821" s="5"/>
      <c r="CG821" s="5"/>
      <c r="CH821" s="5"/>
      <c r="CI821" s="5"/>
      <c r="CJ821" s="5"/>
      <c r="CK821" s="5"/>
      <c r="CL821" s="5"/>
      <c r="CM821" s="5"/>
      <c r="CN821" s="5"/>
      <c r="CO821" s="5"/>
      <c r="CP821" s="5"/>
      <c r="CQ821" s="5"/>
      <c r="CR821" s="5"/>
      <c r="CS821" s="5"/>
      <c r="CT821" s="5"/>
      <c r="CU821" s="5"/>
    </row>
    <row r="822" spans="1:99">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c r="CA822" s="5"/>
      <c r="CB822" s="5"/>
      <c r="CC822" s="5"/>
      <c r="CD822" s="5"/>
      <c r="CE822" s="5"/>
      <c r="CF822" s="5"/>
      <c r="CG822" s="5"/>
      <c r="CH822" s="5"/>
      <c r="CI822" s="5"/>
      <c r="CJ822" s="5"/>
      <c r="CK822" s="5"/>
      <c r="CL822" s="5"/>
      <c r="CM822" s="5"/>
      <c r="CN822" s="5"/>
      <c r="CO822" s="5"/>
      <c r="CP822" s="5"/>
      <c r="CQ822" s="5"/>
      <c r="CR822" s="5"/>
      <c r="CS822" s="5"/>
      <c r="CT822" s="5"/>
      <c r="CU822" s="5"/>
    </row>
    <row r="823" spans="1:99">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c r="CA823" s="5"/>
      <c r="CB823" s="5"/>
      <c r="CC823" s="5"/>
      <c r="CD823" s="5"/>
      <c r="CE823" s="5"/>
      <c r="CF823" s="5"/>
      <c r="CG823" s="5"/>
      <c r="CH823" s="5"/>
      <c r="CI823" s="5"/>
      <c r="CJ823" s="5"/>
      <c r="CK823" s="5"/>
      <c r="CL823" s="5"/>
      <c r="CM823" s="5"/>
      <c r="CN823" s="5"/>
      <c r="CO823" s="5"/>
      <c r="CP823" s="5"/>
      <c r="CQ823" s="5"/>
      <c r="CR823" s="5"/>
      <c r="CS823" s="5"/>
      <c r="CT823" s="5"/>
      <c r="CU823" s="5"/>
    </row>
    <row r="824" spans="1:99">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c r="CA824" s="5"/>
      <c r="CB824" s="5"/>
      <c r="CC824" s="5"/>
      <c r="CD824" s="5"/>
      <c r="CE824" s="5"/>
      <c r="CF824" s="5"/>
      <c r="CG824" s="5"/>
      <c r="CH824" s="5"/>
      <c r="CI824" s="5"/>
      <c r="CJ824" s="5"/>
      <c r="CK824" s="5"/>
      <c r="CL824" s="5"/>
      <c r="CM824" s="5"/>
      <c r="CN824" s="5"/>
      <c r="CO824" s="5"/>
      <c r="CP824" s="5"/>
      <c r="CQ824" s="5"/>
      <c r="CR824" s="5"/>
      <c r="CS824" s="5"/>
      <c r="CT824" s="5"/>
      <c r="CU824" s="5"/>
    </row>
    <row r="825" spans="1:99">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c r="BT825" s="5"/>
      <c r="BU825" s="5"/>
      <c r="BV825" s="5"/>
      <c r="BW825" s="5"/>
      <c r="BX825" s="5"/>
      <c r="BY825" s="5"/>
      <c r="BZ825" s="5"/>
      <c r="CA825" s="5"/>
      <c r="CB825" s="5"/>
      <c r="CC825" s="5"/>
      <c r="CD825" s="5"/>
      <c r="CE825" s="5"/>
      <c r="CF825" s="5"/>
      <c r="CG825" s="5"/>
      <c r="CH825" s="5"/>
      <c r="CI825" s="5"/>
      <c r="CJ825" s="5"/>
      <c r="CK825" s="5"/>
      <c r="CL825" s="5"/>
      <c r="CM825" s="5"/>
      <c r="CN825" s="5"/>
      <c r="CO825" s="5"/>
      <c r="CP825" s="5"/>
      <c r="CQ825" s="5"/>
      <c r="CR825" s="5"/>
      <c r="CS825" s="5"/>
      <c r="CT825" s="5"/>
      <c r="CU825" s="5"/>
    </row>
    <row r="826" spans="1:99">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c r="BT826" s="5"/>
      <c r="BU826" s="5"/>
      <c r="BV826" s="5"/>
      <c r="BW826" s="5"/>
      <c r="BX826" s="5"/>
      <c r="BY826" s="5"/>
      <c r="BZ826" s="5"/>
      <c r="CA826" s="5"/>
      <c r="CB826" s="5"/>
      <c r="CC826" s="5"/>
      <c r="CD826" s="5"/>
      <c r="CE826" s="5"/>
      <c r="CF826" s="5"/>
      <c r="CG826" s="5"/>
      <c r="CH826" s="5"/>
      <c r="CI826" s="5"/>
      <c r="CJ826" s="5"/>
      <c r="CK826" s="5"/>
      <c r="CL826" s="5"/>
      <c r="CM826" s="5"/>
      <c r="CN826" s="5"/>
      <c r="CO826" s="5"/>
      <c r="CP826" s="5"/>
      <c r="CQ826" s="5"/>
      <c r="CR826" s="5"/>
      <c r="CS826" s="5"/>
      <c r="CT826" s="5"/>
      <c r="CU826" s="5"/>
    </row>
    <row r="827" spans="1:99">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c r="CA827" s="5"/>
      <c r="CB827" s="5"/>
      <c r="CC827" s="5"/>
      <c r="CD827" s="5"/>
      <c r="CE827" s="5"/>
      <c r="CF827" s="5"/>
      <c r="CG827" s="5"/>
      <c r="CH827" s="5"/>
      <c r="CI827" s="5"/>
      <c r="CJ827" s="5"/>
      <c r="CK827" s="5"/>
      <c r="CL827" s="5"/>
      <c r="CM827" s="5"/>
      <c r="CN827" s="5"/>
      <c r="CO827" s="5"/>
      <c r="CP827" s="5"/>
      <c r="CQ827" s="5"/>
      <c r="CR827" s="5"/>
      <c r="CS827" s="5"/>
      <c r="CT827" s="5"/>
      <c r="CU827" s="5"/>
    </row>
    <row r="828" spans="1:99">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c r="CA828" s="5"/>
      <c r="CB828" s="5"/>
      <c r="CC828" s="5"/>
      <c r="CD828" s="5"/>
      <c r="CE828" s="5"/>
      <c r="CF828" s="5"/>
      <c r="CG828" s="5"/>
      <c r="CH828" s="5"/>
      <c r="CI828" s="5"/>
      <c r="CJ828" s="5"/>
      <c r="CK828" s="5"/>
      <c r="CL828" s="5"/>
      <c r="CM828" s="5"/>
      <c r="CN828" s="5"/>
      <c r="CO828" s="5"/>
      <c r="CP828" s="5"/>
      <c r="CQ828" s="5"/>
      <c r="CR828" s="5"/>
      <c r="CS828" s="5"/>
      <c r="CT828" s="5"/>
      <c r="CU828" s="5"/>
    </row>
    <row r="829" spans="1:9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c r="BT829" s="5"/>
      <c r="BU829" s="5"/>
      <c r="BV829" s="5"/>
      <c r="BW829" s="5"/>
      <c r="BX829" s="5"/>
      <c r="BY829" s="5"/>
      <c r="BZ829" s="5"/>
      <c r="CA829" s="5"/>
      <c r="CB829" s="5"/>
      <c r="CC829" s="5"/>
      <c r="CD829" s="5"/>
      <c r="CE829" s="5"/>
      <c r="CF829" s="5"/>
      <c r="CG829" s="5"/>
      <c r="CH829" s="5"/>
      <c r="CI829" s="5"/>
      <c r="CJ829" s="5"/>
      <c r="CK829" s="5"/>
      <c r="CL829" s="5"/>
      <c r="CM829" s="5"/>
      <c r="CN829" s="5"/>
      <c r="CO829" s="5"/>
      <c r="CP829" s="5"/>
      <c r="CQ829" s="5"/>
      <c r="CR829" s="5"/>
      <c r="CS829" s="5"/>
      <c r="CT829" s="5"/>
      <c r="CU829" s="5"/>
    </row>
    <row r="830" spans="1:99">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c r="CA830" s="5"/>
      <c r="CB830" s="5"/>
      <c r="CC830" s="5"/>
      <c r="CD830" s="5"/>
      <c r="CE830" s="5"/>
      <c r="CF830" s="5"/>
      <c r="CG830" s="5"/>
      <c r="CH830" s="5"/>
      <c r="CI830" s="5"/>
      <c r="CJ830" s="5"/>
      <c r="CK830" s="5"/>
      <c r="CL830" s="5"/>
      <c r="CM830" s="5"/>
      <c r="CN830" s="5"/>
      <c r="CO830" s="5"/>
      <c r="CP830" s="5"/>
      <c r="CQ830" s="5"/>
      <c r="CR830" s="5"/>
      <c r="CS830" s="5"/>
      <c r="CT830" s="5"/>
      <c r="CU830" s="5"/>
    </row>
    <row r="831" spans="1:99">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c r="CA831" s="5"/>
      <c r="CB831" s="5"/>
      <c r="CC831" s="5"/>
      <c r="CD831" s="5"/>
      <c r="CE831" s="5"/>
      <c r="CF831" s="5"/>
      <c r="CG831" s="5"/>
      <c r="CH831" s="5"/>
      <c r="CI831" s="5"/>
      <c r="CJ831" s="5"/>
      <c r="CK831" s="5"/>
      <c r="CL831" s="5"/>
      <c r="CM831" s="5"/>
      <c r="CN831" s="5"/>
      <c r="CO831" s="5"/>
      <c r="CP831" s="5"/>
      <c r="CQ831" s="5"/>
      <c r="CR831" s="5"/>
      <c r="CS831" s="5"/>
      <c r="CT831" s="5"/>
      <c r="CU831" s="5"/>
    </row>
    <row r="832" spans="1:99">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c r="CA832" s="5"/>
      <c r="CB832" s="5"/>
      <c r="CC832" s="5"/>
      <c r="CD832" s="5"/>
      <c r="CE832" s="5"/>
      <c r="CF832" s="5"/>
      <c r="CG832" s="5"/>
      <c r="CH832" s="5"/>
      <c r="CI832" s="5"/>
      <c r="CJ832" s="5"/>
      <c r="CK832" s="5"/>
      <c r="CL832" s="5"/>
      <c r="CM832" s="5"/>
      <c r="CN832" s="5"/>
      <c r="CO832" s="5"/>
      <c r="CP832" s="5"/>
      <c r="CQ832" s="5"/>
      <c r="CR832" s="5"/>
      <c r="CS832" s="5"/>
      <c r="CT832" s="5"/>
      <c r="CU832" s="5"/>
    </row>
    <row r="833" spans="1:99">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c r="CA833" s="5"/>
      <c r="CB833" s="5"/>
      <c r="CC833" s="5"/>
      <c r="CD833" s="5"/>
      <c r="CE833" s="5"/>
      <c r="CF833" s="5"/>
      <c r="CG833" s="5"/>
      <c r="CH833" s="5"/>
      <c r="CI833" s="5"/>
      <c r="CJ833" s="5"/>
      <c r="CK833" s="5"/>
      <c r="CL833" s="5"/>
      <c r="CM833" s="5"/>
      <c r="CN833" s="5"/>
      <c r="CO833" s="5"/>
      <c r="CP833" s="5"/>
      <c r="CQ833" s="5"/>
      <c r="CR833" s="5"/>
      <c r="CS833" s="5"/>
      <c r="CT833" s="5"/>
      <c r="CU833" s="5"/>
    </row>
    <row r="834" spans="1:99">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c r="CA834" s="5"/>
      <c r="CB834" s="5"/>
      <c r="CC834" s="5"/>
      <c r="CD834" s="5"/>
      <c r="CE834" s="5"/>
      <c r="CF834" s="5"/>
      <c r="CG834" s="5"/>
      <c r="CH834" s="5"/>
      <c r="CI834" s="5"/>
      <c r="CJ834" s="5"/>
      <c r="CK834" s="5"/>
      <c r="CL834" s="5"/>
      <c r="CM834" s="5"/>
      <c r="CN834" s="5"/>
      <c r="CO834" s="5"/>
      <c r="CP834" s="5"/>
      <c r="CQ834" s="5"/>
      <c r="CR834" s="5"/>
      <c r="CS834" s="5"/>
      <c r="CT834" s="5"/>
      <c r="CU834" s="5"/>
    </row>
    <row r="835" spans="1:99">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c r="CA835" s="5"/>
      <c r="CB835" s="5"/>
      <c r="CC835" s="5"/>
      <c r="CD835" s="5"/>
      <c r="CE835" s="5"/>
      <c r="CF835" s="5"/>
      <c r="CG835" s="5"/>
      <c r="CH835" s="5"/>
      <c r="CI835" s="5"/>
      <c r="CJ835" s="5"/>
      <c r="CK835" s="5"/>
      <c r="CL835" s="5"/>
      <c r="CM835" s="5"/>
      <c r="CN835" s="5"/>
      <c r="CO835" s="5"/>
      <c r="CP835" s="5"/>
      <c r="CQ835" s="5"/>
      <c r="CR835" s="5"/>
      <c r="CS835" s="5"/>
      <c r="CT835" s="5"/>
      <c r="CU835" s="5"/>
    </row>
    <row r="836" spans="1:99">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c r="CA836" s="5"/>
      <c r="CB836" s="5"/>
      <c r="CC836" s="5"/>
      <c r="CD836" s="5"/>
      <c r="CE836" s="5"/>
      <c r="CF836" s="5"/>
      <c r="CG836" s="5"/>
      <c r="CH836" s="5"/>
      <c r="CI836" s="5"/>
      <c r="CJ836" s="5"/>
      <c r="CK836" s="5"/>
      <c r="CL836" s="5"/>
      <c r="CM836" s="5"/>
      <c r="CN836" s="5"/>
      <c r="CO836" s="5"/>
      <c r="CP836" s="5"/>
      <c r="CQ836" s="5"/>
      <c r="CR836" s="5"/>
      <c r="CS836" s="5"/>
      <c r="CT836" s="5"/>
      <c r="CU836" s="5"/>
    </row>
    <row r="837" spans="1:99">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c r="BT837" s="5"/>
      <c r="BU837" s="5"/>
      <c r="BV837" s="5"/>
      <c r="BW837" s="5"/>
      <c r="BX837" s="5"/>
      <c r="BY837" s="5"/>
      <c r="BZ837" s="5"/>
      <c r="CA837" s="5"/>
      <c r="CB837" s="5"/>
      <c r="CC837" s="5"/>
      <c r="CD837" s="5"/>
      <c r="CE837" s="5"/>
      <c r="CF837" s="5"/>
      <c r="CG837" s="5"/>
      <c r="CH837" s="5"/>
      <c r="CI837" s="5"/>
      <c r="CJ837" s="5"/>
      <c r="CK837" s="5"/>
      <c r="CL837" s="5"/>
      <c r="CM837" s="5"/>
      <c r="CN837" s="5"/>
      <c r="CO837" s="5"/>
      <c r="CP837" s="5"/>
      <c r="CQ837" s="5"/>
      <c r="CR837" s="5"/>
      <c r="CS837" s="5"/>
      <c r="CT837" s="5"/>
      <c r="CU837" s="5"/>
    </row>
    <row r="838" spans="1:99">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c r="BT838" s="5"/>
      <c r="BU838" s="5"/>
      <c r="BV838" s="5"/>
      <c r="BW838" s="5"/>
      <c r="BX838" s="5"/>
      <c r="BY838" s="5"/>
      <c r="BZ838" s="5"/>
      <c r="CA838" s="5"/>
      <c r="CB838" s="5"/>
      <c r="CC838" s="5"/>
      <c r="CD838" s="5"/>
      <c r="CE838" s="5"/>
      <c r="CF838" s="5"/>
      <c r="CG838" s="5"/>
      <c r="CH838" s="5"/>
      <c r="CI838" s="5"/>
      <c r="CJ838" s="5"/>
      <c r="CK838" s="5"/>
      <c r="CL838" s="5"/>
      <c r="CM838" s="5"/>
      <c r="CN838" s="5"/>
      <c r="CO838" s="5"/>
      <c r="CP838" s="5"/>
      <c r="CQ838" s="5"/>
      <c r="CR838" s="5"/>
      <c r="CS838" s="5"/>
      <c r="CT838" s="5"/>
      <c r="CU838" s="5"/>
    </row>
    <row r="839" spans="1:9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c r="BT839" s="5"/>
      <c r="BU839" s="5"/>
      <c r="BV839" s="5"/>
      <c r="BW839" s="5"/>
      <c r="BX839" s="5"/>
      <c r="BY839" s="5"/>
      <c r="BZ839" s="5"/>
      <c r="CA839" s="5"/>
      <c r="CB839" s="5"/>
      <c r="CC839" s="5"/>
      <c r="CD839" s="5"/>
      <c r="CE839" s="5"/>
      <c r="CF839" s="5"/>
      <c r="CG839" s="5"/>
      <c r="CH839" s="5"/>
      <c r="CI839" s="5"/>
      <c r="CJ839" s="5"/>
      <c r="CK839" s="5"/>
      <c r="CL839" s="5"/>
      <c r="CM839" s="5"/>
      <c r="CN839" s="5"/>
      <c r="CO839" s="5"/>
      <c r="CP839" s="5"/>
      <c r="CQ839" s="5"/>
      <c r="CR839" s="5"/>
      <c r="CS839" s="5"/>
      <c r="CT839" s="5"/>
      <c r="CU839" s="5"/>
    </row>
    <row r="840" spans="1:99">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c r="BT840" s="5"/>
      <c r="BU840" s="5"/>
      <c r="BV840" s="5"/>
      <c r="BW840" s="5"/>
      <c r="BX840" s="5"/>
      <c r="BY840" s="5"/>
      <c r="BZ840" s="5"/>
      <c r="CA840" s="5"/>
      <c r="CB840" s="5"/>
      <c r="CC840" s="5"/>
      <c r="CD840" s="5"/>
      <c r="CE840" s="5"/>
      <c r="CF840" s="5"/>
      <c r="CG840" s="5"/>
      <c r="CH840" s="5"/>
      <c r="CI840" s="5"/>
      <c r="CJ840" s="5"/>
      <c r="CK840" s="5"/>
      <c r="CL840" s="5"/>
      <c r="CM840" s="5"/>
      <c r="CN840" s="5"/>
      <c r="CO840" s="5"/>
      <c r="CP840" s="5"/>
      <c r="CQ840" s="5"/>
      <c r="CR840" s="5"/>
      <c r="CS840" s="5"/>
      <c r="CT840" s="5"/>
      <c r="CU840" s="5"/>
    </row>
    <row r="841" spans="1:99">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c r="BT841" s="5"/>
      <c r="BU841" s="5"/>
      <c r="BV841" s="5"/>
      <c r="BW841" s="5"/>
      <c r="BX841" s="5"/>
      <c r="BY841" s="5"/>
      <c r="BZ841" s="5"/>
      <c r="CA841" s="5"/>
      <c r="CB841" s="5"/>
      <c r="CC841" s="5"/>
      <c r="CD841" s="5"/>
      <c r="CE841" s="5"/>
      <c r="CF841" s="5"/>
      <c r="CG841" s="5"/>
      <c r="CH841" s="5"/>
      <c r="CI841" s="5"/>
      <c r="CJ841" s="5"/>
      <c r="CK841" s="5"/>
      <c r="CL841" s="5"/>
      <c r="CM841" s="5"/>
      <c r="CN841" s="5"/>
      <c r="CO841" s="5"/>
      <c r="CP841" s="5"/>
      <c r="CQ841" s="5"/>
      <c r="CR841" s="5"/>
      <c r="CS841" s="5"/>
      <c r="CT841" s="5"/>
      <c r="CU841" s="5"/>
    </row>
    <row r="842" spans="1:99">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c r="BT842" s="5"/>
      <c r="BU842" s="5"/>
      <c r="BV842" s="5"/>
      <c r="BW842" s="5"/>
      <c r="BX842" s="5"/>
      <c r="BY842" s="5"/>
      <c r="BZ842" s="5"/>
      <c r="CA842" s="5"/>
      <c r="CB842" s="5"/>
      <c r="CC842" s="5"/>
      <c r="CD842" s="5"/>
      <c r="CE842" s="5"/>
      <c r="CF842" s="5"/>
      <c r="CG842" s="5"/>
      <c r="CH842" s="5"/>
      <c r="CI842" s="5"/>
      <c r="CJ842" s="5"/>
      <c r="CK842" s="5"/>
      <c r="CL842" s="5"/>
      <c r="CM842" s="5"/>
      <c r="CN842" s="5"/>
      <c r="CO842" s="5"/>
      <c r="CP842" s="5"/>
      <c r="CQ842" s="5"/>
      <c r="CR842" s="5"/>
      <c r="CS842" s="5"/>
      <c r="CT842" s="5"/>
      <c r="CU842" s="5"/>
    </row>
    <row r="843" spans="1:99">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c r="BU843" s="5"/>
      <c r="BV843" s="5"/>
      <c r="BW843" s="5"/>
      <c r="BX843" s="5"/>
      <c r="BY843" s="5"/>
      <c r="BZ843" s="5"/>
      <c r="CA843" s="5"/>
      <c r="CB843" s="5"/>
      <c r="CC843" s="5"/>
      <c r="CD843" s="5"/>
      <c r="CE843" s="5"/>
      <c r="CF843" s="5"/>
      <c r="CG843" s="5"/>
      <c r="CH843" s="5"/>
      <c r="CI843" s="5"/>
      <c r="CJ843" s="5"/>
      <c r="CK843" s="5"/>
      <c r="CL843" s="5"/>
      <c r="CM843" s="5"/>
      <c r="CN843" s="5"/>
      <c r="CO843" s="5"/>
      <c r="CP843" s="5"/>
      <c r="CQ843" s="5"/>
      <c r="CR843" s="5"/>
      <c r="CS843" s="5"/>
      <c r="CT843" s="5"/>
      <c r="CU843" s="5"/>
    </row>
    <row r="844" spans="1:99">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c r="BU844" s="5"/>
      <c r="BV844" s="5"/>
      <c r="BW844" s="5"/>
      <c r="BX844" s="5"/>
      <c r="BY844" s="5"/>
      <c r="BZ844" s="5"/>
      <c r="CA844" s="5"/>
      <c r="CB844" s="5"/>
      <c r="CC844" s="5"/>
      <c r="CD844" s="5"/>
      <c r="CE844" s="5"/>
      <c r="CF844" s="5"/>
      <c r="CG844" s="5"/>
      <c r="CH844" s="5"/>
      <c r="CI844" s="5"/>
      <c r="CJ844" s="5"/>
      <c r="CK844" s="5"/>
      <c r="CL844" s="5"/>
      <c r="CM844" s="5"/>
      <c r="CN844" s="5"/>
      <c r="CO844" s="5"/>
      <c r="CP844" s="5"/>
      <c r="CQ844" s="5"/>
      <c r="CR844" s="5"/>
      <c r="CS844" s="5"/>
      <c r="CT844" s="5"/>
      <c r="CU844" s="5"/>
    </row>
    <row r="845" spans="1:99">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c r="CA845" s="5"/>
      <c r="CB845" s="5"/>
      <c r="CC845" s="5"/>
      <c r="CD845" s="5"/>
      <c r="CE845" s="5"/>
      <c r="CF845" s="5"/>
      <c r="CG845" s="5"/>
      <c r="CH845" s="5"/>
      <c r="CI845" s="5"/>
      <c r="CJ845" s="5"/>
      <c r="CK845" s="5"/>
      <c r="CL845" s="5"/>
      <c r="CM845" s="5"/>
      <c r="CN845" s="5"/>
      <c r="CO845" s="5"/>
      <c r="CP845" s="5"/>
      <c r="CQ845" s="5"/>
      <c r="CR845" s="5"/>
      <c r="CS845" s="5"/>
      <c r="CT845" s="5"/>
      <c r="CU845" s="5"/>
    </row>
    <row r="846" spans="1:99">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c r="BT846" s="5"/>
      <c r="BU846" s="5"/>
      <c r="BV846" s="5"/>
      <c r="BW846" s="5"/>
      <c r="BX846" s="5"/>
      <c r="BY846" s="5"/>
      <c r="BZ846" s="5"/>
      <c r="CA846" s="5"/>
      <c r="CB846" s="5"/>
      <c r="CC846" s="5"/>
      <c r="CD846" s="5"/>
      <c r="CE846" s="5"/>
      <c r="CF846" s="5"/>
      <c r="CG846" s="5"/>
      <c r="CH846" s="5"/>
      <c r="CI846" s="5"/>
      <c r="CJ846" s="5"/>
      <c r="CK846" s="5"/>
      <c r="CL846" s="5"/>
      <c r="CM846" s="5"/>
      <c r="CN846" s="5"/>
      <c r="CO846" s="5"/>
      <c r="CP846" s="5"/>
      <c r="CQ846" s="5"/>
      <c r="CR846" s="5"/>
      <c r="CS846" s="5"/>
      <c r="CT846" s="5"/>
      <c r="CU846" s="5"/>
    </row>
    <row r="847" spans="1:99">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row>
    <row r="848" spans="1:99">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c r="CA848" s="5"/>
      <c r="CB848" s="5"/>
      <c r="CC848" s="5"/>
      <c r="CD848" s="5"/>
      <c r="CE848" s="5"/>
      <c r="CF848" s="5"/>
      <c r="CG848" s="5"/>
      <c r="CH848" s="5"/>
      <c r="CI848" s="5"/>
      <c r="CJ848" s="5"/>
      <c r="CK848" s="5"/>
      <c r="CL848" s="5"/>
      <c r="CM848" s="5"/>
      <c r="CN848" s="5"/>
      <c r="CO848" s="5"/>
      <c r="CP848" s="5"/>
      <c r="CQ848" s="5"/>
      <c r="CR848" s="5"/>
      <c r="CS848" s="5"/>
      <c r="CT848" s="5"/>
      <c r="CU848" s="5"/>
    </row>
    <row r="849" spans="1:9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c r="BT849" s="5"/>
      <c r="BU849" s="5"/>
      <c r="BV849" s="5"/>
      <c r="BW849" s="5"/>
      <c r="BX849" s="5"/>
      <c r="BY849" s="5"/>
      <c r="BZ849" s="5"/>
      <c r="CA849" s="5"/>
      <c r="CB849" s="5"/>
      <c r="CC849" s="5"/>
      <c r="CD849" s="5"/>
      <c r="CE849" s="5"/>
      <c r="CF849" s="5"/>
      <c r="CG849" s="5"/>
      <c r="CH849" s="5"/>
      <c r="CI849" s="5"/>
      <c r="CJ849" s="5"/>
      <c r="CK849" s="5"/>
      <c r="CL849" s="5"/>
      <c r="CM849" s="5"/>
      <c r="CN849" s="5"/>
      <c r="CO849" s="5"/>
      <c r="CP849" s="5"/>
      <c r="CQ849" s="5"/>
      <c r="CR849" s="5"/>
      <c r="CS849" s="5"/>
      <c r="CT849" s="5"/>
      <c r="CU849" s="5"/>
    </row>
    <row r="850" spans="1:99">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c r="BT850" s="5"/>
      <c r="BU850" s="5"/>
      <c r="BV850" s="5"/>
      <c r="BW850" s="5"/>
      <c r="BX850" s="5"/>
      <c r="BY850" s="5"/>
      <c r="BZ850" s="5"/>
      <c r="CA850" s="5"/>
      <c r="CB850" s="5"/>
      <c r="CC850" s="5"/>
      <c r="CD850" s="5"/>
      <c r="CE850" s="5"/>
      <c r="CF850" s="5"/>
      <c r="CG850" s="5"/>
      <c r="CH850" s="5"/>
      <c r="CI850" s="5"/>
      <c r="CJ850" s="5"/>
      <c r="CK850" s="5"/>
      <c r="CL850" s="5"/>
      <c r="CM850" s="5"/>
      <c r="CN850" s="5"/>
      <c r="CO850" s="5"/>
      <c r="CP850" s="5"/>
      <c r="CQ850" s="5"/>
      <c r="CR850" s="5"/>
      <c r="CS850" s="5"/>
      <c r="CT850" s="5"/>
      <c r="CU850" s="5"/>
    </row>
    <row r="851" spans="1:99">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c r="BT851" s="5"/>
      <c r="BU851" s="5"/>
      <c r="BV851" s="5"/>
      <c r="BW851" s="5"/>
      <c r="BX851" s="5"/>
      <c r="BY851" s="5"/>
      <c r="BZ851" s="5"/>
      <c r="CA851" s="5"/>
      <c r="CB851" s="5"/>
      <c r="CC851" s="5"/>
      <c r="CD851" s="5"/>
      <c r="CE851" s="5"/>
      <c r="CF851" s="5"/>
      <c r="CG851" s="5"/>
      <c r="CH851" s="5"/>
      <c r="CI851" s="5"/>
      <c r="CJ851" s="5"/>
      <c r="CK851" s="5"/>
      <c r="CL851" s="5"/>
      <c r="CM851" s="5"/>
      <c r="CN851" s="5"/>
      <c r="CO851" s="5"/>
      <c r="CP851" s="5"/>
      <c r="CQ851" s="5"/>
      <c r="CR851" s="5"/>
      <c r="CS851" s="5"/>
      <c r="CT851" s="5"/>
      <c r="CU851" s="5"/>
    </row>
    <row r="852" spans="1:99">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c r="BU852" s="5"/>
      <c r="BV852" s="5"/>
      <c r="BW852" s="5"/>
      <c r="BX852" s="5"/>
      <c r="BY852" s="5"/>
      <c r="BZ852" s="5"/>
      <c r="CA852" s="5"/>
      <c r="CB852" s="5"/>
      <c r="CC852" s="5"/>
      <c r="CD852" s="5"/>
      <c r="CE852" s="5"/>
      <c r="CF852" s="5"/>
      <c r="CG852" s="5"/>
      <c r="CH852" s="5"/>
      <c r="CI852" s="5"/>
      <c r="CJ852" s="5"/>
      <c r="CK852" s="5"/>
      <c r="CL852" s="5"/>
      <c r="CM852" s="5"/>
      <c r="CN852" s="5"/>
      <c r="CO852" s="5"/>
      <c r="CP852" s="5"/>
      <c r="CQ852" s="5"/>
      <c r="CR852" s="5"/>
      <c r="CS852" s="5"/>
      <c r="CT852" s="5"/>
      <c r="CU852" s="5"/>
    </row>
    <row r="853" spans="1:99">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5"/>
      <c r="BV853" s="5"/>
      <c r="BW853" s="5"/>
      <c r="BX853" s="5"/>
      <c r="BY853" s="5"/>
      <c r="BZ853" s="5"/>
      <c r="CA853" s="5"/>
      <c r="CB853" s="5"/>
      <c r="CC853" s="5"/>
      <c r="CD853" s="5"/>
      <c r="CE853" s="5"/>
      <c r="CF853" s="5"/>
      <c r="CG853" s="5"/>
      <c r="CH853" s="5"/>
      <c r="CI853" s="5"/>
      <c r="CJ853" s="5"/>
      <c r="CK853" s="5"/>
      <c r="CL853" s="5"/>
      <c r="CM853" s="5"/>
      <c r="CN853" s="5"/>
      <c r="CO853" s="5"/>
      <c r="CP853" s="5"/>
      <c r="CQ853" s="5"/>
      <c r="CR853" s="5"/>
      <c r="CS853" s="5"/>
      <c r="CT853" s="5"/>
      <c r="CU853" s="5"/>
    </row>
    <row r="854" spans="1:99">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c r="BU854" s="5"/>
      <c r="BV854" s="5"/>
      <c r="BW854" s="5"/>
      <c r="BX854" s="5"/>
      <c r="BY854" s="5"/>
      <c r="BZ854" s="5"/>
      <c r="CA854" s="5"/>
      <c r="CB854" s="5"/>
      <c r="CC854" s="5"/>
      <c r="CD854" s="5"/>
      <c r="CE854" s="5"/>
      <c r="CF854" s="5"/>
      <c r="CG854" s="5"/>
      <c r="CH854" s="5"/>
      <c r="CI854" s="5"/>
      <c r="CJ854" s="5"/>
      <c r="CK854" s="5"/>
      <c r="CL854" s="5"/>
      <c r="CM854" s="5"/>
      <c r="CN854" s="5"/>
      <c r="CO854" s="5"/>
      <c r="CP854" s="5"/>
      <c r="CQ854" s="5"/>
      <c r="CR854" s="5"/>
      <c r="CS854" s="5"/>
      <c r="CT854" s="5"/>
      <c r="CU854" s="5"/>
    </row>
    <row r="855" spans="1:99">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c r="BT855" s="5"/>
      <c r="BU855" s="5"/>
      <c r="BV855" s="5"/>
      <c r="BW855" s="5"/>
      <c r="BX855" s="5"/>
      <c r="BY855" s="5"/>
      <c r="BZ855" s="5"/>
      <c r="CA855" s="5"/>
      <c r="CB855" s="5"/>
      <c r="CC855" s="5"/>
      <c r="CD855" s="5"/>
      <c r="CE855" s="5"/>
      <c r="CF855" s="5"/>
      <c r="CG855" s="5"/>
      <c r="CH855" s="5"/>
      <c r="CI855" s="5"/>
      <c r="CJ855" s="5"/>
      <c r="CK855" s="5"/>
      <c r="CL855" s="5"/>
      <c r="CM855" s="5"/>
      <c r="CN855" s="5"/>
      <c r="CO855" s="5"/>
      <c r="CP855" s="5"/>
      <c r="CQ855" s="5"/>
      <c r="CR855" s="5"/>
      <c r="CS855" s="5"/>
      <c r="CT855" s="5"/>
      <c r="CU855" s="5"/>
    </row>
    <row r="856" spans="1:99">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c r="BT856" s="5"/>
      <c r="BU856" s="5"/>
      <c r="BV856" s="5"/>
      <c r="BW856" s="5"/>
      <c r="BX856" s="5"/>
      <c r="BY856" s="5"/>
      <c r="BZ856" s="5"/>
      <c r="CA856" s="5"/>
      <c r="CB856" s="5"/>
      <c r="CC856" s="5"/>
      <c r="CD856" s="5"/>
      <c r="CE856" s="5"/>
      <c r="CF856" s="5"/>
      <c r="CG856" s="5"/>
      <c r="CH856" s="5"/>
      <c r="CI856" s="5"/>
      <c r="CJ856" s="5"/>
      <c r="CK856" s="5"/>
      <c r="CL856" s="5"/>
      <c r="CM856" s="5"/>
      <c r="CN856" s="5"/>
      <c r="CO856" s="5"/>
      <c r="CP856" s="5"/>
      <c r="CQ856" s="5"/>
      <c r="CR856" s="5"/>
      <c r="CS856" s="5"/>
      <c r="CT856" s="5"/>
      <c r="CU856" s="5"/>
    </row>
    <row r="857" spans="1:99">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c r="CA857" s="5"/>
      <c r="CB857" s="5"/>
      <c r="CC857" s="5"/>
      <c r="CD857" s="5"/>
      <c r="CE857" s="5"/>
      <c r="CF857" s="5"/>
      <c r="CG857" s="5"/>
      <c r="CH857" s="5"/>
      <c r="CI857" s="5"/>
      <c r="CJ857" s="5"/>
      <c r="CK857" s="5"/>
      <c r="CL857" s="5"/>
      <c r="CM857" s="5"/>
      <c r="CN857" s="5"/>
      <c r="CO857" s="5"/>
      <c r="CP857" s="5"/>
      <c r="CQ857" s="5"/>
      <c r="CR857" s="5"/>
      <c r="CS857" s="5"/>
      <c r="CT857" s="5"/>
      <c r="CU857" s="5"/>
    </row>
    <row r="858" spans="1:99">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c r="BT858" s="5"/>
      <c r="BU858" s="5"/>
      <c r="BV858" s="5"/>
      <c r="BW858" s="5"/>
      <c r="BX858" s="5"/>
      <c r="BY858" s="5"/>
      <c r="BZ858" s="5"/>
      <c r="CA858" s="5"/>
      <c r="CB858" s="5"/>
      <c r="CC858" s="5"/>
      <c r="CD858" s="5"/>
      <c r="CE858" s="5"/>
      <c r="CF858" s="5"/>
      <c r="CG858" s="5"/>
      <c r="CH858" s="5"/>
      <c r="CI858" s="5"/>
      <c r="CJ858" s="5"/>
      <c r="CK858" s="5"/>
      <c r="CL858" s="5"/>
      <c r="CM858" s="5"/>
      <c r="CN858" s="5"/>
      <c r="CO858" s="5"/>
      <c r="CP858" s="5"/>
      <c r="CQ858" s="5"/>
      <c r="CR858" s="5"/>
      <c r="CS858" s="5"/>
      <c r="CT858" s="5"/>
      <c r="CU858" s="5"/>
    </row>
    <row r="859" spans="1:9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c r="BP859" s="5"/>
      <c r="BQ859" s="5"/>
      <c r="BR859" s="5"/>
      <c r="BS859" s="5"/>
      <c r="BT859" s="5"/>
      <c r="BU859" s="5"/>
      <c r="BV859" s="5"/>
      <c r="BW859" s="5"/>
      <c r="BX859" s="5"/>
      <c r="BY859" s="5"/>
      <c r="BZ859" s="5"/>
      <c r="CA859" s="5"/>
      <c r="CB859" s="5"/>
      <c r="CC859" s="5"/>
      <c r="CD859" s="5"/>
      <c r="CE859" s="5"/>
      <c r="CF859" s="5"/>
      <c r="CG859" s="5"/>
      <c r="CH859" s="5"/>
      <c r="CI859" s="5"/>
      <c r="CJ859" s="5"/>
      <c r="CK859" s="5"/>
      <c r="CL859" s="5"/>
      <c r="CM859" s="5"/>
      <c r="CN859" s="5"/>
      <c r="CO859" s="5"/>
      <c r="CP859" s="5"/>
      <c r="CQ859" s="5"/>
      <c r="CR859" s="5"/>
      <c r="CS859" s="5"/>
      <c r="CT859" s="5"/>
      <c r="CU859" s="5"/>
    </row>
    <row r="860" spans="1:99">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c r="BT860" s="5"/>
      <c r="BU860" s="5"/>
      <c r="BV860" s="5"/>
      <c r="BW860" s="5"/>
      <c r="BX860" s="5"/>
      <c r="BY860" s="5"/>
      <c r="BZ860" s="5"/>
      <c r="CA860" s="5"/>
      <c r="CB860" s="5"/>
      <c r="CC860" s="5"/>
      <c r="CD860" s="5"/>
      <c r="CE860" s="5"/>
      <c r="CF860" s="5"/>
      <c r="CG860" s="5"/>
      <c r="CH860" s="5"/>
      <c r="CI860" s="5"/>
      <c r="CJ860" s="5"/>
      <c r="CK860" s="5"/>
      <c r="CL860" s="5"/>
      <c r="CM860" s="5"/>
      <c r="CN860" s="5"/>
      <c r="CO860" s="5"/>
      <c r="CP860" s="5"/>
      <c r="CQ860" s="5"/>
      <c r="CR860" s="5"/>
      <c r="CS860" s="5"/>
      <c r="CT860" s="5"/>
      <c r="CU860" s="5"/>
    </row>
    <row r="861" spans="1:99">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c r="BT861" s="5"/>
      <c r="BU861" s="5"/>
      <c r="BV861" s="5"/>
      <c r="BW861" s="5"/>
      <c r="BX861" s="5"/>
      <c r="BY861" s="5"/>
      <c r="BZ861" s="5"/>
      <c r="CA861" s="5"/>
      <c r="CB861" s="5"/>
      <c r="CC861" s="5"/>
      <c r="CD861" s="5"/>
      <c r="CE861" s="5"/>
      <c r="CF861" s="5"/>
      <c r="CG861" s="5"/>
      <c r="CH861" s="5"/>
      <c r="CI861" s="5"/>
      <c r="CJ861" s="5"/>
      <c r="CK861" s="5"/>
      <c r="CL861" s="5"/>
      <c r="CM861" s="5"/>
      <c r="CN861" s="5"/>
      <c r="CO861" s="5"/>
      <c r="CP861" s="5"/>
      <c r="CQ861" s="5"/>
      <c r="CR861" s="5"/>
      <c r="CS861" s="5"/>
      <c r="CT861" s="5"/>
      <c r="CU861" s="5"/>
    </row>
    <row r="862" spans="1:99">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c r="CM862" s="5"/>
      <c r="CN862" s="5"/>
      <c r="CO862" s="5"/>
      <c r="CP862" s="5"/>
      <c r="CQ862" s="5"/>
      <c r="CR862" s="5"/>
      <c r="CS862" s="5"/>
      <c r="CT862" s="5"/>
      <c r="CU862" s="5"/>
    </row>
    <row r="863" spans="1:99">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c r="BU863" s="5"/>
      <c r="BV863" s="5"/>
      <c r="BW863" s="5"/>
      <c r="BX863" s="5"/>
      <c r="BY863" s="5"/>
      <c r="BZ863" s="5"/>
      <c r="CA863" s="5"/>
      <c r="CB863" s="5"/>
      <c r="CC863" s="5"/>
      <c r="CD863" s="5"/>
      <c r="CE863" s="5"/>
      <c r="CF863" s="5"/>
      <c r="CG863" s="5"/>
      <c r="CH863" s="5"/>
      <c r="CI863" s="5"/>
      <c r="CJ863" s="5"/>
      <c r="CK863" s="5"/>
      <c r="CL863" s="5"/>
      <c r="CM863" s="5"/>
      <c r="CN863" s="5"/>
      <c r="CO863" s="5"/>
      <c r="CP863" s="5"/>
      <c r="CQ863" s="5"/>
      <c r="CR863" s="5"/>
      <c r="CS863" s="5"/>
      <c r="CT863" s="5"/>
      <c r="CU863" s="5"/>
    </row>
    <row r="864" spans="1:99">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c r="BT864" s="5"/>
      <c r="BU864" s="5"/>
      <c r="BV864" s="5"/>
      <c r="BW864" s="5"/>
      <c r="BX864" s="5"/>
      <c r="BY864" s="5"/>
      <c r="BZ864" s="5"/>
      <c r="CA864" s="5"/>
      <c r="CB864" s="5"/>
      <c r="CC864" s="5"/>
      <c r="CD864" s="5"/>
      <c r="CE864" s="5"/>
      <c r="CF864" s="5"/>
      <c r="CG864" s="5"/>
      <c r="CH864" s="5"/>
      <c r="CI864" s="5"/>
      <c r="CJ864" s="5"/>
      <c r="CK864" s="5"/>
      <c r="CL864" s="5"/>
      <c r="CM864" s="5"/>
      <c r="CN864" s="5"/>
      <c r="CO864" s="5"/>
      <c r="CP864" s="5"/>
      <c r="CQ864" s="5"/>
      <c r="CR864" s="5"/>
      <c r="CS864" s="5"/>
      <c r="CT864" s="5"/>
      <c r="CU864" s="5"/>
    </row>
    <row r="865" spans="1:99">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c r="BT865" s="5"/>
      <c r="BU865" s="5"/>
      <c r="BV865" s="5"/>
      <c r="BW865" s="5"/>
      <c r="BX865" s="5"/>
      <c r="BY865" s="5"/>
      <c r="BZ865" s="5"/>
      <c r="CA865" s="5"/>
      <c r="CB865" s="5"/>
      <c r="CC865" s="5"/>
      <c r="CD865" s="5"/>
      <c r="CE865" s="5"/>
      <c r="CF865" s="5"/>
      <c r="CG865" s="5"/>
      <c r="CH865" s="5"/>
      <c r="CI865" s="5"/>
      <c r="CJ865" s="5"/>
      <c r="CK865" s="5"/>
      <c r="CL865" s="5"/>
      <c r="CM865" s="5"/>
      <c r="CN865" s="5"/>
      <c r="CO865" s="5"/>
      <c r="CP865" s="5"/>
      <c r="CQ865" s="5"/>
      <c r="CR865" s="5"/>
      <c r="CS865" s="5"/>
      <c r="CT865" s="5"/>
      <c r="CU865" s="5"/>
    </row>
    <row r="866" spans="1:99">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c r="BT866" s="5"/>
      <c r="BU866" s="5"/>
      <c r="BV866" s="5"/>
      <c r="BW866" s="5"/>
      <c r="BX866" s="5"/>
      <c r="BY866" s="5"/>
      <c r="BZ866" s="5"/>
      <c r="CA866" s="5"/>
      <c r="CB866" s="5"/>
      <c r="CC866" s="5"/>
      <c r="CD866" s="5"/>
      <c r="CE866" s="5"/>
      <c r="CF866" s="5"/>
      <c r="CG866" s="5"/>
      <c r="CH866" s="5"/>
      <c r="CI866" s="5"/>
      <c r="CJ866" s="5"/>
      <c r="CK866" s="5"/>
      <c r="CL866" s="5"/>
      <c r="CM866" s="5"/>
      <c r="CN866" s="5"/>
      <c r="CO866" s="5"/>
      <c r="CP866" s="5"/>
      <c r="CQ866" s="5"/>
      <c r="CR866" s="5"/>
      <c r="CS866" s="5"/>
      <c r="CT866" s="5"/>
      <c r="CU866" s="5"/>
    </row>
    <row r="867" spans="1:99">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c r="BT867" s="5"/>
      <c r="BU867" s="5"/>
      <c r="BV867" s="5"/>
      <c r="BW867" s="5"/>
      <c r="BX867" s="5"/>
      <c r="BY867" s="5"/>
      <c r="BZ867" s="5"/>
      <c r="CA867" s="5"/>
      <c r="CB867" s="5"/>
      <c r="CC867" s="5"/>
      <c r="CD867" s="5"/>
      <c r="CE867" s="5"/>
      <c r="CF867" s="5"/>
      <c r="CG867" s="5"/>
      <c r="CH867" s="5"/>
      <c r="CI867" s="5"/>
      <c r="CJ867" s="5"/>
      <c r="CK867" s="5"/>
      <c r="CL867" s="5"/>
      <c r="CM867" s="5"/>
      <c r="CN867" s="5"/>
      <c r="CO867" s="5"/>
      <c r="CP867" s="5"/>
      <c r="CQ867" s="5"/>
      <c r="CR867" s="5"/>
      <c r="CS867" s="5"/>
      <c r="CT867" s="5"/>
      <c r="CU867" s="5"/>
    </row>
    <row r="868" spans="1:99">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c r="BT868" s="5"/>
      <c r="BU868" s="5"/>
      <c r="BV868" s="5"/>
      <c r="BW868" s="5"/>
      <c r="BX868" s="5"/>
      <c r="BY868" s="5"/>
      <c r="BZ868" s="5"/>
      <c r="CA868" s="5"/>
      <c r="CB868" s="5"/>
      <c r="CC868" s="5"/>
      <c r="CD868" s="5"/>
      <c r="CE868" s="5"/>
      <c r="CF868" s="5"/>
      <c r="CG868" s="5"/>
      <c r="CH868" s="5"/>
      <c r="CI868" s="5"/>
      <c r="CJ868" s="5"/>
      <c r="CK868" s="5"/>
      <c r="CL868" s="5"/>
      <c r="CM868" s="5"/>
      <c r="CN868" s="5"/>
      <c r="CO868" s="5"/>
      <c r="CP868" s="5"/>
      <c r="CQ868" s="5"/>
      <c r="CR868" s="5"/>
      <c r="CS868" s="5"/>
      <c r="CT868" s="5"/>
      <c r="CU868" s="5"/>
    </row>
    <row r="869" spans="1:9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c r="BT869" s="5"/>
      <c r="BU869" s="5"/>
      <c r="BV869" s="5"/>
      <c r="BW869" s="5"/>
      <c r="BX869" s="5"/>
      <c r="BY869" s="5"/>
      <c r="BZ869" s="5"/>
      <c r="CA869" s="5"/>
      <c r="CB869" s="5"/>
      <c r="CC869" s="5"/>
      <c r="CD869" s="5"/>
      <c r="CE869" s="5"/>
      <c r="CF869" s="5"/>
      <c r="CG869" s="5"/>
      <c r="CH869" s="5"/>
      <c r="CI869" s="5"/>
      <c r="CJ869" s="5"/>
      <c r="CK869" s="5"/>
      <c r="CL869" s="5"/>
      <c r="CM869" s="5"/>
      <c r="CN869" s="5"/>
      <c r="CO869" s="5"/>
      <c r="CP869" s="5"/>
      <c r="CQ869" s="5"/>
      <c r="CR869" s="5"/>
      <c r="CS869" s="5"/>
      <c r="CT869" s="5"/>
      <c r="CU869" s="5"/>
    </row>
    <row r="870" spans="1:99">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c r="BT870" s="5"/>
      <c r="BU870" s="5"/>
      <c r="BV870" s="5"/>
      <c r="BW870" s="5"/>
      <c r="BX870" s="5"/>
      <c r="BY870" s="5"/>
      <c r="BZ870" s="5"/>
      <c r="CA870" s="5"/>
      <c r="CB870" s="5"/>
      <c r="CC870" s="5"/>
      <c r="CD870" s="5"/>
      <c r="CE870" s="5"/>
      <c r="CF870" s="5"/>
      <c r="CG870" s="5"/>
      <c r="CH870" s="5"/>
      <c r="CI870" s="5"/>
      <c r="CJ870" s="5"/>
      <c r="CK870" s="5"/>
      <c r="CL870" s="5"/>
      <c r="CM870" s="5"/>
      <c r="CN870" s="5"/>
      <c r="CO870" s="5"/>
      <c r="CP870" s="5"/>
      <c r="CQ870" s="5"/>
      <c r="CR870" s="5"/>
      <c r="CS870" s="5"/>
      <c r="CT870" s="5"/>
      <c r="CU870" s="5"/>
    </row>
    <row r="871" spans="1:99">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c r="BT871" s="5"/>
      <c r="BU871" s="5"/>
      <c r="BV871" s="5"/>
      <c r="BW871" s="5"/>
      <c r="BX871" s="5"/>
      <c r="BY871" s="5"/>
      <c r="BZ871" s="5"/>
      <c r="CA871" s="5"/>
      <c r="CB871" s="5"/>
      <c r="CC871" s="5"/>
      <c r="CD871" s="5"/>
      <c r="CE871" s="5"/>
      <c r="CF871" s="5"/>
      <c r="CG871" s="5"/>
      <c r="CH871" s="5"/>
      <c r="CI871" s="5"/>
      <c r="CJ871" s="5"/>
      <c r="CK871" s="5"/>
      <c r="CL871" s="5"/>
      <c r="CM871" s="5"/>
      <c r="CN871" s="5"/>
      <c r="CO871" s="5"/>
      <c r="CP871" s="5"/>
      <c r="CQ871" s="5"/>
      <c r="CR871" s="5"/>
      <c r="CS871" s="5"/>
      <c r="CT871" s="5"/>
      <c r="CU871" s="5"/>
    </row>
    <row r="872" spans="1:99">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c r="BT872" s="5"/>
      <c r="BU872" s="5"/>
      <c r="BV872" s="5"/>
      <c r="BW872" s="5"/>
      <c r="BX872" s="5"/>
      <c r="BY872" s="5"/>
      <c r="BZ872" s="5"/>
      <c r="CA872" s="5"/>
      <c r="CB872" s="5"/>
      <c r="CC872" s="5"/>
      <c r="CD872" s="5"/>
      <c r="CE872" s="5"/>
      <c r="CF872" s="5"/>
      <c r="CG872" s="5"/>
      <c r="CH872" s="5"/>
      <c r="CI872" s="5"/>
      <c r="CJ872" s="5"/>
      <c r="CK872" s="5"/>
      <c r="CL872" s="5"/>
      <c r="CM872" s="5"/>
      <c r="CN872" s="5"/>
      <c r="CO872" s="5"/>
      <c r="CP872" s="5"/>
      <c r="CQ872" s="5"/>
      <c r="CR872" s="5"/>
      <c r="CS872" s="5"/>
      <c r="CT872" s="5"/>
      <c r="CU872" s="5"/>
    </row>
    <row r="873" spans="1:99">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c r="BT873" s="5"/>
      <c r="BU873" s="5"/>
      <c r="BV873" s="5"/>
      <c r="BW873" s="5"/>
      <c r="BX873" s="5"/>
      <c r="BY873" s="5"/>
      <c r="BZ873" s="5"/>
      <c r="CA873" s="5"/>
      <c r="CB873" s="5"/>
      <c r="CC873" s="5"/>
      <c r="CD873" s="5"/>
      <c r="CE873" s="5"/>
      <c r="CF873" s="5"/>
      <c r="CG873" s="5"/>
      <c r="CH873" s="5"/>
      <c r="CI873" s="5"/>
      <c r="CJ873" s="5"/>
      <c r="CK873" s="5"/>
      <c r="CL873" s="5"/>
      <c r="CM873" s="5"/>
      <c r="CN873" s="5"/>
      <c r="CO873" s="5"/>
      <c r="CP873" s="5"/>
      <c r="CQ873" s="5"/>
      <c r="CR873" s="5"/>
      <c r="CS873" s="5"/>
      <c r="CT873" s="5"/>
      <c r="CU873" s="5"/>
    </row>
    <row r="874" spans="1:99">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c r="BT874" s="5"/>
      <c r="BU874" s="5"/>
      <c r="BV874" s="5"/>
      <c r="BW874" s="5"/>
      <c r="BX874" s="5"/>
      <c r="BY874" s="5"/>
      <c r="BZ874" s="5"/>
      <c r="CA874" s="5"/>
      <c r="CB874" s="5"/>
      <c r="CC874" s="5"/>
      <c r="CD874" s="5"/>
      <c r="CE874" s="5"/>
      <c r="CF874" s="5"/>
      <c r="CG874" s="5"/>
      <c r="CH874" s="5"/>
      <c r="CI874" s="5"/>
      <c r="CJ874" s="5"/>
      <c r="CK874" s="5"/>
      <c r="CL874" s="5"/>
      <c r="CM874" s="5"/>
      <c r="CN874" s="5"/>
      <c r="CO874" s="5"/>
      <c r="CP874" s="5"/>
      <c r="CQ874" s="5"/>
      <c r="CR874" s="5"/>
      <c r="CS874" s="5"/>
      <c r="CT874" s="5"/>
      <c r="CU874" s="5"/>
    </row>
    <row r="875" spans="1:99">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c r="BT875" s="5"/>
      <c r="BU875" s="5"/>
      <c r="BV875" s="5"/>
      <c r="BW875" s="5"/>
      <c r="BX875" s="5"/>
      <c r="BY875" s="5"/>
      <c r="BZ875" s="5"/>
      <c r="CA875" s="5"/>
      <c r="CB875" s="5"/>
      <c r="CC875" s="5"/>
      <c r="CD875" s="5"/>
      <c r="CE875" s="5"/>
      <c r="CF875" s="5"/>
      <c r="CG875" s="5"/>
      <c r="CH875" s="5"/>
      <c r="CI875" s="5"/>
      <c r="CJ875" s="5"/>
      <c r="CK875" s="5"/>
      <c r="CL875" s="5"/>
      <c r="CM875" s="5"/>
      <c r="CN875" s="5"/>
      <c r="CO875" s="5"/>
      <c r="CP875" s="5"/>
      <c r="CQ875" s="5"/>
      <c r="CR875" s="5"/>
      <c r="CS875" s="5"/>
      <c r="CT875" s="5"/>
      <c r="CU875" s="5"/>
    </row>
    <row r="876" spans="1:99">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c r="BT876" s="5"/>
      <c r="BU876" s="5"/>
      <c r="BV876" s="5"/>
      <c r="BW876" s="5"/>
      <c r="BX876" s="5"/>
      <c r="BY876" s="5"/>
      <c r="BZ876" s="5"/>
      <c r="CA876" s="5"/>
      <c r="CB876" s="5"/>
      <c r="CC876" s="5"/>
      <c r="CD876" s="5"/>
      <c r="CE876" s="5"/>
      <c r="CF876" s="5"/>
      <c r="CG876" s="5"/>
      <c r="CH876" s="5"/>
      <c r="CI876" s="5"/>
      <c r="CJ876" s="5"/>
      <c r="CK876" s="5"/>
      <c r="CL876" s="5"/>
      <c r="CM876" s="5"/>
      <c r="CN876" s="5"/>
      <c r="CO876" s="5"/>
      <c r="CP876" s="5"/>
      <c r="CQ876" s="5"/>
      <c r="CR876" s="5"/>
      <c r="CS876" s="5"/>
      <c r="CT876" s="5"/>
      <c r="CU876" s="5"/>
    </row>
    <row r="877" spans="1:99">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c r="BT877" s="5"/>
      <c r="BU877" s="5"/>
      <c r="BV877" s="5"/>
      <c r="BW877" s="5"/>
      <c r="BX877" s="5"/>
      <c r="BY877" s="5"/>
      <c r="BZ877" s="5"/>
      <c r="CA877" s="5"/>
      <c r="CB877" s="5"/>
      <c r="CC877" s="5"/>
      <c r="CD877" s="5"/>
      <c r="CE877" s="5"/>
      <c r="CF877" s="5"/>
      <c r="CG877" s="5"/>
      <c r="CH877" s="5"/>
      <c r="CI877" s="5"/>
      <c r="CJ877" s="5"/>
      <c r="CK877" s="5"/>
      <c r="CL877" s="5"/>
      <c r="CM877" s="5"/>
      <c r="CN877" s="5"/>
      <c r="CO877" s="5"/>
      <c r="CP877" s="5"/>
      <c r="CQ877" s="5"/>
      <c r="CR877" s="5"/>
      <c r="CS877" s="5"/>
      <c r="CT877" s="5"/>
      <c r="CU877" s="5"/>
    </row>
    <row r="878" spans="1:99">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5"/>
      <c r="CR878" s="5"/>
      <c r="CS878" s="5"/>
      <c r="CT878" s="5"/>
      <c r="CU878" s="5"/>
    </row>
    <row r="879" spans="1:9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5"/>
      <c r="CR879" s="5"/>
      <c r="CS879" s="5"/>
      <c r="CT879" s="5"/>
      <c r="CU879" s="5"/>
    </row>
    <row r="880" spans="1:99">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c r="BT880" s="5"/>
      <c r="BU880" s="5"/>
      <c r="BV880" s="5"/>
      <c r="BW880" s="5"/>
      <c r="BX880" s="5"/>
      <c r="BY880" s="5"/>
      <c r="BZ880" s="5"/>
      <c r="CA880" s="5"/>
      <c r="CB880" s="5"/>
      <c r="CC880" s="5"/>
      <c r="CD880" s="5"/>
      <c r="CE880" s="5"/>
      <c r="CF880" s="5"/>
      <c r="CG880" s="5"/>
      <c r="CH880" s="5"/>
      <c r="CI880" s="5"/>
      <c r="CJ880" s="5"/>
      <c r="CK880" s="5"/>
      <c r="CL880" s="5"/>
      <c r="CM880" s="5"/>
      <c r="CN880" s="5"/>
      <c r="CO880" s="5"/>
      <c r="CP880" s="5"/>
      <c r="CQ880" s="5"/>
      <c r="CR880" s="5"/>
      <c r="CS880" s="5"/>
      <c r="CT880" s="5"/>
      <c r="CU880" s="5"/>
    </row>
    <row r="881" spans="1:99">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c r="BT881" s="5"/>
      <c r="BU881" s="5"/>
      <c r="BV881" s="5"/>
      <c r="BW881" s="5"/>
      <c r="BX881" s="5"/>
      <c r="BY881" s="5"/>
      <c r="BZ881" s="5"/>
      <c r="CA881" s="5"/>
      <c r="CB881" s="5"/>
      <c r="CC881" s="5"/>
      <c r="CD881" s="5"/>
      <c r="CE881" s="5"/>
      <c r="CF881" s="5"/>
      <c r="CG881" s="5"/>
      <c r="CH881" s="5"/>
      <c r="CI881" s="5"/>
      <c r="CJ881" s="5"/>
      <c r="CK881" s="5"/>
      <c r="CL881" s="5"/>
      <c r="CM881" s="5"/>
      <c r="CN881" s="5"/>
      <c r="CO881" s="5"/>
      <c r="CP881" s="5"/>
      <c r="CQ881" s="5"/>
      <c r="CR881" s="5"/>
      <c r="CS881" s="5"/>
      <c r="CT881" s="5"/>
      <c r="CU881" s="5"/>
    </row>
    <row r="882" spans="1:99">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c r="BP882" s="5"/>
      <c r="BQ882" s="5"/>
      <c r="BR882" s="5"/>
      <c r="BS882" s="5"/>
      <c r="BT882" s="5"/>
      <c r="BU882" s="5"/>
      <c r="BV882" s="5"/>
      <c r="BW882" s="5"/>
      <c r="BX882" s="5"/>
      <c r="BY882" s="5"/>
      <c r="BZ882" s="5"/>
      <c r="CA882" s="5"/>
      <c r="CB882" s="5"/>
      <c r="CC882" s="5"/>
      <c r="CD882" s="5"/>
      <c r="CE882" s="5"/>
      <c r="CF882" s="5"/>
      <c r="CG882" s="5"/>
      <c r="CH882" s="5"/>
      <c r="CI882" s="5"/>
      <c r="CJ882" s="5"/>
      <c r="CK882" s="5"/>
      <c r="CL882" s="5"/>
      <c r="CM882" s="5"/>
      <c r="CN882" s="5"/>
      <c r="CO882" s="5"/>
      <c r="CP882" s="5"/>
      <c r="CQ882" s="5"/>
      <c r="CR882" s="5"/>
      <c r="CS882" s="5"/>
      <c r="CT882" s="5"/>
      <c r="CU882" s="5"/>
    </row>
    <row r="883" spans="1:99">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c r="BT883" s="5"/>
      <c r="BU883" s="5"/>
      <c r="BV883" s="5"/>
      <c r="BW883" s="5"/>
      <c r="BX883" s="5"/>
      <c r="BY883" s="5"/>
      <c r="BZ883" s="5"/>
      <c r="CA883" s="5"/>
      <c r="CB883" s="5"/>
      <c r="CC883" s="5"/>
      <c r="CD883" s="5"/>
      <c r="CE883" s="5"/>
      <c r="CF883" s="5"/>
      <c r="CG883" s="5"/>
      <c r="CH883" s="5"/>
      <c r="CI883" s="5"/>
      <c r="CJ883" s="5"/>
      <c r="CK883" s="5"/>
      <c r="CL883" s="5"/>
      <c r="CM883" s="5"/>
      <c r="CN883" s="5"/>
      <c r="CO883" s="5"/>
      <c r="CP883" s="5"/>
      <c r="CQ883" s="5"/>
      <c r="CR883" s="5"/>
      <c r="CS883" s="5"/>
      <c r="CT883" s="5"/>
      <c r="CU883" s="5"/>
    </row>
    <row r="884" spans="1:99">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c r="CM884" s="5"/>
      <c r="CN884" s="5"/>
      <c r="CO884" s="5"/>
      <c r="CP884" s="5"/>
      <c r="CQ884" s="5"/>
      <c r="CR884" s="5"/>
      <c r="CS884" s="5"/>
      <c r="CT884" s="5"/>
      <c r="CU884" s="5"/>
    </row>
    <row r="885" spans="1:99">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c r="CM885" s="5"/>
      <c r="CN885" s="5"/>
      <c r="CO885" s="5"/>
      <c r="CP885" s="5"/>
      <c r="CQ885" s="5"/>
      <c r="CR885" s="5"/>
      <c r="CS885" s="5"/>
      <c r="CT885" s="5"/>
      <c r="CU885" s="5"/>
    </row>
    <row r="886" spans="1:99">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c r="BT886" s="5"/>
      <c r="BU886" s="5"/>
      <c r="BV886" s="5"/>
      <c r="BW886" s="5"/>
      <c r="BX886" s="5"/>
      <c r="BY886" s="5"/>
      <c r="BZ886" s="5"/>
      <c r="CA886" s="5"/>
      <c r="CB886" s="5"/>
      <c r="CC886" s="5"/>
      <c r="CD886" s="5"/>
      <c r="CE886" s="5"/>
      <c r="CF886" s="5"/>
      <c r="CG886" s="5"/>
      <c r="CH886" s="5"/>
      <c r="CI886" s="5"/>
      <c r="CJ886" s="5"/>
      <c r="CK886" s="5"/>
      <c r="CL886" s="5"/>
      <c r="CM886" s="5"/>
      <c r="CN886" s="5"/>
      <c r="CO886" s="5"/>
      <c r="CP886" s="5"/>
      <c r="CQ886" s="5"/>
      <c r="CR886" s="5"/>
      <c r="CS886" s="5"/>
      <c r="CT886" s="5"/>
      <c r="CU886" s="5"/>
    </row>
    <row r="887" spans="1:99">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c r="CA887" s="5"/>
      <c r="CB887" s="5"/>
      <c r="CC887" s="5"/>
      <c r="CD887" s="5"/>
      <c r="CE887" s="5"/>
      <c r="CF887" s="5"/>
      <c r="CG887" s="5"/>
      <c r="CH887" s="5"/>
      <c r="CI887" s="5"/>
      <c r="CJ887" s="5"/>
      <c r="CK887" s="5"/>
      <c r="CL887" s="5"/>
      <c r="CM887" s="5"/>
      <c r="CN887" s="5"/>
      <c r="CO887" s="5"/>
      <c r="CP887" s="5"/>
      <c r="CQ887" s="5"/>
      <c r="CR887" s="5"/>
      <c r="CS887" s="5"/>
      <c r="CT887" s="5"/>
      <c r="CU887" s="5"/>
    </row>
    <row r="888" spans="1:99">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c r="BP888" s="5"/>
      <c r="BQ888" s="5"/>
      <c r="BR888" s="5"/>
      <c r="BS888" s="5"/>
      <c r="BT888" s="5"/>
      <c r="BU888" s="5"/>
      <c r="BV888" s="5"/>
      <c r="BW888" s="5"/>
      <c r="BX888" s="5"/>
      <c r="BY888" s="5"/>
      <c r="BZ888" s="5"/>
      <c r="CA888" s="5"/>
      <c r="CB888" s="5"/>
      <c r="CC888" s="5"/>
      <c r="CD888" s="5"/>
      <c r="CE888" s="5"/>
      <c r="CF888" s="5"/>
      <c r="CG888" s="5"/>
      <c r="CH888" s="5"/>
      <c r="CI888" s="5"/>
      <c r="CJ888" s="5"/>
      <c r="CK888" s="5"/>
      <c r="CL888" s="5"/>
      <c r="CM888" s="5"/>
      <c r="CN888" s="5"/>
      <c r="CO888" s="5"/>
      <c r="CP888" s="5"/>
      <c r="CQ888" s="5"/>
      <c r="CR888" s="5"/>
      <c r="CS888" s="5"/>
      <c r="CT888" s="5"/>
      <c r="CU888" s="5"/>
    </row>
    <row r="889" spans="1:9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c r="BU889" s="5"/>
      <c r="BV889" s="5"/>
      <c r="BW889" s="5"/>
      <c r="BX889" s="5"/>
      <c r="BY889" s="5"/>
      <c r="BZ889" s="5"/>
      <c r="CA889" s="5"/>
      <c r="CB889" s="5"/>
      <c r="CC889" s="5"/>
      <c r="CD889" s="5"/>
      <c r="CE889" s="5"/>
      <c r="CF889" s="5"/>
      <c r="CG889" s="5"/>
      <c r="CH889" s="5"/>
      <c r="CI889" s="5"/>
      <c r="CJ889" s="5"/>
      <c r="CK889" s="5"/>
      <c r="CL889" s="5"/>
      <c r="CM889" s="5"/>
      <c r="CN889" s="5"/>
      <c r="CO889" s="5"/>
      <c r="CP889" s="5"/>
      <c r="CQ889" s="5"/>
      <c r="CR889" s="5"/>
      <c r="CS889" s="5"/>
      <c r="CT889" s="5"/>
      <c r="CU889" s="5"/>
    </row>
    <row r="890" spans="1:99">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c r="BT890" s="5"/>
      <c r="BU890" s="5"/>
      <c r="BV890" s="5"/>
      <c r="BW890" s="5"/>
      <c r="BX890" s="5"/>
      <c r="BY890" s="5"/>
      <c r="BZ890" s="5"/>
      <c r="CA890" s="5"/>
      <c r="CB890" s="5"/>
      <c r="CC890" s="5"/>
      <c r="CD890" s="5"/>
      <c r="CE890" s="5"/>
      <c r="CF890" s="5"/>
      <c r="CG890" s="5"/>
      <c r="CH890" s="5"/>
      <c r="CI890" s="5"/>
      <c r="CJ890" s="5"/>
      <c r="CK890" s="5"/>
      <c r="CL890" s="5"/>
      <c r="CM890" s="5"/>
      <c r="CN890" s="5"/>
      <c r="CO890" s="5"/>
      <c r="CP890" s="5"/>
      <c r="CQ890" s="5"/>
      <c r="CR890" s="5"/>
      <c r="CS890" s="5"/>
      <c r="CT890" s="5"/>
      <c r="CU890" s="5"/>
    </row>
    <row r="891" spans="1:99">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c r="BT891" s="5"/>
      <c r="BU891" s="5"/>
      <c r="BV891" s="5"/>
      <c r="BW891" s="5"/>
      <c r="BX891" s="5"/>
      <c r="BY891" s="5"/>
      <c r="BZ891" s="5"/>
      <c r="CA891" s="5"/>
      <c r="CB891" s="5"/>
      <c r="CC891" s="5"/>
      <c r="CD891" s="5"/>
      <c r="CE891" s="5"/>
      <c r="CF891" s="5"/>
      <c r="CG891" s="5"/>
      <c r="CH891" s="5"/>
      <c r="CI891" s="5"/>
      <c r="CJ891" s="5"/>
      <c r="CK891" s="5"/>
      <c r="CL891" s="5"/>
      <c r="CM891" s="5"/>
      <c r="CN891" s="5"/>
      <c r="CO891" s="5"/>
      <c r="CP891" s="5"/>
      <c r="CQ891" s="5"/>
      <c r="CR891" s="5"/>
      <c r="CS891" s="5"/>
      <c r="CT891" s="5"/>
      <c r="CU891" s="5"/>
    </row>
    <row r="892" spans="1:99">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c r="BT892" s="5"/>
      <c r="BU892" s="5"/>
      <c r="BV892" s="5"/>
      <c r="BW892" s="5"/>
      <c r="BX892" s="5"/>
      <c r="BY892" s="5"/>
      <c r="BZ892" s="5"/>
      <c r="CA892" s="5"/>
      <c r="CB892" s="5"/>
      <c r="CC892" s="5"/>
      <c r="CD892" s="5"/>
      <c r="CE892" s="5"/>
      <c r="CF892" s="5"/>
      <c r="CG892" s="5"/>
      <c r="CH892" s="5"/>
      <c r="CI892" s="5"/>
      <c r="CJ892" s="5"/>
      <c r="CK892" s="5"/>
      <c r="CL892" s="5"/>
      <c r="CM892" s="5"/>
      <c r="CN892" s="5"/>
      <c r="CO892" s="5"/>
      <c r="CP892" s="5"/>
      <c r="CQ892" s="5"/>
      <c r="CR892" s="5"/>
      <c r="CS892" s="5"/>
      <c r="CT892" s="5"/>
      <c r="CU892" s="5"/>
    </row>
    <row r="893" spans="1:99">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c r="BT893" s="5"/>
      <c r="BU893" s="5"/>
      <c r="BV893" s="5"/>
      <c r="BW893" s="5"/>
      <c r="BX893" s="5"/>
      <c r="BY893" s="5"/>
      <c r="BZ893" s="5"/>
      <c r="CA893" s="5"/>
      <c r="CB893" s="5"/>
      <c r="CC893" s="5"/>
      <c r="CD893" s="5"/>
      <c r="CE893" s="5"/>
      <c r="CF893" s="5"/>
      <c r="CG893" s="5"/>
      <c r="CH893" s="5"/>
      <c r="CI893" s="5"/>
      <c r="CJ893" s="5"/>
      <c r="CK893" s="5"/>
      <c r="CL893" s="5"/>
      <c r="CM893" s="5"/>
      <c r="CN893" s="5"/>
      <c r="CO893" s="5"/>
      <c r="CP893" s="5"/>
      <c r="CQ893" s="5"/>
      <c r="CR893" s="5"/>
      <c r="CS893" s="5"/>
      <c r="CT893" s="5"/>
      <c r="CU893" s="5"/>
    </row>
    <row r="894" spans="1:99">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c r="BT894" s="5"/>
      <c r="BU894" s="5"/>
      <c r="BV894" s="5"/>
      <c r="BW894" s="5"/>
      <c r="BX894" s="5"/>
      <c r="BY894" s="5"/>
      <c r="BZ894" s="5"/>
      <c r="CA894" s="5"/>
      <c r="CB894" s="5"/>
      <c r="CC894" s="5"/>
      <c r="CD894" s="5"/>
      <c r="CE894" s="5"/>
      <c r="CF894" s="5"/>
      <c r="CG894" s="5"/>
      <c r="CH894" s="5"/>
      <c r="CI894" s="5"/>
      <c r="CJ894" s="5"/>
      <c r="CK894" s="5"/>
      <c r="CL894" s="5"/>
      <c r="CM894" s="5"/>
      <c r="CN894" s="5"/>
      <c r="CO894" s="5"/>
      <c r="CP894" s="5"/>
      <c r="CQ894" s="5"/>
      <c r="CR894" s="5"/>
      <c r="CS894" s="5"/>
      <c r="CT894" s="5"/>
      <c r="CU894" s="5"/>
    </row>
    <row r="895" spans="1:99">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c r="BT895" s="5"/>
      <c r="BU895" s="5"/>
      <c r="BV895" s="5"/>
      <c r="BW895" s="5"/>
      <c r="BX895" s="5"/>
      <c r="BY895" s="5"/>
      <c r="BZ895" s="5"/>
      <c r="CA895" s="5"/>
      <c r="CB895" s="5"/>
      <c r="CC895" s="5"/>
      <c r="CD895" s="5"/>
      <c r="CE895" s="5"/>
      <c r="CF895" s="5"/>
      <c r="CG895" s="5"/>
      <c r="CH895" s="5"/>
      <c r="CI895" s="5"/>
      <c r="CJ895" s="5"/>
      <c r="CK895" s="5"/>
      <c r="CL895" s="5"/>
      <c r="CM895" s="5"/>
      <c r="CN895" s="5"/>
      <c r="CO895" s="5"/>
      <c r="CP895" s="5"/>
      <c r="CQ895" s="5"/>
      <c r="CR895" s="5"/>
      <c r="CS895" s="5"/>
      <c r="CT895" s="5"/>
      <c r="CU895" s="5"/>
    </row>
    <row r="896" spans="1:99">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5"/>
      <c r="BR896" s="5"/>
      <c r="BS896" s="5"/>
      <c r="BT896" s="5"/>
      <c r="BU896" s="5"/>
      <c r="BV896" s="5"/>
      <c r="BW896" s="5"/>
      <c r="BX896" s="5"/>
      <c r="BY896" s="5"/>
      <c r="BZ896" s="5"/>
      <c r="CA896" s="5"/>
      <c r="CB896" s="5"/>
      <c r="CC896" s="5"/>
      <c r="CD896" s="5"/>
      <c r="CE896" s="5"/>
      <c r="CF896" s="5"/>
      <c r="CG896" s="5"/>
      <c r="CH896" s="5"/>
      <c r="CI896" s="5"/>
      <c r="CJ896" s="5"/>
      <c r="CK896" s="5"/>
      <c r="CL896" s="5"/>
      <c r="CM896" s="5"/>
      <c r="CN896" s="5"/>
      <c r="CO896" s="5"/>
      <c r="CP896" s="5"/>
      <c r="CQ896" s="5"/>
      <c r="CR896" s="5"/>
      <c r="CS896" s="5"/>
      <c r="CT896" s="5"/>
      <c r="CU896" s="5"/>
    </row>
    <row r="897" spans="1:99">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c r="CA897" s="5"/>
      <c r="CB897" s="5"/>
      <c r="CC897" s="5"/>
      <c r="CD897" s="5"/>
      <c r="CE897" s="5"/>
      <c r="CF897" s="5"/>
      <c r="CG897" s="5"/>
      <c r="CH897" s="5"/>
      <c r="CI897" s="5"/>
      <c r="CJ897" s="5"/>
      <c r="CK897" s="5"/>
      <c r="CL897" s="5"/>
      <c r="CM897" s="5"/>
      <c r="CN897" s="5"/>
      <c r="CO897" s="5"/>
      <c r="CP897" s="5"/>
      <c r="CQ897" s="5"/>
      <c r="CR897" s="5"/>
      <c r="CS897" s="5"/>
      <c r="CT897" s="5"/>
      <c r="CU897" s="5"/>
    </row>
    <row r="898" spans="1:99">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5"/>
      <c r="BR898" s="5"/>
      <c r="BS898" s="5"/>
      <c r="BT898" s="5"/>
      <c r="BU898" s="5"/>
      <c r="BV898" s="5"/>
      <c r="BW898" s="5"/>
      <c r="BX898" s="5"/>
      <c r="BY898" s="5"/>
      <c r="BZ898" s="5"/>
      <c r="CA898" s="5"/>
      <c r="CB898" s="5"/>
      <c r="CC898" s="5"/>
      <c r="CD898" s="5"/>
      <c r="CE898" s="5"/>
      <c r="CF898" s="5"/>
      <c r="CG898" s="5"/>
      <c r="CH898" s="5"/>
      <c r="CI898" s="5"/>
      <c r="CJ898" s="5"/>
      <c r="CK898" s="5"/>
      <c r="CL898" s="5"/>
      <c r="CM898" s="5"/>
      <c r="CN898" s="5"/>
      <c r="CO898" s="5"/>
      <c r="CP898" s="5"/>
      <c r="CQ898" s="5"/>
      <c r="CR898" s="5"/>
      <c r="CS898" s="5"/>
      <c r="CT898" s="5"/>
      <c r="CU898" s="5"/>
    </row>
    <row r="899" spans="1: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c r="BT899" s="5"/>
      <c r="BU899" s="5"/>
      <c r="BV899" s="5"/>
      <c r="BW899" s="5"/>
      <c r="BX899" s="5"/>
      <c r="BY899" s="5"/>
      <c r="BZ899" s="5"/>
      <c r="CA899" s="5"/>
      <c r="CB899" s="5"/>
      <c r="CC899" s="5"/>
      <c r="CD899" s="5"/>
      <c r="CE899" s="5"/>
      <c r="CF899" s="5"/>
      <c r="CG899" s="5"/>
      <c r="CH899" s="5"/>
      <c r="CI899" s="5"/>
      <c r="CJ899" s="5"/>
      <c r="CK899" s="5"/>
      <c r="CL899" s="5"/>
      <c r="CM899" s="5"/>
      <c r="CN899" s="5"/>
      <c r="CO899" s="5"/>
      <c r="CP899" s="5"/>
      <c r="CQ899" s="5"/>
      <c r="CR899" s="5"/>
      <c r="CS899" s="5"/>
      <c r="CT899" s="5"/>
      <c r="CU899" s="5"/>
    </row>
    <row r="900" spans="1:99">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c r="BT900" s="5"/>
      <c r="BU900" s="5"/>
      <c r="BV900" s="5"/>
      <c r="BW900" s="5"/>
      <c r="BX900" s="5"/>
      <c r="BY900" s="5"/>
      <c r="BZ900" s="5"/>
      <c r="CA900" s="5"/>
      <c r="CB900" s="5"/>
      <c r="CC900" s="5"/>
      <c r="CD900" s="5"/>
      <c r="CE900" s="5"/>
      <c r="CF900" s="5"/>
      <c r="CG900" s="5"/>
      <c r="CH900" s="5"/>
      <c r="CI900" s="5"/>
      <c r="CJ900" s="5"/>
      <c r="CK900" s="5"/>
      <c r="CL900" s="5"/>
      <c r="CM900" s="5"/>
      <c r="CN900" s="5"/>
      <c r="CO900" s="5"/>
      <c r="CP900" s="5"/>
      <c r="CQ900" s="5"/>
      <c r="CR900" s="5"/>
      <c r="CS900" s="5"/>
      <c r="CT900" s="5"/>
      <c r="CU900" s="5"/>
    </row>
    <row r="901" spans="1:99">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c r="BT901" s="5"/>
      <c r="BU901" s="5"/>
      <c r="BV901" s="5"/>
      <c r="BW901" s="5"/>
      <c r="BX901" s="5"/>
      <c r="BY901" s="5"/>
      <c r="BZ901" s="5"/>
      <c r="CA901" s="5"/>
      <c r="CB901" s="5"/>
      <c r="CC901" s="5"/>
      <c r="CD901" s="5"/>
      <c r="CE901" s="5"/>
      <c r="CF901" s="5"/>
      <c r="CG901" s="5"/>
      <c r="CH901" s="5"/>
      <c r="CI901" s="5"/>
      <c r="CJ901" s="5"/>
      <c r="CK901" s="5"/>
      <c r="CL901" s="5"/>
      <c r="CM901" s="5"/>
      <c r="CN901" s="5"/>
      <c r="CO901" s="5"/>
      <c r="CP901" s="5"/>
      <c r="CQ901" s="5"/>
      <c r="CR901" s="5"/>
      <c r="CS901" s="5"/>
      <c r="CT901" s="5"/>
      <c r="CU901" s="5"/>
    </row>
    <row r="902" spans="1:99">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c r="BU902" s="5"/>
      <c r="BV902" s="5"/>
      <c r="BW902" s="5"/>
      <c r="BX902" s="5"/>
      <c r="BY902" s="5"/>
      <c r="BZ902" s="5"/>
      <c r="CA902" s="5"/>
      <c r="CB902" s="5"/>
      <c r="CC902" s="5"/>
      <c r="CD902" s="5"/>
      <c r="CE902" s="5"/>
      <c r="CF902" s="5"/>
      <c r="CG902" s="5"/>
      <c r="CH902" s="5"/>
      <c r="CI902" s="5"/>
      <c r="CJ902" s="5"/>
      <c r="CK902" s="5"/>
      <c r="CL902" s="5"/>
      <c r="CM902" s="5"/>
      <c r="CN902" s="5"/>
      <c r="CO902" s="5"/>
      <c r="CP902" s="5"/>
      <c r="CQ902" s="5"/>
      <c r="CR902" s="5"/>
      <c r="CS902" s="5"/>
      <c r="CT902" s="5"/>
      <c r="CU902" s="5"/>
    </row>
    <row r="903" spans="1:99">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c r="BT903" s="5"/>
      <c r="BU903" s="5"/>
      <c r="BV903" s="5"/>
      <c r="BW903" s="5"/>
      <c r="BX903" s="5"/>
      <c r="BY903" s="5"/>
      <c r="BZ903" s="5"/>
      <c r="CA903" s="5"/>
      <c r="CB903" s="5"/>
      <c r="CC903" s="5"/>
      <c r="CD903" s="5"/>
      <c r="CE903" s="5"/>
      <c r="CF903" s="5"/>
      <c r="CG903" s="5"/>
      <c r="CH903" s="5"/>
      <c r="CI903" s="5"/>
      <c r="CJ903" s="5"/>
      <c r="CK903" s="5"/>
      <c r="CL903" s="5"/>
      <c r="CM903" s="5"/>
      <c r="CN903" s="5"/>
      <c r="CO903" s="5"/>
      <c r="CP903" s="5"/>
      <c r="CQ903" s="5"/>
      <c r="CR903" s="5"/>
      <c r="CS903" s="5"/>
      <c r="CT903" s="5"/>
      <c r="CU903" s="5"/>
    </row>
    <row r="904" spans="1:99">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c r="CA904" s="5"/>
      <c r="CB904" s="5"/>
      <c r="CC904" s="5"/>
      <c r="CD904" s="5"/>
      <c r="CE904" s="5"/>
      <c r="CF904" s="5"/>
      <c r="CG904" s="5"/>
      <c r="CH904" s="5"/>
      <c r="CI904" s="5"/>
      <c r="CJ904" s="5"/>
      <c r="CK904" s="5"/>
      <c r="CL904" s="5"/>
      <c r="CM904" s="5"/>
      <c r="CN904" s="5"/>
      <c r="CO904" s="5"/>
      <c r="CP904" s="5"/>
      <c r="CQ904" s="5"/>
      <c r="CR904" s="5"/>
      <c r="CS904" s="5"/>
      <c r="CT904" s="5"/>
      <c r="CU904" s="5"/>
    </row>
    <row r="905" spans="1:99">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c r="BT905" s="5"/>
      <c r="BU905" s="5"/>
      <c r="BV905" s="5"/>
      <c r="BW905" s="5"/>
      <c r="BX905" s="5"/>
      <c r="BY905" s="5"/>
      <c r="BZ905" s="5"/>
      <c r="CA905" s="5"/>
      <c r="CB905" s="5"/>
      <c r="CC905" s="5"/>
      <c r="CD905" s="5"/>
      <c r="CE905" s="5"/>
      <c r="CF905" s="5"/>
      <c r="CG905" s="5"/>
      <c r="CH905" s="5"/>
      <c r="CI905" s="5"/>
      <c r="CJ905" s="5"/>
      <c r="CK905" s="5"/>
      <c r="CL905" s="5"/>
      <c r="CM905" s="5"/>
      <c r="CN905" s="5"/>
      <c r="CO905" s="5"/>
      <c r="CP905" s="5"/>
      <c r="CQ905" s="5"/>
      <c r="CR905" s="5"/>
      <c r="CS905" s="5"/>
      <c r="CT905" s="5"/>
      <c r="CU905" s="5"/>
    </row>
    <row r="906" spans="1:99">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c r="BT906" s="5"/>
      <c r="BU906" s="5"/>
      <c r="BV906" s="5"/>
      <c r="BW906" s="5"/>
      <c r="BX906" s="5"/>
      <c r="BY906" s="5"/>
      <c r="BZ906" s="5"/>
      <c r="CA906" s="5"/>
      <c r="CB906" s="5"/>
      <c r="CC906" s="5"/>
      <c r="CD906" s="5"/>
      <c r="CE906" s="5"/>
      <c r="CF906" s="5"/>
      <c r="CG906" s="5"/>
      <c r="CH906" s="5"/>
      <c r="CI906" s="5"/>
      <c r="CJ906" s="5"/>
      <c r="CK906" s="5"/>
      <c r="CL906" s="5"/>
      <c r="CM906" s="5"/>
      <c r="CN906" s="5"/>
      <c r="CO906" s="5"/>
      <c r="CP906" s="5"/>
      <c r="CQ906" s="5"/>
      <c r="CR906" s="5"/>
      <c r="CS906" s="5"/>
      <c r="CT906" s="5"/>
      <c r="CU906" s="5"/>
    </row>
    <row r="907" spans="1:99">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c r="BT907" s="5"/>
      <c r="BU907" s="5"/>
      <c r="BV907" s="5"/>
      <c r="BW907" s="5"/>
      <c r="BX907" s="5"/>
      <c r="BY907" s="5"/>
      <c r="BZ907" s="5"/>
      <c r="CA907" s="5"/>
      <c r="CB907" s="5"/>
      <c r="CC907" s="5"/>
      <c r="CD907" s="5"/>
      <c r="CE907" s="5"/>
      <c r="CF907" s="5"/>
      <c r="CG907" s="5"/>
      <c r="CH907" s="5"/>
      <c r="CI907" s="5"/>
      <c r="CJ907" s="5"/>
      <c r="CK907" s="5"/>
      <c r="CL907" s="5"/>
      <c r="CM907" s="5"/>
      <c r="CN907" s="5"/>
      <c r="CO907" s="5"/>
      <c r="CP907" s="5"/>
      <c r="CQ907" s="5"/>
      <c r="CR907" s="5"/>
      <c r="CS907" s="5"/>
      <c r="CT907" s="5"/>
      <c r="CU907" s="5"/>
    </row>
    <row r="908" spans="1:99">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c r="BT908" s="5"/>
      <c r="BU908" s="5"/>
      <c r="BV908" s="5"/>
      <c r="BW908" s="5"/>
      <c r="BX908" s="5"/>
      <c r="BY908" s="5"/>
      <c r="BZ908" s="5"/>
      <c r="CA908" s="5"/>
      <c r="CB908" s="5"/>
      <c r="CC908" s="5"/>
      <c r="CD908" s="5"/>
      <c r="CE908" s="5"/>
      <c r="CF908" s="5"/>
      <c r="CG908" s="5"/>
      <c r="CH908" s="5"/>
      <c r="CI908" s="5"/>
      <c r="CJ908" s="5"/>
      <c r="CK908" s="5"/>
      <c r="CL908" s="5"/>
      <c r="CM908" s="5"/>
      <c r="CN908" s="5"/>
      <c r="CO908" s="5"/>
      <c r="CP908" s="5"/>
      <c r="CQ908" s="5"/>
      <c r="CR908" s="5"/>
      <c r="CS908" s="5"/>
      <c r="CT908" s="5"/>
      <c r="CU908" s="5"/>
    </row>
    <row r="909" spans="1:9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c r="BT909" s="5"/>
      <c r="BU909" s="5"/>
      <c r="BV909" s="5"/>
      <c r="BW909" s="5"/>
      <c r="BX909" s="5"/>
      <c r="BY909" s="5"/>
      <c r="BZ909" s="5"/>
      <c r="CA909" s="5"/>
      <c r="CB909" s="5"/>
      <c r="CC909" s="5"/>
      <c r="CD909" s="5"/>
      <c r="CE909" s="5"/>
      <c r="CF909" s="5"/>
      <c r="CG909" s="5"/>
      <c r="CH909" s="5"/>
      <c r="CI909" s="5"/>
      <c r="CJ909" s="5"/>
      <c r="CK909" s="5"/>
      <c r="CL909" s="5"/>
      <c r="CM909" s="5"/>
      <c r="CN909" s="5"/>
      <c r="CO909" s="5"/>
      <c r="CP909" s="5"/>
      <c r="CQ909" s="5"/>
      <c r="CR909" s="5"/>
      <c r="CS909" s="5"/>
      <c r="CT909" s="5"/>
      <c r="CU909" s="5"/>
    </row>
    <row r="910" spans="1:99">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c r="BU910" s="5"/>
      <c r="BV910" s="5"/>
      <c r="BW910" s="5"/>
      <c r="BX910" s="5"/>
      <c r="BY910" s="5"/>
      <c r="BZ910" s="5"/>
      <c r="CA910" s="5"/>
      <c r="CB910" s="5"/>
      <c r="CC910" s="5"/>
      <c r="CD910" s="5"/>
      <c r="CE910" s="5"/>
      <c r="CF910" s="5"/>
      <c r="CG910" s="5"/>
      <c r="CH910" s="5"/>
      <c r="CI910" s="5"/>
      <c r="CJ910" s="5"/>
      <c r="CK910" s="5"/>
      <c r="CL910" s="5"/>
      <c r="CM910" s="5"/>
      <c r="CN910" s="5"/>
      <c r="CO910" s="5"/>
      <c r="CP910" s="5"/>
      <c r="CQ910" s="5"/>
      <c r="CR910" s="5"/>
      <c r="CS910" s="5"/>
      <c r="CT910" s="5"/>
      <c r="CU910" s="5"/>
    </row>
    <row r="911" spans="1:99">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CO911" s="5"/>
      <c r="CP911" s="5"/>
      <c r="CQ911" s="5"/>
      <c r="CR911" s="5"/>
      <c r="CS911" s="5"/>
      <c r="CT911" s="5"/>
      <c r="CU911" s="5"/>
    </row>
    <row r="912" spans="1:99">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5"/>
      <c r="CN912" s="5"/>
      <c r="CO912" s="5"/>
      <c r="CP912" s="5"/>
      <c r="CQ912" s="5"/>
      <c r="CR912" s="5"/>
      <c r="CS912" s="5"/>
      <c r="CT912" s="5"/>
      <c r="CU912" s="5"/>
    </row>
    <row r="913" spans="1:99">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c r="CN913" s="5"/>
      <c r="CO913" s="5"/>
      <c r="CP913" s="5"/>
      <c r="CQ913" s="5"/>
      <c r="CR913" s="5"/>
      <c r="CS913" s="5"/>
      <c r="CT913" s="5"/>
      <c r="CU913" s="5"/>
    </row>
    <row r="914" spans="1:99">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c r="BT914" s="5"/>
      <c r="BU914" s="5"/>
      <c r="BV914" s="5"/>
      <c r="BW914" s="5"/>
      <c r="BX914" s="5"/>
      <c r="BY914" s="5"/>
      <c r="BZ914" s="5"/>
      <c r="CA914" s="5"/>
      <c r="CB914" s="5"/>
      <c r="CC914" s="5"/>
      <c r="CD914" s="5"/>
      <c r="CE914" s="5"/>
      <c r="CF914" s="5"/>
      <c r="CG914" s="5"/>
      <c r="CH914" s="5"/>
      <c r="CI914" s="5"/>
      <c r="CJ914" s="5"/>
      <c r="CK914" s="5"/>
      <c r="CL914" s="5"/>
      <c r="CM914" s="5"/>
      <c r="CN914" s="5"/>
      <c r="CO914" s="5"/>
      <c r="CP914" s="5"/>
      <c r="CQ914" s="5"/>
      <c r="CR914" s="5"/>
      <c r="CS914" s="5"/>
      <c r="CT914" s="5"/>
      <c r="CU914" s="5"/>
    </row>
    <row r="915" spans="1:99">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c r="BT915" s="5"/>
      <c r="BU915" s="5"/>
      <c r="BV915" s="5"/>
      <c r="BW915" s="5"/>
      <c r="BX915" s="5"/>
      <c r="BY915" s="5"/>
      <c r="BZ915" s="5"/>
      <c r="CA915" s="5"/>
      <c r="CB915" s="5"/>
      <c r="CC915" s="5"/>
      <c r="CD915" s="5"/>
      <c r="CE915" s="5"/>
      <c r="CF915" s="5"/>
      <c r="CG915" s="5"/>
      <c r="CH915" s="5"/>
      <c r="CI915" s="5"/>
      <c r="CJ915" s="5"/>
      <c r="CK915" s="5"/>
      <c r="CL915" s="5"/>
      <c r="CM915" s="5"/>
      <c r="CN915" s="5"/>
      <c r="CO915" s="5"/>
      <c r="CP915" s="5"/>
      <c r="CQ915" s="5"/>
      <c r="CR915" s="5"/>
      <c r="CS915" s="5"/>
      <c r="CT915" s="5"/>
      <c r="CU915" s="5"/>
    </row>
    <row r="916" spans="1:99">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c r="BT916" s="5"/>
      <c r="BU916" s="5"/>
      <c r="BV916" s="5"/>
      <c r="BW916" s="5"/>
      <c r="BX916" s="5"/>
      <c r="BY916" s="5"/>
      <c r="BZ916" s="5"/>
      <c r="CA916" s="5"/>
      <c r="CB916" s="5"/>
      <c r="CC916" s="5"/>
      <c r="CD916" s="5"/>
      <c r="CE916" s="5"/>
      <c r="CF916" s="5"/>
      <c r="CG916" s="5"/>
      <c r="CH916" s="5"/>
      <c r="CI916" s="5"/>
      <c r="CJ916" s="5"/>
      <c r="CK916" s="5"/>
      <c r="CL916" s="5"/>
      <c r="CM916" s="5"/>
      <c r="CN916" s="5"/>
      <c r="CO916" s="5"/>
      <c r="CP916" s="5"/>
      <c r="CQ916" s="5"/>
      <c r="CR916" s="5"/>
      <c r="CS916" s="5"/>
      <c r="CT916" s="5"/>
      <c r="CU916" s="5"/>
    </row>
    <row r="917" spans="1:99">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c r="CA917" s="5"/>
      <c r="CB917" s="5"/>
      <c r="CC917" s="5"/>
      <c r="CD917" s="5"/>
      <c r="CE917" s="5"/>
      <c r="CF917" s="5"/>
      <c r="CG917" s="5"/>
      <c r="CH917" s="5"/>
      <c r="CI917" s="5"/>
      <c r="CJ917" s="5"/>
      <c r="CK917" s="5"/>
      <c r="CL917" s="5"/>
      <c r="CM917" s="5"/>
      <c r="CN917" s="5"/>
      <c r="CO917" s="5"/>
      <c r="CP917" s="5"/>
      <c r="CQ917" s="5"/>
      <c r="CR917" s="5"/>
      <c r="CS917" s="5"/>
      <c r="CT917" s="5"/>
      <c r="CU917" s="5"/>
    </row>
    <row r="918" spans="1:99">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5"/>
      <c r="BR918" s="5"/>
      <c r="BS918" s="5"/>
      <c r="BT918" s="5"/>
      <c r="BU918" s="5"/>
      <c r="BV918" s="5"/>
      <c r="BW918" s="5"/>
      <c r="BX918" s="5"/>
      <c r="BY918" s="5"/>
      <c r="BZ918" s="5"/>
      <c r="CA918" s="5"/>
      <c r="CB918" s="5"/>
      <c r="CC918" s="5"/>
      <c r="CD918" s="5"/>
      <c r="CE918" s="5"/>
      <c r="CF918" s="5"/>
      <c r="CG918" s="5"/>
      <c r="CH918" s="5"/>
      <c r="CI918" s="5"/>
      <c r="CJ918" s="5"/>
      <c r="CK918" s="5"/>
      <c r="CL918" s="5"/>
      <c r="CM918" s="5"/>
      <c r="CN918" s="5"/>
      <c r="CO918" s="5"/>
      <c r="CP918" s="5"/>
      <c r="CQ918" s="5"/>
      <c r="CR918" s="5"/>
      <c r="CS918" s="5"/>
      <c r="CT918" s="5"/>
      <c r="CU918" s="5"/>
    </row>
    <row r="919" spans="1:9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5"/>
      <c r="BN919" s="5"/>
      <c r="BO919" s="5"/>
      <c r="BP919" s="5"/>
      <c r="BQ919" s="5"/>
      <c r="BR919" s="5"/>
      <c r="BS919" s="5"/>
      <c r="BT919" s="5"/>
      <c r="BU919" s="5"/>
      <c r="BV919" s="5"/>
      <c r="BW919" s="5"/>
      <c r="BX919" s="5"/>
      <c r="BY919" s="5"/>
      <c r="BZ919" s="5"/>
      <c r="CA919" s="5"/>
      <c r="CB919" s="5"/>
      <c r="CC919" s="5"/>
      <c r="CD919" s="5"/>
      <c r="CE919" s="5"/>
      <c r="CF919" s="5"/>
      <c r="CG919" s="5"/>
      <c r="CH919" s="5"/>
      <c r="CI919" s="5"/>
      <c r="CJ919" s="5"/>
      <c r="CK919" s="5"/>
      <c r="CL919" s="5"/>
      <c r="CM919" s="5"/>
      <c r="CN919" s="5"/>
      <c r="CO919" s="5"/>
      <c r="CP919" s="5"/>
      <c r="CQ919" s="5"/>
      <c r="CR919" s="5"/>
      <c r="CS919" s="5"/>
      <c r="CT919" s="5"/>
      <c r="CU919" s="5"/>
    </row>
    <row r="920" spans="1:99">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c r="BT920" s="5"/>
      <c r="BU920" s="5"/>
      <c r="BV920" s="5"/>
      <c r="BW920" s="5"/>
      <c r="BX920" s="5"/>
      <c r="BY920" s="5"/>
      <c r="BZ920" s="5"/>
      <c r="CA920" s="5"/>
      <c r="CB920" s="5"/>
      <c r="CC920" s="5"/>
      <c r="CD920" s="5"/>
      <c r="CE920" s="5"/>
      <c r="CF920" s="5"/>
      <c r="CG920" s="5"/>
      <c r="CH920" s="5"/>
      <c r="CI920" s="5"/>
      <c r="CJ920" s="5"/>
      <c r="CK920" s="5"/>
      <c r="CL920" s="5"/>
      <c r="CM920" s="5"/>
      <c r="CN920" s="5"/>
      <c r="CO920" s="5"/>
      <c r="CP920" s="5"/>
      <c r="CQ920" s="5"/>
      <c r="CR920" s="5"/>
      <c r="CS920" s="5"/>
      <c r="CT920" s="5"/>
      <c r="CU920" s="5"/>
    </row>
    <row r="921" spans="1:99">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5"/>
      <c r="BN921" s="5"/>
      <c r="BO921" s="5"/>
      <c r="BP921" s="5"/>
      <c r="BQ921" s="5"/>
      <c r="BR921" s="5"/>
      <c r="BS921" s="5"/>
      <c r="BT921" s="5"/>
      <c r="BU921" s="5"/>
      <c r="BV921" s="5"/>
      <c r="BW921" s="5"/>
      <c r="BX921" s="5"/>
      <c r="BY921" s="5"/>
      <c r="BZ921" s="5"/>
      <c r="CA921" s="5"/>
      <c r="CB921" s="5"/>
      <c r="CC921" s="5"/>
      <c r="CD921" s="5"/>
      <c r="CE921" s="5"/>
      <c r="CF921" s="5"/>
      <c r="CG921" s="5"/>
      <c r="CH921" s="5"/>
      <c r="CI921" s="5"/>
      <c r="CJ921" s="5"/>
      <c r="CK921" s="5"/>
      <c r="CL921" s="5"/>
      <c r="CM921" s="5"/>
      <c r="CN921" s="5"/>
      <c r="CO921" s="5"/>
      <c r="CP921" s="5"/>
      <c r="CQ921" s="5"/>
      <c r="CR921" s="5"/>
      <c r="CS921" s="5"/>
      <c r="CT921" s="5"/>
      <c r="CU921" s="5"/>
    </row>
    <row r="922" spans="1:99">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5"/>
      <c r="BN922" s="5"/>
      <c r="BO922" s="5"/>
      <c r="BP922" s="5"/>
      <c r="BQ922" s="5"/>
      <c r="BR922" s="5"/>
      <c r="BS922" s="5"/>
      <c r="BT922" s="5"/>
      <c r="BU922" s="5"/>
      <c r="BV922" s="5"/>
      <c r="BW922" s="5"/>
      <c r="BX922" s="5"/>
      <c r="BY922" s="5"/>
      <c r="BZ922" s="5"/>
      <c r="CA922" s="5"/>
      <c r="CB922" s="5"/>
      <c r="CC922" s="5"/>
      <c r="CD922" s="5"/>
      <c r="CE922" s="5"/>
      <c r="CF922" s="5"/>
      <c r="CG922" s="5"/>
      <c r="CH922" s="5"/>
      <c r="CI922" s="5"/>
      <c r="CJ922" s="5"/>
      <c r="CK922" s="5"/>
      <c r="CL922" s="5"/>
      <c r="CM922" s="5"/>
      <c r="CN922" s="5"/>
      <c r="CO922" s="5"/>
      <c r="CP922" s="5"/>
      <c r="CQ922" s="5"/>
      <c r="CR922" s="5"/>
      <c r="CS922" s="5"/>
      <c r="CT922" s="5"/>
      <c r="CU922" s="5"/>
    </row>
    <row r="923" spans="1:99">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5"/>
      <c r="BN923" s="5"/>
      <c r="BO923" s="5"/>
      <c r="BP923" s="5"/>
      <c r="BQ923" s="5"/>
      <c r="BR923" s="5"/>
      <c r="BS923" s="5"/>
      <c r="BT923" s="5"/>
      <c r="BU923" s="5"/>
      <c r="BV923" s="5"/>
      <c r="BW923" s="5"/>
      <c r="BX923" s="5"/>
      <c r="BY923" s="5"/>
      <c r="BZ923" s="5"/>
      <c r="CA923" s="5"/>
      <c r="CB923" s="5"/>
      <c r="CC923" s="5"/>
      <c r="CD923" s="5"/>
      <c r="CE923" s="5"/>
      <c r="CF923" s="5"/>
      <c r="CG923" s="5"/>
      <c r="CH923" s="5"/>
      <c r="CI923" s="5"/>
      <c r="CJ923" s="5"/>
      <c r="CK923" s="5"/>
      <c r="CL923" s="5"/>
      <c r="CM923" s="5"/>
      <c r="CN923" s="5"/>
      <c r="CO923" s="5"/>
      <c r="CP923" s="5"/>
      <c r="CQ923" s="5"/>
      <c r="CR923" s="5"/>
      <c r="CS923" s="5"/>
      <c r="CT923" s="5"/>
      <c r="CU923" s="5"/>
    </row>
    <row r="924" spans="1:99">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c r="BT924" s="5"/>
      <c r="BU924" s="5"/>
      <c r="BV924" s="5"/>
      <c r="BW924" s="5"/>
      <c r="BX924" s="5"/>
      <c r="BY924" s="5"/>
      <c r="BZ924" s="5"/>
      <c r="CA924" s="5"/>
      <c r="CB924" s="5"/>
      <c r="CC924" s="5"/>
      <c r="CD924" s="5"/>
      <c r="CE924" s="5"/>
      <c r="CF924" s="5"/>
      <c r="CG924" s="5"/>
      <c r="CH924" s="5"/>
      <c r="CI924" s="5"/>
      <c r="CJ924" s="5"/>
      <c r="CK924" s="5"/>
      <c r="CL924" s="5"/>
      <c r="CM924" s="5"/>
      <c r="CN924" s="5"/>
      <c r="CO924" s="5"/>
      <c r="CP924" s="5"/>
      <c r="CQ924" s="5"/>
      <c r="CR924" s="5"/>
      <c r="CS924" s="5"/>
      <c r="CT924" s="5"/>
      <c r="CU924" s="5"/>
    </row>
    <row r="925" spans="1:99">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5"/>
      <c r="BN925" s="5"/>
      <c r="BO925" s="5"/>
      <c r="BP925" s="5"/>
      <c r="BQ925" s="5"/>
      <c r="BR925" s="5"/>
      <c r="BS925" s="5"/>
      <c r="BT925" s="5"/>
      <c r="BU925" s="5"/>
      <c r="BV925" s="5"/>
      <c r="BW925" s="5"/>
      <c r="BX925" s="5"/>
      <c r="BY925" s="5"/>
      <c r="BZ925" s="5"/>
      <c r="CA925" s="5"/>
      <c r="CB925" s="5"/>
      <c r="CC925" s="5"/>
      <c r="CD925" s="5"/>
      <c r="CE925" s="5"/>
      <c r="CF925" s="5"/>
      <c r="CG925" s="5"/>
      <c r="CH925" s="5"/>
      <c r="CI925" s="5"/>
      <c r="CJ925" s="5"/>
      <c r="CK925" s="5"/>
      <c r="CL925" s="5"/>
      <c r="CM925" s="5"/>
      <c r="CN925" s="5"/>
      <c r="CO925" s="5"/>
      <c r="CP925" s="5"/>
      <c r="CQ925" s="5"/>
      <c r="CR925" s="5"/>
      <c r="CS925" s="5"/>
      <c r="CT925" s="5"/>
      <c r="CU925" s="5"/>
    </row>
    <row r="926" spans="1:99">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c r="BI926" s="5"/>
      <c r="BJ926" s="5"/>
      <c r="BK926" s="5"/>
      <c r="BL926" s="5"/>
      <c r="BM926" s="5"/>
      <c r="BN926" s="5"/>
      <c r="BO926" s="5"/>
      <c r="BP926" s="5"/>
      <c r="BQ926" s="5"/>
      <c r="BR926" s="5"/>
      <c r="BS926" s="5"/>
      <c r="BT926" s="5"/>
      <c r="BU926" s="5"/>
      <c r="BV926" s="5"/>
      <c r="BW926" s="5"/>
      <c r="BX926" s="5"/>
      <c r="BY926" s="5"/>
      <c r="BZ926" s="5"/>
      <c r="CA926" s="5"/>
      <c r="CB926" s="5"/>
      <c r="CC926" s="5"/>
      <c r="CD926" s="5"/>
      <c r="CE926" s="5"/>
      <c r="CF926" s="5"/>
      <c r="CG926" s="5"/>
      <c r="CH926" s="5"/>
      <c r="CI926" s="5"/>
      <c r="CJ926" s="5"/>
      <c r="CK926" s="5"/>
      <c r="CL926" s="5"/>
      <c r="CM926" s="5"/>
      <c r="CN926" s="5"/>
      <c r="CO926" s="5"/>
      <c r="CP926" s="5"/>
      <c r="CQ926" s="5"/>
      <c r="CR926" s="5"/>
      <c r="CS926" s="5"/>
      <c r="CT926" s="5"/>
      <c r="CU926" s="5"/>
    </row>
    <row r="927" spans="1:99">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I927" s="5"/>
      <c r="BJ927" s="5"/>
      <c r="BK927" s="5"/>
      <c r="BL927" s="5"/>
      <c r="BM927" s="5"/>
      <c r="BN927" s="5"/>
      <c r="BO927" s="5"/>
      <c r="BP927" s="5"/>
      <c r="BQ927" s="5"/>
      <c r="BR927" s="5"/>
      <c r="BS927" s="5"/>
      <c r="BT927" s="5"/>
      <c r="BU927" s="5"/>
      <c r="BV927" s="5"/>
      <c r="BW927" s="5"/>
      <c r="BX927" s="5"/>
      <c r="BY927" s="5"/>
      <c r="BZ927" s="5"/>
      <c r="CA927" s="5"/>
      <c r="CB927" s="5"/>
      <c r="CC927" s="5"/>
      <c r="CD927" s="5"/>
      <c r="CE927" s="5"/>
      <c r="CF927" s="5"/>
      <c r="CG927" s="5"/>
      <c r="CH927" s="5"/>
      <c r="CI927" s="5"/>
      <c r="CJ927" s="5"/>
      <c r="CK927" s="5"/>
      <c r="CL927" s="5"/>
      <c r="CM927" s="5"/>
      <c r="CN927" s="5"/>
      <c r="CO927" s="5"/>
      <c r="CP927" s="5"/>
      <c r="CQ927" s="5"/>
      <c r="CR927" s="5"/>
      <c r="CS927" s="5"/>
      <c r="CT927" s="5"/>
      <c r="CU927" s="5"/>
    </row>
    <row r="928" spans="1:99">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5"/>
      <c r="BN928" s="5"/>
      <c r="BO928" s="5"/>
      <c r="BP928" s="5"/>
      <c r="BQ928" s="5"/>
      <c r="BR928" s="5"/>
      <c r="BS928" s="5"/>
      <c r="BT928" s="5"/>
      <c r="BU928" s="5"/>
      <c r="BV928" s="5"/>
      <c r="BW928" s="5"/>
      <c r="BX928" s="5"/>
      <c r="BY928" s="5"/>
      <c r="BZ928" s="5"/>
      <c r="CA928" s="5"/>
      <c r="CB928" s="5"/>
      <c r="CC928" s="5"/>
      <c r="CD928" s="5"/>
      <c r="CE928" s="5"/>
      <c r="CF928" s="5"/>
      <c r="CG928" s="5"/>
      <c r="CH928" s="5"/>
      <c r="CI928" s="5"/>
      <c r="CJ928" s="5"/>
      <c r="CK928" s="5"/>
      <c r="CL928" s="5"/>
      <c r="CM928" s="5"/>
      <c r="CN928" s="5"/>
      <c r="CO928" s="5"/>
      <c r="CP928" s="5"/>
      <c r="CQ928" s="5"/>
      <c r="CR928" s="5"/>
      <c r="CS928" s="5"/>
      <c r="CT928" s="5"/>
      <c r="CU928" s="5"/>
    </row>
    <row r="929" spans="1:9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c r="CA929" s="5"/>
      <c r="CB929" s="5"/>
      <c r="CC929" s="5"/>
      <c r="CD929" s="5"/>
      <c r="CE929" s="5"/>
      <c r="CF929" s="5"/>
      <c r="CG929" s="5"/>
      <c r="CH929" s="5"/>
      <c r="CI929" s="5"/>
      <c r="CJ929" s="5"/>
      <c r="CK929" s="5"/>
      <c r="CL929" s="5"/>
      <c r="CM929" s="5"/>
      <c r="CN929" s="5"/>
      <c r="CO929" s="5"/>
      <c r="CP929" s="5"/>
      <c r="CQ929" s="5"/>
      <c r="CR929" s="5"/>
      <c r="CS929" s="5"/>
      <c r="CT929" s="5"/>
      <c r="CU929" s="5"/>
    </row>
    <row r="930" spans="1:99">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c r="BT930" s="5"/>
      <c r="BU930" s="5"/>
      <c r="BV930" s="5"/>
      <c r="BW930" s="5"/>
      <c r="BX930" s="5"/>
      <c r="BY930" s="5"/>
      <c r="BZ930" s="5"/>
      <c r="CA930" s="5"/>
      <c r="CB930" s="5"/>
      <c r="CC930" s="5"/>
      <c r="CD930" s="5"/>
      <c r="CE930" s="5"/>
      <c r="CF930" s="5"/>
      <c r="CG930" s="5"/>
      <c r="CH930" s="5"/>
      <c r="CI930" s="5"/>
      <c r="CJ930" s="5"/>
      <c r="CK930" s="5"/>
      <c r="CL930" s="5"/>
      <c r="CM930" s="5"/>
      <c r="CN930" s="5"/>
      <c r="CO930" s="5"/>
      <c r="CP930" s="5"/>
      <c r="CQ930" s="5"/>
      <c r="CR930" s="5"/>
      <c r="CS930" s="5"/>
      <c r="CT930" s="5"/>
      <c r="CU930" s="5"/>
    </row>
    <row r="931" spans="1:99">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c r="CA931" s="5"/>
      <c r="CB931" s="5"/>
      <c r="CC931" s="5"/>
      <c r="CD931" s="5"/>
      <c r="CE931" s="5"/>
      <c r="CF931" s="5"/>
      <c r="CG931" s="5"/>
      <c r="CH931" s="5"/>
      <c r="CI931" s="5"/>
      <c r="CJ931" s="5"/>
      <c r="CK931" s="5"/>
      <c r="CL931" s="5"/>
      <c r="CM931" s="5"/>
      <c r="CN931" s="5"/>
      <c r="CO931" s="5"/>
      <c r="CP931" s="5"/>
      <c r="CQ931" s="5"/>
      <c r="CR931" s="5"/>
      <c r="CS931" s="5"/>
      <c r="CT931" s="5"/>
      <c r="CU931" s="5"/>
    </row>
    <row r="932" spans="1:99">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5"/>
      <c r="BO932" s="5"/>
      <c r="BP932" s="5"/>
      <c r="BQ932" s="5"/>
      <c r="BR932" s="5"/>
      <c r="BS932" s="5"/>
      <c r="BT932" s="5"/>
      <c r="BU932" s="5"/>
      <c r="BV932" s="5"/>
      <c r="BW932" s="5"/>
      <c r="BX932" s="5"/>
      <c r="BY932" s="5"/>
      <c r="BZ932" s="5"/>
      <c r="CA932" s="5"/>
      <c r="CB932" s="5"/>
      <c r="CC932" s="5"/>
      <c r="CD932" s="5"/>
      <c r="CE932" s="5"/>
      <c r="CF932" s="5"/>
      <c r="CG932" s="5"/>
      <c r="CH932" s="5"/>
      <c r="CI932" s="5"/>
      <c r="CJ932" s="5"/>
      <c r="CK932" s="5"/>
      <c r="CL932" s="5"/>
      <c r="CM932" s="5"/>
      <c r="CN932" s="5"/>
      <c r="CO932" s="5"/>
      <c r="CP932" s="5"/>
      <c r="CQ932" s="5"/>
      <c r="CR932" s="5"/>
      <c r="CS932" s="5"/>
      <c r="CT932" s="5"/>
      <c r="CU932" s="5"/>
    </row>
    <row r="933" spans="1:99">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5"/>
      <c r="BO933" s="5"/>
      <c r="BP933" s="5"/>
      <c r="BQ933" s="5"/>
      <c r="BR933" s="5"/>
      <c r="BS933" s="5"/>
      <c r="BT933" s="5"/>
      <c r="BU933" s="5"/>
      <c r="BV933" s="5"/>
      <c r="BW933" s="5"/>
      <c r="BX933" s="5"/>
      <c r="BY933" s="5"/>
      <c r="BZ933" s="5"/>
      <c r="CA933" s="5"/>
      <c r="CB933" s="5"/>
      <c r="CC933" s="5"/>
      <c r="CD933" s="5"/>
      <c r="CE933" s="5"/>
      <c r="CF933" s="5"/>
      <c r="CG933" s="5"/>
      <c r="CH933" s="5"/>
      <c r="CI933" s="5"/>
      <c r="CJ933" s="5"/>
      <c r="CK933" s="5"/>
      <c r="CL933" s="5"/>
      <c r="CM933" s="5"/>
      <c r="CN933" s="5"/>
      <c r="CO933" s="5"/>
      <c r="CP933" s="5"/>
      <c r="CQ933" s="5"/>
      <c r="CR933" s="5"/>
      <c r="CS933" s="5"/>
      <c r="CT933" s="5"/>
      <c r="CU933" s="5"/>
    </row>
    <row r="934" spans="1:99">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c r="BT934" s="5"/>
      <c r="BU934" s="5"/>
      <c r="BV934" s="5"/>
      <c r="BW934" s="5"/>
      <c r="BX934" s="5"/>
      <c r="BY934" s="5"/>
      <c r="BZ934" s="5"/>
      <c r="CA934" s="5"/>
      <c r="CB934" s="5"/>
      <c r="CC934" s="5"/>
      <c r="CD934" s="5"/>
      <c r="CE934" s="5"/>
      <c r="CF934" s="5"/>
      <c r="CG934" s="5"/>
      <c r="CH934" s="5"/>
      <c r="CI934" s="5"/>
      <c r="CJ934" s="5"/>
      <c r="CK934" s="5"/>
      <c r="CL934" s="5"/>
      <c r="CM934" s="5"/>
      <c r="CN934" s="5"/>
      <c r="CO934" s="5"/>
      <c r="CP934" s="5"/>
      <c r="CQ934" s="5"/>
      <c r="CR934" s="5"/>
      <c r="CS934" s="5"/>
      <c r="CT934" s="5"/>
      <c r="CU934" s="5"/>
    </row>
    <row r="935" spans="1:99">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5"/>
      <c r="BN935" s="5"/>
      <c r="BO935" s="5"/>
      <c r="BP935" s="5"/>
      <c r="BQ935" s="5"/>
      <c r="BR935" s="5"/>
      <c r="BS935" s="5"/>
      <c r="BT935" s="5"/>
      <c r="BU935" s="5"/>
      <c r="BV935" s="5"/>
      <c r="BW935" s="5"/>
      <c r="BX935" s="5"/>
      <c r="BY935" s="5"/>
      <c r="BZ935" s="5"/>
      <c r="CA935" s="5"/>
      <c r="CB935" s="5"/>
      <c r="CC935" s="5"/>
      <c r="CD935" s="5"/>
      <c r="CE935" s="5"/>
      <c r="CF935" s="5"/>
      <c r="CG935" s="5"/>
      <c r="CH935" s="5"/>
      <c r="CI935" s="5"/>
      <c r="CJ935" s="5"/>
      <c r="CK935" s="5"/>
      <c r="CL935" s="5"/>
      <c r="CM935" s="5"/>
      <c r="CN935" s="5"/>
      <c r="CO935" s="5"/>
      <c r="CP935" s="5"/>
      <c r="CQ935" s="5"/>
      <c r="CR935" s="5"/>
      <c r="CS935" s="5"/>
      <c r="CT935" s="5"/>
      <c r="CU935" s="5"/>
    </row>
    <row r="936" spans="1:99">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c r="CA936" s="5"/>
      <c r="CB936" s="5"/>
      <c r="CC936" s="5"/>
      <c r="CD936" s="5"/>
      <c r="CE936" s="5"/>
      <c r="CF936" s="5"/>
      <c r="CG936" s="5"/>
      <c r="CH936" s="5"/>
      <c r="CI936" s="5"/>
      <c r="CJ936" s="5"/>
      <c r="CK936" s="5"/>
      <c r="CL936" s="5"/>
      <c r="CM936" s="5"/>
      <c r="CN936" s="5"/>
      <c r="CO936" s="5"/>
      <c r="CP936" s="5"/>
      <c r="CQ936" s="5"/>
      <c r="CR936" s="5"/>
      <c r="CS936" s="5"/>
      <c r="CT936" s="5"/>
      <c r="CU936" s="5"/>
    </row>
    <row r="937" spans="1:99">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c r="BU937" s="5"/>
      <c r="BV937" s="5"/>
      <c r="BW937" s="5"/>
      <c r="BX937" s="5"/>
      <c r="BY937" s="5"/>
      <c r="BZ937" s="5"/>
      <c r="CA937" s="5"/>
      <c r="CB937" s="5"/>
      <c r="CC937" s="5"/>
      <c r="CD937" s="5"/>
      <c r="CE937" s="5"/>
      <c r="CF937" s="5"/>
      <c r="CG937" s="5"/>
      <c r="CH937" s="5"/>
      <c r="CI937" s="5"/>
      <c r="CJ937" s="5"/>
      <c r="CK937" s="5"/>
      <c r="CL937" s="5"/>
      <c r="CM937" s="5"/>
      <c r="CN937" s="5"/>
      <c r="CO937" s="5"/>
      <c r="CP937" s="5"/>
      <c r="CQ937" s="5"/>
      <c r="CR937" s="5"/>
      <c r="CS937" s="5"/>
      <c r="CT937" s="5"/>
      <c r="CU937" s="5"/>
    </row>
    <row r="938" spans="1:99">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c r="CA938" s="5"/>
      <c r="CB938" s="5"/>
      <c r="CC938" s="5"/>
      <c r="CD938" s="5"/>
      <c r="CE938" s="5"/>
      <c r="CF938" s="5"/>
      <c r="CG938" s="5"/>
      <c r="CH938" s="5"/>
      <c r="CI938" s="5"/>
      <c r="CJ938" s="5"/>
      <c r="CK938" s="5"/>
      <c r="CL938" s="5"/>
      <c r="CM938" s="5"/>
      <c r="CN938" s="5"/>
      <c r="CO938" s="5"/>
      <c r="CP938" s="5"/>
      <c r="CQ938" s="5"/>
      <c r="CR938" s="5"/>
      <c r="CS938" s="5"/>
      <c r="CT938" s="5"/>
      <c r="CU938" s="5"/>
    </row>
    <row r="939" spans="1:99">
      <c r="A939" s="107"/>
      <c r="B939" s="107"/>
      <c r="C939" s="10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c r="Z939" s="107"/>
      <c r="AA939" s="107"/>
      <c r="AB939" s="107"/>
      <c r="AC939" s="107"/>
      <c r="AD939" s="107"/>
      <c r="AE939" s="107"/>
      <c r="AF939" s="107"/>
      <c r="AG939" s="107"/>
      <c r="AH939" s="107"/>
      <c r="AI939" s="107"/>
      <c r="AJ939" s="107"/>
      <c r="AK939" s="107"/>
      <c r="AL939" s="107"/>
      <c r="AM939" s="107"/>
      <c r="AN939" s="107"/>
      <c r="AO939" s="107"/>
      <c r="AP939" s="107"/>
      <c r="AQ939" s="107"/>
      <c r="AR939" s="107"/>
      <c r="AS939" s="107"/>
      <c r="AT939" s="107"/>
      <c r="AU939" s="107"/>
      <c r="AV939" s="107"/>
      <c r="AW939" s="107"/>
      <c r="AX939" s="107"/>
      <c r="AY939" s="107"/>
      <c r="AZ939" s="107"/>
      <c r="BA939" s="107"/>
      <c r="BB939" s="107"/>
      <c r="BC939" s="107"/>
      <c r="BD939" s="107"/>
      <c r="BE939" s="107"/>
      <c r="BF939" s="107"/>
      <c r="BG939" s="107"/>
      <c r="BH939" s="107"/>
      <c r="BI939" s="107"/>
      <c r="BJ939" s="107"/>
      <c r="BK939" s="107"/>
      <c r="BL939" s="107"/>
      <c r="BM939" s="107"/>
      <c r="BN939" s="107"/>
      <c r="BO939" s="107"/>
      <c r="BP939" s="107"/>
      <c r="BQ939" s="107"/>
      <c r="BR939" s="107"/>
      <c r="BS939" s="107"/>
      <c r="BT939" s="107"/>
      <c r="BU939" s="107"/>
      <c r="BV939" s="107"/>
      <c r="BW939" s="107"/>
      <c r="BX939" s="107"/>
      <c r="BY939" s="107"/>
      <c r="BZ939" s="107"/>
      <c r="CA939" s="107"/>
      <c r="CB939" s="107"/>
      <c r="CC939" s="107"/>
      <c r="CD939" s="107"/>
      <c r="CE939" s="107"/>
      <c r="CF939" s="107"/>
      <c r="CG939" s="107"/>
      <c r="CH939" s="107"/>
      <c r="CI939" s="107"/>
      <c r="CJ939" s="107"/>
      <c r="CK939" s="107"/>
      <c r="CL939" s="107"/>
      <c r="CM939" s="107"/>
      <c r="CN939" s="107"/>
      <c r="CO939" s="107"/>
      <c r="CP939" s="107"/>
      <c r="CQ939" s="107"/>
      <c r="CR939" s="107"/>
      <c r="CS939" s="107"/>
      <c r="CT939" s="107"/>
      <c r="CU939" s="107"/>
    </row>
    <row r="940" spans="1:99">
      <c r="A940" s="107"/>
      <c r="B940" s="107"/>
      <c r="C940" s="10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c r="Z940" s="107"/>
      <c r="AA940" s="107"/>
      <c r="AB940" s="107"/>
      <c r="AC940" s="107"/>
      <c r="AD940" s="107"/>
      <c r="AE940" s="107"/>
      <c r="AF940" s="107"/>
      <c r="AG940" s="107"/>
      <c r="AH940" s="107"/>
      <c r="AI940" s="107"/>
      <c r="AJ940" s="107"/>
      <c r="AK940" s="107"/>
      <c r="AL940" s="107"/>
      <c r="AM940" s="107"/>
      <c r="AN940" s="107"/>
      <c r="AO940" s="107"/>
      <c r="AP940" s="107"/>
      <c r="AQ940" s="107"/>
      <c r="AR940" s="107"/>
      <c r="AS940" s="107"/>
      <c r="AT940" s="107"/>
      <c r="AU940" s="107"/>
      <c r="AV940" s="107"/>
      <c r="AW940" s="107"/>
      <c r="AX940" s="107"/>
      <c r="AY940" s="107"/>
      <c r="AZ940" s="107"/>
      <c r="BA940" s="107"/>
      <c r="BB940" s="107"/>
      <c r="BC940" s="107"/>
      <c r="BD940" s="107"/>
      <c r="BE940" s="107"/>
      <c r="BF940" s="107"/>
      <c r="BG940" s="107"/>
      <c r="BH940" s="107"/>
      <c r="BI940" s="107"/>
      <c r="BJ940" s="107"/>
      <c r="BK940" s="107"/>
      <c r="BL940" s="107"/>
      <c r="BM940" s="107"/>
      <c r="BN940" s="107"/>
      <c r="BO940" s="107"/>
      <c r="BP940" s="107"/>
      <c r="BQ940" s="107"/>
      <c r="BR940" s="107"/>
      <c r="BS940" s="107"/>
      <c r="BT940" s="107"/>
      <c r="BU940" s="107"/>
      <c r="BV940" s="107"/>
      <c r="BW940" s="107"/>
      <c r="BX940" s="107"/>
      <c r="BY940" s="107"/>
      <c r="BZ940" s="107"/>
      <c r="CA940" s="107"/>
      <c r="CB940" s="107"/>
      <c r="CC940" s="107"/>
      <c r="CD940" s="107"/>
      <c r="CE940" s="107"/>
      <c r="CF940" s="107"/>
      <c r="CG940" s="107"/>
      <c r="CH940" s="107"/>
      <c r="CI940" s="107"/>
      <c r="CJ940" s="107"/>
      <c r="CK940" s="107"/>
      <c r="CL940" s="107"/>
      <c r="CM940" s="107"/>
      <c r="CN940" s="107"/>
      <c r="CO940" s="107"/>
      <c r="CP940" s="107"/>
      <c r="CQ940" s="107"/>
      <c r="CR940" s="107"/>
      <c r="CS940" s="107"/>
      <c r="CT940" s="107"/>
      <c r="CU940" s="107"/>
    </row>
    <row r="941" spans="1:99">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5"/>
      <c r="CP941" s="5"/>
      <c r="CQ941" s="5"/>
      <c r="CR941" s="5"/>
      <c r="CS941" s="5"/>
      <c r="CT941" s="5"/>
      <c r="CU941" s="5"/>
    </row>
    <row r="942" spans="1:99">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5"/>
      <c r="CQ942" s="5"/>
      <c r="CR942" s="5"/>
      <c r="CS942" s="5"/>
      <c r="CT942" s="5"/>
      <c r="CU942" s="5"/>
    </row>
    <row r="943" spans="1:99">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5"/>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5"/>
      <c r="CP943" s="5"/>
      <c r="CQ943" s="5"/>
      <c r="CR943" s="5"/>
      <c r="CS943" s="5"/>
      <c r="CT943" s="5"/>
      <c r="CU943" s="5"/>
    </row>
    <row r="944" spans="1:99">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5"/>
      <c r="BR944" s="5"/>
      <c r="BS944" s="5"/>
      <c r="BT944" s="5"/>
      <c r="BU944" s="5"/>
      <c r="BV944" s="5"/>
      <c r="BW944" s="5"/>
      <c r="BX944" s="5"/>
      <c r="BY944" s="5"/>
      <c r="BZ944" s="5"/>
      <c r="CA944" s="5"/>
      <c r="CB944" s="5"/>
      <c r="CC944" s="5"/>
      <c r="CD944" s="5"/>
      <c r="CE944" s="5"/>
      <c r="CF944" s="5"/>
      <c r="CG944" s="5"/>
      <c r="CH944" s="5"/>
      <c r="CI944" s="5"/>
      <c r="CJ944" s="5"/>
      <c r="CK944" s="5"/>
      <c r="CL944" s="5"/>
      <c r="CM944" s="5"/>
      <c r="CN944" s="5"/>
      <c r="CO944" s="5"/>
      <c r="CP944" s="5"/>
      <c r="CQ944" s="5"/>
      <c r="CR944" s="5"/>
      <c r="CS944" s="5"/>
      <c r="CT944" s="5"/>
      <c r="CU944" s="5"/>
    </row>
    <row r="945" spans="1:99">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J945" s="5"/>
      <c r="CK945" s="5"/>
      <c r="CL945" s="5"/>
      <c r="CM945" s="5"/>
      <c r="CN945" s="5"/>
      <c r="CO945" s="5"/>
      <c r="CP945" s="5"/>
      <c r="CQ945" s="5"/>
      <c r="CR945" s="5"/>
      <c r="CS945" s="5"/>
      <c r="CT945" s="5"/>
      <c r="CU945" s="5"/>
    </row>
    <row r="946" spans="1:99">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J946" s="5"/>
      <c r="CK946" s="5"/>
      <c r="CL946" s="5"/>
      <c r="CM946" s="5"/>
      <c r="CN946" s="5"/>
      <c r="CO946" s="5"/>
      <c r="CP946" s="5"/>
      <c r="CQ946" s="5"/>
      <c r="CR946" s="5"/>
      <c r="CS946" s="5"/>
      <c r="CT946" s="5"/>
      <c r="CU946" s="5"/>
    </row>
    <row r="947" spans="1:99">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J947" s="5"/>
      <c r="CK947" s="5"/>
      <c r="CL947" s="5"/>
      <c r="CM947" s="5"/>
      <c r="CN947" s="5"/>
      <c r="CO947" s="5"/>
      <c r="CP947" s="5"/>
      <c r="CQ947" s="5"/>
      <c r="CR947" s="5"/>
      <c r="CS947" s="5"/>
      <c r="CT947" s="5"/>
      <c r="CU947" s="5"/>
    </row>
    <row r="948" spans="1:99">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J948" s="5"/>
      <c r="CK948" s="5"/>
      <c r="CL948" s="5"/>
      <c r="CM948" s="5"/>
      <c r="CN948" s="5"/>
      <c r="CO948" s="5"/>
      <c r="CP948" s="5"/>
      <c r="CQ948" s="5"/>
      <c r="CR948" s="5"/>
      <c r="CS948" s="5"/>
      <c r="CT948" s="5"/>
      <c r="CU948" s="5"/>
    </row>
    <row r="949" spans="1:9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J949" s="5"/>
      <c r="CK949" s="5"/>
      <c r="CL949" s="5"/>
      <c r="CM949" s="5"/>
      <c r="CN949" s="5"/>
      <c r="CO949" s="5"/>
      <c r="CP949" s="5"/>
      <c r="CQ949" s="5"/>
      <c r="CR949" s="5"/>
      <c r="CS949" s="5"/>
      <c r="CT949" s="5"/>
      <c r="CU949" s="5"/>
    </row>
    <row r="950" spans="1:99">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J950" s="5"/>
      <c r="CK950" s="5"/>
      <c r="CL950" s="5"/>
      <c r="CM950" s="5"/>
      <c r="CN950" s="5"/>
      <c r="CO950" s="5"/>
      <c r="CP950" s="5"/>
      <c r="CQ950" s="5"/>
      <c r="CR950" s="5"/>
      <c r="CS950" s="5"/>
      <c r="CT950" s="5"/>
      <c r="CU950" s="5"/>
    </row>
    <row r="951" spans="1:99">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c r="CA951" s="5"/>
      <c r="CB951" s="5"/>
      <c r="CC951" s="5"/>
      <c r="CD951" s="5"/>
      <c r="CE951" s="5"/>
      <c r="CF951" s="5"/>
      <c r="CG951" s="5"/>
      <c r="CH951" s="5"/>
      <c r="CI951" s="5"/>
      <c r="CJ951" s="5"/>
      <c r="CK951" s="5"/>
      <c r="CL951" s="5"/>
      <c r="CM951" s="5"/>
      <c r="CN951" s="5"/>
      <c r="CO951" s="5"/>
      <c r="CP951" s="5"/>
      <c r="CQ951" s="5"/>
      <c r="CR951" s="5"/>
      <c r="CS951" s="5"/>
      <c r="CT951" s="5"/>
      <c r="CU951" s="5"/>
    </row>
    <row r="952" spans="1:99">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5"/>
      <c r="BN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row>
    <row r="953" spans="1:99">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Q953" s="5"/>
      <c r="BR953" s="5"/>
      <c r="BS953" s="5"/>
      <c r="BT953" s="5"/>
      <c r="BU953" s="5"/>
      <c r="BV953" s="5"/>
      <c r="BW953" s="5"/>
      <c r="BX953" s="5"/>
      <c r="BY953" s="5"/>
      <c r="BZ953" s="5"/>
      <c r="CA953" s="5"/>
      <c r="CB953" s="5"/>
      <c r="CC953" s="5"/>
      <c r="CD953" s="5"/>
      <c r="CE953" s="5"/>
      <c r="CF953" s="5"/>
      <c r="CG953" s="5"/>
      <c r="CH953" s="5"/>
      <c r="CI953" s="5"/>
      <c r="CJ953" s="5"/>
      <c r="CK953" s="5"/>
      <c r="CL953" s="5"/>
      <c r="CM953" s="5"/>
      <c r="CN953" s="5"/>
      <c r="CO953" s="5"/>
      <c r="CP953" s="5"/>
      <c r="CQ953" s="5"/>
      <c r="CR953" s="5"/>
      <c r="CS953" s="5"/>
      <c r="CT953" s="5"/>
      <c r="CU953" s="5"/>
    </row>
    <row r="954" spans="1:99">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Q954" s="5"/>
      <c r="BR954" s="5"/>
      <c r="BS954" s="5"/>
      <c r="BT954" s="5"/>
      <c r="BU954" s="5"/>
      <c r="BV954" s="5"/>
      <c r="BW954" s="5"/>
      <c r="BX954" s="5"/>
      <c r="BY954" s="5"/>
      <c r="BZ954" s="5"/>
      <c r="CA954" s="5"/>
      <c r="CB954" s="5"/>
      <c r="CC954" s="5"/>
      <c r="CD954" s="5"/>
      <c r="CE954" s="5"/>
      <c r="CF954" s="5"/>
      <c r="CG954" s="5"/>
      <c r="CH954" s="5"/>
      <c r="CI954" s="5"/>
      <c r="CJ954" s="5"/>
      <c r="CK954" s="5"/>
      <c r="CL954" s="5"/>
      <c r="CM954" s="5"/>
      <c r="CN954" s="5"/>
      <c r="CO954" s="5"/>
      <c r="CP954" s="5"/>
      <c r="CQ954" s="5"/>
      <c r="CR954" s="5"/>
      <c r="CS954" s="5"/>
      <c r="CT954" s="5"/>
      <c r="CU954" s="5"/>
    </row>
    <row r="955" spans="1:99">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c r="BO955" s="5"/>
      <c r="BP955" s="5"/>
      <c r="BQ955" s="5"/>
      <c r="BR955" s="5"/>
      <c r="BS955" s="5"/>
      <c r="BT955" s="5"/>
      <c r="BU955" s="5"/>
      <c r="BV955" s="5"/>
      <c r="BW955" s="5"/>
      <c r="BX955" s="5"/>
      <c r="BY955" s="5"/>
      <c r="BZ955" s="5"/>
      <c r="CA955" s="5"/>
      <c r="CB955" s="5"/>
      <c r="CC955" s="5"/>
      <c r="CD955" s="5"/>
      <c r="CE955" s="5"/>
      <c r="CF955" s="5"/>
      <c r="CG955" s="5"/>
      <c r="CH955" s="5"/>
      <c r="CI955" s="5"/>
      <c r="CJ955" s="5"/>
      <c r="CK955" s="5"/>
      <c r="CL955" s="5"/>
      <c r="CM955" s="5"/>
      <c r="CN955" s="5"/>
      <c r="CO955" s="5"/>
      <c r="CP955" s="5"/>
      <c r="CQ955" s="5"/>
      <c r="CR955" s="5"/>
      <c r="CS955" s="5"/>
      <c r="CT955" s="5"/>
      <c r="CU955" s="5"/>
    </row>
    <row r="956" spans="1:99">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Q956" s="5"/>
      <c r="BR956" s="5"/>
      <c r="BS956" s="5"/>
      <c r="BT956" s="5"/>
      <c r="BU956" s="5"/>
      <c r="BV956" s="5"/>
      <c r="BW956" s="5"/>
      <c r="BX956" s="5"/>
      <c r="BY956" s="5"/>
      <c r="BZ956" s="5"/>
      <c r="CA956" s="5"/>
      <c r="CB956" s="5"/>
      <c r="CC956" s="5"/>
      <c r="CD956" s="5"/>
      <c r="CE956" s="5"/>
      <c r="CF956" s="5"/>
      <c r="CG956" s="5"/>
      <c r="CH956" s="5"/>
      <c r="CI956" s="5"/>
      <c r="CJ956" s="5"/>
      <c r="CK956" s="5"/>
      <c r="CL956" s="5"/>
      <c r="CM956" s="5"/>
      <c r="CN956" s="5"/>
      <c r="CO956" s="5"/>
      <c r="CP956" s="5"/>
      <c r="CQ956" s="5"/>
      <c r="CR956" s="5"/>
      <c r="CS956" s="5"/>
      <c r="CT956" s="5"/>
      <c r="CU956" s="5"/>
    </row>
    <row r="957" spans="1:99">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5"/>
      <c r="BN957" s="5"/>
      <c r="BO957" s="5"/>
      <c r="BP957" s="5"/>
      <c r="BQ957" s="5"/>
      <c r="BR957" s="5"/>
      <c r="BS957" s="5"/>
      <c r="BT957" s="5"/>
      <c r="BU957" s="5"/>
      <c r="BV957" s="5"/>
      <c r="BW957" s="5"/>
      <c r="BX957" s="5"/>
      <c r="BY957" s="5"/>
      <c r="BZ957" s="5"/>
      <c r="CA957" s="5"/>
      <c r="CB957" s="5"/>
      <c r="CC957" s="5"/>
      <c r="CD957" s="5"/>
      <c r="CE957" s="5"/>
      <c r="CF957" s="5"/>
      <c r="CG957" s="5"/>
      <c r="CH957" s="5"/>
      <c r="CI957" s="5"/>
      <c r="CJ957" s="5"/>
      <c r="CK957" s="5"/>
      <c r="CL957" s="5"/>
      <c r="CM957" s="5"/>
      <c r="CN957" s="5"/>
      <c r="CO957" s="5"/>
      <c r="CP957" s="5"/>
      <c r="CQ957" s="5"/>
      <c r="CR957" s="5"/>
      <c r="CS957" s="5"/>
      <c r="CT957" s="5"/>
      <c r="CU957" s="5"/>
    </row>
    <row r="958" spans="1:99">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c r="BT958" s="5"/>
      <c r="BU958" s="5"/>
      <c r="BV958" s="5"/>
      <c r="BW958" s="5"/>
      <c r="BX958" s="5"/>
      <c r="BY958" s="5"/>
      <c r="BZ958" s="5"/>
      <c r="CA958" s="5"/>
      <c r="CB958" s="5"/>
      <c r="CC958" s="5"/>
      <c r="CD958" s="5"/>
      <c r="CE958" s="5"/>
      <c r="CF958" s="5"/>
      <c r="CG958" s="5"/>
      <c r="CH958" s="5"/>
      <c r="CI958" s="5"/>
      <c r="CJ958" s="5"/>
      <c r="CK958" s="5"/>
      <c r="CL958" s="5"/>
      <c r="CM958" s="5"/>
      <c r="CN958" s="5"/>
      <c r="CO958" s="5"/>
      <c r="CP958" s="5"/>
      <c r="CQ958" s="5"/>
      <c r="CR958" s="5"/>
      <c r="CS958" s="5"/>
      <c r="CT958" s="5"/>
      <c r="CU958" s="5"/>
    </row>
    <row r="959" spans="1:9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N959" s="5"/>
      <c r="BO959" s="5"/>
      <c r="BP959" s="5"/>
      <c r="BQ959" s="5"/>
      <c r="BR959" s="5"/>
      <c r="BS959" s="5"/>
      <c r="BT959" s="5"/>
      <c r="BU959" s="5"/>
      <c r="BV959" s="5"/>
      <c r="BW959" s="5"/>
      <c r="BX959" s="5"/>
      <c r="BY959" s="5"/>
      <c r="BZ959" s="5"/>
      <c r="CA959" s="5"/>
      <c r="CB959" s="5"/>
      <c r="CC959" s="5"/>
      <c r="CD959" s="5"/>
      <c r="CE959" s="5"/>
      <c r="CF959" s="5"/>
      <c r="CG959" s="5"/>
      <c r="CH959" s="5"/>
      <c r="CI959" s="5"/>
      <c r="CJ959" s="5"/>
      <c r="CK959" s="5"/>
      <c r="CL959" s="5"/>
      <c r="CM959" s="5"/>
      <c r="CN959" s="5"/>
      <c r="CO959" s="5"/>
      <c r="CP959" s="5"/>
      <c r="CQ959" s="5"/>
      <c r="CR959" s="5"/>
      <c r="CS959" s="5"/>
      <c r="CT959" s="5"/>
      <c r="CU959" s="5"/>
    </row>
    <row r="960" spans="1:99">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5"/>
      <c r="BO960" s="5"/>
      <c r="BP960" s="5"/>
      <c r="BQ960" s="5"/>
      <c r="BR960" s="5"/>
      <c r="BS960" s="5"/>
      <c r="BT960" s="5"/>
      <c r="BU960" s="5"/>
      <c r="BV960" s="5"/>
      <c r="BW960" s="5"/>
      <c r="BX960" s="5"/>
      <c r="BY960" s="5"/>
      <c r="BZ960" s="5"/>
      <c r="CA960" s="5"/>
      <c r="CB960" s="5"/>
      <c r="CC960" s="5"/>
      <c r="CD960" s="5"/>
      <c r="CE960" s="5"/>
      <c r="CF960" s="5"/>
      <c r="CG960" s="5"/>
      <c r="CH960" s="5"/>
      <c r="CI960" s="5"/>
      <c r="CJ960" s="5"/>
      <c r="CK960" s="5"/>
      <c r="CL960" s="5"/>
      <c r="CM960" s="5"/>
      <c r="CN960" s="5"/>
      <c r="CO960" s="5"/>
      <c r="CP960" s="5"/>
      <c r="CQ960" s="5"/>
      <c r="CR960" s="5"/>
      <c r="CS960" s="5"/>
      <c r="CT960" s="5"/>
      <c r="CU960" s="5"/>
    </row>
    <row r="961" spans="1:99">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5"/>
      <c r="BO961" s="5"/>
      <c r="BP961" s="5"/>
      <c r="BQ961" s="5"/>
      <c r="BR961" s="5"/>
      <c r="BS961" s="5"/>
      <c r="BT961" s="5"/>
      <c r="BU961" s="5"/>
      <c r="BV961" s="5"/>
      <c r="BW961" s="5"/>
      <c r="BX961" s="5"/>
      <c r="BY961" s="5"/>
      <c r="BZ961" s="5"/>
      <c r="CA961" s="5"/>
      <c r="CB961" s="5"/>
      <c r="CC961" s="5"/>
      <c r="CD961" s="5"/>
      <c r="CE961" s="5"/>
      <c r="CF961" s="5"/>
      <c r="CG961" s="5"/>
      <c r="CH961" s="5"/>
      <c r="CI961" s="5"/>
      <c r="CJ961" s="5"/>
      <c r="CK961" s="5"/>
      <c r="CL961" s="5"/>
      <c r="CM961" s="5"/>
      <c r="CN961" s="5"/>
      <c r="CO961" s="5"/>
      <c r="CP961" s="5"/>
      <c r="CQ961" s="5"/>
      <c r="CR961" s="5"/>
      <c r="CS961" s="5"/>
      <c r="CT961" s="5"/>
      <c r="CU961" s="5"/>
    </row>
    <row r="962" spans="1:99">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c r="BT962" s="5"/>
      <c r="BU962" s="5"/>
      <c r="BV962" s="5"/>
      <c r="BW962" s="5"/>
      <c r="BX962" s="5"/>
      <c r="BY962" s="5"/>
      <c r="BZ962" s="5"/>
      <c r="CA962" s="5"/>
      <c r="CB962" s="5"/>
      <c r="CC962" s="5"/>
      <c r="CD962" s="5"/>
      <c r="CE962" s="5"/>
      <c r="CF962" s="5"/>
      <c r="CG962" s="5"/>
      <c r="CH962" s="5"/>
      <c r="CI962" s="5"/>
      <c r="CJ962" s="5"/>
      <c r="CK962" s="5"/>
      <c r="CL962" s="5"/>
      <c r="CM962" s="5"/>
      <c r="CN962" s="5"/>
      <c r="CO962" s="5"/>
      <c r="CP962" s="5"/>
      <c r="CQ962" s="5"/>
      <c r="CR962" s="5"/>
      <c r="CS962" s="5"/>
      <c r="CT962" s="5"/>
      <c r="CU962" s="5"/>
    </row>
    <row r="963" spans="1:99">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5"/>
      <c r="BM963" s="5"/>
      <c r="BN963" s="5"/>
      <c r="BO963" s="5"/>
      <c r="BP963" s="5"/>
      <c r="BQ963" s="5"/>
      <c r="BR963" s="5"/>
      <c r="BS963" s="5"/>
      <c r="BT963" s="5"/>
      <c r="BU963" s="5"/>
      <c r="BV963" s="5"/>
      <c r="BW963" s="5"/>
      <c r="BX963" s="5"/>
      <c r="BY963" s="5"/>
      <c r="BZ963" s="5"/>
      <c r="CA963" s="5"/>
      <c r="CB963" s="5"/>
      <c r="CC963" s="5"/>
      <c r="CD963" s="5"/>
      <c r="CE963" s="5"/>
      <c r="CF963" s="5"/>
      <c r="CG963" s="5"/>
      <c r="CH963" s="5"/>
      <c r="CI963" s="5"/>
      <c r="CJ963" s="5"/>
      <c r="CK963" s="5"/>
      <c r="CL963" s="5"/>
      <c r="CM963" s="5"/>
      <c r="CN963" s="5"/>
      <c r="CO963" s="5"/>
      <c r="CP963" s="5"/>
      <c r="CQ963" s="5"/>
      <c r="CR963" s="5"/>
      <c r="CS963" s="5"/>
      <c r="CT963" s="5"/>
      <c r="CU963" s="5"/>
    </row>
    <row r="964" spans="1:99">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c r="BT964" s="5"/>
      <c r="BU964" s="5"/>
      <c r="BV964" s="5"/>
      <c r="BW964" s="5"/>
      <c r="BX964" s="5"/>
      <c r="BY964" s="5"/>
      <c r="BZ964" s="5"/>
      <c r="CA964" s="5"/>
      <c r="CB964" s="5"/>
      <c r="CC964" s="5"/>
      <c r="CD964" s="5"/>
      <c r="CE964" s="5"/>
      <c r="CF964" s="5"/>
      <c r="CG964" s="5"/>
      <c r="CH964" s="5"/>
      <c r="CI964" s="5"/>
      <c r="CJ964" s="5"/>
      <c r="CK964" s="5"/>
      <c r="CL964" s="5"/>
      <c r="CM964" s="5"/>
      <c r="CN964" s="5"/>
      <c r="CO964" s="5"/>
      <c r="CP964" s="5"/>
      <c r="CQ964" s="5"/>
      <c r="CR964" s="5"/>
      <c r="CS964" s="5"/>
      <c r="CT964" s="5"/>
      <c r="CU964" s="5"/>
    </row>
    <row r="965" spans="1:99">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c r="BT965" s="5"/>
      <c r="BU965" s="5"/>
      <c r="BV965" s="5"/>
      <c r="BW965" s="5"/>
      <c r="BX965" s="5"/>
      <c r="BY965" s="5"/>
      <c r="BZ965" s="5"/>
      <c r="CA965" s="5"/>
      <c r="CB965" s="5"/>
      <c r="CC965" s="5"/>
      <c r="CD965" s="5"/>
      <c r="CE965" s="5"/>
      <c r="CF965" s="5"/>
      <c r="CG965" s="5"/>
      <c r="CH965" s="5"/>
      <c r="CI965" s="5"/>
      <c r="CJ965" s="5"/>
      <c r="CK965" s="5"/>
      <c r="CL965" s="5"/>
      <c r="CM965" s="5"/>
      <c r="CN965" s="5"/>
      <c r="CO965" s="5"/>
      <c r="CP965" s="5"/>
      <c r="CQ965" s="5"/>
      <c r="CR965" s="5"/>
      <c r="CS965" s="5"/>
      <c r="CT965" s="5"/>
      <c r="CU965" s="5"/>
    </row>
    <row r="966" spans="1:99">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H966" s="5"/>
      <c r="BI966" s="5"/>
      <c r="BJ966" s="5"/>
      <c r="BK966" s="5"/>
      <c r="BL966" s="5"/>
      <c r="BM966" s="5"/>
      <c r="BN966" s="5"/>
      <c r="BO966" s="5"/>
      <c r="BP966" s="5"/>
      <c r="BQ966" s="5"/>
      <c r="BR966" s="5"/>
      <c r="BS966" s="5"/>
      <c r="BT966" s="5"/>
      <c r="BU966" s="5"/>
      <c r="BV966" s="5"/>
      <c r="BW966" s="5"/>
      <c r="BX966" s="5"/>
      <c r="BY966" s="5"/>
      <c r="BZ966" s="5"/>
      <c r="CA966" s="5"/>
      <c r="CB966" s="5"/>
      <c r="CC966" s="5"/>
      <c r="CD966" s="5"/>
      <c r="CE966" s="5"/>
      <c r="CF966" s="5"/>
      <c r="CG966" s="5"/>
      <c r="CH966" s="5"/>
      <c r="CI966" s="5"/>
      <c r="CJ966" s="5"/>
      <c r="CK966" s="5"/>
      <c r="CL966" s="5"/>
      <c r="CM966" s="5"/>
      <c r="CN966" s="5"/>
      <c r="CO966" s="5"/>
      <c r="CP966" s="5"/>
      <c r="CQ966" s="5"/>
      <c r="CR966" s="5"/>
      <c r="CS966" s="5"/>
      <c r="CT966" s="5"/>
      <c r="CU966" s="5"/>
    </row>
    <row r="967" spans="1:99">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c r="CA967" s="5"/>
      <c r="CB967" s="5"/>
      <c r="CC967" s="5"/>
      <c r="CD967" s="5"/>
      <c r="CE967" s="5"/>
      <c r="CF967" s="5"/>
      <c r="CG967" s="5"/>
      <c r="CH967" s="5"/>
      <c r="CI967" s="5"/>
      <c r="CJ967" s="5"/>
      <c r="CK967" s="5"/>
      <c r="CL967" s="5"/>
      <c r="CM967" s="5"/>
      <c r="CN967" s="5"/>
      <c r="CO967" s="5"/>
      <c r="CP967" s="5"/>
      <c r="CQ967" s="5"/>
      <c r="CR967" s="5"/>
      <c r="CS967" s="5"/>
      <c r="CT967" s="5"/>
      <c r="CU967" s="5"/>
    </row>
    <row r="968" spans="1:99">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5"/>
      <c r="CB968" s="5"/>
      <c r="CC968" s="5"/>
      <c r="CD968" s="5"/>
      <c r="CE968" s="5"/>
      <c r="CF968" s="5"/>
      <c r="CG968" s="5"/>
      <c r="CH968" s="5"/>
      <c r="CI968" s="5"/>
      <c r="CJ968" s="5"/>
      <c r="CK968" s="5"/>
      <c r="CL968" s="5"/>
      <c r="CM968" s="5"/>
      <c r="CN968" s="5"/>
      <c r="CO968" s="5"/>
      <c r="CP968" s="5"/>
      <c r="CQ968" s="5"/>
      <c r="CR968" s="5"/>
      <c r="CS968" s="5"/>
      <c r="CT968" s="5"/>
      <c r="CU968" s="5"/>
    </row>
    <row r="969" spans="1:9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row>
    <row r="970" spans="1:99">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row>
    <row r="971" spans="1:99">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row>
    <row r="972" spans="1:99">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5"/>
      <c r="CP972" s="5"/>
      <c r="CQ972" s="5"/>
      <c r="CR972" s="5"/>
      <c r="CS972" s="5"/>
      <c r="CT972" s="5"/>
      <c r="CU972" s="5"/>
    </row>
    <row r="973" spans="1:99">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row>
    <row r="974" spans="1:99">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BB974" s="5"/>
      <c r="BC974" s="5"/>
      <c r="BD974" s="5"/>
      <c r="BE974" s="5"/>
      <c r="BF974" s="5"/>
      <c r="BG974" s="5"/>
      <c r="BH974" s="5"/>
      <c r="BI974" s="5"/>
      <c r="BJ974" s="5"/>
      <c r="BK974" s="5"/>
      <c r="BL974" s="5"/>
      <c r="BM974" s="5"/>
      <c r="BN974" s="5"/>
      <c r="BO974" s="5"/>
      <c r="BP974" s="5"/>
      <c r="BQ974" s="5"/>
      <c r="BR974" s="5"/>
      <c r="BS974" s="5"/>
      <c r="BT974" s="5"/>
      <c r="BU974" s="5"/>
      <c r="BV974" s="5"/>
      <c r="BW974" s="5"/>
      <c r="BX974" s="5"/>
      <c r="BY974" s="5"/>
      <c r="BZ974" s="5"/>
      <c r="CA974" s="5"/>
      <c r="CB974" s="5"/>
      <c r="CC974" s="5"/>
      <c r="CD974" s="5"/>
      <c r="CE974" s="5"/>
      <c r="CF974" s="5"/>
      <c r="CG974" s="5"/>
      <c r="CH974" s="5"/>
      <c r="CI974" s="5"/>
      <c r="CJ974" s="5"/>
      <c r="CK974" s="5"/>
      <c r="CL974" s="5"/>
      <c r="CM974" s="5"/>
      <c r="CN974" s="5"/>
      <c r="CO974" s="5"/>
      <c r="CP974" s="5"/>
      <c r="CQ974" s="5"/>
      <c r="CR974" s="5"/>
      <c r="CS974" s="5"/>
      <c r="CT974" s="5"/>
      <c r="CU974" s="5"/>
    </row>
    <row r="975" spans="1:99">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c r="CO975" s="5"/>
      <c r="CP975" s="5"/>
      <c r="CQ975" s="5"/>
      <c r="CR975" s="5"/>
      <c r="CS975" s="5"/>
      <c r="CT975" s="5"/>
      <c r="CU975" s="5"/>
    </row>
    <row r="976" spans="1:99">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c r="BT976" s="5"/>
      <c r="BU976" s="5"/>
      <c r="BV976" s="5"/>
      <c r="BW976" s="5"/>
      <c r="BX976" s="5"/>
      <c r="BY976" s="5"/>
      <c r="BZ976" s="5"/>
      <c r="CA976" s="5"/>
      <c r="CB976" s="5"/>
      <c r="CC976" s="5"/>
      <c r="CD976" s="5"/>
      <c r="CE976" s="5"/>
      <c r="CF976" s="5"/>
      <c r="CG976" s="5"/>
      <c r="CH976" s="5"/>
      <c r="CI976" s="5"/>
      <c r="CJ976" s="5"/>
      <c r="CK976" s="5"/>
      <c r="CL976" s="5"/>
      <c r="CM976" s="5"/>
      <c r="CN976" s="5"/>
      <c r="CO976" s="5"/>
      <c r="CP976" s="5"/>
      <c r="CQ976" s="5"/>
      <c r="CR976" s="5"/>
      <c r="CS976" s="5"/>
      <c r="CT976" s="5"/>
      <c r="CU976" s="5"/>
    </row>
    <row r="977" spans="1:99">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c r="BT977" s="5"/>
      <c r="BU977" s="5"/>
      <c r="BV977" s="5"/>
      <c r="BW977" s="5"/>
      <c r="BX977" s="5"/>
      <c r="BY977" s="5"/>
      <c r="BZ977" s="5"/>
      <c r="CA977" s="5"/>
      <c r="CB977" s="5"/>
      <c r="CC977" s="5"/>
      <c r="CD977" s="5"/>
      <c r="CE977" s="5"/>
      <c r="CF977" s="5"/>
      <c r="CG977" s="5"/>
      <c r="CH977" s="5"/>
      <c r="CI977" s="5"/>
      <c r="CJ977" s="5"/>
      <c r="CK977" s="5"/>
      <c r="CL977" s="5"/>
      <c r="CM977" s="5"/>
      <c r="CN977" s="5"/>
      <c r="CO977" s="5"/>
      <c r="CP977" s="5"/>
      <c r="CQ977" s="5"/>
      <c r="CR977" s="5"/>
      <c r="CS977" s="5"/>
      <c r="CT977" s="5"/>
      <c r="CU977" s="5"/>
    </row>
    <row r="978" spans="1:99">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c r="BT978" s="5"/>
      <c r="BU978" s="5"/>
      <c r="BV978" s="5"/>
      <c r="BW978" s="5"/>
      <c r="BX978" s="5"/>
      <c r="BY978" s="5"/>
      <c r="BZ978" s="5"/>
      <c r="CA978" s="5"/>
      <c r="CB978" s="5"/>
      <c r="CC978" s="5"/>
      <c r="CD978" s="5"/>
      <c r="CE978" s="5"/>
      <c r="CF978" s="5"/>
      <c r="CG978" s="5"/>
      <c r="CH978" s="5"/>
      <c r="CI978" s="5"/>
      <c r="CJ978" s="5"/>
      <c r="CK978" s="5"/>
      <c r="CL978" s="5"/>
      <c r="CM978" s="5"/>
      <c r="CN978" s="5"/>
      <c r="CO978" s="5"/>
      <c r="CP978" s="5"/>
      <c r="CQ978" s="5"/>
      <c r="CR978" s="5"/>
      <c r="CS978" s="5"/>
      <c r="CT978" s="5"/>
      <c r="CU978" s="5"/>
    </row>
    <row r="979" spans="1:9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5"/>
      <c r="BN979" s="5"/>
      <c r="BO979" s="5"/>
      <c r="BP979" s="5"/>
      <c r="BQ979" s="5"/>
      <c r="BR979" s="5"/>
      <c r="BS979" s="5"/>
      <c r="BT979" s="5"/>
      <c r="BU979" s="5"/>
      <c r="BV979" s="5"/>
      <c r="BW979" s="5"/>
      <c r="BX979" s="5"/>
      <c r="BY979" s="5"/>
      <c r="BZ979" s="5"/>
      <c r="CA979" s="5"/>
      <c r="CB979" s="5"/>
      <c r="CC979" s="5"/>
      <c r="CD979" s="5"/>
      <c r="CE979" s="5"/>
      <c r="CF979" s="5"/>
      <c r="CG979" s="5"/>
      <c r="CH979" s="5"/>
      <c r="CI979" s="5"/>
      <c r="CJ979" s="5"/>
      <c r="CK979" s="5"/>
      <c r="CL979" s="5"/>
      <c r="CM979" s="5"/>
      <c r="CN979" s="5"/>
      <c r="CO979" s="5"/>
      <c r="CP979" s="5"/>
      <c r="CQ979" s="5"/>
      <c r="CR979" s="5"/>
      <c r="CS979" s="5"/>
      <c r="CT979" s="5"/>
      <c r="CU979" s="5"/>
    </row>
    <row r="980" spans="1:99">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c r="CA980" s="5"/>
      <c r="CB980" s="5"/>
      <c r="CC980" s="5"/>
      <c r="CD980" s="5"/>
      <c r="CE980" s="5"/>
      <c r="CF980" s="5"/>
      <c r="CG980" s="5"/>
      <c r="CH980" s="5"/>
      <c r="CI980" s="5"/>
      <c r="CJ980" s="5"/>
      <c r="CK980" s="5"/>
      <c r="CL980" s="5"/>
      <c r="CM980" s="5"/>
      <c r="CN980" s="5"/>
      <c r="CO980" s="5"/>
      <c r="CP980" s="5"/>
      <c r="CQ980" s="5"/>
      <c r="CR980" s="5"/>
      <c r="CS980" s="5"/>
      <c r="CT980" s="5"/>
      <c r="CU980" s="5"/>
    </row>
    <row r="981" spans="1:99">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c r="BT981" s="5"/>
      <c r="BU981" s="5"/>
      <c r="BV981" s="5"/>
      <c r="BW981" s="5"/>
      <c r="BX981" s="5"/>
      <c r="BY981" s="5"/>
      <c r="BZ981" s="5"/>
      <c r="CA981" s="5"/>
      <c r="CB981" s="5"/>
      <c r="CC981" s="5"/>
      <c r="CD981" s="5"/>
      <c r="CE981" s="5"/>
      <c r="CF981" s="5"/>
      <c r="CG981" s="5"/>
      <c r="CH981" s="5"/>
      <c r="CI981" s="5"/>
      <c r="CJ981" s="5"/>
      <c r="CK981" s="5"/>
      <c r="CL981" s="5"/>
      <c r="CM981" s="5"/>
      <c r="CN981" s="5"/>
      <c r="CO981" s="5"/>
      <c r="CP981" s="5"/>
      <c r="CQ981" s="5"/>
      <c r="CR981" s="5"/>
      <c r="CS981" s="5"/>
      <c r="CT981" s="5"/>
      <c r="CU981" s="5"/>
    </row>
    <row r="982" spans="1:99">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c r="BT982" s="5"/>
      <c r="BU982" s="5"/>
      <c r="BV982" s="5"/>
      <c r="BW982" s="5"/>
      <c r="BX982" s="5"/>
      <c r="BY982" s="5"/>
      <c r="BZ982" s="5"/>
      <c r="CA982" s="5"/>
      <c r="CB982" s="5"/>
      <c r="CC982" s="5"/>
      <c r="CD982" s="5"/>
      <c r="CE982" s="5"/>
      <c r="CF982" s="5"/>
      <c r="CG982" s="5"/>
      <c r="CH982" s="5"/>
      <c r="CI982" s="5"/>
      <c r="CJ982" s="5"/>
      <c r="CK982" s="5"/>
      <c r="CL982" s="5"/>
      <c r="CM982" s="5"/>
      <c r="CN982" s="5"/>
      <c r="CO982" s="5"/>
      <c r="CP982" s="5"/>
      <c r="CQ982" s="5"/>
      <c r="CR982" s="5"/>
      <c r="CS982" s="5"/>
      <c r="CT982" s="5"/>
      <c r="CU982" s="5"/>
    </row>
    <row r="983" spans="1:99">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c r="BT983" s="5"/>
      <c r="BU983" s="5"/>
      <c r="BV983" s="5"/>
      <c r="BW983" s="5"/>
      <c r="BX983" s="5"/>
      <c r="BY983" s="5"/>
      <c r="BZ983" s="5"/>
      <c r="CA983" s="5"/>
      <c r="CB983" s="5"/>
      <c r="CC983" s="5"/>
      <c r="CD983" s="5"/>
      <c r="CE983" s="5"/>
      <c r="CF983" s="5"/>
      <c r="CG983" s="5"/>
      <c r="CH983" s="5"/>
      <c r="CI983" s="5"/>
      <c r="CJ983" s="5"/>
      <c r="CK983" s="5"/>
      <c r="CL983" s="5"/>
      <c r="CM983" s="5"/>
      <c r="CN983" s="5"/>
      <c r="CO983" s="5"/>
      <c r="CP983" s="5"/>
      <c r="CQ983" s="5"/>
      <c r="CR983" s="5"/>
      <c r="CS983" s="5"/>
      <c r="CT983" s="5"/>
      <c r="CU983" s="5"/>
    </row>
    <row r="984" spans="1:99">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c r="BT984" s="5"/>
      <c r="BU984" s="5"/>
      <c r="BV984" s="5"/>
      <c r="BW984" s="5"/>
      <c r="BX984" s="5"/>
      <c r="BY984" s="5"/>
      <c r="BZ984" s="5"/>
      <c r="CA984" s="5"/>
      <c r="CB984" s="5"/>
      <c r="CC984" s="5"/>
      <c r="CD984" s="5"/>
      <c r="CE984" s="5"/>
      <c r="CF984" s="5"/>
      <c r="CG984" s="5"/>
      <c r="CH984" s="5"/>
      <c r="CI984" s="5"/>
      <c r="CJ984" s="5"/>
      <c r="CK984" s="5"/>
      <c r="CL984" s="5"/>
      <c r="CM984" s="5"/>
      <c r="CN984" s="5"/>
      <c r="CO984" s="5"/>
      <c r="CP984" s="5"/>
      <c r="CQ984" s="5"/>
      <c r="CR984" s="5"/>
      <c r="CS984" s="5"/>
      <c r="CT984" s="5"/>
      <c r="CU984" s="5"/>
    </row>
    <row r="985" spans="1:99">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5"/>
      <c r="BI985" s="5"/>
      <c r="BJ985" s="5"/>
      <c r="BK985" s="5"/>
      <c r="BL985" s="5"/>
      <c r="BM985" s="5"/>
      <c r="BN985" s="5"/>
      <c r="BO985" s="5"/>
      <c r="BP985" s="5"/>
      <c r="BQ985" s="5"/>
      <c r="BR985" s="5"/>
      <c r="BS985" s="5"/>
      <c r="BT985" s="5"/>
      <c r="BU985" s="5"/>
      <c r="BV985" s="5"/>
      <c r="BW985" s="5"/>
      <c r="BX985" s="5"/>
      <c r="BY985" s="5"/>
      <c r="BZ985" s="5"/>
      <c r="CA985" s="5"/>
      <c r="CB985" s="5"/>
      <c r="CC985" s="5"/>
      <c r="CD985" s="5"/>
      <c r="CE985" s="5"/>
      <c r="CF985" s="5"/>
      <c r="CG985" s="5"/>
      <c r="CH985" s="5"/>
      <c r="CI985" s="5"/>
      <c r="CJ985" s="5"/>
      <c r="CK985" s="5"/>
      <c r="CL985" s="5"/>
      <c r="CM985" s="5"/>
      <c r="CN985" s="5"/>
      <c r="CO985" s="5"/>
      <c r="CP985" s="5"/>
      <c r="CQ985" s="5"/>
      <c r="CR985" s="5"/>
      <c r="CS985" s="5"/>
      <c r="CT985" s="5"/>
      <c r="CU985" s="5"/>
    </row>
    <row r="986" spans="1:99">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5"/>
      <c r="BI986" s="5"/>
      <c r="BJ986" s="5"/>
      <c r="BK986" s="5"/>
      <c r="BL986" s="5"/>
      <c r="BM986" s="5"/>
      <c r="BN986" s="5"/>
      <c r="BO986" s="5"/>
      <c r="BP986" s="5"/>
      <c r="BQ986" s="5"/>
      <c r="BR986" s="5"/>
      <c r="BS986" s="5"/>
      <c r="BT986" s="5"/>
      <c r="BU986" s="5"/>
      <c r="BV986" s="5"/>
      <c r="BW986" s="5"/>
      <c r="BX986" s="5"/>
      <c r="BY986" s="5"/>
      <c r="BZ986" s="5"/>
      <c r="CA986" s="5"/>
      <c r="CB986" s="5"/>
      <c r="CC986" s="5"/>
      <c r="CD986" s="5"/>
      <c r="CE986" s="5"/>
      <c r="CF986" s="5"/>
      <c r="CG986" s="5"/>
      <c r="CH986" s="5"/>
      <c r="CI986" s="5"/>
      <c r="CJ986" s="5"/>
      <c r="CK986" s="5"/>
      <c r="CL986" s="5"/>
      <c r="CM986" s="5"/>
      <c r="CN986" s="5"/>
      <c r="CO986" s="5"/>
      <c r="CP986" s="5"/>
      <c r="CQ986" s="5"/>
      <c r="CR986" s="5"/>
      <c r="CS986" s="5"/>
      <c r="CT986" s="5"/>
      <c r="CU986" s="5"/>
    </row>
    <row r="987" spans="1:99">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N987" s="5"/>
      <c r="BO987" s="5"/>
      <c r="BP987" s="5"/>
      <c r="BQ987" s="5"/>
      <c r="BR987" s="5"/>
      <c r="BS987" s="5"/>
      <c r="BT987" s="5"/>
      <c r="BU987" s="5"/>
      <c r="BV987" s="5"/>
      <c r="BW987" s="5"/>
      <c r="BX987" s="5"/>
      <c r="BY987" s="5"/>
      <c r="BZ987" s="5"/>
      <c r="CA987" s="5"/>
      <c r="CB987" s="5"/>
      <c r="CC987" s="5"/>
      <c r="CD987" s="5"/>
      <c r="CE987" s="5"/>
      <c r="CF987" s="5"/>
      <c r="CG987" s="5"/>
      <c r="CH987" s="5"/>
      <c r="CI987" s="5"/>
      <c r="CJ987" s="5"/>
      <c r="CK987" s="5"/>
      <c r="CL987" s="5"/>
      <c r="CM987" s="5"/>
      <c r="CN987" s="5"/>
      <c r="CO987" s="5"/>
      <c r="CP987" s="5"/>
      <c r="CQ987" s="5"/>
      <c r="CR987" s="5"/>
      <c r="CS987" s="5"/>
      <c r="CT987" s="5"/>
      <c r="CU987" s="5"/>
    </row>
    <row r="988" spans="1:99">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N988" s="5"/>
      <c r="BO988" s="5"/>
      <c r="BP988" s="5"/>
      <c r="BQ988" s="5"/>
      <c r="BR988" s="5"/>
      <c r="BS988" s="5"/>
      <c r="BT988" s="5"/>
      <c r="BU988" s="5"/>
      <c r="BV988" s="5"/>
      <c r="BW988" s="5"/>
      <c r="BX988" s="5"/>
      <c r="BY988" s="5"/>
      <c r="BZ988" s="5"/>
      <c r="CA988" s="5"/>
      <c r="CB988" s="5"/>
      <c r="CC988" s="5"/>
      <c r="CD988" s="5"/>
      <c r="CE988" s="5"/>
      <c r="CF988" s="5"/>
      <c r="CG988" s="5"/>
      <c r="CH988" s="5"/>
      <c r="CI988" s="5"/>
      <c r="CJ988" s="5"/>
      <c r="CK988" s="5"/>
      <c r="CL988" s="5"/>
      <c r="CM988" s="5"/>
      <c r="CN988" s="5"/>
      <c r="CO988" s="5"/>
      <c r="CP988" s="5"/>
      <c r="CQ988" s="5"/>
      <c r="CR988" s="5"/>
      <c r="CS988" s="5"/>
      <c r="CT988" s="5"/>
      <c r="CU988" s="5"/>
    </row>
    <row r="989" spans="1:9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c r="BT989" s="5"/>
      <c r="BU989" s="5"/>
      <c r="BV989" s="5"/>
      <c r="BW989" s="5"/>
      <c r="BX989" s="5"/>
      <c r="BY989" s="5"/>
      <c r="BZ989" s="5"/>
      <c r="CA989" s="5"/>
      <c r="CB989" s="5"/>
      <c r="CC989" s="5"/>
      <c r="CD989" s="5"/>
      <c r="CE989" s="5"/>
      <c r="CF989" s="5"/>
      <c r="CG989" s="5"/>
      <c r="CH989" s="5"/>
      <c r="CI989" s="5"/>
      <c r="CJ989" s="5"/>
      <c r="CK989" s="5"/>
      <c r="CL989" s="5"/>
      <c r="CM989" s="5"/>
      <c r="CN989" s="5"/>
      <c r="CO989" s="5"/>
      <c r="CP989" s="5"/>
      <c r="CQ989" s="5"/>
      <c r="CR989" s="5"/>
      <c r="CS989" s="5"/>
      <c r="CT989" s="5"/>
      <c r="CU989" s="5"/>
    </row>
    <row r="990" spans="1:99">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BB990" s="5"/>
      <c r="BC990" s="5"/>
      <c r="BD990" s="5"/>
      <c r="BE990" s="5"/>
      <c r="BF990" s="5"/>
      <c r="BG990" s="5"/>
      <c r="BH990" s="5"/>
      <c r="BI990" s="5"/>
      <c r="BJ990" s="5"/>
      <c r="BK990" s="5"/>
      <c r="BL990" s="5"/>
      <c r="BM990" s="5"/>
      <c r="BN990" s="5"/>
      <c r="BO990" s="5"/>
      <c r="BP990" s="5"/>
      <c r="BQ990" s="5"/>
      <c r="BR990" s="5"/>
      <c r="BS990" s="5"/>
      <c r="BT990" s="5"/>
      <c r="BU990" s="5"/>
      <c r="BV990" s="5"/>
      <c r="BW990" s="5"/>
      <c r="BX990" s="5"/>
      <c r="BY990" s="5"/>
      <c r="BZ990" s="5"/>
      <c r="CA990" s="5"/>
      <c r="CB990" s="5"/>
      <c r="CC990" s="5"/>
      <c r="CD990" s="5"/>
      <c r="CE990" s="5"/>
      <c r="CF990" s="5"/>
      <c r="CG990" s="5"/>
      <c r="CH990" s="5"/>
      <c r="CI990" s="5"/>
      <c r="CJ990" s="5"/>
      <c r="CK990" s="5"/>
      <c r="CL990" s="5"/>
      <c r="CM990" s="5"/>
      <c r="CN990" s="5"/>
      <c r="CO990" s="5"/>
      <c r="CP990" s="5"/>
      <c r="CQ990" s="5"/>
      <c r="CR990" s="5"/>
      <c r="CS990" s="5"/>
      <c r="CT990" s="5"/>
      <c r="CU990" s="5"/>
    </row>
    <row r="991" spans="1:99">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BB991" s="5"/>
      <c r="BC991" s="5"/>
      <c r="BD991" s="5"/>
      <c r="BE991" s="5"/>
      <c r="BF991" s="5"/>
      <c r="BG991" s="5"/>
      <c r="BH991" s="5"/>
      <c r="BI991" s="5"/>
      <c r="BJ991" s="5"/>
      <c r="BK991" s="5"/>
      <c r="BL991" s="5"/>
      <c r="BM991" s="5"/>
      <c r="BN991" s="5"/>
      <c r="BO991" s="5"/>
      <c r="BP991" s="5"/>
      <c r="BQ991" s="5"/>
      <c r="BR991" s="5"/>
      <c r="BS991" s="5"/>
      <c r="BT991" s="5"/>
      <c r="BU991" s="5"/>
      <c r="BV991" s="5"/>
      <c r="BW991" s="5"/>
      <c r="BX991" s="5"/>
      <c r="BY991" s="5"/>
      <c r="BZ991" s="5"/>
      <c r="CA991" s="5"/>
      <c r="CB991" s="5"/>
      <c r="CC991" s="5"/>
      <c r="CD991" s="5"/>
      <c r="CE991" s="5"/>
      <c r="CF991" s="5"/>
      <c r="CG991" s="5"/>
      <c r="CH991" s="5"/>
      <c r="CI991" s="5"/>
      <c r="CJ991" s="5"/>
      <c r="CK991" s="5"/>
      <c r="CL991" s="5"/>
      <c r="CM991" s="5"/>
      <c r="CN991" s="5"/>
      <c r="CO991" s="5"/>
      <c r="CP991" s="5"/>
      <c r="CQ991" s="5"/>
      <c r="CR991" s="5"/>
      <c r="CS991" s="5"/>
      <c r="CT991" s="5"/>
      <c r="CU991" s="5"/>
    </row>
    <row r="992" spans="1:99">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c r="BT992" s="5"/>
      <c r="BU992" s="5"/>
      <c r="BV992" s="5"/>
      <c r="BW992" s="5"/>
      <c r="BX992" s="5"/>
      <c r="BY992" s="5"/>
      <c r="BZ992" s="5"/>
      <c r="CA992" s="5"/>
      <c r="CB992" s="5"/>
      <c r="CC992" s="5"/>
      <c r="CD992" s="5"/>
      <c r="CE992" s="5"/>
      <c r="CF992" s="5"/>
      <c r="CG992" s="5"/>
      <c r="CH992" s="5"/>
      <c r="CI992" s="5"/>
      <c r="CJ992" s="5"/>
      <c r="CK992" s="5"/>
      <c r="CL992" s="5"/>
      <c r="CM992" s="5"/>
      <c r="CN992" s="5"/>
      <c r="CO992" s="5"/>
      <c r="CP992" s="5"/>
      <c r="CQ992" s="5"/>
      <c r="CR992" s="5"/>
      <c r="CS992" s="5"/>
      <c r="CT992" s="5"/>
      <c r="CU992" s="5"/>
    </row>
    <row r="993" spans="1:99">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c r="BT993" s="5"/>
      <c r="BU993" s="5"/>
      <c r="BV993" s="5"/>
      <c r="BW993" s="5"/>
      <c r="BX993" s="5"/>
      <c r="BY993" s="5"/>
      <c r="BZ993" s="5"/>
      <c r="CA993" s="5"/>
      <c r="CB993" s="5"/>
      <c r="CC993" s="5"/>
      <c r="CD993" s="5"/>
      <c r="CE993" s="5"/>
      <c r="CF993" s="5"/>
      <c r="CG993" s="5"/>
      <c r="CH993" s="5"/>
      <c r="CI993" s="5"/>
      <c r="CJ993" s="5"/>
      <c r="CK993" s="5"/>
      <c r="CL993" s="5"/>
      <c r="CM993" s="5"/>
      <c r="CN993" s="5"/>
      <c r="CO993" s="5"/>
      <c r="CP993" s="5"/>
      <c r="CQ993" s="5"/>
      <c r="CR993" s="5"/>
      <c r="CS993" s="5"/>
      <c r="CT993" s="5"/>
      <c r="CU993" s="5"/>
    </row>
    <row r="994" spans="1:99">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BB994" s="5"/>
      <c r="BC994" s="5"/>
      <c r="BD994" s="5"/>
      <c r="BE994" s="5"/>
      <c r="BF994" s="5"/>
      <c r="BG994" s="5"/>
      <c r="BH994" s="5"/>
      <c r="BI994" s="5"/>
      <c r="BJ994" s="5"/>
      <c r="BK994" s="5"/>
      <c r="BL994" s="5"/>
      <c r="BM994" s="5"/>
      <c r="BN994" s="5"/>
      <c r="BO994" s="5"/>
      <c r="BP994" s="5"/>
      <c r="BQ994" s="5"/>
      <c r="BR994" s="5"/>
      <c r="BS994" s="5"/>
      <c r="BT994" s="5"/>
      <c r="BU994" s="5"/>
      <c r="BV994" s="5"/>
      <c r="BW994" s="5"/>
      <c r="BX994" s="5"/>
      <c r="BY994" s="5"/>
      <c r="BZ994" s="5"/>
      <c r="CA994" s="5"/>
      <c r="CB994" s="5"/>
      <c r="CC994" s="5"/>
      <c r="CD994" s="5"/>
      <c r="CE994" s="5"/>
      <c r="CF994" s="5"/>
      <c r="CG994" s="5"/>
      <c r="CH994" s="5"/>
      <c r="CI994" s="5"/>
      <c r="CJ994" s="5"/>
      <c r="CK994" s="5"/>
      <c r="CL994" s="5"/>
      <c r="CM994" s="5"/>
      <c r="CN994" s="5"/>
      <c r="CO994" s="5"/>
      <c r="CP994" s="5"/>
      <c r="CQ994" s="5"/>
      <c r="CR994" s="5"/>
      <c r="CS994" s="5"/>
      <c r="CT994" s="5"/>
      <c r="CU994" s="5"/>
    </row>
    <row r="995" spans="1:99">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c r="BT995" s="5"/>
      <c r="BU995" s="5"/>
      <c r="BV995" s="5"/>
      <c r="BW995" s="5"/>
      <c r="BX995" s="5"/>
      <c r="BY995" s="5"/>
      <c r="BZ995" s="5"/>
      <c r="CA995" s="5"/>
      <c r="CB995" s="5"/>
      <c r="CC995" s="5"/>
      <c r="CD995" s="5"/>
      <c r="CE995" s="5"/>
      <c r="CF995" s="5"/>
      <c r="CG995" s="5"/>
      <c r="CH995" s="5"/>
      <c r="CI995" s="5"/>
      <c r="CJ995" s="5"/>
      <c r="CK995" s="5"/>
      <c r="CL995" s="5"/>
      <c r="CM995" s="5"/>
      <c r="CN995" s="5"/>
      <c r="CO995" s="5"/>
      <c r="CP995" s="5"/>
      <c r="CQ995" s="5"/>
      <c r="CR995" s="5"/>
      <c r="CS995" s="5"/>
      <c r="CT995" s="5"/>
      <c r="CU995" s="5"/>
    </row>
    <row r="996" spans="1:99">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5"/>
      <c r="BB996" s="5"/>
      <c r="BC996" s="5"/>
      <c r="BD996" s="5"/>
      <c r="BE996" s="5"/>
      <c r="BF996" s="5"/>
      <c r="BG996" s="5"/>
      <c r="BH996" s="5"/>
      <c r="BI996" s="5"/>
      <c r="BJ996" s="5"/>
      <c r="BK996" s="5"/>
      <c r="BL996" s="5"/>
      <c r="BM996" s="5"/>
      <c r="BN996" s="5"/>
      <c r="BO996" s="5"/>
      <c r="BP996" s="5"/>
      <c r="BQ996" s="5"/>
      <c r="BR996" s="5"/>
      <c r="BS996" s="5"/>
      <c r="BT996" s="5"/>
      <c r="BU996" s="5"/>
      <c r="BV996" s="5"/>
      <c r="BW996" s="5"/>
      <c r="BX996" s="5"/>
      <c r="BY996" s="5"/>
      <c r="BZ996" s="5"/>
      <c r="CA996" s="5"/>
      <c r="CB996" s="5"/>
      <c r="CC996" s="5"/>
      <c r="CD996" s="5"/>
      <c r="CE996" s="5"/>
      <c r="CF996" s="5"/>
      <c r="CG996" s="5"/>
      <c r="CH996" s="5"/>
      <c r="CI996" s="5"/>
      <c r="CJ996" s="5"/>
      <c r="CK996" s="5"/>
      <c r="CL996" s="5"/>
      <c r="CM996" s="5"/>
      <c r="CN996" s="5"/>
      <c r="CO996" s="5"/>
      <c r="CP996" s="5"/>
      <c r="CQ996" s="5"/>
      <c r="CR996" s="5"/>
      <c r="CS996" s="5"/>
      <c r="CT996" s="5"/>
      <c r="CU996" s="5"/>
    </row>
    <row r="997" spans="1:99">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BB997" s="5"/>
      <c r="BC997" s="5"/>
      <c r="BD997" s="5"/>
      <c r="BE997" s="5"/>
      <c r="BF997" s="5"/>
      <c r="BG997" s="5"/>
      <c r="BH997" s="5"/>
      <c r="BI997" s="5"/>
      <c r="BJ997" s="5"/>
      <c r="BK997" s="5"/>
      <c r="BL997" s="5"/>
      <c r="BM997" s="5"/>
      <c r="BN997" s="5"/>
      <c r="BO997" s="5"/>
      <c r="BP997" s="5"/>
      <c r="BQ997" s="5"/>
      <c r="BR997" s="5"/>
      <c r="BS997" s="5"/>
      <c r="BT997" s="5"/>
      <c r="BU997" s="5"/>
      <c r="BV997" s="5"/>
      <c r="BW997" s="5"/>
      <c r="BX997" s="5"/>
      <c r="BY997" s="5"/>
      <c r="BZ997" s="5"/>
      <c r="CA997" s="5"/>
      <c r="CB997" s="5"/>
      <c r="CC997" s="5"/>
      <c r="CD997" s="5"/>
      <c r="CE997" s="5"/>
      <c r="CF997" s="5"/>
      <c r="CG997" s="5"/>
      <c r="CH997" s="5"/>
      <c r="CI997" s="5"/>
      <c r="CJ997" s="5"/>
      <c r="CK997" s="5"/>
      <c r="CL997" s="5"/>
      <c r="CM997" s="5"/>
      <c r="CN997" s="5"/>
      <c r="CO997" s="5"/>
      <c r="CP997" s="5"/>
      <c r="CQ997" s="5"/>
      <c r="CR997" s="5"/>
      <c r="CS997" s="5"/>
      <c r="CT997" s="5"/>
      <c r="CU997" s="5"/>
    </row>
    <row r="998" spans="1:99">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5"/>
      <c r="BB998" s="5"/>
      <c r="BC998" s="5"/>
      <c r="BD998" s="5"/>
      <c r="BE998" s="5"/>
      <c r="BF998" s="5"/>
      <c r="BG998" s="5"/>
      <c r="BH998" s="5"/>
      <c r="BI998" s="5"/>
      <c r="BJ998" s="5"/>
      <c r="BK998" s="5"/>
      <c r="BL998" s="5"/>
      <c r="BM998" s="5"/>
      <c r="BN998" s="5"/>
      <c r="BO998" s="5"/>
      <c r="BP998" s="5"/>
      <c r="BQ998" s="5"/>
      <c r="BR998" s="5"/>
      <c r="BS998" s="5"/>
      <c r="BT998" s="5"/>
      <c r="BU998" s="5"/>
      <c r="BV998" s="5"/>
      <c r="BW998" s="5"/>
      <c r="BX998" s="5"/>
      <c r="BY998" s="5"/>
      <c r="BZ998" s="5"/>
      <c r="CA998" s="5"/>
      <c r="CB998" s="5"/>
      <c r="CC998" s="5"/>
      <c r="CD998" s="5"/>
      <c r="CE998" s="5"/>
      <c r="CF998" s="5"/>
      <c r="CG998" s="5"/>
      <c r="CH998" s="5"/>
      <c r="CI998" s="5"/>
      <c r="CJ998" s="5"/>
      <c r="CK998" s="5"/>
      <c r="CL998" s="5"/>
      <c r="CM998" s="5"/>
      <c r="CN998" s="5"/>
      <c r="CO998" s="5"/>
      <c r="CP998" s="5"/>
      <c r="CQ998" s="5"/>
      <c r="CR998" s="5"/>
      <c r="CS998" s="5"/>
      <c r="CT998" s="5"/>
      <c r="CU998" s="5"/>
    </row>
    <row r="999" spans="1: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c r="CA999" s="5"/>
      <c r="CB999" s="5"/>
      <c r="CC999" s="5"/>
      <c r="CD999" s="5"/>
      <c r="CE999" s="5"/>
      <c r="CF999" s="5"/>
      <c r="CG999" s="5"/>
      <c r="CH999" s="5"/>
      <c r="CI999" s="5"/>
      <c r="CJ999" s="5"/>
      <c r="CK999" s="5"/>
      <c r="CL999" s="5"/>
      <c r="CM999" s="5"/>
      <c r="CN999" s="5"/>
      <c r="CO999" s="5"/>
      <c r="CP999" s="5"/>
      <c r="CQ999" s="5"/>
      <c r="CR999" s="5"/>
      <c r="CS999" s="5"/>
      <c r="CT999" s="5"/>
      <c r="CU999" s="5"/>
    </row>
    <row r="1000" spans="1:99">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c r="BT1000" s="5"/>
      <c r="BU1000" s="5"/>
      <c r="BV1000" s="5"/>
      <c r="BW1000" s="5"/>
      <c r="BX1000" s="5"/>
      <c r="BY1000" s="5"/>
      <c r="BZ1000" s="5"/>
      <c r="CA1000" s="5"/>
      <c r="CB1000" s="5"/>
      <c r="CC1000" s="5"/>
      <c r="CD1000" s="5"/>
      <c r="CE1000" s="5"/>
      <c r="CF1000" s="5"/>
      <c r="CG1000" s="5"/>
      <c r="CH1000" s="5"/>
      <c r="CI1000" s="5"/>
      <c r="CJ1000" s="5"/>
      <c r="CK1000" s="5"/>
      <c r="CL1000" s="5"/>
      <c r="CM1000" s="5"/>
      <c r="CN1000" s="5"/>
      <c r="CO1000" s="5"/>
      <c r="CP1000" s="5"/>
      <c r="CQ1000" s="5"/>
      <c r="CR1000" s="5"/>
      <c r="CS1000" s="5"/>
      <c r="CT1000" s="5"/>
      <c r="CU1000" s="5"/>
    </row>
    <row r="1001" spans="1:99">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c r="BT1001" s="5"/>
      <c r="BU1001" s="5"/>
      <c r="BV1001" s="5"/>
      <c r="BW1001" s="5"/>
      <c r="BX1001" s="5"/>
      <c r="BY1001" s="5"/>
      <c r="BZ1001" s="5"/>
      <c r="CA1001" s="5"/>
      <c r="CB1001" s="5"/>
      <c r="CC1001" s="5"/>
      <c r="CD1001" s="5"/>
      <c r="CE1001" s="5"/>
      <c r="CF1001" s="5"/>
      <c r="CG1001" s="5"/>
      <c r="CH1001" s="5"/>
      <c r="CI1001" s="5"/>
      <c r="CJ1001" s="5"/>
      <c r="CK1001" s="5"/>
      <c r="CL1001" s="5"/>
      <c r="CM1001" s="5"/>
      <c r="CN1001" s="5"/>
      <c r="CO1001" s="5"/>
      <c r="CP1001" s="5"/>
      <c r="CQ1001" s="5"/>
      <c r="CR1001" s="5"/>
      <c r="CS1001" s="5"/>
      <c r="CT1001" s="5"/>
      <c r="CU1001" s="5"/>
    </row>
    <row r="1002" spans="1:99">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c r="BU1002" s="5"/>
      <c r="BV1002" s="5"/>
      <c r="BW1002" s="5"/>
      <c r="BX1002" s="5"/>
      <c r="BY1002" s="5"/>
      <c r="BZ1002" s="5"/>
      <c r="CA1002" s="5"/>
      <c r="CB1002" s="5"/>
      <c r="CC1002" s="5"/>
      <c r="CD1002" s="5"/>
      <c r="CE1002" s="5"/>
      <c r="CF1002" s="5"/>
      <c r="CG1002" s="5"/>
      <c r="CH1002" s="5"/>
      <c r="CI1002" s="5"/>
      <c r="CJ1002" s="5"/>
      <c r="CK1002" s="5"/>
      <c r="CL1002" s="5"/>
      <c r="CM1002" s="5"/>
      <c r="CN1002" s="5"/>
      <c r="CO1002" s="5"/>
      <c r="CP1002" s="5"/>
      <c r="CQ1002" s="5"/>
      <c r="CR1002" s="5"/>
      <c r="CS1002" s="5"/>
      <c r="CT1002" s="5"/>
      <c r="CU1002" s="5"/>
    </row>
    <row r="1003" spans="1:99">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c r="BT1003" s="5"/>
      <c r="BU1003" s="5"/>
      <c r="BV1003" s="5"/>
      <c r="BW1003" s="5"/>
      <c r="BX1003" s="5"/>
      <c r="BY1003" s="5"/>
      <c r="BZ1003" s="5"/>
      <c r="CA1003" s="5"/>
      <c r="CB1003" s="5"/>
      <c r="CC1003" s="5"/>
      <c r="CD1003" s="5"/>
      <c r="CE1003" s="5"/>
      <c r="CF1003" s="5"/>
      <c r="CG1003" s="5"/>
      <c r="CH1003" s="5"/>
      <c r="CI1003" s="5"/>
      <c r="CJ1003" s="5"/>
      <c r="CK1003" s="5"/>
      <c r="CL1003" s="5"/>
      <c r="CM1003" s="5"/>
      <c r="CN1003" s="5"/>
      <c r="CO1003" s="5"/>
      <c r="CP1003" s="5"/>
      <c r="CQ1003" s="5"/>
      <c r="CR1003" s="5"/>
      <c r="CS1003" s="5"/>
      <c r="CT1003" s="5"/>
      <c r="CU1003" s="5"/>
    </row>
    <row r="1004" spans="1:99">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c r="BT1004" s="5"/>
      <c r="BU1004" s="5"/>
      <c r="BV1004" s="5"/>
      <c r="BW1004" s="5"/>
      <c r="BX1004" s="5"/>
      <c r="BY1004" s="5"/>
      <c r="BZ1004" s="5"/>
      <c r="CA1004" s="5"/>
      <c r="CB1004" s="5"/>
      <c r="CC1004" s="5"/>
      <c r="CD1004" s="5"/>
      <c r="CE1004" s="5"/>
      <c r="CF1004" s="5"/>
      <c r="CG1004" s="5"/>
      <c r="CH1004" s="5"/>
      <c r="CI1004" s="5"/>
      <c r="CJ1004" s="5"/>
      <c r="CK1004" s="5"/>
      <c r="CL1004" s="5"/>
      <c r="CM1004" s="5"/>
      <c r="CN1004" s="5"/>
      <c r="CO1004" s="5"/>
      <c r="CP1004" s="5"/>
      <c r="CQ1004" s="5"/>
      <c r="CR1004" s="5"/>
      <c r="CS1004" s="5"/>
      <c r="CT1004" s="5"/>
      <c r="CU1004" s="5"/>
    </row>
    <row r="1005" spans="1:99">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c r="BT1005" s="5"/>
      <c r="BU1005" s="5"/>
      <c r="BV1005" s="5"/>
      <c r="BW1005" s="5"/>
      <c r="BX1005" s="5"/>
      <c r="BY1005" s="5"/>
      <c r="BZ1005" s="5"/>
      <c r="CA1005" s="5"/>
      <c r="CB1005" s="5"/>
      <c r="CC1005" s="5"/>
      <c r="CD1005" s="5"/>
      <c r="CE1005" s="5"/>
      <c r="CF1005" s="5"/>
      <c r="CG1005" s="5"/>
      <c r="CH1005" s="5"/>
      <c r="CI1005" s="5"/>
      <c r="CJ1005" s="5"/>
      <c r="CK1005" s="5"/>
      <c r="CL1005" s="5"/>
      <c r="CM1005" s="5"/>
      <c r="CN1005" s="5"/>
      <c r="CO1005" s="5"/>
      <c r="CP1005" s="5"/>
      <c r="CQ1005" s="5"/>
      <c r="CR1005" s="5"/>
      <c r="CS1005" s="5"/>
      <c r="CT1005" s="5"/>
      <c r="CU1005" s="5"/>
    </row>
    <row r="1006" spans="1:99">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c r="BT1006" s="5"/>
      <c r="BU1006" s="5"/>
      <c r="BV1006" s="5"/>
      <c r="BW1006" s="5"/>
      <c r="BX1006" s="5"/>
      <c r="BY1006" s="5"/>
      <c r="BZ1006" s="5"/>
      <c r="CA1006" s="5"/>
      <c r="CB1006" s="5"/>
      <c r="CC1006" s="5"/>
      <c r="CD1006" s="5"/>
      <c r="CE1006" s="5"/>
      <c r="CF1006" s="5"/>
      <c r="CG1006" s="5"/>
      <c r="CH1006" s="5"/>
      <c r="CI1006" s="5"/>
      <c r="CJ1006" s="5"/>
      <c r="CK1006" s="5"/>
      <c r="CL1006" s="5"/>
      <c r="CM1006" s="5"/>
      <c r="CN1006" s="5"/>
      <c r="CO1006" s="5"/>
      <c r="CP1006" s="5"/>
      <c r="CQ1006" s="5"/>
      <c r="CR1006" s="5"/>
      <c r="CS1006" s="5"/>
      <c r="CT1006" s="5"/>
      <c r="CU1006" s="5"/>
    </row>
    <row r="1007" spans="1:99">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c r="BT1007" s="5"/>
      <c r="BU1007" s="5"/>
      <c r="BV1007" s="5"/>
      <c r="BW1007" s="5"/>
      <c r="BX1007" s="5"/>
      <c r="BY1007" s="5"/>
      <c r="BZ1007" s="5"/>
      <c r="CA1007" s="5"/>
      <c r="CB1007" s="5"/>
      <c r="CC1007" s="5"/>
      <c r="CD1007" s="5"/>
      <c r="CE1007" s="5"/>
      <c r="CF1007" s="5"/>
      <c r="CG1007" s="5"/>
      <c r="CH1007" s="5"/>
      <c r="CI1007" s="5"/>
      <c r="CJ1007" s="5"/>
      <c r="CK1007" s="5"/>
      <c r="CL1007" s="5"/>
      <c r="CM1007" s="5"/>
      <c r="CN1007" s="5"/>
      <c r="CO1007" s="5"/>
      <c r="CP1007" s="5"/>
      <c r="CQ1007" s="5"/>
      <c r="CR1007" s="5"/>
      <c r="CS1007" s="5"/>
      <c r="CT1007" s="5"/>
      <c r="CU1007" s="5"/>
    </row>
    <row r="1008" spans="1:99">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c r="BT1008" s="5"/>
      <c r="BU1008" s="5"/>
      <c r="BV1008" s="5"/>
      <c r="BW1008" s="5"/>
      <c r="BX1008" s="5"/>
      <c r="BY1008" s="5"/>
      <c r="BZ1008" s="5"/>
      <c r="CA1008" s="5"/>
      <c r="CB1008" s="5"/>
      <c r="CC1008" s="5"/>
      <c r="CD1008" s="5"/>
      <c r="CE1008" s="5"/>
      <c r="CF1008" s="5"/>
      <c r="CG1008" s="5"/>
      <c r="CH1008" s="5"/>
      <c r="CI1008" s="5"/>
      <c r="CJ1008" s="5"/>
      <c r="CK1008" s="5"/>
      <c r="CL1008" s="5"/>
      <c r="CM1008" s="5"/>
      <c r="CN1008" s="5"/>
      <c r="CO1008" s="5"/>
      <c r="CP1008" s="5"/>
      <c r="CQ1008" s="5"/>
      <c r="CR1008" s="5"/>
      <c r="CS1008" s="5"/>
      <c r="CT1008" s="5"/>
      <c r="CU1008" s="5"/>
    </row>
    <row r="1009" spans="1:99">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c r="CA1009" s="5"/>
      <c r="CB1009" s="5"/>
      <c r="CC1009" s="5"/>
      <c r="CD1009" s="5"/>
      <c r="CE1009" s="5"/>
      <c r="CF1009" s="5"/>
      <c r="CG1009" s="5"/>
      <c r="CH1009" s="5"/>
      <c r="CI1009" s="5"/>
      <c r="CJ1009" s="5"/>
      <c r="CK1009" s="5"/>
      <c r="CL1009" s="5"/>
      <c r="CM1009" s="5"/>
      <c r="CN1009" s="5"/>
      <c r="CO1009" s="5"/>
      <c r="CP1009" s="5"/>
      <c r="CQ1009" s="5"/>
      <c r="CR1009" s="5"/>
      <c r="CS1009" s="5"/>
      <c r="CT1009" s="5"/>
      <c r="CU1009" s="5"/>
    </row>
    <row r="1010" spans="1:99">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c r="BT1010" s="5"/>
      <c r="BU1010" s="5"/>
      <c r="BV1010" s="5"/>
      <c r="BW1010" s="5"/>
      <c r="BX1010" s="5"/>
      <c r="BY1010" s="5"/>
      <c r="BZ1010" s="5"/>
      <c r="CA1010" s="5"/>
      <c r="CB1010" s="5"/>
      <c r="CC1010" s="5"/>
      <c r="CD1010" s="5"/>
      <c r="CE1010" s="5"/>
      <c r="CF1010" s="5"/>
      <c r="CG1010" s="5"/>
      <c r="CH1010" s="5"/>
      <c r="CI1010" s="5"/>
      <c r="CJ1010" s="5"/>
      <c r="CK1010" s="5"/>
      <c r="CL1010" s="5"/>
      <c r="CM1010" s="5"/>
      <c r="CN1010" s="5"/>
      <c r="CO1010" s="5"/>
      <c r="CP1010" s="5"/>
      <c r="CQ1010" s="5"/>
      <c r="CR1010" s="5"/>
      <c r="CS1010" s="5"/>
      <c r="CT1010" s="5"/>
      <c r="CU1010" s="5"/>
    </row>
    <row r="1011" spans="1:99">
      <c r="A1011" s="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L1011" s="5"/>
      <c r="BM1011" s="5"/>
      <c r="BN1011" s="5"/>
      <c r="BO1011" s="5"/>
      <c r="BP1011" s="5"/>
      <c r="BQ1011" s="5"/>
      <c r="BR1011" s="5"/>
      <c r="BS1011" s="5"/>
      <c r="BT1011" s="5"/>
      <c r="BU1011" s="5"/>
      <c r="BV1011" s="5"/>
      <c r="BW1011" s="5"/>
      <c r="BX1011" s="5"/>
      <c r="BY1011" s="5"/>
      <c r="BZ1011" s="5"/>
      <c r="CA1011" s="5"/>
      <c r="CB1011" s="5"/>
      <c r="CC1011" s="5"/>
      <c r="CD1011" s="5"/>
      <c r="CE1011" s="5"/>
      <c r="CF1011" s="5"/>
      <c r="CG1011" s="5"/>
      <c r="CH1011" s="5"/>
      <c r="CI1011" s="5"/>
      <c r="CJ1011" s="5"/>
      <c r="CK1011" s="5"/>
      <c r="CL1011" s="5"/>
      <c r="CM1011" s="5"/>
      <c r="CN1011" s="5"/>
      <c r="CO1011" s="5"/>
      <c r="CP1011" s="5"/>
      <c r="CQ1011" s="5"/>
      <c r="CR1011" s="5"/>
      <c r="CS1011" s="5"/>
      <c r="CT1011" s="5"/>
      <c r="CU1011" s="5"/>
    </row>
    <row r="1012" spans="1:99">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c r="BT1012" s="5"/>
      <c r="BU1012" s="5"/>
      <c r="BV1012" s="5"/>
      <c r="BW1012" s="5"/>
      <c r="BX1012" s="5"/>
      <c r="BY1012" s="5"/>
      <c r="BZ1012" s="5"/>
      <c r="CA1012" s="5"/>
      <c r="CB1012" s="5"/>
      <c r="CC1012" s="5"/>
      <c r="CD1012" s="5"/>
      <c r="CE1012" s="5"/>
      <c r="CF1012" s="5"/>
      <c r="CG1012" s="5"/>
      <c r="CH1012" s="5"/>
      <c r="CI1012" s="5"/>
      <c r="CJ1012" s="5"/>
      <c r="CK1012" s="5"/>
      <c r="CL1012" s="5"/>
      <c r="CM1012" s="5"/>
      <c r="CN1012" s="5"/>
      <c r="CO1012" s="5"/>
      <c r="CP1012" s="5"/>
      <c r="CQ1012" s="5"/>
      <c r="CR1012" s="5"/>
      <c r="CS1012" s="5"/>
      <c r="CT1012" s="5"/>
      <c r="CU1012" s="5"/>
    </row>
    <row r="1013" spans="1:99">
      <c r="A1013" s="5"/>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c r="CA1013" s="5"/>
      <c r="CB1013" s="5"/>
      <c r="CC1013" s="5"/>
      <c r="CD1013" s="5"/>
      <c r="CE1013" s="5"/>
      <c r="CF1013" s="5"/>
      <c r="CG1013" s="5"/>
      <c r="CH1013" s="5"/>
      <c r="CI1013" s="5"/>
      <c r="CJ1013" s="5"/>
      <c r="CK1013" s="5"/>
      <c r="CL1013" s="5"/>
      <c r="CM1013" s="5"/>
      <c r="CN1013" s="5"/>
      <c r="CO1013" s="5"/>
      <c r="CP1013" s="5"/>
      <c r="CQ1013" s="5"/>
      <c r="CR1013" s="5"/>
      <c r="CS1013" s="5"/>
      <c r="CT1013" s="5"/>
      <c r="CU1013" s="5"/>
    </row>
    <row r="1014" spans="1:99">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c r="BT1014" s="5"/>
      <c r="BU1014" s="5"/>
      <c r="BV1014" s="5"/>
      <c r="BW1014" s="5"/>
      <c r="BX1014" s="5"/>
      <c r="BY1014" s="5"/>
      <c r="BZ1014" s="5"/>
      <c r="CA1014" s="5"/>
      <c r="CB1014" s="5"/>
      <c r="CC1014" s="5"/>
      <c r="CD1014" s="5"/>
      <c r="CE1014" s="5"/>
      <c r="CF1014" s="5"/>
      <c r="CG1014" s="5"/>
      <c r="CH1014" s="5"/>
      <c r="CI1014" s="5"/>
      <c r="CJ1014" s="5"/>
      <c r="CK1014" s="5"/>
      <c r="CL1014" s="5"/>
      <c r="CM1014" s="5"/>
      <c r="CN1014" s="5"/>
      <c r="CO1014" s="5"/>
      <c r="CP1014" s="5"/>
      <c r="CQ1014" s="5"/>
      <c r="CR1014" s="5"/>
      <c r="CS1014" s="5"/>
      <c r="CT1014" s="5"/>
      <c r="CU1014" s="5"/>
    </row>
    <row r="1015" spans="1:99">
      <c r="A1015" s="5"/>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c r="CA1015" s="5"/>
      <c r="CB1015" s="5"/>
      <c r="CC1015" s="5"/>
      <c r="CD1015" s="5"/>
      <c r="CE1015" s="5"/>
      <c r="CF1015" s="5"/>
      <c r="CG1015" s="5"/>
      <c r="CH1015" s="5"/>
      <c r="CI1015" s="5"/>
      <c r="CJ1015" s="5"/>
      <c r="CK1015" s="5"/>
      <c r="CL1015" s="5"/>
      <c r="CM1015" s="5"/>
      <c r="CN1015" s="5"/>
      <c r="CO1015" s="5"/>
      <c r="CP1015" s="5"/>
      <c r="CQ1015" s="5"/>
      <c r="CR1015" s="5"/>
      <c r="CS1015" s="5"/>
      <c r="CT1015" s="5"/>
      <c r="CU1015" s="5"/>
    </row>
    <row r="1016" spans="1:99">
      <c r="A1016" s="5"/>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c r="BT1016" s="5"/>
      <c r="BU1016" s="5"/>
      <c r="BV1016" s="5"/>
      <c r="BW1016" s="5"/>
      <c r="BX1016" s="5"/>
      <c r="BY1016" s="5"/>
      <c r="BZ1016" s="5"/>
      <c r="CA1016" s="5"/>
      <c r="CB1016" s="5"/>
      <c r="CC1016" s="5"/>
      <c r="CD1016" s="5"/>
      <c r="CE1016" s="5"/>
      <c r="CF1016" s="5"/>
      <c r="CG1016" s="5"/>
      <c r="CH1016" s="5"/>
      <c r="CI1016" s="5"/>
      <c r="CJ1016" s="5"/>
      <c r="CK1016" s="5"/>
      <c r="CL1016" s="5"/>
      <c r="CM1016" s="5"/>
      <c r="CN1016" s="5"/>
      <c r="CO1016" s="5"/>
      <c r="CP1016" s="5"/>
      <c r="CQ1016" s="5"/>
      <c r="CR1016" s="5"/>
      <c r="CS1016" s="5"/>
      <c r="CT1016" s="5"/>
      <c r="CU1016" s="5"/>
    </row>
    <row r="1017" spans="1:99">
      <c r="A1017" s="5"/>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c r="BU1017" s="5"/>
      <c r="BV1017" s="5"/>
      <c r="BW1017" s="5"/>
      <c r="BX1017" s="5"/>
      <c r="BY1017" s="5"/>
      <c r="BZ1017" s="5"/>
      <c r="CA1017" s="5"/>
      <c r="CB1017" s="5"/>
      <c r="CC1017" s="5"/>
      <c r="CD1017" s="5"/>
      <c r="CE1017" s="5"/>
      <c r="CF1017" s="5"/>
      <c r="CG1017" s="5"/>
      <c r="CH1017" s="5"/>
      <c r="CI1017" s="5"/>
      <c r="CJ1017" s="5"/>
      <c r="CK1017" s="5"/>
      <c r="CL1017" s="5"/>
      <c r="CM1017" s="5"/>
      <c r="CN1017" s="5"/>
      <c r="CO1017" s="5"/>
      <c r="CP1017" s="5"/>
      <c r="CQ1017" s="5"/>
      <c r="CR1017" s="5"/>
      <c r="CS1017" s="5"/>
      <c r="CT1017" s="5"/>
      <c r="CU1017" s="5"/>
    </row>
    <row r="1018" spans="1:99">
      <c r="A1018" s="5"/>
      <c r="B1018" s="5"/>
      <c r="C1018" s="5"/>
      <c r="D1018" s="5"/>
      <c r="E1018" s="5"/>
      <c r="F1018" s="5"/>
      <c r="G1018" s="5"/>
      <c r="H1018" s="5"/>
      <c r="I1018" s="5"/>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c r="BT1018" s="5"/>
      <c r="BU1018" s="5"/>
      <c r="BV1018" s="5"/>
      <c r="BW1018" s="5"/>
      <c r="BX1018" s="5"/>
      <c r="BY1018" s="5"/>
      <c r="BZ1018" s="5"/>
      <c r="CA1018" s="5"/>
      <c r="CB1018" s="5"/>
      <c r="CC1018" s="5"/>
      <c r="CD1018" s="5"/>
      <c r="CE1018" s="5"/>
      <c r="CF1018" s="5"/>
      <c r="CG1018" s="5"/>
      <c r="CH1018" s="5"/>
      <c r="CI1018" s="5"/>
      <c r="CJ1018" s="5"/>
      <c r="CK1018" s="5"/>
      <c r="CL1018" s="5"/>
      <c r="CM1018" s="5"/>
      <c r="CN1018" s="5"/>
      <c r="CO1018" s="5"/>
      <c r="CP1018" s="5"/>
      <c r="CQ1018" s="5"/>
      <c r="CR1018" s="5"/>
      <c r="CS1018" s="5"/>
      <c r="CT1018" s="5"/>
      <c r="CU1018" s="5"/>
    </row>
    <row r="1019" spans="1:99">
      <c r="A1019" s="5"/>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c r="CA1019" s="5"/>
      <c r="CB1019" s="5"/>
      <c r="CC1019" s="5"/>
      <c r="CD1019" s="5"/>
      <c r="CE1019" s="5"/>
      <c r="CF1019" s="5"/>
      <c r="CG1019" s="5"/>
      <c r="CH1019" s="5"/>
      <c r="CI1019" s="5"/>
      <c r="CJ1019" s="5"/>
      <c r="CK1019" s="5"/>
      <c r="CL1019" s="5"/>
      <c r="CM1019" s="5"/>
      <c r="CN1019" s="5"/>
      <c r="CO1019" s="5"/>
      <c r="CP1019" s="5"/>
      <c r="CQ1019" s="5"/>
      <c r="CR1019" s="5"/>
      <c r="CS1019" s="5"/>
      <c r="CT1019" s="5"/>
      <c r="CU1019" s="5"/>
    </row>
    <row r="1020" spans="1:99">
      <c r="A1020" s="5"/>
      <c r="B1020" s="5"/>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c r="CA1020" s="5"/>
      <c r="CB1020" s="5"/>
      <c r="CC1020" s="5"/>
      <c r="CD1020" s="5"/>
      <c r="CE1020" s="5"/>
      <c r="CF1020" s="5"/>
      <c r="CG1020" s="5"/>
      <c r="CH1020" s="5"/>
      <c r="CI1020" s="5"/>
      <c r="CJ1020" s="5"/>
      <c r="CK1020" s="5"/>
      <c r="CL1020" s="5"/>
      <c r="CM1020" s="5"/>
      <c r="CN1020" s="5"/>
      <c r="CO1020" s="5"/>
      <c r="CP1020" s="5"/>
      <c r="CQ1020" s="5"/>
      <c r="CR1020" s="5"/>
      <c r="CS1020" s="5"/>
      <c r="CT1020" s="5"/>
      <c r="CU1020" s="5"/>
    </row>
    <row r="1021" spans="1:99">
      <c r="A1021" s="5"/>
      <c r="B1021" s="5"/>
      <c r="C1021" s="5"/>
      <c r="D1021" s="5"/>
      <c r="E1021" s="5"/>
      <c r="F1021" s="5"/>
      <c r="G1021" s="5"/>
      <c r="H1021" s="5"/>
      <c r="I1021" s="5"/>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c r="CA1021" s="5"/>
      <c r="CB1021" s="5"/>
      <c r="CC1021" s="5"/>
      <c r="CD1021" s="5"/>
      <c r="CE1021" s="5"/>
      <c r="CF1021" s="5"/>
      <c r="CG1021" s="5"/>
      <c r="CH1021" s="5"/>
      <c r="CI1021" s="5"/>
      <c r="CJ1021" s="5"/>
      <c r="CK1021" s="5"/>
      <c r="CL1021" s="5"/>
      <c r="CM1021" s="5"/>
      <c r="CN1021" s="5"/>
      <c r="CO1021" s="5"/>
      <c r="CP1021" s="5"/>
      <c r="CQ1021" s="5"/>
      <c r="CR1021" s="5"/>
      <c r="CS1021" s="5"/>
      <c r="CT1021" s="5"/>
      <c r="CU1021" s="5"/>
    </row>
    <row r="1022" spans="1:99">
      <c r="A1022" s="5"/>
      <c r="B1022" s="5"/>
      <c r="C1022" s="5"/>
      <c r="D1022" s="5"/>
      <c r="E1022" s="5"/>
      <c r="F1022" s="5"/>
      <c r="G1022" s="5"/>
      <c r="H1022" s="5"/>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c r="BU1022" s="5"/>
      <c r="BV1022" s="5"/>
      <c r="BW1022" s="5"/>
      <c r="BX1022" s="5"/>
      <c r="BY1022" s="5"/>
      <c r="BZ1022" s="5"/>
      <c r="CA1022" s="5"/>
      <c r="CB1022" s="5"/>
      <c r="CC1022" s="5"/>
      <c r="CD1022" s="5"/>
      <c r="CE1022" s="5"/>
      <c r="CF1022" s="5"/>
      <c r="CG1022" s="5"/>
      <c r="CH1022" s="5"/>
      <c r="CI1022" s="5"/>
      <c r="CJ1022" s="5"/>
      <c r="CK1022" s="5"/>
      <c r="CL1022" s="5"/>
      <c r="CM1022" s="5"/>
      <c r="CN1022" s="5"/>
      <c r="CO1022" s="5"/>
      <c r="CP1022" s="5"/>
      <c r="CQ1022" s="5"/>
      <c r="CR1022" s="5"/>
      <c r="CS1022" s="5"/>
      <c r="CT1022" s="5"/>
      <c r="CU1022" s="5"/>
    </row>
    <row r="1023" spans="1:99">
      <c r="A1023" s="5"/>
      <c r="B1023" s="5"/>
      <c r="C1023" s="5"/>
      <c r="D1023" s="5"/>
      <c r="E1023" s="5"/>
      <c r="F1023" s="5"/>
      <c r="G1023" s="5"/>
      <c r="H1023" s="5"/>
      <c r="I1023" s="5"/>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c r="BT1023" s="5"/>
      <c r="BU1023" s="5"/>
      <c r="BV1023" s="5"/>
      <c r="BW1023" s="5"/>
      <c r="BX1023" s="5"/>
      <c r="BY1023" s="5"/>
      <c r="BZ1023" s="5"/>
      <c r="CA1023" s="5"/>
      <c r="CB1023" s="5"/>
      <c r="CC1023" s="5"/>
      <c r="CD1023" s="5"/>
      <c r="CE1023" s="5"/>
      <c r="CF1023" s="5"/>
      <c r="CG1023" s="5"/>
      <c r="CH1023" s="5"/>
      <c r="CI1023" s="5"/>
      <c r="CJ1023" s="5"/>
      <c r="CK1023" s="5"/>
      <c r="CL1023" s="5"/>
      <c r="CM1023" s="5"/>
      <c r="CN1023" s="5"/>
      <c r="CO1023" s="5"/>
      <c r="CP1023" s="5"/>
      <c r="CQ1023" s="5"/>
      <c r="CR1023" s="5"/>
      <c r="CS1023" s="5"/>
      <c r="CT1023" s="5"/>
      <c r="CU1023" s="5"/>
    </row>
    <row r="1024" spans="1:99">
      <c r="A1024" s="5"/>
      <c r="B1024" s="5"/>
      <c r="C1024" s="5"/>
      <c r="D1024" s="5"/>
      <c r="E1024" s="5"/>
      <c r="F1024" s="5"/>
      <c r="G1024" s="5"/>
      <c r="H1024" s="5"/>
      <c r="I1024" s="5"/>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c r="BT1024" s="5"/>
      <c r="BU1024" s="5"/>
      <c r="BV1024" s="5"/>
      <c r="BW1024" s="5"/>
      <c r="BX1024" s="5"/>
      <c r="BY1024" s="5"/>
      <c r="BZ1024" s="5"/>
      <c r="CA1024" s="5"/>
      <c r="CB1024" s="5"/>
      <c r="CC1024" s="5"/>
      <c r="CD1024" s="5"/>
      <c r="CE1024" s="5"/>
      <c r="CF1024" s="5"/>
      <c r="CG1024" s="5"/>
      <c r="CH1024" s="5"/>
      <c r="CI1024" s="5"/>
      <c r="CJ1024" s="5"/>
      <c r="CK1024" s="5"/>
      <c r="CL1024" s="5"/>
      <c r="CM1024" s="5"/>
      <c r="CN1024" s="5"/>
      <c r="CO1024" s="5"/>
      <c r="CP1024" s="5"/>
      <c r="CQ1024" s="5"/>
      <c r="CR1024" s="5"/>
      <c r="CS1024" s="5"/>
      <c r="CT1024" s="5"/>
      <c r="CU1024" s="5"/>
    </row>
    <row r="1025" spans="1:99">
      <c r="A1025" s="5"/>
      <c r="B1025" s="5"/>
      <c r="C1025" s="5"/>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c r="BT1025" s="5"/>
      <c r="BU1025" s="5"/>
      <c r="BV1025" s="5"/>
      <c r="BW1025" s="5"/>
      <c r="BX1025" s="5"/>
      <c r="BY1025" s="5"/>
      <c r="BZ1025" s="5"/>
      <c r="CA1025" s="5"/>
      <c r="CB1025" s="5"/>
      <c r="CC1025" s="5"/>
      <c r="CD1025" s="5"/>
      <c r="CE1025" s="5"/>
      <c r="CF1025" s="5"/>
      <c r="CG1025" s="5"/>
      <c r="CH1025" s="5"/>
      <c r="CI1025" s="5"/>
      <c r="CJ1025" s="5"/>
      <c r="CK1025" s="5"/>
      <c r="CL1025" s="5"/>
      <c r="CM1025" s="5"/>
      <c r="CN1025" s="5"/>
      <c r="CO1025" s="5"/>
      <c r="CP1025" s="5"/>
      <c r="CQ1025" s="5"/>
      <c r="CR1025" s="5"/>
      <c r="CS1025" s="5"/>
      <c r="CT1025" s="5"/>
      <c r="CU1025" s="5"/>
    </row>
    <row r="1026" spans="1:99">
      <c r="A1026" s="5"/>
      <c r="B1026" s="5"/>
      <c r="C1026" s="5"/>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c r="BT1026" s="5"/>
      <c r="BU1026" s="5"/>
      <c r="BV1026" s="5"/>
      <c r="BW1026" s="5"/>
      <c r="BX1026" s="5"/>
      <c r="BY1026" s="5"/>
      <c r="BZ1026" s="5"/>
      <c r="CA1026" s="5"/>
      <c r="CB1026" s="5"/>
      <c r="CC1026" s="5"/>
      <c r="CD1026" s="5"/>
      <c r="CE1026" s="5"/>
      <c r="CF1026" s="5"/>
      <c r="CG1026" s="5"/>
      <c r="CH1026" s="5"/>
      <c r="CI1026" s="5"/>
      <c r="CJ1026" s="5"/>
      <c r="CK1026" s="5"/>
      <c r="CL1026" s="5"/>
      <c r="CM1026" s="5"/>
      <c r="CN1026" s="5"/>
      <c r="CO1026" s="5"/>
      <c r="CP1026" s="5"/>
      <c r="CQ1026" s="5"/>
      <c r="CR1026" s="5"/>
      <c r="CS1026" s="5"/>
      <c r="CT1026" s="5"/>
      <c r="CU1026" s="5"/>
    </row>
    <row r="1027" spans="1:99">
      <c r="A1027" s="5"/>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c r="BU1027" s="5"/>
      <c r="BV1027" s="5"/>
      <c r="BW1027" s="5"/>
      <c r="BX1027" s="5"/>
      <c r="BY1027" s="5"/>
      <c r="BZ1027" s="5"/>
      <c r="CA1027" s="5"/>
      <c r="CB1027" s="5"/>
      <c r="CC1027" s="5"/>
      <c r="CD1027" s="5"/>
      <c r="CE1027" s="5"/>
      <c r="CF1027" s="5"/>
      <c r="CG1027" s="5"/>
      <c r="CH1027" s="5"/>
      <c r="CI1027" s="5"/>
      <c r="CJ1027" s="5"/>
      <c r="CK1027" s="5"/>
      <c r="CL1027" s="5"/>
      <c r="CM1027" s="5"/>
      <c r="CN1027" s="5"/>
      <c r="CO1027" s="5"/>
      <c r="CP1027" s="5"/>
      <c r="CQ1027" s="5"/>
      <c r="CR1027" s="5"/>
      <c r="CS1027" s="5"/>
      <c r="CT1027" s="5"/>
      <c r="CU1027" s="5"/>
    </row>
    <row r="1028" spans="1:99">
      <c r="A1028" s="5"/>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c r="BU1028" s="5"/>
      <c r="BV1028" s="5"/>
      <c r="BW1028" s="5"/>
      <c r="BX1028" s="5"/>
      <c r="BY1028" s="5"/>
      <c r="BZ1028" s="5"/>
      <c r="CA1028" s="5"/>
      <c r="CB1028" s="5"/>
      <c r="CC1028" s="5"/>
      <c r="CD1028" s="5"/>
      <c r="CE1028" s="5"/>
      <c r="CF1028" s="5"/>
      <c r="CG1028" s="5"/>
      <c r="CH1028" s="5"/>
      <c r="CI1028" s="5"/>
      <c r="CJ1028" s="5"/>
      <c r="CK1028" s="5"/>
      <c r="CL1028" s="5"/>
      <c r="CM1028" s="5"/>
      <c r="CN1028" s="5"/>
      <c r="CO1028" s="5"/>
      <c r="CP1028" s="5"/>
      <c r="CQ1028" s="5"/>
      <c r="CR1028" s="5"/>
      <c r="CS1028" s="5"/>
      <c r="CT1028" s="5"/>
      <c r="CU1028" s="5"/>
    </row>
    <row r="1029" spans="1:99">
      <c r="A1029" s="5"/>
      <c r="B1029" s="5"/>
      <c r="C1029" s="5"/>
      <c r="D1029" s="5"/>
      <c r="E1029" s="5"/>
      <c r="F1029" s="5"/>
      <c r="G1029" s="5"/>
      <c r="H1029" s="5"/>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c r="BT1029" s="5"/>
      <c r="BU1029" s="5"/>
      <c r="BV1029" s="5"/>
      <c r="BW1029" s="5"/>
      <c r="BX1029" s="5"/>
      <c r="BY1029" s="5"/>
      <c r="BZ1029" s="5"/>
      <c r="CA1029" s="5"/>
      <c r="CB1029" s="5"/>
      <c r="CC1029" s="5"/>
      <c r="CD1029" s="5"/>
      <c r="CE1029" s="5"/>
      <c r="CF1029" s="5"/>
      <c r="CG1029" s="5"/>
      <c r="CH1029" s="5"/>
      <c r="CI1029" s="5"/>
      <c r="CJ1029" s="5"/>
      <c r="CK1029" s="5"/>
      <c r="CL1029" s="5"/>
      <c r="CM1029" s="5"/>
      <c r="CN1029" s="5"/>
      <c r="CO1029" s="5"/>
      <c r="CP1029" s="5"/>
      <c r="CQ1029" s="5"/>
      <c r="CR1029" s="5"/>
      <c r="CS1029" s="5"/>
      <c r="CT1029" s="5"/>
      <c r="CU1029" s="5"/>
    </row>
    <row r="1030" spans="1:99">
      <c r="A1030" s="5"/>
      <c r="B1030" s="5"/>
      <c r="C1030" s="5"/>
      <c r="D1030" s="5"/>
      <c r="E1030" s="5"/>
      <c r="F1030" s="5"/>
      <c r="G1030" s="5"/>
      <c r="H1030" s="5"/>
      <c r="I1030" s="5"/>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c r="BT1030" s="5"/>
      <c r="BU1030" s="5"/>
      <c r="BV1030" s="5"/>
      <c r="BW1030" s="5"/>
      <c r="BX1030" s="5"/>
      <c r="BY1030" s="5"/>
      <c r="BZ1030" s="5"/>
      <c r="CA1030" s="5"/>
      <c r="CB1030" s="5"/>
      <c r="CC1030" s="5"/>
      <c r="CD1030" s="5"/>
      <c r="CE1030" s="5"/>
      <c r="CF1030" s="5"/>
      <c r="CG1030" s="5"/>
      <c r="CH1030" s="5"/>
      <c r="CI1030" s="5"/>
      <c r="CJ1030" s="5"/>
      <c r="CK1030" s="5"/>
      <c r="CL1030" s="5"/>
      <c r="CM1030" s="5"/>
      <c r="CN1030" s="5"/>
      <c r="CO1030" s="5"/>
      <c r="CP1030" s="5"/>
      <c r="CQ1030" s="5"/>
      <c r="CR1030" s="5"/>
      <c r="CS1030" s="5"/>
      <c r="CT1030" s="5"/>
      <c r="CU1030" s="5"/>
    </row>
    <row r="1031" spans="1:99">
      <c r="A1031" s="5"/>
      <c r="B1031" s="5"/>
      <c r="C1031" s="5"/>
      <c r="D1031" s="5"/>
      <c r="E1031" s="5"/>
      <c r="F1031" s="5"/>
      <c r="G1031" s="5"/>
      <c r="H1031" s="5"/>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c r="BU1031" s="5"/>
      <c r="BV1031" s="5"/>
      <c r="BW1031" s="5"/>
      <c r="BX1031" s="5"/>
      <c r="BY1031" s="5"/>
      <c r="BZ1031" s="5"/>
      <c r="CA1031" s="5"/>
      <c r="CB1031" s="5"/>
      <c r="CC1031" s="5"/>
      <c r="CD1031" s="5"/>
      <c r="CE1031" s="5"/>
      <c r="CF1031" s="5"/>
      <c r="CG1031" s="5"/>
      <c r="CH1031" s="5"/>
      <c r="CI1031" s="5"/>
      <c r="CJ1031" s="5"/>
      <c r="CK1031" s="5"/>
      <c r="CL1031" s="5"/>
      <c r="CM1031" s="5"/>
      <c r="CN1031" s="5"/>
      <c r="CO1031" s="5"/>
      <c r="CP1031" s="5"/>
      <c r="CQ1031" s="5"/>
      <c r="CR1031" s="5"/>
      <c r="CS1031" s="5"/>
      <c r="CT1031" s="5"/>
      <c r="CU1031" s="5"/>
    </row>
    <row r="1032" spans="1:99">
      <c r="A1032" s="5"/>
      <c r="B1032" s="5"/>
      <c r="C1032" s="5"/>
      <c r="D1032" s="5"/>
      <c r="E1032" s="5"/>
      <c r="F1032" s="5"/>
      <c r="G1032" s="5"/>
      <c r="H1032" s="5"/>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c r="BU1032" s="5"/>
      <c r="BV1032" s="5"/>
      <c r="BW1032" s="5"/>
      <c r="BX1032" s="5"/>
      <c r="BY1032" s="5"/>
      <c r="BZ1032" s="5"/>
      <c r="CA1032" s="5"/>
      <c r="CB1032" s="5"/>
      <c r="CC1032" s="5"/>
      <c r="CD1032" s="5"/>
      <c r="CE1032" s="5"/>
      <c r="CF1032" s="5"/>
      <c r="CG1032" s="5"/>
      <c r="CH1032" s="5"/>
      <c r="CI1032" s="5"/>
      <c r="CJ1032" s="5"/>
      <c r="CK1032" s="5"/>
      <c r="CL1032" s="5"/>
      <c r="CM1032" s="5"/>
      <c r="CN1032" s="5"/>
      <c r="CO1032" s="5"/>
      <c r="CP1032" s="5"/>
      <c r="CQ1032" s="5"/>
      <c r="CR1032" s="5"/>
      <c r="CS1032" s="5"/>
      <c r="CT1032" s="5"/>
      <c r="CU1032" s="5"/>
    </row>
    <row r="1033" spans="1:99">
      <c r="A1033" s="5"/>
      <c r="B1033" s="5"/>
      <c r="C1033" s="5"/>
      <c r="D1033" s="5"/>
      <c r="E1033" s="5"/>
      <c r="F1033" s="5"/>
      <c r="G1033" s="5"/>
      <c r="H1033" s="5"/>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c r="BT1033" s="5"/>
      <c r="BU1033" s="5"/>
      <c r="BV1033" s="5"/>
      <c r="BW1033" s="5"/>
      <c r="BX1033" s="5"/>
      <c r="BY1033" s="5"/>
      <c r="BZ1033" s="5"/>
      <c r="CA1033" s="5"/>
      <c r="CB1033" s="5"/>
      <c r="CC1033" s="5"/>
      <c r="CD1033" s="5"/>
      <c r="CE1033" s="5"/>
      <c r="CF1033" s="5"/>
      <c r="CG1033" s="5"/>
      <c r="CH1033" s="5"/>
      <c r="CI1033" s="5"/>
      <c r="CJ1033" s="5"/>
      <c r="CK1033" s="5"/>
      <c r="CL1033" s="5"/>
      <c r="CM1033" s="5"/>
      <c r="CN1033" s="5"/>
      <c r="CO1033" s="5"/>
      <c r="CP1033" s="5"/>
      <c r="CQ1033" s="5"/>
      <c r="CR1033" s="5"/>
      <c r="CS1033" s="5"/>
      <c r="CT1033" s="5"/>
      <c r="CU1033" s="5"/>
    </row>
    <row r="1034" spans="1:99">
      <c r="A1034" s="5"/>
      <c r="B1034" s="5"/>
      <c r="C1034" s="5"/>
      <c r="D1034" s="5"/>
      <c r="E1034" s="5"/>
      <c r="F1034" s="5"/>
      <c r="G1034" s="5"/>
      <c r="H1034" s="5"/>
      <c r="I1034" s="5"/>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c r="BT1034" s="5"/>
      <c r="BU1034" s="5"/>
      <c r="BV1034" s="5"/>
      <c r="BW1034" s="5"/>
      <c r="BX1034" s="5"/>
      <c r="BY1034" s="5"/>
      <c r="BZ1034" s="5"/>
      <c r="CA1034" s="5"/>
      <c r="CB1034" s="5"/>
      <c r="CC1034" s="5"/>
      <c r="CD1034" s="5"/>
      <c r="CE1034" s="5"/>
      <c r="CF1034" s="5"/>
      <c r="CG1034" s="5"/>
      <c r="CH1034" s="5"/>
      <c r="CI1034" s="5"/>
      <c r="CJ1034" s="5"/>
      <c r="CK1034" s="5"/>
      <c r="CL1034" s="5"/>
      <c r="CM1034" s="5"/>
      <c r="CN1034" s="5"/>
      <c r="CO1034" s="5"/>
      <c r="CP1034" s="5"/>
      <c r="CQ1034" s="5"/>
      <c r="CR1034" s="5"/>
      <c r="CS1034" s="5"/>
      <c r="CT1034" s="5"/>
      <c r="CU1034" s="5"/>
    </row>
    <row r="1035" spans="1:99">
      <c r="A1035" s="5"/>
      <c r="B1035" s="5"/>
      <c r="C1035" s="5"/>
      <c r="D1035" s="5"/>
      <c r="E1035" s="5"/>
      <c r="F1035" s="5"/>
      <c r="G1035" s="5"/>
      <c r="H1035" s="5"/>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c r="BT1035" s="5"/>
      <c r="BU1035" s="5"/>
      <c r="BV1035" s="5"/>
      <c r="BW1035" s="5"/>
      <c r="BX1035" s="5"/>
      <c r="BY1035" s="5"/>
      <c r="BZ1035" s="5"/>
      <c r="CA1035" s="5"/>
      <c r="CB1035" s="5"/>
      <c r="CC1035" s="5"/>
      <c r="CD1035" s="5"/>
      <c r="CE1035" s="5"/>
      <c r="CF1035" s="5"/>
      <c r="CG1035" s="5"/>
      <c r="CH1035" s="5"/>
      <c r="CI1035" s="5"/>
      <c r="CJ1035" s="5"/>
      <c r="CK1035" s="5"/>
      <c r="CL1035" s="5"/>
      <c r="CM1035" s="5"/>
      <c r="CN1035" s="5"/>
      <c r="CO1035" s="5"/>
      <c r="CP1035" s="5"/>
      <c r="CQ1035" s="5"/>
      <c r="CR1035" s="5"/>
      <c r="CS1035" s="5"/>
      <c r="CT1035" s="5"/>
      <c r="CU1035" s="5"/>
    </row>
    <row r="1036" spans="1:99">
      <c r="A1036" s="5"/>
      <c r="B1036" s="5"/>
      <c r="C1036" s="5"/>
      <c r="D1036" s="5"/>
      <c r="E1036" s="5"/>
      <c r="F1036" s="5"/>
      <c r="G1036" s="5"/>
      <c r="H1036" s="5"/>
      <c r="I1036" s="5"/>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c r="BT1036" s="5"/>
      <c r="BU1036" s="5"/>
      <c r="BV1036" s="5"/>
      <c r="BW1036" s="5"/>
      <c r="BX1036" s="5"/>
      <c r="BY1036" s="5"/>
      <c r="BZ1036" s="5"/>
      <c r="CA1036" s="5"/>
      <c r="CB1036" s="5"/>
      <c r="CC1036" s="5"/>
      <c r="CD1036" s="5"/>
      <c r="CE1036" s="5"/>
      <c r="CF1036" s="5"/>
      <c r="CG1036" s="5"/>
      <c r="CH1036" s="5"/>
      <c r="CI1036" s="5"/>
      <c r="CJ1036" s="5"/>
      <c r="CK1036" s="5"/>
      <c r="CL1036" s="5"/>
      <c r="CM1036" s="5"/>
      <c r="CN1036" s="5"/>
      <c r="CO1036" s="5"/>
      <c r="CP1036" s="5"/>
      <c r="CQ1036" s="5"/>
      <c r="CR1036" s="5"/>
      <c r="CS1036" s="5"/>
      <c r="CT1036" s="5"/>
      <c r="CU1036" s="5"/>
    </row>
    <row r="1037" spans="1:99">
      <c r="A1037" s="5"/>
      <c r="B1037" s="5"/>
      <c r="C1037" s="5"/>
      <c r="D1037" s="5"/>
      <c r="E1037" s="5"/>
      <c r="F1037" s="5"/>
      <c r="G1037" s="5"/>
      <c r="H1037" s="5"/>
      <c r="I1037" s="5"/>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c r="BU1037" s="5"/>
      <c r="BV1037" s="5"/>
      <c r="BW1037" s="5"/>
      <c r="BX1037" s="5"/>
      <c r="BY1037" s="5"/>
      <c r="BZ1037" s="5"/>
      <c r="CA1037" s="5"/>
      <c r="CB1037" s="5"/>
      <c r="CC1037" s="5"/>
      <c r="CD1037" s="5"/>
      <c r="CE1037" s="5"/>
      <c r="CF1037" s="5"/>
      <c r="CG1037" s="5"/>
      <c r="CH1037" s="5"/>
      <c r="CI1037" s="5"/>
      <c r="CJ1037" s="5"/>
      <c r="CK1037" s="5"/>
      <c r="CL1037" s="5"/>
      <c r="CM1037" s="5"/>
      <c r="CN1037" s="5"/>
      <c r="CO1037" s="5"/>
      <c r="CP1037" s="5"/>
      <c r="CQ1037" s="5"/>
      <c r="CR1037" s="5"/>
      <c r="CS1037" s="5"/>
      <c r="CT1037" s="5"/>
      <c r="CU1037" s="5"/>
    </row>
    <row r="1038" spans="1:99">
      <c r="A1038" s="5"/>
      <c r="B1038" s="5"/>
      <c r="C1038" s="5"/>
      <c r="D1038" s="5"/>
      <c r="E1038" s="5"/>
      <c r="F1038" s="5"/>
      <c r="G1038" s="5"/>
      <c r="H1038" s="5"/>
      <c r="I1038" s="5"/>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c r="BT1038" s="5"/>
      <c r="BU1038" s="5"/>
      <c r="BV1038" s="5"/>
      <c r="BW1038" s="5"/>
      <c r="BX1038" s="5"/>
      <c r="BY1038" s="5"/>
      <c r="BZ1038" s="5"/>
      <c r="CA1038" s="5"/>
      <c r="CB1038" s="5"/>
      <c r="CC1038" s="5"/>
      <c r="CD1038" s="5"/>
      <c r="CE1038" s="5"/>
      <c r="CF1038" s="5"/>
      <c r="CG1038" s="5"/>
      <c r="CH1038" s="5"/>
      <c r="CI1038" s="5"/>
      <c r="CJ1038" s="5"/>
      <c r="CK1038" s="5"/>
      <c r="CL1038" s="5"/>
      <c r="CM1038" s="5"/>
      <c r="CN1038" s="5"/>
      <c r="CO1038" s="5"/>
      <c r="CP1038" s="5"/>
      <c r="CQ1038" s="5"/>
      <c r="CR1038" s="5"/>
      <c r="CS1038" s="5"/>
      <c r="CT1038" s="5"/>
      <c r="CU1038" s="5"/>
    </row>
    <row r="1039" spans="1:99">
      <c r="A1039" s="5"/>
      <c r="B1039" s="5"/>
      <c r="C1039" s="5"/>
      <c r="D1039" s="5"/>
      <c r="E1039" s="5"/>
      <c r="F1039" s="5"/>
      <c r="G1039" s="5"/>
      <c r="H1039" s="5"/>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c r="BU1039" s="5"/>
      <c r="BV1039" s="5"/>
      <c r="BW1039" s="5"/>
      <c r="BX1039" s="5"/>
      <c r="BY1039" s="5"/>
      <c r="BZ1039" s="5"/>
      <c r="CA1039" s="5"/>
      <c r="CB1039" s="5"/>
      <c r="CC1039" s="5"/>
      <c r="CD1039" s="5"/>
      <c r="CE1039" s="5"/>
      <c r="CF1039" s="5"/>
      <c r="CG1039" s="5"/>
      <c r="CH1039" s="5"/>
      <c r="CI1039" s="5"/>
      <c r="CJ1039" s="5"/>
      <c r="CK1039" s="5"/>
      <c r="CL1039" s="5"/>
      <c r="CM1039" s="5"/>
      <c r="CN1039" s="5"/>
      <c r="CO1039" s="5"/>
      <c r="CP1039" s="5"/>
      <c r="CQ1039" s="5"/>
      <c r="CR1039" s="5"/>
      <c r="CS1039" s="5"/>
      <c r="CT1039" s="5"/>
      <c r="CU1039" s="5"/>
    </row>
    <row r="1040" spans="1:99">
      <c r="A1040" s="5"/>
      <c r="B1040" s="5"/>
      <c r="C1040" s="5"/>
      <c r="D1040" s="5"/>
      <c r="E1040" s="5"/>
      <c r="F1040" s="5"/>
      <c r="G1040" s="5"/>
      <c r="H1040" s="5"/>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c r="BT1040" s="5"/>
      <c r="BU1040" s="5"/>
      <c r="BV1040" s="5"/>
      <c r="BW1040" s="5"/>
      <c r="BX1040" s="5"/>
      <c r="BY1040" s="5"/>
      <c r="BZ1040" s="5"/>
      <c r="CA1040" s="5"/>
      <c r="CB1040" s="5"/>
      <c r="CC1040" s="5"/>
      <c r="CD1040" s="5"/>
      <c r="CE1040" s="5"/>
      <c r="CF1040" s="5"/>
      <c r="CG1040" s="5"/>
      <c r="CH1040" s="5"/>
      <c r="CI1040" s="5"/>
      <c r="CJ1040" s="5"/>
      <c r="CK1040" s="5"/>
      <c r="CL1040" s="5"/>
      <c r="CM1040" s="5"/>
      <c r="CN1040" s="5"/>
      <c r="CO1040" s="5"/>
      <c r="CP1040" s="5"/>
      <c r="CQ1040" s="5"/>
      <c r="CR1040" s="5"/>
      <c r="CS1040" s="5"/>
      <c r="CT1040" s="5"/>
      <c r="CU1040" s="5"/>
    </row>
    <row r="1041" spans="1:99">
      <c r="A1041" s="5"/>
      <c r="B1041" s="5"/>
      <c r="C1041" s="5"/>
      <c r="D1041" s="5"/>
      <c r="E1041" s="5"/>
      <c r="F1041" s="5"/>
      <c r="G1041" s="5"/>
      <c r="H1041" s="5"/>
      <c r="I1041" s="5"/>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c r="BT1041" s="5"/>
      <c r="BU1041" s="5"/>
      <c r="BV1041" s="5"/>
      <c r="BW1041" s="5"/>
      <c r="BX1041" s="5"/>
      <c r="BY1041" s="5"/>
      <c r="BZ1041" s="5"/>
      <c r="CA1041" s="5"/>
      <c r="CB1041" s="5"/>
      <c r="CC1041" s="5"/>
      <c r="CD1041" s="5"/>
      <c r="CE1041" s="5"/>
      <c r="CF1041" s="5"/>
      <c r="CG1041" s="5"/>
      <c r="CH1041" s="5"/>
      <c r="CI1041" s="5"/>
      <c r="CJ1041" s="5"/>
      <c r="CK1041" s="5"/>
      <c r="CL1041" s="5"/>
      <c r="CM1041" s="5"/>
      <c r="CN1041" s="5"/>
      <c r="CO1041" s="5"/>
      <c r="CP1041" s="5"/>
      <c r="CQ1041" s="5"/>
      <c r="CR1041" s="5"/>
      <c r="CS1041" s="5"/>
      <c r="CT1041" s="5"/>
      <c r="CU1041" s="5"/>
    </row>
    <row r="1042" spans="1:99">
      <c r="A1042" s="5"/>
      <c r="B1042" s="5"/>
      <c r="C1042" s="5"/>
      <c r="D1042" s="5"/>
      <c r="E1042" s="5"/>
      <c r="F1042" s="5"/>
      <c r="G1042" s="5"/>
      <c r="H1042" s="5"/>
      <c r="I1042" s="5"/>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c r="BT1042" s="5"/>
      <c r="BU1042" s="5"/>
      <c r="BV1042" s="5"/>
      <c r="BW1042" s="5"/>
      <c r="BX1042" s="5"/>
      <c r="BY1042" s="5"/>
      <c r="BZ1042" s="5"/>
      <c r="CA1042" s="5"/>
      <c r="CB1042" s="5"/>
      <c r="CC1042" s="5"/>
      <c r="CD1042" s="5"/>
      <c r="CE1042" s="5"/>
      <c r="CF1042" s="5"/>
      <c r="CG1042" s="5"/>
      <c r="CH1042" s="5"/>
      <c r="CI1042" s="5"/>
      <c r="CJ1042" s="5"/>
      <c r="CK1042" s="5"/>
      <c r="CL1042" s="5"/>
      <c r="CM1042" s="5"/>
      <c r="CN1042" s="5"/>
      <c r="CO1042" s="5"/>
      <c r="CP1042" s="5"/>
      <c r="CQ1042" s="5"/>
      <c r="CR1042" s="5"/>
      <c r="CS1042" s="5"/>
      <c r="CT1042" s="5"/>
      <c r="CU1042" s="5"/>
    </row>
    <row r="1043" spans="1:99">
      <c r="A1043" s="5"/>
      <c r="B1043" s="5"/>
      <c r="C1043" s="5"/>
      <c r="D1043" s="5"/>
      <c r="E1043" s="5"/>
      <c r="F1043" s="5"/>
      <c r="G1043" s="5"/>
      <c r="H1043" s="5"/>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c r="BT1043" s="5"/>
      <c r="BU1043" s="5"/>
      <c r="BV1043" s="5"/>
      <c r="BW1043" s="5"/>
      <c r="BX1043" s="5"/>
      <c r="BY1043" s="5"/>
      <c r="BZ1043" s="5"/>
      <c r="CA1043" s="5"/>
      <c r="CB1043" s="5"/>
      <c r="CC1043" s="5"/>
      <c r="CD1043" s="5"/>
      <c r="CE1043" s="5"/>
      <c r="CF1043" s="5"/>
      <c r="CG1043" s="5"/>
      <c r="CH1043" s="5"/>
      <c r="CI1043" s="5"/>
      <c r="CJ1043" s="5"/>
      <c r="CK1043" s="5"/>
      <c r="CL1043" s="5"/>
      <c r="CM1043" s="5"/>
      <c r="CN1043" s="5"/>
      <c r="CO1043" s="5"/>
      <c r="CP1043" s="5"/>
      <c r="CQ1043" s="5"/>
      <c r="CR1043" s="5"/>
      <c r="CS1043" s="5"/>
      <c r="CT1043" s="5"/>
      <c r="CU1043" s="5"/>
    </row>
    <row r="1044" spans="1:99">
      <c r="A1044" s="5"/>
      <c r="B1044" s="5"/>
      <c r="C1044" s="5"/>
      <c r="D1044" s="5"/>
      <c r="E1044" s="5"/>
      <c r="F1044" s="5"/>
      <c r="G1044" s="5"/>
      <c r="H1044" s="5"/>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c r="BT1044" s="5"/>
      <c r="BU1044" s="5"/>
      <c r="BV1044" s="5"/>
      <c r="BW1044" s="5"/>
      <c r="BX1044" s="5"/>
      <c r="BY1044" s="5"/>
      <c r="BZ1044" s="5"/>
      <c r="CA1044" s="5"/>
      <c r="CB1044" s="5"/>
      <c r="CC1044" s="5"/>
      <c r="CD1044" s="5"/>
      <c r="CE1044" s="5"/>
      <c r="CF1044" s="5"/>
      <c r="CG1044" s="5"/>
      <c r="CH1044" s="5"/>
      <c r="CI1044" s="5"/>
      <c r="CJ1044" s="5"/>
      <c r="CK1044" s="5"/>
      <c r="CL1044" s="5"/>
      <c r="CM1044" s="5"/>
      <c r="CN1044" s="5"/>
      <c r="CO1044" s="5"/>
      <c r="CP1044" s="5"/>
      <c r="CQ1044" s="5"/>
      <c r="CR1044" s="5"/>
      <c r="CS1044" s="5"/>
      <c r="CT1044" s="5"/>
      <c r="CU1044" s="5"/>
    </row>
    <row r="1045" spans="1:99">
      <c r="A1045" s="5"/>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CO1045" s="5"/>
      <c r="CP1045" s="5"/>
      <c r="CQ1045" s="5"/>
      <c r="CR1045" s="5"/>
      <c r="CS1045" s="5"/>
      <c r="CT1045" s="5"/>
      <c r="CU1045" s="5"/>
    </row>
    <row r="1046" spans="1:99">
      <c r="A1046" s="5"/>
      <c r="B1046" s="5"/>
      <c r="C1046" s="5"/>
      <c r="D1046" s="5"/>
      <c r="E1046" s="5"/>
      <c r="F1046" s="5"/>
      <c r="G1046" s="5"/>
      <c r="H1046" s="5"/>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c r="BT1046" s="5"/>
      <c r="BU1046" s="5"/>
      <c r="BV1046" s="5"/>
      <c r="BW1046" s="5"/>
      <c r="BX1046" s="5"/>
      <c r="BY1046" s="5"/>
      <c r="BZ1046" s="5"/>
      <c r="CA1046" s="5"/>
      <c r="CB1046" s="5"/>
      <c r="CC1046" s="5"/>
      <c r="CD1046" s="5"/>
      <c r="CE1046" s="5"/>
      <c r="CF1046" s="5"/>
      <c r="CG1046" s="5"/>
      <c r="CH1046" s="5"/>
      <c r="CI1046" s="5"/>
      <c r="CJ1046" s="5"/>
      <c r="CK1046" s="5"/>
      <c r="CL1046" s="5"/>
      <c r="CM1046" s="5"/>
      <c r="CN1046" s="5"/>
      <c r="CO1046" s="5"/>
      <c r="CP1046" s="5"/>
      <c r="CQ1046" s="5"/>
      <c r="CR1046" s="5"/>
      <c r="CS1046" s="5"/>
      <c r="CT1046" s="5"/>
      <c r="CU1046" s="5"/>
    </row>
    <row r="1047" spans="1:99">
      <c r="A1047" s="5"/>
      <c r="B1047" s="5"/>
      <c r="C1047" s="5"/>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c r="CO1047" s="5"/>
      <c r="CP1047" s="5"/>
      <c r="CQ1047" s="5"/>
      <c r="CR1047" s="5"/>
      <c r="CS1047" s="5"/>
      <c r="CT1047" s="5"/>
      <c r="CU1047" s="5"/>
    </row>
    <row r="1048" spans="1:99">
      <c r="A1048" s="5"/>
      <c r="B1048" s="5"/>
      <c r="C1048" s="5"/>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c r="CO1048" s="5"/>
      <c r="CP1048" s="5"/>
      <c r="CQ1048" s="5"/>
      <c r="CR1048" s="5"/>
      <c r="CS1048" s="5"/>
      <c r="CT1048" s="5"/>
      <c r="CU1048" s="5"/>
    </row>
    <row r="1049" spans="1:99">
      <c r="A1049" s="5"/>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c r="CO1049" s="5"/>
      <c r="CP1049" s="5"/>
      <c r="CQ1049" s="5"/>
      <c r="CR1049" s="5"/>
      <c r="CS1049" s="5"/>
      <c r="CT1049" s="5"/>
      <c r="CU1049" s="5"/>
    </row>
    <row r="1050" spans="1:99">
      <c r="A1050" s="5"/>
      <c r="B1050" s="5"/>
      <c r="C1050" s="5"/>
      <c r="D1050" s="5"/>
      <c r="E1050" s="5"/>
      <c r="F1050" s="5"/>
      <c r="G1050" s="5"/>
      <c r="H1050" s="5"/>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c r="BT1050" s="5"/>
      <c r="BU1050" s="5"/>
      <c r="BV1050" s="5"/>
      <c r="BW1050" s="5"/>
      <c r="BX1050" s="5"/>
      <c r="BY1050" s="5"/>
      <c r="BZ1050" s="5"/>
      <c r="CA1050" s="5"/>
      <c r="CB1050" s="5"/>
      <c r="CC1050" s="5"/>
      <c r="CD1050" s="5"/>
      <c r="CE1050" s="5"/>
      <c r="CF1050" s="5"/>
      <c r="CG1050" s="5"/>
      <c r="CH1050" s="5"/>
      <c r="CI1050" s="5"/>
      <c r="CJ1050" s="5"/>
      <c r="CK1050" s="5"/>
      <c r="CL1050" s="5"/>
      <c r="CM1050" s="5"/>
      <c r="CN1050" s="5"/>
      <c r="CO1050" s="5"/>
      <c r="CP1050" s="5"/>
      <c r="CQ1050" s="5"/>
      <c r="CR1050" s="5"/>
      <c r="CS1050" s="5"/>
      <c r="CT1050" s="5"/>
      <c r="CU1050" s="5"/>
    </row>
    <row r="1051" spans="1:99">
      <c r="A1051" s="5"/>
      <c r="B1051" s="5"/>
      <c r="C1051" s="5"/>
      <c r="D1051" s="5"/>
      <c r="E1051" s="5"/>
      <c r="F1051" s="5"/>
      <c r="G1051" s="5"/>
      <c r="H1051" s="5"/>
      <c r="I1051" s="5"/>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c r="BU1051" s="5"/>
      <c r="BV1051" s="5"/>
      <c r="BW1051" s="5"/>
      <c r="BX1051" s="5"/>
      <c r="BY1051" s="5"/>
      <c r="BZ1051" s="5"/>
      <c r="CA1051" s="5"/>
      <c r="CB1051" s="5"/>
      <c r="CC1051" s="5"/>
      <c r="CD1051" s="5"/>
      <c r="CE1051" s="5"/>
      <c r="CF1051" s="5"/>
      <c r="CG1051" s="5"/>
      <c r="CH1051" s="5"/>
      <c r="CI1051" s="5"/>
      <c r="CJ1051" s="5"/>
      <c r="CK1051" s="5"/>
      <c r="CL1051" s="5"/>
      <c r="CM1051" s="5"/>
      <c r="CN1051" s="5"/>
      <c r="CO1051" s="5"/>
      <c r="CP1051" s="5"/>
      <c r="CQ1051" s="5"/>
      <c r="CR1051" s="5"/>
      <c r="CS1051" s="5"/>
      <c r="CT1051" s="5"/>
      <c r="CU1051" s="5"/>
    </row>
    <row r="1052" spans="1:99">
      <c r="A1052" s="5"/>
      <c r="B1052" s="5"/>
      <c r="C1052" s="5"/>
      <c r="D1052" s="5"/>
      <c r="E1052" s="5"/>
      <c r="F1052" s="5"/>
      <c r="G1052" s="5"/>
      <c r="H1052" s="5"/>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c r="BT1052" s="5"/>
      <c r="BU1052" s="5"/>
      <c r="BV1052" s="5"/>
      <c r="BW1052" s="5"/>
      <c r="BX1052" s="5"/>
      <c r="BY1052" s="5"/>
      <c r="BZ1052" s="5"/>
      <c r="CA1052" s="5"/>
      <c r="CB1052" s="5"/>
      <c r="CC1052" s="5"/>
      <c r="CD1052" s="5"/>
      <c r="CE1052" s="5"/>
      <c r="CF1052" s="5"/>
      <c r="CG1052" s="5"/>
      <c r="CH1052" s="5"/>
      <c r="CI1052" s="5"/>
      <c r="CJ1052" s="5"/>
      <c r="CK1052" s="5"/>
      <c r="CL1052" s="5"/>
      <c r="CM1052" s="5"/>
      <c r="CN1052" s="5"/>
      <c r="CO1052" s="5"/>
      <c r="CP1052" s="5"/>
      <c r="CQ1052" s="5"/>
      <c r="CR1052" s="5"/>
      <c r="CS1052" s="5"/>
      <c r="CT1052" s="5"/>
      <c r="CU1052" s="5"/>
    </row>
    <row r="1053" spans="1:99">
      <c r="A1053" s="5"/>
      <c r="B1053" s="5"/>
      <c r="C1053" s="5"/>
      <c r="D1053" s="5"/>
      <c r="E1053" s="5"/>
      <c r="F1053" s="5"/>
      <c r="G1053" s="5"/>
      <c r="H1053" s="5"/>
      <c r="I1053" s="5"/>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c r="BU1053" s="5"/>
      <c r="BV1053" s="5"/>
      <c r="BW1053" s="5"/>
      <c r="BX1053" s="5"/>
      <c r="BY1053" s="5"/>
      <c r="BZ1053" s="5"/>
      <c r="CA1053" s="5"/>
      <c r="CB1053" s="5"/>
      <c r="CC1053" s="5"/>
      <c r="CD1053" s="5"/>
      <c r="CE1053" s="5"/>
      <c r="CF1053" s="5"/>
      <c r="CG1053" s="5"/>
      <c r="CH1053" s="5"/>
      <c r="CI1053" s="5"/>
      <c r="CJ1053" s="5"/>
      <c r="CK1053" s="5"/>
      <c r="CL1053" s="5"/>
      <c r="CM1053" s="5"/>
      <c r="CN1053" s="5"/>
      <c r="CO1053" s="5"/>
      <c r="CP1053" s="5"/>
      <c r="CQ1053" s="5"/>
      <c r="CR1053" s="5"/>
      <c r="CS1053" s="5"/>
      <c r="CT1053" s="5"/>
      <c r="CU1053" s="5"/>
    </row>
    <row r="1054" spans="1:99">
      <c r="A1054" s="5"/>
      <c r="B1054" s="5"/>
      <c r="C1054" s="5"/>
      <c r="D1054" s="5"/>
      <c r="E1054" s="5"/>
      <c r="F1054" s="5"/>
      <c r="G1054" s="5"/>
      <c r="H1054" s="5"/>
      <c r="I1054" s="5"/>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c r="BT1054" s="5"/>
      <c r="BU1054" s="5"/>
      <c r="BV1054" s="5"/>
      <c r="BW1054" s="5"/>
      <c r="BX1054" s="5"/>
      <c r="BY1054" s="5"/>
      <c r="BZ1054" s="5"/>
      <c r="CA1054" s="5"/>
      <c r="CB1054" s="5"/>
      <c r="CC1054" s="5"/>
      <c r="CD1054" s="5"/>
      <c r="CE1054" s="5"/>
      <c r="CF1054" s="5"/>
      <c r="CG1054" s="5"/>
      <c r="CH1054" s="5"/>
      <c r="CI1054" s="5"/>
      <c r="CJ1054" s="5"/>
      <c r="CK1054" s="5"/>
      <c r="CL1054" s="5"/>
      <c r="CM1054" s="5"/>
      <c r="CN1054" s="5"/>
      <c r="CO1054" s="5"/>
      <c r="CP1054" s="5"/>
      <c r="CQ1054" s="5"/>
      <c r="CR1054" s="5"/>
      <c r="CS1054" s="5"/>
      <c r="CT1054" s="5"/>
      <c r="CU1054" s="5"/>
    </row>
    <row r="1055" spans="1:99">
      <c r="A1055" s="5"/>
      <c r="B1055" s="5"/>
      <c r="C1055" s="5"/>
      <c r="D1055" s="5"/>
      <c r="E1055" s="5"/>
      <c r="F1055" s="5"/>
      <c r="G1055" s="5"/>
      <c r="H1055" s="5"/>
      <c r="I1055" s="5"/>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c r="BT1055" s="5"/>
      <c r="BU1055" s="5"/>
      <c r="BV1055" s="5"/>
      <c r="BW1055" s="5"/>
      <c r="BX1055" s="5"/>
      <c r="BY1055" s="5"/>
      <c r="BZ1055" s="5"/>
      <c r="CA1055" s="5"/>
      <c r="CB1055" s="5"/>
      <c r="CC1055" s="5"/>
      <c r="CD1055" s="5"/>
      <c r="CE1055" s="5"/>
      <c r="CF1055" s="5"/>
      <c r="CG1055" s="5"/>
      <c r="CH1055" s="5"/>
      <c r="CI1055" s="5"/>
      <c r="CJ1055" s="5"/>
      <c r="CK1055" s="5"/>
      <c r="CL1055" s="5"/>
      <c r="CM1055" s="5"/>
      <c r="CN1055" s="5"/>
      <c r="CO1055" s="5"/>
      <c r="CP1055" s="5"/>
      <c r="CQ1055" s="5"/>
      <c r="CR1055" s="5"/>
      <c r="CS1055" s="5"/>
      <c r="CT1055" s="5"/>
      <c r="CU1055" s="5"/>
    </row>
    <row r="1056" spans="1:99">
      <c r="A1056" s="5"/>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c r="BT1056" s="5"/>
      <c r="BU1056" s="5"/>
      <c r="BV1056" s="5"/>
      <c r="BW1056" s="5"/>
      <c r="BX1056" s="5"/>
      <c r="BY1056" s="5"/>
      <c r="BZ1056" s="5"/>
      <c r="CA1056" s="5"/>
      <c r="CB1056" s="5"/>
      <c r="CC1056" s="5"/>
      <c r="CD1056" s="5"/>
      <c r="CE1056" s="5"/>
      <c r="CF1056" s="5"/>
      <c r="CG1056" s="5"/>
      <c r="CH1056" s="5"/>
      <c r="CI1056" s="5"/>
      <c r="CJ1056" s="5"/>
      <c r="CK1056" s="5"/>
      <c r="CL1056" s="5"/>
      <c r="CM1056" s="5"/>
      <c r="CN1056" s="5"/>
      <c r="CO1056" s="5"/>
      <c r="CP1056" s="5"/>
      <c r="CQ1056" s="5"/>
      <c r="CR1056" s="5"/>
      <c r="CS1056" s="5"/>
      <c r="CT1056" s="5"/>
      <c r="CU1056" s="5"/>
    </row>
    <row r="1057" spans="1:99">
      <c r="A1057" s="5"/>
      <c r="B1057" s="5"/>
      <c r="C1057" s="5"/>
      <c r="D1057" s="5"/>
      <c r="E1057" s="5"/>
      <c r="F1057" s="5"/>
      <c r="G1057" s="5"/>
      <c r="H1057" s="5"/>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c r="BT1057" s="5"/>
      <c r="BU1057" s="5"/>
      <c r="BV1057" s="5"/>
      <c r="BW1057" s="5"/>
      <c r="BX1057" s="5"/>
      <c r="BY1057" s="5"/>
      <c r="BZ1057" s="5"/>
      <c r="CA1057" s="5"/>
      <c r="CB1057" s="5"/>
      <c r="CC1057" s="5"/>
      <c r="CD1057" s="5"/>
      <c r="CE1057" s="5"/>
      <c r="CF1057" s="5"/>
      <c r="CG1057" s="5"/>
      <c r="CH1057" s="5"/>
      <c r="CI1057" s="5"/>
      <c r="CJ1057" s="5"/>
      <c r="CK1057" s="5"/>
      <c r="CL1057" s="5"/>
      <c r="CM1057" s="5"/>
      <c r="CN1057" s="5"/>
      <c r="CO1057" s="5"/>
      <c r="CP1057" s="5"/>
      <c r="CQ1057" s="5"/>
      <c r="CR1057" s="5"/>
      <c r="CS1057" s="5"/>
      <c r="CT1057" s="5"/>
      <c r="CU1057" s="5"/>
    </row>
    <row r="1058" spans="1:99">
      <c r="A1058" s="5"/>
      <c r="B1058" s="5"/>
      <c r="C1058" s="5"/>
      <c r="D1058" s="5"/>
      <c r="E1058" s="5"/>
      <c r="F1058" s="5"/>
      <c r="G1058" s="5"/>
      <c r="H1058" s="5"/>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c r="BU1058" s="5"/>
      <c r="BV1058" s="5"/>
      <c r="BW1058" s="5"/>
      <c r="BX1058" s="5"/>
      <c r="BY1058" s="5"/>
      <c r="BZ1058" s="5"/>
      <c r="CA1058" s="5"/>
      <c r="CB1058" s="5"/>
      <c r="CC1058" s="5"/>
      <c r="CD1058" s="5"/>
      <c r="CE1058" s="5"/>
      <c r="CF1058" s="5"/>
      <c r="CG1058" s="5"/>
      <c r="CH1058" s="5"/>
      <c r="CI1058" s="5"/>
      <c r="CJ1058" s="5"/>
      <c r="CK1058" s="5"/>
      <c r="CL1058" s="5"/>
      <c r="CM1058" s="5"/>
      <c r="CN1058" s="5"/>
      <c r="CO1058" s="5"/>
      <c r="CP1058" s="5"/>
      <c r="CQ1058" s="5"/>
      <c r="CR1058" s="5"/>
      <c r="CS1058" s="5"/>
      <c r="CT1058" s="5"/>
      <c r="CU1058" s="5"/>
    </row>
    <row r="1059" spans="1:99">
      <c r="A1059" s="5"/>
      <c r="B1059" s="5"/>
      <c r="C1059" s="5"/>
      <c r="D1059" s="5"/>
      <c r="E1059" s="5"/>
      <c r="F1059" s="5"/>
      <c r="G1059" s="5"/>
      <c r="H1059" s="5"/>
      <c r="I1059" s="5"/>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c r="BU1059" s="5"/>
      <c r="BV1059" s="5"/>
      <c r="BW1059" s="5"/>
      <c r="BX1059" s="5"/>
      <c r="BY1059" s="5"/>
      <c r="BZ1059" s="5"/>
      <c r="CA1059" s="5"/>
      <c r="CB1059" s="5"/>
      <c r="CC1059" s="5"/>
      <c r="CD1059" s="5"/>
      <c r="CE1059" s="5"/>
      <c r="CF1059" s="5"/>
      <c r="CG1059" s="5"/>
      <c r="CH1059" s="5"/>
      <c r="CI1059" s="5"/>
      <c r="CJ1059" s="5"/>
      <c r="CK1059" s="5"/>
      <c r="CL1059" s="5"/>
      <c r="CM1059" s="5"/>
      <c r="CN1059" s="5"/>
      <c r="CO1059" s="5"/>
      <c r="CP1059" s="5"/>
      <c r="CQ1059" s="5"/>
      <c r="CR1059" s="5"/>
      <c r="CS1059" s="5"/>
      <c r="CT1059" s="5"/>
      <c r="CU1059" s="5"/>
    </row>
    <row r="1060" spans="1:99">
      <c r="A1060" s="5"/>
      <c r="B1060" s="5"/>
      <c r="C1060" s="5"/>
      <c r="D1060" s="5"/>
      <c r="E1060" s="5"/>
      <c r="F1060" s="5"/>
      <c r="G1060" s="5"/>
      <c r="H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c r="BU1060" s="5"/>
      <c r="BV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row>
    <row r="1061" spans="1:99">
      <c r="A1061" s="5"/>
      <c r="B1061" s="5"/>
      <c r="C1061" s="5"/>
      <c r="D1061" s="5"/>
      <c r="E1061" s="5"/>
      <c r="F1061" s="5"/>
      <c r="G1061" s="5"/>
      <c r="H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c r="BU1061" s="5"/>
      <c r="BV1061" s="5"/>
      <c r="BW1061" s="5"/>
      <c r="BX1061" s="5"/>
      <c r="BY1061" s="5"/>
      <c r="BZ1061" s="5"/>
      <c r="CA1061" s="5"/>
      <c r="CB1061" s="5"/>
      <c r="CC1061" s="5"/>
      <c r="CD1061" s="5"/>
      <c r="CE1061" s="5"/>
      <c r="CF1061" s="5"/>
      <c r="CG1061" s="5"/>
      <c r="CH1061" s="5"/>
      <c r="CI1061" s="5"/>
      <c r="CJ1061" s="5"/>
      <c r="CK1061" s="5"/>
      <c r="CL1061" s="5"/>
      <c r="CM1061" s="5"/>
      <c r="CN1061" s="5"/>
      <c r="CO1061" s="5"/>
      <c r="CP1061" s="5"/>
      <c r="CQ1061" s="5"/>
      <c r="CR1061" s="5"/>
      <c r="CS1061" s="5"/>
      <c r="CT1061" s="5"/>
      <c r="CU1061" s="5"/>
    </row>
    <row r="1062" spans="1:99">
      <c r="A1062" s="5"/>
      <c r="B1062" s="5"/>
      <c r="C1062" s="5"/>
      <c r="D1062" s="5"/>
      <c r="E1062" s="5"/>
      <c r="F1062" s="5"/>
      <c r="G1062" s="5"/>
      <c r="H1062" s="5"/>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c r="BT1062" s="5"/>
      <c r="BU1062" s="5"/>
      <c r="BV1062" s="5"/>
      <c r="BW1062" s="5"/>
      <c r="BX1062" s="5"/>
      <c r="BY1062" s="5"/>
      <c r="BZ1062" s="5"/>
      <c r="CA1062" s="5"/>
      <c r="CB1062" s="5"/>
      <c r="CC1062" s="5"/>
      <c r="CD1062" s="5"/>
      <c r="CE1062" s="5"/>
      <c r="CF1062" s="5"/>
      <c r="CG1062" s="5"/>
      <c r="CH1062" s="5"/>
      <c r="CI1062" s="5"/>
      <c r="CJ1062" s="5"/>
      <c r="CK1062" s="5"/>
      <c r="CL1062" s="5"/>
      <c r="CM1062" s="5"/>
      <c r="CN1062" s="5"/>
      <c r="CO1062" s="5"/>
      <c r="CP1062" s="5"/>
      <c r="CQ1062" s="5"/>
      <c r="CR1062" s="5"/>
      <c r="CS1062" s="5"/>
      <c r="CT1062" s="5"/>
      <c r="CU1062" s="5"/>
    </row>
    <row r="1063" spans="1:99">
      <c r="A1063" s="5"/>
      <c r="B1063" s="5"/>
      <c r="C1063" s="5"/>
      <c r="D1063" s="5"/>
      <c r="E1063" s="5"/>
      <c r="F1063" s="5"/>
      <c r="G1063" s="5"/>
      <c r="H1063" s="5"/>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c r="BT1063" s="5"/>
      <c r="BU1063" s="5"/>
      <c r="BV1063" s="5"/>
      <c r="BW1063" s="5"/>
      <c r="BX1063" s="5"/>
      <c r="BY1063" s="5"/>
      <c r="BZ1063" s="5"/>
      <c r="CA1063" s="5"/>
      <c r="CB1063" s="5"/>
      <c r="CC1063" s="5"/>
      <c r="CD1063" s="5"/>
      <c r="CE1063" s="5"/>
      <c r="CF1063" s="5"/>
      <c r="CG1063" s="5"/>
      <c r="CH1063" s="5"/>
      <c r="CI1063" s="5"/>
      <c r="CJ1063" s="5"/>
      <c r="CK1063" s="5"/>
      <c r="CL1063" s="5"/>
      <c r="CM1063" s="5"/>
      <c r="CN1063" s="5"/>
      <c r="CO1063" s="5"/>
      <c r="CP1063" s="5"/>
      <c r="CQ1063" s="5"/>
      <c r="CR1063" s="5"/>
      <c r="CS1063" s="5"/>
      <c r="CT1063" s="5"/>
      <c r="CU1063" s="5"/>
    </row>
    <row r="1064" spans="1:99">
      <c r="A1064" s="5"/>
      <c r="B1064" s="5"/>
      <c r="C1064" s="5"/>
      <c r="D1064" s="5"/>
      <c r="E1064" s="5"/>
      <c r="F1064" s="5"/>
      <c r="G1064" s="5"/>
      <c r="H1064" s="5"/>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c r="BT1064" s="5"/>
      <c r="BU1064" s="5"/>
      <c r="BV1064" s="5"/>
      <c r="BW1064" s="5"/>
      <c r="BX1064" s="5"/>
      <c r="BY1064" s="5"/>
      <c r="BZ1064" s="5"/>
      <c r="CA1064" s="5"/>
      <c r="CB1064" s="5"/>
      <c r="CC1064" s="5"/>
      <c r="CD1064" s="5"/>
      <c r="CE1064" s="5"/>
      <c r="CF1064" s="5"/>
      <c r="CG1064" s="5"/>
      <c r="CH1064" s="5"/>
      <c r="CI1064" s="5"/>
      <c r="CJ1064" s="5"/>
      <c r="CK1064" s="5"/>
      <c r="CL1064" s="5"/>
      <c r="CM1064" s="5"/>
      <c r="CN1064" s="5"/>
      <c r="CO1064" s="5"/>
      <c r="CP1064" s="5"/>
      <c r="CQ1064" s="5"/>
      <c r="CR1064" s="5"/>
      <c r="CS1064" s="5"/>
      <c r="CT1064" s="5"/>
      <c r="CU1064" s="5"/>
    </row>
    <row r="1065" spans="1:99">
      <c r="A1065" s="5"/>
      <c r="B1065" s="5"/>
      <c r="C1065" s="5"/>
      <c r="D1065" s="5"/>
      <c r="E1065" s="5"/>
      <c r="F1065" s="5"/>
      <c r="G1065" s="5"/>
      <c r="H1065" s="5"/>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c r="BT1065" s="5"/>
      <c r="BU1065" s="5"/>
      <c r="BV1065" s="5"/>
      <c r="BW1065" s="5"/>
      <c r="BX1065" s="5"/>
      <c r="BY1065" s="5"/>
      <c r="BZ1065" s="5"/>
      <c r="CA1065" s="5"/>
      <c r="CB1065" s="5"/>
      <c r="CC1065" s="5"/>
      <c r="CD1065" s="5"/>
      <c r="CE1065" s="5"/>
      <c r="CF1065" s="5"/>
      <c r="CG1065" s="5"/>
      <c r="CH1065" s="5"/>
      <c r="CI1065" s="5"/>
      <c r="CJ1065" s="5"/>
      <c r="CK1065" s="5"/>
      <c r="CL1065" s="5"/>
      <c r="CM1065" s="5"/>
      <c r="CN1065" s="5"/>
      <c r="CO1065" s="5"/>
      <c r="CP1065" s="5"/>
      <c r="CQ1065" s="5"/>
      <c r="CR1065" s="5"/>
      <c r="CS1065" s="5"/>
      <c r="CT1065" s="5"/>
      <c r="CU1065" s="5"/>
    </row>
    <row r="1066" spans="1:99">
      <c r="A1066" s="5"/>
      <c r="B1066" s="5"/>
      <c r="C1066" s="5"/>
      <c r="D1066" s="5"/>
      <c r="E1066" s="5"/>
      <c r="F1066" s="5"/>
      <c r="G1066" s="5"/>
      <c r="H1066" s="5"/>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c r="BT1066" s="5"/>
      <c r="BU1066" s="5"/>
      <c r="BV1066" s="5"/>
      <c r="BW1066" s="5"/>
      <c r="BX1066" s="5"/>
      <c r="BY1066" s="5"/>
      <c r="BZ1066" s="5"/>
      <c r="CA1066" s="5"/>
      <c r="CB1066" s="5"/>
      <c r="CC1066" s="5"/>
      <c r="CD1066" s="5"/>
      <c r="CE1066" s="5"/>
      <c r="CF1066" s="5"/>
      <c r="CG1066" s="5"/>
      <c r="CH1066" s="5"/>
      <c r="CI1066" s="5"/>
      <c r="CJ1066" s="5"/>
      <c r="CK1066" s="5"/>
      <c r="CL1066" s="5"/>
      <c r="CM1066" s="5"/>
      <c r="CN1066" s="5"/>
      <c r="CO1066" s="5"/>
      <c r="CP1066" s="5"/>
      <c r="CQ1066" s="5"/>
      <c r="CR1066" s="5"/>
      <c r="CS1066" s="5"/>
      <c r="CT1066" s="5"/>
      <c r="CU1066" s="5"/>
    </row>
    <row r="1067" spans="1:99">
      <c r="A1067" s="5"/>
      <c r="B1067" s="5"/>
      <c r="C1067" s="5"/>
      <c r="D1067" s="5"/>
      <c r="E1067" s="5"/>
      <c r="F1067" s="5"/>
      <c r="G1067" s="5"/>
      <c r="H1067" s="5"/>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c r="BT1067" s="5"/>
      <c r="BU1067" s="5"/>
      <c r="BV1067" s="5"/>
      <c r="BW1067" s="5"/>
      <c r="BX1067" s="5"/>
      <c r="BY1067" s="5"/>
      <c r="BZ1067" s="5"/>
      <c r="CA1067" s="5"/>
      <c r="CB1067" s="5"/>
      <c r="CC1067" s="5"/>
      <c r="CD1067" s="5"/>
      <c r="CE1067" s="5"/>
      <c r="CF1067" s="5"/>
      <c r="CG1067" s="5"/>
      <c r="CH1067" s="5"/>
      <c r="CI1067" s="5"/>
      <c r="CJ1067" s="5"/>
      <c r="CK1067" s="5"/>
      <c r="CL1067" s="5"/>
      <c r="CM1067" s="5"/>
      <c r="CN1067" s="5"/>
      <c r="CO1067" s="5"/>
      <c r="CP1067" s="5"/>
      <c r="CQ1067" s="5"/>
      <c r="CR1067" s="5"/>
      <c r="CS1067" s="5"/>
      <c r="CT1067" s="5"/>
      <c r="CU1067" s="5"/>
    </row>
    <row r="1068" spans="1:99">
      <c r="A1068" s="5"/>
      <c r="B1068" s="5"/>
      <c r="C1068" s="5"/>
      <c r="D1068" s="5"/>
      <c r="E1068" s="5"/>
      <c r="F1068" s="5"/>
      <c r="G1068" s="5"/>
      <c r="H1068" s="5"/>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c r="BT1068" s="5"/>
      <c r="BU1068" s="5"/>
      <c r="BV1068" s="5"/>
      <c r="BW1068" s="5"/>
      <c r="BX1068" s="5"/>
      <c r="BY1068" s="5"/>
      <c r="BZ1068" s="5"/>
      <c r="CA1068" s="5"/>
      <c r="CB1068" s="5"/>
      <c r="CC1068" s="5"/>
      <c r="CD1068" s="5"/>
      <c r="CE1068" s="5"/>
      <c r="CF1068" s="5"/>
      <c r="CG1068" s="5"/>
      <c r="CH1068" s="5"/>
      <c r="CI1068" s="5"/>
      <c r="CJ1068" s="5"/>
      <c r="CK1068" s="5"/>
      <c r="CL1068" s="5"/>
      <c r="CM1068" s="5"/>
      <c r="CN1068" s="5"/>
      <c r="CO1068" s="5"/>
      <c r="CP1068" s="5"/>
      <c r="CQ1068" s="5"/>
      <c r="CR1068" s="5"/>
      <c r="CS1068" s="5"/>
      <c r="CT1068" s="5"/>
      <c r="CU1068" s="5"/>
    </row>
    <row r="1069" spans="1:99">
      <c r="A1069" s="5"/>
      <c r="B1069" s="5"/>
      <c r="C1069" s="5"/>
      <c r="D1069" s="5"/>
      <c r="E1069" s="5"/>
      <c r="F1069" s="5"/>
      <c r="G1069" s="5"/>
      <c r="H1069" s="5"/>
      <c r="I1069" s="5"/>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c r="BT1069" s="5"/>
      <c r="BU1069" s="5"/>
      <c r="BV1069" s="5"/>
      <c r="BW1069" s="5"/>
      <c r="BX1069" s="5"/>
      <c r="BY1069" s="5"/>
      <c r="BZ1069" s="5"/>
      <c r="CA1069" s="5"/>
      <c r="CB1069" s="5"/>
      <c r="CC1069" s="5"/>
      <c r="CD1069" s="5"/>
      <c r="CE1069" s="5"/>
      <c r="CF1069" s="5"/>
      <c r="CG1069" s="5"/>
      <c r="CH1069" s="5"/>
      <c r="CI1069" s="5"/>
      <c r="CJ1069" s="5"/>
      <c r="CK1069" s="5"/>
      <c r="CL1069" s="5"/>
      <c r="CM1069" s="5"/>
      <c r="CN1069" s="5"/>
      <c r="CO1069" s="5"/>
      <c r="CP1069" s="5"/>
      <c r="CQ1069" s="5"/>
      <c r="CR1069" s="5"/>
      <c r="CS1069" s="5"/>
      <c r="CT1069" s="5"/>
      <c r="CU1069" s="5"/>
    </row>
    <row r="1070" spans="1:99">
      <c r="A1070" s="5"/>
      <c r="B1070" s="5"/>
      <c r="C1070" s="5"/>
      <c r="D1070" s="5"/>
      <c r="E1070" s="5"/>
      <c r="F1070" s="5"/>
      <c r="G1070" s="5"/>
      <c r="H1070" s="5"/>
      <c r="I1070" s="5"/>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c r="BT1070" s="5"/>
      <c r="BU1070" s="5"/>
      <c r="BV1070" s="5"/>
      <c r="BW1070" s="5"/>
      <c r="BX1070" s="5"/>
      <c r="BY1070" s="5"/>
      <c r="BZ1070" s="5"/>
      <c r="CA1070" s="5"/>
      <c r="CB1070" s="5"/>
      <c r="CC1070" s="5"/>
      <c r="CD1070" s="5"/>
      <c r="CE1070" s="5"/>
      <c r="CF1070" s="5"/>
      <c r="CG1070" s="5"/>
      <c r="CH1070" s="5"/>
      <c r="CI1070" s="5"/>
      <c r="CJ1070" s="5"/>
      <c r="CK1070" s="5"/>
      <c r="CL1070" s="5"/>
      <c r="CM1070" s="5"/>
      <c r="CN1070" s="5"/>
      <c r="CO1070" s="5"/>
      <c r="CP1070" s="5"/>
      <c r="CQ1070" s="5"/>
      <c r="CR1070" s="5"/>
      <c r="CS1070" s="5"/>
      <c r="CT1070" s="5"/>
      <c r="CU1070" s="5"/>
    </row>
    <row r="1071" spans="1:99">
      <c r="A1071" s="5"/>
      <c r="B1071" s="5"/>
      <c r="C1071" s="5"/>
      <c r="D1071" s="5"/>
      <c r="E1071" s="5"/>
      <c r="F1071" s="5"/>
      <c r="G1071" s="5"/>
      <c r="H1071" s="5"/>
      <c r="I1071" s="5"/>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c r="BT1071" s="5"/>
      <c r="BU1071" s="5"/>
      <c r="BV1071" s="5"/>
      <c r="BW1071" s="5"/>
      <c r="BX1071" s="5"/>
      <c r="BY1071" s="5"/>
      <c r="BZ1071" s="5"/>
      <c r="CA1071" s="5"/>
      <c r="CB1071" s="5"/>
      <c r="CC1071" s="5"/>
      <c r="CD1071" s="5"/>
      <c r="CE1071" s="5"/>
      <c r="CF1071" s="5"/>
      <c r="CG1071" s="5"/>
      <c r="CH1071" s="5"/>
      <c r="CI1071" s="5"/>
      <c r="CJ1071" s="5"/>
      <c r="CK1071" s="5"/>
      <c r="CL1071" s="5"/>
      <c r="CM1071" s="5"/>
      <c r="CN1071" s="5"/>
      <c r="CO1071" s="5"/>
      <c r="CP1071" s="5"/>
      <c r="CQ1071" s="5"/>
      <c r="CR1071" s="5"/>
      <c r="CS1071" s="5"/>
      <c r="CT1071" s="5"/>
      <c r="CU1071" s="5"/>
    </row>
    <row r="1072" spans="1:99">
      <c r="A1072" s="5"/>
      <c r="B1072" s="5"/>
      <c r="C1072" s="5"/>
      <c r="D1072" s="5"/>
      <c r="E1072" s="5"/>
      <c r="F1072" s="5"/>
      <c r="G1072" s="5"/>
      <c r="H1072" s="5"/>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c r="BT1072" s="5"/>
      <c r="BU1072" s="5"/>
      <c r="BV1072" s="5"/>
      <c r="BW1072" s="5"/>
      <c r="BX1072" s="5"/>
      <c r="BY1072" s="5"/>
      <c r="BZ1072" s="5"/>
      <c r="CA1072" s="5"/>
      <c r="CB1072" s="5"/>
      <c r="CC1072" s="5"/>
      <c r="CD1072" s="5"/>
      <c r="CE1072" s="5"/>
      <c r="CF1072" s="5"/>
      <c r="CG1072" s="5"/>
      <c r="CH1072" s="5"/>
      <c r="CI1072" s="5"/>
      <c r="CJ1072" s="5"/>
      <c r="CK1072" s="5"/>
      <c r="CL1072" s="5"/>
      <c r="CM1072" s="5"/>
      <c r="CN1072" s="5"/>
      <c r="CO1072" s="5"/>
      <c r="CP1072" s="5"/>
      <c r="CQ1072" s="5"/>
      <c r="CR1072" s="5"/>
      <c r="CS1072" s="5"/>
      <c r="CT1072" s="5"/>
      <c r="CU1072" s="5"/>
    </row>
    <row r="1073" spans="1:99">
      <c r="A1073" s="5"/>
      <c r="B1073" s="5"/>
      <c r="C1073" s="5"/>
      <c r="D1073" s="5"/>
      <c r="E1073" s="5"/>
      <c r="F1073" s="5"/>
      <c r="G1073" s="5"/>
      <c r="H1073" s="5"/>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c r="BT1073" s="5"/>
      <c r="BU1073" s="5"/>
      <c r="BV1073" s="5"/>
      <c r="BW1073" s="5"/>
      <c r="BX1073" s="5"/>
      <c r="BY1073" s="5"/>
      <c r="BZ1073" s="5"/>
      <c r="CA1073" s="5"/>
      <c r="CB1073" s="5"/>
      <c r="CC1073" s="5"/>
      <c r="CD1073" s="5"/>
      <c r="CE1073" s="5"/>
      <c r="CF1073" s="5"/>
      <c r="CG1073" s="5"/>
      <c r="CH1073" s="5"/>
      <c r="CI1073" s="5"/>
      <c r="CJ1073" s="5"/>
      <c r="CK1073" s="5"/>
      <c r="CL1073" s="5"/>
      <c r="CM1073" s="5"/>
      <c r="CN1073" s="5"/>
      <c r="CO1073" s="5"/>
      <c r="CP1073" s="5"/>
      <c r="CQ1073" s="5"/>
      <c r="CR1073" s="5"/>
      <c r="CS1073" s="5"/>
      <c r="CT1073" s="5"/>
      <c r="CU1073" s="5"/>
    </row>
    <row r="1074" spans="1:99">
      <c r="A1074" s="5"/>
      <c r="B1074" s="5"/>
      <c r="C1074" s="5"/>
      <c r="D1074" s="5"/>
      <c r="E1074" s="5"/>
      <c r="F1074" s="5"/>
      <c r="G1074" s="5"/>
      <c r="H1074" s="5"/>
      <c r="I1074" s="5"/>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c r="BT1074" s="5"/>
      <c r="BU1074" s="5"/>
      <c r="BV1074" s="5"/>
      <c r="BW1074" s="5"/>
      <c r="BX1074" s="5"/>
      <c r="BY1074" s="5"/>
      <c r="BZ1074" s="5"/>
      <c r="CA1074" s="5"/>
      <c r="CB1074" s="5"/>
      <c r="CC1074" s="5"/>
      <c r="CD1074" s="5"/>
      <c r="CE1074" s="5"/>
      <c r="CF1074" s="5"/>
      <c r="CG1074" s="5"/>
      <c r="CH1074" s="5"/>
      <c r="CI1074" s="5"/>
      <c r="CJ1074" s="5"/>
      <c r="CK1074" s="5"/>
      <c r="CL1074" s="5"/>
      <c r="CM1074" s="5"/>
      <c r="CN1074" s="5"/>
      <c r="CO1074" s="5"/>
      <c r="CP1074" s="5"/>
      <c r="CQ1074" s="5"/>
      <c r="CR1074" s="5"/>
      <c r="CS1074" s="5"/>
      <c r="CT1074" s="5"/>
      <c r="CU1074" s="5"/>
    </row>
    <row r="1075" spans="1:99">
      <c r="A1075" s="5"/>
      <c r="B1075" s="5"/>
      <c r="C1075" s="5"/>
      <c r="D1075" s="5"/>
      <c r="E1075" s="5"/>
      <c r="F1075" s="5"/>
      <c r="G1075" s="5"/>
      <c r="H1075" s="5"/>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c r="BT1075" s="5"/>
      <c r="BU1075" s="5"/>
      <c r="BV1075" s="5"/>
      <c r="BW1075" s="5"/>
      <c r="BX1075" s="5"/>
      <c r="BY1075" s="5"/>
      <c r="BZ1075" s="5"/>
      <c r="CA1075" s="5"/>
      <c r="CB1075" s="5"/>
      <c r="CC1075" s="5"/>
      <c r="CD1075" s="5"/>
      <c r="CE1075" s="5"/>
      <c r="CF1075" s="5"/>
      <c r="CG1075" s="5"/>
      <c r="CH1075" s="5"/>
      <c r="CI1075" s="5"/>
      <c r="CJ1075" s="5"/>
      <c r="CK1075" s="5"/>
      <c r="CL1075" s="5"/>
      <c r="CM1075" s="5"/>
      <c r="CN1075" s="5"/>
      <c r="CO1075" s="5"/>
      <c r="CP1075" s="5"/>
      <c r="CQ1075" s="5"/>
      <c r="CR1075" s="5"/>
      <c r="CS1075" s="5"/>
      <c r="CT1075" s="5"/>
      <c r="CU1075" s="5"/>
    </row>
    <row r="1076" spans="1:99">
      <c r="A1076" s="5"/>
      <c r="B1076" s="5"/>
      <c r="C1076" s="5"/>
      <c r="D1076" s="5"/>
      <c r="E1076" s="5"/>
      <c r="F1076" s="5"/>
      <c r="G1076" s="5"/>
      <c r="H1076" s="5"/>
      <c r="I1076" s="5"/>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c r="BT1076" s="5"/>
      <c r="BU1076" s="5"/>
      <c r="BV1076" s="5"/>
      <c r="BW1076" s="5"/>
      <c r="BX1076" s="5"/>
      <c r="BY1076" s="5"/>
      <c r="BZ1076" s="5"/>
      <c r="CA1076" s="5"/>
      <c r="CB1076" s="5"/>
      <c r="CC1076" s="5"/>
      <c r="CD1076" s="5"/>
      <c r="CE1076" s="5"/>
      <c r="CF1076" s="5"/>
      <c r="CG1076" s="5"/>
      <c r="CH1076" s="5"/>
      <c r="CI1076" s="5"/>
      <c r="CJ1076" s="5"/>
      <c r="CK1076" s="5"/>
      <c r="CL1076" s="5"/>
      <c r="CM1076" s="5"/>
      <c r="CN1076" s="5"/>
      <c r="CO1076" s="5"/>
      <c r="CP1076" s="5"/>
      <c r="CQ1076" s="5"/>
      <c r="CR1076" s="5"/>
      <c r="CS1076" s="5"/>
      <c r="CT1076" s="5"/>
      <c r="CU1076" s="5"/>
    </row>
    <row r="1077" spans="1:99">
      <c r="A1077" s="5"/>
      <c r="B1077" s="5"/>
      <c r="C1077" s="5"/>
      <c r="D1077" s="5"/>
      <c r="E1077" s="5"/>
      <c r="F1077" s="5"/>
      <c r="G1077" s="5"/>
      <c r="H1077" s="5"/>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c r="BT1077" s="5"/>
      <c r="BU1077" s="5"/>
      <c r="BV1077" s="5"/>
      <c r="BW1077" s="5"/>
      <c r="BX1077" s="5"/>
      <c r="BY1077" s="5"/>
      <c r="BZ1077" s="5"/>
      <c r="CA1077" s="5"/>
      <c r="CB1077" s="5"/>
      <c r="CC1077" s="5"/>
      <c r="CD1077" s="5"/>
      <c r="CE1077" s="5"/>
      <c r="CF1077" s="5"/>
      <c r="CG1077" s="5"/>
      <c r="CH1077" s="5"/>
      <c r="CI1077" s="5"/>
      <c r="CJ1077" s="5"/>
      <c r="CK1077" s="5"/>
      <c r="CL1077" s="5"/>
      <c r="CM1077" s="5"/>
      <c r="CN1077" s="5"/>
      <c r="CO1077" s="5"/>
      <c r="CP1077" s="5"/>
      <c r="CQ1077" s="5"/>
      <c r="CR1077" s="5"/>
      <c r="CS1077" s="5"/>
      <c r="CT1077" s="5"/>
      <c r="CU1077" s="5"/>
    </row>
    <row r="1078" spans="1:99">
      <c r="A1078" s="5"/>
      <c r="B1078" s="5"/>
      <c r="C1078" s="5"/>
      <c r="D1078" s="5"/>
      <c r="E1078" s="5"/>
      <c r="F1078" s="5"/>
      <c r="G1078" s="5"/>
      <c r="H1078" s="5"/>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c r="BT1078" s="5"/>
      <c r="BU1078" s="5"/>
      <c r="BV1078" s="5"/>
      <c r="BW1078" s="5"/>
      <c r="BX1078" s="5"/>
      <c r="BY1078" s="5"/>
      <c r="BZ1078" s="5"/>
      <c r="CA1078" s="5"/>
      <c r="CB1078" s="5"/>
      <c r="CC1078" s="5"/>
      <c r="CD1078" s="5"/>
      <c r="CE1078" s="5"/>
      <c r="CF1078" s="5"/>
      <c r="CG1078" s="5"/>
      <c r="CH1078" s="5"/>
      <c r="CI1078" s="5"/>
      <c r="CJ1078" s="5"/>
      <c r="CK1078" s="5"/>
      <c r="CL1078" s="5"/>
      <c r="CM1078" s="5"/>
      <c r="CN1078" s="5"/>
      <c r="CO1078" s="5"/>
      <c r="CP1078" s="5"/>
      <c r="CQ1078" s="5"/>
      <c r="CR1078" s="5"/>
      <c r="CS1078" s="5"/>
      <c r="CT1078" s="5"/>
      <c r="CU1078" s="5"/>
    </row>
    <row r="1079" spans="1:99">
      <c r="A1079" s="5"/>
      <c r="B1079" s="5"/>
      <c r="C1079" s="5"/>
      <c r="D1079" s="5"/>
      <c r="E1079" s="5"/>
      <c r="F1079" s="5"/>
      <c r="G1079" s="5"/>
      <c r="H1079" s="5"/>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c r="BT1079" s="5"/>
      <c r="BU1079" s="5"/>
      <c r="BV1079" s="5"/>
      <c r="BW1079" s="5"/>
      <c r="BX1079" s="5"/>
      <c r="BY1079" s="5"/>
      <c r="BZ1079" s="5"/>
      <c r="CA1079" s="5"/>
      <c r="CB1079" s="5"/>
      <c r="CC1079" s="5"/>
      <c r="CD1079" s="5"/>
      <c r="CE1079" s="5"/>
      <c r="CF1079" s="5"/>
      <c r="CG1079" s="5"/>
      <c r="CH1079" s="5"/>
      <c r="CI1079" s="5"/>
      <c r="CJ1079" s="5"/>
      <c r="CK1079" s="5"/>
      <c r="CL1079" s="5"/>
      <c r="CM1079" s="5"/>
      <c r="CN1079" s="5"/>
      <c r="CO1079" s="5"/>
      <c r="CP1079" s="5"/>
      <c r="CQ1079" s="5"/>
      <c r="CR1079" s="5"/>
      <c r="CS1079" s="5"/>
      <c r="CT1079" s="5"/>
      <c r="CU1079" s="5"/>
    </row>
    <row r="1080" spans="1:99">
      <c r="A1080" s="5"/>
      <c r="B1080" s="5"/>
      <c r="C1080" s="5"/>
      <c r="D1080" s="5"/>
      <c r="E1080" s="5"/>
      <c r="F1080" s="5"/>
      <c r="G1080" s="5"/>
      <c r="H1080" s="5"/>
      <c r="I1080" s="5"/>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c r="BT1080" s="5"/>
      <c r="BU1080" s="5"/>
      <c r="BV1080" s="5"/>
      <c r="BW1080" s="5"/>
      <c r="BX1080" s="5"/>
      <c r="BY1080" s="5"/>
      <c r="BZ1080" s="5"/>
      <c r="CA1080" s="5"/>
      <c r="CB1080" s="5"/>
      <c r="CC1080" s="5"/>
      <c r="CD1080" s="5"/>
      <c r="CE1080" s="5"/>
      <c r="CF1080" s="5"/>
      <c r="CG1080" s="5"/>
      <c r="CH1080" s="5"/>
      <c r="CI1080" s="5"/>
      <c r="CJ1080" s="5"/>
      <c r="CK1080" s="5"/>
      <c r="CL1080" s="5"/>
      <c r="CM1080" s="5"/>
      <c r="CN1080" s="5"/>
      <c r="CO1080" s="5"/>
      <c r="CP1080" s="5"/>
      <c r="CQ1080" s="5"/>
      <c r="CR1080" s="5"/>
      <c r="CS1080" s="5"/>
      <c r="CT1080" s="5"/>
      <c r="CU1080" s="5"/>
    </row>
    <row r="1081" spans="1:99">
      <c r="A1081" s="5"/>
      <c r="B1081" s="5"/>
      <c r="C1081" s="5"/>
      <c r="D1081" s="5"/>
      <c r="E1081" s="5"/>
      <c r="F1081" s="5"/>
      <c r="G1081" s="5"/>
      <c r="H1081" s="5"/>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c r="BT1081" s="5"/>
      <c r="BU1081" s="5"/>
      <c r="BV1081" s="5"/>
      <c r="BW1081" s="5"/>
      <c r="BX1081" s="5"/>
      <c r="BY1081" s="5"/>
      <c r="BZ1081" s="5"/>
      <c r="CA1081" s="5"/>
      <c r="CB1081" s="5"/>
      <c r="CC1081" s="5"/>
      <c r="CD1081" s="5"/>
      <c r="CE1081" s="5"/>
      <c r="CF1081" s="5"/>
      <c r="CG1081" s="5"/>
      <c r="CH1081" s="5"/>
      <c r="CI1081" s="5"/>
      <c r="CJ1081" s="5"/>
      <c r="CK1081" s="5"/>
      <c r="CL1081" s="5"/>
      <c r="CM1081" s="5"/>
      <c r="CN1081" s="5"/>
      <c r="CO1081" s="5"/>
      <c r="CP1081" s="5"/>
      <c r="CQ1081" s="5"/>
      <c r="CR1081" s="5"/>
      <c r="CS1081" s="5"/>
      <c r="CT1081" s="5"/>
      <c r="CU1081" s="5"/>
    </row>
    <row r="1082" spans="1:99">
      <c r="A1082" s="5"/>
      <c r="B1082" s="5"/>
      <c r="C1082" s="5"/>
      <c r="D1082" s="5"/>
      <c r="E1082" s="5"/>
      <c r="F1082" s="5"/>
      <c r="G1082" s="5"/>
      <c r="H1082" s="5"/>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c r="BF1082" s="5"/>
      <c r="BG1082" s="5"/>
      <c r="BH1082" s="5"/>
      <c r="BI1082" s="5"/>
      <c r="BJ1082" s="5"/>
      <c r="BK1082" s="5"/>
      <c r="BL1082" s="5"/>
      <c r="BM1082" s="5"/>
      <c r="BN1082" s="5"/>
      <c r="BO1082" s="5"/>
      <c r="BP1082" s="5"/>
      <c r="BQ1082" s="5"/>
      <c r="BR1082" s="5"/>
      <c r="BS1082" s="5"/>
      <c r="BT1082" s="5"/>
      <c r="BU1082" s="5"/>
      <c r="BV1082" s="5"/>
      <c r="BW1082" s="5"/>
      <c r="BX1082" s="5"/>
      <c r="BY1082" s="5"/>
      <c r="BZ1082" s="5"/>
      <c r="CA1082" s="5"/>
      <c r="CB1082" s="5"/>
      <c r="CC1082" s="5"/>
      <c r="CD1082" s="5"/>
      <c r="CE1082" s="5"/>
      <c r="CF1082" s="5"/>
      <c r="CG1082" s="5"/>
      <c r="CH1082" s="5"/>
      <c r="CI1082" s="5"/>
      <c r="CJ1082" s="5"/>
      <c r="CK1082" s="5"/>
      <c r="CL1082" s="5"/>
      <c r="CM1082" s="5"/>
      <c r="CN1082" s="5"/>
      <c r="CO1082" s="5"/>
      <c r="CP1082" s="5"/>
      <c r="CQ1082" s="5"/>
      <c r="CR1082" s="5"/>
      <c r="CS1082" s="5"/>
      <c r="CT1082" s="5"/>
      <c r="CU1082" s="5"/>
    </row>
    <row r="1083" spans="1:99">
      <c r="A1083" s="5"/>
      <c r="B1083" s="5"/>
      <c r="C1083" s="5"/>
      <c r="D1083" s="5"/>
      <c r="E1083" s="5"/>
      <c r="F1083" s="5"/>
      <c r="G1083" s="5"/>
      <c r="H1083" s="5"/>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c r="BT1083" s="5"/>
      <c r="BU1083" s="5"/>
      <c r="BV1083" s="5"/>
      <c r="BW1083" s="5"/>
      <c r="BX1083" s="5"/>
      <c r="BY1083" s="5"/>
      <c r="BZ1083" s="5"/>
      <c r="CA1083" s="5"/>
      <c r="CB1083" s="5"/>
      <c r="CC1083" s="5"/>
      <c r="CD1083" s="5"/>
      <c r="CE1083" s="5"/>
      <c r="CF1083" s="5"/>
      <c r="CG1083" s="5"/>
      <c r="CH1083" s="5"/>
      <c r="CI1083" s="5"/>
      <c r="CJ1083" s="5"/>
      <c r="CK1083" s="5"/>
      <c r="CL1083" s="5"/>
      <c r="CM1083" s="5"/>
      <c r="CN1083" s="5"/>
      <c r="CO1083" s="5"/>
      <c r="CP1083" s="5"/>
      <c r="CQ1083" s="5"/>
      <c r="CR1083" s="5"/>
      <c r="CS1083" s="5"/>
      <c r="CT1083" s="5"/>
      <c r="CU1083" s="5"/>
    </row>
    <row r="1084" spans="1:99">
      <c r="A1084" s="5"/>
      <c r="B1084" s="5"/>
      <c r="C1084" s="5"/>
      <c r="D1084" s="5"/>
      <c r="E1084" s="5"/>
      <c r="F1084" s="5"/>
      <c r="G1084" s="5"/>
      <c r="H1084" s="5"/>
      <c r="I1084" s="5"/>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c r="BT1084" s="5"/>
      <c r="BU1084" s="5"/>
      <c r="BV1084" s="5"/>
      <c r="BW1084" s="5"/>
      <c r="BX1084" s="5"/>
      <c r="BY1084" s="5"/>
      <c r="BZ1084" s="5"/>
      <c r="CA1084" s="5"/>
      <c r="CB1084" s="5"/>
      <c r="CC1084" s="5"/>
      <c r="CD1084" s="5"/>
      <c r="CE1084" s="5"/>
      <c r="CF1084" s="5"/>
      <c r="CG1084" s="5"/>
      <c r="CH1084" s="5"/>
      <c r="CI1084" s="5"/>
      <c r="CJ1084" s="5"/>
      <c r="CK1084" s="5"/>
      <c r="CL1084" s="5"/>
      <c r="CM1084" s="5"/>
      <c r="CN1084" s="5"/>
      <c r="CO1084" s="5"/>
      <c r="CP1084" s="5"/>
      <c r="CQ1084" s="5"/>
      <c r="CR1084" s="5"/>
      <c r="CS1084" s="5"/>
      <c r="CT1084" s="5"/>
      <c r="CU1084" s="5"/>
    </row>
    <row r="1085" spans="1:99">
      <c r="A1085" s="5"/>
      <c r="B1085" s="5"/>
      <c r="C1085" s="5"/>
      <c r="D1085" s="5"/>
      <c r="E1085" s="5"/>
      <c r="F1085" s="5"/>
      <c r="G1085" s="5"/>
      <c r="H1085" s="5"/>
      <c r="I1085" s="5"/>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c r="BT1085" s="5"/>
      <c r="BU1085" s="5"/>
      <c r="BV1085" s="5"/>
      <c r="BW1085" s="5"/>
      <c r="BX1085" s="5"/>
      <c r="BY1085" s="5"/>
      <c r="BZ1085" s="5"/>
      <c r="CA1085" s="5"/>
      <c r="CB1085" s="5"/>
      <c r="CC1085" s="5"/>
      <c r="CD1085" s="5"/>
      <c r="CE1085" s="5"/>
      <c r="CF1085" s="5"/>
      <c r="CG1085" s="5"/>
      <c r="CH1085" s="5"/>
      <c r="CI1085" s="5"/>
      <c r="CJ1085" s="5"/>
      <c r="CK1085" s="5"/>
      <c r="CL1085" s="5"/>
      <c r="CM1085" s="5"/>
      <c r="CN1085" s="5"/>
      <c r="CO1085" s="5"/>
      <c r="CP1085" s="5"/>
      <c r="CQ1085" s="5"/>
      <c r="CR1085" s="5"/>
      <c r="CS1085" s="5"/>
      <c r="CT1085" s="5"/>
      <c r="CU1085" s="5"/>
    </row>
    <row r="1086" spans="1:99">
      <c r="A1086" s="107"/>
      <c r="B1086" s="107"/>
      <c r="C1086" s="107"/>
      <c r="D1086" s="107"/>
      <c r="E1086" s="107"/>
      <c r="F1086" s="107"/>
      <c r="G1086" s="107"/>
      <c r="H1086" s="107"/>
      <c r="I1086" s="107"/>
      <c r="J1086" s="107"/>
      <c r="K1086" s="107"/>
      <c r="L1086" s="107"/>
      <c r="M1086" s="107"/>
      <c r="N1086" s="107"/>
      <c r="O1086" s="107"/>
      <c r="P1086" s="107"/>
      <c r="Q1086" s="107"/>
      <c r="R1086" s="107"/>
      <c r="S1086" s="107"/>
      <c r="T1086" s="107"/>
      <c r="U1086" s="107"/>
      <c r="V1086" s="107"/>
      <c r="W1086" s="107"/>
      <c r="X1086" s="107"/>
      <c r="Y1086" s="107"/>
      <c r="Z1086" s="107"/>
      <c r="AA1086" s="107"/>
      <c r="AB1086" s="107"/>
      <c r="AC1086" s="107"/>
      <c r="AD1086" s="107"/>
      <c r="AE1086" s="107"/>
      <c r="AF1086" s="107"/>
      <c r="AG1086" s="107"/>
      <c r="AH1086" s="107"/>
      <c r="AI1086" s="107"/>
      <c r="AJ1086" s="107"/>
      <c r="AK1086" s="107"/>
      <c r="AL1086" s="107"/>
      <c r="AM1086" s="107"/>
      <c r="AN1086" s="107"/>
      <c r="AO1086" s="107"/>
      <c r="AP1086" s="107"/>
      <c r="AQ1086" s="107"/>
      <c r="AR1086" s="107"/>
      <c r="AS1086" s="107"/>
      <c r="AT1086" s="107"/>
      <c r="AU1086" s="107"/>
      <c r="AV1086" s="107"/>
      <c r="AW1086" s="107"/>
      <c r="AX1086" s="107"/>
      <c r="AY1086" s="107"/>
      <c r="AZ1086" s="107"/>
      <c r="BA1086" s="107"/>
      <c r="BB1086" s="107"/>
      <c r="BC1086" s="107"/>
      <c r="BD1086" s="107"/>
      <c r="BE1086" s="107"/>
      <c r="BF1086" s="107"/>
      <c r="BG1086" s="107"/>
      <c r="BH1086" s="107"/>
      <c r="BI1086" s="107"/>
      <c r="BJ1086" s="107"/>
      <c r="BK1086" s="107"/>
      <c r="BL1086" s="107"/>
      <c r="BM1086" s="107"/>
      <c r="BN1086" s="107"/>
      <c r="BO1086" s="107"/>
      <c r="BP1086" s="107"/>
      <c r="BQ1086" s="107"/>
      <c r="BR1086" s="107"/>
      <c r="BS1086" s="107"/>
      <c r="BT1086" s="107"/>
      <c r="BU1086" s="107"/>
      <c r="BV1086" s="107"/>
      <c r="BW1086" s="107"/>
      <c r="BX1086" s="107"/>
      <c r="BY1086" s="107"/>
      <c r="BZ1086" s="107"/>
      <c r="CA1086" s="107"/>
      <c r="CB1086" s="107"/>
      <c r="CC1086" s="107"/>
      <c r="CD1086" s="107"/>
      <c r="CE1086" s="107"/>
      <c r="CF1086" s="107"/>
      <c r="CG1086" s="107"/>
      <c r="CH1086" s="107"/>
      <c r="CI1086" s="107"/>
      <c r="CJ1086" s="107"/>
      <c r="CK1086" s="107"/>
      <c r="CL1086" s="107"/>
      <c r="CM1086" s="107"/>
      <c r="CN1086" s="107"/>
      <c r="CO1086" s="107"/>
      <c r="CP1086" s="107"/>
      <c r="CQ1086" s="107"/>
      <c r="CR1086" s="107"/>
      <c r="CS1086" s="107"/>
      <c r="CT1086" s="107"/>
      <c r="CU1086" s="107"/>
    </row>
    <row r="1087" spans="1:99">
      <c r="A1087" s="5"/>
      <c r="B1087" s="5"/>
      <c r="C1087" s="5"/>
      <c r="D1087" s="5"/>
      <c r="E1087" s="5"/>
      <c r="F1087" s="5"/>
      <c r="G1087" s="5"/>
      <c r="H1087" s="5"/>
      <c r="I1087" s="5"/>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c r="BT1087" s="5"/>
      <c r="BU1087" s="5"/>
      <c r="BV1087" s="5"/>
      <c r="BW1087" s="5"/>
      <c r="BX1087" s="5"/>
      <c r="BY1087" s="5"/>
      <c r="BZ1087" s="5"/>
      <c r="CA1087" s="5"/>
      <c r="CB1087" s="5"/>
      <c r="CC1087" s="5"/>
      <c r="CD1087" s="5"/>
      <c r="CE1087" s="5"/>
      <c r="CF1087" s="5"/>
      <c r="CG1087" s="5"/>
      <c r="CH1087" s="5"/>
      <c r="CI1087" s="5"/>
      <c r="CJ1087" s="5"/>
      <c r="CK1087" s="5"/>
      <c r="CL1087" s="5"/>
      <c r="CM1087" s="5"/>
      <c r="CN1087" s="5"/>
      <c r="CO1087" s="5"/>
      <c r="CP1087" s="5"/>
      <c r="CQ1087" s="5"/>
      <c r="CR1087" s="5"/>
      <c r="CS1087" s="5"/>
      <c r="CT1087" s="5"/>
      <c r="CU1087" s="5"/>
    </row>
    <row r="1088" spans="1:99">
      <c r="A1088" s="5"/>
      <c r="B1088" s="5"/>
      <c r="C1088" s="5"/>
      <c r="D1088" s="5"/>
      <c r="E1088" s="5"/>
      <c r="F1088" s="5"/>
      <c r="G1088" s="5"/>
      <c r="H1088" s="5"/>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c r="BT1088" s="5"/>
      <c r="BU1088" s="5"/>
      <c r="BV1088" s="5"/>
      <c r="BW1088" s="5"/>
      <c r="BX1088" s="5"/>
      <c r="BY1088" s="5"/>
      <c r="BZ1088" s="5"/>
      <c r="CA1088" s="5"/>
      <c r="CB1088" s="5"/>
      <c r="CC1088" s="5"/>
      <c r="CD1088" s="5"/>
      <c r="CE1088" s="5"/>
      <c r="CF1088" s="5"/>
      <c r="CG1088" s="5"/>
      <c r="CH1088" s="5"/>
      <c r="CI1088" s="5"/>
      <c r="CJ1088" s="5"/>
      <c r="CK1088" s="5"/>
      <c r="CL1088" s="5"/>
      <c r="CM1088" s="5"/>
      <c r="CN1088" s="5"/>
      <c r="CO1088" s="5"/>
      <c r="CP1088" s="5"/>
      <c r="CQ1088" s="5"/>
      <c r="CR1088" s="5"/>
      <c r="CS1088" s="5"/>
      <c r="CT1088" s="5"/>
      <c r="CU1088" s="5"/>
    </row>
    <row r="1089" spans="1:99">
      <c r="A1089" s="5"/>
      <c r="B1089" s="5"/>
      <c r="C1089" s="5"/>
      <c r="D1089" s="5"/>
      <c r="E1089" s="5"/>
      <c r="F1089" s="5"/>
      <c r="G1089" s="5"/>
      <c r="H1089" s="5"/>
      <c r="I1089" s="5"/>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c r="BT1089" s="5"/>
      <c r="BU1089" s="5"/>
      <c r="BV1089" s="5"/>
      <c r="BW1089" s="5"/>
      <c r="BX1089" s="5"/>
      <c r="BY1089" s="5"/>
      <c r="BZ1089" s="5"/>
      <c r="CA1089" s="5"/>
      <c r="CB1089" s="5"/>
      <c r="CC1089" s="5"/>
      <c r="CD1089" s="5"/>
      <c r="CE1089" s="5"/>
      <c r="CF1089" s="5"/>
      <c r="CG1089" s="5"/>
      <c r="CH1089" s="5"/>
      <c r="CI1089" s="5"/>
      <c r="CJ1089" s="5"/>
      <c r="CK1089" s="5"/>
      <c r="CL1089" s="5"/>
      <c r="CM1089" s="5"/>
      <c r="CN1089" s="5"/>
      <c r="CO1089" s="5"/>
      <c r="CP1089" s="5"/>
      <c r="CQ1089" s="5"/>
      <c r="CR1089" s="5"/>
      <c r="CS1089" s="5"/>
      <c r="CT1089" s="5"/>
      <c r="CU1089" s="5"/>
    </row>
    <row r="1090" spans="1:99">
      <c r="A1090" s="5"/>
      <c r="B1090" s="5"/>
      <c r="C1090" s="5"/>
      <c r="D1090" s="5"/>
      <c r="E1090" s="5"/>
      <c r="F1090" s="5"/>
      <c r="G1090" s="5"/>
      <c r="H1090" s="5"/>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c r="BT1090" s="5"/>
      <c r="BU1090" s="5"/>
      <c r="BV1090" s="5"/>
      <c r="BW1090" s="5"/>
      <c r="BX1090" s="5"/>
      <c r="BY1090" s="5"/>
      <c r="BZ1090" s="5"/>
      <c r="CA1090" s="5"/>
      <c r="CB1090" s="5"/>
      <c r="CC1090" s="5"/>
      <c r="CD1090" s="5"/>
      <c r="CE1090" s="5"/>
      <c r="CF1090" s="5"/>
      <c r="CG1090" s="5"/>
      <c r="CH1090" s="5"/>
      <c r="CI1090" s="5"/>
      <c r="CJ1090" s="5"/>
      <c r="CK1090" s="5"/>
      <c r="CL1090" s="5"/>
      <c r="CM1090" s="5"/>
      <c r="CN1090" s="5"/>
      <c r="CO1090" s="5"/>
      <c r="CP1090" s="5"/>
      <c r="CQ1090" s="5"/>
      <c r="CR1090" s="5"/>
      <c r="CS1090" s="5"/>
      <c r="CT1090" s="5"/>
      <c r="CU1090" s="5"/>
    </row>
    <row r="1091" spans="1:99">
      <c r="A1091" s="5"/>
      <c r="B1091" s="5"/>
      <c r="C1091" s="5"/>
      <c r="D1091" s="5"/>
      <c r="E1091" s="5"/>
      <c r="F1091" s="5"/>
      <c r="G1091" s="5"/>
      <c r="H1091" s="5"/>
      <c r="I1091" s="5"/>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c r="BT1091" s="5"/>
      <c r="BU1091" s="5"/>
      <c r="BV1091" s="5"/>
      <c r="BW1091" s="5"/>
      <c r="BX1091" s="5"/>
      <c r="BY1091" s="5"/>
      <c r="BZ1091" s="5"/>
      <c r="CA1091" s="5"/>
      <c r="CB1091" s="5"/>
      <c r="CC1091" s="5"/>
      <c r="CD1091" s="5"/>
      <c r="CE1091" s="5"/>
      <c r="CF1091" s="5"/>
      <c r="CG1091" s="5"/>
      <c r="CH1091" s="5"/>
      <c r="CI1091" s="5"/>
      <c r="CJ1091" s="5"/>
      <c r="CK1091" s="5"/>
      <c r="CL1091" s="5"/>
      <c r="CM1091" s="5"/>
      <c r="CN1091" s="5"/>
      <c r="CO1091" s="5"/>
      <c r="CP1091" s="5"/>
      <c r="CQ1091" s="5"/>
      <c r="CR1091" s="5"/>
      <c r="CS1091" s="5"/>
      <c r="CT1091" s="5"/>
      <c r="CU1091" s="5"/>
    </row>
    <row r="1092" spans="1:99">
      <c r="A1092" s="5"/>
      <c r="B1092" s="5"/>
      <c r="C1092" s="5"/>
      <c r="D1092" s="5"/>
      <c r="E1092" s="5"/>
      <c r="F1092" s="5"/>
      <c r="G1092" s="5"/>
      <c r="H1092" s="5"/>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c r="BT1092" s="5"/>
      <c r="BU1092" s="5"/>
      <c r="BV1092" s="5"/>
      <c r="BW1092" s="5"/>
      <c r="BX1092" s="5"/>
      <c r="BY1092" s="5"/>
      <c r="BZ1092" s="5"/>
      <c r="CA1092" s="5"/>
      <c r="CB1092" s="5"/>
      <c r="CC1092" s="5"/>
      <c r="CD1092" s="5"/>
      <c r="CE1092" s="5"/>
      <c r="CF1092" s="5"/>
      <c r="CG1092" s="5"/>
      <c r="CH1092" s="5"/>
      <c r="CI1092" s="5"/>
      <c r="CJ1092" s="5"/>
      <c r="CK1092" s="5"/>
      <c r="CL1092" s="5"/>
      <c r="CM1092" s="5"/>
      <c r="CN1092" s="5"/>
      <c r="CO1092" s="5"/>
      <c r="CP1092" s="5"/>
      <c r="CQ1092" s="5"/>
      <c r="CR1092" s="5"/>
      <c r="CS1092" s="5"/>
      <c r="CT1092" s="5"/>
      <c r="CU1092" s="5"/>
    </row>
    <row r="1093" spans="1:99">
      <c r="A1093" s="5"/>
      <c r="B1093" s="5"/>
      <c r="C1093" s="5"/>
      <c r="D1093" s="5"/>
      <c r="E1093" s="5"/>
      <c r="F1093" s="5"/>
      <c r="G1093" s="5"/>
      <c r="H1093" s="5"/>
      <c r="I1093" s="5"/>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c r="BT1093" s="5"/>
      <c r="BU1093" s="5"/>
      <c r="BV1093" s="5"/>
      <c r="BW1093" s="5"/>
      <c r="BX1093" s="5"/>
      <c r="BY1093" s="5"/>
      <c r="BZ1093" s="5"/>
      <c r="CA1093" s="5"/>
      <c r="CB1093" s="5"/>
      <c r="CC1093" s="5"/>
      <c r="CD1093" s="5"/>
      <c r="CE1093" s="5"/>
      <c r="CF1093" s="5"/>
      <c r="CG1093" s="5"/>
      <c r="CH1093" s="5"/>
      <c r="CI1093" s="5"/>
      <c r="CJ1093" s="5"/>
      <c r="CK1093" s="5"/>
      <c r="CL1093" s="5"/>
      <c r="CM1093" s="5"/>
      <c r="CN1093" s="5"/>
      <c r="CO1093" s="5"/>
      <c r="CP1093" s="5"/>
      <c r="CQ1093" s="5"/>
      <c r="CR1093" s="5"/>
      <c r="CS1093" s="5"/>
      <c r="CT1093" s="5"/>
      <c r="CU1093" s="5"/>
    </row>
    <row r="1094" spans="1:99">
      <c r="A1094" s="5"/>
      <c r="B1094" s="5"/>
      <c r="C1094" s="5"/>
      <c r="D1094" s="5"/>
      <c r="E1094" s="5"/>
      <c r="F1094" s="5"/>
      <c r="G1094" s="5"/>
      <c r="H1094" s="5"/>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c r="BT1094" s="5"/>
      <c r="BU1094" s="5"/>
      <c r="BV1094" s="5"/>
      <c r="BW1094" s="5"/>
      <c r="BX1094" s="5"/>
      <c r="BY1094" s="5"/>
      <c r="BZ1094" s="5"/>
      <c r="CA1094" s="5"/>
      <c r="CB1094" s="5"/>
      <c r="CC1094" s="5"/>
      <c r="CD1094" s="5"/>
      <c r="CE1094" s="5"/>
      <c r="CF1094" s="5"/>
      <c r="CG1094" s="5"/>
      <c r="CH1094" s="5"/>
      <c r="CI1094" s="5"/>
      <c r="CJ1094" s="5"/>
      <c r="CK1094" s="5"/>
      <c r="CL1094" s="5"/>
      <c r="CM1094" s="5"/>
      <c r="CN1094" s="5"/>
      <c r="CO1094" s="5"/>
      <c r="CP1094" s="5"/>
      <c r="CQ1094" s="5"/>
      <c r="CR1094" s="5"/>
      <c r="CS1094" s="5"/>
      <c r="CT1094" s="5"/>
      <c r="CU1094" s="5"/>
    </row>
    <row r="1095" spans="1:99">
      <c r="A1095" s="5"/>
      <c r="B1095" s="5"/>
      <c r="C1095" s="5"/>
      <c r="D1095" s="5"/>
      <c r="E1095" s="5"/>
      <c r="F1095" s="5"/>
      <c r="G1095" s="5"/>
      <c r="H1095" s="5"/>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c r="BT1095" s="5"/>
      <c r="BU1095" s="5"/>
      <c r="BV1095" s="5"/>
      <c r="BW1095" s="5"/>
      <c r="BX1095" s="5"/>
      <c r="BY1095" s="5"/>
      <c r="BZ1095" s="5"/>
      <c r="CA1095" s="5"/>
      <c r="CB1095" s="5"/>
      <c r="CC1095" s="5"/>
      <c r="CD1095" s="5"/>
      <c r="CE1095" s="5"/>
      <c r="CF1095" s="5"/>
      <c r="CG1095" s="5"/>
      <c r="CH1095" s="5"/>
      <c r="CI1095" s="5"/>
      <c r="CJ1095" s="5"/>
      <c r="CK1095" s="5"/>
      <c r="CL1095" s="5"/>
      <c r="CM1095" s="5"/>
      <c r="CN1095" s="5"/>
      <c r="CO1095" s="5"/>
      <c r="CP1095" s="5"/>
      <c r="CQ1095" s="5"/>
      <c r="CR1095" s="5"/>
      <c r="CS1095" s="5"/>
      <c r="CT1095" s="5"/>
      <c r="CU1095" s="5"/>
    </row>
    <row r="1096" spans="1:99">
      <c r="A1096" s="5"/>
      <c r="B1096" s="5"/>
      <c r="C1096" s="5"/>
      <c r="D1096" s="5"/>
      <c r="E1096" s="5"/>
      <c r="F1096" s="5"/>
      <c r="G1096" s="5"/>
      <c r="H1096" s="5"/>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c r="BT1096" s="5"/>
      <c r="BU1096" s="5"/>
      <c r="BV1096" s="5"/>
      <c r="BW1096" s="5"/>
      <c r="BX1096" s="5"/>
      <c r="BY1096" s="5"/>
      <c r="BZ1096" s="5"/>
      <c r="CA1096" s="5"/>
      <c r="CB1096" s="5"/>
      <c r="CC1096" s="5"/>
      <c r="CD1096" s="5"/>
      <c r="CE1096" s="5"/>
      <c r="CF1096" s="5"/>
      <c r="CG1096" s="5"/>
      <c r="CH1096" s="5"/>
      <c r="CI1096" s="5"/>
      <c r="CJ1096" s="5"/>
      <c r="CK1096" s="5"/>
      <c r="CL1096" s="5"/>
      <c r="CM1096" s="5"/>
      <c r="CN1096" s="5"/>
      <c r="CO1096" s="5"/>
      <c r="CP1096" s="5"/>
      <c r="CQ1096" s="5"/>
      <c r="CR1096" s="5"/>
      <c r="CS1096" s="5"/>
      <c r="CT1096" s="5"/>
      <c r="CU1096" s="5"/>
    </row>
    <row r="1097" spans="1:99">
      <c r="A1097" s="5"/>
      <c r="B1097" s="5"/>
      <c r="C1097" s="5"/>
      <c r="D1097" s="5"/>
      <c r="E1097" s="5"/>
      <c r="F1097" s="5"/>
      <c r="G1097" s="5"/>
      <c r="H1097" s="5"/>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c r="BT1097" s="5"/>
      <c r="BU1097" s="5"/>
      <c r="BV1097" s="5"/>
      <c r="BW1097" s="5"/>
      <c r="BX1097" s="5"/>
      <c r="BY1097" s="5"/>
      <c r="BZ1097" s="5"/>
      <c r="CA1097" s="5"/>
      <c r="CB1097" s="5"/>
      <c r="CC1097" s="5"/>
      <c r="CD1097" s="5"/>
      <c r="CE1097" s="5"/>
      <c r="CF1097" s="5"/>
      <c r="CG1097" s="5"/>
      <c r="CH1097" s="5"/>
      <c r="CI1097" s="5"/>
      <c r="CJ1097" s="5"/>
      <c r="CK1097" s="5"/>
      <c r="CL1097" s="5"/>
      <c r="CM1097" s="5"/>
      <c r="CN1097" s="5"/>
      <c r="CO1097" s="5"/>
      <c r="CP1097" s="5"/>
      <c r="CQ1097" s="5"/>
      <c r="CR1097" s="5"/>
      <c r="CS1097" s="5"/>
      <c r="CT1097" s="5"/>
      <c r="CU1097" s="5"/>
    </row>
    <row r="1098" spans="1:99">
      <c r="A1098" s="5"/>
      <c r="B1098" s="5"/>
      <c r="C1098" s="5"/>
      <c r="D1098" s="5"/>
      <c r="E1098" s="5"/>
      <c r="F1098" s="5"/>
      <c r="G1098" s="5"/>
      <c r="H1098" s="5"/>
      <c r="I1098" s="5"/>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c r="BT1098" s="5"/>
      <c r="BU1098" s="5"/>
      <c r="BV1098" s="5"/>
      <c r="BW1098" s="5"/>
      <c r="BX1098" s="5"/>
      <c r="BY1098" s="5"/>
      <c r="BZ1098" s="5"/>
      <c r="CA1098" s="5"/>
      <c r="CB1098" s="5"/>
      <c r="CC1098" s="5"/>
      <c r="CD1098" s="5"/>
      <c r="CE1098" s="5"/>
      <c r="CF1098" s="5"/>
      <c r="CG1098" s="5"/>
      <c r="CH1098" s="5"/>
      <c r="CI1098" s="5"/>
      <c r="CJ1098" s="5"/>
      <c r="CK1098" s="5"/>
      <c r="CL1098" s="5"/>
      <c r="CM1098" s="5"/>
      <c r="CN1098" s="5"/>
      <c r="CO1098" s="5"/>
      <c r="CP1098" s="5"/>
      <c r="CQ1098" s="5"/>
      <c r="CR1098" s="5"/>
      <c r="CS1098" s="5"/>
      <c r="CT1098" s="5"/>
      <c r="CU1098" s="5"/>
    </row>
    <row r="1099" spans="1:99">
      <c r="A1099" s="5"/>
      <c r="B1099" s="5"/>
      <c r="C1099" s="5"/>
      <c r="D1099" s="5"/>
      <c r="E1099" s="5"/>
      <c r="F1099" s="5"/>
      <c r="G1099" s="5"/>
      <c r="H1099" s="5"/>
      <c r="I1099" s="5"/>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c r="BT1099" s="5"/>
      <c r="BU1099" s="5"/>
      <c r="BV1099" s="5"/>
      <c r="BW1099" s="5"/>
      <c r="BX1099" s="5"/>
      <c r="BY1099" s="5"/>
      <c r="BZ1099" s="5"/>
      <c r="CA1099" s="5"/>
      <c r="CB1099" s="5"/>
      <c r="CC1099" s="5"/>
      <c r="CD1099" s="5"/>
      <c r="CE1099" s="5"/>
      <c r="CF1099" s="5"/>
      <c r="CG1099" s="5"/>
      <c r="CH1099" s="5"/>
      <c r="CI1099" s="5"/>
      <c r="CJ1099" s="5"/>
      <c r="CK1099" s="5"/>
      <c r="CL1099" s="5"/>
      <c r="CM1099" s="5"/>
      <c r="CN1099" s="5"/>
      <c r="CO1099" s="5"/>
      <c r="CP1099" s="5"/>
      <c r="CQ1099" s="5"/>
      <c r="CR1099" s="5"/>
      <c r="CS1099" s="5"/>
      <c r="CT1099" s="5"/>
      <c r="CU1099" s="5"/>
    </row>
    <row r="1100" spans="1:99">
      <c r="A1100" s="5"/>
      <c r="B1100" s="5"/>
      <c r="C1100" s="5"/>
      <c r="D1100" s="5"/>
      <c r="E1100" s="5"/>
      <c r="F1100" s="5"/>
      <c r="G1100" s="5"/>
      <c r="H1100" s="5"/>
      <c r="I1100" s="5"/>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c r="BT1100" s="5"/>
      <c r="BU1100" s="5"/>
      <c r="BV1100" s="5"/>
      <c r="BW1100" s="5"/>
      <c r="BX1100" s="5"/>
      <c r="BY1100" s="5"/>
      <c r="BZ1100" s="5"/>
      <c r="CA1100" s="5"/>
      <c r="CB1100" s="5"/>
      <c r="CC1100" s="5"/>
      <c r="CD1100" s="5"/>
      <c r="CE1100" s="5"/>
      <c r="CF1100" s="5"/>
      <c r="CG1100" s="5"/>
      <c r="CH1100" s="5"/>
      <c r="CI1100" s="5"/>
      <c r="CJ1100" s="5"/>
      <c r="CK1100" s="5"/>
      <c r="CL1100" s="5"/>
      <c r="CM1100" s="5"/>
      <c r="CN1100" s="5"/>
      <c r="CO1100" s="5"/>
      <c r="CP1100" s="5"/>
      <c r="CQ1100" s="5"/>
      <c r="CR1100" s="5"/>
      <c r="CS1100" s="5"/>
      <c r="CT1100" s="5"/>
      <c r="CU1100" s="5"/>
    </row>
    <row r="1101" spans="1:99">
      <c r="A1101" s="5"/>
      <c r="B1101" s="5"/>
      <c r="C1101" s="5"/>
      <c r="D1101" s="5"/>
      <c r="E1101" s="5"/>
      <c r="F1101" s="5"/>
      <c r="G1101" s="5"/>
      <c r="H1101" s="5"/>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c r="BT1101" s="5"/>
      <c r="BU1101" s="5"/>
      <c r="BV1101" s="5"/>
      <c r="BW1101" s="5"/>
      <c r="BX1101" s="5"/>
      <c r="BY1101" s="5"/>
      <c r="BZ1101" s="5"/>
      <c r="CA1101" s="5"/>
      <c r="CB1101" s="5"/>
      <c r="CC1101" s="5"/>
      <c r="CD1101" s="5"/>
      <c r="CE1101" s="5"/>
      <c r="CF1101" s="5"/>
      <c r="CG1101" s="5"/>
      <c r="CH1101" s="5"/>
      <c r="CI1101" s="5"/>
      <c r="CJ1101" s="5"/>
      <c r="CK1101" s="5"/>
      <c r="CL1101" s="5"/>
      <c r="CM1101" s="5"/>
      <c r="CN1101" s="5"/>
      <c r="CO1101" s="5"/>
      <c r="CP1101" s="5"/>
      <c r="CQ1101" s="5"/>
      <c r="CR1101" s="5"/>
      <c r="CS1101" s="5"/>
      <c r="CT1101" s="5"/>
      <c r="CU1101" s="5"/>
    </row>
    <row r="1102" spans="1:99">
      <c r="A1102" s="5"/>
      <c r="B1102" s="5"/>
      <c r="C1102" s="5"/>
      <c r="D1102" s="5"/>
      <c r="E1102" s="5"/>
      <c r="F1102" s="5"/>
      <c r="G1102" s="5"/>
      <c r="H1102" s="5"/>
      <c r="I1102" s="5"/>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c r="BT1102" s="5"/>
      <c r="BU1102" s="5"/>
      <c r="BV1102" s="5"/>
      <c r="BW1102" s="5"/>
      <c r="BX1102" s="5"/>
      <c r="BY1102" s="5"/>
      <c r="BZ1102" s="5"/>
      <c r="CA1102" s="5"/>
      <c r="CB1102" s="5"/>
      <c r="CC1102" s="5"/>
      <c r="CD1102" s="5"/>
      <c r="CE1102" s="5"/>
      <c r="CF1102" s="5"/>
      <c r="CG1102" s="5"/>
      <c r="CH1102" s="5"/>
      <c r="CI1102" s="5"/>
      <c r="CJ1102" s="5"/>
      <c r="CK1102" s="5"/>
      <c r="CL1102" s="5"/>
      <c r="CM1102" s="5"/>
      <c r="CN1102" s="5"/>
      <c r="CO1102" s="5"/>
      <c r="CP1102" s="5"/>
      <c r="CQ1102" s="5"/>
      <c r="CR1102" s="5"/>
      <c r="CS1102" s="5"/>
      <c r="CT1102" s="5"/>
      <c r="CU1102" s="5"/>
    </row>
    <row r="1103" spans="1:99">
      <c r="A1103" s="5"/>
      <c r="B1103" s="5"/>
      <c r="C1103" s="5"/>
      <c r="D1103" s="5"/>
      <c r="E1103" s="5"/>
      <c r="F1103" s="5"/>
      <c r="G1103" s="5"/>
      <c r="H1103" s="5"/>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c r="BT1103" s="5"/>
      <c r="BU1103" s="5"/>
      <c r="BV1103" s="5"/>
      <c r="BW1103" s="5"/>
      <c r="BX1103" s="5"/>
      <c r="BY1103" s="5"/>
      <c r="BZ1103" s="5"/>
      <c r="CA1103" s="5"/>
      <c r="CB1103" s="5"/>
      <c r="CC1103" s="5"/>
      <c r="CD1103" s="5"/>
      <c r="CE1103" s="5"/>
      <c r="CF1103" s="5"/>
      <c r="CG1103" s="5"/>
      <c r="CH1103" s="5"/>
      <c r="CI1103" s="5"/>
      <c r="CJ1103" s="5"/>
      <c r="CK1103" s="5"/>
      <c r="CL1103" s="5"/>
      <c r="CM1103" s="5"/>
      <c r="CN1103" s="5"/>
      <c r="CO1103" s="5"/>
      <c r="CP1103" s="5"/>
      <c r="CQ1103" s="5"/>
      <c r="CR1103" s="5"/>
      <c r="CS1103" s="5"/>
      <c r="CT1103" s="5"/>
      <c r="CU1103" s="5"/>
    </row>
    <row r="1104" spans="1:99">
      <c r="A1104" s="5"/>
      <c r="B1104" s="5"/>
      <c r="C1104" s="5"/>
      <c r="D1104" s="5"/>
      <c r="E1104" s="5"/>
      <c r="F1104" s="5"/>
      <c r="G1104" s="5"/>
      <c r="H1104" s="5"/>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c r="BT1104" s="5"/>
      <c r="BU1104" s="5"/>
      <c r="BV1104" s="5"/>
      <c r="BW1104" s="5"/>
      <c r="BX1104" s="5"/>
      <c r="BY1104" s="5"/>
      <c r="BZ1104" s="5"/>
      <c r="CA1104" s="5"/>
      <c r="CB1104" s="5"/>
      <c r="CC1104" s="5"/>
      <c r="CD1104" s="5"/>
      <c r="CE1104" s="5"/>
      <c r="CF1104" s="5"/>
      <c r="CG1104" s="5"/>
      <c r="CH1104" s="5"/>
      <c r="CI1104" s="5"/>
      <c r="CJ1104" s="5"/>
      <c r="CK1104" s="5"/>
      <c r="CL1104" s="5"/>
      <c r="CM1104" s="5"/>
      <c r="CN1104" s="5"/>
      <c r="CO1104" s="5"/>
      <c r="CP1104" s="5"/>
      <c r="CQ1104" s="5"/>
      <c r="CR1104" s="5"/>
      <c r="CS1104" s="5"/>
      <c r="CT1104" s="5"/>
      <c r="CU1104" s="5"/>
    </row>
    <row r="1105" spans="1:99">
      <c r="A1105" s="5"/>
      <c r="B1105" s="5"/>
      <c r="C1105" s="5"/>
      <c r="D1105" s="5"/>
      <c r="E1105" s="5"/>
      <c r="F1105" s="5"/>
      <c r="G1105" s="5"/>
      <c r="H1105" s="5"/>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c r="BT1105" s="5"/>
      <c r="BU1105" s="5"/>
      <c r="BV1105" s="5"/>
      <c r="BW1105" s="5"/>
      <c r="BX1105" s="5"/>
      <c r="BY1105" s="5"/>
      <c r="BZ1105" s="5"/>
      <c r="CA1105" s="5"/>
      <c r="CB1105" s="5"/>
      <c r="CC1105" s="5"/>
      <c r="CD1105" s="5"/>
      <c r="CE1105" s="5"/>
      <c r="CF1105" s="5"/>
      <c r="CG1105" s="5"/>
      <c r="CH1105" s="5"/>
      <c r="CI1105" s="5"/>
      <c r="CJ1105" s="5"/>
      <c r="CK1105" s="5"/>
      <c r="CL1105" s="5"/>
      <c r="CM1105" s="5"/>
      <c r="CN1105" s="5"/>
      <c r="CO1105" s="5"/>
      <c r="CP1105" s="5"/>
      <c r="CQ1105" s="5"/>
      <c r="CR1105" s="5"/>
      <c r="CS1105" s="5"/>
      <c r="CT1105" s="5"/>
      <c r="CU1105" s="5"/>
    </row>
    <row r="1106" spans="1:99">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row>
    <row r="1107" spans="1:99">
      <c r="A1107" s="5"/>
      <c r="B1107" s="5"/>
      <c r="C1107" s="5"/>
      <c r="D1107" s="5"/>
      <c r="E1107" s="5"/>
      <c r="F1107" s="5"/>
      <c r="G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c r="BU1107" s="5"/>
      <c r="BV1107" s="5"/>
      <c r="BW1107" s="5"/>
      <c r="BX1107" s="5"/>
      <c r="BY1107" s="5"/>
      <c r="BZ1107" s="5"/>
      <c r="CA1107" s="5"/>
      <c r="CB1107" s="5"/>
      <c r="CC1107" s="5"/>
      <c r="CD1107" s="5"/>
      <c r="CE1107" s="5"/>
      <c r="CF1107" s="5"/>
      <c r="CG1107" s="5"/>
      <c r="CH1107" s="5"/>
      <c r="CI1107" s="5"/>
      <c r="CJ1107" s="5"/>
      <c r="CK1107" s="5"/>
      <c r="CL1107" s="5"/>
      <c r="CM1107" s="5"/>
      <c r="CN1107" s="5"/>
      <c r="CO1107" s="5"/>
      <c r="CP1107" s="5"/>
      <c r="CQ1107" s="5"/>
      <c r="CR1107" s="5"/>
      <c r="CS1107" s="5"/>
      <c r="CT1107" s="5"/>
      <c r="CU1107" s="5"/>
    </row>
    <row r="1108" spans="1:99">
      <c r="A1108" s="5"/>
      <c r="B1108" s="5"/>
      <c r="C1108" s="5"/>
      <c r="D1108" s="5"/>
      <c r="E1108" s="5"/>
      <c r="F1108" s="5"/>
      <c r="G1108" s="5"/>
      <c r="H1108" s="5"/>
      <c r="I1108" s="5"/>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c r="BT1108" s="5"/>
      <c r="BU1108" s="5"/>
      <c r="BV1108" s="5"/>
      <c r="BW1108" s="5"/>
      <c r="BX1108" s="5"/>
      <c r="BY1108" s="5"/>
      <c r="BZ1108" s="5"/>
      <c r="CA1108" s="5"/>
      <c r="CB1108" s="5"/>
      <c r="CC1108" s="5"/>
      <c r="CD1108" s="5"/>
      <c r="CE1108" s="5"/>
      <c r="CF1108" s="5"/>
      <c r="CG1108" s="5"/>
      <c r="CH1108" s="5"/>
      <c r="CI1108" s="5"/>
      <c r="CJ1108" s="5"/>
      <c r="CK1108" s="5"/>
      <c r="CL1108" s="5"/>
      <c r="CM1108" s="5"/>
      <c r="CN1108" s="5"/>
      <c r="CO1108" s="5"/>
      <c r="CP1108" s="5"/>
      <c r="CQ1108" s="5"/>
      <c r="CR1108" s="5"/>
      <c r="CS1108" s="5"/>
      <c r="CT1108" s="5"/>
      <c r="CU1108" s="5"/>
    </row>
    <row r="1109" spans="1:99">
      <c r="A1109" s="5"/>
      <c r="B1109" s="5"/>
      <c r="C1109" s="5"/>
      <c r="D1109" s="5"/>
      <c r="E1109" s="5"/>
      <c r="F1109" s="5"/>
      <c r="G1109" s="5"/>
      <c r="H1109" s="5"/>
      <c r="I1109" s="5"/>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c r="BT1109" s="5"/>
      <c r="BU1109" s="5"/>
      <c r="BV1109" s="5"/>
      <c r="BW1109" s="5"/>
      <c r="BX1109" s="5"/>
      <c r="BY1109" s="5"/>
      <c r="BZ1109" s="5"/>
      <c r="CA1109" s="5"/>
      <c r="CB1109" s="5"/>
      <c r="CC1109" s="5"/>
      <c r="CD1109" s="5"/>
      <c r="CE1109" s="5"/>
      <c r="CF1109" s="5"/>
      <c r="CG1109" s="5"/>
      <c r="CH1109" s="5"/>
      <c r="CI1109" s="5"/>
      <c r="CJ1109" s="5"/>
      <c r="CK1109" s="5"/>
      <c r="CL1109" s="5"/>
      <c r="CM1109" s="5"/>
      <c r="CN1109" s="5"/>
      <c r="CO1109" s="5"/>
      <c r="CP1109" s="5"/>
      <c r="CQ1109" s="5"/>
      <c r="CR1109" s="5"/>
      <c r="CS1109" s="5"/>
      <c r="CT1109" s="5"/>
      <c r="CU1109" s="5"/>
    </row>
    <row r="1110" spans="1:99">
      <c r="A1110" s="5"/>
      <c r="B1110" s="5"/>
      <c r="C1110" s="5"/>
      <c r="D1110" s="5"/>
      <c r="E1110" s="5"/>
      <c r="F1110" s="5"/>
      <c r="G1110" s="5"/>
      <c r="H1110" s="5"/>
      <c r="I1110" s="5"/>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c r="BT1110" s="5"/>
      <c r="BU1110" s="5"/>
      <c r="BV1110" s="5"/>
      <c r="BW1110" s="5"/>
      <c r="BX1110" s="5"/>
      <c r="BY1110" s="5"/>
      <c r="BZ1110" s="5"/>
      <c r="CA1110" s="5"/>
      <c r="CB1110" s="5"/>
      <c r="CC1110" s="5"/>
      <c r="CD1110" s="5"/>
      <c r="CE1110" s="5"/>
      <c r="CF1110" s="5"/>
      <c r="CG1110" s="5"/>
      <c r="CH1110" s="5"/>
      <c r="CI1110" s="5"/>
      <c r="CJ1110" s="5"/>
      <c r="CK1110" s="5"/>
      <c r="CL1110" s="5"/>
      <c r="CM1110" s="5"/>
      <c r="CN1110" s="5"/>
      <c r="CO1110" s="5"/>
      <c r="CP1110" s="5"/>
      <c r="CQ1110" s="5"/>
      <c r="CR1110" s="5"/>
      <c r="CS1110" s="5"/>
      <c r="CT1110" s="5"/>
      <c r="CU1110" s="5"/>
    </row>
    <row r="1111" spans="1:99">
      <c r="A1111" s="5"/>
      <c r="B1111" s="5"/>
      <c r="C1111" s="5"/>
      <c r="D1111" s="5"/>
      <c r="E1111" s="5"/>
      <c r="F1111" s="5"/>
      <c r="G1111" s="5"/>
      <c r="H1111" s="5"/>
      <c r="I1111" s="5"/>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c r="BT1111" s="5"/>
      <c r="BU1111" s="5"/>
      <c r="BV1111" s="5"/>
      <c r="BW1111" s="5"/>
      <c r="BX1111" s="5"/>
      <c r="BY1111" s="5"/>
      <c r="BZ1111" s="5"/>
      <c r="CA1111" s="5"/>
      <c r="CB1111" s="5"/>
      <c r="CC1111" s="5"/>
      <c r="CD1111" s="5"/>
      <c r="CE1111" s="5"/>
      <c r="CF1111" s="5"/>
      <c r="CG1111" s="5"/>
      <c r="CH1111" s="5"/>
      <c r="CI1111" s="5"/>
      <c r="CJ1111" s="5"/>
      <c r="CK1111" s="5"/>
      <c r="CL1111" s="5"/>
      <c r="CM1111" s="5"/>
      <c r="CN1111" s="5"/>
      <c r="CO1111" s="5"/>
      <c r="CP1111" s="5"/>
      <c r="CQ1111" s="5"/>
      <c r="CR1111" s="5"/>
      <c r="CS1111" s="5"/>
      <c r="CT1111" s="5"/>
      <c r="CU1111" s="5"/>
    </row>
    <row r="1112" spans="1:99">
      <c r="A1112" s="5"/>
      <c r="B1112" s="5"/>
      <c r="C1112" s="5"/>
      <c r="D1112" s="5"/>
      <c r="E1112" s="5"/>
      <c r="F1112" s="5"/>
      <c r="G1112" s="5"/>
      <c r="H1112" s="5"/>
      <c r="I1112" s="5"/>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c r="BT1112" s="5"/>
      <c r="BU1112" s="5"/>
      <c r="BV1112" s="5"/>
      <c r="BW1112" s="5"/>
      <c r="BX1112" s="5"/>
      <c r="BY1112" s="5"/>
      <c r="BZ1112" s="5"/>
      <c r="CA1112" s="5"/>
      <c r="CB1112" s="5"/>
      <c r="CC1112" s="5"/>
      <c r="CD1112" s="5"/>
      <c r="CE1112" s="5"/>
      <c r="CF1112" s="5"/>
      <c r="CG1112" s="5"/>
      <c r="CH1112" s="5"/>
      <c r="CI1112" s="5"/>
      <c r="CJ1112" s="5"/>
      <c r="CK1112" s="5"/>
      <c r="CL1112" s="5"/>
      <c r="CM1112" s="5"/>
      <c r="CN1112" s="5"/>
      <c r="CO1112" s="5"/>
      <c r="CP1112" s="5"/>
      <c r="CQ1112" s="5"/>
      <c r="CR1112" s="5"/>
      <c r="CS1112" s="5"/>
      <c r="CT1112" s="5"/>
      <c r="CU1112" s="5"/>
    </row>
    <row r="1113" spans="1:99">
      <c r="A1113" s="5"/>
      <c r="B1113" s="5"/>
      <c r="C1113" s="5"/>
      <c r="D1113" s="5"/>
      <c r="E1113" s="5"/>
      <c r="F1113" s="5"/>
      <c r="G1113" s="5"/>
      <c r="H1113" s="5"/>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c r="BT1113" s="5"/>
      <c r="BU1113" s="5"/>
      <c r="BV1113" s="5"/>
      <c r="BW1113" s="5"/>
      <c r="BX1113" s="5"/>
      <c r="BY1113" s="5"/>
      <c r="BZ1113" s="5"/>
      <c r="CA1113" s="5"/>
      <c r="CB1113" s="5"/>
      <c r="CC1113" s="5"/>
      <c r="CD1113" s="5"/>
      <c r="CE1113" s="5"/>
      <c r="CF1113" s="5"/>
      <c r="CG1113" s="5"/>
      <c r="CH1113" s="5"/>
      <c r="CI1113" s="5"/>
      <c r="CJ1113" s="5"/>
      <c r="CK1113" s="5"/>
      <c r="CL1113" s="5"/>
      <c r="CM1113" s="5"/>
      <c r="CN1113" s="5"/>
      <c r="CO1113" s="5"/>
      <c r="CP1113" s="5"/>
      <c r="CQ1113" s="5"/>
      <c r="CR1113" s="5"/>
      <c r="CS1113" s="5"/>
      <c r="CT1113" s="5"/>
      <c r="CU1113" s="5"/>
    </row>
    <row r="1114" spans="1:99">
      <c r="A1114" s="5"/>
      <c r="B1114" s="5"/>
      <c r="C1114" s="5"/>
      <c r="D1114" s="5"/>
      <c r="E1114" s="5"/>
      <c r="F1114" s="5"/>
      <c r="G1114" s="5"/>
      <c r="H1114" s="5"/>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c r="BT1114" s="5"/>
      <c r="BU1114" s="5"/>
      <c r="BV1114" s="5"/>
      <c r="BW1114" s="5"/>
      <c r="BX1114" s="5"/>
      <c r="BY1114" s="5"/>
      <c r="BZ1114" s="5"/>
      <c r="CA1114" s="5"/>
      <c r="CB1114" s="5"/>
      <c r="CC1114" s="5"/>
      <c r="CD1114" s="5"/>
      <c r="CE1114" s="5"/>
      <c r="CF1114" s="5"/>
      <c r="CG1114" s="5"/>
      <c r="CH1114" s="5"/>
      <c r="CI1114" s="5"/>
      <c r="CJ1114" s="5"/>
      <c r="CK1114" s="5"/>
      <c r="CL1114" s="5"/>
      <c r="CM1114" s="5"/>
      <c r="CN1114" s="5"/>
      <c r="CO1114" s="5"/>
      <c r="CP1114" s="5"/>
      <c r="CQ1114" s="5"/>
      <c r="CR1114" s="5"/>
      <c r="CS1114" s="5"/>
      <c r="CT1114" s="5"/>
      <c r="CU1114" s="5"/>
    </row>
    <row r="1115" spans="1:99">
      <c r="A1115" s="5"/>
      <c r="B1115" s="5"/>
      <c r="C1115" s="5"/>
      <c r="D1115" s="5"/>
      <c r="E1115" s="5"/>
      <c r="F1115" s="5"/>
      <c r="G1115" s="5"/>
      <c r="H1115" s="5"/>
      <c r="I1115" s="5"/>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c r="BT1115" s="5"/>
      <c r="BU1115" s="5"/>
      <c r="BV1115" s="5"/>
      <c r="BW1115" s="5"/>
      <c r="BX1115" s="5"/>
      <c r="BY1115" s="5"/>
      <c r="BZ1115" s="5"/>
      <c r="CA1115" s="5"/>
      <c r="CB1115" s="5"/>
      <c r="CC1115" s="5"/>
      <c r="CD1115" s="5"/>
      <c r="CE1115" s="5"/>
      <c r="CF1115" s="5"/>
      <c r="CG1115" s="5"/>
      <c r="CH1115" s="5"/>
      <c r="CI1115" s="5"/>
      <c r="CJ1115" s="5"/>
      <c r="CK1115" s="5"/>
      <c r="CL1115" s="5"/>
      <c r="CM1115" s="5"/>
      <c r="CN1115" s="5"/>
      <c r="CO1115" s="5"/>
      <c r="CP1115" s="5"/>
      <c r="CQ1115" s="5"/>
      <c r="CR1115" s="5"/>
      <c r="CS1115" s="5"/>
      <c r="CT1115" s="5"/>
      <c r="CU1115" s="5"/>
    </row>
    <row r="1116" spans="1:99">
      <c r="A1116" s="5"/>
      <c r="B1116" s="5"/>
      <c r="C1116" s="5"/>
      <c r="D1116" s="5"/>
      <c r="E1116" s="5"/>
      <c r="F1116" s="5"/>
      <c r="G1116" s="5"/>
      <c r="H1116" s="5"/>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c r="BT1116" s="5"/>
      <c r="BU1116" s="5"/>
      <c r="BV1116" s="5"/>
      <c r="BW1116" s="5"/>
      <c r="BX1116" s="5"/>
      <c r="BY1116" s="5"/>
      <c r="BZ1116" s="5"/>
      <c r="CA1116" s="5"/>
      <c r="CB1116" s="5"/>
      <c r="CC1116" s="5"/>
      <c r="CD1116" s="5"/>
      <c r="CE1116" s="5"/>
      <c r="CF1116" s="5"/>
      <c r="CG1116" s="5"/>
      <c r="CH1116" s="5"/>
      <c r="CI1116" s="5"/>
      <c r="CJ1116" s="5"/>
      <c r="CK1116" s="5"/>
      <c r="CL1116" s="5"/>
      <c r="CM1116" s="5"/>
      <c r="CN1116" s="5"/>
      <c r="CO1116" s="5"/>
      <c r="CP1116" s="5"/>
      <c r="CQ1116" s="5"/>
      <c r="CR1116" s="5"/>
      <c r="CS1116" s="5"/>
      <c r="CT1116" s="5"/>
      <c r="CU1116" s="5"/>
    </row>
    <row r="1117" spans="1:99">
      <c r="A1117" s="5"/>
      <c r="B1117" s="5"/>
      <c r="C1117" s="5"/>
      <c r="D1117" s="5"/>
      <c r="E1117" s="5"/>
      <c r="F1117" s="5"/>
      <c r="G1117" s="5"/>
      <c r="H1117" s="5"/>
      <c r="I1117" s="5"/>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c r="BT1117" s="5"/>
      <c r="BU1117" s="5"/>
      <c r="BV1117" s="5"/>
      <c r="BW1117" s="5"/>
      <c r="BX1117" s="5"/>
      <c r="BY1117" s="5"/>
      <c r="BZ1117" s="5"/>
      <c r="CA1117" s="5"/>
      <c r="CB1117" s="5"/>
      <c r="CC1117" s="5"/>
      <c r="CD1117" s="5"/>
      <c r="CE1117" s="5"/>
      <c r="CF1117" s="5"/>
      <c r="CG1117" s="5"/>
      <c r="CH1117" s="5"/>
      <c r="CI1117" s="5"/>
      <c r="CJ1117" s="5"/>
      <c r="CK1117" s="5"/>
      <c r="CL1117" s="5"/>
      <c r="CM1117" s="5"/>
      <c r="CN1117" s="5"/>
      <c r="CO1117" s="5"/>
      <c r="CP1117" s="5"/>
      <c r="CQ1117" s="5"/>
      <c r="CR1117" s="5"/>
      <c r="CS1117" s="5"/>
      <c r="CT1117" s="5"/>
      <c r="CU1117" s="5"/>
    </row>
    <row r="1118" spans="1:99">
      <c r="A1118" s="5"/>
      <c r="B1118" s="5"/>
      <c r="C1118" s="5"/>
      <c r="D1118" s="5"/>
      <c r="E1118" s="5"/>
      <c r="F1118" s="5"/>
      <c r="G1118" s="5"/>
      <c r="H1118" s="5"/>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c r="BT1118" s="5"/>
      <c r="BU1118" s="5"/>
      <c r="BV1118" s="5"/>
      <c r="BW1118" s="5"/>
      <c r="BX1118" s="5"/>
      <c r="BY1118" s="5"/>
      <c r="BZ1118" s="5"/>
      <c r="CA1118" s="5"/>
      <c r="CB1118" s="5"/>
      <c r="CC1118" s="5"/>
      <c r="CD1118" s="5"/>
      <c r="CE1118" s="5"/>
      <c r="CF1118" s="5"/>
      <c r="CG1118" s="5"/>
      <c r="CH1118" s="5"/>
      <c r="CI1118" s="5"/>
      <c r="CJ1118" s="5"/>
      <c r="CK1118" s="5"/>
      <c r="CL1118" s="5"/>
      <c r="CM1118" s="5"/>
      <c r="CN1118" s="5"/>
      <c r="CO1118" s="5"/>
      <c r="CP1118" s="5"/>
      <c r="CQ1118" s="5"/>
      <c r="CR1118" s="5"/>
      <c r="CS1118" s="5"/>
      <c r="CT1118" s="5"/>
      <c r="CU1118" s="5"/>
    </row>
    <row r="1119" spans="1:99">
      <c r="A1119" s="5"/>
      <c r="B1119" s="5"/>
      <c r="C1119" s="5"/>
      <c r="D1119" s="5"/>
      <c r="E1119" s="5"/>
      <c r="F1119" s="5"/>
      <c r="G1119" s="5"/>
      <c r="H1119" s="5"/>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c r="BT1119" s="5"/>
      <c r="BU1119" s="5"/>
      <c r="BV1119" s="5"/>
      <c r="BW1119" s="5"/>
      <c r="BX1119" s="5"/>
      <c r="BY1119" s="5"/>
      <c r="BZ1119" s="5"/>
      <c r="CA1119" s="5"/>
      <c r="CB1119" s="5"/>
      <c r="CC1119" s="5"/>
      <c r="CD1119" s="5"/>
      <c r="CE1119" s="5"/>
      <c r="CF1119" s="5"/>
      <c r="CG1119" s="5"/>
      <c r="CH1119" s="5"/>
      <c r="CI1119" s="5"/>
      <c r="CJ1119" s="5"/>
      <c r="CK1119" s="5"/>
      <c r="CL1119" s="5"/>
      <c r="CM1119" s="5"/>
      <c r="CN1119" s="5"/>
      <c r="CO1119" s="5"/>
      <c r="CP1119" s="5"/>
      <c r="CQ1119" s="5"/>
      <c r="CR1119" s="5"/>
      <c r="CS1119" s="5"/>
      <c r="CT1119" s="5"/>
      <c r="CU1119" s="5"/>
    </row>
    <row r="1120" spans="1:99">
      <c r="A1120" s="5"/>
      <c r="B1120" s="5"/>
      <c r="C1120" s="5"/>
      <c r="D1120" s="5"/>
      <c r="E1120" s="5"/>
      <c r="F1120" s="5"/>
      <c r="G1120" s="5"/>
      <c r="H1120" s="5"/>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c r="BT1120" s="5"/>
      <c r="BU1120" s="5"/>
      <c r="BV1120" s="5"/>
      <c r="BW1120" s="5"/>
      <c r="BX1120" s="5"/>
      <c r="BY1120" s="5"/>
      <c r="BZ1120" s="5"/>
      <c r="CA1120" s="5"/>
      <c r="CB1120" s="5"/>
      <c r="CC1120" s="5"/>
      <c r="CD1120" s="5"/>
      <c r="CE1120" s="5"/>
      <c r="CF1120" s="5"/>
      <c r="CG1120" s="5"/>
      <c r="CH1120" s="5"/>
      <c r="CI1120" s="5"/>
      <c r="CJ1120" s="5"/>
      <c r="CK1120" s="5"/>
      <c r="CL1120" s="5"/>
      <c r="CM1120" s="5"/>
      <c r="CN1120" s="5"/>
      <c r="CO1120" s="5"/>
      <c r="CP1120" s="5"/>
      <c r="CQ1120" s="5"/>
      <c r="CR1120" s="5"/>
      <c r="CS1120" s="5"/>
      <c r="CT1120" s="5"/>
      <c r="CU1120" s="5"/>
    </row>
    <row r="1121" spans="1:99">
      <c r="A1121" s="5"/>
      <c r="B1121" s="5"/>
      <c r="C1121" s="5"/>
      <c r="D1121" s="5"/>
      <c r="E1121" s="5"/>
      <c r="F1121" s="5"/>
      <c r="G1121" s="5"/>
      <c r="H1121" s="5"/>
      <c r="I1121" s="5"/>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c r="BT1121" s="5"/>
      <c r="BU1121" s="5"/>
      <c r="BV1121" s="5"/>
      <c r="BW1121" s="5"/>
      <c r="BX1121" s="5"/>
      <c r="BY1121" s="5"/>
      <c r="BZ1121" s="5"/>
      <c r="CA1121" s="5"/>
      <c r="CB1121" s="5"/>
      <c r="CC1121" s="5"/>
      <c r="CD1121" s="5"/>
      <c r="CE1121" s="5"/>
      <c r="CF1121" s="5"/>
      <c r="CG1121" s="5"/>
      <c r="CH1121" s="5"/>
      <c r="CI1121" s="5"/>
      <c r="CJ1121" s="5"/>
      <c r="CK1121" s="5"/>
      <c r="CL1121" s="5"/>
      <c r="CM1121" s="5"/>
      <c r="CN1121" s="5"/>
      <c r="CO1121" s="5"/>
      <c r="CP1121" s="5"/>
      <c r="CQ1121" s="5"/>
      <c r="CR1121" s="5"/>
      <c r="CS1121" s="5"/>
      <c r="CT1121" s="5"/>
      <c r="CU1121" s="5"/>
    </row>
    <row r="1122" spans="1:99">
      <c r="A1122" s="5"/>
      <c r="B1122" s="5"/>
      <c r="C1122" s="5"/>
      <c r="D1122" s="5"/>
      <c r="E1122" s="5"/>
      <c r="F1122" s="5"/>
      <c r="G1122" s="5"/>
      <c r="H1122" s="5"/>
      <c r="I1122" s="5"/>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c r="BT1122" s="5"/>
      <c r="BU1122" s="5"/>
      <c r="BV1122" s="5"/>
      <c r="BW1122" s="5"/>
      <c r="BX1122" s="5"/>
      <c r="BY1122" s="5"/>
      <c r="BZ1122" s="5"/>
      <c r="CA1122" s="5"/>
      <c r="CB1122" s="5"/>
      <c r="CC1122" s="5"/>
      <c r="CD1122" s="5"/>
      <c r="CE1122" s="5"/>
      <c r="CF1122" s="5"/>
      <c r="CG1122" s="5"/>
      <c r="CH1122" s="5"/>
      <c r="CI1122" s="5"/>
      <c r="CJ1122" s="5"/>
      <c r="CK1122" s="5"/>
      <c r="CL1122" s="5"/>
      <c r="CM1122" s="5"/>
      <c r="CN1122" s="5"/>
      <c r="CO1122" s="5"/>
      <c r="CP1122" s="5"/>
      <c r="CQ1122" s="5"/>
      <c r="CR1122" s="5"/>
      <c r="CS1122" s="5"/>
      <c r="CT1122" s="5"/>
      <c r="CU1122" s="5"/>
    </row>
    <row r="1123" spans="1:99">
      <c r="A1123" s="5"/>
      <c r="B1123" s="5"/>
      <c r="C1123" s="5"/>
      <c r="D1123" s="5"/>
      <c r="E1123" s="5"/>
      <c r="F1123" s="5"/>
      <c r="G1123" s="5"/>
      <c r="H1123" s="5"/>
      <c r="I1123" s="5"/>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c r="BT1123" s="5"/>
      <c r="BU1123" s="5"/>
      <c r="BV1123" s="5"/>
      <c r="BW1123" s="5"/>
      <c r="BX1123" s="5"/>
      <c r="BY1123" s="5"/>
      <c r="BZ1123" s="5"/>
      <c r="CA1123" s="5"/>
      <c r="CB1123" s="5"/>
      <c r="CC1123" s="5"/>
      <c r="CD1123" s="5"/>
      <c r="CE1123" s="5"/>
      <c r="CF1123" s="5"/>
      <c r="CG1123" s="5"/>
      <c r="CH1123" s="5"/>
      <c r="CI1123" s="5"/>
      <c r="CJ1123" s="5"/>
      <c r="CK1123" s="5"/>
      <c r="CL1123" s="5"/>
      <c r="CM1123" s="5"/>
      <c r="CN1123" s="5"/>
      <c r="CO1123" s="5"/>
      <c r="CP1123" s="5"/>
      <c r="CQ1123" s="5"/>
      <c r="CR1123" s="5"/>
      <c r="CS1123" s="5"/>
      <c r="CT1123" s="5"/>
      <c r="CU1123" s="5"/>
    </row>
    <row r="1124" spans="1:99">
      <c r="A1124" s="107"/>
      <c r="B1124" s="107"/>
      <c r="C1124" s="107"/>
      <c r="D1124" s="107"/>
      <c r="E1124" s="107"/>
      <c r="F1124" s="107"/>
      <c r="G1124" s="107"/>
      <c r="H1124" s="107"/>
      <c r="I1124" s="107"/>
      <c r="J1124" s="107"/>
      <c r="K1124" s="107"/>
      <c r="L1124" s="107"/>
      <c r="M1124" s="107"/>
      <c r="N1124" s="107"/>
      <c r="O1124" s="107"/>
      <c r="P1124" s="107"/>
      <c r="Q1124" s="107"/>
      <c r="R1124" s="107"/>
      <c r="S1124" s="107"/>
      <c r="T1124" s="107"/>
      <c r="U1124" s="107"/>
      <c r="V1124" s="107"/>
      <c r="W1124" s="107"/>
      <c r="X1124" s="107"/>
      <c r="Y1124" s="107"/>
      <c r="Z1124" s="107"/>
      <c r="AA1124" s="107"/>
      <c r="AB1124" s="107"/>
      <c r="AC1124" s="107"/>
      <c r="AD1124" s="107"/>
      <c r="AE1124" s="107"/>
      <c r="AF1124" s="107"/>
      <c r="AG1124" s="107"/>
      <c r="AH1124" s="107"/>
      <c r="AI1124" s="107"/>
      <c r="AJ1124" s="107"/>
      <c r="AK1124" s="107"/>
      <c r="AL1124" s="107"/>
      <c r="AM1124" s="107"/>
      <c r="AN1124" s="107"/>
      <c r="AO1124" s="107"/>
      <c r="AP1124" s="107"/>
      <c r="AQ1124" s="107"/>
      <c r="AR1124" s="107"/>
      <c r="AS1124" s="107"/>
      <c r="AT1124" s="107"/>
      <c r="AU1124" s="107"/>
      <c r="AV1124" s="107"/>
      <c r="AW1124" s="107"/>
      <c r="AX1124" s="107"/>
      <c r="AY1124" s="107"/>
      <c r="AZ1124" s="107"/>
      <c r="BA1124" s="107"/>
      <c r="BB1124" s="107"/>
      <c r="BC1124" s="107"/>
      <c r="BD1124" s="107"/>
      <c r="BE1124" s="107"/>
      <c r="BF1124" s="107"/>
      <c r="BG1124" s="107"/>
      <c r="BH1124" s="107"/>
      <c r="BI1124" s="107"/>
      <c r="BJ1124" s="107"/>
      <c r="BK1124" s="107"/>
      <c r="BL1124" s="107"/>
      <c r="BM1124" s="107"/>
      <c r="BN1124" s="107"/>
      <c r="BO1124" s="107"/>
      <c r="BP1124" s="107"/>
      <c r="BQ1124" s="107"/>
      <c r="BR1124" s="107"/>
      <c r="BS1124" s="107"/>
      <c r="BT1124" s="107"/>
      <c r="BU1124" s="107"/>
      <c r="BV1124" s="107"/>
      <c r="BW1124" s="107"/>
      <c r="BX1124" s="107"/>
      <c r="BY1124" s="107"/>
      <c r="BZ1124" s="107"/>
      <c r="CA1124" s="107"/>
      <c r="CB1124" s="107"/>
      <c r="CC1124" s="107"/>
      <c r="CD1124" s="107"/>
      <c r="CE1124" s="107"/>
      <c r="CF1124" s="107"/>
      <c r="CG1124" s="107"/>
      <c r="CH1124" s="107"/>
      <c r="CI1124" s="107"/>
      <c r="CJ1124" s="107"/>
      <c r="CK1124" s="107"/>
      <c r="CL1124" s="107"/>
      <c r="CM1124" s="107"/>
      <c r="CN1124" s="107"/>
      <c r="CO1124" s="107"/>
      <c r="CP1124" s="107"/>
      <c r="CQ1124" s="107"/>
      <c r="CR1124" s="107"/>
      <c r="CS1124" s="107"/>
      <c r="CT1124" s="107"/>
      <c r="CU1124" s="107"/>
    </row>
    <row r="1125" spans="1:99">
      <c r="A1125" s="107"/>
      <c r="B1125" s="107"/>
      <c r="C1125" s="107"/>
      <c r="D1125" s="107"/>
      <c r="E1125" s="107"/>
      <c r="F1125" s="107"/>
      <c r="G1125" s="107"/>
      <c r="H1125" s="107"/>
      <c r="I1125" s="107"/>
      <c r="J1125" s="107"/>
      <c r="K1125" s="107"/>
      <c r="L1125" s="107"/>
      <c r="M1125" s="107"/>
      <c r="N1125" s="107"/>
      <c r="O1125" s="107"/>
      <c r="P1125" s="107"/>
      <c r="Q1125" s="107"/>
      <c r="R1125" s="107"/>
      <c r="S1125" s="107"/>
      <c r="T1125" s="107"/>
      <c r="U1125" s="107"/>
      <c r="V1125" s="107"/>
      <c r="W1125" s="107"/>
      <c r="X1125" s="107"/>
      <c r="Y1125" s="107"/>
      <c r="Z1125" s="107"/>
      <c r="AA1125" s="107"/>
      <c r="AB1125" s="107"/>
      <c r="AC1125" s="107"/>
      <c r="AD1125" s="107"/>
      <c r="AE1125" s="107"/>
      <c r="AF1125" s="107"/>
      <c r="AG1125" s="107"/>
      <c r="AH1125" s="107"/>
      <c r="AI1125" s="107"/>
      <c r="AJ1125" s="107"/>
      <c r="AK1125" s="107"/>
      <c r="AL1125" s="107"/>
      <c r="AM1125" s="107"/>
      <c r="AN1125" s="107"/>
      <c r="AO1125" s="107"/>
      <c r="AP1125" s="107"/>
      <c r="AQ1125" s="107"/>
      <c r="AR1125" s="107"/>
      <c r="AS1125" s="107"/>
      <c r="AT1125" s="107"/>
      <c r="AU1125" s="107"/>
      <c r="AV1125" s="107"/>
      <c r="AW1125" s="107"/>
      <c r="AX1125" s="107"/>
      <c r="AY1125" s="107"/>
      <c r="AZ1125" s="107"/>
      <c r="BA1125" s="107"/>
      <c r="BB1125" s="107"/>
      <c r="BC1125" s="107"/>
      <c r="BD1125" s="107"/>
      <c r="BE1125" s="107"/>
      <c r="BF1125" s="107"/>
      <c r="BG1125" s="107"/>
      <c r="BH1125" s="107"/>
      <c r="BI1125" s="107"/>
      <c r="BJ1125" s="107"/>
      <c r="BK1125" s="107"/>
      <c r="BL1125" s="107"/>
      <c r="BM1125" s="107"/>
      <c r="BN1125" s="107"/>
      <c r="BO1125" s="107"/>
      <c r="BP1125" s="107"/>
      <c r="BQ1125" s="107"/>
      <c r="BR1125" s="107"/>
      <c r="BS1125" s="107"/>
      <c r="BT1125" s="107"/>
      <c r="BU1125" s="107"/>
      <c r="BV1125" s="107"/>
      <c r="BW1125" s="107"/>
      <c r="BX1125" s="107"/>
      <c r="BY1125" s="107"/>
      <c r="BZ1125" s="107"/>
      <c r="CA1125" s="107"/>
      <c r="CB1125" s="107"/>
      <c r="CC1125" s="107"/>
      <c r="CD1125" s="107"/>
      <c r="CE1125" s="107"/>
      <c r="CF1125" s="107"/>
      <c r="CG1125" s="107"/>
      <c r="CH1125" s="107"/>
      <c r="CI1125" s="107"/>
      <c r="CJ1125" s="107"/>
      <c r="CK1125" s="107"/>
      <c r="CL1125" s="107"/>
      <c r="CM1125" s="107"/>
      <c r="CN1125" s="107"/>
      <c r="CO1125" s="107"/>
      <c r="CP1125" s="107"/>
      <c r="CQ1125" s="107"/>
      <c r="CR1125" s="107"/>
      <c r="CS1125" s="107"/>
      <c r="CT1125" s="107"/>
      <c r="CU1125" s="107"/>
    </row>
    <row r="1126" spans="1:99">
      <c r="A1126" s="107"/>
      <c r="B1126" s="107"/>
      <c r="C1126" s="107"/>
      <c r="D1126" s="107"/>
      <c r="E1126" s="107"/>
      <c r="F1126" s="107"/>
      <c r="G1126" s="107"/>
      <c r="H1126" s="107"/>
      <c r="I1126" s="107"/>
      <c r="J1126" s="107"/>
      <c r="K1126" s="107"/>
      <c r="L1126" s="107"/>
      <c r="M1126" s="107"/>
      <c r="N1126" s="107"/>
      <c r="O1126" s="107"/>
      <c r="P1126" s="107"/>
      <c r="Q1126" s="107"/>
      <c r="R1126" s="107"/>
      <c r="S1126" s="107"/>
      <c r="T1126" s="107"/>
      <c r="U1126" s="107"/>
      <c r="V1126" s="107"/>
      <c r="W1126" s="107"/>
      <c r="X1126" s="107"/>
      <c r="Y1126" s="107"/>
      <c r="Z1126" s="107"/>
      <c r="AA1126" s="107"/>
      <c r="AB1126" s="107"/>
      <c r="AC1126" s="107"/>
      <c r="AD1126" s="107"/>
      <c r="AE1126" s="107"/>
      <c r="AF1126" s="107"/>
      <c r="AG1126" s="107"/>
      <c r="AH1126" s="107"/>
      <c r="AI1126" s="107"/>
      <c r="AJ1126" s="107"/>
      <c r="AK1126" s="107"/>
      <c r="AL1126" s="107"/>
      <c r="AM1126" s="107"/>
      <c r="AN1126" s="107"/>
      <c r="AO1126" s="107"/>
      <c r="AP1126" s="107"/>
      <c r="AQ1126" s="107"/>
      <c r="AR1126" s="107"/>
      <c r="AS1126" s="107"/>
      <c r="AT1126" s="107"/>
      <c r="AU1126" s="107"/>
      <c r="AV1126" s="107"/>
      <c r="AW1126" s="107"/>
      <c r="AX1126" s="107"/>
      <c r="AY1126" s="107"/>
      <c r="AZ1126" s="107"/>
      <c r="BA1126" s="107"/>
      <c r="BB1126" s="107"/>
      <c r="BC1126" s="107"/>
      <c r="BD1126" s="107"/>
      <c r="BE1126" s="107"/>
      <c r="BF1126" s="107"/>
      <c r="BG1126" s="107"/>
      <c r="BH1126" s="107"/>
      <c r="BI1126" s="107"/>
      <c r="BJ1126" s="107"/>
      <c r="BK1126" s="107"/>
      <c r="BL1126" s="107"/>
      <c r="BM1126" s="107"/>
      <c r="BN1126" s="107"/>
      <c r="BO1126" s="107"/>
      <c r="BP1126" s="107"/>
      <c r="BQ1126" s="107"/>
      <c r="BR1126" s="107"/>
      <c r="BS1126" s="107"/>
      <c r="BT1126" s="107"/>
      <c r="BU1126" s="107"/>
      <c r="BV1126" s="107"/>
      <c r="BW1126" s="107"/>
      <c r="BX1126" s="107"/>
      <c r="BY1126" s="107"/>
      <c r="BZ1126" s="107"/>
      <c r="CA1126" s="107"/>
      <c r="CB1126" s="107"/>
      <c r="CC1126" s="107"/>
      <c r="CD1126" s="107"/>
      <c r="CE1126" s="107"/>
      <c r="CF1126" s="107"/>
      <c r="CG1126" s="107"/>
      <c r="CH1126" s="107"/>
      <c r="CI1126" s="107"/>
      <c r="CJ1126" s="107"/>
      <c r="CK1126" s="107"/>
      <c r="CL1126" s="107"/>
      <c r="CM1126" s="107"/>
      <c r="CN1126" s="107"/>
      <c r="CO1126" s="107"/>
      <c r="CP1126" s="107"/>
      <c r="CQ1126" s="107"/>
      <c r="CR1126" s="107"/>
      <c r="CS1126" s="107"/>
      <c r="CT1126" s="107"/>
      <c r="CU1126" s="107"/>
    </row>
    <row r="1127" spans="1:99">
      <c r="A1127" s="107"/>
      <c r="B1127" s="107"/>
      <c r="C1127" s="107"/>
      <c r="D1127" s="107"/>
      <c r="E1127" s="107"/>
      <c r="F1127" s="107"/>
      <c r="G1127" s="107"/>
      <c r="H1127" s="107"/>
      <c r="I1127" s="107"/>
      <c r="J1127" s="107"/>
      <c r="K1127" s="107"/>
      <c r="L1127" s="107"/>
      <c r="M1127" s="107"/>
      <c r="N1127" s="107"/>
      <c r="O1127" s="107"/>
      <c r="P1127" s="107"/>
      <c r="Q1127" s="107"/>
      <c r="R1127" s="107"/>
      <c r="S1127" s="107"/>
      <c r="T1127" s="107"/>
      <c r="U1127" s="107"/>
      <c r="V1127" s="107"/>
      <c r="W1127" s="107"/>
      <c r="X1127" s="107"/>
      <c r="Y1127" s="107"/>
      <c r="Z1127" s="107"/>
      <c r="AA1127" s="107"/>
      <c r="AB1127" s="107"/>
      <c r="AC1127" s="107"/>
      <c r="AD1127" s="107"/>
      <c r="AE1127" s="107"/>
      <c r="AF1127" s="107"/>
      <c r="AG1127" s="107"/>
      <c r="AH1127" s="107"/>
      <c r="AI1127" s="107"/>
      <c r="AJ1127" s="107"/>
      <c r="AK1127" s="107"/>
      <c r="AL1127" s="107"/>
      <c r="AM1127" s="107"/>
      <c r="AN1127" s="107"/>
      <c r="AO1127" s="107"/>
      <c r="AP1127" s="107"/>
      <c r="AQ1127" s="107"/>
      <c r="AR1127" s="107"/>
      <c r="AS1127" s="107"/>
      <c r="AT1127" s="107"/>
      <c r="AU1127" s="107"/>
      <c r="AV1127" s="107"/>
      <c r="AW1127" s="107"/>
      <c r="AX1127" s="107"/>
      <c r="AY1127" s="107"/>
      <c r="AZ1127" s="107"/>
      <c r="BA1127" s="107"/>
      <c r="BB1127" s="107"/>
      <c r="BC1127" s="107"/>
      <c r="BD1127" s="107"/>
      <c r="BE1127" s="107"/>
      <c r="BF1127" s="107"/>
      <c r="BG1127" s="107"/>
      <c r="BH1127" s="107"/>
      <c r="BI1127" s="107"/>
      <c r="BJ1127" s="107"/>
      <c r="BK1127" s="107"/>
      <c r="BL1127" s="107"/>
      <c r="BM1127" s="107"/>
      <c r="BN1127" s="107"/>
      <c r="BO1127" s="107"/>
      <c r="BP1127" s="107"/>
      <c r="BQ1127" s="107"/>
      <c r="BR1127" s="107"/>
      <c r="BS1127" s="107"/>
      <c r="BT1127" s="107"/>
      <c r="BU1127" s="107"/>
      <c r="BV1127" s="107"/>
      <c r="BW1127" s="107"/>
      <c r="BX1127" s="107"/>
      <c r="BY1127" s="107"/>
      <c r="BZ1127" s="107"/>
      <c r="CA1127" s="107"/>
      <c r="CB1127" s="107"/>
      <c r="CC1127" s="107"/>
      <c r="CD1127" s="107"/>
      <c r="CE1127" s="107"/>
      <c r="CF1127" s="107"/>
      <c r="CG1127" s="107"/>
      <c r="CH1127" s="107"/>
      <c r="CI1127" s="107"/>
      <c r="CJ1127" s="107"/>
      <c r="CK1127" s="107"/>
      <c r="CL1127" s="107"/>
      <c r="CM1127" s="107"/>
      <c r="CN1127" s="107"/>
      <c r="CO1127" s="107"/>
      <c r="CP1127" s="107"/>
      <c r="CQ1127" s="107"/>
      <c r="CR1127" s="107"/>
      <c r="CS1127" s="107"/>
      <c r="CT1127" s="107"/>
      <c r="CU1127" s="107"/>
    </row>
    <row r="1128" spans="1:99">
      <c r="A1128" s="107"/>
      <c r="B1128" s="107"/>
      <c r="C1128" s="107"/>
      <c r="D1128" s="107"/>
      <c r="E1128" s="107"/>
      <c r="F1128" s="107"/>
      <c r="G1128" s="107"/>
      <c r="H1128" s="107"/>
      <c r="I1128" s="107"/>
      <c r="J1128" s="107"/>
      <c r="K1128" s="107"/>
      <c r="L1128" s="107"/>
      <c r="M1128" s="107"/>
      <c r="N1128" s="107"/>
      <c r="O1128" s="107"/>
      <c r="P1128" s="107"/>
      <c r="Q1128" s="107"/>
      <c r="R1128" s="107"/>
      <c r="S1128" s="107"/>
      <c r="T1128" s="107"/>
      <c r="U1128" s="107"/>
      <c r="V1128" s="107"/>
      <c r="W1128" s="107"/>
      <c r="X1128" s="107"/>
      <c r="Y1128" s="107"/>
      <c r="Z1128" s="107"/>
      <c r="AA1128" s="107"/>
      <c r="AB1128" s="107"/>
      <c r="AC1128" s="107"/>
      <c r="AD1128" s="107"/>
      <c r="AE1128" s="107"/>
      <c r="AF1128" s="107"/>
      <c r="AG1128" s="107"/>
      <c r="AH1128" s="107"/>
      <c r="AI1128" s="107"/>
      <c r="AJ1128" s="107"/>
      <c r="AK1128" s="107"/>
      <c r="AL1128" s="107"/>
      <c r="AM1128" s="107"/>
      <c r="AN1128" s="107"/>
      <c r="AO1128" s="107"/>
      <c r="AP1128" s="107"/>
      <c r="AQ1128" s="107"/>
      <c r="AR1128" s="107"/>
      <c r="AS1128" s="107"/>
      <c r="AT1128" s="107"/>
      <c r="AU1128" s="107"/>
      <c r="AV1128" s="107"/>
      <c r="AW1128" s="107"/>
      <c r="AX1128" s="107"/>
      <c r="AY1128" s="107"/>
      <c r="AZ1128" s="107"/>
      <c r="BA1128" s="107"/>
      <c r="BB1128" s="107"/>
      <c r="BC1128" s="107"/>
      <c r="BD1128" s="107"/>
      <c r="BE1128" s="107"/>
      <c r="BF1128" s="107"/>
      <c r="BG1128" s="107"/>
      <c r="BH1128" s="107"/>
      <c r="BI1128" s="107"/>
      <c r="BJ1128" s="107"/>
      <c r="BK1128" s="107"/>
      <c r="BL1128" s="107"/>
      <c r="BM1128" s="107"/>
      <c r="BN1128" s="107"/>
      <c r="BO1128" s="107"/>
      <c r="BP1128" s="107"/>
      <c r="BQ1128" s="107"/>
      <c r="BR1128" s="107"/>
      <c r="BS1128" s="107"/>
      <c r="BT1128" s="107"/>
      <c r="BU1128" s="107"/>
      <c r="BV1128" s="107"/>
      <c r="BW1128" s="107"/>
      <c r="BX1128" s="107"/>
      <c r="BY1128" s="107"/>
      <c r="BZ1128" s="107"/>
      <c r="CA1128" s="107"/>
      <c r="CB1128" s="107"/>
      <c r="CC1128" s="107"/>
      <c r="CD1128" s="107"/>
      <c r="CE1128" s="107"/>
      <c r="CF1128" s="107"/>
      <c r="CG1128" s="107"/>
      <c r="CH1128" s="107"/>
      <c r="CI1128" s="107"/>
      <c r="CJ1128" s="107"/>
      <c r="CK1128" s="107"/>
      <c r="CL1128" s="107"/>
      <c r="CM1128" s="107"/>
      <c r="CN1128" s="107"/>
      <c r="CO1128" s="107"/>
      <c r="CP1128" s="107"/>
      <c r="CQ1128" s="107"/>
      <c r="CR1128" s="107"/>
      <c r="CS1128" s="107"/>
      <c r="CT1128" s="107"/>
      <c r="CU1128" s="107"/>
    </row>
    <row r="1129" spans="1:99">
      <c r="A1129" s="107"/>
      <c r="B1129" s="107"/>
      <c r="C1129" s="107"/>
      <c r="D1129" s="107"/>
      <c r="E1129" s="107"/>
      <c r="F1129" s="107"/>
      <c r="G1129" s="107"/>
      <c r="H1129" s="107"/>
      <c r="I1129" s="107"/>
      <c r="J1129" s="107"/>
      <c r="K1129" s="107"/>
      <c r="L1129" s="107"/>
      <c r="M1129" s="107"/>
      <c r="N1129" s="107"/>
      <c r="O1129" s="107"/>
      <c r="P1129" s="107"/>
      <c r="Q1129" s="107"/>
      <c r="R1129" s="107"/>
      <c r="S1129" s="107"/>
      <c r="T1129" s="107"/>
      <c r="U1129" s="107"/>
      <c r="V1129" s="107"/>
      <c r="W1129" s="107"/>
      <c r="X1129" s="107"/>
      <c r="Y1129" s="107"/>
      <c r="Z1129" s="107"/>
      <c r="AA1129" s="107"/>
      <c r="AB1129" s="107"/>
      <c r="AC1129" s="107"/>
      <c r="AD1129" s="107"/>
      <c r="AE1129" s="107"/>
      <c r="AF1129" s="107"/>
      <c r="AG1129" s="107"/>
      <c r="AH1129" s="107"/>
      <c r="AI1129" s="107"/>
      <c r="AJ1129" s="107"/>
      <c r="AK1129" s="107"/>
      <c r="AL1129" s="107"/>
      <c r="AM1129" s="107"/>
      <c r="AN1129" s="107"/>
      <c r="AO1129" s="107"/>
      <c r="AP1129" s="107"/>
      <c r="AQ1129" s="107"/>
      <c r="AR1129" s="107"/>
      <c r="AS1129" s="107"/>
      <c r="AT1129" s="107"/>
      <c r="AU1129" s="107"/>
      <c r="AV1129" s="107"/>
      <c r="AW1129" s="107"/>
      <c r="AX1129" s="107"/>
      <c r="AY1129" s="107"/>
      <c r="AZ1129" s="107"/>
      <c r="BA1129" s="107"/>
      <c r="BB1129" s="107"/>
      <c r="BC1129" s="107"/>
      <c r="BD1129" s="107"/>
      <c r="BE1129" s="107"/>
      <c r="BF1129" s="107"/>
      <c r="BG1129" s="107"/>
      <c r="BH1129" s="107"/>
      <c r="BI1129" s="107"/>
      <c r="BJ1129" s="107"/>
      <c r="BK1129" s="107"/>
      <c r="BL1129" s="107"/>
      <c r="BM1129" s="107"/>
      <c r="BN1129" s="107"/>
      <c r="BO1129" s="107"/>
      <c r="BP1129" s="107"/>
      <c r="BQ1129" s="107"/>
      <c r="BR1129" s="107"/>
      <c r="BS1129" s="107"/>
      <c r="BT1129" s="107"/>
      <c r="BU1129" s="107"/>
      <c r="BV1129" s="107"/>
      <c r="BW1129" s="107"/>
      <c r="BX1129" s="107"/>
      <c r="BY1129" s="107"/>
      <c r="BZ1129" s="107"/>
      <c r="CA1129" s="107"/>
      <c r="CB1129" s="107"/>
      <c r="CC1129" s="107"/>
      <c r="CD1129" s="107"/>
      <c r="CE1129" s="107"/>
      <c r="CF1129" s="107"/>
      <c r="CG1129" s="107"/>
      <c r="CH1129" s="107"/>
      <c r="CI1129" s="107"/>
      <c r="CJ1129" s="107"/>
      <c r="CK1129" s="107"/>
      <c r="CL1129" s="107"/>
      <c r="CM1129" s="107"/>
      <c r="CN1129" s="107"/>
      <c r="CO1129" s="107"/>
      <c r="CP1129" s="107"/>
      <c r="CQ1129" s="107"/>
      <c r="CR1129" s="107"/>
      <c r="CS1129" s="107"/>
      <c r="CT1129" s="107"/>
      <c r="CU1129" s="107"/>
    </row>
    <row r="1130" spans="1:99">
      <c r="A1130" s="107"/>
      <c r="B1130" s="107"/>
      <c r="C1130" s="107"/>
      <c r="D1130" s="107"/>
      <c r="E1130" s="107"/>
      <c r="F1130" s="107"/>
      <c r="G1130" s="107"/>
      <c r="H1130" s="107"/>
      <c r="I1130" s="107"/>
      <c r="J1130" s="107"/>
      <c r="K1130" s="107"/>
      <c r="L1130" s="107"/>
      <c r="M1130" s="107"/>
      <c r="N1130" s="107"/>
      <c r="O1130" s="107"/>
      <c r="P1130" s="107"/>
      <c r="Q1130" s="107"/>
      <c r="R1130" s="107"/>
      <c r="S1130" s="107"/>
      <c r="T1130" s="107"/>
      <c r="U1130" s="107"/>
      <c r="V1130" s="107"/>
      <c r="W1130" s="107"/>
      <c r="X1130" s="107"/>
      <c r="Y1130" s="107"/>
      <c r="Z1130" s="107"/>
      <c r="AA1130" s="107"/>
      <c r="AB1130" s="107"/>
      <c r="AC1130" s="107"/>
      <c r="AD1130" s="107"/>
      <c r="AE1130" s="107"/>
      <c r="AF1130" s="107"/>
      <c r="AG1130" s="107"/>
      <c r="AH1130" s="107"/>
      <c r="AI1130" s="107"/>
      <c r="AJ1130" s="107"/>
      <c r="AK1130" s="107"/>
      <c r="AL1130" s="107"/>
      <c r="AM1130" s="107"/>
      <c r="AN1130" s="107"/>
      <c r="AO1130" s="107"/>
      <c r="AP1130" s="107"/>
      <c r="AQ1130" s="107"/>
      <c r="AR1130" s="107"/>
      <c r="AS1130" s="107"/>
      <c r="AT1130" s="107"/>
      <c r="AU1130" s="107"/>
      <c r="AV1130" s="107"/>
      <c r="AW1130" s="107"/>
      <c r="AX1130" s="107"/>
      <c r="AY1130" s="107"/>
      <c r="AZ1130" s="107"/>
      <c r="BA1130" s="107"/>
      <c r="BB1130" s="107"/>
      <c r="BC1130" s="107"/>
      <c r="BD1130" s="107"/>
      <c r="BE1130" s="107"/>
      <c r="BF1130" s="107"/>
      <c r="BG1130" s="107"/>
      <c r="BH1130" s="107"/>
      <c r="BI1130" s="107"/>
      <c r="BJ1130" s="107"/>
      <c r="BK1130" s="107"/>
      <c r="BL1130" s="107"/>
      <c r="BM1130" s="107"/>
      <c r="BN1130" s="107"/>
      <c r="BO1130" s="107"/>
      <c r="BP1130" s="107"/>
      <c r="BQ1130" s="107"/>
      <c r="BR1130" s="107"/>
      <c r="BS1130" s="107"/>
      <c r="BT1130" s="107"/>
      <c r="BU1130" s="107"/>
      <c r="BV1130" s="107"/>
      <c r="BW1130" s="107"/>
      <c r="BX1130" s="107"/>
      <c r="BY1130" s="107"/>
      <c r="BZ1130" s="107"/>
      <c r="CA1130" s="107"/>
      <c r="CB1130" s="107"/>
      <c r="CC1130" s="107"/>
      <c r="CD1130" s="107"/>
      <c r="CE1130" s="107"/>
      <c r="CF1130" s="107"/>
      <c r="CG1130" s="107"/>
      <c r="CH1130" s="107"/>
      <c r="CI1130" s="107"/>
      <c r="CJ1130" s="107"/>
      <c r="CK1130" s="107"/>
      <c r="CL1130" s="107"/>
      <c r="CM1130" s="107"/>
      <c r="CN1130" s="107"/>
      <c r="CO1130" s="107"/>
      <c r="CP1130" s="107"/>
      <c r="CQ1130" s="107"/>
      <c r="CR1130" s="107"/>
      <c r="CS1130" s="107"/>
      <c r="CT1130" s="107"/>
      <c r="CU1130" s="107"/>
    </row>
    <row r="1131" spans="1:99">
      <c r="A1131" s="107"/>
      <c r="B1131" s="107"/>
      <c r="C1131" s="107"/>
      <c r="D1131" s="107"/>
      <c r="E1131" s="107"/>
      <c r="F1131" s="107"/>
      <c r="G1131" s="107"/>
      <c r="H1131" s="107"/>
      <c r="I1131" s="107"/>
      <c r="J1131" s="107"/>
      <c r="K1131" s="107"/>
      <c r="L1131" s="107"/>
      <c r="M1131" s="107"/>
      <c r="N1131" s="107"/>
      <c r="O1131" s="107"/>
      <c r="P1131" s="107"/>
      <c r="Q1131" s="107"/>
      <c r="R1131" s="107"/>
      <c r="S1131" s="107"/>
      <c r="T1131" s="107"/>
      <c r="U1131" s="107"/>
      <c r="V1131" s="107"/>
      <c r="W1131" s="107"/>
      <c r="X1131" s="107"/>
      <c r="Y1131" s="107"/>
      <c r="Z1131" s="107"/>
      <c r="AA1131" s="107"/>
      <c r="AB1131" s="107"/>
      <c r="AC1131" s="107"/>
      <c r="AD1131" s="107"/>
      <c r="AE1131" s="107"/>
      <c r="AF1131" s="107"/>
      <c r="AG1131" s="107"/>
      <c r="AH1131" s="107"/>
      <c r="AI1131" s="107"/>
      <c r="AJ1131" s="107"/>
      <c r="AK1131" s="107"/>
      <c r="AL1131" s="107"/>
      <c r="AM1131" s="107"/>
      <c r="AN1131" s="107"/>
      <c r="AO1131" s="107"/>
      <c r="AP1131" s="107"/>
      <c r="AQ1131" s="107"/>
      <c r="AR1131" s="107"/>
      <c r="AS1131" s="107"/>
      <c r="AT1131" s="107"/>
      <c r="AU1131" s="107"/>
      <c r="AV1131" s="107"/>
      <c r="AW1131" s="107"/>
      <c r="AX1131" s="107"/>
      <c r="AY1131" s="107"/>
      <c r="AZ1131" s="107"/>
      <c r="BA1131" s="107"/>
      <c r="BB1131" s="107"/>
      <c r="BC1131" s="107"/>
      <c r="BD1131" s="107"/>
      <c r="BE1131" s="107"/>
      <c r="BF1131" s="107"/>
      <c r="BG1131" s="107"/>
      <c r="BH1131" s="107"/>
      <c r="BI1131" s="107"/>
      <c r="BJ1131" s="107"/>
      <c r="BK1131" s="107"/>
      <c r="BL1131" s="107"/>
      <c r="BM1131" s="107"/>
      <c r="BN1131" s="107"/>
      <c r="BO1131" s="107"/>
      <c r="BP1131" s="107"/>
      <c r="BQ1131" s="107"/>
      <c r="BR1131" s="107"/>
      <c r="BS1131" s="107"/>
      <c r="BT1131" s="107"/>
      <c r="BU1131" s="107"/>
      <c r="BV1131" s="107"/>
      <c r="BW1131" s="107"/>
      <c r="BX1131" s="107"/>
      <c r="BY1131" s="107"/>
      <c r="BZ1131" s="107"/>
      <c r="CA1131" s="107"/>
      <c r="CB1131" s="107"/>
      <c r="CC1131" s="107"/>
      <c r="CD1131" s="107"/>
      <c r="CE1131" s="107"/>
      <c r="CF1131" s="107"/>
      <c r="CG1131" s="107"/>
      <c r="CH1131" s="107"/>
      <c r="CI1131" s="107"/>
      <c r="CJ1131" s="107"/>
      <c r="CK1131" s="107"/>
      <c r="CL1131" s="107"/>
      <c r="CM1131" s="107"/>
      <c r="CN1131" s="107"/>
      <c r="CO1131" s="107"/>
      <c r="CP1131" s="107"/>
      <c r="CQ1131" s="107"/>
      <c r="CR1131" s="107"/>
      <c r="CS1131" s="107"/>
      <c r="CT1131" s="107"/>
      <c r="CU1131" s="107"/>
    </row>
    <row r="1132" spans="1:99">
      <c r="A1132" s="107"/>
      <c r="B1132" s="107"/>
      <c r="C1132" s="107"/>
      <c r="D1132" s="107"/>
      <c r="E1132" s="107"/>
      <c r="F1132" s="107"/>
      <c r="G1132" s="107"/>
      <c r="H1132" s="107"/>
      <c r="I1132" s="107"/>
      <c r="J1132" s="107"/>
      <c r="K1132" s="107"/>
      <c r="L1132" s="107"/>
      <c r="M1132" s="107"/>
      <c r="N1132" s="107"/>
      <c r="O1132" s="107"/>
      <c r="P1132" s="107"/>
      <c r="Q1132" s="107"/>
      <c r="R1132" s="107"/>
      <c r="S1132" s="107"/>
      <c r="T1132" s="107"/>
      <c r="U1132" s="107"/>
      <c r="V1132" s="107"/>
      <c r="W1132" s="107"/>
      <c r="X1132" s="107"/>
      <c r="Y1132" s="107"/>
      <c r="Z1132" s="107"/>
      <c r="AA1132" s="107"/>
      <c r="AB1132" s="107"/>
      <c r="AC1132" s="107"/>
      <c r="AD1132" s="107"/>
      <c r="AE1132" s="107"/>
      <c r="AF1132" s="107"/>
      <c r="AG1132" s="107"/>
      <c r="AH1132" s="107"/>
      <c r="AI1132" s="107"/>
      <c r="AJ1132" s="107"/>
      <c r="AK1132" s="107"/>
      <c r="AL1132" s="107"/>
      <c r="AM1132" s="107"/>
      <c r="AN1132" s="107"/>
      <c r="AO1132" s="107"/>
      <c r="AP1132" s="107"/>
      <c r="AQ1132" s="107"/>
      <c r="AR1132" s="107"/>
      <c r="AS1132" s="107"/>
      <c r="AT1132" s="107"/>
      <c r="AU1132" s="107"/>
      <c r="AV1132" s="107"/>
      <c r="AW1132" s="107"/>
      <c r="AX1132" s="107"/>
      <c r="AY1132" s="107"/>
      <c r="AZ1132" s="107"/>
      <c r="BA1132" s="107"/>
      <c r="BB1132" s="107"/>
      <c r="BC1132" s="107"/>
      <c r="BD1132" s="107"/>
      <c r="BE1132" s="107"/>
      <c r="BF1132" s="107"/>
      <c r="BG1132" s="107"/>
      <c r="BH1132" s="107"/>
      <c r="BI1132" s="107"/>
      <c r="BJ1132" s="107"/>
      <c r="BK1132" s="107"/>
      <c r="BL1132" s="107"/>
      <c r="BM1132" s="107"/>
      <c r="BN1132" s="107"/>
      <c r="BO1132" s="107"/>
      <c r="BP1132" s="107"/>
      <c r="BQ1132" s="107"/>
      <c r="BR1132" s="107"/>
      <c r="BS1132" s="107"/>
      <c r="BT1132" s="107"/>
      <c r="BU1132" s="107"/>
      <c r="BV1132" s="107"/>
      <c r="BW1132" s="107"/>
      <c r="BX1132" s="107"/>
      <c r="BY1132" s="107"/>
      <c r="BZ1132" s="107"/>
      <c r="CA1132" s="107"/>
      <c r="CB1132" s="107"/>
      <c r="CC1132" s="107"/>
      <c r="CD1132" s="107"/>
      <c r="CE1132" s="107"/>
      <c r="CF1132" s="107"/>
      <c r="CG1132" s="107"/>
      <c r="CH1132" s="107"/>
      <c r="CI1132" s="107"/>
      <c r="CJ1132" s="107"/>
      <c r="CK1132" s="107"/>
      <c r="CL1132" s="107"/>
      <c r="CM1132" s="107"/>
      <c r="CN1132" s="107"/>
      <c r="CO1132" s="107"/>
      <c r="CP1132" s="107"/>
      <c r="CQ1132" s="107"/>
      <c r="CR1132" s="107"/>
      <c r="CS1132" s="107"/>
      <c r="CT1132" s="107"/>
      <c r="CU1132" s="107"/>
    </row>
    <row r="1133" spans="1:99">
      <c r="A1133" s="107"/>
      <c r="B1133" s="107"/>
      <c r="C1133" s="107"/>
      <c r="D1133" s="107"/>
      <c r="E1133" s="107"/>
      <c r="F1133" s="107"/>
      <c r="G1133" s="107"/>
      <c r="H1133" s="107"/>
      <c r="I1133" s="107"/>
      <c r="J1133" s="107"/>
      <c r="K1133" s="107"/>
      <c r="L1133" s="107"/>
      <c r="M1133" s="107"/>
      <c r="N1133" s="107"/>
      <c r="O1133" s="107"/>
      <c r="P1133" s="107"/>
      <c r="Q1133" s="107"/>
      <c r="R1133" s="107"/>
      <c r="S1133" s="107"/>
      <c r="T1133" s="107"/>
      <c r="U1133" s="107"/>
      <c r="V1133" s="107"/>
      <c r="W1133" s="107"/>
      <c r="X1133" s="107"/>
      <c r="Y1133" s="107"/>
      <c r="Z1133" s="107"/>
      <c r="AA1133" s="107"/>
      <c r="AB1133" s="107"/>
      <c r="AC1133" s="107"/>
      <c r="AD1133" s="107"/>
      <c r="AE1133" s="107"/>
      <c r="AF1133" s="107"/>
      <c r="AG1133" s="107"/>
      <c r="AH1133" s="107"/>
      <c r="AI1133" s="107"/>
      <c r="AJ1133" s="107"/>
      <c r="AK1133" s="107"/>
      <c r="AL1133" s="107"/>
      <c r="AM1133" s="107"/>
      <c r="AN1133" s="107"/>
      <c r="AO1133" s="107"/>
      <c r="AP1133" s="107"/>
      <c r="AQ1133" s="107"/>
      <c r="AR1133" s="107"/>
      <c r="AS1133" s="107"/>
      <c r="AT1133" s="107"/>
      <c r="AU1133" s="107"/>
      <c r="AV1133" s="107"/>
      <c r="AW1133" s="107"/>
      <c r="AX1133" s="107"/>
      <c r="AY1133" s="107"/>
      <c r="AZ1133" s="107"/>
      <c r="BA1133" s="107"/>
      <c r="BB1133" s="107"/>
      <c r="BC1133" s="107"/>
      <c r="BD1133" s="107"/>
      <c r="BE1133" s="107"/>
      <c r="BF1133" s="107"/>
      <c r="BG1133" s="107"/>
      <c r="BH1133" s="107"/>
      <c r="BI1133" s="107"/>
      <c r="BJ1133" s="107"/>
      <c r="BK1133" s="107"/>
      <c r="BL1133" s="107"/>
      <c r="BM1133" s="107"/>
      <c r="BN1133" s="107"/>
      <c r="BO1133" s="107"/>
      <c r="BP1133" s="107"/>
      <c r="BQ1133" s="107"/>
      <c r="BR1133" s="107"/>
      <c r="BS1133" s="107"/>
      <c r="BT1133" s="107"/>
      <c r="BU1133" s="107"/>
      <c r="BV1133" s="107"/>
      <c r="BW1133" s="107"/>
      <c r="BX1133" s="107"/>
      <c r="BY1133" s="107"/>
      <c r="BZ1133" s="107"/>
      <c r="CA1133" s="107"/>
      <c r="CB1133" s="107"/>
      <c r="CC1133" s="107"/>
      <c r="CD1133" s="107"/>
      <c r="CE1133" s="107"/>
      <c r="CF1133" s="107"/>
      <c r="CG1133" s="107"/>
      <c r="CH1133" s="107"/>
      <c r="CI1133" s="107"/>
      <c r="CJ1133" s="107"/>
      <c r="CK1133" s="107"/>
      <c r="CL1133" s="107"/>
      <c r="CM1133" s="107"/>
      <c r="CN1133" s="107"/>
      <c r="CO1133" s="107"/>
      <c r="CP1133" s="107"/>
      <c r="CQ1133" s="107"/>
      <c r="CR1133" s="107"/>
      <c r="CS1133" s="107"/>
      <c r="CT1133" s="107"/>
      <c r="CU1133" s="107"/>
    </row>
    <row r="1134" spans="1:99">
      <c r="A1134" s="107"/>
      <c r="B1134" s="107"/>
      <c r="C1134" s="107"/>
      <c r="D1134" s="107"/>
      <c r="E1134" s="107"/>
      <c r="F1134" s="107"/>
      <c r="G1134" s="107"/>
      <c r="H1134" s="107"/>
      <c r="I1134" s="107"/>
      <c r="J1134" s="107"/>
      <c r="K1134" s="107"/>
      <c r="L1134" s="107"/>
      <c r="M1134" s="107"/>
      <c r="N1134" s="107"/>
      <c r="O1134" s="107"/>
      <c r="P1134" s="107"/>
      <c r="Q1134" s="107"/>
      <c r="R1134" s="107"/>
      <c r="S1134" s="107"/>
      <c r="T1134" s="107"/>
      <c r="U1134" s="107"/>
      <c r="V1134" s="107"/>
      <c r="W1134" s="107"/>
      <c r="X1134" s="107"/>
      <c r="Y1134" s="107"/>
      <c r="Z1134" s="107"/>
      <c r="AA1134" s="107"/>
      <c r="AB1134" s="107"/>
      <c r="AC1134" s="107"/>
      <c r="AD1134" s="107"/>
      <c r="AE1134" s="107"/>
      <c r="AF1134" s="107"/>
      <c r="AG1134" s="107"/>
      <c r="AH1134" s="107"/>
      <c r="AI1134" s="107"/>
      <c r="AJ1134" s="107"/>
      <c r="AK1134" s="107"/>
      <c r="AL1134" s="107"/>
      <c r="AM1134" s="107"/>
      <c r="AN1134" s="107"/>
      <c r="AO1134" s="107"/>
      <c r="AP1134" s="107"/>
      <c r="AQ1134" s="107"/>
      <c r="AR1134" s="107"/>
      <c r="AS1134" s="107"/>
      <c r="AT1134" s="107"/>
      <c r="AU1134" s="107"/>
      <c r="AV1134" s="107"/>
      <c r="AW1134" s="107"/>
      <c r="AX1134" s="107"/>
      <c r="AY1134" s="107"/>
      <c r="AZ1134" s="107"/>
      <c r="BA1134" s="107"/>
      <c r="BB1134" s="107"/>
      <c r="BC1134" s="107"/>
      <c r="BD1134" s="107"/>
      <c r="BE1134" s="107"/>
      <c r="BF1134" s="107"/>
      <c r="BG1134" s="107"/>
      <c r="BH1134" s="107"/>
      <c r="BI1134" s="107"/>
      <c r="BJ1134" s="107"/>
      <c r="BK1134" s="107"/>
      <c r="BL1134" s="107"/>
      <c r="BM1134" s="107"/>
      <c r="BN1134" s="107"/>
      <c r="BO1134" s="107"/>
      <c r="BP1134" s="107"/>
      <c r="BQ1134" s="107"/>
      <c r="BR1134" s="107"/>
      <c r="BS1134" s="107"/>
      <c r="BT1134" s="107"/>
      <c r="BU1134" s="107"/>
      <c r="BV1134" s="107"/>
      <c r="BW1134" s="107"/>
      <c r="BX1134" s="107"/>
      <c r="BY1134" s="107"/>
      <c r="BZ1134" s="107"/>
      <c r="CA1134" s="107"/>
      <c r="CB1134" s="107"/>
      <c r="CC1134" s="107"/>
      <c r="CD1134" s="107"/>
      <c r="CE1134" s="107"/>
      <c r="CF1134" s="107"/>
      <c r="CG1134" s="107"/>
      <c r="CH1134" s="107"/>
      <c r="CI1134" s="107"/>
      <c r="CJ1134" s="107"/>
      <c r="CK1134" s="107"/>
      <c r="CL1134" s="107"/>
      <c r="CM1134" s="107"/>
      <c r="CN1134" s="107"/>
      <c r="CO1134" s="107"/>
      <c r="CP1134" s="107"/>
      <c r="CQ1134" s="107"/>
      <c r="CR1134" s="107"/>
      <c r="CS1134" s="107"/>
      <c r="CT1134" s="107"/>
      <c r="CU1134" s="107"/>
    </row>
    <row r="1135" spans="1:99">
      <c r="A1135" s="107"/>
      <c r="B1135" s="107"/>
      <c r="C1135" s="107"/>
      <c r="D1135" s="107"/>
      <c r="E1135" s="107"/>
      <c r="F1135" s="107"/>
      <c r="G1135" s="107"/>
      <c r="H1135" s="107"/>
      <c r="I1135" s="107"/>
      <c r="J1135" s="107"/>
      <c r="K1135" s="107"/>
      <c r="L1135" s="107"/>
      <c r="M1135" s="107"/>
      <c r="N1135" s="107"/>
      <c r="O1135" s="107"/>
      <c r="P1135" s="107"/>
      <c r="Q1135" s="107"/>
      <c r="R1135" s="107"/>
      <c r="S1135" s="107"/>
      <c r="T1135" s="107"/>
      <c r="U1135" s="107"/>
      <c r="V1135" s="107"/>
      <c r="W1135" s="107"/>
      <c r="X1135" s="107"/>
      <c r="Y1135" s="107"/>
      <c r="Z1135" s="107"/>
      <c r="AA1135" s="107"/>
      <c r="AB1135" s="107"/>
      <c r="AC1135" s="107"/>
      <c r="AD1135" s="107"/>
      <c r="AE1135" s="107"/>
      <c r="AF1135" s="107"/>
      <c r="AG1135" s="107"/>
      <c r="AH1135" s="107"/>
      <c r="AI1135" s="107"/>
      <c r="AJ1135" s="107"/>
      <c r="AK1135" s="107"/>
      <c r="AL1135" s="107"/>
      <c r="AM1135" s="107"/>
      <c r="AN1135" s="107"/>
      <c r="AO1135" s="107"/>
      <c r="AP1135" s="107"/>
      <c r="AQ1135" s="107"/>
      <c r="AR1135" s="107"/>
      <c r="AS1135" s="107"/>
      <c r="AT1135" s="107"/>
      <c r="AU1135" s="107"/>
      <c r="AV1135" s="107"/>
      <c r="AW1135" s="107"/>
      <c r="AX1135" s="107"/>
      <c r="AY1135" s="107"/>
      <c r="AZ1135" s="107"/>
      <c r="BA1135" s="107"/>
      <c r="BB1135" s="107"/>
      <c r="BC1135" s="107"/>
      <c r="BD1135" s="107"/>
      <c r="BE1135" s="107"/>
      <c r="BF1135" s="107"/>
      <c r="BG1135" s="107"/>
      <c r="BH1135" s="107"/>
      <c r="BI1135" s="107"/>
      <c r="BJ1135" s="107"/>
      <c r="BK1135" s="107"/>
      <c r="BL1135" s="107"/>
      <c r="BM1135" s="107"/>
      <c r="BN1135" s="107"/>
      <c r="BO1135" s="107"/>
      <c r="BP1135" s="107"/>
      <c r="BQ1135" s="107"/>
      <c r="BR1135" s="107"/>
      <c r="BS1135" s="107"/>
      <c r="BT1135" s="107"/>
      <c r="BU1135" s="107"/>
      <c r="BV1135" s="107"/>
      <c r="BW1135" s="107"/>
      <c r="BX1135" s="107"/>
      <c r="BY1135" s="107"/>
      <c r="BZ1135" s="107"/>
      <c r="CA1135" s="107"/>
      <c r="CB1135" s="107"/>
      <c r="CC1135" s="107"/>
      <c r="CD1135" s="107"/>
      <c r="CE1135" s="107"/>
      <c r="CF1135" s="107"/>
      <c r="CG1135" s="107"/>
      <c r="CH1135" s="107"/>
      <c r="CI1135" s="107"/>
      <c r="CJ1135" s="107"/>
      <c r="CK1135" s="107"/>
      <c r="CL1135" s="107"/>
      <c r="CM1135" s="107"/>
      <c r="CN1135" s="107"/>
      <c r="CO1135" s="107"/>
      <c r="CP1135" s="107"/>
      <c r="CQ1135" s="107"/>
      <c r="CR1135" s="107"/>
      <c r="CS1135" s="107"/>
      <c r="CT1135" s="107"/>
      <c r="CU1135" s="107"/>
    </row>
    <row r="1136" spans="1:99">
      <c r="A1136" s="107"/>
      <c r="B1136" s="107"/>
      <c r="C1136" s="107"/>
      <c r="D1136" s="107"/>
      <c r="E1136" s="107"/>
      <c r="F1136" s="107"/>
      <c r="G1136" s="107"/>
      <c r="H1136" s="107"/>
      <c r="I1136" s="107"/>
      <c r="J1136" s="107"/>
      <c r="K1136" s="107"/>
      <c r="L1136" s="107"/>
      <c r="M1136" s="107"/>
      <c r="N1136" s="107"/>
      <c r="O1136" s="107"/>
      <c r="P1136" s="107"/>
      <c r="Q1136" s="107"/>
      <c r="R1136" s="107"/>
      <c r="S1136" s="107"/>
      <c r="T1136" s="107"/>
      <c r="U1136" s="107"/>
      <c r="V1136" s="107"/>
      <c r="W1136" s="107"/>
      <c r="X1136" s="107"/>
      <c r="Y1136" s="107"/>
      <c r="Z1136" s="107"/>
      <c r="AA1136" s="107"/>
      <c r="AB1136" s="107"/>
      <c r="AC1136" s="107"/>
      <c r="AD1136" s="107"/>
      <c r="AE1136" s="107"/>
      <c r="AF1136" s="107"/>
      <c r="AG1136" s="107"/>
      <c r="AH1136" s="107"/>
      <c r="AI1136" s="107"/>
      <c r="AJ1136" s="107"/>
      <c r="AK1136" s="107"/>
      <c r="AL1136" s="107"/>
      <c r="AM1136" s="107"/>
      <c r="AN1136" s="107"/>
      <c r="AO1136" s="107"/>
      <c r="AP1136" s="107"/>
      <c r="AQ1136" s="107"/>
      <c r="AR1136" s="107"/>
      <c r="AS1136" s="107"/>
      <c r="AT1136" s="107"/>
      <c r="AU1136" s="107"/>
      <c r="AV1136" s="107"/>
      <c r="AW1136" s="107"/>
      <c r="AX1136" s="107"/>
      <c r="AY1136" s="107"/>
      <c r="AZ1136" s="107"/>
      <c r="BA1136" s="107"/>
      <c r="BB1136" s="107"/>
      <c r="BC1136" s="107"/>
      <c r="BD1136" s="107"/>
      <c r="BE1136" s="107"/>
      <c r="BF1136" s="107"/>
      <c r="BG1136" s="107"/>
      <c r="BH1136" s="107"/>
      <c r="BI1136" s="107"/>
      <c r="BJ1136" s="107"/>
      <c r="BK1136" s="107"/>
      <c r="BL1136" s="107"/>
      <c r="BM1136" s="107"/>
      <c r="BN1136" s="107"/>
      <c r="BO1136" s="107"/>
      <c r="BP1136" s="107"/>
      <c r="BQ1136" s="107"/>
      <c r="BR1136" s="107"/>
      <c r="BS1136" s="107"/>
      <c r="BT1136" s="107"/>
      <c r="BU1136" s="107"/>
      <c r="BV1136" s="107"/>
      <c r="BW1136" s="107"/>
      <c r="BX1136" s="107"/>
      <c r="BY1136" s="107"/>
      <c r="BZ1136" s="107"/>
      <c r="CA1136" s="107"/>
      <c r="CB1136" s="107"/>
      <c r="CC1136" s="107"/>
      <c r="CD1136" s="107"/>
      <c r="CE1136" s="107"/>
      <c r="CF1136" s="107"/>
      <c r="CG1136" s="107"/>
      <c r="CH1136" s="107"/>
      <c r="CI1136" s="107"/>
      <c r="CJ1136" s="107"/>
      <c r="CK1136" s="107"/>
      <c r="CL1136" s="107"/>
      <c r="CM1136" s="107"/>
      <c r="CN1136" s="107"/>
      <c r="CO1136" s="107"/>
      <c r="CP1136" s="107"/>
      <c r="CQ1136" s="107"/>
      <c r="CR1136" s="107"/>
      <c r="CS1136" s="107"/>
      <c r="CT1136" s="107"/>
      <c r="CU1136" s="107"/>
    </row>
    <row r="1137" spans="1:99">
      <c r="A1137" s="107"/>
      <c r="B1137" s="107"/>
      <c r="C1137" s="107"/>
      <c r="D1137" s="107"/>
      <c r="E1137" s="107"/>
      <c r="F1137" s="107"/>
      <c r="G1137" s="107"/>
      <c r="H1137" s="107"/>
      <c r="I1137" s="107"/>
      <c r="J1137" s="107"/>
      <c r="K1137" s="107"/>
      <c r="L1137" s="107"/>
      <c r="M1137" s="107"/>
      <c r="N1137" s="107"/>
      <c r="O1137" s="107"/>
      <c r="P1137" s="107"/>
      <c r="Q1137" s="107"/>
      <c r="R1137" s="107"/>
      <c r="S1137" s="107"/>
      <c r="T1137" s="107"/>
      <c r="U1137" s="107"/>
      <c r="V1137" s="107"/>
      <c r="W1137" s="107"/>
      <c r="X1137" s="107"/>
      <c r="Y1137" s="107"/>
      <c r="Z1137" s="107"/>
      <c r="AA1137" s="107"/>
      <c r="AB1137" s="107"/>
      <c r="AC1137" s="107"/>
      <c r="AD1137" s="107"/>
      <c r="AE1137" s="107"/>
      <c r="AF1137" s="107"/>
      <c r="AG1137" s="107"/>
      <c r="AH1137" s="107"/>
      <c r="AI1137" s="107"/>
      <c r="AJ1137" s="107"/>
      <c r="AK1137" s="107"/>
      <c r="AL1137" s="107"/>
      <c r="AM1137" s="107"/>
      <c r="AN1137" s="107"/>
      <c r="AO1137" s="107"/>
      <c r="AP1137" s="107"/>
      <c r="AQ1137" s="107"/>
      <c r="AR1137" s="107"/>
      <c r="AS1137" s="107"/>
      <c r="AT1137" s="107"/>
      <c r="AU1137" s="107"/>
      <c r="AV1137" s="107"/>
      <c r="AW1137" s="107"/>
      <c r="AX1137" s="107"/>
      <c r="AY1137" s="107"/>
      <c r="AZ1137" s="107"/>
      <c r="BA1137" s="107"/>
      <c r="BB1137" s="107"/>
      <c r="BC1137" s="107"/>
      <c r="BD1137" s="107"/>
      <c r="BE1137" s="107"/>
      <c r="BF1137" s="107"/>
      <c r="BG1137" s="107"/>
      <c r="BH1137" s="107"/>
      <c r="BI1137" s="107"/>
      <c r="BJ1137" s="107"/>
      <c r="BK1137" s="107"/>
      <c r="BL1137" s="107"/>
      <c r="BM1137" s="107"/>
      <c r="BN1137" s="107"/>
      <c r="BO1137" s="107"/>
      <c r="BP1137" s="107"/>
      <c r="BQ1137" s="107"/>
      <c r="BR1137" s="107"/>
      <c r="BS1137" s="107"/>
      <c r="BT1137" s="107"/>
      <c r="BU1137" s="107"/>
      <c r="BV1137" s="107"/>
      <c r="BW1137" s="107"/>
      <c r="BX1137" s="107"/>
      <c r="BY1137" s="107"/>
      <c r="BZ1137" s="107"/>
      <c r="CA1137" s="107"/>
      <c r="CB1137" s="107"/>
      <c r="CC1137" s="107"/>
      <c r="CD1137" s="107"/>
      <c r="CE1137" s="107"/>
      <c r="CF1137" s="107"/>
      <c r="CG1137" s="107"/>
      <c r="CH1137" s="107"/>
      <c r="CI1137" s="107"/>
      <c r="CJ1137" s="107"/>
      <c r="CK1137" s="107"/>
      <c r="CL1137" s="107"/>
      <c r="CM1137" s="107"/>
      <c r="CN1137" s="107"/>
      <c r="CO1137" s="107"/>
      <c r="CP1137" s="107"/>
      <c r="CQ1137" s="107"/>
      <c r="CR1137" s="107"/>
      <c r="CS1137" s="107"/>
      <c r="CT1137" s="107"/>
      <c r="CU1137" s="107"/>
    </row>
    <row r="1138" spans="1:99">
      <c r="A1138" s="107"/>
      <c r="B1138" s="107"/>
      <c r="C1138" s="107"/>
      <c r="D1138" s="107"/>
      <c r="E1138" s="107"/>
      <c r="F1138" s="107"/>
      <c r="G1138" s="107"/>
      <c r="H1138" s="107"/>
      <c r="I1138" s="107"/>
      <c r="J1138" s="107"/>
      <c r="K1138" s="107"/>
      <c r="L1138" s="107"/>
      <c r="M1138" s="107"/>
      <c r="N1138" s="107"/>
      <c r="O1138" s="107"/>
      <c r="P1138" s="107"/>
      <c r="Q1138" s="107"/>
      <c r="R1138" s="107"/>
      <c r="S1138" s="107"/>
      <c r="T1138" s="107"/>
      <c r="U1138" s="107"/>
      <c r="V1138" s="107"/>
      <c r="W1138" s="107"/>
      <c r="X1138" s="107"/>
      <c r="Y1138" s="107"/>
      <c r="Z1138" s="107"/>
      <c r="AA1138" s="107"/>
      <c r="AB1138" s="107"/>
      <c r="AC1138" s="107"/>
      <c r="AD1138" s="107"/>
      <c r="AE1138" s="107"/>
      <c r="AF1138" s="107"/>
      <c r="AG1138" s="107"/>
      <c r="AH1138" s="107"/>
      <c r="AI1138" s="107"/>
      <c r="AJ1138" s="107"/>
      <c r="AK1138" s="107"/>
      <c r="AL1138" s="107"/>
      <c r="AM1138" s="107"/>
      <c r="AN1138" s="107"/>
      <c r="AO1138" s="107"/>
      <c r="AP1138" s="107"/>
      <c r="AQ1138" s="107"/>
      <c r="AR1138" s="107"/>
      <c r="AS1138" s="107"/>
      <c r="AT1138" s="107"/>
      <c r="AU1138" s="107"/>
      <c r="AV1138" s="107"/>
      <c r="AW1138" s="107"/>
      <c r="AX1138" s="107"/>
      <c r="AY1138" s="107"/>
      <c r="AZ1138" s="107"/>
      <c r="BA1138" s="107"/>
      <c r="BB1138" s="107"/>
      <c r="BC1138" s="107"/>
      <c r="BD1138" s="107"/>
      <c r="BE1138" s="107"/>
      <c r="BF1138" s="107"/>
      <c r="BG1138" s="107"/>
      <c r="BH1138" s="107"/>
      <c r="BI1138" s="107"/>
      <c r="BJ1138" s="107"/>
      <c r="BK1138" s="107"/>
      <c r="BL1138" s="107"/>
      <c r="BM1138" s="107"/>
      <c r="BN1138" s="107"/>
      <c r="BO1138" s="107"/>
      <c r="BP1138" s="107"/>
      <c r="BQ1138" s="107"/>
      <c r="BR1138" s="107"/>
      <c r="BS1138" s="107"/>
      <c r="BT1138" s="107"/>
      <c r="BU1138" s="107"/>
      <c r="BV1138" s="107"/>
      <c r="BW1138" s="107"/>
      <c r="BX1138" s="107"/>
      <c r="BY1138" s="107"/>
      <c r="BZ1138" s="107"/>
      <c r="CA1138" s="107"/>
      <c r="CB1138" s="107"/>
      <c r="CC1138" s="107"/>
      <c r="CD1138" s="107"/>
      <c r="CE1138" s="107"/>
      <c r="CF1138" s="107"/>
      <c r="CG1138" s="107"/>
      <c r="CH1138" s="107"/>
      <c r="CI1138" s="107"/>
      <c r="CJ1138" s="107"/>
      <c r="CK1138" s="107"/>
      <c r="CL1138" s="107"/>
      <c r="CM1138" s="107"/>
      <c r="CN1138" s="107"/>
      <c r="CO1138" s="107"/>
      <c r="CP1138" s="107"/>
      <c r="CQ1138" s="107"/>
      <c r="CR1138" s="107"/>
      <c r="CS1138" s="107"/>
      <c r="CT1138" s="107"/>
      <c r="CU1138" s="107"/>
    </row>
    <row r="1139" spans="1:99">
      <c r="A1139" s="107"/>
      <c r="B1139" s="107"/>
      <c r="C1139" s="107"/>
      <c r="D1139" s="107"/>
      <c r="E1139" s="107"/>
      <c r="F1139" s="107"/>
      <c r="G1139" s="107"/>
      <c r="H1139" s="107"/>
      <c r="I1139" s="107"/>
      <c r="J1139" s="107"/>
      <c r="K1139" s="107"/>
      <c r="L1139" s="107"/>
      <c r="M1139" s="107"/>
      <c r="N1139" s="107"/>
      <c r="O1139" s="107"/>
      <c r="P1139" s="107"/>
      <c r="Q1139" s="107"/>
      <c r="R1139" s="107"/>
      <c r="S1139" s="107"/>
      <c r="T1139" s="107"/>
      <c r="U1139" s="107"/>
      <c r="V1139" s="107"/>
      <c r="W1139" s="107"/>
      <c r="X1139" s="107"/>
      <c r="Y1139" s="107"/>
      <c r="Z1139" s="107"/>
      <c r="AA1139" s="107"/>
      <c r="AB1139" s="107"/>
      <c r="AC1139" s="107"/>
      <c r="AD1139" s="107"/>
      <c r="AE1139" s="107"/>
      <c r="AF1139" s="107"/>
      <c r="AG1139" s="107"/>
      <c r="AH1139" s="107"/>
      <c r="AI1139" s="107"/>
      <c r="AJ1139" s="107"/>
      <c r="AK1139" s="107"/>
      <c r="AL1139" s="107"/>
      <c r="AM1139" s="107"/>
      <c r="AN1139" s="107"/>
      <c r="AO1139" s="107"/>
      <c r="AP1139" s="107"/>
      <c r="AQ1139" s="107"/>
      <c r="AR1139" s="107"/>
      <c r="AS1139" s="107"/>
      <c r="AT1139" s="107"/>
      <c r="AU1139" s="107"/>
      <c r="AV1139" s="107"/>
      <c r="AW1139" s="107"/>
      <c r="AX1139" s="107"/>
      <c r="AY1139" s="107"/>
      <c r="AZ1139" s="107"/>
      <c r="BA1139" s="107"/>
      <c r="BB1139" s="107"/>
      <c r="BC1139" s="107"/>
      <c r="BD1139" s="107"/>
      <c r="BE1139" s="107"/>
      <c r="BF1139" s="107"/>
      <c r="BG1139" s="107"/>
      <c r="BH1139" s="107"/>
      <c r="BI1139" s="107"/>
      <c r="BJ1139" s="107"/>
      <c r="BK1139" s="107"/>
      <c r="BL1139" s="107"/>
      <c r="BM1139" s="107"/>
      <c r="BN1139" s="107"/>
      <c r="BO1139" s="107"/>
      <c r="BP1139" s="107"/>
      <c r="BQ1139" s="107"/>
      <c r="BR1139" s="107"/>
      <c r="BS1139" s="107"/>
      <c r="BT1139" s="107"/>
      <c r="BU1139" s="107"/>
      <c r="BV1139" s="107"/>
      <c r="BW1139" s="107"/>
      <c r="BX1139" s="107"/>
      <c r="BY1139" s="107"/>
      <c r="BZ1139" s="107"/>
      <c r="CA1139" s="107"/>
      <c r="CB1139" s="107"/>
      <c r="CC1139" s="107"/>
      <c r="CD1139" s="107"/>
      <c r="CE1139" s="107"/>
      <c r="CF1139" s="107"/>
      <c r="CG1139" s="107"/>
      <c r="CH1139" s="107"/>
      <c r="CI1139" s="107"/>
      <c r="CJ1139" s="107"/>
      <c r="CK1139" s="107"/>
      <c r="CL1139" s="107"/>
      <c r="CM1139" s="107"/>
      <c r="CN1139" s="107"/>
      <c r="CO1139" s="107"/>
      <c r="CP1139" s="107"/>
      <c r="CQ1139" s="107"/>
      <c r="CR1139" s="107"/>
      <c r="CS1139" s="107"/>
      <c r="CT1139" s="107"/>
      <c r="CU1139" s="107"/>
    </row>
    <row r="1140" spans="1:99">
      <c r="A1140" s="107"/>
      <c r="B1140" s="107"/>
      <c r="C1140" s="107"/>
      <c r="D1140" s="107"/>
      <c r="E1140" s="107"/>
      <c r="F1140" s="107"/>
      <c r="G1140" s="107"/>
      <c r="H1140" s="107"/>
      <c r="I1140" s="107"/>
      <c r="J1140" s="107"/>
      <c r="K1140" s="107"/>
      <c r="L1140" s="107"/>
      <c r="M1140" s="107"/>
      <c r="N1140" s="107"/>
      <c r="O1140" s="107"/>
      <c r="P1140" s="107"/>
      <c r="Q1140" s="107"/>
      <c r="R1140" s="107"/>
      <c r="S1140" s="107"/>
      <c r="T1140" s="107"/>
      <c r="U1140" s="107"/>
      <c r="V1140" s="107"/>
      <c r="W1140" s="107"/>
      <c r="X1140" s="107"/>
      <c r="Y1140" s="107"/>
      <c r="Z1140" s="107"/>
      <c r="AA1140" s="107"/>
      <c r="AB1140" s="107"/>
      <c r="AC1140" s="107"/>
      <c r="AD1140" s="107"/>
      <c r="AE1140" s="107"/>
      <c r="AF1140" s="107"/>
      <c r="AG1140" s="107"/>
      <c r="AH1140" s="107"/>
      <c r="AI1140" s="107"/>
      <c r="AJ1140" s="107"/>
      <c r="AK1140" s="107"/>
      <c r="AL1140" s="107"/>
      <c r="AM1140" s="107"/>
      <c r="AN1140" s="107"/>
      <c r="AO1140" s="107"/>
      <c r="AP1140" s="107"/>
      <c r="AQ1140" s="107"/>
      <c r="AR1140" s="107"/>
      <c r="AS1140" s="107"/>
      <c r="AT1140" s="107"/>
      <c r="AU1140" s="107"/>
      <c r="AV1140" s="107"/>
      <c r="AW1140" s="107"/>
      <c r="AX1140" s="107"/>
      <c r="AY1140" s="107"/>
      <c r="AZ1140" s="107"/>
      <c r="BA1140" s="107"/>
      <c r="BB1140" s="107"/>
      <c r="BC1140" s="107"/>
      <c r="BD1140" s="107"/>
      <c r="BE1140" s="107"/>
      <c r="BF1140" s="107"/>
      <c r="BG1140" s="107"/>
      <c r="BH1140" s="107"/>
      <c r="BI1140" s="107"/>
      <c r="BJ1140" s="107"/>
      <c r="BK1140" s="107"/>
      <c r="BL1140" s="107"/>
      <c r="BM1140" s="107"/>
      <c r="BN1140" s="107"/>
      <c r="BO1140" s="107"/>
      <c r="BP1140" s="107"/>
      <c r="BQ1140" s="107"/>
      <c r="BR1140" s="107"/>
      <c r="BS1140" s="107"/>
      <c r="BT1140" s="107"/>
      <c r="BU1140" s="107"/>
      <c r="BV1140" s="107"/>
      <c r="BW1140" s="107"/>
      <c r="BX1140" s="107"/>
      <c r="BY1140" s="107"/>
      <c r="BZ1140" s="107"/>
      <c r="CA1140" s="107"/>
      <c r="CB1140" s="107"/>
      <c r="CC1140" s="107"/>
      <c r="CD1140" s="107"/>
      <c r="CE1140" s="107"/>
      <c r="CF1140" s="107"/>
      <c r="CG1140" s="107"/>
      <c r="CH1140" s="107"/>
      <c r="CI1140" s="107"/>
      <c r="CJ1140" s="107"/>
      <c r="CK1140" s="107"/>
      <c r="CL1140" s="107"/>
      <c r="CM1140" s="107"/>
      <c r="CN1140" s="107"/>
      <c r="CO1140" s="107"/>
      <c r="CP1140" s="107"/>
      <c r="CQ1140" s="107"/>
      <c r="CR1140" s="107"/>
      <c r="CS1140" s="107"/>
      <c r="CT1140" s="107"/>
      <c r="CU1140" s="107"/>
    </row>
    <row r="1141" spans="1:99">
      <c r="A1141" s="107"/>
      <c r="B1141" s="107"/>
      <c r="C1141" s="107"/>
      <c r="D1141" s="107"/>
      <c r="E1141" s="107"/>
      <c r="F1141" s="107"/>
      <c r="G1141" s="107"/>
      <c r="H1141" s="107"/>
      <c r="I1141" s="107"/>
      <c r="J1141" s="107"/>
      <c r="K1141" s="107"/>
      <c r="L1141" s="107"/>
      <c r="M1141" s="107"/>
      <c r="N1141" s="107"/>
      <c r="O1141" s="107"/>
      <c r="P1141" s="107"/>
      <c r="Q1141" s="107"/>
      <c r="R1141" s="107"/>
      <c r="S1141" s="107"/>
      <c r="T1141" s="107"/>
      <c r="U1141" s="107"/>
      <c r="V1141" s="107"/>
      <c r="W1141" s="107"/>
      <c r="X1141" s="107"/>
      <c r="Y1141" s="107"/>
      <c r="Z1141" s="107"/>
      <c r="AA1141" s="107"/>
      <c r="AB1141" s="107"/>
      <c r="AC1141" s="107"/>
      <c r="AD1141" s="107"/>
      <c r="AE1141" s="107"/>
      <c r="AF1141" s="107"/>
      <c r="AG1141" s="107"/>
      <c r="AH1141" s="107"/>
      <c r="AI1141" s="107"/>
      <c r="AJ1141" s="107"/>
      <c r="AK1141" s="107"/>
      <c r="AL1141" s="107"/>
      <c r="AM1141" s="107"/>
      <c r="AN1141" s="107"/>
      <c r="AO1141" s="107"/>
      <c r="AP1141" s="107"/>
      <c r="AQ1141" s="107"/>
      <c r="AR1141" s="107"/>
      <c r="AS1141" s="107"/>
      <c r="AT1141" s="107"/>
      <c r="AU1141" s="107"/>
      <c r="AV1141" s="107"/>
      <c r="AW1141" s="107"/>
      <c r="AX1141" s="107"/>
      <c r="AY1141" s="107"/>
      <c r="AZ1141" s="107"/>
      <c r="BA1141" s="107"/>
      <c r="BB1141" s="107"/>
      <c r="BC1141" s="107"/>
      <c r="BD1141" s="107"/>
      <c r="BE1141" s="107"/>
      <c r="BF1141" s="107"/>
      <c r="BG1141" s="107"/>
      <c r="BH1141" s="107"/>
      <c r="BI1141" s="107"/>
      <c r="BJ1141" s="107"/>
      <c r="BK1141" s="107"/>
      <c r="BL1141" s="107"/>
      <c r="BM1141" s="107"/>
      <c r="BN1141" s="107"/>
      <c r="BO1141" s="107"/>
      <c r="BP1141" s="107"/>
      <c r="BQ1141" s="107"/>
      <c r="BR1141" s="107"/>
      <c r="BS1141" s="107"/>
      <c r="BT1141" s="107"/>
      <c r="BU1141" s="107"/>
      <c r="BV1141" s="107"/>
      <c r="BW1141" s="107"/>
      <c r="BX1141" s="107"/>
      <c r="BY1141" s="107"/>
      <c r="BZ1141" s="107"/>
      <c r="CA1141" s="107"/>
      <c r="CB1141" s="107"/>
      <c r="CC1141" s="107"/>
      <c r="CD1141" s="107"/>
      <c r="CE1141" s="107"/>
      <c r="CF1141" s="107"/>
      <c r="CG1141" s="107"/>
      <c r="CH1141" s="107"/>
      <c r="CI1141" s="107"/>
      <c r="CJ1141" s="107"/>
      <c r="CK1141" s="107"/>
      <c r="CL1141" s="107"/>
      <c r="CM1141" s="107"/>
      <c r="CN1141" s="107"/>
      <c r="CO1141" s="107"/>
      <c r="CP1141" s="107"/>
      <c r="CQ1141" s="107"/>
      <c r="CR1141" s="107"/>
      <c r="CS1141" s="107"/>
      <c r="CT1141" s="107"/>
      <c r="CU1141" s="107"/>
    </row>
    <row r="1142" spans="1:99">
      <c r="A1142" s="107"/>
      <c r="B1142" s="107"/>
      <c r="C1142" s="107"/>
      <c r="D1142" s="107"/>
      <c r="E1142" s="107"/>
      <c r="F1142" s="107"/>
      <c r="G1142" s="107"/>
      <c r="H1142" s="107"/>
      <c r="I1142" s="107"/>
      <c r="J1142" s="107"/>
      <c r="K1142" s="107"/>
      <c r="L1142" s="107"/>
      <c r="M1142" s="107"/>
      <c r="N1142" s="107"/>
      <c r="O1142" s="107"/>
      <c r="P1142" s="107"/>
      <c r="Q1142" s="107"/>
      <c r="R1142" s="107"/>
      <c r="S1142" s="107"/>
      <c r="T1142" s="107"/>
      <c r="U1142" s="107"/>
      <c r="V1142" s="107"/>
      <c r="W1142" s="107"/>
      <c r="X1142" s="107"/>
      <c r="Y1142" s="107"/>
      <c r="Z1142" s="107"/>
      <c r="AA1142" s="107"/>
      <c r="AB1142" s="107"/>
      <c r="AC1142" s="107"/>
      <c r="AD1142" s="107"/>
      <c r="AE1142" s="107"/>
      <c r="AF1142" s="107"/>
      <c r="AG1142" s="107"/>
      <c r="AH1142" s="107"/>
      <c r="AI1142" s="107"/>
      <c r="AJ1142" s="107"/>
      <c r="AK1142" s="107"/>
      <c r="AL1142" s="107"/>
      <c r="AM1142" s="107"/>
      <c r="AN1142" s="107"/>
      <c r="AO1142" s="107"/>
      <c r="AP1142" s="107"/>
      <c r="AQ1142" s="107"/>
      <c r="AR1142" s="107"/>
      <c r="AS1142" s="107"/>
      <c r="AT1142" s="107"/>
      <c r="AU1142" s="107"/>
      <c r="AV1142" s="107"/>
      <c r="AW1142" s="107"/>
      <c r="AX1142" s="107"/>
      <c r="AY1142" s="107"/>
      <c r="AZ1142" s="107"/>
      <c r="BA1142" s="107"/>
      <c r="BB1142" s="107"/>
      <c r="BC1142" s="107"/>
      <c r="BD1142" s="107"/>
      <c r="BE1142" s="107"/>
      <c r="BF1142" s="107"/>
      <c r="BG1142" s="107"/>
      <c r="BH1142" s="107"/>
      <c r="BI1142" s="107"/>
      <c r="BJ1142" s="107"/>
      <c r="BK1142" s="107"/>
      <c r="BL1142" s="107"/>
      <c r="BM1142" s="107"/>
      <c r="BN1142" s="107"/>
      <c r="BO1142" s="107"/>
      <c r="BP1142" s="107"/>
      <c r="BQ1142" s="107"/>
      <c r="BR1142" s="107"/>
      <c r="BS1142" s="107"/>
      <c r="BT1142" s="107"/>
      <c r="BU1142" s="107"/>
      <c r="BV1142" s="107"/>
      <c r="BW1142" s="107"/>
      <c r="BX1142" s="107"/>
      <c r="BY1142" s="107"/>
      <c r="BZ1142" s="107"/>
      <c r="CA1142" s="107"/>
      <c r="CB1142" s="107"/>
      <c r="CC1142" s="107"/>
      <c r="CD1142" s="107"/>
      <c r="CE1142" s="107"/>
      <c r="CF1142" s="107"/>
      <c r="CG1142" s="107"/>
      <c r="CH1142" s="107"/>
      <c r="CI1142" s="107"/>
      <c r="CJ1142" s="107"/>
      <c r="CK1142" s="107"/>
      <c r="CL1142" s="107"/>
      <c r="CM1142" s="107"/>
      <c r="CN1142" s="107"/>
      <c r="CO1142" s="107"/>
      <c r="CP1142" s="107"/>
      <c r="CQ1142" s="107"/>
      <c r="CR1142" s="107"/>
      <c r="CS1142" s="107"/>
      <c r="CT1142" s="107"/>
      <c r="CU1142" s="107"/>
    </row>
    <row r="1143" spans="1:99">
      <c r="A1143" s="107"/>
      <c r="B1143" s="107"/>
      <c r="C1143" s="107"/>
      <c r="D1143" s="107"/>
      <c r="E1143" s="107"/>
      <c r="F1143" s="107"/>
      <c r="G1143" s="107"/>
      <c r="H1143" s="107"/>
      <c r="I1143" s="107"/>
      <c r="J1143" s="107"/>
      <c r="K1143" s="107"/>
      <c r="L1143" s="107"/>
      <c r="M1143" s="107"/>
      <c r="N1143" s="107"/>
      <c r="O1143" s="107"/>
      <c r="P1143" s="107"/>
      <c r="Q1143" s="107"/>
      <c r="R1143" s="107"/>
      <c r="S1143" s="107"/>
      <c r="T1143" s="107"/>
      <c r="U1143" s="107"/>
      <c r="V1143" s="107"/>
      <c r="W1143" s="107"/>
      <c r="X1143" s="107"/>
      <c r="Y1143" s="107"/>
      <c r="Z1143" s="107"/>
      <c r="AA1143" s="107"/>
      <c r="AB1143" s="107"/>
      <c r="AC1143" s="107"/>
      <c r="AD1143" s="107"/>
      <c r="AE1143" s="107"/>
      <c r="AF1143" s="107"/>
      <c r="AG1143" s="107"/>
      <c r="AH1143" s="107"/>
      <c r="AI1143" s="107"/>
      <c r="AJ1143" s="107"/>
      <c r="AK1143" s="107"/>
      <c r="AL1143" s="107"/>
      <c r="AM1143" s="107"/>
      <c r="AN1143" s="107"/>
      <c r="AO1143" s="107"/>
      <c r="AP1143" s="107"/>
      <c r="AQ1143" s="107"/>
      <c r="AR1143" s="107"/>
      <c r="AS1143" s="107"/>
      <c r="AT1143" s="107"/>
      <c r="AU1143" s="107"/>
      <c r="AV1143" s="107"/>
      <c r="AW1143" s="107"/>
      <c r="AX1143" s="107"/>
      <c r="AY1143" s="107"/>
      <c r="AZ1143" s="107"/>
      <c r="BA1143" s="107"/>
      <c r="BB1143" s="107"/>
      <c r="BC1143" s="107"/>
      <c r="BD1143" s="107"/>
      <c r="BE1143" s="107"/>
      <c r="BF1143" s="107"/>
      <c r="BG1143" s="107"/>
      <c r="BH1143" s="107"/>
      <c r="BI1143" s="107"/>
      <c r="BJ1143" s="107"/>
      <c r="BK1143" s="107"/>
      <c r="BL1143" s="107"/>
      <c r="BM1143" s="107"/>
      <c r="BN1143" s="107"/>
      <c r="BO1143" s="107"/>
      <c r="BP1143" s="107"/>
      <c r="BQ1143" s="107"/>
      <c r="BR1143" s="107"/>
      <c r="BS1143" s="107"/>
      <c r="BT1143" s="107"/>
      <c r="BU1143" s="107"/>
      <c r="BV1143" s="107"/>
      <c r="BW1143" s="107"/>
      <c r="BX1143" s="107"/>
      <c r="BY1143" s="107"/>
      <c r="BZ1143" s="107"/>
      <c r="CA1143" s="107"/>
      <c r="CB1143" s="107"/>
      <c r="CC1143" s="107"/>
      <c r="CD1143" s="107"/>
      <c r="CE1143" s="107"/>
      <c r="CF1143" s="107"/>
      <c r="CG1143" s="107"/>
      <c r="CH1143" s="107"/>
      <c r="CI1143" s="107"/>
      <c r="CJ1143" s="107"/>
      <c r="CK1143" s="107"/>
      <c r="CL1143" s="107"/>
      <c r="CM1143" s="107"/>
      <c r="CN1143" s="107"/>
      <c r="CO1143" s="107"/>
      <c r="CP1143" s="107"/>
      <c r="CQ1143" s="107"/>
      <c r="CR1143" s="107"/>
      <c r="CS1143" s="107"/>
      <c r="CT1143" s="107"/>
      <c r="CU1143" s="107"/>
    </row>
    <row r="1144" spans="1:99">
      <c r="P1144" s="103"/>
      <c r="AD1144" s="103"/>
      <c r="AO1144" s="103"/>
      <c r="BB1144" s="103"/>
      <c r="BU1144" s="103"/>
      <c r="CI1144" s="103"/>
    </row>
    <row r="1145" spans="1:99">
      <c r="P1145" s="103"/>
      <c r="AD1145" s="103"/>
      <c r="AO1145" s="103"/>
      <c r="BB1145" s="103"/>
      <c r="BU1145" s="103"/>
      <c r="CI1145" s="103"/>
    </row>
    <row r="1146" spans="1:99">
      <c r="P1146" s="103"/>
      <c r="AD1146" s="103"/>
      <c r="AO1146" s="103"/>
      <c r="BB1146" s="103"/>
      <c r="BU1146" s="103"/>
      <c r="CI1146" s="103"/>
    </row>
    <row r="1147" spans="1:99">
      <c r="P1147" s="103"/>
      <c r="AD1147" s="103"/>
      <c r="AO1147" s="103"/>
      <c r="BB1147" s="103"/>
      <c r="BU1147" s="103"/>
      <c r="CI1147" s="103"/>
    </row>
    <row r="1148" spans="1:99">
      <c r="P1148" s="103"/>
      <c r="AD1148" s="103"/>
      <c r="AO1148" s="103"/>
      <c r="BB1148" s="103"/>
      <c r="BU1148" s="103"/>
      <c r="CI1148" s="103"/>
    </row>
    <row r="1149" spans="1:99">
      <c r="P1149" s="103"/>
      <c r="AD1149" s="103"/>
      <c r="AO1149" s="103"/>
      <c r="BB1149" s="103"/>
      <c r="BU1149" s="103"/>
      <c r="CI1149" s="103"/>
    </row>
    <row r="1150" spans="1:99">
      <c r="P1150" s="103"/>
      <c r="AD1150" s="103"/>
      <c r="AO1150" s="103"/>
      <c r="BB1150" s="103"/>
      <c r="BU1150" s="103"/>
      <c r="CI1150" s="103"/>
    </row>
    <row r="1151" spans="1:99">
      <c r="P1151" s="103"/>
      <c r="AD1151" s="103"/>
      <c r="AO1151" s="103"/>
      <c r="BB1151" s="103"/>
      <c r="BU1151" s="103"/>
      <c r="CI1151" s="103"/>
    </row>
    <row r="1152" spans="1:99">
      <c r="P1152" s="103"/>
      <c r="AD1152" s="103"/>
      <c r="AO1152" s="103"/>
      <c r="BB1152" s="103"/>
      <c r="BU1152" s="103"/>
      <c r="CI1152" s="103"/>
    </row>
    <row r="1153" spans="16:87">
      <c r="P1153" s="103"/>
      <c r="AD1153" s="103"/>
      <c r="AO1153" s="103"/>
      <c r="BB1153" s="103"/>
      <c r="BU1153" s="103"/>
      <c r="CI1153" s="103"/>
    </row>
    <row r="1154" spans="16:87">
      <c r="P1154" s="103"/>
      <c r="AD1154" s="103"/>
      <c r="AO1154" s="103"/>
      <c r="BB1154" s="103"/>
      <c r="BU1154" s="103"/>
      <c r="CI1154" s="103"/>
    </row>
    <row r="1155" spans="16:87">
      <c r="P1155" s="103"/>
      <c r="AD1155" s="103"/>
      <c r="AO1155" s="103"/>
      <c r="BB1155" s="103"/>
      <c r="BU1155" s="103"/>
      <c r="CI1155" s="103"/>
    </row>
    <row r="1156" spans="16:87">
      <c r="P1156" s="103"/>
      <c r="AD1156" s="103"/>
      <c r="AO1156" s="103"/>
      <c r="BB1156" s="103"/>
      <c r="BU1156" s="103"/>
      <c r="CI1156" s="103"/>
    </row>
    <row r="1157" spans="16:87">
      <c r="P1157" s="103"/>
      <c r="AD1157" s="103"/>
      <c r="AO1157" s="103"/>
      <c r="BB1157" s="103"/>
      <c r="BU1157" s="103"/>
      <c r="CI1157" s="103"/>
    </row>
    <row r="1158" spans="16:87">
      <c r="P1158" s="103"/>
      <c r="AD1158" s="103"/>
      <c r="AO1158" s="103"/>
      <c r="BB1158" s="103"/>
      <c r="BU1158" s="103"/>
      <c r="CI1158" s="103"/>
    </row>
    <row r="1159" spans="16:87">
      <c r="P1159" s="103"/>
      <c r="AD1159" s="103"/>
      <c r="AO1159" s="103"/>
      <c r="BB1159" s="103"/>
      <c r="BU1159" s="103"/>
      <c r="CI1159" s="103"/>
    </row>
    <row r="1160" spans="16:87">
      <c r="P1160" s="103"/>
      <c r="AD1160" s="103"/>
      <c r="AO1160" s="103"/>
      <c r="BB1160" s="103"/>
      <c r="BU1160" s="103"/>
      <c r="CI1160" s="103"/>
    </row>
    <row r="1161" spans="16:87">
      <c r="P1161" s="103"/>
      <c r="AD1161" s="103"/>
      <c r="AO1161" s="103"/>
      <c r="BB1161" s="103"/>
      <c r="BU1161" s="103"/>
      <c r="CI1161" s="103"/>
    </row>
    <row r="1162" spans="16:87">
      <c r="P1162" s="103"/>
      <c r="AD1162" s="103"/>
      <c r="AO1162" s="103"/>
      <c r="BB1162" s="103"/>
      <c r="BU1162" s="103"/>
      <c r="CI1162" s="103"/>
    </row>
    <row r="1163" spans="16:87">
      <c r="P1163" s="103"/>
      <c r="AD1163" s="103"/>
      <c r="AO1163" s="103"/>
      <c r="BB1163" s="103"/>
      <c r="BU1163" s="103"/>
      <c r="CI1163" s="103"/>
    </row>
    <row r="1164" spans="16:87">
      <c r="P1164" s="103"/>
      <c r="AD1164" s="103"/>
      <c r="AO1164" s="103"/>
      <c r="BB1164" s="103"/>
      <c r="BU1164" s="103"/>
      <c r="CI1164" s="103"/>
    </row>
    <row r="1165" spans="16:87">
      <c r="P1165" s="103"/>
      <c r="AD1165" s="103"/>
      <c r="AO1165" s="103"/>
      <c r="BB1165" s="103"/>
      <c r="BU1165" s="103"/>
      <c r="CI1165" s="103"/>
    </row>
    <row r="1166" spans="16:87">
      <c r="P1166" s="103"/>
      <c r="AD1166" s="103"/>
      <c r="AO1166" s="103"/>
      <c r="BB1166" s="103"/>
      <c r="BU1166" s="103"/>
      <c r="CI1166" s="103"/>
    </row>
    <row r="1167" spans="16:87">
      <c r="P1167" s="103"/>
      <c r="AD1167" s="103"/>
      <c r="AO1167" s="103"/>
      <c r="BB1167" s="103"/>
      <c r="BU1167" s="103"/>
      <c r="CI1167" s="103"/>
    </row>
    <row r="1168" spans="16:87">
      <c r="P1168" s="103"/>
      <c r="AD1168" s="103"/>
      <c r="AO1168" s="103"/>
      <c r="BB1168" s="103"/>
      <c r="BU1168" s="103"/>
      <c r="CI1168" s="103"/>
    </row>
    <row r="1169" spans="16:87">
      <c r="P1169" s="103"/>
      <c r="AD1169" s="103"/>
      <c r="AO1169" s="103"/>
      <c r="BB1169" s="103"/>
      <c r="BU1169" s="103"/>
      <c r="CI1169" s="103"/>
    </row>
    <row r="1170" spans="16:87">
      <c r="P1170" s="103"/>
      <c r="AD1170" s="103"/>
      <c r="AO1170" s="103"/>
      <c r="BB1170" s="103"/>
      <c r="BU1170" s="103"/>
      <c r="CI1170" s="103"/>
    </row>
    <row r="1171" spans="16:87">
      <c r="P1171" s="103"/>
      <c r="AD1171" s="103"/>
      <c r="AO1171" s="103"/>
      <c r="BB1171" s="103"/>
      <c r="BU1171" s="103"/>
      <c r="CI1171" s="103"/>
    </row>
    <row r="1172" spans="16:87">
      <c r="P1172" s="103"/>
      <c r="AD1172" s="103"/>
      <c r="AO1172" s="103"/>
      <c r="BB1172" s="103"/>
      <c r="BU1172" s="103"/>
      <c r="CI1172" s="103"/>
    </row>
    <row r="1173" spans="16:87">
      <c r="P1173" s="103"/>
      <c r="AD1173" s="103"/>
      <c r="AO1173" s="103"/>
      <c r="BB1173" s="103"/>
      <c r="BU1173" s="103"/>
      <c r="CI1173" s="103"/>
    </row>
    <row r="1174" spans="16:87">
      <c r="P1174" s="103"/>
      <c r="AD1174" s="103"/>
      <c r="AO1174" s="103"/>
      <c r="BB1174" s="103"/>
      <c r="BU1174" s="103"/>
      <c r="CI1174" s="103"/>
    </row>
    <row r="1175" spans="16:87">
      <c r="P1175" s="103"/>
      <c r="AD1175" s="103"/>
      <c r="AO1175" s="103"/>
      <c r="BB1175" s="103"/>
      <c r="BU1175" s="103"/>
      <c r="CI1175" s="103"/>
    </row>
    <row r="1176" spans="16:87">
      <c r="P1176" s="103"/>
      <c r="AD1176" s="103"/>
      <c r="AO1176" s="103"/>
      <c r="BB1176" s="103"/>
      <c r="BU1176" s="103"/>
      <c r="CI1176" s="103"/>
    </row>
    <row r="1177" spans="16:87">
      <c r="P1177" s="103"/>
      <c r="AD1177" s="103"/>
      <c r="AO1177" s="103"/>
      <c r="BB1177" s="103"/>
      <c r="BU1177" s="103"/>
      <c r="CI1177" s="103"/>
    </row>
    <row r="1178" spans="16:87">
      <c r="P1178" s="103"/>
      <c r="AD1178" s="103"/>
      <c r="AO1178" s="103"/>
      <c r="BB1178" s="103"/>
      <c r="BU1178" s="103"/>
      <c r="CI1178" s="103"/>
    </row>
    <row r="1179" spans="16:87">
      <c r="P1179" s="103"/>
      <c r="AD1179" s="103"/>
      <c r="AO1179" s="103"/>
      <c r="BB1179" s="103"/>
      <c r="BU1179" s="103"/>
      <c r="CI1179" s="103"/>
    </row>
    <row r="1180" spans="16:87">
      <c r="P1180" s="103"/>
      <c r="AD1180" s="103"/>
      <c r="AO1180" s="103"/>
      <c r="BB1180" s="103"/>
      <c r="BU1180" s="103"/>
      <c r="CI1180" s="103"/>
    </row>
    <row r="1181" spans="16:87">
      <c r="P1181" s="103"/>
      <c r="AD1181" s="103"/>
      <c r="AO1181" s="103"/>
      <c r="BB1181" s="103"/>
      <c r="BU1181" s="103"/>
      <c r="CI1181" s="103"/>
    </row>
    <row r="1182" spans="16:87">
      <c r="P1182" s="103"/>
      <c r="AD1182" s="103"/>
      <c r="AO1182" s="103"/>
      <c r="BB1182" s="103"/>
      <c r="BU1182" s="103"/>
      <c r="CI1182" s="103"/>
    </row>
    <row r="1183" spans="16:87">
      <c r="P1183" s="103"/>
      <c r="AD1183" s="103"/>
      <c r="AO1183" s="103"/>
      <c r="BB1183" s="103"/>
      <c r="BU1183" s="103"/>
      <c r="CI1183" s="103"/>
    </row>
    <row r="1184" spans="16:87">
      <c r="P1184" s="103"/>
      <c r="AD1184" s="103"/>
      <c r="AO1184" s="103"/>
      <c r="BB1184" s="103"/>
      <c r="BU1184" s="103"/>
      <c r="CI1184" s="103"/>
    </row>
    <row r="1185" spans="16:87">
      <c r="P1185" s="103"/>
      <c r="AD1185" s="103"/>
      <c r="AO1185" s="103"/>
      <c r="BB1185" s="103"/>
      <c r="BU1185" s="103"/>
      <c r="CI1185" s="103"/>
    </row>
    <row r="1186" spans="16:87">
      <c r="P1186" s="103"/>
      <c r="AD1186" s="103"/>
      <c r="AO1186" s="103"/>
      <c r="BB1186" s="103"/>
      <c r="BU1186" s="103"/>
      <c r="CI1186" s="103"/>
    </row>
    <row r="1187" spans="16:87">
      <c r="P1187" s="103"/>
      <c r="AD1187" s="103"/>
      <c r="AO1187" s="103"/>
      <c r="BB1187" s="103"/>
      <c r="BU1187" s="103"/>
      <c r="CI1187" s="103"/>
    </row>
    <row r="1188" spans="16:87">
      <c r="P1188" s="103"/>
      <c r="AD1188" s="103"/>
      <c r="AO1188" s="103"/>
      <c r="BB1188" s="103"/>
      <c r="BU1188" s="103"/>
      <c r="CI1188" s="103"/>
    </row>
    <row r="1189" spans="16:87">
      <c r="P1189" s="103"/>
      <c r="AD1189" s="103"/>
      <c r="AO1189" s="103"/>
      <c r="BB1189" s="103"/>
      <c r="BU1189" s="103"/>
      <c r="CI1189" s="103"/>
    </row>
    <row r="1190" spans="16:87">
      <c r="P1190" s="103"/>
      <c r="AD1190" s="103"/>
      <c r="AO1190" s="103"/>
      <c r="BB1190" s="103"/>
      <c r="BU1190" s="103"/>
      <c r="CI1190" s="103"/>
    </row>
    <row r="1191" spans="16:87">
      <c r="P1191" s="103"/>
      <c r="AD1191" s="103"/>
      <c r="AO1191" s="103"/>
      <c r="BB1191" s="103"/>
      <c r="BU1191" s="103"/>
      <c r="CI1191" s="103"/>
    </row>
    <row r="1192" spans="16:87">
      <c r="P1192" s="103"/>
      <c r="AD1192" s="103"/>
      <c r="AO1192" s="103"/>
      <c r="BB1192" s="103"/>
      <c r="BU1192" s="103"/>
      <c r="CI1192" s="103"/>
    </row>
    <row r="1193" spans="16:87">
      <c r="P1193" s="103"/>
      <c r="AD1193" s="103"/>
      <c r="AO1193" s="103"/>
      <c r="BB1193" s="103"/>
      <c r="BU1193" s="103"/>
      <c r="CI1193" s="103"/>
    </row>
    <row r="1194" spans="16:87">
      <c r="P1194" s="103"/>
      <c r="AD1194" s="103"/>
      <c r="AO1194" s="103"/>
      <c r="BB1194" s="103"/>
      <c r="BU1194" s="103"/>
      <c r="CI1194" s="103"/>
    </row>
    <row r="1195" spans="16:87">
      <c r="P1195" s="103"/>
      <c r="AD1195" s="103"/>
      <c r="AO1195" s="103"/>
      <c r="BB1195" s="103"/>
      <c r="BU1195" s="103"/>
      <c r="CI1195" s="103"/>
    </row>
    <row r="1196" spans="16:87">
      <c r="P1196" s="103"/>
      <c r="AD1196" s="103"/>
      <c r="AO1196" s="103"/>
      <c r="BB1196" s="103"/>
      <c r="BU1196" s="103"/>
      <c r="CI1196" s="103"/>
    </row>
    <row r="1197" spans="16:87">
      <c r="P1197" s="103"/>
      <c r="AD1197" s="103"/>
      <c r="AO1197" s="103"/>
      <c r="BB1197" s="103"/>
      <c r="BU1197" s="103"/>
      <c r="CI1197" s="103"/>
    </row>
    <row r="1198" spans="16:87">
      <c r="P1198" s="103"/>
      <c r="AD1198" s="103"/>
      <c r="AO1198" s="103"/>
      <c r="BB1198" s="103"/>
      <c r="BU1198" s="103"/>
      <c r="CI1198" s="103"/>
    </row>
    <row r="1199" spans="16:87">
      <c r="P1199" s="103"/>
      <c r="AD1199" s="103"/>
      <c r="AO1199" s="103"/>
      <c r="BB1199" s="103"/>
      <c r="BU1199" s="103"/>
      <c r="CI1199" s="103"/>
    </row>
    <row r="1200" spans="16:87">
      <c r="P1200" s="103"/>
      <c r="AD1200" s="103"/>
      <c r="AO1200" s="103"/>
      <c r="BB1200" s="103"/>
      <c r="BU1200" s="103"/>
      <c r="CI1200" s="103"/>
    </row>
    <row r="1201" spans="16:87">
      <c r="P1201" s="103"/>
      <c r="AD1201" s="103"/>
      <c r="AO1201" s="103"/>
      <c r="BB1201" s="103"/>
      <c r="BU1201" s="103"/>
      <c r="CI1201" s="103"/>
    </row>
    <row r="1202" spans="16:87">
      <c r="P1202" s="103"/>
      <c r="AD1202" s="103"/>
      <c r="AO1202" s="103"/>
      <c r="BB1202" s="103"/>
      <c r="BU1202" s="103"/>
      <c r="CI1202" s="103"/>
    </row>
    <row r="1203" spans="16:87">
      <c r="P1203" s="103"/>
      <c r="AD1203" s="103"/>
      <c r="AO1203" s="103"/>
      <c r="BB1203" s="103"/>
      <c r="BU1203" s="103"/>
      <c r="CI1203" s="103"/>
    </row>
    <row r="1204" spans="16:87">
      <c r="P1204" s="103"/>
      <c r="AD1204" s="103"/>
      <c r="AO1204" s="103"/>
      <c r="BB1204" s="103"/>
      <c r="BU1204" s="103"/>
      <c r="CI1204" s="103"/>
    </row>
    <row r="1205" spans="16:87">
      <c r="P1205" s="103"/>
      <c r="AD1205" s="103"/>
      <c r="AO1205" s="103"/>
      <c r="BB1205" s="103"/>
      <c r="BU1205" s="103"/>
      <c r="CI1205" s="103"/>
    </row>
    <row r="1206" spans="16:87">
      <c r="P1206" s="103"/>
      <c r="AD1206" s="103"/>
      <c r="AO1206" s="103"/>
      <c r="BB1206" s="103"/>
      <c r="BU1206" s="103"/>
      <c r="CI1206" s="103"/>
    </row>
    <row r="1207" spans="16:87">
      <c r="P1207" s="103"/>
      <c r="AD1207" s="103"/>
      <c r="AO1207" s="103"/>
      <c r="BB1207" s="103"/>
      <c r="BU1207" s="103"/>
      <c r="CI1207" s="103"/>
    </row>
    <row r="1208" spans="16:87">
      <c r="P1208" s="103"/>
      <c r="AD1208" s="103"/>
      <c r="AO1208" s="103"/>
      <c r="BB1208" s="103"/>
      <c r="BU1208" s="103"/>
      <c r="CI1208" s="103"/>
    </row>
    <row r="1209" spans="16:87">
      <c r="P1209" s="103"/>
      <c r="AD1209" s="103"/>
      <c r="AO1209" s="103"/>
      <c r="BB1209" s="103"/>
      <c r="BU1209" s="103"/>
      <c r="CI1209" s="103"/>
    </row>
    <row r="1210" spans="16:87">
      <c r="P1210" s="103"/>
      <c r="AD1210" s="103"/>
      <c r="AO1210" s="103"/>
      <c r="BB1210" s="103"/>
      <c r="BU1210" s="103"/>
      <c r="CI1210" s="103"/>
    </row>
    <row r="1211" spans="16:87">
      <c r="P1211" s="103"/>
      <c r="AD1211" s="103"/>
      <c r="AO1211" s="103"/>
      <c r="BB1211" s="103"/>
      <c r="BU1211" s="103"/>
      <c r="CI1211" s="103"/>
    </row>
    <row r="1212" spans="16:87">
      <c r="P1212" s="103"/>
      <c r="AD1212" s="103"/>
      <c r="AO1212" s="103"/>
      <c r="BB1212" s="103"/>
      <c r="BU1212" s="103"/>
      <c r="CI1212" s="103"/>
    </row>
    <row r="1213" spans="16:87">
      <c r="P1213" s="103"/>
      <c r="AD1213" s="103"/>
      <c r="AO1213" s="103"/>
      <c r="BB1213" s="103"/>
      <c r="BU1213" s="103"/>
      <c r="CI1213" s="103"/>
    </row>
    <row r="1214" spans="16:87">
      <c r="P1214" s="103"/>
      <c r="AD1214" s="103"/>
      <c r="AO1214" s="103"/>
      <c r="BB1214" s="103"/>
      <c r="BU1214" s="103"/>
      <c r="CI1214" s="103"/>
    </row>
    <row r="1215" spans="16:87">
      <c r="P1215" s="103"/>
      <c r="AD1215" s="103"/>
      <c r="AO1215" s="103"/>
      <c r="BB1215" s="103"/>
      <c r="BU1215" s="103"/>
      <c r="CI1215" s="103"/>
    </row>
    <row r="1216" spans="16:87">
      <c r="P1216" s="103"/>
      <c r="AD1216" s="103"/>
      <c r="AO1216" s="103"/>
      <c r="BB1216" s="103"/>
      <c r="BU1216" s="103"/>
      <c r="CI1216" s="103"/>
    </row>
    <row r="1217" spans="16:87">
      <c r="P1217" s="103"/>
      <c r="AD1217" s="103"/>
      <c r="AO1217" s="103"/>
      <c r="BB1217" s="103"/>
      <c r="BU1217" s="103"/>
      <c r="CI1217" s="103"/>
    </row>
    <row r="1218" spans="16:87">
      <c r="P1218" s="103"/>
      <c r="AD1218" s="103"/>
      <c r="AO1218" s="103"/>
      <c r="BB1218" s="103"/>
      <c r="BU1218" s="103"/>
      <c r="CI1218" s="103"/>
    </row>
    <row r="1219" spans="16:87">
      <c r="P1219" s="103"/>
      <c r="AD1219" s="103"/>
      <c r="AO1219" s="103"/>
      <c r="BB1219" s="103"/>
      <c r="BU1219" s="103"/>
      <c r="CI1219" s="103"/>
    </row>
    <row r="1220" spans="16:87">
      <c r="P1220" s="103"/>
      <c r="AD1220" s="103"/>
      <c r="AO1220" s="103"/>
      <c r="BB1220" s="103"/>
      <c r="BU1220" s="103"/>
      <c r="CI1220" s="103"/>
    </row>
    <row r="1221" spans="16:87">
      <c r="P1221" s="103"/>
      <c r="AD1221" s="103"/>
      <c r="AO1221" s="103"/>
      <c r="BB1221" s="103"/>
      <c r="BU1221" s="103"/>
      <c r="CI1221" s="103"/>
    </row>
    <row r="1222" spans="16:87">
      <c r="P1222" s="103"/>
      <c r="AD1222" s="103"/>
      <c r="AO1222" s="103"/>
      <c r="BB1222" s="103"/>
      <c r="BU1222" s="103"/>
      <c r="CI1222" s="103"/>
    </row>
    <row r="1223" spans="16:87">
      <c r="P1223" s="103"/>
      <c r="AD1223" s="103"/>
      <c r="AO1223" s="103"/>
      <c r="BB1223" s="103"/>
      <c r="BU1223" s="103"/>
      <c r="CI1223" s="103"/>
    </row>
    <row r="1224" spans="16:87">
      <c r="P1224" s="103"/>
      <c r="AD1224" s="103"/>
      <c r="AO1224" s="103"/>
      <c r="BB1224" s="103"/>
      <c r="BU1224" s="103"/>
      <c r="CI1224" s="103"/>
    </row>
    <row r="1225" spans="16:87">
      <c r="P1225" s="103"/>
      <c r="AD1225" s="103"/>
      <c r="AO1225" s="103"/>
      <c r="BB1225" s="103"/>
      <c r="BU1225" s="103"/>
      <c r="CI1225" s="103"/>
    </row>
    <row r="1226" spans="16:87">
      <c r="P1226" s="103"/>
      <c r="AD1226" s="103"/>
      <c r="AO1226" s="103"/>
      <c r="BB1226" s="103"/>
      <c r="BU1226" s="103"/>
      <c r="CI1226" s="103"/>
    </row>
    <row r="1227" spans="16:87">
      <c r="P1227" s="103"/>
      <c r="AD1227" s="103"/>
      <c r="AO1227" s="103"/>
      <c r="BB1227" s="103"/>
      <c r="BU1227" s="103"/>
      <c r="CI1227" s="103"/>
    </row>
    <row r="1228" spans="16:87">
      <c r="P1228" s="103"/>
      <c r="AD1228" s="103"/>
      <c r="AO1228" s="103"/>
      <c r="BB1228" s="103"/>
      <c r="BU1228" s="103"/>
      <c r="CI1228" s="103"/>
    </row>
    <row r="1229" spans="16:87">
      <c r="P1229" s="103"/>
      <c r="AD1229" s="103"/>
      <c r="AO1229" s="103"/>
      <c r="BB1229" s="103"/>
      <c r="BU1229" s="103"/>
      <c r="CI1229" s="103"/>
    </row>
    <row r="1230" spans="16:87">
      <c r="P1230" s="103"/>
      <c r="AD1230" s="103"/>
      <c r="AO1230" s="103"/>
      <c r="BB1230" s="103"/>
      <c r="BU1230" s="103"/>
      <c r="CI1230" s="103"/>
    </row>
    <row r="1231" spans="16:87">
      <c r="P1231" s="103"/>
      <c r="AD1231" s="103"/>
      <c r="AO1231" s="103"/>
      <c r="BB1231" s="103"/>
      <c r="BU1231" s="103"/>
      <c r="CI1231" s="103"/>
    </row>
    <row r="1232" spans="16:87">
      <c r="P1232" s="103"/>
      <c r="AD1232" s="103"/>
      <c r="AO1232" s="103"/>
      <c r="BB1232" s="103"/>
      <c r="BU1232" s="103"/>
      <c r="CI1232" s="103"/>
    </row>
    <row r="1233" spans="16:87">
      <c r="P1233" s="103"/>
      <c r="AD1233" s="103"/>
      <c r="AO1233" s="103"/>
      <c r="BB1233" s="103"/>
      <c r="BU1233" s="103"/>
      <c r="CI1233" s="103"/>
    </row>
    <row r="1234" spans="16:87">
      <c r="P1234" s="103"/>
      <c r="AD1234" s="103"/>
      <c r="AO1234" s="103"/>
      <c r="BB1234" s="103"/>
      <c r="BU1234" s="103"/>
      <c r="CI1234" s="103"/>
    </row>
    <row r="1235" spans="16:87">
      <c r="P1235" s="103"/>
      <c r="AD1235" s="103"/>
      <c r="AO1235" s="103"/>
      <c r="BB1235" s="103"/>
      <c r="BU1235" s="103"/>
      <c r="CI1235" s="103"/>
    </row>
    <row r="1236" spans="16:87">
      <c r="P1236" s="103"/>
      <c r="AD1236" s="103"/>
      <c r="AO1236" s="103"/>
      <c r="BB1236" s="103"/>
      <c r="BU1236" s="103"/>
      <c r="CI1236" s="103"/>
    </row>
    <row r="1237" spans="16:87">
      <c r="P1237" s="103"/>
      <c r="AD1237" s="103"/>
      <c r="AO1237" s="103"/>
      <c r="BB1237" s="103"/>
      <c r="BU1237" s="103"/>
      <c r="CI1237" s="103"/>
    </row>
    <row r="1238" spans="16:87">
      <c r="P1238" s="103"/>
      <c r="AD1238" s="103"/>
      <c r="AO1238" s="103"/>
      <c r="BB1238" s="103"/>
      <c r="BU1238" s="103"/>
      <c r="CI1238" s="103"/>
    </row>
    <row r="1239" spans="16:87">
      <c r="P1239" s="103"/>
      <c r="AD1239" s="103"/>
      <c r="AO1239" s="103"/>
      <c r="BB1239" s="103"/>
      <c r="BU1239" s="103"/>
      <c r="CI1239" s="103"/>
    </row>
    <row r="1240" spans="16:87">
      <c r="P1240" s="103"/>
      <c r="AD1240" s="103"/>
      <c r="AO1240" s="103"/>
      <c r="BB1240" s="103"/>
      <c r="BU1240" s="103"/>
      <c r="CI1240" s="103"/>
    </row>
    <row r="1241" spans="16:87">
      <c r="P1241" s="103"/>
      <c r="AD1241" s="103"/>
      <c r="AO1241" s="103"/>
      <c r="BB1241" s="103"/>
      <c r="BU1241" s="103"/>
      <c r="CI1241" s="103"/>
    </row>
    <row r="1242" spans="16:87">
      <c r="P1242" s="103"/>
      <c r="AD1242" s="103"/>
      <c r="AO1242" s="103"/>
      <c r="BB1242" s="103"/>
      <c r="BU1242" s="103"/>
      <c r="CI1242" s="103"/>
    </row>
    <row r="1243" spans="16:87">
      <c r="P1243" s="103"/>
      <c r="AD1243" s="103"/>
      <c r="AO1243" s="103"/>
      <c r="BB1243" s="103"/>
      <c r="BU1243" s="103"/>
      <c r="CI1243" s="103"/>
    </row>
    <row r="1244" spans="16:87">
      <c r="P1244" s="103"/>
      <c r="AD1244" s="103"/>
      <c r="AO1244" s="103"/>
      <c r="BB1244" s="103"/>
      <c r="BU1244" s="103"/>
      <c r="CI1244" s="103"/>
    </row>
    <row r="1245" spans="16:87">
      <c r="P1245" s="103"/>
      <c r="AD1245" s="103"/>
      <c r="AO1245" s="103"/>
      <c r="BB1245" s="103"/>
      <c r="BU1245" s="103"/>
      <c r="CI1245" s="103"/>
    </row>
    <row r="1246" spans="16:87">
      <c r="P1246" s="103"/>
      <c r="AD1246" s="103"/>
      <c r="AO1246" s="103"/>
      <c r="BB1246" s="103"/>
      <c r="BU1246" s="103"/>
      <c r="CI1246" s="103"/>
    </row>
    <row r="1247" spans="16:87">
      <c r="P1247" s="103"/>
      <c r="AD1247" s="103"/>
      <c r="AO1247" s="103"/>
      <c r="BB1247" s="103"/>
      <c r="BU1247" s="103"/>
      <c r="CI1247" s="103"/>
    </row>
    <row r="1248" spans="16:87">
      <c r="P1248" s="103"/>
      <c r="AD1248" s="103"/>
      <c r="AO1248" s="103"/>
      <c r="BB1248" s="103"/>
      <c r="BU1248" s="103"/>
      <c r="CI1248" s="103"/>
    </row>
    <row r="1249" spans="16:87">
      <c r="P1249" s="103"/>
      <c r="AD1249" s="103"/>
      <c r="AO1249" s="103"/>
      <c r="BB1249" s="103"/>
      <c r="BU1249" s="103"/>
      <c r="CI1249" s="103"/>
    </row>
  </sheetData>
  <autoFilter ref="A2:CU1249"/>
  <sortState ref="A3:DA1145">
    <sortCondition ref="CR3:CR1145"/>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30"/>
  <sheetViews>
    <sheetView showZeros="0" workbookViewId="0"/>
  </sheetViews>
  <sheetFormatPr defaultRowHeight="14.5"/>
  <cols>
    <col min="1" max="1" width="11" style="15" customWidth="1"/>
    <col min="2" max="2" width="19.81640625" customWidth="1"/>
    <col min="3" max="3" width="7" customWidth="1"/>
    <col min="4" max="4" width="21.1796875" customWidth="1"/>
    <col min="5" max="5" width="6.54296875" customWidth="1"/>
    <col min="6" max="6" width="45.26953125" customWidth="1"/>
    <col min="7" max="7" width="27.7265625" customWidth="1"/>
    <col min="8" max="8" width="22.26953125" customWidth="1"/>
    <col min="9" max="9" width="26.26953125" customWidth="1"/>
    <col min="10" max="10" width="8.81640625" customWidth="1"/>
    <col min="11" max="11" width="31.54296875" customWidth="1"/>
    <col min="12" max="12" width="20.7265625" customWidth="1"/>
    <col min="13" max="13" width="21.54296875" customWidth="1"/>
    <col min="14" max="14" width="25" customWidth="1"/>
    <col min="15" max="15" width="11" customWidth="1"/>
    <col min="16" max="16" width="3" style="100" customWidth="1"/>
    <col min="17" max="17" width="12" style="100" customWidth="1"/>
    <col min="18" max="18" width="11" style="100" customWidth="1"/>
    <col min="19" max="21" width="12" style="100" customWidth="1"/>
    <col min="22" max="31" width="12" style="110" customWidth="1"/>
    <col min="32" max="33" width="11" style="100" customWidth="1"/>
    <col min="34" max="34" width="2" style="100" customWidth="1"/>
    <col min="35" max="35" width="3" style="100" customWidth="1"/>
    <col min="36" max="36" width="7.453125" style="100" customWidth="1"/>
    <col min="37" max="37" width="11" style="7" customWidth="1"/>
    <col min="38" max="38" width="7.54296875" style="6" customWidth="1"/>
    <col min="39" max="39" width="3" customWidth="1"/>
    <col min="40" max="40" width="7.26953125" customWidth="1"/>
    <col min="41" max="41" width="26.7265625" customWidth="1"/>
    <col min="42" max="42" width="22.453125" customWidth="1"/>
    <col min="43" max="43" width="27.08984375" bestFit="1" customWidth="1"/>
    <col min="44" max="44" width="88.7265625" customWidth="1"/>
    <col min="45" max="45" width="18.1796875" customWidth="1"/>
    <col min="46" max="46" width="19.7265625" customWidth="1"/>
    <col min="47" max="47" width="35.1796875" customWidth="1"/>
    <col min="48" max="48" width="22" customWidth="1"/>
    <col min="49" max="49" width="22" style="5" customWidth="1"/>
    <col min="50" max="50" width="28" bestFit="1" customWidth="1"/>
    <col min="56" max="58" width="8.7265625" style="100"/>
  </cols>
  <sheetData>
    <row r="1" spans="1:50" ht="16">
      <c r="A1" s="14" t="s">
        <v>0</v>
      </c>
      <c r="B1" s="3" t="s">
        <v>16</v>
      </c>
      <c r="C1" s="3" t="s">
        <v>17</v>
      </c>
      <c r="D1" s="3" t="s">
        <v>18</v>
      </c>
      <c r="E1" s="3" t="s">
        <v>19</v>
      </c>
      <c r="F1" s="3" t="s">
        <v>20</v>
      </c>
      <c r="G1" s="3" t="s">
        <v>21</v>
      </c>
      <c r="H1" s="3" t="s">
        <v>22</v>
      </c>
      <c r="I1" s="3" t="s">
        <v>23</v>
      </c>
      <c r="J1" s="3" t="s">
        <v>24</v>
      </c>
      <c r="K1" s="3" t="s">
        <v>25</v>
      </c>
      <c r="L1" s="3" t="s">
        <v>26</v>
      </c>
      <c r="M1" s="3" t="s">
        <v>27</v>
      </c>
      <c r="N1" s="4" t="s">
        <v>28</v>
      </c>
      <c r="O1" s="10" t="s">
        <v>207</v>
      </c>
      <c r="P1" s="108" t="s">
        <v>189</v>
      </c>
      <c r="Q1" s="108" t="s">
        <v>190</v>
      </c>
      <c r="R1" s="100" t="s">
        <v>208</v>
      </c>
      <c r="S1" s="109" t="s">
        <v>191</v>
      </c>
      <c r="T1" s="109" t="s">
        <v>192</v>
      </c>
      <c r="U1" s="109" t="s">
        <v>193</v>
      </c>
      <c r="V1" s="110" t="s">
        <v>194</v>
      </c>
      <c r="W1" s="110" t="s">
        <v>195</v>
      </c>
      <c r="X1" s="110" t="s">
        <v>196</v>
      </c>
      <c r="Y1" s="110" t="s">
        <v>197</v>
      </c>
      <c r="Z1" s="110" t="s">
        <v>198</v>
      </c>
      <c r="AA1" s="110" t="s">
        <v>199</v>
      </c>
      <c r="AB1" s="110" t="s">
        <v>200</v>
      </c>
      <c r="AC1" s="110" t="s">
        <v>201</v>
      </c>
      <c r="AD1" s="110" t="s">
        <v>202</v>
      </c>
      <c r="AE1" s="110" t="s">
        <v>203</v>
      </c>
      <c r="AF1" s="100" t="s">
        <v>209</v>
      </c>
      <c r="AG1" s="100" t="s">
        <v>210</v>
      </c>
      <c r="AH1" s="108" t="s">
        <v>204</v>
      </c>
      <c r="AI1" s="108" t="s">
        <v>205</v>
      </c>
      <c r="AJ1" s="100" t="s">
        <v>206</v>
      </c>
      <c r="AK1" s="7" t="s">
        <v>211</v>
      </c>
      <c r="AL1" s="13" t="s">
        <v>6</v>
      </c>
      <c r="AM1" s="12" t="s">
        <v>7</v>
      </c>
      <c r="AN1" s="12" t="s">
        <v>8</v>
      </c>
      <c r="AO1" s="12" t="s">
        <v>188</v>
      </c>
      <c r="AP1" s="12" t="s">
        <v>9</v>
      </c>
      <c r="AQ1" s="12" t="s">
        <v>10</v>
      </c>
      <c r="AR1" s="12" t="s">
        <v>11</v>
      </c>
      <c r="AS1" s="12" t="s">
        <v>12</v>
      </c>
      <c r="AT1" s="12" t="s">
        <v>13</v>
      </c>
      <c r="AU1" s="12" t="s">
        <v>14</v>
      </c>
      <c r="AV1" s="12" t="s">
        <v>15</v>
      </c>
      <c r="AW1" s="12" t="s">
        <v>394</v>
      </c>
      <c r="AX1" s="12" t="s">
        <v>478</v>
      </c>
    </row>
    <row r="2" spans="1:50">
      <c r="A2" s="5">
        <v>18025536856</v>
      </c>
      <c r="B2" s="5"/>
      <c r="C2" s="5"/>
      <c r="D2" s="5"/>
      <c r="E2" s="5"/>
      <c r="F2" s="5"/>
      <c r="G2" s="5" t="s">
        <v>21</v>
      </c>
      <c r="H2" s="5"/>
      <c r="I2" s="5"/>
      <c r="J2" s="5"/>
      <c r="K2" s="5"/>
      <c r="L2" s="5"/>
      <c r="M2" s="5"/>
      <c r="N2" s="5"/>
      <c r="O2" s="7"/>
      <c r="P2" s="7">
        <f t="shared" ref="P2:P65" si="0">COUNTA(B2:N2)</f>
        <v>1</v>
      </c>
      <c r="Q2" s="7">
        <f t="shared" ref="Q2:Q65" si="1">3/P2</f>
        <v>3</v>
      </c>
      <c r="R2" s="7"/>
      <c r="S2" s="7">
        <f>IF($P2&lt;3,IF($B2=$B$1,1,0),IF($B2=$B$1,$Q2,0))</f>
        <v>0</v>
      </c>
      <c r="T2" s="7">
        <f t="shared" ref="T2:T65" si="2">IF($P2&lt;3,IF($C2=$C$1,1,0),IF($C2=$C$1,$Q2,0))</f>
        <v>0</v>
      </c>
      <c r="U2" s="7">
        <f t="shared" ref="U2:U65" si="3">IF($P2&lt;3,IF($D2=$D$1,1,0),IF($D2=$D$1,$Q2,0))</f>
        <v>0</v>
      </c>
      <c r="V2" s="119">
        <f t="shared" ref="V2:V65" si="4">IF($P2&lt;3,IF($E2=$E$1,1,0),IF($E2=$E$1,$Q2,0))</f>
        <v>0</v>
      </c>
      <c r="W2" s="119">
        <f t="shared" ref="W2:W65" si="5">IF($P2&lt;3,IF($F2=$F$1,1,0),IF($F2=$F$1,$Q2,0))</f>
        <v>0</v>
      </c>
      <c r="X2" s="119">
        <f t="shared" ref="X2:X65" si="6">IF($P2&lt;3,IF($G2=$G$1,1,0),IF($G2=$G$1,$Q2,0))</f>
        <v>1</v>
      </c>
      <c r="Y2" s="119">
        <f t="shared" ref="Y2:Y65" si="7">IF($P2&lt;3,IF($H2=$H$1,1,0),IF($H2=$H$1,$Q2,0))</f>
        <v>0</v>
      </c>
      <c r="Z2" s="119">
        <f t="shared" ref="Z2:Z65" si="8">IF($P2&lt;3,IF($I2=$I$1,1,0),IF($I2=$I$1,$Q2,0))</f>
        <v>0</v>
      </c>
      <c r="AA2" s="119">
        <f t="shared" ref="AA2:AA65" si="9">IF($P2&lt;3,IF($J2=$J$1,1,0),IF($J2=$J$1,$Q2,0))</f>
        <v>0</v>
      </c>
      <c r="AB2" s="119">
        <f t="shared" ref="AB2:AB65" si="10">IF($P2&lt;3,IF($K2=$K$1,1,0),IF($K2=$K$1,$Q2,0))</f>
        <v>0</v>
      </c>
      <c r="AC2" s="119">
        <f t="shared" ref="AC2:AC65" si="11">IF($P2&lt;3,IF($L2=$L$1,1,0),IF($L2=$L$1,$Q2,0))</f>
        <v>0</v>
      </c>
      <c r="AD2" s="119">
        <f t="shared" ref="AD2:AD65" si="12">IF($P2&lt;3,IF($M2=$M$1,1,0),IF($M2=$M$1,$Q2,0))</f>
        <v>0</v>
      </c>
      <c r="AE2" s="119">
        <f t="shared" ref="AE2:AE65" si="13">IF($P2&lt;3,IF($N2=$N$1,1,0),IF($N2=$N$1,$Q2,0))</f>
        <v>0</v>
      </c>
      <c r="AF2" s="7"/>
      <c r="AG2" s="7"/>
      <c r="AH2" s="7">
        <f t="shared" ref="AH2:AH65" si="14">SUM(S2:AE2)</f>
        <v>1</v>
      </c>
      <c r="AI2" s="7">
        <f t="shared" ref="AI2:AI65" si="15">P2</f>
        <v>1</v>
      </c>
      <c r="AJ2" s="7" t="str">
        <f t="shared" ref="AJ2:AJ65" si="16">IF(AH2=AI2,"Correct",IF(AH2=3,"Correct","Wrong"))</f>
        <v>Correct</v>
      </c>
      <c r="AL2" s="120" t="str">
        <f>IFERROR(VLOOKUP(Table1[RespondentID],'All Data'!$A$3:$CO$999,87,FALSE),"unknown")</f>
        <v>Man</v>
      </c>
      <c r="AM2" s="120">
        <f>IFERROR(VLOOKUP(Table1[RespondentID],'All Data'!$A$3:$CO$999,88,FALSE),"unknown")</f>
        <v>41</v>
      </c>
      <c r="AN2" s="120" t="str">
        <f>IFERROR(VLOOKUP(Table1[RespondentID],'All Data'!$A$3:$CO$999,89,FALSE),"unknown")</f>
        <v>Suffolk</v>
      </c>
      <c r="AO2" s="120" t="str">
        <f>IFERROR(VLOOKUP(Table1[RespondentID],'All Data'!$A$3:$CO$999,90,FALSE),"unknown")</f>
        <v>Ridge, 11961</v>
      </c>
      <c r="AP2" s="120" t="str">
        <f>IFERROR(VLOOKUP(Table1[RespondentID],'All Data'!$A$3:$CO$999,91,FALSE),"unknown")</f>
        <v>Asian</v>
      </c>
      <c r="AQ2" s="120" t="str">
        <f>IFERROR(VLOOKUP(Table1[RespondentID],'All Data'!$A$3:$CO$999,92,FALSE),"unknown")</f>
        <v>Not Hispanic or Latino</v>
      </c>
      <c r="AR2" s="120">
        <f>IFERROR(VLOOKUP(Table1[RespondentID],'All Data'!$A$3:$CO$999,93,FALSE),"unknown")</f>
        <v>0</v>
      </c>
      <c r="AS2" s="120" t="str">
        <f>IFERROR(VLOOKUP(Table1[RespondentID],'All Data'!$A$3:$CW$999,94,FALSE),"unknown")</f>
        <v>$50,000 to $74,999</v>
      </c>
      <c r="AT2" s="120" t="str">
        <f>IFERROR(VLOOKUP(Table1[RespondentID],'All Data'!$A$3:$CW$999,95,FALSE),"unknown")</f>
        <v>Other (please specify)</v>
      </c>
      <c r="AU2" s="120" t="str">
        <f>IFERROR(VLOOKUP(Table1[RespondentID],'All Data'!$A$3:$CW$999,96,FALSE),"unknown")</f>
        <v>Self-employed</v>
      </c>
      <c r="AV2" s="120" t="str">
        <f>IFERROR(VLOOKUP(Table1[RespondentID],'All Data'!$A$3:$CW$999,97,FALSE),"unknown")</f>
        <v>Yes</v>
      </c>
      <c r="AW2" s="120" t="str">
        <f>IFERROR(VLOOKUP(Table1[RespondentID],'All Data'!$A$3:$CW$999,98,FALSE),"unknown")</f>
        <v>Medicare</v>
      </c>
      <c r="AX2" s="120">
        <f>IFERROR(VLOOKUP(Table1[RespondentID],'All Data'!$A$3:$CW$999,99,FALSE),"unknown")</f>
        <v>0</v>
      </c>
    </row>
    <row r="3" spans="1:50">
      <c r="A3" s="5">
        <v>18025536720</v>
      </c>
      <c r="B3" s="5" t="s">
        <v>16</v>
      </c>
      <c r="C3" s="5"/>
      <c r="D3" s="5"/>
      <c r="E3" s="5"/>
      <c r="F3" s="5"/>
      <c r="G3" s="5"/>
      <c r="H3" s="5"/>
      <c r="I3" s="5"/>
      <c r="J3" s="5"/>
      <c r="K3" s="5"/>
      <c r="L3" s="5"/>
      <c r="M3" s="5"/>
      <c r="N3" s="5"/>
      <c r="O3" s="7"/>
      <c r="P3" s="7">
        <f t="shared" si="0"/>
        <v>1</v>
      </c>
      <c r="Q3" s="7">
        <f t="shared" si="1"/>
        <v>3</v>
      </c>
      <c r="R3" s="7"/>
      <c r="S3" s="7">
        <f>IF($P3&lt;3,IF($B3=$B$1,1,0),IF($B3=$B$1,$Q3,0))</f>
        <v>1</v>
      </c>
      <c r="T3" s="7">
        <f t="shared" si="2"/>
        <v>0</v>
      </c>
      <c r="U3" s="7">
        <f t="shared" si="3"/>
        <v>0</v>
      </c>
      <c r="V3" s="119">
        <f t="shared" si="4"/>
        <v>0</v>
      </c>
      <c r="W3" s="119">
        <f t="shared" si="5"/>
        <v>0</v>
      </c>
      <c r="X3" s="119">
        <f t="shared" si="6"/>
        <v>0</v>
      </c>
      <c r="Y3" s="119">
        <f t="shared" si="7"/>
        <v>0</v>
      </c>
      <c r="Z3" s="119">
        <f t="shared" si="8"/>
        <v>0</v>
      </c>
      <c r="AA3" s="119">
        <f t="shared" si="9"/>
        <v>0</v>
      </c>
      <c r="AB3" s="119">
        <f t="shared" si="10"/>
        <v>0</v>
      </c>
      <c r="AC3" s="119">
        <f t="shared" si="11"/>
        <v>0</v>
      </c>
      <c r="AD3" s="119">
        <f t="shared" si="12"/>
        <v>0</v>
      </c>
      <c r="AE3" s="119">
        <f t="shared" si="13"/>
        <v>0</v>
      </c>
      <c r="AF3" s="7"/>
      <c r="AG3" s="7"/>
      <c r="AH3" s="7">
        <f t="shared" si="14"/>
        <v>1</v>
      </c>
      <c r="AI3" s="7">
        <f t="shared" si="15"/>
        <v>1</v>
      </c>
      <c r="AJ3" s="7" t="str">
        <f t="shared" si="16"/>
        <v>Correct</v>
      </c>
      <c r="AL3" s="120" t="str">
        <f>IFERROR(VLOOKUP(Table1[RespondentID],'All Data'!$A$3:$CO$999,87,FALSE),"unknown")</f>
        <v>Woman</v>
      </c>
      <c r="AM3" s="120">
        <f>IFERROR(VLOOKUP(Table1[RespondentID],'All Data'!$A$3:$CO$999,88,FALSE),"unknown")</f>
        <v>45</v>
      </c>
      <c r="AN3" s="120" t="str">
        <f>IFERROR(VLOOKUP(Table1[RespondentID],'All Data'!$A$3:$CO$999,89,FALSE),"unknown")</f>
        <v>Suffolk</v>
      </c>
      <c r="AO3" s="120" t="str">
        <f>IFERROR(VLOOKUP(Table1[RespondentID],'All Data'!$A$3:$CO$999,90,FALSE),"unknown")</f>
        <v>Middle Island, 11953</v>
      </c>
      <c r="AP3" s="120" t="str">
        <f>IFERROR(VLOOKUP(Table1[RespondentID],'All Data'!$A$3:$CO$999,91,FALSE),"unknown")</f>
        <v>Other (please specify)</v>
      </c>
      <c r="AQ3" s="120" t="str">
        <f>IFERROR(VLOOKUP(Table1[RespondentID],'All Data'!$A$3:$CO$999,92,FALSE),"unknown")</f>
        <v>Not Hispanic or Latino</v>
      </c>
      <c r="AR3" s="120">
        <f>IFERROR(VLOOKUP(Table1[RespondentID],'All Data'!$A$3:$CO$999,93,FALSE),"unknown")</f>
        <v>0</v>
      </c>
      <c r="AS3" s="120" t="str">
        <f>IFERROR(VLOOKUP(Table1[RespondentID],'All Data'!$A$3:$CW$999,94,FALSE),"unknown")</f>
        <v>$20,000 to $34,999</v>
      </c>
      <c r="AT3" s="120" t="str">
        <f>IFERROR(VLOOKUP(Table1[RespondentID],'All Data'!$A$3:$CW$999,95,FALSE),"unknown")</f>
        <v>College graduate</v>
      </c>
      <c r="AU3" s="120" t="str">
        <f>IFERROR(VLOOKUP(Table1[RespondentID],'All Data'!$A$3:$CW$999,96,FALSE),"unknown")</f>
        <v>Self-employed</v>
      </c>
      <c r="AV3" s="120" t="str">
        <f>IFERROR(VLOOKUP(Table1[RespondentID],'All Data'!$A$3:$CW$999,97,FALSE),"unknown")</f>
        <v>Yes</v>
      </c>
      <c r="AW3" s="120" t="str">
        <f>IFERROR(VLOOKUP(Table1[RespondentID],'All Data'!$A$3:$CW$999,98,FALSE),"unknown")</f>
        <v>Medicare</v>
      </c>
      <c r="AX3" s="120">
        <f>IFERROR(VLOOKUP(Table1[RespondentID],'All Data'!$A$3:$CW$999,99,FALSE),"unknown")</f>
        <v>0</v>
      </c>
    </row>
    <row r="4" spans="1:50">
      <c r="A4" s="5">
        <v>18025536611</v>
      </c>
      <c r="B4" s="5"/>
      <c r="C4" s="5"/>
      <c r="D4" s="5"/>
      <c r="E4" s="5"/>
      <c r="F4" s="5"/>
      <c r="G4" s="5"/>
      <c r="H4" s="5"/>
      <c r="I4" s="5" t="s">
        <v>23</v>
      </c>
      <c r="J4" s="5"/>
      <c r="K4" s="5"/>
      <c r="L4" s="5"/>
      <c r="M4" s="5"/>
      <c r="N4" s="5"/>
      <c r="O4" s="7"/>
      <c r="P4" s="7">
        <f t="shared" si="0"/>
        <v>1</v>
      </c>
      <c r="Q4" s="7">
        <f t="shared" si="1"/>
        <v>3</v>
      </c>
      <c r="R4" s="7"/>
      <c r="S4" s="7">
        <f t="shared" ref="S4:S67" si="17">IF($P4&lt;3,IF($B4=$B$1,1,0),IF($B4=$B$1,$Q4,0))</f>
        <v>0</v>
      </c>
      <c r="T4" s="7">
        <f t="shared" si="2"/>
        <v>0</v>
      </c>
      <c r="U4" s="7">
        <f t="shared" si="3"/>
        <v>0</v>
      </c>
      <c r="V4" s="119">
        <f t="shared" si="4"/>
        <v>0</v>
      </c>
      <c r="W4" s="119">
        <f t="shared" si="5"/>
        <v>0</v>
      </c>
      <c r="X4" s="119">
        <f t="shared" si="6"/>
        <v>0</v>
      </c>
      <c r="Y4" s="119">
        <f t="shared" si="7"/>
        <v>0</v>
      </c>
      <c r="Z4" s="119">
        <f t="shared" si="8"/>
        <v>1</v>
      </c>
      <c r="AA4" s="119">
        <f t="shared" si="9"/>
        <v>0</v>
      </c>
      <c r="AB4" s="119">
        <f t="shared" si="10"/>
        <v>0</v>
      </c>
      <c r="AC4" s="119">
        <f t="shared" si="11"/>
        <v>0</v>
      </c>
      <c r="AD4" s="119">
        <f t="shared" si="12"/>
        <v>0</v>
      </c>
      <c r="AE4" s="119">
        <f t="shared" si="13"/>
        <v>0</v>
      </c>
      <c r="AF4" s="7"/>
      <c r="AG4" s="7"/>
      <c r="AH4" s="7">
        <f t="shared" si="14"/>
        <v>1</v>
      </c>
      <c r="AI4" s="7">
        <f t="shared" si="15"/>
        <v>1</v>
      </c>
      <c r="AJ4" s="7" t="str">
        <f t="shared" si="16"/>
        <v>Correct</v>
      </c>
      <c r="AL4" s="120" t="str">
        <f>IFERROR(VLOOKUP(Table1[RespondentID],'All Data'!$A$3:$CO$999,87,FALSE),"unknown")</f>
        <v>Woman</v>
      </c>
      <c r="AM4" s="120">
        <f>IFERROR(VLOOKUP(Table1[RespondentID],'All Data'!$A$3:$CO$999,88,FALSE),"unknown")</f>
        <v>41</v>
      </c>
      <c r="AN4" s="120" t="str">
        <f>IFERROR(VLOOKUP(Table1[RespondentID],'All Data'!$A$3:$CO$999,89,FALSE),"unknown")</f>
        <v>Suffolk</v>
      </c>
      <c r="AO4" s="120" t="str">
        <f>IFERROR(VLOOKUP(Table1[RespondentID],'All Data'!$A$3:$CO$999,90,FALSE),"unknown")</f>
        <v>Ridge, 11961</v>
      </c>
      <c r="AP4" s="120" t="str">
        <f>IFERROR(VLOOKUP(Table1[RespondentID],'All Data'!$A$3:$CO$999,91,FALSE),"unknown")</f>
        <v>Asian</v>
      </c>
      <c r="AQ4" s="120" t="str">
        <f>IFERROR(VLOOKUP(Table1[RespondentID],'All Data'!$A$3:$CO$999,92,FALSE),"unknown")</f>
        <v>Not Hispanic or Latino</v>
      </c>
      <c r="AR4" s="120">
        <f>IFERROR(VLOOKUP(Table1[RespondentID],'All Data'!$A$3:$CO$999,93,FALSE),"unknown")</f>
        <v>0</v>
      </c>
      <c r="AS4" s="120" t="str">
        <f>IFERROR(VLOOKUP(Table1[RespondentID],'All Data'!$A$3:$CW$999,94,FALSE),"unknown")</f>
        <v>$20,000 to $34,999</v>
      </c>
      <c r="AT4" s="120" t="str">
        <f>IFERROR(VLOOKUP(Table1[RespondentID],'All Data'!$A$3:$CW$999,95,FALSE),"unknown")</f>
        <v>Graduate school</v>
      </c>
      <c r="AU4" s="120" t="str">
        <f>IFERROR(VLOOKUP(Table1[RespondentID],'All Data'!$A$3:$CW$999,96,FALSE),"unknown")</f>
        <v>Self-employed</v>
      </c>
      <c r="AV4" s="120">
        <f>IFERROR(VLOOKUP(Table1[RespondentID],'All Data'!$A$3:$CW$999,97,FALSE),"unknown")</f>
        <v>0</v>
      </c>
      <c r="AW4" s="120" t="str">
        <f>IFERROR(VLOOKUP(Table1[RespondentID],'All Data'!$A$3:$CW$999,98,FALSE),"unknown")</f>
        <v>Private/Commercial</v>
      </c>
      <c r="AX4" s="120">
        <f>IFERROR(VLOOKUP(Table1[RespondentID],'All Data'!$A$3:$CW$999,99,FALSE),"unknown")</f>
        <v>0</v>
      </c>
    </row>
    <row r="5" spans="1:50">
      <c r="A5" s="5">
        <v>18025536366</v>
      </c>
      <c r="B5" s="5"/>
      <c r="C5" s="5"/>
      <c r="D5" s="5"/>
      <c r="E5" s="5"/>
      <c r="F5" s="5"/>
      <c r="G5" s="5"/>
      <c r="H5" s="5"/>
      <c r="I5" s="5"/>
      <c r="J5" s="5"/>
      <c r="K5" s="5" t="s">
        <v>25</v>
      </c>
      <c r="L5" s="5" t="s">
        <v>26</v>
      </c>
      <c r="M5" s="5"/>
      <c r="N5" s="5"/>
      <c r="O5" s="7"/>
      <c r="P5" s="7">
        <f t="shared" si="0"/>
        <v>2</v>
      </c>
      <c r="Q5" s="7">
        <f t="shared" si="1"/>
        <v>1.5</v>
      </c>
      <c r="R5" s="7"/>
      <c r="S5" s="7">
        <f t="shared" si="17"/>
        <v>0</v>
      </c>
      <c r="T5" s="7">
        <f t="shared" si="2"/>
        <v>0</v>
      </c>
      <c r="U5" s="7">
        <f t="shared" si="3"/>
        <v>0</v>
      </c>
      <c r="V5" s="119">
        <f t="shared" si="4"/>
        <v>0</v>
      </c>
      <c r="W5" s="119">
        <f t="shared" si="5"/>
        <v>0</v>
      </c>
      <c r="X5" s="119">
        <f t="shared" si="6"/>
        <v>0</v>
      </c>
      <c r="Y5" s="119">
        <f t="shared" si="7"/>
        <v>0</v>
      </c>
      <c r="Z5" s="119">
        <f t="shared" si="8"/>
        <v>0</v>
      </c>
      <c r="AA5" s="119">
        <f t="shared" si="9"/>
        <v>0</v>
      </c>
      <c r="AB5" s="119">
        <f t="shared" si="10"/>
        <v>1</v>
      </c>
      <c r="AC5" s="119">
        <f t="shared" si="11"/>
        <v>1</v>
      </c>
      <c r="AD5" s="119">
        <f t="shared" si="12"/>
        <v>0</v>
      </c>
      <c r="AE5" s="119">
        <f t="shared" si="13"/>
        <v>0</v>
      </c>
      <c r="AF5" s="7"/>
      <c r="AG5" s="7"/>
      <c r="AH5" s="7">
        <f t="shared" si="14"/>
        <v>2</v>
      </c>
      <c r="AI5" s="7">
        <f t="shared" si="15"/>
        <v>2</v>
      </c>
      <c r="AJ5" s="7" t="str">
        <f t="shared" si="16"/>
        <v>Correct</v>
      </c>
      <c r="AL5" s="120" t="str">
        <f>IFERROR(VLOOKUP(Table1[RespondentID],'All Data'!$A$3:$CO$999,87,FALSE),"unknown")</f>
        <v>Woman</v>
      </c>
      <c r="AM5" s="120">
        <f>IFERROR(VLOOKUP(Table1[RespondentID],'All Data'!$A$3:$CO$999,88,FALSE),"unknown")</f>
        <v>49</v>
      </c>
      <c r="AN5" s="120" t="str">
        <f>IFERROR(VLOOKUP(Table1[RespondentID],'All Data'!$A$3:$CO$999,89,FALSE),"unknown")</f>
        <v>Suffolk</v>
      </c>
      <c r="AO5" s="120" t="str">
        <f>IFERROR(VLOOKUP(Table1[RespondentID],'All Data'!$A$3:$CO$999,90,FALSE),"unknown")</f>
        <v>Middle Island, 11953</v>
      </c>
      <c r="AP5" s="120" t="str">
        <f>IFERROR(VLOOKUP(Table1[RespondentID],'All Data'!$A$3:$CO$999,91,FALSE),"unknown")</f>
        <v>White</v>
      </c>
      <c r="AQ5" s="120" t="str">
        <f>IFERROR(VLOOKUP(Table1[RespondentID],'All Data'!$A$3:$CO$999,92,FALSE),"unknown")</f>
        <v>Not Hispanic or Latino</v>
      </c>
      <c r="AR5" s="120" t="str">
        <f>IFERROR(VLOOKUP(Table1[RespondentID],'All Data'!$A$3:$CO$999,93,FALSE),"unknown")</f>
        <v>English</v>
      </c>
      <c r="AS5" s="120" t="str">
        <f>IFERROR(VLOOKUP(Table1[RespondentID],'All Data'!$A$3:$CW$999,94,FALSE),"unknown")</f>
        <v>$20,000 to $34,999</v>
      </c>
      <c r="AT5" s="120" t="str">
        <f>IFERROR(VLOOKUP(Table1[RespondentID],'All Data'!$A$3:$CW$999,95,FALSE),"unknown")</f>
        <v>College graduate</v>
      </c>
      <c r="AU5" s="120" t="str">
        <f>IFERROR(VLOOKUP(Table1[RespondentID],'All Data'!$A$3:$CW$999,96,FALSE),"unknown")</f>
        <v>Self-employed</v>
      </c>
      <c r="AV5" s="120" t="str">
        <f>IFERROR(VLOOKUP(Table1[RespondentID],'All Data'!$A$3:$CW$999,97,FALSE),"unknown")</f>
        <v>Yes</v>
      </c>
      <c r="AW5" s="120" t="str">
        <f>IFERROR(VLOOKUP(Table1[RespondentID],'All Data'!$A$3:$CW$999,98,FALSE),"unknown")</f>
        <v>Medicaid</v>
      </c>
      <c r="AX5" s="120">
        <f>IFERROR(VLOOKUP(Table1[RespondentID],'All Data'!$A$3:$CW$999,99,FALSE),"unknown")</f>
        <v>0</v>
      </c>
    </row>
    <row r="6" spans="1:50">
      <c r="A6" s="5">
        <v>18025536248</v>
      </c>
      <c r="B6" s="5"/>
      <c r="C6" s="5"/>
      <c r="D6" s="5"/>
      <c r="E6" s="5" t="s">
        <v>19</v>
      </c>
      <c r="F6" s="5"/>
      <c r="G6" s="5"/>
      <c r="H6" s="5"/>
      <c r="I6" s="5" t="s">
        <v>23</v>
      </c>
      <c r="J6" s="5"/>
      <c r="K6" s="5"/>
      <c r="L6" s="5"/>
      <c r="M6" s="5"/>
      <c r="N6" s="5"/>
      <c r="O6" s="7"/>
      <c r="P6" s="7">
        <f t="shared" si="0"/>
        <v>2</v>
      </c>
      <c r="Q6" s="7">
        <f t="shared" si="1"/>
        <v>1.5</v>
      </c>
      <c r="R6" s="7"/>
      <c r="S6" s="7">
        <f t="shared" si="17"/>
        <v>0</v>
      </c>
      <c r="T6" s="7">
        <f t="shared" si="2"/>
        <v>0</v>
      </c>
      <c r="U6" s="7">
        <f t="shared" si="3"/>
        <v>0</v>
      </c>
      <c r="V6" s="119">
        <f t="shared" si="4"/>
        <v>1</v>
      </c>
      <c r="W6" s="119">
        <f t="shared" si="5"/>
        <v>0</v>
      </c>
      <c r="X6" s="119">
        <f t="shared" si="6"/>
        <v>0</v>
      </c>
      <c r="Y6" s="119">
        <f t="shared" si="7"/>
        <v>0</v>
      </c>
      <c r="Z6" s="119">
        <f t="shared" si="8"/>
        <v>1</v>
      </c>
      <c r="AA6" s="119">
        <f t="shared" si="9"/>
        <v>0</v>
      </c>
      <c r="AB6" s="119">
        <f t="shared" si="10"/>
        <v>0</v>
      </c>
      <c r="AC6" s="119">
        <f t="shared" si="11"/>
        <v>0</v>
      </c>
      <c r="AD6" s="119">
        <f t="shared" si="12"/>
        <v>0</v>
      </c>
      <c r="AE6" s="119">
        <f t="shared" si="13"/>
        <v>0</v>
      </c>
      <c r="AF6" s="7"/>
      <c r="AG6" s="7"/>
      <c r="AH6" s="7">
        <f t="shared" si="14"/>
        <v>2</v>
      </c>
      <c r="AI6" s="7">
        <f t="shared" si="15"/>
        <v>2</v>
      </c>
      <c r="AJ6" s="7" t="str">
        <f t="shared" si="16"/>
        <v>Correct</v>
      </c>
      <c r="AL6" s="120" t="str">
        <f>IFERROR(VLOOKUP(Table1[RespondentID],'All Data'!$A$3:$CO$999,87,FALSE),"unknown")</f>
        <v>Man</v>
      </c>
      <c r="AM6" s="120">
        <f>IFERROR(VLOOKUP(Table1[RespondentID],'All Data'!$A$3:$CO$999,88,FALSE),"unknown")</f>
        <v>36</v>
      </c>
      <c r="AN6" s="120" t="str">
        <f>IFERROR(VLOOKUP(Table1[RespondentID],'All Data'!$A$3:$CO$999,89,FALSE),"unknown")</f>
        <v>Suffolk</v>
      </c>
      <c r="AO6" s="120" t="str">
        <f>IFERROR(VLOOKUP(Table1[RespondentID],'All Data'!$A$3:$CO$999,90,FALSE),"unknown")</f>
        <v>Middle Island, 11953</v>
      </c>
      <c r="AP6" s="120" t="str">
        <f>IFERROR(VLOOKUP(Table1[RespondentID],'All Data'!$A$3:$CO$999,91,FALSE),"unknown")</f>
        <v>Other (please specify)</v>
      </c>
      <c r="AQ6" s="120" t="str">
        <f>IFERROR(VLOOKUP(Table1[RespondentID],'All Data'!$A$3:$CO$999,92,FALSE),"unknown")</f>
        <v>Hispanic or Latino</v>
      </c>
      <c r="AR6" s="120" t="str">
        <f>IFERROR(VLOOKUP(Table1[RespondentID],'All Data'!$A$3:$CO$999,93,FALSE),"unknown")</f>
        <v>Spanish</v>
      </c>
      <c r="AS6" s="120" t="str">
        <f>IFERROR(VLOOKUP(Table1[RespondentID],'All Data'!$A$3:$CW$999,94,FALSE),"unknown")</f>
        <v>$0-$19,999</v>
      </c>
      <c r="AT6" s="120" t="str">
        <f>IFERROR(VLOOKUP(Table1[RespondentID],'All Data'!$A$3:$CW$999,95,FALSE),"unknown")</f>
        <v>Technical school</v>
      </c>
      <c r="AU6" s="120" t="str">
        <f>IFERROR(VLOOKUP(Table1[RespondentID],'All Data'!$A$3:$CW$999,96,FALSE),"unknown")</f>
        <v>Out of work and looking for work</v>
      </c>
      <c r="AV6" s="120" t="str">
        <f>IFERROR(VLOOKUP(Table1[RespondentID],'All Data'!$A$3:$CW$999,97,FALSE),"unknown")</f>
        <v>Yes</v>
      </c>
      <c r="AW6" s="120" t="str">
        <f>IFERROR(VLOOKUP(Table1[RespondentID],'All Data'!$A$3:$CW$999,98,FALSE),"unknown")</f>
        <v>Medicaid</v>
      </c>
      <c r="AX6" s="120">
        <f>IFERROR(VLOOKUP(Table1[RespondentID],'All Data'!$A$3:$CW$999,99,FALSE),"unknown")</f>
        <v>0</v>
      </c>
    </row>
    <row r="7" spans="1:50">
      <c r="A7" s="5">
        <v>18025536153</v>
      </c>
      <c r="B7" s="5"/>
      <c r="C7" s="5"/>
      <c r="D7" s="5" t="s">
        <v>18</v>
      </c>
      <c r="E7" s="5" t="s">
        <v>19</v>
      </c>
      <c r="F7" s="5"/>
      <c r="G7" s="5"/>
      <c r="H7" s="5"/>
      <c r="I7" s="5"/>
      <c r="J7" s="5"/>
      <c r="K7" s="5"/>
      <c r="L7" s="5"/>
      <c r="M7" s="5"/>
      <c r="N7" s="5"/>
      <c r="O7" s="7"/>
      <c r="P7" s="7">
        <f t="shared" si="0"/>
        <v>2</v>
      </c>
      <c r="Q7" s="7">
        <f t="shared" si="1"/>
        <v>1.5</v>
      </c>
      <c r="R7" s="7"/>
      <c r="S7" s="7">
        <f t="shared" si="17"/>
        <v>0</v>
      </c>
      <c r="T7" s="7">
        <f t="shared" si="2"/>
        <v>0</v>
      </c>
      <c r="U7" s="7">
        <f t="shared" si="3"/>
        <v>1</v>
      </c>
      <c r="V7" s="119">
        <f t="shared" si="4"/>
        <v>1</v>
      </c>
      <c r="W7" s="119">
        <f t="shared" si="5"/>
        <v>0</v>
      </c>
      <c r="X7" s="119">
        <f t="shared" si="6"/>
        <v>0</v>
      </c>
      <c r="Y7" s="119">
        <f t="shared" si="7"/>
        <v>0</v>
      </c>
      <c r="Z7" s="119">
        <f t="shared" si="8"/>
        <v>0</v>
      </c>
      <c r="AA7" s="119">
        <f t="shared" si="9"/>
        <v>0</v>
      </c>
      <c r="AB7" s="119">
        <f t="shared" si="10"/>
        <v>0</v>
      </c>
      <c r="AC7" s="119">
        <f t="shared" si="11"/>
        <v>0</v>
      </c>
      <c r="AD7" s="119">
        <f t="shared" si="12"/>
        <v>0</v>
      </c>
      <c r="AE7" s="119">
        <f t="shared" si="13"/>
        <v>0</v>
      </c>
      <c r="AF7" s="7"/>
      <c r="AG7" s="7"/>
      <c r="AH7" s="7">
        <f t="shared" si="14"/>
        <v>2</v>
      </c>
      <c r="AI7" s="7">
        <f t="shared" si="15"/>
        <v>2</v>
      </c>
      <c r="AJ7" s="7" t="str">
        <f t="shared" si="16"/>
        <v>Correct</v>
      </c>
      <c r="AL7" s="120" t="str">
        <f>IFERROR(VLOOKUP(Table1[RespondentID],'All Data'!$A$3:$CO$999,87,FALSE),"unknown")</f>
        <v>Woman</v>
      </c>
      <c r="AM7" s="120">
        <f>IFERROR(VLOOKUP(Table1[RespondentID],'All Data'!$A$3:$CO$999,88,FALSE),"unknown")</f>
        <v>34</v>
      </c>
      <c r="AN7" s="120" t="str">
        <f>IFERROR(VLOOKUP(Table1[RespondentID],'All Data'!$A$3:$CO$999,89,FALSE),"unknown")</f>
        <v>Suffolk</v>
      </c>
      <c r="AO7" s="120" t="str">
        <f>IFERROR(VLOOKUP(Table1[RespondentID],'All Data'!$A$3:$CO$999,90,FALSE),"unknown")</f>
        <v>Ridge, 11961</v>
      </c>
      <c r="AP7" s="120" t="str">
        <f>IFERROR(VLOOKUP(Table1[RespondentID],'All Data'!$A$3:$CO$999,91,FALSE),"unknown")</f>
        <v>Asian</v>
      </c>
      <c r="AQ7" s="120" t="str">
        <f>IFERROR(VLOOKUP(Table1[RespondentID],'All Data'!$A$3:$CO$999,92,FALSE),"unknown")</f>
        <v>Not Hispanic or Latino</v>
      </c>
      <c r="AR7" s="120">
        <f>IFERROR(VLOOKUP(Table1[RespondentID],'All Data'!$A$3:$CO$999,93,FALSE),"unknown")</f>
        <v>0</v>
      </c>
      <c r="AS7" s="120" t="str">
        <f>IFERROR(VLOOKUP(Table1[RespondentID],'All Data'!$A$3:$CW$999,94,FALSE),"unknown")</f>
        <v>$0-$19,999</v>
      </c>
      <c r="AT7" s="120" t="str">
        <f>IFERROR(VLOOKUP(Table1[RespondentID],'All Data'!$A$3:$CW$999,95,FALSE),"unknown")</f>
        <v>Graduate school</v>
      </c>
      <c r="AU7" s="120">
        <f>IFERROR(VLOOKUP(Table1[RespondentID],'All Data'!$A$3:$CW$999,96,FALSE),"unknown")</f>
        <v>0</v>
      </c>
      <c r="AV7" s="120" t="str">
        <f>IFERROR(VLOOKUP(Table1[RespondentID],'All Data'!$A$3:$CW$999,97,FALSE),"unknown")</f>
        <v>Yes</v>
      </c>
      <c r="AW7" s="120" t="str">
        <f>IFERROR(VLOOKUP(Table1[RespondentID],'All Data'!$A$3:$CW$999,98,FALSE),"unknown")</f>
        <v>Private/Commercial</v>
      </c>
      <c r="AX7" s="120">
        <f>IFERROR(VLOOKUP(Table1[RespondentID],'All Data'!$A$3:$CW$999,99,FALSE),"unknown")</f>
        <v>0</v>
      </c>
    </row>
    <row r="8" spans="1:50">
      <c r="A8" s="5">
        <v>18025536056</v>
      </c>
      <c r="B8" s="5"/>
      <c r="C8" s="5"/>
      <c r="D8" s="5"/>
      <c r="E8" s="5" t="s">
        <v>19</v>
      </c>
      <c r="F8" s="5"/>
      <c r="G8" s="5"/>
      <c r="H8" s="5"/>
      <c r="I8" s="5"/>
      <c r="J8" s="5"/>
      <c r="K8" s="5"/>
      <c r="L8" s="5"/>
      <c r="M8" s="5"/>
      <c r="N8" s="5"/>
      <c r="O8" s="7"/>
      <c r="P8" s="7">
        <f t="shared" si="0"/>
        <v>1</v>
      </c>
      <c r="Q8" s="7">
        <f t="shared" si="1"/>
        <v>3</v>
      </c>
      <c r="R8" s="7"/>
      <c r="S8" s="7">
        <f t="shared" si="17"/>
        <v>0</v>
      </c>
      <c r="T8" s="7">
        <f t="shared" si="2"/>
        <v>0</v>
      </c>
      <c r="U8" s="7">
        <f t="shared" si="3"/>
        <v>0</v>
      </c>
      <c r="V8" s="119">
        <f t="shared" si="4"/>
        <v>1</v>
      </c>
      <c r="W8" s="119">
        <f t="shared" si="5"/>
        <v>0</v>
      </c>
      <c r="X8" s="119">
        <f t="shared" si="6"/>
        <v>0</v>
      </c>
      <c r="Y8" s="119">
        <f t="shared" si="7"/>
        <v>0</v>
      </c>
      <c r="Z8" s="119">
        <f t="shared" si="8"/>
        <v>0</v>
      </c>
      <c r="AA8" s="119">
        <f t="shared" si="9"/>
        <v>0</v>
      </c>
      <c r="AB8" s="119">
        <f t="shared" si="10"/>
        <v>0</v>
      </c>
      <c r="AC8" s="119">
        <f t="shared" si="11"/>
        <v>0</v>
      </c>
      <c r="AD8" s="119">
        <f t="shared" si="12"/>
        <v>0</v>
      </c>
      <c r="AE8" s="119">
        <f t="shared" si="13"/>
        <v>0</v>
      </c>
      <c r="AF8" s="7"/>
      <c r="AG8" s="7"/>
      <c r="AH8" s="7">
        <f t="shared" si="14"/>
        <v>1</v>
      </c>
      <c r="AI8" s="7">
        <f t="shared" si="15"/>
        <v>1</v>
      </c>
      <c r="AJ8" s="7" t="str">
        <f t="shared" si="16"/>
        <v>Correct</v>
      </c>
      <c r="AL8" s="120" t="str">
        <f>IFERROR(VLOOKUP(Table1[RespondentID],'All Data'!$A$3:$CO$999,87,FALSE),"unknown")</f>
        <v>Man</v>
      </c>
      <c r="AM8" s="120">
        <f>IFERROR(VLOOKUP(Table1[RespondentID],'All Data'!$A$3:$CO$999,88,FALSE),"unknown")</f>
        <v>30</v>
      </c>
      <c r="AN8" s="120" t="str">
        <f>IFERROR(VLOOKUP(Table1[RespondentID],'All Data'!$A$3:$CO$999,89,FALSE),"unknown")</f>
        <v>Suffolk</v>
      </c>
      <c r="AO8" s="120" t="str">
        <f>IFERROR(VLOOKUP(Table1[RespondentID],'All Data'!$A$3:$CO$999,90,FALSE),"unknown")</f>
        <v>Ridge, 11961</v>
      </c>
      <c r="AP8" s="120" t="str">
        <f>IFERROR(VLOOKUP(Table1[RespondentID],'All Data'!$A$3:$CO$999,91,FALSE),"unknown")</f>
        <v>Two or more races</v>
      </c>
      <c r="AQ8" s="120" t="str">
        <f>IFERROR(VLOOKUP(Table1[RespondentID],'All Data'!$A$3:$CO$999,92,FALSE),"unknown")</f>
        <v>Not Hispanic or Latino</v>
      </c>
      <c r="AR8" s="120" t="str">
        <f>IFERROR(VLOOKUP(Table1[RespondentID],'All Data'!$A$3:$CO$999,93,FALSE),"unknown")</f>
        <v>English</v>
      </c>
      <c r="AS8" s="120" t="str">
        <f>IFERROR(VLOOKUP(Table1[RespondentID],'All Data'!$A$3:$CW$999,94,FALSE),"unknown")</f>
        <v>$50,000 to $74,999</v>
      </c>
      <c r="AT8" s="120" t="str">
        <f>IFERROR(VLOOKUP(Table1[RespondentID],'All Data'!$A$3:$CW$999,95,FALSE),"unknown")</f>
        <v>Some college</v>
      </c>
      <c r="AU8" s="120" t="str">
        <f>IFERROR(VLOOKUP(Table1[RespondentID],'All Data'!$A$3:$CW$999,96,FALSE),"unknown")</f>
        <v>Self-employed</v>
      </c>
      <c r="AV8" s="120" t="str">
        <f>IFERROR(VLOOKUP(Table1[RespondentID],'All Data'!$A$3:$CW$999,97,FALSE),"unknown")</f>
        <v>Yes</v>
      </c>
      <c r="AW8" s="120" t="str">
        <f>IFERROR(VLOOKUP(Table1[RespondentID],'All Data'!$A$3:$CW$999,98,FALSE),"unknown")</f>
        <v>Medicare</v>
      </c>
      <c r="AX8" s="120">
        <f>IFERROR(VLOOKUP(Table1[RespondentID],'All Data'!$A$3:$CW$999,99,FALSE),"unknown")</f>
        <v>0</v>
      </c>
    </row>
    <row r="9" spans="1:50">
      <c r="A9" s="5">
        <v>18025535944</v>
      </c>
      <c r="B9" s="5"/>
      <c r="C9" s="5"/>
      <c r="D9" s="5"/>
      <c r="E9" s="5"/>
      <c r="F9" s="5"/>
      <c r="G9" s="5"/>
      <c r="H9" s="5"/>
      <c r="I9" s="5"/>
      <c r="J9" s="5" t="s">
        <v>24</v>
      </c>
      <c r="K9" s="5"/>
      <c r="L9" s="5"/>
      <c r="M9" s="5"/>
      <c r="N9" s="5"/>
      <c r="O9" s="7"/>
      <c r="P9" s="7">
        <f t="shared" si="0"/>
        <v>1</v>
      </c>
      <c r="Q9" s="7">
        <f t="shared" si="1"/>
        <v>3</v>
      </c>
      <c r="R9" s="7"/>
      <c r="S9" s="7">
        <f t="shared" si="17"/>
        <v>0</v>
      </c>
      <c r="T9" s="7">
        <f t="shared" si="2"/>
        <v>0</v>
      </c>
      <c r="U9" s="7">
        <f t="shared" si="3"/>
        <v>0</v>
      </c>
      <c r="V9" s="119">
        <f t="shared" si="4"/>
        <v>0</v>
      </c>
      <c r="W9" s="119">
        <f t="shared" si="5"/>
        <v>0</v>
      </c>
      <c r="X9" s="119">
        <f t="shared" si="6"/>
        <v>0</v>
      </c>
      <c r="Y9" s="119">
        <f t="shared" si="7"/>
        <v>0</v>
      </c>
      <c r="Z9" s="119">
        <f t="shared" si="8"/>
        <v>0</v>
      </c>
      <c r="AA9" s="119">
        <f t="shared" si="9"/>
        <v>1</v>
      </c>
      <c r="AB9" s="119">
        <f t="shared" si="10"/>
        <v>0</v>
      </c>
      <c r="AC9" s="119">
        <f t="shared" si="11"/>
        <v>0</v>
      </c>
      <c r="AD9" s="119">
        <f t="shared" si="12"/>
        <v>0</v>
      </c>
      <c r="AE9" s="119">
        <f t="shared" si="13"/>
        <v>0</v>
      </c>
      <c r="AF9" s="7"/>
      <c r="AG9" s="7"/>
      <c r="AH9" s="7">
        <f t="shared" si="14"/>
        <v>1</v>
      </c>
      <c r="AI9" s="7">
        <f t="shared" si="15"/>
        <v>1</v>
      </c>
      <c r="AJ9" s="7" t="str">
        <f t="shared" si="16"/>
        <v>Correct</v>
      </c>
      <c r="AL9" s="120" t="str">
        <f>IFERROR(VLOOKUP(Table1[RespondentID],'All Data'!$A$3:$CO$999,87,FALSE),"unknown")</f>
        <v>Woman</v>
      </c>
      <c r="AM9" s="120">
        <f>IFERROR(VLOOKUP(Table1[RespondentID],'All Data'!$A$3:$CO$999,88,FALSE),"unknown")</f>
        <v>43</v>
      </c>
      <c r="AN9" s="120" t="str">
        <f>IFERROR(VLOOKUP(Table1[RespondentID],'All Data'!$A$3:$CO$999,89,FALSE),"unknown")</f>
        <v>Suffolk</v>
      </c>
      <c r="AO9" s="120" t="str">
        <f>IFERROR(VLOOKUP(Table1[RespondentID],'All Data'!$A$3:$CO$999,90,FALSE),"unknown")</f>
        <v>Ridge, 11961</v>
      </c>
      <c r="AP9" s="120" t="str">
        <f>IFERROR(VLOOKUP(Table1[RespondentID],'All Data'!$A$3:$CO$999,91,FALSE),"unknown")</f>
        <v>Asian</v>
      </c>
      <c r="AQ9" s="120" t="str">
        <f>IFERROR(VLOOKUP(Table1[RespondentID],'All Data'!$A$3:$CO$999,92,FALSE),"unknown")</f>
        <v>Not Hispanic or Latino</v>
      </c>
      <c r="AR9" s="120">
        <f>IFERROR(VLOOKUP(Table1[RespondentID],'All Data'!$A$3:$CO$999,93,FALSE),"unknown")</f>
        <v>0</v>
      </c>
      <c r="AS9" s="120" t="str">
        <f>IFERROR(VLOOKUP(Table1[RespondentID],'All Data'!$A$3:$CW$999,94,FALSE),"unknown")</f>
        <v>$75,000 to $125,000</v>
      </c>
      <c r="AT9" s="120" t="str">
        <f>IFERROR(VLOOKUP(Table1[RespondentID],'All Data'!$A$3:$CW$999,95,FALSE),"unknown")</f>
        <v>Other (please specify)</v>
      </c>
      <c r="AU9" s="120" t="str">
        <f>IFERROR(VLOOKUP(Table1[RespondentID],'All Data'!$A$3:$CW$999,96,FALSE),"unknown")</f>
        <v>Out of work and looking for work</v>
      </c>
      <c r="AV9" s="120" t="str">
        <f>IFERROR(VLOOKUP(Table1[RespondentID],'All Data'!$A$3:$CW$999,97,FALSE),"unknown")</f>
        <v>Yes</v>
      </c>
      <c r="AW9" s="120" t="str">
        <f>IFERROR(VLOOKUP(Table1[RespondentID],'All Data'!$A$3:$CW$999,98,FALSE),"unknown")</f>
        <v>Private/Commercial</v>
      </c>
      <c r="AX9" s="120">
        <f>IFERROR(VLOOKUP(Table1[RespondentID],'All Data'!$A$3:$CW$999,99,FALSE),"unknown")</f>
        <v>0</v>
      </c>
    </row>
    <row r="10" spans="1:50">
      <c r="A10" s="5">
        <v>18025535832</v>
      </c>
      <c r="B10" s="5"/>
      <c r="C10" s="5"/>
      <c r="D10" s="5"/>
      <c r="E10" s="5" t="s">
        <v>19</v>
      </c>
      <c r="F10" s="5"/>
      <c r="G10" s="5"/>
      <c r="H10" s="5"/>
      <c r="I10" s="5"/>
      <c r="J10" s="5"/>
      <c r="K10" s="5"/>
      <c r="L10" s="5"/>
      <c r="M10" s="5"/>
      <c r="N10" s="5"/>
      <c r="O10" s="7"/>
      <c r="P10" s="7">
        <f t="shared" si="0"/>
        <v>1</v>
      </c>
      <c r="Q10" s="7">
        <f t="shared" si="1"/>
        <v>3</v>
      </c>
      <c r="R10" s="7"/>
      <c r="S10" s="7">
        <f t="shared" si="17"/>
        <v>0</v>
      </c>
      <c r="T10" s="7">
        <f t="shared" si="2"/>
        <v>0</v>
      </c>
      <c r="U10" s="7">
        <f t="shared" si="3"/>
        <v>0</v>
      </c>
      <c r="V10" s="119">
        <f t="shared" si="4"/>
        <v>1</v>
      </c>
      <c r="W10" s="119">
        <f t="shared" si="5"/>
        <v>0</v>
      </c>
      <c r="X10" s="119">
        <f t="shared" si="6"/>
        <v>0</v>
      </c>
      <c r="Y10" s="119">
        <f t="shared" si="7"/>
        <v>0</v>
      </c>
      <c r="Z10" s="119">
        <f t="shared" si="8"/>
        <v>0</v>
      </c>
      <c r="AA10" s="119">
        <f t="shared" si="9"/>
        <v>0</v>
      </c>
      <c r="AB10" s="119">
        <f t="shared" si="10"/>
        <v>0</v>
      </c>
      <c r="AC10" s="119">
        <f t="shared" si="11"/>
        <v>0</v>
      </c>
      <c r="AD10" s="119">
        <f t="shared" si="12"/>
        <v>0</v>
      </c>
      <c r="AE10" s="119">
        <f t="shared" si="13"/>
        <v>0</v>
      </c>
      <c r="AF10" s="7"/>
      <c r="AG10" s="7"/>
      <c r="AH10" s="7">
        <f t="shared" si="14"/>
        <v>1</v>
      </c>
      <c r="AI10" s="7">
        <f t="shared" si="15"/>
        <v>1</v>
      </c>
      <c r="AJ10" s="7" t="str">
        <f t="shared" si="16"/>
        <v>Correct</v>
      </c>
      <c r="AL10" s="120" t="str">
        <f>IFERROR(VLOOKUP(Table1[RespondentID],'All Data'!$A$3:$CO$999,87,FALSE),"unknown")</f>
        <v>Woman</v>
      </c>
      <c r="AM10" s="120">
        <f>IFERROR(VLOOKUP(Table1[RespondentID],'All Data'!$A$3:$CO$999,88,FALSE),"unknown")</f>
        <v>20</v>
      </c>
      <c r="AN10" s="120" t="str">
        <f>IFERROR(VLOOKUP(Table1[RespondentID],'All Data'!$A$3:$CO$999,89,FALSE),"unknown")</f>
        <v>Suffolk</v>
      </c>
      <c r="AO10" s="120" t="str">
        <f>IFERROR(VLOOKUP(Table1[RespondentID],'All Data'!$A$3:$CO$999,90,FALSE),"unknown")</f>
        <v>Ridge, 11961</v>
      </c>
      <c r="AP10" s="120" t="str">
        <f>IFERROR(VLOOKUP(Table1[RespondentID],'All Data'!$A$3:$CO$999,91,FALSE),"unknown")</f>
        <v>Asian</v>
      </c>
      <c r="AQ10" s="120">
        <f>IFERROR(VLOOKUP(Table1[RespondentID],'All Data'!$A$3:$CO$999,92,FALSE),"unknown")</f>
        <v>0</v>
      </c>
      <c r="AR10" s="120">
        <f>IFERROR(VLOOKUP(Table1[RespondentID],'All Data'!$A$3:$CO$999,93,FALSE),"unknown")</f>
        <v>0</v>
      </c>
      <c r="AS10" s="120" t="str">
        <f>IFERROR(VLOOKUP(Table1[RespondentID],'All Data'!$A$3:$CW$999,94,FALSE),"unknown")</f>
        <v>$0-$19,999</v>
      </c>
      <c r="AT10" s="120" t="str">
        <f>IFERROR(VLOOKUP(Table1[RespondentID],'All Data'!$A$3:$CW$999,95,FALSE),"unknown")</f>
        <v>High school graduate</v>
      </c>
      <c r="AU10" s="120" t="str">
        <f>IFERROR(VLOOKUP(Table1[RespondentID],'All Data'!$A$3:$CW$999,96,FALSE),"unknown")</f>
        <v>Student</v>
      </c>
      <c r="AV10" s="120" t="str">
        <f>IFERROR(VLOOKUP(Table1[RespondentID],'All Data'!$A$3:$CW$999,97,FALSE),"unknown")</f>
        <v>Yes</v>
      </c>
      <c r="AW10" s="120" t="str">
        <f>IFERROR(VLOOKUP(Table1[RespondentID],'All Data'!$A$3:$CW$999,98,FALSE),"unknown")</f>
        <v>Medicare</v>
      </c>
      <c r="AX10" s="120">
        <f>IFERROR(VLOOKUP(Table1[RespondentID],'All Data'!$A$3:$CW$999,99,FALSE),"unknown")</f>
        <v>0</v>
      </c>
    </row>
    <row r="11" spans="1:50">
      <c r="A11" s="5">
        <v>18025535657</v>
      </c>
      <c r="B11" s="5"/>
      <c r="C11" s="5"/>
      <c r="D11" s="5"/>
      <c r="E11" s="5" t="s">
        <v>19</v>
      </c>
      <c r="F11" s="5"/>
      <c r="G11" s="5"/>
      <c r="H11" s="5"/>
      <c r="I11" s="5" t="s">
        <v>23</v>
      </c>
      <c r="J11" s="5"/>
      <c r="K11" s="5"/>
      <c r="L11" s="5"/>
      <c r="M11" s="5"/>
      <c r="N11" s="5"/>
      <c r="O11" s="7"/>
      <c r="P11" s="7">
        <f t="shared" si="0"/>
        <v>2</v>
      </c>
      <c r="Q11" s="7">
        <f t="shared" si="1"/>
        <v>1.5</v>
      </c>
      <c r="R11" s="7"/>
      <c r="S11" s="7">
        <f t="shared" si="17"/>
        <v>0</v>
      </c>
      <c r="T11" s="7">
        <f t="shared" si="2"/>
        <v>0</v>
      </c>
      <c r="U11" s="7">
        <f t="shared" si="3"/>
        <v>0</v>
      </c>
      <c r="V11" s="119">
        <f t="shared" si="4"/>
        <v>1</v>
      </c>
      <c r="W11" s="119">
        <f t="shared" si="5"/>
        <v>0</v>
      </c>
      <c r="X11" s="119">
        <f t="shared" si="6"/>
        <v>0</v>
      </c>
      <c r="Y11" s="119">
        <f t="shared" si="7"/>
        <v>0</v>
      </c>
      <c r="Z11" s="119">
        <f t="shared" si="8"/>
        <v>1</v>
      </c>
      <c r="AA11" s="119">
        <f t="shared" si="9"/>
        <v>0</v>
      </c>
      <c r="AB11" s="119">
        <f t="shared" si="10"/>
        <v>0</v>
      </c>
      <c r="AC11" s="119">
        <f t="shared" si="11"/>
        <v>0</v>
      </c>
      <c r="AD11" s="119">
        <f t="shared" si="12"/>
        <v>0</v>
      </c>
      <c r="AE11" s="119">
        <f t="shared" si="13"/>
        <v>0</v>
      </c>
      <c r="AF11" s="7"/>
      <c r="AG11" s="7"/>
      <c r="AH11" s="7">
        <f t="shared" si="14"/>
        <v>2</v>
      </c>
      <c r="AI11" s="7">
        <f t="shared" si="15"/>
        <v>2</v>
      </c>
      <c r="AJ11" s="7" t="str">
        <f t="shared" si="16"/>
        <v>Correct</v>
      </c>
      <c r="AL11" s="120">
        <f>IFERROR(VLOOKUP(Table1[RespondentID],'All Data'!$A$3:$CO$999,87,FALSE),"unknown")</f>
        <v>0</v>
      </c>
      <c r="AM11" s="120">
        <f>IFERROR(VLOOKUP(Table1[RespondentID],'All Data'!$A$3:$CO$999,88,FALSE),"unknown")</f>
        <v>17</v>
      </c>
      <c r="AN11" s="120" t="str">
        <f>IFERROR(VLOOKUP(Table1[RespondentID],'All Data'!$A$3:$CO$999,89,FALSE),"unknown")</f>
        <v>Suffolk</v>
      </c>
      <c r="AO11" s="120" t="str">
        <f>IFERROR(VLOOKUP(Table1[RespondentID],'All Data'!$A$3:$CO$999,90,FALSE),"unknown")</f>
        <v>Ridge, 11961</v>
      </c>
      <c r="AP11" s="120" t="str">
        <f>IFERROR(VLOOKUP(Table1[RespondentID],'All Data'!$A$3:$CO$999,91,FALSE),"unknown")</f>
        <v>Asian</v>
      </c>
      <c r="AQ11" s="120" t="str">
        <f>IFERROR(VLOOKUP(Table1[RespondentID],'All Data'!$A$3:$CO$999,92,FALSE),"unknown")</f>
        <v>Not Hispanic or Latino</v>
      </c>
      <c r="AR11" s="120">
        <f>IFERROR(VLOOKUP(Table1[RespondentID],'All Data'!$A$3:$CO$999,93,FALSE),"unknown")</f>
        <v>0</v>
      </c>
      <c r="AS11" s="120" t="str">
        <f>IFERROR(VLOOKUP(Table1[RespondentID],'All Data'!$A$3:$CW$999,94,FALSE),"unknown")</f>
        <v>$0-$19,999</v>
      </c>
      <c r="AT11" s="120" t="str">
        <f>IFERROR(VLOOKUP(Table1[RespondentID],'All Data'!$A$3:$CW$999,95,FALSE),"unknown")</f>
        <v>Some high school</v>
      </c>
      <c r="AU11" s="120" t="str">
        <f>IFERROR(VLOOKUP(Table1[RespondentID],'All Data'!$A$3:$CW$999,96,FALSE),"unknown")</f>
        <v>Out of work, but not currently looking</v>
      </c>
      <c r="AV11" s="120" t="str">
        <f>IFERROR(VLOOKUP(Table1[RespondentID],'All Data'!$A$3:$CW$999,97,FALSE),"unknown")</f>
        <v>Yes</v>
      </c>
      <c r="AW11" s="120" t="str">
        <f>IFERROR(VLOOKUP(Table1[RespondentID],'All Data'!$A$3:$CW$999,98,FALSE),"unknown")</f>
        <v>Medicare</v>
      </c>
      <c r="AX11" s="120">
        <f>IFERROR(VLOOKUP(Table1[RespondentID],'All Data'!$A$3:$CW$999,99,FALSE),"unknown")</f>
        <v>0</v>
      </c>
    </row>
    <row r="12" spans="1:50">
      <c r="A12" s="5">
        <v>18025535535</v>
      </c>
      <c r="B12" s="5"/>
      <c r="C12" s="5"/>
      <c r="D12" s="5"/>
      <c r="E12" s="5"/>
      <c r="F12" s="5"/>
      <c r="G12" s="5"/>
      <c r="H12" s="5" t="s">
        <v>22</v>
      </c>
      <c r="I12" s="5"/>
      <c r="J12" s="5"/>
      <c r="K12" s="5" t="s">
        <v>25</v>
      </c>
      <c r="L12" s="5" t="s">
        <v>26</v>
      </c>
      <c r="M12" s="5"/>
      <c r="N12" s="5"/>
      <c r="O12" s="7"/>
      <c r="P12" s="7">
        <f t="shared" si="0"/>
        <v>3</v>
      </c>
      <c r="Q12" s="7">
        <f t="shared" si="1"/>
        <v>1</v>
      </c>
      <c r="R12" s="7"/>
      <c r="S12" s="7">
        <f t="shared" si="17"/>
        <v>0</v>
      </c>
      <c r="T12" s="7">
        <f t="shared" si="2"/>
        <v>0</v>
      </c>
      <c r="U12" s="7">
        <f t="shared" si="3"/>
        <v>0</v>
      </c>
      <c r="V12" s="119">
        <f t="shared" si="4"/>
        <v>0</v>
      </c>
      <c r="W12" s="119">
        <f t="shared" si="5"/>
        <v>0</v>
      </c>
      <c r="X12" s="119">
        <f t="shared" si="6"/>
        <v>0</v>
      </c>
      <c r="Y12" s="119">
        <f t="shared" si="7"/>
        <v>1</v>
      </c>
      <c r="Z12" s="119">
        <f t="shared" si="8"/>
        <v>0</v>
      </c>
      <c r="AA12" s="119">
        <f t="shared" si="9"/>
        <v>0</v>
      </c>
      <c r="AB12" s="119">
        <f t="shared" si="10"/>
        <v>1</v>
      </c>
      <c r="AC12" s="119">
        <f t="shared" si="11"/>
        <v>1</v>
      </c>
      <c r="AD12" s="119">
        <f t="shared" si="12"/>
        <v>0</v>
      </c>
      <c r="AE12" s="119">
        <f t="shared" si="13"/>
        <v>0</v>
      </c>
      <c r="AF12" s="7"/>
      <c r="AG12" s="7"/>
      <c r="AH12" s="7">
        <f t="shared" si="14"/>
        <v>3</v>
      </c>
      <c r="AI12" s="7">
        <f t="shared" si="15"/>
        <v>3</v>
      </c>
      <c r="AJ12" s="7" t="str">
        <f t="shared" si="16"/>
        <v>Correct</v>
      </c>
      <c r="AL12" s="120" t="str">
        <f>IFERROR(VLOOKUP(Table1[RespondentID],'All Data'!$A$3:$CO$999,87,FALSE),"unknown")</f>
        <v>Woman</v>
      </c>
      <c r="AM12" s="120">
        <f>IFERROR(VLOOKUP(Table1[RespondentID],'All Data'!$A$3:$CO$999,88,FALSE),"unknown")</f>
        <v>38</v>
      </c>
      <c r="AN12" s="120" t="str">
        <f>IFERROR(VLOOKUP(Table1[RespondentID],'All Data'!$A$3:$CO$999,89,FALSE),"unknown")</f>
        <v>Suffolk</v>
      </c>
      <c r="AO12" s="120" t="str">
        <f>IFERROR(VLOOKUP(Table1[RespondentID],'All Data'!$A$3:$CO$999,90,FALSE),"unknown")</f>
        <v>Baiting Hollow, 11933</v>
      </c>
      <c r="AP12" s="120" t="str">
        <f>IFERROR(VLOOKUP(Table1[RespondentID],'All Data'!$A$3:$CO$999,91,FALSE),"unknown")</f>
        <v>White</v>
      </c>
      <c r="AQ12" s="120" t="str">
        <f>IFERROR(VLOOKUP(Table1[RespondentID],'All Data'!$A$3:$CO$999,92,FALSE),"unknown")</f>
        <v>Not Hispanic or Latino</v>
      </c>
      <c r="AR12" s="120" t="str">
        <f>IFERROR(VLOOKUP(Table1[RespondentID],'All Data'!$A$3:$CO$999,93,FALSE),"unknown")</f>
        <v>English</v>
      </c>
      <c r="AS12" s="120" t="str">
        <f>IFERROR(VLOOKUP(Table1[RespondentID],'All Data'!$A$3:$CW$999,94,FALSE),"unknown")</f>
        <v>Over $125,000</v>
      </c>
      <c r="AT12" s="120" t="str">
        <f>IFERROR(VLOOKUP(Table1[RespondentID],'All Data'!$A$3:$CW$999,95,FALSE),"unknown")</f>
        <v>Some college</v>
      </c>
      <c r="AU12" s="120" t="str">
        <f>IFERROR(VLOOKUP(Table1[RespondentID],'All Data'!$A$3:$CW$999,96,FALSE),"unknown")</f>
        <v>Employed for wages</v>
      </c>
      <c r="AV12" s="120" t="str">
        <f>IFERROR(VLOOKUP(Table1[RespondentID],'All Data'!$A$3:$CW$999,97,FALSE),"unknown")</f>
        <v>No</v>
      </c>
      <c r="AW12" s="120" t="str">
        <f>IFERROR(VLOOKUP(Table1[RespondentID],'All Data'!$A$3:$CW$999,98,FALSE),"unknown")</f>
        <v>Private/Commercial</v>
      </c>
      <c r="AX12" s="120">
        <f>IFERROR(VLOOKUP(Table1[RespondentID],'All Data'!$A$3:$CW$999,99,FALSE),"unknown")</f>
        <v>0</v>
      </c>
    </row>
    <row r="13" spans="1:50">
      <c r="A13" s="5">
        <v>18025535409</v>
      </c>
      <c r="B13" s="5"/>
      <c r="C13" s="5"/>
      <c r="D13" s="5"/>
      <c r="E13" s="5"/>
      <c r="F13" s="5"/>
      <c r="G13" s="5"/>
      <c r="H13" s="5"/>
      <c r="I13" s="5"/>
      <c r="J13" s="5"/>
      <c r="K13" s="5" t="s">
        <v>25</v>
      </c>
      <c r="L13" s="5"/>
      <c r="M13" s="5" t="s">
        <v>27</v>
      </c>
      <c r="N13" s="5" t="s">
        <v>28</v>
      </c>
      <c r="O13" s="7"/>
      <c r="P13" s="7">
        <f t="shared" si="0"/>
        <v>3</v>
      </c>
      <c r="Q13" s="7">
        <f t="shared" si="1"/>
        <v>1</v>
      </c>
      <c r="R13" s="7"/>
      <c r="S13" s="7">
        <f t="shared" si="17"/>
        <v>0</v>
      </c>
      <c r="T13" s="7">
        <f t="shared" si="2"/>
        <v>0</v>
      </c>
      <c r="U13" s="7">
        <f t="shared" si="3"/>
        <v>0</v>
      </c>
      <c r="V13" s="119">
        <f t="shared" si="4"/>
        <v>0</v>
      </c>
      <c r="W13" s="119">
        <f t="shared" si="5"/>
        <v>0</v>
      </c>
      <c r="X13" s="119">
        <f t="shared" si="6"/>
        <v>0</v>
      </c>
      <c r="Y13" s="119">
        <f t="shared" si="7"/>
        <v>0</v>
      </c>
      <c r="Z13" s="119">
        <f t="shared" si="8"/>
        <v>0</v>
      </c>
      <c r="AA13" s="119">
        <f t="shared" si="9"/>
        <v>0</v>
      </c>
      <c r="AB13" s="119">
        <f t="shared" si="10"/>
        <v>1</v>
      </c>
      <c r="AC13" s="119">
        <f t="shared" si="11"/>
        <v>0</v>
      </c>
      <c r="AD13" s="119">
        <f t="shared" si="12"/>
        <v>1</v>
      </c>
      <c r="AE13" s="119">
        <f t="shared" si="13"/>
        <v>1</v>
      </c>
      <c r="AF13" s="7"/>
      <c r="AG13" s="7"/>
      <c r="AH13" s="7">
        <f t="shared" si="14"/>
        <v>3</v>
      </c>
      <c r="AI13" s="7">
        <f t="shared" si="15"/>
        <v>3</v>
      </c>
      <c r="AJ13" s="7" t="str">
        <f t="shared" si="16"/>
        <v>Correct</v>
      </c>
      <c r="AL13" s="120" t="str">
        <f>IFERROR(VLOOKUP(Table1[RespondentID],'All Data'!$A$3:$CO$999,87,FALSE),"unknown")</f>
        <v>Woman</v>
      </c>
      <c r="AM13" s="120">
        <f>IFERROR(VLOOKUP(Table1[RespondentID],'All Data'!$A$3:$CO$999,88,FALSE),"unknown")</f>
        <v>51</v>
      </c>
      <c r="AN13" s="120" t="str">
        <f>IFERROR(VLOOKUP(Table1[RespondentID],'All Data'!$A$3:$CO$999,89,FALSE),"unknown")</f>
        <v>Suffolk</v>
      </c>
      <c r="AO13" s="120" t="str">
        <f>IFERROR(VLOOKUP(Table1[RespondentID],'All Data'!$A$3:$CO$999,90,FALSE),"unknown")</f>
        <v>Ridge, 11961</v>
      </c>
      <c r="AP13" s="120" t="str">
        <f>IFERROR(VLOOKUP(Table1[RespondentID],'All Data'!$A$3:$CO$999,91,FALSE),"unknown")</f>
        <v>White</v>
      </c>
      <c r="AQ13" s="120" t="str">
        <f>IFERROR(VLOOKUP(Table1[RespondentID],'All Data'!$A$3:$CO$999,92,FALSE),"unknown")</f>
        <v>Not Hispanic or Latino</v>
      </c>
      <c r="AR13" s="120" t="str">
        <f>IFERROR(VLOOKUP(Table1[RespondentID],'All Data'!$A$3:$CO$999,93,FALSE),"unknown")</f>
        <v>English</v>
      </c>
      <c r="AS13" s="120" t="str">
        <f>IFERROR(VLOOKUP(Table1[RespondentID],'All Data'!$A$3:$CW$999,94,FALSE),"unknown")</f>
        <v>Over $125,000</v>
      </c>
      <c r="AT13" s="120" t="str">
        <f>IFERROR(VLOOKUP(Table1[RespondentID],'All Data'!$A$3:$CW$999,95,FALSE),"unknown")</f>
        <v>High school graduate</v>
      </c>
      <c r="AU13" s="120" t="str">
        <f>IFERROR(VLOOKUP(Table1[RespondentID],'All Data'!$A$3:$CW$999,96,FALSE),"unknown")</f>
        <v>Employed for wages</v>
      </c>
      <c r="AV13" s="120" t="str">
        <f>IFERROR(VLOOKUP(Table1[RespondentID],'All Data'!$A$3:$CW$999,97,FALSE),"unknown")</f>
        <v>Yes</v>
      </c>
      <c r="AW13" s="120" t="str">
        <f>IFERROR(VLOOKUP(Table1[RespondentID],'All Data'!$A$3:$CW$999,98,FALSE),"unknown")</f>
        <v>Private/Commercial</v>
      </c>
      <c r="AX13" s="120">
        <f>IFERROR(VLOOKUP(Table1[RespondentID],'All Data'!$A$3:$CW$999,99,FALSE),"unknown")</f>
        <v>0</v>
      </c>
    </row>
    <row r="14" spans="1:50">
      <c r="A14" s="5">
        <v>18025535294</v>
      </c>
      <c r="B14" s="5"/>
      <c r="C14" s="5"/>
      <c r="D14" s="5"/>
      <c r="E14" s="5"/>
      <c r="F14" s="5"/>
      <c r="G14" s="5"/>
      <c r="H14" s="5"/>
      <c r="I14" s="5"/>
      <c r="J14" s="5"/>
      <c r="K14" s="5" t="s">
        <v>25</v>
      </c>
      <c r="L14" s="5" t="s">
        <v>26</v>
      </c>
      <c r="M14" s="5"/>
      <c r="N14" s="5" t="s">
        <v>28</v>
      </c>
      <c r="O14" s="7"/>
      <c r="P14" s="7">
        <f t="shared" si="0"/>
        <v>3</v>
      </c>
      <c r="Q14" s="7">
        <f t="shared" si="1"/>
        <v>1</v>
      </c>
      <c r="R14" s="7"/>
      <c r="S14" s="7">
        <f t="shared" si="17"/>
        <v>0</v>
      </c>
      <c r="T14" s="7">
        <f t="shared" si="2"/>
        <v>0</v>
      </c>
      <c r="U14" s="7">
        <f t="shared" si="3"/>
        <v>0</v>
      </c>
      <c r="V14" s="119">
        <f t="shared" si="4"/>
        <v>0</v>
      </c>
      <c r="W14" s="119">
        <f t="shared" si="5"/>
        <v>0</v>
      </c>
      <c r="X14" s="119">
        <f t="shared" si="6"/>
        <v>0</v>
      </c>
      <c r="Y14" s="119">
        <f t="shared" si="7"/>
        <v>0</v>
      </c>
      <c r="Z14" s="119">
        <f t="shared" si="8"/>
        <v>0</v>
      </c>
      <c r="AA14" s="119">
        <f t="shared" si="9"/>
        <v>0</v>
      </c>
      <c r="AB14" s="119">
        <f t="shared" si="10"/>
        <v>1</v>
      </c>
      <c r="AC14" s="119">
        <f t="shared" si="11"/>
        <v>1</v>
      </c>
      <c r="AD14" s="119">
        <f t="shared" si="12"/>
        <v>0</v>
      </c>
      <c r="AE14" s="119">
        <f t="shared" si="13"/>
        <v>1</v>
      </c>
      <c r="AF14" s="7"/>
      <c r="AG14" s="7"/>
      <c r="AH14" s="7">
        <f t="shared" si="14"/>
        <v>3</v>
      </c>
      <c r="AI14" s="7">
        <f t="shared" si="15"/>
        <v>3</v>
      </c>
      <c r="AJ14" s="7" t="str">
        <f t="shared" si="16"/>
        <v>Correct</v>
      </c>
      <c r="AL14" s="120" t="str">
        <f>IFERROR(VLOOKUP(Table1[RespondentID],'All Data'!$A$3:$CO$999,87,FALSE),"unknown")</f>
        <v>Woman</v>
      </c>
      <c r="AM14" s="120">
        <f>IFERROR(VLOOKUP(Table1[RespondentID],'All Data'!$A$3:$CO$999,88,FALSE),"unknown")</f>
        <v>59</v>
      </c>
      <c r="AN14" s="120" t="str">
        <f>IFERROR(VLOOKUP(Table1[RespondentID],'All Data'!$A$3:$CO$999,89,FALSE),"unknown")</f>
        <v>Suffolk</v>
      </c>
      <c r="AO14" s="120" t="str">
        <f>IFERROR(VLOOKUP(Table1[RespondentID],'All Data'!$A$3:$CO$999,90,FALSE),"unknown")</f>
        <v>Ridge, 11961</v>
      </c>
      <c r="AP14" s="120" t="str">
        <f>IFERROR(VLOOKUP(Table1[RespondentID],'All Data'!$A$3:$CO$999,91,FALSE),"unknown")</f>
        <v>White</v>
      </c>
      <c r="AQ14" s="120">
        <f>IFERROR(VLOOKUP(Table1[RespondentID],'All Data'!$A$3:$CO$999,92,FALSE),"unknown")</f>
        <v>0</v>
      </c>
      <c r="AR14" s="120" t="str">
        <f>IFERROR(VLOOKUP(Table1[RespondentID],'All Data'!$A$3:$CO$999,93,FALSE),"unknown")</f>
        <v>English</v>
      </c>
      <c r="AS14" s="120" t="str">
        <f>IFERROR(VLOOKUP(Table1[RespondentID],'All Data'!$A$3:$CW$999,94,FALSE),"unknown")</f>
        <v>$50,000 to $74,999</v>
      </c>
      <c r="AT14" s="120" t="str">
        <f>IFERROR(VLOOKUP(Table1[RespondentID],'All Data'!$A$3:$CW$999,95,FALSE),"unknown")</f>
        <v>High school graduate</v>
      </c>
      <c r="AU14" s="120" t="str">
        <f>IFERROR(VLOOKUP(Table1[RespondentID],'All Data'!$A$3:$CW$999,96,FALSE),"unknown")</f>
        <v>Retired</v>
      </c>
      <c r="AV14" s="120" t="str">
        <f>IFERROR(VLOOKUP(Table1[RespondentID],'All Data'!$A$3:$CW$999,97,FALSE),"unknown")</f>
        <v>Yes</v>
      </c>
      <c r="AW14" s="120" t="str">
        <f>IFERROR(VLOOKUP(Table1[RespondentID],'All Data'!$A$3:$CW$999,98,FALSE),"unknown")</f>
        <v>Medicare</v>
      </c>
      <c r="AX14" s="120">
        <f>IFERROR(VLOOKUP(Table1[RespondentID],'All Data'!$A$3:$CW$999,99,FALSE),"unknown")</f>
        <v>0</v>
      </c>
    </row>
    <row r="15" spans="1:50">
      <c r="A15" s="5">
        <v>18025535123</v>
      </c>
      <c r="B15" s="5"/>
      <c r="C15" s="5"/>
      <c r="D15" s="5"/>
      <c r="E15" s="5"/>
      <c r="F15" s="5"/>
      <c r="G15" s="5"/>
      <c r="H15" s="5"/>
      <c r="I15" s="5"/>
      <c r="J15" s="5"/>
      <c r="K15" s="5" t="s">
        <v>25</v>
      </c>
      <c r="L15" s="5" t="s">
        <v>26</v>
      </c>
      <c r="M15" s="5"/>
      <c r="N15" s="5"/>
      <c r="O15" s="7"/>
      <c r="P15" s="7">
        <f t="shared" si="0"/>
        <v>2</v>
      </c>
      <c r="Q15" s="7">
        <f t="shared" si="1"/>
        <v>1.5</v>
      </c>
      <c r="R15" s="7"/>
      <c r="S15" s="7">
        <f t="shared" si="17"/>
        <v>0</v>
      </c>
      <c r="T15" s="7">
        <f t="shared" si="2"/>
        <v>0</v>
      </c>
      <c r="U15" s="7">
        <f t="shared" si="3"/>
        <v>0</v>
      </c>
      <c r="V15" s="119">
        <f t="shared" si="4"/>
        <v>0</v>
      </c>
      <c r="W15" s="119">
        <f t="shared" si="5"/>
        <v>0</v>
      </c>
      <c r="X15" s="119">
        <f t="shared" si="6"/>
        <v>0</v>
      </c>
      <c r="Y15" s="119">
        <f t="shared" si="7"/>
        <v>0</v>
      </c>
      <c r="Z15" s="119">
        <f t="shared" si="8"/>
        <v>0</v>
      </c>
      <c r="AA15" s="119">
        <f t="shared" si="9"/>
        <v>0</v>
      </c>
      <c r="AB15" s="119">
        <f t="shared" si="10"/>
        <v>1</v>
      </c>
      <c r="AC15" s="119">
        <f t="shared" si="11"/>
        <v>1</v>
      </c>
      <c r="AD15" s="119">
        <f t="shared" si="12"/>
        <v>0</v>
      </c>
      <c r="AE15" s="119">
        <f t="shared" si="13"/>
        <v>0</v>
      </c>
      <c r="AF15" s="7"/>
      <c r="AG15" s="7"/>
      <c r="AH15" s="7">
        <f t="shared" si="14"/>
        <v>2</v>
      </c>
      <c r="AI15" s="7">
        <f t="shared" si="15"/>
        <v>2</v>
      </c>
      <c r="AJ15" s="7" t="str">
        <f t="shared" si="16"/>
        <v>Correct</v>
      </c>
      <c r="AL15" s="120" t="str">
        <f>IFERROR(VLOOKUP(Table1[RespondentID],'All Data'!$A$3:$CO$999,87,FALSE),"unknown")</f>
        <v>Woman</v>
      </c>
      <c r="AM15" s="120">
        <f>IFERROR(VLOOKUP(Table1[RespondentID],'All Data'!$A$3:$CO$999,88,FALSE),"unknown")</f>
        <v>24</v>
      </c>
      <c r="AN15" s="120" t="str">
        <f>IFERROR(VLOOKUP(Table1[RespondentID],'All Data'!$A$3:$CO$999,89,FALSE),"unknown")</f>
        <v>Suffolk</v>
      </c>
      <c r="AO15" s="120" t="str">
        <f>IFERROR(VLOOKUP(Table1[RespondentID],'All Data'!$A$3:$CO$999,90,FALSE),"unknown")</f>
        <v>Peconic, 11958</v>
      </c>
      <c r="AP15" s="120" t="str">
        <f>IFERROR(VLOOKUP(Table1[RespondentID],'All Data'!$A$3:$CO$999,91,FALSE),"unknown")</f>
        <v>Two or more races</v>
      </c>
      <c r="AQ15" s="120" t="str">
        <f>IFERROR(VLOOKUP(Table1[RespondentID],'All Data'!$A$3:$CO$999,92,FALSE),"unknown")</f>
        <v>Not Hispanic or Latino</v>
      </c>
      <c r="AR15" s="120" t="str">
        <f>IFERROR(VLOOKUP(Table1[RespondentID],'All Data'!$A$3:$CO$999,93,FALSE),"unknown")</f>
        <v>French Creole</v>
      </c>
      <c r="AS15" s="120" t="str">
        <f>IFERROR(VLOOKUP(Table1[RespondentID],'All Data'!$A$3:$CW$999,94,FALSE),"unknown")</f>
        <v>$75,000 to $125,000</v>
      </c>
      <c r="AT15" s="120" t="str">
        <f>IFERROR(VLOOKUP(Table1[RespondentID],'All Data'!$A$3:$CW$999,95,FALSE),"unknown")</f>
        <v>Doctorate</v>
      </c>
      <c r="AU15" s="120" t="str">
        <f>IFERROR(VLOOKUP(Table1[RespondentID],'All Data'!$A$3:$CW$999,96,FALSE),"unknown")</f>
        <v>Employed for wages</v>
      </c>
      <c r="AV15" s="120" t="str">
        <f>IFERROR(VLOOKUP(Table1[RespondentID],'All Data'!$A$3:$CW$999,97,FALSE),"unknown")</f>
        <v>Yes</v>
      </c>
      <c r="AW15" s="120">
        <f>IFERROR(VLOOKUP(Table1[RespondentID],'All Data'!$A$3:$CW$999,98,FALSE),"unknown")</f>
        <v>0</v>
      </c>
      <c r="AX15" s="120">
        <f>IFERROR(VLOOKUP(Table1[RespondentID],'All Data'!$A$3:$CW$999,99,FALSE),"unknown")</f>
        <v>0</v>
      </c>
    </row>
    <row r="16" spans="1:50">
      <c r="A16" s="5">
        <v>18025534952</v>
      </c>
      <c r="B16" s="5"/>
      <c r="C16" s="5" t="s">
        <v>17</v>
      </c>
      <c r="D16" s="5"/>
      <c r="E16" s="5" t="s">
        <v>19</v>
      </c>
      <c r="F16" s="5"/>
      <c r="G16" s="5"/>
      <c r="H16" s="5"/>
      <c r="I16" s="5"/>
      <c r="J16" s="5"/>
      <c r="K16" s="5" t="s">
        <v>25</v>
      </c>
      <c r="L16" s="5" t="s">
        <v>26</v>
      </c>
      <c r="M16" s="5"/>
      <c r="N16" s="5" t="s">
        <v>28</v>
      </c>
      <c r="O16" s="7"/>
      <c r="P16" s="7">
        <f t="shared" si="0"/>
        <v>5</v>
      </c>
      <c r="Q16" s="7">
        <f t="shared" si="1"/>
        <v>0.6</v>
      </c>
      <c r="R16" s="7"/>
      <c r="S16" s="7">
        <f t="shared" si="17"/>
        <v>0</v>
      </c>
      <c r="T16" s="7">
        <f t="shared" si="2"/>
        <v>0.6</v>
      </c>
      <c r="U16" s="7">
        <f t="shared" si="3"/>
        <v>0</v>
      </c>
      <c r="V16" s="119">
        <f t="shared" si="4"/>
        <v>0.6</v>
      </c>
      <c r="W16" s="119">
        <f t="shared" si="5"/>
        <v>0</v>
      </c>
      <c r="X16" s="119">
        <f t="shared" si="6"/>
        <v>0</v>
      </c>
      <c r="Y16" s="119">
        <f t="shared" si="7"/>
        <v>0</v>
      </c>
      <c r="Z16" s="119">
        <f t="shared" si="8"/>
        <v>0</v>
      </c>
      <c r="AA16" s="119">
        <f t="shared" si="9"/>
        <v>0</v>
      </c>
      <c r="AB16" s="119">
        <f t="shared" si="10"/>
        <v>0.6</v>
      </c>
      <c r="AC16" s="119">
        <f t="shared" si="11"/>
        <v>0.6</v>
      </c>
      <c r="AD16" s="119">
        <f t="shared" si="12"/>
        <v>0</v>
      </c>
      <c r="AE16" s="119">
        <f t="shared" si="13"/>
        <v>0.6</v>
      </c>
      <c r="AF16" s="7"/>
      <c r="AG16" s="7"/>
      <c r="AH16" s="7">
        <f t="shared" si="14"/>
        <v>3</v>
      </c>
      <c r="AI16" s="7">
        <f t="shared" si="15"/>
        <v>5</v>
      </c>
      <c r="AJ16" s="7" t="str">
        <f t="shared" si="16"/>
        <v>Correct</v>
      </c>
      <c r="AL16" s="120" t="str">
        <f>IFERROR(VLOOKUP(Table1[RespondentID],'All Data'!$A$3:$CO$999,87,FALSE),"unknown")</f>
        <v>Woman</v>
      </c>
      <c r="AM16" s="120">
        <f>IFERROR(VLOOKUP(Table1[RespondentID],'All Data'!$A$3:$CO$999,88,FALSE),"unknown")</f>
        <v>31</v>
      </c>
      <c r="AN16" s="120" t="str">
        <f>IFERROR(VLOOKUP(Table1[RespondentID],'All Data'!$A$3:$CO$999,89,FALSE),"unknown")</f>
        <v>Suffolk</v>
      </c>
      <c r="AO16" s="120" t="str">
        <f>IFERROR(VLOOKUP(Table1[RespondentID],'All Data'!$A$3:$CO$999,90,FALSE),"unknown")</f>
        <v>Patchogue, 11772</v>
      </c>
      <c r="AP16" s="120" t="str">
        <f>IFERROR(VLOOKUP(Table1[RespondentID],'All Data'!$A$3:$CO$999,91,FALSE),"unknown")</f>
        <v>White</v>
      </c>
      <c r="AQ16" s="120">
        <f>IFERROR(VLOOKUP(Table1[RespondentID],'All Data'!$A$3:$CO$999,92,FALSE),"unknown")</f>
        <v>0</v>
      </c>
      <c r="AR16" s="120" t="str">
        <f>IFERROR(VLOOKUP(Table1[RespondentID],'All Data'!$A$3:$CO$999,93,FALSE),"unknown")</f>
        <v>English</v>
      </c>
      <c r="AS16" s="120" t="str">
        <f>IFERROR(VLOOKUP(Table1[RespondentID],'All Data'!$A$3:$CW$999,94,FALSE),"unknown")</f>
        <v>Over $125,000</v>
      </c>
      <c r="AT16" s="120" t="str">
        <f>IFERROR(VLOOKUP(Table1[RespondentID],'All Data'!$A$3:$CW$999,95,FALSE),"unknown")</f>
        <v>College graduate</v>
      </c>
      <c r="AU16" s="120" t="str">
        <f>IFERROR(VLOOKUP(Table1[RespondentID],'All Data'!$A$3:$CW$999,96,FALSE),"unknown")</f>
        <v>Employed for wages</v>
      </c>
      <c r="AV16" s="120" t="str">
        <f>IFERROR(VLOOKUP(Table1[RespondentID],'All Data'!$A$3:$CW$999,97,FALSE),"unknown")</f>
        <v>Yes</v>
      </c>
      <c r="AW16" s="120" t="str">
        <f>IFERROR(VLOOKUP(Table1[RespondentID],'All Data'!$A$3:$CW$999,98,FALSE),"unknown")</f>
        <v>Private/Commercial</v>
      </c>
      <c r="AX16" s="120">
        <f>IFERROR(VLOOKUP(Table1[RespondentID],'All Data'!$A$3:$CW$999,99,FALSE),"unknown")</f>
        <v>0</v>
      </c>
    </row>
    <row r="17" spans="1:50">
      <c r="A17" s="5">
        <v>18025534839</v>
      </c>
      <c r="B17" s="5"/>
      <c r="C17" s="5"/>
      <c r="D17" s="5"/>
      <c r="E17" s="5" t="s">
        <v>19</v>
      </c>
      <c r="F17" s="5"/>
      <c r="G17" s="5"/>
      <c r="H17" s="5"/>
      <c r="I17" s="5"/>
      <c r="J17" s="5"/>
      <c r="K17" s="5" t="s">
        <v>25</v>
      </c>
      <c r="L17" s="5"/>
      <c r="M17" s="5"/>
      <c r="N17" s="5" t="s">
        <v>28</v>
      </c>
      <c r="O17" s="7"/>
      <c r="P17" s="7">
        <f t="shared" si="0"/>
        <v>3</v>
      </c>
      <c r="Q17" s="7">
        <f t="shared" si="1"/>
        <v>1</v>
      </c>
      <c r="R17" s="7"/>
      <c r="S17" s="7">
        <f t="shared" si="17"/>
        <v>0</v>
      </c>
      <c r="T17" s="7">
        <f t="shared" si="2"/>
        <v>0</v>
      </c>
      <c r="U17" s="7">
        <f t="shared" si="3"/>
        <v>0</v>
      </c>
      <c r="V17" s="119">
        <f t="shared" si="4"/>
        <v>1</v>
      </c>
      <c r="W17" s="119">
        <f t="shared" si="5"/>
        <v>0</v>
      </c>
      <c r="X17" s="119">
        <f t="shared" si="6"/>
        <v>0</v>
      </c>
      <c r="Y17" s="119">
        <f t="shared" si="7"/>
        <v>0</v>
      </c>
      <c r="Z17" s="119">
        <f t="shared" si="8"/>
        <v>0</v>
      </c>
      <c r="AA17" s="119">
        <f t="shared" si="9"/>
        <v>0</v>
      </c>
      <c r="AB17" s="119">
        <f t="shared" si="10"/>
        <v>1</v>
      </c>
      <c r="AC17" s="119">
        <f t="shared" si="11"/>
        <v>0</v>
      </c>
      <c r="AD17" s="119">
        <f t="shared" si="12"/>
        <v>0</v>
      </c>
      <c r="AE17" s="119">
        <f t="shared" si="13"/>
        <v>1</v>
      </c>
      <c r="AF17" s="7"/>
      <c r="AG17" s="7"/>
      <c r="AH17" s="7">
        <f t="shared" si="14"/>
        <v>3</v>
      </c>
      <c r="AI17" s="7">
        <f t="shared" si="15"/>
        <v>3</v>
      </c>
      <c r="AJ17" s="7" t="str">
        <f t="shared" si="16"/>
        <v>Correct</v>
      </c>
      <c r="AL17" s="120" t="str">
        <f>IFERROR(VLOOKUP(Table1[RespondentID],'All Data'!$A$3:$CO$999,87,FALSE),"unknown")</f>
        <v>Woman</v>
      </c>
      <c r="AM17" s="120">
        <f>IFERROR(VLOOKUP(Table1[RespondentID],'All Data'!$A$3:$CO$999,88,FALSE),"unknown")</f>
        <v>57</v>
      </c>
      <c r="AN17" s="120" t="str">
        <f>IFERROR(VLOOKUP(Table1[RespondentID],'All Data'!$A$3:$CO$999,89,FALSE),"unknown")</f>
        <v>Suffolk</v>
      </c>
      <c r="AO17" s="120" t="str">
        <f>IFERROR(VLOOKUP(Table1[RespondentID],'All Data'!$A$3:$CO$999,90,FALSE),"unknown")</f>
        <v>Ronkonkoma, 11779</v>
      </c>
      <c r="AP17" s="120" t="str">
        <f>IFERROR(VLOOKUP(Table1[RespondentID],'All Data'!$A$3:$CO$999,91,FALSE),"unknown")</f>
        <v>White</v>
      </c>
      <c r="AQ17" s="120" t="str">
        <f>IFERROR(VLOOKUP(Table1[RespondentID],'All Data'!$A$3:$CO$999,92,FALSE),"unknown")</f>
        <v>Not Hispanic or Latino</v>
      </c>
      <c r="AR17" s="120" t="str">
        <f>IFERROR(VLOOKUP(Table1[RespondentID],'All Data'!$A$3:$CO$999,93,FALSE),"unknown")</f>
        <v>English</v>
      </c>
      <c r="AS17" s="120" t="str">
        <f>IFERROR(VLOOKUP(Table1[RespondentID],'All Data'!$A$3:$CW$999,94,FALSE),"unknown")</f>
        <v>Over $125,000</v>
      </c>
      <c r="AT17" s="120" t="str">
        <f>IFERROR(VLOOKUP(Table1[RespondentID],'All Data'!$A$3:$CW$999,95,FALSE),"unknown")</f>
        <v>Technical school</v>
      </c>
      <c r="AU17" s="120" t="str">
        <f>IFERROR(VLOOKUP(Table1[RespondentID],'All Data'!$A$3:$CW$999,96,FALSE),"unknown")</f>
        <v>Employed for wages</v>
      </c>
      <c r="AV17" s="120" t="str">
        <f>IFERROR(VLOOKUP(Table1[RespondentID],'All Data'!$A$3:$CW$999,97,FALSE),"unknown")</f>
        <v>Yes</v>
      </c>
      <c r="AW17" s="120" t="str">
        <f>IFERROR(VLOOKUP(Table1[RespondentID],'All Data'!$A$3:$CW$999,98,FALSE),"unknown")</f>
        <v>Private/Commercial</v>
      </c>
      <c r="AX17" s="120">
        <f>IFERROR(VLOOKUP(Table1[RespondentID],'All Data'!$A$3:$CW$999,99,FALSE),"unknown")</f>
        <v>0</v>
      </c>
    </row>
    <row r="18" spans="1:50">
      <c r="A18" s="5">
        <v>18025534704</v>
      </c>
      <c r="B18" s="5"/>
      <c r="C18" s="5"/>
      <c r="D18" s="5"/>
      <c r="E18" s="5"/>
      <c r="F18" s="5"/>
      <c r="G18" s="5"/>
      <c r="H18" s="5" t="s">
        <v>22</v>
      </c>
      <c r="I18" s="5"/>
      <c r="J18" s="5"/>
      <c r="K18" s="5"/>
      <c r="L18" s="5" t="s">
        <v>26</v>
      </c>
      <c r="M18" s="5" t="s">
        <v>27</v>
      </c>
      <c r="N18" s="5"/>
      <c r="O18" s="7"/>
      <c r="P18" s="7">
        <f t="shared" si="0"/>
        <v>3</v>
      </c>
      <c r="Q18" s="7">
        <f t="shared" si="1"/>
        <v>1</v>
      </c>
      <c r="R18" s="7"/>
      <c r="S18" s="7">
        <f t="shared" si="17"/>
        <v>0</v>
      </c>
      <c r="T18" s="7">
        <f t="shared" si="2"/>
        <v>0</v>
      </c>
      <c r="U18" s="7">
        <f t="shared" si="3"/>
        <v>0</v>
      </c>
      <c r="V18" s="119">
        <f t="shared" si="4"/>
        <v>0</v>
      </c>
      <c r="W18" s="119">
        <f t="shared" si="5"/>
        <v>0</v>
      </c>
      <c r="X18" s="119">
        <f t="shared" si="6"/>
        <v>0</v>
      </c>
      <c r="Y18" s="119">
        <f t="shared" si="7"/>
        <v>1</v>
      </c>
      <c r="Z18" s="119">
        <f t="shared" si="8"/>
        <v>0</v>
      </c>
      <c r="AA18" s="119">
        <f t="shared" si="9"/>
        <v>0</v>
      </c>
      <c r="AB18" s="119">
        <f t="shared" si="10"/>
        <v>0</v>
      </c>
      <c r="AC18" s="119">
        <f t="shared" si="11"/>
        <v>1</v>
      </c>
      <c r="AD18" s="119">
        <f t="shared" si="12"/>
        <v>1</v>
      </c>
      <c r="AE18" s="119">
        <f t="shared" si="13"/>
        <v>0</v>
      </c>
      <c r="AF18" s="7"/>
      <c r="AG18" s="7"/>
      <c r="AH18" s="7">
        <f t="shared" si="14"/>
        <v>3</v>
      </c>
      <c r="AI18" s="7">
        <f t="shared" si="15"/>
        <v>3</v>
      </c>
      <c r="AJ18" s="7" t="str">
        <f t="shared" si="16"/>
        <v>Correct</v>
      </c>
      <c r="AL18" s="120" t="str">
        <f>IFERROR(VLOOKUP(Table1[RespondentID],'All Data'!$A$3:$CO$999,87,FALSE),"unknown")</f>
        <v>Man</v>
      </c>
      <c r="AM18" s="120">
        <f>IFERROR(VLOOKUP(Table1[RespondentID],'All Data'!$A$3:$CO$999,88,FALSE),"unknown")</f>
        <v>48</v>
      </c>
      <c r="AN18" s="120" t="str">
        <f>IFERROR(VLOOKUP(Table1[RespondentID],'All Data'!$A$3:$CO$999,89,FALSE),"unknown")</f>
        <v>Suffolk</v>
      </c>
      <c r="AO18" s="120" t="str">
        <f>IFERROR(VLOOKUP(Table1[RespondentID],'All Data'!$A$3:$CO$999,90,FALSE),"unknown")</f>
        <v>Ridge, 11961</v>
      </c>
      <c r="AP18" s="120" t="str">
        <f>IFERROR(VLOOKUP(Table1[RespondentID],'All Data'!$A$3:$CO$999,91,FALSE),"unknown")</f>
        <v>White</v>
      </c>
      <c r="AQ18" s="120" t="str">
        <f>IFERROR(VLOOKUP(Table1[RespondentID],'All Data'!$A$3:$CO$999,92,FALSE),"unknown")</f>
        <v>Not Hispanic or Latino</v>
      </c>
      <c r="AR18" s="120" t="str">
        <f>IFERROR(VLOOKUP(Table1[RespondentID],'All Data'!$A$3:$CO$999,93,FALSE),"unknown")</f>
        <v>English</v>
      </c>
      <c r="AS18" s="120" t="str">
        <f>IFERROR(VLOOKUP(Table1[RespondentID],'All Data'!$A$3:$CW$999,94,FALSE),"unknown")</f>
        <v>Over $125,000</v>
      </c>
      <c r="AT18" s="120" t="str">
        <f>IFERROR(VLOOKUP(Table1[RespondentID],'All Data'!$A$3:$CW$999,95,FALSE),"unknown")</f>
        <v>High school graduate</v>
      </c>
      <c r="AU18" s="120" t="str">
        <f>IFERROR(VLOOKUP(Table1[RespondentID],'All Data'!$A$3:$CW$999,96,FALSE),"unknown")</f>
        <v>Retired</v>
      </c>
      <c r="AV18" s="120" t="str">
        <f>IFERROR(VLOOKUP(Table1[RespondentID],'All Data'!$A$3:$CW$999,97,FALSE),"unknown")</f>
        <v>Yes</v>
      </c>
      <c r="AW18" s="120" t="str">
        <f>IFERROR(VLOOKUP(Table1[RespondentID],'All Data'!$A$3:$CW$999,98,FALSE),"unknown")</f>
        <v>Private/Commercial</v>
      </c>
      <c r="AX18" s="120">
        <f>IFERROR(VLOOKUP(Table1[RespondentID],'All Data'!$A$3:$CW$999,99,FALSE),"unknown")</f>
        <v>0</v>
      </c>
    </row>
    <row r="19" spans="1:50">
      <c r="A19" s="5">
        <v>18025534585</v>
      </c>
      <c r="B19" s="5"/>
      <c r="C19" s="5" t="s">
        <v>17</v>
      </c>
      <c r="D19" s="5"/>
      <c r="E19" s="5"/>
      <c r="F19" s="5"/>
      <c r="G19" s="5"/>
      <c r="H19" s="5"/>
      <c r="I19" s="5" t="s">
        <v>23</v>
      </c>
      <c r="J19" s="5"/>
      <c r="K19" s="5" t="s">
        <v>25</v>
      </c>
      <c r="L19" s="5"/>
      <c r="M19" s="5"/>
      <c r="N19" s="5"/>
      <c r="O19" s="7"/>
      <c r="P19" s="7">
        <f t="shared" si="0"/>
        <v>3</v>
      </c>
      <c r="Q19" s="7">
        <f t="shared" si="1"/>
        <v>1</v>
      </c>
      <c r="R19" s="7"/>
      <c r="S19" s="7">
        <f t="shared" si="17"/>
        <v>0</v>
      </c>
      <c r="T19" s="7">
        <f t="shared" si="2"/>
        <v>1</v>
      </c>
      <c r="U19" s="7">
        <f t="shared" si="3"/>
        <v>0</v>
      </c>
      <c r="V19" s="119">
        <f t="shared" si="4"/>
        <v>0</v>
      </c>
      <c r="W19" s="119">
        <f t="shared" si="5"/>
        <v>0</v>
      </c>
      <c r="X19" s="119">
        <f t="shared" si="6"/>
        <v>0</v>
      </c>
      <c r="Y19" s="119">
        <f t="shared" si="7"/>
        <v>0</v>
      </c>
      <c r="Z19" s="119">
        <f t="shared" si="8"/>
        <v>1</v>
      </c>
      <c r="AA19" s="119">
        <f t="shared" si="9"/>
        <v>0</v>
      </c>
      <c r="AB19" s="119">
        <f t="shared" si="10"/>
        <v>1</v>
      </c>
      <c r="AC19" s="119">
        <f t="shared" si="11"/>
        <v>0</v>
      </c>
      <c r="AD19" s="119">
        <f t="shared" si="12"/>
        <v>0</v>
      </c>
      <c r="AE19" s="119">
        <f t="shared" si="13"/>
        <v>0</v>
      </c>
      <c r="AF19" s="7"/>
      <c r="AG19" s="7"/>
      <c r="AH19" s="7">
        <f t="shared" si="14"/>
        <v>3</v>
      </c>
      <c r="AI19" s="7">
        <f t="shared" si="15"/>
        <v>3</v>
      </c>
      <c r="AJ19" s="7" t="str">
        <f t="shared" si="16"/>
        <v>Correct</v>
      </c>
      <c r="AL19" s="120" t="str">
        <f>IFERROR(VLOOKUP(Table1[RespondentID],'All Data'!$A$3:$CO$999,87,FALSE),"unknown")</f>
        <v>Woman</v>
      </c>
      <c r="AM19" s="120">
        <f>IFERROR(VLOOKUP(Table1[RespondentID],'All Data'!$A$3:$CO$999,88,FALSE),"unknown")</f>
        <v>84</v>
      </c>
      <c r="AN19" s="120" t="str">
        <f>IFERROR(VLOOKUP(Table1[RespondentID],'All Data'!$A$3:$CO$999,89,FALSE),"unknown")</f>
        <v>Suffolk</v>
      </c>
      <c r="AO19" s="120" t="str">
        <f>IFERROR(VLOOKUP(Table1[RespondentID],'All Data'!$A$3:$CO$999,90,FALSE),"unknown")</f>
        <v>Selden, 11784</v>
      </c>
      <c r="AP19" s="120">
        <f>IFERROR(VLOOKUP(Table1[RespondentID],'All Data'!$A$3:$CO$999,91,FALSE),"unknown")</f>
        <v>0</v>
      </c>
      <c r="AQ19" s="120">
        <f>IFERROR(VLOOKUP(Table1[RespondentID],'All Data'!$A$3:$CO$999,92,FALSE),"unknown")</f>
        <v>0</v>
      </c>
      <c r="AR19" s="120" t="str">
        <f>IFERROR(VLOOKUP(Table1[RespondentID],'All Data'!$A$3:$CO$999,93,FALSE),"unknown")</f>
        <v>English</v>
      </c>
      <c r="AS19" s="120" t="str">
        <f>IFERROR(VLOOKUP(Table1[RespondentID],'All Data'!$A$3:$CW$999,94,FALSE),"unknown")</f>
        <v>$0-$19,999</v>
      </c>
      <c r="AT19" s="120" t="str">
        <f>IFERROR(VLOOKUP(Table1[RespondentID],'All Data'!$A$3:$CW$999,95,FALSE),"unknown")</f>
        <v>Technical school</v>
      </c>
      <c r="AU19" s="120" t="str">
        <f>IFERROR(VLOOKUP(Table1[RespondentID],'All Data'!$A$3:$CW$999,96,FALSE),"unknown")</f>
        <v>Retired</v>
      </c>
      <c r="AV19" s="120" t="str">
        <f>IFERROR(VLOOKUP(Table1[RespondentID],'All Data'!$A$3:$CW$999,97,FALSE),"unknown")</f>
        <v>Yes</v>
      </c>
      <c r="AW19" s="120" t="str">
        <f>IFERROR(VLOOKUP(Table1[RespondentID],'All Data'!$A$3:$CW$999,98,FALSE),"unknown")</f>
        <v>Medicare</v>
      </c>
      <c r="AX19" s="120">
        <f>IFERROR(VLOOKUP(Table1[RespondentID],'All Data'!$A$3:$CW$999,99,FALSE),"unknown")</f>
        <v>0</v>
      </c>
    </row>
    <row r="20" spans="1:50">
      <c r="A20" s="5">
        <v>18025500754</v>
      </c>
      <c r="B20" s="5"/>
      <c r="C20" s="5" t="s">
        <v>17</v>
      </c>
      <c r="D20" s="5"/>
      <c r="E20" s="5"/>
      <c r="F20" s="5"/>
      <c r="G20" s="5"/>
      <c r="H20" s="5"/>
      <c r="I20" s="5"/>
      <c r="J20" s="5"/>
      <c r="K20" s="5"/>
      <c r="L20" s="5"/>
      <c r="M20" s="5"/>
      <c r="N20" s="5"/>
      <c r="O20" s="7"/>
      <c r="P20" s="7">
        <f t="shared" si="0"/>
        <v>1</v>
      </c>
      <c r="Q20" s="7">
        <f t="shared" si="1"/>
        <v>3</v>
      </c>
      <c r="R20" s="7"/>
      <c r="S20" s="7">
        <f t="shared" si="17"/>
        <v>0</v>
      </c>
      <c r="T20" s="7">
        <f t="shared" si="2"/>
        <v>1</v>
      </c>
      <c r="U20" s="7">
        <f t="shared" si="3"/>
        <v>0</v>
      </c>
      <c r="V20" s="119">
        <f t="shared" si="4"/>
        <v>0</v>
      </c>
      <c r="W20" s="119">
        <f t="shared" si="5"/>
        <v>0</v>
      </c>
      <c r="X20" s="119">
        <f t="shared" si="6"/>
        <v>0</v>
      </c>
      <c r="Y20" s="119">
        <f t="shared" si="7"/>
        <v>0</v>
      </c>
      <c r="Z20" s="119">
        <f t="shared" si="8"/>
        <v>0</v>
      </c>
      <c r="AA20" s="119">
        <f t="shared" si="9"/>
        <v>0</v>
      </c>
      <c r="AB20" s="119">
        <f t="shared" si="10"/>
        <v>0</v>
      </c>
      <c r="AC20" s="119">
        <f t="shared" si="11"/>
        <v>0</v>
      </c>
      <c r="AD20" s="119">
        <f t="shared" si="12"/>
        <v>0</v>
      </c>
      <c r="AE20" s="119">
        <f t="shared" si="13"/>
        <v>0</v>
      </c>
      <c r="AF20" s="7"/>
      <c r="AG20" s="7"/>
      <c r="AH20" s="7">
        <f t="shared" si="14"/>
        <v>1</v>
      </c>
      <c r="AI20" s="7">
        <f t="shared" si="15"/>
        <v>1</v>
      </c>
      <c r="AJ20" s="7" t="str">
        <f t="shared" si="16"/>
        <v>Correct</v>
      </c>
      <c r="AL20" s="120">
        <f>IFERROR(VLOOKUP(Table1[RespondentID],'All Data'!$A$3:$CO$999,87,FALSE),"unknown")</f>
        <v>0</v>
      </c>
      <c r="AM20" s="120">
        <f>IFERROR(VLOOKUP(Table1[RespondentID],'All Data'!$A$3:$CO$999,88,FALSE),"unknown")</f>
        <v>0</v>
      </c>
      <c r="AN20" s="120">
        <f>IFERROR(VLOOKUP(Table1[RespondentID],'All Data'!$A$3:$CO$999,89,FALSE),"unknown")</f>
        <v>0</v>
      </c>
      <c r="AO20" s="120">
        <f>IFERROR(VLOOKUP(Table1[RespondentID],'All Data'!$A$3:$CO$999,90,FALSE),"unknown")</f>
        <v>0</v>
      </c>
      <c r="AP20" s="120">
        <f>IFERROR(VLOOKUP(Table1[RespondentID],'All Data'!$A$3:$CO$999,91,FALSE),"unknown")</f>
        <v>0</v>
      </c>
      <c r="AQ20" s="120">
        <f>IFERROR(VLOOKUP(Table1[RespondentID],'All Data'!$A$3:$CO$999,92,FALSE),"unknown")</f>
        <v>0</v>
      </c>
      <c r="AR20" s="120">
        <f>IFERROR(VLOOKUP(Table1[RespondentID],'All Data'!$A$3:$CO$999,93,FALSE),"unknown")</f>
        <v>0</v>
      </c>
      <c r="AS20" s="120">
        <f>IFERROR(VLOOKUP(Table1[RespondentID],'All Data'!$A$3:$CW$999,94,FALSE),"unknown")</f>
        <v>0</v>
      </c>
      <c r="AT20" s="120">
        <f>IFERROR(VLOOKUP(Table1[RespondentID],'All Data'!$A$3:$CW$999,95,FALSE),"unknown")</f>
        <v>0</v>
      </c>
      <c r="AU20" s="120">
        <f>IFERROR(VLOOKUP(Table1[RespondentID],'All Data'!$A$3:$CW$999,96,FALSE),"unknown")</f>
        <v>0</v>
      </c>
      <c r="AV20" s="120">
        <f>IFERROR(VLOOKUP(Table1[RespondentID],'All Data'!$A$3:$CW$999,97,FALSE),"unknown")</f>
        <v>0</v>
      </c>
      <c r="AW20" s="120">
        <f>IFERROR(VLOOKUP(Table1[RespondentID],'All Data'!$A$3:$CW$999,98,FALSE),"unknown")</f>
        <v>0</v>
      </c>
      <c r="AX20" s="120">
        <f>IFERROR(VLOOKUP(Table1[RespondentID],'All Data'!$A$3:$CW$999,99,FALSE),"unknown")</f>
        <v>0</v>
      </c>
    </row>
    <row r="21" spans="1:50">
      <c r="A21" s="5">
        <v>18025435174</v>
      </c>
      <c r="B21" s="5"/>
      <c r="C21" s="5"/>
      <c r="D21" s="5"/>
      <c r="E21" s="5"/>
      <c r="F21" s="5"/>
      <c r="G21" s="5"/>
      <c r="H21" s="5"/>
      <c r="I21" s="5"/>
      <c r="J21" s="5"/>
      <c r="K21" s="5"/>
      <c r="L21" s="5"/>
      <c r="M21" s="5"/>
      <c r="N21" s="5"/>
      <c r="O21" s="7"/>
      <c r="P21" s="7">
        <f t="shared" si="0"/>
        <v>0</v>
      </c>
      <c r="Q21" s="7" t="e">
        <f t="shared" si="1"/>
        <v>#DIV/0!</v>
      </c>
      <c r="R21" s="7"/>
      <c r="S21" s="7">
        <f t="shared" si="17"/>
        <v>0</v>
      </c>
      <c r="T21" s="7">
        <f t="shared" si="2"/>
        <v>0</v>
      </c>
      <c r="U21" s="7">
        <f t="shared" si="3"/>
        <v>0</v>
      </c>
      <c r="V21" s="119">
        <f t="shared" si="4"/>
        <v>0</v>
      </c>
      <c r="W21" s="119">
        <f t="shared" si="5"/>
        <v>0</v>
      </c>
      <c r="X21" s="119">
        <f t="shared" si="6"/>
        <v>0</v>
      </c>
      <c r="Y21" s="119">
        <f t="shared" si="7"/>
        <v>0</v>
      </c>
      <c r="Z21" s="119">
        <f t="shared" si="8"/>
        <v>0</v>
      </c>
      <c r="AA21" s="119">
        <f t="shared" si="9"/>
        <v>0</v>
      </c>
      <c r="AB21" s="119">
        <f t="shared" si="10"/>
        <v>0</v>
      </c>
      <c r="AC21" s="119">
        <f t="shared" si="11"/>
        <v>0</v>
      </c>
      <c r="AD21" s="119">
        <f t="shared" si="12"/>
        <v>0</v>
      </c>
      <c r="AE21" s="119">
        <f t="shared" si="13"/>
        <v>0</v>
      </c>
      <c r="AF21" s="7"/>
      <c r="AG21" s="7"/>
      <c r="AH21" s="7">
        <f t="shared" si="14"/>
        <v>0</v>
      </c>
      <c r="AI21" s="7">
        <f t="shared" si="15"/>
        <v>0</v>
      </c>
      <c r="AJ21" s="7" t="str">
        <f t="shared" si="16"/>
        <v>Correct</v>
      </c>
      <c r="AL21" s="120">
        <f>IFERROR(VLOOKUP(Table1[RespondentID],'All Data'!$A$3:$CO$999,87,FALSE),"unknown")</f>
        <v>0</v>
      </c>
      <c r="AM21" s="120">
        <f>IFERROR(VLOOKUP(Table1[RespondentID],'All Data'!$A$3:$CO$999,88,FALSE),"unknown")</f>
        <v>0</v>
      </c>
      <c r="AN21" s="120">
        <f>IFERROR(VLOOKUP(Table1[RespondentID],'All Data'!$A$3:$CO$999,89,FALSE),"unknown")</f>
        <v>0</v>
      </c>
      <c r="AO21" s="120" t="str">
        <f>IFERROR(VLOOKUP(Table1[RespondentID],'All Data'!$A$3:$CO$999,90,FALSE),"unknown")</f>
        <v>Albertson, 11507</v>
      </c>
      <c r="AP21" s="120">
        <f>IFERROR(VLOOKUP(Table1[RespondentID],'All Data'!$A$3:$CO$999,91,FALSE),"unknown")</f>
        <v>0</v>
      </c>
      <c r="AQ21" s="120">
        <f>IFERROR(VLOOKUP(Table1[RespondentID],'All Data'!$A$3:$CO$999,92,FALSE),"unknown")</f>
        <v>0</v>
      </c>
      <c r="AR21" s="120">
        <f>IFERROR(VLOOKUP(Table1[RespondentID],'All Data'!$A$3:$CO$999,93,FALSE),"unknown")</f>
        <v>0</v>
      </c>
      <c r="AS21" s="120">
        <f>IFERROR(VLOOKUP(Table1[RespondentID],'All Data'!$A$3:$CW$999,94,FALSE),"unknown")</f>
        <v>0</v>
      </c>
      <c r="AT21" s="120">
        <f>IFERROR(VLOOKUP(Table1[RespondentID],'All Data'!$A$3:$CW$999,95,FALSE),"unknown")</f>
        <v>0</v>
      </c>
      <c r="AU21" s="120">
        <f>IFERROR(VLOOKUP(Table1[RespondentID],'All Data'!$A$3:$CW$999,96,FALSE),"unknown")</f>
        <v>0</v>
      </c>
      <c r="AV21" s="120">
        <f>IFERROR(VLOOKUP(Table1[RespondentID],'All Data'!$A$3:$CW$999,97,FALSE),"unknown")</f>
        <v>0</v>
      </c>
      <c r="AW21" s="120">
        <f>IFERROR(VLOOKUP(Table1[RespondentID],'All Data'!$A$3:$CW$999,98,FALSE),"unknown")</f>
        <v>0</v>
      </c>
      <c r="AX21" s="120">
        <f>IFERROR(VLOOKUP(Table1[RespondentID],'All Data'!$A$3:$CW$999,99,FALSE),"unknown")</f>
        <v>0</v>
      </c>
    </row>
    <row r="22" spans="1:50">
      <c r="A22" s="5">
        <v>18025209840</v>
      </c>
      <c r="B22" s="5"/>
      <c r="C22" s="5"/>
      <c r="D22" s="5"/>
      <c r="E22" s="5"/>
      <c r="F22" s="5"/>
      <c r="G22" s="5"/>
      <c r="H22" s="5"/>
      <c r="I22" s="5"/>
      <c r="J22" s="5"/>
      <c r="K22" s="5"/>
      <c r="L22" s="5"/>
      <c r="M22" s="5"/>
      <c r="N22" s="5"/>
      <c r="O22" s="7"/>
      <c r="P22" s="7">
        <f t="shared" si="0"/>
        <v>0</v>
      </c>
      <c r="Q22" s="7" t="e">
        <f t="shared" si="1"/>
        <v>#DIV/0!</v>
      </c>
      <c r="R22" s="7"/>
      <c r="S22" s="7">
        <f t="shared" si="17"/>
        <v>0</v>
      </c>
      <c r="T22" s="7">
        <f t="shared" si="2"/>
        <v>0</v>
      </c>
      <c r="U22" s="7">
        <f t="shared" si="3"/>
        <v>0</v>
      </c>
      <c r="V22" s="119">
        <f t="shared" si="4"/>
        <v>0</v>
      </c>
      <c r="W22" s="119">
        <f t="shared" si="5"/>
        <v>0</v>
      </c>
      <c r="X22" s="119">
        <f t="shared" si="6"/>
        <v>0</v>
      </c>
      <c r="Y22" s="119">
        <f t="shared" si="7"/>
        <v>0</v>
      </c>
      <c r="Z22" s="119">
        <f t="shared" si="8"/>
        <v>0</v>
      </c>
      <c r="AA22" s="119">
        <f t="shared" si="9"/>
        <v>0</v>
      </c>
      <c r="AB22" s="119">
        <f t="shared" si="10"/>
        <v>0</v>
      </c>
      <c r="AC22" s="119">
        <f t="shared" si="11"/>
        <v>0</v>
      </c>
      <c r="AD22" s="119">
        <f t="shared" si="12"/>
        <v>0</v>
      </c>
      <c r="AE22" s="119">
        <f t="shared" si="13"/>
        <v>0</v>
      </c>
      <c r="AF22" s="7"/>
      <c r="AG22" s="7"/>
      <c r="AH22" s="7">
        <f t="shared" si="14"/>
        <v>0</v>
      </c>
      <c r="AI22" s="7">
        <f t="shared" si="15"/>
        <v>0</v>
      </c>
      <c r="AJ22" s="7" t="str">
        <f t="shared" si="16"/>
        <v>Correct</v>
      </c>
      <c r="AL22" s="120" t="str">
        <f>IFERROR(VLOOKUP(Table1[RespondentID],'All Data'!$A$3:$CO$999,87,FALSE),"unknown")</f>
        <v>Woman</v>
      </c>
      <c r="AM22" s="120">
        <f>IFERROR(VLOOKUP(Table1[RespondentID],'All Data'!$A$3:$CO$999,88,FALSE),"unknown")</f>
        <v>60</v>
      </c>
      <c r="AN22" s="120" t="str">
        <f>IFERROR(VLOOKUP(Table1[RespondentID],'All Data'!$A$3:$CO$999,89,FALSE),"unknown")</f>
        <v>Nassau</v>
      </c>
      <c r="AO22" s="120" t="str">
        <f>IFERROR(VLOOKUP(Table1[RespondentID],'All Data'!$A$3:$CO$999,90,FALSE),"unknown")</f>
        <v>Seaford, 11783</v>
      </c>
      <c r="AP22" s="120" t="str">
        <f>IFERROR(VLOOKUP(Table1[RespondentID],'All Data'!$A$3:$CO$999,91,FALSE),"unknown")</f>
        <v>White</v>
      </c>
      <c r="AQ22" s="120" t="str">
        <f>IFERROR(VLOOKUP(Table1[RespondentID],'All Data'!$A$3:$CO$999,92,FALSE),"unknown")</f>
        <v>Not Hispanic or Latino</v>
      </c>
      <c r="AR22" s="120" t="str">
        <f>IFERROR(VLOOKUP(Table1[RespondentID],'All Data'!$A$3:$CO$999,93,FALSE),"unknown")</f>
        <v>English</v>
      </c>
      <c r="AS22" s="120" t="str">
        <f>IFERROR(VLOOKUP(Table1[RespondentID],'All Data'!$A$3:$CW$999,94,FALSE),"unknown")</f>
        <v>$35,000 to $49,999</v>
      </c>
      <c r="AT22" s="120" t="str">
        <f>IFERROR(VLOOKUP(Table1[RespondentID],'All Data'!$A$3:$CW$999,95,FALSE),"unknown")</f>
        <v>Doctorate</v>
      </c>
      <c r="AU22" s="120" t="str">
        <f>IFERROR(VLOOKUP(Table1[RespondentID],'All Data'!$A$3:$CW$999,96,FALSE),"unknown")</f>
        <v>Out of work and looking for work</v>
      </c>
      <c r="AV22" s="120" t="str">
        <f>IFERROR(VLOOKUP(Table1[RespondentID],'All Data'!$A$3:$CW$999,97,FALSE),"unknown")</f>
        <v>Yes</v>
      </c>
      <c r="AW22" s="120" t="str">
        <f>IFERROR(VLOOKUP(Table1[RespondentID],'All Data'!$A$3:$CW$999,98,FALSE),"unknown")</f>
        <v>Private/Commercial</v>
      </c>
      <c r="AX22" s="120" t="str">
        <f>IFERROR(VLOOKUP(Table1[RespondentID],'All Data'!$A$3:$CW$999,99,FALSE),"unknown")</f>
        <v>Yes</v>
      </c>
    </row>
    <row r="23" spans="1:50">
      <c r="A23" s="5">
        <v>18025186517</v>
      </c>
      <c r="B23" s="5"/>
      <c r="C23" s="5" t="s">
        <v>17</v>
      </c>
      <c r="D23" s="5"/>
      <c r="E23" s="5"/>
      <c r="F23" s="5"/>
      <c r="G23" s="5"/>
      <c r="H23" s="5"/>
      <c r="I23" s="5"/>
      <c r="J23" s="5"/>
      <c r="K23" s="5" t="s">
        <v>25</v>
      </c>
      <c r="L23" s="5"/>
      <c r="M23" s="5" t="s">
        <v>27</v>
      </c>
      <c r="N23" s="5"/>
      <c r="O23" s="7"/>
      <c r="P23" s="7">
        <f t="shared" si="0"/>
        <v>3</v>
      </c>
      <c r="Q23" s="7">
        <f t="shared" si="1"/>
        <v>1</v>
      </c>
      <c r="R23" s="7"/>
      <c r="S23" s="7">
        <f t="shared" si="17"/>
        <v>0</v>
      </c>
      <c r="T23" s="7">
        <f t="shared" si="2"/>
        <v>1</v>
      </c>
      <c r="U23" s="7">
        <f t="shared" si="3"/>
        <v>0</v>
      </c>
      <c r="V23" s="119">
        <f t="shared" si="4"/>
        <v>0</v>
      </c>
      <c r="W23" s="119">
        <f t="shared" si="5"/>
        <v>0</v>
      </c>
      <c r="X23" s="119">
        <f t="shared" si="6"/>
        <v>0</v>
      </c>
      <c r="Y23" s="119">
        <f t="shared" si="7"/>
        <v>0</v>
      </c>
      <c r="Z23" s="119">
        <f t="shared" si="8"/>
        <v>0</v>
      </c>
      <c r="AA23" s="119">
        <f t="shared" si="9"/>
        <v>0</v>
      </c>
      <c r="AB23" s="119">
        <f t="shared" si="10"/>
        <v>1</v>
      </c>
      <c r="AC23" s="119">
        <f t="shared" si="11"/>
        <v>0</v>
      </c>
      <c r="AD23" s="119">
        <f t="shared" si="12"/>
        <v>1</v>
      </c>
      <c r="AE23" s="119">
        <f t="shared" si="13"/>
        <v>0</v>
      </c>
      <c r="AF23" s="7"/>
      <c r="AG23" s="7"/>
      <c r="AH23" s="7">
        <f t="shared" si="14"/>
        <v>3</v>
      </c>
      <c r="AI23" s="7">
        <f t="shared" si="15"/>
        <v>3</v>
      </c>
      <c r="AJ23" s="7" t="str">
        <f t="shared" si="16"/>
        <v>Correct</v>
      </c>
      <c r="AL23" s="120" t="str">
        <f>IFERROR(VLOOKUP(Table1[RespondentID],'All Data'!$A$3:$CO$999,87,FALSE),"unknown")</f>
        <v>Woman</v>
      </c>
      <c r="AM23" s="120">
        <f>IFERROR(VLOOKUP(Table1[RespondentID],'All Data'!$A$3:$CO$999,88,FALSE),"unknown")</f>
        <v>21</v>
      </c>
      <c r="AN23" s="120" t="str">
        <f>IFERROR(VLOOKUP(Table1[RespondentID],'All Data'!$A$3:$CO$999,89,FALSE),"unknown")</f>
        <v>Suffolk</v>
      </c>
      <c r="AO23" s="120" t="str">
        <f>IFERROR(VLOOKUP(Table1[RespondentID],'All Data'!$A$3:$CO$999,90,FALSE),"unknown")</f>
        <v>Centerport, 11721</v>
      </c>
      <c r="AP23" s="120" t="str">
        <f>IFERROR(VLOOKUP(Table1[RespondentID],'All Data'!$A$3:$CO$999,91,FALSE),"unknown")</f>
        <v>White</v>
      </c>
      <c r="AQ23" s="120" t="str">
        <f>IFERROR(VLOOKUP(Table1[RespondentID],'All Data'!$A$3:$CO$999,92,FALSE),"unknown")</f>
        <v>Not Hispanic or Latino</v>
      </c>
      <c r="AR23" s="120" t="str">
        <f>IFERROR(VLOOKUP(Table1[RespondentID],'All Data'!$A$3:$CO$999,93,FALSE),"unknown")</f>
        <v>English</v>
      </c>
      <c r="AS23" s="120" t="str">
        <f>IFERROR(VLOOKUP(Table1[RespondentID],'All Data'!$A$3:$CW$999,94,FALSE),"unknown")</f>
        <v>$75,000 to $125,000</v>
      </c>
      <c r="AT23" s="120" t="str">
        <f>IFERROR(VLOOKUP(Table1[RespondentID],'All Data'!$A$3:$CW$999,95,FALSE),"unknown")</f>
        <v>Some college</v>
      </c>
      <c r="AU23" s="120" t="str">
        <f>IFERROR(VLOOKUP(Table1[RespondentID],'All Data'!$A$3:$CW$999,96,FALSE),"unknown")</f>
        <v>Employed for wages</v>
      </c>
      <c r="AV23" s="120" t="str">
        <f>IFERROR(VLOOKUP(Table1[RespondentID],'All Data'!$A$3:$CW$999,97,FALSE),"unknown")</f>
        <v>Yes</v>
      </c>
      <c r="AW23" s="120">
        <f>IFERROR(VLOOKUP(Table1[RespondentID],'All Data'!$A$3:$CW$999,98,FALSE),"unknown")</f>
        <v>0</v>
      </c>
      <c r="AX23" s="120">
        <f>IFERROR(VLOOKUP(Table1[RespondentID],'All Data'!$A$3:$CW$999,99,FALSE),"unknown")</f>
        <v>0</v>
      </c>
    </row>
    <row r="24" spans="1:50">
      <c r="A24" s="5">
        <v>18025186406</v>
      </c>
      <c r="B24" s="5"/>
      <c r="C24" s="5" t="s">
        <v>17</v>
      </c>
      <c r="D24" s="5" t="s">
        <v>18</v>
      </c>
      <c r="E24" s="5" t="s">
        <v>19</v>
      </c>
      <c r="F24" s="5"/>
      <c r="G24" s="5"/>
      <c r="H24" s="5"/>
      <c r="I24" s="5"/>
      <c r="J24" s="5"/>
      <c r="K24" s="5"/>
      <c r="L24" s="5"/>
      <c r="M24" s="5"/>
      <c r="N24" s="5"/>
      <c r="O24" s="7"/>
      <c r="P24" s="7">
        <f t="shared" si="0"/>
        <v>3</v>
      </c>
      <c r="Q24" s="7">
        <f t="shared" si="1"/>
        <v>1</v>
      </c>
      <c r="R24" s="7"/>
      <c r="S24" s="7">
        <f t="shared" si="17"/>
        <v>0</v>
      </c>
      <c r="T24" s="7">
        <f t="shared" si="2"/>
        <v>1</v>
      </c>
      <c r="U24" s="7">
        <f t="shared" si="3"/>
        <v>1</v>
      </c>
      <c r="V24" s="119">
        <f t="shared" si="4"/>
        <v>1</v>
      </c>
      <c r="W24" s="119">
        <f t="shared" si="5"/>
        <v>0</v>
      </c>
      <c r="X24" s="119">
        <f t="shared" si="6"/>
        <v>0</v>
      </c>
      <c r="Y24" s="119">
        <f t="shared" si="7"/>
        <v>0</v>
      </c>
      <c r="Z24" s="119">
        <f t="shared" si="8"/>
        <v>0</v>
      </c>
      <c r="AA24" s="119">
        <f t="shared" si="9"/>
        <v>0</v>
      </c>
      <c r="AB24" s="119">
        <f t="shared" si="10"/>
        <v>0</v>
      </c>
      <c r="AC24" s="119">
        <f t="shared" si="11"/>
        <v>0</v>
      </c>
      <c r="AD24" s="119">
        <f t="shared" si="12"/>
        <v>0</v>
      </c>
      <c r="AE24" s="119">
        <f t="shared" si="13"/>
        <v>0</v>
      </c>
      <c r="AF24" s="7"/>
      <c r="AG24" s="7"/>
      <c r="AH24" s="7">
        <f t="shared" si="14"/>
        <v>3</v>
      </c>
      <c r="AI24" s="7">
        <f t="shared" si="15"/>
        <v>3</v>
      </c>
      <c r="AJ24" s="7" t="str">
        <f t="shared" si="16"/>
        <v>Correct</v>
      </c>
      <c r="AL24" s="120" t="str">
        <f>IFERROR(VLOOKUP(Table1[RespondentID],'All Data'!$A$3:$CO$999,87,FALSE),"unknown")</f>
        <v>Man</v>
      </c>
      <c r="AM24" s="120">
        <f>IFERROR(VLOOKUP(Table1[RespondentID],'All Data'!$A$3:$CO$999,88,FALSE),"unknown")</f>
        <v>56</v>
      </c>
      <c r="AN24" s="120" t="str">
        <f>IFERROR(VLOOKUP(Table1[RespondentID],'All Data'!$A$3:$CO$999,89,FALSE),"unknown")</f>
        <v>Suffolk</v>
      </c>
      <c r="AO24" s="120" t="str">
        <f>IFERROR(VLOOKUP(Table1[RespondentID],'All Data'!$A$3:$CO$999,90,FALSE),"unknown")</f>
        <v>Smithtown, 11787</v>
      </c>
      <c r="AP24" s="120" t="str">
        <f>IFERROR(VLOOKUP(Table1[RespondentID],'All Data'!$A$3:$CO$999,91,FALSE),"unknown")</f>
        <v>White</v>
      </c>
      <c r="AQ24" s="120" t="str">
        <f>IFERROR(VLOOKUP(Table1[RespondentID],'All Data'!$A$3:$CO$999,92,FALSE),"unknown")</f>
        <v>Not Hispanic or Latino</v>
      </c>
      <c r="AR24" s="120" t="str">
        <f>IFERROR(VLOOKUP(Table1[RespondentID],'All Data'!$A$3:$CO$999,93,FALSE),"unknown")</f>
        <v>English</v>
      </c>
      <c r="AS24" s="120" t="str">
        <f>IFERROR(VLOOKUP(Table1[RespondentID],'All Data'!$A$3:$CW$999,94,FALSE),"unknown")</f>
        <v>Over $125,000</v>
      </c>
      <c r="AT24" s="120" t="str">
        <f>IFERROR(VLOOKUP(Table1[RespondentID],'All Data'!$A$3:$CW$999,95,FALSE),"unknown")</f>
        <v>Doctorate</v>
      </c>
      <c r="AU24" s="120" t="str">
        <f>IFERROR(VLOOKUP(Table1[RespondentID],'All Data'!$A$3:$CW$999,96,FALSE),"unknown")</f>
        <v>Employed for wages</v>
      </c>
      <c r="AV24" s="120" t="str">
        <f>IFERROR(VLOOKUP(Table1[RespondentID],'All Data'!$A$3:$CW$999,97,FALSE),"unknown")</f>
        <v>Yes</v>
      </c>
      <c r="AW24" s="120">
        <f>IFERROR(VLOOKUP(Table1[RespondentID],'All Data'!$A$3:$CW$999,98,FALSE),"unknown")</f>
        <v>0</v>
      </c>
      <c r="AX24" s="120">
        <f>IFERROR(VLOOKUP(Table1[RespondentID],'All Data'!$A$3:$CW$999,99,FALSE),"unknown")</f>
        <v>0</v>
      </c>
    </row>
    <row r="25" spans="1:50">
      <c r="A25" s="5">
        <v>18025186288</v>
      </c>
      <c r="B25" s="5"/>
      <c r="C25" s="5" t="s">
        <v>17</v>
      </c>
      <c r="D25" s="5"/>
      <c r="E25" s="5"/>
      <c r="F25" s="5"/>
      <c r="G25" s="5"/>
      <c r="H25" s="5"/>
      <c r="I25" s="5"/>
      <c r="J25" s="5"/>
      <c r="K25" s="5" t="s">
        <v>25</v>
      </c>
      <c r="L25" s="5" t="s">
        <v>26</v>
      </c>
      <c r="M25" s="5"/>
      <c r="N25" s="5"/>
      <c r="O25" s="7"/>
      <c r="P25" s="7">
        <f t="shared" si="0"/>
        <v>3</v>
      </c>
      <c r="Q25" s="7">
        <f t="shared" si="1"/>
        <v>1</v>
      </c>
      <c r="R25" s="7"/>
      <c r="S25" s="7">
        <f t="shared" si="17"/>
        <v>0</v>
      </c>
      <c r="T25" s="7">
        <f t="shared" si="2"/>
        <v>1</v>
      </c>
      <c r="U25" s="7">
        <f t="shared" si="3"/>
        <v>0</v>
      </c>
      <c r="V25" s="119">
        <f t="shared" si="4"/>
        <v>0</v>
      </c>
      <c r="W25" s="119">
        <f t="shared" si="5"/>
        <v>0</v>
      </c>
      <c r="X25" s="119">
        <f t="shared" si="6"/>
        <v>0</v>
      </c>
      <c r="Y25" s="119">
        <f t="shared" si="7"/>
        <v>0</v>
      </c>
      <c r="Z25" s="119">
        <f t="shared" si="8"/>
        <v>0</v>
      </c>
      <c r="AA25" s="119">
        <f t="shared" si="9"/>
        <v>0</v>
      </c>
      <c r="AB25" s="119">
        <f t="shared" si="10"/>
        <v>1</v>
      </c>
      <c r="AC25" s="119">
        <f t="shared" si="11"/>
        <v>1</v>
      </c>
      <c r="AD25" s="119">
        <f t="shared" si="12"/>
        <v>0</v>
      </c>
      <c r="AE25" s="119">
        <f t="shared" si="13"/>
        <v>0</v>
      </c>
      <c r="AF25" s="7"/>
      <c r="AG25" s="7"/>
      <c r="AH25" s="7">
        <f t="shared" si="14"/>
        <v>3</v>
      </c>
      <c r="AI25" s="7">
        <f t="shared" si="15"/>
        <v>3</v>
      </c>
      <c r="AJ25" s="7" t="str">
        <f t="shared" si="16"/>
        <v>Correct</v>
      </c>
      <c r="AL25" s="120" t="str">
        <f>IFERROR(VLOOKUP(Table1[RespondentID],'All Data'!$A$3:$CO$999,87,FALSE),"unknown")</f>
        <v>Woman</v>
      </c>
      <c r="AM25" s="120">
        <f>IFERROR(VLOOKUP(Table1[RespondentID],'All Data'!$A$3:$CO$999,88,FALSE),"unknown")</f>
        <v>78</v>
      </c>
      <c r="AN25" s="120" t="str">
        <f>IFERROR(VLOOKUP(Table1[RespondentID],'All Data'!$A$3:$CO$999,89,FALSE),"unknown")</f>
        <v>Suffolk</v>
      </c>
      <c r="AO25" s="120" t="str">
        <f>IFERROR(VLOOKUP(Table1[RespondentID],'All Data'!$A$3:$CO$999,90,FALSE),"unknown")</f>
        <v>Smithtown, 11787</v>
      </c>
      <c r="AP25" s="120" t="str">
        <f>IFERROR(VLOOKUP(Table1[RespondentID],'All Data'!$A$3:$CO$999,91,FALSE),"unknown")</f>
        <v>White</v>
      </c>
      <c r="AQ25" s="120" t="str">
        <f>IFERROR(VLOOKUP(Table1[RespondentID],'All Data'!$A$3:$CO$999,92,FALSE),"unknown")</f>
        <v>Not Hispanic or Latino</v>
      </c>
      <c r="AR25" s="120" t="str">
        <f>IFERROR(VLOOKUP(Table1[RespondentID],'All Data'!$A$3:$CO$999,93,FALSE),"unknown")</f>
        <v>English</v>
      </c>
      <c r="AS25" s="120" t="str">
        <f>IFERROR(VLOOKUP(Table1[RespondentID],'All Data'!$A$3:$CW$999,94,FALSE),"unknown")</f>
        <v>$35,000 to $49,999</v>
      </c>
      <c r="AT25" s="120" t="str">
        <f>IFERROR(VLOOKUP(Table1[RespondentID],'All Data'!$A$3:$CW$999,95,FALSE),"unknown")</f>
        <v>Some college</v>
      </c>
      <c r="AU25" s="120" t="str">
        <f>IFERROR(VLOOKUP(Table1[RespondentID],'All Data'!$A$3:$CW$999,96,FALSE),"unknown")</f>
        <v>Retired</v>
      </c>
      <c r="AV25" s="120" t="str">
        <f>IFERROR(VLOOKUP(Table1[RespondentID],'All Data'!$A$3:$CW$999,97,FALSE),"unknown")</f>
        <v>Yes</v>
      </c>
      <c r="AW25" s="120">
        <f>IFERROR(VLOOKUP(Table1[RespondentID],'All Data'!$A$3:$CW$999,98,FALSE),"unknown")</f>
        <v>0</v>
      </c>
      <c r="AX25" s="120">
        <f>IFERROR(VLOOKUP(Table1[RespondentID],'All Data'!$A$3:$CW$999,99,FALSE),"unknown")</f>
        <v>0</v>
      </c>
    </row>
    <row r="26" spans="1:50">
      <c r="A26" s="5">
        <v>18025186085</v>
      </c>
      <c r="B26" s="5" t="s">
        <v>16</v>
      </c>
      <c r="C26" s="5"/>
      <c r="D26" s="5"/>
      <c r="E26" s="5" t="s">
        <v>19</v>
      </c>
      <c r="F26" s="5" t="s">
        <v>20</v>
      </c>
      <c r="G26" s="5"/>
      <c r="H26" s="5"/>
      <c r="I26" s="5"/>
      <c r="J26" s="5"/>
      <c r="K26" s="5"/>
      <c r="L26" s="5"/>
      <c r="M26" s="5"/>
      <c r="N26" s="5"/>
      <c r="O26" s="7"/>
      <c r="P26" s="7">
        <f t="shared" si="0"/>
        <v>3</v>
      </c>
      <c r="Q26" s="7">
        <f t="shared" si="1"/>
        <v>1</v>
      </c>
      <c r="R26" s="7"/>
      <c r="S26" s="7">
        <f t="shared" si="17"/>
        <v>1</v>
      </c>
      <c r="T26" s="7">
        <f t="shared" si="2"/>
        <v>0</v>
      </c>
      <c r="U26" s="7">
        <f>IF($P26&lt;3,IF($D26=$D$1,1,0),IF($D26=$D$1,$Q26,0))</f>
        <v>0</v>
      </c>
      <c r="V26" s="119">
        <f t="shared" si="4"/>
        <v>1</v>
      </c>
      <c r="W26" s="119">
        <f t="shared" si="5"/>
        <v>1</v>
      </c>
      <c r="X26" s="119">
        <f t="shared" si="6"/>
        <v>0</v>
      </c>
      <c r="Y26" s="119">
        <f t="shared" si="7"/>
        <v>0</v>
      </c>
      <c r="Z26" s="119">
        <f t="shared" si="8"/>
        <v>0</v>
      </c>
      <c r="AA26" s="119">
        <f t="shared" si="9"/>
        <v>0</v>
      </c>
      <c r="AB26" s="119">
        <f t="shared" si="10"/>
        <v>0</v>
      </c>
      <c r="AC26" s="119">
        <f t="shared" si="11"/>
        <v>0</v>
      </c>
      <c r="AD26" s="119">
        <f t="shared" si="12"/>
        <v>0</v>
      </c>
      <c r="AE26" s="119">
        <f t="shared" si="13"/>
        <v>0</v>
      </c>
      <c r="AF26" s="7"/>
      <c r="AG26" s="7"/>
      <c r="AH26" s="7">
        <f t="shared" si="14"/>
        <v>3</v>
      </c>
      <c r="AI26" s="7">
        <f t="shared" si="15"/>
        <v>3</v>
      </c>
      <c r="AJ26" s="7" t="str">
        <f t="shared" si="16"/>
        <v>Correct</v>
      </c>
      <c r="AL26" s="120" t="str">
        <f>IFERROR(VLOOKUP(Table1[RespondentID],'All Data'!$A$3:$CO$999,87,FALSE),"unknown")</f>
        <v>Man</v>
      </c>
      <c r="AM26" s="120">
        <f>IFERROR(VLOOKUP(Table1[RespondentID],'All Data'!$A$3:$CO$999,88,FALSE),"unknown")</f>
        <v>56</v>
      </c>
      <c r="AN26" s="120" t="str">
        <f>IFERROR(VLOOKUP(Table1[RespondentID],'All Data'!$A$3:$CO$999,89,FALSE),"unknown")</f>
        <v>Suffolk</v>
      </c>
      <c r="AO26" s="120" t="str">
        <f>IFERROR(VLOOKUP(Table1[RespondentID],'All Data'!$A$3:$CO$999,90,FALSE),"unknown")</f>
        <v>Centerport, 11721</v>
      </c>
      <c r="AP26" s="120" t="str">
        <f>IFERROR(VLOOKUP(Table1[RespondentID],'All Data'!$A$3:$CO$999,91,FALSE),"unknown")</f>
        <v>White</v>
      </c>
      <c r="AQ26" s="120" t="str">
        <f>IFERROR(VLOOKUP(Table1[RespondentID],'All Data'!$A$3:$CO$999,92,FALSE),"unknown")</f>
        <v>Not Hispanic or Latino</v>
      </c>
      <c r="AR26" s="120" t="str">
        <f>IFERROR(VLOOKUP(Table1[RespondentID],'All Data'!$A$3:$CO$999,93,FALSE),"unknown")</f>
        <v>English</v>
      </c>
      <c r="AS26" s="120" t="str">
        <f>IFERROR(VLOOKUP(Table1[RespondentID],'All Data'!$A$3:$CW$999,94,FALSE),"unknown")</f>
        <v>$75,000 to $125,000</v>
      </c>
      <c r="AT26" s="120" t="str">
        <f>IFERROR(VLOOKUP(Table1[RespondentID],'All Data'!$A$3:$CW$999,95,FALSE),"unknown")</f>
        <v>Doctorate</v>
      </c>
      <c r="AU26" s="120" t="str">
        <f>IFERROR(VLOOKUP(Table1[RespondentID],'All Data'!$A$3:$CW$999,96,FALSE),"unknown")</f>
        <v>Employed for wages</v>
      </c>
      <c r="AV26" s="120" t="str">
        <f>IFERROR(VLOOKUP(Table1[RespondentID],'All Data'!$A$3:$CW$999,97,FALSE),"unknown")</f>
        <v>Yes</v>
      </c>
      <c r="AW26" s="120">
        <f>IFERROR(VLOOKUP(Table1[RespondentID],'All Data'!$A$3:$CW$999,98,FALSE),"unknown")</f>
        <v>0</v>
      </c>
      <c r="AX26" s="120">
        <f>IFERROR(VLOOKUP(Table1[RespondentID],'All Data'!$A$3:$CW$999,99,FALSE),"unknown")</f>
        <v>0</v>
      </c>
    </row>
    <row r="27" spans="1:50">
      <c r="A27" s="5">
        <v>18025185956</v>
      </c>
      <c r="B27" s="5"/>
      <c r="C27" s="5" t="s">
        <v>17</v>
      </c>
      <c r="D27" s="5"/>
      <c r="E27" s="5"/>
      <c r="F27" s="5"/>
      <c r="G27" s="5"/>
      <c r="H27" s="5"/>
      <c r="I27" s="5"/>
      <c r="J27" s="5"/>
      <c r="K27" s="5" t="s">
        <v>25</v>
      </c>
      <c r="L27" s="5"/>
      <c r="M27" s="5"/>
      <c r="N27" s="5"/>
      <c r="O27" s="7"/>
      <c r="P27" s="7">
        <f t="shared" si="0"/>
        <v>2</v>
      </c>
      <c r="Q27" s="7">
        <f t="shared" si="1"/>
        <v>1.5</v>
      </c>
      <c r="R27" s="7"/>
      <c r="S27" s="7">
        <f t="shared" si="17"/>
        <v>0</v>
      </c>
      <c r="T27" s="7">
        <f t="shared" si="2"/>
        <v>1</v>
      </c>
      <c r="U27" s="7">
        <f t="shared" si="3"/>
        <v>0</v>
      </c>
      <c r="V27" s="119">
        <f t="shared" si="4"/>
        <v>0</v>
      </c>
      <c r="W27" s="119">
        <f t="shared" si="5"/>
        <v>0</v>
      </c>
      <c r="X27" s="119">
        <f t="shared" si="6"/>
        <v>0</v>
      </c>
      <c r="Y27" s="119">
        <f t="shared" si="7"/>
        <v>0</v>
      </c>
      <c r="Z27" s="119">
        <f t="shared" si="8"/>
        <v>0</v>
      </c>
      <c r="AA27" s="119">
        <f t="shared" si="9"/>
        <v>0</v>
      </c>
      <c r="AB27" s="119">
        <f t="shared" si="10"/>
        <v>1</v>
      </c>
      <c r="AC27" s="119">
        <f t="shared" si="11"/>
        <v>0</v>
      </c>
      <c r="AD27" s="119">
        <f t="shared" si="12"/>
        <v>0</v>
      </c>
      <c r="AE27" s="119">
        <f t="shared" si="13"/>
        <v>0</v>
      </c>
      <c r="AF27" s="7"/>
      <c r="AG27" s="7"/>
      <c r="AH27" s="7">
        <f t="shared" si="14"/>
        <v>2</v>
      </c>
      <c r="AI27" s="7">
        <f t="shared" si="15"/>
        <v>2</v>
      </c>
      <c r="AJ27" s="7" t="str">
        <f t="shared" si="16"/>
        <v>Correct</v>
      </c>
      <c r="AL27" s="120" t="str">
        <f>IFERROR(VLOOKUP(Table1[RespondentID],'All Data'!$A$3:$CO$999,87,FALSE),"unknown")</f>
        <v>Man</v>
      </c>
      <c r="AM27" s="120">
        <f>IFERROR(VLOOKUP(Table1[RespondentID],'All Data'!$A$3:$CO$999,88,FALSE),"unknown")</f>
        <v>19</v>
      </c>
      <c r="AN27" s="120" t="str">
        <f>IFERROR(VLOOKUP(Table1[RespondentID],'All Data'!$A$3:$CO$999,89,FALSE),"unknown")</f>
        <v>Suffolk</v>
      </c>
      <c r="AO27" s="120" t="str">
        <f>IFERROR(VLOOKUP(Table1[RespondentID],'All Data'!$A$3:$CO$999,90,FALSE),"unknown")</f>
        <v>Centerport, 11721</v>
      </c>
      <c r="AP27" s="120" t="str">
        <f>IFERROR(VLOOKUP(Table1[RespondentID],'All Data'!$A$3:$CO$999,91,FALSE),"unknown")</f>
        <v>White</v>
      </c>
      <c r="AQ27" s="120" t="str">
        <f>IFERROR(VLOOKUP(Table1[RespondentID],'All Data'!$A$3:$CO$999,92,FALSE),"unknown")</f>
        <v>Not Hispanic or Latino</v>
      </c>
      <c r="AR27" s="120" t="str">
        <f>IFERROR(VLOOKUP(Table1[RespondentID],'All Data'!$A$3:$CO$999,93,FALSE),"unknown")</f>
        <v>English</v>
      </c>
      <c r="AS27" s="120" t="str">
        <f>IFERROR(VLOOKUP(Table1[RespondentID],'All Data'!$A$3:$CW$999,94,FALSE),"unknown")</f>
        <v>Over $125,000</v>
      </c>
      <c r="AT27" s="120" t="str">
        <f>IFERROR(VLOOKUP(Table1[RespondentID],'All Data'!$A$3:$CW$999,95,FALSE),"unknown")</f>
        <v>Some college</v>
      </c>
      <c r="AU27" s="120" t="str">
        <f>IFERROR(VLOOKUP(Table1[RespondentID],'All Data'!$A$3:$CW$999,96,FALSE),"unknown")</f>
        <v>Student</v>
      </c>
      <c r="AV27" s="120" t="str">
        <f>IFERROR(VLOOKUP(Table1[RespondentID],'All Data'!$A$3:$CW$999,97,FALSE),"unknown")</f>
        <v>Yes</v>
      </c>
      <c r="AW27" s="120">
        <f>IFERROR(VLOOKUP(Table1[RespondentID],'All Data'!$A$3:$CW$999,98,FALSE),"unknown")</f>
        <v>0</v>
      </c>
      <c r="AX27" s="120">
        <f>IFERROR(VLOOKUP(Table1[RespondentID],'All Data'!$A$3:$CW$999,99,FALSE),"unknown")</f>
        <v>0</v>
      </c>
    </row>
    <row r="28" spans="1:50">
      <c r="A28" s="5">
        <v>18025185799</v>
      </c>
      <c r="B28" s="5" t="s">
        <v>16</v>
      </c>
      <c r="C28" s="5"/>
      <c r="D28" s="5"/>
      <c r="E28" s="5" t="s">
        <v>19</v>
      </c>
      <c r="F28" s="5"/>
      <c r="G28" s="5"/>
      <c r="H28" s="5"/>
      <c r="I28" s="5"/>
      <c r="J28" s="5"/>
      <c r="K28" s="5"/>
      <c r="L28" s="5" t="s">
        <v>26</v>
      </c>
      <c r="M28" s="5"/>
      <c r="N28" s="5"/>
      <c r="O28" s="7"/>
      <c r="P28" s="7">
        <f t="shared" si="0"/>
        <v>3</v>
      </c>
      <c r="Q28" s="7">
        <f t="shared" si="1"/>
        <v>1</v>
      </c>
      <c r="R28" s="7"/>
      <c r="S28" s="7">
        <f t="shared" si="17"/>
        <v>1</v>
      </c>
      <c r="T28" s="7">
        <f t="shared" si="2"/>
        <v>0</v>
      </c>
      <c r="U28" s="7">
        <f t="shared" si="3"/>
        <v>0</v>
      </c>
      <c r="V28" s="119">
        <f t="shared" si="4"/>
        <v>1</v>
      </c>
      <c r="W28" s="119">
        <f t="shared" si="5"/>
        <v>0</v>
      </c>
      <c r="X28" s="119">
        <f t="shared" si="6"/>
        <v>0</v>
      </c>
      <c r="Y28" s="119">
        <f t="shared" si="7"/>
        <v>0</v>
      </c>
      <c r="Z28" s="119">
        <f t="shared" si="8"/>
        <v>0</v>
      </c>
      <c r="AA28" s="119">
        <f t="shared" si="9"/>
        <v>0</v>
      </c>
      <c r="AB28" s="119">
        <f t="shared" si="10"/>
        <v>0</v>
      </c>
      <c r="AC28" s="119">
        <f t="shared" si="11"/>
        <v>1</v>
      </c>
      <c r="AD28" s="119">
        <f t="shared" si="12"/>
        <v>0</v>
      </c>
      <c r="AE28" s="119">
        <f t="shared" si="13"/>
        <v>0</v>
      </c>
      <c r="AF28" s="7"/>
      <c r="AG28" s="7"/>
      <c r="AH28" s="7">
        <f t="shared" si="14"/>
        <v>3</v>
      </c>
      <c r="AI28" s="7">
        <f t="shared" si="15"/>
        <v>3</v>
      </c>
      <c r="AJ28" s="7" t="str">
        <f t="shared" si="16"/>
        <v>Correct</v>
      </c>
      <c r="AL28" s="120" t="str">
        <f>IFERROR(VLOOKUP(Table1[RespondentID],'All Data'!$A$3:$CO$999,87,FALSE),"unknown")</f>
        <v>Woman</v>
      </c>
      <c r="AM28" s="120">
        <f>IFERROR(VLOOKUP(Table1[RespondentID],'All Data'!$A$3:$CO$999,88,FALSE),"unknown")</f>
        <v>26</v>
      </c>
      <c r="AN28" s="120" t="str">
        <f>IFERROR(VLOOKUP(Table1[RespondentID],'All Data'!$A$3:$CO$999,89,FALSE),"unknown")</f>
        <v>Suffolk</v>
      </c>
      <c r="AO28" s="120" t="str">
        <f>IFERROR(VLOOKUP(Table1[RespondentID],'All Data'!$A$3:$CO$999,90,FALSE),"unknown")</f>
        <v>Greenlawn, 11740</v>
      </c>
      <c r="AP28" s="120" t="str">
        <f>IFERROR(VLOOKUP(Table1[RespondentID],'All Data'!$A$3:$CO$999,91,FALSE),"unknown")</f>
        <v>Black or African American</v>
      </c>
      <c r="AQ28" s="120" t="str">
        <f>IFERROR(VLOOKUP(Table1[RespondentID],'All Data'!$A$3:$CO$999,92,FALSE),"unknown")</f>
        <v>Not Hispanic or Latino</v>
      </c>
      <c r="AR28" s="120" t="str">
        <f>IFERROR(VLOOKUP(Table1[RespondentID],'All Data'!$A$3:$CO$999,93,FALSE),"unknown")</f>
        <v>English, Haitian Creole</v>
      </c>
      <c r="AS28" s="120" t="str">
        <f>IFERROR(VLOOKUP(Table1[RespondentID],'All Data'!$A$3:$CW$999,94,FALSE),"unknown")</f>
        <v>$50,000 to $74,999</v>
      </c>
      <c r="AT28" s="120" t="str">
        <f>IFERROR(VLOOKUP(Table1[RespondentID],'All Data'!$A$3:$CW$999,95,FALSE),"unknown")</f>
        <v>College graduate</v>
      </c>
      <c r="AU28" s="120" t="str">
        <f>IFERROR(VLOOKUP(Table1[RespondentID],'All Data'!$A$3:$CW$999,96,FALSE),"unknown")</f>
        <v>Self-employed</v>
      </c>
      <c r="AV28" s="120" t="str">
        <f>IFERROR(VLOOKUP(Table1[RespondentID],'All Data'!$A$3:$CW$999,97,FALSE),"unknown")</f>
        <v>Yes</v>
      </c>
      <c r="AW28" s="120">
        <f>IFERROR(VLOOKUP(Table1[RespondentID],'All Data'!$A$3:$CW$999,98,FALSE),"unknown")</f>
        <v>0</v>
      </c>
      <c r="AX28" s="120">
        <f>IFERROR(VLOOKUP(Table1[RespondentID],'All Data'!$A$3:$CW$999,99,FALSE),"unknown")</f>
        <v>0</v>
      </c>
    </row>
    <row r="29" spans="1:50">
      <c r="A29" s="5">
        <v>18025185651</v>
      </c>
      <c r="B29" s="5" t="s">
        <v>16</v>
      </c>
      <c r="C29" s="5"/>
      <c r="D29" s="5" t="s">
        <v>18</v>
      </c>
      <c r="E29" s="5"/>
      <c r="F29" s="5"/>
      <c r="G29" s="5"/>
      <c r="H29" s="5"/>
      <c r="I29" s="5"/>
      <c r="J29" s="5"/>
      <c r="K29" s="5" t="s">
        <v>25</v>
      </c>
      <c r="L29" s="5"/>
      <c r="M29" s="5"/>
      <c r="N29" s="5"/>
      <c r="O29" s="7"/>
      <c r="P29" s="7">
        <f t="shared" si="0"/>
        <v>3</v>
      </c>
      <c r="Q29" s="7">
        <f t="shared" si="1"/>
        <v>1</v>
      </c>
      <c r="R29" s="7"/>
      <c r="S29" s="7">
        <f t="shared" si="17"/>
        <v>1</v>
      </c>
      <c r="T29" s="7">
        <f t="shared" si="2"/>
        <v>0</v>
      </c>
      <c r="U29" s="7">
        <f t="shared" si="3"/>
        <v>1</v>
      </c>
      <c r="V29" s="119">
        <f t="shared" si="4"/>
        <v>0</v>
      </c>
      <c r="W29" s="119">
        <f t="shared" si="5"/>
        <v>0</v>
      </c>
      <c r="X29" s="119">
        <f t="shared" si="6"/>
        <v>0</v>
      </c>
      <c r="Y29" s="119">
        <f t="shared" si="7"/>
        <v>0</v>
      </c>
      <c r="Z29" s="119">
        <f t="shared" si="8"/>
        <v>0</v>
      </c>
      <c r="AA29" s="119">
        <f t="shared" si="9"/>
        <v>0</v>
      </c>
      <c r="AB29" s="119">
        <f t="shared" si="10"/>
        <v>1</v>
      </c>
      <c r="AC29" s="119">
        <f t="shared" si="11"/>
        <v>0</v>
      </c>
      <c r="AD29" s="119">
        <f t="shared" si="12"/>
        <v>0</v>
      </c>
      <c r="AE29" s="119">
        <f t="shared" si="13"/>
        <v>0</v>
      </c>
      <c r="AF29" s="7"/>
      <c r="AG29" s="7"/>
      <c r="AH29" s="7">
        <f t="shared" si="14"/>
        <v>3</v>
      </c>
      <c r="AI29" s="7">
        <f t="shared" si="15"/>
        <v>3</v>
      </c>
      <c r="AJ29" s="7" t="str">
        <f t="shared" si="16"/>
        <v>Correct</v>
      </c>
      <c r="AL29" s="120" t="str">
        <f>IFERROR(VLOOKUP(Table1[RespondentID],'All Data'!$A$3:$CO$999,87,FALSE),"unknown")</f>
        <v>Woman</v>
      </c>
      <c r="AM29" s="120">
        <f>IFERROR(VLOOKUP(Table1[RespondentID],'All Data'!$A$3:$CO$999,88,FALSE),"unknown")</f>
        <v>17</v>
      </c>
      <c r="AN29" s="120" t="str">
        <f>IFERROR(VLOOKUP(Table1[RespondentID],'All Data'!$A$3:$CO$999,89,FALSE),"unknown")</f>
        <v>Suffolk</v>
      </c>
      <c r="AO29" s="120" t="str">
        <f>IFERROR(VLOOKUP(Table1[RespondentID],'All Data'!$A$3:$CO$999,90,FALSE),"unknown")</f>
        <v>Centerport, 11721</v>
      </c>
      <c r="AP29" s="120" t="str">
        <f>IFERROR(VLOOKUP(Table1[RespondentID],'All Data'!$A$3:$CO$999,91,FALSE),"unknown")</f>
        <v>White</v>
      </c>
      <c r="AQ29" s="120" t="str">
        <f>IFERROR(VLOOKUP(Table1[RespondentID],'All Data'!$A$3:$CO$999,92,FALSE),"unknown")</f>
        <v>Not Hispanic or Latino</v>
      </c>
      <c r="AR29" s="120" t="str">
        <f>IFERROR(VLOOKUP(Table1[RespondentID],'All Data'!$A$3:$CO$999,93,FALSE),"unknown")</f>
        <v>English</v>
      </c>
      <c r="AS29" s="120" t="str">
        <f>IFERROR(VLOOKUP(Table1[RespondentID],'All Data'!$A$3:$CW$999,94,FALSE),"unknown")</f>
        <v>Over $125,000</v>
      </c>
      <c r="AT29" s="120" t="str">
        <f>IFERROR(VLOOKUP(Table1[RespondentID],'All Data'!$A$3:$CW$999,95,FALSE),"unknown")</f>
        <v>Some high school</v>
      </c>
      <c r="AU29" s="120" t="str">
        <f>IFERROR(VLOOKUP(Table1[RespondentID],'All Data'!$A$3:$CW$999,96,FALSE),"unknown")</f>
        <v>Student</v>
      </c>
      <c r="AV29" s="120" t="str">
        <f>IFERROR(VLOOKUP(Table1[RespondentID],'All Data'!$A$3:$CW$999,97,FALSE),"unknown")</f>
        <v>Yes</v>
      </c>
      <c r="AW29" s="120">
        <f>IFERROR(VLOOKUP(Table1[RespondentID],'All Data'!$A$3:$CW$999,98,FALSE),"unknown")</f>
        <v>0</v>
      </c>
      <c r="AX29" s="120">
        <f>IFERROR(VLOOKUP(Table1[RespondentID],'All Data'!$A$3:$CW$999,99,FALSE),"unknown")</f>
        <v>0</v>
      </c>
    </row>
    <row r="30" spans="1:50">
      <c r="A30" s="5">
        <v>18025185458</v>
      </c>
      <c r="B30" s="5"/>
      <c r="C30" s="5"/>
      <c r="D30" s="5"/>
      <c r="E30" s="5"/>
      <c r="F30" s="5"/>
      <c r="G30" s="5"/>
      <c r="H30" s="5"/>
      <c r="I30" s="5"/>
      <c r="J30" s="5" t="s">
        <v>24</v>
      </c>
      <c r="K30" s="5" t="s">
        <v>25</v>
      </c>
      <c r="L30" s="5"/>
      <c r="M30" s="5"/>
      <c r="N30" s="5" t="s">
        <v>28</v>
      </c>
      <c r="O30" s="7"/>
      <c r="P30" s="7">
        <f t="shared" si="0"/>
        <v>3</v>
      </c>
      <c r="Q30" s="7">
        <f t="shared" si="1"/>
        <v>1</v>
      </c>
      <c r="R30" s="7"/>
      <c r="S30" s="7">
        <f t="shared" si="17"/>
        <v>0</v>
      </c>
      <c r="T30" s="7">
        <f t="shared" si="2"/>
        <v>0</v>
      </c>
      <c r="U30" s="7">
        <f t="shared" si="3"/>
        <v>0</v>
      </c>
      <c r="V30" s="119">
        <f t="shared" si="4"/>
        <v>0</v>
      </c>
      <c r="W30" s="119">
        <f t="shared" si="5"/>
        <v>0</v>
      </c>
      <c r="X30" s="119">
        <f t="shared" si="6"/>
        <v>0</v>
      </c>
      <c r="Y30" s="119">
        <f t="shared" si="7"/>
        <v>0</v>
      </c>
      <c r="Z30" s="119">
        <f t="shared" si="8"/>
        <v>0</v>
      </c>
      <c r="AA30" s="119">
        <f t="shared" si="9"/>
        <v>1</v>
      </c>
      <c r="AB30" s="119">
        <f t="shared" si="10"/>
        <v>1</v>
      </c>
      <c r="AC30" s="119">
        <f t="shared" si="11"/>
        <v>0</v>
      </c>
      <c r="AD30" s="119">
        <f t="shared" si="12"/>
        <v>0</v>
      </c>
      <c r="AE30" s="119">
        <f t="shared" si="13"/>
        <v>1</v>
      </c>
      <c r="AF30" s="7"/>
      <c r="AG30" s="7"/>
      <c r="AH30" s="7">
        <f t="shared" si="14"/>
        <v>3</v>
      </c>
      <c r="AI30" s="7">
        <f t="shared" si="15"/>
        <v>3</v>
      </c>
      <c r="AJ30" s="7" t="str">
        <f t="shared" si="16"/>
        <v>Correct</v>
      </c>
      <c r="AL30" s="120" t="str">
        <f>IFERROR(VLOOKUP(Table1[RespondentID],'All Data'!$A$3:$CO$999,87,FALSE),"unknown")</f>
        <v>Man</v>
      </c>
      <c r="AM30" s="120">
        <f>IFERROR(VLOOKUP(Table1[RespondentID],'All Data'!$A$3:$CO$999,88,FALSE),"unknown")</f>
        <v>38</v>
      </c>
      <c r="AN30" s="120" t="str">
        <f>IFERROR(VLOOKUP(Table1[RespondentID],'All Data'!$A$3:$CO$999,89,FALSE),"unknown")</f>
        <v>Suffolk</v>
      </c>
      <c r="AO30" s="120" t="str">
        <f>IFERROR(VLOOKUP(Table1[RespondentID],'All Data'!$A$3:$CO$999,90,FALSE),"unknown")</f>
        <v>Cold Spring Harbor, 11724</v>
      </c>
      <c r="AP30" s="120" t="str">
        <f>IFERROR(VLOOKUP(Table1[RespondentID],'All Data'!$A$3:$CO$999,91,FALSE),"unknown")</f>
        <v>White</v>
      </c>
      <c r="AQ30" s="120" t="str">
        <f>IFERROR(VLOOKUP(Table1[RespondentID],'All Data'!$A$3:$CO$999,92,FALSE),"unknown")</f>
        <v>Not Hispanic or Latino</v>
      </c>
      <c r="AR30" s="120" t="str">
        <f>IFERROR(VLOOKUP(Table1[RespondentID],'All Data'!$A$3:$CO$999,93,FALSE),"unknown")</f>
        <v>English</v>
      </c>
      <c r="AS30" s="120" t="str">
        <f>IFERROR(VLOOKUP(Table1[RespondentID],'All Data'!$A$3:$CW$999,94,FALSE),"unknown")</f>
        <v>$35,000 to $49,999</v>
      </c>
      <c r="AT30" s="120" t="str">
        <f>IFERROR(VLOOKUP(Table1[RespondentID],'All Data'!$A$3:$CW$999,95,FALSE),"unknown")</f>
        <v>College graduate</v>
      </c>
      <c r="AU30" s="120" t="str">
        <f>IFERROR(VLOOKUP(Table1[RespondentID],'All Data'!$A$3:$CW$999,96,FALSE),"unknown")</f>
        <v>Employed for wages</v>
      </c>
      <c r="AV30" s="120" t="str">
        <f>IFERROR(VLOOKUP(Table1[RespondentID],'All Data'!$A$3:$CW$999,97,FALSE),"unknown")</f>
        <v>Yes</v>
      </c>
      <c r="AW30" s="120">
        <f>IFERROR(VLOOKUP(Table1[RespondentID],'All Data'!$A$3:$CW$999,98,FALSE),"unknown")</f>
        <v>0</v>
      </c>
      <c r="AX30" s="120">
        <f>IFERROR(VLOOKUP(Table1[RespondentID],'All Data'!$A$3:$CW$999,99,FALSE),"unknown")</f>
        <v>0</v>
      </c>
    </row>
    <row r="31" spans="1:50">
      <c r="A31" s="5">
        <v>18025185352</v>
      </c>
      <c r="B31" s="5"/>
      <c r="C31" s="5"/>
      <c r="D31" s="5" t="s">
        <v>18</v>
      </c>
      <c r="E31" s="5"/>
      <c r="F31" s="5"/>
      <c r="G31" s="5"/>
      <c r="H31" s="5"/>
      <c r="I31" s="5"/>
      <c r="J31" s="5"/>
      <c r="K31" s="5"/>
      <c r="L31" s="5" t="s">
        <v>26</v>
      </c>
      <c r="M31" s="5"/>
      <c r="N31" s="5" t="s">
        <v>28</v>
      </c>
      <c r="O31" s="7"/>
      <c r="P31" s="7">
        <f t="shared" si="0"/>
        <v>3</v>
      </c>
      <c r="Q31" s="7">
        <f t="shared" si="1"/>
        <v>1</v>
      </c>
      <c r="R31" s="7"/>
      <c r="S31" s="7">
        <f t="shared" si="17"/>
        <v>0</v>
      </c>
      <c r="T31" s="7">
        <f t="shared" si="2"/>
        <v>0</v>
      </c>
      <c r="U31" s="7">
        <f t="shared" si="3"/>
        <v>1</v>
      </c>
      <c r="V31" s="119">
        <f t="shared" si="4"/>
        <v>0</v>
      </c>
      <c r="W31" s="119">
        <f t="shared" si="5"/>
        <v>0</v>
      </c>
      <c r="X31" s="119">
        <f t="shared" si="6"/>
        <v>0</v>
      </c>
      <c r="Y31" s="119">
        <f t="shared" si="7"/>
        <v>0</v>
      </c>
      <c r="Z31" s="119">
        <f t="shared" si="8"/>
        <v>0</v>
      </c>
      <c r="AA31" s="119">
        <f t="shared" si="9"/>
        <v>0</v>
      </c>
      <c r="AB31" s="119">
        <f t="shared" si="10"/>
        <v>0</v>
      </c>
      <c r="AC31" s="119">
        <f t="shared" si="11"/>
        <v>1</v>
      </c>
      <c r="AD31" s="119">
        <f t="shared" si="12"/>
        <v>0</v>
      </c>
      <c r="AE31" s="119">
        <f t="shared" si="13"/>
        <v>1</v>
      </c>
      <c r="AF31" s="7"/>
      <c r="AG31" s="7"/>
      <c r="AH31" s="7">
        <f t="shared" si="14"/>
        <v>3</v>
      </c>
      <c r="AI31" s="7">
        <f t="shared" si="15"/>
        <v>3</v>
      </c>
      <c r="AJ31" s="7" t="str">
        <f t="shared" si="16"/>
        <v>Correct</v>
      </c>
      <c r="AL31" s="120" t="str">
        <f>IFERROR(VLOOKUP(Table1[RespondentID],'All Data'!$A$3:$CO$999,87,FALSE),"unknown")</f>
        <v>Man</v>
      </c>
      <c r="AM31" s="120">
        <f>IFERROR(VLOOKUP(Table1[RespondentID],'All Data'!$A$3:$CO$999,88,FALSE),"unknown")</f>
        <v>53</v>
      </c>
      <c r="AN31" s="120" t="str">
        <f>IFERROR(VLOOKUP(Table1[RespondentID],'All Data'!$A$3:$CO$999,89,FALSE),"unknown")</f>
        <v>Suffolk</v>
      </c>
      <c r="AO31" s="120" t="str">
        <f>IFERROR(VLOOKUP(Table1[RespondentID],'All Data'!$A$3:$CO$999,90,FALSE),"unknown")</f>
        <v>Saint James, 11780</v>
      </c>
      <c r="AP31" s="120" t="str">
        <f>IFERROR(VLOOKUP(Table1[RespondentID],'All Data'!$A$3:$CO$999,91,FALSE),"unknown")</f>
        <v>White</v>
      </c>
      <c r="AQ31" s="120" t="str">
        <f>IFERROR(VLOOKUP(Table1[RespondentID],'All Data'!$A$3:$CO$999,92,FALSE),"unknown")</f>
        <v>Not Hispanic or Latino</v>
      </c>
      <c r="AR31" s="120" t="str">
        <f>IFERROR(VLOOKUP(Table1[RespondentID],'All Data'!$A$3:$CO$999,93,FALSE),"unknown")</f>
        <v>English</v>
      </c>
      <c r="AS31" s="120" t="str">
        <f>IFERROR(VLOOKUP(Table1[RespondentID],'All Data'!$A$3:$CW$999,94,FALSE),"unknown")</f>
        <v>Over $125,000</v>
      </c>
      <c r="AT31" s="120" t="str">
        <f>IFERROR(VLOOKUP(Table1[RespondentID],'All Data'!$A$3:$CW$999,95,FALSE),"unknown")</f>
        <v>College graduate</v>
      </c>
      <c r="AU31" s="120" t="str">
        <f>IFERROR(VLOOKUP(Table1[RespondentID],'All Data'!$A$3:$CW$999,96,FALSE),"unknown")</f>
        <v>Employed for wages</v>
      </c>
      <c r="AV31" s="120" t="str">
        <f>IFERROR(VLOOKUP(Table1[RespondentID],'All Data'!$A$3:$CW$999,97,FALSE),"unknown")</f>
        <v>Yes</v>
      </c>
      <c r="AW31" s="120">
        <f>IFERROR(VLOOKUP(Table1[RespondentID],'All Data'!$A$3:$CW$999,98,FALSE),"unknown")</f>
        <v>0</v>
      </c>
      <c r="AX31" s="120">
        <f>IFERROR(VLOOKUP(Table1[RespondentID],'All Data'!$A$3:$CW$999,99,FALSE),"unknown")</f>
        <v>0</v>
      </c>
    </row>
    <row r="32" spans="1:50">
      <c r="A32" s="5">
        <v>18025185219</v>
      </c>
      <c r="B32" s="5"/>
      <c r="C32" s="5"/>
      <c r="D32" s="5" t="s">
        <v>18</v>
      </c>
      <c r="E32" s="5"/>
      <c r="F32" s="5"/>
      <c r="G32" s="5"/>
      <c r="H32" s="5"/>
      <c r="I32" s="5"/>
      <c r="J32" s="5"/>
      <c r="K32" s="5" t="s">
        <v>25</v>
      </c>
      <c r="L32" s="5"/>
      <c r="M32" s="5"/>
      <c r="N32" s="5" t="s">
        <v>28</v>
      </c>
      <c r="O32" s="7"/>
      <c r="P32" s="7">
        <f t="shared" si="0"/>
        <v>3</v>
      </c>
      <c r="Q32" s="7">
        <f t="shared" si="1"/>
        <v>1</v>
      </c>
      <c r="R32" s="7"/>
      <c r="S32" s="7">
        <f t="shared" si="17"/>
        <v>0</v>
      </c>
      <c r="T32" s="7">
        <f t="shared" si="2"/>
        <v>0</v>
      </c>
      <c r="U32" s="7">
        <f t="shared" si="3"/>
        <v>1</v>
      </c>
      <c r="V32" s="119">
        <f t="shared" si="4"/>
        <v>0</v>
      </c>
      <c r="W32" s="119">
        <f t="shared" si="5"/>
        <v>0</v>
      </c>
      <c r="X32" s="119">
        <f t="shared" si="6"/>
        <v>0</v>
      </c>
      <c r="Y32" s="119">
        <f t="shared" si="7"/>
        <v>0</v>
      </c>
      <c r="Z32" s="119">
        <f t="shared" si="8"/>
        <v>0</v>
      </c>
      <c r="AA32" s="119">
        <f t="shared" si="9"/>
        <v>0</v>
      </c>
      <c r="AB32" s="119">
        <f t="shared" si="10"/>
        <v>1</v>
      </c>
      <c r="AC32" s="119">
        <f t="shared" si="11"/>
        <v>0</v>
      </c>
      <c r="AD32" s="119">
        <f t="shared" si="12"/>
        <v>0</v>
      </c>
      <c r="AE32" s="119">
        <f t="shared" si="13"/>
        <v>1</v>
      </c>
      <c r="AF32" s="7"/>
      <c r="AG32" s="7"/>
      <c r="AH32" s="7">
        <f t="shared" si="14"/>
        <v>3</v>
      </c>
      <c r="AI32" s="7">
        <f t="shared" si="15"/>
        <v>3</v>
      </c>
      <c r="AJ32" s="7" t="str">
        <f t="shared" si="16"/>
        <v>Correct</v>
      </c>
      <c r="AL32" s="120" t="str">
        <f>IFERROR(VLOOKUP(Table1[RespondentID],'All Data'!$A$3:$CO$999,87,FALSE),"unknown")</f>
        <v>Man</v>
      </c>
      <c r="AM32" s="120">
        <f>IFERROR(VLOOKUP(Table1[RespondentID],'All Data'!$A$3:$CO$999,88,FALSE),"unknown")</f>
        <v>40</v>
      </c>
      <c r="AN32" s="120" t="str">
        <f>IFERROR(VLOOKUP(Table1[RespondentID],'All Data'!$A$3:$CO$999,89,FALSE),"unknown")</f>
        <v>Suffolk</v>
      </c>
      <c r="AO32" s="120" t="str">
        <f>IFERROR(VLOOKUP(Table1[RespondentID],'All Data'!$A$3:$CO$999,90,FALSE),"unknown")</f>
        <v>Kings Park, 11754</v>
      </c>
      <c r="AP32" s="120" t="str">
        <f>IFERROR(VLOOKUP(Table1[RespondentID],'All Data'!$A$3:$CO$999,91,FALSE),"unknown")</f>
        <v>White</v>
      </c>
      <c r="AQ32" s="120" t="str">
        <f>IFERROR(VLOOKUP(Table1[RespondentID],'All Data'!$A$3:$CO$999,92,FALSE),"unknown")</f>
        <v>Hispanic or Latino</v>
      </c>
      <c r="AR32" s="120" t="str">
        <f>IFERROR(VLOOKUP(Table1[RespondentID],'All Data'!$A$3:$CO$999,93,FALSE),"unknown")</f>
        <v>English</v>
      </c>
      <c r="AS32" s="120" t="str">
        <f>IFERROR(VLOOKUP(Table1[RespondentID],'All Data'!$A$3:$CW$999,94,FALSE),"unknown")</f>
        <v>Over $125,000</v>
      </c>
      <c r="AT32" s="120" t="str">
        <f>IFERROR(VLOOKUP(Table1[RespondentID],'All Data'!$A$3:$CW$999,95,FALSE),"unknown")</f>
        <v>Graduate school</v>
      </c>
      <c r="AU32" s="120" t="str">
        <f>IFERROR(VLOOKUP(Table1[RespondentID],'All Data'!$A$3:$CW$999,96,FALSE),"unknown")</f>
        <v>Employed for wages</v>
      </c>
      <c r="AV32" s="120" t="str">
        <f>IFERROR(VLOOKUP(Table1[RespondentID],'All Data'!$A$3:$CW$999,97,FALSE),"unknown")</f>
        <v>Yes</v>
      </c>
      <c r="AW32" s="120">
        <f>IFERROR(VLOOKUP(Table1[RespondentID],'All Data'!$A$3:$CW$999,98,FALSE),"unknown")</f>
        <v>0</v>
      </c>
      <c r="AX32" s="120">
        <f>IFERROR(VLOOKUP(Table1[RespondentID],'All Data'!$A$3:$CW$999,99,FALSE),"unknown")</f>
        <v>0</v>
      </c>
    </row>
    <row r="33" spans="1:50">
      <c r="A33" s="5">
        <v>18025185091</v>
      </c>
      <c r="B33" s="5" t="s">
        <v>16</v>
      </c>
      <c r="C33" s="5" t="s">
        <v>17</v>
      </c>
      <c r="D33" s="5" t="s">
        <v>18</v>
      </c>
      <c r="E33" s="5"/>
      <c r="F33" s="5"/>
      <c r="G33" s="5"/>
      <c r="H33" s="5"/>
      <c r="I33" s="5"/>
      <c r="J33" s="5"/>
      <c r="K33" s="5"/>
      <c r="L33" s="5"/>
      <c r="M33" s="5"/>
      <c r="N33" s="5"/>
      <c r="O33" s="7"/>
      <c r="P33" s="7">
        <f t="shared" si="0"/>
        <v>3</v>
      </c>
      <c r="Q33" s="7">
        <f t="shared" si="1"/>
        <v>1</v>
      </c>
      <c r="R33" s="7"/>
      <c r="S33" s="7">
        <f t="shared" si="17"/>
        <v>1</v>
      </c>
      <c r="T33" s="7">
        <f t="shared" si="2"/>
        <v>1</v>
      </c>
      <c r="U33" s="7">
        <f t="shared" si="3"/>
        <v>1</v>
      </c>
      <c r="V33" s="119">
        <f t="shared" si="4"/>
        <v>0</v>
      </c>
      <c r="W33" s="119">
        <f t="shared" si="5"/>
        <v>0</v>
      </c>
      <c r="X33" s="119">
        <f t="shared" si="6"/>
        <v>0</v>
      </c>
      <c r="Y33" s="119">
        <f t="shared" si="7"/>
        <v>0</v>
      </c>
      <c r="Z33" s="119">
        <f t="shared" si="8"/>
        <v>0</v>
      </c>
      <c r="AA33" s="119">
        <f t="shared" si="9"/>
        <v>0</v>
      </c>
      <c r="AB33" s="119">
        <f t="shared" si="10"/>
        <v>0</v>
      </c>
      <c r="AC33" s="119">
        <f t="shared" si="11"/>
        <v>0</v>
      </c>
      <c r="AD33" s="119">
        <f t="shared" si="12"/>
        <v>0</v>
      </c>
      <c r="AE33" s="119">
        <f t="shared" si="13"/>
        <v>0</v>
      </c>
      <c r="AF33" s="7"/>
      <c r="AG33" s="7"/>
      <c r="AH33" s="7">
        <f t="shared" si="14"/>
        <v>3</v>
      </c>
      <c r="AI33" s="7">
        <f t="shared" si="15"/>
        <v>3</v>
      </c>
      <c r="AJ33" s="7" t="str">
        <f t="shared" si="16"/>
        <v>Correct</v>
      </c>
      <c r="AL33" s="120" t="str">
        <f>IFERROR(VLOOKUP(Table1[RespondentID],'All Data'!$A$3:$CO$999,87,FALSE),"unknown")</f>
        <v>Woman</v>
      </c>
      <c r="AM33" s="120">
        <f>IFERROR(VLOOKUP(Table1[RespondentID],'All Data'!$A$3:$CO$999,88,FALSE),"unknown")</f>
        <v>25</v>
      </c>
      <c r="AN33" s="120" t="str">
        <f>IFERROR(VLOOKUP(Table1[RespondentID],'All Data'!$A$3:$CO$999,89,FALSE),"unknown")</f>
        <v>Suffolk</v>
      </c>
      <c r="AO33" s="120" t="str">
        <f>IFERROR(VLOOKUP(Table1[RespondentID],'All Data'!$A$3:$CO$999,90,FALSE),"unknown")</f>
        <v>Smithtown, 11787</v>
      </c>
      <c r="AP33" s="120" t="str">
        <f>IFERROR(VLOOKUP(Table1[RespondentID],'All Data'!$A$3:$CO$999,91,FALSE),"unknown")</f>
        <v>White</v>
      </c>
      <c r="AQ33" s="120" t="str">
        <f>IFERROR(VLOOKUP(Table1[RespondentID],'All Data'!$A$3:$CO$999,92,FALSE),"unknown")</f>
        <v>Not Hispanic or Latino</v>
      </c>
      <c r="AR33" s="120" t="str">
        <f>IFERROR(VLOOKUP(Table1[RespondentID],'All Data'!$A$3:$CO$999,93,FALSE),"unknown")</f>
        <v>English</v>
      </c>
      <c r="AS33" s="120" t="str">
        <f>IFERROR(VLOOKUP(Table1[RespondentID],'All Data'!$A$3:$CW$999,94,FALSE),"unknown")</f>
        <v>Over $125,000</v>
      </c>
      <c r="AT33" s="120" t="str">
        <f>IFERROR(VLOOKUP(Table1[RespondentID],'All Data'!$A$3:$CW$999,95,FALSE),"unknown")</f>
        <v>Graduate school</v>
      </c>
      <c r="AU33" s="120" t="str">
        <f>IFERROR(VLOOKUP(Table1[RespondentID],'All Data'!$A$3:$CW$999,96,FALSE),"unknown")</f>
        <v>Employed for wages</v>
      </c>
      <c r="AV33" s="120" t="str">
        <f>IFERROR(VLOOKUP(Table1[RespondentID],'All Data'!$A$3:$CW$999,97,FALSE),"unknown")</f>
        <v>Yes</v>
      </c>
      <c r="AW33" s="120">
        <f>IFERROR(VLOOKUP(Table1[RespondentID],'All Data'!$A$3:$CW$999,98,FALSE),"unknown")</f>
        <v>0</v>
      </c>
      <c r="AX33" s="120">
        <f>IFERROR(VLOOKUP(Table1[RespondentID],'All Data'!$A$3:$CW$999,99,FALSE),"unknown")</f>
        <v>0</v>
      </c>
    </row>
    <row r="34" spans="1:50">
      <c r="A34" s="5">
        <v>18025184990</v>
      </c>
      <c r="B34" s="5"/>
      <c r="C34" s="5"/>
      <c r="D34" s="5"/>
      <c r="E34" s="5"/>
      <c r="F34" s="5"/>
      <c r="G34" s="5" t="s">
        <v>21</v>
      </c>
      <c r="H34" s="5"/>
      <c r="I34" s="5"/>
      <c r="J34" s="5"/>
      <c r="K34" s="5"/>
      <c r="L34" s="5" t="s">
        <v>26</v>
      </c>
      <c r="M34" s="5"/>
      <c r="N34" s="5" t="s">
        <v>28</v>
      </c>
      <c r="O34" s="7"/>
      <c r="P34" s="7">
        <f t="shared" si="0"/>
        <v>3</v>
      </c>
      <c r="Q34" s="7">
        <f t="shared" si="1"/>
        <v>1</v>
      </c>
      <c r="R34" s="7"/>
      <c r="S34" s="7">
        <f t="shared" si="17"/>
        <v>0</v>
      </c>
      <c r="T34" s="7">
        <f t="shared" si="2"/>
        <v>0</v>
      </c>
      <c r="U34" s="7">
        <f t="shared" si="3"/>
        <v>0</v>
      </c>
      <c r="V34" s="119">
        <f t="shared" si="4"/>
        <v>0</v>
      </c>
      <c r="W34" s="119">
        <f t="shared" si="5"/>
        <v>0</v>
      </c>
      <c r="X34" s="119">
        <f t="shared" si="6"/>
        <v>1</v>
      </c>
      <c r="Y34" s="119">
        <f t="shared" si="7"/>
        <v>0</v>
      </c>
      <c r="Z34" s="119">
        <f t="shared" si="8"/>
        <v>0</v>
      </c>
      <c r="AA34" s="119">
        <f t="shared" si="9"/>
        <v>0</v>
      </c>
      <c r="AB34" s="119">
        <f t="shared" si="10"/>
        <v>0</v>
      </c>
      <c r="AC34" s="119">
        <f t="shared" si="11"/>
        <v>1</v>
      </c>
      <c r="AD34" s="119">
        <f t="shared" si="12"/>
        <v>0</v>
      </c>
      <c r="AE34" s="119">
        <f t="shared" si="13"/>
        <v>1</v>
      </c>
      <c r="AF34" s="7"/>
      <c r="AG34" s="7"/>
      <c r="AH34" s="7">
        <f t="shared" si="14"/>
        <v>3</v>
      </c>
      <c r="AI34" s="7">
        <f t="shared" si="15"/>
        <v>3</v>
      </c>
      <c r="AJ34" s="7" t="str">
        <f t="shared" si="16"/>
        <v>Correct</v>
      </c>
      <c r="AL34" s="120" t="str">
        <f>IFERROR(VLOOKUP(Table1[RespondentID],'All Data'!$A$3:$CO$999,87,FALSE),"unknown")</f>
        <v>Woman</v>
      </c>
      <c r="AM34" s="120">
        <f>IFERROR(VLOOKUP(Table1[RespondentID],'All Data'!$A$3:$CO$999,88,FALSE),"unknown")</f>
        <v>26</v>
      </c>
      <c r="AN34" s="120" t="str">
        <f>IFERROR(VLOOKUP(Table1[RespondentID],'All Data'!$A$3:$CO$999,89,FALSE),"unknown")</f>
        <v>Suffolk</v>
      </c>
      <c r="AO34" s="120" t="str">
        <f>IFERROR(VLOOKUP(Table1[RespondentID],'All Data'!$A$3:$CO$999,90,FALSE),"unknown")</f>
        <v>Saint James, 11780</v>
      </c>
      <c r="AP34" s="120" t="str">
        <f>IFERROR(VLOOKUP(Table1[RespondentID],'All Data'!$A$3:$CO$999,91,FALSE),"unknown")</f>
        <v>White</v>
      </c>
      <c r="AQ34" s="120" t="str">
        <f>IFERROR(VLOOKUP(Table1[RespondentID],'All Data'!$A$3:$CO$999,92,FALSE),"unknown")</f>
        <v>Not Hispanic or Latino</v>
      </c>
      <c r="AR34" s="120" t="str">
        <f>IFERROR(VLOOKUP(Table1[RespondentID],'All Data'!$A$3:$CO$999,93,FALSE),"unknown")</f>
        <v>English</v>
      </c>
      <c r="AS34" s="120" t="str">
        <f>IFERROR(VLOOKUP(Table1[RespondentID],'All Data'!$A$3:$CW$999,94,FALSE),"unknown")</f>
        <v>$75,000 to $125,000</v>
      </c>
      <c r="AT34" s="120" t="str">
        <f>IFERROR(VLOOKUP(Table1[RespondentID],'All Data'!$A$3:$CW$999,95,FALSE),"unknown")</f>
        <v>College graduate</v>
      </c>
      <c r="AU34" s="120" t="str">
        <f>IFERROR(VLOOKUP(Table1[RespondentID],'All Data'!$A$3:$CW$999,96,FALSE),"unknown")</f>
        <v>Employed for wages</v>
      </c>
      <c r="AV34" s="120" t="str">
        <f>IFERROR(VLOOKUP(Table1[RespondentID],'All Data'!$A$3:$CW$999,97,FALSE),"unknown")</f>
        <v>Yes</v>
      </c>
      <c r="AW34" s="120">
        <f>IFERROR(VLOOKUP(Table1[RespondentID],'All Data'!$A$3:$CW$999,98,FALSE),"unknown")</f>
        <v>0</v>
      </c>
      <c r="AX34" s="120">
        <f>IFERROR(VLOOKUP(Table1[RespondentID],'All Data'!$A$3:$CW$999,99,FALSE),"unknown")</f>
        <v>0</v>
      </c>
    </row>
    <row r="35" spans="1:50">
      <c r="A35" s="5">
        <v>18025184829</v>
      </c>
      <c r="B35" s="5"/>
      <c r="C35" s="5"/>
      <c r="D35" s="5" t="s">
        <v>18</v>
      </c>
      <c r="E35" s="5"/>
      <c r="F35" s="5"/>
      <c r="G35" s="5" t="s">
        <v>21</v>
      </c>
      <c r="H35" s="5"/>
      <c r="I35" s="5"/>
      <c r="J35" s="5"/>
      <c r="K35" s="5" t="s">
        <v>25</v>
      </c>
      <c r="L35" s="5"/>
      <c r="M35" s="5"/>
      <c r="N35" s="5"/>
      <c r="O35" s="7"/>
      <c r="P35" s="7">
        <f t="shared" si="0"/>
        <v>3</v>
      </c>
      <c r="Q35" s="7">
        <f t="shared" si="1"/>
        <v>1</v>
      </c>
      <c r="R35" s="7"/>
      <c r="S35" s="7">
        <f t="shared" si="17"/>
        <v>0</v>
      </c>
      <c r="T35" s="7">
        <f t="shared" si="2"/>
        <v>0</v>
      </c>
      <c r="U35" s="7">
        <f t="shared" si="3"/>
        <v>1</v>
      </c>
      <c r="V35" s="119">
        <f t="shared" si="4"/>
        <v>0</v>
      </c>
      <c r="W35" s="119">
        <f t="shared" si="5"/>
        <v>0</v>
      </c>
      <c r="X35" s="119">
        <f t="shared" si="6"/>
        <v>1</v>
      </c>
      <c r="Y35" s="119">
        <f t="shared" si="7"/>
        <v>0</v>
      </c>
      <c r="Z35" s="119">
        <f t="shared" si="8"/>
        <v>0</v>
      </c>
      <c r="AA35" s="119">
        <f t="shared" si="9"/>
        <v>0</v>
      </c>
      <c r="AB35" s="119">
        <f t="shared" si="10"/>
        <v>1</v>
      </c>
      <c r="AC35" s="119">
        <f t="shared" si="11"/>
        <v>0</v>
      </c>
      <c r="AD35" s="119">
        <f t="shared" si="12"/>
        <v>0</v>
      </c>
      <c r="AE35" s="119">
        <f t="shared" si="13"/>
        <v>0</v>
      </c>
      <c r="AF35" s="7"/>
      <c r="AG35" s="7"/>
      <c r="AH35" s="7">
        <f t="shared" si="14"/>
        <v>3</v>
      </c>
      <c r="AI35" s="7">
        <f t="shared" si="15"/>
        <v>3</v>
      </c>
      <c r="AJ35" s="7" t="str">
        <f t="shared" si="16"/>
        <v>Correct</v>
      </c>
      <c r="AL35" s="120" t="str">
        <f>IFERROR(VLOOKUP(Table1[RespondentID],'All Data'!$A$3:$CO$999,87,FALSE),"unknown")</f>
        <v>Woman</v>
      </c>
      <c r="AM35" s="120">
        <f>IFERROR(VLOOKUP(Table1[RespondentID],'All Data'!$A$3:$CO$999,88,FALSE),"unknown")</f>
        <v>48</v>
      </c>
      <c r="AN35" s="120" t="str">
        <f>IFERROR(VLOOKUP(Table1[RespondentID],'All Data'!$A$3:$CO$999,89,FALSE),"unknown")</f>
        <v>Suffolk</v>
      </c>
      <c r="AO35" s="120" t="str">
        <f>IFERROR(VLOOKUP(Table1[RespondentID],'All Data'!$A$3:$CO$999,90,FALSE),"unknown")</f>
        <v>Smithtown, 11787</v>
      </c>
      <c r="AP35" s="120" t="str">
        <f>IFERROR(VLOOKUP(Table1[RespondentID],'All Data'!$A$3:$CO$999,91,FALSE),"unknown")</f>
        <v>White</v>
      </c>
      <c r="AQ35" s="120" t="str">
        <f>IFERROR(VLOOKUP(Table1[RespondentID],'All Data'!$A$3:$CO$999,92,FALSE),"unknown")</f>
        <v>Not Hispanic or Latino</v>
      </c>
      <c r="AR35" s="120" t="str">
        <f>IFERROR(VLOOKUP(Table1[RespondentID],'All Data'!$A$3:$CO$999,93,FALSE),"unknown")</f>
        <v>English, Italian</v>
      </c>
      <c r="AS35" s="120" t="str">
        <f>IFERROR(VLOOKUP(Table1[RespondentID],'All Data'!$A$3:$CW$999,94,FALSE),"unknown")</f>
        <v>Over $125,000</v>
      </c>
      <c r="AT35" s="120" t="str">
        <f>IFERROR(VLOOKUP(Table1[RespondentID],'All Data'!$A$3:$CW$999,95,FALSE),"unknown")</f>
        <v>Graduate school</v>
      </c>
      <c r="AU35" s="120" t="str">
        <f>IFERROR(VLOOKUP(Table1[RespondentID],'All Data'!$A$3:$CW$999,96,FALSE),"unknown")</f>
        <v>Employed for wages</v>
      </c>
      <c r="AV35" s="120" t="str">
        <f>IFERROR(VLOOKUP(Table1[RespondentID],'All Data'!$A$3:$CW$999,97,FALSE),"unknown")</f>
        <v>Yes</v>
      </c>
      <c r="AW35" s="120">
        <f>IFERROR(VLOOKUP(Table1[RespondentID],'All Data'!$A$3:$CW$999,98,FALSE),"unknown")</f>
        <v>0</v>
      </c>
      <c r="AX35" s="120">
        <f>IFERROR(VLOOKUP(Table1[RespondentID],'All Data'!$A$3:$CW$999,99,FALSE),"unknown")</f>
        <v>0</v>
      </c>
    </row>
    <row r="36" spans="1:50">
      <c r="A36" s="5">
        <v>18025184660</v>
      </c>
      <c r="B36" s="5" t="s">
        <v>16</v>
      </c>
      <c r="C36" s="5" t="s">
        <v>17</v>
      </c>
      <c r="D36" s="5"/>
      <c r="E36" s="5"/>
      <c r="F36" s="5"/>
      <c r="G36" s="5"/>
      <c r="H36" s="5"/>
      <c r="I36" s="5"/>
      <c r="J36" s="5"/>
      <c r="K36" s="5" t="s">
        <v>25</v>
      </c>
      <c r="L36" s="5"/>
      <c r="M36" s="5"/>
      <c r="N36" s="5"/>
      <c r="O36" s="7"/>
      <c r="P36" s="7">
        <f t="shared" si="0"/>
        <v>3</v>
      </c>
      <c r="Q36" s="7">
        <f t="shared" si="1"/>
        <v>1</v>
      </c>
      <c r="R36" s="7"/>
      <c r="S36" s="7">
        <f t="shared" si="17"/>
        <v>1</v>
      </c>
      <c r="T36" s="7">
        <f t="shared" si="2"/>
        <v>1</v>
      </c>
      <c r="U36" s="7">
        <f t="shared" si="3"/>
        <v>0</v>
      </c>
      <c r="V36" s="119">
        <f t="shared" si="4"/>
        <v>0</v>
      </c>
      <c r="W36" s="119">
        <f t="shared" si="5"/>
        <v>0</v>
      </c>
      <c r="X36" s="119">
        <f t="shared" si="6"/>
        <v>0</v>
      </c>
      <c r="Y36" s="119">
        <f t="shared" si="7"/>
        <v>0</v>
      </c>
      <c r="Z36" s="119">
        <f t="shared" si="8"/>
        <v>0</v>
      </c>
      <c r="AA36" s="119">
        <f t="shared" si="9"/>
        <v>0</v>
      </c>
      <c r="AB36" s="119">
        <f t="shared" si="10"/>
        <v>1</v>
      </c>
      <c r="AC36" s="119">
        <f t="shared" si="11"/>
        <v>0</v>
      </c>
      <c r="AD36" s="119">
        <f t="shared" si="12"/>
        <v>0</v>
      </c>
      <c r="AE36" s="119">
        <f t="shared" si="13"/>
        <v>0</v>
      </c>
      <c r="AF36" s="7"/>
      <c r="AG36" s="7"/>
      <c r="AH36" s="7">
        <f t="shared" si="14"/>
        <v>3</v>
      </c>
      <c r="AI36" s="7">
        <f t="shared" si="15"/>
        <v>3</v>
      </c>
      <c r="AJ36" s="7" t="str">
        <f t="shared" si="16"/>
        <v>Correct</v>
      </c>
      <c r="AL36" s="120" t="str">
        <f>IFERROR(VLOOKUP(Table1[RespondentID],'All Data'!$A$3:$CO$999,87,FALSE),"unknown")</f>
        <v>Man</v>
      </c>
      <c r="AM36" s="120">
        <f>IFERROR(VLOOKUP(Table1[RespondentID],'All Data'!$A$3:$CO$999,88,FALSE),"unknown")</f>
        <v>47</v>
      </c>
      <c r="AN36" s="120" t="str">
        <f>IFERROR(VLOOKUP(Table1[RespondentID],'All Data'!$A$3:$CO$999,89,FALSE),"unknown")</f>
        <v>Suffolk</v>
      </c>
      <c r="AO36" s="120" t="str">
        <f>IFERROR(VLOOKUP(Table1[RespondentID],'All Data'!$A$3:$CO$999,90,FALSE),"unknown")</f>
        <v>Saint James, 11780</v>
      </c>
      <c r="AP36" s="120" t="str">
        <f>IFERROR(VLOOKUP(Table1[RespondentID],'All Data'!$A$3:$CO$999,91,FALSE),"unknown")</f>
        <v>White</v>
      </c>
      <c r="AQ36" s="120" t="str">
        <f>IFERROR(VLOOKUP(Table1[RespondentID],'All Data'!$A$3:$CO$999,92,FALSE),"unknown")</f>
        <v>Not Hispanic or Latino</v>
      </c>
      <c r="AR36" s="120" t="str">
        <f>IFERROR(VLOOKUP(Table1[RespondentID],'All Data'!$A$3:$CO$999,93,FALSE),"unknown")</f>
        <v>English</v>
      </c>
      <c r="AS36" s="120" t="str">
        <f>IFERROR(VLOOKUP(Table1[RespondentID],'All Data'!$A$3:$CW$999,94,FALSE),"unknown")</f>
        <v>Over $125,000</v>
      </c>
      <c r="AT36" s="120" t="str">
        <f>IFERROR(VLOOKUP(Table1[RespondentID],'All Data'!$A$3:$CW$999,95,FALSE),"unknown")</f>
        <v>Graduate school</v>
      </c>
      <c r="AU36" s="120" t="str">
        <f>IFERROR(VLOOKUP(Table1[RespondentID],'All Data'!$A$3:$CW$999,96,FALSE),"unknown")</f>
        <v>Employed for wages</v>
      </c>
      <c r="AV36" s="120" t="str">
        <f>IFERROR(VLOOKUP(Table1[RespondentID],'All Data'!$A$3:$CW$999,97,FALSE),"unknown")</f>
        <v>Yes</v>
      </c>
      <c r="AW36" s="120">
        <f>IFERROR(VLOOKUP(Table1[RespondentID],'All Data'!$A$3:$CW$999,98,FALSE),"unknown")</f>
        <v>0</v>
      </c>
      <c r="AX36" s="120">
        <f>IFERROR(VLOOKUP(Table1[RespondentID],'All Data'!$A$3:$CW$999,99,FALSE),"unknown")</f>
        <v>0</v>
      </c>
    </row>
    <row r="37" spans="1:50">
      <c r="A37" s="5">
        <v>18025184519</v>
      </c>
      <c r="B37" s="5"/>
      <c r="C37" s="5"/>
      <c r="D37" s="5"/>
      <c r="E37" s="5"/>
      <c r="F37" s="5"/>
      <c r="G37" s="5"/>
      <c r="H37" s="5"/>
      <c r="I37" s="5"/>
      <c r="J37" s="5" t="s">
        <v>24</v>
      </c>
      <c r="K37" s="5" t="s">
        <v>25</v>
      </c>
      <c r="L37" s="5" t="s">
        <v>26</v>
      </c>
      <c r="M37" s="5"/>
      <c r="N37" s="5"/>
      <c r="O37" s="7"/>
      <c r="P37" s="7">
        <f t="shared" si="0"/>
        <v>3</v>
      </c>
      <c r="Q37" s="7">
        <f t="shared" si="1"/>
        <v>1</v>
      </c>
      <c r="R37" s="7"/>
      <c r="S37" s="7">
        <f t="shared" si="17"/>
        <v>0</v>
      </c>
      <c r="T37" s="7">
        <f t="shared" si="2"/>
        <v>0</v>
      </c>
      <c r="U37" s="7">
        <f t="shared" si="3"/>
        <v>0</v>
      </c>
      <c r="V37" s="119">
        <f t="shared" si="4"/>
        <v>0</v>
      </c>
      <c r="W37" s="119">
        <f t="shared" si="5"/>
        <v>0</v>
      </c>
      <c r="X37" s="119">
        <f t="shared" si="6"/>
        <v>0</v>
      </c>
      <c r="Y37" s="119">
        <f t="shared" si="7"/>
        <v>0</v>
      </c>
      <c r="Z37" s="119">
        <f t="shared" si="8"/>
        <v>0</v>
      </c>
      <c r="AA37" s="119">
        <f t="shared" si="9"/>
        <v>1</v>
      </c>
      <c r="AB37" s="119">
        <f t="shared" si="10"/>
        <v>1</v>
      </c>
      <c r="AC37" s="119">
        <f t="shared" si="11"/>
        <v>1</v>
      </c>
      <c r="AD37" s="119">
        <f t="shared" si="12"/>
        <v>0</v>
      </c>
      <c r="AE37" s="119">
        <f t="shared" si="13"/>
        <v>0</v>
      </c>
      <c r="AF37" s="7"/>
      <c r="AG37" s="7"/>
      <c r="AH37" s="7">
        <f t="shared" si="14"/>
        <v>3</v>
      </c>
      <c r="AI37" s="7">
        <f t="shared" si="15"/>
        <v>3</v>
      </c>
      <c r="AJ37" s="7" t="str">
        <f t="shared" si="16"/>
        <v>Correct</v>
      </c>
      <c r="AL37" s="120" t="str">
        <f>IFERROR(VLOOKUP(Table1[RespondentID],'All Data'!$A$3:$CO$999,87,FALSE),"unknown")</f>
        <v>Woman</v>
      </c>
      <c r="AM37" s="120">
        <f>IFERROR(VLOOKUP(Table1[RespondentID],'All Data'!$A$3:$CO$999,88,FALSE),"unknown")</f>
        <v>39</v>
      </c>
      <c r="AN37" s="120" t="str">
        <f>IFERROR(VLOOKUP(Table1[RespondentID],'All Data'!$A$3:$CO$999,89,FALSE),"unknown")</f>
        <v>Suffolk</v>
      </c>
      <c r="AO37" s="120" t="str">
        <f>IFERROR(VLOOKUP(Table1[RespondentID],'All Data'!$A$3:$CO$999,90,FALSE),"unknown")</f>
        <v>Nesconset, 11767</v>
      </c>
      <c r="AP37" s="120" t="str">
        <f>IFERROR(VLOOKUP(Table1[RespondentID],'All Data'!$A$3:$CO$999,91,FALSE),"unknown")</f>
        <v>White</v>
      </c>
      <c r="AQ37" s="120" t="str">
        <f>IFERROR(VLOOKUP(Table1[RespondentID],'All Data'!$A$3:$CO$999,92,FALSE),"unknown")</f>
        <v>Not Hispanic or Latino</v>
      </c>
      <c r="AR37" s="120" t="str">
        <f>IFERROR(VLOOKUP(Table1[RespondentID],'All Data'!$A$3:$CO$999,93,FALSE),"unknown")</f>
        <v>English</v>
      </c>
      <c r="AS37" s="120" t="str">
        <f>IFERROR(VLOOKUP(Table1[RespondentID],'All Data'!$A$3:$CW$999,94,FALSE),"unknown")</f>
        <v>Over $125,000</v>
      </c>
      <c r="AT37" s="120" t="str">
        <f>IFERROR(VLOOKUP(Table1[RespondentID],'All Data'!$A$3:$CW$999,95,FALSE),"unknown")</f>
        <v>Graduate school</v>
      </c>
      <c r="AU37" s="120" t="str">
        <f>IFERROR(VLOOKUP(Table1[RespondentID],'All Data'!$A$3:$CW$999,96,FALSE),"unknown")</f>
        <v>Employed for wages</v>
      </c>
      <c r="AV37" s="120" t="str">
        <f>IFERROR(VLOOKUP(Table1[RespondentID],'All Data'!$A$3:$CW$999,97,FALSE),"unknown")</f>
        <v>Yes</v>
      </c>
      <c r="AW37" s="120">
        <f>IFERROR(VLOOKUP(Table1[RespondentID],'All Data'!$A$3:$CW$999,98,FALSE),"unknown")</f>
        <v>0</v>
      </c>
      <c r="AX37" s="120">
        <f>IFERROR(VLOOKUP(Table1[RespondentID],'All Data'!$A$3:$CW$999,99,FALSE),"unknown")</f>
        <v>0</v>
      </c>
    </row>
    <row r="38" spans="1:50">
      <c r="A38" s="5">
        <v>18025184369</v>
      </c>
      <c r="B38" s="5"/>
      <c r="C38" s="5" t="s">
        <v>17</v>
      </c>
      <c r="D38" s="5"/>
      <c r="E38" s="5"/>
      <c r="F38" s="5"/>
      <c r="G38" s="5"/>
      <c r="H38" s="5"/>
      <c r="I38" s="5"/>
      <c r="J38" s="5"/>
      <c r="K38" s="5" t="s">
        <v>25</v>
      </c>
      <c r="L38" s="5" t="s">
        <v>26</v>
      </c>
      <c r="M38" s="5"/>
      <c r="N38" s="5"/>
      <c r="O38" s="7"/>
      <c r="P38" s="7">
        <f t="shared" si="0"/>
        <v>3</v>
      </c>
      <c r="Q38" s="7">
        <f t="shared" si="1"/>
        <v>1</v>
      </c>
      <c r="R38" s="7"/>
      <c r="S38" s="7">
        <f t="shared" si="17"/>
        <v>0</v>
      </c>
      <c r="T38" s="7">
        <f t="shared" si="2"/>
        <v>1</v>
      </c>
      <c r="U38" s="7">
        <f t="shared" si="3"/>
        <v>0</v>
      </c>
      <c r="V38" s="119">
        <f t="shared" si="4"/>
        <v>0</v>
      </c>
      <c r="W38" s="119">
        <f t="shared" si="5"/>
        <v>0</v>
      </c>
      <c r="X38" s="119">
        <f t="shared" si="6"/>
        <v>0</v>
      </c>
      <c r="Y38" s="119">
        <f t="shared" si="7"/>
        <v>0</v>
      </c>
      <c r="Z38" s="119">
        <f t="shared" si="8"/>
        <v>0</v>
      </c>
      <c r="AA38" s="119">
        <f t="shared" si="9"/>
        <v>0</v>
      </c>
      <c r="AB38" s="119">
        <f t="shared" si="10"/>
        <v>1</v>
      </c>
      <c r="AC38" s="119">
        <f t="shared" si="11"/>
        <v>1</v>
      </c>
      <c r="AD38" s="119">
        <f t="shared" si="12"/>
        <v>0</v>
      </c>
      <c r="AE38" s="119">
        <f t="shared" si="13"/>
        <v>0</v>
      </c>
      <c r="AF38" s="7"/>
      <c r="AG38" s="7"/>
      <c r="AH38" s="7">
        <f t="shared" si="14"/>
        <v>3</v>
      </c>
      <c r="AI38" s="7">
        <f t="shared" si="15"/>
        <v>3</v>
      </c>
      <c r="AJ38" s="7" t="str">
        <f t="shared" si="16"/>
        <v>Correct</v>
      </c>
      <c r="AL38" s="120" t="str">
        <f>IFERROR(VLOOKUP(Table1[RespondentID],'All Data'!$A$3:$CO$999,87,FALSE),"unknown")</f>
        <v>Woman</v>
      </c>
      <c r="AM38" s="120">
        <f>IFERROR(VLOOKUP(Table1[RespondentID],'All Data'!$A$3:$CO$999,88,FALSE),"unknown")</f>
        <v>52</v>
      </c>
      <c r="AN38" s="120" t="str">
        <f>IFERROR(VLOOKUP(Table1[RespondentID],'All Data'!$A$3:$CO$999,89,FALSE),"unknown")</f>
        <v>Suffolk</v>
      </c>
      <c r="AO38" s="120" t="str">
        <f>IFERROR(VLOOKUP(Table1[RespondentID],'All Data'!$A$3:$CO$999,90,FALSE),"unknown")</f>
        <v>Smithtown, 11787</v>
      </c>
      <c r="AP38" s="120" t="str">
        <f>IFERROR(VLOOKUP(Table1[RespondentID],'All Data'!$A$3:$CO$999,91,FALSE),"unknown")</f>
        <v>White</v>
      </c>
      <c r="AQ38" s="120" t="str">
        <f>IFERROR(VLOOKUP(Table1[RespondentID],'All Data'!$A$3:$CO$999,92,FALSE),"unknown")</f>
        <v>Hispanic or Latino</v>
      </c>
      <c r="AR38" s="120" t="str">
        <f>IFERROR(VLOOKUP(Table1[RespondentID],'All Data'!$A$3:$CO$999,93,FALSE),"unknown")</f>
        <v>English, Spanish</v>
      </c>
      <c r="AS38" s="120" t="str">
        <f>IFERROR(VLOOKUP(Table1[RespondentID],'All Data'!$A$3:$CW$999,94,FALSE),"unknown")</f>
        <v>$75,000 to $125,000</v>
      </c>
      <c r="AT38" s="120" t="str">
        <f>IFERROR(VLOOKUP(Table1[RespondentID],'All Data'!$A$3:$CW$999,95,FALSE),"unknown")</f>
        <v>Graduate school</v>
      </c>
      <c r="AU38" s="120" t="str">
        <f>IFERROR(VLOOKUP(Table1[RespondentID],'All Data'!$A$3:$CW$999,96,FALSE),"unknown")</f>
        <v>Employed for wages</v>
      </c>
      <c r="AV38" s="120" t="str">
        <f>IFERROR(VLOOKUP(Table1[RespondentID],'All Data'!$A$3:$CW$999,97,FALSE),"unknown")</f>
        <v>Yes</v>
      </c>
      <c r="AW38" s="120">
        <f>IFERROR(VLOOKUP(Table1[RespondentID],'All Data'!$A$3:$CW$999,98,FALSE),"unknown")</f>
        <v>0</v>
      </c>
      <c r="AX38" s="120">
        <f>IFERROR(VLOOKUP(Table1[RespondentID],'All Data'!$A$3:$CW$999,99,FALSE),"unknown")</f>
        <v>0</v>
      </c>
    </row>
    <row r="39" spans="1:50">
      <c r="A39" s="5">
        <v>18025184067</v>
      </c>
      <c r="B39" s="5"/>
      <c r="C39" s="5"/>
      <c r="D39" s="5"/>
      <c r="E39" s="5" t="s">
        <v>19</v>
      </c>
      <c r="F39" s="5"/>
      <c r="G39" s="5"/>
      <c r="H39" s="5"/>
      <c r="I39" s="5"/>
      <c r="J39" s="5"/>
      <c r="K39" s="5"/>
      <c r="L39" s="5"/>
      <c r="M39" s="5"/>
      <c r="N39" s="5"/>
      <c r="O39" s="7"/>
      <c r="P39" s="7">
        <f t="shared" si="0"/>
        <v>1</v>
      </c>
      <c r="Q39" s="7">
        <f t="shared" si="1"/>
        <v>3</v>
      </c>
      <c r="R39" s="7"/>
      <c r="S39" s="7">
        <f t="shared" si="17"/>
        <v>0</v>
      </c>
      <c r="T39" s="7">
        <f t="shared" si="2"/>
        <v>0</v>
      </c>
      <c r="U39" s="7">
        <f t="shared" si="3"/>
        <v>0</v>
      </c>
      <c r="V39" s="119">
        <f t="shared" si="4"/>
        <v>1</v>
      </c>
      <c r="W39" s="119">
        <f t="shared" si="5"/>
        <v>0</v>
      </c>
      <c r="X39" s="119">
        <f t="shared" si="6"/>
        <v>0</v>
      </c>
      <c r="Y39" s="119">
        <f t="shared" si="7"/>
        <v>0</v>
      </c>
      <c r="Z39" s="119">
        <f t="shared" si="8"/>
        <v>0</v>
      </c>
      <c r="AA39" s="119">
        <f t="shared" si="9"/>
        <v>0</v>
      </c>
      <c r="AB39" s="119">
        <f t="shared" si="10"/>
        <v>0</v>
      </c>
      <c r="AC39" s="119">
        <f t="shared" si="11"/>
        <v>0</v>
      </c>
      <c r="AD39" s="119">
        <f t="shared" si="12"/>
        <v>0</v>
      </c>
      <c r="AE39" s="119">
        <f t="shared" si="13"/>
        <v>0</v>
      </c>
      <c r="AF39" s="7"/>
      <c r="AG39" s="7"/>
      <c r="AH39" s="7">
        <f t="shared" si="14"/>
        <v>1</v>
      </c>
      <c r="AI39" s="7">
        <f t="shared" si="15"/>
        <v>1</v>
      </c>
      <c r="AJ39" s="7" t="str">
        <f t="shared" si="16"/>
        <v>Correct</v>
      </c>
      <c r="AL39" s="120" t="str">
        <f>IFERROR(VLOOKUP(Table1[RespondentID],'All Data'!$A$3:$CO$999,87,FALSE),"unknown")</f>
        <v>Woman</v>
      </c>
      <c r="AM39" s="120">
        <f>IFERROR(VLOOKUP(Table1[RespondentID],'All Data'!$A$3:$CO$999,88,FALSE),"unknown")</f>
        <v>40</v>
      </c>
      <c r="AN39" s="120" t="str">
        <f>IFERROR(VLOOKUP(Table1[RespondentID],'All Data'!$A$3:$CO$999,89,FALSE),"unknown")</f>
        <v>Suffolk</v>
      </c>
      <c r="AO39" s="120" t="str">
        <f>IFERROR(VLOOKUP(Table1[RespondentID],'All Data'!$A$3:$CO$999,90,FALSE),"unknown")</f>
        <v>Baiting Hollow, 11933</v>
      </c>
      <c r="AP39" s="120" t="str">
        <f>IFERROR(VLOOKUP(Table1[RespondentID],'All Data'!$A$3:$CO$999,91,FALSE),"unknown")</f>
        <v>White</v>
      </c>
      <c r="AQ39" s="120" t="str">
        <f>IFERROR(VLOOKUP(Table1[RespondentID],'All Data'!$A$3:$CO$999,92,FALSE),"unknown")</f>
        <v>Not Hispanic or Latino</v>
      </c>
      <c r="AR39" s="120" t="str">
        <f>IFERROR(VLOOKUP(Table1[RespondentID],'All Data'!$A$3:$CO$999,93,FALSE),"unknown")</f>
        <v>English</v>
      </c>
      <c r="AS39" s="120" t="str">
        <f>IFERROR(VLOOKUP(Table1[RespondentID],'All Data'!$A$3:$CW$999,94,FALSE),"unknown")</f>
        <v>Over $125,000</v>
      </c>
      <c r="AT39" s="120" t="str">
        <f>IFERROR(VLOOKUP(Table1[RespondentID],'All Data'!$A$3:$CW$999,95,FALSE),"unknown")</f>
        <v>Other (please specify)</v>
      </c>
      <c r="AU39" s="120" t="str">
        <f>IFERROR(VLOOKUP(Table1[RespondentID],'All Data'!$A$3:$CW$999,96,FALSE),"unknown")</f>
        <v>Employed for wages</v>
      </c>
      <c r="AV39" s="120" t="str">
        <f>IFERROR(VLOOKUP(Table1[RespondentID],'All Data'!$A$3:$CW$999,97,FALSE),"unknown")</f>
        <v>Yes</v>
      </c>
      <c r="AW39" s="120">
        <f>IFERROR(VLOOKUP(Table1[RespondentID],'All Data'!$A$3:$CW$999,98,FALSE),"unknown")</f>
        <v>0</v>
      </c>
      <c r="AX39" s="120">
        <f>IFERROR(VLOOKUP(Table1[RespondentID],'All Data'!$A$3:$CW$999,99,FALSE),"unknown")</f>
        <v>0</v>
      </c>
    </row>
    <row r="40" spans="1:50">
      <c r="A40" s="5">
        <v>18025183911</v>
      </c>
      <c r="B40" s="5" t="s">
        <v>16</v>
      </c>
      <c r="C40" s="5"/>
      <c r="D40" s="5"/>
      <c r="E40" s="5"/>
      <c r="F40" s="5"/>
      <c r="G40" s="5" t="s">
        <v>21</v>
      </c>
      <c r="H40" s="5"/>
      <c r="I40" s="5"/>
      <c r="J40" s="5"/>
      <c r="K40" s="5"/>
      <c r="L40" s="5" t="s">
        <v>26</v>
      </c>
      <c r="M40" s="5"/>
      <c r="N40" s="5"/>
      <c r="O40" s="7"/>
      <c r="P40" s="7">
        <f t="shared" si="0"/>
        <v>3</v>
      </c>
      <c r="Q40" s="7">
        <f t="shared" si="1"/>
        <v>1</v>
      </c>
      <c r="R40" s="7"/>
      <c r="S40" s="7">
        <f t="shared" si="17"/>
        <v>1</v>
      </c>
      <c r="T40" s="7">
        <f t="shared" si="2"/>
        <v>0</v>
      </c>
      <c r="U40" s="7">
        <f t="shared" si="3"/>
        <v>0</v>
      </c>
      <c r="V40" s="119">
        <f t="shared" si="4"/>
        <v>0</v>
      </c>
      <c r="W40" s="119">
        <f t="shared" si="5"/>
        <v>0</v>
      </c>
      <c r="X40" s="119">
        <f t="shared" si="6"/>
        <v>1</v>
      </c>
      <c r="Y40" s="119">
        <f t="shared" si="7"/>
        <v>0</v>
      </c>
      <c r="Z40" s="119">
        <f t="shared" si="8"/>
        <v>0</v>
      </c>
      <c r="AA40" s="119">
        <f t="shared" si="9"/>
        <v>0</v>
      </c>
      <c r="AB40" s="119">
        <f t="shared" si="10"/>
        <v>0</v>
      </c>
      <c r="AC40" s="119">
        <f t="shared" si="11"/>
        <v>1</v>
      </c>
      <c r="AD40" s="119">
        <f t="shared" si="12"/>
        <v>0</v>
      </c>
      <c r="AE40" s="119">
        <f t="shared" si="13"/>
        <v>0</v>
      </c>
      <c r="AF40" s="7"/>
      <c r="AG40" s="7"/>
      <c r="AH40" s="7">
        <f t="shared" si="14"/>
        <v>3</v>
      </c>
      <c r="AI40" s="7">
        <f t="shared" si="15"/>
        <v>3</v>
      </c>
      <c r="AJ40" s="7" t="str">
        <f t="shared" si="16"/>
        <v>Correct</v>
      </c>
      <c r="AL40" s="120" t="str">
        <f>IFERROR(VLOOKUP(Table1[RespondentID],'All Data'!$A$3:$CO$999,87,FALSE),"unknown")</f>
        <v>Man</v>
      </c>
      <c r="AM40" s="120">
        <f>IFERROR(VLOOKUP(Table1[RespondentID],'All Data'!$A$3:$CO$999,88,FALSE),"unknown")</f>
        <v>46</v>
      </c>
      <c r="AN40" s="120" t="str">
        <f>IFERROR(VLOOKUP(Table1[RespondentID],'All Data'!$A$3:$CO$999,89,FALSE),"unknown")</f>
        <v>Suffolk</v>
      </c>
      <c r="AO40" s="120" t="str">
        <f>IFERROR(VLOOKUP(Table1[RespondentID],'All Data'!$A$3:$CO$999,90,FALSE),"unknown")</f>
        <v>Smithtown, 11787</v>
      </c>
      <c r="AP40" s="120" t="str">
        <f>IFERROR(VLOOKUP(Table1[RespondentID],'All Data'!$A$3:$CO$999,91,FALSE),"unknown")</f>
        <v>White</v>
      </c>
      <c r="AQ40" s="120" t="str">
        <f>IFERROR(VLOOKUP(Table1[RespondentID],'All Data'!$A$3:$CO$999,92,FALSE),"unknown")</f>
        <v>Not Hispanic or Latino</v>
      </c>
      <c r="AR40" s="120" t="str">
        <f>IFERROR(VLOOKUP(Table1[RespondentID],'All Data'!$A$3:$CO$999,93,FALSE),"unknown")</f>
        <v>English</v>
      </c>
      <c r="AS40" s="120" t="str">
        <f>IFERROR(VLOOKUP(Table1[RespondentID],'All Data'!$A$3:$CW$999,94,FALSE),"unknown")</f>
        <v>$75,000 to $125,000</v>
      </c>
      <c r="AT40" s="120" t="str">
        <f>IFERROR(VLOOKUP(Table1[RespondentID],'All Data'!$A$3:$CW$999,95,FALSE),"unknown")</f>
        <v>College graduate</v>
      </c>
      <c r="AU40" s="120" t="str">
        <f>IFERROR(VLOOKUP(Table1[RespondentID],'All Data'!$A$3:$CW$999,96,FALSE),"unknown")</f>
        <v>Employed for wages</v>
      </c>
      <c r="AV40" s="120" t="str">
        <f>IFERROR(VLOOKUP(Table1[RespondentID],'All Data'!$A$3:$CW$999,97,FALSE),"unknown")</f>
        <v>Yes</v>
      </c>
      <c r="AW40" s="120">
        <f>IFERROR(VLOOKUP(Table1[RespondentID],'All Data'!$A$3:$CW$999,98,FALSE),"unknown")</f>
        <v>0</v>
      </c>
      <c r="AX40" s="120">
        <f>IFERROR(VLOOKUP(Table1[RespondentID],'All Data'!$A$3:$CW$999,99,FALSE),"unknown")</f>
        <v>0</v>
      </c>
    </row>
    <row r="41" spans="1:50">
      <c r="A41" s="5">
        <v>18025183737</v>
      </c>
      <c r="B41" s="5"/>
      <c r="C41" s="5"/>
      <c r="D41" s="5"/>
      <c r="E41" s="5" t="s">
        <v>19</v>
      </c>
      <c r="F41" s="5"/>
      <c r="G41" s="5" t="s">
        <v>21</v>
      </c>
      <c r="H41" s="5"/>
      <c r="I41" s="5"/>
      <c r="J41" s="5"/>
      <c r="K41" s="5"/>
      <c r="L41" s="5"/>
      <c r="M41" s="5" t="s">
        <v>27</v>
      </c>
      <c r="N41" s="5"/>
      <c r="O41" s="7"/>
      <c r="P41" s="7">
        <f t="shared" si="0"/>
        <v>3</v>
      </c>
      <c r="Q41" s="7">
        <f t="shared" si="1"/>
        <v>1</v>
      </c>
      <c r="R41" s="7"/>
      <c r="S41" s="7">
        <f t="shared" si="17"/>
        <v>0</v>
      </c>
      <c r="T41" s="7">
        <f t="shared" si="2"/>
        <v>0</v>
      </c>
      <c r="U41" s="7">
        <f t="shared" si="3"/>
        <v>0</v>
      </c>
      <c r="V41" s="119">
        <f t="shared" si="4"/>
        <v>1</v>
      </c>
      <c r="W41" s="119">
        <f t="shared" si="5"/>
        <v>0</v>
      </c>
      <c r="X41" s="119">
        <f t="shared" si="6"/>
        <v>1</v>
      </c>
      <c r="Y41" s="119">
        <f t="shared" si="7"/>
        <v>0</v>
      </c>
      <c r="Z41" s="119">
        <f t="shared" si="8"/>
        <v>0</v>
      </c>
      <c r="AA41" s="119">
        <f t="shared" si="9"/>
        <v>0</v>
      </c>
      <c r="AB41" s="119">
        <f t="shared" si="10"/>
        <v>0</v>
      </c>
      <c r="AC41" s="119">
        <f t="shared" si="11"/>
        <v>0</v>
      </c>
      <c r="AD41" s="119">
        <f t="shared" si="12"/>
        <v>1</v>
      </c>
      <c r="AE41" s="119">
        <f t="shared" si="13"/>
        <v>0</v>
      </c>
      <c r="AF41" s="7"/>
      <c r="AG41" s="7"/>
      <c r="AH41" s="7">
        <f t="shared" si="14"/>
        <v>3</v>
      </c>
      <c r="AI41" s="7">
        <f t="shared" si="15"/>
        <v>3</v>
      </c>
      <c r="AJ41" s="7" t="str">
        <f t="shared" si="16"/>
        <v>Correct</v>
      </c>
      <c r="AL41" s="120" t="str">
        <f>IFERROR(VLOOKUP(Table1[RespondentID],'All Data'!$A$3:$CO$999,87,FALSE),"unknown")</f>
        <v>Woman</v>
      </c>
      <c r="AM41" s="120">
        <f>IFERROR(VLOOKUP(Table1[RespondentID],'All Data'!$A$3:$CO$999,88,FALSE),"unknown")</f>
        <v>39</v>
      </c>
      <c r="AN41" s="120" t="str">
        <f>IFERROR(VLOOKUP(Table1[RespondentID],'All Data'!$A$3:$CO$999,89,FALSE),"unknown")</f>
        <v>Suffolk</v>
      </c>
      <c r="AO41" s="120" t="str">
        <f>IFERROR(VLOOKUP(Table1[RespondentID],'All Data'!$A$3:$CO$999,90,FALSE),"unknown")</f>
        <v>Ronkonkoma, 11779</v>
      </c>
      <c r="AP41" s="120" t="str">
        <f>IFERROR(VLOOKUP(Table1[RespondentID],'All Data'!$A$3:$CO$999,91,FALSE),"unknown")</f>
        <v>Two or more races</v>
      </c>
      <c r="AQ41" s="120" t="str">
        <f>IFERROR(VLOOKUP(Table1[RespondentID],'All Data'!$A$3:$CO$999,92,FALSE),"unknown")</f>
        <v>Hispanic or Latino</v>
      </c>
      <c r="AR41" s="120" t="str">
        <f>IFERROR(VLOOKUP(Table1[RespondentID],'All Data'!$A$3:$CO$999,93,FALSE),"unknown")</f>
        <v>English, Spanish</v>
      </c>
      <c r="AS41" s="120" t="str">
        <f>IFERROR(VLOOKUP(Table1[RespondentID],'All Data'!$A$3:$CW$999,94,FALSE),"unknown")</f>
        <v>$50,000 to $74,999</v>
      </c>
      <c r="AT41" s="120" t="str">
        <f>IFERROR(VLOOKUP(Table1[RespondentID],'All Data'!$A$3:$CW$999,95,FALSE),"unknown")</f>
        <v>Technical school</v>
      </c>
      <c r="AU41" s="120" t="str">
        <f>IFERROR(VLOOKUP(Table1[RespondentID],'All Data'!$A$3:$CW$999,96,FALSE),"unknown")</f>
        <v>Employed for wages</v>
      </c>
      <c r="AV41" s="120" t="str">
        <f>IFERROR(VLOOKUP(Table1[RespondentID],'All Data'!$A$3:$CW$999,97,FALSE),"unknown")</f>
        <v>Yes</v>
      </c>
      <c r="AW41" s="120">
        <f>IFERROR(VLOOKUP(Table1[RespondentID],'All Data'!$A$3:$CW$999,98,FALSE),"unknown")</f>
        <v>0</v>
      </c>
      <c r="AX41" s="120">
        <f>IFERROR(VLOOKUP(Table1[RespondentID],'All Data'!$A$3:$CW$999,99,FALSE),"unknown")</f>
        <v>0</v>
      </c>
    </row>
    <row r="42" spans="1:50">
      <c r="A42" s="5">
        <v>18025183581</v>
      </c>
      <c r="B42" s="5"/>
      <c r="C42" s="5" t="s">
        <v>17</v>
      </c>
      <c r="D42" s="5" t="s">
        <v>18</v>
      </c>
      <c r="E42" s="5" t="s">
        <v>19</v>
      </c>
      <c r="F42" s="5"/>
      <c r="G42" s="5"/>
      <c r="H42" s="5"/>
      <c r="I42" s="5"/>
      <c r="J42" s="5"/>
      <c r="K42" s="5"/>
      <c r="L42" s="5"/>
      <c r="M42" s="5"/>
      <c r="N42" s="5"/>
      <c r="O42" s="7"/>
      <c r="P42" s="7">
        <f t="shared" si="0"/>
        <v>3</v>
      </c>
      <c r="Q42" s="7">
        <f t="shared" si="1"/>
        <v>1</v>
      </c>
      <c r="R42" s="7"/>
      <c r="S42" s="7">
        <f t="shared" si="17"/>
        <v>0</v>
      </c>
      <c r="T42" s="7">
        <f t="shared" si="2"/>
        <v>1</v>
      </c>
      <c r="U42" s="7">
        <f t="shared" si="3"/>
        <v>1</v>
      </c>
      <c r="V42" s="119">
        <f t="shared" si="4"/>
        <v>1</v>
      </c>
      <c r="W42" s="119">
        <f t="shared" si="5"/>
        <v>0</v>
      </c>
      <c r="X42" s="119">
        <f t="shared" si="6"/>
        <v>0</v>
      </c>
      <c r="Y42" s="119">
        <f t="shared" si="7"/>
        <v>0</v>
      </c>
      <c r="Z42" s="119">
        <f t="shared" si="8"/>
        <v>0</v>
      </c>
      <c r="AA42" s="119">
        <f t="shared" si="9"/>
        <v>0</v>
      </c>
      <c r="AB42" s="119">
        <f t="shared" si="10"/>
        <v>0</v>
      </c>
      <c r="AC42" s="119">
        <f t="shared" si="11"/>
        <v>0</v>
      </c>
      <c r="AD42" s="119">
        <f t="shared" si="12"/>
        <v>0</v>
      </c>
      <c r="AE42" s="119">
        <f t="shared" si="13"/>
        <v>0</v>
      </c>
      <c r="AF42" s="7"/>
      <c r="AG42" s="7"/>
      <c r="AH42" s="7">
        <f t="shared" si="14"/>
        <v>3</v>
      </c>
      <c r="AI42" s="7">
        <f t="shared" si="15"/>
        <v>3</v>
      </c>
      <c r="AJ42" s="7" t="str">
        <f t="shared" si="16"/>
        <v>Correct</v>
      </c>
      <c r="AL42" s="120" t="str">
        <f>IFERROR(VLOOKUP(Table1[RespondentID],'All Data'!$A$3:$CO$999,87,FALSE),"unknown")</f>
        <v>Man</v>
      </c>
      <c r="AM42" s="120">
        <f>IFERROR(VLOOKUP(Table1[RespondentID],'All Data'!$A$3:$CO$999,88,FALSE),"unknown")</f>
        <v>56</v>
      </c>
      <c r="AN42" s="120" t="str">
        <f>IFERROR(VLOOKUP(Table1[RespondentID],'All Data'!$A$3:$CO$999,89,FALSE),"unknown")</f>
        <v>Suffolk</v>
      </c>
      <c r="AO42" s="120" t="str">
        <f>IFERROR(VLOOKUP(Table1[RespondentID],'All Data'!$A$3:$CO$999,90,FALSE),"unknown")</f>
        <v>Smithtown, 11787</v>
      </c>
      <c r="AP42" s="120" t="str">
        <f>IFERROR(VLOOKUP(Table1[RespondentID],'All Data'!$A$3:$CO$999,91,FALSE),"unknown")</f>
        <v>White</v>
      </c>
      <c r="AQ42" s="120" t="str">
        <f>IFERROR(VLOOKUP(Table1[RespondentID],'All Data'!$A$3:$CO$999,92,FALSE),"unknown")</f>
        <v>Not Hispanic or Latino</v>
      </c>
      <c r="AR42" s="120" t="str">
        <f>IFERROR(VLOOKUP(Table1[RespondentID],'All Data'!$A$3:$CO$999,93,FALSE),"unknown")</f>
        <v>English</v>
      </c>
      <c r="AS42" s="120" t="str">
        <f>IFERROR(VLOOKUP(Table1[RespondentID],'All Data'!$A$3:$CW$999,94,FALSE),"unknown")</f>
        <v>Over $125,000</v>
      </c>
      <c r="AT42" s="120" t="str">
        <f>IFERROR(VLOOKUP(Table1[RespondentID],'All Data'!$A$3:$CW$999,95,FALSE),"unknown")</f>
        <v>Doctorate</v>
      </c>
      <c r="AU42" s="120" t="str">
        <f>IFERROR(VLOOKUP(Table1[RespondentID],'All Data'!$A$3:$CW$999,96,FALSE),"unknown")</f>
        <v>Employed for wages</v>
      </c>
      <c r="AV42" s="120" t="str">
        <f>IFERROR(VLOOKUP(Table1[RespondentID],'All Data'!$A$3:$CW$999,97,FALSE),"unknown")</f>
        <v>Yes</v>
      </c>
      <c r="AW42" s="120">
        <f>IFERROR(VLOOKUP(Table1[RespondentID],'All Data'!$A$3:$CW$999,98,FALSE),"unknown")</f>
        <v>0</v>
      </c>
      <c r="AX42" s="120">
        <f>IFERROR(VLOOKUP(Table1[RespondentID],'All Data'!$A$3:$CW$999,99,FALSE),"unknown")</f>
        <v>0</v>
      </c>
    </row>
    <row r="43" spans="1:50">
      <c r="A43" s="5">
        <v>18025183430</v>
      </c>
      <c r="B43" s="5"/>
      <c r="C43" s="5"/>
      <c r="D43" s="5"/>
      <c r="E43" s="5"/>
      <c r="F43" s="5"/>
      <c r="G43" s="5"/>
      <c r="H43" s="5"/>
      <c r="I43" s="5"/>
      <c r="J43" s="5"/>
      <c r="K43" s="5" t="s">
        <v>25</v>
      </c>
      <c r="L43" s="5"/>
      <c r="M43" s="5"/>
      <c r="N43" s="5"/>
      <c r="O43" s="7"/>
      <c r="P43" s="7">
        <f t="shared" si="0"/>
        <v>1</v>
      </c>
      <c r="Q43" s="7">
        <f t="shared" si="1"/>
        <v>3</v>
      </c>
      <c r="R43" s="7"/>
      <c r="S43" s="7">
        <f t="shared" si="17"/>
        <v>0</v>
      </c>
      <c r="T43" s="7">
        <f t="shared" si="2"/>
        <v>0</v>
      </c>
      <c r="U43" s="7">
        <f t="shared" si="3"/>
        <v>0</v>
      </c>
      <c r="V43" s="119">
        <f t="shared" si="4"/>
        <v>0</v>
      </c>
      <c r="W43" s="119">
        <f t="shared" si="5"/>
        <v>0</v>
      </c>
      <c r="X43" s="119">
        <f t="shared" si="6"/>
        <v>0</v>
      </c>
      <c r="Y43" s="119">
        <f t="shared" si="7"/>
        <v>0</v>
      </c>
      <c r="Z43" s="119">
        <f t="shared" si="8"/>
        <v>0</v>
      </c>
      <c r="AA43" s="119">
        <f t="shared" si="9"/>
        <v>0</v>
      </c>
      <c r="AB43" s="119">
        <f t="shared" si="10"/>
        <v>1</v>
      </c>
      <c r="AC43" s="119">
        <f t="shared" si="11"/>
        <v>0</v>
      </c>
      <c r="AD43" s="119">
        <f t="shared" si="12"/>
        <v>0</v>
      </c>
      <c r="AE43" s="119">
        <f t="shared" si="13"/>
        <v>0</v>
      </c>
      <c r="AF43" s="7"/>
      <c r="AG43" s="7"/>
      <c r="AH43" s="7">
        <f t="shared" si="14"/>
        <v>1</v>
      </c>
      <c r="AI43" s="7">
        <f t="shared" si="15"/>
        <v>1</v>
      </c>
      <c r="AJ43" s="7" t="str">
        <f t="shared" si="16"/>
        <v>Correct</v>
      </c>
      <c r="AL43" s="120" t="str">
        <f>IFERROR(VLOOKUP(Table1[RespondentID],'All Data'!$A$3:$CO$999,87,FALSE),"unknown")</f>
        <v>Woman</v>
      </c>
      <c r="AM43" s="120">
        <f>IFERROR(VLOOKUP(Table1[RespondentID],'All Data'!$A$3:$CO$999,88,FALSE),"unknown")</f>
        <v>22</v>
      </c>
      <c r="AN43" s="120" t="str">
        <f>IFERROR(VLOOKUP(Table1[RespondentID],'All Data'!$A$3:$CO$999,89,FALSE),"unknown")</f>
        <v>Suffolk</v>
      </c>
      <c r="AO43" s="120" t="str">
        <f>IFERROR(VLOOKUP(Table1[RespondentID],'All Data'!$A$3:$CO$999,90,FALSE),"unknown")</f>
        <v>Brentwood, 11717</v>
      </c>
      <c r="AP43" s="120" t="str">
        <f>IFERROR(VLOOKUP(Table1[RespondentID],'All Data'!$A$3:$CO$999,91,FALSE),"unknown")</f>
        <v>Two or more races</v>
      </c>
      <c r="AQ43" s="120">
        <f>IFERROR(VLOOKUP(Table1[RespondentID],'All Data'!$A$3:$CO$999,92,FALSE),"unknown")</f>
        <v>0</v>
      </c>
      <c r="AR43" s="120" t="str">
        <f>IFERROR(VLOOKUP(Table1[RespondentID],'All Data'!$A$3:$CO$999,93,FALSE),"unknown")</f>
        <v>English</v>
      </c>
      <c r="AS43" s="120" t="str">
        <f>IFERROR(VLOOKUP(Table1[RespondentID],'All Data'!$A$3:$CW$999,94,FALSE),"unknown")</f>
        <v>$35,000 to $49,999</v>
      </c>
      <c r="AT43" s="120" t="str">
        <f>IFERROR(VLOOKUP(Table1[RespondentID],'All Data'!$A$3:$CW$999,95,FALSE),"unknown")</f>
        <v>College graduate</v>
      </c>
      <c r="AU43" s="120" t="str">
        <f>IFERROR(VLOOKUP(Table1[RespondentID],'All Data'!$A$3:$CW$999,96,FALSE),"unknown")</f>
        <v>Employed for wages</v>
      </c>
      <c r="AV43" s="120" t="str">
        <f>IFERROR(VLOOKUP(Table1[RespondentID],'All Data'!$A$3:$CW$999,97,FALSE),"unknown")</f>
        <v>Yes</v>
      </c>
      <c r="AW43" s="120" t="str">
        <f>IFERROR(VLOOKUP(Table1[RespondentID],'All Data'!$A$3:$CW$999,98,FALSE),"unknown")</f>
        <v>Private/Commercial</v>
      </c>
      <c r="AX43" s="120">
        <f>IFERROR(VLOOKUP(Table1[RespondentID],'All Data'!$A$3:$CW$999,99,FALSE),"unknown")</f>
        <v>0</v>
      </c>
    </row>
    <row r="44" spans="1:50">
      <c r="A44" s="5">
        <v>18025183271</v>
      </c>
      <c r="B44" s="5"/>
      <c r="C44" s="5"/>
      <c r="D44" s="5"/>
      <c r="E44" s="5"/>
      <c r="F44" s="5"/>
      <c r="G44" s="5"/>
      <c r="H44" s="5"/>
      <c r="I44" s="5"/>
      <c r="J44" s="5"/>
      <c r="K44" s="5" t="s">
        <v>25</v>
      </c>
      <c r="L44" s="5"/>
      <c r="M44" s="5"/>
      <c r="N44" s="5"/>
      <c r="O44" s="7"/>
      <c r="P44" s="7">
        <f t="shared" si="0"/>
        <v>1</v>
      </c>
      <c r="Q44" s="7">
        <f t="shared" si="1"/>
        <v>3</v>
      </c>
      <c r="R44" s="7"/>
      <c r="S44" s="7">
        <f t="shared" si="17"/>
        <v>0</v>
      </c>
      <c r="T44" s="7">
        <f t="shared" si="2"/>
        <v>0</v>
      </c>
      <c r="U44" s="7">
        <f t="shared" si="3"/>
        <v>0</v>
      </c>
      <c r="V44" s="119">
        <f t="shared" si="4"/>
        <v>0</v>
      </c>
      <c r="W44" s="119">
        <f t="shared" si="5"/>
        <v>0</v>
      </c>
      <c r="X44" s="119">
        <f t="shared" si="6"/>
        <v>0</v>
      </c>
      <c r="Y44" s="119">
        <f t="shared" si="7"/>
        <v>0</v>
      </c>
      <c r="Z44" s="119">
        <f t="shared" si="8"/>
        <v>0</v>
      </c>
      <c r="AA44" s="119">
        <f t="shared" si="9"/>
        <v>0</v>
      </c>
      <c r="AB44" s="119">
        <f t="shared" si="10"/>
        <v>1</v>
      </c>
      <c r="AC44" s="119">
        <f t="shared" si="11"/>
        <v>0</v>
      </c>
      <c r="AD44" s="119">
        <f t="shared" si="12"/>
        <v>0</v>
      </c>
      <c r="AE44" s="119">
        <f t="shared" si="13"/>
        <v>0</v>
      </c>
      <c r="AF44" s="7"/>
      <c r="AG44" s="7"/>
      <c r="AH44" s="7">
        <f t="shared" si="14"/>
        <v>1</v>
      </c>
      <c r="AI44" s="7">
        <f t="shared" si="15"/>
        <v>1</v>
      </c>
      <c r="AJ44" s="7" t="str">
        <f t="shared" si="16"/>
        <v>Correct</v>
      </c>
      <c r="AL44" s="120" t="str">
        <f>IFERROR(VLOOKUP(Table1[RespondentID],'All Data'!$A$3:$CO$999,87,FALSE),"unknown")</f>
        <v>Woman</v>
      </c>
      <c r="AM44" s="120">
        <f>IFERROR(VLOOKUP(Table1[RespondentID],'All Data'!$A$3:$CO$999,88,FALSE),"unknown")</f>
        <v>28</v>
      </c>
      <c r="AN44" s="120" t="str">
        <f>IFERROR(VLOOKUP(Table1[RespondentID],'All Data'!$A$3:$CO$999,89,FALSE),"unknown")</f>
        <v>Suffolk</v>
      </c>
      <c r="AO44" s="120" t="str">
        <f>IFERROR(VLOOKUP(Table1[RespondentID],'All Data'!$A$3:$CO$999,90,FALSE),"unknown")</f>
        <v>Hauppauge, 11788</v>
      </c>
      <c r="AP44" s="120" t="str">
        <f>IFERROR(VLOOKUP(Table1[RespondentID],'All Data'!$A$3:$CO$999,91,FALSE),"unknown")</f>
        <v>White</v>
      </c>
      <c r="AQ44" s="120">
        <f>IFERROR(VLOOKUP(Table1[RespondentID],'All Data'!$A$3:$CO$999,92,FALSE),"unknown")</f>
        <v>0</v>
      </c>
      <c r="AR44" s="120" t="str">
        <f>IFERROR(VLOOKUP(Table1[RespondentID],'All Data'!$A$3:$CO$999,93,FALSE),"unknown")</f>
        <v>English</v>
      </c>
      <c r="AS44" s="120" t="str">
        <f>IFERROR(VLOOKUP(Table1[RespondentID],'All Data'!$A$3:$CW$999,94,FALSE),"unknown")</f>
        <v>$50,000 to $74,999</v>
      </c>
      <c r="AT44" s="120" t="str">
        <f>IFERROR(VLOOKUP(Table1[RespondentID],'All Data'!$A$3:$CW$999,95,FALSE),"unknown")</f>
        <v>College graduate</v>
      </c>
      <c r="AU44" s="120" t="str">
        <f>IFERROR(VLOOKUP(Table1[RespondentID],'All Data'!$A$3:$CW$999,96,FALSE),"unknown")</f>
        <v>Self-employed</v>
      </c>
      <c r="AV44" s="120" t="str">
        <f>IFERROR(VLOOKUP(Table1[RespondentID],'All Data'!$A$3:$CW$999,97,FALSE),"unknown")</f>
        <v>Yes</v>
      </c>
      <c r="AW44" s="120" t="str">
        <f>IFERROR(VLOOKUP(Table1[RespondentID],'All Data'!$A$3:$CW$999,98,FALSE),"unknown")</f>
        <v>Private/Commercial</v>
      </c>
      <c r="AX44" s="120">
        <f>IFERROR(VLOOKUP(Table1[RespondentID],'All Data'!$A$3:$CW$999,99,FALSE),"unknown")</f>
        <v>0</v>
      </c>
    </row>
    <row r="45" spans="1:50">
      <c r="A45" s="5">
        <v>18025183125</v>
      </c>
      <c r="B45" s="5"/>
      <c r="C45" s="5"/>
      <c r="D45" s="5"/>
      <c r="E45" s="5"/>
      <c r="F45" s="5"/>
      <c r="G45" s="5"/>
      <c r="H45" s="5" t="s">
        <v>22</v>
      </c>
      <c r="I45" s="5"/>
      <c r="J45" s="5"/>
      <c r="K45" s="5"/>
      <c r="L45" s="5"/>
      <c r="M45" s="5"/>
      <c r="N45" s="5"/>
      <c r="O45" s="7"/>
      <c r="P45" s="7">
        <f t="shared" si="0"/>
        <v>1</v>
      </c>
      <c r="Q45" s="7">
        <f t="shared" si="1"/>
        <v>3</v>
      </c>
      <c r="R45" s="7"/>
      <c r="S45" s="7">
        <f t="shared" si="17"/>
        <v>0</v>
      </c>
      <c r="T45" s="7">
        <f t="shared" si="2"/>
        <v>0</v>
      </c>
      <c r="U45" s="7">
        <f t="shared" si="3"/>
        <v>0</v>
      </c>
      <c r="V45" s="119">
        <f t="shared" si="4"/>
        <v>0</v>
      </c>
      <c r="W45" s="119">
        <f t="shared" si="5"/>
        <v>0</v>
      </c>
      <c r="X45" s="119">
        <f t="shared" si="6"/>
        <v>0</v>
      </c>
      <c r="Y45" s="119">
        <f t="shared" si="7"/>
        <v>1</v>
      </c>
      <c r="Z45" s="119">
        <f t="shared" si="8"/>
        <v>0</v>
      </c>
      <c r="AA45" s="119">
        <f t="shared" si="9"/>
        <v>0</v>
      </c>
      <c r="AB45" s="119">
        <f t="shared" si="10"/>
        <v>0</v>
      </c>
      <c r="AC45" s="119">
        <f t="shared" si="11"/>
        <v>0</v>
      </c>
      <c r="AD45" s="119">
        <f t="shared" si="12"/>
        <v>0</v>
      </c>
      <c r="AE45" s="119">
        <f t="shared" si="13"/>
        <v>0</v>
      </c>
      <c r="AF45" s="7"/>
      <c r="AG45" s="7"/>
      <c r="AH45" s="7">
        <f t="shared" si="14"/>
        <v>1</v>
      </c>
      <c r="AI45" s="7">
        <f t="shared" si="15"/>
        <v>1</v>
      </c>
      <c r="AJ45" s="7" t="str">
        <f t="shared" si="16"/>
        <v>Correct</v>
      </c>
      <c r="AL45" s="120" t="str">
        <f>IFERROR(VLOOKUP(Table1[RespondentID],'All Data'!$A$3:$CO$999,87,FALSE),"unknown")</f>
        <v>Man</v>
      </c>
      <c r="AM45" s="120">
        <f>IFERROR(VLOOKUP(Table1[RespondentID],'All Data'!$A$3:$CO$999,88,FALSE),"unknown")</f>
        <v>28</v>
      </c>
      <c r="AN45" s="120" t="str">
        <f>IFERROR(VLOOKUP(Table1[RespondentID],'All Data'!$A$3:$CO$999,89,FALSE),"unknown")</f>
        <v>Suffolk</v>
      </c>
      <c r="AO45" s="120" t="str">
        <f>IFERROR(VLOOKUP(Table1[RespondentID],'All Data'!$A$3:$CO$999,90,FALSE),"unknown")</f>
        <v>Greenlawn, 11740</v>
      </c>
      <c r="AP45" s="120" t="str">
        <f>IFERROR(VLOOKUP(Table1[RespondentID],'All Data'!$A$3:$CO$999,91,FALSE),"unknown")</f>
        <v>White</v>
      </c>
      <c r="AQ45" s="120" t="str">
        <f>IFERROR(VLOOKUP(Table1[RespondentID],'All Data'!$A$3:$CO$999,92,FALSE),"unknown")</f>
        <v>Not Hispanic or Latino</v>
      </c>
      <c r="AR45" s="120" t="str">
        <f>IFERROR(VLOOKUP(Table1[RespondentID],'All Data'!$A$3:$CO$999,93,FALSE),"unknown")</f>
        <v>English</v>
      </c>
      <c r="AS45" s="120" t="str">
        <f>IFERROR(VLOOKUP(Table1[RespondentID],'All Data'!$A$3:$CW$999,94,FALSE),"unknown")</f>
        <v>$75,000 to $125,000</v>
      </c>
      <c r="AT45" s="120" t="str">
        <f>IFERROR(VLOOKUP(Table1[RespondentID],'All Data'!$A$3:$CW$999,95,FALSE),"unknown")</f>
        <v>Some college</v>
      </c>
      <c r="AU45" s="120" t="str">
        <f>IFERROR(VLOOKUP(Table1[RespondentID],'All Data'!$A$3:$CW$999,96,FALSE),"unknown")</f>
        <v>Out of work and looking for work</v>
      </c>
      <c r="AV45" s="120">
        <f>IFERROR(VLOOKUP(Table1[RespondentID],'All Data'!$A$3:$CW$999,97,FALSE),"unknown")</f>
        <v>0</v>
      </c>
      <c r="AW45" s="120">
        <f>IFERROR(VLOOKUP(Table1[RespondentID],'All Data'!$A$3:$CW$999,98,FALSE),"unknown")</f>
        <v>0</v>
      </c>
      <c r="AX45" s="120">
        <f>IFERROR(VLOOKUP(Table1[RespondentID],'All Data'!$A$3:$CW$999,99,FALSE),"unknown")</f>
        <v>0</v>
      </c>
    </row>
    <row r="46" spans="1:50">
      <c r="A46" s="5">
        <v>18025182993</v>
      </c>
      <c r="B46" s="5"/>
      <c r="C46" s="5"/>
      <c r="D46" s="5"/>
      <c r="E46" s="5" t="s">
        <v>19</v>
      </c>
      <c r="F46" s="5"/>
      <c r="G46" s="5"/>
      <c r="H46" s="5"/>
      <c r="I46" s="5"/>
      <c r="J46" s="5"/>
      <c r="K46" s="5" t="s">
        <v>25</v>
      </c>
      <c r="L46" s="5" t="s">
        <v>26</v>
      </c>
      <c r="M46" s="5"/>
      <c r="N46" s="5"/>
      <c r="O46" s="7"/>
      <c r="P46" s="7">
        <f t="shared" si="0"/>
        <v>3</v>
      </c>
      <c r="Q46" s="7">
        <f t="shared" si="1"/>
        <v>1</v>
      </c>
      <c r="R46" s="7"/>
      <c r="S46" s="7">
        <f t="shared" si="17"/>
        <v>0</v>
      </c>
      <c r="T46" s="7">
        <f t="shared" si="2"/>
        <v>0</v>
      </c>
      <c r="U46" s="7">
        <f t="shared" si="3"/>
        <v>0</v>
      </c>
      <c r="V46" s="119">
        <f t="shared" si="4"/>
        <v>1</v>
      </c>
      <c r="W46" s="119">
        <f t="shared" si="5"/>
        <v>0</v>
      </c>
      <c r="X46" s="119">
        <f t="shared" si="6"/>
        <v>0</v>
      </c>
      <c r="Y46" s="119">
        <f t="shared" si="7"/>
        <v>0</v>
      </c>
      <c r="Z46" s="119">
        <f t="shared" si="8"/>
        <v>0</v>
      </c>
      <c r="AA46" s="119">
        <f t="shared" si="9"/>
        <v>0</v>
      </c>
      <c r="AB46" s="119">
        <f t="shared" si="10"/>
        <v>1</v>
      </c>
      <c r="AC46" s="119">
        <f t="shared" si="11"/>
        <v>1</v>
      </c>
      <c r="AD46" s="119">
        <f t="shared" si="12"/>
        <v>0</v>
      </c>
      <c r="AE46" s="119">
        <f t="shared" si="13"/>
        <v>0</v>
      </c>
      <c r="AF46" s="7"/>
      <c r="AG46" s="7"/>
      <c r="AH46" s="7">
        <f t="shared" si="14"/>
        <v>3</v>
      </c>
      <c r="AI46" s="7">
        <f t="shared" si="15"/>
        <v>3</v>
      </c>
      <c r="AJ46" s="7" t="str">
        <f t="shared" si="16"/>
        <v>Correct</v>
      </c>
      <c r="AL46" s="120" t="str">
        <f>IFERROR(VLOOKUP(Table1[RespondentID],'All Data'!$A$3:$CO$999,87,FALSE),"unknown")</f>
        <v>Man</v>
      </c>
      <c r="AM46" s="120">
        <f>IFERROR(VLOOKUP(Table1[RespondentID],'All Data'!$A$3:$CO$999,88,FALSE),"unknown")</f>
        <v>60</v>
      </c>
      <c r="AN46" s="120" t="str">
        <f>IFERROR(VLOOKUP(Table1[RespondentID],'All Data'!$A$3:$CO$999,89,FALSE),"unknown")</f>
        <v>Suffolk</v>
      </c>
      <c r="AO46" s="120" t="str">
        <f>IFERROR(VLOOKUP(Table1[RespondentID],'All Data'!$A$3:$CO$999,90,FALSE),"unknown")</f>
        <v>Greenlawn, 11740</v>
      </c>
      <c r="AP46" s="120" t="str">
        <f>IFERROR(VLOOKUP(Table1[RespondentID],'All Data'!$A$3:$CO$999,91,FALSE),"unknown")</f>
        <v>Two or more races</v>
      </c>
      <c r="AQ46" s="120" t="str">
        <f>IFERROR(VLOOKUP(Table1[RespondentID],'All Data'!$A$3:$CO$999,92,FALSE),"unknown")</f>
        <v>Hispanic or Latino</v>
      </c>
      <c r="AR46" s="120" t="str">
        <f>IFERROR(VLOOKUP(Table1[RespondentID],'All Data'!$A$3:$CO$999,93,FALSE),"unknown")</f>
        <v>English</v>
      </c>
      <c r="AS46" s="120" t="str">
        <f>IFERROR(VLOOKUP(Table1[RespondentID],'All Data'!$A$3:$CW$999,94,FALSE),"unknown")</f>
        <v>Over $125,000</v>
      </c>
      <c r="AT46" s="120" t="str">
        <f>IFERROR(VLOOKUP(Table1[RespondentID],'All Data'!$A$3:$CW$999,95,FALSE),"unknown")</f>
        <v>Graduate school</v>
      </c>
      <c r="AU46" s="120" t="str">
        <f>IFERROR(VLOOKUP(Table1[RespondentID],'All Data'!$A$3:$CW$999,96,FALSE),"unknown")</f>
        <v>Retired</v>
      </c>
      <c r="AV46" s="120" t="str">
        <f>IFERROR(VLOOKUP(Table1[RespondentID],'All Data'!$A$3:$CW$999,97,FALSE),"unknown")</f>
        <v>Yes</v>
      </c>
      <c r="AW46" s="120" t="str">
        <f>IFERROR(VLOOKUP(Table1[RespondentID],'All Data'!$A$3:$CW$999,98,FALSE),"unknown")</f>
        <v>Private/Commercial</v>
      </c>
      <c r="AX46" s="120">
        <f>IFERROR(VLOOKUP(Table1[RespondentID],'All Data'!$A$3:$CW$999,99,FALSE),"unknown")</f>
        <v>0</v>
      </c>
    </row>
    <row r="47" spans="1:50">
      <c r="A47" s="5">
        <v>18025182885</v>
      </c>
      <c r="B47" s="5"/>
      <c r="C47" s="5"/>
      <c r="D47" s="5"/>
      <c r="E47" s="5"/>
      <c r="F47" s="5"/>
      <c r="G47" s="5"/>
      <c r="H47" s="5"/>
      <c r="I47" s="5" t="s">
        <v>23</v>
      </c>
      <c r="J47" s="5"/>
      <c r="K47" s="5" t="s">
        <v>25</v>
      </c>
      <c r="L47" s="5" t="s">
        <v>26</v>
      </c>
      <c r="M47" s="5"/>
      <c r="N47" s="5"/>
      <c r="O47" s="7"/>
      <c r="P47" s="7">
        <f t="shared" si="0"/>
        <v>3</v>
      </c>
      <c r="Q47" s="7">
        <f t="shared" si="1"/>
        <v>1</v>
      </c>
      <c r="R47" s="7"/>
      <c r="S47" s="7">
        <f t="shared" si="17"/>
        <v>0</v>
      </c>
      <c r="T47" s="7">
        <f t="shared" si="2"/>
        <v>0</v>
      </c>
      <c r="U47" s="7">
        <f t="shared" si="3"/>
        <v>0</v>
      </c>
      <c r="V47" s="119">
        <f t="shared" si="4"/>
        <v>0</v>
      </c>
      <c r="W47" s="119">
        <f t="shared" si="5"/>
        <v>0</v>
      </c>
      <c r="X47" s="119">
        <f t="shared" si="6"/>
        <v>0</v>
      </c>
      <c r="Y47" s="119">
        <f t="shared" si="7"/>
        <v>0</v>
      </c>
      <c r="Z47" s="119">
        <f t="shared" si="8"/>
        <v>1</v>
      </c>
      <c r="AA47" s="119">
        <f t="shared" si="9"/>
        <v>0</v>
      </c>
      <c r="AB47" s="119">
        <f t="shared" si="10"/>
        <v>1</v>
      </c>
      <c r="AC47" s="119">
        <f t="shared" si="11"/>
        <v>1</v>
      </c>
      <c r="AD47" s="119">
        <f t="shared" si="12"/>
        <v>0</v>
      </c>
      <c r="AE47" s="119">
        <f t="shared" si="13"/>
        <v>0</v>
      </c>
      <c r="AF47" s="7"/>
      <c r="AG47" s="7"/>
      <c r="AH47" s="7">
        <f t="shared" si="14"/>
        <v>3</v>
      </c>
      <c r="AI47" s="7">
        <f t="shared" si="15"/>
        <v>3</v>
      </c>
      <c r="AJ47" s="7" t="str">
        <f t="shared" si="16"/>
        <v>Correct</v>
      </c>
      <c r="AL47" s="120">
        <f>IFERROR(VLOOKUP(Table1[RespondentID],'All Data'!$A$3:$CO$999,87,FALSE),"unknown")</f>
        <v>0</v>
      </c>
      <c r="AM47" s="120">
        <f>IFERROR(VLOOKUP(Table1[RespondentID],'All Data'!$A$3:$CO$999,88,FALSE),"unknown")</f>
        <v>55</v>
      </c>
      <c r="AN47" s="120" t="str">
        <f>IFERROR(VLOOKUP(Table1[RespondentID],'All Data'!$A$3:$CO$999,89,FALSE),"unknown")</f>
        <v>Suffolk</v>
      </c>
      <c r="AO47" s="120" t="str">
        <f>IFERROR(VLOOKUP(Table1[RespondentID],'All Data'!$A$3:$CO$999,90,FALSE),"unknown")</f>
        <v>Greenlawn, 11740</v>
      </c>
      <c r="AP47" s="120" t="str">
        <f>IFERROR(VLOOKUP(Table1[RespondentID],'All Data'!$A$3:$CO$999,91,FALSE),"unknown")</f>
        <v>White</v>
      </c>
      <c r="AQ47" s="120" t="str">
        <f>IFERROR(VLOOKUP(Table1[RespondentID],'All Data'!$A$3:$CO$999,92,FALSE),"unknown")</f>
        <v>Not Hispanic or Latino</v>
      </c>
      <c r="AR47" s="120" t="str">
        <f>IFERROR(VLOOKUP(Table1[RespondentID],'All Data'!$A$3:$CO$999,93,FALSE),"unknown")</f>
        <v>English</v>
      </c>
      <c r="AS47" s="120" t="str">
        <f>IFERROR(VLOOKUP(Table1[RespondentID],'All Data'!$A$3:$CW$999,94,FALSE),"unknown")</f>
        <v>Over $125,000</v>
      </c>
      <c r="AT47" s="120" t="str">
        <f>IFERROR(VLOOKUP(Table1[RespondentID],'All Data'!$A$3:$CW$999,95,FALSE),"unknown")</f>
        <v>College graduate</v>
      </c>
      <c r="AU47" s="120" t="str">
        <f>IFERROR(VLOOKUP(Table1[RespondentID],'All Data'!$A$3:$CW$999,96,FALSE),"unknown")</f>
        <v>Employed for wages</v>
      </c>
      <c r="AV47" s="120" t="str">
        <f>IFERROR(VLOOKUP(Table1[RespondentID],'All Data'!$A$3:$CW$999,97,FALSE),"unknown")</f>
        <v>Yes</v>
      </c>
      <c r="AW47" s="120">
        <f>IFERROR(VLOOKUP(Table1[RespondentID],'All Data'!$A$3:$CW$999,98,FALSE),"unknown")</f>
        <v>0</v>
      </c>
      <c r="AX47" s="120">
        <f>IFERROR(VLOOKUP(Table1[RespondentID],'All Data'!$A$3:$CW$999,99,FALSE),"unknown")</f>
        <v>0</v>
      </c>
    </row>
    <row r="48" spans="1:50">
      <c r="A48" s="5">
        <v>18025182704</v>
      </c>
      <c r="B48" s="5"/>
      <c r="C48" s="5"/>
      <c r="D48" s="5"/>
      <c r="E48" s="5" t="s">
        <v>19</v>
      </c>
      <c r="F48" s="5" t="s">
        <v>20</v>
      </c>
      <c r="G48" s="5"/>
      <c r="H48" s="5"/>
      <c r="I48" s="5"/>
      <c r="J48" s="5"/>
      <c r="K48" s="5" t="s">
        <v>25</v>
      </c>
      <c r="L48" s="5" t="s">
        <v>26</v>
      </c>
      <c r="M48" s="5"/>
      <c r="N48" s="5"/>
      <c r="O48" s="7"/>
      <c r="P48" s="7">
        <f t="shared" si="0"/>
        <v>4</v>
      </c>
      <c r="Q48" s="7">
        <f t="shared" si="1"/>
        <v>0.75</v>
      </c>
      <c r="R48" s="7"/>
      <c r="S48" s="7">
        <f t="shared" si="17"/>
        <v>0</v>
      </c>
      <c r="T48" s="7">
        <f t="shared" si="2"/>
        <v>0</v>
      </c>
      <c r="U48" s="7">
        <f t="shared" si="3"/>
        <v>0</v>
      </c>
      <c r="V48" s="119">
        <f t="shared" si="4"/>
        <v>0.75</v>
      </c>
      <c r="W48" s="119">
        <f t="shared" si="5"/>
        <v>0.75</v>
      </c>
      <c r="X48" s="119">
        <f t="shared" si="6"/>
        <v>0</v>
      </c>
      <c r="Y48" s="119">
        <f t="shared" si="7"/>
        <v>0</v>
      </c>
      <c r="Z48" s="119">
        <f t="shared" si="8"/>
        <v>0</v>
      </c>
      <c r="AA48" s="119">
        <f t="shared" si="9"/>
        <v>0</v>
      </c>
      <c r="AB48" s="119">
        <f t="shared" si="10"/>
        <v>0.75</v>
      </c>
      <c r="AC48" s="119">
        <f t="shared" si="11"/>
        <v>0.75</v>
      </c>
      <c r="AD48" s="119">
        <f t="shared" si="12"/>
        <v>0</v>
      </c>
      <c r="AE48" s="119">
        <f t="shared" si="13"/>
        <v>0</v>
      </c>
      <c r="AF48" s="7"/>
      <c r="AG48" s="7"/>
      <c r="AH48" s="7">
        <f t="shared" si="14"/>
        <v>3</v>
      </c>
      <c r="AI48" s="7">
        <f t="shared" si="15"/>
        <v>4</v>
      </c>
      <c r="AJ48" s="7" t="str">
        <f t="shared" si="16"/>
        <v>Correct</v>
      </c>
      <c r="AL48" s="120" t="str">
        <f>IFERROR(VLOOKUP(Table1[RespondentID],'All Data'!$A$3:$CO$999,87,FALSE),"unknown")</f>
        <v>Man</v>
      </c>
      <c r="AM48" s="120">
        <f>IFERROR(VLOOKUP(Table1[RespondentID],'All Data'!$A$3:$CO$999,88,FALSE),"unknown")</f>
        <v>19</v>
      </c>
      <c r="AN48" s="120" t="str">
        <f>IFERROR(VLOOKUP(Table1[RespondentID],'All Data'!$A$3:$CO$999,89,FALSE),"unknown")</f>
        <v>Nassau</v>
      </c>
      <c r="AO48" s="120" t="str">
        <f>IFERROR(VLOOKUP(Table1[RespondentID],'All Data'!$A$3:$CO$999,90,FALSE),"unknown")</f>
        <v>Hicksville, 11801</v>
      </c>
      <c r="AP48" s="120" t="str">
        <f>IFERROR(VLOOKUP(Table1[RespondentID],'All Data'!$A$3:$CO$999,91,FALSE),"unknown")</f>
        <v>White</v>
      </c>
      <c r="AQ48" s="120">
        <f>IFERROR(VLOOKUP(Table1[RespondentID],'All Data'!$A$3:$CO$999,92,FALSE),"unknown")</f>
        <v>0</v>
      </c>
      <c r="AR48" s="120" t="str">
        <f>IFERROR(VLOOKUP(Table1[RespondentID],'All Data'!$A$3:$CO$999,93,FALSE),"unknown")</f>
        <v>English</v>
      </c>
      <c r="AS48" s="120" t="str">
        <f>IFERROR(VLOOKUP(Table1[RespondentID],'All Data'!$A$3:$CW$999,94,FALSE),"unknown")</f>
        <v>$35,000 to $49,999</v>
      </c>
      <c r="AT48" s="120" t="str">
        <f>IFERROR(VLOOKUP(Table1[RespondentID],'All Data'!$A$3:$CW$999,95,FALSE),"unknown")</f>
        <v>Some college</v>
      </c>
      <c r="AU48" s="120" t="str">
        <f>IFERROR(VLOOKUP(Table1[RespondentID],'All Data'!$A$3:$CW$999,96,FALSE),"unknown")</f>
        <v>Student</v>
      </c>
      <c r="AV48" s="120" t="str">
        <f>IFERROR(VLOOKUP(Table1[RespondentID],'All Data'!$A$3:$CW$999,97,FALSE),"unknown")</f>
        <v>Yes</v>
      </c>
      <c r="AW48" s="120" t="str">
        <f>IFERROR(VLOOKUP(Table1[RespondentID],'All Data'!$A$3:$CW$999,98,FALSE),"unknown")</f>
        <v>Private/Commercial</v>
      </c>
      <c r="AX48" s="120">
        <f>IFERROR(VLOOKUP(Table1[RespondentID],'All Data'!$A$3:$CW$999,99,FALSE),"unknown")</f>
        <v>0</v>
      </c>
    </row>
    <row r="49" spans="1:50">
      <c r="A49" s="5">
        <v>18025182523</v>
      </c>
      <c r="B49" s="5"/>
      <c r="C49" s="5"/>
      <c r="D49" s="5"/>
      <c r="E49" s="5"/>
      <c r="F49" s="5"/>
      <c r="G49" s="5"/>
      <c r="H49" s="5"/>
      <c r="I49" s="5"/>
      <c r="J49" s="5"/>
      <c r="K49" s="5"/>
      <c r="L49" s="5"/>
      <c r="M49" s="5" t="s">
        <v>27</v>
      </c>
      <c r="N49" s="5" t="s">
        <v>28</v>
      </c>
      <c r="O49" s="7"/>
      <c r="P49" s="7">
        <f t="shared" si="0"/>
        <v>2</v>
      </c>
      <c r="Q49" s="7">
        <f t="shared" si="1"/>
        <v>1.5</v>
      </c>
      <c r="R49" s="7"/>
      <c r="S49" s="7">
        <f t="shared" si="17"/>
        <v>0</v>
      </c>
      <c r="T49" s="7">
        <f t="shared" si="2"/>
        <v>0</v>
      </c>
      <c r="U49" s="7">
        <f t="shared" si="3"/>
        <v>0</v>
      </c>
      <c r="V49" s="119">
        <f t="shared" si="4"/>
        <v>0</v>
      </c>
      <c r="W49" s="119">
        <f t="shared" si="5"/>
        <v>0</v>
      </c>
      <c r="X49" s="119">
        <f t="shared" si="6"/>
        <v>0</v>
      </c>
      <c r="Y49" s="119">
        <f t="shared" si="7"/>
        <v>0</v>
      </c>
      <c r="Z49" s="119">
        <f t="shared" si="8"/>
        <v>0</v>
      </c>
      <c r="AA49" s="119">
        <f t="shared" si="9"/>
        <v>0</v>
      </c>
      <c r="AB49" s="119">
        <f t="shared" si="10"/>
        <v>0</v>
      </c>
      <c r="AC49" s="119">
        <f t="shared" si="11"/>
        <v>0</v>
      </c>
      <c r="AD49" s="119">
        <f t="shared" si="12"/>
        <v>1</v>
      </c>
      <c r="AE49" s="119">
        <f t="shared" si="13"/>
        <v>1</v>
      </c>
      <c r="AF49" s="7"/>
      <c r="AG49" s="7"/>
      <c r="AH49" s="7">
        <f t="shared" si="14"/>
        <v>2</v>
      </c>
      <c r="AI49" s="7">
        <f t="shared" si="15"/>
        <v>2</v>
      </c>
      <c r="AJ49" s="7" t="str">
        <f t="shared" si="16"/>
        <v>Correct</v>
      </c>
      <c r="AL49" s="120">
        <f>IFERROR(VLOOKUP(Table1[RespondentID],'All Data'!$A$3:$CO$999,87,FALSE),"unknown")</f>
        <v>0</v>
      </c>
      <c r="AM49" s="120">
        <f>IFERROR(VLOOKUP(Table1[RespondentID],'All Data'!$A$3:$CO$999,88,FALSE),"unknown")</f>
        <v>65</v>
      </c>
      <c r="AN49" s="120" t="str">
        <f>IFERROR(VLOOKUP(Table1[RespondentID],'All Data'!$A$3:$CO$999,89,FALSE),"unknown")</f>
        <v>Nassau</v>
      </c>
      <c r="AO49" s="120" t="str">
        <f>IFERROR(VLOOKUP(Table1[RespondentID],'All Data'!$A$3:$CO$999,90,FALSE),"unknown")</f>
        <v>Floral Park, 11001</v>
      </c>
      <c r="AP49" s="120" t="str">
        <f>IFERROR(VLOOKUP(Table1[RespondentID],'All Data'!$A$3:$CO$999,91,FALSE),"unknown")</f>
        <v>White</v>
      </c>
      <c r="AQ49" s="120">
        <f>IFERROR(VLOOKUP(Table1[RespondentID],'All Data'!$A$3:$CO$999,92,FALSE),"unknown")</f>
        <v>0</v>
      </c>
      <c r="AR49" s="120" t="str">
        <f>IFERROR(VLOOKUP(Table1[RespondentID],'All Data'!$A$3:$CO$999,93,FALSE),"unknown")</f>
        <v>English</v>
      </c>
      <c r="AS49" s="120" t="str">
        <f>IFERROR(VLOOKUP(Table1[RespondentID],'All Data'!$A$3:$CW$999,94,FALSE),"unknown")</f>
        <v>$50,000 to $74,999</v>
      </c>
      <c r="AT49" s="120" t="str">
        <f>IFERROR(VLOOKUP(Table1[RespondentID],'All Data'!$A$3:$CW$999,95,FALSE),"unknown")</f>
        <v>College graduate</v>
      </c>
      <c r="AU49" s="120" t="str">
        <f>IFERROR(VLOOKUP(Table1[RespondentID],'All Data'!$A$3:$CW$999,96,FALSE),"unknown")</f>
        <v>Retired</v>
      </c>
      <c r="AV49" s="120" t="str">
        <f>IFERROR(VLOOKUP(Table1[RespondentID],'All Data'!$A$3:$CW$999,97,FALSE),"unknown")</f>
        <v>Yes</v>
      </c>
      <c r="AW49" s="120" t="str">
        <f>IFERROR(VLOOKUP(Table1[RespondentID],'All Data'!$A$3:$CW$999,98,FALSE),"unknown")</f>
        <v>Private/Commercial</v>
      </c>
      <c r="AX49" s="120">
        <f>IFERROR(VLOOKUP(Table1[RespondentID],'All Data'!$A$3:$CW$999,99,FALSE),"unknown")</f>
        <v>0</v>
      </c>
    </row>
    <row r="50" spans="1:50">
      <c r="A50" s="5">
        <v>18025182362</v>
      </c>
      <c r="B50" s="5"/>
      <c r="C50" s="5"/>
      <c r="D50" s="5"/>
      <c r="E50" s="5"/>
      <c r="F50" s="5"/>
      <c r="G50" s="5"/>
      <c r="H50" s="5"/>
      <c r="I50" s="5"/>
      <c r="J50" s="5"/>
      <c r="K50" s="5" t="s">
        <v>25</v>
      </c>
      <c r="L50" s="5"/>
      <c r="M50" s="5"/>
      <c r="N50" s="5"/>
      <c r="O50" s="7"/>
      <c r="P50" s="7">
        <f t="shared" si="0"/>
        <v>1</v>
      </c>
      <c r="Q50" s="7">
        <f t="shared" si="1"/>
        <v>3</v>
      </c>
      <c r="R50" s="7"/>
      <c r="S50" s="7">
        <f t="shared" si="17"/>
        <v>0</v>
      </c>
      <c r="T50" s="7">
        <f t="shared" si="2"/>
        <v>0</v>
      </c>
      <c r="U50" s="7">
        <f t="shared" si="3"/>
        <v>0</v>
      </c>
      <c r="V50" s="119">
        <f t="shared" si="4"/>
        <v>0</v>
      </c>
      <c r="W50" s="119">
        <f t="shared" si="5"/>
        <v>0</v>
      </c>
      <c r="X50" s="119">
        <f t="shared" si="6"/>
        <v>0</v>
      </c>
      <c r="Y50" s="119">
        <f t="shared" si="7"/>
        <v>0</v>
      </c>
      <c r="Z50" s="119">
        <f t="shared" si="8"/>
        <v>0</v>
      </c>
      <c r="AA50" s="119">
        <f t="shared" si="9"/>
        <v>0</v>
      </c>
      <c r="AB50" s="119">
        <f t="shared" si="10"/>
        <v>1</v>
      </c>
      <c r="AC50" s="119">
        <f t="shared" si="11"/>
        <v>0</v>
      </c>
      <c r="AD50" s="119">
        <f t="shared" si="12"/>
        <v>0</v>
      </c>
      <c r="AE50" s="119">
        <f t="shared" si="13"/>
        <v>0</v>
      </c>
      <c r="AF50" s="7"/>
      <c r="AG50" s="7"/>
      <c r="AH50" s="7">
        <f t="shared" si="14"/>
        <v>1</v>
      </c>
      <c r="AI50" s="7">
        <f t="shared" si="15"/>
        <v>1</v>
      </c>
      <c r="AJ50" s="7" t="str">
        <f t="shared" si="16"/>
        <v>Correct</v>
      </c>
      <c r="AL50" s="120" t="str">
        <f>IFERROR(VLOOKUP(Table1[RespondentID],'All Data'!$A$3:$CO$999,87,FALSE),"unknown")</f>
        <v>Man</v>
      </c>
      <c r="AM50" s="120">
        <f>IFERROR(VLOOKUP(Table1[RespondentID],'All Data'!$A$3:$CO$999,88,FALSE),"unknown")</f>
        <v>30</v>
      </c>
      <c r="AN50" s="120" t="str">
        <f>IFERROR(VLOOKUP(Table1[RespondentID],'All Data'!$A$3:$CO$999,89,FALSE),"unknown")</f>
        <v>Suffolk</v>
      </c>
      <c r="AO50" s="120" t="str">
        <f>IFERROR(VLOOKUP(Table1[RespondentID],'All Data'!$A$3:$CO$999,90,FALSE),"unknown")</f>
        <v>Huntington, 11743</v>
      </c>
      <c r="AP50" s="120">
        <f>IFERROR(VLOOKUP(Table1[RespondentID],'All Data'!$A$3:$CO$999,91,FALSE),"unknown")</f>
        <v>0</v>
      </c>
      <c r="AQ50" s="120">
        <f>IFERROR(VLOOKUP(Table1[RespondentID],'All Data'!$A$3:$CO$999,92,FALSE),"unknown")</f>
        <v>0</v>
      </c>
      <c r="AR50" s="120" t="str">
        <f>IFERROR(VLOOKUP(Table1[RespondentID],'All Data'!$A$3:$CO$999,93,FALSE),"unknown")</f>
        <v>Spanish</v>
      </c>
      <c r="AS50" s="120" t="str">
        <f>IFERROR(VLOOKUP(Table1[RespondentID],'All Data'!$A$3:$CW$999,94,FALSE),"unknown")</f>
        <v>$35,000 to $49,999</v>
      </c>
      <c r="AT50" s="120" t="str">
        <f>IFERROR(VLOOKUP(Table1[RespondentID],'All Data'!$A$3:$CW$999,95,FALSE),"unknown")</f>
        <v>Some college</v>
      </c>
      <c r="AU50" s="120" t="str">
        <f>IFERROR(VLOOKUP(Table1[RespondentID],'All Data'!$A$3:$CW$999,96,FALSE),"unknown")</f>
        <v>Out of work and looking for work</v>
      </c>
      <c r="AV50" s="120" t="str">
        <f>IFERROR(VLOOKUP(Table1[RespondentID],'All Data'!$A$3:$CW$999,97,FALSE),"unknown")</f>
        <v>No</v>
      </c>
      <c r="AW50" s="120">
        <f>IFERROR(VLOOKUP(Table1[RespondentID],'All Data'!$A$3:$CW$999,98,FALSE),"unknown")</f>
        <v>0</v>
      </c>
      <c r="AX50" s="120">
        <f>IFERROR(VLOOKUP(Table1[RespondentID],'All Data'!$A$3:$CW$999,99,FALSE),"unknown")</f>
        <v>0</v>
      </c>
    </row>
    <row r="51" spans="1:50">
      <c r="A51" s="5">
        <v>18025182185</v>
      </c>
      <c r="B51" s="5"/>
      <c r="C51" s="5"/>
      <c r="D51" s="5"/>
      <c r="E51" s="5"/>
      <c r="F51" s="5" t="s">
        <v>20</v>
      </c>
      <c r="G51" s="5"/>
      <c r="H51" s="5"/>
      <c r="I51" s="5"/>
      <c r="J51" s="5"/>
      <c r="K51" s="5" t="s">
        <v>25</v>
      </c>
      <c r="L51" s="5"/>
      <c r="M51" s="5"/>
      <c r="N51" s="5"/>
      <c r="O51" s="7"/>
      <c r="P51" s="7">
        <f t="shared" si="0"/>
        <v>2</v>
      </c>
      <c r="Q51" s="7">
        <f t="shared" si="1"/>
        <v>1.5</v>
      </c>
      <c r="R51" s="7"/>
      <c r="S51" s="7">
        <f t="shared" si="17"/>
        <v>0</v>
      </c>
      <c r="T51" s="7">
        <f t="shared" si="2"/>
        <v>0</v>
      </c>
      <c r="U51" s="7">
        <f t="shared" si="3"/>
        <v>0</v>
      </c>
      <c r="V51" s="119">
        <f t="shared" si="4"/>
        <v>0</v>
      </c>
      <c r="W51" s="119">
        <f t="shared" si="5"/>
        <v>1</v>
      </c>
      <c r="X51" s="119">
        <f t="shared" si="6"/>
        <v>0</v>
      </c>
      <c r="Y51" s="119">
        <f t="shared" si="7"/>
        <v>0</v>
      </c>
      <c r="Z51" s="119">
        <f t="shared" si="8"/>
        <v>0</v>
      </c>
      <c r="AA51" s="119">
        <f t="shared" si="9"/>
        <v>0</v>
      </c>
      <c r="AB51" s="119">
        <f t="shared" si="10"/>
        <v>1</v>
      </c>
      <c r="AC51" s="119">
        <f t="shared" si="11"/>
        <v>0</v>
      </c>
      <c r="AD51" s="119">
        <f t="shared" si="12"/>
        <v>0</v>
      </c>
      <c r="AE51" s="119">
        <f t="shared" si="13"/>
        <v>0</v>
      </c>
      <c r="AF51" s="7"/>
      <c r="AG51" s="7"/>
      <c r="AH51" s="7">
        <f t="shared" si="14"/>
        <v>2</v>
      </c>
      <c r="AI51" s="7">
        <f t="shared" si="15"/>
        <v>2</v>
      </c>
      <c r="AJ51" s="7" t="str">
        <f t="shared" si="16"/>
        <v>Correct</v>
      </c>
      <c r="AL51" s="120" t="str">
        <f>IFERROR(VLOOKUP(Table1[RespondentID],'All Data'!$A$3:$CO$999,87,FALSE),"unknown")</f>
        <v>Woman</v>
      </c>
      <c r="AM51" s="120">
        <f>IFERROR(VLOOKUP(Table1[RespondentID],'All Data'!$A$3:$CO$999,88,FALSE),"unknown")</f>
        <v>37</v>
      </c>
      <c r="AN51" s="120" t="str">
        <f>IFERROR(VLOOKUP(Table1[RespondentID],'All Data'!$A$3:$CO$999,89,FALSE),"unknown")</f>
        <v>Suffolk</v>
      </c>
      <c r="AO51" s="120" t="str">
        <f>IFERROR(VLOOKUP(Table1[RespondentID],'All Data'!$A$3:$CO$999,90,FALSE),"unknown")</f>
        <v>Huntington, 11743</v>
      </c>
      <c r="AP51" s="120">
        <f>IFERROR(VLOOKUP(Table1[RespondentID],'All Data'!$A$3:$CO$999,91,FALSE),"unknown")</f>
        <v>0</v>
      </c>
      <c r="AQ51" s="120">
        <f>IFERROR(VLOOKUP(Table1[RespondentID],'All Data'!$A$3:$CO$999,92,FALSE),"unknown")</f>
        <v>0</v>
      </c>
      <c r="AR51" s="120" t="str">
        <f>IFERROR(VLOOKUP(Table1[RespondentID],'All Data'!$A$3:$CO$999,93,FALSE),"unknown")</f>
        <v>English, Spanish</v>
      </c>
      <c r="AS51" s="120">
        <f>IFERROR(VLOOKUP(Table1[RespondentID],'All Data'!$A$3:$CW$999,94,FALSE),"unknown")</f>
        <v>0</v>
      </c>
      <c r="AT51" s="120" t="str">
        <f>IFERROR(VLOOKUP(Table1[RespondentID],'All Data'!$A$3:$CW$999,95,FALSE),"unknown")</f>
        <v>Graduate school</v>
      </c>
      <c r="AU51" s="120" t="str">
        <f>IFERROR(VLOOKUP(Table1[RespondentID],'All Data'!$A$3:$CW$999,96,FALSE),"unknown")</f>
        <v>Employed for wages</v>
      </c>
      <c r="AV51" s="120" t="str">
        <f>IFERROR(VLOOKUP(Table1[RespondentID],'All Data'!$A$3:$CW$999,97,FALSE),"unknown")</f>
        <v>Yes</v>
      </c>
      <c r="AW51" s="120" t="str">
        <f>IFERROR(VLOOKUP(Table1[RespondentID],'All Data'!$A$3:$CW$999,98,FALSE),"unknown")</f>
        <v>Private/Commercial</v>
      </c>
      <c r="AX51" s="120">
        <f>IFERROR(VLOOKUP(Table1[RespondentID],'All Data'!$A$3:$CW$999,99,FALSE),"unknown")</f>
        <v>0</v>
      </c>
    </row>
    <row r="52" spans="1:50">
      <c r="A52" s="5">
        <v>18025182059</v>
      </c>
      <c r="B52" s="5"/>
      <c r="C52" s="5" t="s">
        <v>17</v>
      </c>
      <c r="D52" s="5"/>
      <c r="E52" s="5"/>
      <c r="F52" s="5"/>
      <c r="G52" s="5"/>
      <c r="H52" s="5"/>
      <c r="I52" s="5"/>
      <c r="J52" s="5"/>
      <c r="K52" s="5"/>
      <c r="L52" s="5"/>
      <c r="M52" s="5" t="s">
        <v>27</v>
      </c>
      <c r="N52" s="5"/>
      <c r="O52" s="7"/>
      <c r="P52" s="7">
        <f t="shared" si="0"/>
        <v>2</v>
      </c>
      <c r="Q52" s="7">
        <f t="shared" si="1"/>
        <v>1.5</v>
      </c>
      <c r="R52" s="7"/>
      <c r="S52" s="7">
        <f t="shared" si="17"/>
        <v>0</v>
      </c>
      <c r="T52" s="7">
        <f t="shared" si="2"/>
        <v>1</v>
      </c>
      <c r="U52" s="7">
        <f t="shared" si="3"/>
        <v>0</v>
      </c>
      <c r="V52" s="119">
        <f t="shared" si="4"/>
        <v>0</v>
      </c>
      <c r="W52" s="119">
        <f t="shared" si="5"/>
        <v>0</v>
      </c>
      <c r="X52" s="119">
        <f t="shared" si="6"/>
        <v>0</v>
      </c>
      <c r="Y52" s="119">
        <f t="shared" si="7"/>
        <v>0</v>
      </c>
      <c r="Z52" s="119">
        <f t="shared" si="8"/>
        <v>0</v>
      </c>
      <c r="AA52" s="119">
        <f t="shared" si="9"/>
        <v>0</v>
      </c>
      <c r="AB52" s="119">
        <f t="shared" si="10"/>
        <v>0</v>
      </c>
      <c r="AC52" s="119">
        <f t="shared" si="11"/>
        <v>0</v>
      </c>
      <c r="AD52" s="119">
        <f t="shared" si="12"/>
        <v>1</v>
      </c>
      <c r="AE52" s="119">
        <f t="shared" si="13"/>
        <v>0</v>
      </c>
      <c r="AF52" s="7"/>
      <c r="AG52" s="7"/>
      <c r="AH52" s="7">
        <f t="shared" si="14"/>
        <v>2</v>
      </c>
      <c r="AI52" s="7">
        <f t="shared" si="15"/>
        <v>2</v>
      </c>
      <c r="AJ52" s="7" t="str">
        <f t="shared" si="16"/>
        <v>Correct</v>
      </c>
      <c r="AL52" s="120" t="str">
        <f>IFERROR(VLOOKUP(Table1[RespondentID],'All Data'!$A$3:$CO$999,87,FALSE),"unknown")</f>
        <v>Man</v>
      </c>
      <c r="AM52" s="120">
        <f>IFERROR(VLOOKUP(Table1[RespondentID],'All Data'!$A$3:$CO$999,88,FALSE),"unknown")</f>
        <v>58</v>
      </c>
      <c r="AN52" s="120" t="str">
        <f>IFERROR(VLOOKUP(Table1[RespondentID],'All Data'!$A$3:$CO$999,89,FALSE),"unknown")</f>
        <v>Suffolk</v>
      </c>
      <c r="AO52" s="120" t="str">
        <f>IFERROR(VLOOKUP(Table1[RespondentID],'All Data'!$A$3:$CO$999,90,FALSE),"unknown")</f>
        <v>Centerport, 11721</v>
      </c>
      <c r="AP52" s="120" t="str">
        <f>IFERROR(VLOOKUP(Table1[RespondentID],'All Data'!$A$3:$CO$999,91,FALSE),"unknown")</f>
        <v>White</v>
      </c>
      <c r="AQ52" s="120" t="str">
        <f>IFERROR(VLOOKUP(Table1[RespondentID],'All Data'!$A$3:$CO$999,92,FALSE),"unknown")</f>
        <v>Not Hispanic or Latino</v>
      </c>
      <c r="AR52" s="120" t="str">
        <f>IFERROR(VLOOKUP(Table1[RespondentID],'All Data'!$A$3:$CO$999,93,FALSE),"unknown")</f>
        <v>English</v>
      </c>
      <c r="AS52" s="120" t="str">
        <f>IFERROR(VLOOKUP(Table1[RespondentID],'All Data'!$A$3:$CW$999,94,FALSE),"unknown")</f>
        <v>Over $125,000</v>
      </c>
      <c r="AT52" s="120" t="str">
        <f>IFERROR(VLOOKUP(Table1[RespondentID],'All Data'!$A$3:$CW$999,95,FALSE),"unknown")</f>
        <v>Doctorate</v>
      </c>
      <c r="AU52" s="120" t="str">
        <f>IFERROR(VLOOKUP(Table1[RespondentID],'All Data'!$A$3:$CW$999,96,FALSE),"unknown")</f>
        <v>Self-employed</v>
      </c>
      <c r="AV52" s="120" t="str">
        <f>IFERROR(VLOOKUP(Table1[RespondentID],'All Data'!$A$3:$CW$999,97,FALSE),"unknown")</f>
        <v>Yes</v>
      </c>
      <c r="AW52" s="120">
        <f>IFERROR(VLOOKUP(Table1[RespondentID],'All Data'!$A$3:$CW$999,98,FALSE),"unknown")</f>
        <v>0</v>
      </c>
      <c r="AX52" s="120">
        <f>IFERROR(VLOOKUP(Table1[RespondentID],'All Data'!$A$3:$CW$999,99,FALSE),"unknown")</f>
        <v>0</v>
      </c>
    </row>
    <row r="53" spans="1:50">
      <c r="A53" s="5">
        <v>18025181795</v>
      </c>
      <c r="B53" s="5"/>
      <c r="C53" s="5" t="s">
        <v>17</v>
      </c>
      <c r="D53" s="5"/>
      <c r="E53" s="5"/>
      <c r="F53" s="5"/>
      <c r="G53" s="5"/>
      <c r="H53" s="5"/>
      <c r="I53" s="5"/>
      <c r="J53" s="5"/>
      <c r="K53" s="5"/>
      <c r="L53" s="5"/>
      <c r="M53" s="5" t="s">
        <v>27</v>
      </c>
      <c r="N53" s="5"/>
      <c r="O53" s="7"/>
      <c r="P53" s="7">
        <f t="shared" si="0"/>
        <v>2</v>
      </c>
      <c r="Q53" s="7">
        <f t="shared" si="1"/>
        <v>1.5</v>
      </c>
      <c r="R53" s="7"/>
      <c r="S53" s="7">
        <f t="shared" si="17"/>
        <v>0</v>
      </c>
      <c r="T53" s="7">
        <f t="shared" si="2"/>
        <v>1</v>
      </c>
      <c r="U53" s="7">
        <f t="shared" si="3"/>
        <v>0</v>
      </c>
      <c r="V53" s="119">
        <f t="shared" si="4"/>
        <v>0</v>
      </c>
      <c r="W53" s="119">
        <f t="shared" si="5"/>
        <v>0</v>
      </c>
      <c r="X53" s="119">
        <f t="shared" si="6"/>
        <v>0</v>
      </c>
      <c r="Y53" s="119">
        <f t="shared" si="7"/>
        <v>0</v>
      </c>
      <c r="Z53" s="119">
        <f t="shared" si="8"/>
        <v>0</v>
      </c>
      <c r="AA53" s="119">
        <f t="shared" si="9"/>
        <v>0</v>
      </c>
      <c r="AB53" s="119">
        <f t="shared" si="10"/>
        <v>0</v>
      </c>
      <c r="AC53" s="119">
        <f t="shared" si="11"/>
        <v>0</v>
      </c>
      <c r="AD53" s="119">
        <f t="shared" si="12"/>
        <v>1</v>
      </c>
      <c r="AE53" s="119">
        <f t="shared" si="13"/>
        <v>0</v>
      </c>
      <c r="AF53" s="7"/>
      <c r="AG53" s="7"/>
      <c r="AH53" s="7">
        <f t="shared" si="14"/>
        <v>2</v>
      </c>
      <c r="AI53" s="7">
        <f t="shared" si="15"/>
        <v>2</v>
      </c>
      <c r="AJ53" s="7" t="str">
        <f t="shared" si="16"/>
        <v>Correct</v>
      </c>
      <c r="AL53" s="120" t="str">
        <f>IFERROR(VLOOKUP(Table1[RespondentID],'All Data'!$A$3:$CO$999,87,FALSE),"unknown")</f>
        <v>Man</v>
      </c>
      <c r="AM53" s="120">
        <f>IFERROR(VLOOKUP(Table1[RespondentID],'All Data'!$A$3:$CO$999,88,FALSE),"unknown")</f>
        <v>58</v>
      </c>
      <c r="AN53" s="120" t="str">
        <f>IFERROR(VLOOKUP(Table1[RespondentID],'All Data'!$A$3:$CO$999,89,FALSE),"unknown")</f>
        <v>Suffolk</v>
      </c>
      <c r="AO53" s="120" t="str">
        <f>IFERROR(VLOOKUP(Table1[RespondentID],'All Data'!$A$3:$CO$999,90,FALSE),"unknown")</f>
        <v>Centerport, 11721</v>
      </c>
      <c r="AP53" s="120" t="str">
        <f>IFERROR(VLOOKUP(Table1[RespondentID],'All Data'!$A$3:$CO$999,91,FALSE),"unknown")</f>
        <v>White</v>
      </c>
      <c r="AQ53" s="120" t="str">
        <f>IFERROR(VLOOKUP(Table1[RespondentID],'All Data'!$A$3:$CO$999,92,FALSE),"unknown")</f>
        <v>Not Hispanic or Latino</v>
      </c>
      <c r="AR53" s="120" t="str">
        <f>IFERROR(VLOOKUP(Table1[RespondentID],'All Data'!$A$3:$CO$999,93,FALSE),"unknown")</f>
        <v>English</v>
      </c>
      <c r="AS53" s="120" t="str">
        <f>IFERROR(VLOOKUP(Table1[RespondentID],'All Data'!$A$3:$CW$999,94,FALSE),"unknown")</f>
        <v>Over $125,000</v>
      </c>
      <c r="AT53" s="120" t="str">
        <f>IFERROR(VLOOKUP(Table1[RespondentID],'All Data'!$A$3:$CW$999,95,FALSE),"unknown")</f>
        <v>Doctorate</v>
      </c>
      <c r="AU53" s="120" t="str">
        <f>IFERROR(VLOOKUP(Table1[RespondentID],'All Data'!$A$3:$CW$999,96,FALSE),"unknown")</f>
        <v>Employed for wages</v>
      </c>
      <c r="AV53" s="120" t="str">
        <f>IFERROR(VLOOKUP(Table1[RespondentID],'All Data'!$A$3:$CW$999,97,FALSE),"unknown")</f>
        <v>Yes</v>
      </c>
      <c r="AW53" s="120">
        <f>IFERROR(VLOOKUP(Table1[RespondentID],'All Data'!$A$3:$CW$999,98,FALSE),"unknown")</f>
        <v>0</v>
      </c>
      <c r="AX53" s="120">
        <f>IFERROR(VLOOKUP(Table1[RespondentID],'All Data'!$A$3:$CW$999,99,FALSE),"unknown")</f>
        <v>0</v>
      </c>
    </row>
    <row r="54" spans="1:50">
      <c r="A54" s="5">
        <v>18025181633</v>
      </c>
      <c r="B54" s="5"/>
      <c r="C54" s="5"/>
      <c r="D54" s="5" t="s">
        <v>18</v>
      </c>
      <c r="E54" s="5" t="s">
        <v>19</v>
      </c>
      <c r="F54" s="5"/>
      <c r="G54" s="5"/>
      <c r="H54" s="5"/>
      <c r="I54" s="5"/>
      <c r="J54" s="5"/>
      <c r="K54" s="5" t="s">
        <v>25</v>
      </c>
      <c r="L54" s="5"/>
      <c r="M54" s="5"/>
      <c r="N54" s="5"/>
      <c r="O54" s="7"/>
      <c r="P54" s="7">
        <f t="shared" si="0"/>
        <v>3</v>
      </c>
      <c r="Q54" s="7">
        <f t="shared" si="1"/>
        <v>1</v>
      </c>
      <c r="R54" s="7"/>
      <c r="S54" s="7">
        <f t="shared" si="17"/>
        <v>0</v>
      </c>
      <c r="T54" s="7">
        <f t="shared" si="2"/>
        <v>0</v>
      </c>
      <c r="U54" s="7">
        <f t="shared" si="3"/>
        <v>1</v>
      </c>
      <c r="V54" s="119">
        <f t="shared" si="4"/>
        <v>1</v>
      </c>
      <c r="W54" s="119">
        <f t="shared" si="5"/>
        <v>0</v>
      </c>
      <c r="X54" s="119">
        <f t="shared" si="6"/>
        <v>0</v>
      </c>
      <c r="Y54" s="119">
        <f t="shared" si="7"/>
        <v>0</v>
      </c>
      <c r="Z54" s="119">
        <f t="shared" si="8"/>
        <v>0</v>
      </c>
      <c r="AA54" s="119">
        <f t="shared" si="9"/>
        <v>0</v>
      </c>
      <c r="AB54" s="119">
        <f t="shared" si="10"/>
        <v>1</v>
      </c>
      <c r="AC54" s="119">
        <f t="shared" si="11"/>
        <v>0</v>
      </c>
      <c r="AD54" s="119">
        <f t="shared" si="12"/>
        <v>0</v>
      </c>
      <c r="AE54" s="119">
        <f t="shared" si="13"/>
        <v>0</v>
      </c>
      <c r="AF54" s="7"/>
      <c r="AG54" s="7"/>
      <c r="AH54" s="7">
        <f t="shared" si="14"/>
        <v>3</v>
      </c>
      <c r="AI54" s="7">
        <f t="shared" si="15"/>
        <v>3</v>
      </c>
      <c r="AJ54" s="7" t="str">
        <f t="shared" si="16"/>
        <v>Correct</v>
      </c>
      <c r="AL54" s="120" t="str">
        <f>IFERROR(VLOOKUP(Table1[RespondentID],'All Data'!$A$3:$CO$999,87,FALSE),"unknown")</f>
        <v>Man</v>
      </c>
      <c r="AM54" s="120">
        <f>IFERROR(VLOOKUP(Table1[RespondentID],'All Data'!$A$3:$CO$999,88,FALSE),"unknown")</f>
        <v>26</v>
      </c>
      <c r="AN54" s="120" t="str">
        <f>IFERROR(VLOOKUP(Table1[RespondentID],'All Data'!$A$3:$CO$999,89,FALSE),"unknown")</f>
        <v>Queens</v>
      </c>
      <c r="AO54" s="120">
        <f>IFERROR(VLOOKUP(Table1[RespondentID],'All Data'!$A$3:$CO$999,90,FALSE),"unknown")</f>
        <v>11231</v>
      </c>
      <c r="AP54" s="120" t="str">
        <f>IFERROR(VLOOKUP(Table1[RespondentID],'All Data'!$A$3:$CO$999,91,FALSE),"unknown")</f>
        <v>White</v>
      </c>
      <c r="AQ54" s="120" t="str">
        <f>IFERROR(VLOOKUP(Table1[RespondentID],'All Data'!$A$3:$CO$999,92,FALSE),"unknown")</f>
        <v>Hispanic or Latino</v>
      </c>
      <c r="AR54" s="120" t="str">
        <f>IFERROR(VLOOKUP(Table1[RespondentID],'All Data'!$A$3:$CO$999,93,FALSE),"unknown")</f>
        <v>English</v>
      </c>
      <c r="AS54" s="120" t="str">
        <f>IFERROR(VLOOKUP(Table1[RespondentID],'All Data'!$A$3:$CW$999,94,FALSE),"unknown")</f>
        <v>$75,000 to $125,000</v>
      </c>
      <c r="AT54" s="120" t="str">
        <f>IFERROR(VLOOKUP(Table1[RespondentID],'All Data'!$A$3:$CW$999,95,FALSE),"unknown")</f>
        <v>College graduate</v>
      </c>
      <c r="AU54" s="120" t="str">
        <f>IFERROR(VLOOKUP(Table1[RespondentID],'All Data'!$A$3:$CW$999,96,FALSE),"unknown")</f>
        <v>Employed for wages</v>
      </c>
      <c r="AV54" s="120" t="str">
        <f>IFERROR(VLOOKUP(Table1[RespondentID],'All Data'!$A$3:$CW$999,97,FALSE),"unknown")</f>
        <v>Yes</v>
      </c>
      <c r="AW54" s="120" t="str">
        <f>IFERROR(VLOOKUP(Table1[RespondentID],'All Data'!$A$3:$CW$999,98,FALSE),"unknown")</f>
        <v>Private/Commercial</v>
      </c>
      <c r="AX54" s="120">
        <f>IFERROR(VLOOKUP(Table1[RespondentID],'All Data'!$A$3:$CW$999,99,FALSE),"unknown")</f>
        <v>0</v>
      </c>
    </row>
    <row r="55" spans="1:50">
      <c r="A55" s="5">
        <v>18025180780</v>
      </c>
      <c r="B55" s="5"/>
      <c r="C55" s="5"/>
      <c r="D55" s="5" t="s">
        <v>18</v>
      </c>
      <c r="E55" s="5"/>
      <c r="F55" s="5"/>
      <c r="G55" s="5"/>
      <c r="H55" s="5"/>
      <c r="I55" s="5" t="s">
        <v>23</v>
      </c>
      <c r="J55" s="5"/>
      <c r="K55" s="5" t="s">
        <v>25</v>
      </c>
      <c r="L55" s="5" t="s">
        <v>26</v>
      </c>
      <c r="M55" s="5"/>
      <c r="N55" s="5"/>
      <c r="O55" s="7"/>
      <c r="P55" s="7">
        <f t="shared" si="0"/>
        <v>4</v>
      </c>
      <c r="Q55" s="7">
        <f t="shared" si="1"/>
        <v>0.75</v>
      </c>
      <c r="R55" s="7"/>
      <c r="S55" s="7">
        <f t="shared" si="17"/>
        <v>0</v>
      </c>
      <c r="T55" s="7">
        <f t="shared" si="2"/>
        <v>0</v>
      </c>
      <c r="U55" s="7">
        <f t="shared" si="3"/>
        <v>0.75</v>
      </c>
      <c r="V55" s="119">
        <f t="shared" si="4"/>
        <v>0</v>
      </c>
      <c r="W55" s="119">
        <f t="shared" si="5"/>
        <v>0</v>
      </c>
      <c r="X55" s="119">
        <f t="shared" si="6"/>
        <v>0</v>
      </c>
      <c r="Y55" s="119">
        <f t="shared" si="7"/>
        <v>0</v>
      </c>
      <c r="Z55" s="119">
        <f t="shared" si="8"/>
        <v>0.75</v>
      </c>
      <c r="AA55" s="119">
        <f t="shared" si="9"/>
        <v>0</v>
      </c>
      <c r="AB55" s="119">
        <f t="shared" si="10"/>
        <v>0.75</v>
      </c>
      <c r="AC55" s="119">
        <f t="shared" si="11"/>
        <v>0.75</v>
      </c>
      <c r="AD55" s="119">
        <f t="shared" si="12"/>
        <v>0</v>
      </c>
      <c r="AE55" s="119">
        <f t="shared" si="13"/>
        <v>0</v>
      </c>
      <c r="AF55" s="7"/>
      <c r="AG55" s="7"/>
      <c r="AH55" s="7">
        <f t="shared" si="14"/>
        <v>3</v>
      </c>
      <c r="AI55" s="7">
        <f t="shared" si="15"/>
        <v>4</v>
      </c>
      <c r="AJ55" s="7" t="str">
        <f t="shared" si="16"/>
        <v>Correct</v>
      </c>
      <c r="AL55" s="120" t="str">
        <f>IFERROR(VLOOKUP(Table1[RespondentID],'All Data'!$A$3:$CO$999,87,FALSE),"unknown")</f>
        <v>Man</v>
      </c>
      <c r="AM55" s="120">
        <f>IFERROR(VLOOKUP(Table1[RespondentID],'All Data'!$A$3:$CO$999,88,FALSE),"unknown")</f>
        <v>42</v>
      </c>
      <c r="AN55" s="120" t="str">
        <f>IFERROR(VLOOKUP(Table1[RespondentID],'All Data'!$A$3:$CO$999,89,FALSE),"unknown")</f>
        <v>Nassau</v>
      </c>
      <c r="AO55" s="120" t="str">
        <f>IFERROR(VLOOKUP(Table1[RespondentID],'All Data'!$A$3:$CO$999,90,FALSE),"unknown")</f>
        <v>Jericho, 11753</v>
      </c>
      <c r="AP55" s="120" t="str">
        <f>IFERROR(VLOOKUP(Table1[RespondentID],'All Data'!$A$3:$CO$999,91,FALSE),"unknown")</f>
        <v>Asian</v>
      </c>
      <c r="AQ55" s="120" t="str">
        <f>IFERROR(VLOOKUP(Table1[RespondentID],'All Data'!$A$3:$CO$999,92,FALSE),"unknown")</f>
        <v>Not Hispanic or Latino</v>
      </c>
      <c r="AR55" s="120" t="str">
        <f>IFERROR(VLOOKUP(Table1[RespondentID],'All Data'!$A$3:$CO$999,93,FALSE),"unknown")</f>
        <v>English, Hindi</v>
      </c>
      <c r="AS55" s="120" t="str">
        <f>IFERROR(VLOOKUP(Table1[RespondentID],'All Data'!$A$3:$CW$999,94,FALSE),"unknown")</f>
        <v>$50,000 to $74,999</v>
      </c>
      <c r="AT55" s="120" t="str">
        <f>IFERROR(VLOOKUP(Table1[RespondentID],'All Data'!$A$3:$CW$999,95,FALSE),"unknown")</f>
        <v>High school graduate</v>
      </c>
      <c r="AU55" s="120" t="str">
        <f>IFERROR(VLOOKUP(Table1[RespondentID],'All Data'!$A$3:$CW$999,96,FALSE),"unknown")</f>
        <v>Self-employed</v>
      </c>
      <c r="AV55" s="120" t="str">
        <f>IFERROR(VLOOKUP(Table1[RespondentID],'All Data'!$A$3:$CW$999,97,FALSE),"unknown")</f>
        <v>Yes</v>
      </c>
      <c r="AW55" s="120">
        <f>IFERROR(VLOOKUP(Table1[RespondentID],'All Data'!$A$3:$CW$999,98,FALSE),"unknown")</f>
        <v>0</v>
      </c>
      <c r="AX55" s="120">
        <f>IFERROR(VLOOKUP(Table1[RespondentID],'All Data'!$A$3:$CW$999,99,FALSE),"unknown")</f>
        <v>0</v>
      </c>
    </row>
    <row r="56" spans="1:50">
      <c r="A56" s="5">
        <v>18025180610</v>
      </c>
      <c r="B56" s="5"/>
      <c r="C56" s="5" t="s">
        <v>17</v>
      </c>
      <c r="D56" s="5"/>
      <c r="E56" s="5" t="s">
        <v>19</v>
      </c>
      <c r="F56" s="5"/>
      <c r="G56" s="5"/>
      <c r="H56" s="5"/>
      <c r="I56" s="5"/>
      <c r="J56" s="5"/>
      <c r="K56" s="5" t="s">
        <v>25</v>
      </c>
      <c r="L56" s="5"/>
      <c r="M56" s="5"/>
      <c r="N56" s="5"/>
      <c r="O56" s="7"/>
      <c r="P56" s="7">
        <f t="shared" si="0"/>
        <v>3</v>
      </c>
      <c r="Q56" s="7">
        <f t="shared" si="1"/>
        <v>1</v>
      </c>
      <c r="R56" s="7"/>
      <c r="S56" s="7">
        <f t="shared" si="17"/>
        <v>0</v>
      </c>
      <c r="T56" s="7">
        <f t="shared" si="2"/>
        <v>1</v>
      </c>
      <c r="U56" s="7">
        <f t="shared" si="3"/>
        <v>0</v>
      </c>
      <c r="V56" s="119">
        <f t="shared" si="4"/>
        <v>1</v>
      </c>
      <c r="W56" s="119">
        <f t="shared" si="5"/>
        <v>0</v>
      </c>
      <c r="X56" s="119">
        <f t="shared" si="6"/>
        <v>0</v>
      </c>
      <c r="Y56" s="119">
        <f t="shared" si="7"/>
        <v>0</v>
      </c>
      <c r="Z56" s="119">
        <f t="shared" si="8"/>
        <v>0</v>
      </c>
      <c r="AA56" s="119">
        <f t="shared" si="9"/>
        <v>0</v>
      </c>
      <c r="AB56" s="119">
        <f t="shared" si="10"/>
        <v>1</v>
      </c>
      <c r="AC56" s="119">
        <f t="shared" si="11"/>
        <v>0</v>
      </c>
      <c r="AD56" s="119">
        <f t="shared" si="12"/>
        <v>0</v>
      </c>
      <c r="AE56" s="119">
        <f t="shared" si="13"/>
        <v>0</v>
      </c>
      <c r="AF56" s="7"/>
      <c r="AG56" s="7"/>
      <c r="AH56" s="7">
        <f t="shared" si="14"/>
        <v>3</v>
      </c>
      <c r="AI56" s="7">
        <f t="shared" si="15"/>
        <v>3</v>
      </c>
      <c r="AJ56" s="7" t="str">
        <f t="shared" si="16"/>
        <v>Correct</v>
      </c>
      <c r="AL56" s="120" t="str">
        <f>IFERROR(VLOOKUP(Table1[RespondentID],'All Data'!$A$3:$CO$999,87,FALSE),"unknown")</f>
        <v>Woman</v>
      </c>
      <c r="AM56" s="120">
        <f>IFERROR(VLOOKUP(Table1[RespondentID],'All Data'!$A$3:$CO$999,88,FALSE),"unknown")</f>
        <v>44</v>
      </c>
      <c r="AN56" s="120" t="str">
        <f>IFERROR(VLOOKUP(Table1[RespondentID],'All Data'!$A$3:$CO$999,89,FALSE),"unknown")</f>
        <v>Suffolk</v>
      </c>
      <c r="AO56" s="120" t="str">
        <f>IFERROR(VLOOKUP(Table1[RespondentID],'All Data'!$A$3:$CO$999,90,FALSE),"unknown")</f>
        <v>Huntington, 11743</v>
      </c>
      <c r="AP56" s="120" t="str">
        <f>IFERROR(VLOOKUP(Table1[RespondentID],'All Data'!$A$3:$CO$999,91,FALSE),"unknown")</f>
        <v>Asian</v>
      </c>
      <c r="AQ56" s="120" t="str">
        <f>IFERROR(VLOOKUP(Table1[RespondentID],'All Data'!$A$3:$CO$999,92,FALSE),"unknown")</f>
        <v>Not Hispanic or Latino</v>
      </c>
      <c r="AR56" s="120" t="str">
        <f>IFERROR(VLOOKUP(Table1[RespondentID],'All Data'!$A$3:$CO$999,93,FALSE),"unknown")</f>
        <v>Hindi</v>
      </c>
      <c r="AS56" s="120" t="str">
        <f>IFERROR(VLOOKUP(Table1[RespondentID],'All Data'!$A$3:$CW$999,94,FALSE),"unknown")</f>
        <v>$50,000 to $74,999</v>
      </c>
      <c r="AT56" s="120" t="str">
        <f>IFERROR(VLOOKUP(Table1[RespondentID],'All Data'!$A$3:$CW$999,95,FALSE),"unknown")</f>
        <v>College graduate</v>
      </c>
      <c r="AU56" s="120" t="str">
        <f>IFERROR(VLOOKUP(Table1[RespondentID],'All Data'!$A$3:$CW$999,96,FALSE),"unknown")</f>
        <v>Employed for wages</v>
      </c>
      <c r="AV56" s="120" t="str">
        <f>IFERROR(VLOOKUP(Table1[RespondentID],'All Data'!$A$3:$CW$999,97,FALSE),"unknown")</f>
        <v>Yes</v>
      </c>
      <c r="AW56" s="120">
        <f>IFERROR(VLOOKUP(Table1[RespondentID],'All Data'!$A$3:$CW$999,98,FALSE),"unknown")</f>
        <v>0</v>
      </c>
      <c r="AX56" s="120">
        <f>IFERROR(VLOOKUP(Table1[RespondentID],'All Data'!$A$3:$CW$999,99,FALSE),"unknown")</f>
        <v>0</v>
      </c>
    </row>
    <row r="57" spans="1:50">
      <c r="A57" s="5">
        <v>18025180456</v>
      </c>
      <c r="B57" s="5"/>
      <c r="C57" s="5" t="s">
        <v>17</v>
      </c>
      <c r="D57" s="5"/>
      <c r="E57" s="5" t="s">
        <v>19</v>
      </c>
      <c r="F57" s="5"/>
      <c r="G57" s="5"/>
      <c r="H57" s="5" t="s">
        <v>22</v>
      </c>
      <c r="I57" s="5"/>
      <c r="J57" s="5"/>
      <c r="K57" s="5"/>
      <c r="L57" s="5"/>
      <c r="M57" s="5"/>
      <c r="N57" s="5"/>
      <c r="O57" s="7"/>
      <c r="P57" s="7">
        <f t="shared" si="0"/>
        <v>3</v>
      </c>
      <c r="Q57" s="7">
        <f t="shared" si="1"/>
        <v>1</v>
      </c>
      <c r="R57" s="7"/>
      <c r="S57" s="7">
        <f t="shared" si="17"/>
        <v>0</v>
      </c>
      <c r="T57" s="7">
        <f t="shared" si="2"/>
        <v>1</v>
      </c>
      <c r="U57" s="7">
        <f t="shared" si="3"/>
        <v>0</v>
      </c>
      <c r="V57" s="119">
        <f t="shared" si="4"/>
        <v>1</v>
      </c>
      <c r="W57" s="119">
        <f t="shared" si="5"/>
        <v>0</v>
      </c>
      <c r="X57" s="119">
        <f t="shared" si="6"/>
        <v>0</v>
      </c>
      <c r="Y57" s="119">
        <f t="shared" si="7"/>
        <v>1</v>
      </c>
      <c r="Z57" s="119">
        <f t="shared" si="8"/>
        <v>0</v>
      </c>
      <c r="AA57" s="119">
        <f t="shared" si="9"/>
        <v>0</v>
      </c>
      <c r="AB57" s="119">
        <f t="shared" si="10"/>
        <v>0</v>
      </c>
      <c r="AC57" s="119">
        <f t="shared" si="11"/>
        <v>0</v>
      </c>
      <c r="AD57" s="119">
        <f t="shared" si="12"/>
        <v>0</v>
      </c>
      <c r="AE57" s="119">
        <f t="shared" si="13"/>
        <v>0</v>
      </c>
      <c r="AF57" s="7"/>
      <c r="AG57" s="7"/>
      <c r="AH57" s="7">
        <f t="shared" si="14"/>
        <v>3</v>
      </c>
      <c r="AI57" s="7">
        <f t="shared" si="15"/>
        <v>3</v>
      </c>
      <c r="AJ57" s="7" t="str">
        <f t="shared" si="16"/>
        <v>Correct</v>
      </c>
      <c r="AL57" s="120" t="str">
        <f>IFERROR(VLOOKUP(Table1[RespondentID],'All Data'!$A$3:$CO$999,87,FALSE),"unknown")</f>
        <v>Man</v>
      </c>
      <c r="AM57" s="120">
        <f>IFERROR(VLOOKUP(Table1[RespondentID],'All Data'!$A$3:$CO$999,88,FALSE),"unknown")</f>
        <v>65</v>
      </c>
      <c r="AN57" s="120" t="str">
        <f>IFERROR(VLOOKUP(Table1[RespondentID],'All Data'!$A$3:$CO$999,89,FALSE),"unknown")</f>
        <v>Suffolk</v>
      </c>
      <c r="AO57" s="120" t="str">
        <f>IFERROR(VLOOKUP(Table1[RespondentID],'All Data'!$A$3:$CO$999,90,FALSE),"unknown")</f>
        <v>Huntington, 11743</v>
      </c>
      <c r="AP57" s="120" t="str">
        <f>IFERROR(VLOOKUP(Table1[RespondentID],'All Data'!$A$3:$CO$999,91,FALSE),"unknown")</f>
        <v>Asian</v>
      </c>
      <c r="AQ57" s="120" t="str">
        <f>IFERROR(VLOOKUP(Table1[RespondentID],'All Data'!$A$3:$CO$999,92,FALSE),"unknown")</f>
        <v>Not Hispanic or Latino</v>
      </c>
      <c r="AR57" s="120" t="str">
        <f>IFERROR(VLOOKUP(Table1[RespondentID],'All Data'!$A$3:$CO$999,93,FALSE),"unknown")</f>
        <v>Hindi</v>
      </c>
      <c r="AS57" s="120" t="str">
        <f>IFERROR(VLOOKUP(Table1[RespondentID],'All Data'!$A$3:$CW$999,94,FALSE),"unknown")</f>
        <v>$50,000 to $74,999</v>
      </c>
      <c r="AT57" s="120" t="str">
        <f>IFERROR(VLOOKUP(Table1[RespondentID],'All Data'!$A$3:$CW$999,95,FALSE),"unknown")</f>
        <v>Some high school</v>
      </c>
      <c r="AU57" s="120" t="str">
        <f>IFERROR(VLOOKUP(Table1[RespondentID],'All Data'!$A$3:$CW$999,96,FALSE),"unknown")</f>
        <v>Self-employed</v>
      </c>
      <c r="AV57" s="120" t="str">
        <f>IFERROR(VLOOKUP(Table1[RespondentID],'All Data'!$A$3:$CW$999,97,FALSE),"unknown")</f>
        <v>Yes</v>
      </c>
      <c r="AW57" s="120">
        <f>IFERROR(VLOOKUP(Table1[RespondentID],'All Data'!$A$3:$CW$999,98,FALSE),"unknown")</f>
        <v>0</v>
      </c>
      <c r="AX57" s="120">
        <f>IFERROR(VLOOKUP(Table1[RespondentID],'All Data'!$A$3:$CW$999,99,FALSE),"unknown")</f>
        <v>0</v>
      </c>
    </row>
    <row r="58" spans="1:50">
      <c r="A58" s="5">
        <v>18025180354</v>
      </c>
      <c r="B58" s="5" t="s">
        <v>16</v>
      </c>
      <c r="C58" s="5" t="s">
        <v>17</v>
      </c>
      <c r="D58" s="5"/>
      <c r="E58" s="5"/>
      <c r="F58" s="5"/>
      <c r="G58" s="5"/>
      <c r="H58" s="5"/>
      <c r="I58" s="5"/>
      <c r="J58" s="5"/>
      <c r="K58" s="5" t="s">
        <v>25</v>
      </c>
      <c r="L58" s="5"/>
      <c r="M58" s="5"/>
      <c r="N58" s="5"/>
      <c r="O58" s="7"/>
      <c r="P58" s="7">
        <f t="shared" si="0"/>
        <v>3</v>
      </c>
      <c r="Q58" s="7">
        <f t="shared" si="1"/>
        <v>1</v>
      </c>
      <c r="R58" s="7"/>
      <c r="S58" s="7">
        <f t="shared" si="17"/>
        <v>1</v>
      </c>
      <c r="T58" s="7">
        <f t="shared" si="2"/>
        <v>1</v>
      </c>
      <c r="U58" s="7">
        <f t="shared" si="3"/>
        <v>0</v>
      </c>
      <c r="V58" s="119">
        <f t="shared" si="4"/>
        <v>0</v>
      </c>
      <c r="W58" s="119">
        <f t="shared" si="5"/>
        <v>0</v>
      </c>
      <c r="X58" s="119">
        <f t="shared" si="6"/>
        <v>0</v>
      </c>
      <c r="Y58" s="119">
        <f t="shared" si="7"/>
        <v>0</v>
      </c>
      <c r="Z58" s="119">
        <f t="shared" si="8"/>
        <v>0</v>
      </c>
      <c r="AA58" s="119">
        <f t="shared" si="9"/>
        <v>0</v>
      </c>
      <c r="AB58" s="119">
        <f t="shared" si="10"/>
        <v>1</v>
      </c>
      <c r="AC58" s="119">
        <f t="shared" si="11"/>
        <v>0</v>
      </c>
      <c r="AD58" s="119">
        <f t="shared" si="12"/>
        <v>0</v>
      </c>
      <c r="AE58" s="119">
        <f t="shared" si="13"/>
        <v>0</v>
      </c>
      <c r="AF58" s="7"/>
      <c r="AG58" s="7"/>
      <c r="AH58" s="7">
        <f t="shared" si="14"/>
        <v>3</v>
      </c>
      <c r="AI58" s="7">
        <f t="shared" si="15"/>
        <v>3</v>
      </c>
      <c r="AJ58" s="7" t="str">
        <f t="shared" si="16"/>
        <v>Correct</v>
      </c>
      <c r="AL58" s="120" t="str">
        <f>IFERROR(VLOOKUP(Table1[RespondentID],'All Data'!$A$3:$CO$999,87,FALSE),"unknown")</f>
        <v>Man</v>
      </c>
      <c r="AM58" s="120">
        <f>IFERROR(VLOOKUP(Table1[RespondentID],'All Data'!$A$3:$CO$999,88,FALSE),"unknown")</f>
        <v>18</v>
      </c>
      <c r="AN58" s="120" t="str">
        <f>IFERROR(VLOOKUP(Table1[RespondentID],'All Data'!$A$3:$CO$999,89,FALSE),"unknown")</f>
        <v>Suffolk</v>
      </c>
      <c r="AO58" s="120" t="str">
        <f>IFERROR(VLOOKUP(Table1[RespondentID],'All Data'!$A$3:$CO$999,90,FALSE),"unknown")</f>
        <v>Huntington, 11743</v>
      </c>
      <c r="AP58" s="120" t="str">
        <f>IFERROR(VLOOKUP(Table1[RespondentID],'All Data'!$A$3:$CO$999,91,FALSE),"unknown")</f>
        <v>White</v>
      </c>
      <c r="AQ58" s="120" t="str">
        <f>IFERROR(VLOOKUP(Table1[RespondentID],'All Data'!$A$3:$CO$999,92,FALSE),"unknown")</f>
        <v>Not Hispanic or Latino</v>
      </c>
      <c r="AR58" s="120" t="str">
        <f>IFERROR(VLOOKUP(Table1[RespondentID],'All Data'!$A$3:$CO$999,93,FALSE),"unknown")</f>
        <v>English</v>
      </c>
      <c r="AS58" s="120" t="str">
        <f>IFERROR(VLOOKUP(Table1[RespondentID],'All Data'!$A$3:$CW$999,94,FALSE),"unknown")</f>
        <v>$75,000 to $125,000</v>
      </c>
      <c r="AT58" s="120" t="str">
        <f>IFERROR(VLOOKUP(Table1[RespondentID],'All Data'!$A$3:$CW$999,95,FALSE),"unknown")</f>
        <v>High school graduate</v>
      </c>
      <c r="AU58" s="120" t="str">
        <f>IFERROR(VLOOKUP(Table1[RespondentID],'All Data'!$A$3:$CW$999,96,FALSE),"unknown")</f>
        <v>Employed for wages</v>
      </c>
      <c r="AV58" s="120" t="str">
        <f>IFERROR(VLOOKUP(Table1[RespondentID],'All Data'!$A$3:$CW$999,97,FALSE),"unknown")</f>
        <v>Yes</v>
      </c>
      <c r="AW58" s="120">
        <f>IFERROR(VLOOKUP(Table1[RespondentID],'All Data'!$A$3:$CW$999,98,FALSE),"unknown")</f>
        <v>0</v>
      </c>
      <c r="AX58" s="120">
        <f>IFERROR(VLOOKUP(Table1[RespondentID],'All Data'!$A$3:$CW$999,99,FALSE),"unknown")</f>
        <v>0</v>
      </c>
    </row>
    <row r="59" spans="1:50">
      <c r="A59" s="5">
        <v>18025180228</v>
      </c>
      <c r="B59" s="5"/>
      <c r="C59" s="5"/>
      <c r="D59" s="5"/>
      <c r="E59" s="5" t="s">
        <v>19</v>
      </c>
      <c r="F59" s="5"/>
      <c r="G59" s="5"/>
      <c r="H59" s="5"/>
      <c r="I59" s="5"/>
      <c r="J59" s="5"/>
      <c r="K59" s="5" t="s">
        <v>25</v>
      </c>
      <c r="L59" s="5" t="s">
        <v>26</v>
      </c>
      <c r="M59" s="5"/>
      <c r="N59" s="5"/>
      <c r="O59" s="7"/>
      <c r="P59" s="7">
        <f t="shared" si="0"/>
        <v>3</v>
      </c>
      <c r="Q59" s="7">
        <f t="shared" si="1"/>
        <v>1</v>
      </c>
      <c r="R59" s="7"/>
      <c r="S59" s="7">
        <f t="shared" si="17"/>
        <v>0</v>
      </c>
      <c r="T59" s="7">
        <f t="shared" si="2"/>
        <v>0</v>
      </c>
      <c r="U59" s="7">
        <f t="shared" si="3"/>
        <v>0</v>
      </c>
      <c r="V59" s="119">
        <f t="shared" si="4"/>
        <v>1</v>
      </c>
      <c r="W59" s="119">
        <f t="shared" si="5"/>
        <v>0</v>
      </c>
      <c r="X59" s="119">
        <f t="shared" si="6"/>
        <v>0</v>
      </c>
      <c r="Y59" s="119">
        <f t="shared" si="7"/>
        <v>0</v>
      </c>
      <c r="Z59" s="119">
        <f t="shared" si="8"/>
        <v>0</v>
      </c>
      <c r="AA59" s="119">
        <f t="shared" si="9"/>
        <v>0</v>
      </c>
      <c r="AB59" s="119">
        <f t="shared" si="10"/>
        <v>1</v>
      </c>
      <c r="AC59" s="119">
        <f t="shared" si="11"/>
        <v>1</v>
      </c>
      <c r="AD59" s="119">
        <f t="shared" si="12"/>
        <v>0</v>
      </c>
      <c r="AE59" s="119">
        <f t="shared" si="13"/>
        <v>0</v>
      </c>
      <c r="AF59" s="7"/>
      <c r="AG59" s="7"/>
      <c r="AH59" s="7">
        <f t="shared" si="14"/>
        <v>3</v>
      </c>
      <c r="AI59" s="7">
        <f t="shared" si="15"/>
        <v>3</v>
      </c>
      <c r="AJ59" s="7" t="str">
        <f t="shared" si="16"/>
        <v>Correct</v>
      </c>
      <c r="AL59" s="120" t="str">
        <f>IFERROR(VLOOKUP(Table1[RespondentID],'All Data'!$A$3:$CO$999,87,FALSE),"unknown")</f>
        <v>Woman</v>
      </c>
      <c r="AM59" s="120">
        <f>IFERROR(VLOOKUP(Table1[RespondentID],'All Data'!$A$3:$CO$999,88,FALSE),"unknown")</f>
        <v>18</v>
      </c>
      <c r="AN59" s="120" t="str">
        <f>IFERROR(VLOOKUP(Table1[RespondentID],'All Data'!$A$3:$CO$999,89,FALSE),"unknown")</f>
        <v>Suffolk</v>
      </c>
      <c r="AO59" s="120" t="str">
        <f>IFERROR(VLOOKUP(Table1[RespondentID],'All Data'!$A$3:$CO$999,90,FALSE),"unknown")</f>
        <v>Centerport, 11721</v>
      </c>
      <c r="AP59" s="120" t="str">
        <f>IFERROR(VLOOKUP(Table1[RespondentID],'All Data'!$A$3:$CO$999,91,FALSE),"unknown")</f>
        <v>White</v>
      </c>
      <c r="AQ59" s="120" t="str">
        <f>IFERROR(VLOOKUP(Table1[RespondentID],'All Data'!$A$3:$CO$999,92,FALSE),"unknown")</f>
        <v>Not Hispanic or Latino</v>
      </c>
      <c r="AR59" s="120" t="str">
        <f>IFERROR(VLOOKUP(Table1[RespondentID],'All Data'!$A$3:$CO$999,93,FALSE),"unknown")</f>
        <v>English</v>
      </c>
      <c r="AS59" s="120" t="str">
        <f>IFERROR(VLOOKUP(Table1[RespondentID],'All Data'!$A$3:$CW$999,94,FALSE),"unknown")</f>
        <v>$75,000 to $125,000</v>
      </c>
      <c r="AT59" s="120" t="str">
        <f>IFERROR(VLOOKUP(Table1[RespondentID],'All Data'!$A$3:$CW$999,95,FALSE),"unknown")</f>
        <v>High school graduate</v>
      </c>
      <c r="AU59" s="120" t="str">
        <f>IFERROR(VLOOKUP(Table1[RespondentID],'All Data'!$A$3:$CW$999,96,FALSE),"unknown")</f>
        <v>Student</v>
      </c>
      <c r="AV59" s="120" t="str">
        <f>IFERROR(VLOOKUP(Table1[RespondentID],'All Data'!$A$3:$CW$999,97,FALSE),"unknown")</f>
        <v>Yes</v>
      </c>
      <c r="AW59" s="120">
        <f>IFERROR(VLOOKUP(Table1[RespondentID],'All Data'!$A$3:$CW$999,98,FALSE),"unknown")</f>
        <v>0</v>
      </c>
      <c r="AX59" s="120">
        <f>IFERROR(VLOOKUP(Table1[RespondentID],'All Data'!$A$3:$CW$999,99,FALSE),"unknown")</f>
        <v>0</v>
      </c>
    </row>
    <row r="60" spans="1:50">
      <c r="A60" s="5">
        <v>18025180094</v>
      </c>
      <c r="B60" s="5"/>
      <c r="C60" s="5"/>
      <c r="D60" s="5"/>
      <c r="E60" s="5"/>
      <c r="F60" s="5"/>
      <c r="G60" s="5"/>
      <c r="H60" s="5" t="s">
        <v>22</v>
      </c>
      <c r="I60" s="5" t="s">
        <v>23</v>
      </c>
      <c r="J60" s="5"/>
      <c r="K60" s="5" t="s">
        <v>25</v>
      </c>
      <c r="L60" s="5" t="s">
        <v>26</v>
      </c>
      <c r="M60" s="5"/>
      <c r="N60" s="5"/>
      <c r="O60" s="7"/>
      <c r="P60" s="7">
        <f t="shared" si="0"/>
        <v>4</v>
      </c>
      <c r="Q60" s="7">
        <f t="shared" si="1"/>
        <v>0.75</v>
      </c>
      <c r="R60" s="7"/>
      <c r="S60" s="7">
        <f t="shared" si="17"/>
        <v>0</v>
      </c>
      <c r="T60" s="7">
        <f t="shared" si="2"/>
        <v>0</v>
      </c>
      <c r="U60" s="7">
        <f t="shared" si="3"/>
        <v>0</v>
      </c>
      <c r="V60" s="119">
        <f t="shared" si="4"/>
        <v>0</v>
      </c>
      <c r="W60" s="119">
        <f t="shared" si="5"/>
        <v>0</v>
      </c>
      <c r="X60" s="119">
        <f t="shared" si="6"/>
        <v>0</v>
      </c>
      <c r="Y60" s="119">
        <f t="shared" si="7"/>
        <v>0.75</v>
      </c>
      <c r="Z60" s="119">
        <f t="shared" si="8"/>
        <v>0.75</v>
      </c>
      <c r="AA60" s="119">
        <f t="shared" si="9"/>
        <v>0</v>
      </c>
      <c r="AB60" s="119">
        <f t="shared" si="10"/>
        <v>0.75</v>
      </c>
      <c r="AC60" s="119">
        <f t="shared" si="11"/>
        <v>0.75</v>
      </c>
      <c r="AD60" s="119">
        <f t="shared" si="12"/>
        <v>0</v>
      </c>
      <c r="AE60" s="119">
        <f t="shared" si="13"/>
        <v>0</v>
      </c>
      <c r="AF60" s="7"/>
      <c r="AG60" s="7"/>
      <c r="AH60" s="7">
        <f t="shared" si="14"/>
        <v>3</v>
      </c>
      <c r="AI60" s="7">
        <f t="shared" si="15"/>
        <v>4</v>
      </c>
      <c r="AJ60" s="7" t="str">
        <f t="shared" si="16"/>
        <v>Correct</v>
      </c>
      <c r="AL60" s="120" t="str">
        <f>IFERROR(VLOOKUP(Table1[RespondentID],'All Data'!$A$3:$CO$999,87,FALSE),"unknown")</f>
        <v>Woman</v>
      </c>
      <c r="AM60" s="120">
        <f>IFERROR(VLOOKUP(Table1[RespondentID],'All Data'!$A$3:$CO$999,88,FALSE),"unknown")</f>
        <v>46</v>
      </c>
      <c r="AN60" s="120" t="str">
        <f>IFERROR(VLOOKUP(Table1[RespondentID],'All Data'!$A$3:$CO$999,89,FALSE),"unknown")</f>
        <v>Suffolk</v>
      </c>
      <c r="AO60" s="120" t="str">
        <f>IFERROR(VLOOKUP(Table1[RespondentID],'All Data'!$A$3:$CO$999,90,FALSE),"unknown")</f>
        <v>Brightwaters, 11718</v>
      </c>
      <c r="AP60" s="120" t="str">
        <f>IFERROR(VLOOKUP(Table1[RespondentID],'All Data'!$A$3:$CO$999,91,FALSE),"unknown")</f>
        <v>White</v>
      </c>
      <c r="AQ60" s="120" t="str">
        <f>IFERROR(VLOOKUP(Table1[RespondentID],'All Data'!$A$3:$CO$999,92,FALSE),"unknown")</f>
        <v>Not Hispanic or Latino</v>
      </c>
      <c r="AR60" s="120" t="str">
        <f>IFERROR(VLOOKUP(Table1[RespondentID],'All Data'!$A$3:$CO$999,93,FALSE),"unknown")</f>
        <v>English</v>
      </c>
      <c r="AS60" s="120" t="str">
        <f>IFERROR(VLOOKUP(Table1[RespondentID],'All Data'!$A$3:$CW$999,94,FALSE),"unknown")</f>
        <v>$75,000 to $125,000</v>
      </c>
      <c r="AT60" s="120" t="str">
        <f>IFERROR(VLOOKUP(Table1[RespondentID],'All Data'!$A$3:$CW$999,95,FALSE),"unknown")</f>
        <v>Graduate school</v>
      </c>
      <c r="AU60" s="120" t="str">
        <f>IFERROR(VLOOKUP(Table1[RespondentID],'All Data'!$A$3:$CW$999,96,FALSE),"unknown")</f>
        <v>Employed for wages</v>
      </c>
      <c r="AV60" s="120" t="str">
        <f>IFERROR(VLOOKUP(Table1[RespondentID],'All Data'!$A$3:$CW$999,97,FALSE),"unknown")</f>
        <v>Yes</v>
      </c>
      <c r="AW60" s="120">
        <f>IFERROR(VLOOKUP(Table1[RespondentID],'All Data'!$A$3:$CW$999,98,FALSE),"unknown")</f>
        <v>0</v>
      </c>
      <c r="AX60" s="120">
        <f>IFERROR(VLOOKUP(Table1[RespondentID],'All Data'!$A$3:$CW$999,99,FALSE),"unknown")</f>
        <v>0</v>
      </c>
    </row>
    <row r="61" spans="1:50">
      <c r="A61" s="5">
        <v>18025179894</v>
      </c>
      <c r="B61" s="5"/>
      <c r="C61" s="5" t="s">
        <v>17</v>
      </c>
      <c r="D61" s="5"/>
      <c r="E61" s="5" t="s">
        <v>19</v>
      </c>
      <c r="F61" s="5"/>
      <c r="G61" s="5"/>
      <c r="H61" s="5" t="s">
        <v>22</v>
      </c>
      <c r="I61" s="5"/>
      <c r="J61" s="5"/>
      <c r="K61" s="5" t="s">
        <v>25</v>
      </c>
      <c r="L61" s="5"/>
      <c r="M61" s="5" t="s">
        <v>27</v>
      </c>
      <c r="N61" s="5"/>
      <c r="O61" s="7"/>
      <c r="P61" s="7">
        <f t="shared" si="0"/>
        <v>5</v>
      </c>
      <c r="Q61" s="7">
        <f t="shared" si="1"/>
        <v>0.6</v>
      </c>
      <c r="R61" s="7"/>
      <c r="S61" s="7">
        <f t="shared" si="17"/>
        <v>0</v>
      </c>
      <c r="T61" s="7">
        <f t="shared" si="2"/>
        <v>0.6</v>
      </c>
      <c r="U61" s="7">
        <f t="shared" si="3"/>
        <v>0</v>
      </c>
      <c r="V61" s="119">
        <f t="shared" si="4"/>
        <v>0.6</v>
      </c>
      <c r="W61" s="119">
        <f t="shared" si="5"/>
        <v>0</v>
      </c>
      <c r="X61" s="119">
        <f t="shared" si="6"/>
        <v>0</v>
      </c>
      <c r="Y61" s="119">
        <f t="shared" si="7"/>
        <v>0.6</v>
      </c>
      <c r="Z61" s="119">
        <f t="shared" si="8"/>
        <v>0</v>
      </c>
      <c r="AA61" s="119">
        <f t="shared" si="9"/>
        <v>0</v>
      </c>
      <c r="AB61" s="119">
        <f t="shared" si="10"/>
        <v>0.6</v>
      </c>
      <c r="AC61" s="119">
        <f t="shared" si="11"/>
        <v>0</v>
      </c>
      <c r="AD61" s="119">
        <f t="shared" si="12"/>
        <v>0.6</v>
      </c>
      <c r="AE61" s="119">
        <f t="shared" si="13"/>
        <v>0</v>
      </c>
      <c r="AF61" s="7"/>
      <c r="AG61" s="7"/>
      <c r="AH61" s="7">
        <f t="shared" si="14"/>
        <v>3</v>
      </c>
      <c r="AI61" s="7">
        <f t="shared" si="15"/>
        <v>5</v>
      </c>
      <c r="AJ61" s="7" t="str">
        <f t="shared" si="16"/>
        <v>Correct</v>
      </c>
      <c r="AL61" s="120" t="str">
        <f>IFERROR(VLOOKUP(Table1[RespondentID],'All Data'!$A$3:$CO$999,87,FALSE),"unknown")</f>
        <v>Man</v>
      </c>
      <c r="AM61" s="120">
        <f>IFERROR(VLOOKUP(Table1[RespondentID],'All Data'!$A$3:$CO$999,88,FALSE),"unknown")</f>
        <v>18</v>
      </c>
      <c r="AN61" s="120" t="str">
        <f>IFERROR(VLOOKUP(Table1[RespondentID],'All Data'!$A$3:$CO$999,89,FALSE),"unknown")</f>
        <v>Suffolk</v>
      </c>
      <c r="AO61" s="120" t="str">
        <f>IFERROR(VLOOKUP(Table1[RespondentID],'All Data'!$A$3:$CO$999,90,FALSE),"unknown")</f>
        <v>Centerport, 11721</v>
      </c>
      <c r="AP61" s="120" t="str">
        <f>IFERROR(VLOOKUP(Table1[RespondentID],'All Data'!$A$3:$CO$999,91,FALSE),"unknown")</f>
        <v>White</v>
      </c>
      <c r="AQ61" s="120" t="str">
        <f>IFERROR(VLOOKUP(Table1[RespondentID],'All Data'!$A$3:$CO$999,92,FALSE),"unknown")</f>
        <v>Not Hispanic or Latino</v>
      </c>
      <c r="AR61" s="120" t="str">
        <f>IFERROR(VLOOKUP(Table1[RespondentID],'All Data'!$A$3:$CO$999,93,FALSE),"unknown")</f>
        <v>English</v>
      </c>
      <c r="AS61" s="120" t="str">
        <f>IFERROR(VLOOKUP(Table1[RespondentID],'All Data'!$A$3:$CW$999,94,FALSE),"unknown")</f>
        <v>Over $125,000</v>
      </c>
      <c r="AT61" s="120" t="str">
        <f>IFERROR(VLOOKUP(Table1[RespondentID],'All Data'!$A$3:$CW$999,95,FALSE),"unknown")</f>
        <v>High school graduate</v>
      </c>
      <c r="AU61" s="120" t="str">
        <f>IFERROR(VLOOKUP(Table1[RespondentID],'All Data'!$A$3:$CW$999,96,FALSE),"unknown")</f>
        <v>Student</v>
      </c>
      <c r="AV61" s="120" t="str">
        <f>IFERROR(VLOOKUP(Table1[RespondentID],'All Data'!$A$3:$CW$999,97,FALSE),"unknown")</f>
        <v>Yes</v>
      </c>
      <c r="AW61" s="120">
        <f>IFERROR(VLOOKUP(Table1[RespondentID],'All Data'!$A$3:$CW$999,98,FALSE),"unknown")</f>
        <v>0</v>
      </c>
      <c r="AX61" s="120">
        <f>IFERROR(VLOOKUP(Table1[RespondentID],'All Data'!$A$3:$CW$999,99,FALSE),"unknown")</f>
        <v>0</v>
      </c>
    </row>
    <row r="62" spans="1:50">
      <c r="A62" s="5">
        <v>18025179745</v>
      </c>
      <c r="B62" s="5"/>
      <c r="C62" s="5" t="s">
        <v>17</v>
      </c>
      <c r="D62" s="5"/>
      <c r="E62" s="5" t="s">
        <v>19</v>
      </c>
      <c r="F62" s="5"/>
      <c r="G62" s="5"/>
      <c r="H62" s="5"/>
      <c r="I62" s="5"/>
      <c r="J62" s="5"/>
      <c r="K62" s="5" t="s">
        <v>25</v>
      </c>
      <c r="L62" s="5"/>
      <c r="M62" s="5"/>
      <c r="N62" s="5"/>
      <c r="O62" s="7"/>
      <c r="P62" s="7">
        <f t="shared" si="0"/>
        <v>3</v>
      </c>
      <c r="Q62" s="7">
        <f t="shared" si="1"/>
        <v>1</v>
      </c>
      <c r="R62" s="7"/>
      <c r="S62" s="7">
        <f t="shared" si="17"/>
        <v>0</v>
      </c>
      <c r="T62" s="7">
        <f t="shared" si="2"/>
        <v>1</v>
      </c>
      <c r="U62" s="7">
        <f t="shared" si="3"/>
        <v>0</v>
      </c>
      <c r="V62" s="119">
        <f t="shared" si="4"/>
        <v>1</v>
      </c>
      <c r="W62" s="119">
        <f t="shared" si="5"/>
        <v>0</v>
      </c>
      <c r="X62" s="119">
        <f t="shared" si="6"/>
        <v>0</v>
      </c>
      <c r="Y62" s="119">
        <f t="shared" si="7"/>
        <v>0</v>
      </c>
      <c r="Z62" s="119">
        <f t="shared" si="8"/>
        <v>0</v>
      </c>
      <c r="AA62" s="119">
        <f t="shared" si="9"/>
        <v>0</v>
      </c>
      <c r="AB62" s="119">
        <f t="shared" si="10"/>
        <v>1</v>
      </c>
      <c r="AC62" s="119">
        <f t="shared" si="11"/>
        <v>0</v>
      </c>
      <c r="AD62" s="119">
        <f t="shared" si="12"/>
        <v>0</v>
      </c>
      <c r="AE62" s="119">
        <f t="shared" si="13"/>
        <v>0</v>
      </c>
      <c r="AF62" s="7"/>
      <c r="AG62" s="7"/>
      <c r="AH62" s="7">
        <f t="shared" si="14"/>
        <v>3</v>
      </c>
      <c r="AI62" s="7">
        <f t="shared" si="15"/>
        <v>3</v>
      </c>
      <c r="AJ62" s="7" t="str">
        <f t="shared" si="16"/>
        <v>Correct</v>
      </c>
      <c r="AL62" s="120" t="str">
        <f>IFERROR(VLOOKUP(Table1[RespondentID],'All Data'!$A$3:$CO$999,87,FALSE),"unknown")</f>
        <v>Man</v>
      </c>
      <c r="AM62" s="120">
        <f>IFERROR(VLOOKUP(Table1[RespondentID],'All Data'!$A$3:$CO$999,88,FALSE),"unknown")</f>
        <v>39</v>
      </c>
      <c r="AN62" s="120" t="str">
        <f>IFERROR(VLOOKUP(Table1[RespondentID],'All Data'!$A$3:$CO$999,89,FALSE),"unknown")</f>
        <v>Suffolk</v>
      </c>
      <c r="AO62" s="120" t="str">
        <f>IFERROR(VLOOKUP(Table1[RespondentID],'All Data'!$A$3:$CO$999,90,FALSE),"unknown")</f>
        <v>Northport, 11768</v>
      </c>
      <c r="AP62" s="120" t="str">
        <f>IFERROR(VLOOKUP(Table1[RespondentID],'All Data'!$A$3:$CO$999,91,FALSE),"unknown")</f>
        <v>White</v>
      </c>
      <c r="AQ62" s="120" t="str">
        <f>IFERROR(VLOOKUP(Table1[RespondentID],'All Data'!$A$3:$CO$999,92,FALSE),"unknown")</f>
        <v>Not Hispanic or Latino</v>
      </c>
      <c r="AR62" s="120" t="str">
        <f>IFERROR(VLOOKUP(Table1[RespondentID],'All Data'!$A$3:$CO$999,93,FALSE),"unknown")</f>
        <v>English</v>
      </c>
      <c r="AS62" s="120" t="str">
        <f>IFERROR(VLOOKUP(Table1[RespondentID],'All Data'!$A$3:$CW$999,94,FALSE),"unknown")</f>
        <v>Over $125,000</v>
      </c>
      <c r="AT62" s="120" t="str">
        <f>IFERROR(VLOOKUP(Table1[RespondentID],'All Data'!$A$3:$CW$999,95,FALSE),"unknown")</f>
        <v>Graduate school</v>
      </c>
      <c r="AU62" s="120" t="str">
        <f>IFERROR(VLOOKUP(Table1[RespondentID],'All Data'!$A$3:$CW$999,96,FALSE),"unknown")</f>
        <v>Employed for wages</v>
      </c>
      <c r="AV62" s="120" t="str">
        <f>IFERROR(VLOOKUP(Table1[RespondentID],'All Data'!$A$3:$CW$999,97,FALSE),"unknown")</f>
        <v>Yes</v>
      </c>
      <c r="AW62" s="120">
        <f>IFERROR(VLOOKUP(Table1[RespondentID],'All Data'!$A$3:$CW$999,98,FALSE),"unknown")</f>
        <v>0</v>
      </c>
      <c r="AX62" s="120">
        <f>IFERROR(VLOOKUP(Table1[RespondentID],'All Data'!$A$3:$CW$999,99,FALSE),"unknown")</f>
        <v>0</v>
      </c>
    </row>
    <row r="63" spans="1:50">
      <c r="A63" s="5">
        <v>18025179616</v>
      </c>
      <c r="B63" s="5"/>
      <c r="C63" s="5"/>
      <c r="D63" s="5"/>
      <c r="E63" s="5" t="s">
        <v>19</v>
      </c>
      <c r="F63" s="5"/>
      <c r="G63" s="5"/>
      <c r="H63" s="5" t="s">
        <v>22</v>
      </c>
      <c r="I63" s="5"/>
      <c r="J63" s="5"/>
      <c r="K63" s="5" t="s">
        <v>25</v>
      </c>
      <c r="L63" s="5"/>
      <c r="M63" s="5"/>
      <c r="N63" s="5"/>
      <c r="O63" s="7"/>
      <c r="P63" s="7">
        <f t="shared" si="0"/>
        <v>3</v>
      </c>
      <c r="Q63" s="7">
        <f t="shared" si="1"/>
        <v>1</v>
      </c>
      <c r="R63" s="7"/>
      <c r="S63" s="7">
        <f t="shared" si="17"/>
        <v>0</v>
      </c>
      <c r="T63" s="7">
        <f t="shared" si="2"/>
        <v>0</v>
      </c>
      <c r="U63" s="7">
        <f t="shared" si="3"/>
        <v>0</v>
      </c>
      <c r="V63" s="119">
        <f t="shared" si="4"/>
        <v>1</v>
      </c>
      <c r="W63" s="119">
        <f t="shared" si="5"/>
        <v>0</v>
      </c>
      <c r="X63" s="119">
        <f t="shared" si="6"/>
        <v>0</v>
      </c>
      <c r="Y63" s="119">
        <f t="shared" si="7"/>
        <v>1</v>
      </c>
      <c r="Z63" s="119">
        <f t="shared" si="8"/>
        <v>0</v>
      </c>
      <c r="AA63" s="119">
        <f t="shared" si="9"/>
        <v>0</v>
      </c>
      <c r="AB63" s="119">
        <f t="shared" si="10"/>
        <v>1</v>
      </c>
      <c r="AC63" s="119">
        <f t="shared" si="11"/>
        <v>0</v>
      </c>
      <c r="AD63" s="119">
        <f t="shared" si="12"/>
        <v>0</v>
      </c>
      <c r="AE63" s="119">
        <f t="shared" si="13"/>
        <v>0</v>
      </c>
      <c r="AF63" s="7"/>
      <c r="AG63" s="7"/>
      <c r="AH63" s="7">
        <f t="shared" si="14"/>
        <v>3</v>
      </c>
      <c r="AI63" s="7">
        <f t="shared" si="15"/>
        <v>3</v>
      </c>
      <c r="AJ63" s="7" t="str">
        <f t="shared" si="16"/>
        <v>Correct</v>
      </c>
      <c r="AL63" s="120" t="str">
        <f>IFERROR(VLOOKUP(Table1[RespondentID],'All Data'!$A$3:$CO$999,87,FALSE),"unknown")</f>
        <v>Woman</v>
      </c>
      <c r="AM63" s="120">
        <f>IFERROR(VLOOKUP(Table1[RespondentID],'All Data'!$A$3:$CO$999,88,FALSE),"unknown")</f>
        <v>40</v>
      </c>
      <c r="AN63" s="120" t="str">
        <f>IFERROR(VLOOKUP(Table1[RespondentID],'All Data'!$A$3:$CO$999,89,FALSE),"unknown")</f>
        <v>Suffolk</v>
      </c>
      <c r="AO63" s="120" t="str">
        <f>IFERROR(VLOOKUP(Table1[RespondentID],'All Data'!$A$3:$CO$999,90,FALSE),"unknown")</f>
        <v>South Huntington, 11746</v>
      </c>
      <c r="AP63" s="120" t="str">
        <f>IFERROR(VLOOKUP(Table1[RespondentID],'All Data'!$A$3:$CO$999,91,FALSE),"unknown")</f>
        <v>Asian</v>
      </c>
      <c r="AQ63" s="120" t="str">
        <f>IFERROR(VLOOKUP(Table1[RespondentID],'All Data'!$A$3:$CO$999,92,FALSE),"unknown")</f>
        <v>Not Hispanic or Latino</v>
      </c>
      <c r="AR63" s="120" t="str">
        <f>IFERROR(VLOOKUP(Table1[RespondentID],'All Data'!$A$3:$CO$999,93,FALSE),"unknown")</f>
        <v>English, Hindi</v>
      </c>
      <c r="AS63" s="120" t="str">
        <f>IFERROR(VLOOKUP(Table1[RespondentID],'All Data'!$A$3:$CW$999,94,FALSE),"unknown")</f>
        <v>$75,000 to $125,000</v>
      </c>
      <c r="AT63" s="120" t="str">
        <f>IFERROR(VLOOKUP(Table1[RespondentID],'All Data'!$A$3:$CW$999,95,FALSE),"unknown")</f>
        <v>College graduate</v>
      </c>
      <c r="AU63" s="120" t="str">
        <f>IFERROR(VLOOKUP(Table1[RespondentID],'All Data'!$A$3:$CW$999,96,FALSE),"unknown")</f>
        <v>Employed for wages</v>
      </c>
      <c r="AV63" s="120" t="str">
        <f>IFERROR(VLOOKUP(Table1[RespondentID],'All Data'!$A$3:$CW$999,97,FALSE),"unknown")</f>
        <v>Yes</v>
      </c>
      <c r="AW63" s="120">
        <f>IFERROR(VLOOKUP(Table1[RespondentID],'All Data'!$A$3:$CW$999,98,FALSE),"unknown")</f>
        <v>0</v>
      </c>
      <c r="AX63" s="120">
        <f>IFERROR(VLOOKUP(Table1[RespondentID],'All Data'!$A$3:$CW$999,99,FALSE),"unknown")</f>
        <v>0</v>
      </c>
    </row>
    <row r="64" spans="1:50">
      <c r="A64" s="5">
        <v>18025179232</v>
      </c>
      <c r="B64" s="5"/>
      <c r="C64" s="5"/>
      <c r="D64" s="5" t="s">
        <v>18</v>
      </c>
      <c r="E64" s="5"/>
      <c r="F64" s="5"/>
      <c r="G64" s="5" t="s">
        <v>21</v>
      </c>
      <c r="H64" s="5"/>
      <c r="I64" s="5"/>
      <c r="J64" s="5"/>
      <c r="K64" s="5"/>
      <c r="L64" s="5"/>
      <c r="M64" s="5" t="s">
        <v>27</v>
      </c>
      <c r="N64" s="5"/>
      <c r="O64" s="7"/>
      <c r="P64" s="7">
        <f t="shared" si="0"/>
        <v>3</v>
      </c>
      <c r="Q64" s="7">
        <f t="shared" si="1"/>
        <v>1</v>
      </c>
      <c r="R64" s="7"/>
      <c r="S64" s="7">
        <f t="shared" si="17"/>
        <v>0</v>
      </c>
      <c r="T64" s="7">
        <f t="shared" si="2"/>
        <v>0</v>
      </c>
      <c r="U64" s="7">
        <f t="shared" si="3"/>
        <v>1</v>
      </c>
      <c r="V64" s="119">
        <f t="shared" si="4"/>
        <v>0</v>
      </c>
      <c r="W64" s="119">
        <f t="shared" si="5"/>
        <v>0</v>
      </c>
      <c r="X64" s="119">
        <f t="shared" si="6"/>
        <v>1</v>
      </c>
      <c r="Y64" s="119">
        <f t="shared" si="7"/>
        <v>0</v>
      </c>
      <c r="Z64" s="119">
        <f t="shared" si="8"/>
        <v>0</v>
      </c>
      <c r="AA64" s="119">
        <f t="shared" si="9"/>
        <v>0</v>
      </c>
      <c r="AB64" s="119">
        <f t="shared" si="10"/>
        <v>0</v>
      </c>
      <c r="AC64" s="119">
        <f t="shared" si="11"/>
        <v>0</v>
      </c>
      <c r="AD64" s="119">
        <f t="shared" si="12"/>
        <v>1</v>
      </c>
      <c r="AE64" s="119">
        <f t="shared" si="13"/>
        <v>0</v>
      </c>
      <c r="AF64" s="7"/>
      <c r="AG64" s="7"/>
      <c r="AH64" s="7">
        <f t="shared" si="14"/>
        <v>3</v>
      </c>
      <c r="AI64" s="7">
        <f t="shared" si="15"/>
        <v>3</v>
      </c>
      <c r="AJ64" s="7" t="str">
        <f t="shared" si="16"/>
        <v>Correct</v>
      </c>
      <c r="AL64" s="120" t="str">
        <f>IFERROR(VLOOKUP(Table1[RespondentID],'All Data'!$A$3:$CO$999,87,FALSE),"unknown")</f>
        <v>Woman</v>
      </c>
      <c r="AM64" s="120">
        <f>IFERROR(VLOOKUP(Table1[RespondentID],'All Data'!$A$3:$CO$999,88,FALSE),"unknown")</f>
        <v>44</v>
      </c>
      <c r="AN64" s="120" t="str">
        <f>IFERROR(VLOOKUP(Table1[RespondentID],'All Data'!$A$3:$CO$999,89,FALSE),"unknown")</f>
        <v>Suffolk</v>
      </c>
      <c r="AO64" s="120" t="str">
        <f>IFERROR(VLOOKUP(Table1[RespondentID],'All Data'!$A$3:$CO$999,90,FALSE),"unknown")</f>
        <v>Deer Park, 11729</v>
      </c>
      <c r="AP64" s="120" t="str">
        <f>IFERROR(VLOOKUP(Table1[RespondentID],'All Data'!$A$3:$CO$999,91,FALSE),"unknown")</f>
        <v>Asian</v>
      </c>
      <c r="AQ64" s="120" t="str">
        <f>IFERROR(VLOOKUP(Table1[RespondentID],'All Data'!$A$3:$CO$999,92,FALSE),"unknown")</f>
        <v>Not Hispanic or Latino</v>
      </c>
      <c r="AR64" s="120" t="str">
        <f>IFERROR(VLOOKUP(Table1[RespondentID],'All Data'!$A$3:$CO$999,93,FALSE),"unknown")</f>
        <v>English, Farsi</v>
      </c>
      <c r="AS64" s="120" t="str">
        <f>IFERROR(VLOOKUP(Table1[RespondentID],'All Data'!$A$3:$CW$999,94,FALSE),"unknown")</f>
        <v>$75,000 to $125,000</v>
      </c>
      <c r="AT64" s="120" t="str">
        <f>IFERROR(VLOOKUP(Table1[RespondentID],'All Data'!$A$3:$CW$999,95,FALSE),"unknown")</f>
        <v>College graduate</v>
      </c>
      <c r="AU64" s="120" t="str">
        <f>IFERROR(VLOOKUP(Table1[RespondentID],'All Data'!$A$3:$CW$999,96,FALSE),"unknown")</f>
        <v>Self-employed</v>
      </c>
      <c r="AV64" s="120" t="str">
        <f>IFERROR(VLOOKUP(Table1[RespondentID],'All Data'!$A$3:$CW$999,97,FALSE),"unknown")</f>
        <v>Yes</v>
      </c>
      <c r="AW64" s="120">
        <f>IFERROR(VLOOKUP(Table1[RespondentID],'All Data'!$A$3:$CW$999,98,FALSE),"unknown")</f>
        <v>0</v>
      </c>
      <c r="AX64" s="120">
        <f>IFERROR(VLOOKUP(Table1[RespondentID],'All Data'!$A$3:$CW$999,99,FALSE),"unknown")</f>
        <v>0</v>
      </c>
    </row>
    <row r="65" spans="1:50">
      <c r="A65" s="5">
        <v>18025179113</v>
      </c>
      <c r="B65" s="5"/>
      <c r="C65" s="5"/>
      <c r="D65" s="5"/>
      <c r="E65" s="5" t="s">
        <v>19</v>
      </c>
      <c r="F65" s="5"/>
      <c r="G65" s="5"/>
      <c r="H65" s="5"/>
      <c r="I65" s="5"/>
      <c r="J65" s="5"/>
      <c r="K65" s="5" t="s">
        <v>25</v>
      </c>
      <c r="L65" s="5"/>
      <c r="M65" s="5" t="s">
        <v>27</v>
      </c>
      <c r="N65" s="5"/>
      <c r="O65" s="7"/>
      <c r="P65" s="7">
        <f t="shared" si="0"/>
        <v>3</v>
      </c>
      <c r="Q65" s="7">
        <f t="shared" si="1"/>
        <v>1</v>
      </c>
      <c r="R65" s="7"/>
      <c r="S65" s="7">
        <f t="shared" si="17"/>
        <v>0</v>
      </c>
      <c r="T65" s="7">
        <f t="shared" si="2"/>
        <v>0</v>
      </c>
      <c r="U65" s="7">
        <f t="shared" si="3"/>
        <v>0</v>
      </c>
      <c r="V65" s="119">
        <f t="shared" si="4"/>
        <v>1</v>
      </c>
      <c r="W65" s="119">
        <f t="shared" si="5"/>
        <v>0</v>
      </c>
      <c r="X65" s="119">
        <f t="shared" si="6"/>
        <v>0</v>
      </c>
      <c r="Y65" s="119">
        <f t="shared" si="7"/>
        <v>0</v>
      </c>
      <c r="Z65" s="119">
        <f t="shared" si="8"/>
        <v>0</v>
      </c>
      <c r="AA65" s="119">
        <f t="shared" si="9"/>
        <v>0</v>
      </c>
      <c r="AB65" s="119">
        <f t="shared" si="10"/>
        <v>1</v>
      </c>
      <c r="AC65" s="119">
        <f t="shared" si="11"/>
        <v>0</v>
      </c>
      <c r="AD65" s="119">
        <f t="shared" si="12"/>
        <v>1</v>
      </c>
      <c r="AE65" s="119">
        <f t="shared" si="13"/>
        <v>0</v>
      </c>
      <c r="AF65" s="7"/>
      <c r="AG65" s="7"/>
      <c r="AH65" s="7">
        <f t="shared" si="14"/>
        <v>3</v>
      </c>
      <c r="AI65" s="7">
        <f t="shared" si="15"/>
        <v>3</v>
      </c>
      <c r="AJ65" s="7" t="str">
        <f t="shared" si="16"/>
        <v>Correct</v>
      </c>
      <c r="AL65" s="120" t="str">
        <f>IFERROR(VLOOKUP(Table1[RespondentID],'All Data'!$A$3:$CO$999,87,FALSE),"unknown")</f>
        <v>Woman</v>
      </c>
      <c r="AM65" s="120">
        <f>IFERROR(VLOOKUP(Table1[RespondentID],'All Data'!$A$3:$CO$999,88,FALSE),"unknown")</f>
        <v>53</v>
      </c>
      <c r="AN65" s="120" t="str">
        <f>IFERROR(VLOOKUP(Table1[RespondentID],'All Data'!$A$3:$CO$999,89,FALSE),"unknown")</f>
        <v>Suffolk</v>
      </c>
      <c r="AO65" s="120" t="str">
        <f>IFERROR(VLOOKUP(Table1[RespondentID],'All Data'!$A$3:$CO$999,90,FALSE),"unknown")</f>
        <v>Kings Park, 11754</v>
      </c>
      <c r="AP65" s="120" t="str">
        <f>IFERROR(VLOOKUP(Table1[RespondentID],'All Data'!$A$3:$CO$999,91,FALSE),"unknown")</f>
        <v>Asian</v>
      </c>
      <c r="AQ65" s="120" t="str">
        <f>IFERROR(VLOOKUP(Table1[RespondentID],'All Data'!$A$3:$CO$999,92,FALSE),"unknown")</f>
        <v>Not Hispanic or Latino</v>
      </c>
      <c r="AR65" s="120" t="str">
        <f>IFERROR(VLOOKUP(Table1[RespondentID],'All Data'!$A$3:$CO$999,93,FALSE),"unknown")</f>
        <v>English</v>
      </c>
      <c r="AS65" s="120" t="str">
        <f>IFERROR(VLOOKUP(Table1[RespondentID],'All Data'!$A$3:$CW$999,94,FALSE),"unknown")</f>
        <v>$75,000 to $125,000</v>
      </c>
      <c r="AT65" s="120" t="str">
        <f>IFERROR(VLOOKUP(Table1[RespondentID],'All Data'!$A$3:$CW$999,95,FALSE),"unknown")</f>
        <v>High school graduate</v>
      </c>
      <c r="AU65" s="120" t="str">
        <f>IFERROR(VLOOKUP(Table1[RespondentID],'All Data'!$A$3:$CW$999,96,FALSE),"unknown")</f>
        <v>Out of work, but not currently looking</v>
      </c>
      <c r="AV65" s="120" t="str">
        <f>IFERROR(VLOOKUP(Table1[RespondentID],'All Data'!$A$3:$CW$999,97,FALSE),"unknown")</f>
        <v>Yes</v>
      </c>
      <c r="AW65" s="120">
        <f>IFERROR(VLOOKUP(Table1[RespondentID],'All Data'!$A$3:$CW$999,98,FALSE),"unknown")</f>
        <v>0</v>
      </c>
      <c r="AX65" s="120">
        <f>IFERROR(VLOOKUP(Table1[RespondentID],'All Data'!$A$3:$CW$999,99,FALSE),"unknown")</f>
        <v>0</v>
      </c>
    </row>
    <row r="66" spans="1:50">
      <c r="A66" s="5">
        <v>18025179000</v>
      </c>
      <c r="B66" s="5"/>
      <c r="C66" s="5" t="s">
        <v>17</v>
      </c>
      <c r="D66" s="5"/>
      <c r="E66" s="5"/>
      <c r="F66" s="5"/>
      <c r="G66" s="5" t="s">
        <v>21</v>
      </c>
      <c r="H66" s="5"/>
      <c r="I66" s="5"/>
      <c r="J66" s="5"/>
      <c r="K66" s="5"/>
      <c r="L66" s="5"/>
      <c r="M66" s="5" t="s">
        <v>27</v>
      </c>
      <c r="N66" s="5"/>
      <c r="O66" s="7"/>
      <c r="P66" s="7">
        <f t="shared" ref="P66:P129" si="18">COUNTA(B66:N66)</f>
        <v>3</v>
      </c>
      <c r="Q66" s="7">
        <f t="shared" ref="Q66:Q129" si="19">3/P66</f>
        <v>1</v>
      </c>
      <c r="R66" s="7"/>
      <c r="S66" s="7">
        <f t="shared" si="17"/>
        <v>0</v>
      </c>
      <c r="T66" s="7">
        <f t="shared" ref="T66:T129" si="20">IF($P66&lt;3,IF($C66=$C$1,1,0),IF($C66=$C$1,$Q66,0))</f>
        <v>1</v>
      </c>
      <c r="U66" s="7">
        <f t="shared" ref="U66:U129" si="21">IF($P66&lt;3,IF($D66=$D$1,1,0),IF($D66=$D$1,$Q66,0))</f>
        <v>0</v>
      </c>
      <c r="V66" s="119">
        <f t="shared" ref="V66:V129" si="22">IF($P66&lt;3,IF($E66=$E$1,1,0),IF($E66=$E$1,$Q66,0))</f>
        <v>0</v>
      </c>
      <c r="W66" s="119">
        <f t="shared" ref="W66:W129" si="23">IF($P66&lt;3,IF($F66=$F$1,1,0),IF($F66=$F$1,$Q66,0))</f>
        <v>0</v>
      </c>
      <c r="X66" s="119">
        <f t="shared" ref="X66:X129" si="24">IF($P66&lt;3,IF($G66=$G$1,1,0),IF($G66=$G$1,$Q66,0))</f>
        <v>1</v>
      </c>
      <c r="Y66" s="119">
        <f t="shared" ref="Y66:Y129" si="25">IF($P66&lt;3,IF($H66=$H$1,1,0),IF($H66=$H$1,$Q66,0))</f>
        <v>0</v>
      </c>
      <c r="Z66" s="119">
        <f t="shared" ref="Z66:Z129" si="26">IF($P66&lt;3,IF($I66=$I$1,1,0),IF($I66=$I$1,$Q66,0))</f>
        <v>0</v>
      </c>
      <c r="AA66" s="119">
        <f t="shared" ref="AA66:AA129" si="27">IF($P66&lt;3,IF($J66=$J$1,1,0),IF($J66=$J$1,$Q66,0))</f>
        <v>0</v>
      </c>
      <c r="AB66" s="119">
        <f t="shared" ref="AB66:AB129" si="28">IF($P66&lt;3,IF($K66=$K$1,1,0),IF($K66=$K$1,$Q66,0))</f>
        <v>0</v>
      </c>
      <c r="AC66" s="119">
        <f t="shared" ref="AC66:AC129" si="29">IF($P66&lt;3,IF($L66=$L$1,1,0),IF($L66=$L$1,$Q66,0))</f>
        <v>0</v>
      </c>
      <c r="AD66" s="119">
        <f t="shared" ref="AD66:AD129" si="30">IF($P66&lt;3,IF($M66=$M$1,1,0),IF($M66=$M$1,$Q66,0))</f>
        <v>1</v>
      </c>
      <c r="AE66" s="119">
        <f t="shared" ref="AE66:AE129" si="31">IF($P66&lt;3,IF($N66=$N$1,1,0),IF($N66=$N$1,$Q66,0))</f>
        <v>0</v>
      </c>
      <c r="AF66" s="7"/>
      <c r="AG66" s="7"/>
      <c r="AH66" s="7">
        <f t="shared" ref="AH66:AH129" si="32">SUM(S66:AE66)</f>
        <v>3</v>
      </c>
      <c r="AI66" s="7">
        <f t="shared" ref="AI66:AI129" si="33">P66</f>
        <v>3</v>
      </c>
      <c r="AJ66" s="7" t="str">
        <f t="shared" ref="AJ66:AJ129" si="34">IF(AH66=AI66,"Correct",IF(AH66=3,"Correct","Wrong"))</f>
        <v>Correct</v>
      </c>
      <c r="AL66" s="120" t="str">
        <f>IFERROR(VLOOKUP(Table1[RespondentID],'All Data'!$A$3:$CO$999,87,FALSE),"unknown")</f>
        <v>Man</v>
      </c>
      <c r="AM66" s="120">
        <f>IFERROR(VLOOKUP(Table1[RespondentID],'All Data'!$A$3:$CO$999,88,FALSE),"unknown")</f>
        <v>0</v>
      </c>
      <c r="AN66" s="120" t="str">
        <f>IFERROR(VLOOKUP(Table1[RespondentID],'All Data'!$A$3:$CO$999,89,FALSE),"unknown")</f>
        <v>Suffolk</v>
      </c>
      <c r="AO66" s="120" t="str">
        <f>IFERROR(VLOOKUP(Table1[RespondentID],'All Data'!$A$3:$CO$999,90,FALSE),"unknown")</f>
        <v>East Northport, 11731</v>
      </c>
      <c r="AP66" s="120" t="str">
        <f>IFERROR(VLOOKUP(Table1[RespondentID],'All Data'!$A$3:$CO$999,91,FALSE),"unknown")</f>
        <v>Asian</v>
      </c>
      <c r="AQ66" s="120" t="str">
        <f>IFERROR(VLOOKUP(Table1[RespondentID],'All Data'!$A$3:$CO$999,92,FALSE),"unknown")</f>
        <v>Not Hispanic or Latino</v>
      </c>
      <c r="AR66" s="120" t="str">
        <f>IFERROR(VLOOKUP(Table1[RespondentID],'All Data'!$A$3:$CO$999,93,FALSE),"unknown")</f>
        <v>English</v>
      </c>
      <c r="AS66" s="120">
        <f>IFERROR(VLOOKUP(Table1[RespondentID],'All Data'!$A$3:$CW$999,94,FALSE),"unknown")</f>
        <v>0</v>
      </c>
      <c r="AT66" s="120" t="str">
        <f>IFERROR(VLOOKUP(Table1[RespondentID],'All Data'!$A$3:$CW$999,95,FALSE),"unknown")</f>
        <v>College graduate</v>
      </c>
      <c r="AU66" s="120" t="str">
        <f>IFERROR(VLOOKUP(Table1[RespondentID],'All Data'!$A$3:$CW$999,96,FALSE),"unknown")</f>
        <v>Self-employed</v>
      </c>
      <c r="AV66" s="120" t="str">
        <f>IFERROR(VLOOKUP(Table1[RespondentID],'All Data'!$A$3:$CW$999,97,FALSE),"unknown")</f>
        <v>Yes</v>
      </c>
      <c r="AW66" s="120">
        <f>IFERROR(VLOOKUP(Table1[RespondentID],'All Data'!$A$3:$CW$999,98,FALSE),"unknown")</f>
        <v>0</v>
      </c>
      <c r="AX66" s="120">
        <f>IFERROR(VLOOKUP(Table1[RespondentID],'All Data'!$A$3:$CW$999,99,FALSE),"unknown")</f>
        <v>0</v>
      </c>
    </row>
    <row r="67" spans="1:50">
      <c r="A67" s="5">
        <v>18025178810</v>
      </c>
      <c r="B67" s="5"/>
      <c r="C67" s="5" t="s">
        <v>17</v>
      </c>
      <c r="D67" s="5"/>
      <c r="E67" s="5"/>
      <c r="F67" s="5"/>
      <c r="G67" s="5"/>
      <c r="H67" s="5"/>
      <c r="I67" s="5"/>
      <c r="J67" s="5"/>
      <c r="K67" s="5"/>
      <c r="L67" s="5"/>
      <c r="M67" s="5"/>
      <c r="N67" s="5" t="s">
        <v>28</v>
      </c>
      <c r="O67" s="7"/>
      <c r="P67" s="7">
        <f t="shared" si="18"/>
        <v>2</v>
      </c>
      <c r="Q67" s="7">
        <f t="shared" si="19"/>
        <v>1.5</v>
      </c>
      <c r="R67" s="7"/>
      <c r="S67" s="7">
        <f t="shared" si="17"/>
        <v>0</v>
      </c>
      <c r="T67" s="7">
        <f t="shared" si="20"/>
        <v>1</v>
      </c>
      <c r="U67" s="7">
        <f t="shared" si="21"/>
        <v>0</v>
      </c>
      <c r="V67" s="119">
        <f t="shared" si="22"/>
        <v>0</v>
      </c>
      <c r="W67" s="119">
        <f t="shared" si="23"/>
        <v>0</v>
      </c>
      <c r="X67" s="119">
        <f t="shared" si="24"/>
        <v>0</v>
      </c>
      <c r="Y67" s="119">
        <f t="shared" si="25"/>
        <v>0</v>
      </c>
      <c r="Z67" s="119">
        <f t="shared" si="26"/>
        <v>0</v>
      </c>
      <c r="AA67" s="119">
        <f t="shared" si="27"/>
        <v>0</v>
      </c>
      <c r="AB67" s="119">
        <f t="shared" si="28"/>
        <v>0</v>
      </c>
      <c r="AC67" s="119">
        <f t="shared" si="29"/>
        <v>0</v>
      </c>
      <c r="AD67" s="119">
        <f t="shared" si="30"/>
        <v>0</v>
      </c>
      <c r="AE67" s="119">
        <f t="shared" si="31"/>
        <v>1</v>
      </c>
      <c r="AF67" s="7"/>
      <c r="AG67" s="7"/>
      <c r="AH67" s="7">
        <f t="shared" si="32"/>
        <v>2</v>
      </c>
      <c r="AI67" s="7">
        <f t="shared" si="33"/>
        <v>2</v>
      </c>
      <c r="AJ67" s="7" t="str">
        <f t="shared" si="34"/>
        <v>Correct</v>
      </c>
      <c r="AL67" s="120" t="str">
        <f>IFERROR(VLOOKUP(Table1[RespondentID],'All Data'!$A$3:$CO$999,87,FALSE),"unknown")</f>
        <v>Woman</v>
      </c>
      <c r="AM67" s="120">
        <f>IFERROR(VLOOKUP(Table1[RespondentID],'All Data'!$A$3:$CO$999,88,FALSE),"unknown")</f>
        <v>32</v>
      </c>
      <c r="AN67" s="120" t="str">
        <f>IFERROR(VLOOKUP(Table1[RespondentID],'All Data'!$A$3:$CO$999,89,FALSE),"unknown")</f>
        <v>Suffolk</v>
      </c>
      <c r="AO67" s="120" t="str">
        <f>IFERROR(VLOOKUP(Table1[RespondentID],'All Data'!$A$3:$CO$999,90,FALSE),"unknown")</f>
        <v>Kings Park, 11754</v>
      </c>
      <c r="AP67" s="120" t="str">
        <f>IFERROR(VLOOKUP(Table1[RespondentID],'All Data'!$A$3:$CO$999,91,FALSE),"unknown")</f>
        <v>Two or more races</v>
      </c>
      <c r="AQ67" s="120" t="str">
        <f>IFERROR(VLOOKUP(Table1[RespondentID],'All Data'!$A$3:$CO$999,92,FALSE),"unknown")</f>
        <v>Hispanic or Latino</v>
      </c>
      <c r="AR67" s="120" t="str">
        <f>IFERROR(VLOOKUP(Table1[RespondentID],'All Data'!$A$3:$CO$999,93,FALSE),"unknown")</f>
        <v>English, Spanish</v>
      </c>
      <c r="AS67" s="120" t="str">
        <f>IFERROR(VLOOKUP(Table1[RespondentID],'All Data'!$A$3:$CW$999,94,FALSE),"unknown")</f>
        <v>Over $125,000</v>
      </c>
      <c r="AT67" s="120" t="str">
        <f>IFERROR(VLOOKUP(Table1[RespondentID],'All Data'!$A$3:$CW$999,95,FALSE),"unknown")</f>
        <v>Doctorate</v>
      </c>
      <c r="AU67" s="120" t="str">
        <f>IFERROR(VLOOKUP(Table1[RespondentID],'All Data'!$A$3:$CW$999,96,FALSE),"unknown")</f>
        <v>Out of work, but not currently looking</v>
      </c>
      <c r="AV67" s="120" t="str">
        <f>IFERROR(VLOOKUP(Table1[RespondentID],'All Data'!$A$3:$CW$999,97,FALSE),"unknown")</f>
        <v>Yes</v>
      </c>
      <c r="AW67" s="120">
        <f>IFERROR(VLOOKUP(Table1[RespondentID],'All Data'!$A$3:$CW$999,98,FALSE),"unknown")</f>
        <v>0</v>
      </c>
      <c r="AX67" s="120">
        <f>IFERROR(VLOOKUP(Table1[RespondentID],'All Data'!$A$3:$CW$999,99,FALSE),"unknown")</f>
        <v>0</v>
      </c>
    </row>
    <row r="68" spans="1:50">
      <c r="A68" s="5">
        <v>18025178531</v>
      </c>
      <c r="B68" s="5"/>
      <c r="C68" s="5" t="s">
        <v>17</v>
      </c>
      <c r="D68" s="5"/>
      <c r="E68" s="5"/>
      <c r="F68" s="5"/>
      <c r="G68" s="5"/>
      <c r="H68" s="5"/>
      <c r="I68" s="5" t="s">
        <v>23</v>
      </c>
      <c r="J68" s="5"/>
      <c r="K68" s="5"/>
      <c r="L68" s="5" t="s">
        <v>26</v>
      </c>
      <c r="M68" s="5"/>
      <c r="N68" s="5"/>
      <c r="O68" s="7"/>
      <c r="P68" s="7">
        <f t="shared" si="18"/>
        <v>3</v>
      </c>
      <c r="Q68" s="7">
        <f t="shared" si="19"/>
        <v>1</v>
      </c>
      <c r="R68" s="7"/>
      <c r="S68" s="7">
        <f t="shared" ref="S68:S131" si="35">IF($P68&lt;3,IF($B68=$B$1,1,0),IF($B68=$B$1,$Q68,0))</f>
        <v>0</v>
      </c>
      <c r="T68" s="7">
        <f t="shared" si="20"/>
        <v>1</v>
      </c>
      <c r="U68" s="7">
        <f t="shared" si="21"/>
        <v>0</v>
      </c>
      <c r="V68" s="119">
        <f t="shared" si="22"/>
        <v>0</v>
      </c>
      <c r="W68" s="119">
        <f t="shared" si="23"/>
        <v>0</v>
      </c>
      <c r="X68" s="119">
        <f t="shared" si="24"/>
        <v>0</v>
      </c>
      <c r="Y68" s="119">
        <f t="shared" si="25"/>
        <v>0</v>
      </c>
      <c r="Z68" s="119">
        <f t="shared" si="26"/>
        <v>1</v>
      </c>
      <c r="AA68" s="119">
        <f t="shared" si="27"/>
        <v>0</v>
      </c>
      <c r="AB68" s="119">
        <f t="shared" si="28"/>
        <v>0</v>
      </c>
      <c r="AC68" s="119">
        <f t="shared" si="29"/>
        <v>1</v>
      </c>
      <c r="AD68" s="119">
        <f t="shared" si="30"/>
        <v>0</v>
      </c>
      <c r="AE68" s="119">
        <f t="shared" si="31"/>
        <v>0</v>
      </c>
      <c r="AF68" s="7"/>
      <c r="AG68" s="7"/>
      <c r="AH68" s="7">
        <f t="shared" si="32"/>
        <v>3</v>
      </c>
      <c r="AI68" s="7">
        <f t="shared" si="33"/>
        <v>3</v>
      </c>
      <c r="AJ68" s="7" t="str">
        <f t="shared" si="34"/>
        <v>Correct</v>
      </c>
      <c r="AL68" s="120" t="str">
        <f>IFERROR(VLOOKUP(Table1[RespondentID],'All Data'!$A$3:$CO$999,87,FALSE),"unknown")</f>
        <v>Man</v>
      </c>
      <c r="AM68" s="120">
        <f>IFERROR(VLOOKUP(Table1[RespondentID],'All Data'!$A$3:$CO$999,88,FALSE),"unknown")</f>
        <v>39</v>
      </c>
      <c r="AN68" s="120" t="str">
        <f>IFERROR(VLOOKUP(Table1[RespondentID],'All Data'!$A$3:$CO$999,89,FALSE),"unknown")</f>
        <v>Suffolk</v>
      </c>
      <c r="AO68" s="120" t="str">
        <f>IFERROR(VLOOKUP(Table1[RespondentID],'All Data'!$A$3:$CO$999,90,FALSE),"unknown")</f>
        <v>Commack, 11725</v>
      </c>
      <c r="AP68" s="120" t="str">
        <f>IFERROR(VLOOKUP(Table1[RespondentID],'All Data'!$A$3:$CO$999,91,FALSE),"unknown")</f>
        <v>White</v>
      </c>
      <c r="AQ68" s="120">
        <f>IFERROR(VLOOKUP(Table1[RespondentID],'All Data'!$A$3:$CO$999,92,FALSE),"unknown")</f>
        <v>0</v>
      </c>
      <c r="AR68" s="120" t="str">
        <f>IFERROR(VLOOKUP(Table1[RespondentID],'All Data'!$A$3:$CO$999,93,FALSE),"unknown")</f>
        <v>English</v>
      </c>
      <c r="AS68" s="120" t="str">
        <f>IFERROR(VLOOKUP(Table1[RespondentID],'All Data'!$A$3:$CW$999,94,FALSE),"unknown")</f>
        <v>$75,000 to $125,000</v>
      </c>
      <c r="AT68" s="120" t="str">
        <f>IFERROR(VLOOKUP(Table1[RespondentID],'All Data'!$A$3:$CW$999,95,FALSE),"unknown")</f>
        <v>College graduate</v>
      </c>
      <c r="AU68" s="120" t="str">
        <f>IFERROR(VLOOKUP(Table1[RespondentID],'All Data'!$A$3:$CW$999,96,FALSE),"unknown")</f>
        <v>Employed for wages</v>
      </c>
      <c r="AV68" s="120" t="str">
        <f>IFERROR(VLOOKUP(Table1[RespondentID],'All Data'!$A$3:$CW$999,97,FALSE),"unknown")</f>
        <v>Yes</v>
      </c>
      <c r="AW68" s="120">
        <f>IFERROR(VLOOKUP(Table1[RespondentID],'All Data'!$A$3:$CW$999,98,FALSE),"unknown")</f>
        <v>0</v>
      </c>
      <c r="AX68" s="120">
        <f>IFERROR(VLOOKUP(Table1[RespondentID],'All Data'!$A$3:$CW$999,99,FALSE),"unknown")</f>
        <v>0</v>
      </c>
    </row>
    <row r="69" spans="1:50">
      <c r="A69" s="5">
        <v>18025178424</v>
      </c>
      <c r="B69" s="5"/>
      <c r="C69" s="5"/>
      <c r="D69" s="5"/>
      <c r="E69" s="5"/>
      <c r="F69" s="5"/>
      <c r="G69" s="5" t="s">
        <v>21</v>
      </c>
      <c r="H69" s="5"/>
      <c r="I69" s="5"/>
      <c r="J69" s="5"/>
      <c r="K69" s="5" t="s">
        <v>25</v>
      </c>
      <c r="L69" s="5" t="s">
        <v>26</v>
      </c>
      <c r="M69" s="5"/>
      <c r="N69" s="5"/>
      <c r="O69" s="7"/>
      <c r="P69" s="7">
        <f t="shared" si="18"/>
        <v>3</v>
      </c>
      <c r="Q69" s="7">
        <f t="shared" si="19"/>
        <v>1</v>
      </c>
      <c r="R69" s="7"/>
      <c r="S69" s="7">
        <f t="shared" si="35"/>
        <v>0</v>
      </c>
      <c r="T69" s="7">
        <f t="shared" si="20"/>
        <v>0</v>
      </c>
      <c r="U69" s="7">
        <f t="shared" si="21"/>
        <v>0</v>
      </c>
      <c r="V69" s="119">
        <f t="shared" si="22"/>
        <v>0</v>
      </c>
      <c r="W69" s="119">
        <f t="shared" si="23"/>
        <v>0</v>
      </c>
      <c r="X69" s="119">
        <f t="shared" si="24"/>
        <v>1</v>
      </c>
      <c r="Y69" s="119">
        <f t="shared" si="25"/>
        <v>0</v>
      </c>
      <c r="Z69" s="119">
        <f t="shared" si="26"/>
        <v>0</v>
      </c>
      <c r="AA69" s="119">
        <f t="shared" si="27"/>
        <v>0</v>
      </c>
      <c r="AB69" s="119">
        <f t="shared" si="28"/>
        <v>1</v>
      </c>
      <c r="AC69" s="119">
        <f t="shared" si="29"/>
        <v>1</v>
      </c>
      <c r="AD69" s="119">
        <f t="shared" si="30"/>
        <v>0</v>
      </c>
      <c r="AE69" s="119">
        <f t="shared" si="31"/>
        <v>0</v>
      </c>
      <c r="AF69" s="7"/>
      <c r="AG69" s="7"/>
      <c r="AH69" s="7">
        <f t="shared" si="32"/>
        <v>3</v>
      </c>
      <c r="AI69" s="7">
        <f t="shared" si="33"/>
        <v>3</v>
      </c>
      <c r="AJ69" s="7" t="str">
        <f t="shared" si="34"/>
        <v>Correct</v>
      </c>
      <c r="AL69" s="120" t="str">
        <f>IFERROR(VLOOKUP(Table1[RespondentID],'All Data'!$A$3:$CO$999,87,FALSE),"unknown")</f>
        <v>Woman</v>
      </c>
      <c r="AM69" s="120">
        <f>IFERROR(VLOOKUP(Table1[RespondentID],'All Data'!$A$3:$CO$999,88,FALSE),"unknown")</f>
        <v>59</v>
      </c>
      <c r="AN69" s="120" t="str">
        <f>IFERROR(VLOOKUP(Table1[RespondentID],'All Data'!$A$3:$CO$999,89,FALSE),"unknown")</f>
        <v>Suffolk</v>
      </c>
      <c r="AO69" s="120" t="str">
        <f>IFERROR(VLOOKUP(Table1[RespondentID],'All Data'!$A$3:$CO$999,90,FALSE),"unknown")</f>
        <v>Saint James, 11780</v>
      </c>
      <c r="AP69" s="120" t="str">
        <f>IFERROR(VLOOKUP(Table1[RespondentID],'All Data'!$A$3:$CO$999,91,FALSE),"unknown")</f>
        <v>White</v>
      </c>
      <c r="AQ69" s="120" t="str">
        <f>IFERROR(VLOOKUP(Table1[RespondentID],'All Data'!$A$3:$CO$999,92,FALSE),"unknown")</f>
        <v>Not Hispanic or Latino</v>
      </c>
      <c r="AR69" s="120" t="str">
        <f>IFERROR(VLOOKUP(Table1[RespondentID],'All Data'!$A$3:$CO$999,93,FALSE),"unknown")</f>
        <v>English</v>
      </c>
      <c r="AS69" s="120" t="str">
        <f>IFERROR(VLOOKUP(Table1[RespondentID],'All Data'!$A$3:$CW$999,94,FALSE),"unknown")</f>
        <v>Over $125,000</v>
      </c>
      <c r="AT69" s="120" t="str">
        <f>IFERROR(VLOOKUP(Table1[RespondentID],'All Data'!$A$3:$CW$999,95,FALSE),"unknown")</f>
        <v>College graduate</v>
      </c>
      <c r="AU69" s="120" t="str">
        <f>IFERROR(VLOOKUP(Table1[RespondentID],'All Data'!$A$3:$CW$999,96,FALSE),"unknown")</f>
        <v>Employed for wages</v>
      </c>
      <c r="AV69" s="120" t="str">
        <f>IFERROR(VLOOKUP(Table1[RespondentID],'All Data'!$A$3:$CW$999,97,FALSE),"unknown")</f>
        <v>Yes</v>
      </c>
      <c r="AW69" s="120" t="str">
        <f>IFERROR(VLOOKUP(Table1[RespondentID],'All Data'!$A$3:$CW$999,98,FALSE),"unknown")</f>
        <v>Private/Commercial</v>
      </c>
      <c r="AX69" s="120">
        <f>IFERROR(VLOOKUP(Table1[RespondentID],'All Data'!$A$3:$CW$999,99,FALSE),"unknown")</f>
        <v>0</v>
      </c>
    </row>
    <row r="70" spans="1:50">
      <c r="A70" s="5">
        <v>18025178298</v>
      </c>
      <c r="B70" s="5"/>
      <c r="C70" s="5" t="s">
        <v>17</v>
      </c>
      <c r="D70" s="5"/>
      <c r="E70" s="5"/>
      <c r="F70" s="5"/>
      <c r="G70" s="5"/>
      <c r="H70" s="5"/>
      <c r="I70" s="5" t="s">
        <v>23</v>
      </c>
      <c r="J70" s="5"/>
      <c r="K70" s="5" t="s">
        <v>25</v>
      </c>
      <c r="L70" s="5"/>
      <c r="M70" s="5"/>
      <c r="N70" s="5"/>
      <c r="O70" s="7"/>
      <c r="P70" s="7">
        <f t="shared" si="18"/>
        <v>3</v>
      </c>
      <c r="Q70" s="7">
        <f t="shared" si="19"/>
        <v>1</v>
      </c>
      <c r="R70" s="7"/>
      <c r="S70" s="7">
        <f t="shared" si="35"/>
        <v>0</v>
      </c>
      <c r="T70" s="7">
        <f t="shared" si="20"/>
        <v>1</v>
      </c>
      <c r="U70" s="7">
        <f t="shared" si="21"/>
        <v>0</v>
      </c>
      <c r="V70" s="119">
        <f t="shared" si="22"/>
        <v>0</v>
      </c>
      <c r="W70" s="119">
        <f t="shared" si="23"/>
        <v>0</v>
      </c>
      <c r="X70" s="119">
        <f t="shared" si="24"/>
        <v>0</v>
      </c>
      <c r="Y70" s="119">
        <f t="shared" si="25"/>
        <v>0</v>
      </c>
      <c r="Z70" s="119">
        <f t="shared" si="26"/>
        <v>1</v>
      </c>
      <c r="AA70" s="119">
        <f t="shared" si="27"/>
        <v>0</v>
      </c>
      <c r="AB70" s="119">
        <f t="shared" si="28"/>
        <v>1</v>
      </c>
      <c r="AC70" s="119">
        <f t="shared" si="29"/>
        <v>0</v>
      </c>
      <c r="AD70" s="119">
        <f t="shared" si="30"/>
        <v>0</v>
      </c>
      <c r="AE70" s="119">
        <f t="shared" si="31"/>
        <v>0</v>
      </c>
      <c r="AF70" s="7"/>
      <c r="AG70" s="7"/>
      <c r="AH70" s="7">
        <f t="shared" si="32"/>
        <v>3</v>
      </c>
      <c r="AI70" s="7">
        <f t="shared" si="33"/>
        <v>3</v>
      </c>
      <c r="AJ70" s="7" t="str">
        <f t="shared" si="34"/>
        <v>Correct</v>
      </c>
      <c r="AL70" s="120" t="str">
        <f>IFERROR(VLOOKUP(Table1[RespondentID],'All Data'!$A$3:$CO$999,87,FALSE),"unknown")</f>
        <v>Woman</v>
      </c>
      <c r="AM70" s="120">
        <f>IFERROR(VLOOKUP(Table1[RespondentID],'All Data'!$A$3:$CO$999,88,FALSE),"unknown")</f>
        <v>42</v>
      </c>
      <c r="AN70" s="120" t="str">
        <f>IFERROR(VLOOKUP(Table1[RespondentID],'All Data'!$A$3:$CO$999,89,FALSE),"unknown")</f>
        <v>Suffolk</v>
      </c>
      <c r="AO70" s="120" t="str">
        <f>IFERROR(VLOOKUP(Table1[RespondentID],'All Data'!$A$3:$CO$999,90,FALSE),"unknown")</f>
        <v>Commack, 11725</v>
      </c>
      <c r="AP70" s="120" t="str">
        <f>IFERROR(VLOOKUP(Table1[RespondentID],'All Data'!$A$3:$CO$999,91,FALSE),"unknown")</f>
        <v>Asian</v>
      </c>
      <c r="AQ70" s="120">
        <f>IFERROR(VLOOKUP(Table1[RespondentID],'All Data'!$A$3:$CO$999,92,FALSE),"unknown")</f>
        <v>0</v>
      </c>
      <c r="AR70" s="120">
        <f>IFERROR(VLOOKUP(Table1[RespondentID],'All Data'!$A$3:$CO$999,93,FALSE),"unknown")</f>
        <v>0</v>
      </c>
      <c r="AS70" s="120" t="str">
        <f>IFERROR(VLOOKUP(Table1[RespondentID],'All Data'!$A$3:$CW$999,94,FALSE),"unknown")</f>
        <v>Over $125,000</v>
      </c>
      <c r="AT70" s="120" t="str">
        <f>IFERROR(VLOOKUP(Table1[RespondentID],'All Data'!$A$3:$CW$999,95,FALSE),"unknown")</f>
        <v>Graduate school</v>
      </c>
      <c r="AU70" s="120" t="str">
        <f>IFERROR(VLOOKUP(Table1[RespondentID],'All Data'!$A$3:$CW$999,96,FALSE),"unknown")</f>
        <v>Out of work, but not currently looking</v>
      </c>
      <c r="AV70" s="120" t="str">
        <f>IFERROR(VLOOKUP(Table1[RespondentID],'All Data'!$A$3:$CW$999,97,FALSE),"unknown")</f>
        <v>Yes</v>
      </c>
      <c r="AW70" s="120">
        <f>IFERROR(VLOOKUP(Table1[RespondentID],'All Data'!$A$3:$CW$999,98,FALSE),"unknown")</f>
        <v>0</v>
      </c>
      <c r="AX70" s="120">
        <f>IFERROR(VLOOKUP(Table1[RespondentID],'All Data'!$A$3:$CW$999,99,FALSE),"unknown")</f>
        <v>0</v>
      </c>
    </row>
    <row r="71" spans="1:50">
      <c r="A71" s="5">
        <v>18025178212</v>
      </c>
      <c r="B71" s="5"/>
      <c r="C71" s="5"/>
      <c r="D71" s="5"/>
      <c r="E71" s="5"/>
      <c r="F71" s="5"/>
      <c r="G71" s="5" t="s">
        <v>21</v>
      </c>
      <c r="H71" s="5"/>
      <c r="I71" s="5"/>
      <c r="J71" s="5"/>
      <c r="K71" s="5"/>
      <c r="L71" s="5"/>
      <c r="M71" s="5"/>
      <c r="N71" s="5"/>
      <c r="O71" s="7"/>
      <c r="P71" s="7">
        <f t="shared" si="18"/>
        <v>1</v>
      </c>
      <c r="Q71" s="7">
        <f t="shared" si="19"/>
        <v>3</v>
      </c>
      <c r="R71" s="7"/>
      <c r="S71" s="7">
        <f t="shared" si="35"/>
        <v>0</v>
      </c>
      <c r="T71" s="7">
        <f t="shared" si="20"/>
        <v>0</v>
      </c>
      <c r="U71" s="7">
        <f t="shared" si="21"/>
        <v>0</v>
      </c>
      <c r="V71" s="119">
        <f t="shared" si="22"/>
        <v>0</v>
      </c>
      <c r="W71" s="119">
        <f t="shared" si="23"/>
        <v>0</v>
      </c>
      <c r="X71" s="119">
        <f t="shared" si="24"/>
        <v>1</v>
      </c>
      <c r="Y71" s="119">
        <f t="shared" si="25"/>
        <v>0</v>
      </c>
      <c r="Z71" s="119">
        <f t="shared" si="26"/>
        <v>0</v>
      </c>
      <c r="AA71" s="119">
        <f t="shared" si="27"/>
        <v>0</v>
      </c>
      <c r="AB71" s="119">
        <f t="shared" si="28"/>
        <v>0</v>
      </c>
      <c r="AC71" s="119">
        <f t="shared" si="29"/>
        <v>0</v>
      </c>
      <c r="AD71" s="119">
        <f t="shared" si="30"/>
        <v>0</v>
      </c>
      <c r="AE71" s="119">
        <f t="shared" si="31"/>
        <v>0</v>
      </c>
      <c r="AF71" s="7"/>
      <c r="AG71" s="7"/>
      <c r="AH71" s="7">
        <f t="shared" si="32"/>
        <v>1</v>
      </c>
      <c r="AI71" s="7">
        <f t="shared" si="33"/>
        <v>1</v>
      </c>
      <c r="AJ71" s="7" t="str">
        <f t="shared" si="34"/>
        <v>Correct</v>
      </c>
      <c r="AL71" s="120" t="str">
        <f>IFERROR(VLOOKUP(Table1[RespondentID],'All Data'!$A$3:$CO$999,87,FALSE),"unknown")</f>
        <v>Woman</v>
      </c>
      <c r="AM71" s="120">
        <f>IFERROR(VLOOKUP(Table1[RespondentID],'All Data'!$A$3:$CO$999,88,FALSE),"unknown")</f>
        <v>46</v>
      </c>
      <c r="AN71" s="120" t="str">
        <f>IFERROR(VLOOKUP(Table1[RespondentID],'All Data'!$A$3:$CO$999,89,FALSE),"unknown")</f>
        <v>Suffolk</v>
      </c>
      <c r="AO71" s="120" t="str">
        <f>IFERROR(VLOOKUP(Table1[RespondentID],'All Data'!$A$3:$CO$999,90,FALSE),"unknown")</f>
        <v>East Northport, 11731</v>
      </c>
      <c r="AP71" s="120" t="str">
        <f>IFERROR(VLOOKUP(Table1[RespondentID],'All Data'!$A$3:$CO$999,91,FALSE),"unknown")</f>
        <v>Asian</v>
      </c>
      <c r="AQ71" s="120" t="str">
        <f>IFERROR(VLOOKUP(Table1[RespondentID],'All Data'!$A$3:$CO$999,92,FALSE),"unknown")</f>
        <v>Not Hispanic or Latino</v>
      </c>
      <c r="AR71" s="120">
        <f>IFERROR(VLOOKUP(Table1[RespondentID],'All Data'!$A$3:$CO$999,93,FALSE),"unknown")</f>
        <v>0</v>
      </c>
      <c r="AS71" s="120" t="str">
        <f>IFERROR(VLOOKUP(Table1[RespondentID],'All Data'!$A$3:$CW$999,94,FALSE),"unknown")</f>
        <v>$75,000 to $125,000</v>
      </c>
      <c r="AT71" s="120" t="str">
        <f>IFERROR(VLOOKUP(Table1[RespondentID],'All Data'!$A$3:$CW$999,95,FALSE),"unknown")</f>
        <v>Graduate school</v>
      </c>
      <c r="AU71" s="120" t="str">
        <f>IFERROR(VLOOKUP(Table1[RespondentID],'All Data'!$A$3:$CW$999,96,FALSE),"unknown")</f>
        <v>Out of work, but not currently looking</v>
      </c>
      <c r="AV71" s="120" t="str">
        <f>IFERROR(VLOOKUP(Table1[RespondentID],'All Data'!$A$3:$CW$999,97,FALSE),"unknown")</f>
        <v>Yes</v>
      </c>
      <c r="AW71" s="120">
        <f>IFERROR(VLOOKUP(Table1[RespondentID],'All Data'!$A$3:$CW$999,98,FALSE),"unknown")</f>
        <v>0</v>
      </c>
      <c r="AX71" s="120">
        <f>IFERROR(VLOOKUP(Table1[RespondentID],'All Data'!$A$3:$CW$999,99,FALSE),"unknown")</f>
        <v>0</v>
      </c>
    </row>
    <row r="72" spans="1:50">
      <c r="A72" s="5">
        <v>18025178011</v>
      </c>
      <c r="B72" s="5"/>
      <c r="C72" s="5"/>
      <c r="D72" s="5" t="s">
        <v>18</v>
      </c>
      <c r="E72" s="5"/>
      <c r="F72" s="5"/>
      <c r="G72" s="5"/>
      <c r="H72" s="5"/>
      <c r="I72" s="5"/>
      <c r="J72" s="5"/>
      <c r="K72" s="5"/>
      <c r="L72" s="5" t="s">
        <v>26</v>
      </c>
      <c r="M72" s="5"/>
      <c r="N72" s="5" t="s">
        <v>28</v>
      </c>
      <c r="O72" s="7"/>
      <c r="P72" s="7">
        <f t="shared" si="18"/>
        <v>3</v>
      </c>
      <c r="Q72" s="7">
        <f t="shared" si="19"/>
        <v>1</v>
      </c>
      <c r="R72" s="7"/>
      <c r="S72" s="7">
        <f t="shared" si="35"/>
        <v>0</v>
      </c>
      <c r="T72" s="7">
        <f t="shared" si="20"/>
        <v>0</v>
      </c>
      <c r="U72" s="7">
        <f t="shared" si="21"/>
        <v>1</v>
      </c>
      <c r="V72" s="119">
        <f t="shared" si="22"/>
        <v>0</v>
      </c>
      <c r="W72" s="119">
        <f t="shared" si="23"/>
        <v>0</v>
      </c>
      <c r="X72" s="119">
        <f t="shared" si="24"/>
        <v>0</v>
      </c>
      <c r="Y72" s="119">
        <f t="shared" si="25"/>
        <v>0</v>
      </c>
      <c r="Z72" s="119">
        <f t="shared" si="26"/>
        <v>0</v>
      </c>
      <c r="AA72" s="119">
        <f t="shared" si="27"/>
        <v>0</v>
      </c>
      <c r="AB72" s="119">
        <f t="shared" si="28"/>
        <v>0</v>
      </c>
      <c r="AC72" s="119">
        <f t="shared" si="29"/>
        <v>1</v>
      </c>
      <c r="AD72" s="119">
        <f t="shared" si="30"/>
        <v>0</v>
      </c>
      <c r="AE72" s="119">
        <f t="shared" si="31"/>
        <v>1</v>
      </c>
      <c r="AF72" s="7"/>
      <c r="AG72" s="7"/>
      <c r="AH72" s="7">
        <f t="shared" si="32"/>
        <v>3</v>
      </c>
      <c r="AI72" s="7">
        <f t="shared" si="33"/>
        <v>3</v>
      </c>
      <c r="AJ72" s="7" t="str">
        <f t="shared" si="34"/>
        <v>Correct</v>
      </c>
      <c r="AL72" s="120" t="str">
        <f>IFERROR(VLOOKUP(Table1[RespondentID],'All Data'!$A$3:$CO$999,87,FALSE),"unknown")</f>
        <v>Man</v>
      </c>
      <c r="AM72" s="120">
        <f>IFERROR(VLOOKUP(Table1[RespondentID],'All Data'!$A$3:$CO$999,88,FALSE),"unknown")</f>
        <v>52</v>
      </c>
      <c r="AN72" s="120" t="str">
        <f>IFERROR(VLOOKUP(Table1[RespondentID],'All Data'!$A$3:$CO$999,89,FALSE),"unknown")</f>
        <v>Suffolk</v>
      </c>
      <c r="AO72" s="120" t="str">
        <f>IFERROR(VLOOKUP(Table1[RespondentID],'All Data'!$A$3:$CO$999,90,FALSE),"unknown")</f>
        <v>East Northport, 11731</v>
      </c>
      <c r="AP72" s="120" t="str">
        <f>IFERROR(VLOOKUP(Table1[RespondentID],'All Data'!$A$3:$CO$999,91,FALSE),"unknown")</f>
        <v>Asian</v>
      </c>
      <c r="AQ72" s="120" t="str">
        <f>IFERROR(VLOOKUP(Table1[RespondentID],'All Data'!$A$3:$CO$999,92,FALSE),"unknown")</f>
        <v>Not Hispanic or Latino</v>
      </c>
      <c r="AR72" s="120">
        <f>IFERROR(VLOOKUP(Table1[RespondentID],'All Data'!$A$3:$CO$999,93,FALSE),"unknown")</f>
        <v>0</v>
      </c>
      <c r="AS72" s="120" t="str">
        <f>IFERROR(VLOOKUP(Table1[RespondentID],'All Data'!$A$3:$CW$999,94,FALSE),"unknown")</f>
        <v>Over $125,000</v>
      </c>
      <c r="AT72" s="120" t="str">
        <f>IFERROR(VLOOKUP(Table1[RespondentID],'All Data'!$A$3:$CW$999,95,FALSE),"unknown")</f>
        <v>College graduate</v>
      </c>
      <c r="AU72" s="120" t="str">
        <f>IFERROR(VLOOKUP(Table1[RespondentID],'All Data'!$A$3:$CW$999,96,FALSE),"unknown")</f>
        <v>Self-employed</v>
      </c>
      <c r="AV72" s="120" t="str">
        <f>IFERROR(VLOOKUP(Table1[RespondentID],'All Data'!$A$3:$CW$999,97,FALSE),"unknown")</f>
        <v>Yes</v>
      </c>
      <c r="AW72" s="120">
        <f>IFERROR(VLOOKUP(Table1[RespondentID],'All Data'!$A$3:$CW$999,98,FALSE),"unknown")</f>
        <v>0</v>
      </c>
      <c r="AX72" s="120">
        <f>IFERROR(VLOOKUP(Table1[RespondentID],'All Data'!$A$3:$CW$999,99,FALSE),"unknown")</f>
        <v>0</v>
      </c>
    </row>
    <row r="73" spans="1:50">
      <c r="A73" s="5">
        <v>18025177820</v>
      </c>
      <c r="B73" s="5"/>
      <c r="C73" s="5"/>
      <c r="D73" s="5"/>
      <c r="E73" s="5"/>
      <c r="F73" s="5" t="s">
        <v>20</v>
      </c>
      <c r="G73" s="5" t="s">
        <v>21</v>
      </c>
      <c r="H73" s="5"/>
      <c r="I73" s="5"/>
      <c r="J73" s="5"/>
      <c r="K73" s="5" t="s">
        <v>25</v>
      </c>
      <c r="L73" s="5"/>
      <c r="M73" s="5"/>
      <c r="N73" s="5"/>
      <c r="O73" s="7"/>
      <c r="P73" s="7">
        <f t="shared" si="18"/>
        <v>3</v>
      </c>
      <c r="Q73" s="7">
        <f t="shared" si="19"/>
        <v>1</v>
      </c>
      <c r="R73" s="7"/>
      <c r="S73" s="7">
        <f t="shared" si="35"/>
        <v>0</v>
      </c>
      <c r="T73" s="7">
        <f t="shared" si="20"/>
        <v>0</v>
      </c>
      <c r="U73" s="7">
        <f t="shared" si="21"/>
        <v>0</v>
      </c>
      <c r="V73" s="119">
        <f t="shared" si="22"/>
        <v>0</v>
      </c>
      <c r="W73" s="119">
        <f t="shared" si="23"/>
        <v>1</v>
      </c>
      <c r="X73" s="119">
        <f t="shared" si="24"/>
        <v>1</v>
      </c>
      <c r="Y73" s="119">
        <f t="shared" si="25"/>
        <v>0</v>
      </c>
      <c r="Z73" s="119">
        <f t="shared" si="26"/>
        <v>0</v>
      </c>
      <c r="AA73" s="119">
        <f t="shared" si="27"/>
        <v>0</v>
      </c>
      <c r="AB73" s="119">
        <f t="shared" si="28"/>
        <v>1</v>
      </c>
      <c r="AC73" s="119">
        <f t="shared" si="29"/>
        <v>0</v>
      </c>
      <c r="AD73" s="119">
        <f t="shared" si="30"/>
        <v>0</v>
      </c>
      <c r="AE73" s="119">
        <f t="shared" si="31"/>
        <v>0</v>
      </c>
      <c r="AF73" s="7"/>
      <c r="AG73" s="7"/>
      <c r="AH73" s="7">
        <f t="shared" si="32"/>
        <v>3</v>
      </c>
      <c r="AI73" s="7">
        <f t="shared" si="33"/>
        <v>3</v>
      </c>
      <c r="AJ73" s="7" t="str">
        <f t="shared" si="34"/>
        <v>Correct</v>
      </c>
      <c r="AL73" s="120" t="str">
        <f>IFERROR(VLOOKUP(Table1[RespondentID],'All Data'!$A$3:$CO$999,87,FALSE),"unknown")</f>
        <v>Woman</v>
      </c>
      <c r="AM73" s="120">
        <f>IFERROR(VLOOKUP(Table1[RespondentID],'All Data'!$A$3:$CO$999,88,FALSE),"unknown")</f>
        <v>18</v>
      </c>
      <c r="AN73" s="120" t="str">
        <f>IFERROR(VLOOKUP(Table1[RespondentID],'All Data'!$A$3:$CO$999,89,FALSE),"unknown")</f>
        <v>Suffolk</v>
      </c>
      <c r="AO73" s="120" t="str">
        <f>IFERROR(VLOOKUP(Table1[RespondentID],'All Data'!$A$3:$CO$999,90,FALSE),"unknown")</f>
        <v>East Northport, 11731</v>
      </c>
      <c r="AP73" s="120" t="str">
        <f>IFERROR(VLOOKUP(Table1[RespondentID],'All Data'!$A$3:$CO$999,91,FALSE),"unknown")</f>
        <v>Asian</v>
      </c>
      <c r="AQ73" s="120" t="str">
        <f>IFERROR(VLOOKUP(Table1[RespondentID],'All Data'!$A$3:$CO$999,92,FALSE),"unknown")</f>
        <v>Not Hispanic or Latino</v>
      </c>
      <c r="AR73" s="120">
        <f>IFERROR(VLOOKUP(Table1[RespondentID],'All Data'!$A$3:$CO$999,93,FALSE),"unknown")</f>
        <v>0</v>
      </c>
      <c r="AS73" s="120" t="str">
        <f>IFERROR(VLOOKUP(Table1[RespondentID],'All Data'!$A$3:$CW$999,94,FALSE),"unknown")</f>
        <v>Over $125,000</v>
      </c>
      <c r="AT73" s="120" t="str">
        <f>IFERROR(VLOOKUP(Table1[RespondentID],'All Data'!$A$3:$CW$999,95,FALSE),"unknown")</f>
        <v>Some high school</v>
      </c>
      <c r="AU73" s="120" t="str">
        <f>IFERROR(VLOOKUP(Table1[RespondentID],'All Data'!$A$3:$CW$999,96,FALSE),"unknown")</f>
        <v>Student</v>
      </c>
      <c r="AV73" s="120" t="str">
        <f>IFERROR(VLOOKUP(Table1[RespondentID],'All Data'!$A$3:$CW$999,97,FALSE),"unknown")</f>
        <v>Yes</v>
      </c>
      <c r="AW73" s="120">
        <f>IFERROR(VLOOKUP(Table1[RespondentID],'All Data'!$A$3:$CW$999,98,FALSE),"unknown")</f>
        <v>0</v>
      </c>
      <c r="AX73" s="120">
        <f>IFERROR(VLOOKUP(Table1[RespondentID],'All Data'!$A$3:$CW$999,99,FALSE),"unknown")</f>
        <v>0</v>
      </c>
    </row>
    <row r="74" spans="1:50">
      <c r="A74" s="5">
        <v>18025177600</v>
      </c>
      <c r="B74" s="5"/>
      <c r="C74" s="5" t="s">
        <v>17</v>
      </c>
      <c r="D74" s="5"/>
      <c r="E74" s="5"/>
      <c r="F74" s="5"/>
      <c r="G74" s="5"/>
      <c r="H74" s="5"/>
      <c r="I74" s="5"/>
      <c r="J74" s="5"/>
      <c r="K74" s="5"/>
      <c r="L74" s="5"/>
      <c r="M74" s="5"/>
      <c r="N74" s="5"/>
      <c r="O74" s="7"/>
      <c r="P74" s="7">
        <f t="shared" si="18"/>
        <v>1</v>
      </c>
      <c r="Q74" s="7">
        <f t="shared" si="19"/>
        <v>3</v>
      </c>
      <c r="R74" s="7"/>
      <c r="S74" s="7">
        <f t="shared" si="35"/>
        <v>0</v>
      </c>
      <c r="T74" s="7">
        <f t="shared" si="20"/>
        <v>1</v>
      </c>
      <c r="U74" s="7">
        <f t="shared" si="21"/>
        <v>0</v>
      </c>
      <c r="V74" s="119">
        <f t="shared" si="22"/>
        <v>0</v>
      </c>
      <c r="W74" s="119">
        <f t="shared" si="23"/>
        <v>0</v>
      </c>
      <c r="X74" s="119">
        <f t="shared" si="24"/>
        <v>0</v>
      </c>
      <c r="Y74" s="119">
        <f t="shared" si="25"/>
        <v>0</v>
      </c>
      <c r="Z74" s="119">
        <f t="shared" si="26"/>
        <v>0</v>
      </c>
      <c r="AA74" s="119">
        <f t="shared" si="27"/>
        <v>0</v>
      </c>
      <c r="AB74" s="119">
        <f t="shared" si="28"/>
        <v>0</v>
      </c>
      <c r="AC74" s="119">
        <f t="shared" si="29"/>
        <v>0</v>
      </c>
      <c r="AD74" s="119">
        <f t="shared" si="30"/>
        <v>0</v>
      </c>
      <c r="AE74" s="119">
        <f t="shared" si="31"/>
        <v>0</v>
      </c>
      <c r="AF74" s="7"/>
      <c r="AG74" s="7"/>
      <c r="AH74" s="7">
        <f t="shared" si="32"/>
        <v>1</v>
      </c>
      <c r="AI74" s="7">
        <f t="shared" si="33"/>
        <v>1</v>
      </c>
      <c r="AJ74" s="7" t="str">
        <f t="shared" si="34"/>
        <v>Correct</v>
      </c>
      <c r="AL74" s="120" t="str">
        <f>IFERROR(VLOOKUP(Table1[RespondentID],'All Data'!$A$3:$CO$999,87,FALSE),"unknown")</f>
        <v>Woman</v>
      </c>
      <c r="AM74" s="120">
        <f>IFERROR(VLOOKUP(Table1[RespondentID],'All Data'!$A$3:$CO$999,88,FALSE),"unknown")</f>
        <v>62</v>
      </c>
      <c r="AN74" s="120" t="str">
        <f>IFERROR(VLOOKUP(Table1[RespondentID],'All Data'!$A$3:$CO$999,89,FALSE),"unknown")</f>
        <v>Suffolk</v>
      </c>
      <c r="AO74" s="120" t="str">
        <f>IFERROR(VLOOKUP(Table1[RespondentID],'All Data'!$A$3:$CO$999,90,FALSE),"unknown")</f>
        <v>Kings Park, 11754</v>
      </c>
      <c r="AP74" s="120" t="str">
        <f>IFERROR(VLOOKUP(Table1[RespondentID],'All Data'!$A$3:$CO$999,91,FALSE),"unknown")</f>
        <v>White</v>
      </c>
      <c r="AQ74" s="120" t="str">
        <f>IFERROR(VLOOKUP(Table1[RespondentID],'All Data'!$A$3:$CO$999,92,FALSE),"unknown")</f>
        <v>Not Hispanic or Latino</v>
      </c>
      <c r="AR74" s="120">
        <f>IFERROR(VLOOKUP(Table1[RespondentID],'All Data'!$A$3:$CO$999,93,FALSE),"unknown")</f>
        <v>0</v>
      </c>
      <c r="AS74" s="120" t="str">
        <f>IFERROR(VLOOKUP(Table1[RespondentID],'All Data'!$A$3:$CW$999,94,FALSE),"unknown")</f>
        <v>Over $125,000</v>
      </c>
      <c r="AT74" s="120" t="str">
        <f>IFERROR(VLOOKUP(Table1[RespondentID],'All Data'!$A$3:$CW$999,95,FALSE),"unknown")</f>
        <v>Some college</v>
      </c>
      <c r="AU74" s="120" t="str">
        <f>IFERROR(VLOOKUP(Table1[RespondentID],'All Data'!$A$3:$CW$999,96,FALSE),"unknown")</f>
        <v>Self-employed</v>
      </c>
      <c r="AV74" s="120" t="str">
        <f>IFERROR(VLOOKUP(Table1[RespondentID],'All Data'!$A$3:$CW$999,97,FALSE),"unknown")</f>
        <v>Yes</v>
      </c>
      <c r="AW74" s="120" t="str">
        <f>IFERROR(VLOOKUP(Table1[RespondentID],'All Data'!$A$3:$CW$999,98,FALSE),"unknown")</f>
        <v>Private/Commercial</v>
      </c>
      <c r="AX74" s="120">
        <f>IFERROR(VLOOKUP(Table1[RespondentID],'All Data'!$A$3:$CW$999,99,FALSE),"unknown")</f>
        <v>0</v>
      </c>
    </row>
    <row r="75" spans="1:50">
      <c r="A75" s="5">
        <v>18025177479</v>
      </c>
      <c r="B75" s="5"/>
      <c r="C75" s="5" t="s">
        <v>17</v>
      </c>
      <c r="D75" s="5"/>
      <c r="E75" s="5"/>
      <c r="F75" s="5"/>
      <c r="G75" s="5"/>
      <c r="H75" s="5"/>
      <c r="I75" s="5"/>
      <c r="J75" s="5" t="s">
        <v>24</v>
      </c>
      <c r="K75" s="5"/>
      <c r="L75" s="5"/>
      <c r="M75" s="5"/>
      <c r="N75" s="5" t="s">
        <v>28</v>
      </c>
      <c r="O75" s="7"/>
      <c r="P75" s="7">
        <f t="shared" si="18"/>
        <v>3</v>
      </c>
      <c r="Q75" s="7">
        <f t="shared" si="19"/>
        <v>1</v>
      </c>
      <c r="R75" s="7"/>
      <c r="S75" s="7">
        <f t="shared" si="35"/>
        <v>0</v>
      </c>
      <c r="T75" s="7">
        <f t="shared" si="20"/>
        <v>1</v>
      </c>
      <c r="U75" s="7">
        <f t="shared" si="21"/>
        <v>0</v>
      </c>
      <c r="V75" s="119">
        <f t="shared" si="22"/>
        <v>0</v>
      </c>
      <c r="W75" s="119">
        <f t="shared" si="23"/>
        <v>0</v>
      </c>
      <c r="X75" s="119">
        <f t="shared" si="24"/>
        <v>0</v>
      </c>
      <c r="Y75" s="119">
        <f t="shared" si="25"/>
        <v>0</v>
      </c>
      <c r="Z75" s="119">
        <f t="shared" si="26"/>
        <v>0</v>
      </c>
      <c r="AA75" s="119">
        <f t="shared" si="27"/>
        <v>1</v>
      </c>
      <c r="AB75" s="119">
        <f t="shared" si="28"/>
        <v>0</v>
      </c>
      <c r="AC75" s="119">
        <f t="shared" si="29"/>
        <v>0</v>
      </c>
      <c r="AD75" s="119">
        <f t="shared" si="30"/>
        <v>0</v>
      </c>
      <c r="AE75" s="119">
        <f t="shared" si="31"/>
        <v>1</v>
      </c>
      <c r="AF75" s="7"/>
      <c r="AG75" s="7"/>
      <c r="AH75" s="7">
        <f t="shared" si="32"/>
        <v>3</v>
      </c>
      <c r="AI75" s="7">
        <f t="shared" si="33"/>
        <v>3</v>
      </c>
      <c r="AJ75" s="7" t="str">
        <f t="shared" si="34"/>
        <v>Correct</v>
      </c>
      <c r="AL75" s="120" t="str">
        <f>IFERROR(VLOOKUP(Table1[RespondentID],'All Data'!$A$3:$CO$999,87,FALSE),"unknown")</f>
        <v>Man</v>
      </c>
      <c r="AM75" s="120">
        <f>IFERROR(VLOOKUP(Table1[RespondentID],'All Data'!$A$3:$CO$999,88,FALSE),"unknown")</f>
        <v>64</v>
      </c>
      <c r="AN75" s="120" t="str">
        <f>IFERROR(VLOOKUP(Table1[RespondentID],'All Data'!$A$3:$CO$999,89,FALSE),"unknown")</f>
        <v>Suffolk</v>
      </c>
      <c r="AO75" s="120" t="str">
        <f>IFERROR(VLOOKUP(Table1[RespondentID],'All Data'!$A$3:$CO$999,90,FALSE),"unknown")</f>
        <v>Farmingville, 11738</v>
      </c>
      <c r="AP75" s="120" t="str">
        <f>IFERROR(VLOOKUP(Table1[RespondentID],'All Data'!$A$3:$CO$999,91,FALSE),"unknown")</f>
        <v>White</v>
      </c>
      <c r="AQ75" s="120" t="str">
        <f>IFERROR(VLOOKUP(Table1[RespondentID],'All Data'!$A$3:$CO$999,92,FALSE),"unknown")</f>
        <v>Not Hispanic or Latino</v>
      </c>
      <c r="AR75" s="120" t="str">
        <f>IFERROR(VLOOKUP(Table1[RespondentID],'All Data'!$A$3:$CO$999,93,FALSE),"unknown")</f>
        <v>English</v>
      </c>
      <c r="AS75" s="120" t="str">
        <f>IFERROR(VLOOKUP(Table1[RespondentID],'All Data'!$A$3:$CW$999,94,FALSE),"unknown")</f>
        <v>$75,000 to $125,000</v>
      </c>
      <c r="AT75" s="120" t="str">
        <f>IFERROR(VLOOKUP(Table1[RespondentID],'All Data'!$A$3:$CW$999,95,FALSE),"unknown")</f>
        <v>Graduate school</v>
      </c>
      <c r="AU75" s="120" t="str">
        <f>IFERROR(VLOOKUP(Table1[RespondentID],'All Data'!$A$3:$CW$999,96,FALSE),"unknown")</f>
        <v>Retired</v>
      </c>
      <c r="AV75" s="120" t="str">
        <f>IFERROR(VLOOKUP(Table1[RespondentID],'All Data'!$A$3:$CW$999,97,FALSE),"unknown")</f>
        <v>Yes</v>
      </c>
      <c r="AW75" s="120" t="str">
        <f>IFERROR(VLOOKUP(Table1[RespondentID],'All Data'!$A$3:$CW$999,98,FALSE),"unknown")</f>
        <v>Medicare</v>
      </c>
      <c r="AX75" s="120">
        <f>IFERROR(VLOOKUP(Table1[RespondentID],'All Data'!$A$3:$CW$999,99,FALSE),"unknown")</f>
        <v>0</v>
      </c>
    </row>
    <row r="76" spans="1:50">
      <c r="A76" s="5">
        <v>18025177067</v>
      </c>
      <c r="B76" s="5"/>
      <c r="C76" s="5" t="s">
        <v>17</v>
      </c>
      <c r="D76" s="5"/>
      <c r="E76" s="5"/>
      <c r="F76" s="5"/>
      <c r="G76" s="5"/>
      <c r="H76" s="5"/>
      <c r="I76" s="5"/>
      <c r="J76" s="5" t="s">
        <v>24</v>
      </c>
      <c r="K76" s="5" t="s">
        <v>25</v>
      </c>
      <c r="L76" s="5" t="s">
        <v>26</v>
      </c>
      <c r="M76" s="5"/>
      <c r="N76" s="5" t="s">
        <v>28</v>
      </c>
      <c r="O76" s="7"/>
      <c r="P76" s="7">
        <f t="shared" si="18"/>
        <v>5</v>
      </c>
      <c r="Q76" s="7">
        <f t="shared" si="19"/>
        <v>0.6</v>
      </c>
      <c r="R76" s="7"/>
      <c r="S76" s="7">
        <f t="shared" si="35"/>
        <v>0</v>
      </c>
      <c r="T76" s="7">
        <f t="shared" si="20"/>
        <v>0.6</v>
      </c>
      <c r="U76" s="7">
        <f t="shared" si="21"/>
        <v>0</v>
      </c>
      <c r="V76" s="119">
        <f t="shared" si="22"/>
        <v>0</v>
      </c>
      <c r="W76" s="119">
        <f t="shared" si="23"/>
        <v>0</v>
      </c>
      <c r="X76" s="119">
        <f t="shared" si="24"/>
        <v>0</v>
      </c>
      <c r="Y76" s="119">
        <f t="shared" si="25"/>
        <v>0</v>
      </c>
      <c r="Z76" s="119">
        <f t="shared" si="26"/>
        <v>0</v>
      </c>
      <c r="AA76" s="119">
        <f t="shared" si="27"/>
        <v>0.6</v>
      </c>
      <c r="AB76" s="119">
        <f t="shared" si="28"/>
        <v>0.6</v>
      </c>
      <c r="AC76" s="119">
        <f t="shared" si="29"/>
        <v>0.6</v>
      </c>
      <c r="AD76" s="119">
        <f t="shared" si="30"/>
        <v>0</v>
      </c>
      <c r="AE76" s="119">
        <f t="shared" si="31"/>
        <v>0.6</v>
      </c>
      <c r="AF76" s="7"/>
      <c r="AG76" s="7"/>
      <c r="AH76" s="7">
        <f t="shared" si="32"/>
        <v>3</v>
      </c>
      <c r="AI76" s="7">
        <f t="shared" si="33"/>
        <v>5</v>
      </c>
      <c r="AJ76" s="7" t="str">
        <f t="shared" si="34"/>
        <v>Correct</v>
      </c>
      <c r="AL76" s="120" t="str">
        <f>IFERROR(VLOOKUP(Table1[RespondentID],'All Data'!$A$3:$CO$999,87,FALSE),"unknown")</f>
        <v>Man</v>
      </c>
      <c r="AM76" s="120">
        <f>IFERROR(VLOOKUP(Table1[RespondentID],'All Data'!$A$3:$CO$999,88,FALSE),"unknown")</f>
        <v>36</v>
      </c>
      <c r="AN76" s="120" t="str">
        <f>IFERROR(VLOOKUP(Table1[RespondentID],'All Data'!$A$3:$CO$999,89,FALSE),"unknown")</f>
        <v>Suffolk</v>
      </c>
      <c r="AO76" s="120" t="str">
        <f>IFERROR(VLOOKUP(Table1[RespondentID],'All Data'!$A$3:$CO$999,90,FALSE),"unknown")</f>
        <v>Wading River, 11792</v>
      </c>
      <c r="AP76" s="120" t="str">
        <f>IFERROR(VLOOKUP(Table1[RespondentID],'All Data'!$A$3:$CO$999,91,FALSE),"unknown")</f>
        <v>Two or more races</v>
      </c>
      <c r="AQ76" s="120" t="str">
        <f>IFERROR(VLOOKUP(Table1[RespondentID],'All Data'!$A$3:$CO$999,92,FALSE),"unknown")</f>
        <v>Hispanic or Latino</v>
      </c>
      <c r="AR76" s="120" t="str">
        <f>IFERROR(VLOOKUP(Table1[RespondentID],'All Data'!$A$3:$CO$999,93,FALSE),"unknown")</f>
        <v>English</v>
      </c>
      <c r="AS76" s="120" t="str">
        <f>IFERROR(VLOOKUP(Table1[RespondentID],'All Data'!$A$3:$CW$999,94,FALSE),"unknown")</f>
        <v>$50,000 to $74,999</v>
      </c>
      <c r="AT76" s="120" t="str">
        <f>IFERROR(VLOOKUP(Table1[RespondentID],'All Data'!$A$3:$CW$999,95,FALSE),"unknown")</f>
        <v>College graduate</v>
      </c>
      <c r="AU76" s="120" t="str">
        <f>IFERROR(VLOOKUP(Table1[RespondentID],'All Data'!$A$3:$CW$999,96,FALSE),"unknown")</f>
        <v>Self-employed</v>
      </c>
      <c r="AV76" s="120" t="str">
        <f>IFERROR(VLOOKUP(Table1[RespondentID],'All Data'!$A$3:$CW$999,97,FALSE),"unknown")</f>
        <v>Yes</v>
      </c>
      <c r="AW76" s="120" t="str">
        <f>IFERROR(VLOOKUP(Table1[RespondentID],'All Data'!$A$3:$CW$999,98,FALSE),"unknown")</f>
        <v>Private/Commercial</v>
      </c>
      <c r="AX76" s="120">
        <f>IFERROR(VLOOKUP(Table1[RespondentID],'All Data'!$A$3:$CW$999,99,FALSE),"unknown")</f>
        <v>0</v>
      </c>
    </row>
    <row r="77" spans="1:50">
      <c r="A77" s="5">
        <v>18024285770</v>
      </c>
      <c r="B77" s="5"/>
      <c r="C77" s="5"/>
      <c r="D77" s="5"/>
      <c r="E77" s="5"/>
      <c r="F77" s="5"/>
      <c r="G77" s="5"/>
      <c r="H77" s="5"/>
      <c r="I77" s="5"/>
      <c r="J77" s="5"/>
      <c r="K77" s="5" t="s">
        <v>25</v>
      </c>
      <c r="L77" s="5"/>
      <c r="M77" s="5"/>
      <c r="N77" s="5"/>
      <c r="O77" s="7"/>
      <c r="P77" s="7">
        <f t="shared" si="18"/>
        <v>1</v>
      </c>
      <c r="Q77" s="7">
        <f t="shared" si="19"/>
        <v>3</v>
      </c>
      <c r="R77" s="7"/>
      <c r="S77" s="7">
        <f t="shared" si="35"/>
        <v>0</v>
      </c>
      <c r="T77" s="7">
        <f t="shared" si="20"/>
        <v>0</v>
      </c>
      <c r="U77" s="7">
        <f t="shared" si="21"/>
        <v>0</v>
      </c>
      <c r="V77" s="119">
        <f t="shared" si="22"/>
        <v>0</v>
      </c>
      <c r="W77" s="119">
        <f t="shared" si="23"/>
        <v>0</v>
      </c>
      <c r="X77" s="119">
        <f t="shared" si="24"/>
        <v>0</v>
      </c>
      <c r="Y77" s="119">
        <f t="shared" si="25"/>
        <v>0</v>
      </c>
      <c r="Z77" s="119">
        <f t="shared" si="26"/>
        <v>0</v>
      </c>
      <c r="AA77" s="119">
        <f t="shared" si="27"/>
        <v>0</v>
      </c>
      <c r="AB77" s="119">
        <f t="shared" si="28"/>
        <v>1</v>
      </c>
      <c r="AC77" s="119">
        <f t="shared" si="29"/>
        <v>0</v>
      </c>
      <c r="AD77" s="119">
        <f t="shared" si="30"/>
        <v>0</v>
      </c>
      <c r="AE77" s="119">
        <f t="shared" si="31"/>
        <v>0</v>
      </c>
      <c r="AF77" s="7"/>
      <c r="AG77" s="7"/>
      <c r="AH77" s="7">
        <f t="shared" si="32"/>
        <v>1</v>
      </c>
      <c r="AI77" s="7">
        <f t="shared" si="33"/>
        <v>1</v>
      </c>
      <c r="AJ77" s="7" t="str">
        <f t="shared" si="34"/>
        <v>Correct</v>
      </c>
      <c r="AL77" s="120" t="str">
        <f>IFERROR(VLOOKUP(Table1[RespondentID],'All Data'!$A$3:$CO$999,87,FALSE),"unknown")</f>
        <v>Man</v>
      </c>
      <c r="AM77" s="120">
        <f>IFERROR(VLOOKUP(Table1[RespondentID],'All Data'!$A$3:$CO$999,88,FALSE),"unknown")</f>
        <v>0</v>
      </c>
      <c r="AN77" s="120" t="str">
        <f>IFERROR(VLOOKUP(Table1[RespondentID],'All Data'!$A$3:$CO$999,89,FALSE),"unknown")</f>
        <v>Suffolk</v>
      </c>
      <c r="AO77" s="120" t="str">
        <f>IFERROR(VLOOKUP(Table1[RespondentID],'All Data'!$A$3:$CO$999,90,FALSE),"unknown")</f>
        <v>Smithtown, 11787</v>
      </c>
      <c r="AP77" s="120" t="str">
        <f>IFERROR(VLOOKUP(Table1[RespondentID],'All Data'!$A$3:$CO$999,91,FALSE),"unknown")</f>
        <v>White</v>
      </c>
      <c r="AQ77" s="120" t="str">
        <f>IFERROR(VLOOKUP(Table1[RespondentID],'All Data'!$A$3:$CO$999,92,FALSE),"unknown")</f>
        <v>Not Hispanic or Latino</v>
      </c>
      <c r="AR77" s="120" t="str">
        <f>IFERROR(VLOOKUP(Table1[RespondentID],'All Data'!$A$3:$CO$999,93,FALSE),"unknown")</f>
        <v>English</v>
      </c>
      <c r="AS77" s="120" t="str">
        <f>IFERROR(VLOOKUP(Table1[RespondentID],'All Data'!$A$3:$CW$999,94,FALSE),"unknown")</f>
        <v>$0-$19,999</v>
      </c>
      <c r="AT77" s="120" t="str">
        <f>IFERROR(VLOOKUP(Table1[RespondentID],'All Data'!$A$3:$CW$999,95,FALSE),"unknown")</f>
        <v>High school graduate</v>
      </c>
      <c r="AU77" s="120" t="str">
        <f>IFERROR(VLOOKUP(Table1[RespondentID],'All Data'!$A$3:$CW$999,96,FALSE),"unknown")</f>
        <v>Out of work, but not currently looking</v>
      </c>
      <c r="AV77" s="120" t="str">
        <f>IFERROR(VLOOKUP(Table1[RespondentID],'All Data'!$A$3:$CW$999,97,FALSE),"unknown")</f>
        <v>Yes</v>
      </c>
      <c r="AW77" s="120" t="str">
        <f>IFERROR(VLOOKUP(Table1[RespondentID],'All Data'!$A$3:$CW$999,98,FALSE),"unknown")</f>
        <v>Medicaid</v>
      </c>
      <c r="AX77" s="120" t="str">
        <f>IFERROR(VLOOKUP(Table1[RespondentID],'All Data'!$A$3:$CW$999,99,FALSE),"unknown")</f>
        <v>Yes</v>
      </c>
    </row>
    <row r="78" spans="1:50">
      <c r="A78" s="5">
        <v>18024204548</v>
      </c>
      <c r="B78" s="5"/>
      <c r="C78" s="5"/>
      <c r="D78" s="5"/>
      <c r="E78" s="5"/>
      <c r="F78" s="5"/>
      <c r="G78" s="5"/>
      <c r="H78" s="5"/>
      <c r="I78" s="5"/>
      <c r="J78" s="5"/>
      <c r="K78" s="5"/>
      <c r="L78" s="5"/>
      <c r="M78" s="5"/>
      <c r="N78" s="5"/>
      <c r="O78" s="7"/>
      <c r="P78" s="7">
        <f t="shared" si="18"/>
        <v>0</v>
      </c>
      <c r="Q78" s="7" t="e">
        <f t="shared" si="19"/>
        <v>#DIV/0!</v>
      </c>
      <c r="R78" s="7"/>
      <c r="S78" s="7">
        <f t="shared" si="35"/>
        <v>0</v>
      </c>
      <c r="T78" s="7">
        <f t="shared" si="20"/>
        <v>0</v>
      </c>
      <c r="U78" s="7">
        <f t="shared" si="21"/>
        <v>0</v>
      </c>
      <c r="V78" s="119">
        <f t="shared" si="22"/>
        <v>0</v>
      </c>
      <c r="W78" s="119">
        <f t="shared" si="23"/>
        <v>0</v>
      </c>
      <c r="X78" s="119">
        <f t="shared" si="24"/>
        <v>0</v>
      </c>
      <c r="Y78" s="119">
        <f t="shared" si="25"/>
        <v>0</v>
      </c>
      <c r="Z78" s="119">
        <f t="shared" si="26"/>
        <v>0</v>
      </c>
      <c r="AA78" s="119">
        <f t="shared" si="27"/>
        <v>0</v>
      </c>
      <c r="AB78" s="119">
        <f t="shared" si="28"/>
        <v>0</v>
      </c>
      <c r="AC78" s="119">
        <f t="shared" si="29"/>
        <v>0</v>
      </c>
      <c r="AD78" s="119">
        <f t="shared" si="30"/>
        <v>0</v>
      </c>
      <c r="AE78" s="119">
        <f t="shared" si="31"/>
        <v>0</v>
      </c>
      <c r="AF78" s="7"/>
      <c r="AG78" s="7"/>
      <c r="AH78" s="7">
        <f t="shared" si="32"/>
        <v>0</v>
      </c>
      <c r="AI78" s="7">
        <f t="shared" si="33"/>
        <v>0</v>
      </c>
      <c r="AJ78" s="7" t="str">
        <f t="shared" si="34"/>
        <v>Correct</v>
      </c>
      <c r="AL78" s="120">
        <f>IFERROR(VLOOKUP(Table1[RespondentID],'All Data'!$A$3:$CO$999,87,FALSE),"unknown")</f>
        <v>0</v>
      </c>
      <c r="AM78" s="120">
        <f>IFERROR(VLOOKUP(Table1[RespondentID],'All Data'!$A$3:$CO$999,88,FALSE),"unknown")</f>
        <v>0</v>
      </c>
      <c r="AN78" s="120">
        <f>IFERROR(VLOOKUP(Table1[RespondentID],'All Data'!$A$3:$CO$999,89,FALSE),"unknown")</f>
        <v>0</v>
      </c>
      <c r="AO78" s="120" t="str">
        <f>IFERROR(VLOOKUP(Table1[RespondentID],'All Data'!$A$3:$CO$999,90,FALSE),"unknown")</f>
        <v>Allenwood, 11021</v>
      </c>
      <c r="AP78" s="120">
        <f>IFERROR(VLOOKUP(Table1[RespondentID],'All Data'!$A$3:$CO$999,91,FALSE),"unknown")</f>
        <v>0</v>
      </c>
      <c r="AQ78" s="120">
        <f>IFERROR(VLOOKUP(Table1[RespondentID],'All Data'!$A$3:$CO$999,92,FALSE),"unknown")</f>
        <v>0</v>
      </c>
      <c r="AR78" s="120">
        <f>IFERROR(VLOOKUP(Table1[RespondentID],'All Data'!$A$3:$CO$999,93,FALSE),"unknown")</f>
        <v>0</v>
      </c>
      <c r="AS78" s="120">
        <f>IFERROR(VLOOKUP(Table1[RespondentID],'All Data'!$A$3:$CW$999,94,FALSE),"unknown")</f>
        <v>0</v>
      </c>
      <c r="AT78" s="120">
        <f>IFERROR(VLOOKUP(Table1[RespondentID],'All Data'!$A$3:$CW$999,95,FALSE),"unknown")</f>
        <v>0</v>
      </c>
      <c r="AU78" s="120">
        <f>IFERROR(VLOOKUP(Table1[RespondentID],'All Data'!$A$3:$CW$999,96,FALSE),"unknown")</f>
        <v>0</v>
      </c>
      <c r="AV78" s="120">
        <f>IFERROR(VLOOKUP(Table1[RespondentID],'All Data'!$A$3:$CW$999,97,FALSE),"unknown")</f>
        <v>0</v>
      </c>
      <c r="AW78" s="120">
        <f>IFERROR(VLOOKUP(Table1[RespondentID],'All Data'!$A$3:$CW$999,98,FALSE),"unknown")</f>
        <v>0</v>
      </c>
      <c r="AX78" s="120">
        <f>IFERROR(VLOOKUP(Table1[RespondentID],'All Data'!$A$3:$CW$999,99,FALSE),"unknown")</f>
        <v>0</v>
      </c>
    </row>
    <row r="79" spans="1:50">
      <c r="A79" s="5">
        <v>18024007695</v>
      </c>
      <c r="B79" s="5"/>
      <c r="C79" s="5"/>
      <c r="D79" s="5"/>
      <c r="E79" s="5"/>
      <c r="F79" s="5"/>
      <c r="G79" s="5"/>
      <c r="H79" s="5"/>
      <c r="I79" s="5"/>
      <c r="J79" s="5"/>
      <c r="K79" s="5"/>
      <c r="L79" s="5"/>
      <c r="M79" s="5"/>
      <c r="N79" s="5"/>
      <c r="O79" s="7"/>
      <c r="P79" s="7">
        <f t="shared" si="18"/>
        <v>0</v>
      </c>
      <c r="Q79" s="7" t="e">
        <f t="shared" si="19"/>
        <v>#DIV/0!</v>
      </c>
      <c r="R79" s="7"/>
      <c r="S79" s="7">
        <f t="shared" si="35"/>
        <v>0</v>
      </c>
      <c r="T79" s="7">
        <f t="shared" si="20"/>
        <v>0</v>
      </c>
      <c r="U79" s="7">
        <f t="shared" si="21"/>
        <v>0</v>
      </c>
      <c r="V79" s="119">
        <f t="shared" si="22"/>
        <v>0</v>
      </c>
      <c r="W79" s="119">
        <f t="shared" si="23"/>
        <v>0</v>
      </c>
      <c r="X79" s="119">
        <f t="shared" si="24"/>
        <v>0</v>
      </c>
      <c r="Y79" s="119">
        <f t="shared" si="25"/>
        <v>0</v>
      </c>
      <c r="Z79" s="119">
        <f t="shared" si="26"/>
        <v>0</v>
      </c>
      <c r="AA79" s="119">
        <f t="shared" si="27"/>
        <v>0</v>
      </c>
      <c r="AB79" s="119">
        <f t="shared" si="28"/>
        <v>0</v>
      </c>
      <c r="AC79" s="119">
        <f t="shared" si="29"/>
        <v>0</v>
      </c>
      <c r="AD79" s="119">
        <f t="shared" si="30"/>
        <v>0</v>
      </c>
      <c r="AE79" s="119">
        <f t="shared" si="31"/>
        <v>0</v>
      </c>
      <c r="AF79" s="7"/>
      <c r="AG79" s="7"/>
      <c r="AH79" s="7">
        <f t="shared" si="32"/>
        <v>0</v>
      </c>
      <c r="AI79" s="7">
        <f t="shared" si="33"/>
        <v>0</v>
      </c>
      <c r="AJ79" s="7" t="str">
        <f t="shared" si="34"/>
        <v>Correct</v>
      </c>
      <c r="AL79" s="120">
        <f>IFERROR(VLOOKUP(Table1[RespondentID],'All Data'!$A$3:$CO$999,87,FALSE),"unknown")</f>
        <v>0</v>
      </c>
      <c r="AM79" s="120">
        <f>IFERROR(VLOOKUP(Table1[RespondentID],'All Data'!$A$3:$CO$999,88,FALSE),"unknown")</f>
        <v>0</v>
      </c>
      <c r="AN79" s="120">
        <f>IFERROR(VLOOKUP(Table1[RespondentID],'All Data'!$A$3:$CO$999,89,FALSE),"unknown")</f>
        <v>0</v>
      </c>
      <c r="AO79" s="120" t="str">
        <f>IFERROR(VLOOKUP(Table1[RespondentID],'All Data'!$A$3:$CO$999,90,FALSE),"unknown")</f>
        <v>Albertson, 11507</v>
      </c>
      <c r="AP79" s="120">
        <f>IFERROR(VLOOKUP(Table1[RespondentID],'All Data'!$A$3:$CO$999,91,FALSE),"unknown")</f>
        <v>0</v>
      </c>
      <c r="AQ79" s="120">
        <f>IFERROR(VLOOKUP(Table1[RespondentID],'All Data'!$A$3:$CO$999,92,FALSE),"unknown")</f>
        <v>0</v>
      </c>
      <c r="AR79" s="120">
        <f>IFERROR(VLOOKUP(Table1[RespondentID],'All Data'!$A$3:$CO$999,93,FALSE),"unknown")</f>
        <v>0</v>
      </c>
      <c r="AS79" s="120">
        <f>IFERROR(VLOOKUP(Table1[RespondentID],'All Data'!$A$3:$CW$999,94,FALSE),"unknown")</f>
        <v>0</v>
      </c>
      <c r="AT79" s="120">
        <f>IFERROR(VLOOKUP(Table1[RespondentID],'All Data'!$A$3:$CW$999,95,FALSE),"unknown")</f>
        <v>0</v>
      </c>
      <c r="AU79" s="120">
        <f>IFERROR(VLOOKUP(Table1[RespondentID],'All Data'!$A$3:$CW$999,96,FALSE),"unknown")</f>
        <v>0</v>
      </c>
      <c r="AV79" s="120">
        <f>IFERROR(VLOOKUP(Table1[RespondentID],'All Data'!$A$3:$CW$999,97,FALSE),"unknown")</f>
        <v>0</v>
      </c>
      <c r="AW79" s="120">
        <f>IFERROR(VLOOKUP(Table1[RespondentID],'All Data'!$A$3:$CW$999,98,FALSE),"unknown")</f>
        <v>0</v>
      </c>
      <c r="AX79" s="120">
        <f>IFERROR(VLOOKUP(Table1[RespondentID],'All Data'!$A$3:$CW$999,99,FALSE),"unknown")</f>
        <v>0</v>
      </c>
    </row>
    <row r="80" spans="1:50">
      <c r="A80" s="5">
        <v>18023492246</v>
      </c>
      <c r="B80" s="5"/>
      <c r="C80" s="5"/>
      <c r="D80" s="5"/>
      <c r="E80" s="5"/>
      <c r="F80" s="5"/>
      <c r="G80" s="5"/>
      <c r="H80" s="5"/>
      <c r="I80" s="5"/>
      <c r="J80" s="5" t="s">
        <v>24</v>
      </c>
      <c r="K80" s="5"/>
      <c r="L80" s="5" t="s">
        <v>26</v>
      </c>
      <c r="M80" s="5"/>
      <c r="N80" s="5" t="s">
        <v>28</v>
      </c>
      <c r="O80" s="7"/>
      <c r="P80" s="7">
        <f t="shared" si="18"/>
        <v>3</v>
      </c>
      <c r="Q80" s="7">
        <f t="shared" si="19"/>
        <v>1</v>
      </c>
      <c r="R80" s="7"/>
      <c r="S80" s="7">
        <f t="shared" si="35"/>
        <v>0</v>
      </c>
      <c r="T80" s="7">
        <f t="shared" si="20"/>
        <v>0</v>
      </c>
      <c r="U80" s="7">
        <f t="shared" si="21"/>
        <v>0</v>
      </c>
      <c r="V80" s="119">
        <f t="shared" si="22"/>
        <v>0</v>
      </c>
      <c r="W80" s="119">
        <f t="shared" si="23"/>
        <v>0</v>
      </c>
      <c r="X80" s="119">
        <f t="shared" si="24"/>
        <v>0</v>
      </c>
      <c r="Y80" s="119">
        <f t="shared" si="25"/>
        <v>0</v>
      </c>
      <c r="Z80" s="119">
        <f t="shared" si="26"/>
        <v>0</v>
      </c>
      <c r="AA80" s="119">
        <f t="shared" si="27"/>
        <v>1</v>
      </c>
      <c r="AB80" s="119">
        <f t="shared" si="28"/>
        <v>0</v>
      </c>
      <c r="AC80" s="119">
        <f t="shared" si="29"/>
        <v>1</v>
      </c>
      <c r="AD80" s="119">
        <f t="shared" si="30"/>
        <v>0</v>
      </c>
      <c r="AE80" s="119">
        <f t="shared" si="31"/>
        <v>1</v>
      </c>
      <c r="AF80" s="7"/>
      <c r="AG80" s="7"/>
      <c r="AH80" s="7">
        <f t="shared" si="32"/>
        <v>3</v>
      </c>
      <c r="AI80" s="7">
        <f t="shared" si="33"/>
        <v>3</v>
      </c>
      <c r="AJ80" s="7" t="str">
        <f t="shared" si="34"/>
        <v>Correct</v>
      </c>
      <c r="AL80" s="120">
        <f>IFERROR(VLOOKUP(Table1[RespondentID],'All Data'!$A$3:$CO$999,87,FALSE),"unknown")</f>
        <v>0</v>
      </c>
      <c r="AM80" s="120">
        <f>IFERROR(VLOOKUP(Table1[RespondentID],'All Data'!$A$3:$CO$999,88,FALSE),"unknown")</f>
        <v>0</v>
      </c>
      <c r="AN80" s="120">
        <f>IFERROR(VLOOKUP(Table1[RespondentID],'All Data'!$A$3:$CO$999,89,FALSE),"unknown")</f>
        <v>0</v>
      </c>
      <c r="AO80" s="120">
        <f>IFERROR(VLOOKUP(Table1[RespondentID],'All Data'!$A$3:$CO$999,90,FALSE),"unknown")</f>
        <v>0</v>
      </c>
      <c r="AP80" s="120">
        <f>IFERROR(VLOOKUP(Table1[RespondentID],'All Data'!$A$3:$CO$999,91,FALSE),"unknown")</f>
        <v>0</v>
      </c>
      <c r="AQ80" s="120">
        <f>IFERROR(VLOOKUP(Table1[RespondentID],'All Data'!$A$3:$CO$999,92,FALSE),"unknown")</f>
        <v>0</v>
      </c>
      <c r="AR80" s="120">
        <f>IFERROR(VLOOKUP(Table1[RespondentID],'All Data'!$A$3:$CO$999,93,FALSE),"unknown")</f>
        <v>0</v>
      </c>
      <c r="AS80" s="120">
        <f>IFERROR(VLOOKUP(Table1[RespondentID],'All Data'!$A$3:$CW$999,94,FALSE),"unknown")</f>
        <v>0</v>
      </c>
      <c r="AT80" s="120">
        <f>IFERROR(VLOOKUP(Table1[RespondentID],'All Data'!$A$3:$CW$999,95,FALSE),"unknown")</f>
        <v>0</v>
      </c>
      <c r="AU80" s="120">
        <f>IFERROR(VLOOKUP(Table1[RespondentID],'All Data'!$A$3:$CW$999,96,FALSE),"unknown")</f>
        <v>0</v>
      </c>
      <c r="AV80" s="120">
        <f>IFERROR(VLOOKUP(Table1[RespondentID],'All Data'!$A$3:$CW$999,97,FALSE),"unknown")</f>
        <v>0</v>
      </c>
      <c r="AW80" s="120">
        <f>IFERROR(VLOOKUP(Table1[RespondentID],'All Data'!$A$3:$CW$999,98,FALSE),"unknown")</f>
        <v>0</v>
      </c>
      <c r="AX80" s="120">
        <f>IFERROR(VLOOKUP(Table1[RespondentID],'All Data'!$A$3:$CW$999,99,FALSE),"unknown")</f>
        <v>0</v>
      </c>
    </row>
    <row r="81" spans="1:50">
      <c r="A81" s="5">
        <v>18023288956</v>
      </c>
      <c r="B81" s="5"/>
      <c r="C81" s="5"/>
      <c r="D81" s="5" t="s">
        <v>18</v>
      </c>
      <c r="E81" s="5"/>
      <c r="F81" s="5"/>
      <c r="G81" s="5"/>
      <c r="H81" s="5"/>
      <c r="I81" s="5"/>
      <c r="J81" s="5" t="s">
        <v>24</v>
      </c>
      <c r="K81" s="5" t="s">
        <v>25</v>
      </c>
      <c r="L81" s="5"/>
      <c r="M81" s="5"/>
      <c r="N81" s="5"/>
      <c r="O81" s="7"/>
      <c r="P81" s="7">
        <f t="shared" si="18"/>
        <v>3</v>
      </c>
      <c r="Q81" s="7">
        <f t="shared" si="19"/>
        <v>1</v>
      </c>
      <c r="R81" s="7"/>
      <c r="S81" s="7">
        <f t="shared" si="35"/>
        <v>0</v>
      </c>
      <c r="T81" s="7">
        <f t="shared" si="20"/>
        <v>0</v>
      </c>
      <c r="U81" s="7">
        <f t="shared" si="21"/>
        <v>1</v>
      </c>
      <c r="V81" s="119">
        <f t="shared" si="22"/>
        <v>0</v>
      </c>
      <c r="W81" s="119">
        <f t="shared" si="23"/>
        <v>0</v>
      </c>
      <c r="X81" s="119">
        <f t="shared" si="24"/>
        <v>0</v>
      </c>
      <c r="Y81" s="119">
        <f t="shared" si="25"/>
        <v>0</v>
      </c>
      <c r="Z81" s="119">
        <f t="shared" si="26"/>
        <v>0</v>
      </c>
      <c r="AA81" s="119">
        <f t="shared" si="27"/>
        <v>1</v>
      </c>
      <c r="AB81" s="119">
        <f t="shared" si="28"/>
        <v>1</v>
      </c>
      <c r="AC81" s="119">
        <f t="shared" si="29"/>
        <v>0</v>
      </c>
      <c r="AD81" s="119">
        <f t="shared" si="30"/>
        <v>0</v>
      </c>
      <c r="AE81" s="119">
        <f t="shared" si="31"/>
        <v>0</v>
      </c>
      <c r="AF81" s="7"/>
      <c r="AG81" s="7"/>
      <c r="AH81" s="7">
        <f t="shared" si="32"/>
        <v>3</v>
      </c>
      <c r="AI81" s="7">
        <f t="shared" si="33"/>
        <v>3</v>
      </c>
      <c r="AJ81" s="7" t="str">
        <f t="shared" si="34"/>
        <v>Correct</v>
      </c>
      <c r="AL81" s="120" t="str">
        <f>IFERROR(VLOOKUP(Table1[RespondentID],'All Data'!$A$3:$CO$999,87,FALSE),"unknown")</f>
        <v>Woman</v>
      </c>
      <c r="AM81" s="120">
        <f>IFERROR(VLOOKUP(Table1[RespondentID],'All Data'!$A$3:$CO$999,88,FALSE),"unknown")</f>
        <v>33</v>
      </c>
      <c r="AN81" s="120" t="str">
        <f>IFERROR(VLOOKUP(Table1[RespondentID],'All Data'!$A$3:$CO$999,89,FALSE),"unknown")</f>
        <v>Suffolk</v>
      </c>
      <c r="AO81" s="120" t="str">
        <f>IFERROR(VLOOKUP(Table1[RespondentID],'All Data'!$A$3:$CO$999,90,FALSE),"unknown")</f>
        <v>Deer Park, 11729</v>
      </c>
      <c r="AP81" s="120" t="str">
        <f>IFERROR(VLOOKUP(Table1[RespondentID],'All Data'!$A$3:$CO$999,91,FALSE),"unknown")</f>
        <v>Asian</v>
      </c>
      <c r="AQ81" s="120">
        <f>IFERROR(VLOOKUP(Table1[RespondentID],'All Data'!$A$3:$CO$999,92,FALSE),"unknown")</f>
        <v>0</v>
      </c>
      <c r="AR81" s="120" t="str">
        <f>IFERROR(VLOOKUP(Table1[RespondentID],'All Data'!$A$3:$CO$999,93,FALSE),"unknown")</f>
        <v>English</v>
      </c>
      <c r="AS81" s="120" t="str">
        <f>IFERROR(VLOOKUP(Table1[RespondentID],'All Data'!$A$3:$CW$999,94,FALSE),"unknown")</f>
        <v>$50,000 to $74,999</v>
      </c>
      <c r="AT81" s="120" t="str">
        <f>IFERROR(VLOOKUP(Table1[RespondentID],'All Data'!$A$3:$CW$999,95,FALSE),"unknown")</f>
        <v>Some college</v>
      </c>
      <c r="AU81" s="120" t="str">
        <f>IFERROR(VLOOKUP(Table1[RespondentID],'All Data'!$A$3:$CW$999,96,FALSE),"unknown")</f>
        <v>Employed for wages</v>
      </c>
      <c r="AV81" s="120" t="str">
        <f>IFERROR(VLOOKUP(Table1[RespondentID],'All Data'!$A$3:$CW$999,97,FALSE),"unknown")</f>
        <v>Yes</v>
      </c>
      <c r="AW81" s="120">
        <f>IFERROR(VLOOKUP(Table1[RespondentID],'All Data'!$A$3:$CW$999,98,FALSE),"unknown")</f>
        <v>0</v>
      </c>
      <c r="AX81" s="120">
        <f>IFERROR(VLOOKUP(Table1[RespondentID],'All Data'!$A$3:$CW$999,99,FALSE),"unknown")</f>
        <v>0</v>
      </c>
    </row>
    <row r="82" spans="1:50">
      <c r="A82" s="5">
        <v>18023288812</v>
      </c>
      <c r="B82" s="5"/>
      <c r="C82" s="5"/>
      <c r="D82" s="5"/>
      <c r="E82" s="5"/>
      <c r="F82" s="5"/>
      <c r="G82" s="5"/>
      <c r="H82" s="5"/>
      <c r="I82" s="5"/>
      <c r="J82" s="5"/>
      <c r="K82" s="5" t="s">
        <v>25</v>
      </c>
      <c r="L82" s="5" t="s">
        <v>26</v>
      </c>
      <c r="M82" s="5"/>
      <c r="N82" s="5"/>
      <c r="O82" s="7"/>
      <c r="P82" s="7">
        <f t="shared" si="18"/>
        <v>2</v>
      </c>
      <c r="Q82" s="7">
        <f t="shared" si="19"/>
        <v>1.5</v>
      </c>
      <c r="R82" s="7"/>
      <c r="S82" s="7">
        <f t="shared" si="35"/>
        <v>0</v>
      </c>
      <c r="T82" s="7">
        <f t="shared" si="20"/>
        <v>0</v>
      </c>
      <c r="U82" s="7">
        <f t="shared" si="21"/>
        <v>0</v>
      </c>
      <c r="V82" s="119">
        <f t="shared" si="22"/>
        <v>0</v>
      </c>
      <c r="W82" s="119">
        <f t="shared" si="23"/>
        <v>0</v>
      </c>
      <c r="X82" s="119">
        <f t="shared" si="24"/>
        <v>0</v>
      </c>
      <c r="Y82" s="119">
        <f t="shared" si="25"/>
        <v>0</v>
      </c>
      <c r="Z82" s="119">
        <f t="shared" si="26"/>
        <v>0</v>
      </c>
      <c r="AA82" s="119">
        <f t="shared" si="27"/>
        <v>0</v>
      </c>
      <c r="AB82" s="119">
        <f t="shared" si="28"/>
        <v>1</v>
      </c>
      <c r="AC82" s="119">
        <f t="shared" si="29"/>
        <v>1</v>
      </c>
      <c r="AD82" s="119">
        <f t="shared" si="30"/>
        <v>0</v>
      </c>
      <c r="AE82" s="119">
        <f t="shared" si="31"/>
        <v>0</v>
      </c>
      <c r="AF82" s="7"/>
      <c r="AG82" s="7"/>
      <c r="AH82" s="7">
        <f t="shared" si="32"/>
        <v>2</v>
      </c>
      <c r="AI82" s="7">
        <f t="shared" si="33"/>
        <v>2</v>
      </c>
      <c r="AJ82" s="7" t="str">
        <f t="shared" si="34"/>
        <v>Correct</v>
      </c>
      <c r="AL82" s="120" t="str">
        <f>IFERROR(VLOOKUP(Table1[RespondentID],'All Data'!$A$3:$CO$999,87,FALSE),"unknown")</f>
        <v>Man</v>
      </c>
      <c r="AM82" s="120">
        <f>IFERROR(VLOOKUP(Table1[RespondentID],'All Data'!$A$3:$CO$999,88,FALSE),"unknown")</f>
        <v>18</v>
      </c>
      <c r="AN82" s="120" t="str">
        <f>IFERROR(VLOOKUP(Table1[RespondentID],'All Data'!$A$3:$CO$999,89,FALSE),"unknown")</f>
        <v>Suffolk</v>
      </c>
      <c r="AO82" s="120" t="str">
        <f>IFERROR(VLOOKUP(Table1[RespondentID],'All Data'!$A$3:$CO$999,90,FALSE),"unknown")</f>
        <v>Huntington Station, 11746</v>
      </c>
      <c r="AP82" s="120" t="str">
        <f>IFERROR(VLOOKUP(Table1[RespondentID],'All Data'!$A$3:$CO$999,91,FALSE),"unknown")</f>
        <v>White</v>
      </c>
      <c r="AQ82" s="120" t="str">
        <f>IFERROR(VLOOKUP(Table1[RespondentID],'All Data'!$A$3:$CO$999,92,FALSE),"unknown")</f>
        <v>Hispanic or Latino</v>
      </c>
      <c r="AR82" s="120" t="str">
        <f>IFERROR(VLOOKUP(Table1[RespondentID],'All Data'!$A$3:$CO$999,93,FALSE),"unknown")</f>
        <v>English</v>
      </c>
      <c r="AS82" s="120" t="str">
        <f>IFERROR(VLOOKUP(Table1[RespondentID],'All Data'!$A$3:$CW$999,94,FALSE),"unknown")</f>
        <v>Over $125,000</v>
      </c>
      <c r="AT82" s="120" t="str">
        <f>IFERROR(VLOOKUP(Table1[RespondentID],'All Data'!$A$3:$CW$999,95,FALSE),"unknown")</f>
        <v>High school graduate</v>
      </c>
      <c r="AU82" s="120" t="str">
        <f>IFERROR(VLOOKUP(Table1[RespondentID],'All Data'!$A$3:$CW$999,96,FALSE),"unknown")</f>
        <v>Out of work, but not currently looking</v>
      </c>
      <c r="AV82" s="120" t="str">
        <f>IFERROR(VLOOKUP(Table1[RespondentID],'All Data'!$A$3:$CW$999,97,FALSE),"unknown")</f>
        <v>Yes</v>
      </c>
      <c r="AW82" s="120" t="str">
        <f>IFERROR(VLOOKUP(Table1[RespondentID],'All Data'!$A$3:$CW$999,98,FALSE),"unknown")</f>
        <v>Medicaid</v>
      </c>
      <c r="AX82" s="120">
        <f>IFERROR(VLOOKUP(Table1[RespondentID],'All Data'!$A$3:$CW$999,99,FALSE),"unknown")</f>
        <v>0</v>
      </c>
    </row>
    <row r="83" spans="1:50">
      <c r="A83" s="5">
        <v>18023288714</v>
      </c>
      <c r="B83" s="5"/>
      <c r="C83" s="5"/>
      <c r="D83" s="5"/>
      <c r="E83" s="5"/>
      <c r="F83" s="5"/>
      <c r="G83" s="5"/>
      <c r="H83" s="5" t="s">
        <v>22</v>
      </c>
      <c r="I83" s="5"/>
      <c r="J83" s="5"/>
      <c r="K83" s="5" t="s">
        <v>25</v>
      </c>
      <c r="L83" s="5" t="s">
        <v>26</v>
      </c>
      <c r="M83" s="5"/>
      <c r="N83" s="5"/>
      <c r="O83" s="7"/>
      <c r="P83" s="7">
        <f t="shared" si="18"/>
        <v>3</v>
      </c>
      <c r="Q83" s="7">
        <f t="shared" si="19"/>
        <v>1</v>
      </c>
      <c r="R83" s="7"/>
      <c r="S83" s="7">
        <f t="shared" si="35"/>
        <v>0</v>
      </c>
      <c r="T83" s="7">
        <f t="shared" si="20"/>
        <v>0</v>
      </c>
      <c r="U83" s="7">
        <f t="shared" si="21"/>
        <v>0</v>
      </c>
      <c r="V83" s="119">
        <f t="shared" si="22"/>
        <v>0</v>
      </c>
      <c r="W83" s="119">
        <f t="shared" si="23"/>
        <v>0</v>
      </c>
      <c r="X83" s="119">
        <f t="shared" si="24"/>
        <v>0</v>
      </c>
      <c r="Y83" s="119">
        <f t="shared" si="25"/>
        <v>1</v>
      </c>
      <c r="Z83" s="119">
        <f t="shared" si="26"/>
        <v>0</v>
      </c>
      <c r="AA83" s="119">
        <f t="shared" si="27"/>
        <v>0</v>
      </c>
      <c r="AB83" s="119">
        <f t="shared" si="28"/>
        <v>1</v>
      </c>
      <c r="AC83" s="119">
        <f t="shared" si="29"/>
        <v>1</v>
      </c>
      <c r="AD83" s="119">
        <f t="shared" si="30"/>
        <v>0</v>
      </c>
      <c r="AE83" s="119">
        <f t="shared" si="31"/>
        <v>0</v>
      </c>
      <c r="AF83" s="7"/>
      <c r="AG83" s="7"/>
      <c r="AH83" s="7">
        <f t="shared" si="32"/>
        <v>3</v>
      </c>
      <c r="AI83" s="7">
        <f t="shared" si="33"/>
        <v>3</v>
      </c>
      <c r="AJ83" s="7" t="str">
        <f t="shared" si="34"/>
        <v>Correct</v>
      </c>
      <c r="AL83" s="120" t="str">
        <f>IFERROR(VLOOKUP(Table1[RespondentID],'All Data'!$A$3:$CO$999,87,FALSE),"unknown")</f>
        <v>Woman</v>
      </c>
      <c r="AM83" s="120">
        <f>IFERROR(VLOOKUP(Table1[RespondentID],'All Data'!$A$3:$CO$999,88,FALSE),"unknown")</f>
        <v>53</v>
      </c>
      <c r="AN83" s="120" t="str">
        <f>IFERROR(VLOOKUP(Table1[RespondentID],'All Data'!$A$3:$CO$999,89,FALSE),"unknown")</f>
        <v>Suffolk</v>
      </c>
      <c r="AO83" s="120" t="str">
        <f>IFERROR(VLOOKUP(Table1[RespondentID],'All Data'!$A$3:$CO$999,90,FALSE),"unknown")</f>
        <v>Huntington Station, 11746</v>
      </c>
      <c r="AP83" s="120" t="str">
        <f>IFERROR(VLOOKUP(Table1[RespondentID],'All Data'!$A$3:$CO$999,91,FALSE),"unknown")</f>
        <v>White</v>
      </c>
      <c r="AQ83" s="120" t="str">
        <f>IFERROR(VLOOKUP(Table1[RespondentID],'All Data'!$A$3:$CO$999,92,FALSE),"unknown")</f>
        <v>Hispanic or Latino</v>
      </c>
      <c r="AR83" s="120" t="str">
        <f>IFERROR(VLOOKUP(Table1[RespondentID],'All Data'!$A$3:$CO$999,93,FALSE),"unknown")</f>
        <v>English</v>
      </c>
      <c r="AS83" s="120" t="str">
        <f>IFERROR(VLOOKUP(Table1[RespondentID],'All Data'!$A$3:$CW$999,94,FALSE),"unknown")</f>
        <v>Over $125,000</v>
      </c>
      <c r="AT83" s="120" t="str">
        <f>IFERROR(VLOOKUP(Table1[RespondentID],'All Data'!$A$3:$CW$999,95,FALSE),"unknown")</f>
        <v>College graduate</v>
      </c>
      <c r="AU83" s="120" t="str">
        <f>IFERROR(VLOOKUP(Table1[RespondentID],'All Data'!$A$3:$CW$999,96,FALSE),"unknown")</f>
        <v>Employed for wages</v>
      </c>
      <c r="AV83" s="120" t="str">
        <f>IFERROR(VLOOKUP(Table1[RespondentID],'All Data'!$A$3:$CW$999,97,FALSE),"unknown")</f>
        <v>Yes</v>
      </c>
      <c r="AW83" s="120" t="str">
        <f>IFERROR(VLOOKUP(Table1[RespondentID],'All Data'!$A$3:$CW$999,98,FALSE),"unknown")</f>
        <v>Private/Commercial</v>
      </c>
      <c r="AX83" s="120">
        <f>IFERROR(VLOOKUP(Table1[RespondentID],'All Data'!$A$3:$CW$999,99,FALSE),"unknown")</f>
        <v>0</v>
      </c>
    </row>
    <row r="84" spans="1:50">
      <c r="A84" s="5">
        <v>18023288631</v>
      </c>
      <c r="B84" s="5" t="s">
        <v>16</v>
      </c>
      <c r="C84" s="5" t="s">
        <v>17</v>
      </c>
      <c r="D84" s="5"/>
      <c r="E84" s="5"/>
      <c r="F84" s="5"/>
      <c r="G84" s="5" t="s">
        <v>21</v>
      </c>
      <c r="H84" s="5" t="s">
        <v>22</v>
      </c>
      <c r="I84" s="5"/>
      <c r="J84" s="5"/>
      <c r="K84" s="5" t="s">
        <v>25</v>
      </c>
      <c r="L84" s="5" t="s">
        <v>26</v>
      </c>
      <c r="M84" s="5"/>
      <c r="N84" s="5"/>
      <c r="O84" s="7"/>
      <c r="P84" s="7">
        <f t="shared" si="18"/>
        <v>6</v>
      </c>
      <c r="Q84" s="7">
        <f t="shared" si="19"/>
        <v>0.5</v>
      </c>
      <c r="R84" s="7"/>
      <c r="S84" s="7">
        <f t="shared" si="35"/>
        <v>0.5</v>
      </c>
      <c r="T84" s="7">
        <f t="shared" si="20"/>
        <v>0.5</v>
      </c>
      <c r="U84" s="7">
        <f t="shared" si="21"/>
        <v>0</v>
      </c>
      <c r="V84" s="119">
        <f t="shared" si="22"/>
        <v>0</v>
      </c>
      <c r="W84" s="119">
        <f t="shared" si="23"/>
        <v>0</v>
      </c>
      <c r="X84" s="119">
        <f t="shared" si="24"/>
        <v>0.5</v>
      </c>
      <c r="Y84" s="119">
        <f t="shared" si="25"/>
        <v>0.5</v>
      </c>
      <c r="Z84" s="119">
        <f t="shared" si="26"/>
        <v>0</v>
      </c>
      <c r="AA84" s="119">
        <f t="shared" si="27"/>
        <v>0</v>
      </c>
      <c r="AB84" s="119">
        <f t="shared" si="28"/>
        <v>0.5</v>
      </c>
      <c r="AC84" s="119">
        <f t="shared" si="29"/>
        <v>0.5</v>
      </c>
      <c r="AD84" s="119">
        <f t="shared" si="30"/>
        <v>0</v>
      </c>
      <c r="AE84" s="119">
        <f t="shared" si="31"/>
        <v>0</v>
      </c>
      <c r="AF84" s="7"/>
      <c r="AG84" s="7"/>
      <c r="AH84" s="7">
        <f t="shared" si="32"/>
        <v>3</v>
      </c>
      <c r="AI84" s="7">
        <f t="shared" si="33"/>
        <v>6</v>
      </c>
      <c r="AJ84" s="7" t="str">
        <f t="shared" si="34"/>
        <v>Correct</v>
      </c>
      <c r="AL84" s="120" t="str">
        <f>IFERROR(VLOOKUP(Table1[RespondentID],'All Data'!$A$3:$CO$999,87,FALSE),"unknown")</f>
        <v>Man</v>
      </c>
      <c r="AM84" s="120">
        <f>IFERROR(VLOOKUP(Table1[RespondentID],'All Data'!$A$3:$CO$999,88,FALSE),"unknown")</f>
        <v>49</v>
      </c>
      <c r="AN84" s="120" t="str">
        <f>IFERROR(VLOOKUP(Table1[RespondentID],'All Data'!$A$3:$CO$999,89,FALSE),"unknown")</f>
        <v>Suffolk</v>
      </c>
      <c r="AO84" s="120" t="str">
        <f>IFERROR(VLOOKUP(Table1[RespondentID],'All Data'!$A$3:$CO$999,90,FALSE),"unknown")</f>
        <v>Kings Park, 11754</v>
      </c>
      <c r="AP84" s="120" t="str">
        <f>IFERROR(VLOOKUP(Table1[RespondentID],'All Data'!$A$3:$CO$999,91,FALSE),"unknown")</f>
        <v>White</v>
      </c>
      <c r="AQ84" s="120" t="str">
        <f>IFERROR(VLOOKUP(Table1[RespondentID],'All Data'!$A$3:$CO$999,92,FALSE),"unknown")</f>
        <v>Hispanic or Latino</v>
      </c>
      <c r="AR84" s="120" t="str">
        <f>IFERROR(VLOOKUP(Table1[RespondentID],'All Data'!$A$3:$CO$999,93,FALSE),"unknown")</f>
        <v>English</v>
      </c>
      <c r="AS84" s="120" t="str">
        <f>IFERROR(VLOOKUP(Table1[RespondentID],'All Data'!$A$3:$CW$999,94,FALSE),"unknown")</f>
        <v>Over $125,000</v>
      </c>
      <c r="AT84" s="120" t="str">
        <f>IFERROR(VLOOKUP(Table1[RespondentID],'All Data'!$A$3:$CW$999,95,FALSE),"unknown")</f>
        <v>Graduate school</v>
      </c>
      <c r="AU84" s="120" t="str">
        <f>IFERROR(VLOOKUP(Table1[RespondentID],'All Data'!$A$3:$CW$999,96,FALSE),"unknown")</f>
        <v>Employed for wages</v>
      </c>
      <c r="AV84" s="120" t="str">
        <f>IFERROR(VLOOKUP(Table1[RespondentID],'All Data'!$A$3:$CW$999,97,FALSE),"unknown")</f>
        <v>Yes</v>
      </c>
      <c r="AW84" s="120" t="str">
        <f>IFERROR(VLOOKUP(Table1[RespondentID],'All Data'!$A$3:$CW$999,98,FALSE),"unknown")</f>
        <v>Private/Commercial</v>
      </c>
      <c r="AX84" s="120">
        <f>IFERROR(VLOOKUP(Table1[RespondentID],'All Data'!$A$3:$CW$999,99,FALSE),"unknown")</f>
        <v>0</v>
      </c>
    </row>
    <row r="85" spans="1:50">
      <c r="A85" s="5">
        <v>18023288504</v>
      </c>
      <c r="B85" s="5"/>
      <c r="C85" s="5"/>
      <c r="D85" s="5"/>
      <c r="E85" s="5" t="s">
        <v>19</v>
      </c>
      <c r="F85" s="5"/>
      <c r="G85" s="5" t="s">
        <v>21</v>
      </c>
      <c r="H85" s="5"/>
      <c r="I85" s="5"/>
      <c r="J85" s="5"/>
      <c r="K85" s="5"/>
      <c r="L85" s="5" t="s">
        <v>26</v>
      </c>
      <c r="M85" s="5"/>
      <c r="N85" s="5"/>
      <c r="O85" s="7"/>
      <c r="P85" s="7">
        <f t="shared" si="18"/>
        <v>3</v>
      </c>
      <c r="Q85" s="7">
        <f t="shared" si="19"/>
        <v>1</v>
      </c>
      <c r="R85" s="7"/>
      <c r="S85" s="7">
        <f t="shared" si="35"/>
        <v>0</v>
      </c>
      <c r="T85" s="7">
        <f t="shared" si="20"/>
        <v>0</v>
      </c>
      <c r="U85" s="7">
        <f t="shared" si="21"/>
        <v>0</v>
      </c>
      <c r="V85" s="119">
        <f t="shared" si="22"/>
        <v>1</v>
      </c>
      <c r="W85" s="119">
        <f t="shared" si="23"/>
        <v>0</v>
      </c>
      <c r="X85" s="119">
        <f t="shared" si="24"/>
        <v>1</v>
      </c>
      <c r="Y85" s="119">
        <f t="shared" si="25"/>
        <v>0</v>
      </c>
      <c r="Z85" s="119">
        <f t="shared" si="26"/>
        <v>0</v>
      </c>
      <c r="AA85" s="119">
        <f t="shared" si="27"/>
        <v>0</v>
      </c>
      <c r="AB85" s="119">
        <f t="shared" si="28"/>
        <v>0</v>
      </c>
      <c r="AC85" s="119">
        <f t="shared" si="29"/>
        <v>1</v>
      </c>
      <c r="AD85" s="119">
        <f t="shared" si="30"/>
        <v>0</v>
      </c>
      <c r="AE85" s="119">
        <f t="shared" si="31"/>
        <v>0</v>
      </c>
      <c r="AF85" s="7"/>
      <c r="AG85" s="7"/>
      <c r="AH85" s="7">
        <f t="shared" si="32"/>
        <v>3</v>
      </c>
      <c r="AI85" s="7">
        <f t="shared" si="33"/>
        <v>3</v>
      </c>
      <c r="AJ85" s="7" t="str">
        <f t="shared" si="34"/>
        <v>Correct</v>
      </c>
      <c r="AL85" s="120" t="str">
        <f>IFERROR(VLOOKUP(Table1[RespondentID],'All Data'!$A$3:$CO$999,87,FALSE),"unknown")</f>
        <v>Man</v>
      </c>
      <c r="AM85" s="120">
        <f>IFERROR(VLOOKUP(Table1[RespondentID],'All Data'!$A$3:$CO$999,88,FALSE),"unknown")</f>
        <v>59</v>
      </c>
      <c r="AN85" s="120" t="str">
        <f>IFERROR(VLOOKUP(Table1[RespondentID],'All Data'!$A$3:$CO$999,89,FALSE),"unknown")</f>
        <v>Suffolk</v>
      </c>
      <c r="AO85" s="120" t="str">
        <f>IFERROR(VLOOKUP(Table1[RespondentID],'All Data'!$A$3:$CO$999,90,FALSE),"unknown")</f>
        <v>Deer Park, 11729</v>
      </c>
      <c r="AP85" s="120" t="str">
        <f>IFERROR(VLOOKUP(Table1[RespondentID],'All Data'!$A$3:$CO$999,91,FALSE),"unknown")</f>
        <v>White</v>
      </c>
      <c r="AQ85" s="120" t="str">
        <f>IFERROR(VLOOKUP(Table1[RespondentID],'All Data'!$A$3:$CO$999,92,FALSE),"unknown")</f>
        <v>Hispanic or Latino</v>
      </c>
      <c r="AR85" s="120" t="str">
        <f>IFERROR(VLOOKUP(Table1[RespondentID],'All Data'!$A$3:$CO$999,93,FALSE),"unknown")</f>
        <v>English</v>
      </c>
      <c r="AS85" s="120" t="str">
        <f>IFERROR(VLOOKUP(Table1[RespondentID],'All Data'!$A$3:$CW$999,94,FALSE),"unknown")</f>
        <v>Over $125,000</v>
      </c>
      <c r="AT85" s="120" t="str">
        <f>IFERROR(VLOOKUP(Table1[RespondentID],'All Data'!$A$3:$CW$999,95,FALSE),"unknown")</f>
        <v>Graduate school</v>
      </c>
      <c r="AU85" s="120" t="str">
        <f>IFERROR(VLOOKUP(Table1[RespondentID],'All Data'!$A$3:$CW$999,96,FALSE),"unknown")</f>
        <v>Employed for wages</v>
      </c>
      <c r="AV85" s="120" t="str">
        <f>IFERROR(VLOOKUP(Table1[RespondentID],'All Data'!$A$3:$CW$999,97,FALSE),"unknown")</f>
        <v>Yes</v>
      </c>
      <c r="AW85" s="120" t="str">
        <f>IFERROR(VLOOKUP(Table1[RespondentID],'All Data'!$A$3:$CW$999,98,FALSE),"unknown")</f>
        <v>Private/Commercial</v>
      </c>
      <c r="AX85" s="120">
        <f>IFERROR(VLOOKUP(Table1[RespondentID],'All Data'!$A$3:$CW$999,99,FALSE),"unknown")</f>
        <v>0</v>
      </c>
    </row>
    <row r="86" spans="1:50">
      <c r="A86" s="5">
        <v>18023288405</v>
      </c>
      <c r="B86" s="5"/>
      <c r="C86" s="5" t="s">
        <v>17</v>
      </c>
      <c r="D86" s="5"/>
      <c r="E86" s="5"/>
      <c r="F86" s="5"/>
      <c r="G86" s="5"/>
      <c r="H86" s="5"/>
      <c r="I86" s="5"/>
      <c r="J86" s="5"/>
      <c r="K86" s="5" t="s">
        <v>25</v>
      </c>
      <c r="L86" s="5"/>
      <c r="M86" s="5" t="s">
        <v>27</v>
      </c>
      <c r="N86" s="5" t="s">
        <v>28</v>
      </c>
      <c r="O86" s="7"/>
      <c r="P86" s="7">
        <f t="shared" si="18"/>
        <v>4</v>
      </c>
      <c r="Q86" s="7">
        <f t="shared" si="19"/>
        <v>0.75</v>
      </c>
      <c r="R86" s="7"/>
      <c r="S86" s="7">
        <f t="shared" si="35"/>
        <v>0</v>
      </c>
      <c r="T86" s="7">
        <f t="shared" si="20"/>
        <v>0.75</v>
      </c>
      <c r="U86" s="7">
        <f t="shared" si="21"/>
        <v>0</v>
      </c>
      <c r="V86" s="119">
        <f t="shared" si="22"/>
        <v>0</v>
      </c>
      <c r="W86" s="119">
        <f t="shared" si="23"/>
        <v>0</v>
      </c>
      <c r="X86" s="119">
        <f t="shared" si="24"/>
        <v>0</v>
      </c>
      <c r="Y86" s="119">
        <f t="shared" si="25"/>
        <v>0</v>
      </c>
      <c r="Z86" s="119">
        <f t="shared" si="26"/>
        <v>0</v>
      </c>
      <c r="AA86" s="119">
        <f t="shared" si="27"/>
        <v>0</v>
      </c>
      <c r="AB86" s="119">
        <f t="shared" si="28"/>
        <v>0.75</v>
      </c>
      <c r="AC86" s="119">
        <f t="shared" si="29"/>
        <v>0</v>
      </c>
      <c r="AD86" s="119">
        <f t="shared" si="30"/>
        <v>0.75</v>
      </c>
      <c r="AE86" s="119">
        <f t="shared" si="31"/>
        <v>0.75</v>
      </c>
      <c r="AF86" s="7"/>
      <c r="AG86" s="7"/>
      <c r="AH86" s="7">
        <f t="shared" si="32"/>
        <v>3</v>
      </c>
      <c r="AI86" s="7">
        <f t="shared" si="33"/>
        <v>4</v>
      </c>
      <c r="AJ86" s="7" t="str">
        <f t="shared" si="34"/>
        <v>Correct</v>
      </c>
      <c r="AL86" s="120" t="str">
        <f>IFERROR(VLOOKUP(Table1[RespondentID],'All Data'!$A$3:$CO$999,87,FALSE),"unknown")</f>
        <v>Man</v>
      </c>
      <c r="AM86" s="120">
        <f>IFERROR(VLOOKUP(Table1[RespondentID],'All Data'!$A$3:$CO$999,88,FALSE),"unknown")</f>
        <v>57</v>
      </c>
      <c r="AN86" s="120" t="str">
        <f>IFERROR(VLOOKUP(Table1[RespondentID],'All Data'!$A$3:$CO$999,89,FALSE),"unknown")</f>
        <v>Suffolk</v>
      </c>
      <c r="AO86" s="120" t="str">
        <f>IFERROR(VLOOKUP(Table1[RespondentID],'All Data'!$A$3:$CO$999,90,FALSE),"unknown")</f>
        <v>Kings Park, 11754</v>
      </c>
      <c r="AP86" s="120" t="str">
        <f>IFERROR(VLOOKUP(Table1[RespondentID],'All Data'!$A$3:$CO$999,91,FALSE),"unknown")</f>
        <v>White</v>
      </c>
      <c r="AQ86" s="120" t="str">
        <f>IFERROR(VLOOKUP(Table1[RespondentID],'All Data'!$A$3:$CO$999,92,FALSE),"unknown")</f>
        <v>Hispanic or Latino</v>
      </c>
      <c r="AR86" s="120" t="str">
        <f>IFERROR(VLOOKUP(Table1[RespondentID],'All Data'!$A$3:$CO$999,93,FALSE),"unknown")</f>
        <v>English</v>
      </c>
      <c r="AS86" s="120" t="str">
        <f>IFERROR(VLOOKUP(Table1[RespondentID],'All Data'!$A$3:$CW$999,94,FALSE),"unknown")</f>
        <v>Over $125,000</v>
      </c>
      <c r="AT86" s="120" t="str">
        <f>IFERROR(VLOOKUP(Table1[RespondentID],'All Data'!$A$3:$CW$999,95,FALSE),"unknown")</f>
        <v>Graduate school</v>
      </c>
      <c r="AU86" s="120" t="str">
        <f>IFERROR(VLOOKUP(Table1[RespondentID],'All Data'!$A$3:$CW$999,96,FALSE),"unknown")</f>
        <v>Employed for wages</v>
      </c>
      <c r="AV86" s="120" t="str">
        <f>IFERROR(VLOOKUP(Table1[RespondentID],'All Data'!$A$3:$CW$999,97,FALSE),"unknown")</f>
        <v>Yes</v>
      </c>
      <c r="AW86" s="120" t="str">
        <f>IFERROR(VLOOKUP(Table1[RespondentID],'All Data'!$A$3:$CW$999,98,FALSE),"unknown")</f>
        <v>Private/Commercial</v>
      </c>
      <c r="AX86" s="120">
        <f>IFERROR(VLOOKUP(Table1[RespondentID],'All Data'!$A$3:$CW$999,99,FALSE),"unknown")</f>
        <v>0</v>
      </c>
    </row>
    <row r="87" spans="1:50">
      <c r="A87" s="5">
        <v>18023288287</v>
      </c>
      <c r="B87" s="5"/>
      <c r="C87" s="5" t="s">
        <v>17</v>
      </c>
      <c r="D87" s="5"/>
      <c r="E87" s="5"/>
      <c r="F87" s="5"/>
      <c r="G87" s="5"/>
      <c r="H87" s="5"/>
      <c r="I87" s="5"/>
      <c r="J87" s="5"/>
      <c r="K87" s="5" t="s">
        <v>25</v>
      </c>
      <c r="L87" s="5"/>
      <c r="M87" s="5" t="s">
        <v>27</v>
      </c>
      <c r="N87" s="5"/>
      <c r="O87" s="7"/>
      <c r="P87" s="7">
        <f t="shared" si="18"/>
        <v>3</v>
      </c>
      <c r="Q87" s="7">
        <f t="shared" si="19"/>
        <v>1</v>
      </c>
      <c r="R87" s="7"/>
      <c r="S87" s="7">
        <f t="shared" si="35"/>
        <v>0</v>
      </c>
      <c r="T87" s="7">
        <f t="shared" si="20"/>
        <v>1</v>
      </c>
      <c r="U87" s="7">
        <f t="shared" si="21"/>
        <v>0</v>
      </c>
      <c r="V87" s="119">
        <f t="shared" si="22"/>
        <v>0</v>
      </c>
      <c r="W87" s="119">
        <f t="shared" si="23"/>
        <v>0</v>
      </c>
      <c r="X87" s="119">
        <f t="shared" si="24"/>
        <v>0</v>
      </c>
      <c r="Y87" s="119">
        <f t="shared" si="25"/>
        <v>0</v>
      </c>
      <c r="Z87" s="119">
        <f t="shared" si="26"/>
        <v>0</v>
      </c>
      <c r="AA87" s="119">
        <f t="shared" si="27"/>
        <v>0</v>
      </c>
      <c r="AB87" s="119">
        <f t="shared" si="28"/>
        <v>1</v>
      </c>
      <c r="AC87" s="119">
        <f t="shared" si="29"/>
        <v>0</v>
      </c>
      <c r="AD87" s="119">
        <f t="shared" si="30"/>
        <v>1</v>
      </c>
      <c r="AE87" s="119">
        <f t="shared" si="31"/>
        <v>0</v>
      </c>
      <c r="AF87" s="7"/>
      <c r="AG87" s="7"/>
      <c r="AH87" s="7">
        <f t="shared" si="32"/>
        <v>3</v>
      </c>
      <c r="AI87" s="7">
        <f t="shared" si="33"/>
        <v>3</v>
      </c>
      <c r="AJ87" s="7" t="str">
        <f t="shared" si="34"/>
        <v>Correct</v>
      </c>
      <c r="AL87" s="120" t="str">
        <f>IFERROR(VLOOKUP(Table1[RespondentID],'All Data'!$A$3:$CO$999,87,FALSE),"unknown")</f>
        <v>Man</v>
      </c>
      <c r="AM87" s="120">
        <f>IFERROR(VLOOKUP(Table1[RespondentID],'All Data'!$A$3:$CO$999,88,FALSE),"unknown")</f>
        <v>50</v>
      </c>
      <c r="AN87" s="120" t="str">
        <f>IFERROR(VLOOKUP(Table1[RespondentID],'All Data'!$A$3:$CO$999,89,FALSE),"unknown")</f>
        <v>Suffolk</v>
      </c>
      <c r="AO87" s="120" t="str">
        <f>IFERROR(VLOOKUP(Table1[RespondentID],'All Data'!$A$3:$CO$999,90,FALSE),"unknown")</f>
        <v>Melville, 11747</v>
      </c>
      <c r="AP87" s="120" t="str">
        <f>IFERROR(VLOOKUP(Table1[RespondentID],'All Data'!$A$3:$CO$999,91,FALSE),"unknown")</f>
        <v>White</v>
      </c>
      <c r="AQ87" s="120" t="str">
        <f>IFERROR(VLOOKUP(Table1[RespondentID],'All Data'!$A$3:$CO$999,92,FALSE),"unknown")</f>
        <v>Not Hispanic or Latino</v>
      </c>
      <c r="AR87" s="120" t="str">
        <f>IFERROR(VLOOKUP(Table1[RespondentID],'All Data'!$A$3:$CO$999,93,FALSE),"unknown")</f>
        <v>English, Spanish</v>
      </c>
      <c r="AS87" s="120" t="str">
        <f>IFERROR(VLOOKUP(Table1[RespondentID],'All Data'!$A$3:$CW$999,94,FALSE),"unknown")</f>
        <v>Over $125,000</v>
      </c>
      <c r="AT87" s="120" t="str">
        <f>IFERROR(VLOOKUP(Table1[RespondentID],'All Data'!$A$3:$CW$999,95,FALSE),"unknown")</f>
        <v>Graduate school</v>
      </c>
      <c r="AU87" s="120" t="str">
        <f>IFERROR(VLOOKUP(Table1[RespondentID],'All Data'!$A$3:$CW$999,96,FALSE),"unknown")</f>
        <v>Employed for wages</v>
      </c>
      <c r="AV87" s="120" t="str">
        <f>IFERROR(VLOOKUP(Table1[RespondentID],'All Data'!$A$3:$CW$999,97,FALSE),"unknown")</f>
        <v>Yes</v>
      </c>
      <c r="AW87" s="120" t="str">
        <f>IFERROR(VLOOKUP(Table1[RespondentID],'All Data'!$A$3:$CW$999,98,FALSE),"unknown")</f>
        <v>Private/Commercial</v>
      </c>
      <c r="AX87" s="120">
        <f>IFERROR(VLOOKUP(Table1[RespondentID],'All Data'!$A$3:$CW$999,99,FALSE),"unknown")</f>
        <v>0</v>
      </c>
    </row>
    <row r="88" spans="1:50">
      <c r="A88" s="5">
        <v>18023288205</v>
      </c>
      <c r="B88" s="5"/>
      <c r="C88" s="5" t="s">
        <v>17</v>
      </c>
      <c r="D88" s="5"/>
      <c r="E88" s="5"/>
      <c r="F88" s="5"/>
      <c r="G88" s="5" t="s">
        <v>21</v>
      </c>
      <c r="H88" s="5"/>
      <c r="I88" s="5"/>
      <c r="J88" s="5"/>
      <c r="K88" s="5" t="s">
        <v>25</v>
      </c>
      <c r="L88" s="5"/>
      <c r="M88" s="5"/>
      <c r="N88" s="5"/>
      <c r="O88" s="7"/>
      <c r="P88" s="7">
        <f t="shared" si="18"/>
        <v>3</v>
      </c>
      <c r="Q88" s="7">
        <f t="shared" si="19"/>
        <v>1</v>
      </c>
      <c r="R88" s="7"/>
      <c r="S88" s="7">
        <f t="shared" si="35"/>
        <v>0</v>
      </c>
      <c r="T88" s="7">
        <f t="shared" si="20"/>
        <v>1</v>
      </c>
      <c r="U88" s="7">
        <f t="shared" si="21"/>
        <v>0</v>
      </c>
      <c r="V88" s="119">
        <f t="shared" si="22"/>
        <v>0</v>
      </c>
      <c r="W88" s="119">
        <f t="shared" si="23"/>
        <v>0</v>
      </c>
      <c r="X88" s="119">
        <f t="shared" si="24"/>
        <v>1</v>
      </c>
      <c r="Y88" s="119">
        <f t="shared" si="25"/>
        <v>0</v>
      </c>
      <c r="Z88" s="119">
        <f t="shared" si="26"/>
        <v>0</v>
      </c>
      <c r="AA88" s="119">
        <f t="shared" si="27"/>
        <v>0</v>
      </c>
      <c r="AB88" s="119">
        <f t="shared" si="28"/>
        <v>1</v>
      </c>
      <c r="AC88" s="119">
        <f t="shared" si="29"/>
        <v>0</v>
      </c>
      <c r="AD88" s="119">
        <f t="shared" si="30"/>
        <v>0</v>
      </c>
      <c r="AE88" s="119">
        <f t="shared" si="31"/>
        <v>0</v>
      </c>
      <c r="AF88" s="7"/>
      <c r="AG88" s="7"/>
      <c r="AH88" s="7">
        <f t="shared" si="32"/>
        <v>3</v>
      </c>
      <c r="AI88" s="7">
        <f t="shared" si="33"/>
        <v>3</v>
      </c>
      <c r="AJ88" s="7" t="str">
        <f t="shared" si="34"/>
        <v>Correct</v>
      </c>
      <c r="AL88" s="120" t="str">
        <f>IFERROR(VLOOKUP(Table1[RespondentID],'All Data'!$A$3:$CO$999,87,FALSE),"unknown")</f>
        <v>Man</v>
      </c>
      <c r="AM88" s="120">
        <f>IFERROR(VLOOKUP(Table1[RespondentID],'All Data'!$A$3:$CO$999,88,FALSE),"unknown")</f>
        <v>52</v>
      </c>
      <c r="AN88" s="120" t="str">
        <f>IFERROR(VLOOKUP(Table1[RespondentID],'All Data'!$A$3:$CO$999,89,FALSE),"unknown")</f>
        <v>Suffolk</v>
      </c>
      <c r="AO88" s="120" t="str">
        <f>IFERROR(VLOOKUP(Table1[RespondentID],'All Data'!$A$3:$CO$999,90,FALSE),"unknown")</f>
        <v>Huntington Station, 11746</v>
      </c>
      <c r="AP88" s="120" t="str">
        <f>IFERROR(VLOOKUP(Table1[RespondentID],'All Data'!$A$3:$CO$999,91,FALSE),"unknown")</f>
        <v>White</v>
      </c>
      <c r="AQ88" s="120" t="str">
        <f>IFERROR(VLOOKUP(Table1[RespondentID],'All Data'!$A$3:$CO$999,92,FALSE),"unknown")</f>
        <v>Hispanic or Latino</v>
      </c>
      <c r="AR88" s="120" t="str">
        <f>IFERROR(VLOOKUP(Table1[RespondentID],'All Data'!$A$3:$CO$999,93,FALSE),"unknown")</f>
        <v>English</v>
      </c>
      <c r="AS88" s="120" t="str">
        <f>IFERROR(VLOOKUP(Table1[RespondentID],'All Data'!$A$3:$CW$999,94,FALSE),"unknown")</f>
        <v>Over $125,000</v>
      </c>
      <c r="AT88" s="120" t="str">
        <f>IFERROR(VLOOKUP(Table1[RespondentID],'All Data'!$A$3:$CW$999,95,FALSE),"unknown")</f>
        <v>Graduate school</v>
      </c>
      <c r="AU88" s="120" t="str">
        <f>IFERROR(VLOOKUP(Table1[RespondentID],'All Data'!$A$3:$CW$999,96,FALSE),"unknown")</f>
        <v>Employed for wages</v>
      </c>
      <c r="AV88" s="120" t="str">
        <f>IFERROR(VLOOKUP(Table1[RespondentID],'All Data'!$A$3:$CW$999,97,FALSE),"unknown")</f>
        <v>Yes</v>
      </c>
      <c r="AW88" s="120" t="str">
        <f>IFERROR(VLOOKUP(Table1[RespondentID],'All Data'!$A$3:$CW$999,98,FALSE),"unknown")</f>
        <v>Private/Commercial</v>
      </c>
      <c r="AX88" s="120">
        <f>IFERROR(VLOOKUP(Table1[RespondentID],'All Data'!$A$3:$CW$999,99,FALSE),"unknown")</f>
        <v>0</v>
      </c>
    </row>
    <row r="89" spans="1:50">
      <c r="A89" s="5">
        <v>18023288112</v>
      </c>
      <c r="B89" s="5"/>
      <c r="C89" s="5" t="s">
        <v>17</v>
      </c>
      <c r="D89" s="5"/>
      <c r="E89" s="5"/>
      <c r="F89" s="5"/>
      <c r="G89" s="5"/>
      <c r="H89" s="5"/>
      <c r="I89" s="5"/>
      <c r="J89" s="5"/>
      <c r="K89" s="5" t="s">
        <v>25</v>
      </c>
      <c r="L89" s="5" t="s">
        <v>26</v>
      </c>
      <c r="M89" s="5"/>
      <c r="N89" s="5"/>
      <c r="O89" s="7"/>
      <c r="P89" s="7">
        <f t="shared" si="18"/>
        <v>3</v>
      </c>
      <c r="Q89" s="7">
        <f t="shared" si="19"/>
        <v>1</v>
      </c>
      <c r="R89" s="7"/>
      <c r="S89" s="7">
        <f t="shared" si="35"/>
        <v>0</v>
      </c>
      <c r="T89" s="7">
        <f t="shared" si="20"/>
        <v>1</v>
      </c>
      <c r="U89" s="7">
        <f t="shared" si="21"/>
        <v>0</v>
      </c>
      <c r="V89" s="119">
        <f t="shared" si="22"/>
        <v>0</v>
      </c>
      <c r="W89" s="119">
        <f t="shared" si="23"/>
        <v>0</v>
      </c>
      <c r="X89" s="119">
        <f t="shared" si="24"/>
        <v>0</v>
      </c>
      <c r="Y89" s="119">
        <f t="shared" si="25"/>
        <v>0</v>
      </c>
      <c r="Z89" s="119">
        <f t="shared" si="26"/>
        <v>0</v>
      </c>
      <c r="AA89" s="119">
        <f t="shared" si="27"/>
        <v>0</v>
      </c>
      <c r="AB89" s="119">
        <f t="shared" si="28"/>
        <v>1</v>
      </c>
      <c r="AC89" s="119">
        <f t="shared" si="29"/>
        <v>1</v>
      </c>
      <c r="AD89" s="119">
        <f t="shared" si="30"/>
        <v>0</v>
      </c>
      <c r="AE89" s="119">
        <f t="shared" si="31"/>
        <v>0</v>
      </c>
      <c r="AF89" s="7"/>
      <c r="AG89" s="7"/>
      <c r="AH89" s="7">
        <f t="shared" si="32"/>
        <v>3</v>
      </c>
      <c r="AI89" s="7">
        <f t="shared" si="33"/>
        <v>3</v>
      </c>
      <c r="AJ89" s="7" t="str">
        <f t="shared" si="34"/>
        <v>Correct</v>
      </c>
      <c r="AL89" s="120" t="str">
        <f>IFERROR(VLOOKUP(Table1[RespondentID],'All Data'!$A$3:$CO$999,87,FALSE),"unknown")</f>
        <v>Man</v>
      </c>
      <c r="AM89" s="120">
        <f>IFERROR(VLOOKUP(Table1[RespondentID],'All Data'!$A$3:$CO$999,88,FALSE),"unknown")</f>
        <v>48</v>
      </c>
      <c r="AN89" s="120" t="str">
        <f>IFERROR(VLOOKUP(Table1[RespondentID],'All Data'!$A$3:$CO$999,89,FALSE),"unknown")</f>
        <v>Suffolk</v>
      </c>
      <c r="AO89" s="120" t="str">
        <f>IFERROR(VLOOKUP(Table1[RespondentID],'All Data'!$A$3:$CO$999,90,FALSE),"unknown")</f>
        <v>East Northport, 11731</v>
      </c>
      <c r="AP89" s="120" t="str">
        <f>IFERROR(VLOOKUP(Table1[RespondentID],'All Data'!$A$3:$CO$999,91,FALSE),"unknown")</f>
        <v>White</v>
      </c>
      <c r="AQ89" s="120" t="str">
        <f>IFERROR(VLOOKUP(Table1[RespondentID],'All Data'!$A$3:$CO$999,92,FALSE),"unknown")</f>
        <v>Hispanic or Latino</v>
      </c>
      <c r="AR89" s="120" t="str">
        <f>IFERROR(VLOOKUP(Table1[RespondentID],'All Data'!$A$3:$CO$999,93,FALSE),"unknown")</f>
        <v>English</v>
      </c>
      <c r="AS89" s="120" t="str">
        <f>IFERROR(VLOOKUP(Table1[RespondentID],'All Data'!$A$3:$CW$999,94,FALSE),"unknown")</f>
        <v>Over $125,000</v>
      </c>
      <c r="AT89" s="120" t="str">
        <f>IFERROR(VLOOKUP(Table1[RespondentID],'All Data'!$A$3:$CW$999,95,FALSE),"unknown")</f>
        <v>Graduate school</v>
      </c>
      <c r="AU89" s="120" t="str">
        <f>IFERROR(VLOOKUP(Table1[RespondentID],'All Data'!$A$3:$CW$999,96,FALSE),"unknown")</f>
        <v>Employed for wages</v>
      </c>
      <c r="AV89" s="120">
        <f>IFERROR(VLOOKUP(Table1[RespondentID],'All Data'!$A$3:$CW$999,97,FALSE),"unknown")</f>
        <v>0</v>
      </c>
      <c r="AW89" s="120" t="str">
        <f>IFERROR(VLOOKUP(Table1[RespondentID],'All Data'!$A$3:$CW$999,98,FALSE),"unknown")</f>
        <v>Private/Commercial</v>
      </c>
      <c r="AX89" s="120">
        <f>IFERROR(VLOOKUP(Table1[RespondentID],'All Data'!$A$3:$CW$999,99,FALSE),"unknown")</f>
        <v>0</v>
      </c>
    </row>
    <row r="90" spans="1:50">
      <c r="A90" s="5">
        <v>18023288040</v>
      </c>
      <c r="B90" s="5"/>
      <c r="C90" s="5" t="s">
        <v>17</v>
      </c>
      <c r="D90" s="5"/>
      <c r="E90" s="5"/>
      <c r="F90" s="5"/>
      <c r="G90" s="5"/>
      <c r="H90" s="5"/>
      <c r="I90" s="5"/>
      <c r="J90" s="5"/>
      <c r="K90" s="5"/>
      <c r="L90" s="5" t="s">
        <v>26</v>
      </c>
      <c r="M90" s="5" t="s">
        <v>27</v>
      </c>
      <c r="N90" s="5"/>
      <c r="O90" s="7"/>
      <c r="P90" s="7">
        <f t="shared" si="18"/>
        <v>3</v>
      </c>
      <c r="Q90" s="7">
        <f t="shared" si="19"/>
        <v>1</v>
      </c>
      <c r="R90" s="7"/>
      <c r="S90" s="7">
        <f t="shared" si="35"/>
        <v>0</v>
      </c>
      <c r="T90" s="7">
        <f t="shared" si="20"/>
        <v>1</v>
      </c>
      <c r="U90" s="7">
        <f t="shared" si="21"/>
        <v>0</v>
      </c>
      <c r="V90" s="119">
        <f t="shared" si="22"/>
        <v>0</v>
      </c>
      <c r="W90" s="119">
        <f t="shared" si="23"/>
        <v>0</v>
      </c>
      <c r="X90" s="119">
        <f t="shared" si="24"/>
        <v>0</v>
      </c>
      <c r="Y90" s="119">
        <f t="shared" si="25"/>
        <v>0</v>
      </c>
      <c r="Z90" s="119">
        <f t="shared" si="26"/>
        <v>0</v>
      </c>
      <c r="AA90" s="119">
        <f t="shared" si="27"/>
        <v>0</v>
      </c>
      <c r="AB90" s="119">
        <f t="shared" si="28"/>
        <v>0</v>
      </c>
      <c r="AC90" s="119">
        <f t="shared" si="29"/>
        <v>1</v>
      </c>
      <c r="AD90" s="119">
        <f t="shared" si="30"/>
        <v>1</v>
      </c>
      <c r="AE90" s="119">
        <f t="shared" si="31"/>
        <v>0</v>
      </c>
      <c r="AF90" s="7"/>
      <c r="AG90" s="7"/>
      <c r="AH90" s="7">
        <f t="shared" si="32"/>
        <v>3</v>
      </c>
      <c r="AI90" s="7">
        <f t="shared" si="33"/>
        <v>3</v>
      </c>
      <c r="AJ90" s="7" t="str">
        <f t="shared" si="34"/>
        <v>Correct</v>
      </c>
      <c r="AL90" s="120" t="str">
        <f>IFERROR(VLOOKUP(Table1[RespondentID],'All Data'!$A$3:$CO$999,87,FALSE),"unknown")</f>
        <v>Man</v>
      </c>
      <c r="AM90" s="120">
        <f>IFERROR(VLOOKUP(Table1[RespondentID],'All Data'!$A$3:$CO$999,88,FALSE),"unknown")</f>
        <v>49</v>
      </c>
      <c r="AN90" s="120" t="str">
        <f>IFERROR(VLOOKUP(Table1[RespondentID],'All Data'!$A$3:$CO$999,89,FALSE),"unknown")</f>
        <v>Suffolk</v>
      </c>
      <c r="AO90" s="120" t="str">
        <f>IFERROR(VLOOKUP(Table1[RespondentID],'All Data'!$A$3:$CO$999,90,FALSE),"unknown")</f>
        <v>Smithtown, 11787</v>
      </c>
      <c r="AP90" s="120" t="str">
        <f>IFERROR(VLOOKUP(Table1[RespondentID],'All Data'!$A$3:$CO$999,91,FALSE),"unknown")</f>
        <v>White</v>
      </c>
      <c r="AQ90" s="120" t="str">
        <f>IFERROR(VLOOKUP(Table1[RespondentID],'All Data'!$A$3:$CO$999,92,FALSE),"unknown")</f>
        <v>Hispanic or Latino</v>
      </c>
      <c r="AR90" s="120" t="str">
        <f>IFERROR(VLOOKUP(Table1[RespondentID],'All Data'!$A$3:$CO$999,93,FALSE),"unknown")</f>
        <v>English</v>
      </c>
      <c r="AS90" s="120" t="str">
        <f>IFERROR(VLOOKUP(Table1[RespondentID],'All Data'!$A$3:$CW$999,94,FALSE),"unknown")</f>
        <v>Over $125,000</v>
      </c>
      <c r="AT90" s="120" t="str">
        <f>IFERROR(VLOOKUP(Table1[RespondentID],'All Data'!$A$3:$CW$999,95,FALSE),"unknown")</f>
        <v>Graduate school</v>
      </c>
      <c r="AU90" s="120" t="str">
        <f>IFERROR(VLOOKUP(Table1[RespondentID],'All Data'!$A$3:$CW$999,96,FALSE),"unknown")</f>
        <v>Employed for wages</v>
      </c>
      <c r="AV90" s="120">
        <f>IFERROR(VLOOKUP(Table1[RespondentID],'All Data'!$A$3:$CW$999,97,FALSE),"unknown")</f>
        <v>0</v>
      </c>
      <c r="AW90" s="120" t="str">
        <f>IFERROR(VLOOKUP(Table1[RespondentID],'All Data'!$A$3:$CW$999,98,FALSE),"unknown")</f>
        <v>Private/Commercial</v>
      </c>
      <c r="AX90" s="120">
        <f>IFERROR(VLOOKUP(Table1[RespondentID],'All Data'!$A$3:$CW$999,99,FALSE),"unknown")</f>
        <v>0</v>
      </c>
    </row>
    <row r="91" spans="1:50">
      <c r="A91" s="5">
        <v>18023287912</v>
      </c>
      <c r="B91" s="5"/>
      <c r="C91" s="5" t="s">
        <v>17</v>
      </c>
      <c r="D91" s="5"/>
      <c r="E91" s="5"/>
      <c r="F91" s="5"/>
      <c r="G91" s="5"/>
      <c r="H91" s="5"/>
      <c r="I91" s="5"/>
      <c r="J91" s="5"/>
      <c r="K91" s="5" t="s">
        <v>25</v>
      </c>
      <c r="L91" s="5"/>
      <c r="M91" s="5"/>
      <c r="N91" s="5"/>
      <c r="O91" s="7"/>
      <c r="P91" s="7">
        <f t="shared" si="18"/>
        <v>2</v>
      </c>
      <c r="Q91" s="7">
        <f t="shared" si="19"/>
        <v>1.5</v>
      </c>
      <c r="R91" s="7"/>
      <c r="S91" s="7">
        <f t="shared" si="35"/>
        <v>0</v>
      </c>
      <c r="T91" s="7">
        <f t="shared" si="20"/>
        <v>1</v>
      </c>
      <c r="U91" s="7">
        <f t="shared" si="21"/>
        <v>0</v>
      </c>
      <c r="V91" s="119">
        <f t="shared" si="22"/>
        <v>0</v>
      </c>
      <c r="W91" s="119">
        <f t="shared" si="23"/>
        <v>0</v>
      </c>
      <c r="X91" s="119">
        <f t="shared" si="24"/>
        <v>0</v>
      </c>
      <c r="Y91" s="119">
        <f t="shared" si="25"/>
        <v>0</v>
      </c>
      <c r="Z91" s="119">
        <f t="shared" si="26"/>
        <v>0</v>
      </c>
      <c r="AA91" s="119">
        <f t="shared" si="27"/>
        <v>0</v>
      </c>
      <c r="AB91" s="119">
        <f t="shared" si="28"/>
        <v>1</v>
      </c>
      <c r="AC91" s="119">
        <f t="shared" si="29"/>
        <v>0</v>
      </c>
      <c r="AD91" s="119">
        <f t="shared" si="30"/>
        <v>0</v>
      </c>
      <c r="AE91" s="119">
        <f t="shared" si="31"/>
        <v>0</v>
      </c>
      <c r="AF91" s="7"/>
      <c r="AG91" s="7"/>
      <c r="AH91" s="7">
        <f t="shared" si="32"/>
        <v>2</v>
      </c>
      <c r="AI91" s="7">
        <f t="shared" si="33"/>
        <v>2</v>
      </c>
      <c r="AJ91" s="7" t="str">
        <f t="shared" si="34"/>
        <v>Correct</v>
      </c>
      <c r="AL91" s="120" t="str">
        <f>IFERROR(VLOOKUP(Table1[RespondentID],'All Data'!$A$3:$CO$999,87,FALSE),"unknown")</f>
        <v>Man</v>
      </c>
      <c r="AM91" s="120">
        <f>IFERROR(VLOOKUP(Table1[RespondentID],'All Data'!$A$3:$CO$999,88,FALSE),"unknown")</f>
        <v>47</v>
      </c>
      <c r="AN91" s="120" t="str">
        <f>IFERROR(VLOOKUP(Table1[RespondentID],'All Data'!$A$3:$CO$999,89,FALSE),"unknown")</f>
        <v>Suffolk</v>
      </c>
      <c r="AO91" s="120" t="str">
        <f>IFERROR(VLOOKUP(Table1[RespondentID],'All Data'!$A$3:$CO$999,90,FALSE),"unknown")</f>
        <v>Stony Brook, 11790</v>
      </c>
      <c r="AP91" s="120" t="str">
        <f>IFERROR(VLOOKUP(Table1[RespondentID],'All Data'!$A$3:$CO$999,91,FALSE),"unknown")</f>
        <v>White</v>
      </c>
      <c r="AQ91" s="120" t="str">
        <f>IFERROR(VLOOKUP(Table1[RespondentID],'All Data'!$A$3:$CO$999,92,FALSE),"unknown")</f>
        <v>Hispanic or Latino</v>
      </c>
      <c r="AR91" s="120" t="str">
        <f>IFERROR(VLOOKUP(Table1[RespondentID],'All Data'!$A$3:$CO$999,93,FALSE),"unknown")</f>
        <v>English</v>
      </c>
      <c r="AS91" s="120" t="str">
        <f>IFERROR(VLOOKUP(Table1[RespondentID],'All Data'!$A$3:$CW$999,94,FALSE),"unknown")</f>
        <v>Over $125,000</v>
      </c>
      <c r="AT91" s="120" t="str">
        <f>IFERROR(VLOOKUP(Table1[RespondentID],'All Data'!$A$3:$CW$999,95,FALSE),"unknown")</f>
        <v>Graduate school</v>
      </c>
      <c r="AU91" s="120" t="str">
        <f>IFERROR(VLOOKUP(Table1[RespondentID],'All Data'!$A$3:$CW$999,96,FALSE),"unknown")</f>
        <v>Employed for wages</v>
      </c>
      <c r="AV91" s="120" t="str">
        <f>IFERROR(VLOOKUP(Table1[RespondentID],'All Data'!$A$3:$CW$999,97,FALSE),"unknown")</f>
        <v>Yes</v>
      </c>
      <c r="AW91" s="120" t="str">
        <f>IFERROR(VLOOKUP(Table1[RespondentID],'All Data'!$A$3:$CW$999,98,FALSE),"unknown")</f>
        <v>Private/Commercial</v>
      </c>
      <c r="AX91" s="120">
        <f>IFERROR(VLOOKUP(Table1[RespondentID],'All Data'!$A$3:$CW$999,99,FALSE),"unknown")</f>
        <v>0</v>
      </c>
    </row>
    <row r="92" spans="1:50">
      <c r="A92" s="5">
        <v>18023287497</v>
      </c>
      <c r="B92" s="5"/>
      <c r="C92" s="5" t="s">
        <v>17</v>
      </c>
      <c r="D92" s="5" t="s">
        <v>18</v>
      </c>
      <c r="E92" s="5"/>
      <c r="F92" s="5"/>
      <c r="G92" s="5"/>
      <c r="H92" s="5"/>
      <c r="I92" s="5"/>
      <c r="J92" s="5"/>
      <c r="K92" s="5" t="s">
        <v>25</v>
      </c>
      <c r="L92" s="5"/>
      <c r="M92" s="5"/>
      <c r="N92" s="5"/>
      <c r="O92" s="7"/>
      <c r="P92" s="7">
        <f t="shared" si="18"/>
        <v>3</v>
      </c>
      <c r="Q92" s="7">
        <f t="shared" si="19"/>
        <v>1</v>
      </c>
      <c r="R92" s="7"/>
      <c r="S92" s="7">
        <f t="shared" si="35"/>
        <v>0</v>
      </c>
      <c r="T92" s="7">
        <f t="shared" si="20"/>
        <v>1</v>
      </c>
      <c r="U92" s="7">
        <f t="shared" si="21"/>
        <v>1</v>
      </c>
      <c r="V92" s="119">
        <f t="shared" si="22"/>
        <v>0</v>
      </c>
      <c r="W92" s="119">
        <f t="shared" si="23"/>
        <v>0</v>
      </c>
      <c r="X92" s="119">
        <f t="shared" si="24"/>
        <v>0</v>
      </c>
      <c r="Y92" s="119">
        <f t="shared" si="25"/>
        <v>0</v>
      </c>
      <c r="Z92" s="119">
        <f t="shared" si="26"/>
        <v>0</v>
      </c>
      <c r="AA92" s="119">
        <f t="shared" si="27"/>
        <v>0</v>
      </c>
      <c r="AB92" s="119">
        <f t="shared" si="28"/>
        <v>1</v>
      </c>
      <c r="AC92" s="119">
        <f t="shared" si="29"/>
        <v>0</v>
      </c>
      <c r="AD92" s="119">
        <f t="shared" si="30"/>
        <v>0</v>
      </c>
      <c r="AE92" s="119">
        <f t="shared" si="31"/>
        <v>0</v>
      </c>
      <c r="AF92" s="7"/>
      <c r="AG92" s="7"/>
      <c r="AH92" s="7">
        <f t="shared" si="32"/>
        <v>3</v>
      </c>
      <c r="AI92" s="7">
        <f t="shared" si="33"/>
        <v>3</v>
      </c>
      <c r="AJ92" s="7" t="str">
        <f t="shared" si="34"/>
        <v>Correct</v>
      </c>
      <c r="AL92" s="120" t="str">
        <f>IFERROR(VLOOKUP(Table1[RespondentID],'All Data'!$A$3:$CO$999,87,FALSE),"unknown")</f>
        <v>Woman</v>
      </c>
      <c r="AM92" s="120">
        <f>IFERROR(VLOOKUP(Table1[RespondentID],'All Data'!$A$3:$CO$999,88,FALSE),"unknown")</f>
        <v>52</v>
      </c>
      <c r="AN92" s="120" t="str">
        <f>IFERROR(VLOOKUP(Table1[RespondentID],'All Data'!$A$3:$CO$999,89,FALSE),"unknown")</f>
        <v>Suffolk</v>
      </c>
      <c r="AO92" s="120" t="str">
        <f>IFERROR(VLOOKUP(Table1[RespondentID],'All Data'!$A$3:$CO$999,90,FALSE),"unknown")</f>
        <v>Smithtown, 11787</v>
      </c>
      <c r="AP92" s="120" t="str">
        <f>IFERROR(VLOOKUP(Table1[RespondentID],'All Data'!$A$3:$CO$999,91,FALSE),"unknown")</f>
        <v>White</v>
      </c>
      <c r="AQ92" s="120" t="str">
        <f>IFERROR(VLOOKUP(Table1[RespondentID],'All Data'!$A$3:$CO$999,92,FALSE),"unknown")</f>
        <v>Hispanic or Latino</v>
      </c>
      <c r="AR92" s="120" t="str">
        <f>IFERROR(VLOOKUP(Table1[RespondentID],'All Data'!$A$3:$CO$999,93,FALSE),"unknown")</f>
        <v>English</v>
      </c>
      <c r="AS92" s="120" t="str">
        <f>IFERROR(VLOOKUP(Table1[RespondentID],'All Data'!$A$3:$CW$999,94,FALSE),"unknown")</f>
        <v>Over $125,000</v>
      </c>
      <c r="AT92" s="120" t="str">
        <f>IFERROR(VLOOKUP(Table1[RespondentID],'All Data'!$A$3:$CW$999,95,FALSE),"unknown")</f>
        <v>College graduate</v>
      </c>
      <c r="AU92" s="120" t="str">
        <f>IFERROR(VLOOKUP(Table1[RespondentID],'All Data'!$A$3:$CW$999,96,FALSE),"unknown")</f>
        <v>Employed for wages</v>
      </c>
      <c r="AV92" s="120">
        <f>IFERROR(VLOOKUP(Table1[RespondentID],'All Data'!$A$3:$CW$999,97,FALSE),"unknown")</f>
        <v>0</v>
      </c>
      <c r="AW92" s="120">
        <f>IFERROR(VLOOKUP(Table1[RespondentID],'All Data'!$A$3:$CW$999,98,FALSE),"unknown")</f>
        <v>0</v>
      </c>
      <c r="AX92" s="120">
        <f>IFERROR(VLOOKUP(Table1[RespondentID],'All Data'!$A$3:$CW$999,99,FALSE),"unknown")</f>
        <v>0</v>
      </c>
    </row>
    <row r="93" spans="1:50">
      <c r="A93" s="5">
        <v>18023287370</v>
      </c>
      <c r="B93" s="5"/>
      <c r="C93" s="5"/>
      <c r="D93" s="5" t="s">
        <v>18</v>
      </c>
      <c r="E93" s="5"/>
      <c r="F93" s="5"/>
      <c r="G93" s="5"/>
      <c r="H93" s="5"/>
      <c r="I93" s="5"/>
      <c r="J93" s="5"/>
      <c r="K93" s="5"/>
      <c r="L93" s="5" t="s">
        <v>26</v>
      </c>
      <c r="M93" s="5"/>
      <c r="N93" s="5" t="s">
        <v>28</v>
      </c>
      <c r="O93" s="7"/>
      <c r="P93" s="7">
        <f t="shared" si="18"/>
        <v>3</v>
      </c>
      <c r="Q93" s="7">
        <f t="shared" si="19"/>
        <v>1</v>
      </c>
      <c r="R93" s="7"/>
      <c r="S93" s="7">
        <f t="shared" si="35"/>
        <v>0</v>
      </c>
      <c r="T93" s="7">
        <f t="shared" si="20"/>
        <v>0</v>
      </c>
      <c r="U93" s="7">
        <f t="shared" si="21"/>
        <v>1</v>
      </c>
      <c r="V93" s="119">
        <f t="shared" si="22"/>
        <v>0</v>
      </c>
      <c r="W93" s="119">
        <f t="shared" si="23"/>
        <v>0</v>
      </c>
      <c r="X93" s="119">
        <f t="shared" si="24"/>
        <v>0</v>
      </c>
      <c r="Y93" s="119">
        <f t="shared" si="25"/>
        <v>0</v>
      </c>
      <c r="Z93" s="119">
        <f t="shared" si="26"/>
        <v>0</v>
      </c>
      <c r="AA93" s="119">
        <f t="shared" si="27"/>
        <v>0</v>
      </c>
      <c r="AB93" s="119">
        <f t="shared" si="28"/>
        <v>0</v>
      </c>
      <c r="AC93" s="119">
        <f t="shared" si="29"/>
        <v>1</v>
      </c>
      <c r="AD93" s="119">
        <f t="shared" si="30"/>
        <v>0</v>
      </c>
      <c r="AE93" s="119">
        <f t="shared" si="31"/>
        <v>1</v>
      </c>
      <c r="AF93" s="7"/>
      <c r="AG93" s="7"/>
      <c r="AH93" s="7">
        <f t="shared" si="32"/>
        <v>3</v>
      </c>
      <c r="AI93" s="7">
        <f t="shared" si="33"/>
        <v>3</v>
      </c>
      <c r="AJ93" s="7" t="str">
        <f t="shared" si="34"/>
        <v>Correct</v>
      </c>
      <c r="AL93" s="120" t="str">
        <f>IFERROR(VLOOKUP(Table1[RespondentID],'All Data'!$A$3:$CO$999,87,FALSE),"unknown")</f>
        <v>Man</v>
      </c>
      <c r="AM93" s="120">
        <f>IFERROR(VLOOKUP(Table1[RespondentID],'All Data'!$A$3:$CO$999,88,FALSE),"unknown")</f>
        <v>23</v>
      </c>
      <c r="AN93" s="120" t="str">
        <f>IFERROR(VLOOKUP(Table1[RespondentID],'All Data'!$A$3:$CO$999,89,FALSE),"unknown")</f>
        <v>Suffolk</v>
      </c>
      <c r="AO93" s="120" t="str">
        <f>IFERROR(VLOOKUP(Table1[RespondentID],'All Data'!$A$3:$CO$999,90,FALSE),"unknown")</f>
        <v>Central Islip, 11722</v>
      </c>
      <c r="AP93" s="120">
        <f>IFERROR(VLOOKUP(Table1[RespondentID],'All Data'!$A$3:$CO$999,91,FALSE),"unknown")</f>
        <v>0</v>
      </c>
      <c r="AQ93" s="120" t="str">
        <f>IFERROR(VLOOKUP(Table1[RespondentID],'All Data'!$A$3:$CO$999,92,FALSE),"unknown")</f>
        <v>Not Hispanic or Latino</v>
      </c>
      <c r="AR93" s="120" t="str">
        <f>IFERROR(VLOOKUP(Table1[RespondentID],'All Data'!$A$3:$CO$999,93,FALSE),"unknown")</f>
        <v>Spanish</v>
      </c>
      <c r="AS93" s="120" t="str">
        <f>IFERROR(VLOOKUP(Table1[RespondentID],'All Data'!$A$3:$CW$999,94,FALSE),"unknown")</f>
        <v>$20,000 to $34,999</v>
      </c>
      <c r="AT93" s="120" t="str">
        <f>IFERROR(VLOOKUP(Table1[RespondentID],'All Data'!$A$3:$CW$999,95,FALSE),"unknown")</f>
        <v>Some college</v>
      </c>
      <c r="AU93" s="120" t="str">
        <f>IFERROR(VLOOKUP(Table1[RespondentID],'All Data'!$A$3:$CW$999,96,FALSE),"unknown")</f>
        <v>Employed for wages</v>
      </c>
      <c r="AV93" s="120" t="str">
        <f>IFERROR(VLOOKUP(Table1[RespondentID],'All Data'!$A$3:$CW$999,97,FALSE),"unknown")</f>
        <v>Yes</v>
      </c>
      <c r="AW93" s="120">
        <f>IFERROR(VLOOKUP(Table1[RespondentID],'All Data'!$A$3:$CW$999,98,FALSE),"unknown")</f>
        <v>0</v>
      </c>
      <c r="AX93" s="120">
        <f>IFERROR(VLOOKUP(Table1[RespondentID],'All Data'!$A$3:$CW$999,99,FALSE),"unknown")</f>
        <v>0</v>
      </c>
    </row>
    <row r="94" spans="1:50">
      <c r="A94" s="5">
        <v>18023287265</v>
      </c>
      <c r="B94" s="5"/>
      <c r="C94" s="5" t="s">
        <v>17</v>
      </c>
      <c r="D94" s="5"/>
      <c r="E94" s="5"/>
      <c r="F94" s="5"/>
      <c r="G94" s="5"/>
      <c r="H94" s="5"/>
      <c r="I94" s="5"/>
      <c r="J94" s="5"/>
      <c r="K94" s="5" t="s">
        <v>25</v>
      </c>
      <c r="L94" s="5" t="s">
        <v>26</v>
      </c>
      <c r="M94" s="5"/>
      <c r="N94" s="5"/>
      <c r="O94" s="7"/>
      <c r="P94" s="7">
        <f t="shared" si="18"/>
        <v>3</v>
      </c>
      <c r="Q94" s="7">
        <f t="shared" si="19"/>
        <v>1</v>
      </c>
      <c r="R94" s="7"/>
      <c r="S94" s="7">
        <f t="shared" si="35"/>
        <v>0</v>
      </c>
      <c r="T94" s="7">
        <f t="shared" si="20"/>
        <v>1</v>
      </c>
      <c r="U94" s="7">
        <f t="shared" si="21"/>
        <v>0</v>
      </c>
      <c r="V94" s="119">
        <f t="shared" si="22"/>
        <v>0</v>
      </c>
      <c r="W94" s="119">
        <f t="shared" si="23"/>
        <v>0</v>
      </c>
      <c r="X94" s="119">
        <f t="shared" si="24"/>
        <v>0</v>
      </c>
      <c r="Y94" s="119">
        <f t="shared" si="25"/>
        <v>0</v>
      </c>
      <c r="Z94" s="119">
        <f t="shared" si="26"/>
        <v>0</v>
      </c>
      <c r="AA94" s="119">
        <f t="shared" si="27"/>
        <v>0</v>
      </c>
      <c r="AB94" s="119">
        <f t="shared" si="28"/>
        <v>1</v>
      </c>
      <c r="AC94" s="119">
        <f t="shared" si="29"/>
        <v>1</v>
      </c>
      <c r="AD94" s="119">
        <f t="shared" si="30"/>
        <v>0</v>
      </c>
      <c r="AE94" s="119">
        <f t="shared" si="31"/>
        <v>0</v>
      </c>
      <c r="AF94" s="7"/>
      <c r="AG94" s="7"/>
      <c r="AH94" s="7">
        <f t="shared" si="32"/>
        <v>3</v>
      </c>
      <c r="AI94" s="7">
        <f t="shared" si="33"/>
        <v>3</v>
      </c>
      <c r="AJ94" s="7" t="str">
        <f t="shared" si="34"/>
        <v>Correct</v>
      </c>
      <c r="AL94" s="120" t="str">
        <f>IFERROR(VLOOKUP(Table1[RespondentID],'All Data'!$A$3:$CO$999,87,FALSE),"unknown")</f>
        <v>Woman</v>
      </c>
      <c r="AM94" s="120">
        <f>IFERROR(VLOOKUP(Table1[RespondentID],'All Data'!$A$3:$CO$999,88,FALSE),"unknown")</f>
        <v>33</v>
      </c>
      <c r="AN94" s="120" t="str">
        <f>IFERROR(VLOOKUP(Table1[RespondentID],'All Data'!$A$3:$CO$999,89,FALSE),"unknown")</f>
        <v>Suffolk</v>
      </c>
      <c r="AO94" s="120" t="str">
        <f>IFERROR(VLOOKUP(Table1[RespondentID],'All Data'!$A$3:$CO$999,90,FALSE),"unknown")</f>
        <v>North Babylon, 11703</v>
      </c>
      <c r="AP94" s="120" t="str">
        <f>IFERROR(VLOOKUP(Table1[RespondentID],'All Data'!$A$3:$CO$999,91,FALSE),"unknown")</f>
        <v>White</v>
      </c>
      <c r="AQ94" s="120" t="str">
        <f>IFERROR(VLOOKUP(Table1[RespondentID],'All Data'!$A$3:$CO$999,92,FALSE),"unknown")</f>
        <v>Not Hispanic or Latino</v>
      </c>
      <c r="AR94" s="120" t="str">
        <f>IFERROR(VLOOKUP(Table1[RespondentID],'All Data'!$A$3:$CO$999,93,FALSE),"unknown")</f>
        <v>English</v>
      </c>
      <c r="AS94" s="120" t="str">
        <f>IFERROR(VLOOKUP(Table1[RespondentID],'All Data'!$A$3:$CW$999,94,FALSE),"unknown")</f>
        <v>Over $125,000</v>
      </c>
      <c r="AT94" s="120" t="str">
        <f>IFERROR(VLOOKUP(Table1[RespondentID],'All Data'!$A$3:$CW$999,95,FALSE),"unknown")</f>
        <v>College graduate</v>
      </c>
      <c r="AU94" s="120" t="str">
        <f>IFERROR(VLOOKUP(Table1[RespondentID],'All Data'!$A$3:$CW$999,96,FALSE),"unknown")</f>
        <v>Employed for wages</v>
      </c>
      <c r="AV94" s="120" t="str">
        <f>IFERROR(VLOOKUP(Table1[RespondentID],'All Data'!$A$3:$CW$999,97,FALSE),"unknown")</f>
        <v>Yes</v>
      </c>
      <c r="AW94" s="120">
        <f>IFERROR(VLOOKUP(Table1[RespondentID],'All Data'!$A$3:$CW$999,98,FALSE),"unknown")</f>
        <v>0</v>
      </c>
      <c r="AX94" s="120">
        <f>IFERROR(VLOOKUP(Table1[RespondentID],'All Data'!$A$3:$CW$999,99,FALSE),"unknown")</f>
        <v>0</v>
      </c>
    </row>
    <row r="95" spans="1:50">
      <c r="A95" s="5">
        <v>18023287153</v>
      </c>
      <c r="B95" s="5"/>
      <c r="C95" s="5"/>
      <c r="D95" s="5"/>
      <c r="E95" s="5"/>
      <c r="F95" s="5"/>
      <c r="G95" s="5"/>
      <c r="H95" s="5"/>
      <c r="I95" s="5"/>
      <c r="J95" s="5"/>
      <c r="K95" s="5" t="s">
        <v>25</v>
      </c>
      <c r="L95" s="5" t="s">
        <v>26</v>
      </c>
      <c r="M95" s="5"/>
      <c r="N95" s="5"/>
      <c r="O95" s="7"/>
      <c r="P95" s="7">
        <f t="shared" si="18"/>
        <v>2</v>
      </c>
      <c r="Q95" s="7">
        <f t="shared" si="19"/>
        <v>1.5</v>
      </c>
      <c r="R95" s="7"/>
      <c r="S95" s="7">
        <f t="shared" si="35"/>
        <v>0</v>
      </c>
      <c r="T95" s="7">
        <f t="shared" si="20"/>
        <v>0</v>
      </c>
      <c r="U95" s="7">
        <f t="shared" si="21"/>
        <v>0</v>
      </c>
      <c r="V95" s="119">
        <f t="shared" si="22"/>
        <v>0</v>
      </c>
      <c r="W95" s="119">
        <f t="shared" si="23"/>
        <v>0</v>
      </c>
      <c r="X95" s="119">
        <f t="shared" si="24"/>
        <v>0</v>
      </c>
      <c r="Y95" s="119">
        <f t="shared" si="25"/>
        <v>0</v>
      </c>
      <c r="Z95" s="119">
        <f t="shared" si="26"/>
        <v>0</v>
      </c>
      <c r="AA95" s="119">
        <f t="shared" si="27"/>
        <v>0</v>
      </c>
      <c r="AB95" s="119">
        <f t="shared" si="28"/>
        <v>1</v>
      </c>
      <c r="AC95" s="119">
        <f t="shared" si="29"/>
        <v>1</v>
      </c>
      <c r="AD95" s="119">
        <f t="shared" si="30"/>
        <v>0</v>
      </c>
      <c r="AE95" s="119">
        <f t="shared" si="31"/>
        <v>0</v>
      </c>
      <c r="AF95" s="7"/>
      <c r="AG95" s="7"/>
      <c r="AH95" s="7">
        <f t="shared" si="32"/>
        <v>2</v>
      </c>
      <c r="AI95" s="7">
        <f t="shared" si="33"/>
        <v>2</v>
      </c>
      <c r="AJ95" s="7" t="str">
        <f t="shared" si="34"/>
        <v>Correct</v>
      </c>
      <c r="AL95" s="120" t="str">
        <f>IFERROR(VLOOKUP(Table1[RespondentID],'All Data'!$A$3:$CO$999,87,FALSE),"unknown")</f>
        <v>Woman</v>
      </c>
      <c r="AM95" s="120">
        <f>IFERROR(VLOOKUP(Table1[RespondentID],'All Data'!$A$3:$CO$999,88,FALSE),"unknown")</f>
        <v>60</v>
      </c>
      <c r="AN95" s="120" t="str">
        <f>IFERROR(VLOOKUP(Table1[RespondentID],'All Data'!$A$3:$CO$999,89,FALSE),"unknown")</f>
        <v>Suffolk</v>
      </c>
      <c r="AO95" s="120" t="str">
        <f>IFERROR(VLOOKUP(Table1[RespondentID],'All Data'!$A$3:$CO$999,90,FALSE),"unknown")</f>
        <v>Smithtown, 11787</v>
      </c>
      <c r="AP95" s="120" t="str">
        <f>IFERROR(VLOOKUP(Table1[RespondentID],'All Data'!$A$3:$CO$999,91,FALSE),"unknown")</f>
        <v>White</v>
      </c>
      <c r="AQ95" s="120" t="str">
        <f>IFERROR(VLOOKUP(Table1[RespondentID],'All Data'!$A$3:$CO$999,92,FALSE),"unknown")</f>
        <v>Hispanic or Latino</v>
      </c>
      <c r="AR95" s="120" t="str">
        <f>IFERROR(VLOOKUP(Table1[RespondentID],'All Data'!$A$3:$CO$999,93,FALSE),"unknown")</f>
        <v>English</v>
      </c>
      <c r="AS95" s="120" t="str">
        <f>IFERROR(VLOOKUP(Table1[RespondentID],'All Data'!$A$3:$CW$999,94,FALSE),"unknown")</f>
        <v>$75,000 to $125,000</v>
      </c>
      <c r="AT95" s="120" t="str">
        <f>IFERROR(VLOOKUP(Table1[RespondentID],'All Data'!$A$3:$CW$999,95,FALSE),"unknown")</f>
        <v>College graduate</v>
      </c>
      <c r="AU95" s="120" t="str">
        <f>IFERROR(VLOOKUP(Table1[RespondentID],'All Data'!$A$3:$CW$999,96,FALSE),"unknown")</f>
        <v>Employed for wages</v>
      </c>
      <c r="AV95" s="120" t="str">
        <f>IFERROR(VLOOKUP(Table1[RespondentID],'All Data'!$A$3:$CW$999,97,FALSE),"unknown")</f>
        <v>Yes</v>
      </c>
      <c r="AW95" s="120">
        <f>IFERROR(VLOOKUP(Table1[RespondentID],'All Data'!$A$3:$CW$999,98,FALSE),"unknown")</f>
        <v>0</v>
      </c>
      <c r="AX95" s="120">
        <f>IFERROR(VLOOKUP(Table1[RespondentID],'All Data'!$A$3:$CW$999,99,FALSE),"unknown")</f>
        <v>0</v>
      </c>
    </row>
    <row r="96" spans="1:50">
      <c r="A96" s="5">
        <v>18023287064</v>
      </c>
      <c r="B96" s="5"/>
      <c r="C96" s="5"/>
      <c r="D96" s="5"/>
      <c r="E96" s="5"/>
      <c r="F96" s="5"/>
      <c r="G96" s="5"/>
      <c r="H96" s="5"/>
      <c r="I96" s="5"/>
      <c r="J96" s="5"/>
      <c r="K96" s="5" t="s">
        <v>25</v>
      </c>
      <c r="L96" s="5" t="s">
        <v>26</v>
      </c>
      <c r="M96" s="5"/>
      <c r="N96" s="5"/>
      <c r="O96" s="7"/>
      <c r="P96" s="7">
        <f t="shared" si="18"/>
        <v>2</v>
      </c>
      <c r="Q96" s="7">
        <f t="shared" si="19"/>
        <v>1.5</v>
      </c>
      <c r="R96" s="7"/>
      <c r="S96" s="7">
        <f t="shared" si="35"/>
        <v>0</v>
      </c>
      <c r="T96" s="7">
        <f t="shared" si="20"/>
        <v>0</v>
      </c>
      <c r="U96" s="7">
        <f t="shared" si="21"/>
        <v>0</v>
      </c>
      <c r="V96" s="119">
        <f t="shared" si="22"/>
        <v>0</v>
      </c>
      <c r="W96" s="119">
        <f t="shared" si="23"/>
        <v>0</v>
      </c>
      <c r="X96" s="119">
        <f t="shared" si="24"/>
        <v>0</v>
      </c>
      <c r="Y96" s="119">
        <f t="shared" si="25"/>
        <v>0</v>
      </c>
      <c r="Z96" s="119">
        <f t="shared" si="26"/>
        <v>0</v>
      </c>
      <c r="AA96" s="119">
        <f t="shared" si="27"/>
        <v>0</v>
      </c>
      <c r="AB96" s="119">
        <f t="shared" si="28"/>
        <v>1</v>
      </c>
      <c r="AC96" s="119">
        <f t="shared" si="29"/>
        <v>1</v>
      </c>
      <c r="AD96" s="119">
        <f t="shared" si="30"/>
        <v>0</v>
      </c>
      <c r="AE96" s="119">
        <f t="shared" si="31"/>
        <v>0</v>
      </c>
      <c r="AF96" s="7"/>
      <c r="AG96" s="7"/>
      <c r="AH96" s="7">
        <f t="shared" si="32"/>
        <v>2</v>
      </c>
      <c r="AI96" s="7">
        <f t="shared" si="33"/>
        <v>2</v>
      </c>
      <c r="AJ96" s="7" t="str">
        <f t="shared" si="34"/>
        <v>Correct</v>
      </c>
      <c r="AL96" s="120" t="str">
        <f>IFERROR(VLOOKUP(Table1[RespondentID],'All Data'!$A$3:$CO$999,87,FALSE),"unknown")</f>
        <v>Man</v>
      </c>
      <c r="AM96" s="120">
        <f>IFERROR(VLOOKUP(Table1[RespondentID],'All Data'!$A$3:$CO$999,88,FALSE),"unknown")</f>
        <v>60</v>
      </c>
      <c r="AN96" s="120" t="str">
        <f>IFERROR(VLOOKUP(Table1[RespondentID],'All Data'!$A$3:$CO$999,89,FALSE),"unknown")</f>
        <v>Suffolk</v>
      </c>
      <c r="AO96" s="120" t="str">
        <f>IFERROR(VLOOKUP(Table1[RespondentID],'All Data'!$A$3:$CO$999,90,FALSE),"unknown")</f>
        <v>Holtsville, 11742</v>
      </c>
      <c r="AP96" s="120" t="str">
        <f>IFERROR(VLOOKUP(Table1[RespondentID],'All Data'!$A$3:$CO$999,91,FALSE),"unknown")</f>
        <v>White</v>
      </c>
      <c r="AQ96" s="120" t="str">
        <f>IFERROR(VLOOKUP(Table1[RespondentID],'All Data'!$A$3:$CO$999,92,FALSE),"unknown")</f>
        <v>Hispanic or Latino</v>
      </c>
      <c r="AR96" s="120" t="str">
        <f>IFERROR(VLOOKUP(Table1[RespondentID],'All Data'!$A$3:$CO$999,93,FALSE),"unknown")</f>
        <v>English</v>
      </c>
      <c r="AS96" s="120" t="str">
        <f>IFERROR(VLOOKUP(Table1[RespondentID],'All Data'!$A$3:$CW$999,94,FALSE),"unknown")</f>
        <v>$75,000 to $125,000</v>
      </c>
      <c r="AT96" s="120" t="str">
        <f>IFERROR(VLOOKUP(Table1[RespondentID],'All Data'!$A$3:$CW$999,95,FALSE),"unknown")</f>
        <v>Technical school</v>
      </c>
      <c r="AU96" s="120" t="str">
        <f>IFERROR(VLOOKUP(Table1[RespondentID],'All Data'!$A$3:$CW$999,96,FALSE),"unknown")</f>
        <v>Employed for wages</v>
      </c>
      <c r="AV96" s="120" t="str">
        <f>IFERROR(VLOOKUP(Table1[RespondentID],'All Data'!$A$3:$CW$999,97,FALSE),"unknown")</f>
        <v>Yes</v>
      </c>
      <c r="AW96" s="120">
        <f>IFERROR(VLOOKUP(Table1[RespondentID],'All Data'!$A$3:$CW$999,98,FALSE),"unknown")</f>
        <v>0</v>
      </c>
      <c r="AX96" s="120">
        <f>IFERROR(VLOOKUP(Table1[RespondentID],'All Data'!$A$3:$CW$999,99,FALSE),"unknown")</f>
        <v>0</v>
      </c>
    </row>
    <row r="97" spans="1:50">
      <c r="A97" s="5">
        <v>18023286963</v>
      </c>
      <c r="B97" s="5"/>
      <c r="C97" s="5"/>
      <c r="D97" s="5"/>
      <c r="E97" s="5" t="s">
        <v>19</v>
      </c>
      <c r="F97" s="5"/>
      <c r="G97" s="5"/>
      <c r="H97" s="5"/>
      <c r="I97" s="5"/>
      <c r="J97" s="5"/>
      <c r="K97" s="5" t="s">
        <v>25</v>
      </c>
      <c r="L97" s="5" t="s">
        <v>26</v>
      </c>
      <c r="M97" s="5"/>
      <c r="N97" s="5"/>
      <c r="O97" s="7"/>
      <c r="P97" s="7">
        <f t="shared" si="18"/>
        <v>3</v>
      </c>
      <c r="Q97" s="7">
        <f t="shared" si="19"/>
        <v>1</v>
      </c>
      <c r="R97" s="7"/>
      <c r="S97" s="7">
        <f t="shared" si="35"/>
        <v>0</v>
      </c>
      <c r="T97" s="7">
        <f t="shared" si="20"/>
        <v>0</v>
      </c>
      <c r="U97" s="7">
        <f t="shared" si="21"/>
        <v>0</v>
      </c>
      <c r="V97" s="119">
        <f t="shared" si="22"/>
        <v>1</v>
      </c>
      <c r="W97" s="119">
        <f t="shared" si="23"/>
        <v>0</v>
      </c>
      <c r="X97" s="119">
        <f t="shared" si="24"/>
        <v>0</v>
      </c>
      <c r="Y97" s="119">
        <f t="shared" si="25"/>
        <v>0</v>
      </c>
      <c r="Z97" s="119">
        <f t="shared" si="26"/>
        <v>0</v>
      </c>
      <c r="AA97" s="119">
        <f t="shared" si="27"/>
        <v>0</v>
      </c>
      <c r="AB97" s="119">
        <f t="shared" si="28"/>
        <v>1</v>
      </c>
      <c r="AC97" s="119">
        <f t="shared" si="29"/>
        <v>1</v>
      </c>
      <c r="AD97" s="119">
        <f t="shared" si="30"/>
        <v>0</v>
      </c>
      <c r="AE97" s="119">
        <f t="shared" si="31"/>
        <v>0</v>
      </c>
      <c r="AF97" s="7"/>
      <c r="AG97" s="7"/>
      <c r="AH97" s="7">
        <f t="shared" si="32"/>
        <v>3</v>
      </c>
      <c r="AI97" s="7">
        <f t="shared" si="33"/>
        <v>3</v>
      </c>
      <c r="AJ97" s="7" t="str">
        <f t="shared" si="34"/>
        <v>Correct</v>
      </c>
      <c r="AL97" s="120" t="str">
        <f>IFERROR(VLOOKUP(Table1[RespondentID],'All Data'!$A$3:$CO$999,87,FALSE),"unknown")</f>
        <v>Man</v>
      </c>
      <c r="AM97" s="120">
        <f>IFERROR(VLOOKUP(Table1[RespondentID],'All Data'!$A$3:$CO$999,88,FALSE),"unknown")</f>
        <v>50</v>
      </c>
      <c r="AN97" s="120" t="str">
        <f>IFERROR(VLOOKUP(Table1[RespondentID],'All Data'!$A$3:$CO$999,89,FALSE),"unknown")</f>
        <v>Suffolk</v>
      </c>
      <c r="AO97" s="120" t="str">
        <f>IFERROR(VLOOKUP(Table1[RespondentID],'All Data'!$A$3:$CO$999,90,FALSE),"unknown")</f>
        <v>Smithtown, 11787</v>
      </c>
      <c r="AP97" s="120" t="str">
        <f>IFERROR(VLOOKUP(Table1[RespondentID],'All Data'!$A$3:$CO$999,91,FALSE),"unknown")</f>
        <v>White</v>
      </c>
      <c r="AQ97" s="120" t="str">
        <f>IFERROR(VLOOKUP(Table1[RespondentID],'All Data'!$A$3:$CO$999,92,FALSE),"unknown")</f>
        <v>Hispanic or Latino</v>
      </c>
      <c r="AR97" s="120" t="str">
        <f>IFERROR(VLOOKUP(Table1[RespondentID],'All Data'!$A$3:$CO$999,93,FALSE),"unknown")</f>
        <v>English</v>
      </c>
      <c r="AS97" s="120" t="str">
        <f>IFERROR(VLOOKUP(Table1[RespondentID],'All Data'!$A$3:$CW$999,94,FALSE),"unknown")</f>
        <v>Over $125,000</v>
      </c>
      <c r="AT97" s="120" t="str">
        <f>IFERROR(VLOOKUP(Table1[RespondentID],'All Data'!$A$3:$CW$999,95,FALSE),"unknown")</f>
        <v>Some college</v>
      </c>
      <c r="AU97" s="120" t="str">
        <f>IFERROR(VLOOKUP(Table1[RespondentID],'All Data'!$A$3:$CW$999,96,FALSE),"unknown")</f>
        <v>Employed for wages</v>
      </c>
      <c r="AV97" s="120" t="str">
        <f>IFERROR(VLOOKUP(Table1[RespondentID],'All Data'!$A$3:$CW$999,97,FALSE),"unknown")</f>
        <v>Yes</v>
      </c>
      <c r="AW97" s="120">
        <f>IFERROR(VLOOKUP(Table1[RespondentID],'All Data'!$A$3:$CW$999,98,FALSE),"unknown")</f>
        <v>0</v>
      </c>
      <c r="AX97" s="120">
        <f>IFERROR(VLOOKUP(Table1[RespondentID],'All Data'!$A$3:$CW$999,99,FALSE),"unknown")</f>
        <v>0</v>
      </c>
    </row>
    <row r="98" spans="1:50">
      <c r="A98" s="5">
        <v>18023286873</v>
      </c>
      <c r="B98" s="5" t="s">
        <v>16</v>
      </c>
      <c r="C98" s="5"/>
      <c r="D98" s="5"/>
      <c r="E98" s="5"/>
      <c r="F98" s="5"/>
      <c r="G98" s="5"/>
      <c r="H98" s="5"/>
      <c r="I98" s="5"/>
      <c r="J98" s="5"/>
      <c r="K98" s="5"/>
      <c r="L98" s="5"/>
      <c r="M98" s="5"/>
      <c r="N98" s="5"/>
      <c r="O98" s="7"/>
      <c r="P98" s="7">
        <f t="shared" si="18"/>
        <v>1</v>
      </c>
      <c r="Q98" s="7">
        <f t="shared" si="19"/>
        <v>3</v>
      </c>
      <c r="R98" s="7"/>
      <c r="S98" s="7">
        <f t="shared" si="35"/>
        <v>1</v>
      </c>
      <c r="T98" s="7">
        <f t="shared" si="20"/>
        <v>0</v>
      </c>
      <c r="U98" s="7">
        <f t="shared" si="21"/>
        <v>0</v>
      </c>
      <c r="V98" s="119">
        <f t="shared" si="22"/>
        <v>0</v>
      </c>
      <c r="W98" s="119">
        <f t="shared" si="23"/>
        <v>0</v>
      </c>
      <c r="X98" s="119">
        <f t="shared" si="24"/>
        <v>0</v>
      </c>
      <c r="Y98" s="119">
        <f t="shared" si="25"/>
        <v>0</v>
      </c>
      <c r="Z98" s="119">
        <f t="shared" si="26"/>
        <v>0</v>
      </c>
      <c r="AA98" s="119">
        <f t="shared" si="27"/>
        <v>0</v>
      </c>
      <c r="AB98" s="119">
        <f t="shared" si="28"/>
        <v>0</v>
      </c>
      <c r="AC98" s="119">
        <f t="shared" si="29"/>
        <v>0</v>
      </c>
      <c r="AD98" s="119">
        <f t="shared" si="30"/>
        <v>0</v>
      </c>
      <c r="AE98" s="119">
        <f t="shared" si="31"/>
        <v>0</v>
      </c>
      <c r="AF98" s="7"/>
      <c r="AG98" s="7"/>
      <c r="AH98" s="7">
        <f t="shared" si="32"/>
        <v>1</v>
      </c>
      <c r="AI98" s="7">
        <f t="shared" si="33"/>
        <v>1</v>
      </c>
      <c r="AJ98" s="7" t="str">
        <f t="shared" si="34"/>
        <v>Correct</v>
      </c>
      <c r="AL98" s="120" t="str">
        <f>IFERROR(VLOOKUP(Table1[RespondentID],'All Data'!$A$3:$CO$999,87,FALSE),"unknown")</f>
        <v>Man</v>
      </c>
      <c r="AM98" s="120">
        <f>IFERROR(VLOOKUP(Table1[RespondentID],'All Data'!$A$3:$CO$999,88,FALSE),"unknown")</f>
        <v>34</v>
      </c>
      <c r="AN98" s="120" t="str">
        <f>IFERROR(VLOOKUP(Table1[RespondentID],'All Data'!$A$3:$CO$999,89,FALSE),"unknown")</f>
        <v>Suffolk</v>
      </c>
      <c r="AO98" s="120" t="str">
        <f>IFERROR(VLOOKUP(Table1[RespondentID],'All Data'!$A$3:$CO$999,90,FALSE),"unknown")</f>
        <v>Rocky Point, 11778</v>
      </c>
      <c r="AP98" s="120" t="str">
        <f>IFERROR(VLOOKUP(Table1[RespondentID],'All Data'!$A$3:$CO$999,91,FALSE),"unknown")</f>
        <v>White</v>
      </c>
      <c r="AQ98" s="120" t="str">
        <f>IFERROR(VLOOKUP(Table1[RespondentID],'All Data'!$A$3:$CO$999,92,FALSE),"unknown")</f>
        <v>Hispanic or Latino</v>
      </c>
      <c r="AR98" s="120" t="str">
        <f>IFERROR(VLOOKUP(Table1[RespondentID],'All Data'!$A$3:$CO$999,93,FALSE),"unknown")</f>
        <v>English</v>
      </c>
      <c r="AS98" s="120" t="str">
        <f>IFERROR(VLOOKUP(Table1[RespondentID],'All Data'!$A$3:$CW$999,94,FALSE),"unknown")</f>
        <v>$50,000 to $74,999</v>
      </c>
      <c r="AT98" s="120" t="str">
        <f>IFERROR(VLOOKUP(Table1[RespondentID],'All Data'!$A$3:$CW$999,95,FALSE),"unknown")</f>
        <v>College graduate</v>
      </c>
      <c r="AU98" s="120" t="str">
        <f>IFERROR(VLOOKUP(Table1[RespondentID],'All Data'!$A$3:$CW$999,96,FALSE),"unknown")</f>
        <v>Employed for wages</v>
      </c>
      <c r="AV98" s="120" t="str">
        <f>IFERROR(VLOOKUP(Table1[RespondentID],'All Data'!$A$3:$CW$999,97,FALSE),"unknown")</f>
        <v>Yes</v>
      </c>
      <c r="AW98" s="120">
        <f>IFERROR(VLOOKUP(Table1[RespondentID],'All Data'!$A$3:$CW$999,98,FALSE),"unknown")</f>
        <v>0</v>
      </c>
      <c r="AX98" s="120">
        <f>IFERROR(VLOOKUP(Table1[RespondentID],'All Data'!$A$3:$CW$999,99,FALSE),"unknown")</f>
        <v>0</v>
      </c>
    </row>
    <row r="99" spans="1:50">
      <c r="A99" s="5">
        <v>18023000376</v>
      </c>
      <c r="B99" s="5"/>
      <c r="C99" s="5" t="s">
        <v>17</v>
      </c>
      <c r="D99" s="5"/>
      <c r="E99" s="5"/>
      <c r="F99" s="5"/>
      <c r="G99" s="5" t="s">
        <v>21</v>
      </c>
      <c r="H99" s="5"/>
      <c r="I99" s="5"/>
      <c r="J99" s="5"/>
      <c r="K99" s="5" t="s">
        <v>25</v>
      </c>
      <c r="L99" s="5"/>
      <c r="M99" s="5"/>
      <c r="N99" s="5"/>
      <c r="O99" s="7"/>
      <c r="P99" s="7">
        <f t="shared" si="18"/>
        <v>3</v>
      </c>
      <c r="Q99" s="7">
        <f t="shared" si="19"/>
        <v>1</v>
      </c>
      <c r="R99" s="7"/>
      <c r="S99" s="7">
        <f t="shared" si="35"/>
        <v>0</v>
      </c>
      <c r="T99" s="7">
        <f t="shared" si="20"/>
        <v>1</v>
      </c>
      <c r="U99" s="7">
        <f t="shared" si="21"/>
        <v>0</v>
      </c>
      <c r="V99" s="119">
        <f t="shared" si="22"/>
        <v>0</v>
      </c>
      <c r="W99" s="119">
        <f t="shared" si="23"/>
        <v>0</v>
      </c>
      <c r="X99" s="119">
        <f t="shared" si="24"/>
        <v>1</v>
      </c>
      <c r="Y99" s="119">
        <f t="shared" si="25"/>
        <v>0</v>
      </c>
      <c r="Z99" s="119">
        <f t="shared" si="26"/>
        <v>0</v>
      </c>
      <c r="AA99" s="119">
        <f t="shared" si="27"/>
        <v>0</v>
      </c>
      <c r="AB99" s="119">
        <f t="shared" si="28"/>
        <v>1</v>
      </c>
      <c r="AC99" s="119">
        <f t="shared" si="29"/>
        <v>0</v>
      </c>
      <c r="AD99" s="119">
        <f t="shared" si="30"/>
        <v>0</v>
      </c>
      <c r="AE99" s="119">
        <f t="shared" si="31"/>
        <v>0</v>
      </c>
      <c r="AF99" s="7"/>
      <c r="AG99" s="7"/>
      <c r="AH99" s="7">
        <f t="shared" si="32"/>
        <v>3</v>
      </c>
      <c r="AI99" s="7">
        <f t="shared" si="33"/>
        <v>3</v>
      </c>
      <c r="AJ99" s="7" t="str">
        <f t="shared" si="34"/>
        <v>Correct</v>
      </c>
      <c r="AL99" s="120" t="str">
        <f>IFERROR(VLOOKUP(Table1[RespondentID],'All Data'!$A$3:$CO$999,87,FALSE),"unknown")</f>
        <v>Man</v>
      </c>
      <c r="AM99" s="120">
        <f>IFERROR(VLOOKUP(Table1[RespondentID],'All Data'!$A$3:$CO$999,88,FALSE),"unknown")</f>
        <v>30</v>
      </c>
      <c r="AN99" s="120" t="str">
        <f>IFERROR(VLOOKUP(Table1[RespondentID],'All Data'!$A$3:$CO$999,89,FALSE),"unknown")</f>
        <v>Suffolk</v>
      </c>
      <c r="AO99" s="120" t="str">
        <f>IFERROR(VLOOKUP(Table1[RespondentID],'All Data'!$A$3:$CO$999,90,FALSE),"unknown")</f>
        <v>Miller Place, 11764</v>
      </c>
      <c r="AP99" s="120" t="str">
        <f>IFERROR(VLOOKUP(Table1[RespondentID],'All Data'!$A$3:$CO$999,91,FALSE),"unknown")</f>
        <v>White</v>
      </c>
      <c r="AQ99" s="120" t="str">
        <f>IFERROR(VLOOKUP(Table1[RespondentID],'All Data'!$A$3:$CO$999,92,FALSE),"unknown")</f>
        <v>Hispanic or Latino</v>
      </c>
      <c r="AR99" s="120" t="str">
        <f>IFERROR(VLOOKUP(Table1[RespondentID],'All Data'!$A$3:$CO$999,93,FALSE),"unknown")</f>
        <v>English</v>
      </c>
      <c r="AS99" s="120" t="str">
        <f>IFERROR(VLOOKUP(Table1[RespondentID],'All Data'!$A$3:$CW$999,94,FALSE),"unknown")</f>
        <v>$75,000 to $125,000</v>
      </c>
      <c r="AT99" s="120" t="str">
        <f>IFERROR(VLOOKUP(Table1[RespondentID],'All Data'!$A$3:$CW$999,95,FALSE),"unknown")</f>
        <v>College graduate</v>
      </c>
      <c r="AU99" s="120" t="str">
        <f>IFERROR(VLOOKUP(Table1[RespondentID],'All Data'!$A$3:$CW$999,96,FALSE),"unknown")</f>
        <v>Employed for wages</v>
      </c>
      <c r="AV99" s="120" t="str">
        <f>IFERROR(VLOOKUP(Table1[RespondentID],'All Data'!$A$3:$CW$999,97,FALSE),"unknown")</f>
        <v>Yes</v>
      </c>
      <c r="AW99" s="120" t="str">
        <f>IFERROR(VLOOKUP(Table1[RespondentID],'All Data'!$A$3:$CW$999,98,FALSE),"unknown")</f>
        <v>Private/Commercial</v>
      </c>
      <c r="AX99" s="120" t="str">
        <f>IFERROR(VLOOKUP(Table1[RespondentID],'All Data'!$A$3:$CW$999,99,FALSE),"unknown")</f>
        <v>Yes</v>
      </c>
    </row>
    <row r="100" spans="1:50">
      <c r="A100" s="5">
        <v>18022999885</v>
      </c>
      <c r="B100" s="5"/>
      <c r="C100" s="5"/>
      <c r="D100" s="5"/>
      <c r="E100" s="5"/>
      <c r="F100" s="5"/>
      <c r="G100" s="5"/>
      <c r="H100" s="5"/>
      <c r="I100" s="5"/>
      <c r="J100" s="5"/>
      <c r="K100" s="5" t="s">
        <v>25</v>
      </c>
      <c r="L100" s="5" t="s">
        <v>26</v>
      </c>
      <c r="M100" s="5"/>
      <c r="N100" s="5"/>
      <c r="O100" s="7"/>
      <c r="P100" s="7">
        <f t="shared" si="18"/>
        <v>2</v>
      </c>
      <c r="Q100" s="7">
        <f t="shared" si="19"/>
        <v>1.5</v>
      </c>
      <c r="R100" s="7"/>
      <c r="S100" s="7">
        <f t="shared" si="35"/>
        <v>0</v>
      </c>
      <c r="T100" s="7">
        <f t="shared" si="20"/>
        <v>0</v>
      </c>
      <c r="U100" s="7">
        <f t="shared" si="21"/>
        <v>0</v>
      </c>
      <c r="V100" s="119">
        <f t="shared" si="22"/>
        <v>0</v>
      </c>
      <c r="W100" s="119">
        <f t="shared" si="23"/>
        <v>0</v>
      </c>
      <c r="X100" s="119">
        <f t="shared" si="24"/>
        <v>0</v>
      </c>
      <c r="Y100" s="119">
        <f t="shared" si="25"/>
        <v>0</v>
      </c>
      <c r="Z100" s="119">
        <f t="shared" si="26"/>
        <v>0</v>
      </c>
      <c r="AA100" s="119">
        <f t="shared" si="27"/>
        <v>0</v>
      </c>
      <c r="AB100" s="119">
        <f t="shared" si="28"/>
        <v>1</v>
      </c>
      <c r="AC100" s="119">
        <f t="shared" si="29"/>
        <v>1</v>
      </c>
      <c r="AD100" s="119">
        <f t="shared" si="30"/>
        <v>0</v>
      </c>
      <c r="AE100" s="119">
        <f t="shared" si="31"/>
        <v>0</v>
      </c>
      <c r="AF100" s="7"/>
      <c r="AG100" s="7"/>
      <c r="AH100" s="7">
        <f t="shared" si="32"/>
        <v>2</v>
      </c>
      <c r="AI100" s="7">
        <f t="shared" si="33"/>
        <v>2</v>
      </c>
      <c r="AJ100" s="7" t="str">
        <f t="shared" si="34"/>
        <v>Correct</v>
      </c>
      <c r="AL100" s="120" t="str">
        <f>IFERROR(VLOOKUP(Table1[RespondentID],'All Data'!$A$3:$CO$999,87,FALSE),"unknown")</f>
        <v>Man</v>
      </c>
      <c r="AM100" s="120">
        <f>IFERROR(VLOOKUP(Table1[RespondentID],'All Data'!$A$3:$CO$999,88,FALSE),"unknown")</f>
        <v>24</v>
      </c>
      <c r="AN100" s="120" t="str">
        <f>IFERROR(VLOOKUP(Table1[RespondentID],'All Data'!$A$3:$CO$999,89,FALSE),"unknown")</f>
        <v>Suffolk</v>
      </c>
      <c r="AO100" s="120" t="str">
        <f>IFERROR(VLOOKUP(Table1[RespondentID],'All Data'!$A$3:$CO$999,90,FALSE),"unknown")</f>
        <v>Coram, 11727</v>
      </c>
      <c r="AP100" s="120" t="str">
        <f>IFERROR(VLOOKUP(Table1[RespondentID],'All Data'!$A$3:$CO$999,91,FALSE),"unknown")</f>
        <v>White</v>
      </c>
      <c r="AQ100" s="120" t="str">
        <f>IFERROR(VLOOKUP(Table1[RespondentID],'All Data'!$A$3:$CO$999,92,FALSE),"unknown")</f>
        <v>Hispanic or Latino</v>
      </c>
      <c r="AR100" s="120" t="str">
        <f>IFERROR(VLOOKUP(Table1[RespondentID],'All Data'!$A$3:$CO$999,93,FALSE),"unknown")</f>
        <v>English</v>
      </c>
      <c r="AS100" s="120" t="str">
        <f>IFERROR(VLOOKUP(Table1[RespondentID],'All Data'!$A$3:$CW$999,94,FALSE),"unknown")</f>
        <v>$75,000 to $125,000</v>
      </c>
      <c r="AT100" s="120" t="str">
        <f>IFERROR(VLOOKUP(Table1[RespondentID],'All Data'!$A$3:$CW$999,95,FALSE),"unknown")</f>
        <v>College graduate</v>
      </c>
      <c r="AU100" s="120" t="str">
        <f>IFERROR(VLOOKUP(Table1[RespondentID],'All Data'!$A$3:$CW$999,96,FALSE),"unknown")</f>
        <v>Employed for wages</v>
      </c>
      <c r="AV100" s="120" t="str">
        <f>IFERROR(VLOOKUP(Table1[RespondentID],'All Data'!$A$3:$CW$999,97,FALSE),"unknown")</f>
        <v>Yes</v>
      </c>
      <c r="AW100" s="120" t="str">
        <f>IFERROR(VLOOKUP(Table1[RespondentID],'All Data'!$A$3:$CW$999,98,FALSE),"unknown")</f>
        <v>Private/Commercial</v>
      </c>
      <c r="AX100" s="120" t="str">
        <f>IFERROR(VLOOKUP(Table1[RespondentID],'All Data'!$A$3:$CW$999,99,FALSE),"unknown")</f>
        <v>Yes</v>
      </c>
    </row>
    <row r="101" spans="1:50">
      <c r="A101" s="5">
        <v>18022879421</v>
      </c>
      <c r="B101" s="5"/>
      <c r="C101" s="5" t="s">
        <v>17</v>
      </c>
      <c r="D101" s="5" t="s">
        <v>18</v>
      </c>
      <c r="E101" s="5"/>
      <c r="F101" s="5"/>
      <c r="G101" s="5"/>
      <c r="H101" s="5"/>
      <c r="I101" s="5"/>
      <c r="J101" s="5"/>
      <c r="K101" s="5"/>
      <c r="L101" s="5" t="s">
        <v>26</v>
      </c>
      <c r="M101" s="5" t="s">
        <v>27</v>
      </c>
      <c r="N101" s="5"/>
      <c r="O101" s="7"/>
      <c r="P101" s="7">
        <f t="shared" si="18"/>
        <v>4</v>
      </c>
      <c r="Q101" s="7">
        <f t="shared" si="19"/>
        <v>0.75</v>
      </c>
      <c r="R101" s="7"/>
      <c r="S101" s="7">
        <f t="shared" si="35"/>
        <v>0</v>
      </c>
      <c r="T101" s="7">
        <f t="shared" si="20"/>
        <v>0.75</v>
      </c>
      <c r="U101" s="7">
        <f t="shared" si="21"/>
        <v>0.75</v>
      </c>
      <c r="V101" s="119">
        <f t="shared" si="22"/>
        <v>0</v>
      </c>
      <c r="W101" s="119">
        <f t="shared" si="23"/>
        <v>0</v>
      </c>
      <c r="X101" s="119">
        <f t="shared" si="24"/>
        <v>0</v>
      </c>
      <c r="Y101" s="119">
        <f t="shared" si="25"/>
        <v>0</v>
      </c>
      <c r="Z101" s="119">
        <f t="shared" si="26"/>
        <v>0</v>
      </c>
      <c r="AA101" s="119">
        <f t="shared" si="27"/>
        <v>0</v>
      </c>
      <c r="AB101" s="119">
        <f t="shared" si="28"/>
        <v>0</v>
      </c>
      <c r="AC101" s="119">
        <f t="shared" si="29"/>
        <v>0.75</v>
      </c>
      <c r="AD101" s="119">
        <f t="shared" si="30"/>
        <v>0.75</v>
      </c>
      <c r="AE101" s="119">
        <f t="shared" si="31"/>
        <v>0</v>
      </c>
      <c r="AF101" s="7"/>
      <c r="AG101" s="7"/>
      <c r="AH101" s="7">
        <f t="shared" si="32"/>
        <v>3</v>
      </c>
      <c r="AI101" s="7">
        <f t="shared" si="33"/>
        <v>4</v>
      </c>
      <c r="AJ101" s="7" t="str">
        <f t="shared" si="34"/>
        <v>Correct</v>
      </c>
      <c r="AL101" s="120" t="str">
        <f>IFERROR(VLOOKUP(Table1[RespondentID],'All Data'!$A$3:$CO$999,87,FALSE),"unknown")</f>
        <v>Man</v>
      </c>
      <c r="AM101" s="120">
        <f>IFERROR(VLOOKUP(Table1[RespondentID],'All Data'!$A$3:$CO$999,88,FALSE),"unknown")</f>
        <v>52</v>
      </c>
      <c r="AN101" s="120" t="str">
        <f>IFERROR(VLOOKUP(Table1[RespondentID],'All Data'!$A$3:$CO$999,89,FALSE),"unknown")</f>
        <v>Suffolk</v>
      </c>
      <c r="AO101" s="120" t="str">
        <f>IFERROR(VLOOKUP(Table1[RespondentID],'All Data'!$A$3:$CO$999,90,FALSE),"unknown")</f>
        <v>Smithtown, 11787</v>
      </c>
      <c r="AP101" s="120" t="str">
        <f>IFERROR(VLOOKUP(Table1[RespondentID],'All Data'!$A$3:$CO$999,91,FALSE),"unknown")</f>
        <v>White</v>
      </c>
      <c r="AQ101" s="120" t="str">
        <f>IFERROR(VLOOKUP(Table1[RespondentID],'All Data'!$A$3:$CO$999,92,FALSE),"unknown")</f>
        <v>Hispanic or Latino</v>
      </c>
      <c r="AR101" s="120" t="str">
        <f>IFERROR(VLOOKUP(Table1[RespondentID],'All Data'!$A$3:$CO$999,93,FALSE),"unknown")</f>
        <v>English</v>
      </c>
      <c r="AS101" s="120" t="str">
        <f>IFERROR(VLOOKUP(Table1[RespondentID],'All Data'!$A$3:$CW$999,94,FALSE),"unknown")</f>
        <v>Over $125,000</v>
      </c>
      <c r="AT101" s="120" t="str">
        <f>IFERROR(VLOOKUP(Table1[RespondentID],'All Data'!$A$3:$CW$999,95,FALSE),"unknown")</f>
        <v>College graduate</v>
      </c>
      <c r="AU101" s="120" t="str">
        <f>IFERROR(VLOOKUP(Table1[RespondentID],'All Data'!$A$3:$CW$999,96,FALSE),"unknown")</f>
        <v>Employed for wages</v>
      </c>
      <c r="AV101" s="120" t="str">
        <f>IFERROR(VLOOKUP(Table1[RespondentID],'All Data'!$A$3:$CW$999,97,FALSE),"unknown")</f>
        <v>Yes</v>
      </c>
      <c r="AW101" s="120">
        <f>IFERROR(VLOOKUP(Table1[RespondentID],'All Data'!$A$3:$CW$999,98,FALSE),"unknown")</f>
        <v>0</v>
      </c>
      <c r="AX101" s="120">
        <f>IFERROR(VLOOKUP(Table1[RespondentID],'All Data'!$A$3:$CW$999,99,FALSE),"unknown")</f>
        <v>0</v>
      </c>
    </row>
    <row r="102" spans="1:50">
      <c r="A102" s="5">
        <v>18022879253</v>
      </c>
      <c r="B102" s="5"/>
      <c r="C102" s="5"/>
      <c r="D102" s="5" t="s">
        <v>18</v>
      </c>
      <c r="E102" s="5"/>
      <c r="F102" s="5"/>
      <c r="G102" s="5"/>
      <c r="H102" s="5"/>
      <c r="I102" s="5" t="s">
        <v>23</v>
      </c>
      <c r="J102" s="5"/>
      <c r="K102" s="5" t="s">
        <v>25</v>
      </c>
      <c r="L102" s="5"/>
      <c r="M102" s="5"/>
      <c r="N102" s="5"/>
      <c r="O102" s="7"/>
      <c r="P102" s="7">
        <f t="shared" si="18"/>
        <v>3</v>
      </c>
      <c r="Q102" s="7">
        <f t="shared" si="19"/>
        <v>1</v>
      </c>
      <c r="R102" s="7"/>
      <c r="S102" s="7">
        <f t="shared" si="35"/>
        <v>0</v>
      </c>
      <c r="T102" s="7">
        <f t="shared" si="20"/>
        <v>0</v>
      </c>
      <c r="U102" s="7">
        <f t="shared" si="21"/>
        <v>1</v>
      </c>
      <c r="V102" s="119">
        <f t="shared" si="22"/>
        <v>0</v>
      </c>
      <c r="W102" s="119">
        <f t="shared" si="23"/>
        <v>0</v>
      </c>
      <c r="X102" s="119">
        <f t="shared" si="24"/>
        <v>0</v>
      </c>
      <c r="Y102" s="119">
        <f t="shared" si="25"/>
        <v>0</v>
      </c>
      <c r="Z102" s="119">
        <f t="shared" si="26"/>
        <v>1</v>
      </c>
      <c r="AA102" s="119">
        <f t="shared" si="27"/>
        <v>0</v>
      </c>
      <c r="AB102" s="119">
        <f t="shared" si="28"/>
        <v>1</v>
      </c>
      <c r="AC102" s="119">
        <f t="shared" si="29"/>
        <v>0</v>
      </c>
      <c r="AD102" s="119">
        <f t="shared" si="30"/>
        <v>0</v>
      </c>
      <c r="AE102" s="119">
        <f t="shared" si="31"/>
        <v>0</v>
      </c>
      <c r="AF102" s="7"/>
      <c r="AG102" s="7"/>
      <c r="AH102" s="7">
        <f t="shared" si="32"/>
        <v>3</v>
      </c>
      <c r="AI102" s="7">
        <f t="shared" si="33"/>
        <v>3</v>
      </c>
      <c r="AJ102" s="7" t="str">
        <f t="shared" si="34"/>
        <v>Correct</v>
      </c>
      <c r="AL102" s="120" t="str">
        <f>IFERROR(VLOOKUP(Table1[RespondentID],'All Data'!$A$3:$CO$999,87,FALSE),"unknown")</f>
        <v>Woman</v>
      </c>
      <c r="AM102" s="120">
        <f>IFERROR(VLOOKUP(Table1[RespondentID],'All Data'!$A$3:$CO$999,88,FALSE),"unknown")</f>
        <v>60</v>
      </c>
      <c r="AN102" s="120" t="str">
        <f>IFERROR(VLOOKUP(Table1[RespondentID],'All Data'!$A$3:$CO$999,89,FALSE),"unknown")</f>
        <v>Suffolk</v>
      </c>
      <c r="AO102" s="120" t="str">
        <f>IFERROR(VLOOKUP(Table1[RespondentID],'All Data'!$A$3:$CO$999,90,FALSE),"unknown")</f>
        <v>Lake Ronkonkoma, 11779</v>
      </c>
      <c r="AP102" s="120" t="str">
        <f>IFERROR(VLOOKUP(Table1[RespondentID],'All Data'!$A$3:$CO$999,91,FALSE),"unknown")</f>
        <v>White</v>
      </c>
      <c r="AQ102" s="120" t="str">
        <f>IFERROR(VLOOKUP(Table1[RespondentID],'All Data'!$A$3:$CO$999,92,FALSE),"unknown")</f>
        <v>Hispanic or Latino</v>
      </c>
      <c r="AR102" s="120" t="str">
        <f>IFERROR(VLOOKUP(Table1[RespondentID],'All Data'!$A$3:$CO$999,93,FALSE),"unknown")</f>
        <v>English, Italian</v>
      </c>
      <c r="AS102" s="120" t="str">
        <f>IFERROR(VLOOKUP(Table1[RespondentID],'All Data'!$A$3:$CW$999,94,FALSE),"unknown")</f>
        <v>$50,000 to $74,999</v>
      </c>
      <c r="AT102" s="120" t="str">
        <f>IFERROR(VLOOKUP(Table1[RespondentID],'All Data'!$A$3:$CW$999,95,FALSE),"unknown")</f>
        <v>Some college</v>
      </c>
      <c r="AU102" s="120" t="str">
        <f>IFERROR(VLOOKUP(Table1[RespondentID],'All Data'!$A$3:$CW$999,96,FALSE),"unknown")</f>
        <v>Employed for wages</v>
      </c>
      <c r="AV102" s="120" t="str">
        <f>IFERROR(VLOOKUP(Table1[RespondentID],'All Data'!$A$3:$CW$999,97,FALSE),"unknown")</f>
        <v>No</v>
      </c>
      <c r="AW102" s="120">
        <f>IFERROR(VLOOKUP(Table1[RespondentID],'All Data'!$A$3:$CW$999,98,FALSE),"unknown")</f>
        <v>0</v>
      </c>
      <c r="AX102" s="120">
        <f>IFERROR(VLOOKUP(Table1[RespondentID],'All Data'!$A$3:$CW$999,99,FALSE),"unknown")</f>
        <v>0</v>
      </c>
    </row>
    <row r="103" spans="1:50">
      <c r="A103" s="5">
        <v>18022879053</v>
      </c>
      <c r="B103" s="5"/>
      <c r="C103" s="5" t="s">
        <v>17</v>
      </c>
      <c r="D103" s="5"/>
      <c r="E103" s="5"/>
      <c r="F103" s="5"/>
      <c r="G103" s="5"/>
      <c r="H103" s="5"/>
      <c r="I103" s="5"/>
      <c r="J103" s="5"/>
      <c r="K103" s="5" t="s">
        <v>25</v>
      </c>
      <c r="L103" s="5" t="s">
        <v>26</v>
      </c>
      <c r="M103" s="5"/>
      <c r="N103" s="5"/>
      <c r="O103" s="7"/>
      <c r="P103" s="7">
        <f t="shared" si="18"/>
        <v>3</v>
      </c>
      <c r="Q103" s="7">
        <f t="shared" si="19"/>
        <v>1</v>
      </c>
      <c r="R103" s="7"/>
      <c r="S103" s="7">
        <f t="shared" si="35"/>
        <v>0</v>
      </c>
      <c r="T103" s="7">
        <f t="shared" si="20"/>
        <v>1</v>
      </c>
      <c r="U103" s="7">
        <f t="shared" si="21"/>
        <v>0</v>
      </c>
      <c r="V103" s="119">
        <f t="shared" si="22"/>
        <v>0</v>
      </c>
      <c r="W103" s="119">
        <f t="shared" si="23"/>
        <v>0</v>
      </c>
      <c r="X103" s="119">
        <f t="shared" si="24"/>
        <v>0</v>
      </c>
      <c r="Y103" s="119">
        <f t="shared" si="25"/>
        <v>0</v>
      </c>
      <c r="Z103" s="119">
        <f t="shared" si="26"/>
        <v>0</v>
      </c>
      <c r="AA103" s="119">
        <f t="shared" si="27"/>
        <v>0</v>
      </c>
      <c r="AB103" s="119">
        <f t="shared" si="28"/>
        <v>1</v>
      </c>
      <c r="AC103" s="119">
        <f t="shared" si="29"/>
        <v>1</v>
      </c>
      <c r="AD103" s="119">
        <f t="shared" si="30"/>
        <v>0</v>
      </c>
      <c r="AE103" s="119">
        <f t="shared" si="31"/>
        <v>0</v>
      </c>
      <c r="AF103" s="7"/>
      <c r="AG103" s="7"/>
      <c r="AH103" s="7">
        <f t="shared" si="32"/>
        <v>3</v>
      </c>
      <c r="AI103" s="7">
        <f t="shared" si="33"/>
        <v>3</v>
      </c>
      <c r="AJ103" s="7" t="str">
        <f t="shared" si="34"/>
        <v>Correct</v>
      </c>
      <c r="AL103" s="120" t="str">
        <f>IFERROR(VLOOKUP(Table1[RespondentID],'All Data'!$A$3:$CO$999,87,FALSE),"unknown")</f>
        <v>Man</v>
      </c>
      <c r="AM103" s="120">
        <f>IFERROR(VLOOKUP(Table1[RespondentID],'All Data'!$A$3:$CO$999,88,FALSE),"unknown")</f>
        <v>54</v>
      </c>
      <c r="AN103" s="120" t="str">
        <f>IFERROR(VLOOKUP(Table1[RespondentID],'All Data'!$A$3:$CO$999,89,FALSE),"unknown")</f>
        <v>Suffolk</v>
      </c>
      <c r="AO103" s="120" t="str">
        <f>IFERROR(VLOOKUP(Table1[RespondentID],'All Data'!$A$3:$CO$999,90,FALSE),"unknown")</f>
        <v>Ronkonkoma, 11779</v>
      </c>
      <c r="AP103" s="120" t="str">
        <f>IFERROR(VLOOKUP(Table1[RespondentID],'All Data'!$A$3:$CO$999,91,FALSE),"unknown")</f>
        <v>White</v>
      </c>
      <c r="AQ103" s="120" t="str">
        <f>IFERROR(VLOOKUP(Table1[RespondentID],'All Data'!$A$3:$CO$999,92,FALSE),"unknown")</f>
        <v>Hispanic or Latino</v>
      </c>
      <c r="AR103" s="120" t="str">
        <f>IFERROR(VLOOKUP(Table1[RespondentID],'All Data'!$A$3:$CO$999,93,FALSE),"unknown")</f>
        <v>English</v>
      </c>
      <c r="AS103" s="120" t="str">
        <f>IFERROR(VLOOKUP(Table1[RespondentID],'All Data'!$A$3:$CW$999,94,FALSE),"unknown")</f>
        <v>$50,000 to $74,999</v>
      </c>
      <c r="AT103" s="120" t="str">
        <f>IFERROR(VLOOKUP(Table1[RespondentID],'All Data'!$A$3:$CW$999,95,FALSE),"unknown")</f>
        <v>High school graduate</v>
      </c>
      <c r="AU103" s="120" t="str">
        <f>IFERROR(VLOOKUP(Table1[RespondentID],'All Data'!$A$3:$CW$999,96,FALSE),"unknown")</f>
        <v>Employed for wages</v>
      </c>
      <c r="AV103" s="120" t="str">
        <f>IFERROR(VLOOKUP(Table1[RespondentID],'All Data'!$A$3:$CW$999,97,FALSE),"unknown")</f>
        <v>Yes</v>
      </c>
      <c r="AW103" s="120">
        <f>IFERROR(VLOOKUP(Table1[RespondentID],'All Data'!$A$3:$CW$999,98,FALSE),"unknown")</f>
        <v>0</v>
      </c>
      <c r="AX103" s="120">
        <f>IFERROR(VLOOKUP(Table1[RespondentID],'All Data'!$A$3:$CW$999,99,FALSE),"unknown")</f>
        <v>0</v>
      </c>
    </row>
    <row r="104" spans="1:50">
      <c r="A104" s="5">
        <v>18022878819</v>
      </c>
      <c r="B104" s="5"/>
      <c r="C104" s="5" t="s">
        <v>17</v>
      </c>
      <c r="D104" s="5" t="s">
        <v>18</v>
      </c>
      <c r="E104" s="5"/>
      <c r="F104" s="5"/>
      <c r="G104" s="5"/>
      <c r="H104" s="5"/>
      <c r="I104" s="5"/>
      <c r="J104" s="5" t="s">
        <v>24</v>
      </c>
      <c r="K104" s="5"/>
      <c r="L104" s="5"/>
      <c r="M104" s="5"/>
      <c r="N104" s="5"/>
      <c r="O104" s="7"/>
      <c r="P104" s="7">
        <f t="shared" si="18"/>
        <v>3</v>
      </c>
      <c r="Q104" s="7">
        <f t="shared" si="19"/>
        <v>1</v>
      </c>
      <c r="R104" s="7"/>
      <c r="S104" s="7">
        <f t="shared" si="35"/>
        <v>0</v>
      </c>
      <c r="T104" s="7">
        <f t="shared" si="20"/>
        <v>1</v>
      </c>
      <c r="U104" s="7">
        <f t="shared" si="21"/>
        <v>1</v>
      </c>
      <c r="V104" s="119">
        <f t="shared" si="22"/>
        <v>0</v>
      </c>
      <c r="W104" s="119">
        <f t="shared" si="23"/>
        <v>0</v>
      </c>
      <c r="X104" s="119">
        <f t="shared" si="24"/>
        <v>0</v>
      </c>
      <c r="Y104" s="119">
        <f t="shared" si="25"/>
        <v>0</v>
      </c>
      <c r="Z104" s="119">
        <f t="shared" si="26"/>
        <v>0</v>
      </c>
      <c r="AA104" s="119">
        <f t="shared" si="27"/>
        <v>1</v>
      </c>
      <c r="AB104" s="119">
        <f t="shared" si="28"/>
        <v>0</v>
      </c>
      <c r="AC104" s="119">
        <f t="shared" si="29"/>
        <v>0</v>
      </c>
      <c r="AD104" s="119">
        <f t="shared" si="30"/>
        <v>0</v>
      </c>
      <c r="AE104" s="119">
        <f t="shared" si="31"/>
        <v>0</v>
      </c>
      <c r="AF104" s="7"/>
      <c r="AG104" s="7"/>
      <c r="AH104" s="7">
        <f t="shared" si="32"/>
        <v>3</v>
      </c>
      <c r="AI104" s="7">
        <f t="shared" si="33"/>
        <v>3</v>
      </c>
      <c r="AJ104" s="7" t="str">
        <f t="shared" si="34"/>
        <v>Correct</v>
      </c>
      <c r="AL104" s="120" t="str">
        <f>IFERROR(VLOOKUP(Table1[RespondentID],'All Data'!$A$3:$CO$999,87,FALSE),"unknown")</f>
        <v>Woman</v>
      </c>
      <c r="AM104" s="120">
        <f>IFERROR(VLOOKUP(Table1[RespondentID],'All Data'!$A$3:$CO$999,88,FALSE),"unknown")</f>
        <v>25</v>
      </c>
      <c r="AN104" s="120" t="str">
        <f>IFERROR(VLOOKUP(Table1[RespondentID],'All Data'!$A$3:$CO$999,89,FALSE),"unknown")</f>
        <v>Suffolk</v>
      </c>
      <c r="AO104" s="120" t="str">
        <f>IFERROR(VLOOKUP(Table1[RespondentID],'All Data'!$A$3:$CO$999,90,FALSE),"unknown")</f>
        <v>Mastic, 11950</v>
      </c>
      <c r="AP104" s="120" t="str">
        <f>IFERROR(VLOOKUP(Table1[RespondentID],'All Data'!$A$3:$CO$999,91,FALSE),"unknown")</f>
        <v>White</v>
      </c>
      <c r="AQ104" s="120" t="str">
        <f>IFERROR(VLOOKUP(Table1[RespondentID],'All Data'!$A$3:$CO$999,92,FALSE),"unknown")</f>
        <v>Hispanic or Latino</v>
      </c>
      <c r="AR104" s="120" t="str">
        <f>IFERROR(VLOOKUP(Table1[RespondentID],'All Data'!$A$3:$CO$999,93,FALSE),"unknown")</f>
        <v>English</v>
      </c>
      <c r="AS104" s="120" t="str">
        <f>IFERROR(VLOOKUP(Table1[RespondentID],'All Data'!$A$3:$CW$999,94,FALSE),"unknown")</f>
        <v>$75,000 to $125,000</v>
      </c>
      <c r="AT104" s="120" t="str">
        <f>IFERROR(VLOOKUP(Table1[RespondentID],'All Data'!$A$3:$CW$999,95,FALSE),"unknown")</f>
        <v>College graduate</v>
      </c>
      <c r="AU104" s="120" t="str">
        <f>IFERROR(VLOOKUP(Table1[RespondentID],'All Data'!$A$3:$CW$999,96,FALSE),"unknown")</f>
        <v>Employed for wages</v>
      </c>
      <c r="AV104" s="120" t="str">
        <f>IFERROR(VLOOKUP(Table1[RespondentID],'All Data'!$A$3:$CW$999,97,FALSE),"unknown")</f>
        <v>Yes</v>
      </c>
      <c r="AW104" s="120">
        <f>IFERROR(VLOOKUP(Table1[RespondentID],'All Data'!$A$3:$CW$999,98,FALSE),"unknown")</f>
        <v>0</v>
      </c>
      <c r="AX104" s="120">
        <f>IFERROR(VLOOKUP(Table1[RespondentID],'All Data'!$A$3:$CW$999,99,FALSE),"unknown")</f>
        <v>0</v>
      </c>
    </row>
    <row r="105" spans="1:50">
      <c r="A105" s="5">
        <v>18022878706</v>
      </c>
      <c r="B105" s="5"/>
      <c r="C105" s="5"/>
      <c r="D105" s="5"/>
      <c r="E105" s="5"/>
      <c r="F105" s="5"/>
      <c r="G105" s="5"/>
      <c r="H105" s="5"/>
      <c r="I105" s="5"/>
      <c r="J105" s="5"/>
      <c r="K105" s="5" t="s">
        <v>25</v>
      </c>
      <c r="L105" s="5" t="s">
        <v>26</v>
      </c>
      <c r="M105" s="5"/>
      <c r="N105" s="5" t="s">
        <v>28</v>
      </c>
      <c r="O105" s="7"/>
      <c r="P105" s="7">
        <f t="shared" si="18"/>
        <v>3</v>
      </c>
      <c r="Q105" s="7">
        <f t="shared" si="19"/>
        <v>1</v>
      </c>
      <c r="R105" s="7"/>
      <c r="S105" s="7">
        <f t="shared" si="35"/>
        <v>0</v>
      </c>
      <c r="T105" s="7">
        <f t="shared" si="20"/>
        <v>0</v>
      </c>
      <c r="U105" s="7">
        <f t="shared" si="21"/>
        <v>0</v>
      </c>
      <c r="V105" s="119">
        <f t="shared" si="22"/>
        <v>0</v>
      </c>
      <c r="W105" s="119">
        <f t="shared" si="23"/>
        <v>0</v>
      </c>
      <c r="X105" s="119">
        <f t="shared" si="24"/>
        <v>0</v>
      </c>
      <c r="Y105" s="119">
        <f t="shared" si="25"/>
        <v>0</v>
      </c>
      <c r="Z105" s="119">
        <f t="shared" si="26"/>
        <v>0</v>
      </c>
      <c r="AA105" s="119">
        <f t="shared" si="27"/>
        <v>0</v>
      </c>
      <c r="AB105" s="119">
        <f t="shared" si="28"/>
        <v>1</v>
      </c>
      <c r="AC105" s="119">
        <f t="shared" si="29"/>
        <v>1</v>
      </c>
      <c r="AD105" s="119">
        <f t="shared" si="30"/>
        <v>0</v>
      </c>
      <c r="AE105" s="119">
        <f t="shared" si="31"/>
        <v>1</v>
      </c>
      <c r="AF105" s="7"/>
      <c r="AG105" s="7"/>
      <c r="AH105" s="7">
        <f t="shared" si="32"/>
        <v>3</v>
      </c>
      <c r="AI105" s="7">
        <f t="shared" si="33"/>
        <v>3</v>
      </c>
      <c r="AJ105" s="7" t="str">
        <f t="shared" si="34"/>
        <v>Correct</v>
      </c>
      <c r="AL105" s="120" t="str">
        <f>IFERROR(VLOOKUP(Table1[RespondentID],'All Data'!$A$3:$CO$999,87,FALSE),"unknown")</f>
        <v>Man</v>
      </c>
      <c r="AM105" s="120">
        <f>IFERROR(VLOOKUP(Table1[RespondentID],'All Data'!$A$3:$CO$999,88,FALSE),"unknown")</f>
        <v>32</v>
      </c>
      <c r="AN105" s="120" t="str">
        <f>IFERROR(VLOOKUP(Table1[RespondentID],'All Data'!$A$3:$CO$999,89,FALSE),"unknown")</f>
        <v>Suffolk</v>
      </c>
      <c r="AO105" s="120" t="str">
        <f>IFERROR(VLOOKUP(Table1[RespondentID],'All Data'!$A$3:$CO$999,90,FALSE),"unknown")</f>
        <v>Smithtown, 11787</v>
      </c>
      <c r="AP105" s="120" t="str">
        <f>IFERROR(VLOOKUP(Table1[RespondentID],'All Data'!$A$3:$CO$999,91,FALSE),"unknown")</f>
        <v>White</v>
      </c>
      <c r="AQ105" s="120" t="str">
        <f>IFERROR(VLOOKUP(Table1[RespondentID],'All Data'!$A$3:$CO$999,92,FALSE),"unknown")</f>
        <v>Hispanic or Latino</v>
      </c>
      <c r="AR105" s="120" t="str">
        <f>IFERROR(VLOOKUP(Table1[RespondentID],'All Data'!$A$3:$CO$999,93,FALSE),"unknown")</f>
        <v>English</v>
      </c>
      <c r="AS105" s="120" t="str">
        <f>IFERROR(VLOOKUP(Table1[RespondentID],'All Data'!$A$3:$CW$999,94,FALSE),"unknown")</f>
        <v>Over $125,000</v>
      </c>
      <c r="AT105" s="120" t="str">
        <f>IFERROR(VLOOKUP(Table1[RespondentID],'All Data'!$A$3:$CW$999,95,FALSE),"unknown")</f>
        <v>High school graduate</v>
      </c>
      <c r="AU105" s="120" t="str">
        <f>IFERROR(VLOOKUP(Table1[RespondentID],'All Data'!$A$3:$CW$999,96,FALSE),"unknown")</f>
        <v>Employed for wages</v>
      </c>
      <c r="AV105" s="120">
        <f>IFERROR(VLOOKUP(Table1[RespondentID],'All Data'!$A$3:$CW$999,97,FALSE),"unknown")</f>
        <v>0</v>
      </c>
      <c r="AW105" s="120">
        <f>IFERROR(VLOOKUP(Table1[RespondentID],'All Data'!$A$3:$CW$999,98,FALSE),"unknown")</f>
        <v>0</v>
      </c>
      <c r="AX105" s="120">
        <f>IFERROR(VLOOKUP(Table1[RespondentID],'All Data'!$A$3:$CW$999,99,FALSE),"unknown")</f>
        <v>0</v>
      </c>
    </row>
    <row r="106" spans="1:50">
      <c r="A106" s="5">
        <v>18022878547</v>
      </c>
      <c r="B106" s="5"/>
      <c r="C106" s="5" t="s">
        <v>17</v>
      </c>
      <c r="D106" s="5" t="s">
        <v>18</v>
      </c>
      <c r="E106" s="5"/>
      <c r="F106" s="5"/>
      <c r="G106" s="5"/>
      <c r="H106" s="5"/>
      <c r="I106" s="5"/>
      <c r="J106" s="5"/>
      <c r="K106" s="5" t="s">
        <v>25</v>
      </c>
      <c r="L106" s="5"/>
      <c r="M106" s="5"/>
      <c r="N106" s="5"/>
      <c r="O106" s="7"/>
      <c r="P106" s="7">
        <f t="shared" si="18"/>
        <v>3</v>
      </c>
      <c r="Q106" s="7">
        <f t="shared" si="19"/>
        <v>1</v>
      </c>
      <c r="R106" s="7"/>
      <c r="S106" s="7">
        <f t="shared" si="35"/>
        <v>0</v>
      </c>
      <c r="T106" s="7">
        <f t="shared" si="20"/>
        <v>1</v>
      </c>
      <c r="U106" s="7">
        <f t="shared" si="21"/>
        <v>1</v>
      </c>
      <c r="V106" s="119">
        <f t="shared" si="22"/>
        <v>0</v>
      </c>
      <c r="W106" s="119">
        <f t="shared" si="23"/>
        <v>0</v>
      </c>
      <c r="X106" s="119">
        <f t="shared" si="24"/>
        <v>0</v>
      </c>
      <c r="Y106" s="119">
        <f t="shared" si="25"/>
        <v>0</v>
      </c>
      <c r="Z106" s="119">
        <f t="shared" si="26"/>
        <v>0</v>
      </c>
      <c r="AA106" s="119">
        <f t="shared" si="27"/>
        <v>0</v>
      </c>
      <c r="AB106" s="119">
        <f t="shared" si="28"/>
        <v>1</v>
      </c>
      <c r="AC106" s="119">
        <f t="shared" si="29"/>
        <v>0</v>
      </c>
      <c r="AD106" s="119">
        <f t="shared" si="30"/>
        <v>0</v>
      </c>
      <c r="AE106" s="119">
        <f t="shared" si="31"/>
        <v>0</v>
      </c>
      <c r="AF106" s="7"/>
      <c r="AG106" s="7"/>
      <c r="AH106" s="7">
        <f t="shared" si="32"/>
        <v>3</v>
      </c>
      <c r="AI106" s="7">
        <f t="shared" si="33"/>
        <v>3</v>
      </c>
      <c r="AJ106" s="7" t="str">
        <f t="shared" si="34"/>
        <v>Correct</v>
      </c>
      <c r="AL106" s="120" t="str">
        <f>IFERROR(VLOOKUP(Table1[RespondentID],'All Data'!$A$3:$CO$999,87,FALSE),"unknown")</f>
        <v>Man</v>
      </c>
      <c r="AM106" s="120">
        <f>IFERROR(VLOOKUP(Table1[RespondentID],'All Data'!$A$3:$CO$999,88,FALSE),"unknown")</f>
        <v>50</v>
      </c>
      <c r="AN106" s="120" t="str">
        <f>IFERROR(VLOOKUP(Table1[RespondentID],'All Data'!$A$3:$CO$999,89,FALSE),"unknown")</f>
        <v>Suffolk</v>
      </c>
      <c r="AO106" s="120" t="str">
        <f>IFERROR(VLOOKUP(Table1[RespondentID],'All Data'!$A$3:$CO$999,90,FALSE),"unknown")</f>
        <v>Shirley, 11967</v>
      </c>
      <c r="AP106" s="120" t="str">
        <f>IFERROR(VLOOKUP(Table1[RespondentID],'All Data'!$A$3:$CO$999,91,FALSE),"unknown")</f>
        <v>White</v>
      </c>
      <c r="AQ106" s="120" t="str">
        <f>IFERROR(VLOOKUP(Table1[RespondentID],'All Data'!$A$3:$CO$999,92,FALSE),"unknown")</f>
        <v>Hispanic or Latino</v>
      </c>
      <c r="AR106" s="120" t="str">
        <f>IFERROR(VLOOKUP(Table1[RespondentID],'All Data'!$A$3:$CO$999,93,FALSE),"unknown")</f>
        <v>English</v>
      </c>
      <c r="AS106" s="120" t="str">
        <f>IFERROR(VLOOKUP(Table1[RespondentID],'All Data'!$A$3:$CW$999,94,FALSE),"unknown")</f>
        <v>$0-$19,999</v>
      </c>
      <c r="AT106" s="120" t="str">
        <f>IFERROR(VLOOKUP(Table1[RespondentID],'All Data'!$A$3:$CW$999,95,FALSE),"unknown")</f>
        <v>High school graduate</v>
      </c>
      <c r="AU106" s="120" t="str">
        <f>IFERROR(VLOOKUP(Table1[RespondentID],'All Data'!$A$3:$CW$999,96,FALSE),"unknown")</f>
        <v>Out of work, but not currently looking</v>
      </c>
      <c r="AV106" s="120" t="str">
        <f>IFERROR(VLOOKUP(Table1[RespondentID],'All Data'!$A$3:$CW$999,97,FALSE),"unknown")</f>
        <v>Yes</v>
      </c>
      <c r="AW106" s="120">
        <f>IFERROR(VLOOKUP(Table1[RespondentID],'All Data'!$A$3:$CW$999,98,FALSE),"unknown")</f>
        <v>0</v>
      </c>
      <c r="AX106" s="120">
        <f>IFERROR(VLOOKUP(Table1[RespondentID],'All Data'!$A$3:$CW$999,99,FALSE),"unknown")</f>
        <v>0</v>
      </c>
    </row>
    <row r="107" spans="1:50">
      <c r="A107" s="5">
        <v>18022878424</v>
      </c>
      <c r="B107" s="5"/>
      <c r="C107" s="5" t="s">
        <v>17</v>
      </c>
      <c r="D107" s="5"/>
      <c r="E107" s="5"/>
      <c r="F107" s="5"/>
      <c r="G107" s="5"/>
      <c r="H107" s="5"/>
      <c r="I107" s="5"/>
      <c r="J107" s="5"/>
      <c r="K107" s="5" t="s">
        <v>25</v>
      </c>
      <c r="L107" s="5"/>
      <c r="M107" s="5"/>
      <c r="N107" s="5" t="s">
        <v>28</v>
      </c>
      <c r="O107" s="7"/>
      <c r="P107" s="7">
        <f t="shared" si="18"/>
        <v>3</v>
      </c>
      <c r="Q107" s="7">
        <f t="shared" si="19"/>
        <v>1</v>
      </c>
      <c r="R107" s="7"/>
      <c r="S107" s="7">
        <f t="shared" si="35"/>
        <v>0</v>
      </c>
      <c r="T107" s="7">
        <f t="shared" si="20"/>
        <v>1</v>
      </c>
      <c r="U107" s="7">
        <f t="shared" si="21"/>
        <v>0</v>
      </c>
      <c r="V107" s="119">
        <f t="shared" si="22"/>
        <v>0</v>
      </c>
      <c r="W107" s="119">
        <f t="shared" si="23"/>
        <v>0</v>
      </c>
      <c r="X107" s="119">
        <f t="shared" si="24"/>
        <v>0</v>
      </c>
      <c r="Y107" s="119">
        <f t="shared" si="25"/>
        <v>0</v>
      </c>
      <c r="Z107" s="119">
        <f t="shared" si="26"/>
        <v>0</v>
      </c>
      <c r="AA107" s="119">
        <f t="shared" si="27"/>
        <v>0</v>
      </c>
      <c r="AB107" s="119">
        <f t="shared" si="28"/>
        <v>1</v>
      </c>
      <c r="AC107" s="119">
        <f t="shared" si="29"/>
        <v>0</v>
      </c>
      <c r="AD107" s="119">
        <f t="shared" si="30"/>
        <v>0</v>
      </c>
      <c r="AE107" s="119">
        <f t="shared" si="31"/>
        <v>1</v>
      </c>
      <c r="AF107" s="7"/>
      <c r="AG107" s="7"/>
      <c r="AH107" s="7">
        <f t="shared" si="32"/>
        <v>3</v>
      </c>
      <c r="AI107" s="7">
        <f t="shared" si="33"/>
        <v>3</v>
      </c>
      <c r="AJ107" s="7" t="str">
        <f t="shared" si="34"/>
        <v>Correct</v>
      </c>
      <c r="AL107" s="120" t="str">
        <f>IFERROR(VLOOKUP(Table1[RespondentID],'All Data'!$A$3:$CO$999,87,FALSE),"unknown")</f>
        <v>Man</v>
      </c>
      <c r="AM107" s="120">
        <f>IFERROR(VLOOKUP(Table1[RespondentID],'All Data'!$A$3:$CO$999,88,FALSE),"unknown")</f>
        <v>26</v>
      </c>
      <c r="AN107" s="120" t="str">
        <f>IFERROR(VLOOKUP(Table1[RespondentID],'All Data'!$A$3:$CO$999,89,FALSE),"unknown")</f>
        <v>Suffolk</v>
      </c>
      <c r="AO107" s="120" t="str">
        <f>IFERROR(VLOOKUP(Table1[RespondentID],'All Data'!$A$3:$CO$999,90,FALSE),"unknown")</f>
        <v>Moriches, 11955</v>
      </c>
      <c r="AP107" s="120" t="str">
        <f>IFERROR(VLOOKUP(Table1[RespondentID],'All Data'!$A$3:$CO$999,91,FALSE),"unknown")</f>
        <v>White</v>
      </c>
      <c r="AQ107" s="120" t="str">
        <f>IFERROR(VLOOKUP(Table1[RespondentID],'All Data'!$A$3:$CO$999,92,FALSE),"unknown")</f>
        <v>Hispanic or Latino</v>
      </c>
      <c r="AR107" s="120" t="str">
        <f>IFERROR(VLOOKUP(Table1[RespondentID],'All Data'!$A$3:$CO$999,93,FALSE),"unknown")</f>
        <v>English</v>
      </c>
      <c r="AS107" s="120" t="str">
        <f>IFERROR(VLOOKUP(Table1[RespondentID],'All Data'!$A$3:$CW$999,94,FALSE),"unknown")</f>
        <v>Over $125,000</v>
      </c>
      <c r="AT107" s="120" t="str">
        <f>IFERROR(VLOOKUP(Table1[RespondentID],'All Data'!$A$3:$CW$999,95,FALSE),"unknown")</f>
        <v>Technical school</v>
      </c>
      <c r="AU107" s="120" t="str">
        <f>IFERROR(VLOOKUP(Table1[RespondentID],'All Data'!$A$3:$CW$999,96,FALSE),"unknown")</f>
        <v>Employed for wages</v>
      </c>
      <c r="AV107" s="120" t="str">
        <f>IFERROR(VLOOKUP(Table1[RespondentID],'All Data'!$A$3:$CW$999,97,FALSE),"unknown")</f>
        <v>Yes</v>
      </c>
      <c r="AW107" s="120">
        <f>IFERROR(VLOOKUP(Table1[RespondentID],'All Data'!$A$3:$CW$999,98,FALSE),"unknown")</f>
        <v>0</v>
      </c>
      <c r="AX107" s="120">
        <f>IFERROR(VLOOKUP(Table1[RespondentID],'All Data'!$A$3:$CW$999,99,FALSE),"unknown")</f>
        <v>0</v>
      </c>
    </row>
    <row r="108" spans="1:50">
      <c r="A108" s="5">
        <v>18022878292</v>
      </c>
      <c r="B108" s="5"/>
      <c r="C108" s="5" t="s">
        <v>17</v>
      </c>
      <c r="D108" s="5"/>
      <c r="E108" s="5"/>
      <c r="F108" s="5"/>
      <c r="G108" s="5"/>
      <c r="H108" s="5"/>
      <c r="I108" s="5"/>
      <c r="J108" s="5"/>
      <c r="K108" s="5" t="s">
        <v>25</v>
      </c>
      <c r="L108" s="5" t="s">
        <v>26</v>
      </c>
      <c r="M108" s="5"/>
      <c r="N108" s="5" t="s">
        <v>28</v>
      </c>
      <c r="O108" s="7"/>
      <c r="P108" s="7">
        <f t="shared" si="18"/>
        <v>4</v>
      </c>
      <c r="Q108" s="7">
        <f t="shared" si="19"/>
        <v>0.75</v>
      </c>
      <c r="R108" s="7"/>
      <c r="S108" s="7">
        <f t="shared" si="35"/>
        <v>0</v>
      </c>
      <c r="T108" s="7">
        <f t="shared" si="20"/>
        <v>0.75</v>
      </c>
      <c r="U108" s="7">
        <f t="shared" si="21"/>
        <v>0</v>
      </c>
      <c r="V108" s="119">
        <f t="shared" si="22"/>
        <v>0</v>
      </c>
      <c r="W108" s="119">
        <f t="shared" si="23"/>
        <v>0</v>
      </c>
      <c r="X108" s="119">
        <f t="shared" si="24"/>
        <v>0</v>
      </c>
      <c r="Y108" s="119">
        <f t="shared" si="25"/>
        <v>0</v>
      </c>
      <c r="Z108" s="119">
        <f t="shared" si="26"/>
        <v>0</v>
      </c>
      <c r="AA108" s="119">
        <f t="shared" si="27"/>
        <v>0</v>
      </c>
      <c r="AB108" s="119">
        <f t="shared" si="28"/>
        <v>0.75</v>
      </c>
      <c r="AC108" s="119">
        <f t="shared" si="29"/>
        <v>0.75</v>
      </c>
      <c r="AD108" s="119">
        <f t="shared" si="30"/>
        <v>0</v>
      </c>
      <c r="AE108" s="119">
        <f t="shared" si="31"/>
        <v>0.75</v>
      </c>
      <c r="AF108" s="7"/>
      <c r="AG108" s="7"/>
      <c r="AH108" s="7">
        <f t="shared" si="32"/>
        <v>3</v>
      </c>
      <c r="AI108" s="7">
        <f t="shared" si="33"/>
        <v>4</v>
      </c>
      <c r="AJ108" s="7" t="str">
        <f t="shared" si="34"/>
        <v>Correct</v>
      </c>
      <c r="AL108" s="120" t="str">
        <f>IFERROR(VLOOKUP(Table1[RespondentID],'All Data'!$A$3:$CO$999,87,FALSE),"unknown")</f>
        <v>Man</v>
      </c>
      <c r="AM108" s="120">
        <f>IFERROR(VLOOKUP(Table1[RespondentID],'All Data'!$A$3:$CO$999,88,FALSE),"unknown")</f>
        <v>47</v>
      </c>
      <c r="AN108" s="120" t="str">
        <f>IFERROR(VLOOKUP(Table1[RespondentID],'All Data'!$A$3:$CO$999,89,FALSE),"unknown")</f>
        <v>Suffolk</v>
      </c>
      <c r="AO108" s="120" t="str">
        <f>IFERROR(VLOOKUP(Table1[RespondentID],'All Data'!$A$3:$CO$999,90,FALSE),"unknown")</f>
        <v>Smithtown, 11787</v>
      </c>
      <c r="AP108" s="120" t="str">
        <f>IFERROR(VLOOKUP(Table1[RespondentID],'All Data'!$A$3:$CO$999,91,FALSE),"unknown")</f>
        <v>White</v>
      </c>
      <c r="AQ108" s="120" t="str">
        <f>IFERROR(VLOOKUP(Table1[RespondentID],'All Data'!$A$3:$CO$999,92,FALSE),"unknown")</f>
        <v>Hispanic or Latino</v>
      </c>
      <c r="AR108" s="120" t="str">
        <f>IFERROR(VLOOKUP(Table1[RespondentID],'All Data'!$A$3:$CO$999,93,FALSE),"unknown")</f>
        <v>English</v>
      </c>
      <c r="AS108" s="120" t="str">
        <f>IFERROR(VLOOKUP(Table1[RespondentID],'All Data'!$A$3:$CW$999,94,FALSE),"unknown")</f>
        <v>Over $125,000</v>
      </c>
      <c r="AT108" s="120" t="str">
        <f>IFERROR(VLOOKUP(Table1[RespondentID],'All Data'!$A$3:$CW$999,95,FALSE),"unknown")</f>
        <v>Some college</v>
      </c>
      <c r="AU108" s="120" t="str">
        <f>IFERROR(VLOOKUP(Table1[RespondentID],'All Data'!$A$3:$CW$999,96,FALSE),"unknown")</f>
        <v>Employed for wages</v>
      </c>
      <c r="AV108" s="120" t="str">
        <f>IFERROR(VLOOKUP(Table1[RespondentID],'All Data'!$A$3:$CW$999,97,FALSE),"unknown")</f>
        <v>Yes</v>
      </c>
      <c r="AW108" s="120">
        <f>IFERROR(VLOOKUP(Table1[RespondentID],'All Data'!$A$3:$CW$999,98,FALSE),"unknown")</f>
        <v>0</v>
      </c>
      <c r="AX108" s="120">
        <f>IFERROR(VLOOKUP(Table1[RespondentID],'All Data'!$A$3:$CW$999,99,FALSE),"unknown")</f>
        <v>0</v>
      </c>
    </row>
    <row r="109" spans="1:50">
      <c r="A109" s="5">
        <v>18022878149</v>
      </c>
      <c r="B109" s="5"/>
      <c r="C109" s="5"/>
      <c r="D109" s="5"/>
      <c r="E109" s="5"/>
      <c r="F109" s="5"/>
      <c r="G109" s="5"/>
      <c r="H109" s="5"/>
      <c r="I109" s="5"/>
      <c r="J109" s="5"/>
      <c r="K109" s="5" t="s">
        <v>25</v>
      </c>
      <c r="L109" s="5" t="s">
        <v>26</v>
      </c>
      <c r="M109" s="5"/>
      <c r="N109" s="5"/>
      <c r="O109" s="7"/>
      <c r="P109" s="7">
        <f t="shared" si="18"/>
        <v>2</v>
      </c>
      <c r="Q109" s="7">
        <f t="shared" si="19"/>
        <v>1.5</v>
      </c>
      <c r="R109" s="7"/>
      <c r="S109" s="7">
        <f t="shared" si="35"/>
        <v>0</v>
      </c>
      <c r="T109" s="7">
        <f t="shared" si="20"/>
        <v>0</v>
      </c>
      <c r="U109" s="7">
        <f t="shared" si="21"/>
        <v>0</v>
      </c>
      <c r="V109" s="119">
        <f t="shared" si="22"/>
        <v>0</v>
      </c>
      <c r="W109" s="119">
        <f t="shared" si="23"/>
        <v>0</v>
      </c>
      <c r="X109" s="119">
        <f t="shared" si="24"/>
        <v>0</v>
      </c>
      <c r="Y109" s="119">
        <f t="shared" si="25"/>
        <v>0</v>
      </c>
      <c r="Z109" s="119">
        <f t="shared" si="26"/>
        <v>0</v>
      </c>
      <c r="AA109" s="119">
        <f t="shared" si="27"/>
        <v>0</v>
      </c>
      <c r="AB109" s="119">
        <f t="shared" si="28"/>
        <v>1</v>
      </c>
      <c r="AC109" s="119">
        <f t="shared" si="29"/>
        <v>1</v>
      </c>
      <c r="AD109" s="119">
        <f t="shared" si="30"/>
        <v>0</v>
      </c>
      <c r="AE109" s="119">
        <f t="shared" si="31"/>
        <v>0</v>
      </c>
      <c r="AF109" s="7"/>
      <c r="AG109" s="7"/>
      <c r="AH109" s="7">
        <f t="shared" si="32"/>
        <v>2</v>
      </c>
      <c r="AI109" s="7">
        <f t="shared" si="33"/>
        <v>2</v>
      </c>
      <c r="AJ109" s="7" t="str">
        <f t="shared" si="34"/>
        <v>Correct</v>
      </c>
      <c r="AL109" s="120" t="str">
        <f>IFERROR(VLOOKUP(Table1[RespondentID],'All Data'!$A$3:$CO$999,87,FALSE),"unknown")</f>
        <v>Woman</v>
      </c>
      <c r="AM109" s="120">
        <f>IFERROR(VLOOKUP(Table1[RespondentID],'All Data'!$A$3:$CO$999,88,FALSE),"unknown")</f>
        <v>49</v>
      </c>
      <c r="AN109" s="120" t="str">
        <f>IFERROR(VLOOKUP(Table1[RespondentID],'All Data'!$A$3:$CO$999,89,FALSE),"unknown")</f>
        <v>Suffolk</v>
      </c>
      <c r="AO109" s="120" t="str">
        <f>IFERROR(VLOOKUP(Table1[RespondentID],'All Data'!$A$3:$CO$999,90,FALSE),"unknown")</f>
        <v>Smithtown, 11787</v>
      </c>
      <c r="AP109" s="120" t="str">
        <f>IFERROR(VLOOKUP(Table1[RespondentID],'All Data'!$A$3:$CO$999,91,FALSE),"unknown")</f>
        <v>White</v>
      </c>
      <c r="AQ109" s="120">
        <f>IFERROR(VLOOKUP(Table1[RespondentID],'All Data'!$A$3:$CO$999,92,FALSE),"unknown")</f>
        <v>0</v>
      </c>
      <c r="AR109" s="120" t="str">
        <f>IFERROR(VLOOKUP(Table1[RespondentID],'All Data'!$A$3:$CO$999,93,FALSE),"unknown")</f>
        <v>English</v>
      </c>
      <c r="AS109" s="120" t="str">
        <f>IFERROR(VLOOKUP(Table1[RespondentID],'All Data'!$A$3:$CW$999,94,FALSE),"unknown")</f>
        <v>Over $125,000</v>
      </c>
      <c r="AT109" s="120" t="str">
        <f>IFERROR(VLOOKUP(Table1[RespondentID],'All Data'!$A$3:$CW$999,95,FALSE),"unknown")</f>
        <v>Technical school</v>
      </c>
      <c r="AU109" s="120" t="str">
        <f>IFERROR(VLOOKUP(Table1[RespondentID],'All Data'!$A$3:$CW$999,96,FALSE),"unknown")</f>
        <v>Self-employed</v>
      </c>
      <c r="AV109" s="120" t="str">
        <f>IFERROR(VLOOKUP(Table1[RespondentID],'All Data'!$A$3:$CW$999,97,FALSE),"unknown")</f>
        <v>Yes</v>
      </c>
      <c r="AW109" s="120">
        <f>IFERROR(VLOOKUP(Table1[RespondentID],'All Data'!$A$3:$CW$999,98,FALSE),"unknown")</f>
        <v>0</v>
      </c>
      <c r="AX109" s="120">
        <f>IFERROR(VLOOKUP(Table1[RespondentID],'All Data'!$A$3:$CW$999,99,FALSE),"unknown")</f>
        <v>0</v>
      </c>
    </row>
    <row r="110" spans="1:50">
      <c r="A110" s="5">
        <v>18022878031</v>
      </c>
      <c r="B110" s="5"/>
      <c r="C110" s="5"/>
      <c r="D110" s="5"/>
      <c r="E110" s="5"/>
      <c r="F110" s="5"/>
      <c r="G110" s="5"/>
      <c r="H110" s="5"/>
      <c r="I110" s="5"/>
      <c r="J110" s="5"/>
      <c r="K110" s="5"/>
      <c r="L110" s="5" t="s">
        <v>26</v>
      </c>
      <c r="M110" s="5"/>
      <c r="N110" s="5" t="s">
        <v>28</v>
      </c>
      <c r="O110" s="7"/>
      <c r="P110" s="7">
        <f t="shared" si="18"/>
        <v>2</v>
      </c>
      <c r="Q110" s="7">
        <f t="shared" si="19"/>
        <v>1.5</v>
      </c>
      <c r="R110" s="7"/>
      <c r="S110" s="7">
        <f t="shared" si="35"/>
        <v>0</v>
      </c>
      <c r="T110" s="7">
        <f t="shared" si="20"/>
        <v>0</v>
      </c>
      <c r="U110" s="7">
        <f t="shared" si="21"/>
        <v>0</v>
      </c>
      <c r="V110" s="119">
        <f t="shared" si="22"/>
        <v>0</v>
      </c>
      <c r="W110" s="119">
        <f t="shared" si="23"/>
        <v>0</v>
      </c>
      <c r="X110" s="119">
        <f t="shared" si="24"/>
        <v>0</v>
      </c>
      <c r="Y110" s="119">
        <f t="shared" si="25"/>
        <v>0</v>
      </c>
      <c r="Z110" s="119">
        <f t="shared" si="26"/>
        <v>0</v>
      </c>
      <c r="AA110" s="119">
        <f t="shared" si="27"/>
        <v>0</v>
      </c>
      <c r="AB110" s="119">
        <f t="shared" si="28"/>
        <v>0</v>
      </c>
      <c r="AC110" s="119">
        <f t="shared" si="29"/>
        <v>1</v>
      </c>
      <c r="AD110" s="119">
        <f t="shared" si="30"/>
        <v>0</v>
      </c>
      <c r="AE110" s="119">
        <f t="shared" si="31"/>
        <v>1</v>
      </c>
      <c r="AF110" s="7"/>
      <c r="AG110" s="7"/>
      <c r="AH110" s="7">
        <f t="shared" si="32"/>
        <v>2</v>
      </c>
      <c r="AI110" s="7">
        <f t="shared" si="33"/>
        <v>2</v>
      </c>
      <c r="AJ110" s="7" t="str">
        <f t="shared" si="34"/>
        <v>Correct</v>
      </c>
      <c r="AL110" s="120" t="str">
        <f>IFERROR(VLOOKUP(Table1[RespondentID],'All Data'!$A$3:$CO$999,87,FALSE),"unknown")</f>
        <v>Man</v>
      </c>
      <c r="AM110" s="120">
        <f>IFERROR(VLOOKUP(Table1[RespondentID],'All Data'!$A$3:$CO$999,88,FALSE),"unknown")</f>
        <v>23</v>
      </c>
      <c r="AN110" s="120" t="str">
        <f>IFERROR(VLOOKUP(Table1[RespondentID],'All Data'!$A$3:$CO$999,89,FALSE),"unknown")</f>
        <v>Suffolk</v>
      </c>
      <c r="AO110" s="120" t="str">
        <f>IFERROR(VLOOKUP(Table1[RespondentID],'All Data'!$A$3:$CO$999,90,FALSE),"unknown")</f>
        <v>Selden, 11784</v>
      </c>
      <c r="AP110" s="120" t="str">
        <f>IFERROR(VLOOKUP(Table1[RespondentID],'All Data'!$A$3:$CO$999,91,FALSE),"unknown")</f>
        <v>White</v>
      </c>
      <c r="AQ110" s="120" t="str">
        <f>IFERROR(VLOOKUP(Table1[RespondentID],'All Data'!$A$3:$CO$999,92,FALSE),"unknown")</f>
        <v>Hispanic or Latino</v>
      </c>
      <c r="AR110" s="120" t="str">
        <f>IFERROR(VLOOKUP(Table1[RespondentID],'All Data'!$A$3:$CO$999,93,FALSE),"unknown")</f>
        <v>English</v>
      </c>
      <c r="AS110" s="120" t="str">
        <f>IFERROR(VLOOKUP(Table1[RespondentID],'All Data'!$A$3:$CW$999,94,FALSE),"unknown")</f>
        <v>$35,000 to $49,999</v>
      </c>
      <c r="AT110" s="120" t="str">
        <f>IFERROR(VLOOKUP(Table1[RespondentID],'All Data'!$A$3:$CW$999,95,FALSE),"unknown")</f>
        <v>Some college</v>
      </c>
      <c r="AU110" s="120" t="str">
        <f>IFERROR(VLOOKUP(Table1[RespondentID],'All Data'!$A$3:$CW$999,96,FALSE),"unknown")</f>
        <v>Student</v>
      </c>
      <c r="AV110" s="120" t="str">
        <f>IFERROR(VLOOKUP(Table1[RespondentID],'All Data'!$A$3:$CW$999,97,FALSE),"unknown")</f>
        <v>Yes</v>
      </c>
      <c r="AW110" s="120">
        <f>IFERROR(VLOOKUP(Table1[RespondentID],'All Data'!$A$3:$CW$999,98,FALSE),"unknown")</f>
        <v>0</v>
      </c>
      <c r="AX110" s="120">
        <f>IFERROR(VLOOKUP(Table1[RespondentID],'All Data'!$A$3:$CW$999,99,FALSE),"unknown")</f>
        <v>0</v>
      </c>
    </row>
    <row r="111" spans="1:50">
      <c r="A111" s="5">
        <v>18022877886</v>
      </c>
      <c r="B111" s="5"/>
      <c r="C111" s="5"/>
      <c r="D111" s="5"/>
      <c r="E111" s="5"/>
      <c r="F111" s="5"/>
      <c r="G111" s="5"/>
      <c r="H111" s="5"/>
      <c r="I111" s="5" t="s">
        <v>23</v>
      </c>
      <c r="J111" s="5"/>
      <c r="K111" s="5" t="s">
        <v>25</v>
      </c>
      <c r="L111" s="5" t="s">
        <v>26</v>
      </c>
      <c r="M111" s="5"/>
      <c r="N111" s="5"/>
      <c r="O111" s="7"/>
      <c r="P111" s="7">
        <f t="shared" si="18"/>
        <v>3</v>
      </c>
      <c r="Q111" s="7">
        <f t="shared" si="19"/>
        <v>1</v>
      </c>
      <c r="R111" s="7"/>
      <c r="S111" s="7">
        <f t="shared" si="35"/>
        <v>0</v>
      </c>
      <c r="T111" s="7">
        <f t="shared" si="20"/>
        <v>0</v>
      </c>
      <c r="U111" s="7">
        <f t="shared" si="21"/>
        <v>0</v>
      </c>
      <c r="V111" s="119">
        <f t="shared" si="22"/>
        <v>0</v>
      </c>
      <c r="W111" s="119">
        <f t="shared" si="23"/>
        <v>0</v>
      </c>
      <c r="X111" s="119">
        <f t="shared" si="24"/>
        <v>0</v>
      </c>
      <c r="Y111" s="119">
        <f t="shared" si="25"/>
        <v>0</v>
      </c>
      <c r="Z111" s="119">
        <f t="shared" si="26"/>
        <v>1</v>
      </c>
      <c r="AA111" s="119">
        <f t="shared" si="27"/>
        <v>0</v>
      </c>
      <c r="AB111" s="119">
        <f t="shared" si="28"/>
        <v>1</v>
      </c>
      <c r="AC111" s="119">
        <f t="shared" si="29"/>
        <v>1</v>
      </c>
      <c r="AD111" s="119">
        <f t="shared" si="30"/>
        <v>0</v>
      </c>
      <c r="AE111" s="119">
        <f t="shared" si="31"/>
        <v>0</v>
      </c>
      <c r="AF111" s="7"/>
      <c r="AG111" s="7"/>
      <c r="AH111" s="7">
        <f t="shared" si="32"/>
        <v>3</v>
      </c>
      <c r="AI111" s="7">
        <f t="shared" si="33"/>
        <v>3</v>
      </c>
      <c r="AJ111" s="7" t="str">
        <f t="shared" si="34"/>
        <v>Correct</v>
      </c>
      <c r="AL111" s="120" t="str">
        <f>IFERROR(VLOOKUP(Table1[RespondentID],'All Data'!$A$3:$CO$999,87,FALSE),"unknown")</f>
        <v>Man</v>
      </c>
      <c r="AM111" s="120">
        <f>IFERROR(VLOOKUP(Table1[RespondentID],'All Data'!$A$3:$CO$999,88,FALSE),"unknown")</f>
        <v>18</v>
      </c>
      <c r="AN111" s="120" t="str">
        <f>IFERROR(VLOOKUP(Table1[RespondentID],'All Data'!$A$3:$CO$999,89,FALSE),"unknown")</f>
        <v>Suffolk</v>
      </c>
      <c r="AO111" s="120" t="str">
        <f>IFERROR(VLOOKUP(Table1[RespondentID],'All Data'!$A$3:$CO$999,90,FALSE),"unknown")</f>
        <v>Centereach, 11720</v>
      </c>
      <c r="AP111" s="120" t="str">
        <f>IFERROR(VLOOKUP(Table1[RespondentID],'All Data'!$A$3:$CO$999,91,FALSE),"unknown")</f>
        <v>White</v>
      </c>
      <c r="AQ111" s="120" t="str">
        <f>IFERROR(VLOOKUP(Table1[RespondentID],'All Data'!$A$3:$CO$999,92,FALSE),"unknown")</f>
        <v>Hispanic or Latino</v>
      </c>
      <c r="AR111" s="120" t="str">
        <f>IFERROR(VLOOKUP(Table1[RespondentID],'All Data'!$A$3:$CO$999,93,FALSE),"unknown")</f>
        <v>English</v>
      </c>
      <c r="AS111" s="120" t="str">
        <f>IFERROR(VLOOKUP(Table1[RespondentID],'All Data'!$A$3:$CW$999,94,FALSE),"unknown")</f>
        <v>$75,000 to $125,000</v>
      </c>
      <c r="AT111" s="120" t="str">
        <f>IFERROR(VLOOKUP(Table1[RespondentID],'All Data'!$A$3:$CW$999,95,FALSE),"unknown")</f>
        <v>College graduate</v>
      </c>
      <c r="AU111" s="120" t="str">
        <f>IFERROR(VLOOKUP(Table1[RespondentID],'All Data'!$A$3:$CW$999,96,FALSE),"unknown")</f>
        <v>Student</v>
      </c>
      <c r="AV111" s="120" t="str">
        <f>IFERROR(VLOOKUP(Table1[RespondentID],'All Data'!$A$3:$CW$999,97,FALSE),"unknown")</f>
        <v>Yes</v>
      </c>
      <c r="AW111" s="120">
        <f>IFERROR(VLOOKUP(Table1[RespondentID],'All Data'!$A$3:$CW$999,98,FALSE),"unknown")</f>
        <v>0</v>
      </c>
      <c r="AX111" s="120">
        <f>IFERROR(VLOOKUP(Table1[RespondentID],'All Data'!$A$3:$CW$999,99,FALSE),"unknown")</f>
        <v>0</v>
      </c>
    </row>
    <row r="112" spans="1:50">
      <c r="A112" s="5">
        <v>18022877779</v>
      </c>
      <c r="B112" s="5"/>
      <c r="C112" s="5"/>
      <c r="D112" s="5"/>
      <c r="E112" s="5"/>
      <c r="F112" s="5"/>
      <c r="G112" s="5"/>
      <c r="H112" s="5"/>
      <c r="I112" s="5"/>
      <c r="J112" s="5"/>
      <c r="K112" s="5" t="s">
        <v>25</v>
      </c>
      <c r="L112" s="5"/>
      <c r="M112" s="5"/>
      <c r="N112" s="5"/>
      <c r="O112" s="7"/>
      <c r="P112" s="7">
        <f t="shared" si="18"/>
        <v>1</v>
      </c>
      <c r="Q112" s="7">
        <f t="shared" si="19"/>
        <v>3</v>
      </c>
      <c r="R112" s="7"/>
      <c r="S112" s="7">
        <f t="shared" si="35"/>
        <v>0</v>
      </c>
      <c r="T112" s="7">
        <f t="shared" si="20"/>
        <v>0</v>
      </c>
      <c r="U112" s="7">
        <f t="shared" si="21"/>
        <v>0</v>
      </c>
      <c r="V112" s="119">
        <f t="shared" si="22"/>
        <v>0</v>
      </c>
      <c r="W112" s="119">
        <f t="shared" si="23"/>
        <v>0</v>
      </c>
      <c r="X112" s="119">
        <f t="shared" si="24"/>
        <v>0</v>
      </c>
      <c r="Y112" s="119">
        <f t="shared" si="25"/>
        <v>0</v>
      </c>
      <c r="Z112" s="119">
        <f t="shared" si="26"/>
        <v>0</v>
      </c>
      <c r="AA112" s="119">
        <f t="shared" si="27"/>
        <v>0</v>
      </c>
      <c r="AB112" s="119">
        <f t="shared" si="28"/>
        <v>1</v>
      </c>
      <c r="AC112" s="119">
        <f t="shared" si="29"/>
        <v>0</v>
      </c>
      <c r="AD112" s="119">
        <f t="shared" si="30"/>
        <v>0</v>
      </c>
      <c r="AE112" s="119">
        <f t="shared" si="31"/>
        <v>0</v>
      </c>
      <c r="AF112" s="7"/>
      <c r="AG112" s="7"/>
      <c r="AH112" s="7">
        <f t="shared" si="32"/>
        <v>1</v>
      </c>
      <c r="AI112" s="7">
        <f t="shared" si="33"/>
        <v>1</v>
      </c>
      <c r="AJ112" s="7" t="str">
        <f t="shared" si="34"/>
        <v>Correct</v>
      </c>
      <c r="AL112" s="120">
        <f>IFERROR(VLOOKUP(Table1[RespondentID],'All Data'!$A$3:$CO$999,87,FALSE),"unknown")</f>
        <v>0</v>
      </c>
      <c r="AM112" s="120">
        <f>IFERROR(VLOOKUP(Table1[RespondentID],'All Data'!$A$3:$CO$999,88,FALSE),"unknown")</f>
        <v>21</v>
      </c>
      <c r="AN112" s="120" t="str">
        <f>IFERROR(VLOOKUP(Table1[RespondentID],'All Data'!$A$3:$CO$999,89,FALSE),"unknown")</f>
        <v>Suffolk</v>
      </c>
      <c r="AO112" s="120" t="str">
        <f>IFERROR(VLOOKUP(Table1[RespondentID],'All Data'!$A$3:$CO$999,90,FALSE),"unknown")</f>
        <v>Saint James, 11780</v>
      </c>
      <c r="AP112" s="120" t="str">
        <f>IFERROR(VLOOKUP(Table1[RespondentID],'All Data'!$A$3:$CO$999,91,FALSE),"unknown")</f>
        <v>White</v>
      </c>
      <c r="AQ112" s="120">
        <f>IFERROR(VLOOKUP(Table1[RespondentID],'All Data'!$A$3:$CO$999,92,FALSE),"unknown")</f>
        <v>0</v>
      </c>
      <c r="AR112" s="120" t="str">
        <f>IFERROR(VLOOKUP(Table1[RespondentID],'All Data'!$A$3:$CO$999,93,FALSE),"unknown")</f>
        <v>English</v>
      </c>
      <c r="AS112" s="120" t="str">
        <f>IFERROR(VLOOKUP(Table1[RespondentID],'All Data'!$A$3:$CW$999,94,FALSE),"unknown")</f>
        <v>$75,000 to $125,000</v>
      </c>
      <c r="AT112" s="120" t="str">
        <f>IFERROR(VLOOKUP(Table1[RespondentID],'All Data'!$A$3:$CW$999,95,FALSE),"unknown")</f>
        <v>Technical school</v>
      </c>
      <c r="AU112" s="120" t="str">
        <f>IFERROR(VLOOKUP(Table1[RespondentID],'All Data'!$A$3:$CW$999,96,FALSE),"unknown")</f>
        <v>Employed for wages</v>
      </c>
      <c r="AV112" s="120" t="str">
        <f>IFERROR(VLOOKUP(Table1[RespondentID],'All Data'!$A$3:$CW$999,97,FALSE),"unknown")</f>
        <v>Yes</v>
      </c>
      <c r="AW112" s="120">
        <f>IFERROR(VLOOKUP(Table1[RespondentID],'All Data'!$A$3:$CW$999,98,FALSE),"unknown")</f>
        <v>0</v>
      </c>
      <c r="AX112" s="120">
        <f>IFERROR(VLOOKUP(Table1[RespondentID],'All Data'!$A$3:$CW$999,99,FALSE),"unknown")</f>
        <v>0</v>
      </c>
    </row>
    <row r="113" spans="1:50">
      <c r="A113" s="5">
        <v>18022877531</v>
      </c>
      <c r="B113" s="5"/>
      <c r="C113" s="5"/>
      <c r="D113" s="5"/>
      <c r="E113" s="5"/>
      <c r="F113" s="5"/>
      <c r="G113" s="5"/>
      <c r="H113" s="5"/>
      <c r="I113" s="5"/>
      <c r="J113" s="5"/>
      <c r="K113" s="5"/>
      <c r="L113" s="5" t="s">
        <v>26</v>
      </c>
      <c r="M113" s="5"/>
      <c r="N113" s="5"/>
      <c r="O113" s="7"/>
      <c r="P113" s="7">
        <f t="shared" si="18"/>
        <v>1</v>
      </c>
      <c r="Q113" s="7">
        <f t="shared" si="19"/>
        <v>3</v>
      </c>
      <c r="R113" s="7"/>
      <c r="S113" s="7">
        <f t="shared" si="35"/>
        <v>0</v>
      </c>
      <c r="T113" s="7">
        <f t="shared" si="20"/>
        <v>0</v>
      </c>
      <c r="U113" s="7">
        <f t="shared" si="21"/>
        <v>0</v>
      </c>
      <c r="V113" s="119">
        <f t="shared" si="22"/>
        <v>0</v>
      </c>
      <c r="W113" s="119">
        <f t="shared" si="23"/>
        <v>0</v>
      </c>
      <c r="X113" s="119">
        <f t="shared" si="24"/>
        <v>0</v>
      </c>
      <c r="Y113" s="119">
        <f t="shared" si="25"/>
        <v>0</v>
      </c>
      <c r="Z113" s="119">
        <f t="shared" si="26"/>
        <v>0</v>
      </c>
      <c r="AA113" s="119">
        <f t="shared" si="27"/>
        <v>0</v>
      </c>
      <c r="AB113" s="119">
        <f t="shared" si="28"/>
        <v>0</v>
      </c>
      <c r="AC113" s="119">
        <f t="shared" si="29"/>
        <v>1</v>
      </c>
      <c r="AD113" s="119">
        <f t="shared" si="30"/>
        <v>0</v>
      </c>
      <c r="AE113" s="119">
        <f t="shared" si="31"/>
        <v>0</v>
      </c>
      <c r="AF113" s="7"/>
      <c r="AG113" s="7"/>
      <c r="AH113" s="7">
        <f t="shared" si="32"/>
        <v>1</v>
      </c>
      <c r="AI113" s="7">
        <f t="shared" si="33"/>
        <v>1</v>
      </c>
      <c r="AJ113" s="7" t="str">
        <f t="shared" si="34"/>
        <v>Correct</v>
      </c>
      <c r="AL113" s="120" t="str">
        <f>IFERROR(VLOOKUP(Table1[RespondentID],'All Data'!$A$3:$CO$999,87,FALSE),"unknown")</f>
        <v>Man</v>
      </c>
      <c r="AM113" s="120">
        <f>IFERROR(VLOOKUP(Table1[RespondentID],'All Data'!$A$3:$CO$999,88,FALSE),"unknown")</f>
        <v>37</v>
      </c>
      <c r="AN113" s="120" t="str">
        <f>IFERROR(VLOOKUP(Table1[RespondentID],'All Data'!$A$3:$CO$999,89,FALSE),"unknown")</f>
        <v>Suffolk</v>
      </c>
      <c r="AO113" s="120" t="str">
        <f>IFERROR(VLOOKUP(Table1[RespondentID],'All Data'!$A$3:$CO$999,90,FALSE),"unknown")</f>
        <v>Smithtown, 11787</v>
      </c>
      <c r="AP113" s="120" t="str">
        <f>IFERROR(VLOOKUP(Table1[RespondentID],'All Data'!$A$3:$CO$999,91,FALSE),"unknown")</f>
        <v>White</v>
      </c>
      <c r="AQ113" s="120" t="str">
        <f>IFERROR(VLOOKUP(Table1[RespondentID],'All Data'!$A$3:$CO$999,92,FALSE),"unknown")</f>
        <v>Hispanic or Latino</v>
      </c>
      <c r="AR113" s="120" t="str">
        <f>IFERROR(VLOOKUP(Table1[RespondentID],'All Data'!$A$3:$CO$999,93,FALSE),"unknown")</f>
        <v>English</v>
      </c>
      <c r="AS113" s="120" t="str">
        <f>IFERROR(VLOOKUP(Table1[RespondentID],'All Data'!$A$3:$CW$999,94,FALSE),"unknown")</f>
        <v>$75,000 to $125,000</v>
      </c>
      <c r="AT113" s="120" t="str">
        <f>IFERROR(VLOOKUP(Table1[RespondentID],'All Data'!$A$3:$CW$999,95,FALSE),"unknown")</f>
        <v>High school graduate</v>
      </c>
      <c r="AU113" s="120" t="str">
        <f>IFERROR(VLOOKUP(Table1[RespondentID],'All Data'!$A$3:$CW$999,96,FALSE),"unknown")</f>
        <v>Self-employed</v>
      </c>
      <c r="AV113" s="120" t="str">
        <f>IFERROR(VLOOKUP(Table1[RespondentID],'All Data'!$A$3:$CW$999,97,FALSE),"unknown")</f>
        <v>No</v>
      </c>
      <c r="AW113" s="120">
        <f>IFERROR(VLOOKUP(Table1[RespondentID],'All Data'!$A$3:$CW$999,98,FALSE),"unknown")</f>
        <v>0</v>
      </c>
      <c r="AX113" s="120">
        <f>IFERROR(VLOOKUP(Table1[RespondentID],'All Data'!$A$3:$CW$999,99,FALSE),"unknown")</f>
        <v>0</v>
      </c>
    </row>
    <row r="114" spans="1:50">
      <c r="A114" s="5">
        <v>18022877402</v>
      </c>
      <c r="B114" s="5"/>
      <c r="C114" s="5" t="s">
        <v>17</v>
      </c>
      <c r="D114" s="5"/>
      <c r="E114" s="5"/>
      <c r="F114" s="5"/>
      <c r="G114" s="5" t="s">
        <v>21</v>
      </c>
      <c r="H114" s="5"/>
      <c r="I114" s="5"/>
      <c r="J114" s="5"/>
      <c r="K114" s="5"/>
      <c r="L114" s="5" t="s">
        <v>26</v>
      </c>
      <c r="M114" s="5"/>
      <c r="N114" s="5"/>
      <c r="O114" s="7"/>
      <c r="P114" s="7">
        <f t="shared" si="18"/>
        <v>3</v>
      </c>
      <c r="Q114" s="7">
        <f t="shared" si="19"/>
        <v>1</v>
      </c>
      <c r="R114" s="7"/>
      <c r="S114" s="7">
        <f t="shared" si="35"/>
        <v>0</v>
      </c>
      <c r="T114" s="7">
        <f t="shared" si="20"/>
        <v>1</v>
      </c>
      <c r="U114" s="7">
        <f t="shared" si="21"/>
        <v>0</v>
      </c>
      <c r="V114" s="119">
        <f t="shared" si="22"/>
        <v>0</v>
      </c>
      <c r="W114" s="119">
        <f t="shared" si="23"/>
        <v>0</v>
      </c>
      <c r="X114" s="119">
        <f t="shared" si="24"/>
        <v>1</v>
      </c>
      <c r="Y114" s="119">
        <f t="shared" si="25"/>
        <v>0</v>
      </c>
      <c r="Z114" s="119">
        <f t="shared" si="26"/>
        <v>0</v>
      </c>
      <c r="AA114" s="119">
        <f t="shared" si="27"/>
        <v>0</v>
      </c>
      <c r="AB114" s="119">
        <f t="shared" si="28"/>
        <v>0</v>
      </c>
      <c r="AC114" s="119">
        <f t="shared" si="29"/>
        <v>1</v>
      </c>
      <c r="AD114" s="119">
        <f t="shared" si="30"/>
        <v>0</v>
      </c>
      <c r="AE114" s="119">
        <f t="shared" si="31"/>
        <v>0</v>
      </c>
      <c r="AF114" s="7"/>
      <c r="AG114" s="7"/>
      <c r="AH114" s="7">
        <f t="shared" si="32"/>
        <v>3</v>
      </c>
      <c r="AI114" s="7">
        <f t="shared" si="33"/>
        <v>3</v>
      </c>
      <c r="AJ114" s="7" t="str">
        <f t="shared" si="34"/>
        <v>Correct</v>
      </c>
      <c r="AL114" s="120" t="str">
        <f>IFERROR(VLOOKUP(Table1[RespondentID],'All Data'!$A$3:$CO$999,87,FALSE),"unknown")</f>
        <v>Man</v>
      </c>
      <c r="AM114" s="120">
        <f>IFERROR(VLOOKUP(Table1[RespondentID],'All Data'!$A$3:$CO$999,88,FALSE),"unknown")</f>
        <v>32</v>
      </c>
      <c r="AN114" s="120" t="str">
        <f>IFERROR(VLOOKUP(Table1[RespondentID],'All Data'!$A$3:$CO$999,89,FALSE),"unknown")</f>
        <v>Suffolk</v>
      </c>
      <c r="AO114" s="120" t="str">
        <f>IFERROR(VLOOKUP(Table1[RespondentID],'All Data'!$A$3:$CO$999,90,FALSE),"unknown")</f>
        <v>Smithtown, 11787</v>
      </c>
      <c r="AP114" s="120" t="str">
        <f>IFERROR(VLOOKUP(Table1[RespondentID],'All Data'!$A$3:$CO$999,91,FALSE),"unknown")</f>
        <v>White</v>
      </c>
      <c r="AQ114" s="120" t="str">
        <f>IFERROR(VLOOKUP(Table1[RespondentID],'All Data'!$A$3:$CO$999,92,FALSE),"unknown")</f>
        <v>Hispanic or Latino</v>
      </c>
      <c r="AR114" s="120" t="str">
        <f>IFERROR(VLOOKUP(Table1[RespondentID],'All Data'!$A$3:$CO$999,93,FALSE),"unknown")</f>
        <v>English</v>
      </c>
      <c r="AS114" s="120" t="str">
        <f>IFERROR(VLOOKUP(Table1[RespondentID],'All Data'!$A$3:$CW$999,94,FALSE),"unknown")</f>
        <v>$35,000 to $49,999</v>
      </c>
      <c r="AT114" s="120">
        <f>IFERROR(VLOOKUP(Table1[RespondentID],'All Data'!$A$3:$CW$999,95,FALSE),"unknown")</f>
        <v>0</v>
      </c>
      <c r="AU114" s="120" t="str">
        <f>IFERROR(VLOOKUP(Table1[RespondentID],'All Data'!$A$3:$CW$999,96,FALSE),"unknown")</f>
        <v>Employed for wages</v>
      </c>
      <c r="AV114" s="120" t="str">
        <f>IFERROR(VLOOKUP(Table1[RespondentID],'All Data'!$A$3:$CW$999,97,FALSE),"unknown")</f>
        <v>No</v>
      </c>
      <c r="AW114" s="120">
        <f>IFERROR(VLOOKUP(Table1[RespondentID],'All Data'!$A$3:$CW$999,98,FALSE),"unknown")</f>
        <v>0</v>
      </c>
      <c r="AX114" s="120">
        <f>IFERROR(VLOOKUP(Table1[RespondentID],'All Data'!$A$3:$CW$999,99,FALSE),"unknown")</f>
        <v>0</v>
      </c>
    </row>
    <row r="115" spans="1:50">
      <c r="A115" s="5">
        <v>18022877220</v>
      </c>
      <c r="B115" s="5"/>
      <c r="C115" s="5" t="s">
        <v>17</v>
      </c>
      <c r="D115" s="5"/>
      <c r="E115" s="5"/>
      <c r="F115" s="5"/>
      <c r="G115" s="5"/>
      <c r="H115" s="5"/>
      <c r="I115" s="5"/>
      <c r="J115" s="5"/>
      <c r="K115" s="5"/>
      <c r="L115" s="5" t="s">
        <v>26</v>
      </c>
      <c r="M115" s="5"/>
      <c r="N115" s="5"/>
      <c r="O115" s="7"/>
      <c r="P115" s="7">
        <f t="shared" si="18"/>
        <v>2</v>
      </c>
      <c r="Q115" s="7">
        <f t="shared" si="19"/>
        <v>1.5</v>
      </c>
      <c r="R115" s="7"/>
      <c r="S115" s="7">
        <f t="shared" si="35"/>
        <v>0</v>
      </c>
      <c r="T115" s="7">
        <f t="shared" si="20"/>
        <v>1</v>
      </c>
      <c r="U115" s="7">
        <f t="shared" si="21"/>
        <v>0</v>
      </c>
      <c r="V115" s="119">
        <f t="shared" si="22"/>
        <v>0</v>
      </c>
      <c r="W115" s="119">
        <f t="shared" si="23"/>
        <v>0</v>
      </c>
      <c r="X115" s="119">
        <f t="shared" si="24"/>
        <v>0</v>
      </c>
      <c r="Y115" s="119">
        <f t="shared" si="25"/>
        <v>0</v>
      </c>
      <c r="Z115" s="119">
        <f t="shared" si="26"/>
        <v>0</v>
      </c>
      <c r="AA115" s="119">
        <f t="shared" si="27"/>
        <v>0</v>
      </c>
      <c r="AB115" s="119">
        <f t="shared" si="28"/>
        <v>0</v>
      </c>
      <c r="AC115" s="119">
        <f t="shared" si="29"/>
        <v>1</v>
      </c>
      <c r="AD115" s="119">
        <f t="shared" si="30"/>
        <v>0</v>
      </c>
      <c r="AE115" s="119">
        <f t="shared" si="31"/>
        <v>0</v>
      </c>
      <c r="AF115" s="7"/>
      <c r="AG115" s="7"/>
      <c r="AH115" s="7">
        <f t="shared" si="32"/>
        <v>2</v>
      </c>
      <c r="AI115" s="7">
        <f t="shared" si="33"/>
        <v>2</v>
      </c>
      <c r="AJ115" s="7" t="str">
        <f t="shared" si="34"/>
        <v>Correct</v>
      </c>
      <c r="AL115" s="120" t="str">
        <f>IFERROR(VLOOKUP(Table1[RespondentID],'All Data'!$A$3:$CO$999,87,FALSE),"unknown")</f>
        <v>Man</v>
      </c>
      <c r="AM115" s="120">
        <f>IFERROR(VLOOKUP(Table1[RespondentID],'All Data'!$A$3:$CO$999,88,FALSE),"unknown")</f>
        <v>63</v>
      </c>
      <c r="AN115" s="120" t="str">
        <f>IFERROR(VLOOKUP(Table1[RespondentID],'All Data'!$A$3:$CO$999,89,FALSE),"unknown")</f>
        <v>Suffolk</v>
      </c>
      <c r="AO115" s="120" t="str">
        <f>IFERROR(VLOOKUP(Table1[RespondentID],'All Data'!$A$3:$CO$999,90,FALSE),"unknown")</f>
        <v>Kings Park, 11754</v>
      </c>
      <c r="AP115" s="120" t="str">
        <f>IFERROR(VLOOKUP(Table1[RespondentID],'All Data'!$A$3:$CO$999,91,FALSE),"unknown")</f>
        <v>White</v>
      </c>
      <c r="AQ115" s="120" t="str">
        <f>IFERROR(VLOOKUP(Table1[RespondentID],'All Data'!$A$3:$CO$999,92,FALSE),"unknown")</f>
        <v>Hispanic or Latino</v>
      </c>
      <c r="AR115" s="120" t="str">
        <f>IFERROR(VLOOKUP(Table1[RespondentID],'All Data'!$A$3:$CO$999,93,FALSE),"unknown")</f>
        <v>English</v>
      </c>
      <c r="AS115" s="120" t="str">
        <f>IFERROR(VLOOKUP(Table1[RespondentID],'All Data'!$A$3:$CW$999,94,FALSE),"unknown")</f>
        <v>Over $125,000</v>
      </c>
      <c r="AT115" s="120" t="str">
        <f>IFERROR(VLOOKUP(Table1[RespondentID],'All Data'!$A$3:$CW$999,95,FALSE),"unknown")</f>
        <v>High school graduate</v>
      </c>
      <c r="AU115" s="120" t="str">
        <f>IFERROR(VLOOKUP(Table1[RespondentID],'All Data'!$A$3:$CW$999,96,FALSE),"unknown")</f>
        <v>Retired</v>
      </c>
      <c r="AV115" s="120" t="str">
        <f>IFERROR(VLOOKUP(Table1[RespondentID],'All Data'!$A$3:$CW$999,97,FALSE),"unknown")</f>
        <v>Yes</v>
      </c>
      <c r="AW115" s="120">
        <f>IFERROR(VLOOKUP(Table1[RespondentID],'All Data'!$A$3:$CW$999,98,FALSE),"unknown")</f>
        <v>0</v>
      </c>
      <c r="AX115" s="120">
        <f>IFERROR(VLOOKUP(Table1[RespondentID],'All Data'!$A$3:$CW$999,99,FALSE),"unknown")</f>
        <v>0</v>
      </c>
    </row>
    <row r="116" spans="1:50">
      <c r="A116" s="5">
        <v>18022760139</v>
      </c>
      <c r="B116" s="5"/>
      <c r="C116" s="5"/>
      <c r="D116" s="5" t="s">
        <v>18</v>
      </c>
      <c r="E116" s="5"/>
      <c r="F116" s="5"/>
      <c r="G116" s="5"/>
      <c r="H116" s="5"/>
      <c r="I116" s="5"/>
      <c r="J116" s="5" t="s">
        <v>24</v>
      </c>
      <c r="K116" s="5"/>
      <c r="L116" s="5"/>
      <c r="M116" s="5"/>
      <c r="N116" s="5" t="s">
        <v>28</v>
      </c>
      <c r="O116" s="7"/>
      <c r="P116" s="7">
        <f t="shared" si="18"/>
        <v>3</v>
      </c>
      <c r="Q116" s="7">
        <f t="shared" si="19"/>
        <v>1</v>
      </c>
      <c r="R116" s="7"/>
      <c r="S116" s="7">
        <f t="shared" si="35"/>
        <v>0</v>
      </c>
      <c r="T116" s="7">
        <f t="shared" si="20"/>
        <v>0</v>
      </c>
      <c r="U116" s="7">
        <f t="shared" si="21"/>
        <v>1</v>
      </c>
      <c r="V116" s="119">
        <f t="shared" si="22"/>
        <v>0</v>
      </c>
      <c r="W116" s="119">
        <f t="shared" si="23"/>
        <v>0</v>
      </c>
      <c r="X116" s="119">
        <f t="shared" si="24"/>
        <v>0</v>
      </c>
      <c r="Y116" s="119">
        <f t="shared" si="25"/>
        <v>0</v>
      </c>
      <c r="Z116" s="119">
        <f t="shared" si="26"/>
        <v>0</v>
      </c>
      <c r="AA116" s="119">
        <f t="shared" si="27"/>
        <v>1</v>
      </c>
      <c r="AB116" s="119">
        <f t="shared" si="28"/>
        <v>0</v>
      </c>
      <c r="AC116" s="119">
        <f t="shared" si="29"/>
        <v>0</v>
      </c>
      <c r="AD116" s="119">
        <f t="shared" si="30"/>
        <v>0</v>
      </c>
      <c r="AE116" s="119">
        <f t="shared" si="31"/>
        <v>1</v>
      </c>
      <c r="AF116" s="7"/>
      <c r="AG116" s="7"/>
      <c r="AH116" s="7">
        <f t="shared" si="32"/>
        <v>3</v>
      </c>
      <c r="AI116" s="7">
        <f t="shared" si="33"/>
        <v>3</v>
      </c>
      <c r="AJ116" s="7" t="str">
        <f t="shared" si="34"/>
        <v>Correct</v>
      </c>
      <c r="AL116" s="120" t="str">
        <f>IFERROR(VLOOKUP(Table1[RespondentID],'All Data'!$A$3:$CO$999,87,FALSE),"unknown")</f>
        <v>Man</v>
      </c>
      <c r="AM116" s="120">
        <f>IFERROR(VLOOKUP(Table1[RespondentID],'All Data'!$A$3:$CO$999,88,FALSE),"unknown")</f>
        <v>66</v>
      </c>
      <c r="AN116" s="120" t="str">
        <f>IFERROR(VLOOKUP(Table1[RespondentID],'All Data'!$A$3:$CO$999,89,FALSE),"unknown")</f>
        <v>Nassau</v>
      </c>
      <c r="AO116" s="120" t="str">
        <f>IFERROR(VLOOKUP(Table1[RespondentID],'All Data'!$A$3:$CO$999,90,FALSE),"unknown")</f>
        <v>Merrick, 11566</v>
      </c>
      <c r="AP116" s="120" t="str">
        <f>IFERROR(VLOOKUP(Table1[RespondentID],'All Data'!$A$3:$CO$999,91,FALSE),"unknown")</f>
        <v>White</v>
      </c>
      <c r="AQ116" s="120" t="str">
        <f>IFERROR(VLOOKUP(Table1[RespondentID],'All Data'!$A$3:$CO$999,92,FALSE),"unknown")</f>
        <v>Hispanic or Latino</v>
      </c>
      <c r="AR116" s="120" t="str">
        <f>IFERROR(VLOOKUP(Table1[RespondentID],'All Data'!$A$3:$CO$999,93,FALSE),"unknown")</f>
        <v>English</v>
      </c>
      <c r="AS116" s="120" t="str">
        <f>IFERROR(VLOOKUP(Table1[RespondentID],'All Data'!$A$3:$CW$999,94,FALSE),"unknown")</f>
        <v>Over $125,000</v>
      </c>
      <c r="AT116" s="120" t="str">
        <f>IFERROR(VLOOKUP(Table1[RespondentID],'All Data'!$A$3:$CW$999,95,FALSE),"unknown")</f>
        <v>Graduate school</v>
      </c>
      <c r="AU116" s="120" t="str">
        <f>IFERROR(VLOOKUP(Table1[RespondentID],'All Data'!$A$3:$CW$999,96,FALSE),"unknown")</f>
        <v>Employed for wages</v>
      </c>
      <c r="AV116" s="120" t="str">
        <f>IFERROR(VLOOKUP(Table1[RespondentID],'All Data'!$A$3:$CW$999,97,FALSE),"unknown")</f>
        <v>Yes</v>
      </c>
      <c r="AW116" s="120" t="str">
        <f>IFERROR(VLOOKUP(Table1[RespondentID],'All Data'!$A$3:$CW$999,98,FALSE),"unknown")</f>
        <v>Medicare, Private/Commercial</v>
      </c>
      <c r="AX116" s="120" t="str">
        <f>IFERROR(VLOOKUP(Table1[RespondentID],'All Data'!$A$3:$CW$999,99,FALSE),"unknown")</f>
        <v>Yes</v>
      </c>
    </row>
    <row r="117" spans="1:50">
      <c r="A117" s="5">
        <v>18022520402</v>
      </c>
      <c r="B117" s="5"/>
      <c r="C117" s="5" t="s">
        <v>17</v>
      </c>
      <c r="D117" s="5"/>
      <c r="E117" s="5"/>
      <c r="F117" s="5"/>
      <c r="G117" s="5"/>
      <c r="H117" s="5"/>
      <c r="I117" s="5"/>
      <c r="J117" s="5"/>
      <c r="K117" s="5" t="s">
        <v>25</v>
      </c>
      <c r="L117" s="5" t="s">
        <v>26</v>
      </c>
      <c r="M117" s="5"/>
      <c r="N117" s="5"/>
      <c r="O117" s="7"/>
      <c r="P117" s="7">
        <f t="shared" si="18"/>
        <v>3</v>
      </c>
      <c r="Q117" s="7">
        <f t="shared" si="19"/>
        <v>1</v>
      </c>
      <c r="R117" s="7"/>
      <c r="S117" s="7">
        <f t="shared" si="35"/>
        <v>0</v>
      </c>
      <c r="T117" s="7">
        <f t="shared" si="20"/>
        <v>1</v>
      </c>
      <c r="U117" s="7">
        <f t="shared" si="21"/>
        <v>0</v>
      </c>
      <c r="V117" s="119">
        <f t="shared" si="22"/>
        <v>0</v>
      </c>
      <c r="W117" s="119">
        <f t="shared" si="23"/>
        <v>0</v>
      </c>
      <c r="X117" s="119">
        <f t="shared" si="24"/>
        <v>0</v>
      </c>
      <c r="Y117" s="119">
        <f t="shared" si="25"/>
        <v>0</v>
      </c>
      <c r="Z117" s="119">
        <f t="shared" si="26"/>
        <v>0</v>
      </c>
      <c r="AA117" s="119">
        <f t="shared" si="27"/>
        <v>0</v>
      </c>
      <c r="AB117" s="119">
        <f t="shared" si="28"/>
        <v>1</v>
      </c>
      <c r="AC117" s="119">
        <f t="shared" si="29"/>
        <v>1</v>
      </c>
      <c r="AD117" s="119">
        <f t="shared" si="30"/>
        <v>0</v>
      </c>
      <c r="AE117" s="119">
        <f t="shared" si="31"/>
        <v>0</v>
      </c>
      <c r="AF117" s="7"/>
      <c r="AG117" s="7"/>
      <c r="AH117" s="7">
        <f t="shared" si="32"/>
        <v>3</v>
      </c>
      <c r="AI117" s="7">
        <f t="shared" si="33"/>
        <v>3</v>
      </c>
      <c r="AJ117" s="7" t="str">
        <f t="shared" si="34"/>
        <v>Correct</v>
      </c>
      <c r="AL117" s="120" t="str">
        <f>IFERROR(VLOOKUP(Table1[RespondentID],'All Data'!$A$3:$CO$999,87,FALSE),"unknown")</f>
        <v>Man</v>
      </c>
      <c r="AM117" s="120">
        <f>IFERROR(VLOOKUP(Table1[RespondentID],'All Data'!$A$3:$CO$999,88,FALSE),"unknown")</f>
        <v>55</v>
      </c>
      <c r="AN117" s="120" t="str">
        <f>IFERROR(VLOOKUP(Table1[RespondentID],'All Data'!$A$3:$CO$999,89,FALSE),"unknown")</f>
        <v>Suffolk</v>
      </c>
      <c r="AO117" s="120" t="str">
        <f>IFERROR(VLOOKUP(Table1[RespondentID],'All Data'!$A$3:$CO$999,90,FALSE),"unknown")</f>
        <v>East Northport, 11731</v>
      </c>
      <c r="AP117" s="120" t="str">
        <f>IFERROR(VLOOKUP(Table1[RespondentID],'All Data'!$A$3:$CO$999,91,FALSE),"unknown")</f>
        <v>White</v>
      </c>
      <c r="AQ117" s="120" t="str">
        <f>IFERROR(VLOOKUP(Table1[RespondentID],'All Data'!$A$3:$CO$999,92,FALSE),"unknown")</f>
        <v>Hispanic or Latino</v>
      </c>
      <c r="AR117" s="120" t="str">
        <f>IFERROR(VLOOKUP(Table1[RespondentID],'All Data'!$A$3:$CO$999,93,FALSE),"unknown")</f>
        <v>English</v>
      </c>
      <c r="AS117" s="120" t="str">
        <f>IFERROR(VLOOKUP(Table1[RespondentID],'All Data'!$A$3:$CW$999,94,FALSE),"unknown")</f>
        <v>Over $125,000</v>
      </c>
      <c r="AT117" s="120" t="str">
        <f>IFERROR(VLOOKUP(Table1[RespondentID],'All Data'!$A$3:$CW$999,95,FALSE),"unknown")</f>
        <v>College graduate</v>
      </c>
      <c r="AU117" s="120" t="str">
        <f>IFERROR(VLOOKUP(Table1[RespondentID],'All Data'!$A$3:$CW$999,96,FALSE),"unknown")</f>
        <v>Employed for wages</v>
      </c>
      <c r="AV117" s="120" t="str">
        <f>IFERROR(VLOOKUP(Table1[RespondentID],'All Data'!$A$3:$CW$999,97,FALSE),"unknown")</f>
        <v>Yes</v>
      </c>
      <c r="AW117" s="120">
        <f>IFERROR(VLOOKUP(Table1[RespondentID],'All Data'!$A$3:$CW$999,98,FALSE),"unknown")</f>
        <v>0</v>
      </c>
      <c r="AX117" s="120">
        <f>IFERROR(VLOOKUP(Table1[RespondentID],'All Data'!$A$3:$CW$999,99,FALSE),"unknown")</f>
        <v>0</v>
      </c>
    </row>
    <row r="118" spans="1:50">
      <c r="A118" s="5">
        <v>18022520259</v>
      </c>
      <c r="B118" s="5"/>
      <c r="C118" s="5"/>
      <c r="D118" s="5"/>
      <c r="E118" s="5" t="s">
        <v>19</v>
      </c>
      <c r="F118" s="5"/>
      <c r="G118" s="5"/>
      <c r="H118" s="5"/>
      <c r="I118" s="5"/>
      <c r="J118" s="5"/>
      <c r="K118" s="5" t="s">
        <v>25</v>
      </c>
      <c r="L118" s="5"/>
      <c r="M118" s="5" t="s">
        <v>27</v>
      </c>
      <c r="N118" s="5"/>
      <c r="O118" s="7"/>
      <c r="P118" s="7">
        <f t="shared" si="18"/>
        <v>3</v>
      </c>
      <c r="Q118" s="7">
        <f t="shared" si="19"/>
        <v>1</v>
      </c>
      <c r="R118" s="7"/>
      <c r="S118" s="7">
        <f t="shared" si="35"/>
        <v>0</v>
      </c>
      <c r="T118" s="7">
        <f t="shared" si="20"/>
        <v>0</v>
      </c>
      <c r="U118" s="7">
        <f t="shared" si="21"/>
        <v>0</v>
      </c>
      <c r="V118" s="119">
        <f t="shared" si="22"/>
        <v>1</v>
      </c>
      <c r="W118" s="119">
        <f t="shared" si="23"/>
        <v>0</v>
      </c>
      <c r="X118" s="119">
        <f t="shared" si="24"/>
        <v>0</v>
      </c>
      <c r="Y118" s="119">
        <f t="shared" si="25"/>
        <v>0</v>
      </c>
      <c r="Z118" s="119">
        <f t="shared" si="26"/>
        <v>0</v>
      </c>
      <c r="AA118" s="119">
        <f t="shared" si="27"/>
        <v>0</v>
      </c>
      <c r="AB118" s="119">
        <f t="shared" si="28"/>
        <v>1</v>
      </c>
      <c r="AC118" s="119">
        <f t="shared" si="29"/>
        <v>0</v>
      </c>
      <c r="AD118" s="119">
        <f t="shared" si="30"/>
        <v>1</v>
      </c>
      <c r="AE118" s="119">
        <f t="shared" si="31"/>
        <v>0</v>
      </c>
      <c r="AF118" s="7"/>
      <c r="AG118" s="7"/>
      <c r="AH118" s="7">
        <f t="shared" si="32"/>
        <v>3</v>
      </c>
      <c r="AI118" s="7">
        <f t="shared" si="33"/>
        <v>3</v>
      </c>
      <c r="AJ118" s="7" t="str">
        <f t="shared" si="34"/>
        <v>Correct</v>
      </c>
      <c r="AL118" s="120" t="str">
        <f>IFERROR(VLOOKUP(Table1[RespondentID],'All Data'!$A$3:$CO$999,87,FALSE),"unknown")</f>
        <v>Transgender</v>
      </c>
      <c r="AM118" s="120">
        <f>IFERROR(VLOOKUP(Table1[RespondentID],'All Data'!$A$3:$CO$999,88,FALSE),"unknown")</f>
        <v>52</v>
      </c>
      <c r="AN118" s="120" t="str">
        <f>IFERROR(VLOOKUP(Table1[RespondentID],'All Data'!$A$3:$CO$999,89,FALSE),"unknown")</f>
        <v>Suffolk</v>
      </c>
      <c r="AO118" s="120" t="str">
        <f>IFERROR(VLOOKUP(Table1[RespondentID],'All Data'!$A$3:$CO$999,90,FALSE),"unknown")</f>
        <v>Commack, 11725</v>
      </c>
      <c r="AP118" s="120" t="str">
        <f>IFERROR(VLOOKUP(Table1[RespondentID],'All Data'!$A$3:$CO$999,91,FALSE),"unknown")</f>
        <v>Asian</v>
      </c>
      <c r="AQ118" s="120" t="str">
        <f>IFERROR(VLOOKUP(Table1[RespondentID],'All Data'!$A$3:$CO$999,92,FALSE),"unknown")</f>
        <v>Hispanic or Latino</v>
      </c>
      <c r="AR118" s="120" t="str">
        <f>IFERROR(VLOOKUP(Table1[RespondentID],'All Data'!$A$3:$CO$999,93,FALSE),"unknown")</f>
        <v>English, Spanish, Farsi, Polish, Korean, Hindi</v>
      </c>
      <c r="AS118" s="120" t="str">
        <f>IFERROR(VLOOKUP(Table1[RespondentID],'All Data'!$A$3:$CW$999,94,FALSE),"unknown")</f>
        <v>Over $125,000</v>
      </c>
      <c r="AT118" s="120" t="str">
        <f>IFERROR(VLOOKUP(Table1[RespondentID],'All Data'!$A$3:$CW$999,95,FALSE),"unknown")</f>
        <v>Doctorate</v>
      </c>
      <c r="AU118" s="120" t="str">
        <f>IFERROR(VLOOKUP(Table1[RespondentID],'All Data'!$A$3:$CW$999,96,FALSE),"unknown")</f>
        <v>Self-employed</v>
      </c>
      <c r="AV118" s="120" t="str">
        <f>IFERROR(VLOOKUP(Table1[RespondentID],'All Data'!$A$3:$CW$999,97,FALSE),"unknown")</f>
        <v>Yes</v>
      </c>
      <c r="AW118" s="120">
        <f>IFERROR(VLOOKUP(Table1[RespondentID],'All Data'!$A$3:$CW$999,98,FALSE),"unknown")</f>
        <v>0</v>
      </c>
      <c r="AX118" s="120">
        <f>IFERROR(VLOOKUP(Table1[RespondentID],'All Data'!$A$3:$CW$999,99,FALSE),"unknown")</f>
        <v>0</v>
      </c>
    </row>
    <row r="119" spans="1:50">
      <c r="A119" s="5">
        <v>18022520086</v>
      </c>
      <c r="B119" s="5"/>
      <c r="C119" s="5"/>
      <c r="D119" s="5"/>
      <c r="E119" s="5"/>
      <c r="F119" s="5"/>
      <c r="G119" s="5"/>
      <c r="H119" s="5"/>
      <c r="I119" s="5"/>
      <c r="J119" s="5" t="s">
        <v>24</v>
      </c>
      <c r="K119" s="5" t="s">
        <v>25</v>
      </c>
      <c r="L119" s="5" t="s">
        <v>26</v>
      </c>
      <c r="M119" s="5"/>
      <c r="N119" s="5"/>
      <c r="O119" s="7"/>
      <c r="P119" s="7">
        <f t="shared" si="18"/>
        <v>3</v>
      </c>
      <c r="Q119" s="7">
        <f t="shared" si="19"/>
        <v>1</v>
      </c>
      <c r="R119" s="7"/>
      <c r="S119" s="7">
        <f t="shared" si="35"/>
        <v>0</v>
      </c>
      <c r="T119" s="7">
        <f t="shared" si="20"/>
        <v>0</v>
      </c>
      <c r="U119" s="7">
        <f t="shared" si="21"/>
        <v>0</v>
      </c>
      <c r="V119" s="119">
        <f t="shared" si="22"/>
        <v>0</v>
      </c>
      <c r="W119" s="119">
        <f t="shared" si="23"/>
        <v>0</v>
      </c>
      <c r="X119" s="119">
        <f t="shared" si="24"/>
        <v>0</v>
      </c>
      <c r="Y119" s="119">
        <f t="shared" si="25"/>
        <v>0</v>
      </c>
      <c r="Z119" s="119">
        <f t="shared" si="26"/>
        <v>0</v>
      </c>
      <c r="AA119" s="119">
        <f t="shared" si="27"/>
        <v>1</v>
      </c>
      <c r="AB119" s="119">
        <f t="shared" si="28"/>
        <v>1</v>
      </c>
      <c r="AC119" s="119">
        <f t="shared" si="29"/>
        <v>1</v>
      </c>
      <c r="AD119" s="119">
        <f t="shared" si="30"/>
        <v>0</v>
      </c>
      <c r="AE119" s="119">
        <f t="shared" si="31"/>
        <v>0</v>
      </c>
      <c r="AF119" s="7"/>
      <c r="AG119" s="7"/>
      <c r="AH119" s="7">
        <f t="shared" si="32"/>
        <v>3</v>
      </c>
      <c r="AI119" s="7">
        <f t="shared" si="33"/>
        <v>3</v>
      </c>
      <c r="AJ119" s="7" t="str">
        <f t="shared" si="34"/>
        <v>Correct</v>
      </c>
      <c r="AL119" s="120" t="str">
        <f>IFERROR(VLOOKUP(Table1[RespondentID],'All Data'!$A$3:$CO$999,87,FALSE),"unknown")</f>
        <v>Man</v>
      </c>
      <c r="AM119" s="120">
        <f>IFERROR(VLOOKUP(Table1[RespondentID],'All Data'!$A$3:$CO$999,88,FALSE),"unknown")</f>
        <v>29</v>
      </c>
      <c r="AN119" s="120" t="str">
        <f>IFERROR(VLOOKUP(Table1[RespondentID],'All Data'!$A$3:$CO$999,89,FALSE),"unknown")</f>
        <v>Suffolk</v>
      </c>
      <c r="AO119" s="120" t="str">
        <f>IFERROR(VLOOKUP(Table1[RespondentID],'All Data'!$A$3:$CO$999,90,FALSE),"unknown")</f>
        <v>Commack, 11725</v>
      </c>
      <c r="AP119" s="120" t="str">
        <f>IFERROR(VLOOKUP(Table1[RespondentID],'All Data'!$A$3:$CO$999,91,FALSE),"unknown")</f>
        <v>American Indian and Alaska Native</v>
      </c>
      <c r="AQ119" s="120" t="str">
        <f>IFERROR(VLOOKUP(Table1[RespondentID],'All Data'!$A$3:$CO$999,92,FALSE),"unknown")</f>
        <v>Hispanic or Latino</v>
      </c>
      <c r="AR119" s="120" t="str">
        <f>IFERROR(VLOOKUP(Table1[RespondentID],'All Data'!$A$3:$CO$999,93,FALSE),"unknown")</f>
        <v>English, Spanish, Hindi</v>
      </c>
      <c r="AS119" s="120" t="str">
        <f>IFERROR(VLOOKUP(Table1[RespondentID],'All Data'!$A$3:$CW$999,94,FALSE),"unknown")</f>
        <v>Over $125,000</v>
      </c>
      <c r="AT119" s="120" t="str">
        <f>IFERROR(VLOOKUP(Table1[RespondentID],'All Data'!$A$3:$CW$999,95,FALSE),"unknown")</f>
        <v>Graduate school</v>
      </c>
      <c r="AU119" s="120" t="str">
        <f>IFERROR(VLOOKUP(Table1[RespondentID],'All Data'!$A$3:$CW$999,96,FALSE),"unknown")</f>
        <v>Employed for wages</v>
      </c>
      <c r="AV119" s="120" t="str">
        <f>IFERROR(VLOOKUP(Table1[RespondentID],'All Data'!$A$3:$CW$999,97,FALSE),"unknown")</f>
        <v>Yes</v>
      </c>
      <c r="AW119" s="120">
        <f>IFERROR(VLOOKUP(Table1[RespondentID],'All Data'!$A$3:$CW$999,98,FALSE),"unknown")</f>
        <v>0</v>
      </c>
      <c r="AX119" s="120">
        <f>IFERROR(VLOOKUP(Table1[RespondentID],'All Data'!$A$3:$CW$999,99,FALSE),"unknown")</f>
        <v>0</v>
      </c>
    </row>
    <row r="120" spans="1:50">
      <c r="A120" s="5">
        <v>18022519957</v>
      </c>
      <c r="B120" s="5" t="s">
        <v>16</v>
      </c>
      <c r="C120" s="5" t="s">
        <v>17</v>
      </c>
      <c r="D120" s="5"/>
      <c r="E120" s="5"/>
      <c r="F120" s="5"/>
      <c r="G120" s="5"/>
      <c r="H120" s="5"/>
      <c r="I120" s="5"/>
      <c r="J120" s="5"/>
      <c r="K120" s="5" t="s">
        <v>25</v>
      </c>
      <c r="L120" s="5"/>
      <c r="M120" s="5"/>
      <c r="N120" s="5"/>
      <c r="O120" s="7"/>
      <c r="P120" s="7">
        <f t="shared" si="18"/>
        <v>3</v>
      </c>
      <c r="Q120" s="7">
        <f t="shared" si="19"/>
        <v>1</v>
      </c>
      <c r="R120" s="7"/>
      <c r="S120" s="7">
        <f t="shared" si="35"/>
        <v>1</v>
      </c>
      <c r="T120" s="7">
        <f t="shared" si="20"/>
        <v>1</v>
      </c>
      <c r="U120" s="7">
        <f t="shared" si="21"/>
        <v>0</v>
      </c>
      <c r="V120" s="119">
        <f t="shared" si="22"/>
        <v>0</v>
      </c>
      <c r="W120" s="119">
        <f t="shared" si="23"/>
        <v>0</v>
      </c>
      <c r="X120" s="119">
        <f t="shared" si="24"/>
        <v>0</v>
      </c>
      <c r="Y120" s="119">
        <f t="shared" si="25"/>
        <v>0</v>
      </c>
      <c r="Z120" s="119">
        <f t="shared" si="26"/>
        <v>0</v>
      </c>
      <c r="AA120" s="119">
        <f t="shared" si="27"/>
        <v>0</v>
      </c>
      <c r="AB120" s="119">
        <f t="shared" si="28"/>
        <v>1</v>
      </c>
      <c r="AC120" s="119">
        <f t="shared" si="29"/>
        <v>0</v>
      </c>
      <c r="AD120" s="119">
        <f t="shared" si="30"/>
        <v>0</v>
      </c>
      <c r="AE120" s="119">
        <f t="shared" si="31"/>
        <v>0</v>
      </c>
      <c r="AF120" s="7"/>
      <c r="AG120" s="7"/>
      <c r="AH120" s="7">
        <f t="shared" si="32"/>
        <v>3</v>
      </c>
      <c r="AI120" s="7">
        <f t="shared" si="33"/>
        <v>3</v>
      </c>
      <c r="AJ120" s="7" t="str">
        <f t="shared" si="34"/>
        <v>Correct</v>
      </c>
      <c r="AL120" s="120" t="str">
        <f>IFERROR(VLOOKUP(Table1[RespondentID],'All Data'!$A$3:$CO$999,87,FALSE),"unknown")</f>
        <v>Man</v>
      </c>
      <c r="AM120" s="120">
        <f>IFERROR(VLOOKUP(Table1[RespondentID],'All Data'!$A$3:$CO$999,88,FALSE),"unknown")</f>
        <v>18</v>
      </c>
      <c r="AN120" s="120" t="str">
        <f>IFERROR(VLOOKUP(Table1[RespondentID],'All Data'!$A$3:$CO$999,89,FALSE),"unknown")</f>
        <v>Suffolk</v>
      </c>
      <c r="AO120" s="120" t="str">
        <f>IFERROR(VLOOKUP(Table1[RespondentID],'All Data'!$A$3:$CO$999,90,FALSE),"unknown")</f>
        <v>Dix Hills, 11746</v>
      </c>
      <c r="AP120" s="120" t="str">
        <f>IFERROR(VLOOKUP(Table1[RespondentID],'All Data'!$A$3:$CO$999,91,FALSE),"unknown")</f>
        <v>White</v>
      </c>
      <c r="AQ120" s="120" t="str">
        <f>IFERROR(VLOOKUP(Table1[RespondentID],'All Data'!$A$3:$CO$999,92,FALSE),"unknown")</f>
        <v>Hispanic or Latino</v>
      </c>
      <c r="AR120" s="120" t="str">
        <f>IFERROR(VLOOKUP(Table1[RespondentID],'All Data'!$A$3:$CO$999,93,FALSE),"unknown")</f>
        <v>English</v>
      </c>
      <c r="AS120" s="120" t="str">
        <f>IFERROR(VLOOKUP(Table1[RespondentID],'All Data'!$A$3:$CW$999,94,FALSE),"unknown")</f>
        <v>$75,000 to $125,000</v>
      </c>
      <c r="AT120" s="120" t="str">
        <f>IFERROR(VLOOKUP(Table1[RespondentID],'All Data'!$A$3:$CW$999,95,FALSE),"unknown")</f>
        <v>High school graduate</v>
      </c>
      <c r="AU120" s="120" t="str">
        <f>IFERROR(VLOOKUP(Table1[RespondentID],'All Data'!$A$3:$CW$999,96,FALSE),"unknown")</f>
        <v>Student</v>
      </c>
      <c r="AV120" s="120" t="str">
        <f>IFERROR(VLOOKUP(Table1[RespondentID],'All Data'!$A$3:$CW$999,97,FALSE),"unknown")</f>
        <v>Yes</v>
      </c>
      <c r="AW120" s="120">
        <f>IFERROR(VLOOKUP(Table1[RespondentID],'All Data'!$A$3:$CW$999,98,FALSE),"unknown")</f>
        <v>0</v>
      </c>
      <c r="AX120" s="120">
        <f>IFERROR(VLOOKUP(Table1[RespondentID],'All Data'!$A$3:$CW$999,99,FALSE),"unknown")</f>
        <v>0</v>
      </c>
    </row>
    <row r="121" spans="1:50">
      <c r="A121" s="5">
        <v>18022519838</v>
      </c>
      <c r="B121" s="5"/>
      <c r="C121" s="5"/>
      <c r="D121" s="5"/>
      <c r="E121" s="5"/>
      <c r="F121" s="5"/>
      <c r="G121" s="5"/>
      <c r="H121" s="5" t="s">
        <v>22</v>
      </c>
      <c r="I121" s="5"/>
      <c r="J121" s="5"/>
      <c r="K121" s="5" t="s">
        <v>25</v>
      </c>
      <c r="L121" s="5" t="s">
        <v>26</v>
      </c>
      <c r="M121" s="5"/>
      <c r="N121" s="5"/>
      <c r="O121" s="7"/>
      <c r="P121" s="7">
        <f t="shared" si="18"/>
        <v>3</v>
      </c>
      <c r="Q121" s="7">
        <f t="shared" si="19"/>
        <v>1</v>
      </c>
      <c r="R121" s="7"/>
      <c r="S121" s="7">
        <f t="shared" si="35"/>
        <v>0</v>
      </c>
      <c r="T121" s="7">
        <f t="shared" si="20"/>
        <v>0</v>
      </c>
      <c r="U121" s="7">
        <f t="shared" si="21"/>
        <v>0</v>
      </c>
      <c r="V121" s="119">
        <f t="shared" si="22"/>
        <v>0</v>
      </c>
      <c r="W121" s="119">
        <f t="shared" si="23"/>
        <v>0</v>
      </c>
      <c r="X121" s="119">
        <f t="shared" si="24"/>
        <v>0</v>
      </c>
      <c r="Y121" s="119">
        <f t="shared" si="25"/>
        <v>1</v>
      </c>
      <c r="Z121" s="119">
        <f t="shared" si="26"/>
        <v>0</v>
      </c>
      <c r="AA121" s="119">
        <f t="shared" si="27"/>
        <v>0</v>
      </c>
      <c r="AB121" s="119">
        <f t="shared" si="28"/>
        <v>1</v>
      </c>
      <c r="AC121" s="119">
        <f t="shared" si="29"/>
        <v>1</v>
      </c>
      <c r="AD121" s="119">
        <f t="shared" si="30"/>
        <v>0</v>
      </c>
      <c r="AE121" s="119">
        <f t="shared" si="31"/>
        <v>0</v>
      </c>
      <c r="AF121" s="7"/>
      <c r="AG121" s="7"/>
      <c r="AH121" s="7">
        <f t="shared" si="32"/>
        <v>3</v>
      </c>
      <c r="AI121" s="7">
        <f t="shared" si="33"/>
        <v>3</v>
      </c>
      <c r="AJ121" s="7" t="str">
        <f t="shared" si="34"/>
        <v>Correct</v>
      </c>
      <c r="AL121" s="120" t="str">
        <f>IFERROR(VLOOKUP(Table1[RespondentID],'All Data'!$A$3:$CO$999,87,FALSE),"unknown")</f>
        <v>Man</v>
      </c>
      <c r="AM121" s="120">
        <f>IFERROR(VLOOKUP(Table1[RespondentID],'All Data'!$A$3:$CO$999,88,FALSE),"unknown")</f>
        <v>0</v>
      </c>
      <c r="AN121" s="120" t="str">
        <f>IFERROR(VLOOKUP(Table1[RespondentID],'All Data'!$A$3:$CO$999,89,FALSE),"unknown")</f>
        <v>Suffolk</v>
      </c>
      <c r="AO121" s="120" t="str">
        <f>IFERROR(VLOOKUP(Table1[RespondentID],'All Data'!$A$3:$CO$999,90,FALSE),"unknown")</f>
        <v>Commack, 11725</v>
      </c>
      <c r="AP121" s="120" t="str">
        <f>IFERROR(VLOOKUP(Table1[RespondentID],'All Data'!$A$3:$CO$999,91,FALSE),"unknown")</f>
        <v>White</v>
      </c>
      <c r="AQ121" s="120">
        <f>IFERROR(VLOOKUP(Table1[RespondentID],'All Data'!$A$3:$CO$999,92,FALSE),"unknown")</f>
        <v>0</v>
      </c>
      <c r="AR121" s="120" t="str">
        <f>IFERROR(VLOOKUP(Table1[RespondentID],'All Data'!$A$3:$CO$999,93,FALSE),"unknown")</f>
        <v>English</v>
      </c>
      <c r="AS121" s="120">
        <f>IFERROR(VLOOKUP(Table1[RespondentID],'All Data'!$A$3:$CW$999,94,FALSE),"unknown")</f>
        <v>0</v>
      </c>
      <c r="AT121" s="120" t="str">
        <f>IFERROR(VLOOKUP(Table1[RespondentID],'All Data'!$A$3:$CW$999,95,FALSE),"unknown")</f>
        <v>College graduate</v>
      </c>
      <c r="AU121" s="120" t="str">
        <f>IFERROR(VLOOKUP(Table1[RespondentID],'All Data'!$A$3:$CW$999,96,FALSE),"unknown")</f>
        <v>Employed for wages</v>
      </c>
      <c r="AV121" s="120" t="str">
        <f>IFERROR(VLOOKUP(Table1[RespondentID],'All Data'!$A$3:$CW$999,97,FALSE),"unknown")</f>
        <v>Yes</v>
      </c>
      <c r="AW121" s="120">
        <f>IFERROR(VLOOKUP(Table1[RespondentID],'All Data'!$A$3:$CW$999,98,FALSE),"unknown")</f>
        <v>0</v>
      </c>
      <c r="AX121" s="120">
        <f>IFERROR(VLOOKUP(Table1[RespondentID],'All Data'!$A$3:$CW$999,99,FALSE),"unknown")</f>
        <v>0</v>
      </c>
    </row>
    <row r="122" spans="1:50">
      <c r="A122" s="5">
        <v>18022519606</v>
      </c>
      <c r="B122" s="5"/>
      <c r="C122" s="5"/>
      <c r="D122" s="5"/>
      <c r="E122" s="5"/>
      <c r="F122" s="5"/>
      <c r="G122" s="5"/>
      <c r="H122" s="5" t="s">
        <v>22</v>
      </c>
      <c r="I122" s="5"/>
      <c r="J122" s="5"/>
      <c r="K122" s="5" t="s">
        <v>25</v>
      </c>
      <c r="L122" s="5" t="s">
        <v>26</v>
      </c>
      <c r="M122" s="5"/>
      <c r="N122" s="5"/>
      <c r="O122" s="7"/>
      <c r="P122" s="7">
        <f t="shared" si="18"/>
        <v>3</v>
      </c>
      <c r="Q122" s="7">
        <f t="shared" si="19"/>
        <v>1</v>
      </c>
      <c r="R122" s="7"/>
      <c r="S122" s="7">
        <f t="shared" si="35"/>
        <v>0</v>
      </c>
      <c r="T122" s="7">
        <f t="shared" si="20"/>
        <v>0</v>
      </c>
      <c r="U122" s="7">
        <f t="shared" si="21"/>
        <v>0</v>
      </c>
      <c r="V122" s="119">
        <f t="shared" si="22"/>
        <v>0</v>
      </c>
      <c r="W122" s="119">
        <f t="shared" si="23"/>
        <v>0</v>
      </c>
      <c r="X122" s="119">
        <f t="shared" si="24"/>
        <v>0</v>
      </c>
      <c r="Y122" s="119">
        <f t="shared" si="25"/>
        <v>1</v>
      </c>
      <c r="Z122" s="119">
        <f t="shared" si="26"/>
        <v>0</v>
      </c>
      <c r="AA122" s="119">
        <f t="shared" si="27"/>
        <v>0</v>
      </c>
      <c r="AB122" s="119">
        <f t="shared" si="28"/>
        <v>1</v>
      </c>
      <c r="AC122" s="119">
        <f t="shared" si="29"/>
        <v>1</v>
      </c>
      <c r="AD122" s="119">
        <f t="shared" si="30"/>
        <v>0</v>
      </c>
      <c r="AE122" s="119">
        <f t="shared" si="31"/>
        <v>0</v>
      </c>
      <c r="AF122" s="7"/>
      <c r="AG122" s="7"/>
      <c r="AH122" s="7">
        <f t="shared" si="32"/>
        <v>3</v>
      </c>
      <c r="AI122" s="7">
        <f t="shared" si="33"/>
        <v>3</v>
      </c>
      <c r="AJ122" s="7" t="str">
        <f t="shared" si="34"/>
        <v>Correct</v>
      </c>
      <c r="AL122" s="120" t="str">
        <f>IFERROR(VLOOKUP(Table1[RespondentID],'All Data'!$A$3:$CO$999,87,FALSE),"unknown")</f>
        <v>Woman</v>
      </c>
      <c r="AM122" s="120">
        <f>IFERROR(VLOOKUP(Table1[RespondentID],'All Data'!$A$3:$CO$999,88,FALSE),"unknown")</f>
        <v>32</v>
      </c>
      <c r="AN122" s="120" t="str">
        <f>IFERROR(VLOOKUP(Table1[RespondentID],'All Data'!$A$3:$CO$999,89,FALSE),"unknown")</f>
        <v>Suffolk</v>
      </c>
      <c r="AO122" s="120" t="str">
        <f>IFERROR(VLOOKUP(Table1[RespondentID],'All Data'!$A$3:$CO$999,90,FALSE),"unknown")</f>
        <v>West Islip, 11795</v>
      </c>
      <c r="AP122" s="120" t="str">
        <f>IFERROR(VLOOKUP(Table1[RespondentID],'All Data'!$A$3:$CO$999,91,FALSE),"unknown")</f>
        <v>White</v>
      </c>
      <c r="AQ122" s="120" t="str">
        <f>IFERROR(VLOOKUP(Table1[RespondentID],'All Data'!$A$3:$CO$999,92,FALSE),"unknown")</f>
        <v>Hispanic or Latino</v>
      </c>
      <c r="AR122" s="120" t="str">
        <f>IFERROR(VLOOKUP(Table1[RespondentID],'All Data'!$A$3:$CO$999,93,FALSE),"unknown")</f>
        <v>English</v>
      </c>
      <c r="AS122" s="120" t="str">
        <f>IFERROR(VLOOKUP(Table1[RespondentID],'All Data'!$A$3:$CW$999,94,FALSE),"unknown")</f>
        <v>$50,000 to $74,999</v>
      </c>
      <c r="AT122" s="120" t="str">
        <f>IFERROR(VLOOKUP(Table1[RespondentID],'All Data'!$A$3:$CW$999,95,FALSE),"unknown")</f>
        <v>Graduate school</v>
      </c>
      <c r="AU122" s="120" t="str">
        <f>IFERROR(VLOOKUP(Table1[RespondentID],'All Data'!$A$3:$CW$999,96,FALSE),"unknown")</f>
        <v>Employed for wages</v>
      </c>
      <c r="AV122" s="120" t="str">
        <f>IFERROR(VLOOKUP(Table1[RespondentID],'All Data'!$A$3:$CW$999,97,FALSE),"unknown")</f>
        <v>Yes</v>
      </c>
      <c r="AW122" s="120">
        <f>IFERROR(VLOOKUP(Table1[RespondentID],'All Data'!$A$3:$CW$999,98,FALSE),"unknown")</f>
        <v>0</v>
      </c>
      <c r="AX122" s="120">
        <f>IFERROR(VLOOKUP(Table1[RespondentID],'All Data'!$A$3:$CW$999,99,FALSE),"unknown")</f>
        <v>0</v>
      </c>
    </row>
    <row r="123" spans="1:50">
      <c r="A123" s="5">
        <v>18022519229</v>
      </c>
      <c r="B123" s="5"/>
      <c r="C123" s="5" t="s">
        <v>17</v>
      </c>
      <c r="D123" s="5" t="s">
        <v>18</v>
      </c>
      <c r="E123" s="5"/>
      <c r="F123" s="5"/>
      <c r="G123" s="5"/>
      <c r="H123" s="5"/>
      <c r="I123" s="5"/>
      <c r="J123" s="5"/>
      <c r="K123" s="5"/>
      <c r="L123" s="5"/>
      <c r="M123" s="5"/>
      <c r="N123" s="5"/>
      <c r="O123" s="7"/>
      <c r="P123" s="7">
        <f t="shared" si="18"/>
        <v>2</v>
      </c>
      <c r="Q123" s="7">
        <f t="shared" si="19"/>
        <v>1.5</v>
      </c>
      <c r="R123" s="7"/>
      <c r="S123" s="7">
        <f t="shared" si="35"/>
        <v>0</v>
      </c>
      <c r="T123" s="7">
        <f t="shared" si="20"/>
        <v>1</v>
      </c>
      <c r="U123" s="7">
        <f t="shared" si="21"/>
        <v>1</v>
      </c>
      <c r="V123" s="119">
        <f t="shared" si="22"/>
        <v>0</v>
      </c>
      <c r="W123" s="119">
        <f t="shared" si="23"/>
        <v>0</v>
      </c>
      <c r="X123" s="119">
        <f t="shared" si="24"/>
        <v>0</v>
      </c>
      <c r="Y123" s="119">
        <f t="shared" si="25"/>
        <v>0</v>
      </c>
      <c r="Z123" s="119">
        <f t="shared" si="26"/>
        <v>0</v>
      </c>
      <c r="AA123" s="119">
        <f t="shared" si="27"/>
        <v>0</v>
      </c>
      <c r="AB123" s="119">
        <f t="shared" si="28"/>
        <v>0</v>
      </c>
      <c r="AC123" s="119">
        <f t="shared" si="29"/>
        <v>0</v>
      </c>
      <c r="AD123" s="119">
        <f t="shared" si="30"/>
        <v>0</v>
      </c>
      <c r="AE123" s="119">
        <f t="shared" si="31"/>
        <v>0</v>
      </c>
      <c r="AF123" s="7"/>
      <c r="AG123" s="7"/>
      <c r="AH123" s="7">
        <f t="shared" si="32"/>
        <v>2</v>
      </c>
      <c r="AI123" s="7">
        <f t="shared" si="33"/>
        <v>2</v>
      </c>
      <c r="AJ123" s="7" t="str">
        <f t="shared" si="34"/>
        <v>Correct</v>
      </c>
      <c r="AL123" s="120" t="str">
        <f>IFERROR(VLOOKUP(Table1[RespondentID],'All Data'!$A$3:$CO$999,87,FALSE),"unknown")</f>
        <v>Man</v>
      </c>
      <c r="AM123" s="120">
        <f>IFERROR(VLOOKUP(Table1[RespondentID],'All Data'!$A$3:$CO$999,88,FALSE),"unknown")</f>
        <v>45</v>
      </c>
      <c r="AN123" s="120" t="str">
        <f>IFERROR(VLOOKUP(Table1[RespondentID],'All Data'!$A$3:$CO$999,89,FALSE),"unknown")</f>
        <v>Suffolk</v>
      </c>
      <c r="AO123" s="120" t="str">
        <f>IFERROR(VLOOKUP(Table1[RespondentID],'All Data'!$A$3:$CO$999,90,FALSE),"unknown")</f>
        <v>Commack, 11725</v>
      </c>
      <c r="AP123" s="120" t="str">
        <f>IFERROR(VLOOKUP(Table1[RespondentID],'All Data'!$A$3:$CO$999,91,FALSE),"unknown")</f>
        <v>White</v>
      </c>
      <c r="AQ123" s="120">
        <f>IFERROR(VLOOKUP(Table1[RespondentID],'All Data'!$A$3:$CO$999,92,FALSE),"unknown")</f>
        <v>0</v>
      </c>
      <c r="AR123" s="120" t="str">
        <f>IFERROR(VLOOKUP(Table1[RespondentID],'All Data'!$A$3:$CO$999,93,FALSE),"unknown")</f>
        <v>English</v>
      </c>
      <c r="AS123" s="120" t="str">
        <f>IFERROR(VLOOKUP(Table1[RespondentID],'All Data'!$A$3:$CW$999,94,FALSE),"unknown")</f>
        <v>$50,000 to $74,999</v>
      </c>
      <c r="AT123" s="120" t="str">
        <f>IFERROR(VLOOKUP(Table1[RespondentID],'All Data'!$A$3:$CW$999,95,FALSE),"unknown")</f>
        <v>Graduate school</v>
      </c>
      <c r="AU123" s="120" t="str">
        <f>IFERROR(VLOOKUP(Table1[RespondentID],'All Data'!$A$3:$CW$999,96,FALSE),"unknown")</f>
        <v>Employed for wages</v>
      </c>
      <c r="AV123" s="120" t="str">
        <f>IFERROR(VLOOKUP(Table1[RespondentID],'All Data'!$A$3:$CW$999,97,FALSE),"unknown")</f>
        <v>Yes</v>
      </c>
      <c r="AW123" s="120">
        <f>IFERROR(VLOOKUP(Table1[RespondentID],'All Data'!$A$3:$CW$999,98,FALSE),"unknown")</f>
        <v>0</v>
      </c>
      <c r="AX123" s="120">
        <f>IFERROR(VLOOKUP(Table1[RespondentID],'All Data'!$A$3:$CW$999,99,FALSE),"unknown")</f>
        <v>0</v>
      </c>
    </row>
    <row r="124" spans="1:50">
      <c r="A124" s="5">
        <v>18022519049</v>
      </c>
      <c r="B124" s="5"/>
      <c r="C124" s="5"/>
      <c r="D124" s="5"/>
      <c r="E124" s="5"/>
      <c r="F124" s="5" t="s">
        <v>20</v>
      </c>
      <c r="G124" s="5"/>
      <c r="H124" s="5" t="s">
        <v>22</v>
      </c>
      <c r="I124" s="5"/>
      <c r="J124" s="5"/>
      <c r="K124" s="5" t="s">
        <v>25</v>
      </c>
      <c r="L124" s="5"/>
      <c r="M124" s="5"/>
      <c r="N124" s="5"/>
      <c r="O124" s="7"/>
      <c r="P124" s="7">
        <f t="shared" si="18"/>
        <v>3</v>
      </c>
      <c r="Q124" s="7">
        <f t="shared" si="19"/>
        <v>1</v>
      </c>
      <c r="R124" s="7"/>
      <c r="S124" s="7">
        <f t="shared" si="35"/>
        <v>0</v>
      </c>
      <c r="T124" s="7">
        <f t="shared" si="20"/>
        <v>0</v>
      </c>
      <c r="U124" s="7">
        <f t="shared" si="21"/>
        <v>0</v>
      </c>
      <c r="V124" s="119">
        <f t="shared" si="22"/>
        <v>0</v>
      </c>
      <c r="W124" s="119">
        <f t="shared" si="23"/>
        <v>1</v>
      </c>
      <c r="X124" s="119">
        <f t="shared" si="24"/>
        <v>0</v>
      </c>
      <c r="Y124" s="119">
        <f t="shared" si="25"/>
        <v>1</v>
      </c>
      <c r="Z124" s="119">
        <f t="shared" si="26"/>
        <v>0</v>
      </c>
      <c r="AA124" s="119">
        <f t="shared" si="27"/>
        <v>0</v>
      </c>
      <c r="AB124" s="119">
        <f t="shared" si="28"/>
        <v>1</v>
      </c>
      <c r="AC124" s="119">
        <f t="shared" si="29"/>
        <v>0</v>
      </c>
      <c r="AD124" s="119">
        <f t="shared" si="30"/>
        <v>0</v>
      </c>
      <c r="AE124" s="119">
        <f t="shared" si="31"/>
        <v>0</v>
      </c>
      <c r="AF124" s="7"/>
      <c r="AG124" s="7"/>
      <c r="AH124" s="7">
        <f t="shared" si="32"/>
        <v>3</v>
      </c>
      <c r="AI124" s="7">
        <f t="shared" si="33"/>
        <v>3</v>
      </c>
      <c r="AJ124" s="7" t="str">
        <f t="shared" si="34"/>
        <v>Correct</v>
      </c>
      <c r="AL124" s="120" t="str">
        <f>IFERROR(VLOOKUP(Table1[RespondentID],'All Data'!$A$3:$CO$999,87,FALSE),"unknown")</f>
        <v>Man</v>
      </c>
      <c r="AM124" s="120">
        <f>IFERROR(VLOOKUP(Table1[RespondentID],'All Data'!$A$3:$CO$999,88,FALSE),"unknown")</f>
        <v>44</v>
      </c>
      <c r="AN124" s="120" t="str">
        <f>IFERROR(VLOOKUP(Table1[RespondentID],'All Data'!$A$3:$CO$999,89,FALSE),"unknown")</f>
        <v>Suffolk</v>
      </c>
      <c r="AO124" s="120" t="str">
        <f>IFERROR(VLOOKUP(Table1[RespondentID],'All Data'!$A$3:$CO$999,90,FALSE),"unknown")</f>
        <v>Commack, 11725</v>
      </c>
      <c r="AP124" s="120" t="str">
        <f>IFERROR(VLOOKUP(Table1[RespondentID],'All Data'!$A$3:$CO$999,91,FALSE),"unknown")</f>
        <v>White</v>
      </c>
      <c r="AQ124" s="120" t="str">
        <f>IFERROR(VLOOKUP(Table1[RespondentID],'All Data'!$A$3:$CO$999,92,FALSE),"unknown")</f>
        <v>Hispanic or Latino</v>
      </c>
      <c r="AR124" s="120" t="str">
        <f>IFERROR(VLOOKUP(Table1[RespondentID],'All Data'!$A$3:$CO$999,93,FALSE),"unknown")</f>
        <v>English</v>
      </c>
      <c r="AS124" s="120" t="str">
        <f>IFERROR(VLOOKUP(Table1[RespondentID],'All Data'!$A$3:$CW$999,94,FALSE),"unknown")</f>
        <v>Over $125,000</v>
      </c>
      <c r="AT124" s="120" t="str">
        <f>IFERROR(VLOOKUP(Table1[RespondentID],'All Data'!$A$3:$CW$999,95,FALSE),"unknown")</f>
        <v>Some college</v>
      </c>
      <c r="AU124" s="120">
        <f>IFERROR(VLOOKUP(Table1[RespondentID],'All Data'!$A$3:$CW$999,96,FALSE),"unknown")</f>
        <v>0</v>
      </c>
      <c r="AV124" s="120" t="str">
        <f>IFERROR(VLOOKUP(Table1[RespondentID],'All Data'!$A$3:$CW$999,97,FALSE),"unknown")</f>
        <v>Yes</v>
      </c>
      <c r="AW124" s="120">
        <f>IFERROR(VLOOKUP(Table1[RespondentID],'All Data'!$A$3:$CW$999,98,FALSE),"unknown")</f>
        <v>0</v>
      </c>
      <c r="AX124" s="120">
        <f>IFERROR(VLOOKUP(Table1[RespondentID],'All Data'!$A$3:$CW$999,99,FALSE),"unknown")</f>
        <v>0</v>
      </c>
    </row>
    <row r="125" spans="1:50">
      <c r="A125" s="5">
        <v>18022518816</v>
      </c>
      <c r="B125" s="5" t="s">
        <v>16</v>
      </c>
      <c r="C125" s="5"/>
      <c r="D125" s="5"/>
      <c r="E125" s="5"/>
      <c r="F125" s="5"/>
      <c r="G125" s="5"/>
      <c r="H125" s="5"/>
      <c r="I125" s="5"/>
      <c r="J125" s="5"/>
      <c r="K125" s="5" t="s">
        <v>25</v>
      </c>
      <c r="L125" s="5"/>
      <c r="M125" s="5"/>
      <c r="N125" s="5"/>
      <c r="O125" s="7"/>
      <c r="P125" s="7">
        <f t="shared" si="18"/>
        <v>2</v>
      </c>
      <c r="Q125" s="7">
        <f t="shared" si="19"/>
        <v>1.5</v>
      </c>
      <c r="R125" s="7"/>
      <c r="S125" s="7">
        <f t="shared" si="35"/>
        <v>1</v>
      </c>
      <c r="T125" s="7">
        <f t="shared" si="20"/>
        <v>0</v>
      </c>
      <c r="U125" s="7">
        <f t="shared" si="21"/>
        <v>0</v>
      </c>
      <c r="V125" s="119">
        <f t="shared" si="22"/>
        <v>0</v>
      </c>
      <c r="W125" s="119">
        <f t="shared" si="23"/>
        <v>0</v>
      </c>
      <c r="X125" s="119">
        <f t="shared" si="24"/>
        <v>0</v>
      </c>
      <c r="Y125" s="119">
        <f t="shared" si="25"/>
        <v>0</v>
      </c>
      <c r="Z125" s="119">
        <f t="shared" si="26"/>
        <v>0</v>
      </c>
      <c r="AA125" s="119">
        <f t="shared" si="27"/>
        <v>0</v>
      </c>
      <c r="AB125" s="119">
        <f t="shared" si="28"/>
        <v>1</v>
      </c>
      <c r="AC125" s="119">
        <f t="shared" si="29"/>
        <v>0</v>
      </c>
      <c r="AD125" s="119">
        <f t="shared" si="30"/>
        <v>0</v>
      </c>
      <c r="AE125" s="119">
        <f t="shared" si="31"/>
        <v>0</v>
      </c>
      <c r="AF125" s="7"/>
      <c r="AG125" s="7"/>
      <c r="AH125" s="7">
        <f t="shared" si="32"/>
        <v>2</v>
      </c>
      <c r="AI125" s="7">
        <f t="shared" si="33"/>
        <v>2</v>
      </c>
      <c r="AJ125" s="7" t="str">
        <f t="shared" si="34"/>
        <v>Correct</v>
      </c>
      <c r="AL125" s="120" t="str">
        <f>IFERROR(VLOOKUP(Table1[RespondentID],'All Data'!$A$3:$CO$999,87,FALSE),"unknown")</f>
        <v>Man</v>
      </c>
      <c r="AM125" s="120">
        <f>IFERROR(VLOOKUP(Table1[RespondentID],'All Data'!$A$3:$CO$999,88,FALSE),"unknown")</f>
        <v>18</v>
      </c>
      <c r="AN125" s="120" t="str">
        <f>IFERROR(VLOOKUP(Table1[RespondentID],'All Data'!$A$3:$CO$999,89,FALSE),"unknown")</f>
        <v>Suffolk</v>
      </c>
      <c r="AO125" s="120" t="str">
        <f>IFERROR(VLOOKUP(Table1[RespondentID],'All Data'!$A$3:$CO$999,90,FALSE),"unknown")</f>
        <v>Smithtown, 11787</v>
      </c>
      <c r="AP125" s="120" t="str">
        <f>IFERROR(VLOOKUP(Table1[RespondentID],'All Data'!$A$3:$CO$999,91,FALSE),"unknown")</f>
        <v>White</v>
      </c>
      <c r="AQ125" s="120">
        <f>IFERROR(VLOOKUP(Table1[RespondentID],'All Data'!$A$3:$CO$999,92,FALSE),"unknown")</f>
        <v>0</v>
      </c>
      <c r="AR125" s="120" t="str">
        <f>IFERROR(VLOOKUP(Table1[RespondentID],'All Data'!$A$3:$CO$999,93,FALSE),"unknown")</f>
        <v>English</v>
      </c>
      <c r="AS125" s="120" t="str">
        <f>IFERROR(VLOOKUP(Table1[RespondentID],'All Data'!$A$3:$CW$999,94,FALSE),"unknown")</f>
        <v>$75,000 to $125,000</v>
      </c>
      <c r="AT125" s="120" t="str">
        <f>IFERROR(VLOOKUP(Table1[RespondentID],'All Data'!$A$3:$CW$999,95,FALSE),"unknown")</f>
        <v>Some high school</v>
      </c>
      <c r="AU125" s="120">
        <f>IFERROR(VLOOKUP(Table1[RespondentID],'All Data'!$A$3:$CW$999,96,FALSE),"unknown")</f>
        <v>0</v>
      </c>
      <c r="AV125" s="120" t="str">
        <f>IFERROR(VLOOKUP(Table1[RespondentID],'All Data'!$A$3:$CW$999,97,FALSE),"unknown")</f>
        <v>Yes</v>
      </c>
      <c r="AW125" s="120">
        <f>IFERROR(VLOOKUP(Table1[RespondentID],'All Data'!$A$3:$CW$999,98,FALSE),"unknown")</f>
        <v>0</v>
      </c>
      <c r="AX125" s="120">
        <f>IFERROR(VLOOKUP(Table1[RespondentID],'All Data'!$A$3:$CW$999,99,FALSE),"unknown")</f>
        <v>0</v>
      </c>
    </row>
    <row r="126" spans="1:50">
      <c r="A126" s="5">
        <v>18022518632</v>
      </c>
      <c r="B126" s="5"/>
      <c r="C126" s="5"/>
      <c r="D126" s="5" t="s">
        <v>18</v>
      </c>
      <c r="E126" s="5"/>
      <c r="F126" s="5"/>
      <c r="G126" s="5"/>
      <c r="H126" s="5"/>
      <c r="I126" s="5"/>
      <c r="J126" s="5"/>
      <c r="K126" s="5" t="s">
        <v>25</v>
      </c>
      <c r="L126" s="5" t="s">
        <v>26</v>
      </c>
      <c r="M126" s="5"/>
      <c r="N126" s="5"/>
      <c r="O126" s="7"/>
      <c r="P126" s="7">
        <f t="shared" si="18"/>
        <v>3</v>
      </c>
      <c r="Q126" s="7">
        <f t="shared" si="19"/>
        <v>1</v>
      </c>
      <c r="R126" s="7"/>
      <c r="S126" s="7">
        <f t="shared" si="35"/>
        <v>0</v>
      </c>
      <c r="T126" s="7">
        <f t="shared" si="20"/>
        <v>0</v>
      </c>
      <c r="U126" s="7">
        <f t="shared" si="21"/>
        <v>1</v>
      </c>
      <c r="V126" s="119">
        <f t="shared" si="22"/>
        <v>0</v>
      </c>
      <c r="W126" s="119">
        <f t="shared" si="23"/>
        <v>0</v>
      </c>
      <c r="X126" s="119">
        <f t="shared" si="24"/>
        <v>0</v>
      </c>
      <c r="Y126" s="119">
        <f t="shared" si="25"/>
        <v>0</v>
      </c>
      <c r="Z126" s="119">
        <f t="shared" si="26"/>
        <v>0</v>
      </c>
      <c r="AA126" s="119">
        <f t="shared" si="27"/>
        <v>0</v>
      </c>
      <c r="AB126" s="119">
        <f t="shared" si="28"/>
        <v>1</v>
      </c>
      <c r="AC126" s="119">
        <f t="shared" si="29"/>
        <v>1</v>
      </c>
      <c r="AD126" s="119">
        <f t="shared" si="30"/>
        <v>0</v>
      </c>
      <c r="AE126" s="119">
        <f t="shared" si="31"/>
        <v>0</v>
      </c>
      <c r="AF126" s="7"/>
      <c r="AG126" s="7"/>
      <c r="AH126" s="7">
        <f t="shared" si="32"/>
        <v>3</v>
      </c>
      <c r="AI126" s="7">
        <f t="shared" si="33"/>
        <v>3</v>
      </c>
      <c r="AJ126" s="7" t="str">
        <f t="shared" si="34"/>
        <v>Correct</v>
      </c>
      <c r="AL126" s="120" t="str">
        <f>IFERROR(VLOOKUP(Table1[RespondentID],'All Data'!$A$3:$CO$999,87,FALSE),"unknown")</f>
        <v>Man</v>
      </c>
      <c r="AM126" s="120">
        <f>IFERROR(VLOOKUP(Table1[RespondentID],'All Data'!$A$3:$CO$999,88,FALSE),"unknown")</f>
        <v>18</v>
      </c>
      <c r="AN126" s="120" t="str">
        <f>IFERROR(VLOOKUP(Table1[RespondentID],'All Data'!$A$3:$CO$999,89,FALSE),"unknown")</f>
        <v>Suffolk</v>
      </c>
      <c r="AO126" s="120" t="str">
        <f>IFERROR(VLOOKUP(Table1[RespondentID],'All Data'!$A$3:$CO$999,90,FALSE),"unknown")</f>
        <v>East Northport, 11731</v>
      </c>
      <c r="AP126" s="120" t="str">
        <f>IFERROR(VLOOKUP(Table1[RespondentID],'All Data'!$A$3:$CO$999,91,FALSE),"unknown")</f>
        <v>White</v>
      </c>
      <c r="AQ126" s="120" t="str">
        <f>IFERROR(VLOOKUP(Table1[RespondentID],'All Data'!$A$3:$CO$999,92,FALSE),"unknown")</f>
        <v>Hispanic or Latino</v>
      </c>
      <c r="AR126" s="120" t="str">
        <f>IFERROR(VLOOKUP(Table1[RespondentID],'All Data'!$A$3:$CO$999,93,FALSE),"unknown")</f>
        <v>English</v>
      </c>
      <c r="AS126" s="120">
        <f>IFERROR(VLOOKUP(Table1[RespondentID],'All Data'!$A$3:$CW$999,94,FALSE),"unknown")</f>
        <v>0</v>
      </c>
      <c r="AT126" s="120" t="str">
        <f>IFERROR(VLOOKUP(Table1[RespondentID],'All Data'!$A$3:$CW$999,95,FALSE),"unknown")</f>
        <v>Some high school</v>
      </c>
      <c r="AU126" s="120" t="str">
        <f>IFERROR(VLOOKUP(Table1[RespondentID],'All Data'!$A$3:$CW$999,96,FALSE),"unknown")</f>
        <v>Student</v>
      </c>
      <c r="AV126" s="120" t="str">
        <f>IFERROR(VLOOKUP(Table1[RespondentID],'All Data'!$A$3:$CW$999,97,FALSE),"unknown")</f>
        <v>Yes</v>
      </c>
      <c r="AW126" s="120">
        <f>IFERROR(VLOOKUP(Table1[RespondentID],'All Data'!$A$3:$CW$999,98,FALSE),"unknown")</f>
        <v>0</v>
      </c>
      <c r="AX126" s="120">
        <f>IFERROR(VLOOKUP(Table1[RespondentID],'All Data'!$A$3:$CW$999,99,FALSE),"unknown")</f>
        <v>0</v>
      </c>
    </row>
    <row r="127" spans="1:50">
      <c r="A127" s="5">
        <v>18022518486</v>
      </c>
      <c r="B127" s="5"/>
      <c r="C127" s="5"/>
      <c r="D127" s="5"/>
      <c r="E127" s="5"/>
      <c r="F127" s="5"/>
      <c r="G127" s="5"/>
      <c r="H127" s="5"/>
      <c r="I127" s="5"/>
      <c r="J127" s="5"/>
      <c r="K127" s="5" t="s">
        <v>25</v>
      </c>
      <c r="L127" s="5"/>
      <c r="M127" s="5"/>
      <c r="N127" s="5" t="s">
        <v>28</v>
      </c>
      <c r="O127" s="7"/>
      <c r="P127" s="7">
        <f t="shared" si="18"/>
        <v>2</v>
      </c>
      <c r="Q127" s="7">
        <f t="shared" si="19"/>
        <v>1.5</v>
      </c>
      <c r="R127" s="7"/>
      <c r="S127" s="7">
        <f t="shared" si="35"/>
        <v>0</v>
      </c>
      <c r="T127" s="7">
        <f t="shared" si="20"/>
        <v>0</v>
      </c>
      <c r="U127" s="7">
        <f t="shared" si="21"/>
        <v>0</v>
      </c>
      <c r="V127" s="119">
        <f t="shared" si="22"/>
        <v>0</v>
      </c>
      <c r="W127" s="119">
        <f t="shared" si="23"/>
        <v>0</v>
      </c>
      <c r="X127" s="119">
        <f t="shared" si="24"/>
        <v>0</v>
      </c>
      <c r="Y127" s="119">
        <f t="shared" si="25"/>
        <v>0</v>
      </c>
      <c r="Z127" s="119">
        <f t="shared" si="26"/>
        <v>0</v>
      </c>
      <c r="AA127" s="119">
        <f t="shared" si="27"/>
        <v>0</v>
      </c>
      <c r="AB127" s="119">
        <f t="shared" si="28"/>
        <v>1</v>
      </c>
      <c r="AC127" s="119">
        <f t="shared" si="29"/>
        <v>0</v>
      </c>
      <c r="AD127" s="119">
        <f t="shared" si="30"/>
        <v>0</v>
      </c>
      <c r="AE127" s="119">
        <f t="shared" si="31"/>
        <v>1</v>
      </c>
      <c r="AF127" s="7"/>
      <c r="AG127" s="7"/>
      <c r="AH127" s="7">
        <f t="shared" si="32"/>
        <v>2</v>
      </c>
      <c r="AI127" s="7">
        <f t="shared" si="33"/>
        <v>2</v>
      </c>
      <c r="AJ127" s="7" t="str">
        <f t="shared" si="34"/>
        <v>Correct</v>
      </c>
      <c r="AL127" s="120" t="str">
        <f>IFERROR(VLOOKUP(Table1[RespondentID],'All Data'!$A$3:$CO$999,87,FALSE),"unknown")</f>
        <v>Man</v>
      </c>
      <c r="AM127" s="120">
        <f>IFERROR(VLOOKUP(Table1[RespondentID],'All Data'!$A$3:$CO$999,88,FALSE),"unknown")</f>
        <v>18</v>
      </c>
      <c r="AN127" s="120" t="str">
        <f>IFERROR(VLOOKUP(Table1[RespondentID],'All Data'!$A$3:$CO$999,89,FALSE),"unknown")</f>
        <v>Suffolk</v>
      </c>
      <c r="AO127" s="120" t="str">
        <f>IFERROR(VLOOKUP(Table1[RespondentID],'All Data'!$A$3:$CO$999,90,FALSE),"unknown")</f>
        <v>Commack, 11725</v>
      </c>
      <c r="AP127" s="120" t="str">
        <f>IFERROR(VLOOKUP(Table1[RespondentID],'All Data'!$A$3:$CO$999,91,FALSE),"unknown")</f>
        <v>White</v>
      </c>
      <c r="AQ127" s="120" t="str">
        <f>IFERROR(VLOOKUP(Table1[RespondentID],'All Data'!$A$3:$CO$999,92,FALSE),"unknown")</f>
        <v>Not Hispanic or Latino</v>
      </c>
      <c r="AR127" s="120" t="str">
        <f>IFERROR(VLOOKUP(Table1[RespondentID],'All Data'!$A$3:$CO$999,93,FALSE),"unknown")</f>
        <v>English, Spanish</v>
      </c>
      <c r="AS127" s="120">
        <f>IFERROR(VLOOKUP(Table1[RespondentID],'All Data'!$A$3:$CW$999,94,FALSE),"unknown")</f>
        <v>0</v>
      </c>
      <c r="AT127" s="120" t="str">
        <f>IFERROR(VLOOKUP(Table1[RespondentID],'All Data'!$A$3:$CW$999,95,FALSE),"unknown")</f>
        <v>Some high school</v>
      </c>
      <c r="AU127" s="120" t="str">
        <f>IFERROR(VLOOKUP(Table1[RespondentID],'All Data'!$A$3:$CW$999,96,FALSE),"unknown")</f>
        <v>Employed for wages</v>
      </c>
      <c r="AV127" s="120" t="str">
        <f>IFERROR(VLOOKUP(Table1[RespondentID],'All Data'!$A$3:$CW$999,97,FALSE),"unknown")</f>
        <v>Yes</v>
      </c>
      <c r="AW127" s="120">
        <f>IFERROR(VLOOKUP(Table1[RespondentID],'All Data'!$A$3:$CW$999,98,FALSE),"unknown")</f>
        <v>0</v>
      </c>
      <c r="AX127" s="120">
        <f>IFERROR(VLOOKUP(Table1[RespondentID],'All Data'!$A$3:$CW$999,99,FALSE),"unknown")</f>
        <v>0</v>
      </c>
    </row>
    <row r="128" spans="1:50">
      <c r="A128" s="5">
        <v>18022518320</v>
      </c>
      <c r="B128" s="5"/>
      <c r="C128" s="5"/>
      <c r="D128" s="5" t="s">
        <v>18</v>
      </c>
      <c r="E128" s="5"/>
      <c r="F128" s="5"/>
      <c r="G128" s="5"/>
      <c r="H128" s="5"/>
      <c r="I128" s="5"/>
      <c r="J128" s="5" t="s">
        <v>24</v>
      </c>
      <c r="K128" s="5" t="s">
        <v>25</v>
      </c>
      <c r="L128" s="5"/>
      <c r="M128" s="5"/>
      <c r="N128" s="5"/>
      <c r="O128" s="7"/>
      <c r="P128" s="7">
        <f t="shared" si="18"/>
        <v>3</v>
      </c>
      <c r="Q128" s="7">
        <f t="shared" si="19"/>
        <v>1</v>
      </c>
      <c r="R128" s="7"/>
      <c r="S128" s="7">
        <f t="shared" si="35"/>
        <v>0</v>
      </c>
      <c r="T128" s="7">
        <f t="shared" si="20"/>
        <v>0</v>
      </c>
      <c r="U128" s="7">
        <f t="shared" si="21"/>
        <v>1</v>
      </c>
      <c r="V128" s="119">
        <f t="shared" si="22"/>
        <v>0</v>
      </c>
      <c r="W128" s="119">
        <f t="shared" si="23"/>
        <v>0</v>
      </c>
      <c r="X128" s="119">
        <f t="shared" si="24"/>
        <v>0</v>
      </c>
      <c r="Y128" s="119">
        <f t="shared" si="25"/>
        <v>0</v>
      </c>
      <c r="Z128" s="119">
        <f t="shared" si="26"/>
        <v>0</v>
      </c>
      <c r="AA128" s="119">
        <f t="shared" si="27"/>
        <v>1</v>
      </c>
      <c r="AB128" s="119">
        <f t="shared" si="28"/>
        <v>1</v>
      </c>
      <c r="AC128" s="119">
        <f t="shared" si="29"/>
        <v>0</v>
      </c>
      <c r="AD128" s="119">
        <f t="shared" si="30"/>
        <v>0</v>
      </c>
      <c r="AE128" s="119">
        <f t="shared" si="31"/>
        <v>0</v>
      </c>
      <c r="AF128" s="7"/>
      <c r="AG128" s="7"/>
      <c r="AH128" s="7">
        <f t="shared" si="32"/>
        <v>3</v>
      </c>
      <c r="AI128" s="7">
        <f t="shared" si="33"/>
        <v>3</v>
      </c>
      <c r="AJ128" s="7" t="str">
        <f t="shared" si="34"/>
        <v>Correct</v>
      </c>
      <c r="AL128" s="120" t="str">
        <f>IFERROR(VLOOKUP(Table1[RespondentID],'All Data'!$A$3:$CO$999,87,FALSE),"unknown")</f>
        <v>Woman</v>
      </c>
      <c r="AM128" s="120">
        <f>IFERROR(VLOOKUP(Table1[RespondentID],'All Data'!$A$3:$CO$999,88,FALSE),"unknown")</f>
        <v>18</v>
      </c>
      <c r="AN128" s="120" t="str">
        <f>IFERROR(VLOOKUP(Table1[RespondentID],'All Data'!$A$3:$CO$999,89,FALSE),"unknown")</f>
        <v>Suffolk</v>
      </c>
      <c r="AO128" s="120" t="str">
        <f>IFERROR(VLOOKUP(Table1[RespondentID],'All Data'!$A$3:$CO$999,90,FALSE),"unknown")</f>
        <v>Commack, 11725</v>
      </c>
      <c r="AP128" s="120" t="str">
        <f>IFERROR(VLOOKUP(Table1[RespondentID],'All Data'!$A$3:$CO$999,91,FALSE),"unknown")</f>
        <v>White</v>
      </c>
      <c r="AQ128" s="120" t="str">
        <f>IFERROR(VLOOKUP(Table1[RespondentID],'All Data'!$A$3:$CO$999,92,FALSE),"unknown")</f>
        <v>Hispanic or Latino</v>
      </c>
      <c r="AR128" s="120" t="str">
        <f>IFERROR(VLOOKUP(Table1[RespondentID],'All Data'!$A$3:$CO$999,93,FALSE),"unknown")</f>
        <v>English</v>
      </c>
      <c r="AS128" s="120" t="str">
        <f>IFERROR(VLOOKUP(Table1[RespondentID],'All Data'!$A$3:$CW$999,94,FALSE),"unknown")</f>
        <v>$50,000 to $74,999</v>
      </c>
      <c r="AT128" s="120" t="str">
        <f>IFERROR(VLOOKUP(Table1[RespondentID],'All Data'!$A$3:$CW$999,95,FALSE),"unknown")</f>
        <v>Some high school</v>
      </c>
      <c r="AU128" s="120">
        <f>IFERROR(VLOOKUP(Table1[RespondentID],'All Data'!$A$3:$CW$999,96,FALSE),"unknown")</f>
        <v>0</v>
      </c>
      <c r="AV128" s="120" t="str">
        <f>IFERROR(VLOOKUP(Table1[RespondentID],'All Data'!$A$3:$CW$999,97,FALSE),"unknown")</f>
        <v>Yes</v>
      </c>
      <c r="AW128" s="120">
        <f>IFERROR(VLOOKUP(Table1[RespondentID],'All Data'!$A$3:$CW$999,98,FALSE),"unknown")</f>
        <v>0</v>
      </c>
      <c r="AX128" s="120">
        <f>IFERROR(VLOOKUP(Table1[RespondentID],'All Data'!$A$3:$CW$999,99,FALSE),"unknown")</f>
        <v>0</v>
      </c>
    </row>
    <row r="129" spans="1:50">
      <c r="A129" s="5">
        <v>18022518124</v>
      </c>
      <c r="B129" s="5"/>
      <c r="C129" s="5" t="s">
        <v>17</v>
      </c>
      <c r="D129" s="5"/>
      <c r="E129" s="5"/>
      <c r="F129" s="5"/>
      <c r="G129" s="5"/>
      <c r="H129" s="5"/>
      <c r="I129" s="5"/>
      <c r="J129" s="5" t="s">
        <v>24</v>
      </c>
      <c r="K129" s="5" t="s">
        <v>25</v>
      </c>
      <c r="L129" s="5"/>
      <c r="M129" s="5"/>
      <c r="N129" s="5"/>
      <c r="O129" s="7"/>
      <c r="P129" s="7">
        <f t="shared" si="18"/>
        <v>3</v>
      </c>
      <c r="Q129" s="7">
        <f t="shared" si="19"/>
        <v>1</v>
      </c>
      <c r="R129" s="7"/>
      <c r="S129" s="7">
        <f t="shared" si="35"/>
        <v>0</v>
      </c>
      <c r="T129" s="7">
        <f t="shared" si="20"/>
        <v>1</v>
      </c>
      <c r="U129" s="7">
        <f t="shared" si="21"/>
        <v>0</v>
      </c>
      <c r="V129" s="119">
        <f t="shared" si="22"/>
        <v>0</v>
      </c>
      <c r="W129" s="119">
        <f t="shared" si="23"/>
        <v>0</v>
      </c>
      <c r="X129" s="119">
        <f t="shared" si="24"/>
        <v>0</v>
      </c>
      <c r="Y129" s="119">
        <f t="shared" si="25"/>
        <v>0</v>
      </c>
      <c r="Z129" s="119">
        <f t="shared" si="26"/>
        <v>0</v>
      </c>
      <c r="AA129" s="119">
        <f t="shared" si="27"/>
        <v>1</v>
      </c>
      <c r="AB129" s="119">
        <f t="shared" si="28"/>
        <v>1</v>
      </c>
      <c r="AC129" s="119">
        <f t="shared" si="29"/>
        <v>0</v>
      </c>
      <c r="AD129" s="119">
        <f t="shared" si="30"/>
        <v>0</v>
      </c>
      <c r="AE129" s="119">
        <f t="shared" si="31"/>
        <v>0</v>
      </c>
      <c r="AF129" s="7"/>
      <c r="AG129" s="7"/>
      <c r="AH129" s="7">
        <f t="shared" si="32"/>
        <v>3</v>
      </c>
      <c r="AI129" s="7">
        <f t="shared" si="33"/>
        <v>3</v>
      </c>
      <c r="AJ129" s="7" t="str">
        <f t="shared" si="34"/>
        <v>Correct</v>
      </c>
      <c r="AL129" s="120" t="str">
        <f>IFERROR(VLOOKUP(Table1[RespondentID],'All Data'!$A$3:$CO$999,87,FALSE),"unknown")</f>
        <v>Woman</v>
      </c>
      <c r="AM129" s="120">
        <f>IFERROR(VLOOKUP(Table1[RespondentID],'All Data'!$A$3:$CO$999,88,FALSE),"unknown")</f>
        <v>42</v>
      </c>
      <c r="AN129" s="120" t="str">
        <f>IFERROR(VLOOKUP(Table1[RespondentID],'All Data'!$A$3:$CO$999,89,FALSE),"unknown")</f>
        <v>Nassau</v>
      </c>
      <c r="AO129" s="120" t="str">
        <f>IFERROR(VLOOKUP(Table1[RespondentID],'All Data'!$A$3:$CO$999,90,FALSE),"unknown")</f>
        <v>Westbury, 11590</v>
      </c>
      <c r="AP129" s="120" t="str">
        <f>IFERROR(VLOOKUP(Table1[RespondentID],'All Data'!$A$3:$CO$999,91,FALSE),"unknown")</f>
        <v>White</v>
      </c>
      <c r="AQ129" s="120">
        <f>IFERROR(VLOOKUP(Table1[RespondentID],'All Data'!$A$3:$CO$999,92,FALSE),"unknown")</f>
        <v>0</v>
      </c>
      <c r="AR129" s="120" t="str">
        <f>IFERROR(VLOOKUP(Table1[RespondentID],'All Data'!$A$3:$CO$999,93,FALSE),"unknown")</f>
        <v>English</v>
      </c>
      <c r="AS129" s="120" t="str">
        <f>IFERROR(VLOOKUP(Table1[RespondentID],'All Data'!$A$3:$CW$999,94,FALSE),"unknown")</f>
        <v>Over $125,000</v>
      </c>
      <c r="AT129" s="120" t="str">
        <f>IFERROR(VLOOKUP(Table1[RespondentID],'All Data'!$A$3:$CW$999,95,FALSE),"unknown")</f>
        <v>Doctorate</v>
      </c>
      <c r="AU129" s="120" t="str">
        <f>IFERROR(VLOOKUP(Table1[RespondentID],'All Data'!$A$3:$CW$999,96,FALSE),"unknown")</f>
        <v>Employed for wages</v>
      </c>
      <c r="AV129" s="120" t="str">
        <f>IFERROR(VLOOKUP(Table1[RespondentID],'All Data'!$A$3:$CW$999,97,FALSE),"unknown")</f>
        <v>Yes</v>
      </c>
      <c r="AW129" s="120">
        <f>IFERROR(VLOOKUP(Table1[RespondentID],'All Data'!$A$3:$CW$999,98,FALSE),"unknown")</f>
        <v>0</v>
      </c>
      <c r="AX129" s="120">
        <f>IFERROR(VLOOKUP(Table1[RespondentID],'All Data'!$A$3:$CW$999,99,FALSE),"unknown")</f>
        <v>0</v>
      </c>
    </row>
    <row r="130" spans="1:50">
      <c r="A130" s="5">
        <v>18022517936</v>
      </c>
      <c r="B130" s="5"/>
      <c r="C130" s="5" t="s">
        <v>17</v>
      </c>
      <c r="D130" s="5"/>
      <c r="E130" s="5"/>
      <c r="F130" s="5"/>
      <c r="G130" s="5"/>
      <c r="H130" s="5"/>
      <c r="I130" s="5"/>
      <c r="J130" s="5" t="s">
        <v>24</v>
      </c>
      <c r="K130" s="5" t="s">
        <v>25</v>
      </c>
      <c r="L130" s="5"/>
      <c r="M130" s="5"/>
      <c r="N130" s="5"/>
      <c r="O130" s="7"/>
      <c r="P130" s="7">
        <f t="shared" ref="P130:P193" si="36">COUNTA(B130:N130)</f>
        <v>3</v>
      </c>
      <c r="Q130" s="7">
        <f t="shared" ref="Q130:Q193" si="37">3/P130</f>
        <v>1</v>
      </c>
      <c r="R130" s="7"/>
      <c r="S130" s="7">
        <f t="shared" si="35"/>
        <v>0</v>
      </c>
      <c r="T130" s="7">
        <f t="shared" ref="T130:T193" si="38">IF($P130&lt;3,IF($C130=$C$1,1,0),IF($C130=$C$1,$Q130,0))</f>
        <v>1</v>
      </c>
      <c r="U130" s="7">
        <f t="shared" ref="U130:U193" si="39">IF($P130&lt;3,IF($D130=$D$1,1,0),IF($D130=$D$1,$Q130,0))</f>
        <v>0</v>
      </c>
      <c r="V130" s="119">
        <f t="shared" ref="V130:V193" si="40">IF($P130&lt;3,IF($E130=$E$1,1,0),IF($E130=$E$1,$Q130,0))</f>
        <v>0</v>
      </c>
      <c r="W130" s="119">
        <f t="shared" ref="W130:W193" si="41">IF($P130&lt;3,IF($F130=$F$1,1,0),IF($F130=$F$1,$Q130,0))</f>
        <v>0</v>
      </c>
      <c r="X130" s="119">
        <f t="shared" ref="X130:X193" si="42">IF($P130&lt;3,IF($G130=$G$1,1,0),IF($G130=$G$1,$Q130,0))</f>
        <v>0</v>
      </c>
      <c r="Y130" s="119">
        <f t="shared" ref="Y130:Y193" si="43">IF($P130&lt;3,IF($H130=$H$1,1,0),IF($H130=$H$1,$Q130,0))</f>
        <v>0</v>
      </c>
      <c r="Z130" s="119">
        <f t="shared" ref="Z130:Z193" si="44">IF($P130&lt;3,IF($I130=$I$1,1,0),IF($I130=$I$1,$Q130,0))</f>
        <v>0</v>
      </c>
      <c r="AA130" s="119">
        <f t="shared" ref="AA130:AA193" si="45">IF($P130&lt;3,IF($J130=$J$1,1,0),IF($J130=$J$1,$Q130,0))</f>
        <v>1</v>
      </c>
      <c r="AB130" s="119">
        <f t="shared" ref="AB130:AB193" si="46">IF($P130&lt;3,IF($K130=$K$1,1,0),IF($K130=$K$1,$Q130,0))</f>
        <v>1</v>
      </c>
      <c r="AC130" s="119">
        <f t="shared" ref="AC130:AC193" si="47">IF($P130&lt;3,IF($L130=$L$1,1,0),IF($L130=$L$1,$Q130,0))</f>
        <v>0</v>
      </c>
      <c r="AD130" s="119">
        <f t="shared" ref="AD130:AD193" si="48">IF($P130&lt;3,IF($M130=$M$1,1,0),IF($M130=$M$1,$Q130,0))</f>
        <v>0</v>
      </c>
      <c r="AE130" s="119">
        <f t="shared" ref="AE130:AE193" si="49">IF($P130&lt;3,IF($N130=$N$1,1,0),IF($N130=$N$1,$Q130,0))</f>
        <v>0</v>
      </c>
      <c r="AF130" s="7"/>
      <c r="AG130" s="7"/>
      <c r="AH130" s="7">
        <f t="shared" ref="AH130:AH193" si="50">SUM(S130:AE130)</f>
        <v>3</v>
      </c>
      <c r="AI130" s="7">
        <f t="shared" ref="AI130:AI193" si="51">P130</f>
        <v>3</v>
      </c>
      <c r="AJ130" s="7" t="str">
        <f t="shared" ref="AJ130:AJ193" si="52">IF(AH130=AI130,"Correct",IF(AH130=3,"Correct","Wrong"))</f>
        <v>Correct</v>
      </c>
      <c r="AL130" s="120" t="str">
        <f>IFERROR(VLOOKUP(Table1[RespondentID],'All Data'!$A$3:$CO$999,87,FALSE),"unknown")</f>
        <v>Man</v>
      </c>
      <c r="AM130" s="120">
        <f>IFERROR(VLOOKUP(Table1[RespondentID],'All Data'!$A$3:$CO$999,88,FALSE),"unknown")</f>
        <v>18</v>
      </c>
      <c r="AN130" s="120" t="str">
        <f>IFERROR(VLOOKUP(Table1[RespondentID],'All Data'!$A$3:$CO$999,89,FALSE),"unknown")</f>
        <v>Suffolk</v>
      </c>
      <c r="AO130" s="120" t="str">
        <f>IFERROR(VLOOKUP(Table1[RespondentID],'All Data'!$A$3:$CO$999,90,FALSE),"unknown")</f>
        <v>Dix Hills, 11746</v>
      </c>
      <c r="AP130" s="120" t="str">
        <f>IFERROR(VLOOKUP(Table1[RespondentID],'All Data'!$A$3:$CO$999,91,FALSE),"unknown")</f>
        <v>White</v>
      </c>
      <c r="AQ130" s="120" t="str">
        <f>IFERROR(VLOOKUP(Table1[RespondentID],'All Data'!$A$3:$CO$999,92,FALSE),"unknown")</f>
        <v>Hispanic or Latino</v>
      </c>
      <c r="AR130" s="120" t="str">
        <f>IFERROR(VLOOKUP(Table1[RespondentID],'All Data'!$A$3:$CO$999,93,FALSE),"unknown")</f>
        <v>English</v>
      </c>
      <c r="AS130" s="120" t="str">
        <f>IFERROR(VLOOKUP(Table1[RespondentID],'All Data'!$A$3:$CW$999,94,FALSE),"unknown")</f>
        <v>$75,000 to $125,000</v>
      </c>
      <c r="AT130" s="120" t="str">
        <f>IFERROR(VLOOKUP(Table1[RespondentID],'All Data'!$A$3:$CW$999,95,FALSE),"unknown")</f>
        <v>High school graduate</v>
      </c>
      <c r="AU130" s="120">
        <f>IFERROR(VLOOKUP(Table1[RespondentID],'All Data'!$A$3:$CW$999,96,FALSE),"unknown")</f>
        <v>0</v>
      </c>
      <c r="AV130" s="120" t="str">
        <f>IFERROR(VLOOKUP(Table1[RespondentID],'All Data'!$A$3:$CW$999,97,FALSE),"unknown")</f>
        <v>Yes</v>
      </c>
      <c r="AW130" s="120">
        <f>IFERROR(VLOOKUP(Table1[RespondentID],'All Data'!$A$3:$CW$999,98,FALSE),"unknown")</f>
        <v>0</v>
      </c>
      <c r="AX130" s="120">
        <f>IFERROR(VLOOKUP(Table1[RespondentID],'All Data'!$A$3:$CW$999,99,FALSE),"unknown")</f>
        <v>0</v>
      </c>
    </row>
    <row r="131" spans="1:50">
      <c r="A131" s="5">
        <v>18022517728</v>
      </c>
      <c r="B131" s="5"/>
      <c r="C131" s="5"/>
      <c r="D131" s="5" t="s">
        <v>18</v>
      </c>
      <c r="E131" s="5"/>
      <c r="F131" s="5"/>
      <c r="G131" s="5"/>
      <c r="H131" s="5"/>
      <c r="I131" s="5"/>
      <c r="J131" s="5" t="s">
        <v>24</v>
      </c>
      <c r="K131" s="5" t="s">
        <v>25</v>
      </c>
      <c r="L131" s="5"/>
      <c r="M131" s="5"/>
      <c r="N131" s="5" t="s">
        <v>28</v>
      </c>
      <c r="O131" s="7"/>
      <c r="P131" s="7">
        <f t="shared" si="36"/>
        <v>4</v>
      </c>
      <c r="Q131" s="7">
        <f t="shared" si="37"/>
        <v>0.75</v>
      </c>
      <c r="R131" s="7"/>
      <c r="S131" s="7">
        <f t="shared" si="35"/>
        <v>0</v>
      </c>
      <c r="T131" s="7">
        <f t="shared" si="38"/>
        <v>0</v>
      </c>
      <c r="U131" s="7">
        <f t="shared" si="39"/>
        <v>0.75</v>
      </c>
      <c r="V131" s="119">
        <f t="shared" si="40"/>
        <v>0</v>
      </c>
      <c r="W131" s="119">
        <f t="shared" si="41"/>
        <v>0</v>
      </c>
      <c r="X131" s="119">
        <f t="shared" si="42"/>
        <v>0</v>
      </c>
      <c r="Y131" s="119">
        <f t="shared" si="43"/>
        <v>0</v>
      </c>
      <c r="Z131" s="119">
        <f t="shared" si="44"/>
        <v>0</v>
      </c>
      <c r="AA131" s="119">
        <f t="shared" si="45"/>
        <v>0.75</v>
      </c>
      <c r="AB131" s="119">
        <f t="shared" si="46"/>
        <v>0.75</v>
      </c>
      <c r="AC131" s="119">
        <f t="shared" si="47"/>
        <v>0</v>
      </c>
      <c r="AD131" s="119">
        <f t="shared" si="48"/>
        <v>0</v>
      </c>
      <c r="AE131" s="119">
        <f t="shared" si="49"/>
        <v>0.75</v>
      </c>
      <c r="AF131" s="7"/>
      <c r="AG131" s="7"/>
      <c r="AH131" s="7">
        <f t="shared" si="50"/>
        <v>3</v>
      </c>
      <c r="AI131" s="7">
        <f t="shared" si="51"/>
        <v>4</v>
      </c>
      <c r="AJ131" s="7" t="str">
        <f t="shared" si="52"/>
        <v>Correct</v>
      </c>
      <c r="AL131" s="120" t="str">
        <f>IFERROR(VLOOKUP(Table1[RespondentID],'All Data'!$A$3:$CO$999,87,FALSE),"unknown")</f>
        <v>Man</v>
      </c>
      <c r="AM131" s="120">
        <f>IFERROR(VLOOKUP(Table1[RespondentID],'All Data'!$A$3:$CO$999,88,FALSE),"unknown")</f>
        <v>18</v>
      </c>
      <c r="AN131" s="120" t="str">
        <f>IFERROR(VLOOKUP(Table1[RespondentID],'All Data'!$A$3:$CO$999,89,FALSE),"unknown")</f>
        <v>Suffolk</v>
      </c>
      <c r="AO131" s="120" t="str">
        <f>IFERROR(VLOOKUP(Table1[RespondentID],'All Data'!$A$3:$CO$999,90,FALSE),"unknown")</f>
        <v>Commack, 11725</v>
      </c>
      <c r="AP131" s="120" t="str">
        <f>IFERROR(VLOOKUP(Table1[RespondentID],'All Data'!$A$3:$CO$999,91,FALSE),"unknown")</f>
        <v>White</v>
      </c>
      <c r="AQ131" s="120" t="str">
        <f>IFERROR(VLOOKUP(Table1[RespondentID],'All Data'!$A$3:$CO$999,92,FALSE),"unknown")</f>
        <v>Not Hispanic or Latino</v>
      </c>
      <c r="AR131" s="120" t="str">
        <f>IFERROR(VLOOKUP(Table1[RespondentID],'All Data'!$A$3:$CO$999,93,FALSE),"unknown")</f>
        <v>English</v>
      </c>
      <c r="AS131" s="120" t="str">
        <f>IFERROR(VLOOKUP(Table1[RespondentID],'All Data'!$A$3:$CW$999,94,FALSE),"unknown")</f>
        <v>$20,000 to $34,999</v>
      </c>
      <c r="AT131" s="120" t="str">
        <f>IFERROR(VLOOKUP(Table1[RespondentID],'All Data'!$A$3:$CW$999,95,FALSE),"unknown")</f>
        <v>High school graduate</v>
      </c>
      <c r="AU131" s="120" t="str">
        <f>IFERROR(VLOOKUP(Table1[RespondentID],'All Data'!$A$3:$CW$999,96,FALSE),"unknown")</f>
        <v>Student</v>
      </c>
      <c r="AV131" s="120" t="str">
        <f>IFERROR(VLOOKUP(Table1[RespondentID],'All Data'!$A$3:$CW$999,97,FALSE),"unknown")</f>
        <v>Yes</v>
      </c>
      <c r="AW131" s="120">
        <f>IFERROR(VLOOKUP(Table1[RespondentID],'All Data'!$A$3:$CW$999,98,FALSE),"unknown")</f>
        <v>0</v>
      </c>
      <c r="AX131" s="120">
        <f>IFERROR(VLOOKUP(Table1[RespondentID],'All Data'!$A$3:$CW$999,99,FALSE),"unknown")</f>
        <v>0</v>
      </c>
    </row>
    <row r="132" spans="1:50">
      <c r="A132" s="5">
        <v>18022517350</v>
      </c>
      <c r="B132" s="5"/>
      <c r="C132" s="5"/>
      <c r="D132" s="5" t="s">
        <v>18</v>
      </c>
      <c r="E132" s="5"/>
      <c r="F132" s="5"/>
      <c r="G132" s="5"/>
      <c r="H132" s="5"/>
      <c r="I132" s="5"/>
      <c r="J132" s="5"/>
      <c r="K132" s="5" t="s">
        <v>25</v>
      </c>
      <c r="L132" s="5" t="s">
        <v>26</v>
      </c>
      <c r="M132" s="5"/>
      <c r="N132" s="5"/>
      <c r="O132" s="7"/>
      <c r="P132" s="7">
        <f t="shared" si="36"/>
        <v>3</v>
      </c>
      <c r="Q132" s="7">
        <f t="shared" si="37"/>
        <v>1</v>
      </c>
      <c r="R132" s="7"/>
      <c r="S132" s="7">
        <f t="shared" ref="S132:S195" si="53">IF($P132&lt;3,IF($B132=$B$1,1,0),IF($B132=$B$1,$Q132,0))</f>
        <v>0</v>
      </c>
      <c r="T132" s="7">
        <f t="shared" si="38"/>
        <v>0</v>
      </c>
      <c r="U132" s="7">
        <f t="shared" si="39"/>
        <v>1</v>
      </c>
      <c r="V132" s="119">
        <f t="shared" si="40"/>
        <v>0</v>
      </c>
      <c r="W132" s="119">
        <f t="shared" si="41"/>
        <v>0</v>
      </c>
      <c r="X132" s="119">
        <f t="shared" si="42"/>
        <v>0</v>
      </c>
      <c r="Y132" s="119">
        <f t="shared" si="43"/>
        <v>0</v>
      </c>
      <c r="Z132" s="119">
        <f t="shared" si="44"/>
        <v>0</v>
      </c>
      <c r="AA132" s="119">
        <f t="shared" si="45"/>
        <v>0</v>
      </c>
      <c r="AB132" s="119">
        <f t="shared" si="46"/>
        <v>1</v>
      </c>
      <c r="AC132" s="119">
        <f t="shared" si="47"/>
        <v>1</v>
      </c>
      <c r="AD132" s="119">
        <f t="shared" si="48"/>
        <v>0</v>
      </c>
      <c r="AE132" s="119">
        <f t="shared" si="49"/>
        <v>0</v>
      </c>
      <c r="AF132" s="7"/>
      <c r="AG132" s="7"/>
      <c r="AH132" s="7">
        <f t="shared" si="50"/>
        <v>3</v>
      </c>
      <c r="AI132" s="7">
        <f t="shared" si="51"/>
        <v>3</v>
      </c>
      <c r="AJ132" s="7" t="str">
        <f t="shared" si="52"/>
        <v>Correct</v>
      </c>
      <c r="AL132" s="120" t="str">
        <f>IFERROR(VLOOKUP(Table1[RespondentID],'All Data'!$A$3:$CO$999,87,FALSE),"unknown")</f>
        <v>Man</v>
      </c>
      <c r="AM132" s="120">
        <f>IFERROR(VLOOKUP(Table1[RespondentID],'All Data'!$A$3:$CO$999,88,FALSE),"unknown")</f>
        <v>18</v>
      </c>
      <c r="AN132" s="120" t="str">
        <f>IFERROR(VLOOKUP(Table1[RespondentID],'All Data'!$A$3:$CO$999,89,FALSE),"unknown")</f>
        <v>Suffolk</v>
      </c>
      <c r="AO132" s="120" t="str">
        <f>IFERROR(VLOOKUP(Table1[RespondentID],'All Data'!$A$3:$CO$999,90,FALSE),"unknown")</f>
        <v>Commack, 11725</v>
      </c>
      <c r="AP132" s="120" t="str">
        <f>IFERROR(VLOOKUP(Table1[RespondentID],'All Data'!$A$3:$CO$999,91,FALSE),"unknown")</f>
        <v>White</v>
      </c>
      <c r="AQ132" s="120" t="str">
        <f>IFERROR(VLOOKUP(Table1[RespondentID],'All Data'!$A$3:$CO$999,92,FALSE),"unknown")</f>
        <v>Hispanic or Latino</v>
      </c>
      <c r="AR132" s="120" t="str">
        <f>IFERROR(VLOOKUP(Table1[RespondentID],'All Data'!$A$3:$CO$999,93,FALSE),"unknown")</f>
        <v>English</v>
      </c>
      <c r="AS132" s="120" t="str">
        <f>IFERROR(VLOOKUP(Table1[RespondentID],'All Data'!$A$3:$CW$999,94,FALSE),"unknown")</f>
        <v>Over $125,000</v>
      </c>
      <c r="AT132" s="120" t="str">
        <f>IFERROR(VLOOKUP(Table1[RespondentID],'All Data'!$A$3:$CW$999,95,FALSE),"unknown")</f>
        <v>High school graduate</v>
      </c>
      <c r="AU132" s="120" t="str">
        <f>IFERROR(VLOOKUP(Table1[RespondentID],'All Data'!$A$3:$CW$999,96,FALSE),"unknown")</f>
        <v>Student</v>
      </c>
      <c r="AV132" s="120" t="str">
        <f>IFERROR(VLOOKUP(Table1[RespondentID],'All Data'!$A$3:$CW$999,97,FALSE),"unknown")</f>
        <v>Yes</v>
      </c>
      <c r="AW132" s="120">
        <f>IFERROR(VLOOKUP(Table1[RespondentID],'All Data'!$A$3:$CW$999,98,FALSE),"unknown")</f>
        <v>0</v>
      </c>
      <c r="AX132" s="120">
        <f>IFERROR(VLOOKUP(Table1[RespondentID],'All Data'!$A$3:$CW$999,99,FALSE),"unknown")</f>
        <v>0</v>
      </c>
    </row>
    <row r="133" spans="1:50">
      <c r="A133" s="5">
        <v>18022517003</v>
      </c>
      <c r="B133" s="5"/>
      <c r="C133" s="5"/>
      <c r="D133" s="5"/>
      <c r="E133" s="5"/>
      <c r="F133" s="5"/>
      <c r="G133" s="5"/>
      <c r="H133" s="5"/>
      <c r="I133" s="5"/>
      <c r="J133" s="5"/>
      <c r="K133" s="5"/>
      <c r="L133" s="5" t="s">
        <v>26</v>
      </c>
      <c r="M133" s="5"/>
      <c r="N133" s="5"/>
      <c r="O133" s="7"/>
      <c r="P133" s="7">
        <f t="shared" si="36"/>
        <v>1</v>
      </c>
      <c r="Q133" s="7">
        <f t="shared" si="37"/>
        <v>3</v>
      </c>
      <c r="R133" s="7"/>
      <c r="S133" s="7">
        <f t="shared" si="53"/>
        <v>0</v>
      </c>
      <c r="T133" s="7">
        <f t="shared" si="38"/>
        <v>0</v>
      </c>
      <c r="U133" s="7">
        <f t="shared" si="39"/>
        <v>0</v>
      </c>
      <c r="V133" s="119">
        <f t="shared" si="40"/>
        <v>0</v>
      </c>
      <c r="W133" s="119">
        <f t="shared" si="41"/>
        <v>0</v>
      </c>
      <c r="X133" s="119">
        <f t="shared" si="42"/>
        <v>0</v>
      </c>
      <c r="Y133" s="119">
        <f t="shared" si="43"/>
        <v>0</v>
      </c>
      <c r="Z133" s="119">
        <f t="shared" si="44"/>
        <v>0</v>
      </c>
      <c r="AA133" s="119">
        <f t="shared" si="45"/>
        <v>0</v>
      </c>
      <c r="AB133" s="119">
        <f t="shared" si="46"/>
        <v>0</v>
      </c>
      <c r="AC133" s="119">
        <f t="shared" si="47"/>
        <v>1</v>
      </c>
      <c r="AD133" s="119">
        <f t="shared" si="48"/>
        <v>0</v>
      </c>
      <c r="AE133" s="119">
        <f t="shared" si="49"/>
        <v>0</v>
      </c>
      <c r="AF133" s="7"/>
      <c r="AG133" s="7"/>
      <c r="AH133" s="7">
        <f t="shared" si="50"/>
        <v>1</v>
      </c>
      <c r="AI133" s="7">
        <f t="shared" si="51"/>
        <v>1</v>
      </c>
      <c r="AJ133" s="7" t="str">
        <f t="shared" si="52"/>
        <v>Correct</v>
      </c>
      <c r="AL133" s="120" t="str">
        <f>IFERROR(VLOOKUP(Table1[RespondentID],'All Data'!$A$3:$CO$999,87,FALSE),"unknown")</f>
        <v>Woman</v>
      </c>
      <c r="AM133" s="120">
        <f>IFERROR(VLOOKUP(Table1[RespondentID],'All Data'!$A$3:$CO$999,88,FALSE),"unknown")</f>
        <v>52</v>
      </c>
      <c r="AN133" s="120" t="str">
        <f>IFERROR(VLOOKUP(Table1[RespondentID],'All Data'!$A$3:$CO$999,89,FALSE),"unknown")</f>
        <v>Suffolk</v>
      </c>
      <c r="AO133" s="120" t="str">
        <f>IFERROR(VLOOKUP(Table1[RespondentID],'All Data'!$A$3:$CO$999,90,FALSE),"unknown")</f>
        <v>Kings Park, 11754</v>
      </c>
      <c r="AP133" s="120" t="str">
        <f>IFERROR(VLOOKUP(Table1[RespondentID],'All Data'!$A$3:$CO$999,91,FALSE),"unknown")</f>
        <v>White</v>
      </c>
      <c r="AQ133" s="120" t="str">
        <f>IFERROR(VLOOKUP(Table1[RespondentID],'All Data'!$A$3:$CO$999,92,FALSE),"unknown")</f>
        <v>Hispanic or Latino</v>
      </c>
      <c r="AR133" s="120" t="str">
        <f>IFERROR(VLOOKUP(Table1[RespondentID],'All Data'!$A$3:$CO$999,93,FALSE),"unknown")</f>
        <v>English</v>
      </c>
      <c r="AS133" s="120" t="str">
        <f>IFERROR(VLOOKUP(Table1[RespondentID],'All Data'!$A$3:$CW$999,94,FALSE),"unknown")</f>
        <v>Over $125,000</v>
      </c>
      <c r="AT133" s="120" t="str">
        <f>IFERROR(VLOOKUP(Table1[RespondentID],'All Data'!$A$3:$CW$999,95,FALSE),"unknown")</f>
        <v>Graduate school</v>
      </c>
      <c r="AU133" s="120" t="str">
        <f>IFERROR(VLOOKUP(Table1[RespondentID],'All Data'!$A$3:$CW$999,96,FALSE),"unknown")</f>
        <v>Employed for wages</v>
      </c>
      <c r="AV133" s="120" t="str">
        <f>IFERROR(VLOOKUP(Table1[RespondentID],'All Data'!$A$3:$CW$999,97,FALSE),"unknown")</f>
        <v>Yes</v>
      </c>
      <c r="AW133" s="120" t="str">
        <f>IFERROR(VLOOKUP(Table1[RespondentID],'All Data'!$A$3:$CW$999,98,FALSE),"unknown")</f>
        <v>Private/Commercial</v>
      </c>
      <c r="AX133" s="120">
        <f>IFERROR(VLOOKUP(Table1[RespondentID],'All Data'!$A$3:$CW$999,99,FALSE),"unknown")</f>
        <v>0</v>
      </c>
    </row>
    <row r="134" spans="1:50">
      <c r="A134" s="5">
        <v>18022515327</v>
      </c>
      <c r="B134" s="5"/>
      <c r="C134" s="5" t="s">
        <v>17</v>
      </c>
      <c r="D134" s="5"/>
      <c r="E134" s="5"/>
      <c r="F134" s="5"/>
      <c r="G134" s="5"/>
      <c r="H134" s="5" t="s">
        <v>22</v>
      </c>
      <c r="I134" s="5"/>
      <c r="J134" s="5"/>
      <c r="K134" s="5"/>
      <c r="L134" s="5" t="s">
        <v>26</v>
      </c>
      <c r="M134" s="5"/>
      <c r="N134" s="5"/>
      <c r="O134" s="7"/>
      <c r="P134" s="7">
        <f t="shared" si="36"/>
        <v>3</v>
      </c>
      <c r="Q134" s="7">
        <f t="shared" si="37"/>
        <v>1</v>
      </c>
      <c r="R134" s="7"/>
      <c r="S134" s="7">
        <f t="shared" si="53"/>
        <v>0</v>
      </c>
      <c r="T134" s="7">
        <f t="shared" si="38"/>
        <v>1</v>
      </c>
      <c r="U134" s="7">
        <f t="shared" si="39"/>
        <v>0</v>
      </c>
      <c r="V134" s="119">
        <f t="shared" si="40"/>
        <v>0</v>
      </c>
      <c r="W134" s="119">
        <f t="shared" si="41"/>
        <v>0</v>
      </c>
      <c r="X134" s="119">
        <f t="shared" si="42"/>
        <v>0</v>
      </c>
      <c r="Y134" s="119">
        <f t="shared" si="43"/>
        <v>1</v>
      </c>
      <c r="Z134" s="119">
        <f t="shared" si="44"/>
        <v>0</v>
      </c>
      <c r="AA134" s="119">
        <f t="shared" si="45"/>
        <v>0</v>
      </c>
      <c r="AB134" s="119">
        <f t="shared" si="46"/>
        <v>0</v>
      </c>
      <c r="AC134" s="119">
        <f t="shared" si="47"/>
        <v>1</v>
      </c>
      <c r="AD134" s="119">
        <f t="shared" si="48"/>
        <v>0</v>
      </c>
      <c r="AE134" s="119">
        <f t="shared" si="49"/>
        <v>0</v>
      </c>
      <c r="AF134" s="7"/>
      <c r="AG134" s="7"/>
      <c r="AH134" s="7">
        <f t="shared" si="50"/>
        <v>3</v>
      </c>
      <c r="AI134" s="7">
        <f t="shared" si="51"/>
        <v>3</v>
      </c>
      <c r="AJ134" s="7" t="str">
        <f t="shared" si="52"/>
        <v>Correct</v>
      </c>
      <c r="AL134" s="120" t="str">
        <f>IFERROR(VLOOKUP(Table1[RespondentID],'All Data'!$A$3:$CO$999,87,FALSE),"unknown")</f>
        <v>Woman</v>
      </c>
      <c r="AM134" s="120">
        <f>IFERROR(VLOOKUP(Table1[RespondentID],'All Data'!$A$3:$CO$999,88,FALSE),"unknown")</f>
        <v>47</v>
      </c>
      <c r="AN134" s="120" t="str">
        <f>IFERROR(VLOOKUP(Table1[RespondentID],'All Data'!$A$3:$CO$999,89,FALSE),"unknown")</f>
        <v>Suffolk</v>
      </c>
      <c r="AO134" s="120" t="str">
        <f>IFERROR(VLOOKUP(Table1[RespondentID],'All Data'!$A$3:$CO$999,90,FALSE),"unknown")</f>
        <v>Smithtown, 11787</v>
      </c>
      <c r="AP134" s="120" t="str">
        <f>IFERROR(VLOOKUP(Table1[RespondentID],'All Data'!$A$3:$CO$999,91,FALSE),"unknown")</f>
        <v>American Indian and Alaska Native</v>
      </c>
      <c r="AQ134" s="120" t="str">
        <f>IFERROR(VLOOKUP(Table1[RespondentID],'All Data'!$A$3:$CO$999,92,FALSE),"unknown")</f>
        <v>Hispanic or Latino</v>
      </c>
      <c r="AR134" s="120" t="str">
        <f>IFERROR(VLOOKUP(Table1[RespondentID],'All Data'!$A$3:$CO$999,93,FALSE),"unknown")</f>
        <v>Korean</v>
      </c>
      <c r="AS134" s="120" t="str">
        <f>IFERROR(VLOOKUP(Table1[RespondentID],'All Data'!$A$3:$CW$999,94,FALSE),"unknown")</f>
        <v>$75,000 to $125,000</v>
      </c>
      <c r="AT134" s="120" t="str">
        <f>IFERROR(VLOOKUP(Table1[RespondentID],'All Data'!$A$3:$CW$999,95,FALSE),"unknown")</f>
        <v>College graduate</v>
      </c>
      <c r="AU134" s="120" t="str">
        <f>IFERROR(VLOOKUP(Table1[RespondentID],'All Data'!$A$3:$CW$999,96,FALSE),"unknown")</f>
        <v>Employed for wages</v>
      </c>
      <c r="AV134" s="120" t="str">
        <f>IFERROR(VLOOKUP(Table1[RespondentID],'All Data'!$A$3:$CW$999,97,FALSE),"unknown")</f>
        <v>Yes</v>
      </c>
      <c r="AW134" s="120" t="str">
        <f>IFERROR(VLOOKUP(Table1[RespondentID],'All Data'!$A$3:$CW$999,98,FALSE),"unknown")</f>
        <v>Private/Commercial</v>
      </c>
      <c r="AX134" s="120" t="str">
        <f>IFERROR(VLOOKUP(Table1[RespondentID],'All Data'!$A$3:$CW$999,99,FALSE),"unknown")</f>
        <v>Yes</v>
      </c>
    </row>
    <row r="135" spans="1:50">
      <c r="A135" s="5">
        <v>18022426389</v>
      </c>
      <c r="B135" s="5"/>
      <c r="C135" s="5" t="s">
        <v>17</v>
      </c>
      <c r="D135" s="5" t="s">
        <v>18</v>
      </c>
      <c r="E135" s="5"/>
      <c r="F135" s="5"/>
      <c r="G135" s="5"/>
      <c r="H135" s="5"/>
      <c r="I135" s="5"/>
      <c r="J135" s="5"/>
      <c r="K135" s="5" t="s">
        <v>25</v>
      </c>
      <c r="L135" s="5" t="s">
        <v>26</v>
      </c>
      <c r="M135" s="5"/>
      <c r="N135" s="5" t="s">
        <v>28</v>
      </c>
      <c r="O135" s="7"/>
      <c r="P135" s="7">
        <f t="shared" si="36"/>
        <v>5</v>
      </c>
      <c r="Q135" s="7">
        <f t="shared" si="37"/>
        <v>0.6</v>
      </c>
      <c r="R135" s="7"/>
      <c r="S135" s="7">
        <f t="shared" si="53"/>
        <v>0</v>
      </c>
      <c r="T135" s="7">
        <f t="shared" si="38"/>
        <v>0.6</v>
      </c>
      <c r="U135" s="7">
        <f t="shared" si="39"/>
        <v>0.6</v>
      </c>
      <c r="V135" s="119">
        <f t="shared" si="40"/>
        <v>0</v>
      </c>
      <c r="W135" s="119">
        <f t="shared" si="41"/>
        <v>0</v>
      </c>
      <c r="X135" s="119">
        <f t="shared" si="42"/>
        <v>0</v>
      </c>
      <c r="Y135" s="119">
        <f t="shared" si="43"/>
        <v>0</v>
      </c>
      <c r="Z135" s="119">
        <f t="shared" si="44"/>
        <v>0</v>
      </c>
      <c r="AA135" s="119">
        <f t="shared" si="45"/>
        <v>0</v>
      </c>
      <c r="AB135" s="119">
        <f t="shared" si="46"/>
        <v>0.6</v>
      </c>
      <c r="AC135" s="119">
        <f t="shared" si="47"/>
        <v>0.6</v>
      </c>
      <c r="AD135" s="119">
        <f t="shared" si="48"/>
        <v>0</v>
      </c>
      <c r="AE135" s="119">
        <f t="shared" si="49"/>
        <v>0.6</v>
      </c>
      <c r="AF135" s="7"/>
      <c r="AG135" s="7"/>
      <c r="AH135" s="7">
        <f t="shared" si="50"/>
        <v>3</v>
      </c>
      <c r="AI135" s="7">
        <f t="shared" si="51"/>
        <v>5</v>
      </c>
      <c r="AJ135" s="7" t="str">
        <f t="shared" si="52"/>
        <v>Correct</v>
      </c>
      <c r="AL135" s="120" t="str">
        <f>IFERROR(VLOOKUP(Table1[RespondentID],'All Data'!$A$3:$CO$999,87,FALSE),"unknown")</f>
        <v>Man</v>
      </c>
      <c r="AM135" s="120">
        <f>IFERROR(VLOOKUP(Table1[RespondentID],'All Data'!$A$3:$CO$999,88,FALSE),"unknown")</f>
        <v>48</v>
      </c>
      <c r="AN135" s="120" t="str">
        <f>IFERROR(VLOOKUP(Table1[RespondentID],'All Data'!$A$3:$CO$999,89,FALSE),"unknown")</f>
        <v>Suffolk</v>
      </c>
      <c r="AO135" s="120" t="str">
        <f>IFERROR(VLOOKUP(Table1[RespondentID],'All Data'!$A$3:$CO$999,90,FALSE),"unknown")</f>
        <v>Kings Park, 11754</v>
      </c>
      <c r="AP135" s="120" t="str">
        <f>IFERROR(VLOOKUP(Table1[RespondentID],'All Data'!$A$3:$CO$999,91,FALSE),"unknown")</f>
        <v>White</v>
      </c>
      <c r="AQ135" s="120" t="str">
        <f>IFERROR(VLOOKUP(Table1[RespondentID],'All Data'!$A$3:$CO$999,92,FALSE),"unknown")</f>
        <v>Hispanic or Latino</v>
      </c>
      <c r="AR135" s="120" t="str">
        <f>IFERROR(VLOOKUP(Table1[RespondentID],'All Data'!$A$3:$CO$999,93,FALSE),"unknown")</f>
        <v>English</v>
      </c>
      <c r="AS135" s="120" t="str">
        <f>IFERROR(VLOOKUP(Table1[RespondentID],'All Data'!$A$3:$CW$999,94,FALSE),"unknown")</f>
        <v>Over $125,000</v>
      </c>
      <c r="AT135" s="120" t="str">
        <f>IFERROR(VLOOKUP(Table1[RespondentID],'All Data'!$A$3:$CW$999,95,FALSE),"unknown")</f>
        <v>Other (please specify)</v>
      </c>
      <c r="AU135" s="120" t="str">
        <f>IFERROR(VLOOKUP(Table1[RespondentID],'All Data'!$A$3:$CW$999,96,FALSE),"unknown")</f>
        <v>Employed for wages</v>
      </c>
      <c r="AV135" s="120" t="str">
        <f>IFERROR(VLOOKUP(Table1[RespondentID],'All Data'!$A$3:$CW$999,97,FALSE),"unknown")</f>
        <v>Yes</v>
      </c>
      <c r="AW135" s="120" t="str">
        <f>IFERROR(VLOOKUP(Table1[RespondentID],'All Data'!$A$3:$CW$999,98,FALSE),"unknown")</f>
        <v>Private/Commercial</v>
      </c>
      <c r="AX135" s="120" t="str">
        <f>IFERROR(VLOOKUP(Table1[RespondentID],'All Data'!$A$3:$CW$999,99,FALSE),"unknown")</f>
        <v>Yes</v>
      </c>
    </row>
    <row r="136" spans="1:50">
      <c r="A136" s="5">
        <v>18022425382</v>
      </c>
      <c r="B136" s="5"/>
      <c r="C136" s="5" t="s">
        <v>17</v>
      </c>
      <c r="D136" s="5"/>
      <c r="E136" s="5"/>
      <c r="F136" s="5"/>
      <c r="G136" s="5" t="s">
        <v>21</v>
      </c>
      <c r="H136" s="5"/>
      <c r="I136" s="5"/>
      <c r="J136" s="5"/>
      <c r="K136" s="5"/>
      <c r="L136" s="5"/>
      <c r="M136" s="5"/>
      <c r="N136" s="5"/>
      <c r="O136" s="7"/>
      <c r="P136" s="7">
        <f t="shared" si="36"/>
        <v>2</v>
      </c>
      <c r="Q136" s="7">
        <f t="shared" si="37"/>
        <v>1.5</v>
      </c>
      <c r="R136" s="7"/>
      <c r="S136" s="7">
        <f t="shared" si="53"/>
        <v>0</v>
      </c>
      <c r="T136" s="7">
        <f t="shared" si="38"/>
        <v>1</v>
      </c>
      <c r="U136" s="7">
        <f t="shared" si="39"/>
        <v>0</v>
      </c>
      <c r="V136" s="119">
        <f t="shared" si="40"/>
        <v>0</v>
      </c>
      <c r="W136" s="119">
        <f t="shared" si="41"/>
        <v>0</v>
      </c>
      <c r="X136" s="119">
        <f t="shared" si="42"/>
        <v>1</v>
      </c>
      <c r="Y136" s="119">
        <f t="shared" si="43"/>
        <v>0</v>
      </c>
      <c r="Z136" s="119">
        <f t="shared" si="44"/>
        <v>0</v>
      </c>
      <c r="AA136" s="119">
        <f t="shared" si="45"/>
        <v>0</v>
      </c>
      <c r="AB136" s="119">
        <f t="shared" si="46"/>
        <v>0</v>
      </c>
      <c r="AC136" s="119">
        <f t="shared" si="47"/>
        <v>0</v>
      </c>
      <c r="AD136" s="119">
        <f t="shared" si="48"/>
        <v>0</v>
      </c>
      <c r="AE136" s="119">
        <f t="shared" si="49"/>
        <v>0</v>
      </c>
      <c r="AF136" s="7"/>
      <c r="AG136" s="7"/>
      <c r="AH136" s="7">
        <f t="shared" si="50"/>
        <v>2</v>
      </c>
      <c r="AI136" s="7">
        <f t="shared" si="51"/>
        <v>2</v>
      </c>
      <c r="AJ136" s="7" t="str">
        <f t="shared" si="52"/>
        <v>Correct</v>
      </c>
      <c r="AL136" s="120" t="str">
        <f>IFERROR(VLOOKUP(Table1[RespondentID],'All Data'!$A$3:$CO$999,87,FALSE),"unknown")</f>
        <v>Woman</v>
      </c>
      <c r="AM136" s="120">
        <f>IFERROR(VLOOKUP(Table1[RespondentID],'All Data'!$A$3:$CO$999,88,FALSE),"unknown")</f>
        <v>50</v>
      </c>
      <c r="AN136" s="120" t="str">
        <f>IFERROR(VLOOKUP(Table1[RespondentID],'All Data'!$A$3:$CO$999,89,FALSE),"unknown")</f>
        <v>Suffolk</v>
      </c>
      <c r="AO136" s="120" t="str">
        <f>IFERROR(VLOOKUP(Table1[RespondentID],'All Data'!$A$3:$CO$999,90,FALSE),"unknown")</f>
        <v>Hauppauge, 11788</v>
      </c>
      <c r="AP136" s="120" t="str">
        <f>IFERROR(VLOOKUP(Table1[RespondentID],'All Data'!$A$3:$CO$999,91,FALSE),"unknown")</f>
        <v>White</v>
      </c>
      <c r="AQ136" s="120" t="str">
        <f>IFERROR(VLOOKUP(Table1[RespondentID],'All Data'!$A$3:$CO$999,92,FALSE),"unknown")</f>
        <v>Hispanic or Latino</v>
      </c>
      <c r="AR136" s="120" t="str">
        <f>IFERROR(VLOOKUP(Table1[RespondentID],'All Data'!$A$3:$CO$999,93,FALSE),"unknown")</f>
        <v>English</v>
      </c>
      <c r="AS136" s="120" t="str">
        <f>IFERROR(VLOOKUP(Table1[RespondentID],'All Data'!$A$3:$CW$999,94,FALSE),"unknown")</f>
        <v>Over $125,000</v>
      </c>
      <c r="AT136" s="120" t="str">
        <f>IFERROR(VLOOKUP(Table1[RespondentID],'All Data'!$A$3:$CW$999,95,FALSE),"unknown")</f>
        <v>College graduate</v>
      </c>
      <c r="AU136" s="120" t="str">
        <f>IFERROR(VLOOKUP(Table1[RespondentID],'All Data'!$A$3:$CW$999,96,FALSE),"unknown")</f>
        <v>Employed for wages</v>
      </c>
      <c r="AV136" s="120" t="str">
        <f>IFERROR(VLOOKUP(Table1[RespondentID],'All Data'!$A$3:$CW$999,97,FALSE),"unknown")</f>
        <v>Yes</v>
      </c>
      <c r="AW136" s="120" t="str">
        <f>IFERROR(VLOOKUP(Table1[RespondentID],'All Data'!$A$3:$CW$999,98,FALSE),"unknown")</f>
        <v>Private/Commercial</v>
      </c>
      <c r="AX136" s="120" t="str">
        <f>IFERROR(VLOOKUP(Table1[RespondentID],'All Data'!$A$3:$CW$999,99,FALSE),"unknown")</f>
        <v>Yes</v>
      </c>
    </row>
    <row r="137" spans="1:50">
      <c r="A137" s="5">
        <v>18022420665</v>
      </c>
      <c r="B137" s="5"/>
      <c r="C137" s="5" t="s">
        <v>17</v>
      </c>
      <c r="D137" s="5"/>
      <c r="E137" s="5"/>
      <c r="F137" s="5"/>
      <c r="G137" s="5"/>
      <c r="H137" s="5" t="s">
        <v>22</v>
      </c>
      <c r="I137" s="5"/>
      <c r="J137" s="5" t="s">
        <v>24</v>
      </c>
      <c r="K137" s="5"/>
      <c r="L137" s="5"/>
      <c r="M137" s="5"/>
      <c r="N137" s="5"/>
      <c r="O137" s="7"/>
      <c r="P137" s="7">
        <f t="shared" si="36"/>
        <v>3</v>
      </c>
      <c r="Q137" s="7">
        <f t="shared" si="37"/>
        <v>1</v>
      </c>
      <c r="R137" s="7"/>
      <c r="S137" s="7">
        <f t="shared" si="53"/>
        <v>0</v>
      </c>
      <c r="T137" s="7">
        <f t="shared" si="38"/>
        <v>1</v>
      </c>
      <c r="U137" s="7">
        <f t="shared" si="39"/>
        <v>0</v>
      </c>
      <c r="V137" s="119">
        <f t="shared" si="40"/>
        <v>0</v>
      </c>
      <c r="W137" s="119">
        <f t="shared" si="41"/>
        <v>0</v>
      </c>
      <c r="X137" s="119">
        <f t="shared" si="42"/>
        <v>0</v>
      </c>
      <c r="Y137" s="119">
        <f t="shared" si="43"/>
        <v>1</v>
      </c>
      <c r="Z137" s="119">
        <f t="shared" si="44"/>
        <v>0</v>
      </c>
      <c r="AA137" s="119">
        <f t="shared" si="45"/>
        <v>1</v>
      </c>
      <c r="AB137" s="119">
        <f t="shared" si="46"/>
        <v>0</v>
      </c>
      <c r="AC137" s="119">
        <f t="shared" si="47"/>
        <v>0</v>
      </c>
      <c r="AD137" s="119">
        <f t="shared" si="48"/>
        <v>0</v>
      </c>
      <c r="AE137" s="119">
        <f t="shared" si="49"/>
        <v>0</v>
      </c>
      <c r="AF137" s="7"/>
      <c r="AG137" s="7"/>
      <c r="AH137" s="7">
        <f t="shared" si="50"/>
        <v>3</v>
      </c>
      <c r="AI137" s="7">
        <f t="shared" si="51"/>
        <v>3</v>
      </c>
      <c r="AJ137" s="7" t="str">
        <f t="shared" si="52"/>
        <v>Correct</v>
      </c>
      <c r="AL137" s="120" t="str">
        <f>IFERROR(VLOOKUP(Table1[RespondentID],'All Data'!$A$3:$CO$999,87,FALSE),"unknown")</f>
        <v>Man</v>
      </c>
      <c r="AM137" s="120">
        <f>IFERROR(VLOOKUP(Table1[RespondentID],'All Data'!$A$3:$CO$999,88,FALSE),"unknown")</f>
        <v>55</v>
      </c>
      <c r="AN137" s="120" t="str">
        <f>IFERROR(VLOOKUP(Table1[RespondentID],'All Data'!$A$3:$CO$999,89,FALSE),"unknown")</f>
        <v>Suffolk</v>
      </c>
      <c r="AO137" s="120" t="str">
        <f>IFERROR(VLOOKUP(Table1[RespondentID],'All Data'!$A$3:$CO$999,90,FALSE),"unknown")</f>
        <v>Commack, 11725</v>
      </c>
      <c r="AP137" s="120" t="str">
        <f>IFERROR(VLOOKUP(Table1[RespondentID],'All Data'!$A$3:$CO$999,91,FALSE),"unknown")</f>
        <v>White</v>
      </c>
      <c r="AQ137" s="120" t="str">
        <f>IFERROR(VLOOKUP(Table1[RespondentID],'All Data'!$A$3:$CO$999,92,FALSE),"unknown")</f>
        <v>Hispanic or Latino</v>
      </c>
      <c r="AR137" s="120" t="str">
        <f>IFERROR(VLOOKUP(Table1[RespondentID],'All Data'!$A$3:$CO$999,93,FALSE),"unknown")</f>
        <v>English</v>
      </c>
      <c r="AS137" s="120" t="str">
        <f>IFERROR(VLOOKUP(Table1[RespondentID],'All Data'!$A$3:$CW$999,94,FALSE),"unknown")</f>
        <v>$50,000 to $74,999</v>
      </c>
      <c r="AT137" s="120" t="str">
        <f>IFERROR(VLOOKUP(Table1[RespondentID],'All Data'!$A$3:$CW$999,95,FALSE),"unknown")</f>
        <v>College graduate</v>
      </c>
      <c r="AU137" s="120" t="str">
        <f>IFERROR(VLOOKUP(Table1[RespondentID],'All Data'!$A$3:$CW$999,96,FALSE),"unknown")</f>
        <v>Employed for wages</v>
      </c>
      <c r="AV137" s="120" t="str">
        <f>IFERROR(VLOOKUP(Table1[RespondentID],'All Data'!$A$3:$CW$999,97,FALSE),"unknown")</f>
        <v>Yes</v>
      </c>
      <c r="AW137" s="120" t="str">
        <f>IFERROR(VLOOKUP(Table1[RespondentID],'All Data'!$A$3:$CW$999,98,FALSE),"unknown")</f>
        <v>Private/Commercial</v>
      </c>
      <c r="AX137" s="120" t="str">
        <f>IFERROR(VLOOKUP(Table1[RespondentID],'All Data'!$A$3:$CW$999,99,FALSE),"unknown")</f>
        <v>Yes</v>
      </c>
    </row>
    <row r="138" spans="1:50">
      <c r="A138" s="5">
        <v>18022420608</v>
      </c>
      <c r="B138" s="5"/>
      <c r="C138" s="5"/>
      <c r="D138" s="5"/>
      <c r="E138" s="5" t="s">
        <v>19</v>
      </c>
      <c r="F138" s="5"/>
      <c r="G138" s="5" t="s">
        <v>21</v>
      </c>
      <c r="H138" s="5" t="s">
        <v>22</v>
      </c>
      <c r="I138" s="5"/>
      <c r="J138" s="5"/>
      <c r="K138" s="5"/>
      <c r="L138" s="5" t="s">
        <v>26</v>
      </c>
      <c r="M138" s="5"/>
      <c r="N138" s="5"/>
      <c r="O138" s="7"/>
      <c r="P138" s="7">
        <f t="shared" si="36"/>
        <v>4</v>
      </c>
      <c r="Q138" s="7">
        <f t="shared" si="37"/>
        <v>0.75</v>
      </c>
      <c r="R138" s="7"/>
      <c r="S138" s="7">
        <f t="shared" si="53"/>
        <v>0</v>
      </c>
      <c r="T138" s="7">
        <f t="shared" si="38"/>
        <v>0</v>
      </c>
      <c r="U138" s="7">
        <f t="shared" si="39"/>
        <v>0</v>
      </c>
      <c r="V138" s="119">
        <f t="shared" si="40"/>
        <v>0.75</v>
      </c>
      <c r="W138" s="119">
        <f t="shared" si="41"/>
        <v>0</v>
      </c>
      <c r="X138" s="119">
        <f t="shared" si="42"/>
        <v>0.75</v>
      </c>
      <c r="Y138" s="119">
        <f t="shared" si="43"/>
        <v>0.75</v>
      </c>
      <c r="Z138" s="119">
        <f t="shared" si="44"/>
        <v>0</v>
      </c>
      <c r="AA138" s="119">
        <f t="shared" si="45"/>
        <v>0</v>
      </c>
      <c r="AB138" s="119">
        <f t="shared" si="46"/>
        <v>0</v>
      </c>
      <c r="AC138" s="119">
        <f t="shared" si="47"/>
        <v>0.75</v>
      </c>
      <c r="AD138" s="119">
        <f t="shared" si="48"/>
        <v>0</v>
      </c>
      <c r="AE138" s="119">
        <f t="shared" si="49"/>
        <v>0</v>
      </c>
      <c r="AF138" s="7"/>
      <c r="AG138" s="7"/>
      <c r="AH138" s="7">
        <f t="shared" si="50"/>
        <v>3</v>
      </c>
      <c r="AI138" s="7">
        <f t="shared" si="51"/>
        <v>4</v>
      </c>
      <c r="AJ138" s="7" t="str">
        <f t="shared" si="52"/>
        <v>Correct</v>
      </c>
      <c r="AL138" s="120" t="str">
        <f>IFERROR(VLOOKUP(Table1[RespondentID],'All Data'!$A$3:$CO$999,87,FALSE),"unknown")</f>
        <v>Man</v>
      </c>
      <c r="AM138" s="120">
        <f>IFERROR(VLOOKUP(Table1[RespondentID],'All Data'!$A$3:$CO$999,88,FALSE),"unknown")</f>
        <v>81</v>
      </c>
      <c r="AN138" s="120" t="str">
        <f>IFERROR(VLOOKUP(Table1[RespondentID],'All Data'!$A$3:$CO$999,89,FALSE),"unknown")</f>
        <v>Suffolk</v>
      </c>
      <c r="AO138" s="120" t="str">
        <f>IFERROR(VLOOKUP(Table1[RespondentID],'All Data'!$A$3:$CO$999,90,FALSE),"unknown")</f>
        <v>Ridge, 11961</v>
      </c>
      <c r="AP138" s="120" t="str">
        <f>IFERROR(VLOOKUP(Table1[RespondentID],'All Data'!$A$3:$CO$999,91,FALSE),"unknown")</f>
        <v>White</v>
      </c>
      <c r="AQ138" s="120" t="str">
        <f>IFERROR(VLOOKUP(Table1[RespondentID],'All Data'!$A$3:$CO$999,92,FALSE),"unknown")</f>
        <v>Not Hispanic or Latino</v>
      </c>
      <c r="AR138" s="120" t="str">
        <f>IFERROR(VLOOKUP(Table1[RespondentID],'All Data'!$A$3:$CO$999,93,FALSE),"unknown")</f>
        <v>English, Spanish</v>
      </c>
      <c r="AS138" s="120" t="str">
        <f>IFERROR(VLOOKUP(Table1[RespondentID],'All Data'!$A$3:$CW$999,94,FALSE),"unknown")</f>
        <v>Over $125,000</v>
      </c>
      <c r="AT138" s="120" t="str">
        <f>IFERROR(VLOOKUP(Table1[RespondentID],'All Data'!$A$3:$CW$999,95,FALSE),"unknown")</f>
        <v>College graduate</v>
      </c>
      <c r="AU138" s="120" t="str">
        <f>IFERROR(VLOOKUP(Table1[RespondentID],'All Data'!$A$3:$CW$999,96,FALSE),"unknown")</f>
        <v>Retired</v>
      </c>
      <c r="AV138" s="120" t="str">
        <f>IFERROR(VLOOKUP(Table1[RespondentID],'All Data'!$A$3:$CW$999,97,FALSE),"unknown")</f>
        <v>Yes</v>
      </c>
      <c r="AW138" s="120" t="str">
        <f>IFERROR(VLOOKUP(Table1[RespondentID],'All Data'!$A$3:$CW$999,98,FALSE),"unknown")</f>
        <v>Medicare</v>
      </c>
      <c r="AX138" s="120" t="str">
        <f>IFERROR(VLOOKUP(Table1[RespondentID],'All Data'!$A$3:$CW$999,99,FALSE),"unknown")</f>
        <v>Yes</v>
      </c>
    </row>
    <row r="139" spans="1:50">
      <c r="A139" s="5">
        <v>18022392509</v>
      </c>
      <c r="B139" s="5"/>
      <c r="C139" s="5"/>
      <c r="D139" s="5" t="s">
        <v>18</v>
      </c>
      <c r="E139" s="5"/>
      <c r="F139" s="5"/>
      <c r="G139" s="5"/>
      <c r="H139" s="5" t="s">
        <v>22</v>
      </c>
      <c r="I139" s="5"/>
      <c r="J139" s="5" t="s">
        <v>24</v>
      </c>
      <c r="K139" s="5"/>
      <c r="L139" s="5" t="s">
        <v>26</v>
      </c>
      <c r="M139" s="5"/>
      <c r="N139" s="5"/>
      <c r="O139" s="7"/>
      <c r="P139" s="7">
        <f t="shared" si="36"/>
        <v>4</v>
      </c>
      <c r="Q139" s="7">
        <f t="shared" si="37"/>
        <v>0.75</v>
      </c>
      <c r="R139" s="7"/>
      <c r="S139" s="7">
        <f t="shared" si="53"/>
        <v>0</v>
      </c>
      <c r="T139" s="7">
        <f t="shared" si="38"/>
        <v>0</v>
      </c>
      <c r="U139" s="7">
        <f t="shared" si="39"/>
        <v>0.75</v>
      </c>
      <c r="V139" s="119">
        <f t="shared" si="40"/>
        <v>0</v>
      </c>
      <c r="W139" s="119">
        <f t="shared" si="41"/>
        <v>0</v>
      </c>
      <c r="X139" s="119">
        <f t="shared" si="42"/>
        <v>0</v>
      </c>
      <c r="Y139" s="119">
        <f t="shared" si="43"/>
        <v>0.75</v>
      </c>
      <c r="Z139" s="119">
        <f t="shared" si="44"/>
        <v>0</v>
      </c>
      <c r="AA139" s="119">
        <f t="shared" si="45"/>
        <v>0.75</v>
      </c>
      <c r="AB139" s="119">
        <f t="shared" si="46"/>
        <v>0</v>
      </c>
      <c r="AC139" s="119">
        <f t="shared" si="47"/>
        <v>0.75</v>
      </c>
      <c r="AD139" s="119">
        <f t="shared" si="48"/>
        <v>0</v>
      </c>
      <c r="AE139" s="119">
        <f t="shared" si="49"/>
        <v>0</v>
      </c>
      <c r="AF139" s="7"/>
      <c r="AG139" s="7"/>
      <c r="AH139" s="7">
        <f t="shared" si="50"/>
        <v>3</v>
      </c>
      <c r="AI139" s="7">
        <f t="shared" si="51"/>
        <v>4</v>
      </c>
      <c r="AJ139" s="7" t="str">
        <f t="shared" si="52"/>
        <v>Correct</v>
      </c>
      <c r="AL139" s="120" t="str">
        <f>IFERROR(VLOOKUP(Table1[RespondentID],'All Data'!$A$3:$CO$999,87,FALSE),"unknown")</f>
        <v>Woman</v>
      </c>
      <c r="AM139" s="120">
        <f>IFERROR(VLOOKUP(Table1[RespondentID],'All Data'!$A$3:$CO$999,88,FALSE),"unknown")</f>
        <v>64</v>
      </c>
      <c r="AN139" s="120" t="str">
        <f>IFERROR(VLOOKUP(Table1[RespondentID],'All Data'!$A$3:$CO$999,89,FALSE),"unknown")</f>
        <v>Suffolk</v>
      </c>
      <c r="AO139" s="120" t="str">
        <f>IFERROR(VLOOKUP(Table1[RespondentID],'All Data'!$A$3:$CO$999,90,FALSE),"unknown")</f>
        <v>West Sayville, 11796</v>
      </c>
      <c r="AP139" s="120" t="str">
        <f>IFERROR(VLOOKUP(Table1[RespondentID],'All Data'!$A$3:$CO$999,91,FALSE),"unknown")</f>
        <v>White</v>
      </c>
      <c r="AQ139" s="120" t="str">
        <f>IFERROR(VLOOKUP(Table1[RespondentID],'All Data'!$A$3:$CO$999,92,FALSE),"unknown")</f>
        <v>Hispanic or Latino</v>
      </c>
      <c r="AR139" s="120" t="str">
        <f>IFERROR(VLOOKUP(Table1[RespondentID],'All Data'!$A$3:$CO$999,93,FALSE),"unknown")</f>
        <v>English</v>
      </c>
      <c r="AS139" s="120" t="str">
        <f>IFERROR(VLOOKUP(Table1[RespondentID],'All Data'!$A$3:$CW$999,94,FALSE),"unknown")</f>
        <v>$75,000 to $125,000</v>
      </c>
      <c r="AT139" s="120" t="str">
        <f>IFERROR(VLOOKUP(Table1[RespondentID],'All Data'!$A$3:$CW$999,95,FALSE),"unknown")</f>
        <v>High school graduate</v>
      </c>
      <c r="AU139" s="120" t="str">
        <f>IFERROR(VLOOKUP(Table1[RespondentID],'All Data'!$A$3:$CW$999,96,FALSE),"unknown")</f>
        <v>Employed for wages</v>
      </c>
      <c r="AV139" s="120" t="str">
        <f>IFERROR(VLOOKUP(Table1[RespondentID],'All Data'!$A$3:$CW$999,97,FALSE),"unknown")</f>
        <v>Yes</v>
      </c>
      <c r="AW139" s="120" t="str">
        <f>IFERROR(VLOOKUP(Table1[RespondentID],'All Data'!$A$3:$CW$999,98,FALSE),"unknown")</f>
        <v>Private/Commercial</v>
      </c>
      <c r="AX139" s="120" t="str">
        <f>IFERROR(VLOOKUP(Table1[RespondentID],'All Data'!$A$3:$CW$999,99,FALSE),"unknown")</f>
        <v>Yes</v>
      </c>
    </row>
    <row r="140" spans="1:50">
      <c r="A140" s="5">
        <v>18022346650</v>
      </c>
      <c r="B140" s="5"/>
      <c r="C140" s="5" t="s">
        <v>17</v>
      </c>
      <c r="D140" s="5" t="s">
        <v>18</v>
      </c>
      <c r="E140" s="5"/>
      <c r="F140" s="5"/>
      <c r="G140" s="5"/>
      <c r="H140" s="5"/>
      <c r="I140" s="5"/>
      <c r="J140" s="5"/>
      <c r="K140" s="5" t="s">
        <v>25</v>
      </c>
      <c r="L140" s="5"/>
      <c r="M140" s="5"/>
      <c r="N140" s="5"/>
      <c r="O140" s="7"/>
      <c r="P140" s="7">
        <f t="shared" si="36"/>
        <v>3</v>
      </c>
      <c r="Q140" s="7">
        <f t="shared" si="37"/>
        <v>1</v>
      </c>
      <c r="R140" s="7"/>
      <c r="S140" s="7">
        <f t="shared" si="53"/>
        <v>0</v>
      </c>
      <c r="T140" s="7">
        <f t="shared" si="38"/>
        <v>1</v>
      </c>
      <c r="U140" s="7">
        <f t="shared" si="39"/>
        <v>1</v>
      </c>
      <c r="V140" s="119">
        <f t="shared" si="40"/>
        <v>0</v>
      </c>
      <c r="W140" s="119">
        <f t="shared" si="41"/>
        <v>0</v>
      </c>
      <c r="X140" s="119">
        <f t="shared" si="42"/>
        <v>0</v>
      </c>
      <c r="Y140" s="119">
        <f t="shared" si="43"/>
        <v>0</v>
      </c>
      <c r="Z140" s="119">
        <f t="shared" si="44"/>
        <v>0</v>
      </c>
      <c r="AA140" s="119">
        <f t="shared" si="45"/>
        <v>0</v>
      </c>
      <c r="AB140" s="119">
        <f t="shared" si="46"/>
        <v>1</v>
      </c>
      <c r="AC140" s="119">
        <f t="shared" si="47"/>
        <v>0</v>
      </c>
      <c r="AD140" s="119">
        <f t="shared" si="48"/>
        <v>0</v>
      </c>
      <c r="AE140" s="119">
        <f t="shared" si="49"/>
        <v>0</v>
      </c>
      <c r="AF140" s="7"/>
      <c r="AG140" s="7"/>
      <c r="AH140" s="7">
        <f t="shared" si="50"/>
        <v>3</v>
      </c>
      <c r="AI140" s="7">
        <f t="shared" si="51"/>
        <v>3</v>
      </c>
      <c r="AJ140" s="7" t="str">
        <f t="shared" si="52"/>
        <v>Correct</v>
      </c>
      <c r="AL140" s="120" t="str">
        <f>IFERROR(VLOOKUP(Table1[RespondentID],'All Data'!$A$3:$CO$999,87,FALSE),"unknown")</f>
        <v>Man</v>
      </c>
      <c r="AM140" s="120">
        <f>IFERROR(VLOOKUP(Table1[RespondentID],'All Data'!$A$3:$CO$999,88,FALSE),"unknown")</f>
        <v>37</v>
      </c>
      <c r="AN140" s="120" t="str">
        <f>IFERROR(VLOOKUP(Table1[RespondentID],'All Data'!$A$3:$CO$999,89,FALSE),"unknown")</f>
        <v>Suffolk</v>
      </c>
      <c r="AO140" s="120" t="str">
        <f>IFERROR(VLOOKUP(Table1[RespondentID],'All Data'!$A$3:$CO$999,90,FALSE),"unknown")</f>
        <v>Lake Grove, 11755</v>
      </c>
      <c r="AP140" s="120" t="str">
        <f>IFERROR(VLOOKUP(Table1[RespondentID],'All Data'!$A$3:$CO$999,91,FALSE),"unknown")</f>
        <v>Other (please specify)</v>
      </c>
      <c r="AQ140" s="120" t="str">
        <f>IFERROR(VLOOKUP(Table1[RespondentID],'All Data'!$A$3:$CO$999,92,FALSE),"unknown")</f>
        <v>Not Hispanic or Latino</v>
      </c>
      <c r="AR140" s="120" t="str">
        <f>IFERROR(VLOOKUP(Table1[RespondentID],'All Data'!$A$3:$CO$999,93,FALSE),"unknown")</f>
        <v>English, Spanish</v>
      </c>
      <c r="AS140" s="120" t="str">
        <f>IFERROR(VLOOKUP(Table1[RespondentID],'All Data'!$A$3:$CW$999,94,FALSE),"unknown")</f>
        <v>Over $125,000</v>
      </c>
      <c r="AT140" s="120">
        <f>IFERROR(VLOOKUP(Table1[RespondentID],'All Data'!$A$3:$CW$999,95,FALSE),"unknown")</f>
        <v>0</v>
      </c>
      <c r="AU140" s="120" t="str">
        <f>IFERROR(VLOOKUP(Table1[RespondentID],'All Data'!$A$3:$CW$999,96,FALSE),"unknown")</f>
        <v>Employed for wages</v>
      </c>
      <c r="AV140" s="120" t="str">
        <f>IFERROR(VLOOKUP(Table1[RespondentID],'All Data'!$A$3:$CW$999,97,FALSE),"unknown")</f>
        <v>Yes</v>
      </c>
      <c r="AW140" s="120" t="str">
        <f>IFERROR(VLOOKUP(Table1[RespondentID],'All Data'!$A$3:$CW$999,98,FALSE),"unknown")</f>
        <v>Private/Commercial</v>
      </c>
      <c r="AX140" s="120" t="str">
        <f>IFERROR(VLOOKUP(Table1[RespondentID],'All Data'!$A$3:$CW$999,99,FALSE),"unknown")</f>
        <v>Yes</v>
      </c>
    </row>
    <row r="141" spans="1:50">
      <c r="A141" s="5">
        <v>18022301049</v>
      </c>
      <c r="B141" s="5"/>
      <c r="C141" s="5"/>
      <c r="D141" s="5"/>
      <c r="E141" s="5" t="s">
        <v>19</v>
      </c>
      <c r="F141" s="5"/>
      <c r="G141" s="5"/>
      <c r="H141" s="5"/>
      <c r="I141" s="5" t="s">
        <v>23</v>
      </c>
      <c r="J141" s="5"/>
      <c r="K141" s="5" t="s">
        <v>25</v>
      </c>
      <c r="L141" s="5"/>
      <c r="M141" s="5"/>
      <c r="N141" s="5" t="s">
        <v>28</v>
      </c>
      <c r="O141" s="7"/>
      <c r="P141" s="7">
        <f t="shared" si="36"/>
        <v>4</v>
      </c>
      <c r="Q141" s="7">
        <f t="shared" si="37"/>
        <v>0.75</v>
      </c>
      <c r="R141" s="7"/>
      <c r="S141" s="7">
        <f t="shared" si="53"/>
        <v>0</v>
      </c>
      <c r="T141" s="7">
        <f t="shared" si="38"/>
        <v>0</v>
      </c>
      <c r="U141" s="7">
        <f t="shared" si="39"/>
        <v>0</v>
      </c>
      <c r="V141" s="119">
        <f t="shared" si="40"/>
        <v>0.75</v>
      </c>
      <c r="W141" s="119">
        <f t="shared" si="41"/>
        <v>0</v>
      </c>
      <c r="X141" s="119">
        <f t="shared" si="42"/>
        <v>0</v>
      </c>
      <c r="Y141" s="119">
        <f t="shared" si="43"/>
        <v>0</v>
      </c>
      <c r="Z141" s="119">
        <f t="shared" si="44"/>
        <v>0.75</v>
      </c>
      <c r="AA141" s="119">
        <f t="shared" si="45"/>
        <v>0</v>
      </c>
      <c r="AB141" s="119">
        <f t="shared" si="46"/>
        <v>0.75</v>
      </c>
      <c r="AC141" s="119">
        <f t="shared" si="47"/>
        <v>0</v>
      </c>
      <c r="AD141" s="119">
        <f t="shared" si="48"/>
        <v>0</v>
      </c>
      <c r="AE141" s="119">
        <f t="shared" si="49"/>
        <v>0.75</v>
      </c>
      <c r="AF141" s="7"/>
      <c r="AG141" s="7"/>
      <c r="AH141" s="7">
        <f t="shared" si="50"/>
        <v>3</v>
      </c>
      <c r="AI141" s="7">
        <f t="shared" si="51"/>
        <v>4</v>
      </c>
      <c r="AJ141" s="7" t="str">
        <f t="shared" si="52"/>
        <v>Correct</v>
      </c>
      <c r="AL141" s="120" t="str">
        <f>IFERROR(VLOOKUP(Table1[RespondentID],'All Data'!$A$3:$CO$999,87,FALSE),"unknown")</f>
        <v>Man</v>
      </c>
      <c r="AM141" s="120">
        <f>IFERROR(VLOOKUP(Table1[RespondentID],'All Data'!$A$3:$CO$999,88,FALSE),"unknown")</f>
        <v>16</v>
      </c>
      <c r="AN141" s="120" t="str">
        <f>IFERROR(VLOOKUP(Table1[RespondentID],'All Data'!$A$3:$CO$999,89,FALSE),"unknown")</f>
        <v>Suffolk</v>
      </c>
      <c r="AO141" s="120" t="str">
        <f>IFERROR(VLOOKUP(Table1[RespondentID],'All Data'!$A$3:$CO$999,90,FALSE),"unknown")</f>
        <v>Dix Hills, 11746</v>
      </c>
      <c r="AP141" s="120" t="str">
        <f>IFERROR(VLOOKUP(Table1[RespondentID],'All Data'!$A$3:$CO$999,91,FALSE),"unknown")</f>
        <v>White</v>
      </c>
      <c r="AQ141" s="120" t="str">
        <f>IFERROR(VLOOKUP(Table1[RespondentID],'All Data'!$A$3:$CO$999,92,FALSE),"unknown")</f>
        <v>Not Hispanic or Latino</v>
      </c>
      <c r="AR141" s="120" t="str">
        <f>IFERROR(VLOOKUP(Table1[RespondentID],'All Data'!$A$3:$CO$999,93,FALSE),"unknown")</f>
        <v>English</v>
      </c>
      <c r="AS141" s="120" t="str">
        <f>IFERROR(VLOOKUP(Table1[RespondentID],'All Data'!$A$3:$CW$999,94,FALSE),"unknown")</f>
        <v>Over $125,000</v>
      </c>
      <c r="AT141" s="120" t="str">
        <f>IFERROR(VLOOKUP(Table1[RespondentID],'All Data'!$A$3:$CW$999,95,FALSE),"unknown")</f>
        <v>Some high school</v>
      </c>
      <c r="AU141" s="120" t="str">
        <f>IFERROR(VLOOKUP(Table1[RespondentID],'All Data'!$A$3:$CW$999,96,FALSE),"unknown")</f>
        <v>Student</v>
      </c>
      <c r="AV141" s="120" t="str">
        <f>IFERROR(VLOOKUP(Table1[RespondentID],'All Data'!$A$3:$CW$999,97,FALSE),"unknown")</f>
        <v>Yes</v>
      </c>
      <c r="AW141" s="120" t="str">
        <f>IFERROR(VLOOKUP(Table1[RespondentID],'All Data'!$A$3:$CW$999,98,FALSE),"unknown")</f>
        <v>Medicaid</v>
      </c>
      <c r="AX141" s="120" t="str">
        <f>IFERROR(VLOOKUP(Table1[RespondentID],'All Data'!$A$3:$CW$999,99,FALSE),"unknown")</f>
        <v>Yes</v>
      </c>
    </row>
    <row r="142" spans="1:50">
      <c r="A142" s="5">
        <v>18022218440</v>
      </c>
      <c r="B142" s="5"/>
      <c r="C142" s="5"/>
      <c r="D142" s="5" t="s">
        <v>18</v>
      </c>
      <c r="E142" s="5"/>
      <c r="F142" s="5"/>
      <c r="G142" s="5"/>
      <c r="H142" s="5" t="s">
        <v>22</v>
      </c>
      <c r="I142" s="5"/>
      <c r="J142" s="5" t="s">
        <v>24</v>
      </c>
      <c r="K142" s="5"/>
      <c r="L142" s="5"/>
      <c r="M142" s="5"/>
      <c r="N142" s="5" t="s">
        <v>28</v>
      </c>
      <c r="O142" s="7"/>
      <c r="P142" s="7">
        <f t="shared" si="36"/>
        <v>4</v>
      </c>
      <c r="Q142" s="7">
        <f t="shared" si="37"/>
        <v>0.75</v>
      </c>
      <c r="R142" s="7"/>
      <c r="S142" s="7">
        <f t="shared" si="53"/>
        <v>0</v>
      </c>
      <c r="T142" s="7">
        <f t="shared" si="38"/>
        <v>0</v>
      </c>
      <c r="U142" s="7">
        <f t="shared" si="39"/>
        <v>0.75</v>
      </c>
      <c r="V142" s="119">
        <f t="shared" si="40"/>
        <v>0</v>
      </c>
      <c r="W142" s="119">
        <f t="shared" si="41"/>
        <v>0</v>
      </c>
      <c r="X142" s="119">
        <f t="shared" si="42"/>
        <v>0</v>
      </c>
      <c r="Y142" s="119">
        <f t="shared" si="43"/>
        <v>0.75</v>
      </c>
      <c r="Z142" s="119">
        <f t="shared" si="44"/>
        <v>0</v>
      </c>
      <c r="AA142" s="119">
        <f t="shared" si="45"/>
        <v>0.75</v>
      </c>
      <c r="AB142" s="119">
        <f t="shared" si="46"/>
        <v>0</v>
      </c>
      <c r="AC142" s="119">
        <f t="shared" si="47"/>
        <v>0</v>
      </c>
      <c r="AD142" s="119">
        <f t="shared" si="48"/>
        <v>0</v>
      </c>
      <c r="AE142" s="119">
        <f t="shared" si="49"/>
        <v>0.75</v>
      </c>
      <c r="AF142" s="7"/>
      <c r="AG142" s="7"/>
      <c r="AH142" s="7">
        <f t="shared" si="50"/>
        <v>3</v>
      </c>
      <c r="AI142" s="7">
        <f t="shared" si="51"/>
        <v>4</v>
      </c>
      <c r="AJ142" s="7" t="str">
        <f t="shared" si="52"/>
        <v>Correct</v>
      </c>
      <c r="AL142" s="120" t="str">
        <f>IFERROR(VLOOKUP(Table1[RespondentID],'All Data'!$A$3:$CO$999,87,FALSE),"unknown")</f>
        <v>Woman</v>
      </c>
      <c r="AM142" s="120">
        <f>IFERROR(VLOOKUP(Table1[RespondentID],'All Data'!$A$3:$CO$999,88,FALSE),"unknown")</f>
        <v>42</v>
      </c>
      <c r="AN142" s="120" t="str">
        <f>IFERROR(VLOOKUP(Table1[RespondentID],'All Data'!$A$3:$CO$999,89,FALSE),"unknown")</f>
        <v>Suffolk</v>
      </c>
      <c r="AO142" s="120" t="str">
        <f>IFERROR(VLOOKUP(Table1[RespondentID],'All Data'!$A$3:$CO$999,90,FALSE),"unknown")</f>
        <v>East Northport, 11731</v>
      </c>
      <c r="AP142" s="120" t="str">
        <f>IFERROR(VLOOKUP(Table1[RespondentID],'All Data'!$A$3:$CO$999,91,FALSE),"unknown")</f>
        <v>White</v>
      </c>
      <c r="AQ142" s="120" t="str">
        <f>IFERROR(VLOOKUP(Table1[RespondentID],'All Data'!$A$3:$CO$999,92,FALSE),"unknown")</f>
        <v>Hispanic or Latino</v>
      </c>
      <c r="AR142" s="120">
        <f>IFERROR(VLOOKUP(Table1[RespondentID],'All Data'!$A$3:$CO$999,93,FALSE),"unknown")</f>
        <v>0</v>
      </c>
      <c r="AS142" s="120" t="str">
        <f>IFERROR(VLOOKUP(Table1[RespondentID],'All Data'!$A$3:$CW$999,94,FALSE),"unknown")</f>
        <v>Over $125,000</v>
      </c>
      <c r="AT142" s="120" t="str">
        <f>IFERROR(VLOOKUP(Table1[RespondentID],'All Data'!$A$3:$CW$999,95,FALSE),"unknown")</f>
        <v>Graduate school</v>
      </c>
      <c r="AU142" s="120" t="str">
        <f>IFERROR(VLOOKUP(Table1[RespondentID],'All Data'!$A$3:$CW$999,96,FALSE),"unknown")</f>
        <v>Employed for wages</v>
      </c>
      <c r="AV142" s="120" t="str">
        <f>IFERROR(VLOOKUP(Table1[RespondentID],'All Data'!$A$3:$CW$999,97,FALSE),"unknown")</f>
        <v>Yes</v>
      </c>
      <c r="AW142" s="120" t="str">
        <f>IFERROR(VLOOKUP(Table1[RespondentID],'All Data'!$A$3:$CW$999,98,FALSE),"unknown")</f>
        <v>Private/Commercial</v>
      </c>
      <c r="AX142" s="120" t="str">
        <f>IFERROR(VLOOKUP(Table1[RespondentID],'All Data'!$A$3:$CW$999,99,FALSE),"unknown")</f>
        <v>Yes</v>
      </c>
    </row>
    <row r="143" spans="1:50">
      <c r="A143" s="5">
        <v>18022157625</v>
      </c>
      <c r="B143" s="5"/>
      <c r="C143" s="5" t="s">
        <v>17</v>
      </c>
      <c r="D143" s="5" t="s">
        <v>18</v>
      </c>
      <c r="E143" s="5"/>
      <c r="F143" s="5"/>
      <c r="G143" s="5"/>
      <c r="H143" s="5"/>
      <c r="I143" s="5"/>
      <c r="J143" s="5"/>
      <c r="K143" s="5" t="s">
        <v>25</v>
      </c>
      <c r="L143" s="5"/>
      <c r="M143" s="5"/>
      <c r="N143" s="5"/>
      <c r="O143" s="7"/>
      <c r="P143" s="7">
        <f t="shared" si="36"/>
        <v>3</v>
      </c>
      <c r="Q143" s="7">
        <f t="shared" si="37"/>
        <v>1</v>
      </c>
      <c r="R143" s="7"/>
      <c r="S143" s="7">
        <f t="shared" si="53"/>
        <v>0</v>
      </c>
      <c r="T143" s="7">
        <f t="shared" si="38"/>
        <v>1</v>
      </c>
      <c r="U143" s="7">
        <f t="shared" si="39"/>
        <v>1</v>
      </c>
      <c r="V143" s="119">
        <f t="shared" si="40"/>
        <v>0</v>
      </c>
      <c r="W143" s="119">
        <f t="shared" si="41"/>
        <v>0</v>
      </c>
      <c r="X143" s="119">
        <f t="shared" si="42"/>
        <v>0</v>
      </c>
      <c r="Y143" s="119">
        <f t="shared" si="43"/>
        <v>0</v>
      </c>
      <c r="Z143" s="119">
        <f t="shared" si="44"/>
        <v>0</v>
      </c>
      <c r="AA143" s="119">
        <f t="shared" si="45"/>
        <v>0</v>
      </c>
      <c r="AB143" s="119">
        <f t="shared" si="46"/>
        <v>1</v>
      </c>
      <c r="AC143" s="119">
        <f t="shared" si="47"/>
        <v>0</v>
      </c>
      <c r="AD143" s="119">
        <f t="shared" si="48"/>
        <v>0</v>
      </c>
      <c r="AE143" s="119">
        <f t="shared" si="49"/>
        <v>0</v>
      </c>
      <c r="AF143" s="7"/>
      <c r="AG143" s="7"/>
      <c r="AH143" s="7">
        <f t="shared" si="50"/>
        <v>3</v>
      </c>
      <c r="AI143" s="7">
        <f t="shared" si="51"/>
        <v>3</v>
      </c>
      <c r="AJ143" s="7" t="str">
        <f t="shared" si="52"/>
        <v>Correct</v>
      </c>
      <c r="AL143" s="120" t="str">
        <f>IFERROR(VLOOKUP(Table1[RespondentID],'All Data'!$A$3:$CO$999,87,FALSE),"unknown")</f>
        <v>Man</v>
      </c>
      <c r="AM143" s="120">
        <f>IFERROR(VLOOKUP(Table1[RespondentID],'All Data'!$A$3:$CO$999,88,FALSE),"unknown")</f>
        <v>20</v>
      </c>
      <c r="AN143" s="120" t="str">
        <f>IFERROR(VLOOKUP(Table1[RespondentID],'All Data'!$A$3:$CO$999,89,FALSE),"unknown")</f>
        <v>Suffolk</v>
      </c>
      <c r="AO143" s="120" t="str">
        <f>IFERROR(VLOOKUP(Table1[RespondentID],'All Data'!$A$3:$CO$999,90,FALSE),"unknown")</f>
        <v>Kings Park, 11754</v>
      </c>
      <c r="AP143" s="120" t="str">
        <f>IFERROR(VLOOKUP(Table1[RespondentID],'All Data'!$A$3:$CO$999,91,FALSE),"unknown")</f>
        <v>White</v>
      </c>
      <c r="AQ143" s="120" t="str">
        <f>IFERROR(VLOOKUP(Table1[RespondentID],'All Data'!$A$3:$CO$999,92,FALSE),"unknown")</f>
        <v>Hispanic or Latino</v>
      </c>
      <c r="AR143" s="120" t="str">
        <f>IFERROR(VLOOKUP(Table1[RespondentID],'All Data'!$A$3:$CO$999,93,FALSE),"unknown")</f>
        <v>English</v>
      </c>
      <c r="AS143" s="120" t="str">
        <f>IFERROR(VLOOKUP(Table1[RespondentID],'All Data'!$A$3:$CW$999,94,FALSE),"unknown")</f>
        <v>Over $125,000</v>
      </c>
      <c r="AT143" s="120" t="str">
        <f>IFERROR(VLOOKUP(Table1[RespondentID],'All Data'!$A$3:$CW$999,95,FALSE),"unknown")</f>
        <v>High school graduate</v>
      </c>
      <c r="AU143" s="120" t="str">
        <f>IFERROR(VLOOKUP(Table1[RespondentID],'All Data'!$A$3:$CW$999,96,FALSE),"unknown")</f>
        <v>Employed for wages</v>
      </c>
      <c r="AV143" s="120" t="str">
        <f>IFERROR(VLOOKUP(Table1[RespondentID],'All Data'!$A$3:$CW$999,97,FALSE),"unknown")</f>
        <v>Yes</v>
      </c>
      <c r="AW143" s="120" t="str">
        <f>IFERROR(VLOOKUP(Table1[RespondentID],'All Data'!$A$3:$CW$999,98,FALSE),"unknown")</f>
        <v>Medicare</v>
      </c>
      <c r="AX143" s="120">
        <f>IFERROR(VLOOKUP(Table1[RespondentID],'All Data'!$A$3:$CW$999,99,FALSE),"unknown")</f>
        <v>0</v>
      </c>
    </row>
    <row r="144" spans="1:50">
      <c r="A144" s="5">
        <v>18022157486</v>
      </c>
      <c r="B144" s="5"/>
      <c r="C144" s="5"/>
      <c r="D144" s="5" t="s">
        <v>18</v>
      </c>
      <c r="E144" s="5"/>
      <c r="F144" s="5"/>
      <c r="G144" s="5"/>
      <c r="H144" s="5"/>
      <c r="I144" s="5"/>
      <c r="J144" s="5"/>
      <c r="K144" s="5" t="s">
        <v>25</v>
      </c>
      <c r="L144" s="5" t="s">
        <v>26</v>
      </c>
      <c r="M144" s="5"/>
      <c r="N144" s="5"/>
      <c r="O144" s="7"/>
      <c r="P144" s="7">
        <f t="shared" si="36"/>
        <v>3</v>
      </c>
      <c r="Q144" s="7">
        <f t="shared" si="37"/>
        <v>1</v>
      </c>
      <c r="R144" s="7"/>
      <c r="S144" s="7">
        <f t="shared" si="53"/>
        <v>0</v>
      </c>
      <c r="T144" s="7">
        <f t="shared" si="38"/>
        <v>0</v>
      </c>
      <c r="U144" s="7">
        <f t="shared" si="39"/>
        <v>1</v>
      </c>
      <c r="V144" s="119">
        <f t="shared" si="40"/>
        <v>0</v>
      </c>
      <c r="W144" s="119">
        <f t="shared" si="41"/>
        <v>0</v>
      </c>
      <c r="X144" s="119">
        <f t="shared" si="42"/>
        <v>0</v>
      </c>
      <c r="Y144" s="119">
        <f t="shared" si="43"/>
        <v>0</v>
      </c>
      <c r="Z144" s="119">
        <f t="shared" si="44"/>
        <v>0</v>
      </c>
      <c r="AA144" s="119">
        <f t="shared" si="45"/>
        <v>0</v>
      </c>
      <c r="AB144" s="119">
        <f t="shared" si="46"/>
        <v>1</v>
      </c>
      <c r="AC144" s="119">
        <f t="shared" si="47"/>
        <v>1</v>
      </c>
      <c r="AD144" s="119">
        <f t="shared" si="48"/>
        <v>0</v>
      </c>
      <c r="AE144" s="119">
        <f t="shared" si="49"/>
        <v>0</v>
      </c>
      <c r="AF144" s="7"/>
      <c r="AG144" s="7"/>
      <c r="AH144" s="7">
        <f t="shared" si="50"/>
        <v>3</v>
      </c>
      <c r="AI144" s="7">
        <f t="shared" si="51"/>
        <v>3</v>
      </c>
      <c r="AJ144" s="7" t="str">
        <f t="shared" si="52"/>
        <v>Correct</v>
      </c>
      <c r="AL144" s="120" t="str">
        <f>IFERROR(VLOOKUP(Table1[RespondentID],'All Data'!$A$3:$CO$999,87,FALSE),"unknown")</f>
        <v>Woman</v>
      </c>
      <c r="AM144" s="120">
        <f>IFERROR(VLOOKUP(Table1[RespondentID],'All Data'!$A$3:$CO$999,88,FALSE),"unknown")</f>
        <v>18</v>
      </c>
      <c r="AN144" s="120" t="str">
        <f>IFERROR(VLOOKUP(Table1[RespondentID],'All Data'!$A$3:$CO$999,89,FALSE),"unknown")</f>
        <v>Suffolk</v>
      </c>
      <c r="AO144" s="120" t="str">
        <f>IFERROR(VLOOKUP(Table1[RespondentID],'All Data'!$A$3:$CO$999,90,FALSE),"unknown")</f>
        <v>Kings Park, 11754</v>
      </c>
      <c r="AP144" s="120" t="str">
        <f>IFERROR(VLOOKUP(Table1[RespondentID],'All Data'!$A$3:$CO$999,91,FALSE),"unknown")</f>
        <v>White</v>
      </c>
      <c r="AQ144" s="120">
        <f>IFERROR(VLOOKUP(Table1[RespondentID],'All Data'!$A$3:$CO$999,92,FALSE),"unknown")</f>
        <v>0</v>
      </c>
      <c r="AR144" s="120" t="str">
        <f>IFERROR(VLOOKUP(Table1[RespondentID],'All Data'!$A$3:$CO$999,93,FALSE),"unknown")</f>
        <v>English, Spanish</v>
      </c>
      <c r="AS144" s="120" t="str">
        <f>IFERROR(VLOOKUP(Table1[RespondentID],'All Data'!$A$3:$CW$999,94,FALSE),"unknown")</f>
        <v>$0-$19,999</v>
      </c>
      <c r="AT144" s="120" t="str">
        <f>IFERROR(VLOOKUP(Table1[RespondentID],'All Data'!$A$3:$CW$999,95,FALSE),"unknown")</f>
        <v>High school graduate</v>
      </c>
      <c r="AU144" s="120" t="str">
        <f>IFERROR(VLOOKUP(Table1[RespondentID],'All Data'!$A$3:$CW$999,96,FALSE),"unknown")</f>
        <v>Employed for wages</v>
      </c>
      <c r="AV144" s="120">
        <f>IFERROR(VLOOKUP(Table1[RespondentID],'All Data'!$A$3:$CW$999,97,FALSE),"unknown")</f>
        <v>0</v>
      </c>
      <c r="AW144" s="120" t="str">
        <f>IFERROR(VLOOKUP(Table1[RespondentID],'All Data'!$A$3:$CW$999,98,FALSE),"unknown")</f>
        <v>Private/Commercial</v>
      </c>
      <c r="AX144" s="120">
        <f>IFERROR(VLOOKUP(Table1[RespondentID],'All Data'!$A$3:$CW$999,99,FALSE),"unknown")</f>
        <v>0</v>
      </c>
    </row>
    <row r="145" spans="1:50">
      <c r="A145" s="5">
        <v>18022157371</v>
      </c>
      <c r="B145" s="5"/>
      <c r="C145" s="5" t="s">
        <v>17</v>
      </c>
      <c r="D145" s="5"/>
      <c r="E145" s="5"/>
      <c r="F145" s="5"/>
      <c r="G145" s="5"/>
      <c r="H145" s="5"/>
      <c r="I145" s="5"/>
      <c r="J145" s="5"/>
      <c r="K145" s="5" t="s">
        <v>25</v>
      </c>
      <c r="L145" s="5"/>
      <c r="M145" s="5"/>
      <c r="N145" s="5" t="s">
        <v>28</v>
      </c>
      <c r="O145" s="7"/>
      <c r="P145" s="7">
        <f t="shared" si="36"/>
        <v>3</v>
      </c>
      <c r="Q145" s="7">
        <f t="shared" si="37"/>
        <v>1</v>
      </c>
      <c r="R145" s="7"/>
      <c r="S145" s="7">
        <f t="shared" si="53"/>
        <v>0</v>
      </c>
      <c r="T145" s="7">
        <f t="shared" si="38"/>
        <v>1</v>
      </c>
      <c r="U145" s="7">
        <f t="shared" si="39"/>
        <v>0</v>
      </c>
      <c r="V145" s="119">
        <f t="shared" si="40"/>
        <v>0</v>
      </c>
      <c r="W145" s="119">
        <f t="shared" si="41"/>
        <v>0</v>
      </c>
      <c r="X145" s="119">
        <f t="shared" si="42"/>
        <v>0</v>
      </c>
      <c r="Y145" s="119">
        <f t="shared" si="43"/>
        <v>0</v>
      </c>
      <c r="Z145" s="119">
        <f t="shared" si="44"/>
        <v>0</v>
      </c>
      <c r="AA145" s="119">
        <f t="shared" si="45"/>
        <v>0</v>
      </c>
      <c r="AB145" s="119">
        <f t="shared" si="46"/>
        <v>1</v>
      </c>
      <c r="AC145" s="119">
        <f t="shared" si="47"/>
        <v>0</v>
      </c>
      <c r="AD145" s="119">
        <f t="shared" si="48"/>
        <v>0</v>
      </c>
      <c r="AE145" s="119">
        <f t="shared" si="49"/>
        <v>1</v>
      </c>
      <c r="AF145" s="7"/>
      <c r="AG145" s="7"/>
      <c r="AH145" s="7">
        <f t="shared" si="50"/>
        <v>3</v>
      </c>
      <c r="AI145" s="7">
        <f t="shared" si="51"/>
        <v>3</v>
      </c>
      <c r="AJ145" s="7" t="str">
        <f t="shared" si="52"/>
        <v>Correct</v>
      </c>
      <c r="AL145" s="120" t="str">
        <f>IFERROR(VLOOKUP(Table1[RespondentID],'All Data'!$A$3:$CO$999,87,FALSE),"unknown")</f>
        <v>Man</v>
      </c>
      <c r="AM145" s="120">
        <f>IFERROR(VLOOKUP(Table1[RespondentID],'All Data'!$A$3:$CO$999,88,FALSE),"unknown")</f>
        <v>42</v>
      </c>
      <c r="AN145" s="120" t="str">
        <f>IFERROR(VLOOKUP(Table1[RespondentID],'All Data'!$A$3:$CO$999,89,FALSE),"unknown")</f>
        <v>Suffolk</v>
      </c>
      <c r="AO145" s="120" t="str">
        <f>IFERROR(VLOOKUP(Table1[RespondentID],'All Data'!$A$3:$CO$999,90,FALSE),"unknown")</f>
        <v>Hauppauge, 11788</v>
      </c>
      <c r="AP145" s="120" t="str">
        <f>IFERROR(VLOOKUP(Table1[RespondentID],'All Data'!$A$3:$CO$999,91,FALSE),"unknown")</f>
        <v>White</v>
      </c>
      <c r="AQ145" s="120" t="str">
        <f>IFERROR(VLOOKUP(Table1[RespondentID],'All Data'!$A$3:$CO$999,92,FALSE),"unknown")</f>
        <v>Hispanic or Latino</v>
      </c>
      <c r="AR145" s="120" t="str">
        <f>IFERROR(VLOOKUP(Table1[RespondentID],'All Data'!$A$3:$CO$999,93,FALSE),"unknown")</f>
        <v>English</v>
      </c>
      <c r="AS145" s="120" t="str">
        <f>IFERROR(VLOOKUP(Table1[RespondentID],'All Data'!$A$3:$CW$999,94,FALSE),"unknown")</f>
        <v>Over $125,000</v>
      </c>
      <c r="AT145" s="120" t="str">
        <f>IFERROR(VLOOKUP(Table1[RespondentID],'All Data'!$A$3:$CW$999,95,FALSE),"unknown")</f>
        <v>Graduate school</v>
      </c>
      <c r="AU145" s="120" t="str">
        <f>IFERROR(VLOOKUP(Table1[RespondentID],'All Data'!$A$3:$CW$999,96,FALSE),"unknown")</f>
        <v>Employed for wages</v>
      </c>
      <c r="AV145" s="120" t="str">
        <f>IFERROR(VLOOKUP(Table1[RespondentID],'All Data'!$A$3:$CW$999,97,FALSE),"unknown")</f>
        <v>Yes</v>
      </c>
      <c r="AW145" s="120" t="str">
        <f>IFERROR(VLOOKUP(Table1[RespondentID],'All Data'!$A$3:$CW$999,98,FALSE),"unknown")</f>
        <v>Private/Commercial</v>
      </c>
      <c r="AX145" s="120">
        <f>IFERROR(VLOOKUP(Table1[RespondentID],'All Data'!$A$3:$CW$999,99,FALSE),"unknown")</f>
        <v>0</v>
      </c>
    </row>
    <row r="146" spans="1:50">
      <c r="A146" s="5">
        <v>18022157215</v>
      </c>
      <c r="B146" s="5" t="s">
        <v>16</v>
      </c>
      <c r="C146" s="5"/>
      <c r="D146" s="5"/>
      <c r="E146" s="5"/>
      <c r="F146" s="5"/>
      <c r="G146" s="5"/>
      <c r="H146" s="5"/>
      <c r="I146" s="5" t="s">
        <v>23</v>
      </c>
      <c r="J146" s="5"/>
      <c r="K146" s="5" t="s">
        <v>25</v>
      </c>
      <c r="L146" s="5"/>
      <c r="M146" s="5"/>
      <c r="N146" s="5"/>
      <c r="O146" s="7"/>
      <c r="P146" s="7">
        <f t="shared" si="36"/>
        <v>3</v>
      </c>
      <c r="Q146" s="7">
        <f t="shared" si="37"/>
        <v>1</v>
      </c>
      <c r="R146" s="7"/>
      <c r="S146" s="7">
        <f t="shared" si="53"/>
        <v>1</v>
      </c>
      <c r="T146" s="7">
        <f t="shared" si="38"/>
        <v>0</v>
      </c>
      <c r="U146" s="7">
        <f t="shared" si="39"/>
        <v>0</v>
      </c>
      <c r="V146" s="119">
        <f t="shared" si="40"/>
        <v>0</v>
      </c>
      <c r="W146" s="119">
        <f t="shared" si="41"/>
        <v>0</v>
      </c>
      <c r="X146" s="119">
        <f t="shared" si="42"/>
        <v>0</v>
      </c>
      <c r="Y146" s="119">
        <f t="shared" si="43"/>
        <v>0</v>
      </c>
      <c r="Z146" s="119">
        <f t="shared" si="44"/>
        <v>1</v>
      </c>
      <c r="AA146" s="119">
        <f t="shared" si="45"/>
        <v>0</v>
      </c>
      <c r="AB146" s="119">
        <f t="shared" si="46"/>
        <v>1</v>
      </c>
      <c r="AC146" s="119">
        <f t="shared" si="47"/>
        <v>0</v>
      </c>
      <c r="AD146" s="119">
        <f t="shared" si="48"/>
        <v>0</v>
      </c>
      <c r="AE146" s="119">
        <f t="shared" si="49"/>
        <v>0</v>
      </c>
      <c r="AF146" s="7"/>
      <c r="AG146" s="7"/>
      <c r="AH146" s="7">
        <f t="shared" si="50"/>
        <v>3</v>
      </c>
      <c r="AI146" s="7">
        <f t="shared" si="51"/>
        <v>3</v>
      </c>
      <c r="AJ146" s="7" t="str">
        <f t="shared" si="52"/>
        <v>Correct</v>
      </c>
      <c r="AL146" s="120" t="str">
        <f>IFERROR(VLOOKUP(Table1[RespondentID],'All Data'!$A$3:$CO$999,87,FALSE),"unknown")</f>
        <v>Man</v>
      </c>
      <c r="AM146" s="120">
        <f>IFERROR(VLOOKUP(Table1[RespondentID],'All Data'!$A$3:$CO$999,88,FALSE),"unknown")</f>
        <v>18</v>
      </c>
      <c r="AN146" s="120" t="str">
        <f>IFERROR(VLOOKUP(Table1[RespondentID],'All Data'!$A$3:$CO$999,89,FALSE),"unknown")</f>
        <v>Suffolk</v>
      </c>
      <c r="AO146" s="120" t="str">
        <f>IFERROR(VLOOKUP(Table1[RespondentID],'All Data'!$A$3:$CO$999,90,FALSE),"unknown")</f>
        <v>Kings Park, 11754</v>
      </c>
      <c r="AP146" s="120" t="str">
        <f>IFERROR(VLOOKUP(Table1[RespondentID],'All Data'!$A$3:$CO$999,91,FALSE),"unknown")</f>
        <v>White</v>
      </c>
      <c r="AQ146" s="120" t="str">
        <f>IFERROR(VLOOKUP(Table1[RespondentID],'All Data'!$A$3:$CO$999,92,FALSE),"unknown")</f>
        <v>Hispanic or Latino</v>
      </c>
      <c r="AR146" s="120" t="str">
        <f>IFERROR(VLOOKUP(Table1[RespondentID],'All Data'!$A$3:$CO$999,93,FALSE),"unknown")</f>
        <v>English</v>
      </c>
      <c r="AS146" s="120" t="str">
        <f>IFERROR(VLOOKUP(Table1[RespondentID],'All Data'!$A$3:$CW$999,94,FALSE),"unknown")</f>
        <v>Over $125,000</v>
      </c>
      <c r="AT146" s="120" t="str">
        <f>IFERROR(VLOOKUP(Table1[RespondentID],'All Data'!$A$3:$CW$999,95,FALSE),"unknown")</f>
        <v>High school graduate</v>
      </c>
      <c r="AU146" s="120" t="str">
        <f>IFERROR(VLOOKUP(Table1[RespondentID],'All Data'!$A$3:$CW$999,96,FALSE),"unknown")</f>
        <v>Student</v>
      </c>
      <c r="AV146" s="120">
        <f>IFERROR(VLOOKUP(Table1[RespondentID],'All Data'!$A$3:$CW$999,97,FALSE),"unknown")</f>
        <v>0</v>
      </c>
      <c r="AW146" s="120" t="str">
        <f>IFERROR(VLOOKUP(Table1[RespondentID],'All Data'!$A$3:$CW$999,98,FALSE),"unknown")</f>
        <v>Medicare</v>
      </c>
      <c r="AX146" s="120">
        <f>IFERROR(VLOOKUP(Table1[RespondentID],'All Data'!$A$3:$CW$999,99,FALSE),"unknown")</f>
        <v>0</v>
      </c>
    </row>
    <row r="147" spans="1:50">
      <c r="A147" s="5">
        <v>18022157058</v>
      </c>
      <c r="B147" s="5"/>
      <c r="C147" s="5"/>
      <c r="D147" s="5"/>
      <c r="E147" s="5"/>
      <c r="F147" s="5"/>
      <c r="G147" s="5"/>
      <c r="H147" s="5"/>
      <c r="I147" s="5"/>
      <c r="J147" s="5"/>
      <c r="K147" s="5" t="s">
        <v>25</v>
      </c>
      <c r="L147" s="5" t="s">
        <v>26</v>
      </c>
      <c r="M147" s="5"/>
      <c r="N147" s="5"/>
      <c r="O147" s="7"/>
      <c r="P147" s="7">
        <f t="shared" si="36"/>
        <v>2</v>
      </c>
      <c r="Q147" s="7">
        <f t="shared" si="37"/>
        <v>1.5</v>
      </c>
      <c r="R147" s="7"/>
      <c r="S147" s="7">
        <f t="shared" si="53"/>
        <v>0</v>
      </c>
      <c r="T147" s="7">
        <f t="shared" si="38"/>
        <v>0</v>
      </c>
      <c r="U147" s="7">
        <f t="shared" si="39"/>
        <v>0</v>
      </c>
      <c r="V147" s="119">
        <f t="shared" si="40"/>
        <v>0</v>
      </c>
      <c r="W147" s="119">
        <f t="shared" si="41"/>
        <v>0</v>
      </c>
      <c r="X147" s="119">
        <f t="shared" si="42"/>
        <v>0</v>
      </c>
      <c r="Y147" s="119">
        <f t="shared" si="43"/>
        <v>0</v>
      </c>
      <c r="Z147" s="119">
        <f t="shared" si="44"/>
        <v>0</v>
      </c>
      <c r="AA147" s="119">
        <f t="shared" si="45"/>
        <v>0</v>
      </c>
      <c r="AB147" s="119">
        <f t="shared" si="46"/>
        <v>1</v>
      </c>
      <c r="AC147" s="119">
        <f t="shared" si="47"/>
        <v>1</v>
      </c>
      <c r="AD147" s="119">
        <f t="shared" si="48"/>
        <v>0</v>
      </c>
      <c r="AE147" s="119">
        <f t="shared" si="49"/>
        <v>0</v>
      </c>
      <c r="AF147" s="7"/>
      <c r="AG147" s="7"/>
      <c r="AH147" s="7">
        <f t="shared" si="50"/>
        <v>2</v>
      </c>
      <c r="AI147" s="7">
        <f t="shared" si="51"/>
        <v>2</v>
      </c>
      <c r="AJ147" s="7" t="str">
        <f t="shared" si="52"/>
        <v>Correct</v>
      </c>
      <c r="AL147" s="120" t="str">
        <f>IFERROR(VLOOKUP(Table1[RespondentID],'All Data'!$A$3:$CO$999,87,FALSE),"unknown")</f>
        <v>Man</v>
      </c>
      <c r="AM147" s="120">
        <f>IFERROR(VLOOKUP(Table1[RespondentID],'All Data'!$A$3:$CO$999,88,FALSE),"unknown")</f>
        <v>18</v>
      </c>
      <c r="AN147" s="120" t="str">
        <f>IFERROR(VLOOKUP(Table1[RespondentID],'All Data'!$A$3:$CO$999,89,FALSE),"unknown")</f>
        <v>Suffolk</v>
      </c>
      <c r="AO147" s="120" t="str">
        <f>IFERROR(VLOOKUP(Table1[RespondentID],'All Data'!$A$3:$CO$999,90,FALSE),"unknown")</f>
        <v>Kings Park, 11754</v>
      </c>
      <c r="AP147" s="120" t="str">
        <f>IFERROR(VLOOKUP(Table1[RespondentID],'All Data'!$A$3:$CO$999,91,FALSE),"unknown")</f>
        <v>White</v>
      </c>
      <c r="AQ147" s="120" t="str">
        <f>IFERROR(VLOOKUP(Table1[RespondentID],'All Data'!$A$3:$CO$999,92,FALSE),"unknown")</f>
        <v>Hispanic or Latino</v>
      </c>
      <c r="AR147" s="120" t="str">
        <f>IFERROR(VLOOKUP(Table1[RespondentID],'All Data'!$A$3:$CO$999,93,FALSE),"unknown")</f>
        <v>English</v>
      </c>
      <c r="AS147" s="120" t="str">
        <f>IFERROR(VLOOKUP(Table1[RespondentID],'All Data'!$A$3:$CW$999,94,FALSE),"unknown")</f>
        <v>$75,000 to $125,000</v>
      </c>
      <c r="AT147" s="120" t="str">
        <f>IFERROR(VLOOKUP(Table1[RespondentID],'All Data'!$A$3:$CW$999,95,FALSE),"unknown")</f>
        <v>Some high school</v>
      </c>
      <c r="AU147" s="120" t="str">
        <f>IFERROR(VLOOKUP(Table1[RespondentID],'All Data'!$A$3:$CW$999,96,FALSE),"unknown")</f>
        <v>Self-employed</v>
      </c>
      <c r="AV147" s="120" t="str">
        <f>IFERROR(VLOOKUP(Table1[RespondentID],'All Data'!$A$3:$CW$999,97,FALSE),"unknown")</f>
        <v>Yes</v>
      </c>
      <c r="AW147" s="120">
        <f>IFERROR(VLOOKUP(Table1[RespondentID],'All Data'!$A$3:$CW$999,98,FALSE),"unknown")</f>
        <v>0</v>
      </c>
      <c r="AX147" s="120">
        <f>IFERROR(VLOOKUP(Table1[RespondentID],'All Data'!$A$3:$CW$999,99,FALSE),"unknown")</f>
        <v>0</v>
      </c>
    </row>
    <row r="148" spans="1:50">
      <c r="A148" s="5">
        <v>18022156869</v>
      </c>
      <c r="B148" s="5"/>
      <c r="C148" s="5"/>
      <c r="D148" s="5"/>
      <c r="E148" s="5"/>
      <c r="F148" s="5"/>
      <c r="G148" s="5"/>
      <c r="H148" s="5"/>
      <c r="I148" s="5"/>
      <c r="J148" s="5"/>
      <c r="K148" s="5" t="s">
        <v>25</v>
      </c>
      <c r="L148" s="5" t="s">
        <v>26</v>
      </c>
      <c r="M148" s="5"/>
      <c r="N148" s="5"/>
      <c r="O148" s="7"/>
      <c r="P148" s="7">
        <f t="shared" si="36"/>
        <v>2</v>
      </c>
      <c r="Q148" s="7">
        <f t="shared" si="37"/>
        <v>1.5</v>
      </c>
      <c r="R148" s="7"/>
      <c r="S148" s="7">
        <f t="shared" si="53"/>
        <v>0</v>
      </c>
      <c r="T148" s="7">
        <f t="shared" si="38"/>
        <v>0</v>
      </c>
      <c r="U148" s="7">
        <f t="shared" si="39"/>
        <v>0</v>
      </c>
      <c r="V148" s="119">
        <f t="shared" si="40"/>
        <v>0</v>
      </c>
      <c r="W148" s="119">
        <f t="shared" si="41"/>
        <v>0</v>
      </c>
      <c r="X148" s="119">
        <f t="shared" si="42"/>
        <v>0</v>
      </c>
      <c r="Y148" s="119">
        <f t="shared" si="43"/>
        <v>0</v>
      </c>
      <c r="Z148" s="119">
        <f t="shared" si="44"/>
        <v>0</v>
      </c>
      <c r="AA148" s="119">
        <f t="shared" si="45"/>
        <v>0</v>
      </c>
      <c r="AB148" s="119">
        <f t="shared" si="46"/>
        <v>1</v>
      </c>
      <c r="AC148" s="119">
        <f t="shared" si="47"/>
        <v>1</v>
      </c>
      <c r="AD148" s="119">
        <f t="shared" si="48"/>
        <v>0</v>
      </c>
      <c r="AE148" s="119">
        <f t="shared" si="49"/>
        <v>0</v>
      </c>
      <c r="AF148" s="7"/>
      <c r="AG148" s="7"/>
      <c r="AH148" s="7">
        <f t="shared" si="50"/>
        <v>2</v>
      </c>
      <c r="AI148" s="7">
        <f t="shared" si="51"/>
        <v>2</v>
      </c>
      <c r="AJ148" s="7" t="str">
        <f t="shared" si="52"/>
        <v>Correct</v>
      </c>
      <c r="AL148" s="120" t="str">
        <f>IFERROR(VLOOKUP(Table1[RespondentID],'All Data'!$A$3:$CO$999,87,FALSE),"unknown")</f>
        <v>Man</v>
      </c>
      <c r="AM148" s="120">
        <f>IFERROR(VLOOKUP(Table1[RespondentID],'All Data'!$A$3:$CO$999,88,FALSE),"unknown")</f>
        <v>18</v>
      </c>
      <c r="AN148" s="120" t="str">
        <f>IFERROR(VLOOKUP(Table1[RespondentID],'All Data'!$A$3:$CO$999,89,FALSE),"unknown")</f>
        <v>Suffolk</v>
      </c>
      <c r="AO148" s="120" t="str">
        <f>IFERROR(VLOOKUP(Table1[RespondentID],'All Data'!$A$3:$CO$999,90,FALSE),"unknown")</f>
        <v>Kings Park, 11754</v>
      </c>
      <c r="AP148" s="120" t="str">
        <f>IFERROR(VLOOKUP(Table1[RespondentID],'All Data'!$A$3:$CO$999,91,FALSE),"unknown")</f>
        <v>White</v>
      </c>
      <c r="AQ148" s="120" t="str">
        <f>IFERROR(VLOOKUP(Table1[RespondentID],'All Data'!$A$3:$CO$999,92,FALSE),"unknown")</f>
        <v>Hispanic or Latino</v>
      </c>
      <c r="AR148" s="120" t="str">
        <f>IFERROR(VLOOKUP(Table1[RespondentID],'All Data'!$A$3:$CO$999,93,FALSE),"unknown")</f>
        <v>English</v>
      </c>
      <c r="AS148" s="120" t="str">
        <f>IFERROR(VLOOKUP(Table1[RespondentID],'All Data'!$A$3:$CW$999,94,FALSE),"unknown")</f>
        <v>Over $125,000</v>
      </c>
      <c r="AT148" s="120" t="str">
        <f>IFERROR(VLOOKUP(Table1[RespondentID],'All Data'!$A$3:$CW$999,95,FALSE),"unknown")</f>
        <v>Other (please specify)</v>
      </c>
      <c r="AU148" s="120" t="str">
        <f>IFERROR(VLOOKUP(Table1[RespondentID],'All Data'!$A$3:$CW$999,96,FALSE),"unknown")</f>
        <v>Employed for wages</v>
      </c>
      <c r="AV148" s="120" t="str">
        <f>IFERROR(VLOOKUP(Table1[RespondentID],'All Data'!$A$3:$CW$999,97,FALSE),"unknown")</f>
        <v>Yes</v>
      </c>
      <c r="AW148" s="120" t="str">
        <f>IFERROR(VLOOKUP(Table1[RespondentID],'All Data'!$A$3:$CW$999,98,FALSE),"unknown")</f>
        <v>Medicare</v>
      </c>
      <c r="AX148" s="120">
        <f>IFERROR(VLOOKUP(Table1[RespondentID],'All Data'!$A$3:$CW$999,99,FALSE),"unknown")</f>
        <v>0</v>
      </c>
    </row>
    <row r="149" spans="1:50">
      <c r="A149" s="5">
        <v>18022156726</v>
      </c>
      <c r="B149" s="5"/>
      <c r="C149" s="5" t="s">
        <v>17</v>
      </c>
      <c r="D149" s="5"/>
      <c r="E149" s="5"/>
      <c r="F149" s="5"/>
      <c r="G149" s="5"/>
      <c r="H149" s="5"/>
      <c r="I149" s="5"/>
      <c r="J149" s="5"/>
      <c r="K149" s="5"/>
      <c r="L149" s="5"/>
      <c r="M149" s="5"/>
      <c r="N149" s="5"/>
      <c r="O149" s="7"/>
      <c r="P149" s="7">
        <f t="shared" si="36"/>
        <v>1</v>
      </c>
      <c r="Q149" s="7">
        <f t="shared" si="37"/>
        <v>3</v>
      </c>
      <c r="R149" s="7"/>
      <c r="S149" s="7">
        <f t="shared" si="53"/>
        <v>0</v>
      </c>
      <c r="T149" s="7">
        <f t="shared" si="38"/>
        <v>1</v>
      </c>
      <c r="U149" s="7">
        <f t="shared" si="39"/>
        <v>0</v>
      </c>
      <c r="V149" s="119">
        <f t="shared" si="40"/>
        <v>0</v>
      </c>
      <c r="W149" s="119">
        <f t="shared" si="41"/>
        <v>0</v>
      </c>
      <c r="X149" s="119">
        <f t="shared" si="42"/>
        <v>0</v>
      </c>
      <c r="Y149" s="119">
        <f t="shared" si="43"/>
        <v>0</v>
      </c>
      <c r="Z149" s="119">
        <f t="shared" si="44"/>
        <v>0</v>
      </c>
      <c r="AA149" s="119">
        <f t="shared" si="45"/>
        <v>0</v>
      </c>
      <c r="AB149" s="119">
        <f t="shared" si="46"/>
        <v>0</v>
      </c>
      <c r="AC149" s="119">
        <f t="shared" si="47"/>
        <v>0</v>
      </c>
      <c r="AD149" s="119">
        <f t="shared" si="48"/>
        <v>0</v>
      </c>
      <c r="AE149" s="119">
        <f t="shared" si="49"/>
        <v>0</v>
      </c>
      <c r="AF149" s="7"/>
      <c r="AG149" s="7"/>
      <c r="AH149" s="7">
        <f t="shared" si="50"/>
        <v>1</v>
      </c>
      <c r="AI149" s="7">
        <f t="shared" si="51"/>
        <v>1</v>
      </c>
      <c r="AJ149" s="7" t="str">
        <f t="shared" si="52"/>
        <v>Correct</v>
      </c>
      <c r="AL149" s="120" t="str">
        <f>IFERROR(VLOOKUP(Table1[RespondentID],'All Data'!$A$3:$CO$999,87,FALSE),"unknown")</f>
        <v>Man</v>
      </c>
      <c r="AM149" s="120">
        <f>IFERROR(VLOOKUP(Table1[RespondentID],'All Data'!$A$3:$CO$999,88,FALSE),"unknown")</f>
        <v>39</v>
      </c>
      <c r="AN149" s="120" t="str">
        <f>IFERROR(VLOOKUP(Table1[RespondentID],'All Data'!$A$3:$CO$999,89,FALSE),"unknown")</f>
        <v>Suffolk</v>
      </c>
      <c r="AO149" s="120" t="str">
        <f>IFERROR(VLOOKUP(Table1[RespondentID],'All Data'!$A$3:$CO$999,90,FALSE),"unknown")</f>
        <v>Medford, 11763</v>
      </c>
      <c r="AP149" s="120" t="str">
        <f>IFERROR(VLOOKUP(Table1[RespondentID],'All Data'!$A$3:$CO$999,91,FALSE),"unknown")</f>
        <v>White</v>
      </c>
      <c r="AQ149" s="120" t="str">
        <f>IFERROR(VLOOKUP(Table1[RespondentID],'All Data'!$A$3:$CO$999,92,FALSE),"unknown")</f>
        <v>Hispanic or Latino</v>
      </c>
      <c r="AR149" s="120" t="str">
        <f>IFERROR(VLOOKUP(Table1[RespondentID],'All Data'!$A$3:$CO$999,93,FALSE),"unknown")</f>
        <v>English</v>
      </c>
      <c r="AS149" s="120" t="str">
        <f>IFERROR(VLOOKUP(Table1[RespondentID],'All Data'!$A$3:$CW$999,94,FALSE),"unknown")</f>
        <v>Over $125,000</v>
      </c>
      <c r="AT149" s="120" t="str">
        <f>IFERROR(VLOOKUP(Table1[RespondentID],'All Data'!$A$3:$CW$999,95,FALSE),"unknown")</f>
        <v>Graduate school</v>
      </c>
      <c r="AU149" s="120" t="str">
        <f>IFERROR(VLOOKUP(Table1[RespondentID],'All Data'!$A$3:$CW$999,96,FALSE),"unknown")</f>
        <v>Employed for wages</v>
      </c>
      <c r="AV149" s="120" t="str">
        <f>IFERROR(VLOOKUP(Table1[RespondentID],'All Data'!$A$3:$CW$999,97,FALSE),"unknown")</f>
        <v>Yes</v>
      </c>
      <c r="AW149" s="120">
        <f>IFERROR(VLOOKUP(Table1[RespondentID],'All Data'!$A$3:$CW$999,98,FALSE),"unknown")</f>
        <v>0</v>
      </c>
      <c r="AX149" s="120">
        <f>IFERROR(VLOOKUP(Table1[RespondentID],'All Data'!$A$3:$CW$999,99,FALSE),"unknown")</f>
        <v>0</v>
      </c>
    </row>
    <row r="150" spans="1:50">
      <c r="A150" s="5">
        <v>18022156601</v>
      </c>
      <c r="B150" s="5"/>
      <c r="C150" s="5"/>
      <c r="D150" s="5" t="s">
        <v>18</v>
      </c>
      <c r="E150" s="5"/>
      <c r="F150" s="5"/>
      <c r="G150" s="5"/>
      <c r="H150" s="5"/>
      <c r="I150" s="5"/>
      <c r="J150" s="5"/>
      <c r="K150" s="5" t="s">
        <v>25</v>
      </c>
      <c r="L150" s="5" t="s">
        <v>26</v>
      </c>
      <c r="M150" s="5"/>
      <c r="N150" s="5"/>
      <c r="O150" s="7"/>
      <c r="P150" s="7">
        <f t="shared" si="36"/>
        <v>3</v>
      </c>
      <c r="Q150" s="7">
        <f t="shared" si="37"/>
        <v>1</v>
      </c>
      <c r="R150" s="7"/>
      <c r="S150" s="7">
        <f t="shared" si="53"/>
        <v>0</v>
      </c>
      <c r="T150" s="7">
        <f t="shared" si="38"/>
        <v>0</v>
      </c>
      <c r="U150" s="7">
        <f t="shared" si="39"/>
        <v>1</v>
      </c>
      <c r="V150" s="119">
        <f t="shared" si="40"/>
        <v>0</v>
      </c>
      <c r="W150" s="119">
        <f t="shared" si="41"/>
        <v>0</v>
      </c>
      <c r="X150" s="119">
        <f t="shared" si="42"/>
        <v>0</v>
      </c>
      <c r="Y150" s="119">
        <f t="shared" si="43"/>
        <v>0</v>
      </c>
      <c r="Z150" s="119">
        <f t="shared" si="44"/>
        <v>0</v>
      </c>
      <c r="AA150" s="119">
        <f t="shared" si="45"/>
        <v>0</v>
      </c>
      <c r="AB150" s="119">
        <f t="shared" si="46"/>
        <v>1</v>
      </c>
      <c r="AC150" s="119">
        <f t="shared" si="47"/>
        <v>1</v>
      </c>
      <c r="AD150" s="119">
        <f t="shared" si="48"/>
        <v>0</v>
      </c>
      <c r="AE150" s="119">
        <f t="shared" si="49"/>
        <v>0</v>
      </c>
      <c r="AF150" s="7"/>
      <c r="AG150" s="7"/>
      <c r="AH150" s="7">
        <f t="shared" si="50"/>
        <v>3</v>
      </c>
      <c r="AI150" s="7">
        <f t="shared" si="51"/>
        <v>3</v>
      </c>
      <c r="AJ150" s="7" t="str">
        <f t="shared" si="52"/>
        <v>Correct</v>
      </c>
      <c r="AL150" s="120" t="str">
        <f>IFERROR(VLOOKUP(Table1[RespondentID],'All Data'!$A$3:$CO$999,87,FALSE),"unknown")</f>
        <v>Man</v>
      </c>
      <c r="AM150" s="120">
        <f>IFERROR(VLOOKUP(Table1[RespondentID],'All Data'!$A$3:$CO$999,88,FALSE),"unknown")</f>
        <v>49</v>
      </c>
      <c r="AN150" s="120" t="str">
        <f>IFERROR(VLOOKUP(Table1[RespondentID],'All Data'!$A$3:$CO$999,89,FALSE),"unknown")</f>
        <v>Suffolk</v>
      </c>
      <c r="AO150" s="120" t="str">
        <f>IFERROR(VLOOKUP(Table1[RespondentID],'All Data'!$A$3:$CO$999,90,FALSE),"unknown")</f>
        <v>Kings Park, 11754</v>
      </c>
      <c r="AP150" s="120" t="str">
        <f>IFERROR(VLOOKUP(Table1[RespondentID],'All Data'!$A$3:$CO$999,91,FALSE),"unknown")</f>
        <v>White</v>
      </c>
      <c r="AQ150" s="120" t="str">
        <f>IFERROR(VLOOKUP(Table1[RespondentID],'All Data'!$A$3:$CO$999,92,FALSE),"unknown")</f>
        <v>Hispanic or Latino</v>
      </c>
      <c r="AR150" s="120" t="str">
        <f>IFERROR(VLOOKUP(Table1[RespondentID],'All Data'!$A$3:$CO$999,93,FALSE),"unknown")</f>
        <v>English</v>
      </c>
      <c r="AS150" s="120" t="str">
        <f>IFERROR(VLOOKUP(Table1[RespondentID],'All Data'!$A$3:$CW$999,94,FALSE),"unknown")</f>
        <v>Over $125,000</v>
      </c>
      <c r="AT150" s="120" t="str">
        <f>IFERROR(VLOOKUP(Table1[RespondentID],'All Data'!$A$3:$CW$999,95,FALSE),"unknown")</f>
        <v>High school graduate</v>
      </c>
      <c r="AU150" s="120" t="str">
        <f>IFERROR(VLOOKUP(Table1[RespondentID],'All Data'!$A$3:$CW$999,96,FALSE),"unknown")</f>
        <v>Out of work, but not currently looking</v>
      </c>
      <c r="AV150" s="120" t="str">
        <f>IFERROR(VLOOKUP(Table1[RespondentID],'All Data'!$A$3:$CW$999,97,FALSE),"unknown")</f>
        <v>Yes</v>
      </c>
      <c r="AW150" s="120" t="str">
        <f>IFERROR(VLOOKUP(Table1[RespondentID],'All Data'!$A$3:$CW$999,98,FALSE),"unknown")</f>
        <v>Private/Commercial</v>
      </c>
      <c r="AX150" s="120">
        <f>IFERROR(VLOOKUP(Table1[RespondentID],'All Data'!$A$3:$CW$999,99,FALSE),"unknown")</f>
        <v>0</v>
      </c>
    </row>
    <row r="151" spans="1:50">
      <c r="A151" s="5">
        <v>18022142040</v>
      </c>
      <c r="B151" s="5"/>
      <c r="C151" s="5" t="s">
        <v>17</v>
      </c>
      <c r="D151" s="5"/>
      <c r="E151" s="5"/>
      <c r="F151" s="5"/>
      <c r="G151" s="5"/>
      <c r="H151" s="5"/>
      <c r="I151" s="5"/>
      <c r="J151" s="5"/>
      <c r="K151" s="5" t="s">
        <v>25</v>
      </c>
      <c r="L151" s="5" t="s">
        <v>26</v>
      </c>
      <c r="M151" s="5"/>
      <c r="N151" s="5"/>
      <c r="O151" s="7"/>
      <c r="P151" s="7">
        <f t="shared" si="36"/>
        <v>3</v>
      </c>
      <c r="Q151" s="7">
        <f t="shared" si="37"/>
        <v>1</v>
      </c>
      <c r="R151" s="7"/>
      <c r="S151" s="7">
        <f t="shared" si="53"/>
        <v>0</v>
      </c>
      <c r="T151" s="7">
        <f t="shared" si="38"/>
        <v>1</v>
      </c>
      <c r="U151" s="7">
        <f t="shared" si="39"/>
        <v>0</v>
      </c>
      <c r="V151" s="119">
        <f t="shared" si="40"/>
        <v>0</v>
      </c>
      <c r="W151" s="119">
        <f t="shared" si="41"/>
        <v>0</v>
      </c>
      <c r="X151" s="119">
        <f t="shared" si="42"/>
        <v>0</v>
      </c>
      <c r="Y151" s="119">
        <f t="shared" si="43"/>
        <v>0</v>
      </c>
      <c r="Z151" s="119">
        <f t="shared" si="44"/>
        <v>0</v>
      </c>
      <c r="AA151" s="119">
        <f t="shared" si="45"/>
        <v>0</v>
      </c>
      <c r="AB151" s="119">
        <f t="shared" si="46"/>
        <v>1</v>
      </c>
      <c r="AC151" s="119">
        <f t="shared" si="47"/>
        <v>1</v>
      </c>
      <c r="AD151" s="119">
        <f t="shared" si="48"/>
        <v>0</v>
      </c>
      <c r="AE151" s="119">
        <f t="shared" si="49"/>
        <v>0</v>
      </c>
      <c r="AF151" s="7"/>
      <c r="AG151" s="7"/>
      <c r="AH151" s="7">
        <f t="shared" si="50"/>
        <v>3</v>
      </c>
      <c r="AI151" s="7">
        <f t="shared" si="51"/>
        <v>3</v>
      </c>
      <c r="AJ151" s="7" t="str">
        <f t="shared" si="52"/>
        <v>Correct</v>
      </c>
      <c r="AL151" s="120" t="str">
        <f>IFERROR(VLOOKUP(Table1[RespondentID],'All Data'!$A$3:$CO$999,87,FALSE),"unknown")</f>
        <v>Woman</v>
      </c>
      <c r="AM151" s="120">
        <f>IFERROR(VLOOKUP(Table1[RespondentID],'All Data'!$A$3:$CO$999,88,FALSE),"unknown")</f>
        <v>37</v>
      </c>
      <c r="AN151" s="120" t="str">
        <f>IFERROR(VLOOKUP(Table1[RespondentID],'All Data'!$A$3:$CO$999,89,FALSE),"unknown")</f>
        <v>Suffolk</v>
      </c>
      <c r="AO151" s="120" t="str">
        <f>IFERROR(VLOOKUP(Table1[RespondentID],'All Data'!$A$3:$CO$999,90,FALSE),"unknown")</f>
        <v>Miller Place, 11764</v>
      </c>
      <c r="AP151" s="120" t="str">
        <f>IFERROR(VLOOKUP(Table1[RespondentID],'All Data'!$A$3:$CO$999,91,FALSE),"unknown")</f>
        <v>White</v>
      </c>
      <c r="AQ151" s="120" t="str">
        <f>IFERROR(VLOOKUP(Table1[RespondentID],'All Data'!$A$3:$CO$999,92,FALSE),"unknown")</f>
        <v>Hispanic or Latino</v>
      </c>
      <c r="AR151" s="120" t="str">
        <f>IFERROR(VLOOKUP(Table1[RespondentID],'All Data'!$A$3:$CO$999,93,FALSE),"unknown")</f>
        <v>English</v>
      </c>
      <c r="AS151" s="120" t="str">
        <f>IFERROR(VLOOKUP(Table1[RespondentID],'All Data'!$A$3:$CW$999,94,FALSE),"unknown")</f>
        <v>Over $125,000</v>
      </c>
      <c r="AT151" s="120" t="str">
        <f>IFERROR(VLOOKUP(Table1[RespondentID],'All Data'!$A$3:$CW$999,95,FALSE),"unknown")</f>
        <v>Graduate school</v>
      </c>
      <c r="AU151" s="120" t="str">
        <f>IFERROR(VLOOKUP(Table1[RespondentID],'All Data'!$A$3:$CW$999,96,FALSE),"unknown")</f>
        <v>Employed for wages</v>
      </c>
      <c r="AV151" s="120" t="str">
        <f>IFERROR(VLOOKUP(Table1[RespondentID],'All Data'!$A$3:$CW$999,97,FALSE),"unknown")</f>
        <v>Yes</v>
      </c>
      <c r="AW151" s="120" t="str">
        <f>IFERROR(VLOOKUP(Table1[RespondentID],'All Data'!$A$3:$CW$999,98,FALSE),"unknown")</f>
        <v>Private/Commercial</v>
      </c>
      <c r="AX151" s="120" t="str">
        <f>IFERROR(VLOOKUP(Table1[RespondentID],'All Data'!$A$3:$CW$999,99,FALSE),"unknown")</f>
        <v>Yes</v>
      </c>
    </row>
    <row r="152" spans="1:50">
      <c r="A152" s="5">
        <v>18022097237</v>
      </c>
      <c r="B152" s="5" t="s">
        <v>16</v>
      </c>
      <c r="C152" s="5" t="s">
        <v>17</v>
      </c>
      <c r="D152" s="5"/>
      <c r="E152" s="5"/>
      <c r="F152" s="5"/>
      <c r="G152" s="5"/>
      <c r="H152" s="5"/>
      <c r="I152" s="5"/>
      <c r="J152" s="5"/>
      <c r="K152" s="5" t="s">
        <v>25</v>
      </c>
      <c r="L152" s="5"/>
      <c r="M152" s="5"/>
      <c r="N152" s="5"/>
      <c r="O152" s="7"/>
      <c r="P152" s="7">
        <f t="shared" si="36"/>
        <v>3</v>
      </c>
      <c r="Q152" s="7">
        <f t="shared" si="37"/>
        <v>1</v>
      </c>
      <c r="R152" s="7"/>
      <c r="S152" s="7">
        <f t="shared" si="53"/>
        <v>1</v>
      </c>
      <c r="T152" s="7">
        <f t="shared" si="38"/>
        <v>1</v>
      </c>
      <c r="U152" s="7">
        <f t="shared" si="39"/>
        <v>0</v>
      </c>
      <c r="V152" s="119">
        <f t="shared" si="40"/>
        <v>0</v>
      </c>
      <c r="W152" s="119">
        <f t="shared" si="41"/>
        <v>0</v>
      </c>
      <c r="X152" s="119">
        <f t="shared" si="42"/>
        <v>0</v>
      </c>
      <c r="Y152" s="119">
        <f t="shared" si="43"/>
        <v>0</v>
      </c>
      <c r="Z152" s="119">
        <f t="shared" si="44"/>
        <v>0</v>
      </c>
      <c r="AA152" s="119">
        <f t="shared" si="45"/>
        <v>0</v>
      </c>
      <c r="AB152" s="119">
        <f t="shared" si="46"/>
        <v>1</v>
      </c>
      <c r="AC152" s="119">
        <f t="shared" si="47"/>
        <v>0</v>
      </c>
      <c r="AD152" s="119">
        <f t="shared" si="48"/>
        <v>0</v>
      </c>
      <c r="AE152" s="119">
        <f t="shared" si="49"/>
        <v>0</v>
      </c>
      <c r="AF152" s="7"/>
      <c r="AG152" s="7"/>
      <c r="AH152" s="7">
        <f t="shared" si="50"/>
        <v>3</v>
      </c>
      <c r="AI152" s="7">
        <f t="shared" si="51"/>
        <v>3</v>
      </c>
      <c r="AJ152" s="7" t="str">
        <f t="shared" si="52"/>
        <v>Correct</v>
      </c>
      <c r="AL152" s="120" t="str">
        <f>IFERROR(VLOOKUP(Table1[RespondentID],'All Data'!$A$3:$CO$999,87,FALSE),"unknown")</f>
        <v>Man</v>
      </c>
      <c r="AM152" s="120">
        <f>IFERROR(VLOOKUP(Table1[RespondentID],'All Data'!$A$3:$CO$999,88,FALSE),"unknown")</f>
        <v>38</v>
      </c>
      <c r="AN152" s="120" t="str">
        <f>IFERROR(VLOOKUP(Table1[RespondentID],'All Data'!$A$3:$CO$999,89,FALSE),"unknown")</f>
        <v>Suffolk</v>
      </c>
      <c r="AO152" s="120" t="str">
        <f>IFERROR(VLOOKUP(Table1[RespondentID],'All Data'!$A$3:$CO$999,90,FALSE),"unknown")</f>
        <v>Saint James, 11780</v>
      </c>
      <c r="AP152" s="120" t="str">
        <f>IFERROR(VLOOKUP(Table1[RespondentID],'All Data'!$A$3:$CO$999,91,FALSE),"unknown")</f>
        <v>White</v>
      </c>
      <c r="AQ152" s="120" t="str">
        <f>IFERROR(VLOOKUP(Table1[RespondentID],'All Data'!$A$3:$CO$999,92,FALSE),"unknown")</f>
        <v>Hispanic or Latino</v>
      </c>
      <c r="AR152" s="120" t="str">
        <f>IFERROR(VLOOKUP(Table1[RespondentID],'All Data'!$A$3:$CO$999,93,FALSE),"unknown")</f>
        <v>English</v>
      </c>
      <c r="AS152" s="120" t="str">
        <f>IFERROR(VLOOKUP(Table1[RespondentID],'All Data'!$A$3:$CW$999,94,FALSE),"unknown")</f>
        <v>Over $125,000</v>
      </c>
      <c r="AT152" s="120" t="str">
        <f>IFERROR(VLOOKUP(Table1[RespondentID],'All Data'!$A$3:$CW$999,95,FALSE),"unknown")</f>
        <v>Graduate school</v>
      </c>
      <c r="AU152" s="120" t="str">
        <f>IFERROR(VLOOKUP(Table1[RespondentID],'All Data'!$A$3:$CW$999,96,FALSE),"unknown")</f>
        <v>Employed for wages</v>
      </c>
      <c r="AV152" s="120" t="str">
        <f>IFERROR(VLOOKUP(Table1[RespondentID],'All Data'!$A$3:$CW$999,97,FALSE),"unknown")</f>
        <v>Yes</v>
      </c>
      <c r="AW152" s="120" t="str">
        <f>IFERROR(VLOOKUP(Table1[RespondentID],'All Data'!$A$3:$CW$999,98,FALSE),"unknown")</f>
        <v>Private/Commercial</v>
      </c>
      <c r="AX152" s="120" t="str">
        <f>IFERROR(VLOOKUP(Table1[RespondentID],'All Data'!$A$3:$CW$999,99,FALSE),"unknown")</f>
        <v>Yes</v>
      </c>
    </row>
    <row r="153" spans="1:50">
      <c r="A153" s="5">
        <v>18022088692</v>
      </c>
      <c r="B153" s="5"/>
      <c r="C153" s="5" t="s">
        <v>17</v>
      </c>
      <c r="D153" s="5" t="s">
        <v>18</v>
      </c>
      <c r="E153" s="5"/>
      <c r="F153" s="5"/>
      <c r="G153" s="5"/>
      <c r="H153" s="5"/>
      <c r="I153" s="5"/>
      <c r="J153" s="5"/>
      <c r="K153" s="5"/>
      <c r="L153" s="5" t="s">
        <v>26</v>
      </c>
      <c r="M153" s="5"/>
      <c r="N153" s="5"/>
      <c r="O153" s="7"/>
      <c r="P153" s="7">
        <f t="shared" si="36"/>
        <v>3</v>
      </c>
      <c r="Q153" s="7">
        <f t="shared" si="37"/>
        <v>1</v>
      </c>
      <c r="R153" s="7"/>
      <c r="S153" s="7">
        <f t="shared" si="53"/>
        <v>0</v>
      </c>
      <c r="T153" s="7">
        <f t="shared" si="38"/>
        <v>1</v>
      </c>
      <c r="U153" s="7">
        <f t="shared" si="39"/>
        <v>1</v>
      </c>
      <c r="V153" s="119">
        <f t="shared" si="40"/>
        <v>0</v>
      </c>
      <c r="W153" s="119">
        <f t="shared" si="41"/>
        <v>0</v>
      </c>
      <c r="X153" s="119">
        <f t="shared" si="42"/>
        <v>0</v>
      </c>
      <c r="Y153" s="119">
        <f t="shared" si="43"/>
        <v>0</v>
      </c>
      <c r="Z153" s="119">
        <f t="shared" si="44"/>
        <v>0</v>
      </c>
      <c r="AA153" s="119">
        <f t="shared" si="45"/>
        <v>0</v>
      </c>
      <c r="AB153" s="119">
        <f t="shared" si="46"/>
        <v>0</v>
      </c>
      <c r="AC153" s="119">
        <f t="shared" si="47"/>
        <v>1</v>
      </c>
      <c r="AD153" s="119">
        <f t="shared" si="48"/>
        <v>0</v>
      </c>
      <c r="AE153" s="119">
        <f t="shared" si="49"/>
        <v>0</v>
      </c>
      <c r="AF153" s="7"/>
      <c r="AG153" s="7"/>
      <c r="AH153" s="7">
        <f t="shared" si="50"/>
        <v>3</v>
      </c>
      <c r="AI153" s="7">
        <f t="shared" si="51"/>
        <v>3</v>
      </c>
      <c r="AJ153" s="7" t="str">
        <f t="shared" si="52"/>
        <v>Correct</v>
      </c>
      <c r="AL153" s="120" t="str">
        <f>IFERROR(VLOOKUP(Table1[RespondentID],'All Data'!$A$3:$CO$999,87,FALSE),"unknown")</f>
        <v>Man</v>
      </c>
      <c r="AM153" s="120">
        <f>IFERROR(VLOOKUP(Table1[RespondentID],'All Data'!$A$3:$CO$999,88,FALSE),"unknown")</f>
        <v>50</v>
      </c>
      <c r="AN153" s="120" t="str">
        <f>IFERROR(VLOOKUP(Table1[RespondentID],'All Data'!$A$3:$CO$999,89,FALSE),"unknown")</f>
        <v>Suffolk</v>
      </c>
      <c r="AO153" s="120" t="str">
        <f>IFERROR(VLOOKUP(Table1[RespondentID],'All Data'!$A$3:$CO$999,90,FALSE),"unknown")</f>
        <v>Saint James, 11780</v>
      </c>
      <c r="AP153" s="120" t="str">
        <f>IFERROR(VLOOKUP(Table1[RespondentID],'All Data'!$A$3:$CO$999,91,FALSE),"unknown")</f>
        <v>White</v>
      </c>
      <c r="AQ153" s="120" t="str">
        <f>IFERROR(VLOOKUP(Table1[RespondentID],'All Data'!$A$3:$CO$999,92,FALSE),"unknown")</f>
        <v>Hispanic or Latino</v>
      </c>
      <c r="AR153" s="120" t="str">
        <f>IFERROR(VLOOKUP(Table1[RespondentID],'All Data'!$A$3:$CO$999,93,FALSE),"unknown")</f>
        <v>English</v>
      </c>
      <c r="AS153" s="120" t="str">
        <f>IFERROR(VLOOKUP(Table1[RespondentID],'All Data'!$A$3:$CW$999,94,FALSE),"unknown")</f>
        <v>Over $125,000</v>
      </c>
      <c r="AT153" s="120" t="str">
        <f>IFERROR(VLOOKUP(Table1[RespondentID],'All Data'!$A$3:$CW$999,95,FALSE),"unknown")</f>
        <v>Graduate school</v>
      </c>
      <c r="AU153" s="120" t="str">
        <f>IFERROR(VLOOKUP(Table1[RespondentID],'All Data'!$A$3:$CW$999,96,FALSE),"unknown")</f>
        <v>Employed for wages</v>
      </c>
      <c r="AV153" s="120" t="str">
        <f>IFERROR(VLOOKUP(Table1[RespondentID],'All Data'!$A$3:$CW$999,97,FALSE),"unknown")</f>
        <v>Yes</v>
      </c>
      <c r="AW153" s="120" t="str">
        <f>IFERROR(VLOOKUP(Table1[RespondentID],'All Data'!$A$3:$CW$999,98,FALSE),"unknown")</f>
        <v>Private/Commercial</v>
      </c>
      <c r="AX153" s="120" t="str">
        <f>IFERROR(VLOOKUP(Table1[RespondentID],'All Data'!$A$3:$CW$999,99,FALSE),"unknown")</f>
        <v>Yes</v>
      </c>
    </row>
    <row r="154" spans="1:50">
      <c r="A154" s="5">
        <v>18022063568</v>
      </c>
      <c r="B154" s="5"/>
      <c r="C154" s="5" t="s">
        <v>17</v>
      </c>
      <c r="D154" s="5"/>
      <c r="E154" s="5"/>
      <c r="F154" s="5"/>
      <c r="G154" s="5"/>
      <c r="H154" s="5"/>
      <c r="I154" s="5"/>
      <c r="J154" s="5"/>
      <c r="K154" s="5" t="s">
        <v>25</v>
      </c>
      <c r="L154" s="5" t="s">
        <v>26</v>
      </c>
      <c r="M154" s="5"/>
      <c r="N154" s="5"/>
      <c r="O154" s="7"/>
      <c r="P154" s="7">
        <f t="shared" si="36"/>
        <v>3</v>
      </c>
      <c r="Q154" s="7">
        <f t="shared" si="37"/>
        <v>1</v>
      </c>
      <c r="R154" s="7"/>
      <c r="S154" s="7">
        <f t="shared" si="53"/>
        <v>0</v>
      </c>
      <c r="T154" s="7">
        <f t="shared" si="38"/>
        <v>1</v>
      </c>
      <c r="U154" s="7">
        <f t="shared" si="39"/>
        <v>0</v>
      </c>
      <c r="V154" s="119">
        <f t="shared" si="40"/>
        <v>0</v>
      </c>
      <c r="W154" s="119">
        <f t="shared" si="41"/>
        <v>0</v>
      </c>
      <c r="X154" s="119">
        <f t="shared" si="42"/>
        <v>0</v>
      </c>
      <c r="Y154" s="119">
        <f t="shared" si="43"/>
        <v>0</v>
      </c>
      <c r="Z154" s="119">
        <f t="shared" si="44"/>
        <v>0</v>
      </c>
      <c r="AA154" s="119">
        <f t="shared" si="45"/>
        <v>0</v>
      </c>
      <c r="AB154" s="119">
        <f t="shared" si="46"/>
        <v>1</v>
      </c>
      <c r="AC154" s="119">
        <f t="shared" si="47"/>
        <v>1</v>
      </c>
      <c r="AD154" s="119">
        <f t="shared" si="48"/>
        <v>0</v>
      </c>
      <c r="AE154" s="119">
        <f t="shared" si="49"/>
        <v>0</v>
      </c>
      <c r="AF154" s="7"/>
      <c r="AG154" s="7"/>
      <c r="AH154" s="7">
        <f t="shared" si="50"/>
        <v>3</v>
      </c>
      <c r="AI154" s="7">
        <f t="shared" si="51"/>
        <v>3</v>
      </c>
      <c r="AJ154" s="7" t="str">
        <f t="shared" si="52"/>
        <v>Correct</v>
      </c>
      <c r="AL154" s="120" t="str">
        <f>IFERROR(VLOOKUP(Table1[RespondentID],'All Data'!$A$3:$CO$999,87,FALSE),"unknown")</f>
        <v>Man</v>
      </c>
      <c r="AM154" s="120">
        <f>IFERROR(VLOOKUP(Table1[RespondentID],'All Data'!$A$3:$CO$999,88,FALSE),"unknown")</f>
        <v>66</v>
      </c>
      <c r="AN154" s="120" t="str">
        <f>IFERROR(VLOOKUP(Table1[RespondentID],'All Data'!$A$3:$CO$999,89,FALSE),"unknown")</f>
        <v>Suffolk</v>
      </c>
      <c r="AO154" s="120" t="str">
        <f>IFERROR(VLOOKUP(Table1[RespondentID],'All Data'!$A$3:$CO$999,90,FALSE),"unknown")</f>
        <v>Islip Manor, 11751</v>
      </c>
      <c r="AP154" s="120" t="str">
        <f>IFERROR(VLOOKUP(Table1[RespondentID],'All Data'!$A$3:$CO$999,91,FALSE),"unknown")</f>
        <v>White</v>
      </c>
      <c r="AQ154" s="120" t="str">
        <f>IFERROR(VLOOKUP(Table1[RespondentID],'All Data'!$A$3:$CO$999,92,FALSE),"unknown")</f>
        <v>Hispanic or Latino</v>
      </c>
      <c r="AR154" s="120" t="str">
        <f>IFERROR(VLOOKUP(Table1[RespondentID],'All Data'!$A$3:$CO$999,93,FALSE),"unknown")</f>
        <v>English</v>
      </c>
      <c r="AS154" s="120" t="str">
        <f>IFERROR(VLOOKUP(Table1[RespondentID],'All Data'!$A$3:$CW$999,94,FALSE),"unknown")</f>
        <v>$75,000 to $125,000</v>
      </c>
      <c r="AT154" s="120" t="str">
        <f>IFERROR(VLOOKUP(Table1[RespondentID],'All Data'!$A$3:$CW$999,95,FALSE),"unknown")</f>
        <v>College graduate</v>
      </c>
      <c r="AU154" s="120" t="str">
        <f>IFERROR(VLOOKUP(Table1[RespondentID],'All Data'!$A$3:$CW$999,96,FALSE),"unknown")</f>
        <v>Retired</v>
      </c>
      <c r="AV154" s="120" t="str">
        <f>IFERROR(VLOOKUP(Table1[RespondentID],'All Data'!$A$3:$CW$999,97,FALSE),"unknown")</f>
        <v>Yes</v>
      </c>
      <c r="AW154" s="120" t="str">
        <f>IFERROR(VLOOKUP(Table1[RespondentID],'All Data'!$A$3:$CW$999,98,FALSE),"unknown")</f>
        <v>Medicare, Private/Commercial</v>
      </c>
      <c r="AX154" s="120" t="str">
        <f>IFERROR(VLOOKUP(Table1[RespondentID],'All Data'!$A$3:$CW$999,99,FALSE),"unknown")</f>
        <v>Yes</v>
      </c>
    </row>
    <row r="155" spans="1:50">
      <c r="A155" s="5">
        <v>18021911363</v>
      </c>
      <c r="B155" s="5"/>
      <c r="C155" s="5"/>
      <c r="D155" s="5"/>
      <c r="E155" s="5"/>
      <c r="F155" s="5"/>
      <c r="G155" s="5" t="s">
        <v>21</v>
      </c>
      <c r="H155" s="5"/>
      <c r="I155" s="5"/>
      <c r="J155" s="5" t="s">
        <v>24</v>
      </c>
      <c r="K155" s="5" t="s">
        <v>25</v>
      </c>
      <c r="L155" s="5"/>
      <c r="M155" s="5"/>
      <c r="N155" s="5" t="s">
        <v>28</v>
      </c>
      <c r="O155" s="7"/>
      <c r="P155" s="7">
        <f t="shared" si="36"/>
        <v>4</v>
      </c>
      <c r="Q155" s="7">
        <f t="shared" si="37"/>
        <v>0.75</v>
      </c>
      <c r="R155" s="7"/>
      <c r="S155" s="7">
        <f t="shared" si="53"/>
        <v>0</v>
      </c>
      <c r="T155" s="7">
        <f t="shared" si="38"/>
        <v>0</v>
      </c>
      <c r="U155" s="7">
        <f t="shared" si="39"/>
        <v>0</v>
      </c>
      <c r="V155" s="119">
        <f t="shared" si="40"/>
        <v>0</v>
      </c>
      <c r="W155" s="119">
        <f t="shared" si="41"/>
        <v>0</v>
      </c>
      <c r="X155" s="119">
        <f t="shared" si="42"/>
        <v>0.75</v>
      </c>
      <c r="Y155" s="119">
        <f t="shared" si="43"/>
        <v>0</v>
      </c>
      <c r="Z155" s="119">
        <f t="shared" si="44"/>
        <v>0</v>
      </c>
      <c r="AA155" s="119">
        <f t="shared" si="45"/>
        <v>0.75</v>
      </c>
      <c r="AB155" s="119">
        <f t="shared" si="46"/>
        <v>0.75</v>
      </c>
      <c r="AC155" s="119">
        <f t="shared" si="47"/>
        <v>0</v>
      </c>
      <c r="AD155" s="119">
        <f t="shared" si="48"/>
        <v>0</v>
      </c>
      <c r="AE155" s="119">
        <f t="shared" si="49"/>
        <v>0.75</v>
      </c>
      <c r="AF155" s="7"/>
      <c r="AG155" s="7"/>
      <c r="AH155" s="7">
        <f t="shared" si="50"/>
        <v>3</v>
      </c>
      <c r="AI155" s="7">
        <f t="shared" si="51"/>
        <v>4</v>
      </c>
      <c r="AJ155" s="7" t="str">
        <f t="shared" si="52"/>
        <v>Correct</v>
      </c>
      <c r="AL155" s="120" t="str">
        <f>IFERROR(VLOOKUP(Table1[RespondentID],'All Data'!$A$3:$CO$999,87,FALSE),"unknown")</f>
        <v>Man</v>
      </c>
      <c r="AM155" s="120">
        <f>IFERROR(VLOOKUP(Table1[RespondentID],'All Data'!$A$3:$CO$999,88,FALSE),"unknown")</f>
        <v>40</v>
      </c>
      <c r="AN155" s="120" t="str">
        <f>IFERROR(VLOOKUP(Table1[RespondentID],'All Data'!$A$3:$CO$999,89,FALSE),"unknown")</f>
        <v>Suffolk</v>
      </c>
      <c r="AO155" s="120" t="str">
        <f>IFERROR(VLOOKUP(Table1[RespondentID],'All Data'!$A$3:$CO$999,90,FALSE),"unknown")</f>
        <v>Deer Park, 11729</v>
      </c>
      <c r="AP155" s="120" t="str">
        <f>IFERROR(VLOOKUP(Table1[RespondentID],'All Data'!$A$3:$CO$999,91,FALSE),"unknown")</f>
        <v>White</v>
      </c>
      <c r="AQ155" s="120" t="str">
        <f>IFERROR(VLOOKUP(Table1[RespondentID],'All Data'!$A$3:$CO$999,92,FALSE),"unknown")</f>
        <v>Hispanic or Latino</v>
      </c>
      <c r="AR155" s="120" t="str">
        <f>IFERROR(VLOOKUP(Table1[RespondentID],'All Data'!$A$3:$CO$999,93,FALSE),"unknown")</f>
        <v>English</v>
      </c>
      <c r="AS155" s="120" t="str">
        <f>IFERROR(VLOOKUP(Table1[RespondentID],'All Data'!$A$3:$CW$999,94,FALSE),"unknown")</f>
        <v>$75,000 to $125,000</v>
      </c>
      <c r="AT155" s="120" t="str">
        <f>IFERROR(VLOOKUP(Table1[RespondentID],'All Data'!$A$3:$CW$999,95,FALSE),"unknown")</f>
        <v>Graduate school</v>
      </c>
      <c r="AU155" s="120" t="str">
        <f>IFERROR(VLOOKUP(Table1[RespondentID],'All Data'!$A$3:$CW$999,96,FALSE),"unknown")</f>
        <v>Employed for wages</v>
      </c>
      <c r="AV155" s="120" t="str">
        <f>IFERROR(VLOOKUP(Table1[RespondentID],'All Data'!$A$3:$CW$999,97,FALSE),"unknown")</f>
        <v>Yes</v>
      </c>
      <c r="AW155" s="120" t="str">
        <f>IFERROR(VLOOKUP(Table1[RespondentID],'All Data'!$A$3:$CW$999,98,FALSE),"unknown")</f>
        <v>Private/Commercial</v>
      </c>
      <c r="AX155" s="120" t="str">
        <f>IFERROR(VLOOKUP(Table1[RespondentID],'All Data'!$A$3:$CW$999,99,FALSE),"unknown")</f>
        <v>Yes</v>
      </c>
    </row>
    <row r="156" spans="1:50">
      <c r="A156" s="5">
        <v>18021903702</v>
      </c>
      <c r="B156" s="5"/>
      <c r="C156" s="5"/>
      <c r="D156" s="5"/>
      <c r="E156" s="5"/>
      <c r="F156" s="5"/>
      <c r="G156" s="5"/>
      <c r="H156" s="5" t="s">
        <v>22</v>
      </c>
      <c r="I156" s="5" t="s">
        <v>23</v>
      </c>
      <c r="J156" s="5"/>
      <c r="K156" s="5" t="s">
        <v>25</v>
      </c>
      <c r="L156" s="5"/>
      <c r="M156" s="5"/>
      <c r="N156" s="5"/>
      <c r="O156" s="7"/>
      <c r="P156" s="7">
        <f t="shared" si="36"/>
        <v>3</v>
      </c>
      <c r="Q156" s="7">
        <f t="shared" si="37"/>
        <v>1</v>
      </c>
      <c r="R156" s="7"/>
      <c r="S156" s="7">
        <f t="shared" si="53"/>
        <v>0</v>
      </c>
      <c r="T156" s="7">
        <f t="shared" si="38"/>
        <v>0</v>
      </c>
      <c r="U156" s="7">
        <f t="shared" si="39"/>
        <v>0</v>
      </c>
      <c r="V156" s="119">
        <f t="shared" si="40"/>
        <v>0</v>
      </c>
      <c r="W156" s="119">
        <f t="shared" si="41"/>
        <v>0</v>
      </c>
      <c r="X156" s="119">
        <f t="shared" si="42"/>
        <v>0</v>
      </c>
      <c r="Y156" s="119">
        <f t="shared" si="43"/>
        <v>1</v>
      </c>
      <c r="Z156" s="119">
        <f t="shared" si="44"/>
        <v>1</v>
      </c>
      <c r="AA156" s="119">
        <f t="shared" si="45"/>
        <v>0</v>
      </c>
      <c r="AB156" s="119">
        <f t="shared" si="46"/>
        <v>1</v>
      </c>
      <c r="AC156" s="119">
        <f t="shared" si="47"/>
        <v>0</v>
      </c>
      <c r="AD156" s="119">
        <f t="shared" si="48"/>
        <v>0</v>
      </c>
      <c r="AE156" s="119">
        <f t="shared" si="49"/>
        <v>0</v>
      </c>
      <c r="AF156" s="7"/>
      <c r="AG156" s="7"/>
      <c r="AH156" s="7">
        <f t="shared" si="50"/>
        <v>3</v>
      </c>
      <c r="AI156" s="7">
        <f t="shared" si="51"/>
        <v>3</v>
      </c>
      <c r="AJ156" s="7" t="str">
        <f t="shared" si="52"/>
        <v>Correct</v>
      </c>
      <c r="AL156" s="120" t="str">
        <f>IFERROR(VLOOKUP(Table1[RespondentID],'All Data'!$A$3:$CO$999,87,FALSE),"unknown")</f>
        <v>Man</v>
      </c>
      <c r="AM156" s="120">
        <f>IFERROR(VLOOKUP(Table1[RespondentID],'All Data'!$A$3:$CO$999,88,FALSE),"unknown")</f>
        <v>49</v>
      </c>
      <c r="AN156" s="120" t="str">
        <f>IFERROR(VLOOKUP(Table1[RespondentID],'All Data'!$A$3:$CO$999,89,FALSE),"unknown")</f>
        <v>Suffolk</v>
      </c>
      <c r="AO156" s="120" t="str">
        <f>IFERROR(VLOOKUP(Table1[RespondentID],'All Data'!$A$3:$CO$999,90,FALSE),"unknown")</f>
        <v>Copiague, 11726</v>
      </c>
      <c r="AP156" s="120" t="str">
        <f>IFERROR(VLOOKUP(Table1[RespondentID],'All Data'!$A$3:$CO$999,91,FALSE),"unknown")</f>
        <v>Other (please specify)</v>
      </c>
      <c r="AQ156" s="120" t="str">
        <f>IFERROR(VLOOKUP(Table1[RespondentID],'All Data'!$A$3:$CO$999,92,FALSE),"unknown")</f>
        <v>Not Hispanic or Latino</v>
      </c>
      <c r="AR156" s="120" t="str">
        <f>IFERROR(VLOOKUP(Table1[RespondentID],'All Data'!$A$3:$CO$999,93,FALSE),"unknown")</f>
        <v>English</v>
      </c>
      <c r="AS156" s="120" t="str">
        <f>IFERROR(VLOOKUP(Table1[RespondentID],'All Data'!$A$3:$CW$999,94,FALSE),"unknown")</f>
        <v>Over $125,000</v>
      </c>
      <c r="AT156" s="120" t="str">
        <f>IFERROR(VLOOKUP(Table1[RespondentID],'All Data'!$A$3:$CW$999,95,FALSE),"unknown")</f>
        <v>College graduate</v>
      </c>
      <c r="AU156" s="120" t="str">
        <f>IFERROR(VLOOKUP(Table1[RespondentID],'All Data'!$A$3:$CW$999,96,FALSE),"unknown")</f>
        <v>Employed for wages</v>
      </c>
      <c r="AV156" s="120" t="str">
        <f>IFERROR(VLOOKUP(Table1[RespondentID],'All Data'!$A$3:$CW$999,97,FALSE),"unknown")</f>
        <v>Yes</v>
      </c>
      <c r="AW156" s="120" t="str">
        <f>IFERROR(VLOOKUP(Table1[RespondentID],'All Data'!$A$3:$CW$999,98,FALSE),"unknown")</f>
        <v>Private/Commercial</v>
      </c>
      <c r="AX156" s="120" t="str">
        <f>IFERROR(VLOOKUP(Table1[RespondentID],'All Data'!$A$3:$CW$999,99,FALSE),"unknown")</f>
        <v>Yes</v>
      </c>
    </row>
    <row r="157" spans="1:50">
      <c r="A157" s="5">
        <v>18021801473</v>
      </c>
      <c r="B157" s="5"/>
      <c r="C157" s="5" t="s">
        <v>17</v>
      </c>
      <c r="D157" s="5"/>
      <c r="E157" s="5"/>
      <c r="F157" s="5"/>
      <c r="G157" s="5" t="s">
        <v>21</v>
      </c>
      <c r="H157" s="5"/>
      <c r="I157" s="5"/>
      <c r="J157" s="5"/>
      <c r="K157" s="5" t="s">
        <v>25</v>
      </c>
      <c r="L157" s="5"/>
      <c r="M157" s="5"/>
      <c r="N157" s="5"/>
      <c r="O157" s="7"/>
      <c r="P157" s="7">
        <f t="shared" si="36"/>
        <v>3</v>
      </c>
      <c r="Q157" s="7">
        <f t="shared" si="37"/>
        <v>1</v>
      </c>
      <c r="R157" s="7"/>
      <c r="S157" s="7">
        <f t="shared" si="53"/>
        <v>0</v>
      </c>
      <c r="T157" s="7">
        <f t="shared" si="38"/>
        <v>1</v>
      </c>
      <c r="U157" s="7">
        <f t="shared" si="39"/>
        <v>0</v>
      </c>
      <c r="V157" s="119">
        <f t="shared" si="40"/>
        <v>0</v>
      </c>
      <c r="W157" s="119">
        <f t="shared" si="41"/>
        <v>0</v>
      </c>
      <c r="X157" s="119">
        <f t="shared" si="42"/>
        <v>1</v>
      </c>
      <c r="Y157" s="119">
        <f t="shared" si="43"/>
        <v>0</v>
      </c>
      <c r="Z157" s="119">
        <f t="shared" si="44"/>
        <v>0</v>
      </c>
      <c r="AA157" s="119">
        <f t="shared" si="45"/>
        <v>0</v>
      </c>
      <c r="AB157" s="119">
        <f t="shared" si="46"/>
        <v>1</v>
      </c>
      <c r="AC157" s="119">
        <f t="shared" si="47"/>
        <v>0</v>
      </c>
      <c r="AD157" s="119">
        <f t="shared" si="48"/>
        <v>0</v>
      </c>
      <c r="AE157" s="119">
        <f t="shared" si="49"/>
        <v>0</v>
      </c>
      <c r="AF157" s="7"/>
      <c r="AG157" s="7"/>
      <c r="AH157" s="7">
        <f t="shared" si="50"/>
        <v>3</v>
      </c>
      <c r="AI157" s="7">
        <f t="shared" si="51"/>
        <v>3</v>
      </c>
      <c r="AJ157" s="7" t="str">
        <f t="shared" si="52"/>
        <v>Correct</v>
      </c>
      <c r="AL157" s="120" t="str">
        <f>IFERROR(VLOOKUP(Table1[RespondentID],'All Data'!$A$3:$CO$999,87,FALSE),"unknown")</f>
        <v>Man</v>
      </c>
      <c r="AM157" s="120">
        <f>IFERROR(VLOOKUP(Table1[RespondentID],'All Data'!$A$3:$CO$999,88,FALSE),"unknown")</f>
        <v>18</v>
      </c>
      <c r="AN157" s="120">
        <f>IFERROR(VLOOKUP(Table1[RespondentID],'All Data'!$A$3:$CO$999,89,FALSE),"unknown")</f>
        <v>0</v>
      </c>
      <c r="AO157" s="120">
        <f>IFERROR(VLOOKUP(Table1[RespondentID],'All Data'!$A$3:$CO$999,90,FALSE),"unknown")</f>
        <v>0</v>
      </c>
      <c r="AP157" s="120">
        <f>IFERROR(VLOOKUP(Table1[RespondentID],'All Data'!$A$3:$CO$999,91,FALSE),"unknown")</f>
        <v>0</v>
      </c>
      <c r="AQ157" s="120">
        <f>IFERROR(VLOOKUP(Table1[RespondentID],'All Data'!$A$3:$CO$999,92,FALSE),"unknown")</f>
        <v>0</v>
      </c>
      <c r="AR157" s="120">
        <f>IFERROR(VLOOKUP(Table1[RespondentID],'All Data'!$A$3:$CO$999,93,FALSE),"unknown")</f>
        <v>0</v>
      </c>
      <c r="AS157" s="120">
        <f>IFERROR(VLOOKUP(Table1[RespondentID],'All Data'!$A$3:$CW$999,94,FALSE),"unknown")</f>
        <v>0</v>
      </c>
      <c r="AT157" s="120">
        <f>IFERROR(VLOOKUP(Table1[RespondentID],'All Data'!$A$3:$CW$999,95,FALSE),"unknown")</f>
        <v>0</v>
      </c>
      <c r="AU157" s="120">
        <f>IFERROR(VLOOKUP(Table1[RespondentID],'All Data'!$A$3:$CW$999,96,FALSE),"unknown")</f>
        <v>0</v>
      </c>
      <c r="AV157" s="120">
        <f>IFERROR(VLOOKUP(Table1[RespondentID],'All Data'!$A$3:$CW$999,97,FALSE),"unknown")</f>
        <v>0</v>
      </c>
      <c r="AW157" s="120">
        <f>IFERROR(VLOOKUP(Table1[RespondentID],'All Data'!$A$3:$CW$999,98,FALSE),"unknown")</f>
        <v>0</v>
      </c>
      <c r="AX157" s="120">
        <f>IFERROR(VLOOKUP(Table1[RespondentID],'All Data'!$A$3:$CW$999,99,FALSE),"unknown")</f>
        <v>0</v>
      </c>
    </row>
    <row r="158" spans="1:50">
      <c r="A158" s="5">
        <v>18021801305</v>
      </c>
      <c r="B158" s="5"/>
      <c r="C158" s="5"/>
      <c r="D158" s="5" t="s">
        <v>18</v>
      </c>
      <c r="E158" s="5"/>
      <c r="F158" s="5"/>
      <c r="G158" s="5"/>
      <c r="H158" s="5"/>
      <c r="I158" s="5"/>
      <c r="J158" s="5" t="s">
        <v>24</v>
      </c>
      <c r="K158" s="5" t="s">
        <v>25</v>
      </c>
      <c r="L158" s="5"/>
      <c r="M158" s="5"/>
      <c r="N158" s="5"/>
      <c r="O158" s="7"/>
      <c r="P158" s="7">
        <f t="shared" si="36"/>
        <v>3</v>
      </c>
      <c r="Q158" s="7">
        <f t="shared" si="37"/>
        <v>1</v>
      </c>
      <c r="R158" s="7"/>
      <c r="S158" s="7">
        <f t="shared" si="53"/>
        <v>0</v>
      </c>
      <c r="T158" s="7">
        <f t="shared" si="38"/>
        <v>0</v>
      </c>
      <c r="U158" s="7">
        <f t="shared" si="39"/>
        <v>1</v>
      </c>
      <c r="V158" s="119">
        <f t="shared" si="40"/>
        <v>0</v>
      </c>
      <c r="W158" s="119">
        <f t="shared" si="41"/>
        <v>0</v>
      </c>
      <c r="X158" s="119">
        <f t="shared" si="42"/>
        <v>0</v>
      </c>
      <c r="Y158" s="119">
        <f t="shared" si="43"/>
        <v>0</v>
      </c>
      <c r="Z158" s="119">
        <f t="shared" si="44"/>
        <v>0</v>
      </c>
      <c r="AA158" s="119">
        <f t="shared" si="45"/>
        <v>1</v>
      </c>
      <c r="AB158" s="119">
        <f t="shared" si="46"/>
        <v>1</v>
      </c>
      <c r="AC158" s="119">
        <f t="shared" si="47"/>
        <v>0</v>
      </c>
      <c r="AD158" s="119">
        <f t="shared" si="48"/>
        <v>0</v>
      </c>
      <c r="AE158" s="119">
        <f t="shared" si="49"/>
        <v>0</v>
      </c>
      <c r="AF158" s="7"/>
      <c r="AG158" s="7"/>
      <c r="AH158" s="7">
        <f t="shared" si="50"/>
        <v>3</v>
      </c>
      <c r="AI158" s="7">
        <f t="shared" si="51"/>
        <v>3</v>
      </c>
      <c r="AJ158" s="7" t="str">
        <f t="shared" si="52"/>
        <v>Correct</v>
      </c>
      <c r="AL158" s="120" t="str">
        <f>IFERROR(VLOOKUP(Table1[RespondentID],'All Data'!$A$3:$CO$999,87,FALSE),"unknown")</f>
        <v>Woman</v>
      </c>
      <c r="AM158" s="120">
        <f>IFERROR(VLOOKUP(Table1[RespondentID],'All Data'!$A$3:$CO$999,88,FALSE),"unknown")</f>
        <v>18</v>
      </c>
      <c r="AN158" s="120" t="str">
        <f>IFERROR(VLOOKUP(Table1[RespondentID],'All Data'!$A$3:$CO$999,89,FALSE),"unknown")</f>
        <v>Suffolk</v>
      </c>
      <c r="AO158" s="120" t="str">
        <f>IFERROR(VLOOKUP(Table1[RespondentID],'All Data'!$A$3:$CO$999,90,FALSE),"unknown")</f>
        <v>Commack, 11725</v>
      </c>
      <c r="AP158" s="120" t="str">
        <f>IFERROR(VLOOKUP(Table1[RespondentID],'All Data'!$A$3:$CO$999,91,FALSE),"unknown")</f>
        <v>American Indian and Alaska Native</v>
      </c>
      <c r="AQ158" s="120" t="str">
        <f>IFERROR(VLOOKUP(Table1[RespondentID],'All Data'!$A$3:$CO$999,92,FALSE),"unknown")</f>
        <v>Hispanic or Latino</v>
      </c>
      <c r="AR158" s="120" t="str">
        <f>IFERROR(VLOOKUP(Table1[RespondentID],'All Data'!$A$3:$CO$999,93,FALSE),"unknown")</f>
        <v>English</v>
      </c>
      <c r="AS158" s="120" t="str">
        <f>IFERROR(VLOOKUP(Table1[RespondentID],'All Data'!$A$3:$CW$999,94,FALSE),"unknown")</f>
        <v>Over $125,000</v>
      </c>
      <c r="AT158" s="120" t="str">
        <f>IFERROR(VLOOKUP(Table1[RespondentID],'All Data'!$A$3:$CW$999,95,FALSE),"unknown")</f>
        <v>High school graduate</v>
      </c>
      <c r="AU158" s="120" t="str">
        <f>IFERROR(VLOOKUP(Table1[RespondentID],'All Data'!$A$3:$CW$999,96,FALSE),"unknown")</f>
        <v>Student</v>
      </c>
      <c r="AV158" s="120" t="str">
        <f>IFERROR(VLOOKUP(Table1[RespondentID],'All Data'!$A$3:$CW$999,97,FALSE),"unknown")</f>
        <v>Yes</v>
      </c>
      <c r="AW158" s="120">
        <f>IFERROR(VLOOKUP(Table1[RespondentID],'All Data'!$A$3:$CW$999,98,FALSE),"unknown")</f>
        <v>0</v>
      </c>
      <c r="AX158" s="120">
        <f>IFERROR(VLOOKUP(Table1[RespondentID],'All Data'!$A$3:$CW$999,99,FALSE),"unknown")</f>
        <v>0</v>
      </c>
    </row>
    <row r="159" spans="1:50">
      <c r="A159" s="5">
        <v>18021801172</v>
      </c>
      <c r="B159" s="5"/>
      <c r="C159" s="5"/>
      <c r="D159" s="5"/>
      <c r="E159" s="5" t="s">
        <v>19</v>
      </c>
      <c r="F159" s="5"/>
      <c r="G159" s="5"/>
      <c r="H159" s="5"/>
      <c r="I159" s="5"/>
      <c r="J159" s="5"/>
      <c r="K159" s="5"/>
      <c r="L159" s="5" t="s">
        <v>26</v>
      </c>
      <c r="M159" s="5"/>
      <c r="N159" s="5"/>
      <c r="O159" s="7"/>
      <c r="P159" s="7">
        <f t="shared" si="36"/>
        <v>2</v>
      </c>
      <c r="Q159" s="7">
        <f t="shared" si="37"/>
        <v>1.5</v>
      </c>
      <c r="R159" s="7"/>
      <c r="S159" s="7">
        <f t="shared" si="53"/>
        <v>0</v>
      </c>
      <c r="T159" s="7">
        <f t="shared" si="38"/>
        <v>0</v>
      </c>
      <c r="U159" s="7">
        <f t="shared" si="39"/>
        <v>0</v>
      </c>
      <c r="V159" s="119">
        <f t="shared" si="40"/>
        <v>1</v>
      </c>
      <c r="W159" s="119">
        <f t="shared" si="41"/>
        <v>0</v>
      </c>
      <c r="X159" s="119">
        <f t="shared" si="42"/>
        <v>0</v>
      </c>
      <c r="Y159" s="119">
        <f t="shared" si="43"/>
        <v>0</v>
      </c>
      <c r="Z159" s="119">
        <f t="shared" si="44"/>
        <v>0</v>
      </c>
      <c r="AA159" s="119">
        <f t="shared" si="45"/>
        <v>0</v>
      </c>
      <c r="AB159" s="119">
        <f t="shared" si="46"/>
        <v>0</v>
      </c>
      <c r="AC159" s="119">
        <f t="shared" si="47"/>
        <v>1</v>
      </c>
      <c r="AD159" s="119">
        <f t="shared" si="48"/>
        <v>0</v>
      </c>
      <c r="AE159" s="119">
        <f t="shared" si="49"/>
        <v>0</v>
      </c>
      <c r="AF159" s="7"/>
      <c r="AG159" s="7"/>
      <c r="AH159" s="7">
        <f t="shared" si="50"/>
        <v>2</v>
      </c>
      <c r="AI159" s="7">
        <f t="shared" si="51"/>
        <v>2</v>
      </c>
      <c r="AJ159" s="7" t="str">
        <f t="shared" si="52"/>
        <v>Correct</v>
      </c>
      <c r="AL159" s="120" t="str">
        <f>IFERROR(VLOOKUP(Table1[RespondentID],'All Data'!$A$3:$CO$999,87,FALSE),"unknown")</f>
        <v>Transgender</v>
      </c>
      <c r="AM159" s="120">
        <f>IFERROR(VLOOKUP(Table1[RespondentID],'All Data'!$A$3:$CO$999,88,FALSE),"unknown")</f>
        <v>27</v>
      </c>
      <c r="AN159" s="120" t="str">
        <f>IFERROR(VLOOKUP(Table1[RespondentID],'All Data'!$A$3:$CO$999,89,FALSE),"unknown")</f>
        <v>Suffolk</v>
      </c>
      <c r="AO159" s="120" t="str">
        <f>IFERROR(VLOOKUP(Table1[RespondentID],'All Data'!$A$3:$CO$999,90,FALSE),"unknown")</f>
        <v>Commack, 11725</v>
      </c>
      <c r="AP159" s="120" t="str">
        <f>IFERROR(VLOOKUP(Table1[RespondentID],'All Data'!$A$3:$CO$999,91,FALSE),"unknown")</f>
        <v>American Indian and Alaska Native</v>
      </c>
      <c r="AQ159" s="120" t="str">
        <f>IFERROR(VLOOKUP(Table1[RespondentID],'All Data'!$A$3:$CO$999,92,FALSE),"unknown")</f>
        <v>Not Hispanic or Latino</v>
      </c>
      <c r="AR159" s="120" t="str">
        <f>IFERROR(VLOOKUP(Table1[RespondentID],'All Data'!$A$3:$CO$999,93,FALSE),"unknown")</f>
        <v>English</v>
      </c>
      <c r="AS159" s="120" t="str">
        <f>IFERROR(VLOOKUP(Table1[RespondentID],'All Data'!$A$3:$CW$999,94,FALSE),"unknown")</f>
        <v>Over $125,000</v>
      </c>
      <c r="AT159" s="120" t="str">
        <f>IFERROR(VLOOKUP(Table1[RespondentID],'All Data'!$A$3:$CW$999,95,FALSE),"unknown")</f>
        <v>Some college</v>
      </c>
      <c r="AU159" s="120" t="str">
        <f>IFERROR(VLOOKUP(Table1[RespondentID],'All Data'!$A$3:$CW$999,96,FALSE),"unknown")</f>
        <v>Self-employed</v>
      </c>
      <c r="AV159" s="120" t="str">
        <f>IFERROR(VLOOKUP(Table1[RespondentID],'All Data'!$A$3:$CW$999,97,FALSE),"unknown")</f>
        <v>Yes</v>
      </c>
      <c r="AW159" s="120">
        <f>IFERROR(VLOOKUP(Table1[RespondentID],'All Data'!$A$3:$CW$999,98,FALSE),"unknown")</f>
        <v>0</v>
      </c>
      <c r="AX159" s="120">
        <f>IFERROR(VLOOKUP(Table1[RespondentID],'All Data'!$A$3:$CW$999,99,FALSE),"unknown")</f>
        <v>0</v>
      </c>
    </row>
    <row r="160" spans="1:50">
      <c r="A160" s="5">
        <v>18021800907</v>
      </c>
      <c r="B160" s="5"/>
      <c r="C160" s="5"/>
      <c r="D160" s="5"/>
      <c r="E160" s="5"/>
      <c r="F160" s="5"/>
      <c r="G160" s="5"/>
      <c r="H160" s="5"/>
      <c r="I160" s="5"/>
      <c r="J160" s="5"/>
      <c r="K160" s="5" t="s">
        <v>25</v>
      </c>
      <c r="L160" s="5" t="s">
        <v>26</v>
      </c>
      <c r="M160" s="5"/>
      <c r="N160" s="5" t="s">
        <v>28</v>
      </c>
      <c r="O160" s="7"/>
      <c r="P160" s="7">
        <f t="shared" si="36"/>
        <v>3</v>
      </c>
      <c r="Q160" s="7">
        <f t="shared" si="37"/>
        <v>1</v>
      </c>
      <c r="R160" s="7"/>
      <c r="S160" s="7">
        <f t="shared" si="53"/>
        <v>0</v>
      </c>
      <c r="T160" s="7">
        <f t="shared" si="38"/>
        <v>0</v>
      </c>
      <c r="U160" s="7">
        <f t="shared" si="39"/>
        <v>0</v>
      </c>
      <c r="V160" s="119">
        <f t="shared" si="40"/>
        <v>0</v>
      </c>
      <c r="W160" s="119">
        <f t="shared" si="41"/>
        <v>0</v>
      </c>
      <c r="X160" s="119">
        <f t="shared" si="42"/>
        <v>0</v>
      </c>
      <c r="Y160" s="119">
        <f t="shared" si="43"/>
        <v>0</v>
      </c>
      <c r="Z160" s="119">
        <f t="shared" si="44"/>
        <v>0</v>
      </c>
      <c r="AA160" s="119">
        <f t="shared" si="45"/>
        <v>0</v>
      </c>
      <c r="AB160" s="119">
        <f t="shared" si="46"/>
        <v>1</v>
      </c>
      <c r="AC160" s="119">
        <f t="shared" si="47"/>
        <v>1</v>
      </c>
      <c r="AD160" s="119">
        <f t="shared" si="48"/>
        <v>0</v>
      </c>
      <c r="AE160" s="119">
        <f t="shared" si="49"/>
        <v>1</v>
      </c>
      <c r="AF160" s="7"/>
      <c r="AG160" s="7"/>
      <c r="AH160" s="7">
        <f t="shared" si="50"/>
        <v>3</v>
      </c>
      <c r="AI160" s="7">
        <f t="shared" si="51"/>
        <v>3</v>
      </c>
      <c r="AJ160" s="7" t="str">
        <f t="shared" si="52"/>
        <v>Correct</v>
      </c>
      <c r="AL160" s="120" t="str">
        <f>IFERROR(VLOOKUP(Table1[RespondentID],'All Data'!$A$3:$CO$999,87,FALSE),"unknown")</f>
        <v>Man</v>
      </c>
      <c r="AM160" s="120">
        <f>IFERROR(VLOOKUP(Table1[RespondentID],'All Data'!$A$3:$CO$999,88,FALSE),"unknown")</f>
        <v>43</v>
      </c>
      <c r="AN160" s="120" t="str">
        <f>IFERROR(VLOOKUP(Table1[RespondentID],'All Data'!$A$3:$CO$999,89,FALSE),"unknown")</f>
        <v>Suffolk</v>
      </c>
      <c r="AO160" s="120" t="str">
        <f>IFERROR(VLOOKUP(Table1[RespondentID],'All Data'!$A$3:$CO$999,90,FALSE),"unknown")</f>
        <v>Commack, 11725</v>
      </c>
      <c r="AP160" s="120" t="str">
        <f>IFERROR(VLOOKUP(Table1[RespondentID],'All Data'!$A$3:$CO$999,91,FALSE),"unknown")</f>
        <v>American Indian and Alaska Native</v>
      </c>
      <c r="AQ160" s="120" t="str">
        <f>IFERROR(VLOOKUP(Table1[RespondentID],'All Data'!$A$3:$CO$999,92,FALSE),"unknown")</f>
        <v>Hispanic or Latino</v>
      </c>
      <c r="AR160" s="120" t="str">
        <f>IFERROR(VLOOKUP(Table1[RespondentID],'All Data'!$A$3:$CO$999,93,FALSE),"unknown")</f>
        <v>English, Hindi</v>
      </c>
      <c r="AS160" s="120" t="str">
        <f>IFERROR(VLOOKUP(Table1[RespondentID],'All Data'!$A$3:$CW$999,94,FALSE),"unknown")</f>
        <v>$50,000 to $74,999</v>
      </c>
      <c r="AT160" s="120" t="str">
        <f>IFERROR(VLOOKUP(Table1[RespondentID],'All Data'!$A$3:$CW$999,95,FALSE),"unknown")</f>
        <v>Some high school</v>
      </c>
      <c r="AU160" s="120" t="str">
        <f>IFERROR(VLOOKUP(Table1[RespondentID],'All Data'!$A$3:$CW$999,96,FALSE),"unknown")</f>
        <v>Employed for wages</v>
      </c>
      <c r="AV160" s="120" t="str">
        <f>IFERROR(VLOOKUP(Table1[RespondentID],'All Data'!$A$3:$CW$999,97,FALSE),"unknown")</f>
        <v>Yes</v>
      </c>
      <c r="AW160" s="120">
        <f>IFERROR(VLOOKUP(Table1[RespondentID],'All Data'!$A$3:$CW$999,98,FALSE),"unknown")</f>
        <v>0</v>
      </c>
      <c r="AX160" s="120">
        <f>IFERROR(VLOOKUP(Table1[RespondentID],'All Data'!$A$3:$CW$999,99,FALSE),"unknown")</f>
        <v>0</v>
      </c>
    </row>
    <row r="161" spans="1:50">
      <c r="A161" s="5">
        <v>18021800772</v>
      </c>
      <c r="B161" s="5"/>
      <c r="C161" s="5"/>
      <c r="D161" s="5" t="s">
        <v>18</v>
      </c>
      <c r="E161" s="5"/>
      <c r="F161" s="5"/>
      <c r="G161" s="5" t="s">
        <v>21</v>
      </c>
      <c r="H161" s="5"/>
      <c r="I161" s="5"/>
      <c r="J161" s="5"/>
      <c r="K161" s="5" t="s">
        <v>25</v>
      </c>
      <c r="L161" s="5"/>
      <c r="M161" s="5"/>
      <c r="N161" s="5"/>
      <c r="O161" s="7"/>
      <c r="P161" s="7">
        <f t="shared" si="36"/>
        <v>3</v>
      </c>
      <c r="Q161" s="7">
        <f t="shared" si="37"/>
        <v>1</v>
      </c>
      <c r="R161" s="7"/>
      <c r="S161" s="7">
        <f t="shared" si="53"/>
        <v>0</v>
      </c>
      <c r="T161" s="7">
        <f t="shared" si="38"/>
        <v>0</v>
      </c>
      <c r="U161" s="7">
        <f t="shared" si="39"/>
        <v>1</v>
      </c>
      <c r="V161" s="119">
        <f t="shared" si="40"/>
        <v>0</v>
      </c>
      <c r="W161" s="119">
        <f t="shared" si="41"/>
        <v>0</v>
      </c>
      <c r="X161" s="119">
        <f t="shared" si="42"/>
        <v>1</v>
      </c>
      <c r="Y161" s="119">
        <f t="shared" si="43"/>
        <v>0</v>
      </c>
      <c r="Z161" s="119">
        <f t="shared" si="44"/>
        <v>0</v>
      </c>
      <c r="AA161" s="119">
        <f t="shared" si="45"/>
        <v>0</v>
      </c>
      <c r="AB161" s="119">
        <f t="shared" si="46"/>
        <v>1</v>
      </c>
      <c r="AC161" s="119">
        <f t="shared" si="47"/>
        <v>0</v>
      </c>
      <c r="AD161" s="119">
        <f t="shared" si="48"/>
        <v>0</v>
      </c>
      <c r="AE161" s="119">
        <f t="shared" si="49"/>
        <v>0</v>
      </c>
      <c r="AF161" s="7"/>
      <c r="AG161" s="7"/>
      <c r="AH161" s="7">
        <f t="shared" si="50"/>
        <v>3</v>
      </c>
      <c r="AI161" s="7">
        <f t="shared" si="51"/>
        <v>3</v>
      </c>
      <c r="AJ161" s="7" t="str">
        <f t="shared" si="52"/>
        <v>Correct</v>
      </c>
      <c r="AL161" s="120" t="str">
        <f>IFERROR(VLOOKUP(Table1[RespondentID],'All Data'!$A$3:$CO$999,87,FALSE),"unknown")</f>
        <v>Woman</v>
      </c>
      <c r="AM161" s="120">
        <f>IFERROR(VLOOKUP(Table1[RespondentID],'All Data'!$A$3:$CO$999,88,FALSE),"unknown")</f>
        <v>42</v>
      </c>
      <c r="AN161" s="120" t="str">
        <f>IFERROR(VLOOKUP(Table1[RespondentID],'All Data'!$A$3:$CO$999,89,FALSE),"unknown")</f>
        <v>Nassau</v>
      </c>
      <c r="AO161" s="120" t="str">
        <f>IFERROR(VLOOKUP(Table1[RespondentID],'All Data'!$A$3:$CO$999,90,FALSE),"unknown")</f>
        <v>Westbury, 11590</v>
      </c>
      <c r="AP161" s="120" t="str">
        <f>IFERROR(VLOOKUP(Table1[RespondentID],'All Data'!$A$3:$CO$999,91,FALSE),"unknown")</f>
        <v>White</v>
      </c>
      <c r="AQ161" s="120" t="str">
        <f>IFERROR(VLOOKUP(Table1[RespondentID],'All Data'!$A$3:$CO$999,92,FALSE),"unknown")</f>
        <v>Hispanic or Latino</v>
      </c>
      <c r="AR161" s="120" t="str">
        <f>IFERROR(VLOOKUP(Table1[RespondentID],'All Data'!$A$3:$CO$999,93,FALSE),"unknown")</f>
        <v>English</v>
      </c>
      <c r="AS161" s="120" t="str">
        <f>IFERROR(VLOOKUP(Table1[RespondentID],'All Data'!$A$3:$CW$999,94,FALSE),"unknown")</f>
        <v>Over $125,000</v>
      </c>
      <c r="AT161" s="120" t="str">
        <f>IFERROR(VLOOKUP(Table1[RespondentID],'All Data'!$A$3:$CW$999,95,FALSE),"unknown")</f>
        <v>Doctorate</v>
      </c>
      <c r="AU161" s="120" t="str">
        <f>IFERROR(VLOOKUP(Table1[RespondentID],'All Data'!$A$3:$CW$999,96,FALSE),"unknown")</f>
        <v>Employed for wages</v>
      </c>
      <c r="AV161" s="120" t="str">
        <f>IFERROR(VLOOKUP(Table1[RespondentID],'All Data'!$A$3:$CW$999,97,FALSE),"unknown")</f>
        <v>Yes</v>
      </c>
      <c r="AW161" s="120">
        <f>IFERROR(VLOOKUP(Table1[RespondentID],'All Data'!$A$3:$CW$999,98,FALSE),"unknown")</f>
        <v>0</v>
      </c>
      <c r="AX161" s="120">
        <f>IFERROR(VLOOKUP(Table1[RespondentID],'All Data'!$A$3:$CW$999,99,FALSE),"unknown")</f>
        <v>0</v>
      </c>
    </row>
    <row r="162" spans="1:50">
      <c r="A162" s="5">
        <v>18021800631</v>
      </c>
      <c r="B162" s="5"/>
      <c r="C162" s="5" t="s">
        <v>17</v>
      </c>
      <c r="D162" s="5"/>
      <c r="E162" s="5" t="s">
        <v>19</v>
      </c>
      <c r="F162" s="5"/>
      <c r="G162" s="5"/>
      <c r="H162" s="5"/>
      <c r="I162" s="5"/>
      <c r="J162" s="5"/>
      <c r="K162" s="5"/>
      <c r="L162" s="5"/>
      <c r="M162" s="5" t="s">
        <v>27</v>
      </c>
      <c r="N162" s="5"/>
      <c r="O162" s="7"/>
      <c r="P162" s="7">
        <f t="shared" si="36"/>
        <v>3</v>
      </c>
      <c r="Q162" s="7">
        <f t="shared" si="37"/>
        <v>1</v>
      </c>
      <c r="R162" s="7"/>
      <c r="S162" s="7">
        <f t="shared" si="53"/>
        <v>0</v>
      </c>
      <c r="T162" s="7">
        <f t="shared" si="38"/>
        <v>1</v>
      </c>
      <c r="U162" s="7">
        <f t="shared" si="39"/>
        <v>0</v>
      </c>
      <c r="V162" s="119">
        <f t="shared" si="40"/>
        <v>1</v>
      </c>
      <c r="W162" s="119">
        <f t="shared" si="41"/>
        <v>0</v>
      </c>
      <c r="X162" s="119">
        <f t="shared" si="42"/>
        <v>0</v>
      </c>
      <c r="Y162" s="119">
        <f t="shared" si="43"/>
        <v>0</v>
      </c>
      <c r="Z162" s="119">
        <f t="shared" si="44"/>
        <v>0</v>
      </c>
      <c r="AA162" s="119">
        <f t="shared" si="45"/>
        <v>0</v>
      </c>
      <c r="AB162" s="119">
        <f t="shared" si="46"/>
        <v>0</v>
      </c>
      <c r="AC162" s="119">
        <f t="shared" si="47"/>
        <v>0</v>
      </c>
      <c r="AD162" s="119">
        <f t="shared" si="48"/>
        <v>1</v>
      </c>
      <c r="AE162" s="119">
        <f t="shared" si="49"/>
        <v>0</v>
      </c>
      <c r="AF162" s="7"/>
      <c r="AG162" s="7"/>
      <c r="AH162" s="7">
        <f t="shared" si="50"/>
        <v>3</v>
      </c>
      <c r="AI162" s="7">
        <f t="shared" si="51"/>
        <v>3</v>
      </c>
      <c r="AJ162" s="7" t="str">
        <f t="shared" si="52"/>
        <v>Correct</v>
      </c>
      <c r="AL162" s="120" t="str">
        <f>IFERROR(VLOOKUP(Table1[RespondentID],'All Data'!$A$3:$CO$999,87,FALSE),"unknown")</f>
        <v>Man</v>
      </c>
      <c r="AM162" s="120">
        <f>IFERROR(VLOOKUP(Table1[RespondentID],'All Data'!$A$3:$CO$999,88,FALSE),"unknown")</f>
        <v>54</v>
      </c>
      <c r="AN162" s="120" t="str">
        <f>IFERROR(VLOOKUP(Table1[RespondentID],'All Data'!$A$3:$CO$999,89,FALSE),"unknown")</f>
        <v>Nassau</v>
      </c>
      <c r="AO162" s="120" t="str">
        <f>IFERROR(VLOOKUP(Table1[RespondentID],'All Data'!$A$3:$CO$999,90,FALSE),"unknown")</f>
        <v>Bethpage, 11714</v>
      </c>
      <c r="AP162" s="120" t="str">
        <f>IFERROR(VLOOKUP(Table1[RespondentID],'All Data'!$A$3:$CO$999,91,FALSE),"unknown")</f>
        <v>White</v>
      </c>
      <c r="AQ162" s="120" t="str">
        <f>IFERROR(VLOOKUP(Table1[RespondentID],'All Data'!$A$3:$CO$999,92,FALSE),"unknown")</f>
        <v>Hispanic or Latino</v>
      </c>
      <c r="AR162" s="120" t="str">
        <f>IFERROR(VLOOKUP(Table1[RespondentID],'All Data'!$A$3:$CO$999,93,FALSE),"unknown")</f>
        <v>English</v>
      </c>
      <c r="AS162" s="120" t="str">
        <f>IFERROR(VLOOKUP(Table1[RespondentID],'All Data'!$A$3:$CW$999,94,FALSE),"unknown")</f>
        <v>Over $125,000</v>
      </c>
      <c r="AT162" s="120" t="str">
        <f>IFERROR(VLOOKUP(Table1[RespondentID],'All Data'!$A$3:$CW$999,95,FALSE),"unknown")</f>
        <v>Graduate school</v>
      </c>
      <c r="AU162" s="120" t="str">
        <f>IFERROR(VLOOKUP(Table1[RespondentID],'All Data'!$A$3:$CW$999,96,FALSE),"unknown")</f>
        <v>Employed for wages</v>
      </c>
      <c r="AV162" s="120" t="str">
        <f>IFERROR(VLOOKUP(Table1[RespondentID],'All Data'!$A$3:$CW$999,97,FALSE),"unknown")</f>
        <v>Yes</v>
      </c>
      <c r="AW162" s="120">
        <f>IFERROR(VLOOKUP(Table1[RespondentID],'All Data'!$A$3:$CW$999,98,FALSE),"unknown")</f>
        <v>0</v>
      </c>
      <c r="AX162" s="120">
        <f>IFERROR(VLOOKUP(Table1[RespondentID],'All Data'!$A$3:$CW$999,99,FALSE),"unknown")</f>
        <v>0</v>
      </c>
    </row>
    <row r="163" spans="1:50">
      <c r="A163" s="5">
        <v>18021800480</v>
      </c>
      <c r="B163" s="5"/>
      <c r="C163" s="5"/>
      <c r="D163" s="5"/>
      <c r="E163" s="5"/>
      <c r="F163" s="5"/>
      <c r="G163" s="5"/>
      <c r="H163" s="5"/>
      <c r="I163" s="5"/>
      <c r="J163" s="5"/>
      <c r="K163" s="5" t="s">
        <v>25</v>
      </c>
      <c r="L163" s="5" t="s">
        <v>26</v>
      </c>
      <c r="M163" s="5"/>
      <c r="N163" s="5" t="s">
        <v>28</v>
      </c>
      <c r="O163" s="7"/>
      <c r="P163" s="7">
        <f t="shared" si="36"/>
        <v>3</v>
      </c>
      <c r="Q163" s="7">
        <f t="shared" si="37"/>
        <v>1</v>
      </c>
      <c r="R163" s="7"/>
      <c r="S163" s="7">
        <f t="shared" si="53"/>
        <v>0</v>
      </c>
      <c r="T163" s="7">
        <f t="shared" si="38"/>
        <v>0</v>
      </c>
      <c r="U163" s="7">
        <f t="shared" si="39"/>
        <v>0</v>
      </c>
      <c r="V163" s="119">
        <f t="shared" si="40"/>
        <v>0</v>
      </c>
      <c r="W163" s="119">
        <f t="shared" si="41"/>
        <v>0</v>
      </c>
      <c r="X163" s="119">
        <f t="shared" si="42"/>
        <v>0</v>
      </c>
      <c r="Y163" s="119">
        <f t="shared" si="43"/>
        <v>0</v>
      </c>
      <c r="Z163" s="119">
        <f t="shared" si="44"/>
        <v>0</v>
      </c>
      <c r="AA163" s="119">
        <f t="shared" si="45"/>
        <v>0</v>
      </c>
      <c r="AB163" s="119">
        <f t="shared" si="46"/>
        <v>1</v>
      </c>
      <c r="AC163" s="119">
        <f t="shared" si="47"/>
        <v>1</v>
      </c>
      <c r="AD163" s="119">
        <f t="shared" si="48"/>
        <v>0</v>
      </c>
      <c r="AE163" s="119">
        <f t="shared" si="49"/>
        <v>1</v>
      </c>
      <c r="AF163" s="7"/>
      <c r="AG163" s="7"/>
      <c r="AH163" s="7">
        <f t="shared" si="50"/>
        <v>3</v>
      </c>
      <c r="AI163" s="7">
        <f t="shared" si="51"/>
        <v>3</v>
      </c>
      <c r="AJ163" s="7" t="str">
        <f t="shared" si="52"/>
        <v>Correct</v>
      </c>
      <c r="AL163" s="120" t="str">
        <f>IFERROR(VLOOKUP(Table1[RespondentID],'All Data'!$A$3:$CO$999,87,FALSE),"unknown")</f>
        <v>Woman</v>
      </c>
      <c r="AM163" s="120">
        <f>IFERROR(VLOOKUP(Table1[RespondentID],'All Data'!$A$3:$CO$999,88,FALSE),"unknown")</f>
        <v>18</v>
      </c>
      <c r="AN163" s="120" t="str">
        <f>IFERROR(VLOOKUP(Table1[RespondentID],'All Data'!$A$3:$CO$999,89,FALSE),"unknown")</f>
        <v>Suffolk</v>
      </c>
      <c r="AO163" s="120" t="str">
        <f>IFERROR(VLOOKUP(Table1[RespondentID],'All Data'!$A$3:$CO$999,90,FALSE),"unknown")</f>
        <v>Commack, 11725</v>
      </c>
      <c r="AP163" s="120" t="str">
        <f>IFERROR(VLOOKUP(Table1[RespondentID],'All Data'!$A$3:$CO$999,91,FALSE),"unknown")</f>
        <v>White</v>
      </c>
      <c r="AQ163" s="120" t="str">
        <f>IFERROR(VLOOKUP(Table1[RespondentID],'All Data'!$A$3:$CO$999,92,FALSE),"unknown")</f>
        <v>Hispanic or Latino</v>
      </c>
      <c r="AR163" s="120" t="str">
        <f>IFERROR(VLOOKUP(Table1[RespondentID],'All Data'!$A$3:$CO$999,93,FALSE),"unknown")</f>
        <v>English</v>
      </c>
      <c r="AS163" s="120" t="str">
        <f>IFERROR(VLOOKUP(Table1[RespondentID],'All Data'!$A$3:$CW$999,94,FALSE),"unknown")</f>
        <v>Over $125,000</v>
      </c>
      <c r="AT163" s="120" t="str">
        <f>IFERROR(VLOOKUP(Table1[RespondentID],'All Data'!$A$3:$CW$999,95,FALSE),"unknown")</f>
        <v>High school graduate</v>
      </c>
      <c r="AU163" s="120" t="str">
        <f>IFERROR(VLOOKUP(Table1[RespondentID],'All Data'!$A$3:$CW$999,96,FALSE),"unknown")</f>
        <v>Employed for wages</v>
      </c>
      <c r="AV163" s="120" t="str">
        <f>IFERROR(VLOOKUP(Table1[RespondentID],'All Data'!$A$3:$CW$999,97,FALSE),"unknown")</f>
        <v>Yes</v>
      </c>
      <c r="AW163" s="120">
        <f>IFERROR(VLOOKUP(Table1[RespondentID],'All Data'!$A$3:$CW$999,98,FALSE),"unknown")</f>
        <v>0</v>
      </c>
      <c r="AX163" s="120">
        <f>IFERROR(VLOOKUP(Table1[RespondentID],'All Data'!$A$3:$CW$999,99,FALSE),"unknown")</f>
        <v>0</v>
      </c>
    </row>
    <row r="164" spans="1:50">
      <c r="A164" s="5">
        <v>18021800333</v>
      </c>
      <c r="B164" s="5"/>
      <c r="C164" s="5"/>
      <c r="D164" s="5"/>
      <c r="E164" s="5"/>
      <c r="F164" s="5"/>
      <c r="G164" s="5"/>
      <c r="H164" s="5" t="s">
        <v>22</v>
      </c>
      <c r="I164" s="5"/>
      <c r="J164" s="5"/>
      <c r="K164" s="5" t="s">
        <v>25</v>
      </c>
      <c r="L164" s="5" t="s">
        <v>26</v>
      </c>
      <c r="M164" s="5"/>
      <c r="N164" s="5"/>
      <c r="O164" s="7"/>
      <c r="P164" s="7">
        <f t="shared" si="36"/>
        <v>3</v>
      </c>
      <c r="Q164" s="7">
        <f t="shared" si="37"/>
        <v>1</v>
      </c>
      <c r="R164" s="7"/>
      <c r="S164" s="7">
        <f t="shared" si="53"/>
        <v>0</v>
      </c>
      <c r="T164" s="7">
        <f t="shared" si="38"/>
        <v>0</v>
      </c>
      <c r="U164" s="7">
        <f t="shared" si="39"/>
        <v>0</v>
      </c>
      <c r="V164" s="119">
        <f t="shared" si="40"/>
        <v>0</v>
      </c>
      <c r="W164" s="119">
        <f t="shared" si="41"/>
        <v>0</v>
      </c>
      <c r="X164" s="119">
        <f t="shared" si="42"/>
        <v>0</v>
      </c>
      <c r="Y164" s="119">
        <f t="shared" si="43"/>
        <v>1</v>
      </c>
      <c r="Z164" s="119">
        <f t="shared" si="44"/>
        <v>0</v>
      </c>
      <c r="AA164" s="119">
        <f t="shared" si="45"/>
        <v>0</v>
      </c>
      <c r="AB164" s="119">
        <f t="shared" si="46"/>
        <v>1</v>
      </c>
      <c r="AC164" s="119">
        <f t="shared" si="47"/>
        <v>1</v>
      </c>
      <c r="AD164" s="119">
        <f t="shared" si="48"/>
        <v>0</v>
      </c>
      <c r="AE164" s="119">
        <f t="shared" si="49"/>
        <v>0</v>
      </c>
      <c r="AF164" s="7"/>
      <c r="AG164" s="7"/>
      <c r="AH164" s="7">
        <f t="shared" si="50"/>
        <v>3</v>
      </c>
      <c r="AI164" s="7">
        <f t="shared" si="51"/>
        <v>3</v>
      </c>
      <c r="AJ164" s="7" t="str">
        <f t="shared" si="52"/>
        <v>Correct</v>
      </c>
      <c r="AL164" s="120" t="str">
        <f>IFERROR(VLOOKUP(Table1[RespondentID],'All Data'!$A$3:$CO$999,87,FALSE),"unknown")</f>
        <v>Woman</v>
      </c>
      <c r="AM164" s="120">
        <f>IFERROR(VLOOKUP(Table1[RespondentID],'All Data'!$A$3:$CO$999,88,FALSE),"unknown")</f>
        <v>18</v>
      </c>
      <c r="AN164" s="120" t="str">
        <f>IFERROR(VLOOKUP(Table1[RespondentID],'All Data'!$A$3:$CO$999,89,FALSE),"unknown")</f>
        <v>Suffolk</v>
      </c>
      <c r="AO164" s="120" t="str">
        <f>IFERROR(VLOOKUP(Table1[RespondentID],'All Data'!$A$3:$CO$999,90,FALSE),"unknown")</f>
        <v>Dix Hills, 11746</v>
      </c>
      <c r="AP164" s="120" t="str">
        <f>IFERROR(VLOOKUP(Table1[RespondentID],'All Data'!$A$3:$CO$999,91,FALSE),"unknown")</f>
        <v>American Indian and Alaska Native</v>
      </c>
      <c r="AQ164" s="120" t="str">
        <f>IFERROR(VLOOKUP(Table1[RespondentID],'All Data'!$A$3:$CO$999,92,FALSE),"unknown")</f>
        <v>Hispanic or Latino</v>
      </c>
      <c r="AR164" s="120" t="str">
        <f>IFERROR(VLOOKUP(Table1[RespondentID],'All Data'!$A$3:$CO$999,93,FALSE),"unknown")</f>
        <v>English, Korean</v>
      </c>
      <c r="AS164" s="120" t="str">
        <f>IFERROR(VLOOKUP(Table1[RespondentID],'All Data'!$A$3:$CW$999,94,FALSE),"unknown")</f>
        <v>Over $125,000</v>
      </c>
      <c r="AT164" s="120" t="str">
        <f>IFERROR(VLOOKUP(Table1[RespondentID],'All Data'!$A$3:$CW$999,95,FALSE),"unknown")</f>
        <v>Some high school</v>
      </c>
      <c r="AU164" s="120" t="str">
        <f>IFERROR(VLOOKUP(Table1[RespondentID],'All Data'!$A$3:$CW$999,96,FALSE),"unknown")</f>
        <v>Self-employed</v>
      </c>
      <c r="AV164" s="120" t="str">
        <f>IFERROR(VLOOKUP(Table1[RespondentID],'All Data'!$A$3:$CW$999,97,FALSE),"unknown")</f>
        <v>Yes</v>
      </c>
      <c r="AW164" s="120">
        <f>IFERROR(VLOOKUP(Table1[RespondentID],'All Data'!$A$3:$CW$999,98,FALSE),"unknown")</f>
        <v>0</v>
      </c>
      <c r="AX164" s="120">
        <f>IFERROR(VLOOKUP(Table1[RespondentID],'All Data'!$A$3:$CW$999,99,FALSE),"unknown")</f>
        <v>0</v>
      </c>
    </row>
    <row r="165" spans="1:50">
      <c r="A165" s="5">
        <v>18021800200</v>
      </c>
      <c r="B165" s="5"/>
      <c r="C165" s="5"/>
      <c r="D165" s="5"/>
      <c r="E165" s="5"/>
      <c r="F165" s="5"/>
      <c r="G165" s="5"/>
      <c r="H165" s="5"/>
      <c r="I165" s="5"/>
      <c r="J165" s="5"/>
      <c r="K165" s="5" t="s">
        <v>25</v>
      </c>
      <c r="L165" s="5"/>
      <c r="M165" s="5"/>
      <c r="N165" s="5"/>
      <c r="O165" s="7"/>
      <c r="P165" s="7">
        <f t="shared" si="36"/>
        <v>1</v>
      </c>
      <c r="Q165" s="7">
        <f t="shared" si="37"/>
        <v>3</v>
      </c>
      <c r="R165" s="7"/>
      <c r="S165" s="7">
        <f t="shared" si="53"/>
        <v>0</v>
      </c>
      <c r="T165" s="7">
        <f t="shared" si="38"/>
        <v>0</v>
      </c>
      <c r="U165" s="7">
        <f t="shared" si="39"/>
        <v>0</v>
      </c>
      <c r="V165" s="119">
        <f t="shared" si="40"/>
        <v>0</v>
      </c>
      <c r="W165" s="119">
        <f t="shared" si="41"/>
        <v>0</v>
      </c>
      <c r="X165" s="119">
        <f t="shared" si="42"/>
        <v>0</v>
      </c>
      <c r="Y165" s="119">
        <f t="shared" si="43"/>
        <v>0</v>
      </c>
      <c r="Z165" s="119">
        <f t="shared" si="44"/>
        <v>0</v>
      </c>
      <c r="AA165" s="119">
        <f t="shared" si="45"/>
        <v>0</v>
      </c>
      <c r="AB165" s="119">
        <f t="shared" si="46"/>
        <v>1</v>
      </c>
      <c r="AC165" s="119">
        <f t="shared" si="47"/>
        <v>0</v>
      </c>
      <c r="AD165" s="119">
        <f t="shared" si="48"/>
        <v>0</v>
      </c>
      <c r="AE165" s="119">
        <f t="shared" si="49"/>
        <v>0</v>
      </c>
      <c r="AF165" s="7"/>
      <c r="AG165" s="7"/>
      <c r="AH165" s="7">
        <f t="shared" si="50"/>
        <v>1</v>
      </c>
      <c r="AI165" s="7">
        <f t="shared" si="51"/>
        <v>1</v>
      </c>
      <c r="AJ165" s="7" t="str">
        <f t="shared" si="52"/>
        <v>Correct</v>
      </c>
      <c r="AL165" s="120" t="str">
        <f>IFERROR(VLOOKUP(Table1[RespondentID],'All Data'!$A$3:$CO$999,87,FALSE),"unknown")</f>
        <v>Woman</v>
      </c>
      <c r="AM165" s="120">
        <f>IFERROR(VLOOKUP(Table1[RespondentID],'All Data'!$A$3:$CO$999,88,FALSE),"unknown")</f>
        <v>18</v>
      </c>
      <c r="AN165" s="120" t="str">
        <f>IFERROR(VLOOKUP(Table1[RespondentID],'All Data'!$A$3:$CO$999,89,FALSE),"unknown")</f>
        <v>Suffolk</v>
      </c>
      <c r="AO165" s="120" t="str">
        <f>IFERROR(VLOOKUP(Table1[RespondentID],'All Data'!$A$3:$CO$999,90,FALSE),"unknown")</f>
        <v>Commack, 11725</v>
      </c>
      <c r="AP165" s="120" t="str">
        <f>IFERROR(VLOOKUP(Table1[RespondentID],'All Data'!$A$3:$CO$999,91,FALSE),"unknown")</f>
        <v>American Indian and Alaska Native</v>
      </c>
      <c r="AQ165" s="120" t="str">
        <f>IFERROR(VLOOKUP(Table1[RespondentID],'All Data'!$A$3:$CO$999,92,FALSE),"unknown")</f>
        <v>Hispanic or Latino</v>
      </c>
      <c r="AR165" s="120" t="str">
        <f>IFERROR(VLOOKUP(Table1[RespondentID],'All Data'!$A$3:$CO$999,93,FALSE),"unknown")</f>
        <v>English, Korean</v>
      </c>
      <c r="AS165" s="120" t="str">
        <f>IFERROR(VLOOKUP(Table1[RespondentID],'All Data'!$A$3:$CW$999,94,FALSE),"unknown")</f>
        <v>$75,000 to $125,000</v>
      </c>
      <c r="AT165" s="120" t="str">
        <f>IFERROR(VLOOKUP(Table1[RespondentID],'All Data'!$A$3:$CW$999,95,FALSE),"unknown")</f>
        <v>Some high school</v>
      </c>
      <c r="AU165" s="120" t="str">
        <f>IFERROR(VLOOKUP(Table1[RespondentID],'All Data'!$A$3:$CW$999,96,FALSE),"unknown")</f>
        <v>Student</v>
      </c>
      <c r="AV165" s="120" t="str">
        <f>IFERROR(VLOOKUP(Table1[RespondentID],'All Data'!$A$3:$CW$999,97,FALSE),"unknown")</f>
        <v>Yes</v>
      </c>
      <c r="AW165" s="120">
        <f>IFERROR(VLOOKUP(Table1[RespondentID],'All Data'!$A$3:$CW$999,98,FALSE),"unknown")</f>
        <v>0</v>
      </c>
      <c r="AX165" s="120">
        <f>IFERROR(VLOOKUP(Table1[RespondentID],'All Data'!$A$3:$CW$999,99,FALSE),"unknown")</f>
        <v>0</v>
      </c>
    </row>
    <row r="166" spans="1:50">
      <c r="A166" s="5">
        <v>18021800054</v>
      </c>
      <c r="B166" s="5"/>
      <c r="C166" s="5"/>
      <c r="D166" s="5"/>
      <c r="E166" s="5"/>
      <c r="F166" s="5" t="s">
        <v>20</v>
      </c>
      <c r="G166" s="5"/>
      <c r="H166" s="5"/>
      <c r="I166" s="5"/>
      <c r="J166" s="5"/>
      <c r="K166" s="5" t="s">
        <v>25</v>
      </c>
      <c r="L166" s="5" t="s">
        <v>26</v>
      </c>
      <c r="M166" s="5"/>
      <c r="N166" s="5"/>
      <c r="O166" s="7"/>
      <c r="P166" s="7">
        <f t="shared" si="36"/>
        <v>3</v>
      </c>
      <c r="Q166" s="7">
        <f t="shared" si="37"/>
        <v>1</v>
      </c>
      <c r="R166" s="7"/>
      <c r="S166" s="7">
        <f t="shared" si="53"/>
        <v>0</v>
      </c>
      <c r="T166" s="7">
        <f t="shared" si="38"/>
        <v>0</v>
      </c>
      <c r="U166" s="7">
        <f t="shared" si="39"/>
        <v>0</v>
      </c>
      <c r="V166" s="119">
        <f t="shared" si="40"/>
        <v>0</v>
      </c>
      <c r="W166" s="119">
        <f t="shared" si="41"/>
        <v>1</v>
      </c>
      <c r="X166" s="119">
        <f t="shared" si="42"/>
        <v>0</v>
      </c>
      <c r="Y166" s="119">
        <f t="shared" si="43"/>
        <v>0</v>
      </c>
      <c r="Z166" s="119">
        <f t="shared" si="44"/>
        <v>0</v>
      </c>
      <c r="AA166" s="119">
        <f t="shared" si="45"/>
        <v>0</v>
      </c>
      <c r="AB166" s="119">
        <f t="shared" si="46"/>
        <v>1</v>
      </c>
      <c r="AC166" s="119">
        <f t="shared" si="47"/>
        <v>1</v>
      </c>
      <c r="AD166" s="119">
        <f t="shared" si="48"/>
        <v>0</v>
      </c>
      <c r="AE166" s="119">
        <f t="shared" si="49"/>
        <v>0</v>
      </c>
      <c r="AF166" s="7"/>
      <c r="AG166" s="7"/>
      <c r="AH166" s="7">
        <f t="shared" si="50"/>
        <v>3</v>
      </c>
      <c r="AI166" s="7">
        <f t="shared" si="51"/>
        <v>3</v>
      </c>
      <c r="AJ166" s="7" t="str">
        <f t="shared" si="52"/>
        <v>Correct</v>
      </c>
      <c r="AL166" s="120" t="str">
        <f>IFERROR(VLOOKUP(Table1[RespondentID],'All Data'!$A$3:$CO$999,87,FALSE),"unknown")</f>
        <v>Woman</v>
      </c>
      <c r="AM166" s="120">
        <f>IFERROR(VLOOKUP(Table1[RespondentID],'All Data'!$A$3:$CO$999,88,FALSE),"unknown")</f>
        <v>18</v>
      </c>
      <c r="AN166" s="120" t="str">
        <f>IFERROR(VLOOKUP(Table1[RespondentID],'All Data'!$A$3:$CO$999,89,FALSE),"unknown")</f>
        <v>Suffolk</v>
      </c>
      <c r="AO166" s="120" t="str">
        <f>IFERROR(VLOOKUP(Table1[RespondentID],'All Data'!$A$3:$CO$999,90,FALSE),"unknown")</f>
        <v>Commack, 11725</v>
      </c>
      <c r="AP166" s="120" t="str">
        <f>IFERROR(VLOOKUP(Table1[RespondentID],'All Data'!$A$3:$CO$999,91,FALSE),"unknown")</f>
        <v>White</v>
      </c>
      <c r="AQ166" s="120" t="str">
        <f>IFERROR(VLOOKUP(Table1[RespondentID],'All Data'!$A$3:$CO$999,92,FALSE),"unknown")</f>
        <v>Hispanic or Latino</v>
      </c>
      <c r="AR166" s="120" t="str">
        <f>IFERROR(VLOOKUP(Table1[RespondentID],'All Data'!$A$3:$CO$999,93,FALSE),"unknown")</f>
        <v>English</v>
      </c>
      <c r="AS166" s="120" t="str">
        <f>IFERROR(VLOOKUP(Table1[RespondentID],'All Data'!$A$3:$CW$999,94,FALSE),"unknown")</f>
        <v>Over $125,000</v>
      </c>
      <c r="AT166" s="120" t="str">
        <f>IFERROR(VLOOKUP(Table1[RespondentID],'All Data'!$A$3:$CW$999,95,FALSE),"unknown")</f>
        <v>High school graduate</v>
      </c>
      <c r="AU166" s="120" t="str">
        <f>IFERROR(VLOOKUP(Table1[RespondentID],'All Data'!$A$3:$CW$999,96,FALSE),"unknown")</f>
        <v>Employed for wages</v>
      </c>
      <c r="AV166" s="120" t="str">
        <f>IFERROR(VLOOKUP(Table1[RespondentID],'All Data'!$A$3:$CW$999,97,FALSE),"unknown")</f>
        <v>Yes</v>
      </c>
      <c r="AW166" s="120">
        <f>IFERROR(VLOOKUP(Table1[RespondentID],'All Data'!$A$3:$CW$999,98,FALSE),"unknown")</f>
        <v>0</v>
      </c>
      <c r="AX166" s="120">
        <f>IFERROR(VLOOKUP(Table1[RespondentID],'All Data'!$A$3:$CW$999,99,FALSE),"unknown")</f>
        <v>0</v>
      </c>
    </row>
    <row r="167" spans="1:50">
      <c r="A167" s="5">
        <v>18021799930</v>
      </c>
      <c r="B167" s="5"/>
      <c r="C167" s="5"/>
      <c r="D167" s="5"/>
      <c r="E167" s="5"/>
      <c r="F167" s="5"/>
      <c r="G167" s="5" t="s">
        <v>21</v>
      </c>
      <c r="H167" s="5"/>
      <c r="I167" s="5"/>
      <c r="J167" s="5"/>
      <c r="K167" s="5" t="s">
        <v>25</v>
      </c>
      <c r="L167" s="5" t="s">
        <v>26</v>
      </c>
      <c r="M167" s="5"/>
      <c r="N167" s="5"/>
      <c r="O167" s="7"/>
      <c r="P167" s="7">
        <f t="shared" si="36"/>
        <v>3</v>
      </c>
      <c r="Q167" s="7">
        <f t="shared" si="37"/>
        <v>1</v>
      </c>
      <c r="R167" s="7"/>
      <c r="S167" s="7">
        <f t="shared" si="53"/>
        <v>0</v>
      </c>
      <c r="T167" s="7">
        <f t="shared" si="38"/>
        <v>0</v>
      </c>
      <c r="U167" s="7">
        <f t="shared" si="39"/>
        <v>0</v>
      </c>
      <c r="V167" s="119">
        <f t="shared" si="40"/>
        <v>0</v>
      </c>
      <c r="W167" s="119">
        <f t="shared" si="41"/>
        <v>0</v>
      </c>
      <c r="X167" s="119">
        <f t="shared" si="42"/>
        <v>1</v>
      </c>
      <c r="Y167" s="119">
        <f t="shared" si="43"/>
        <v>0</v>
      </c>
      <c r="Z167" s="119">
        <f t="shared" si="44"/>
        <v>0</v>
      </c>
      <c r="AA167" s="119">
        <f t="shared" si="45"/>
        <v>0</v>
      </c>
      <c r="AB167" s="119">
        <f t="shared" si="46"/>
        <v>1</v>
      </c>
      <c r="AC167" s="119">
        <f t="shared" si="47"/>
        <v>1</v>
      </c>
      <c r="AD167" s="119">
        <f t="shared" si="48"/>
        <v>0</v>
      </c>
      <c r="AE167" s="119">
        <f t="shared" si="49"/>
        <v>0</v>
      </c>
      <c r="AF167" s="7"/>
      <c r="AG167" s="7"/>
      <c r="AH167" s="7">
        <f t="shared" si="50"/>
        <v>3</v>
      </c>
      <c r="AI167" s="7">
        <f t="shared" si="51"/>
        <v>3</v>
      </c>
      <c r="AJ167" s="7" t="str">
        <f t="shared" si="52"/>
        <v>Correct</v>
      </c>
      <c r="AL167" s="120" t="str">
        <f>IFERROR(VLOOKUP(Table1[RespondentID],'All Data'!$A$3:$CO$999,87,FALSE),"unknown")</f>
        <v>Woman</v>
      </c>
      <c r="AM167" s="120">
        <f>IFERROR(VLOOKUP(Table1[RespondentID],'All Data'!$A$3:$CO$999,88,FALSE),"unknown")</f>
        <v>18</v>
      </c>
      <c r="AN167" s="120" t="str">
        <f>IFERROR(VLOOKUP(Table1[RespondentID],'All Data'!$A$3:$CO$999,89,FALSE),"unknown")</f>
        <v>Suffolk</v>
      </c>
      <c r="AO167" s="120" t="str">
        <f>IFERROR(VLOOKUP(Table1[RespondentID],'All Data'!$A$3:$CO$999,90,FALSE),"unknown")</f>
        <v>Commack, 11725</v>
      </c>
      <c r="AP167" s="120" t="str">
        <f>IFERROR(VLOOKUP(Table1[RespondentID],'All Data'!$A$3:$CO$999,91,FALSE),"unknown")</f>
        <v>American Indian and Alaska Native</v>
      </c>
      <c r="AQ167" s="120" t="str">
        <f>IFERROR(VLOOKUP(Table1[RespondentID],'All Data'!$A$3:$CO$999,92,FALSE),"unknown")</f>
        <v>Hispanic or Latino</v>
      </c>
      <c r="AR167" s="120" t="str">
        <f>IFERROR(VLOOKUP(Table1[RespondentID],'All Data'!$A$3:$CO$999,93,FALSE),"unknown")</f>
        <v>English, Korean</v>
      </c>
      <c r="AS167" s="120" t="str">
        <f>IFERROR(VLOOKUP(Table1[RespondentID],'All Data'!$A$3:$CW$999,94,FALSE),"unknown")</f>
        <v>$20,000 to $34,999</v>
      </c>
      <c r="AT167" s="120" t="str">
        <f>IFERROR(VLOOKUP(Table1[RespondentID],'All Data'!$A$3:$CW$999,95,FALSE),"unknown")</f>
        <v>Some high school</v>
      </c>
      <c r="AU167" s="120" t="str">
        <f>IFERROR(VLOOKUP(Table1[RespondentID],'All Data'!$A$3:$CW$999,96,FALSE),"unknown")</f>
        <v>Employed for wages</v>
      </c>
      <c r="AV167" s="120" t="str">
        <f>IFERROR(VLOOKUP(Table1[RespondentID],'All Data'!$A$3:$CW$999,97,FALSE),"unknown")</f>
        <v>Yes</v>
      </c>
      <c r="AW167" s="120">
        <f>IFERROR(VLOOKUP(Table1[RespondentID],'All Data'!$A$3:$CW$999,98,FALSE),"unknown")</f>
        <v>0</v>
      </c>
      <c r="AX167" s="120">
        <f>IFERROR(VLOOKUP(Table1[RespondentID],'All Data'!$A$3:$CW$999,99,FALSE),"unknown")</f>
        <v>0</v>
      </c>
    </row>
    <row r="168" spans="1:50">
      <c r="A168" s="5">
        <v>18021799815</v>
      </c>
      <c r="B168" s="5"/>
      <c r="C168" s="5" t="s">
        <v>17</v>
      </c>
      <c r="D168" s="5"/>
      <c r="E168" s="5"/>
      <c r="F168" s="5"/>
      <c r="G168" s="5"/>
      <c r="H168" s="5" t="s">
        <v>22</v>
      </c>
      <c r="I168" s="5"/>
      <c r="J168" s="5"/>
      <c r="K168" s="5" t="s">
        <v>25</v>
      </c>
      <c r="L168" s="5"/>
      <c r="M168" s="5"/>
      <c r="N168" s="5"/>
      <c r="O168" s="7"/>
      <c r="P168" s="7">
        <f t="shared" si="36"/>
        <v>3</v>
      </c>
      <c r="Q168" s="7">
        <f t="shared" si="37"/>
        <v>1</v>
      </c>
      <c r="R168" s="7"/>
      <c r="S168" s="7">
        <f t="shared" si="53"/>
        <v>0</v>
      </c>
      <c r="T168" s="7">
        <f t="shared" si="38"/>
        <v>1</v>
      </c>
      <c r="U168" s="7">
        <f t="shared" si="39"/>
        <v>0</v>
      </c>
      <c r="V168" s="119">
        <f t="shared" si="40"/>
        <v>0</v>
      </c>
      <c r="W168" s="119">
        <f t="shared" si="41"/>
        <v>0</v>
      </c>
      <c r="X168" s="119">
        <f t="shared" si="42"/>
        <v>0</v>
      </c>
      <c r="Y168" s="119">
        <f t="shared" si="43"/>
        <v>1</v>
      </c>
      <c r="Z168" s="119">
        <f t="shared" si="44"/>
        <v>0</v>
      </c>
      <c r="AA168" s="119">
        <f t="shared" si="45"/>
        <v>0</v>
      </c>
      <c r="AB168" s="119">
        <f t="shared" si="46"/>
        <v>1</v>
      </c>
      <c r="AC168" s="119">
        <f t="shared" si="47"/>
        <v>0</v>
      </c>
      <c r="AD168" s="119">
        <f t="shared" si="48"/>
        <v>0</v>
      </c>
      <c r="AE168" s="119">
        <f t="shared" si="49"/>
        <v>0</v>
      </c>
      <c r="AF168" s="7"/>
      <c r="AG168" s="7"/>
      <c r="AH168" s="7">
        <f t="shared" si="50"/>
        <v>3</v>
      </c>
      <c r="AI168" s="7">
        <f t="shared" si="51"/>
        <v>3</v>
      </c>
      <c r="AJ168" s="7" t="str">
        <f t="shared" si="52"/>
        <v>Correct</v>
      </c>
      <c r="AL168" s="120" t="str">
        <f>IFERROR(VLOOKUP(Table1[RespondentID],'All Data'!$A$3:$CO$999,87,FALSE),"unknown")</f>
        <v>Woman</v>
      </c>
      <c r="AM168" s="120">
        <f>IFERROR(VLOOKUP(Table1[RespondentID],'All Data'!$A$3:$CO$999,88,FALSE),"unknown")</f>
        <v>18</v>
      </c>
      <c r="AN168" s="120" t="str">
        <f>IFERROR(VLOOKUP(Table1[RespondentID],'All Data'!$A$3:$CO$999,89,FALSE),"unknown")</f>
        <v>Suffolk</v>
      </c>
      <c r="AO168" s="120" t="str">
        <f>IFERROR(VLOOKUP(Table1[RespondentID],'All Data'!$A$3:$CO$999,90,FALSE),"unknown")</f>
        <v>Commack, 11725</v>
      </c>
      <c r="AP168" s="120" t="str">
        <f>IFERROR(VLOOKUP(Table1[RespondentID],'All Data'!$A$3:$CO$999,91,FALSE),"unknown")</f>
        <v>White</v>
      </c>
      <c r="AQ168" s="120" t="str">
        <f>IFERROR(VLOOKUP(Table1[RespondentID],'All Data'!$A$3:$CO$999,92,FALSE),"unknown")</f>
        <v>Hispanic or Latino</v>
      </c>
      <c r="AR168" s="120" t="str">
        <f>IFERROR(VLOOKUP(Table1[RespondentID],'All Data'!$A$3:$CO$999,93,FALSE),"unknown")</f>
        <v>English</v>
      </c>
      <c r="AS168" s="120" t="str">
        <f>IFERROR(VLOOKUP(Table1[RespondentID],'All Data'!$A$3:$CW$999,94,FALSE),"unknown")</f>
        <v>Over $125,000</v>
      </c>
      <c r="AT168" s="120" t="str">
        <f>IFERROR(VLOOKUP(Table1[RespondentID],'All Data'!$A$3:$CW$999,95,FALSE),"unknown")</f>
        <v>Some high school</v>
      </c>
      <c r="AU168" s="120" t="str">
        <f>IFERROR(VLOOKUP(Table1[RespondentID],'All Data'!$A$3:$CW$999,96,FALSE),"unknown")</f>
        <v>Employed for wages</v>
      </c>
      <c r="AV168" s="120" t="str">
        <f>IFERROR(VLOOKUP(Table1[RespondentID],'All Data'!$A$3:$CW$999,97,FALSE),"unknown")</f>
        <v>No</v>
      </c>
      <c r="AW168" s="120">
        <f>IFERROR(VLOOKUP(Table1[RespondentID],'All Data'!$A$3:$CW$999,98,FALSE),"unknown")</f>
        <v>0</v>
      </c>
      <c r="AX168" s="120">
        <f>IFERROR(VLOOKUP(Table1[RespondentID],'All Data'!$A$3:$CW$999,99,FALSE),"unknown")</f>
        <v>0</v>
      </c>
    </row>
    <row r="169" spans="1:50">
      <c r="A169" s="5">
        <v>18021799565</v>
      </c>
      <c r="B169" s="5" t="s">
        <v>16</v>
      </c>
      <c r="C169" s="5" t="s">
        <v>17</v>
      </c>
      <c r="D169" s="5"/>
      <c r="E169" s="5"/>
      <c r="F169" s="5"/>
      <c r="G169" s="5"/>
      <c r="H169" s="5"/>
      <c r="I169" s="5"/>
      <c r="J169" s="5"/>
      <c r="K169" s="5"/>
      <c r="L169" s="5" t="s">
        <v>26</v>
      </c>
      <c r="M169" s="5"/>
      <c r="N169" s="5"/>
      <c r="O169" s="7"/>
      <c r="P169" s="7">
        <f t="shared" si="36"/>
        <v>3</v>
      </c>
      <c r="Q169" s="7">
        <f t="shared" si="37"/>
        <v>1</v>
      </c>
      <c r="R169" s="7"/>
      <c r="S169" s="7">
        <f t="shared" si="53"/>
        <v>1</v>
      </c>
      <c r="T169" s="7">
        <f t="shared" si="38"/>
        <v>1</v>
      </c>
      <c r="U169" s="7">
        <f t="shared" si="39"/>
        <v>0</v>
      </c>
      <c r="V169" s="119">
        <f t="shared" si="40"/>
        <v>0</v>
      </c>
      <c r="W169" s="119">
        <f t="shared" si="41"/>
        <v>0</v>
      </c>
      <c r="X169" s="119">
        <f t="shared" si="42"/>
        <v>0</v>
      </c>
      <c r="Y169" s="119">
        <f t="shared" si="43"/>
        <v>0</v>
      </c>
      <c r="Z169" s="119">
        <f t="shared" si="44"/>
        <v>0</v>
      </c>
      <c r="AA169" s="119">
        <f t="shared" si="45"/>
        <v>0</v>
      </c>
      <c r="AB169" s="119">
        <f t="shared" si="46"/>
        <v>0</v>
      </c>
      <c r="AC169" s="119">
        <f t="shared" si="47"/>
        <v>1</v>
      </c>
      <c r="AD169" s="119">
        <f t="shared" si="48"/>
        <v>0</v>
      </c>
      <c r="AE169" s="119">
        <f t="shared" si="49"/>
        <v>0</v>
      </c>
      <c r="AF169" s="7"/>
      <c r="AG169" s="7"/>
      <c r="AH169" s="7">
        <f t="shared" si="50"/>
        <v>3</v>
      </c>
      <c r="AI169" s="7">
        <f t="shared" si="51"/>
        <v>3</v>
      </c>
      <c r="AJ169" s="7" t="str">
        <f t="shared" si="52"/>
        <v>Correct</v>
      </c>
      <c r="AL169" s="120" t="str">
        <f>IFERROR(VLOOKUP(Table1[RespondentID],'All Data'!$A$3:$CO$999,87,FALSE),"unknown")</f>
        <v>Woman</v>
      </c>
      <c r="AM169" s="120">
        <f>IFERROR(VLOOKUP(Table1[RespondentID],'All Data'!$A$3:$CO$999,88,FALSE),"unknown")</f>
        <v>43</v>
      </c>
      <c r="AN169" s="120" t="str">
        <f>IFERROR(VLOOKUP(Table1[RespondentID],'All Data'!$A$3:$CO$999,89,FALSE),"unknown")</f>
        <v>Suffolk</v>
      </c>
      <c r="AO169" s="120" t="str">
        <f>IFERROR(VLOOKUP(Table1[RespondentID],'All Data'!$A$3:$CO$999,90,FALSE),"unknown")</f>
        <v>Smithtown, 11787</v>
      </c>
      <c r="AP169" s="120" t="str">
        <f>IFERROR(VLOOKUP(Table1[RespondentID],'All Data'!$A$3:$CO$999,91,FALSE),"unknown")</f>
        <v>White</v>
      </c>
      <c r="AQ169" s="120" t="str">
        <f>IFERROR(VLOOKUP(Table1[RespondentID],'All Data'!$A$3:$CO$999,92,FALSE),"unknown")</f>
        <v>Hispanic or Latino</v>
      </c>
      <c r="AR169" s="120" t="str">
        <f>IFERROR(VLOOKUP(Table1[RespondentID],'All Data'!$A$3:$CO$999,93,FALSE),"unknown")</f>
        <v>English</v>
      </c>
      <c r="AS169" s="120" t="str">
        <f>IFERROR(VLOOKUP(Table1[RespondentID],'All Data'!$A$3:$CW$999,94,FALSE),"unknown")</f>
        <v>$75,000 to $125,000</v>
      </c>
      <c r="AT169" s="120" t="str">
        <f>IFERROR(VLOOKUP(Table1[RespondentID],'All Data'!$A$3:$CW$999,95,FALSE),"unknown")</f>
        <v>Doctorate</v>
      </c>
      <c r="AU169" s="120" t="str">
        <f>IFERROR(VLOOKUP(Table1[RespondentID],'All Data'!$A$3:$CW$999,96,FALSE),"unknown")</f>
        <v>Employed for wages</v>
      </c>
      <c r="AV169" s="120" t="str">
        <f>IFERROR(VLOOKUP(Table1[RespondentID],'All Data'!$A$3:$CW$999,97,FALSE),"unknown")</f>
        <v>Yes</v>
      </c>
      <c r="AW169" s="120">
        <f>IFERROR(VLOOKUP(Table1[RespondentID],'All Data'!$A$3:$CW$999,98,FALSE),"unknown")</f>
        <v>0</v>
      </c>
      <c r="AX169" s="120">
        <f>IFERROR(VLOOKUP(Table1[RespondentID],'All Data'!$A$3:$CW$999,99,FALSE),"unknown")</f>
        <v>0</v>
      </c>
    </row>
    <row r="170" spans="1:50">
      <c r="A170" s="5">
        <v>18021799358</v>
      </c>
      <c r="B170" s="5"/>
      <c r="C170" s="5"/>
      <c r="D170" s="5"/>
      <c r="E170" s="5"/>
      <c r="F170" s="5" t="s">
        <v>20</v>
      </c>
      <c r="G170" s="5"/>
      <c r="H170" s="5"/>
      <c r="I170" s="5"/>
      <c r="J170" s="5"/>
      <c r="K170" s="5" t="s">
        <v>25</v>
      </c>
      <c r="L170" s="5"/>
      <c r="M170" s="5"/>
      <c r="N170" s="5"/>
      <c r="O170" s="7"/>
      <c r="P170" s="7">
        <f t="shared" si="36"/>
        <v>2</v>
      </c>
      <c r="Q170" s="7">
        <f t="shared" si="37"/>
        <v>1.5</v>
      </c>
      <c r="R170" s="7"/>
      <c r="S170" s="7">
        <f t="shared" si="53"/>
        <v>0</v>
      </c>
      <c r="T170" s="7">
        <f t="shared" si="38"/>
        <v>0</v>
      </c>
      <c r="U170" s="7">
        <f t="shared" si="39"/>
        <v>0</v>
      </c>
      <c r="V170" s="119">
        <f t="shared" si="40"/>
        <v>0</v>
      </c>
      <c r="W170" s="119">
        <f t="shared" si="41"/>
        <v>1</v>
      </c>
      <c r="X170" s="119">
        <f t="shared" si="42"/>
        <v>0</v>
      </c>
      <c r="Y170" s="119">
        <f t="shared" si="43"/>
        <v>0</v>
      </c>
      <c r="Z170" s="119">
        <f t="shared" si="44"/>
        <v>0</v>
      </c>
      <c r="AA170" s="119">
        <f t="shared" si="45"/>
        <v>0</v>
      </c>
      <c r="AB170" s="119">
        <f t="shared" si="46"/>
        <v>1</v>
      </c>
      <c r="AC170" s="119">
        <f t="shared" si="47"/>
        <v>0</v>
      </c>
      <c r="AD170" s="119">
        <f t="shared" si="48"/>
        <v>0</v>
      </c>
      <c r="AE170" s="119">
        <f t="shared" si="49"/>
        <v>0</v>
      </c>
      <c r="AF170" s="7"/>
      <c r="AG170" s="7"/>
      <c r="AH170" s="7">
        <f t="shared" si="50"/>
        <v>2</v>
      </c>
      <c r="AI170" s="7">
        <f t="shared" si="51"/>
        <v>2</v>
      </c>
      <c r="AJ170" s="7" t="str">
        <f t="shared" si="52"/>
        <v>Correct</v>
      </c>
      <c r="AL170" s="120" t="str">
        <f>IFERROR(VLOOKUP(Table1[RespondentID],'All Data'!$A$3:$CO$999,87,FALSE),"unknown")</f>
        <v>Man</v>
      </c>
      <c r="AM170" s="120">
        <f>IFERROR(VLOOKUP(Table1[RespondentID],'All Data'!$A$3:$CO$999,88,FALSE),"unknown")</f>
        <v>29</v>
      </c>
      <c r="AN170" s="120" t="str">
        <f>IFERROR(VLOOKUP(Table1[RespondentID],'All Data'!$A$3:$CO$999,89,FALSE),"unknown")</f>
        <v>Suffolk</v>
      </c>
      <c r="AO170" s="120" t="str">
        <f>IFERROR(VLOOKUP(Table1[RespondentID],'All Data'!$A$3:$CO$999,90,FALSE),"unknown")</f>
        <v>Lake Grove, 11755</v>
      </c>
      <c r="AP170" s="120" t="str">
        <f>IFERROR(VLOOKUP(Table1[RespondentID],'All Data'!$A$3:$CO$999,91,FALSE),"unknown")</f>
        <v>Native Hawaiian and Other Pacific Islander</v>
      </c>
      <c r="AQ170" s="120">
        <f>IFERROR(VLOOKUP(Table1[RespondentID],'All Data'!$A$3:$CO$999,92,FALSE),"unknown")</f>
        <v>0</v>
      </c>
      <c r="AR170" s="120" t="str">
        <f>IFERROR(VLOOKUP(Table1[RespondentID],'All Data'!$A$3:$CO$999,93,FALSE),"unknown")</f>
        <v>Portuguese</v>
      </c>
      <c r="AS170" s="120">
        <f>IFERROR(VLOOKUP(Table1[RespondentID],'All Data'!$A$3:$CW$999,94,FALSE),"unknown")</f>
        <v>0</v>
      </c>
      <c r="AT170" s="120" t="str">
        <f>IFERROR(VLOOKUP(Table1[RespondentID],'All Data'!$A$3:$CW$999,95,FALSE),"unknown")</f>
        <v>Technical school</v>
      </c>
      <c r="AU170" s="120">
        <f>IFERROR(VLOOKUP(Table1[RespondentID],'All Data'!$A$3:$CW$999,96,FALSE),"unknown")</f>
        <v>0</v>
      </c>
      <c r="AV170" s="120" t="str">
        <f>IFERROR(VLOOKUP(Table1[RespondentID],'All Data'!$A$3:$CW$999,97,FALSE),"unknown")</f>
        <v>No, but I did in the past</v>
      </c>
      <c r="AW170" s="120">
        <f>IFERROR(VLOOKUP(Table1[RespondentID],'All Data'!$A$3:$CW$999,98,FALSE),"unknown")</f>
        <v>0</v>
      </c>
      <c r="AX170" s="120">
        <f>IFERROR(VLOOKUP(Table1[RespondentID],'All Data'!$A$3:$CW$999,99,FALSE),"unknown")</f>
        <v>0</v>
      </c>
    </row>
    <row r="171" spans="1:50">
      <c r="A171" s="5">
        <v>18021799148</v>
      </c>
      <c r="B171" s="5"/>
      <c r="C171" s="5"/>
      <c r="D171" s="5"/>
      <c r="E171" s="5"/>
      <c r="F171" s="5" t="s">
        <v>20</v>
      </c>
      <c r="G171" s="5" t="s">
        <v>21</v>
      </c>
      <c r="H171" s="5"/>
      <c r="I171" s="5"/>
      <c r="J171" s="5"/>
      <c r="K171" s="5" t="s">
        <v>25</v>
      </c>
      <c r="L171" s="5"/>
      <c r="M171" s="5"/>
      <c r="N171" s="5"/>
      <c r="O171" s="7"/>
      <c r="P171" s="7">
        <f t="shared" si="36"/>
        <v>3</v>
      </c>
      <c r="Q171" s="7">
        <f t="shared" si="37"/>
        <v>1</v>
      </c>
      <c r="R171" s="7"/>
      <c r="S171" s="7">
        <f t="shared" si="53"/>
        <v>0</v>
      </c>
      <c r="T171" s="7">
        <f t="shared" si="38"/>
        <v>0</v>
      </c>
      <c r="U171" s="7">
        <f t="shared" si="39"/>
        <v>0</v>
      </c>
      <c r="V171" s="119">
        <f t="shared" si="40"/>
        <v>0</v>
      </c>
      <c r="W171" s="119">
        <f t="shared" si="41"/>
        <v>1</v>
      </c>
      <c r="X171" s="119">
        <f t="shared" si="42"/>
        <v>1</v>
      </c>
      <c r="Y171" s="119">
        <f t="shared" si="43"/>
        <v>0</v>
      </c>
      <c r="Z171" s="119">
        <f t="shared" si="44"/>
        <v>0</v>
      </c>
      <c r="AA171" s="119">
        <f t="shared" si="45"/>
        <v>0</v>
      </c>
      <c r="AB171" s="119">
        <f t="shared" si="46"/>
        <v>1</v>
      </c>
      <c r="AC171" s="119">
        <f t="shared" si="47"/>
        <v>0</v>
      </c>
      <c r="AD171" s="119">
        <f t="shared" si="48"/>
        <v>0</v>
      </c>
      <c r="AE171" s="119">
        <f t="shared" si="49"/>
        <v>0</v>
      </c>
      <c r="AF171" s="7"/>
      <c r="AG171" s="7"/>
      <c r="AH171" s="7">
        <f t="shared" si="50"/>
        <v>3</v>
      </c>
      <c r="AI171" s="7">
        <f t="shared" si="51"/>
        <v>3</v>
      </c>
      <c r="AJ171" s="7" t="str">
        <f t="shared" si="52"/>
        <v>Correct</v>
      </c>
      <c r="AL171" s="120">
        <f>IFERROR(VLOOKUP(Table1[RespondentID],'All Data'!$A$3:$CO$999,87,FALSE),"unknown")</f>
        <v>0</v>
      </c>
      <c r="AM171" s="120">
        <f>IFERROR(VLOOKUP(Table1[RespondentID],'All Data'!$A$3:$CO$999,88,FALSE),"unknown")</f>
        <v>18</v>
      </c>
      <c r="AN171" s="120" t="str">
        <f>IFERROR(VLOOKUP(Table1[RespondentID],'All Data'!$A$3:$CO$999,89,FALSE),"unknown")</f>
        <v>Suffolk</v>
      </c>
      <c r="AO171" s="120" t="str">
        <f>IFERROR(VLOOKUP(Table1[RespondentID],'All Data'!$A$3:$CO$999,90,FALSE),"unknown")</f>
        <v>Kings Park, 11754</v>
      </c>
      <c r="AP171" s="120" t="str">
        <f>IFERROR(VLOOKUP(Table1[RespondentID],'All Data'!$A$3:$CO$999,91,FALSE),"unknown")</f>
        <v>American Indian and Alaska Native</v>
      </c>
      <c r="AQ171" s="120">
        <f>IFERROR(VLOOKUP(Table1[RespondentID],'All Data'!$A$3:$CO$999,92,FALSE),"unknown")</f>
        <v>0</v>
      </c>
      <c r="AR171" s="120" t="str">
        <f>IFERROR(VLOOKUP(Table1[RespondentID],'All Data'!$A$3:$CO$999,93,FALSE),"unknown")</f>
        <v>Polish, Korean</v>
      </c>
      <c r="AS171" s="120">
        <f>IFERROR(VLOOKUP(Table1[RespondentID],'All Data'!$A$3:$CW$999,94,FALSE),"unknown")</f>
        <v>0</v>
      </c>
      <c r="AT171" s="120" t="str">
        <f>IFERROR(VLOOKUP(Table1[RespondentID],'All Data'!$A$3:$CW$999,95,FALSE),"unknown")</f>
        <v>Some high school</v>
      </c>
      <c r="AU171" s="120">
        <f>IFERROR(VLOOKUP(Table1[RespondentID],'All Data'!$A$3:$CW$999,96,FALSE),"unknown")</f>
        <v>0</v>
      </c>
      <c r="AV171" s="120">
        <f>IFERROR(VLOOKUP(Table1[RespondentID],'All Data'!$A$3:$CW$999,97,FALSE),"unknown")</f>
        <v>0</v>
      </c>
      <c r="AW171" s="120">
        <f>IFERROR(VLOOKUP(Table1[RespondentID],'All Data'!$A$3:$CW$999,98,FALSE),"unknown")</f>
        <v>0</v>
      </c>
      <c r="AX171" s="120">
        <f>IFERROR(VLOOKUP(Table1[RespondentID],'All Data'!$A$3:$CW$999,99,FALSE),"unknown")</f>
        <v>0</v>
      </c>
    </row>
    <row r="172" spans="1:50">
      <c r="A172" s="5">
        <v>18021798948</v>
      </c>
      <c r="B172" s="5"/>
      <c r="C172" s="5"/>
      <c r="D172" s="5"/>
      <c r="E172" s="5"/>
      <c r="F172" s="5" t="s">
        <v>20</v>
      </c>
      <c r="G172" s="5"/>
      <c r="H172" s="5"/>
      <c r="I172" s="5"/>
      <c r="J172" s="5"/>
      <c r="K172" s="5" t="s">
        <v>25</v>
      </c>
      <c r="L172" s="5"/>
      <c r="M172" s="5"/>
      <c r="N172" s="5"/>
      <c r="O172" s="7"/>
      <c r="P172" s="7">
        <f t="shared" si="36"/>
        <v>2</v>
      </c>
      <c r="Q172" s="7">
        <f t="shared" si="37"/>
        <v>1.5</v>
      </c>
      <c r="R172" s="7"/>
      <c r="S172" s="7">
        <f t="shared" si="53"/>
        <v>0</v>
      </c>
      <c r="T172" s="7">
        <f t="shared" si="38"/>
        <v>0</v>
      </c>
      <c r="U172" s="7">
        <f t="shared" si="39"/>
        <v>0</v>
      </c>
      <c r="V172" s="119">
        <f t="shared" si="40"/>
        <v>0</v>
      </c>
      <c r="W172" s="119">
        <f t="shared" si="41"/>
        <v>1</v>
      </c>
      <c r="X172" s="119">
        <f t="shared" si="42"/>
        <v>0</v>
      </c>
      <c r="Y172" s="119">
        <f t="shared" si="43"/>
        <v>0</v>
      </c>
      <c r="Z172" s="119">
        <f t="shared" si="44"/>
        <v>0</v>
      </c>
      <c r="AA172" s="119">
        <f t="shared" si="45"/>
        <v>0</v>
      </c>
      <c r="AB172" s="119">
        <f t="shared" si="46"/>
        <v>1</v>
      </c>
      <c r="AC172" s="119">
        <f t="shared" si="47"/>
        <v>0</v>
      </c>
      <c r="AD172" s="119">
        <f t="shared" si="48"/>
        <v>0</v>
      </c>
      <c r="AE172" s="119">
        <f t="shared" si="49"/>
        <v>0</v>
      </c>
      <c r="AF172" s="7"/>
      <c r="AG172" s="7"/>
      <c r="AH172" s="7">
        <f t="shared" si="50"/>
        <v>2</v>
      </c>
      <c r="AI172" s="7">
        <f t="shared" si="51"/>
        <v>2</v>
      </c>
      <c r="AJ172" s="7" t="str">
        <f t="shared" si="52"/>
        <v>Correct</v>
      </c>
      <c r="AL172" s="120" t="str">
        <f>IFERROR(VLOOKUP(Table1[RespondentID],'All Data'!$A$3:$CO$999,87,FALSE),"unknown")</f>
        <v>Man</v>
      </c>
      <c r="AM172" s="120">
        <f>IFERROR(VLOOKUP(Table1[RespondentID],'All Data'!$A$3:$CO$999,88,FALSE),"unknown")</f>
        <v>29</v>
      </c>
      <c r="AN172" s="120" t="str">
        <f>IFERROR(VLOOKUP(Table1[RespondentID],'All Data'!$A$3:$CO$999,89,FALSE),"unknown")</f>
        <v>Suffolk</v>
      </c>
      <c r="AO172" s="120" t="str">
        <f>IFERROR(VLOOKUP(Table1[RespondentID],'All Data'!$A$3:$CO$999,90,FALSE),"unknown")</f>
        <v>Lake Grove, 11755</v>
      </c>
      <c r="AP172" s="120" t="str">
        <f>IFERROR(VLOOKUP(Table1[RespondentID],'All Data'!$A$3:$CO$999,91,FALSE),"unknown")</f>
        <v>Native Hawaiian and Other Pacific Islander</v>
      </c>
      <c r="AQ172" s="120">
        <f>IFERROR(VLOOKUP(Table1[RespondentID],'All Data'!$A$3:$CO$999,92,FALSE),"unknown")</f>
        <v>0</v>
      </c>
      <c r="AR172" s="120" t="str">
        <f>IFERROR(VLOOKUP(Table1[RespondentID],'All Data'!$A$3:$CO$999,93,FALSE),"unknown")</f>
        <v>Portuguese</v>
      </c>
      <c r="AS172" s="120">
        <f>IFERROR(VLOOKUP(Table1[RespondentID],'All Data'!$A$3:$CW$999,94,FALSE),"unknown")</f>
        <v>0</v>
      </c>
      <c r="AT172" s="120" t="str">
        <f>IFERROR(VLOOKUP(Table1[RespondentID],'All Data'!$A$3:$CW$999,95,FALSE),"unknown")</f>
        <v>Technical school</v>
      </c>
      <c r="AU172" s="120">
        <f>IFERROR(VLOOKUP(Table1[RespondentID],'All Data'!$A$3:$CW$999,96,FALSE),"unknown")</f>
        <v>0</v>
      </c>
      <c r="AV172" s="120" t="str">
        <f>IFERROR(VLOOKUP(Table1[RespondentID],'All Data'!$A$3:$CW$999,97,FALSE),"unknown")</f>
        <v>No, but I did in the past</v>
      </c>
      <c r="AW172" s="120">
        <f>IFERROR(VLOOKUP(Table1[RespondentID],'All Data'!$A$3:$CW$999,98,FALSE),"unknown")</f>
        <v>0</v>
      </c>
      <c r="AX172" s="120">
        <f>IFERROR(VLOOKUP(Table1[RespondentID],'All Data'!$A$3:$CW$999,99,FALSE),"unknown")</f>
        <v>0</v>
      </c>
    </row>
    <row r="173" spans="1:50">
      <c r="A173" s="5">
        <v>18021798764</v>
      </c>
      <c r="B173" s="5"/>
      <c r="C173" s="5"/>
      <c r="D173" s="5"/>
      <c r="E173" s="5" t="s">
        <v>19</v>
      </c>
      <c r="F173" s="5"/>
      <c r="G173" s="5"/>
      <c r="H173" s="5"/>
      <c r="I173" s="5"/>
      <c r="J173" s="5"/>
      <c r="K173" s="5"/>
      <c r="L173" s="5"/>
      <c r="M173" s="5"/>
      <c r="N173" s="5"/>
      <c r="O173" s="7"/>
      <c r="P173" s="7">
        <f t="shared" si="36"/>
        <v>1</v>
      </c>
      <c r="Q173" s="7">
        <f t="shared" si="37"/>
        <v>3</v>
      </c>
      <c r="R173" s="7"/>
      <c r="S173" s="7">
        <f t="shared" si="53"/>
        <v>0</v>
      </c>
      <c r="T173" s="7">
        <f t="shared" si="38"/>
        <v>0</v>
      </c>
      <c r="U173" s="7">
        <f t="shared" si="39"/>
        <v>0</v>
      </c>
      <c r="V173" s="119">
        <f t="shared" si="40"/>
        <v>1</v>
      </c>
      <c r="W173" s="119">
        <f t="shared" si="41"/>
        <v>0</v>
      </c>
      <c r="X173" s="119">
        <f t="shared" si="42"/>
        <v>0</v>
      </c>
      <c r="Y173" s="119">
        <f t="shared" si="43"/>
        <v>0</v>
      </c>
      <c r="Z173" s="119">
        <f t="shared" si="44"/>
        <v>0</v>
      </c>
      <c r="AA173" s="119">
        <f t="shared" si="45"/>
        <v>0</v>
      </c>
      <c r="AB173" s="119">
        <f t="shared" si="46"/>
        <v>0</v>
      </c>
      <c r="AC173" s="119">
        <f t="shared" si="47"/>
        <v>0</v>
      </c>
      <c r="AD173" s="119">
        <f t="shared" si="48"/>
        <v>0</v>
      </c>
      <c r="AE173" s="119">
        <f t="shared" si="49"/>
        <v>0</v>
      </c>
      <c r="AF173" s="7"/>
      <c r="AG173" s="7"/>
      <c r="AH173" s="7">
        <f t="shared" si="50"/>
        <v>1</v>
      </c>
      <c r="AI173" s="7">
        <f t="shared" si="51"/>
        <v>1</v>
      </c>
      <c r="AJ173" s="7" t="str">
        <f t="shared" si="52"/>
        <v>Correct</v>
      </c>
      <c r="AL173" s="120" t="str">
        <f>IFERROR(VLOOKUP(Table1[RespondentID],'All Data'!$A$3:$CO$999,87,FALSE),"unknown")</f>
        <v>Woman</v>
      </c>
      <c r="AM173" s="120">
        <f>IFERROR(VLOOKUP(Table1[RespondentID],'All Data'!$A$3:$CO$999,88,FALSE),"unknown")</f>
        <v>18</v>
      </c>
      <c r="AN173" s="120" t="str">
        <f>IFERROR(VLOOKUP(Table1[RespondentID],'All Data'!$A$3:$CO$999,89,FALSE),"unknown")</f>
        <v>Suffolk</v>
      </c>
      <c r="AO173" s="120" t="str">
        <f>IFERROR(VLOOKUP(Table1[RespondentID],'All Data'!$A$3:$CO$999,90,FALSE),"unknown")</f>
        <v>Lake Grove, 11755</v>
      </c>
      <c r="AP173" s="120" t="str">
        <f>IFERROR(VLOOKUP(Table1[RespondentID],'All Data'!$A$3:$CO$999,91,FALSE),"unknown")</f>
        <v>Black or African American</v>
      </c>
      <c r="AQ173" s="120">
        <f>IFERROR(VLOOKUP(Table1[RespondentID],'All Data'!$A$3:$CO$999,92,FALSE),"unknown")</f>
        <v>0</v>
      </c>
      <c r="AR173" s="120" t="str">
        <f>IFERROR(VLOOKUP(Table1[RespondentID],'All Data'!$A$3:$CO$999,93,FALSE),"unknown")</f>
        <v>Portuguese</v>
      </c>
      <c r="AS173" s="120" t="str">
        <f>IFERROR(VLOOKUP(Table1[RespondentID],'All Data'!$A$3:$CW$999,94,FALSE),"unknown")</f>
        <v>$50,000 to $74,999</v>
      </c>
      <c r="AT173" s="120" t="str">
        <f>IFERROR(VLOOKUP(Table1[RespondentID],'All Data'!$A$3:$CW$999,95,FALSE),"unknown")</f>
        <v>Some high school</v>
      </c>
      <c r="AU173" s="120">
        <f>IFERROR(VLOOKUP(Table1[RespondentID],'All Data'!$A$3:$CW$999,96,FALSE),"unknown")</f>
        <v>0</v>
      </c>
      <c r="AV173" s="120" t="str">
        <f>IFERROR(VLOOKUP(Table1[RespondentID],'All Data'!$A$3:$CW$999,97,FALSE),"unknown")</f>
        <v>No, but I did in the past</v>
      </c>
      <c r="AW173" s="120">
        <f>IFERROR(VLOOKUP(Table1[RespondentID],'All Data'!$A$3:$CW$999,98,FALSE),"unknown")</f>
        <v>0</v>
      </c>
      <c r="AX173" s="120">
        <f>IFERROR(VLOOKUP(Table1[RespondentID],'All Data'!$A$3:$CW$999,99,FALSE),"unknown")</f>
        <v>0</v>
      </c>
    </row>
    <row r="174" spans="1:50">
      <c r="A174" s="5">
        <v>18021798571</v>
      </c>
      <c r="B174" s="5"/>
      <c r="C174" s="5"/>
      <c r="D174" s="5"/>
      <c r="E174" s="5"/>
      <c r="F174" s="5"/>
      <c r="G174" s="5" t="s">
        <v>21</v>
      </c>
      <c r="H174" s="5"/>
      <c r="I174" s="5"/>
      <c r="J174" s="5"/>
      <c r="K174" s="5" t="s">
        <v>25</v>
      </c>
      <c r="L174" s="5"/>
      <c r="M174" s="5"/>
      <c r="N174" s="5"/>
      <c r="O174" s="7"/>
      <c r="P174" s="7">
        <f t="shared" si="36"/>
        <v>2</v>
      </c>
      <c r="Q174" s="7">
        <f t="shared" si="37"/>
        <v>1.5</v>
      </c>
      <c r="R174" s="7"/>
      <c r="S174" s="7">
        <f t="shared" si="53"/>
        <v>0</v>
      </c>
      <c r="T174" s="7">
        <f t="shared" si="38"/>
        <v>0</v>
      </c>
      <c r="U174" s="7">
        <f t="shared" si="39"/>
        <v>0</v>
      </c>
      <c r="V174" s="119">
        <f t="shared" si="40"/>
        <v>0</v>
      </c>
      <c r="W174" s="119">
        <f t="shared" si="41"/>
        <v>0</v>
      </c>
      <c r="X174" s="119">
        <f t="shared" si="42"/>
        <v>1</v>
      </c>
      <c r="Y174" s="119">
        <f t="shared" si="43"/>
        <v>0</v>
      </c>
      <c r="Z174" s="119">
        <f t="shared" si="44"/>
        <v>0</v>
      </c>
      <c r="AA174" s="119">
        <f t="shared" si="45"/>
        <v>0</v>
      </c>
      <c r="AB174" s="119">
        <f t="shared" si="46"/>
        <v>1</v>
      </c>
      <c r="AC174" s="119">
        <f t="shared" si="47"/>
        <v>0</v>
      </c>
      <c r="AD174" s="119">
        <f t="shared" si="48"/>
        <v>0</v>
      </c>
      <c r="AE174" s="119">
        <f t="shared" si="49"/>
        <v>0</v>
      </c>
      <c r="AF174" s="7"/>
      <c r="AG174" s="7"/>
      <c r="AH174" s="7">
        <f t="shared" si="50"/>
        <v>2</v>
      </c>
      <c r="AI174" s="7">
        <f t="shared" si="51"/>
        <v>2</v>
      </c>
      <c r="AJ174" s="7" t="str">
        <f t="shared" si="52"/>
        <v>Correct</v>
      </c>
      <c r="AL174" s="120" t="str">
        <f>IFERROR(VLOOKUP(Table1[RespondentID],'All Data'!$A$3:$CO$999,87,FALSE),"unknown")</f>
        <v>Man</v>
      </c>
      <c r="AM174" s="120">
        <f>IFERROR(VLOOKUP(Table1[RespondentID],'All Data'!$A$3:$CO$999,88,FALSE),"unknown")</f>
        <v>21</v>
      </c>
      <c r="AN174" s="120" t="str">
        <f>IFERROR(VLOOKUP(Table1[RespondentID],'All Data'!$A$3:$CO$999,89,FALSE),"unknown")</f>
        <v>Nassau</v>
      </c>
      <c r="AO174" s="120" t="str">
        <f>IFERROR(VLOOKUP(Table1[RespondentID],'All Data'!$A$3:$CO$999,90,FALSE),"unknown")</f>
        <v>Syosset, 11773</v>
      </c>
      <c r="AP174" s="120" t="str">
        <f>IFERROR(VLOOKUP(Table1[RespondentID],'All Data'!$A$3:$CO$999,91,FALSE),"unknown")</f>
        <v>White</v>
      </c>
      <c r="AQ174" s="120">
        <f>IFERROR(VLOOKUP(Table1[RespondentID],'All Data'!$A$3:$CO$999,92,FALSE),"unknown")</f>
        <v>0</v>
      </c>
      <c r="AR174" s="120" t="str">
        <f>IFERROR(VLOOKUP(Table1[RespondentID],'All Data'!$A$3:$CO$999,93,FALSE),"unknown")</f>
        <v>Korean</v>
      </c>
      <c r="AS174" s="120" t="str">
        <f>IFERROR(VLOOKUP(Table1[RespondentID],'All Data'!$A$3:$CW$999,94,FALSE),"unknown")</f>
        <v>$75,000 to $125,000</v>
      </c>
      <c r="AT174" s="120" t="str">
        <f>IFERROR(VLOOKUP(Table1[RespondentID],'All Data'!$A$3:$CW$999,95,FALSE),"unknown")</f>
        <v>Some high school</v>
      </c>
      <c r="AU174" s="120" t="str">
        <f>IFERROR(VLOOKUP(Table1[RespondentID],'All Data'!$A$3:$CW$999,96,FALSE),"unknown")</f>
        <v>Student</v>
      </c>
      <c r="AV174" s="120" t="str">
        <f>IFERROR(VLOOKUP(Table1[RespondentID],'All Data'!$A$3:$CW$999,97,FALSE),"unknown")</f>
        <v>No, but I did in the past</v>
      </c>
      <c r="AW174" s="120">
        <f>IFERROR(VLOOKUP(Table1[RespondentID],'All Data'!$A$3:$CW$999,98,FALSE),"unknown")</f>
        <v>0</v>
      </c>
      <c r="AX174" s="120">
        <f>IFERROR(VLOOKUP(Table1[RespondentID],'All Data'!$A$3:$CW$999,99,FALSE),"unknown")</f>
        <v>0</v>
      </c>
    </row>
    <row r="175" spans="1:50">
      <c r="A175" s="5">
        <v>18021798337</v>
      </c>
      <c r="B175" s="5"/>
      <c r="C175" s="5"/>
      <c r="D175" s="5"/>
      <c r="E175" s="5"/>
      <c r="F175" s="5" t="s">
        <v>20</v>
      </c>
      <c r="G175" s="5"/>
      <c r="H175" s="5"/>
      <c r="I175" s="5"/>
      <c r="J175" s="5"/>
      <c r="K175" s="5" t="s">
        <v>25</v>
      </c>
      <c r="L175" s="5"/>
      <c r="M175" s="5"/>
      <c r="N175" s="5"/>
      <c r="O175" s="7"/>
      <c r="P175" s="7">
        <f t="shared" si="36"/>
        <v>2</v>
      </c>
      <c r="Q175" s="7">
        <f t="shared" si="37"/>
        <v>1.5</v>
      </c>
      <c r="R175" s="7"/>
      <c r="S175" s="7">
        <f t="shared" si="53"/>
        <v>0</v>
      </c>
      <c r="T175" s="7">
        <f t="shared" si="38"/>
        <v>0</v>
      </c>
      <c r="U175" s="7">
        <f t="shared" si="39"/>
        <v>0</v>
      </c>
      <c r="V175" s="119">
        <f t="shared" si="40"/>
        <v>0</v>
      </c>
      <c r="W175" s="119">
        <f t="shared" si="41"/>
        <v>1</v>
      </c>
      <c r="X175" s="119">
        <f t="shared" si="42"/>
        <v>0</v>
      </c>
      <c r="Y175" s="119">
        <f t="shared" si="43"/>
        <v>0</v>
      </c>
      <c r="Z175" s="119">
        <f t="shared" si="44"/>
        <v>0</v>
      </c>
      <c r="AA175" s="119">
        <f t="shared" si="45"/>
        <v>0</v>
      </c>
      <c r="AB175" s="119">
        <f t="shared" si="46"/>
        <v>1</v>
      </c>
      <c r="AC175" s="119">
        <f t="shared" si="47"/>
        <v>0</v>
      </c>
      <c r="AD175" s="119">
        <f t="shared" si="48"/>
        <v>0</v>
      </c>
      <c r="AE175" s="119">
        <f t="shared" si="49"/>
        <v>0</v>
      </c>
      <c r="AF175" s="7"/>
      <c r="AG175" s="7"/>
      <c r="AH175" s="7">
        <f t="shared" si="50"/>
        <v>2</v>
      </c>
      <c r="AI175" s="7">
        <f t="shared" si="51"/>
        <v>2</v>
      </c>
      <c r="AJ175" s="7" t="str">
        <f t="shared" si="52"/>
        <v>Correct</v>
      </c>
      <c r="AL175" s="120" t="str">
        <f>IFERROR(VLOOKUP(Table1[RespondentID],'All Data'!$A$3:$CO$999,87,FALSE),"unknown")</f>
        <v>Woman</v>
      </c>
      <c r="AM175" s="120">
        <f>IFERROR(VLOOKUP(Table1[RespondentID],'All Data'!$A$3:$CO$999,88,FALSE),"unknown")</f>
        <v>17</v>
      </c>
      <c r="AN175" s="120" t="str">
        <f>IFERROR(VLOOKUP(Table1[RespondentID],'All Data'!$A$3:$CO$999,89,FALSE),"unknown")</f>
        <v>Nassau</v>
      </c>
      <c r="AO175" s="120" t="str">
        <f>IFERROR(VLOOKUP(Table1[RespondentID],'All Data'!$A$3:$CO$999,90,FALSE),"unknown")</f>
        <v>Syosset, 11791</v>
      </c>
      <c r="AP175" s="120" t="str">
        <f>IFERROR(VLOOKUP(Table1[RespondentID],'All Data'!$A$3:$CO$999,91,FALSE),"unknown")</f>
        <v>White</v>
      </c>
      <c r="AQ175" s="120">
        <f>IFERROR(VLOOKUP(Table1[RespondentID],'All Data'!$A$3:$CO$999,92,FALSE),"unknown")</f>
        <v>0</v>
      </c>
      <c r="AR175" s="120" t="str">
        <f>IFERROR(VLOOKUP(Table1[RespondentID],'All Data'!$A$3:$CO$999,93,FALSE),"unknown")</f>
        <v>Korean</v>
      </c>
      <c r="AS175" s="120" t="str">
        <f>IFERROR(VLOOKUP(Table1[RespondentID],'All Data'!$A$3:$CW$999,94,FALSE),"unknown")</f>
        <v>$75,000 to $125,000</v>
      </c>
      <c r="AT175" s="120" t="str">
        <f>IFERROR(VLOOKUP(Table1[RespondentID],'All Data'!$A$3:$CW$999,95,FALSE),"unknown")</f>
        <v>Some high school</v>
      </c>
      <c r="AU175" s="120" t="str">
        <f>IFERROR(VLOOKUP(Table1[RespondentID],'All Data'!$A$3:$CW$999,96,FALSE),"unknown")</f>
        <v>Student</v>
      </c>
      <c r="AV175" s="120" t="str">
        <f>IFERROR(VLOOKUP(Table1[RespondentID],'All Data'!$A$3:$CW$999,97,FALSE),"unknown")</f>
        <v>No, but I did in the past</v>
      </c>
      <c r="AW175" s="120">
        <f>IFERROR(VLOOKUP(Table1[RespondentID],'All Data'!$A$3:$CW$999,98,FALSE),"unknown")</f>
        <v>0</v>
      </c>
      <c r="AX175" s="120">
        <f>IFERROR(VLOOKUP(Table1[RespondentID],'All Data'!$A$3:$CW$999,99,FALSE),"unknown")</f>
        <v>0</v>
      </c>
    </row>
    <row r="176" spans="1:50">
      <c r="A176" s="5">
        <v>18021797894</v>
      </c>
      <c r="B176" s="5"/>
      <c r="C176" s="5" t="s">
        <v>17</v>
      </c>
      <c r="D176" s="5"/>
      <c r="E176" s="5"/>
      <c r="F176" s="5" t="s">
        <v>20</v>
      </c>
      <c r="G176" s="5"/>
      <c r="H176" s="5"/>
      <c r="I176" s="5"/>
      <c r="J176" s="5"/>
      <c r="K176" s="5"/>
      <c r="L176" s="5"/>
      <c r="M176" s="5"/>
      <c r="N176" s="5"/>
      <c r="O176" s="7"/>
      <c r="P176" s="7">
        <f t="shared" si="36"/>
        <v>2</v>
      </c>
      <c r="Q176" s="7">
        <f t="shared" si="37"/>
        <v>1.5</v>
      </c>
      <c r="R176" s="7"/>
      <c r="S176" s="7">
        <f t="shared" si="53"/>
        <v>0</v>
      </c>
      <c r="T176" s="7">
        <f t="shared" si="38"/>
        <v>1</v>
      </c>
      <c r="U176" s="7">
        <f t="shared" si="39"/>
        <v>0</v>
      </c>
      <c r="V176" s="119">
        <f t="shared" si="40"/>
        <v>0</v>
      </c>
      <c r="W176" s="119">
        <f t="shared" si="41"/>
        <v>1</v>
      </c>
      <c r="X176" s="119">
        <f t="shared" si="42"/>
        <v>0</v>
      </c>
      <c r="Y176" s="119">
        <f t="shared" si="43"/>
        <v>0</v>
      </c>
      <c r="Z176" s="119">
        <f t="shared" si="44"/>
        <v>0</v>
      </c>
      <c r="AA176" s="119">
        <f t="shared" si="45"/>
        <v>0</v>
      </c>
      <c r="AB176" s="119">
        <f t="shared" si="46"/>
        <v>0</v>
      </c>
      <c r="AC176" s="119">
        <f t="shared" si="47"/>
        <v>0</v>
      </c>
      <c r="AD176" s="119">
        <f t="shared" si="48"/>
        <v>0</v>
      </c>
      <c r="AE176" s="119">
        <f t="shared" si="49"/>
        <v>0</v>
      </c>
      <c r="AF176" s="7"/>
      <c r="AG176" s="7"/>
      <c r="AH176" s="7">
        <f t="shared" si="50"/>
        <v>2</v>
      </c>
      <c r="AI176" s="7">
        <f t="shared" si="51"/>
        <v>2</v>
      </c>
      <c r="AJ176" s="7" t="str">
        <f t="shared" si="52"/>
        <v>Correct</v>
      </c>
      <c r="AL176" s="120" t="str">
        <f>IFERROR(VLOOKUP(Table1[RespondentID],'All Data'!$A$3:$CO$999,87,FALSE),"unknown")</f>
        <v>Woman</v>
      </c>
      <c r="AM176" s="120">
        <f>IFERROR(VLOOKUP(Table1[RespondentID],'All Data'!$A$3:$CO$999,88,FALSE),"unknown")</f>
        <v>18</v>
      </c>
      <c r="AN176" s="120" t="str">
        <f>IFERROR(VLOOKUP(Table1[RespondentID],'All Data'!$A$3:$CO$999,89,FALSE),"unknown")</f>
        <v>Suffolk</v>
      </c>
      <c r="AO176" s="120" t="str">
        <f>IFERROR(VLOOKUP(Table1[RespondentID],'All Data'!$A$3:$CO$999,90,FALSE),"unknown")</f>
        <v>Commack, 11725</v>
      </c>
      <c r="AP176" s="120" t="str">
        <f>IFERROR(VLOOKUP(Table1[RespondentID],'All Data'!$A$3:$CO$999,91,FALSE),"unknown")</f>
        <v>Black or African American</v>
      </c>
      <c r="AQ176" s="120">
        <f>IFERROR(VLOOKUP(Table1[RespondentID],'All Data'!$A$3:$CO$999,92,FALSE),"unknown")</f>
        <v>0</v>
      </c>
      <c r="AR176" s="120" t="str">
        <f>IFERROR(VLOOKUP(Table1[RespondentID],'All Data'!$A$3:$CO$999,93,FALSE),"unknown")</f>
        <v>Korean</v>
      </c>
      <c r="AS176" s="120" t="str">
        <f>IFERROR(VLOOKUP(Table1[RespondentID],'All Data'!$A$3:$CW$999,94,FALSE),"unknown")</f>
        <v>$75,000 to $125,000</v>
      </c>
      <c r="AT176" s="120" t="str">
        <f>IFERROR(VLOOKUP(Table1[RespondentID],'All Data'!$A$3:$CW$999,95,FALSE),"unknown")</f>
        <v>Some high school</v>
      </c>
      <c r="AU176" s="120" t="str">
        <f>IFERROR(VLOOKUP(Table1[RespondentID],'All Data'!$A$3:$CW$999,96,FALSE),"unknown")</f>
        <v>Student</v>
      </c>
      <c r="AV176" s="120" t="str">
        <f>IFERROR(VLOOKUP(Table1[RespondentID],'All Data'!$A$3:$CW$999,97,FALSE),"unknown")</f>
        <v>No, but I did in the past</v>
      </c>
      <c r="AW176" s="120">
        <f>IFERROR(VLOOKUP(Table1[RespondentID],'All Data'!$A$3:$CW$999,98,FALSE),"unknown")</f>
        <v>0</v>
      </c>
      <c r="AX176" s="120">
        <f>IFERROR(VLOOKUP(Table1[RespondentID],'All Data'!$A$3:$CW$999,99,FALSE),"unknown")</f>
        <v>0</v>
      </c>
    </row>
    <row r="177" spans="1:50">
      <c r="A177" s="5">
        <v>18021797663</v>
      </c>
      <c r="B177" s="5"/>
      <c r="C177" s="5"/>
      <c r="D177" s="5"/>
      <c r="E177" s="5"/>
      <c r="F177" s="5" t="s">
        <v>20</v>
      </c>
      <c r="G177" s="5"/>
      <c r="H177" s="5"/>
      <c r="I177" s="5"/>
      <c r="J177" s="5"/>
      <c r="K177" s="5"/>
      <c r="L177" s="5"/>
      <c r="M177" s="5"/>
      <c r="N177" s="5"/>
      <c r="O177" s="7"/>
      <c r="P177" s="7">
        <f t="shared" si="36"/>
        <v>1</v>
      </c>
      <c r="Q177" s="7">
        <f t="shared" si="37"/>
        <v>3</v>
      </c>
      <c r="R177" s="7"/>
      <c r="S177" s="7">
        <f t="shared" si="53"/>
        <v>0</v>
      </c>
      <c r="T177" s="7">
        <f t="shared" si="38"/>
        <v>0</v>
      </c>
      <c r="U177" s="7">
        <f t="shared" si="39"/>
        <v>0</v>
      </c>
      <c r="V177" s="119">
        <f t="shared" si="40"/>
        <v>0</v>
      </c>
      <c r="W177" s="119">
        <f t="shared" si="41"/>
        <v>1</v>
      </c>
      <c r="X177" s="119">
        <f t="shared" si="42"/>
        <v>0</v>
      </c>
      <c r="Y177" s="119">
        <f t="shared" si="43"/>
        <v>0</v>
      </c>
      <c r="Z177" s="119">
        <f t="shared" si="44"/>
        <v>0</v>
      </c>
      <c r="AA177" s="119">
        <f t="shared" si="45"/>
        <v>0</v>
      </c>
      <c r="AB177" s="119">
        <f t="shared" si="46"/>
        <v>0</v>
      </c>
      <c r="AC177" s="119">
        <f t="shared" si="47"/>
        <v>0</v>
      </c>
      <c r="AD177" s="119">
        <f t="shared" si="48"/>
        <v>0</v>
      </c>
      <c r="AE177" s="119">
        <f t="shared" si="49"/>
        <v>0</v>
      </c>
      <c r="AF177" s="7"/>
      <c r="AG177" s="7"/>
      <c r="AH177" s="7">
        <f t="shared" si="50"/>
        <v>1</v>
      </c>
      <c r="AI177" s="7">
        <f t="shared" si="51"/>
        <v>1</v>
      </c>
      <c r="AJ177" s="7" t="str">
        <f t="shared" si="52"/>
        <v>Correct</v>
      </c>
      <c r="AL177" s="120" t="str">
        <f>IFERROR(VLOOKUP(Table1[RespondentID],'All Data'!$A$3:$CO$999,87,FALSE),"unknown")</f>
        <v>Man</v>
      </c>
      <c r="AM177" s="120">
        <f>IFERROR(VLOOKUP(Table1[RespondentID],'All Data'!$A$3:$CO$999,88,FALSE),"unknown")</f>
        <v>18</v>
      </c>
      <c r="AN177" s="120" t="str">
        <f>IFERROR(VLOOKUP(Table1[RespondentID],'All Data'!$A$3:$CO$999,89,FALSE),"unknown")</f>
        <v>Suffolk</v>
      </c>
      <c r="AO177" s="120" t="str">
        <f>IFERROR(VLOOKUP(Table1[RespondentID],'All Data'!$A$3:$CO$999,90,FALSE),"unknown")</f>
        <v>Commack, 11725</v>
      </c>
      <c r="AP177" s="120" t="str">
        <f>IFERROR(VLOOKUP(Table1[RespondentID],'All Data'!$A$3:$CO$999,91,FALSE),"unknown")</f>
        <v>White</v>
      </c>
      <c r="AQ177" s="120" t="str">
        <f>IFERROR(VLOOKUP(Table1[RespondentID],'All Data'!$A$3:$CO$999,92,FALSE),"unknown")</f>
        <v>Hispanic or Latino</v>
      </c>
      <c r="AR177" s="120" t="str">
        <f>IFERROR(VLOOKUP(Table1[RespondentID],'All Data'!$A$3:$CO$999,93,FALSE),"unknown")</f>
        <v>Chinese</v>
      </c>
      <c r="AS177" s="120">
        <f>IFERROR(VLOOKUP(Table1[RespondentID],'All Data'!$A$3:$CW$999,94,FALSE),"unknown")</f>
        <v>0</v>
      </c>
      <c r="AT177" s="120">
        <f>IFERROR(VLOOKUP(Table1[RespondentID],'All Data'!$A$3:$CW$999,95,FALSE),"unknown")</f>
        <v>0</v>
      </c>
      <c r="AU177" s="120" t="str">
        <f>IFERROR(VLOOKUP(Table1[RespondentID],'All Data'!$A$3:$CW$999,96,FALSE),"unknown")</f>
        <v>Student</v>
      </c>
      <c r="AV177" s="120">
        <f>IFERROR(VLOOKUP(Table1[RespondentID],'All Data'!$A$3:$CW$999,97,FALSE),"unknown")</f>
        <v>0</v>
      </c>
      <c r="AW177" s="120">
        <f>IFERROR(VLOOKUP(Table1[RespondentID],'All Data'!$A$3:$CW$999,98,FALSE),"unknown")</f>
        <v>0</v>
      </c>
      <c r="AX177" s="120">
        <f>IFERROR(VLOOKUP(Table1[RespondentID],'All Data'!$A$3:$CW$999,99,FALSE),"unknown")</f>
        <v>0</v>
      </c>
    </row>
    <row r="178" spans="1:50">
      <c r="A178" s="5">
        <v>18021797480</v>
      </c>
      <c r="B178" s="5"/>
      <c r="C178" s="5" t="s">
        <v>17</v>
      </c>
      <c r="D178" s="5"/>
      <c r="E178" s="5"/>
      <c r="F178" s="5"/>
      <c r="G178" s="5"/>
      <c r="H178" s="5"/>
      <c r="I178" s="5"/>
      <c r="J178" s="5" t="s">
        <v>24</v>
      </c>
      <c r="K178" s="5"/>
      <c r="L178" s="5" t="s">
        <v>26</v>
      </c>
      <c r="M178" s="5"/>
      <c r="N178" s="5"/>
      <c r="O178" s="7"/>
      <c r="P178" s="7">
        <f t="shared" si="36"/>
        <v>3</v>
      </c>
      <c r="Q178" s="7">
        <f t="shared" si="37"/>
        <v>1</v>
      </c>
      <c r="R178" s="7"/>
      <c r="S178" s="7">
        <f t="shared" si="53"/>
        <v>0</v>
      </c>
      <c r="T178" s="7">
        <f t="shared" si="38"/>
        <v>1</v>
      </c>
      <c r="U178" s="7">
        <f t="shared" si="39"/>
        <v>0</v>
      </c>
      <c r="V178" s="119">
        <f t="shared" si="40"/>
        <v>0</v>
      </c>
      <c r="W178" s="119">
        <f t="shared" si="41"/>
        <v>0</v>
      </c>
      <c r="X178" s="119">
        <f t="shared" si="42"/>
        <v>0</v>
      </c>
      <c r="Y178" s="119">
        <f t="shared" si="43"/>
        <v>0</v>
      </c>
      <c r="Z178" s="119">
        <f t="shared" si="44"/>
        <v>0</v>
      </c>
      <c r="AA178" s="119">
        <f t="shared" si="45"/>
        <v>1</v>
      </c>
      <c r="AB178" s="119">
        <f t="shared" si="46"/>
        <v>0</v>
      </c>
      <c r="AC178" s="119">
        <f t="shared" si="47"/>
        <v>1</v>
      </c>
      <c r="AD178" s="119">
        <f t="shared" si="48"/>
        <v>0</v>
      </c>
      <c r="AE178" s="119">
        <f t="shared" si="49"/>
        <v>0</v>
      </c>
      <c r="AF178" s="7"/>
      <c r="AG178" s="7"/>
      <c r="AH178" s="7">
        <f t="shared" si="50"/>
        <v>3</v>
      </c>
      <c r="AI178" s="7">
        <f t="shared" si="51"/>
        <v>3</v>
      </c>
      <c r="AJ178" s="7" t="str">
        <f t="shared" si="52"/>
        <v>Correct</v>
      </c>
      <c r="AL178" s="120" t="str">
        <f>IFERROR(VLOOKUP(Table1[RespondentID],'All Data'!$A$3:$CO$999,87,FALSE),"unknown")</f>
        <v>Woman</v>
      </c>
      <c r="AM178" s="120">
        <f>IFERROR(VLOOKUP(Table1[RespondentID],'All Data'!$A$3:$CO$999,88,FALSE),"unknown")</f>
        <v>61</v>
      </c>
      <c r="AN178" s="120" t="str">
        <f>IFERROR(VLOOKUP(Table1[RespondentID],'All Data'!$A$3:$CO$999,89,FALSE),"unknown")</f>
        <v>Suffolk</v>
      </c>
      <c r="AO178" s="120" t="str">
        <f>IFERROR(VLOOKUP(Table1[RespondentID],'All Data'!$A$3:$CO$999,90,FALSE),"unknown")</f>
        <v>East Northport, 11731</v>
      </c>
      <c r="AP178" s="120" t="str">
        <f>IFERROR(VLOOKUP(Table1[RespondentID],'All Data'!$A$3:$CO$999,91,FALSE),"unknown")</f>
        <v>American Indian and Alaska Native</v>
      </c>
      <c r="AQ178" s="120">
        <f>IFERROR(VLOOKUP(Table1[RespondentID],'All Data'!$A$3:$CO$999,92,FALSE),"unknown")</f>
        <v>0</v>
      </c>
      <c r="AR178" s="120" t="str">
        <f>IFERROR(VLOOKUP(Table1[RespondentID],'All Data'!$A$3:$CO$999,93,FALSE),"unknown")</f>
        <v>Korean</v>
      </c>
      <c r="AS178" s="120" t="str">
        <f>IFERROR(VLOOKUP(Table1[RespondentID],'All Data'!$A$3:$CW$999,94,FALSE),"unknown")</f>
        <v>$0-$19,999</v>
      </c>
      <c r="AT178" s="120" t="str">
        <f>IFERROR(VLOOKUP(Table1[RespondentID],'All Data'!$A$3:$CW$999,95,FALSE),"unknown")</f>
        <v>College graduate</v>
      </c>
      <c r="AU178" s="120" t="str">
        <f>IFERROR(VLOOKUP(Table1[RespondentID],'All Data'!$A$3:$CW$999,96,FALSE),"unknown")</f>
        <v>Employed for wages</v>
      </c>
      <c r="AV178" s="120" t="str">
        <f>IFERROR(VLOOKUP(Table1[RespondentID],'All Data'!$A$3:$CW$999,97,FALSE),"unknown")</f>
        <v>Yes</v>
      </c>
      <c r="AW178" s="120">
        <f>IFERROR(VLOOKUP(Table1[RespondentID],'All Data'!$A$3:$CW$999,98,FALSE),"unknown")</f>
        <v>0</v>
      </c>
      <c r="AX178" s="120">
        <f>IFERROR(VLOOKUP(Table1[RespondentID],'All Data'!$A$3:$CW$999,99,FALSE),"unknown")</f>
        <v>0</v>
      </c>
    </row>
    <row r="179" spans="1:50">
      <c r="A179" s="5">
        <v>18021796836</v>
      </c>
      <c r="B179" s="5"/>
      <c r="C179" s="5" t="s">
        <v>17</v>
      </c>
      <c r="D179" s="5"/>
      <c r="E179" s="5"/>
      <c r="F179" s="5"/>
      <c r="G179" s="5"/>
      <c r="H179" s="5"/>
      <c r="I179" s="5"/>
      <c r="J179" s="5" t="s">
        <v>24</v>
      </c>
      <c r="K179" s="5"/>
      <c r="L179" s="5" t="s">
        <v>26</v>
      </c>
      <c r="M179" s="5"/>
      <c r="N179" s="5"/>
      <c r="O179" s="7"/>
      <c r="P179" s="7">
        <f t="shared" si="36"/>
        <v>3</v>
      </c>
      <c r="Q179" s="7">
        <f t="shared" si="37"/>
        <v>1</v>
      </c>
      <c r="R179" s="7"/>
      <c r="S179" s="7">
        <f t="shared" si="53"/>
        <v>0</v>
      </c>
      <c r="T179" s="7">
        <f t="shared" si="38"/>
        <v>1</v>
      </c>
      <c r="U179" s="7">
        <f t="shared" si="39"/>
        <v>0</v>
      </c>
      <c r="V179" s="119">
        <f t="shared" si="40"/>
        <v>0</v>
      </c>
      <c r="W179" s="119">
        <f t="shared" si="41"/>
        <v>0</v>
      </c>
      <c r="X179" s="119">
        <f t="shared" si="42"/>
        <v>0</v>
      </c>
      <c r="Y179" s="119">
        <f t="shared" si="43"/>
        <v>0</v>
      </c>
      <c r="Z179" s="119">
        <f t="shared" si="44"/>
        <v>0</v>
      </c>
      <c r="AA179" s="119">
        <f t="shared" si="45"/>
        <v>1</v>
      </c>
      <c r="AB179" s="119">
        <f t="shared" si="46"/>
        <v>0</v>
      </c>
      <c r="AC179" s="119">
        <f t="shared" si="47"/>
        <v>1</v>
      </c>
      <c r="AD179" s="119">
        <f t="shared" si="48"/>
        <v>0</v>
      </c>
      <c r="AE179" s="119">
        <f t="shared" si="49"/>
        <v>0</v>
      </c>
      <c r="AF179" s="7"/>
      <c r="AG179" s="7"/>
      <c r="AH179" s="7">
        <f t="shared" si="50"/>
        <v>3</v>
      </c>
      <c r="AI179" s="7">
        <f t="shared" si="51"/>
        <v>3</v>
      </c>
      <c r="AJ179" s="7" t="str">
        <f t="shared" si="52"/>
        <v>Correct</v>
      </c>
      <c r="AL179" s="120" t="str">
        <f>IFERROR(VLOOKUP(Table1[RespondentID],'All Data'!$A$3:$CO$999,87,FALSE),"unknown")</f>
        <v>Man</v>
      </c>
      <c r="AM179" s="120">
        <f>IFERROR(VLOOKUP(Table1[RespondentID],'All Data'!$A$3:$CO$999,88,FALSE),"unknown")</f>
        <v>60</v>
      </c>
      <c r="AN179" s="120" t="str">
        <f>IFERROR(VLOOKUP(Table1[RespondentID],'All Data'!$A$3:$CO$999,89,FALSE),"unknown")</f>
        <v>Suffolk</v>
      </c>
      <c r="AO179" s="120" t="str">
        <f>IFERROR(VLOOKUP(Table1[RespondentID],'All Data'!$A$3:$CO$999,90,FALSE),"unknown")</f>
        <v>Commack, 11725</v>
      </c>
      <c r="AP179" s="120" t="str">
        <f>IFERROR(VLOOKUP(Table1[RespondentID],'All Data'!$A$3:$CO$999,91,FALSE),"unknown")</f>
        <v>American Indian and Alaska Native</v>
      </c>
      <c r="AQ179" s="120">
        <f>IFERROR(VLOOKUP(Table1[RespondentID],'All Data'!$A$3:$CO$999,92,FALSE),"unknown")</f>
        <v>0</v>
      </c>
      <c r="AR179" s="120" t="str">
        <f>IFERROR(VLOOKUP(Table1[RespondentID],'All Data'!$A$3:$CO$999,93,FALSE),"unknown")</f>
        <v>Korean</v>
      </c>
      <c r="AS179" s="120" t="str">
        <f>IFERROR(VLOOKUP(Table1[RespondentID],'All Data'!$A$3:$CW$999,94,FALSE),"unknown")</f>
        <v>$0-$19,999</v>
      </c>
      <c r="AT179" s="120" t="str">
        <f>IFERROR(VLOOKUP(Table1[RespondentID],'All Data'!$A$3:$CW$999,95,FALSE),"unknown")</f>
        <v>College graduate</v>
      </c>
      <c r="AU179" s="120" t="str">
        <f>IFERROR(VLOOKUP(Table1[RespondentID],'All Data'!$A$3:$CW$999,96,FALSE),"unknown")</f>
        <v>Employed for wages</v>
      </c>
      <c r="AV179" s="120" t="str">
        <f>IFERROR(VLOOKUP(Table1[RespondentID],'All Data'!$A$3:$CW$999,97,FALSE),"unknown")</f>
        <v>Yes</v>
      </c>
      <c r="AW179" s="120">
        <f>IFERROR(VLOOKUP(Table1[RespondentID],'All Data'!$A$3:$CW$999,98,FALSE),"unknown")</f>
        <v>0</v>
      </c>
      <c r="AX179" s="120">
        <f>IFERROR(VLOOKUP(Table1[RespondentID],'All Data'!$A$3:$CW$999,99,FALSE),"unknown")</f>
        <v>0</v>
      </c>
    </row>
    <row r="180" spans="1:50">
      <c r="A180" s="5">
        <v>18021796390</v>
      </c>
      <c r="B180" s="5"/>
      <c r="C180" s="5"/>
      <c r="D180" s="5"/>
      <c r="E180" s="5" t="s">
        <v>19</v>
      </c>
      <c r="F180" s="5"/>
      <c r="G180" s="5"/>
      <c r="H180" s="5" t="s">
        <v>22</v>
      </c>
      <c r="I180" s="5" t="s">
        <v>23</v>
      </c>
      <c r="J180" s="5"/>
      <c r="K180" s="5"/>
      <c r="L180" s="5"/>
      <c r="M180" s="5"/>
      <c r="N180" s="5"/>
      <c r="O180" s="7"/>
      <c r="P180" s="7">
        <f t="shared" si="36"/>
        <v>3</v>
      </c>
      <c r="Q180" s="7">
        <f t="shared" si="37"/>
        <v>1</v>
      </c>
      <c r="R180" s="7"/>
      <c r="S180" s="7">
        <f t="shared" si="53"/>
        <v>0</v>
      </c>
      <c r="T180" s="7">
        <f t="shared" si="38"/>
        <v>0</v>
      </c>
      <c r="U180" s="7">
        <f t="shared" si="39"/>
        <v>0</v>
      </c>
      <c r="V180" s="119">
        <f t="shared" si="40"/>
        <v>1</v>
      </c>
      <c r="W180" s="119">
        <f t="shared" si="41"/>
        <v>0</v>
      </c>
      <c r="X180" s="119">
        <f t="shared" si="42"/>
        <v>0</v>
      </c>
      <c r="Y180" s="119">
        <f t="shared" si="43"/>
        <v>1</v>
      </c>
      <c r="Z180" s="119">
        <f t="shared" si="44"/>
        <v>1</v>
      </c>
      <c r="AA180" s="119">
        <f t="shared" si="45"/>
        <v>0</v>
      </c>
      <c r="AB180" s="119">
        <f t="shared" si="46"/>
        <v>0</v>
      </c>
      <c r="AC180" s="119">
        <f t="shared" si="47"/>
        <v>0</v>
      </c>
      <c r="AD180" s="119">
        <f t="shared" si="48"/>
        <v>0</v>
      </c>
      <c r="AE180" s="119">
        <f t="shared" si="49"/>
        <v>0</v>
      </c>
      <c r="AF180" s="7"/>
      <c r="AG180" s="7"/>
      <c r="AH180" s="7">
        <f t="shared" si="50"/>
        <v>3</v>
      </c>
      <c r="AI180" s="7">
        <f t="shared" si="51"/>
        <v>3</v>
      </c>
      <c r="AJ180" s="7" t="str">
        <f t="shared" si="52"/>
        <v>Correct</v>
      </c>
      <c r="AL180" s="120" t="str">
        <f>IFERROR(VLOOKUP(Table1[RespondentID],'All Data'!$A$3:$CO$999,87,FALSE),"unknown")</f>
        <v>Man</v>
      </c>
      <c r="AM180" s="120">
        <f>IFERROR(VLOOKUP(Table1[RespondentID],'All Data'!$A$3:$CO$999,88,FALSE),"unknown")</f>
        <v>26</v>
      </c>
      <c r="AN180" s="120" t="str">
        <f>IFERROR(VLOOKUP(Table1[RespondentID],'All Data'!$A$3:$CO$999,89,FALSE),"unknown")</f>
        <v>Suffolk</v>
      </c>
      <c r="AO180" s="120" t="str">
        <f>IFERROR(VLOOKUP(Table1[RespondentID],'All Data'!$A$3:$CO$999,90,FALSE),"unknown")</f>
        <v>Port Jefferson Station, 11776</v>
      </c>
      <c r="AP180" s="120" t="str">
        <f>IFERROR(VLOOKUP(Table1[RespondentID],'All Data'!$A$3:$CO$999,91,FALSE),"unknown")</f>
        <v>White</v>
      </c>
      <c r="AQ180" s="120" t="str">
        <f>IFERROR(VLOOKUP(Table1[RespondentID],'All Data'!$A$3:$CO$999,92,FALSE),"unknown")</f>
        <v>Hispanic or Latino</v>
      </c>
      <c r="AR180" s="120" t="str">
        <f>IFERROR(VLOOKUP(Table1[RespondentID],'All Data'!$A$3:$CO$999,93,FALSE),"unknown")</f>
        <v>English</v>
      </c>
      <c r="AS180" s="120" t="str">
        <f>IFERROR(VLOOKUP(Table1[RespondentID],'All Data'!$A$3:$CW$999,94,FALSE),"unknown")</f>
        <v>Over $125,000</v>
      </c>
      <c r="AT180" s="120" t="str">
        <f>IFERROR(VLOOKUP(Table1[RespondentID],'All Data'!$A$3:$CW$999,95,FALSE),"unknown")</f>
        <v>Some college</v>
      </c>
      <c r="AU180" s="120" t="str">
        <f>IFERROR(VLOOKUP(Table1[RespondentID],'All Data'!$A$3:$CW$999,96,FALSE),"unknown")</f>
        <v>Out of work and looking for work</v>
      </c>
      <c r="AV180" s="120" t="str">
        <f>IFERROR(VLOOKUP(Table1[RespondentID],'All Data'!$A$3:$CW$999,97,FALSE),"unknown")</f>
        <v>Yes</v>
      </c>
      <c r="AW180" s="120">
        <f>IFERROR(VLOOKUP(Table1[RespondentID],'All Data'!$A$3:$CW$999,98,FALSE),"unknown")</f>
        <v>0</v>
      </c>
      <c r="AX180" s="120">
        <f>IFERROR(VLOOKUP(Table1[RespondentID],'All Data'!$A$3:$CW$999,99,FALSE),"unknown")</f>
        <v>0</v>
      </c>
    </row>
    <row r="181" spans="1:50">
      <c r="A181" s="5">
        <v>18021796214</v>
      </c>
      <c r="B181" s="5"/>
      <c r="C181" s="5"/>
      <c r="D181" s="5" t="s">
        <v>18</v>
      </c>
      <c r="E181" s="5" t="s">
        <v>19</v>
      </c>
      <c r="F181" s="5"/>
      <c r="G181" s="5"/>
      <c r="H181" s="5"/>
      <c r="I181" s="5"/>
      <c r="J181" s="5"/>
      <c r="K181" s="5"/>
      <c r="L181" s="5"/>
      <c r="M181" s="5"/>
      <c r="N181" s="5" t="s">
        <v>28</v>
      </c>
      <c r="O181" s="7"/>
      <c r="P181" s="7">
        <f t="shared" si="36"/>
        <v>3</v>
      </c>
      <c r="Q181" s="7">
        <f t="shared" si="37"/>
        <v>1</v>
      </c>
      <c r="R181" s="7"/>
      <c r="S181" s="7">
        <f t="shared" si="53"/>
        <v>0</v>
      </c>
      <c r="T181" s="7">
        <f t="shared" si="38"/>
        <v>0</v>
      </c>
      <c r="U181" s="7">
        <f t="shared" si="39"/>
        <v>1</v>
      </c>
      <c r="V181" s="119">
        <f t="shared" si="40"/>
        <v>1</v>
      </c>
      <c r="W181" s="119">
        <f t="shared" si="41"/>
        <v>0</v>
      </c>
      <c r="X181" s="119">
        <f t="shared" si="42"/>
        <v>0</v>
      </c>
      <c r="Y181" s="119">
        <f t="shared" si="43"/>
        <v>0</v>
      </c>
      <c r="Z181" s="119">
        <f t="shared" si="44"/>
        <v>0</v>
      </c>
      <c r="AA181" s="119">
        <f t="shared" si="45"/>
        <v>0</v>
      </c>
      <c r="AB181" s="119">
        <f t="shared" si="46"/>
        <v>0</v>
      </c>
      <c r="AC181" s="119">
        <f t="shared" si="47"/>
        <v>0</v>
      </c>
      <c r="AD181" s="119">
        <f t="shared" si="48"/>
        <v>0</v>
      </c>
      <c r="AE181" s="119">
        <f t="shared" si="49"/>
        <v>1</v>
      </c>
      <c r="AF181" s="7"/>
      <c r="AG181" s="7"/>
      <c r="AH181" s="7">
        <f t="shared" si="50"/>
        <v>3</v>
      </c>
      <c r="AI181" s="7">
        <f t="shared" si="51"/>
        <v>3</v>
      </c>
      <c r="AJ181" s="7" t="str">
        <f t="shared" si="52"/>
        <v>Correct</v>
      </c>
      <c r="AL181" s="120" t="str">
        <f>IFERROR(VLOOKUP(Table1[RespondentID],'All Data'!$A$3:$CO$999,87,FALSE),"unknown")</f>
        <v>Woman</v>
      </c>
      <c r="AM181" s="120">
        <f>IFERROR(VLOOKUP(Table1[RespondentID],'All Data'!$A$3:$CO$999,88,FALSE),"unknown")</f>
        <v>46</v>
      </c>
      <c r="AN181" s="120" t="str">
        <f>IFERROR(VLOOKUP(Table1[RespondentID],'All Data'!$A$3:$CO$999,89,FALSE),"unknown")</f>
        <v>Nassau</v>
      </c>
      <c r="AO181" s="120" t="str">
        <f>IFERROR(VLOOKUP(Table1[RespondentID],'All Data'!$A$3:$CO$999,90,FALSE),"unknown")</f>
        <v>Long Beach, 11561</v>
      </c>
      <c r="AP181" s="120" t="str">
        <f>IFERROR(VLOOKUP(Table1[RespondentID],'All Data'!$A$3:$CO$999,91,FALSE),"unknown")</f>
        <v>White</v>
      </c>
      <c r="AQ181" s="120" t="str">
        <f>IFERROR(VLOOKUP(Table1[RespondentID],'All Data'!$A$3:$CO$999,92,FALSE),"unknown")</f>
        <v>Hispanic or Latino</v>
      </c>
      <c r="AR181" s="120" t="str">
        <f>IFERROR(VLOOKUP(Table1[RespondentID],'All Data'!$A$3:$CO$999,93,FALSE),"unknown")</f>
        <v>English</v>
      </c>
      <c r="AS181" s="120" t="str">
        <f>IFERROR(VLOOKUP(Table1[RespondentID],'All Data'!$A$3:$CW$999,94,FALSE),"unknown")</f>
        <v>Over $125,000</v>
      </c>
      <c r="AT181" s="120" t="str">
        <f>IFERROR(VLOOKUP(Table1[RespondentID],'All Data'!$A$3:$CW$999,95,FALSE),"unknown")</f>
        <v>Graduate school</v>
      </c>
      <c r="AU181" s="120" t="str">
        <f>IFERROR(VLOOKUP(Table1[RespondentID],'All Data'!$A$3:$CW$999,96,FALSE),"unknown")</f>
        <v>Employed for wages</v>
      </c>
      <c r="AV181" s="120" t="str">
        <f>IFERROR(VLOOKUP(Table1[RespondentID],'All Data'!$A$3:$CW$999,97,FALSE),"unknown")</f>
        <v>Yes</v>
      </c>
      <c r="AW181" s="120">
        <f>IFERROR(VLOOKUP(Table1[RespondentID],'All Data'!$A$3:$CW$999,98,FALSE),"unknown")</f>
        <v>0</v>
      </c>
      <c r="AX181" s="120">
        <f>IFERROR(VLOOKUP(Table1[RespondentID],'All Data'!$A$3:$CW$999,99,FALSE),"unknown")</f>
        <v>0</v>
      </c>
    </row>
    <row r="182" spans="1:50">
      <c r="A182" s="5">
        <v>18021795979</v>
      </c>
      <c r="B182" s="5"/>
      <c r="C182" s="5" t="s">
        <v>17</v>
      </c>
      <c r="D182" s="5" t="s">
        <v>18</v>
      </c>
      <c r="E182" s="5"/>
      <c r="F182" s="5"/>
      <c r="G182" s="5" t="s">
        <v>21</v>
      </c>
      <c r="H182" s="5"/>
      <c r="I182" s="5"/>
      <c r="J182" s="5"/>
      <c r="K182" s="5"/>
      <c r="L182" s="5"/>
      <c r="M182" s="5"/>
      <c r="N182" s="5"/>
      <c r="O182" s="7"/>
      <c r="P182" s="7">
        <f t="shared" si="36"/>
        <v>3</v>
      </c>
      <c r="Q182" s="7">
        <f t="shared" si="37"/>
        <v>1</v>
      </c>
      <c r="R182" s="7"/>
      <c r="S182" s="7">
        <f t="shared" si="53"/>
        <v>0</v>
      </c>
      <c r="T182" s="7">
        <f t="shared" si="38"/>
        <v>1</v>
      </c>
      <c r="U182" s="7">
        <f t="shared" si="39"/>
        <v>1</v>
      </c>
      <c r="V182" s="119">
        <f t="shared" si="40"/>
        <v>0</v>
      </c>
      <c r="W182" s="119">
        <f t="shared" si="41"/>
        <v>0</v>
      </c>
      <c r="X182" s="119">
        <f t="shared" si="42"/>
        <v>1</v>
      </c>
      <c r="Y182" s="119">
        <f t="shared" si="43"/>
        <v>0</v>
      </c>
      <c r="Z182" s="119">
        <f t="shared" si="44"/>
        <v>0</v>
      </c>
      <c r="AA182" s="119">
        <f t="shared" si="45"/>
        <v>0</v>
      </c>
      <c r="AB182" s="119">
        <f t="shared" si="46"/>
        <v>0</v>
      </c>
      <c r="AC182" s="119">
        <f t="shared" si="47"/>
        <v>0</v>
      </c>
      <c r="AD182" s="119">
        <f t="shared" si="48"/>
        <v>0</v>
      </c>
      <c r="AE182" s="119">
        <f t="shared" si="49"/>
        <v>0</v>
      </c>
      <c r="AF182" s="7"/>
      <c r="AG182" s="7"/>
      <c r="AH182" s="7">
        <f t="shared" si="50"/>
        <v>3</v>
      </c>
      <c r="AI182" s="7">
        <f t="shared" si="51"/>
        <v>3</v>
      </c>
      <c r="AJ182" s="7" t="str">
        <f t="shared" si="52"/>
        <v>Correct</v>
      </c>
      <c r="AL182" s="120" t="str">
        <f>IFERROR(VLOOKUP(Table1[RespondentID],'All Data'!$A$3:$CO$999,87,FALSE),"unknown")</f>
        <v>Man</v>
      </c>
      <c r="AM182" s="120">
        <f>IFERROR(VLOOKUP(Table1[RespondentID],'All Data'!$A$3:$CO$999,88,FALSE),"unknown")</f>
        <v>34</v>
      </c>
      <c r="AN182" s="120" t="str">
        <f>IFERROR(VLOOKUP(Table1[RespondentID],'All Data'!$A$3:$CO$999,89,FALSE),"unknown")</f>
        <v>Suffolk</v>
      </c>
      <c r="AO182" s="120" t="str">
        <f>IFERROR(VLOOKUP(Table1[RespondentID],'All Data'!$A$3:$CO$999,90,FALSE),"unknown")</f>
        <v>Stony Brook, 11790</v>
      </c>
      <c r="AP182" s="120" t="str">
        <f>IFERROR(VLOOKUP(Table1[RespondentID],'All Data'!$A$3:$CO$999,91,FALSE),"unknown")</f>
        <v>White</v>
      </c>
      <c r="AQ182" s="120" t="str">
        <f>IFERROR(VLOOKUP(Table1[RespondentID],'All Data'!$A$3:$CO$999,92,FALSE),"unknown")</f>
        <v>Hispanic or Latino</v>
      </c>
      <c r="AR182" s="120" t="str">
        <f>IFERROR(VLOOKUP(Table1[RespondentID],'All Data'!$A$3:$CO$999,93,FALSE),"unknown")</f>
        <v>English</v>
      </c>
      <c r="AS182" s="120" t="str">
        <f>IFERROR(VLOOKUP(Table1[RespondentID],'All Data'!$A$3:$CW$999,94,FALSE),"unknown")</f>
        <v>$35,000 to $49,999</v>
      </c>
      <c r="AT182" s="120" t="str">
        <f>IFERROR(VLOOKUP(Table1[RespondentID],'All Data'!$A$3:$CW$999,95,FALSE),"unknown")</f>
        <v>Some college</v>
      </c>
      <c r="AU182" s="120" t="str">
        <f>IFERROR(VLOOKUP(Table1[RespondentID],'All Data'!$A$3:$CW$999,96,FALSE),"unknown")</f>
        <v>Employed for wages</v>
      </c>
      <c r="AV182" s="120" t="str">
        <f>IFERROR(VLOOKUP(Table1[RespondentID],'All Data'!$A$3:$CW$999,97,FALSE),"unknown")</f>
        <v>Yes</v>
      </c>
      <c r="AW182" s="120">
        <f>IFERROR(VLOOKUP(Table1[RespondentID],'All Data'!$A$3:$CW$999,98,FALSE),"unknown")</f>
        <v>0</v>
      </c>
      <c r="AX182" s="120">
        <f>IFERROR(VLOOKUP(Table1[RespondentID],'All Data'!$A$3:$CW$999,99,FALSE),"unknown")</f>
        <v>0</v>
      </c>
    </row>
    <row r="183" spans="1:50">
      <c r="A183" s="5">
        <v>18021795763</v>
      </c>
      <c r="B183" s="5"/>
      <c r="C183" s="5" t="s">
        <v>17</v>
      </c>
      <c r="D183" s="5"/>
      <c r="E183" s="5"/>
      <c r="F183" s="5"/>
      <c r="G183" s="5"/>
      <c r="H183" s="5"/>
      <c r="I183" s="5"/>
      <c r="J183" s="5"/>
      <c r="K183" s="5" t="s">
        <v>25</v>
      </c>
      <c r="L183" s="5" t="s">
        <v>26</v>
      </c>
      <c r="M183" s="5"/>
      <c r="N183" s="5"/>
      <c r="O183" s="7"/>
      <c r="P183" s="7">
        <f t="shared" si="36"/>
        <v>3</v>
      </c>
      <c r="Q183" s="7">
        <f t="shared" si="37"/>
        <v>1</v>
      </c>
      <c r="R183" s="7"/>
      <c r="S183" s="7">
        <f t="shared" si="53"/>
        <v>0</v>
      </c>
      <c r="T183" s="7">
        <f t="shared" si="38"/>
        <v>1</v>
      </c>
      <c r="U183" s="7">
        <f t="shared" si="39"/>
        <v>0</v>
      </c>
      <c r="V183" s="119">
        <f t="shared" si="40"/>
        <v>0</v>
      </c>
      <c r="W183" s="119">
        <f t="shared" si="41"/>
        <v>0</v>
      </c>
      <c r="X183" s="119">
        <f t="shared" si="42"/>
        <v>0</v>
      </c>
      <c r="Y183" s="119">
        <f t="shared" si="43"/>
        <v>0</v>
      </c>
      <c r="Z183" s="119">
        <f t="shared" si="44"/>
        <v>0</v>
      </c>
      <c r="AA183" s="119">
        <f t="shared" si="45"/>
        <v>0</v>
      </c>
      <c r="AB183" s="119">
        <f t="shared" si="46"/>
        <v>1</v>
      </c>
      <c r="AC183" s="119">
        <f t="shared" si="47"/>
        <v>1</v>
      </c>
      <c r="AD183" s="119">
        <f t="shared" si="48"/>
        <v>0</v>
      </c>
      <c r="AE183" s="119">
        <f t="shared" si="49"/>
        <v>0</v>
      </c>
      <c r="AF183" s="7"/>
      <c r="AG183" s="7"/>
      <c r="AH183" s="7">
        <f t="shared" si="50"/>
        <v>3</v>
      </c>
      <c r="AI183" s="7">
        <f t="shared" si="51"/>
        <v>3</v>
      </c>
      <c r="AJ183" s="7" t="str">
        <f t="shared" si="52"/>
        <v>Correct</v>
      </c>
      <c r="AL183" s="120" t="str">
        <f>IFERROR(VLOOKUP(Table1[RespondentID],'All Data'!$A$3:$CO$999,87,FALSE),"unknown")</f>
        <v>Man</v>
      </c>
      <c r="AM183" s="120">
        <f>IFERROR(VLOOKUP(Table1[RespondentID],'All Data'!$A$3:$CO$999,88,FALSE),"unknown")</f>
        <v>18</v>
      </c>
      <c r="AN183" s="120" t="str">
        <f>IFERROR(VLOOKUP(Table1[RespondentID],'All Data'!$A$3:$CO$999,89,FALSE),"unknown")</f>
        <v>Suffolk</v>
      </c>
      <c r="AO183" s="120" t="str">
        <f>IFERROR(VLOOKUP(Table1[RespondentID],'All Data'!$A$3:$CO$999,90,FALSE),"unknown")</f>
        <v>Commack, 11725</v>
      </c>
      <c r="AP183" s="120" t="str">
        <f>IFERROR(VLOOKUP(Table1[RespondentID],'All Data'!$A$3:$CO$999,91,FALSE),"unknown")</f>
        <v>White</v>
      </c>
      <c r="AQ183" s="120" t="str">
        <f>IFERROR(VLOOKUP(Table1[RespondentID],'All Data'!$A$3:$CO$999,92,FALSE),"unknown")</f>
        <v>Hispanic or Latino</v>
      </c>
      <c r="AR183" s="120" t="str">
        <f>IFERROR(VLOOKUP(Table1[RespondentID],'All Data'!$A$3:$CO$999,93,FALSE),"unknown")</f>
        <v>English</v>
      </c>
      <c r="AS183" s="120" t="str">
        <f>IFERROR(VLOOKUP(Table1[RespondentID],'All Data'!$A$3:$CW$999,94,FALSE),"unknown")</f>
        <v>$50,000 to $74,999</v>
      </c>
      <c r="AT183" s="120" t="str">
        <f>IFERROR(VLOOKUP(Table1[RespondentID],'All Data'!$A$3:$CW$999,95,FALSE),"unknown")</f>
        <v>High school graduate</v>
      </c>
      <c r="AU183" s="120" t="str">
        <f>IFERROR(VLOOKUP(Table1[RespondentID],'All Data'!$A$3:$CW$999,96,FALSE),"unknown")</f>
        <v>Student</v>
      </c>
      <c r="AV183" s="120" t="str">
        <f>IFERROR(VLOOKUP(Table1[RespondentID],'All Data'!$A$3:$CW$999,97,FALSE),"unknown")</f>
        <v>Yes</v>
      </c>
      <c r="AW183" s="120">
        <f>IFERROR(VLOOKUP(Table1[RespondentID],'All Data'!$A$3:$CW$999,98,FALSE),"unknown")</f>
        <v>0</v>
      </c>
      <c r="AX183" s="120">
        <f>IFERROR(VLOOKUP(Table1[RespondentID],'All Data'!$A$3:$CW$999,99,FALSE),"unknown")</f>
        <v>0</v>
      </c>
    </row>
    <row r="184" spans="1:50">
      <c r="A184" s="5">
        <v>18021795588</v>
      </c>
      <c r="B184" s="5"/>
      <c r="C184" s="5" t="s">
        <v>17</v>
      </c>
      <c r="D184" s="5"/>
      <c r="E184" s="5"/>
      <c r="F184" s="5"/>
      <c r="G184" s="5" t="s">
        <v>21</v>
      </c>
      <c r="H184" s="5"/>
      <c r="I184" s="5"/>
      <c r="J184" s="5" t="s">
        <v>24</v>
      </c>
      <c r="K184" s="5"/>
      <c r="L184" s="5"/>
      <c r="M184" s="5"/>
      <c r="N184" s="5"/>
      <c r="O184" s="7"/>
      <c r="P184" s="7">
        <f t="shared" si="36"/>
        <v>3</v>
      </c>
      <c r="Q184" s="7">
        <f t="shared" si="37"/>
        <v>1</v>
      </c>
      <c r="R184" s="7"/>
      <c r="S184" s="7">
        <f t="shared" si="53"/>
        <v>0</v>
      </c>
      <c r="T184" s="7">
        <f t="shared" si="38"/>
        <v>1</v>
      </c>
      <c r="U184" s="7">
        <f t="shared" si="39"/>
        <v>0</v>
      </c>
      <c r="V184" s="119">
        <f t="shared" si="40"/>
        <v>0</v>
      </c>
      <c r="W184" s="119">
        <f t="shared" si="41"/>
        <v>0</v>
      </c>
      <c r="X184" s="119">
        <f t="shared" si="42"/>
        <v>1</v>
      </c>
      <c r="Y184" s="119">
        <f t="shared" si="43"/>
        <v>0</v>
      </c>
      <c r="Z184" s="119">
        <f t="shared" si="44"/>
        <v>0</v>
      </c>
      <c r="AA184" s="119">
        <f t="shared" si="45"/>
        <v>1</v>
      </c>
      <c r="AB184" s="119">
        <f t="shared" si="46"/>
        <v>0</v>
      </c>
      <c r="AC184" s="119">
        <f t="shared" si="47"/>
        <v>0</v>
      </c>
      <c r="AD184" s="119">
        <f t="shared" si="48"/>
        <v>0</v>
      </c>
      <c r="AE184" s="119">
        <f t="shared" si="49"/>
        <v>0</v>
      </c>
      <c r="AF184" s="7"/>
      <c r="AG184" s="7"/>
      <c r="AH184" s="7">
        <f t="shared" si="50"/>
        <v>3</v>
      </c>
      <c r="AI184" s="7">
        <f t="shared" si="51"/>
        <v>3</v>
      </c>
      <c r="AJ184" s="7" t="str">
        <f t="shared" si="52"/>
        <v>Correct</v>
      </c>
      <c r="AL184" s="120" t="str">
        <f>IFERROR(VLOOKUP(Table1[RespondentID],'All Data'!$A$3:$CO$999,87,FALSE),"unknown")</f>
        <v>Woman</v>
      </c>
      <c r="AM184" s="120">
        <f>IFERROR(VLOOKUP(Table1[RespondentID],'All Data'!$A$3:$CO$999,88,FALSE),"unknown")</f>
        <v>64</v>
      </c>
      <c r="AN184" s="120" t="str">
        <f>IFERROR(VLOOKUP(Table1[RespondentID],'All Data'!$A$3:$CO$999,89,FALSE),"unknown")</f>
        <v>Suffolk</v>
      </c>
      <c r="AO184" s="120" t="str">
        <f>IFERROR(VLOOKUP(Table1[RespondentID],'All Data'!$A$3:$CO$999,90,FALSE),"unknown")</f>
        <v>Northport, 11768</v>
      </c>
      <c r="AP184" s="120" t="str">
        <f>IFERROR(VLOOKUP(Table1[RespondentID],'All Data'!$A$3:$CO$999,91,FALSE),"unknown")</f>
        <v>White</v>
      </c>
      <c r="AQ184" s="120" t="str">
        <f>IFERROR(VLOOKUP(Table1[RespondentID],'All Data'!$A$3:$CO$999,92,FALSE),"unknown")</f>
        <v>Hispanic or Latino</v>
      </c>
      <c r="AR184" s="120" t="str">
        <f>IFERROR(VLOOKUP(Table1[RespondentID],'All Data'!$A$3:$CO$999,93,FALSE),"unknown")</f>
        <v>English</v>
      </c>
      <c r="AS184" s="120" t="str">
        <f>IFERROR(VLOOKUP(Table1[RespondentID],'All Data'!$A$3:$CW$999,94,FALSE),"unknown")</f>
        <v>Over $125,000</v>
      </c>
      <c r="AT184" s="120" t="str">
        <f>IFERROR(VLOOKUP(Table1[RespondentID],'All Data'!$A$3:$CW$999,95,FALSE),"unknown")</f>
        <v>Graduate school</v>
      </c>
      <c r="AU184" s="120" t="str">
        <f>IFERROR(VLOOKUP(Table1[RespondentID],'All Data'!$A$3:$CW$999,96,FALSE),"unknown")</f>
        <v>Employed for wages</v>
      </c>
      <c r="AV184" s="120" t="str">
        <f>IFERROR(VLOOKUP(Table1[RespondentID],'All Data'!$A$3:$CW$999,97,FALSE),"unknown")</f>
        <v>Yes</v>
      </c>
      <c r="AW184" s="120">
        <f>IFERROR(VLOOKUP(Table1[RespondentID],'All Data'!$A$3:$CW$999,98,FALSE),"unknown")</f>
        <v>0</v>
      </c>
      <c r="AX184" s="120">
        <f>IFERROR(VLOOKUP(Table1[RespondentID],'All Data'!$A$3:$CW$999,99,FALSE),"unknown")</f>
        <v>0</v>
      </c>
    </row>
    <row r="185" spans="1:50">
      <c r="A185" s="5">
        <v>18021795380</v>
      </c>
      <c r="B185" s="5"/>
      <c r="C185" s="5"/>
      <c r="D185" s="5" t="s">
        <v>18</v>
      </c>
      <c r="E185" s="5"/>
      <c r="F185" s="5"/>
      <c r="G185" s="5"/>
      <c r="H185" s="5"/>
      <c r="I185" s="5"/>
      <c r="J185" s="5"/>
      <c r="K185" s="5" t="s">
        <v>25</v>
      </c>
      <c r="L185" s="5" t="s">
        <v>26</v>
      </c>
      <c r="M185" s="5"/>
      <c r="N185" s="5" t="s">
        <v>28</v>
      </c>
      <c r="O185" s="7"/>
      <c r="P185" s="7">
        <f t="shared" si="36"/>
        <v>4</v>
      </c>
      <c r="Q185" s="7">
        <f t="shared" si="37"/>
        <v>0.75</v>
      </c>
      <c r="R185" s="7"/>
      <c r="S185" s="7">
        <f t="shared" si="53"/>
        <v>0</v>
      </c>
      <c r="T185" s="7">
        <f t="shared" si="38"/>
        <v>0</v>
      </c>
      <c r="U185" s="7">
        <f t="shared" si="39"/>
        <v>0.75</v>
      </c>
      <c r="V185" s="119">
        <f t="shared" si="40"/>
        <v>0</v>
      </c>
      <c r="W185" s="119">
        <f t="shared" si="41"/>
        <v>0</v>
      </c>
      <c r="X185" s="119">
        <f t="shared" si="42"/>
        <v>0</v>
      </c>
      <c r="Y185" s="119">
        <f t="shared" si="43"/>
        <v>0</v>
      </c>
      <c r="Z185" s="119">
        <f t="shared" si="44"/>
        <v>0</v>
      </c>
      <c r="AA185" s="119">
        <f t="shared" si="45"/>
        <v>0</v>
      </c>
      <c r="AB185" s="119">
        <f t="shared" si="46"/>
        <v>0.75</v>
      </c>
      <c r="AC185" s="119">
        <f t="shared" si="47"/>
        <v>0.75</v>
      </c>
      <c r="AD185" s="119">
        <f t="shared" si="48"/>
        <v>0</v>
      </c>
      <c r="AE185" s="119">
        <f t="shared" si="49"/>
        <v>0.75</v>
      </c>
      <c r="AF185" s="7"/>
      <c r="AG185" s="7"/>
      <c r="AH185" s="7">
        <f t="shared" si="50"/>
        <v>3</v>
      </c>
      <c r="AI185" s="7">
        <f t="shared" si="51"/>
        <v>4</v>
      </c>
      <c r="AJ185" s="7" t="str">
        <f t="shared" si="52"/>
        <v>Correct</v>
      </c>
      <c r="AL185" s="120" t="str">
        <f>IFERROR(VLOOKUP(Table1[RespondentID],'All Data'!$A$3:$CO$999,87,FALSE),"unknown")</f>
        <v>Woman</v>
      </c>
      <c r="AM185" s="120">
        <f>IFERROR(VLOOKUP(Table1[RespondentID],'All Data'!$A$3:$CO$999,88,FALSE),"unknown")</f>
        <v>50</v>
      </c>
      <c r="AN185" s="120" t="str">
        <f>IFERROR(VLOOKUP(Table1[RespondentID],'All Data'!$A$3:$CO$999,89,FALSE),"unknown")</f>
        <v>Suffolk</v>
      </c>
      <c r="AO185" s="120" t="str">
        <f>IFERROR(VLOOKUP(Table1[RespondentID],'All Data'!$A$3:$CO$999,90,FALSE),"unknown")</f>
        <v>Dix Hills, 11746</v>
      </c>
      <c r="AP185" s="120" t="str">
        <f>IFERROR(VLOOKUP(Table1[RespondentID],'All Data'!$A$3:$CO$999,91,FALSE),"unknown")</f>
        <v>American Indian and Alaska Native</v>
      </c>
      <c r="AQ185" s="120" t="str">
        <f>IFERROR(VLOOKUP(Table1[RespondentID],'All Data'!$A$3:$CO$999,92,FALSE),"unknown")</f>
        <v>Hispanic or Latino</v>
      </c>
      <c r="AR185" s="120" t="str">
        <f>IFERROR(VLOOKUP(Table1[RespondentID],'All Data'!$A$3:$CO$999,93,FALSE),"unknown")</f>
        <v>English</v>
      </c>
      <c r="AS185" s="120" t="str">
        <f>IFERROR(VLOOKUP(Table1[RespondentID],'All Data'!$A$3:$CW$999,94,FALSE),"unknown")</f>
        <v>$50,000 to $74,999</v>
      </c>
      <c r="AT185" s="120" t="str">
        <f>IFERROR(VLOOKUP(Table1[RespondentID],'All Data'!$A$3:$CW$999,95,FALSE),"unknown")</f>
        <v>Some college</v>
      </c>
      <c r="AU185" s="120" t="str">
        <f>IFERROR(VLOOKUP(Table1[RespondentID],'All Data'!$A$3:$CW$999,96,FALSE),"unknown")</f>
        <v>Employed for wages</v>
      </c>
      <c r="AV185" s="120" t="str">
        <f>IFERROR(VLOOKUP(Table1[RespondentID],'All Data'!$A$3:$CW$999,97,FALSE),"unknown")</f>
        <v>Yes</v>
      </c>
      <c r="AW185" s="120">
        <f>IFERROR(VLOOKUP(Table1[RespondentID],'All Data'!$A$3:$CW$999,98,FALSE),"unknown")</f>
        <v>0</v>
      </c>
      <c r="AX185" s="120">
        <f>IFERROR(VLOOKUP(Table1[RespondentID],'All Data'!$A$3:$CW$999,99,FALSE),"unknown")</f>
        <v>0</v>
      </c>
    </row>
    <row r="186" spans="1:50">
      <c r="A186" s="5">
        <v>18021795224</v>
      </c>
      <c r="B186" s="5"/>
      <c r="C186" s="5"/>
      <c r="D186" s="5"/>
      <c r="E186" s="5"/>
      <c r="F186" s="5"/>
      <c r="G186" s="5" t="s">
        <v>21</v>
      </c>
      <c r="H186" s="5"/>
      <c r="I186" s="5"/>
      <c r="J186" s="5"/>
      <c r="K186" s="5"/>
      <c r="L186" s="5" t="s">
        <v>26</v>
      </c>
      <c r="M186" s="5" t="s">
        <v>27</v>
      </c>
      <c r="N186" s="5"/>
      <c r="O186" s="7"/>
      <c r="P186" s="7">
        <f t="shared" si="36"/>
        <v>3</v>
      </c>
      <c r="Q186" s="7">
        <f t="shared" si="37"/>
        <v>1</v>
      </c>
      <c r="R186" s="7"/>
      <c r="S186" s="7">
        <f t="shared" si="53"/>
        <v>0</v>
      </c>
      <c r="T186" s="7">
        <f t="shared" si="38"/>
        <v>0</v>
      </c>
      <c r="U186" s="7">
        <f t="shared" si="39"/>
        <v>0</v>
      </c>
      <c r="V186" s="119">
        <f t="shared" si="40"/>
        <v>0</v>
      </c>
      <c r="W186" s="119">
        <f t="shared" si="41"/>
        <v>0</v>
      </c>
      <c r="X186" s="119">
        <f t="shared" si="42"/>
        <v>1</v>
      </c>
      <c r="Y186" s="119">
        <f t="shared" si="43"/>
        <v>0</v>
      </c>
      <c r="Z186" s="119">
        <f t="shared" si="44"/>
        <v>0</v>
      </c>
      <c r="AA186" s="119">
        <f t="shared" si="45"/>
        <v>0</v>
      </c>
      <c r="AB186" s="119">
        <f t="shared" si="46"/>
        <v>0</v>
      </c>
      <c r="AC186" s="119">
        <f t="shared" si="47"/>
        <v>1</v>
      </c>
      <c r="AD186" s="119">
        <f t="shared" si="48"/>
        <v>1</v>
      </c>
      <c r="AE186" s="119">
        <f t="shared" si="49"/>
        <v>0</v>
      </c>
      <c r="AF186" s="7"/>
      <c r="AG186" s="7"/>
      <c r="AH186" s="7">
        <f t="shared" si="50"/>
        <v>3</v>
      </c>
      <c r="AI186" s="7">
        <f t="shared" si="51"/>
        <v>3</v>
      </c>
      <c r="AJ186" s="7" t="str">
        <f t="shared" si="52"/>
        <v>Correct</v>
      </c>
      <c r="AL186" s="120" t="str">
        <f>IFERROR(VLOOKUP(Table1[RespondentID],'All Data'!$A$3:$CO$999,87,FALSE),"unknown")</f>
        <v>Man</v>
      </c>
      <c r="AM186" s="120">
        <f>IFERROR(VLOOKUP(Table1[RespondentID],'All Data'!$A$3:$CO$999,88,FALSE),"unknown")</f>
        <v>86</v>
      </c>
      <c r="AN186" s="120" t="str">
        <f>IFERROR(VLOOKUP(Table1[RespondentID],'All Data'!$A$3:$CO$999,89,FALSE),"unknown")</f>
        <v>Suffolk</v>
      </c>
      <c r="AO186" s="120" t="str">
        <f>IFERROR(VLOOKUP(Table1[RespondentID],'All Data'!$A$3:$CO$999,90,FALSE),"unknown")</f>
        <v>Dix Hills, 11746</v>
      </c>
      <c r="AP186" s="120" t="str">
        <f>IFERROR(VLOOKUP(Table1[RespondentID],'All Data'!$A$3:$CO$999,91,FALSE),"unknown")</f>
        <v>American Indian and Alaska Native</v>
      </c>
      <c r="AQ186" s="120" t="str">
        <f>IFERROR(VLOOKUP(Table1[RespondentID],'All Data'!$A$3:$CO$999,92,FALSE),"unknown")</f>
        <v>Hispanic or Latino</v>
      </c>
      <c r="AR186" s="120" t="str">
        <f>IFERROR(VLOOKUP(Table1[RespondentID],'All Data'!$A$3:$CO$999,93,FALSE),"unknown")</f>
        <v>English</v>
      </c>
      <c r="AS186" s="120" t="str">
        <f>IFERROR(VLOOKUP(Table1[RespondentID],'All Data'!$A$3:$CW$999,94,FALSE),"unknown")</f>
        <v>$50,000 to $74,999</v>
      </c>
      <c r="AT186" s="120" t="str">
        <f>IFERROR(VLOOKUP(Table1[RespondentID],'All Data'!$A$3:$CW$999,95,FALSE),"unknown")</f>
        <v>Some high school</v>
      </c>
      <c r="AU186" s="120" t="str">
        <f>IFERROR(VLOOKUP(Table1[RespondentID],'All Data'!$A$3:$CW$999,96,FALSE),"unknown")</f>
        <v>Retired</v>
      </c>
      <c r="AV186" s="120" t="str">
        <f>IFERROR(VLOOKUP(Table1[RespondentID],'All Data'!$A$3:$CW$999,97,FALSE),"unknown")</f>
        <v>Yes</v>
      </c>
      <c r="AW186" s="120">
        <f>IFERROR(VLOOKUP(Table1[RespondentID],'All Data'!$A$3:$CW$999,98,FALSE),"unknown")</f>
        <v>0</v>
      </c>
      <c r="AX186" s="120">
        <f>IFERROR(VLOOKUP(Table1[RespondentID],'All Data'!$A$3:$CW$999,99,FALSE),"unknown")</f>
        <v>0</v>
      </c>
    </row>
    <row r="187" spans="1:50">
      <c r="A187" s="5">
        <v>18021795037</v>
      </c>
      <c r="B187" s="5"/>
      <c r="C187" s="5"/>
      <c r="D187" s="5"/>
      <c r="E187" s="5"/>
      <c r="F187" s="5"/>
      <c r="G187" s="5" t="s">
        <v>21</v>
      </c>
      <c r="H187" s="5"/>
      <c r="I187" s="5"/>
      <c r="J187" s="5"/>
      <c r="K187" s="5" t="s">
        <v>25</v>
      </c>
      <c r="L187" s="5"/>
      <c r="M187" s="5"/>
      <c r="N187" s="5" t="s">
        <v>28</v>
      </c>
      <c r="O187" s="7"/>
      <c r="P187" s="7">
        <f t="shared" si="36"/>
        <v>3</v>
      </c>
      <c r="Q187" s="7">
        <f t="shared" si="37"/>
        <v>1</v>
      </c>
      <c r="R187" s="7"/>
      <c r="S187" s="7">
        <f t="shared" si="53"/>
        <v>0</v>
      </c>
      <c r="T187" s="7">
        <f t="shared" si="38"/>
        <v>0</v>
      </c>
      <c r="U187" s="7">
        <f t="shared" si="39"/>
        <v>0</v>
      </c>
      <c r="V187" s="119">
        <f t="shared" si="40"/>
        <v>0</v>
      </c>
      <c r="W187" s="119">
        <f t="shared" si="41"/>
        <v>0</v>
      </c>
      <c r="X187" s="119">
        <f t="shared" si="42"/>
        <v>1</v>
      </c>
      <c r="Y187" s="119">
        <f t="shared" si="43"/>
        <v>0</v>
      </c>
      <c r="Z187" s="119">
        <f t="shared" si="44"/>
        <v>0</v>
      </c>
      <c r="AA187" s="119">
        <f t="shared" si="45"/>
        <v>0</v>
      </c>
      <c r="AB187" s="119">
        <f t="shared" si="46"/>
        <v>1</v>
      </c>
      <c r="AC187" s="119">
        <f t="shared" si="47"/>
        <v>0</v>
      </c>
      <c r="AD187" s="119">
        <f t="shared" si="48"/>
        <v>0</v>
      </c>
      <c r="AE187" s="119">
        <f t="shared" si="49"/>
        <v>1</v>
      </c>
      <c r="AF187" s="7"/>
      <c r="AG187" s="7"/>
      <c r="AH187" s="7">
        <f t="shared" si="50"/>
        <v>3</v>
      </c>
      <c r="AI187" s="7">
        <f t="shared" si="51"/>
        <v>3</v>
      </c>
      <c r="AJ187" s="7" t="str">
        <f t="shared" si="52"/>
        <v>Correct</v>
      </c>
      <c r="AL187" s="120" t="str">
        <f>IFERROR(VLOOKUP(Table1[RespondentID],'All Data'!$A$3:$CO$999,87,FALSE),"unknown")</f>
        <v>Man</v>
      </c>
      <c r="AM187" s="120">
        <f>IFERROR(VLOOKUP(Table1[RespondentID],'All Data'!$A$3:$CO$999,88,FALSE),"unknown")</f>
        <v>46</v>
      </c>
      <c r="AN187" s="120" t="str">
        <f>IFERROR(VLOOKUP(Table1[RespondentID],'All Data'!$A$3:$CO$999,89,FALSE),"unknown")</f>
        <v>Suffolk</v>
      </c>
      <c r="AO187" s="120" t="str">
        <f>IFERROR(VLOOKUP(Table1[RespondentID],'All Data'!$A$3:$CO$999,90,FALSE),"unknown")</f>
        <v>Dix Hills, 11746</v>
      </c>
      <c r="AP187" s="120" t="str">
        <f>IFERROR(VLOOKUP(Table1[RespondentID],'All Data'!$A$3:$CO$999,91,FALSE),"unknown")</f>
        <v>American Indian and Alaska Native</v>
      </c>
      <c r="AQ187" s="120" t="str">
        <f>IFERROR(VLOOKUP(Table1[RespondentID],'All Data'!$A$3:$CO$999,92,FALSE),"unknown")</f>
        <v>Hispanic or Latino</v>
      </c>
      <c r="AR187" s="120" t="str">
        <f>IFERROR(VLOOKUP(Table1[RespondentID],'All Data'!$A$3:$CO$999,93,FALSE),"unknown")</f>
        <v>English</v>
      </c>
      <c r="AS187" s="120" t="str">
        <f>IFERROR(VLOOKUP(Table1[RespondentID],'All Data'!$A$3:$CW$999,94,FALSE),"unknown")</f>
        <v>$50,000 to $74,999</v>
      </c>
      <c r="AT187" s="120" t="str">
        <f>IFERROR(VLOOKUP(Table1[RespondentID],'All Data'!$A$3:$CW$999,95,FALSE),"unknown")</f>
        <v>Some college</v>
      </c>
      <c r="AU187" s="120" t="str">
        <f>IFERROR(VLOOKUP(Table1[RespondentID],'All Data'!$A$3:$CW$999,96,FALSE),"unknown")</f>
        <v>Employed for wages</v>
      </c>
      <c r="AV187" s="120" t="str">
        <f>IFERROR(VLOOKUP(Table1[RespondentID],'All Data'!$A$3:$CW$999,97,FALSE),"unknown")</f>
        <v>Yes</v>
      </c>
      <c r="AW187" s="120">
        <f>IFERROR(VLOOKUP(Table1[RespondentID],'All Data'!$A$3:$CW$999,98,FALSE),"unknown")</f>
        <v>0</v>
      </c>
      <c r="AX187" s="120">
        <f>IFERROR(VLOOKUP(Table1[RespondentID],'All Data'!$A$3:$CW$999,99,FALSE),"unknown")</f>
        <v>0</v>
      </c>
    </row>
    <row r="188" spans="1:50">
      <c r="A188" s="5">
        <v>18021794841</v>
      </c>
      <c r="B188" s="5"/>
      <c r="C188" s="5"/>
      <c r="D188" s="5"/>
      <c r="E188" s="5"/>
      <c r="F188" s="5"/>
      <c r="G188" s="5"/>
      <c r="H188" s="5" t="s">
        <v>22</v>
      </c>
      <c r="I188" s="5"/>
      <c r="J188" s="5"/>
      <c r="K188" s="5" t="s">
        <v>25</v>
      </c>
      <c r="L188" s="5" t="s">
        <v>26</v>
      </c>
      <c r="M188" s="5"/>
      <c r="N188" s="5"/>
      <c r="O188" s="7"/>
      <c r="P188" s="7">
        <f t="shared" si="36"/>
        <v>3</v>
      </c>
      <c r="Q188" s="7">
        <f t="shared" si="37"/>
        <v>1</v>
      </c>
      <c r="R188" s="7"/>
      <c r="S188" s="7">
        <f t="shared" si="53"/>
        <v>0</v>
      </c>
      <c r="T188" s="7">
        <f t="shared" si="38"/>
        <v>0</v>
      </c>
      <c r="U188" s="7">
        <f t="shared" si="39"/>
        <v>0</v>
      </c>
      <c r="V188" s="119">
        <f t="shared" si="40"/>
        <v>0</v>
      </c>
      <c r="W188" s="119">
        <f t="shared" si="41"/>
        <v>0</v>
      </c>
      <c r="X188" s="119">
        <f t="shared" si="42"/>
        <v>0</v>
      </c>
      <c r="Y188" s="119">
        <f t="shared" si="43"/>
        <v>1</v>
      </c>
      <c r="Z188" s="119">
        <f t="shared" si="44"/>
        <v>0</v>
      </c>
      <c r="AA188" s="119">
        <f t="shared" si="45"/>
        <v>0</v>
      </c>
      <c r="AB188" s="119">
        <f t="shared" si="46"/>
        <v>1</v>
      </c>
      <c r="AC188" s="119">
        <f t="shared" si="47"/>
        <v>1</v>
      </c>
      <c r="AD188" s="119">
        <f t="shared" si="48"/>
        <v>0</v>
      </c>
      <c r="AE188" s="119">
        <f t="shared" si="49"/>
        <v>0</v>
      </c>
      <c r="AF188" s="7"/>
      <c r="AG188" s="7"/>
      <c r="AH188" s="7">
        <f t="shared" si="50"/>
        <v>3</v>
      </c>
      <c r="AI188" s="7">
        <f t="shared" si="51"/>
        <v>3</v>
      </c>
      <c r="AJ188" s="7" t="str">
        <f t="shared" si="52"/>
        <v>Correct</v>
      </c>
      <c r="AL188" s="120" t="str">
        <f>IFERROR(VLOOKUP(Table1[RespondentID],'All Data'!$A$3:$CO$999,87,FALSE),"unknown")</f>
        <v>Woman</v>
      </c>
      <c r="AM188" s="120">
        <f>IFERROR(VLOOKUP(Table1[RespondentID],'All Data'!$A$3:$CO$999,88,FALSE),"unknown")</f>
        <v>18</v>
      </c>
      <c r="AN188" s="120" t="str">
        <f>IFERROR(VLOOKUP(Table1[RespondentID],'All Data'!$A$3:$CO$999,89,FALSE),"unknown")</f>
        <v>Suffolk</v>
      </c>
      <c r="AO188" s="120" t="str">
        <f>IFERROR(VLOOKUP(Table1[RespondentID],'All Data'!$A$3:$CO$999,90,FALSE),"unknown")</f>
        <v>East Northport, 11731</v>
      </c>
      <c r="AP188" s="120" t="str">
        <f>IFERROR(VLOOKUP(Table1[RespondentID],'All Data'!$A$3:$CO$999,91,FALSE),"unknown")</f>
        <v>White</v>
      </c>
      <c r="AQ188" s="120" t="str">
        <f>IFERROR(VLOOKUP(Table1[RespondentID],'All Data'!$A$3:$CO$999,92,FALSE),"unknown")</f>
        <v>Hispanic or Latino</v>
      </c>
      <c r="AR188" s="120" t="str">
        <f>IFERROR(VLOOKUP(Table1[RespondentID],'All Data'!$A$3:$CO$999,93,FALSE),"unknown")</f>
        <v>English</v>
      </c>
      <c r="AS188" s="120" t="str">
        <f>IFERROR(VLOOKUP(Table1[RespondentID],'All Data'!$A$3:$CW$999,94,FALSE),"unknown")</f>
        <v>Over $125,000</v>
      </c>
      <c r="AT188" s="120" t="str">
        <f>IFERROR(VLOOKUP(Table1[RespondentID],'All Data'!$A$3:$CW$999,95,FALSE),"unknown")</f>
        <v>High school graduate</v>
      </c>
      <c r="AU188" s="120" t="str">
        <f>IFERROR(VLOOKUP(Table1[RespondentID],'All Data'!$A$3:$CW$999,96,FALSE),"unknown")</f>
        <v>Student</v>
      </c>
      <c r="AV188" s="120" t="str">
        <f>IFERROR(VLOOKUP(Table1[RespondentID],'All Data'!$A$3:$CW$999,97,FALSE),"unknown")</f>
        <v>Yes</v>
      </c>
      <c r="AW188" s="120">
        <f>IFERROR(VLOOKUP(Table1[RespondentID],'All Data'!$A$3:$CW$999,98,FALSE),"unknown")</f>
        <v>0</v>
      </c>
      <c r="AX188" s="120">
        <f>IFERROR(VLOOKUP(Table1[RespondentID],'All Data'!$A$3:$CW$999,99,FALSE),"unknown")</f>
        <v>0</v>
      </c>
    </row>
    <row r="189" spans="1:50">
      <c r="A189" s="5">
        <v>18021794694</v>
      </c>
      <c r="B189" s="5"/>
      <c r="C189" s="5"/>
      <c r="D189" s="5"/>
      <c r="E189" s="5"/>
      <c r="F189" s="5"/>
      <c r="G189" s="5"/>
      <c r="H189" s="5" t="s">
        <v>22</v>
      </c>
      <c r="I189" s="5"/>
      <c r="J189" s="5"/>
      <c r="K189" s="5" t="s">
        <v>25</v>
      </c>
      <c r="L189" s="5"/>
      <c r="M189" s="5"/>
      <c r="N189" s="5" t="s">
        <v>28</v>
      </c>
      <c r="O189" s="7"/>
      <c r="P189" s="7">
        <f t="shared" si="36"/>
        <v>3</v>
      </c>
      <c r="Q189" s="7">
        <f t="shared" si="37"/>
        <v>1</v>
      </c>
      <c r="R189" s="7"/>
      <c r="S189" s="7">
        <f t="shared" si="53"/>
        <v>0</v>
      </c>
      <c r="T189" s="7">
        <f t="shared" si="38"/>
        <v>0</v>
      </c>
      <c r="U189" s="7">
        <f t="shared" si="39"/>
        <v>0</v>
      </c>
      <c r="V189" s="119">
        <f t="shared" si="40"/>
        <v>0</v>
      </c>
      <c r="W189" s="119">
        <f t="shared" si="41"/>
        <v>0</v>
      </c>
      <c r="X189" s="119">
        <f t="shared" si="42"/>
        <v>0</v>
      </c>
      <c r="Y189" s="119">
        <f t="shared" si="43"/>
        <v>1</v>
      </c>
      <c r="Z189" s="119">
        <f t="shared" si="44"/>
        <v>0</v>
      </c>
      <c r="AA189" s="119">
        <f t="shared" si="45"/>
        <v>0</v>
      </c>
      <c r="AB189" s="119">
        <f t="shared" si="46"/>
        <v>1</v>
      </c>
      <c r="AC189" s="119">
        <f t="shared" si="47"/>
        <v>0</v>
      </c>
      <c r="AD189" s="119">
        <f t="shared" si="48"/>
        <v>0</v>
      </c>
      <c r="AE189" s="119">
        <f t="shared" si="49"/>
        <v>1</v>
      </c>
      <c r="AF189" s="7"/>
      <c r="AG189" s="7"/>
      <c r="AH189" s="7">
        <f t="shared" si="50"/>
        <v>3</v>
      </c>
      <c r="AI189" s="7">
        <f t="shared" si="51"/>
        <v>3</v>
      </c>
      <c r="AJ189" s="7" t="str">
        <f t="shared" si="52"/>
        <v>Correct</v>
      </c>
      <c r="AL189" s="120" t="str">
        <f>IFERROR(VLOOKUP(Table1[RespondentID],'All Data'!$A$3:$CO$999,87,FALSE),"unknown")</f>
        <v>Woman</v>
      </c>
      <c r="AM189" s="120">
        <f>IFERROR(VLOOKUP(Table1[RespondentID],'All Data'!$A$3:$CO$999,88,FALSE),"unknown")</f>
        <v>49</v>
      </c>
      <c r="AN189" s="120" t="str">
        <f>IFERROR(VLOOKUP(Table1[RespondentID],'All Data'!$A$3:$CO$999,89,FALSE),"unknown")</f>
        <v>Queens</v>
      </c>
      <c r="AO189" s="120">
        <f>IFERROR(VLOOKUP(Table1[RespondentID],'All Data'!$A$3:$CO$999,90,FALSE),"unknown")</f>
        <v>11372</v>
      </c>
      <c r="AP189" s="120">
        <f>IFERROR(VLOOKUP(Table1[RespondentID],'All Data'!$A$3:$CO$999,91,FALSE),"unknown")</f>
        <v>0</v>
      </c>
      <c r="AQ189" s="120" t="str">
        <f>IFERROR(VLOOKUP(Table1[RespondentID],'All Data'!$A$3:$CO$999,92,FALSE),"unknown")</f>
        <v>Not Hispanic or Latino</v>
      </c>
      <c r="AR189" s="120" t="str">
        <f>IFERROR(VLOOKUP(Table1[RespondentID],'All Data'!$A$3:$CO$999,93,FALSE),"unknown")</f>
        <v>English, Spanish</v>
      </c>
      <c r="AS189" s="120" t="str">
        <f>IFERROR(VLOOKUP(Table1[RespondentID],'All Data'!$A$3:$CW$999,94,FALSE),"unknown")</f>
        <v>$75,000 to $125,000</v>
      </c>
      <c r="AT189" s="120" t="str">
        <f>IFERROR(VLOOKUP(Table1[RespondentID],'All Data'!$A$3:$CW$999,95,FALSE),"unknown")</f>
        <v>College graduate</v>
      </c>
      <c r="AU189" s="120" t="str">
        <f>IFERROR(VLOOKUP(Table1[RespondentID],'All Data'!$A$3:$CW$999,96,FALSE),"unknown")</f>
        <v>Employed for wages</v>
      </c>
      <c r="AV189" s="120" t="str">
        <f>IFERROR(VLOOKUP(Table1[RespondentID],'All Data'!$A$3:$CW$999,97,FALSE),"unknown")</f>
        <v>Yes</v>
      </c>
      <c r="AW189" s="120">
        <f>IFERROR(VLOOKUP(Table1[RespondentID],'All Data'!$A$3:$CW$999,98,FALSE),"unknown")</f>
        <v>0</v>
      </c>
      <c r="AX189" s="120" t="str">
        <f>IFERROR(VLOOKUP(Table1[RespondentID],'All Data'!$A$3:$CW$999,99,FALSE),"unknown")</f>
        <v>Yes</v>
      </c>
    </row>
    <row r="190" spans="1:50">
      <c r="A190" s="5">
        <v>18021794399</v>
      </c>
      <c r="B190" s="5"/>
      <c r="C190" s="5"/>
      <c r="D190" s="5"/>
      <c r="E190" s="5"/>
      <c r="F190" s="5"/>
      <c r="G190" s="5"/>
      <c r="H190" s="5" t="s">
        <v>22</v>
      </c>
      <c r="I190" s="5"/>
      <c r="J190" s="5"/>
      <c r="K190" s="5" t="s">
        <v>25</v>
      </c>
      <c r="L190" s="5"/>
      <c r="M190" s="5"/>
      <c r="N190" s="5" t="s">
        <v>28</v>
      </c>
      <c r="O190" s="7"/>
      <c r="P190" s="7">
        <f t="shared" si="36"/>
        <v>3</v>
      </c>
      <c r="Q190" s="7">
        <f t="shared" si="37"/>
        <v>1</v>
      </c>
      <c r="R190" s="7"/>
      <c r="S190" s="7">
        <f t="shared" si="53"/>
        <v>0</v>
      </c>
      <c r="T190" s="7">
        <f t="shared" si="38"/>
        <v>0</v>
      </c>
      <c r="U190" s="7">
        <f t="shared" si="39"/>
        <v>0</v>
      </c>
      <c r="V190" s="119">
        <f t="shared" si="40"/>
        <v>0</v>
      </c>
      <c r="W190" s="119">
        <f t="shared" si="41"/>
        <v>0</v>
      </c>
      <c r="X190" s="119">
        <f t="shared" si="42"/>
        <v>0</v>
      </c>
      <c r="Y190" s="119">
        <f t="shared" si="43"/>
        <v>1</v>
      </c>
      <c r="Z190" s="119">
        <f t="shared" si="44"/>
        <v>0</v>
      </c>
      <c r="AA190" s="119">
        <f t="shared" si="45"/>
        <v>0</v>
      </c>
      <c r="AB190" s="119">
        <f t="shared" si="46"/>
        <v>1</v>
      </c>
      <c r="AC190" s="119">
        <f t="shared" si="47"/>
        <v>0</v>
      </c>
      <c r="AD190" s="119">
        <f t="shared" si="48"/>
        <v>0</v>
      </c>
      <c r="AE190" s="119">
        <f t="shared" si="49"/>
        <v>1</v>
      </c>
      <c r="AF190" s="7"/>
      <c r="AG190" s="7"/>
      <c r="AH190" s="7">
        <f t="shared" si="50"/>
        <v>3</v>
      </c>
      <c r="AI190" s="7">
        <f t="shared" si="51"/>
        <v>3</v>
      </c>
      <c r="AJ190" s="7" t="str">
        <f t="shared" si="52"/>
        <v>Correct</v>
      </c>
      <c r="AL190" s="120" t="str">
        <f>IFERROR(VLOOKUP(Table1[RespondentID],'All Data'!$A$3:$CO$999,87,FALSE),"unknown")</f>
        <v>Man</v>
      </c>
      <c r="AM190" s="120">
        <f>IFERROR(VLOOKUP(Table1[RespondentID],'All Data'!$A$3:$CO$999,88,FALSE),"unknown")</f>
        <v>61</v>
      </c>
      <c r="AN190" s="120" t="str">
        <f>IFERROR(VLOOKUP(Table1[RespondentID],'All Data'!$A$3:$CO$999,89,FALSE),"unknown")</f>
        <v>Queens</v>
      </c>
      <c r="AO190" s="120">
        <f>IFERROR(VLOOKUP(Table1[RespondentID],'All Data'!$A$3:$CO$999,90,FALSE),"unknown")</f>
        <v>11372</v>
      </c>
      <c r="AP190" s="120" t="str">
        <f>IFERROR(VLOOKUP(Table1[RespondentID],'All Data'!$A$3:$CO$999,91,FALSE),"unknown")</f>
        <v>American Indian and Alaska Native</v>
      </c>
      <c r="AQ190" s="120" t="str">
        <f>IFERROR(VLOOKUP(Table1[RespondentID],'All Data'!$A$3:$CO$999,92,FALSE),"unknown")</f>
        <v>Hispanic or Latino</v>
      </c>
      <c r="AR190" s="120" t="str">
        <f>IFERROR(VLOOKUP(Table1[RespondentID],'All Data'!$A$3:$CO$999,93,FALSE),"unknown")</f>
        <v>English, Spanish</v>
      </c>
      <c r="AS190" s="120" t="str">
        <f>IFERROR(VLOOKUP(Table1[RespondentID],'All Data'!$A$3:$CW$999,94,FALSE),"unknown")</f>
        <v>$75,000 to $125,000</v>
      </c>
      <c r="AT190" s="120" t="str">
        <f>IFERROR(VLOOKUP(Table1[RespondentID],'All Data'!$A$3:$CW$999,95,FALSE),"unknown")</f>
        <v>Some college</v>
      </c>
      <c r="AU190" s="120" t="str">
        <f>IFERROR(VLOOKUP(Table1[RespondentID],'All Data'!$A$3:$CW$999,96,FALSE),"unknown")</f>
        <v>Employed for wages</v>
      </c>
      <c r="AV190" s="120" t="str">
        <f>IFERROR(VLOOKUP(Table1[RespondentID],'All Data'!$A$3:$CW$999,97,FALSE),"unknown")</f>
        <v>Yes</v>
      </c>
      <c r="AW190" s="120">
        <f>IFERROR(VLOOKUP(Table1[RespondentID],'All Data'!$A$3:$CW$999,98,FALSE),"unknown")</f>
        <v>0</v>
      </c>
      <c r="AX190" s="120" t="str">
        <f>IFERROR(VLOOKUP(Table1[RespondentID],'All Data'!$A$3:$CW$999,99,FALSE),"unknown")</f>
        <v>Yes</v>
      </c>
    </row>
    <row r="191" spans="1:50">
      <c r="A191" s="5">
        <v>18021794261</v>
      </c>
      <c r="B191" s="5"/>
      <c r="C191" s="5" t="s">
        <v>17</v>
      </c>
      <c r="D191" s="5"/>
      <c r="E191" s="5"/>
      <c r="F191" s="5"/>
      <c r="G191" s="5"/>
      <c r="H191" s="5"/>
      <c r="I191" s="5"/>
      <c r="J191" s="5"/>
      <c r="K191" s="5" t="s">
        <v>25</v>
      </c>
      <c r="L191" s="5"/>
      <c r="M191" s="5"/>
      <c r="N191" s="5" t="s">
        <v>28</v>
      </c>
      <c r="O191" s="7"/>
      <c r="P191" s="7">
        <f t="shared" si="36"/>
        <v>3</v>
      </c>
      <c r="Q191" s="7">
        <f t="shared" si="37"/>
        <v>1</v>
      </c>
      <c r="R191" s="7"/>
      <c r="S191" s="7">
        <f t="shared" si="53"/>
        <v>0</v>
      </c>
      <c r="T191" s="7">
        <f t="shared" si="38"/>
        <v>1</v>
      </c>
      <c r="U191" s="7">
        <f t="shared" si="39"/>
        <v>0</v>
      </c>
      <c r="V191" s="119">
        <f t="shared" si="40"/>
        <v>0</v>
      </c>
      <c r="W191" s="119">
        <f t="shared" si="41"/>
        <v>0</v>
      </c>
      <c r="X191" s="119">
        <f t="shared" si="42"/>
        <v>0</v>
      </c>
      <c r="Y191" s="119">
        <f t="shared" si="43"/>
        <v>0</v>
      </c>
      <c r="Z191" s="119">
        <f t="shared" si="44"/>
        <v>0</v>
      </c>
      <c r="AA191" s="119">
        <f t="shared" si="45"/>
        <v>0</v>
      </c>
      <c r="AB191" s="119">
        <f t="shared" si="46"/>
        <v>1</v>
      </c>
      <c r="AC191" s="119">
        <f t="shared" si="47"/>
        <v>0</v>
      </c>
      <c r="AD191" s="119">
        <f t="shared" si="48"/>
        <v>0</v>
      </c>
      <c r="AE191" s="119">
        <f t="shared" si="49"/>
        <v>1</v>
      </c>
      <c r="AF191" s="7"/>
      <c r="AG191" s="7"/>
      <c r="AH191" s="7">
        <f t="shared" si="50"/>
        <v>3</v>
      </c>
      <c r="AI191" s="7">
        <f t="shared" si="51"/>
        <v>3</v>
      </c>
      <c r="AJ191" s="7" t="str">
        <f t="shared" si="52"/>
        <v>Correct</v>
      </c>
      <c r="AL191" s="120" t="str">
        <f>IFERROR(VLOOKUP(Table1[RespondentID],'All Data'!$A$3:$CO$999,87,FALSE),"unknown")</f>
        <v>Man</v>
      </c>
      <c r="AM191" s="120">
        <f>IFERROR(VLOOKUP(Table1[RespondentID],'All Data'!$A$3:$CO$999,88,FALSE),"unknown")</f>
        <v>44</v>
      </c>
      <c r="AN191" s="120" t="str">
        <f>IFERROR(VLOOKUP(Table1[RespondentID],'All Data'!$A$3:$CO$999,89,FALSE),"unknown")</f>
        <v>Suffolk</v>
      </c>
      <c r="AO191" s="120" t="str">
        <f>IFERROR(VLOOKUP(Table1[RespondentID],'All Data'!$A$3:$CO$999,90,FALSE),"unknown")</f>
        <v>Port Jefferson Station, 11776</v>
      </c>
      <c r="AP191" s="120" t="str">
        <f>IFERROR(VLOOKUP(Table1[RespondentID],'All Data'!$A$3:$CO$999,91,FALSE),"unknown")</f>
        <v>White</v>
      </c>
      <c r="AQ191" s="120" t="str">
        <f>IFERROR(VLOOKUP(Table1[RespondentID],'All Data'!$A$3:$CO$999,92,FALSE),"unknown")</f>
        <v>Hispanic or Latino</v>
      </c>
      <c r="AR191" s="120" t="str">
        <f>IFERROR(VLOOKUP(Table1[RespondentID],'All Data'!$A$3:$CO$999,93,FALSE),"unknown")</f>
        <v>English</v>
      </c>
      <c r="AS191" s="120" t="str">
        <f>IFERROR(VLOOKUP(Table1[RespondentID],'All Data'!$A$3:$CW$999,94,FALSE),"unknown")</f>
        <v>Over $125,000</v>
      </c>
      <c r="AT191" s="120" t="str">
        <f>IFERROR(VLOOKUP(Table1[RespondentID],'All Data'!$A$3:$CW$999,95,FALSE),"unknown")</f>
        <v>Graduate school</v>
      </c>
      <c r="AU191" s="120" t="str">
        <f>IFERROR(VLOOKUP(Table1[RespondentID],'All Data'!$A$3:$CW$999,96,FALSE),"unknown")</f>
        <v>Employed for wages</v>
      </c>
      <c r="AV191" s="120" t="str">
        <f>IFERROR(VLOOKUP(Table1[RespondentID],'All Data'!$A$3:$CW$999,97,FALSE),"unknown")</f>
        <v>Yes</v>
      </c>
      <c r="AW191" s="120">
        <f>IFERROR(VLOOKUP(Table1[RespondentID],'All Data'!$A$3:$CW$999,98,FALSE),"unknown")</f>
        <v>0</v>
      </c>
      <c r="AX191" s="120">
        <f>IFERROR(VLOOKUP(Table1[RespondentID],'All Data'!$A$3:$CW$999,99,FALSE),"unknown")</f>
        <v>0</v>
      </c>
    </row>
    <row r="192" spans="1:50">
      <c r="A192" s="5">
        <v>18021634437</v>
      </c>
      <c r="B192" s="5"/>
      <c r="C192" s="5"/>
      <c r="D192" s="5"/>
      <c r="E192" s="5"/>
      <c r="F192" s="5"/>
      <c r="G192" s="5" t="s">
        <v>21</v>
      </c>
      <c r="H192" s="5"/>
      <c r="I192" s="5"/>
      <c r="J192" s="5"/>
      <c r="K192" s="5" t="s">
        <v>25</v>
      </c>
      <c r="L192" s="5" t="s">
        <v>26</v>
      </c>
      <c r="M192" s="5"/>
      <c r="N192" s="5"/>
      <c r="O192" s="7"/>
      <c r="P192" s="7">
        <f t="shared" si="36"/>
        <v>3</v>
      </c>
      <c r="Q192" s="7">
        <f t="shared" si="37"/>
        <v>1</v>
      </c>
      <c r="R192" s="7"/>
      <c r="S192" s="7">
        <f t="shared" si="53"/>
        <v>0</v>
      </c>
      <c r="T192" s="7">
        <f t="shared" si="38"/>
        <v>0</v>
      </c>
      <c r="U192" s="7">
        <f t="shared" si="39"/>
        <v>0</v>
      </c>
      <c r="V192" s="119">
        <f t="shared" si="40"/>
        <v>0</v>
      </c>
      <c r="W192" s="119">
        <f t="shared" si="41"/>
        <v>0</v>
      </c>
      <c r="X192" s="119">
        <f t="shared" si="42"/>
        <v>1</v>
      </c>
      <c r="Y192" s="119">
        <f t="shared" si="43"/>
        <v>0</v>
      </c>
      <c r="Z192" s="119">
        <f t="shared" si="44"/>
        <v>0</v>
      </c>
      <c r="AA192" s="119">
        <f t="shared" si="45"/>
        <v>0</v>
      </c>
      <c r="AB192" s="119">
        <f t="shared" si="46"/>
        <v>1</v>
      </c>
      <c r="AC192" s="119">
        <f t="shared" si="47"/>
        <v>1</v>
      </c>
      <c r="AD192" s="119">
        <f t="shared" si="48"/>
        <v>0</v>
      </c>
      <c r="AE192" s="119">
        <f t="shared" si="49"/>
        <v>0</v>
      </c>
      <c r="AF192" s="7"/>
      <c r="AG192" s="7"/>
      <c r="AH192" s="7">
        <f t="shared" si="50"/>
        <v>3</v>
      </c>
      <c r="AI192" s="7">
        <f t="shared" si="51"/>
        <v>3</v>
      </c>
      <c r="AJ192" s="7" t="str">
        <f t="shared" si="52"/>
        <v>Correct</v>
      </c>
      <c r="AL192" s="120" t="str">
        <f>IFERROR(VLOOKUP(Table1[RespondentID],'All Data'!$A$3:$CO$999,87,FALSE),"unknown")</f>
        <v>Woman</v>
      </c>
      <c r="AM192" s="120">
        <f>IFERROR(VLOOKUP(Table1[RespondentID],'All Data'!$A$3:$CO$999,88,FALSE),"unknown")</f>
        <v>47</v>
      </c>
      <c r="AN192" s="120" t="str">
        <f>IFERROR(VLOOKUP(Table1[RespondentID],'All Data'!$A$3:$CO$999,89,FALSE),"unknown")</f>
        <v>Suffolk</v>
      </c>
      <c r="AO192" s="120" t="str">
        <f>IFERROR(VLOOKUP(Table1[RespondentID],'All Data'!$A$3:$CO$999,90,FALSE),"unknown")</f>
        <v>Miller Place, 11764</v>
      </c>
      <c r="AP192" s="120" t="str">
        <f>IFERROR(VLOOKUP(Table1[RespondentID],'All Data'!$A$3:$CO$999,91,FALSE),"unknown")</f>
        <v>White</v>
      </c>
      <c r="AQ192" s="120" t="str">
        <f>IFERROR(VLOOKUP(Table1[RespondentID],'All Data'!$A$3:$CO$999,92,FALSE),"unknown")</f>
        <v>Hispanic or Latino</v>
      </c>
      <c r="AR192" s="120" t="str">
        <f>IFERROR(VLOOKUP(Table1[RespondentID],'All Data'!$A$3:$CO$999,93,FALSE),"unknown")</f>
        <v>English, Spanish</v>
      </c>
      <c r="AS192" s="120" t="str">
        <f>IFERROR(VLOOKUP(Table1[RespondentID],'All Data'!$A$3:$CW$999,94,FALSE),"unknown")</f>
        <v>Over $125,000</v>
      </c>
      <c r="AT192" s="120" t="str">
        <f>IFERROR(VLOOKUP(Table1[RespondentID],'All Data'!$A$3:$CW$999,95,FALSE),"unknown")</f>
        <v>College graduate</v>
      </c>
      <c r="AU192" s="120" t="str">
        <f>IFERROR(VLOOKUP(Table1[RespondentID],'All Data'!$A$3:$CW$999,96,FALSE),"unknown")</f>
        <v>Employed for wages</v>
      </c>
      <c r="AV192" s="120" t="str">
        <f>IFERROR(VLOOKUP(Table1[RespondentID],'All Data'!$A$3:$CW$999,97,FALSE),"unknown")</f>
        <v>Yes</v>
      </c>
      <c r="AW192" s="120" t="str">
        <f>IFERROR(VLOOKUP(Table1[RespondentID],'All Data'!$A$3:$CW$999,98,FALSE),"unknown")</f>
        <v>Private/Commercial</v>
      </c>
      <c r="AX192" s="120" t="str">
        <f>IFERROR(VLOOKUP(Table1[RespondentID],'All Data'!$A$3:$CW$999,99,FALSE),"unknown")</f>
        <v>Yes</v>
      </c>
    </row>
    <row r="193" spans="1:50">
      <c r="A193" s="5">
        <v>18021525704</v>
      </c>
      <c r="B193" s="5"/>
      <c r="C193" s="5"/>
      <c r="D193" s="5" t="s">
        <v>18</v>
      </c>
      <c r="E193" s="5"/>
      <c r="F193" s="5" t="s">
        <v>20</v>
      </c>
      <c r="G193" s="5"/>
      <c r="H193" s="5"/>
      <c r="I193" s="5"/>
      <c r="J193" s="5" t="s">
        <v>24</v>
      </c>
      <c r="K193" s="5"/>
      <c r="L193" s="5"/>
      <c r="M193" s="5"/>
      <c r="N193" s="5"/>
      <c r="O193" s="7"/>
      <c r="P193" s="7">
        <f t="shared" si="36"/>
        <v>3</v>
      </c>
      <c r="Q193" s="7">
        <f t="shared" si="37"/>
        <v>1</v>
      </c>
      <c r="R193" s="7"/>
      <c r="S193" s="7">
        <f t="shared" si="53"/>
        <v>0</v>
      </c>
      <c r="T193" s="7">
        <f t="shared" si="38"/>
        <v>0</v>
      </c>
      <c r="U193" s="7">
        <f t="shared" si="39"/>
        <v>1</v>
      </c>
      <c r="V193" s="119">
        <f t="shared" si="40"/>
        <v>0</v>
      </c>
      <c r="W193" s="119">
        <f t="shared" si="41"/>
        <v>1</v>
      </c>
      <c r="X193" s="119">
        <f t="shared" si="42"/>
        <v>0</v>
      </c>
      <c r="Y193" s="119">
        <f t="shared" si="43"/>
        <v>0</v>
      </c>
      <c r="Z193" s="119">
        <f t="shared" si="44"/>
        <v>0</v>
      </c>
      <c r="AA193" s="119">
        <f t="shared" si="45"/>
        <v>1</v>
      </c>
      <c r="AB193" s="119">
        <f t="shared" si="46"/>
        <v>0</v>
      </c>
      <c r="AC193" s="119">
        <f t="shared" si="47"/>
        <v>0</v>
      </c>
      <c r="AD193" s="119">
        <f t="shared" si="48"/>
        <v>0</v>
      </c>
      <c r="AE193" s="119">
        <f t="shared" si="49"/>
        <v>0</v>
      </c>
      <c r="AF193" s="7"/>
      <c r="AG193" s="7"/>
      <c r="AH193" s="7">
        <f t="shared" si="50"/>
        <v>3</v>
      </c>
      <c r="AI193" s="7">
        <f t="shared" si="51"/>
        <v>3</v>
      </c>
      <c r="AJ193" s="7" t="str">
        <f t="shared" si="52"/>
        <v>Correct</v>
      </c>
      <c r="AL193" s="120" t="str">
        <f>IFERROR(VLOOKUP(Table1[RespondentID],'All Data'!$A$3:$CO$999,87,FALSE),"unknown")</f>
        <v>Man</v>
      </c>
      <c r="AM193" s="120">
        <f>IFERROR(VLOOKUP(Table1[RespondentID],'All Data'!$A$3:$CO$999,88,FALSE),"unknown")</f>
        <v>0</v>
      </c>
      <c r="AN193" s="120" t="str">
        <f>IFERROR(VLOOKUP(Table1[RespondentID],'All Data'!$A$3:$CO$999,89,FALSE),"unknown")</f>
        <v>Suffolk</v>
      </c>
      <c r="AO193" s="120" t="str">
        <f>IFERROR(VLOOKUP(Table1[RespondentID],'All Data'!$A$3:$CO$999,90,FALSE),"unknown")</f>
        <v>Amityville, 11708</v>
      </c>
      <c r="AP193" s="120" t="str">
        <f>IFERROR(VLOOKUP(Table1[RespondentID],'All Data'!$A$3:$CO$999,91,FALSE),"unknown")</f>
        <v>Native Hawaiian and Other Pacific Islander</v>
      </c>
      <c r="AQ193" s="120" t="str">
        <f>IFERROR(VLOOKUP(Table1[RespondentID],'All Data'!$A$3:$CO$999,92,FALSE),"unknown")</f>
        <v>Not Hispanic or Latino</v>
      </c>
      <c r="AR193" s="120" t="str">
        <f>IFERROR(VLOOKUP(Table1[RespondentID],'All Data'!$A$3:$CO$999,93,FALSE),"unknown")</f>
        <v>English</v>
      </c>
      <c r="AS193" s="120" t="str">
        <f>IFERROR(VLOOKUP(Table1[RespondentID],'All Data'!$A$3:$CW$999,94,FALSE),"unknown")</f>
        <v>$75,000 to $125,000</v>
      </c>
      <c r="AT193" s="120" t="str">
        <f>IFERROR(VLOOKUP(Table1[RespondentID],'All Data'!$A$3:$CW$999,95,FALSE),"unknown")</f>
        <v>High school graduate</v>
      </c>
      <c r="AU193" s="120" t="str">
        <f>IFERROR(VLOOKUP(Table1[RespondentID],'All Data'!$A$3:$CW$999,96,FALSE),"unknown")</f>
        <v>Self-employed</v>
      </c>
      <c r="AV193" s="120" t="str">
        <f>IFERROR(VLOOKUP(Table1[RespondentID],'All Data'!$A$3:$CW$999,97,FALSE),"unknown")</f>
        <v>Yes</v>
      </c>
      <c r="AW193" s="120" t="str">
        <f>IFERROR(VLOOKUP(Table1[RespondentID],'All Data'!$A$3:$CW$999,98,FALSE),"unknown")</f>
        <v>Medicaid</v>
      </c>
      <c r="AX193" s="120" t="str">
        <f>IFERROR(VLOOKUP(Table1[RespondentID],'All Data'!$A$3:$CW$999,99,FALSE),"unknown")</f>
        <v>Yes</v>
      </c>
    </row>
    <row r="194" spans="1:50">
      <c r="A194" s="5">
        <v>18021525431</v>
      </c>
      <c r="B194" s="5"/>
      <c r="C194" s="5"/>
      <c r="D194" s="5" t="s">
        <v>18</v>
      </c>
      <c r="E194" s="5"/>
      <c r="F194" s="5"/>
      <c r="G194" s="5"/>
      <c r="H194" s="5"/>
      <c r="I194" s="5"/>
      <c r="J194" s="5" t="s">
        <v>24</v>
      </c>
      <c r="K194" s="5"/>
      <c r="L194" s="5" t="s">
        <v>26</v>
      </c>
      <c r="M194" s="5"/>
      <c r="N194" s="5"/>
      <c r="O194" s="7"/>
      <c r="P194" s="7">
        <f t="shared" ref="P194:P257" si="54">COUNTA(B194:N194)</f>
        <v>3</v>
      </c>
      <c r="Q194" s="7">
        <f t="shared" ref="Q194:Q257" si="55">3/P194</f>
        <v>1</v>
      </c>
      <c r="R194" s="7"/>
      <c r="S194" s="7">
        <f t="shared" si="53"/>
        <v>0</v>
      </c>
      <c r="T194" s="7">
        <f t="shared" ref="T194:T257" si="56">IF($P194&lt;3,IF($C194=$C$1,1,0),IF($C194=$C$1,$Q194,0))</f>
        <v>0</v>
      </c>
      <c r="U194" s="7">
        <f t="shared" ref="U194:U257" si="57">IF($P194&lt;3,IF($D194=$D$1,1,0),IF($D194=$D$1,$Q194,0))</f>
        <v>1</v>
      </c>
      <c r="V194" s="119">
        <f t="shared" ref="V194:V257" si="58">IF($P194&lt;3,IF($E194=$E$1,1,0),IF($E194=$E$1,$Q194,0))</f>
        <v>0</v>
      </c>
      <c r="W194" s="119">
        <f t="shared" ref="W194:W257" si="59">IF($P194&lt;3,IF($F194=$F$1,1,0),IF($F194=$F$1,$Q194,0))</f>
        <v>0</v>
      </c>
      <c r="X194" s="119">
        <f t="shared" ref="X194:X257" si="60">IF($P194&lt;3,IF($G194=$G$1,1,0),IF($G194=$G$1,$Q194,0))</f>
        <v>0</v>
      </c>
      <c r="Y194" s="119">
        <f t="shared" ref="Y194:Y257" si="61">IF($P194&lt;3,IF($H194=$H$1,1,0),IF($H194=$H$1,$Q194,0))</f>
        <v>0</v>
      </c>
      <c r="Z194" s="119">
        <f t="shared" ref="Z194:Z257" si="62">IF($P194&lt;3,IF($I194=$I$1,1,0),IF($I194=$I$1,$Q194,0))</f>
        <v>0</v>
      </c>
      <c r="AA194" s="119">
        <f t="shared" ref="AA194:AA257" si="63">IF($P194&lt;3,IF($J194=$J$1,1,0),IF($J194=$J$1,$Q194,0))</f>
        <v>1</v>
      </c>
      <c r="AB194" s="119">
        <f t="shared" ref="AB194:AB257" si="64">IF($P194&lt;3,IF($K194=$K$1,1,0),IF($K194=$K$1,$Q194,0))</f>
        <v>0</v>
      </c>
      <c r="AC194" s="119">
        <f t="shared" ref="AC194:AC257" si="65">IF($P194&lt;3,IF($L194=$L$1,1,0),IF($L194=$L$1,$Q194,0))</f>
        <v>1</v>
      </c>
      <c r="AD194" s="119">
        <f t="shared" ref="AD194:AD257" si="66">IF($P194&lt;3,IF($M194=$M$1,1,0),IF($M194=$M$1,$Q194,0))</f>
        <v>0</v>
      </c>
      <c r="AE194" s="119">
        <f t="shared" ref="AE194:AE257" si="67">IF($P194&lt;3,IF($N194=$N$1,1,0),IF($N194=$N$1,$Q194,0))</f>
        <v>0</v>
      </c>
      <c r="AF194" s="7"/>
      <c r="AG194" s="7"/>
      <c r="AH194" s="7">
        <f t="shared" ref="AH194:AH257" si="68">SUM(S194:AE194)</f>
        <v>3</v>
      </c>
      <c r="AI194" s="7">
        <f t="shared" ref="AI194:AI257" si="69">P194</f>
        <v>3</v>
      </c>
      <c r="AJ194" s="7" t="str">
        <f t="shared" ref="AJ194:AJ257" si="70">IF(AH194=AI194,"Correct",IF(AH194=3,"Correct","Wrong"))</f>
        <v>Correct</v>
      </c>
      <c r="AL194" s="120" t="str">
        <f>IFERROR(VLOOKUP(Table1[RespondentID],'All Data'!$A$3:$CO$999,87,FALSE),"unknown")</f>
        <v>Man</v>
      </c>
      <c r="AM194" s="120">
        <f>IFERROR(VLOOKUP(Table1[RespondentID],'All Data'!$A$3:$CO$999,88,FALSE),"unknown")</f>
        <v>0</v>
      </c>
      <c r="AN194" s="120" t="str">
        <f>IFERROR(VLOOKUP(Table1[RespondentID],'All Data'!$A$3:$CO$999,89,FALSE),"unknown")</f>
        <v>Suffolk</v>
      </c>
      <c r="AO194" s="120" t="str">
        <f>IFERROR(VLOOKUP(Table1[RespondentID],'All Data'!$A$3:$CO$999,90,FALSE),"unknown")</f>
        <v>Amityville, 11701</v>
      </c>
      <c r="AP194" s="120" t="str">
        <f>IFERROR(VLOOKUP(Table1[RespondentID],'All Data'!$A$3:$CO$999,91,FALSE),"unknown")</f>
        <v>Black or African American</v>
      </c>
      <c r="AQ194" s="120" t="str">
        <f>IFERROR(VLOOKUP(Table1[RespondentID],'All Data'!$A$3:$CO$999,92,FALSE),"unknown")</f>
        <v>Not Hispanic or Latino</v>
      </c>
      <c r="AR194" s="120" t="str">
        <f>IFERROR(VLOOKUP(Table1[RespondentID],'All Data'!$A$3:$CO$999,93,FALSE),"unknown")</f>
        <v>Chinese</v>
      </c>
      <c r="AS194" s="120" t="str">
        <f>IFERROR(VLOOKUP(Table1[RespondentID],'All Data'!$A$3:$CW$999,94,FALSE),"unknown")</f>
        <v>$20,000 to $34,999</v>
      </c>
      <c r="AT194" s="120" t="str">
        <f>IFERROR(VLOOKUP(Table1[RespondentID],'All Data'!$A$3:$CW$999,95,FALSE),"unknown")</f>
        <v>Graduate school</v>
      </c>
      <c r="AU194" s="120" t="str">
        <f>IFERROR(VLOOKUP(Table1[RespondentID],'All Data'!$A$3:$CW$999,96,FALSE),"unknown")</f>
        <v>Employed for wages</v>
      </c>
      <c r="AV194" s="120" t="str">
        <f>IFERROR(VLOOKUP(Table1[RespondentID],'All Data'!$A$3:$CW$999,97,FALSE),"unknown")</f>
        <v>Yes</v>
      </c>
      <c r="AW194" s="120" t="str">
        <f>IFERROR(VLOOKUP(Table1[RespondentID],'All Data'!$A$3:$CW$999,98,FALSE),"unknown")</f>
        <v>Medicare</v>
      </c>
      <c r="AX194" s="120" t="str">
        <f>IFERROR(VLOOKUP(Table1[RespondentID],'All Data'!$A$3:$CW$999,99,FALSE),"unknown")</f>
        <v>No</v>
      </c>
    </row>
    <row r="195" spans="1:50">
      <c r="A195" s="5">
        <v>18021263997</v>
      </c>
      <c r="B195" s="5"/>
      <c r="C195" s="5"/>
      <c r="D195" s="5"/>
      <c r="E195" s="5"/>
      <c r="F195" s="5"/>
      <c r="G195" s="5" t="s">
        <v>21</v>
      </c>
      <c r="H195" s="5"/>
      <c r="I195" s="5"/>
      <c r="J195" s="5"/>
      <c r="K195" s="5"/>
      <c r="L195" s="5" t="s">
        <v>26</v>
      </c>
      <c r="M195" s="5" t="s">
        <v>27</v>
      </c>
      <c r="N195" s="5"/>
      <c r="O195" s="7"/>
      <c r="P195" s="7">
        <f t="shared" si="54"/>
        <v>3</v>
      </c>
      <c r="Q195" s="7">
        <f t="shared" si="55"/>
        <v>1</v>
      </c>
      <c r="R195" s="7"/>
      <c r="S195" s="7">
        <f t="shared" si="53"/>
        <v>0</v>
      </c>
      <c r="T195" s="7">
        <f t="shared" si="56"/>
        <v>0</v>
      </c>
      <c r="U195" s="7">
        <f t="shared" si="57"/>
        <v>0</v>
      </c>
      <c r="V195" s="119">
        <f t="shared" si="58"/>
        <v>0</v>
      </c>
      <c r="W195" s="119">
        <f t="shared" si="59"/>
        <v>0</v>
      </c>
      <c r="X195" s="119">
        <f t="shared" si="60"/>
        <v>1</v>
      </c>
      <c r="Y195" s="119">
        <f t="shared" si="61"/>
        <v>0</v>
      </c>
      <c r="Z195" s="119">
        <f t="shared" si="62"/>
        <v>0</v>
      </c>
      <c r="AA195" s="119">
        <f t="shared" si="63"/>
        <v>0</v>
      </c>
      <c r="AB195" s="119">
        <f t="shared" si="64"/>
        <v>0</v>
      </c>
      <c r="AC195" s="119">
        <f t="shared" si="65"/>
        <v>1</v>
      </c>
      <c r="AD195" s="119">
        <f t="shared" si="66"/>
        <v>1</v>
      </c>
      <c r="AE195" s="119">
        <f t="shared" si="67"/>
        <v>0</v>
      </c>
      <c r="AF195" s="7"/>
      <c r="AG195" s="7"/>
      <c r="AH195" s="7">
        <f t="shared" si="68"/>
        <v>3</v>
      </c>
      <c r="AI195" s="7">
        <f t="shared" si="69"/>
        <v>3</v>
      </c>
      <c r="AJ195" s="7" t="str">
        <f t="shared" si="70"/>
        <v>Correct</v>
      </c>
      <c r="AL195" s="120" t="str">
        <f>IFERROR(VLOOKUP(Table1[RespondentID],'All Data'!$A$3:$CO$999,87,FALSE),"unknown")</f>
        <v>Man</v>
      </c>
      <c r="AM195" s="120">
        <f>IFERROR(VLOOKUP(Table1[RespondentID],'All Data'!$A$3:$CO$999,88,FALSE),"unknown")</f>
        <v>52</v>
      </c>
      <c r="AN195" s="120" t="str">
        <f>IFERROR(VLOOKUP(Table1[RespondentID],'All Data'!$A$3:$CO$999,89,FALSE),"unknown")</f>
        <v>Suffolk</v>
      </c>
      <c r="AO195" s="120" t="str">
        <f>IFERROR(VLOOKUP(Table1[RespondentID],'All Data'!$A$3:$CO$999,90,FALSE),"unknown")</f>
        <v>Northport, 11768</v>
      </c>
      <c r="AP195" s="120" t="str">
        <f>IFERROR(VLOOKUP(Table1[RespondentID],'All Data'!$A$3:$CO$999,91,FALSE),"unknown")</f>
        <v>White</v>
      </c>
      <c r="AQ195" s="120" t="str">
        <f>IFERROR(VLOOKUP(Table1[RespondentID],'All Data'!$A$3:$CO$999,92,FALSE),"unknown")</f>
        <v>Hispanic or Latino</v>
      </c>
      <c r="AR195" s="120" t="str">
        <f>IFERROR(VLOOKUP(Table1[RespondentID],'All Data'!$A$3:$CO$999,93,FALSE),"unknown")</f>
        <v>English</v>
      </c>
      <c r="AS195" s="120" t="str">
        <f>IFERROR(VLOOKUP(Table1[RespondentID],'All Data'!$A$3:$CW$999,94,FALSE),"unknown")</f>
        <v>Over $125,000</v>
      </c>
      <c r="AT195" s="120" t="str">
        <f>IFERROR(VLOOKUP(Table1[RespondentID],'All Data'!$A$3:$CW$999,95,FALSE),"unknown")</f>
        <v>Graduate school</v>
      </c>
      <c r="AU195" s="120" t="str">
        <f>IFERROR(VLOOKUP(Table1[RespondentID],'All Data'!$A$3:$CW$999,96,FALSE),"unknown")</f>
        <v>Employed for wages</v>
      </c>
      <c r="AV195" s="120" t="str">
        <f>IFERROR(VLOOKUP(Table1[RespondentID],'All Data'!$A$3:$CW$999,97,FALSE),"unknown")</f>
        <v>Yes</v>
      </c>
      <c r="AW195" s="120" t="str">
        <f>IFERROR(VLOOKUP(Table1[RespondentID],'All Data'!$A$3:$CW$999,98,FALSE),"unknown")</f>
        <v>Private/Commercial</v>
      </c>
      <c r="AX195" s="120" t="str">
        <f>IFERROR(VLOOKUP(Table1[RespondentID],'All Data'!$A$3:$CW$999,99,FALSE),"unknown")</f>
        <v>Yes</v>
      </c>
    </row>
    <row r="196" spans="1:50">
      <c r="A196" s="5">
        <v>18021096939</v>
      </c>
      <c r="B196" s="5" t="s">
        <v>16</v>
      </c>
      <c r="C196" s="5"/>
      <c r="D196" s="5"/>
      <c r="E196" s="5"/>
      <c r="F196" s="5" t="s">
        <v>20</v>
      </c>
      <c r="G196" s="5"/>
      <c r="H196" s="5"/>
      <c r="I196" s="5"/>
      <c r="J196" s="5"/>
      <c r="K196" s="5"/>
      <c r="L196" s="5"/>
      <c r="M196" s="5"/>
      <c r="N196" s="5" t="s">
        <v>28</v>
      </c>
      <c r="O196" s="7"/>
      <c r="P196" s="7">
        <f t="shared" si="54"/>
        <v>3</v>
      </c>
      <c r="Q196" s="7">
        <f t="shared" si="55"/>
        <v>1</v>
      </c>
      <c r="R196" s="7"/>
      <c r="S196" s="7">
        <f t="shared" ref="S196:S259" si="71">IF($P196&lt;3,IF($B196=$B$1,1,0),IF($B196=$B$1,$Q196,0))</f>
        <v>1</v>
      </c>
      <c r="T196" s="7">
        <f t="shared" si="56"/>
        <v>0</v>
      </c>
      <c r="U196" s="7">
        <f t="shared" si="57"/>
        <v>0</v>
      </c>
      <c r="V196" s="119">
        <f t="shared" si="58"/>
        <v>0</v>
      </c>
      <c r="W196" s="119">
        <f t="shared" si="59"/>
        <v>1</v>
      </c>
      <c r="X196" s="119">
        <f t="shared" si="60"/>
        <v>0</v>
      </c>
      <c r="Y196" s="119">
        <f t="shared" si="61"/>
        <v>0</v>
      </c>
      <c r="Z196" s="119">
        <f t="shared" si="62"/>
        <v>0</v>
      </c>
      <c r="AA196" s="119">
        <f t="shared" si="63"/>
        <v>0</v>
      </c>
      <c r="AB196" s="119">
        <f t="shared" si="64"/>
        <v>0</v>
      </c>
      <c r="AC196" s="119">
        <f t="shared" si="65"/>
        <v>0</v>
      </c>
      <c r="AD196" s="119">
        <f t="shared" si="66"/>
        <v>0</v>
      </c>
      <c r="AE196" s="119">
        <f t="shared" si="67"/>
        <v>1</v>
      </c>
      <c r="AF196" s="7"/>
      <c r="AG196" s="7"/>
      <c r="AH196" s="7">
        <f t="shared" si="68"/>
        <v>3</v>
      </c>
      <c r="AI196" s="7">
        <f t="shared" si="69"/>
        <v>3</v>
      </c>
      <c r="AJ196" s="7" t="str">
        <f t="shared" si="70"/>
        <v>Correct</v>
      </c>
      <c r="AL196" s="120" t="str">
        <f>IFERROR(VLOOKUP(Table1[RespondentID],'All Data'!$A$3:$CO$999,87,FALSE),"unknown")</f>
        <v>Man</v>
      </c>
      <c r="AM196" s="120">
        <f>IFERROR(VLOOKUP(Table1[RespondentID],'All Data'!$A$3:$CO$999,88,FALSE),"unknown")</f>
        <v>16</v>
      </c>
      <c r="AN196" s="120" t="str">
        <f>IFERROR(VLOOKUP(Table1[RespondentID],'All Data'!$A$3:$CO$999,89,FALSE),"unknown")</f>
        <v>Suffolk</v>
      </c>
      <c r="AO196" s="120" t="str">
        <f>IFERROR(VLOOKUP(Table1[RespondentID],'All Data'!$A$3:$CO$999,90,FALSE),"unknown")</f>
        <v>Nesconset, 11767</v>
      </c>
      <c r="AP196" s="120" t="str">
        <f>IFERROR(VLOOKUP(Table1[RespondentID],'All Data'!$A$3:$CO$999,91,FALSE),"unknown")</f>
        <v>American Indian and Alaska Native</v>
      </c>
      <c r="AQ196" s="120" t="str">
        <f>IFERROR(VLOOKUP(Table1[RespondentID],'All Data'!$A$3:$CO$999,92,FALSE),"unknown")</f>
        <v>Hispanic or Latino</v>
      </c>
      <c r="AR196" s="120" t="str">
        <f>IFERROR(VLOOKUP(Table1[RespondentID],'All Data'!$A$3:$CO$999,93,FALSE),"unknown")</f>
        <v>English, Hindi</v>
      </c>
      <c r="AS196" s="120" t="str">
        <f>IFERROR(VLOOKUP(Table1[RespondentID],'All Data'!$A$3:$CW$999,94,FALSE),"unknown")</f>
        <v>$75,000 to $125,000</v>
      </c>
      <c r="AT196" s="120" t="str">
        <f>IFERROR(VLOOKUP(Table1[RespondentID],'All Data'!$A$3:$CW$999,95,FALSE),"unknown")</f>
        <v>Some high school</v>
      </c>
      <c r="AU196" s="120" t="str">
        <f>IFERROR(VLOOKUP(Table1[RespondentID],'All Data'!$A$3:$CW$999,96,FALSE),"unknown")</f>
        <v>Out of work, but not currently looking</v>
      </c>
      <c r="AV196" s="120" t="str">
        <f>IFERROR(VLOOKUP(Table1[RespondentID],'All Data'!$A$3:$CW$999,97,FALSE),"unknown")</f>
        <v>Yes</v>
      </c>
      <c r="AW196" s="120" t="str">
        <f>IFERROR(VLOOKUP(Table1[RespondentID],'All Data'!$A$3:$CW$999,98,FALSE),"unknown")</f>
        <v>Private/Commercial</v>
      </c>
      <c r="AX196" s="120" t="str">
        <f>IFERROR(VLOOKUP(Table1[RespondentID],'All Data'!$A$3:$CW$999,99,FALSE),"unknown")</f>
        <v>Yes</v>
      </c>
    </row>
    <row r="197" spans="1:50">
      <c r="A197" s="5">
        <v>18020847868</v>
      </c>
      <c r="B197" s="5"/>
      <c r="C197" s="5" t="s">
        <v>17</v>
      </c>
      <c r="D197" s="5"/>
      <c r="E197" s="5"/>
      <c r="F197" s="5"/>
      <c r="G197" s="5" t="s">
        <v>21</v>
      </c>
      <c r="H197" s="5"/>
      <c r="I197" s="5"/>
      <c r="J197" s="5" t="s">
        <v>24</v>
      </c>
      <c r="K197" s="5"/>
      <c r="L197" s="5"/>
      <c r="M197" s="5"/>
      <c r="N197" s="5"/>
      <c r="O197" s="7"/>
      <c r="P197" s="7">
        <f t="shared" si="54"/>
        <v>3</v>
      </c>
      <c r="Q197" s="7">
        <f t="shared" si="55"/>
        <v>1</v>
      </c>
      <c r="R197" s="7"/>
      <c r="S197" s="7">
        <f t="shared" si="71"/>
        <v>0</v>
      </c>
      <c r="T197" s="7">
        <f t="shared" si="56"/>
        <v>1</v>
      </c>
      <c r="U197" s="7">
        <f t="shared" si="57"/>
        <v>0</v>
      </c>
      <c r="V197" s="119">
        <f t="shared" si="58"/>
        <v>0</v>
      </c>
      <c r="W197" s="119">
        <f t="shared" si="59"/>
        <v>0</v>
      </c>
      <c r="X197" s="119">
        <f t="shared" si="60"/>
        <v>1</v>
      </c>
      <c r="Y197" s="119">
        <f t="shared" si="61"/>
        <v>0</v>
      </c>
      <c r="Z197" s="119">
        <f t="shared" si="62"/>
        <v>0</v>
      </c>
      <c r="AA197" s="119">
        <f t="shared" si="63"/>
        <v>1</v>
      </c>
      <c r="AB197" s="119">
        <f t="shared" si="64"/>
        <v>0</v>
      </c>
      <c r="AC197" s="119">
        <f t="shared" si="65"/>
        <v>0</v>
      </c>
      <c r="AD197" s="119">
        <f t="shared" si="66"/>
        <v>0</v>
      </c>
      <c r="AE197" s="119">
        <f t="shared" si="67"/>
        <v>0</v>
      </c>
      <c r="AF197" s="7"/>
      <c r="AG197" s="7"/>
      <c r="AH197" s="7">
        <f t="shared" si="68"/>
        <v>3</v>
      </c>
      <c r="AI197" s="7">
        <f t="shared" si="69"/>
        <v>3</v>
      </c>
      <c r="AJ197" s="7" t="str">
        <f t="shared" si="70"/>
        <v>Correct</v>
      </c>
      <c r="AL197" s="120" t="str">
        <f>IFERROR(VLOOKUP(Table1[RespondentID],'All Data'!$A$3:$CO$999,87,FALSE),"unknown")</f>
        <v>Man</v>
      </c>
      <c r="AM197" s="120">
        <f>IFERROR(VLOOKUP(Table1[RespondentID],'All Data'!$A$3:$CO$999,88,FALSE),"unknown")</f>
        <v>21</v>
      </c>
      <c r="AN197" s="120" t="str">
        <f>IFERROR(VLOOKUP(Table1[RespondentID],'All Data'!$A$3:$CO$999,89,FALSE),"unknown")</f>
        <v>Suffolk</v>
      </c>
      <c r="AO197" s="120" t="str">
        <f>IFERROR(VLOOKUP(Table1[RespondentID],'All Data'!$A$3:$CO$999,90,FALSE),"unknown")</f>
        <v>East Northport, 11731</v>
      </c>
      <c r="AP197" s="120" t="str">
        <f>IFERROR(VLOOKUP(Table1[RespondentID],'All Data'!$A$3:$CO$999,91,FALSE),"unknown")</f>
        <v>White</v>
      </c>
      <c r="AQ197" s="120" t="str">
        <f>IFERROR(VLOOKUP(Table1[RespondentID],'All Data'!$A$3:$CO$999,92,FALSE),"unknown")</f>
        <v>Hispanic or Latino</v>
      </c>
      <c r="AR197" s="120" t="str">
        <f>IFERROR(VLOOKUP(Table1[RespondentID],'All Data'!$A$3:$CO$999,93,FALSE),"unknown")</f>
        <v>English</v>
      </c>
      <c r="AS197" s="120" t="str">
        <f>IFERROR(VLOOKUP(Table1[RespondentID],'All Data'!$A$3:$CW$999,94,FALSE),"unknown")</f>
        <v>$50,000 to $74,999</v>
      </c>
      <c r="AT197" s="120" t="str">
        <f>IFERROR(VLOOKUP(Table1[RespondentID],'All Data'!$A$3:$CW$999,95,FALSE),"unknown")</f>
        <v>Some college</v>
      </c>
      <c r="AU197" s="120" t="str">
        <f>IFERROR(VLOOKUP(Table1[RespondentID],'All Data'!$A$3:$CW$999,96,FALSE),"unknown")</f>
        <v>Employed for wages</v>
      </c>
      <c r="AV197" s="120" t="str">
        <f>IFERROR(VLOOKUP(Table1[RespondentID],'All Data'!$A$3:$CW$999,97,FALSE),"unknown")</f>
        <v>Yes</v>
      </c>
      <c r="AW197" s="120" t="str">
        <f>IFERROR(VLOOKUP(Table1[RespondentID],'All Data'!$A$3:$CW$999,98,FALSE),"unknown")</f>
        <v>Medicaid, Medicare</v>
      </c>
      <c r="AX197" s="120" t="str">
        <f>IFERROR(VLOOKUP(Table1[RespondentID],'All Data'!$A$3:$CW$999,99,FALSE),"unknown")</f>
        <v>Yes</v>
      </c>
    </row>
    <row r="198" spans="1:50">
      <c r="A198" s="5">
        <v>18020259192</v>
      </c>
      <c r="B198" s="5"/>
      <c r="C198" s="5" t="s">
        <v>17</v>
      </c>
      <c r="D198" s="5" t="s">
        <v>18</v>
      </c>
      <c r="E198" s="5"/>
      <c r="F198" s="5"/>
      <c r="G198" s="5"/>
      <c r="H198" s="5"/>
      <c r="I198" s="5"/>
      <c r="J198" s="5" t="s">
        <v>24</v>
      </c>
      <c r="K198" s="5"/>
      <c r="L198" s="5"/>
      <c r="M198" s="5"/>
      <c r="N198" s="5"/>
      <c r="O198" s="7"/>
      <c r="P198" s="7">
        <f t="shared" si="54"/>
        <v>3</v>
      </c>
      <c r="Q198" s="7">
        <f t="shared" si="55"/>
        <v>1</v>
      </c>
      <c r="R198" s="7"/>
      <c r="S198" s="7">
        <f t="shared" si="71"/>
        <v>0</v>
      </c>
      <c r="T198" s="7">
        <f t="shared" si="56"/>
        <v>1</v>
      </c>
      <c r="U198" s="7">
        <f t="shared" si="57"/>
        <v>1</v>
      </c>
      <c r="V198" s="119">
        <f t="shared" si="58"/>
        <v>0</v>
      </c>
      <c r="W198" s="119">
        <f t="shared" si="59"/>
        <v>0</v>
      </c>
      <c r="X198" s="119">
        <f t="shared" si="60"/>
        <v>0</v>
      </c>
      <c r="Y198" s="119">
        <f t="shared" si="61"/>
        <v>0</v>
      </c>
      <c r="Z198" s="119">
        <f t="shared" si="62"/>
        <v>0</v>
      </c>
      <c r="AA198" s="119">
        <f t="shared" si="63"/>
        <v>1</v>
      </c>
      <c r="AB198" s="119">
        <f t="shared" si="64"/>
        <v>0</v>
      </c>
      <c r="AC198" s="119">
        <f t="shared" si="65"/>
        <v>0</v>
      </c>
      <c r="AD198" s="119">
        <f t="shared" si="66"/>
        <v>0</v>
      </c>
      <c r="AE198" s="119">
        <f t="shared" si="67"/>
        <v>0</v>
      </c>
      <c r="AF198" s="7"/>
      <c r="AG198" s="7"/>
      <c r="AH198" s="7">
        <f t="shared" si="68"/>
        <v>3</v>
      </c>
      <c r="AI198" s="7">
        <f t="shared" si="69"/>
        <v>3</v>
      </c>
      <c r="AJ198" s="7" t="str">
        <f t="shared" si="70"/>
        <v>Correct</v>
      </c>
      <c r="AL198" s="120" t="str">
        <f>IFERROR(VLOOKUP(Table1[RespondentID],'All Data'!$A$3:$CO$999,87,FALSE),"unknown")</f>
        <v>Man</v>
      </c>
      <c r="AM198" s="120">
        <f>IFERROR(VLOOKUP(Table1[RespondentID],'All Data'!$A$3:$CO$999,88,FALSE),"unknown")</f>
        <v>39</v>
      </c>
      <c r="AN198" s="120" t="str">
        <f>IFERROR(VLOOKUP(Table1[RespondentID],'All Data'!$A$3:$CO$999,89,FALSE),"unknown")</f>
        <v>Nassau</v>
      </c>
      <c r="AO198" s="120" t="str">
        <f>IFERROR(VLOOKUP(Table1[RespondentID],'All Data'!$A$3:$CO$999,90,FALSE),"unknown")</f>
        <v>Williston Park, 11596</v>
      </c>
      <c r="AP198" s="120" t="str">
        <f>IFERROR(VLOOKUP(Table1[RespondentID],'All Data'!$A$3:$CO$999,91,FALSE),"unknown")</f>
        <v>American Indian and Alaska Native</v>
      </c>
      <c r="AQ198" s="120" t="str">
        <f>IFERROR(VLOOKUP(Table1[RespondentID],'All Data'!$A$3:$CO$999,92,FALSE),"unknown")</f>
        <v>Hispanic or Latino</v>
      </c>
      <c r="AR198" s="120" t="str">
        <f>IFERROR(VLOOKUP(Table1[RespondentID],'All Data'!$A$3:$CO$999,93,FALSE),"unknown")</f>
        <v>English</v>
      </c>
      <c r="AS198" s="120" t="str">
        <f>IFERROR(VLOOKUP(Table1[RespondentID],'All Data'!$A$3:$CW$999,94,FALSE),"unknown")</f>
        <v>Over $125,000</v>
      </c>
      <c r="AT198" s="120" t="str">
        <f>IFERROR(VLOOKUP(Table1[RespondentID],'All Data'!$A$3:$CW$999,95,FALSE),"unknown")</f>
        <v>College graduate</v>
      </c>
      <c r="AU198" s="120" t="str">
        <f>IFERROR(VLOOKUP(Table1[RespondentID],'All Data'!$A$3:$CW$999,96,FALSE),"unknown")</f>
        <v>Employed for wages</v>
      </c>
      <c r="AV198" s="120" t="str">
        <f>IFERROR(VLOOKUP(Table1[RespondentID],'All Data'!$A$3:$CW$999,97,FALSE),"unknown")</f>
        <v>Yes</v>
      </c>
      <c r="AW198" s="120" t="str">
        <f>IFERROR(VLOOKUP(Table1[RespondentID],'All Data'!$A$3:$CW$999,98,FALSE),"unknown")</f>
        <v>Private/Commercial</v>
      </c>
      <c r="AX198" s="120" t="str">
        <f>IFERROR(VLOOKUP(Table1[RespondentID],'All Data'!$A$3:$CW$999,99,FALSE),"unknown")</f>
        <v>Yes</v>
      </c>
    </row>
    <row r="199" spans="1:50">
      <c r="A199" s="5">
        <v>18020253334</v>
      </c>
      <c r="B199" s="5"/>
      <c r="C199" s="5" t="s">
        <v>17</v>
      </c>
      <c r="D199" s="5"/>
      <c r="E199" s="5"/>
      <c r="F199" s="5"/>
      <c r="G199" s="5"/>
      <c r="H199" s="5" t="s">
        <v>22</v>
      </c>
      <c r="I199" s="5"/>
      <c r="J199" s="5" t="s">
        <v>24</v>
      </c>
      <c r="K199" s="5"/>
      <c r="L199" s="5"/>
      <c r="M199" s="5"/>
      <c r="N199" s="5"/>
      <c r="O199" s="7"/>
      <c r="P199" s="7">
        <f t="shared" si="54"/>
        <v>3</v>
      </c>
      <c r="Q199" s="7">
        <f t="shared" si="55"/>
        <v>1</v>
      </c>
      <c r="R199" s="7"/>
      <c r="S199" s="7">
        <f t="shared" si="71"/>
        <v>0</v>
      </c>
      <c r="T199" s="7">
        <f t="shared" si="56"/>
        <v>1</v>
      </c>
      <c r="U199" s="7">
        <f t="shared" si="57"/>
        <v>0</v>
      </c>
      <c r="V199" s="119">
        <f t="shared" si="58"/>
        <v>0</v>
      </c>
      <c r="W199" s="119">
        <f t="shared" si="59"/>
        <v>0</v>
      </c>
      <c r="X199" s="119">
        <f t="shared" si="60"/>
        <v>0</v>
      </c>
      <c r="Y199" s="119">
        <f t="shared" si="61"/>
        <v>1</v>
      </c>
      <c r="Z199" s="119">
        <f t="shared" si="62"/>
        <v>0</v>
      </c>
      <c r="AA199" s="119">
        <f t="shared" si="63"/>
        <v>1</v>
      </c>
      <c r="AB199" s="119">
        <f t="shared" si="64"/>
        <v>0</v>
      </c>
      <c r="AC199" s="119">
        <f t="shared" si="65"/>
        <v>0</v>
      </c>
      <c r="AD199" s="119">
        <f t="shared" si="66"/>
        <v>0</v>
      </c>
      <c r="AE199" s="119">
        <f t="shared" si="67"/>
        <v>0</v>
      </c>
      <c r="AF199" s="7"/>
      <c r="AG199" s="7"/>
      <c r="AH199" s="7">
        <f t="shared" si="68"/>
        <v>3</v>
      </c>
      <c r="AI199" s="7">
        <f t="shared" si="69"/>
        <v>3</v>
      </c>
      <c r="AJ199" s="7" t="str">
        <f t="shared" si="70"/>
        <v>Correct</v>
      </c>
      <c r="AL199" s="120" t="str">
        <f>IFERROR(VLOOKUP(Table1[RespondentID],'All Data'!$A$3:$CO$999,87,FALSE),"unknown")</f>
        <v>Woman</v>
      </c>
      <c r="AM199" s="120">
        <f>IFERROR(VLOOKUP(Table1[RespondentID],'All Data'!$A$3:$CO$999,88,FALSE),"unknown")</f>
        <v>40</v>
      </c>
      <c r="AN199" s="120" t="str">
        <f>IFERROR(VLOOKUP(Table1[RespondentID],'All Data'!$A$3:$CO$999,89,FALSE),"unknown")</f>
        <v>Nassau</v>
      </c>
      <c r="AO199" s="120" t="str">
        <f>IFERROR(VLOOKUP(Table1[RespondentID],'All Data'!$A$3:$CO$999,90,FALSE),"unknown")</f>
        <v>Herricks, 11040</v>
      </c>
      <c r="AP199" s="120" t="str">
        <f>IFERROR(VLOOKUP(Table1[RespondentID],'All Data'!$A$3:$CO$999,91,FALSE),"unknown")</f>
        <v>American Indian and Alaska Native</v>
      </c>
      <c r="AQ199" s="120" t="str">
        <f>IFERROR(VLOOKUP(Table1[RespondentID],'All Data'!$A$3:$CO$999,92,FALSE),"unknown")</f>
        <v>Hispanic or Latino</v>
      </c>
      <c r="AR199" s="120" t="str">
        <f>IFERROR(VLOOKUP(Table1[RespondentID],'All Data'!$A$3:$CO$999,93,FALSE),"unknown")</f>
        <v>English</v>
      </c>
      <c r="AS199" s="120" t="str">
        <f>IFERROR(VLOOKUP(Table1[RespondentID],'All Data'!$A$3:$CW$999,94,FALSE),"unknown")</f>
        <v>$75,000 to $125,000</v>
      </c>
      <c r="AT199" s="120" t="str">
        <f>IFERROR(VLOOKUP(Table1[RespondentID],'All Data'!$A$3:$CW$999,95,FALSE),"unknown")</f>
        <v>College graduate</v>
      </c>
      <c r="AU199" s="120" t="str">
        <f>IFERROR(VLOOKUP(Table1[RespondentID],'All Data'!$A$3:$CW$999,96,FALSE),"unknown")</f>
        <v>Employed for wages</v>
      </c>
      <c r="AV199" s="120" t="str">
        <f>IFERROR(VLOOKUP(Table1[RespondentID],'All Data'!$A$3:$CW$999,97,FALSE),"unknown")</f>
        <v>Yes</v>
      </c>
      <c r="AW199" s="120" t="str">
        <f>IFERROR(VLOOKUP(Table1[RespondentID],'All Data'!$A$3:$CW$999,98,FALSE),"unknown")</f>
        <v>Private/Commercial</v>
      </c>
      <c r="AX199" s="120" t="str">
        <f>IFERROR(VLOOKUP(Table1[RespondentID],'All Data'!$A$3:$CW$999,99,FALSE),"unknown")</f>
        <v>Yes</v>
      </c>
    </row>
    <row r="200" spans="1:50">
      <c r="A200" s="5">
        <v>18020047097</v>
      </c>
      <c r="B200" s="5"/>
      <c r="C200" s="5"/>
      <c r="D200" s="5"/>
      <c r="E200" s="5"/>
      <c r="F200" s="5"/>
      <c r="G200" s="5"/>
      <c r="H200" s="5"/>
      <c r="I200" s="5"/>
      <c r="J200" s="5"/>
      <c r="K200" s="5"/>
      <c r="L200" s="5"/>
      <c r="M200" s="5"/>
      <c r="N200" s="5"/>
      <c r="O200" s="7"/>
      <c r="P200" s="7">
        <f t="shared" si="54"/>
        <v>0</v>
      </c>
      <c r="Q200" s="7" t="e">
        <f t="shared" si="55"/>
        <v>#DIV/0!</v>
      </c>
      <c r="R200" s="7"/>
      <c r="S200" s="7">
        <f t="shared" si="71"/>
        <v>0</v>
      </c>
      <c r="T200" s="7">
        <f t="shared" si="56"/>
        <v>0</v>
      </c>
      <c r="U200" s="7">
        <f t="shared" si="57"/>
        <v>0</v>
      </c>
      <c r="V200" s="119">
        <f t="shared" si="58"/>
        <v>0</v>
      </c>
      <c r="W200" s="119">
        <f t="shared" si="59"/>
        <v>0</v>
      </c>
      <c r="X200" s="119">
        <f t="shared" si="60"/>
        <v>0</v>
      </c>
      <c r="Y200" s="119">
        <f t="shared" si="61"/>
        <v>0</v>
      </c>
      <c r="Z200" s="119">
        <f t="shared" si="62"/>
        <v>0</v>
      </c>
      <c r="AA200" s="119">
        <f t="shared" si="63"/>
        <v>0</v>
      </c>
      <c r="AB200" s="119">
        <f t="shared" si="64"/>
        <v>0</v>
      </c>
      <c r="AC200" s="119">
        <f t="shared" si="65"/>
        <v>0</v>
      </c>
      <c r="AD200" s="119">
        <f t="shared" si="66"/>
        <v>0</v>
      </c>
      <c r="AE200" s="119">
        <f t="shared" si="67"/>
        <v>0</v>
      </c>
      <c r="AF200" s="7"/>
      <c r="AG200" s="7"/>
      <c r="AH200" s="7">
        <f t="shared" si="68"/>
        <v>0</v>
      </c>
      <c r="AI200" s="7">
        <f t="shared" si="69"/>
        <v>0</v>
      </c>
      <c r="AJ200" s="7" t="str">
        <f t="shared" si="70"/>
        <v>Correct</v>
      </c>
      <c r="AL200" s="120">
        <f>IFERROR(VLOOKUP(Table1[RespondentID],'All Data'!$A$3:$CO$999,87,FALSE),"unknown")</f>
        <v>0</v>
      </c>
      <c r="AM200" s="120">
        <f>IFERROR(VLOOKUP(Table1[RespondentID],'All Data'!$A$3:$CO$999,88,FALSE),"unknown")</f>
        <v>0</v>
      </c>
      <c r="AN200" s="120">
        <f>IFERROR(VLOOKUP(Table1[RespondentID],'All Data'!$A$3:$CO$999,89,FALSE),"unknown")</f>
        <v>0</v>
      </c>
      <c r="AO200" s="120" t="str">
        <f>IFERROR(VLOOKUP(Table1[RespondentID],'All Data'!$A$3:$CO$999,90,FALSE),"unknown")</f>
        <v>Alden Manor, 11003</v>
      </c>
      <c r="AP200" s="120">
        <f>IFERROR(VLOOKUP(Table1[RespondentID],'All Data'!$A$3:$CO$999,91,FALSE),"unknown")</f>
        <v>0</v>
      </c>
      <c r="AQ200" s="120">
        <f>IFERROR(VLOOKUP(Table1[RespondentID],'All Data'!$A$3:$CO$999,92,FALSE),"unknown")</f>
        <v>0</v>
      </c>
      <c r="AR200" s="120">
        <f>IFERROR(VLOOKUP(Table1[RespondentID],'All Data'!$A$3:$CO$999,93,FALSE),"unknown")</f>
        <v>0</v>
      </c>
      <c r="AS200" s="120">
        <f>IFERROR(VLOOKUP(Table1[RespondentID],'All Data'!$A$3:$CW$999,94,FALSE),"unknown")</f>
        <v>0</v>
      </c>
      <c r="AT200" s="120">
        <f>IFERROR(VLOOKUP(Table1[RespondentID],'All Data'!$A$3:$CW$999,95,FALSE),"unknown")</f>
        <v>0</v>
      </c>
      <c r="AU200" s="120">
        <f>IFERROR(VLOOKUP(Table1[RespondentID],'All Data'!$A$3:$CW$999,96,FALSE),"unknown")</f>
        <v>0</v>
      </c>
      <c r="AV200" s="120">
        <f>IFERROR(VLOOKUP(Table1[RespondentID],'All Data'!$A$3:$CW$999,97,FALSE),"unknown")</f>
        <v>0</v>
      </c>
      <c r="AW200" s="120">
        <f>IFERROR(VLOOKUP(Table1[RespondentID],'All Data'!$A$3:$CW$999,98,FALSE),"unknown")</f>
        <v>0</v>
      </c>
      <c r="AX200" s="120">
        <f>IFERROR(VLOOKUP(Table1[RespondentID],'All Data'!$A$3:$CW$999,99,FALSE),"unknown")</f>
        <v>0</v>
      </c>
    </row>
    <row r="201" spans="1:50">
      <c r="A201" s="5">
        <v>18019933763</v>
      </c>
      <c r="B201" s="5"/>
      <c r="C201" s="5"/>
      <c r="D201" s="5"/>
      <c r="E201" s="5"/>
      <c r="F201" s="5" t="s">
        <v>20</v>
      </c>
      <c r="G201" s="5"/>
      <c r="H201" s="5"/>
      <c r="I201" s="5"/>
      <c r="J201" s="5"/>
      <c r="K201" s="5" t="s">
        <v>25</v>
      </c>
      <c r="L201" s="5"/>
      <c r="M201" s="5"/>
      <c r="N201" s="5" t="s">
        <v>28</v>
      </c>
      <c r="O201" s="7"/>
      <c r="P201" s="7">
        <f t="shared" si="54"/>
        <v>3</v>
      </c>
      <c r="Q201" s="7">
        <f t="shared" si="55"/>
        <v>1</v>
      </c>
      <c r="R201" s="7"/>
      <c r="S201" s="7">
        <f t="shared" si="71"/>
        <v>0</v>
      </c>
      <c r="T201" s="7">
        <f t="shared" si="56"/>
        <v>0</v>
      </c>
      <c r="U201" s="7">
        <f t="shared" si="57"/>
        <v>0</v>
      </c>
      <c r="V201" s="119">
        <f t="shared" si="58"/>
        <v>0</v>
      </c>
      <c r="W201" s="119">
        <f t="shared" si="59"/>
        <v>1</v>
      </c>
      <c r="X201" s="119">
        <f t="shared" si="60"/>
        <v>0</v>
      </c>
      <c r="Y201" s="119">
        <f t="shared" si="61"/>
        <v>0</v>
      </c>
      <c r="Z201" s="119">
        <f t="shared" si="62"/>
        <v>0</v>
      </c>
      <c r="AA201" s="119">
        <f t="shared" si="63"/>
        <v>0</v>
      </c>
      <c r="AB201" s="119">
        <f t="shared" si="64"/>
        <v>1</v>
      </c>
      <c r="AC201" s="119">
        <f t="shared" si="65"/>
        <v>0</v>
      </c>
      <c r="AD201" s="119">
        <f t="shared" si="66"/>
        <v>0</v>
      </c>
      <c r="AE201" s="119">
        <f t="shared" si="67"/>
        <v>1</v>
      </c>
      <c r="AF201" s="7"/>
      <c r="AG201" s="7"/>
      <c r="AH201" s="7">
        <f t="shared" si="68"/>
        <v>3</v>
      </c>
      <c r="AI201" s="7">
        <f t="shared" si="69"/>
        <v>3</v>
      </c>
      <c r="AJ201" s="7" t="str">
        <f t="shared" si="70"/>
        <v>Correct</v>
      </c>
      <c r="AL201" s="120" t="str">
        <f>IFERROR(VLOOKUP(Table1[RespondentID],'All Data'!$A$3:$CO$999,87,FALSE),"unknown")</f>
        <v>Woman</v>
      </c>
      <c r="AM201" s="120">
        <f>IFERROR(VLOOKUP(Table1[RespondentID],'All Data'!$A$3:$CO$999,88,FALSE),"unknown")</f>
        <v>24</v>
      </c>
      <c r="AN201" s="120" t="str">
        <f>IFERROR(VLOOKUP(Table1[RespondentID],'All Data'!$A$3:$CO$999,89,FALSE),"unknown")</f>
        <v>Suffolk</v>
      </c>
      <c r="AO201" s="120" t="str">
        <f>IFERROR(VLOOKUP(Table1[RespondentID],'All Data'!$A$3:$CO$999,90,FALSE),"unknown")</f>
        <v>Selden, 11784</v>
      </c>
      <c r="AP201" s="120" t="str">
        <f>IFERROR(VLOOKUP(Table1[RespondentID],'All Data'!$A$3:$CO$999,91,FALSE),"unknown")</f>
        <v>Native Hawaiian and Other Pacific Islander</v>
      </c>
      <c r="AQ201" s="120" t="str">
        <f>IFERROR(VLOOKUP(Table1[RespondentID],'All Data'!$A$3:$CO$999,92,FALSE),"unknown")</f>
        <v>Hispanic or Latino</v>
      </c>
      <c r="AR201" s="120" t="str">
        <f>IFERROR(VLOOKUP(Table1[RespondentID],'All Data'!$A$3:$CO$999,93,FALSE),"unknown")</f>
        <v>English</v>
      </c>
      <c r="AS201" s="120" t="str">
        <f>IFERROR(VLOOKUP(Table1[RespondentID],'All Data'!$A$3:$CW$999,94,FALSE),"unknown")</f>
        <v>$75,000 to $125,000</v>
      </c>
      <c r="AT201" s="120" t="str">
        <f>IFERROR(VLOOKUP(Table1[RespondentID],'All Data'!$A$3:$CW$999,95,FALSE),"unknown")</f>
        <v>College graduate</v>
      </c>
      <c r="AU201" s="120" t="str">
        <f>IFERROR(VLOOKUP(Table1[RespondentID],'All Data'!$A$3:$CW$999,96,FALSE),"unknown")</f>
        <v>Employed for wages</v>
      </c>
      <c r="AV201" s="120" t="str">
        <f>IFERROR(VLOOKUP(Table1[RespondentID],'All Data'!$A$3:$CW$999,97,FALSE),"unknown")</f>
        <v>Yes</v>
      </c>
      <c r="AW201" s="120" t="str">
        <f>IFERROR(VLOOKUP(Table1[RespondentID],'All Data'!$A$3:$CW$999,98,FALSE),"unknown")</f>
        <v>Medicare</v>
      </c>
      <c r="AX201" s="120" t="str">
        <f>IFERROR(VLOOKUP(Table1[RespondentID],'All Data'!$A$3:$CW$999,99,FALSE),"unknown")</f>
        <v>Yes</v>
      </c>
    </row>
    <row r="202" spans="1:50">
      <c r="A202" s="5">
        <v>18019511473</v>
      </c>
      <c r="B202" s="5"/>
      <c r="C202" s="5"/>
      <c r="D202" s="5" t="s">
        <v>18</v>
      </c>
      <c r="E202" s="5"/>
      <c r="F202" s="5"/>
      <c r="G202" s="5"/>
      <c r="H202" s="5"/>
      <c r="I202" s="5"/>
      <c r="J202" s="5"/>
      <c r="K202" s="5" t="s">
        <v>25</v>
      </c>
      <c r="L202" s="5" t="s">
        <v>26</v>
      </c>
      <c r="M202" s="5"/>
      <c r="N202" s="5"/>
      <c r="O202" s="7"/>
      <c r="P202" s="7">
        <f t="shared" si="54"/>
        <v>3</v>
      </c>
      <c r="Q202" s="7">
        <f t="shared" si="55"/>
        <v>1</v>
      </c>
      <c r="R202" s="7"/>
      <c r="S202" s="7">
        <f t="shared" si="71"/>
        <v>0</v>
      </c>
      <c r="T202" s="7">
        <f t="shared" si="56"/>
        <v>0</v>
      </c>
      <c r="U202" s="7">
        <f t="shared" si="57"/>
        <v>1</v>
      </c>
      <c r="V202" s="119">
        <f t="shared" si="58"/>
        <v>0</v>
      </c>
      <c r="W202" s="119">
        <f t="shared" si="59"/>
        <v>0</v>
      </c>
      <c r="X202" s="119">
        <f t="shared" si="60"/>
        <v>0</v>
      </c>
      <c r="Y202" s="119">
        <f t="shared" si="61"/>
        <v>0</v>
      </c>
      <c r="Z202" s="119">
        <f t="shared" si="62"/>
        <v>0</v>
      </c>
      <c r="AA202" s="119">
        <f t="shared" si="63"/>
        <v>0</v>
      </c>
      <c r="AB202" s="119">
        <f t="shared" si="64"/>
        <v>1</v>
      </c>
      <c r="AC202" s="119">
        <f t="shared" si="65"/>
        <v>1</v>
      </c>
      <c r="AD202" s="119">
        <f t="shared" si="66"/>
        <v>0</v>
      </c>
      <c r="AE202" s="119">
        <f t="shared" si="67"/>
        <v>0</v>
      </c>
      <c r="AF202" s="7"/>
      <c r="AG202" s="7"/>
      <c r="AH202" s="7">
        <f t="shared" si="68"/>
        <v>3</v>
      </c>
      <c r="AI202" s="7">
        <f t="shared" si="69"/>
        <v>3</v>
      </c>
      <c r="AJ202" s="7" t="str">
        <f t="shared" si="70"/>
        <v>Correct</v>
      </c>
      <c r="AL202" s="120" t="str">
        <f>IFERROR(VLOOKUP(Table1[RespondentID],'All Data'!$A$3:$CO$999,87,FALSE),"unknown")</f>
        <v>Man</v>
      </c>
      <c r="AM202" s="120">
        <f>IFERROR(VLOOKUP(Table1[RespondentID],'All Data'!$A$3:$CO$999,88,FALSE),"unknown")</f>
        <v>0</v>
      </c>
      <c r="AN202" s="120" t="str">
        <f>IFERROR(VLOOKUP(Table1[RespondentID],'All Data'!$A$3:$CO$999,89,FALSE),"unknown")</f>
        <v>Suffolk</v>
      </c>
      <c r="AO202" s="120" t="str">
        <f>IFERROR(VLOOKUP(Table1[RespondentID],'All Data'!$A$3:$CO$999,90,FALSE),"unknown")</f>
        <v>Smithtown, 11787</v>
      </c>
      <c r="AP202" s="120" t="str">
        <f>IFERROR(VLOOKUP(Table1[RespondentID],'All Data'!$A$3:$CO$999,91,FALSE),"unknown")</f>
        <v>White</v>
      </c>
      <c r="AQ202" s="120" t="str">
        <f>IFERROR(VLOOKUP(Table1[RespondentID],'All Data'!$A$3:$CO$999,92,FALSE),"unknown")</f>
        <v>Hispanic or Latino</v>
      </c>
      <c r="AR202" s="120" t="str">
        <f>IFERROR(VLOOKUP(Table1[RespondentID],'All Data'!$A$3:$CO$999,93,FALSE),"unknown")</f>
        <v>English</v>
      </c>
      <c r="AS202" s="120" t="str">
        <f>IFERROR(VLOOKUP(Table1[RespondentID],'All Data'!$A$3:$CW$999,94,FALSE),"unknown")</f>
        <v>Over $125,000</v>
      </c>
      <c r="AT202" s="120" t="str">
        <f>IFERROR(VLOOKUP(Table1[RespondentID],'All Data'!$A$3:$CW$999,95,FALSE),"unknown")</f>
        <v>Some college</v>
      </c>
      <c r="AU202" s="120" t="str">
        <f>IFERROR(VLOOKUP(Table1[RespondentID],'All Data'!$A$3:$CW$999,96,FALSE),"unknown")</f>
        <v>Employed for wages</v>
      </c>
      <c r="AV202" s="120" t="str">
        <f>IFERROR(VLOOKUP(Table1[RespondentID],'All Data'!$A$3:$CW$999,97,FALSE),"unknown")</f>
        <v>No</v>
      </c>
      <c r="AW202" s="120" t="str">
        <f>IFERROR(VLOOKUP(Table1[RespondentID],'All Data'!$A$3:$CW$999,98,FALSE),"unknown")</f>
        <v>No Insurance</v>
      </c>
      <c r="AX202" s="120" t="str">
        <f>IFERROR(VLOOKUP(Table1[RespondentID],'All Data'!$A$3:$CW$999,99,FALSE),"unknown")</f>
        <v>Yes</v>
      </c>
    </row>
    <row r="203" spans="1:50">
      <c r="A203" s="5">
        <v>18019480989</v>
      </c>
      <c r="B203" s="5"/>
      <c r="C203" s="5"/>
      <c r="D203" s="5"/>
      <c r="E203" s="5"/>
      <c r="F203" s="5"/>
      <c r="G203" s="5"/>
      <c r="H203" s="5"/>
      <c r="I203" s="5"/>
      <c r="J203" s="5"/>
      <c r="K203" s="5" t="s">
        <v>25</v>
      </c>
      <c r="L203" s="5" t="s">
        <v>26</v>
      </c>
      <c r="M203" s="5"/>
      <c r="N203" s="5"/>
      <c r="O203" s="7"/>
      <c r="P203" s="7">
        <f t="shared" si="54"/>
        <v>2</v>
      </c>
      <c r="Q203" s="7">
        <f t="shared" si="55"/>
        <v>1.5</v>
      </c>
      <c r="R203" s="7"/>
      <c r="S203" s="7">
        <f t="shared" si="71"/>
        <v>0</v>
      </c>
      <c r="T203" s="7">
        <f t="shared" si="56"/>
        <v>0</v>
      </c>
      <c r="U203" s="7">
        <f t="shared" si="57"/>
        <v>0</v>
      </c>
      <c r="V203" s="119">
        <f t="shared" si="58"/>
        <v>0</v>
      </c>
      <c r="W203" s="119">
        <f t="shared" si="59"/>
        <v>0</v>
      </c>
      <c r="X203" s="119">
        <f t="shared" si="60"/>
        <v>0</v>
      </c>
      <c r="Y203" s="119">
        <f t="shared" si="61"/>
        <v>0</v>
      </c>
      <c r="Z203" s="119">
        <f t="shared" si="62"/>
        <v>0</v>
      </c>
      <c r="AA203" s="119">
        <f t="shared" si="63"/>
        <v>0</v>
      </c>
      <c r="AB203" s="119">
        <f t="shared" si="64"/>
        <v>1</v>
      </c>
      <c r="AC203" s="119">
        <f t="shared" si="65"/>
        <v>1</v>
      </c>
      <c r="AD203" s="119">
        <f t="shared" si="66"/>
        <v>0</v>
      </c>
      <c r="AE203" s="119">
        <f t="shared" si="67"/>
        <v>0</v>
      </c>
      <c r="AF203" s="7"/>
      <c r="AG203" s="7"/>
      <c r="AH203" s="7">
        <f t="shared" si="68"/>
        <v>2</v>
      </c>
      <c r="AI203" s="7">
        <f t="shared" si="69"/>
        <v>2</v>
      </c>
      <c r="AJ203" s="7" t="str">
        <f t="shared" si="70"/>
        <v>Correct</v>
      </c>
      <c r="AL203" s="120" t="str">
        <f>IFERROR(VLOOKUP(Table1[RespondentID],'All Data'!$A$3:$CO$999,87,FALSE),"unknown")</f>
        <v>Man</v>
      </c>
      <c r="AM203" s="120">
        <f>IFERROR(VLOOKUP(Table1[RespondentID],'All Data'!$A$3:$CO$999,88,FALSE),"unknown")</f>
        <v>23</v>
      </c>
      <c r="AN203" s="120" t="str">
        <f>IFERROR(VLOOKUP(Table1[RespondentID],'All Data'!$A$3:$CO$999,89,FALSE),"unknown")</f>
        <v>Suffolk</v>
      </c>
      <c r="AO203" s="120" t="str">
        <f>IFERROR(VLOOKUP(Table1[RespondentID],'All Data'!$A$3:$CO$999,90,FALSE),"unknown")</f>
        <v>Saint James, 11780</v>
      </c>
      <c r="AP203" s="120" t="str">
        <f>IFERROR(VLOOKUP(Table1[RespondentID],'All Data'!$A$3:$CO$999,91,FALSE),"unknown")</f>
        <v>White</v>
      </c>
      <c r="AQ203" s="120" t="str">
        <f>IFERROR(VLOOKUP(Table1[RespondentID],'All Data'!$A$3:$CO$999,92,FALSE),"unknown")</f>
        <v>Hispanic or Latino</v>
      </c>
      <c r="AR203" s="120" t="str">
        <f>IFERROR(VLOOKUP(Table1[RespondentID],'All Data'!$A$3:$CO$999,93,FALSE),"unknown")</f>
        <v>English</v>
      </c>
      <c r="AS203" s="120" t="str">
        <f>IFERROR(VLOOKUP(Table1[RespondentID],'All Data'!$A$3:$CW$999,94,FALSE),"unknown")</f>
        <v>$0-$19,999</v>
      </c>
      <c r="AT203" s="120" t="str">
        <f>IFERROR(VLOOKUP(Table1[RespondentID],'All Data'!$A$3:$CW$999,95,FALSE),"unknown")</f>
        <v>Graduate school</v>
      </c>
      <c r="AU203" s="120" t="str">
        <f>IFERROR(VLOOKUP(Table1[RespondentID],'All Data'!$A$3:$CW$999,96,FALSE),"unknown")</f>
        <v>Employed for wages</v>
      </c>
      <c r="AV203" s="120" t="str">
        <f>IFERROR(VLOOKUP(Table1[RespondentID],'All Data'!$A$3:$CW$999,97,FALSE),"unknown")</f>
        <v>Yes</v>
      </c>
      <c r="AW203" s="120">
        <f>IFERROR(VLOOKUP(Table1[RespondentID],'All Data'!$A$3:$CW$999,98,FALSE),"unknown")</f>
        <v>0</v>
      </c>
      <c r="AX203" s="120">
        <f>IFERROR(VLOOKUP(Table1[RespondentID],'All Data'!$A$3:$CW$999,99,FALSE),"unknown")</f>
        <v>0</v>
      </c>
    </row>
    <row r="204" spans="1:50">
      <c r="A204" s="5">
        <v>18019480837</v>
      </c>
      <c r="B204" s="5"/>
      <c r="C204" s="5" t="s">
        <v>17</v>
      </c>
      <c r="D204" s="5"/>
      <c r="E204" s="5"/>
      <c r="F204" s="5"/>
      <c r="G204" s="5"/>
      <c r="H204" s="5"/>
      <c r="I204" s="5"/>
      <c r="J204" s="5"/>
      <c r="K204" s="5"/>
      <c r="L204" s="5"/>
      <c r="M204" s="5"/>
      <c r="N204" s="5"/>
      <c r="O204" s="7"/>
      <c r="P204" s="7">
        <f t="shared" si="54"/>
        <v>1</v>
      </c>
      <c r="Q204" s="7">
        <f t="shared" si="55"/>
        <v>3</v>
      </c>
      <c r="R204" s="7"/>
      <c r="S204" s="7">
        <f t="shared" si="71"/>
        <v>0</v>
      </c>
      <c r="T204" s="7">
        <f t="shared" si="56"/>
        <v>1</v>
      </c>
      <c r="U204" s="7">
        <f t="shared" si="57"/>
        <v>0</v>
      </c>
      <c r="V204" s="119">
        <f t="shared" si="58"/>
        <v>0</v>
      </c>
      <c r="W204" s="119">
        <f t="shared" si="59"/>
        <v>0</v>
      </c>
      <c r="X204" s="119">
        <f t="shared" si="60"/>
        <v>0</v>
      </c>
      <c r="Y204" s="119">
        <f t="shared" si="61"/>
        <v>0</v>
      </c>
      <c r="Z204" s="119">
        <f t="shared" si="62"/>
        <v>0</v>
      </c>
      <c r="AA204" s="119">
        <f t="shared" si="63"/>
        <v>0</v>
      </c>
      <c r="AB204" s="119">
        <f t="shared" si="64"/>
        <v>0</v>
      </c>
      <c r="AC204" s="119">
        <f t="shared" si="65"/>
        <v>0</v>
      </c>
      <c r="AD204" s="119">
        <f t="shared" si="66"/>
        <v>0</v>
      </c>
      <c r="AE204" s="119">
        <f t="shared" si="67"/>
        <v>0</v>
      </c>
      <c r="AF204" s="7"/>
      <c r="AG204" s="7"/>
      <c r="AH204" s="7">
        <f t="shared" si="68"/>
        <v>1</v>
      </c>
      <c r="AI204" s="7">
        <f t="shared" si="69"/>
        <v>1</v>
      </c>
      <c r="AJ204" s="7" t="str">
        <f t="shared" si="70"/>
        <v>Correct</v>
      </c>
      <c r="AL204" s="120" t="str">
        <f>IFERROR(VLOOKUP(Table1[RespondentID],'All Data'!$A$3:$CO$999,87,FALSE),"unknown")</f>
        <v>Woman</v>
      </c>
      <c r="AM204" s="120">
        <f>IFERROR(VLOOKUP(Table1[RespondentID],'All Data'!$A$3:$CO$999,88,FALSE),"unknown")</f>
        <v>49</v>
      </c>
      <c r="AN204" s="120" t="str">
        <f>IFERROR(VLOOKUP(Table1[RespondentID],'All Data'!$A$3:$CO$999,89,FALSE),"unknown")</f>
        <v>Suffolk</v>
      </c>
      <c r="AO204" s="120" t="str">
        <f>IFERROR(VLOOKUP(Table1[RespondentID],'All Data'!$A$3:$CO$999,90,FALSE),"unknown")</f>
        <v>Smithtown, 11787</v>
      </c>
      <c r="AP204" s="120" t="str">
        <f>IFERROR(VLOOKUP(Table1[RespondentID],'All Data'!$A$3:$CO$999,91,FALSE),"unknown")</f>
        <v>White</v>
      </c>
      <c r="AQ204" s="120" t="str">
        <f>IFERROR(VLOOKUP(Table1[RespondentID],'All Data'!$A$3:$CO$999,92,FALSE),"unknown")</f>
        <v>Hispanic or Latino</v>
      </c>
      <c r="AR204" s="120" t="str">
        <f>IFERROR(VLOOKUP(Table1[RespondentID],'All Data'!$A$3:$CO$999,93,FALSE),"unknown")</f>
        <v>English</v>
      </c>
      <c r="AS204" s="120" t="str">
        <f>IFERROR(VLOOKUP(Table1[RespondentID],'All Data'!$A$3:$CW$999,94,FALSE),"unknown")</f>
        <v>$50,000 to $74,999</v>
      </c>
      <c r="AT204" s="120" t="str">
        <f>IFERROR(VLOOKUP(Table1[RespondentID],'All Data'!$A$3:$CW$999,95,FALSE),"unknown")</f>
        <v>High school graduate</v>
      </c>
      <c r="AU204" s="120" t="str">
        <f>IFERROR(VLOOKUP(Table1[RespondentID],'All Data'!$A$3:$CW$999,96,FALSE),"unknown")</f>
        <v>Self-employed</v>
      </c>
      <c r="AV204" s="120" t="str">
        <f>IFERROR(VLOOKUP(Table1[RespondentID],'All Data'!$A$3:$CW$999,97,FALSE),"unknown")</f>
        <v>Yes</v>
      </c>
      <c r="AW204" s="120">
        <f>IFERROR(VLOOKUP(Table1[RespondentID],'All Data'!$A$3:$CW$999,98,FALSE),"unknown")</f>
        <v>0</v>
      </c>
      <c r="AX204" s="120">
        <f>IFERROR(VLOOKUP(Table1[RespondentID],'All Data'!$A$3:$CW$999,99,FALSE),"unknown")</f>
        <v>0</v>
      </c>
    </row>
    <row r="205" spans="1:50">
      <c r="A205" s="5">
        <v>18019480727</v>
      </c>
      <c r="B205" s="5"/>
      <c r="C205" s="5" t="s">
        <v>17</v>
      </c>
      <c r="D205" s="5"/>
      <c r="E205" s="5"/>
      <c r="F205" s="5"/>
      <c r="G205" s="5"/>
      <c r="H205" s="5" t="s">
        <v>22</v>
      </c>
      <c r="I205" s="5"/>
      <c r="J205" s="5"/>
      <c r="K205" s="5"/>
      <c r="L205" s="5"/>
      <c r="M205" s="5" t="s">
        <v>27</v>
      </c>
      <c r="N205" s="5"/>
      <c r="O205" s="7"/>
      <c r="P205" s="7">
        <f t="shared" si="54"/>
        <v>3</v>
      </c>
      <c r="Q205" s="7">
        <f t="shared" si="55"/>
        <v>1</v>
      </c>
      <c r="R205" s="7"/>
      <c r="S205" s="7">
        <f t="shared" si="71"/>
        <v>0</v>
      </c>
      <c r="T205" s="7">
        <f t="shared" si="56"/>
        <v>1</v>
      </c>
      <c r="U205" s="7">
        <f t="shared" si="57"/>
        <v>0</v>
      </c>
      <c r="V205" s="119">
        <f t="shared" si="58"/>
        <v>0</v>
      </c>
      <c r="W205" s="119">
        <f t="shared" si="59"/>
        <v>0</v>
      </c>
      <c r="X205" s="119">
        <f t="shared" si="60"/>
        <v>0</v>
      </c>
      <c r="Y205" s="119">
        <f t="shared" si="61"/>
        <v>1</v>
      </c>
      <c r="Z205" s="119">
        <f t="shared" si="62"/>
        <v>0</v>
      </c>
      <c r="AA205" s="119">
        <f t="shared" si="63"/>
        <v>0</v>
      </c>
      <c r="AB205" s="119">
        <f t="shared" si="64"/>
        <v>0</v>
      </c>
      <c r="AC205" s="119">
        <f t="shared" si="65"/>
        <v>0</v>
      </c>
      <c r="AD205" s="119">
        <f t="shared" si="66"/>
        <v>1</v>
      </c>
      <c r="AE205" s="119">
        <f t="shared" si="67"/>
        <v>0</v>
      </c>
      <c r="AF205" s="7"/>
      <c r="AG205" s="7"/>
      <c r="AH205" s="7">
        <f t="shared" si="68"/>
        <v>3</v>
      </c>
      <c r="AI205" s="7">
        <f t="shared" si="69"/>
        <v>3</v>
      </c>
      <c r="AJ205" s="7" t="str">
        <f t="shared" si="70"/>
        <v>Correct</v>
      </c>
      <c r="AL205" s="120" t="str">
        <f>IFERROR(VLOOKUP(Table1[RespondentID],'All Data'!$A$3:$CO$999,87,FALSE),"unknown")</f>
        <v>Man</v>
      </c>
      <c r="AM205" s="120">
        <f>IFERROR(VLOOKUP(Table1[RespondentID],'All Data'!$A$3:$CO$999,88,FALSE),"unknown")</f>
        <v>50</v>
      </c>
      <c r="AN205" s="120" t="str">
        <f>IFERROR(VLOOKUP(Table1[RespondentID],'All Data'!$A$3:$CO$999,89,FALSE),"unknown")</f>
        <v>Suffolk</v>
      </c>
      <c r="AO205" s="120" t="str">
        <f>IFERROR(VLOOKUP(Table1[RespondentID],'All Data'!$A$3:$CO$999,90,FALSE),"unknown")</f>
        <v>Saint James, 11780</v>
      </c>
      <c r="AP205" s="120" t="str">
        <f>IFERROR(VLOOKUP(Table1[RespondentID],'All Data'!$A$3:$CO$999,91,FALSE),"unknown")</f>
        <v>White</v>
      </c>
      <c r="AQ205" s="120" t="str">
        <f>IFERROR(VLOOKUP(Table1[RespondentID],'All Data'!$A$3:$CO$999,92,FALSE),"unknown")</f>
        <v>Hispanic or Latino</v>
      </c>
      <c r="AR205" s="120" t="str">
        <f>IFERROR(VLOOKUP(Table1[RespondentID],'All Data'!$A$3:$CO$999,93,FALSE),"unknown")</f>
        <v>English</v>
      </c>
      <c r="AS205" s="120" t="str">
        <f>IFERROR(VLOOKUP(Table1[RespondentID],'All Data'!$A$3:$CW$999,94,FALSE),"unknown")</f>
        <v>$50,000 to $74,999</v>
      </c>
      <c r="AT205" s="120" t="str">
        <f>IFERROR(VLOOKUP(Table1[RespondentID],'All Data'!$A$3:$CW$999,95,FALSE),"unknown")</f>
        <v>Some college</v>
      </c>
      <c r="AU205" s="120" t="str">
        <f>IFERROR(VLOOKUP(Table1[RespondentID],'All Data'!$A$3:$CW$999,96,FALSE),"unknown")</f>
        <v>Out of work, but not currently looking</v>
      </c>
      <c r="AV205" s="120" t="str">
        <f>IFERROR(VLOOKUP(Table1[RespondentID],'All Data'!$A$3:$CW$999,97,FALSE),"unknown")</f>
        <v>Yes</v>
      </c>
      <c r="AW205" s="120">
        <f>IFERROR(VLOOKUP(Table1[RespondentID],'All Data'!$A$3:$CW$999,98,FALSE),"unknown")</f>
        <v>0</v>
      </c>
      <c r="AX205" s="120">
        <f>IFERROR(VLOOKUP(Table1[RespondentID],'All Data'!$A$3:$CW$999,99,FALSE),"unknown")</f>
        <v>0</v>
      </c>
    </row>
    <row r="206" spans="1:50">
      <c r="A206" s="5">
        <v>18019480579</v>
      </c>
      <c r="B206" s="5"/>
      <c r="C206" s="5" t="s">
        <v>17</v>
      </c>
      <c r="D206" s="5"/>
      <c r="E206" s="5"/>
      <c r="F206" s="5"/>
      <c r="G206" s="5"/>
      <c r="H206" s="5"/>
      <c r="I206" s="5"/>
      <c r="J206" s="5"/>
      <c r="K206" s="5" t="s">
        <v>25</v>
      </c>
      <c r="L206" s="5" t="s">
        <v>26</v>
      </c>
      <c r="M206" s="5"/>
      <c r="N206" s="5"/>
      <c r="O206" s="7"/>
      <c r="P206" s="7">
        <f t="shared" si="54"/>
        <v>3</v>
      </c>
      <c r="Q206" s="7">
        <f t="shared" si="55"/>
        <v>1</v>
      </c>
      <c r="R206" s="7"/>
      <c r="S206" s="7">
        <f t="shared" si="71"/>
        <v>0</v>
      </c>
      <c r="T206" s="7">
        <f t="shared" si="56"/>
        <v>1</v>
      </c>
      <c r="U206" s="7">
        <f t="shared" si="57"/>
        <v>0</v>
      </c>
      <c r="V206" s="119">
        <f t="shared" si="58"/>
        <v>0</v>
      </c>
      <c r="W206" s="119">
        <f t="shared" si="59"/>
        <v>0</v>
      </c>
      <c r="X206" s="119">
        <f t="shared" si="60"/>
        <v>0</v>
      </c>
      <c r="Y206" s="119">
        <f t="shared" si="61"/>
        <v>0</v>
      </c>
      <c r="Z206" s="119">
        <f t="shared" si="62"/>
        <v>0</v>
      </c>
      <c r="AA206" s="119">
        <f t="shared" si="63"/>
        <v>0</v>
      </c>
      <c r="AB206" s="119">
        <f t="shared" si="64"/>
        <v>1</v>
      </c>
      <c r="AC206" s="119">
        <f t="shared" si="65"/>
        <v>1</v>
      </c>
      <c r="AD206" s="119">
        <f t="shared" si="66"/>
        <v>0</v>
      </c>
      <c r="AE206" s="119">
        <f t="shared" si="67"/>
        <v>0</v>
      </c>
      <c r="AF206" s="7"/>
      <c r="AG206" s="7"/>
      <c r="AH206" s="7">
        <f t="shared" si="68"/>
        <v>3</v>
      </c>
      <c r="AI206" s="7">
        <f t="shared" si="69"/>
        <v>3</v>
      </c>
      <c r="AJ206" s="7" t="str">
        <f t="shared" si="70"/>
        <v>Correct</v>
      </c>
      <c r="AL206" s="120" t="str">
        <f>IFERROR(VLOOKUP(Table1[RespondentID],'All Data'!$A$3:$CO$999,87,FALSE),"unknown")</f>
        <v>Man</v>
      </c>
      <c r="AM206" s="120">
        <f>IFERROR(VLOOKUP(Table1[RespondentID],'All Data'!$A$3:$CO$999,88,FALSE),"unknown")</f>
        <v>45</v>
      </c>
      <c r="AN206" s="120" t="str">
        <f>IFERROR(VLOOKUP(Table1[RespondentID],'All Data'!$A$3:$CO$999,89,FALSE),"unknown")</f>
        <v>Suffolk</v>
      </c>
      <c r="AO206" s="120" t="str">
        <f>IFERROR(VLOOKUP(Table1[RespondentID],'All Data'!$A$3:$CO$999,90,FALSE),"unknown")</f>
        <v>Saint James, 11780</v>
      </c>
      <c r="AP206" s="120" t="str">
        <f>IFERROR(VLOOKUP(Table1[RespondentID],'All Data'!$A$3:$CO$999,91,FALSE),"unknown")</f>
        <v>White</v>
      </c>
      <c r="AQ206" s="120" t="str">
        <f>IFERROR(VLOOKUP(Table1[RespondentID],'All Data'!$A$3:$CO$999,92,FALSE),"unknown")</f>
        <v>Hispanic or Latino</v>
      </c>
      <c r="AR206" s="120" t="str">
        <f>IFERROR(VLOOKUP(Table1[RespondentID],'All Data'!$A$3:$CO$999,93,FALSE),"unknown")</f>
        <v>English</v>
      </c>
      <c r="AS206" s="120" t="str">
        <f>IFERROR(VLOOKUP(Table1[RespondentID],'All Data'!$A$3:$CW$999,94,FALSE),"unknown")</f>
        <v>$20,000 to $34,999</v>
      </c>
      <c r="AT206" s="120" t="str">
        <f>IFERROR(VLOOKUP(Table1[RespondentID],'All Data'!$A$3:$CW$999,95,FALSE),"unknown")</f>
        <v>High school graduate</v>
      </c>
      <c r="AU206" s="120" t="str">
        <f>IFERROR(VLOOKUP(Table1[RespondentID],'All Data'!$A$3:$CW$999,96,FALSE),"unknown")</f>
        <v>Employed for wages</v>
      </c>
      <c r="AV206" s="120" t="str">
        <f>IFERROR(VLOOKUP(Table1[RespondentID],'All Data'!$A$3:$CW$999,97,FALSE),"unknown")</f>
        <v>Yes</v>
      </c>
      <c r="AW206" s="120">
        <f>IFERROR(VLOOKUP(Table1[RespondentID],'All Data'!$A$3:$CW$999,98,FALSE),"unknown")</f>
        <v>0</v>
      </c>
      <c r="AX206" s="120">
        <f>IFERROR(VLOOKUP(Table1[RespondentID],'All Data'!$A$3:$CW$999,99,FALSE),"unknown")</f>
        <v>0</v>
      </c>
    </row>
    <row r="207" spans="1:50">
      <c r="A207" s="5">
        <v>18019480437</v>
      </c>
      <c r="B207" s="5"/>
      <c r="C207" s="5" t="s">
        <v>17</v>
      </c>
      <c r="D207" s="5"/>
      <c r="E207" s="5"/>
      <c r="F207" s="5"/>
      <c r="G207" s="5"/>
      <c r="H207" s="5"/>
      <c r="I207" s="5"/>
      <c r="J207" s="5"/>
      <c r="K207" s="5"/>
      <c r="L207" s="5"/>
      <c r="M207" s="5"/>
      <c r="N207" s="5"/>
      <c r="O207" s="7"/>
      <c r="P207" s="7">
        <f t="shared" si="54"/>
        <v>1</v>
      </c>
      <c r="Q207" s="7">
        <f t="shared" si="55"/>
        <v>3</v>
      </c>
      <c r="R207" s="7"/>
      <c r="S207" s="7">
        <f t="shared" si="71"/>
        <v>0</v>
      </c>
      <c r="T207" s="7">
        <f t="shared" si="56"/>
        <v>1</v>
      </c>
      <c r="U207" s="7">
        <f t="shared" si="57"/>
        <v>0</v>
      </c>
      <c r="V207" s="119">
        <f t="shared" si="58"/>
        <v>0</v>
      </c>
      <c r="W207" s="119">
        <f t="shared" si="59"/>
        <v>0</v>
      </c>
      <c r="X207" s="119">
        <f t="shared" si="60"/>
        <v>0</v>
      </c>
      <c r="Y207" s="119">
        <f t="shared" si="61"/>
        <v>0</v>
      </c>
      <c r="Z207" s="119">
        <f t="shared" si="62"/>
        <v>0</v>
      </c>
      <c r="AA207" s="119">
        <f t="shared" si="63"/>
        <v>0</v>
      </c>
      <c r="AB207" s="119">
        <f t="shared" si="64"/>
        <v>0</v>
      </c>
      <c r="AC207" s="119">
        <f t="shared" si="65"/>
        <v>0</v>
      </c>
      <c r="AD207" s="119">
        <f t="shared" si="66"/>
        <v>0</v>
      </c>
      <c r="AE207" s="119">
        <f t="shared" si="67"/>
        <v>0</v>
      </c>
      <c r="AF207" s="7"/>
      <c r="AG207" s="7"/>
      <c r="AH207" s="7">
        <f t="shared" si="68"/>
        <v>1</v>
      </c>
      <c r="AI207" s="7">
        <f t="shared" si="69"/>
        <v>1</v>
      </c>
      <c r="AJ207" s="7" t="str">
        <f t="shared" si="70"/>
        <v>Correct</v>
      </c>
      <c r="AL207" s="120" t="str">
        <f>IFERROR(VLOOKUP(Table1[RespondentID],'All Data'!$A$3:$CO$999,87,FALSE),"unknown")</f>
        <v>Woman</v>
      </c>
      <c r="AM207" s="120">
        <f>IFERROR(VLOOKUP(Table1[RespondentID],'All Data'!$A$3:$CO$999,88,FALSE),"unknown")</f>
        <v>47</v>
      </c>
      <c r="AN207" s="120" t="str">
        <f>IFERROR(VLOOKUP(Table1[RespondentID],'All Data'!$A$3:$CO$999,89,FALSE),"unknown")</f>
        <v>Suffolk</v>
      </c>
      <c r="AO207" s="120" t="str">
        <f>IFERROR(VLOOKUP(Table1[RespondentID],'All Data'!$A$3:$CO$999,90,FALSE),"unknown")</f>
        <v>Saint James, 11780</v>
      </c>
      <c r="AP207" s="120" t="str">
        <f>IFERROR(VLOOKUP(Table1[RespondentID],'All Data'!$A$3:$CO$999,91,FALSE),"unknown")</f>
        <v>White</v>
      </c>
      <c r="AQ207" s="120" t="str">
        <f>IFERROR(VLOOKUP(Table1[RespondentID],'All Data'!$A$3:$CO$999,92,FALSE),"unknown")</f>
        <v>Hispanic or Latino</v>
      </c>
      <c r="AR207" s="120" t="str">
        <f>IFERROR(VLOOKUP(Table1[RespondentID],'All Data'!$A$3:$CO$999,93,FALSE),"unknown")</f>
        <v>English</v>
      </c>
      <c r="AS207" s="120" t="str">
        <f>IFERROR(VLOOKUP(Table1[RespondentID],'All Data'!$A$3:$CW$999,94,FALSE),"unknown")</f>
        <v>$75,000 to $125,000</v>
      </c>
      <c r="AT207" s="120" t="str">
        <f>IFERROR(VLOOKUP(Table1[RespondentID],'All Data'!$A$3:$CW$999,95,FALSE),"unknown")</f>
        <v>High school graduate</v>
      </c>
      <c r="AU207" s="120" t="str">
        <f>IFERROR(VLOOKUP(Table1[RespondentID],'All Data'!$A$3:$CW$999,96,FALSE),"unknown")</f>
        <v>Self-employed</v>
      </c>
      <c r="AV207" s="120" t="str">
        <f>IFERROR(VLOOKUP(Table1[RespondentID],'All Data'!$A$3:$CW$999,97,FALSE),"unknown")</f>
        <v>No</v>
      </c>
      <c r="AW207" s="120">
        <f>IFERROR(VLOOKUP(Table1[RespondentID],'All Data'!$A$3:$CW$999,98,FALSE),"unknown")</f>
        <v>0</v>
      </c>
      <c r="AX207" s="120">
        <f>IFERROR(VLOOKUP(Table1[RespondentID],'All Data'!$A$3:$CW$999,99,FALSE),"unknown")</f>
        <v>0</v>
      </c>
    </row>
    <row r="208" spans="1:50">
      <c r="A208" s="5">
        <v>18019480319</v>
      </c>
      <c r="B208" s="5"/>
      <c r="C208" s="5" t="s">
        <v>17</v>
      </c>
      <c r="D208" s="5" t="s">
        <v>18</v>
      </c>
      <c r="E208" s="5"/>
      <c r="F208" s="5"/>
      <c r="G208" s="5"/>
      <c r="H208" s="5"/>
      <c r="I208" s="5"/>
      <c r="J208" s="5"/>
      <c r="K208" s="5"/>
      <c r="L208" s="5" t="s">
        <v>26</v>
      </c>
      <c r="M208" s="5"/>
      <c r="N208" s="5"/>
      <c r="O208" s="7"/>
      <c r="P208" s="7">
        <f t="shared" si="54"/>
        <v>3</v>
      </c>
      <c r="Q208" s="7">
        <f t="shared" si="55"/>
        <v>1</v>
      </c>
      <c r="R208" s="7"/>
      <c r="S208" s="7">
        <f t="shared" si="71"/>
        <v>0</v>
      </c>
      <c r="T208" s="7">
        <f t="shared" si="56"/>
        <v>1</v>
      </c>
      <c r="U208" s="7">
        <f t="shared" si="57"/>
        <v>1</v>
      </c>
      <c r="V208" s="119">
        <f t="shared" si="58"/>
        <v>0</v>
      </c>
      <c r="W208" s="119">
        <f t="shared" si="59"/>
        <v>0</v>
      </c>
      <c r="X208" s="119">
        <f t="shared" si="60"/>
        <v>0</v>
      </c>
      <c r="Y208" s="119">
        <f t="shared" si="61"/>
        <v>0</v>
      </c>
      <c r="Z208" s="119">
        <f t="shared" si="62"/>
        <v>0</v>
      </c>
      <c r="AA208" s="119">
        <f t="shared" si="63"/>
        <v>0</v>
      </c>
      <c r="AB208" s="119">
        <f t="shared" si="64"/>
        <v>0</v>
      </c>
      <c r="AC208" s="119">
        <f t="shared" si="65"/>
        <v>1</v>
      </c>
      <c r="AD208" s="119">
        <f t="shared" si="66"/>
        <v>0</v>
      </c>
      <c r="AE208" s="119">
        <f t="shared" si="67"/>
        <v>0</v>
      </c>
      <c r="AF208" s="7"/>
      <c r="AG208" s="7"/>
      <c r="AH208" s="7">
        <f t="shared" si="68"/>
        <v>3</v>
      </c>
      <c r="AI208" s="7">
        <f t="shared" si="69"/>
        <v>3</v>
      </c>
      <c r="AJ208" s="7" t="str">
        <f t="shared" si="70"/>
        <v>Correct</v>
      </c>
      <c r="AL208" s="120" t="str">
        <f>IFERROR(VLOOKUP(Table1[RespondentID],'All Data'!$A$3:$CO$999,87,FALSE),"unknown")</f>
        <v>Woman</v>
      </c>
      <c r="AM208" s="120">
        <f>IFERROR(VLOOKUP(Table1[RespondentID],'All Data'!$A$3:$CO$999,88,FALSE),"unknown")</f>
        <v>65</v>
      </c>
      <c r="AN208" s="120" t="str">
        <f>IFERROR(VLOOKUP(Table1[RespondentID],'All Data'!$A$3:$CO$999,89,FALSE),"unknown")</f>
        <v>Suffolk</v>
      </c>
      <c r="AO208" s="120" t="str">
        <f>IFERROR(VLOOKUP(Table1[RespondentID],'All Data'!$A$3:$CO$999,90,FALSE),"unknown")</f>
        <v>Kings Park, 11754</v>
      </c>
      <c r="AP208" s="120" t="str">
        <f>IFERROR(VLOOKUP(Table1[RespondentID],'All Data'!$A$3:$CO$999,91,FALSE),"unknown")</f>
        <v>White</v>
      </c>
      <c r="AQ208" s="120" t="str">
        <f>IFERROR(VLOOKUP(Table1[RespondentID],'All Data'!$A$3:$CO$999,92,FALSE),"unknown")</f>
        <v>Hispanic or Latino</v>
      </c>
      <c r="AR208" s="120" t="str">
        <f>IFERROR(VLOOKUP(Table1[RespondentID],'All Data'!$A$3:$CO$999,93,FALSE),"unknown")</f>
        <v>English</v>
      </c>
      <c r="AS208" s="120">
        <f>IFERROR(VLOOKUP(Table1[RespondentID],'All Data'!$A$3:$CW$999,94,FALSE),"unknown")</f>
        <v>0</v>
      </c>
      <c r="AT208" s="120" t="str">
        <f>IFERROR(VLOOKUP(Table1[RespondentID],'All Data'!$A$3:$CW$999,95,FALSE),"unknown")</f>
        <v>High school graduate</v>
      </c>
      <c r="AU208" s="120" t="str">
        <f>IFERROR(VLOOKUP(Table1[RespondentID],'All Data'!$A$3:$CW$999,96,FALSE),"unknown")</f>
        <v>Retired</v>
      </c>
      <c r="AV208" s="120" t="str">
        <f>IFERROR(VLOOKUP(Table1[RespondentID],'All Data'!$A$3:$CW$999,97,FALSE),"unknown")</f>
        <v>Yes</v>
      </c>
      <c r="AW208" s="120">
        <f>IFERROR(VLOOKUP(Table1[RespondentID],'All Data'!$A$3:$CW$999,98,FALSE),"unknown")</f>
        <v>0</v>
      </c>
      <c r="AX208" s="120">
        <f>IFERROR(VLOOKUP(Table1[RespondentID],'All Data'!$A$3:$CW$999,99,FALSE),"unknown")</f>
        <v>0</v>
      </c>
    </row>
    <row r="209" spans="1:50">
      <c r="A209" s="5">
        <v>18019480185</v>
      </c>
      <c r="B209" s="5"/>
      <c r="C209" s="5" t="s">
        <v>17</v>
      </c>
      <c r="D209" s="5"/>
      <c r="E209" s="5"/>
      <c r="F209" s="5"/>
      <c r="G209" s="5"/>
      <c r="H209" s="5"/>
      <c r="I209" s="5"/>
      <c r="J209" s="5" t="s">
        <v>24</v>
      </c>
      <c r="K209" s="5"/>
      <c r="L209" s="5"/>
      <c r="M209" s="5"/>
      <c r="N209" s="5"/>
      <c r="O209" s="7"/>
      <c r="P209" s="7">
        <f t="shared" si="54"/>
        <v>2</v>
      </c>
      <c r="Q209" s="7">
        <f t="shared" si="55"/>
        <v>1.5</v>
      </c>
      <c r="R209" s="7"/>
      <c r="S209" s="7">
        <f t="shared" si="71"/>
        <v>0</v>
      </c>
      <c r="T209" s="7">
        <f t="shared" si="56"/>
        <v>1</v>
      </c>
      <c r="U209" s="7">
        <f t="shared" si="57"/>
        <v>0</v>
      </c>
      <c r="V209" s="119">
        <f t="shared" si="58"/>
        <v>0</v>
      </c>
      <c r="W209" s="119">
        <f t="shared" si="59"/>
        <v>0</v>
      </c>
      <c r="X209" s="119">
        <f t="shared" si="60"/>
        <v>0</v>
      </c>
      <c r="Y209" s="119">
        <f t="shared" si="61"/>
        <v>0</v>
      </c>
      <c r="Z209" s="119">
        <f t="shared" si="62"/>
        <v>0</v>
      </c>
      <c r="AA209" s="119">
        <f t="shared" si="63"/>
        <v>1</v>
      </c>
      <c r="AB209" s="119">
        <f t="shared" si="64"/>
        <v>0</v>
      </c>
      <c r="AC209" s="119">
        <f t="shared" si="65"/>
        <v>0</v>
      </c>
      <c r="AD209" s="119">
        <f t="shared" si="66"/>
        <v>0</v>
      </c>
      <c r="AE209" s="119">
        <f t="shared" si="67"/>
        <v>0</v>
      </c>
      <c r="AF209" s="7"/>
      <c r="AG209" s="7"/>
      <c r="AH209" s="7">
        <f t="shared" si="68"/>
        <v>2</v>
      </c>
      <c r="AI209" s="7">
        <f t="shared" si="69"/>
        <v>2</v>
      </c>
      <c r="AJ209" s="7" t="str">
        <f t="shared" si="70"/>
        <v>Correct</v>
      </c>
      <c r="AL209" s="120" t="str">
        <f>IFERROR(VLOOKUP(Table1[RespondentID],'All Data'!$A$3:$CO$999,87,FALSE),"unknown")</f>
        <v>Woman</v>
      </c>
      <c r="AM209" s="120">
        <f>IFERROR(VLOOKUP(Table1[RespondentID],'All Data'!$A$3:$CO$999,88,FALSE),"unknown")</f>
        <v>44</v>
      </c>
      <c r="AN209" s="120" t="str">
        <f>IFERROR(VLOOKUP(Table1[RespondentID],'All Data'!$A$3:$CO$999,89,FALSE),"unknown")</f>
        <v>Suffolk</v>
      </c>
      <c r="AO209" s="120" t="str">
        <f>IFERROR(VLOOKUP(Table1[RespondentID],'All Data'!$A$3:$CO$999,90,FALSE),"unknown")</f>
        <v>Nesconset, 11767</v>
      </c>
      <c r="AP209" s="120" t="str">
        <f>IFERROR(VLOOKUP(Table1[RespondentID],'All Data'!$A$3:$CO$999,91,FALSE),"unknown")</f>
        <v>White</v>
      </c>
      <c r="AQ209" s="120" t="str">
        <f>IFERROR(VLOOKUP(Table1[RespondentID],'All Data'!$A$3:$CO$999,92,FALSE),"unknown")</f>
        <v>Hispanic or Latino</v>
      </c>
      <c r="AR209" s="120" t="str">
        <f>IFERROR(VLOOKUP(Table1[RespondentID],'All Data'!$A$3:$CO$999,93,FALSE),"unknown")</f>
        <v>English</v>
      </c>
      <c r="AS209" s="120" t="str">
        <f>IFERROR(VLOOKUP(Table1[RespondentID],'All Data'!$A$3:$CW$999,94,FALSE),"unknown")</f>
        <v>Over $125,000</v>
      </c>
      <c r="AT209" s="120" t="str">
        <f>IFERROR(VLOOKUP(Table1[RespondentID],'All Data'!$A$3:$CW$999,95,FALSE),"unknown")</f>
        <v>College graduate</v>
      </c>
      <c r="AU209" s="120" t="str">
        <f>IFERROR(VLOOKUP(Table1[RespondentID],'All Data'!$A$3:$CW$999,96,FALSE),"unknown")</f>
        <v>Self-employed</v>
      </c>
      <c r="AV209" s="120" t="str">
        <f>IFERROR(VLOOKUP(Table1[RespondentID],'All Data'!$A$3:$CW$999,97,FALSE),"unknown")</f>
        <v>Yes</v>
      </c>
      <c r="AW209" s="120">
        <f>IFERROR(VLOOKUP(Table1[RespondentID],'All Data'!$A$3:$CW$999,98,FALSE),"unknown")</f>
        <v>0</v>
      </c>
      <c r="AX209" s="120">
        <f>IFERROR(VLOOKUP(Table1[RespondentID],'All Data'!$A$3:$CW$999,99,FALSE),"unknown")</f>
        <v>0</v>
      </c>
    </row>
    <row r="210" spans="1:50">
      <c r="A210" s="5">
        <v>18019479995</v>
      </c>
      <c r="B210" s="5"/>
      <c r="C210" s="5" t="s">
        <v>17</v>
      </c>
      <c r="D210" s="5"/>
      <c r="E210" s="5"/>
      <c r="F210" s="5"/>
      <c r="G210" s="5"/>
      <c r="H210" s="5" t="s">
        <v>22</v>
      </c>
      <c r="I210" s="5"/>
      <c r="J210" s="5"/>
      <c r="K210" s="5" t="s">
        <v>25</v>
      </c>
      <c r="L210" s="5"/>
      <c r="M210" s="5" t="s">
        <v>27</v>
      </c>
      <c r="N210" s="5"/>
      <c r="O210" s="7"/>
      <c r="P210" s="7">
        <f t="shared" si="54"/>
        <v>4</v>
      </c>
      <c r="Q210" s="7">
        <f t="shared" si="55"/>
        <v>0.75</v>
      </c>
      <c r="R210" s="7"/>
      <c r="S210" s="7">
        <f t="shared" si="71"/>
        <v>0</v>
      </c>
      <c r="T210" s="7">
        <f t="shared" si="56"/>
        <v>0.75</v>
      </c>
      <c r="U210" s="7">
        <f t="shared" si="57"/>
        <v>0</v>
      </c>
      <c r="V210" s="119">
        <f t="shared" si="58"/>
        <v>0</v>
      </c>
      <c r="W210" s="119">
        <f t="shared" si="59"/>
        <v>0</v>
      </c>
      <c r="X210" s="119">
        <f t="shared" si="60"/>
        <v>0</v>
      </c>
      <c r="Y210" s="119">
        <f t="shared" si="61"/>
        <v>0.75</v>
      </c>
      <c r="Z210" s="119">
        <f t="shared" si="62"/>
        <v>0</v>
      </c>
      <c r="AA210" s="119">
        <f t="shared" si="63"/>
        <v>0</v>
      </c>
      <c r="AB210" s="119">
        <f t="shared" si="64"/>
        <v>0.75</v>
      </c>
      <c r="AC210" s="119">
        <f t="shared" si="65"/>
        <v>0</v>
      </c>
      <c r="AD210" s="119">
        <f t="shared" si="66"/>
        <v>0.75</v>
      </c>
      <c r="AE210" s="119">
        <f t="shared" si="67"/>
        <v>0</v>
      </c>
      <c r="AF210" s="7"/>
      <c r="AG210" s="7"/>
      <c r="AH210" s="7">
        <f t="shared" si="68"/>
        <v>3</v>
      </c>
      <c r="AI210" s="7">
        <f t="shared" si="69"/>
        <v>4</v>
      </c>
      <c r="AJ210" s="7" t="str">
        <f t="shared" si="70"/>
        <v>Correct</v>
      </c>
      <c r="AL210" s="120" t="str">
        <f>IFERROR(VLOOKUP(Table1[RespondentID],'All Data'!$A$3:$CO$999,87,FALSE),"unknown")</f>
        <v>Man</v>
      </c>
      <c r="AM210" s="120">
        <f>IFERROR(VLOOKUP(Table1[RespondentID],'All Data'!$A$3:$CO$999,88,FALSE),"unknown")</f>
        <v>50</v>
      </c>
      <c r="AN210" s="120" t="str">
        <f>IFERROR(VLOOKUP(Table1[RespondentID],'All Data'!$A$3:$CO$999,89,FALSE),"unknown")</f>
        <v>Suffolk</v>
      </c>
      <c r="AO210" s="120" t="str">
        <f>IFERROR(VLOOKUP(Table1[RespondentID],'All Data'!$A$3:$CO$999,90,FALSE),"unknown")</f>
        <v>Huntington, 11743</v>
      </c>
      <c r="AP210" s="120" t="str">
        <f>IFERROR(VLOOKUP(Table1[RespondentID],'All Data'!$A$3:$CO$999,91,FALSE),"unknown")</f>
        <v>White</v>
      </c>
      <c r="AQ210" s="120" t="str">
        <f>IFERROR(VLOOKUP(Table1[RespondentID],'All Data'!$A$3:$CO$999,92,FALSE),"unknown")</f>
        <v>Hispanic or Latino</v>
      </c>
      <c r="AR210" s="120" t="str">
        <f>IFERROR(VLOOKUP(Table1[RespondentID],'All Data'!$A$3:$CO$999,93,FALSE),"unknown")</f>
        <v>English</v>
      </c>
      <c r="AS210" s="120" t="str">
        <f>IFERROR(VLOOKUP(Table1[RespondentID],'All Data'!$A$3:$CW$999,94,FALSE),"unknown")</f>
        <v>Over $125,000</v>
      </c>
      <c r="AT210" s="120" t="str">
        <f>IFERROR(VLOOKUP(Table1[RespondentID],'All Data'!$A$3:$CW$999,95,FALSE),"unknown")</f>
        <v>College graduate</v>
      </c>
      <c r="AU210" s="120" t="str">
        <f>IFERROR(VLOOKUP(Table1[RespondentID],'All Data'!$A$3:$CW$999,96,FALSE),"unknown")</f>
        <v>Employed for wages</v>
      </c>
      <c r="AV210" s="120" t="str">
        <f>IFERROR(VLOOKUP(Table1[RespondentID],'All Data'!$A$3:$CW$999,97,FALSE),"unknown")</f>
        <v>Yes</v>
      </c>
      <c r="AW210" s="120">
        <f>IFERROR(VLOOKUP(Table1[RespondentID],'All Data'!$A$3:$CW$999,98,FALSE),"unknown")</f>
        <v>0</v>
      </c>
      <c r="AX210" s="120">
        <f>IFERROR(VLOOKUP(Table1[RespondentID],'All Data'!$A$3:$CW$999,99,FALSE),"unknown")</f>
        <v>0</v>
      </c>
    </row>
    <row r="211" spans="1:50">
      <c r="A211" s="5">
        <v>18019479757</v>
      </c>
      <c r="B211" s="5" t="s">
        <v>16</v>
      </c>
      <c r="C211" s="5" t="s">
        <v>17</v>
      </c>
      <c r="D211" s="5"/>
      <c r="E211" s="5" t="s">
        <v>19</v>
      </c>
      <c r="F211" s="5"/>
      <c r="G211" s="5"/>
      <c r="H211" s="5"/>
      <c r="I211" s="5"/>
      <c r="J211" s="5"/>
      <c r="K211" s="5"/>
      <c r="L211" s="5"/>
      <c r="M211" s="5"/>
      <c r="N211" s="5"/>
      <c r="O211" s="7"/>
      <c r="P211" s="7">
        <f t="shared" si="54"/>
        <v>3</v>
      </c>
      <c r="Q211" s="7">
        <f t="shared" si="55"/>
        <v>1</v>
      </c>
      <c r="R211" s="7"/>
      <c r="S211" s="7">
        <f t="shared" si="71"/>
        <v>1</v>
      </c>
      <c r="T211" s="7">
        <f t="shared" si="56"/>
        <v>1</v>
      </c>
      <c r="U211" s="7">
        <f t="shared" si="57"/>
        <v>0</v>
      </c>
      <c r="V211" s="119">
        <f t="shared" si="58"/>
        <v>1</v>
      </c>
      <c r="W211" s="119">
        <f t="shared" si="59"/>
        <v>0</v>
      </c>
      <c r="X211" s="119">
        <f t="shared" si="60"/>
        <v>0</v>
      </c>
      <c r="Y211" s="119">
        <f t="shared" si="61"/>
        <v>0</v>
      </c>
      <c r="Z211" s="119">
        <f t="shared" si="62"/>
        <v>0</v>
      </c>
      <c r="AA211" s="119">
        <f t="shared" si="63"/>
        <v>0</v>
      </c>
      <c r="AB211" s="119">
        <f t="shared" si="64"/>
        <v>0</v>
      </c>
      <c r="AC211" s="119">
        <f t="shared" si="65"/>
        <v>0</v>
      </c>
      <c r="AD211" s="119">
        <f t="shared" si="66"/>
        <v>0</v>
      </c>
      <c r="AE211" s="119">
        <f t="shared" si="67"/>
        <v>0</v>
      </c>
      <c r="AF211" s="7"/>
      <c r="AG211" s="7"/>
      <c r="AH211" s="7">
        <f t="shared" si="68"/>
        <v>3</v>
      </c>
      <c r="AI211" s="7">
        <f t="shared" si="69"/>
        <v>3</v>
      </c>
      <c r="AJ211" s="7" t="str">
        <f t="shared" si="70"/>
        <v>Correct</v>
      </c>
      <c r="AL211" s="120" t="str">
        <f>IFERROR(VLOOKUP(Table1[RespondentID],'All Data'!$A$3:$CO$999,87,FALSE),"unknown")</f>
        <v>Woman</v>
      </c>
      <c r="AM211" s="120">
        <f>IFERROR(VLOOKUP(Table1[RespondentID],'All Data'!$A$3:$CO$999,88,FALSE),"unknown")</f>
        <v>22</v>
      </c>
      <c r="AN211" s="120" t="str">
        <f>IFERROR(VLOOKUP(Table1[RespondentID],'All Data'!$A$3:$CO$999,89,FALSE),"unknown")</f>
        <v>Nassau</v>
      </c>
      <c r="AO211" s="120" t="str">
        <f>IFERROR(VLOOKUP(Table1[RespondentID],'All Data'!$A$3:$CO$999,90,FALSE),"unknown")</f>
        <v>Garden City, 11531</v>
      </c>
      <c r="AP211" s="120">
        <f>IFERROR(VLOOKUP(Table1[RespondentID],'All Data'!$A$3:$CO$999,91,FALSE),"unknown")</f>
        <v>0</v>
      </c>
      <c r="AQ211" s="120">
        <f>IFERROR(VLOOKUP(Table1[RespondentID],'All Data'!$A$3:$CO$999,92,FALSE),"unknown")</f>
        <v>0</v>
      </c>
      <c r="AR211" s="120">
        <f>IFERROR(VLOOKUP(Table1[RespondentID],'All Data'!$A$3:$CO$999,93,FALSE),"unknown")</f>
        <v>0</v>
      </c>
      <c r="AS211" s="120">
        <f>IFERROR(VLOOKUP(Table1[RespondentID],'All Data'!$A$3:$CW$999,94,FALSE),"unknown")</f>
        <v>0</v>
      </c>
      <c r="AT211" s="120">
        <f>IFERROR(VLOOKUP(Table1[RespondentID],'All Data'!$A$3:$CW$999,95,FALSE),"unknown")</f>
        <v>0</v>
      </c>
      <c r="AU211" s="120">
        <f>IFERROR(VLOOKUP(Table1[RespondentID],'All Data'!$A$3:$CW$999,96,FALSE),"unknown")</f>
        <v>0</v>
      </c>
      <c r="AV211" s="120">
        <f>IFERROR(VLOOKUP(Table1[RespondentID],'All Data'!$A$3:$CW$999,97,FALSE),"unknown")</f>
        <v>0</v>
      </c>
      <c r="AW211" s="120">
        <f>IFERROR(VLOOKUP(Table1[RespondentID],'All Data'!$A$3:$CW$999,98,FALSE),"unknown")</f>
        <v>0</v>
      </c>
      <c r="AX211" s="120">
        <f>IFERROR(VLOOKUP(Table1[RespondentID],'All Data'!$A$3:$CW$999,99,FALSE),"unknown")</f>
        <v>0</v>
      </c>
    </row>
    <row r="212" spans="1:50">
      <c r="A212" s="5">
        <v>18019479597</v>
      </c>
      <c r="B212" s="5"/>
      <c r="C212" s="5" t="s">
        <v>17</v>
      </c>
      <c r="D212" s="5"/>
      <c r="E212" s="5"/>
      <c r="F212" s="5"/>
      <c r="G212" s="5"/>
      <c r="H212" s="5"/>
      <c r="I212" s="5"/>
      <c r="J212" s="5"/>
      <c r="K212" s="5" t="s">
        <v>25</v>
      </c>
      <c r="L212" s="5" t="s">
        <v>26</v>
      </c>
      <c r="M212" s="5"/>
      <c r="N212" s="5" t="s">
        <v>28</v>
      </c>
      <c r="O212" s="7"/>
      <c r="P212" s="7">
        <f t="shared" si="54"/>
        <v>4</v>
      </c>
      <c r="Q212" s="7">
        <f t="shared" si="55"/>
        <v>0.75</v>
      </c>
      <c r="R212" s="7"/>
      <c r="S212" s="7">
        <f t="shared" si="71"/>
        <v>0</v>
      </c>
      <c r="T212" s="7">
        <f t="shared" si="56"/>
        <v>0.75</v>
      </c>
      <c r="U212" s="7">
        <f t="shared" si="57"/>
        <v>0</v>
      </c>
      <c r="V212" s="119">
        <f t="shared" si="58"/>
        <v>0</v>
      </c>
      <c r="W212" s="119">
        <f t="shared" si="59"/>
        <v>0</v>
      </c>
      <c r="X212" s="119">
        <f t="shared" si="60"/>
        <v>0</v>
      </c>
      <c r="Y212" s="119">
        <f t="shared" si="61"/>
        <v>0</v>
      </c>
      <c r="Z212" s="119">
        <f t="shared" si="62"/>
        <v>0</v>
      </c>
      <c r="AA212" s="119">
        <f t="shared" si="63"/>
        <v>0</v>
      </c>
      <c r="AB212" s="119">
        <f t="shared" si="64"/>
        <v>0.75</v>
      </c>
      <c r="AC212" s="119">
        <f t="shared" si="65"/>
        <v>0.75</v>
      </c>
      <c r="AD212" s="119">
        <f t="shared" si="66"/>
        <v>0</v>
      </c>
      <c r="AE212" s="119">
        <f t="shared" si="67"/>
        <v>0.75</v>
      </c>
      <c r="AF212" s="7"/>
      <c r="AG212" s="7"/>
      <c r="AH212" s="7">
        <f t="shared" si="68"/>
        <v>3</v>
      </c>
      <c r="AI212" s="7">
        <f t="shared" si="69"/>
        <v>4</v>
      </c>
      <c r="AJ212" s="7" t="str">
        <f t="shared" si="70"/>
        <v>Correct</v>
      </c>
      <c r="AL212" s="120" t="str">
        <f>IFERROR(VLOOKUP(Table1[RespondentID],'All Data'!$A$3:$CO$999,87,FALSE),"unknown")</f>
        <v>Man</v>
      </c>
      <c r="AM212" s="120">
        <f>IFERROR(VLOOKUP(Table1[RespondentID],'All Data'!$A$3:$CO$999,88,FALSE),"unknown")</f>
        <v>19</v>
      </c>
      <c r="AN212" s="120" t="str">
        <f>IFERROR(VLOOKUP(Table1[RespondentID],'All Data'!$A$3:$CO$999,89,FALSE),"unknown")</f>
        <v>Suffolk</v>
      </c>
      <c r="AO212" s="120" t="str">
        <f>IFERROR(VLOOKUP(Table1[RespondentID],'All Data'!$A$3:$CO$999,90,FALSE),"unknown")</f>
        <v>Commack, 11725</v>
      </c>
      <c r="AP212" s="120" t="str">
        <f>IFERROR(VLOOKUP(Table1[RespondentID],'All Data'!$A$3:$CO$999,91,FALSE),"unknown")</f>
        <v>White</v>
      </c>
      <c r="AQ212" s="120" t="str">
        <f>IFERROR(VLOOKUP(Table1[RespondentID],'All Data'!$A$3:$CO$999,92,FALSE),"unknown")</f>
        <v>Hispanic or Latino</v>
      </c>
      <c r="AR212" s="120" t="str">
        <f>IFERROR(VLOOKUP(Table1[RespondentID],'All Data'!$A$3:$CO$999,93,FALSE),"unknown")</f>
        <v>English</v>
      </c>
      <c r="AS212" s="120" t="str">
        <f>IFERROR(VLOOKUP(Table1[RespondentID],'All Data'!$A$3:$CW$999,94,FALSE),"unknown")</f>
        <v>Over $125,000</v>
      </c>
      <c r="AT212" s="120" t="str">
        <f>IFERROR(VLOOKUP(Table1[RespondentID],'All Data'!$A$3:$CW$999,95,FALSE),"unknown")</f>
        <v>Some college</v>
      </c>
      <c r="AU212" s="120" t="str">
        <f>IFERROR(VLOOKUP(Table1[RespondentID],'All Data'!$A$3:$CW$999,96,FALSE),"unknown")</f>
        <v>Out of work and looking for work</v>
      </c>
      <c r="AV212" s="120" t="str">
        <f>IFERROR(VLOOKUP(Table1[RespondentID],'All Data'!$A$3:$CW$999,97,FALSE),"unknown")</f>
        <v>No</v>
      </c>
      <c r="AW212" s="120" t="str">
        <f>IFERROR(VLOOKUP(Table1[RespondentID],'All Data'!$A$3:$CW$999,98,FALSE),"unknown")</f>
        <v>No Insurance</v>
      </c>
      <c r="AX212" s="120" t="str">
        <f>IFERROR(VLOOKUP(Table1[RespondentID],'All Data'!$A$3:$CW$999,99,FALSE),"unknown")</f>
        <v>Yes</v>
      </c>
    </row>
    <row r="213" spans="1:50">
      <c r="A213" s="5">
        <v>18019479451</v>
      </c>
      <c r="B213" s="5"/>
      <c r="C213" s="5"/>
      <c r="D213" s="5"/>
      <c r="E213" s="5"/>
      <c r="F213" s="5"/>
      <c r="G213" s="5" t="s">
        <v>21</v>
      </c>
      <c r="H213" s="5" t="s">
        <v>22</v>
      </c>
      <c r="I213" s="5"/>
      <c r="J213" s="5" t="s">
        <v>24</v>
      </c>
      <c r="K213" s="5"/>
      <c r="L213" s="5"/>
      <c r="M213" s="5"/>
      <c r="N213" s="5" t="s">
        <v>28</v>
      </c>
      <c r="O213" s="7"/>
      <c r="P213" s="7">
        <f t="shared" si="54"/>
        <v>4</v>
      </c>
      <c r="Q213" s="7">
        <f t="shared" si="55"/>
        <v>0.75</v>
      </c>
      <c r="R213" s="7"/>
      <c r="S213" s="7">
        <f t="shared" si="71"/>
        <v>0</v>
      </c>
      <c r="T213" s="7">
        <f t="shared" si="56"/>
        <v>0</v>
      </c>
      <c r="U213" s="7">
        <f t="shared" si="57"/>
        <v>0</v>
      </c>
      <c r="V213" s="119">
        <f t="shared" si="58"/>
        <v>0</v>
      </c>
      <c r="W213" s="119">
        <f t="shared" si="59"/>
        <v>0</v>
      </c>
      <c r="X213" s="119">
        <f t="shared" si="60"/>
        <v>0.75</v>
      </c>
      <c r="Y213" s="119">
        <f t="shared" si="61"/>
        <v>0.75</v>
      </c>
      <c r="Z213" s="119">
        <f t="shared" si="62"/>
        <v>0</v>
      </c>
      <c r="AA213" s="119">
        <f t="shared" si="63"/>
        <v>0.75</v>
      </c>
      <c r="AB213" s="119">
        <f t="shared" si="64"/>
        <v>0</v>
      </c>
      <c r="AC213" s="119">
        <f t="shared" si="65"/>
        <v>0</v>
      </c>
      <c r="AD213" s="119">
        <f t="shared" si="66"/>
        <v>0</v>
      </c>
      <c r="AE213" s="119">
        <f t="shared" si="67"/>
        <v>0.75</v>
      </c>
      <c r="AF213" s="7"/>
      <c r="AG213" s="7"/>
      <c r="AH213" s="7">
        <f t="shared" si="68"/>
        <v>3</v>
      </c>
      <c r="AI213" s="7">
        <f t="shared" si="69"/>
        <v>4</v>
      </c>
      <c r="AJ213" s="7" t="str">
        <f t="shared" si="70"/>
        <v>Correct</v>
      </c>
      <c r="AL213" s="120" t="str">
        <f>IFERROR(VLOOKUP(Table1[RespondentID],'All Data'!$A$3:$CO$999,87,FALSE),"unknown")</f>
        <v>Man</v>
      </c>
      <c r="AM213" s="120">
        <f>IFERROR(VLOOKUP(Table1[RespondentID],'All Data'!$A$3:$CO$999,88,FALSE),"unknown")</f>
        <v>54</v>
      </c>
      <c r="AN213" s="120" t="str">
        <f>IFERROR(VLOOKUP(Table1[RespondentID],'All Data'!$A$3:$CO$999,89,FALSE),"unknown")</f>
        <v>Suffolk</v>
      </c>
      <c r="AO213" s="120" t="str">
        <f>IFERROR(VLOOKUP(Table1[RespondentID],'All Data'!$A$3:$CO$999,90,FALSE),"unknown")</f>
        <v>Commack, 11725</v>
      </c>
      <c r="AP213" s="120" t="str">
        <f>IFERROR(VLOOKUP(Table1[RespondentID],'All Data'!$A$3:$CO$999,91,FALSE),"unknown")</f>
        <v>White</v>
      </c>
      <c r="AQ213" s="120" t="str">
        <f>IFERROR(VLOOKUP(Table1[RespondentID],'All Data'!$A$3:$CO$999,92,FALSE),"unknown")</f>
        <v>Hispanic or Latino</v>
      </c>
      <c r="AR213" s="120" t="str">
        <f>IFERROR(VLOOKUP(Table1[RespondentID],'All Data'!$A$3:$CO$999,93,FALSE),"unknown")</f>
        <v>English</v>
      </c>
      <c r="AS213" s="120" t="str">
        <f>IFERROR(VLOOKUP(Table1[RespondentID],'All Data'!$A$3:$CW$999,94,FALSE),"unknown")</f>
        <v>Over $125,000</v>
      </c>
      <c r="AT213" s="120" t="str">
        <f>IFERROR(VLOOKUP(Table1[RespondentID],'All Data'!$A$3:$CW$999,95,FALSE),"unknown")</f>
        <v>Graduate school</v>
      </c>
      <c r="AU213" s="120" t="str">
        <f>IFERROR(VLOOKUP(Table1[RespondentID],'All Data'!$A$3:$CW$999,96,FALSE),"unknown")</f>
        <v>Retired</v>
      </c>
      <c r="AV213" s="120" t="str">
        <f>IFERROR(VLOOKUP(Table1[RespondentID],'All Data'!$A$3:$CW$999,97,FALSE),"unknown")</f>
        <v>Yes</v>
      </c>
      <c r="AW213" s="120" t="str">
        <f>IFERROR(VLOOKUP(Table1[RespondentID],'All Data'!$A$3:$CW$999,98,FALSE),"unknown")</f>
        <v>Medicare</v>
      </c>
      <c r="AX213" s="120" t="str">
        <f>IFERROR(VLOOKUP(Table1[RespondentID],'All Data'!$A$3:$CW$999,99,FALSE),"unknown")</f>
        <v>Yes</v>
      </c>
    </row>
    <row r="214" spans="1:50">
      <c r="A214" s="5">
        <v>18019479157</v>
      </c>
      <c r="B214" s="5" t="s">
        <v>16</v>
      </c>
      <c r="C214" s="5" t="s">
        <v>17</v>
      </c>
      <c r="D214" s="5"/>
      <c r="E214" s="5"/>
      <c r="F214" s="5"/>
      <c r="G214" s="5"/>
      <c r="H214" s="5"/>
      <c r="I214" s="5" t="s">
        <v>23</v>
      </c>
      <c r="J214" s="5"/>
      <c r="K214" s="5"/>
      <c r="L214" s="5"/>
      <c r="M214" s="5"/>
      <c r="N214" s="5"/>
      <c r="O214" s="7"/>
      <c r="P214" s="7">
        <f t="shared" si="54"/>
        <v>3</v>
      </c>
      <c r="Q214" s="7">
        <f t="shared" si="55"/>
        <v>1</v>
      </c>
      <c r="R214" s="7"/>
      <c r="S214" s="7">
        <f t="shared" si="71"/>
        <v>1</v>
      </c>
      <c r="T214" s="7">
        <f t="shared" si="56"/>
        <v>1</v>
      </c>
      <c r="U214" s="7">
        <f t="shared" si="57"/>
        <v>0</v>
      </c>
      <c r="V214" s="119">
        <f t="shared" si="58"/>
        <v>0</v>
      </c>
      <c r="W214" s="119">
        <f t="shared" si="59"/>
        <v>0</v>
      </c>
      <c r="X214" s="119">
        <f t="shared" si="60"/>
        <v>0</v>
      </c>
      <c r="Y214" s="119">
        <f t="shared" si="61"/>
        <v>0</v>
      </c>
      <c r="Z214" s="119">
        <f t="shared" si="62"/>
        <v>1</v>
      </c>
      <c r="AA214" s="119">
        <f t="shared" si="63"/>
        <v>0</v>
      </c>
      <c r="AB214" s="119">
        <f t="shared" si="64"/>
        <v>0</v>
      </c>
      <c r="AC214" s="119">
        <f t="shared" si="65"/>
        <v>0</v>
      </c>
      <c r="AD214" s="119">
        <f t="shared" si="66"/>
        <v>0</v>
      </c>
      <c r="AE214" s="119">
        <f t="shared" si="67"/>
        <v>0</v>
      </c>
      <c r="AF214" s="7"/>
      <c r="AG214" s="7"/>
      <c r="AH214" s="7">
        <f t="shared" si="68"/>
        <v>3</v>
      </c>
      <c r="AI214" s="7">
        <f t="shared" si="69"/>
        <v>3</v>
      </c>
      <c r="AJ214" s="7" t="str">
        <f t="shared" si="70"/>
        <v>Correct</v>
      </c>
      <c r="AL214" s="120" t="str">
        <f>IFERROR(VLOOKUP(Table1[RespondentID],'All Data'!$A$3:$CO$999,87,FALSE),"unknown")</f>
        <v>Woman</v>
      </c>
      <c r="AM214" s="120">
        <f>IFERROR(VLOOKUP(Table1[RespondentID],'All Data'!$A$3:$CO$999,88,FALSE),"unknown")</f>
        <v>50</v>
      </c>
      <c r="AN214" s="120" t="str">
        <f>IFERROR(VLOOKUP(Table1[RespondentID],'All Data'!$A$3:$CO$999,89,FALSE),"unknown")</f>
        <v>Suffolk</v>
      </c>
      <c r="AO214" s="120" t="str">
        <f>IFERROR(VLOOKUP(Table1[RespondentID],'All Data'!$A$3:$CO$999,90,FALSE),"unknown")</f>
        <v>Commack, 11725</v>
      </c>
      <c r="AP214" s="120" t="str">
        <f>IFERROR(VLOOKUP(Table1[RespondentID],'All Data'!$A$3:$CO$999,91,FALSE),"unknown")</f>
        <v>White</v>
      </c>
      <c r="AQ214" s="120" t="str">
        <f>IFERROR(VLOOKUP(Table1[RespondentID],'All Data'!$A$3:$CO$999,92,FALSE),"unknown")</f>
        <v>Hispanic or Latino</v>
      </c>
      <c r="AR214" s="120" t="str">
        <f>IFERROR(VLOOKUP(Table1[RespondentID],'All Data'!$A$3:$CO$999,93,FALSE),"unknown")</f>
        <v>English</v>
      </c>
      <c r="AS214" s="120" t="str">
        <f>IFERROR(VLOOKUP(Table1[RespondentID],'All Data'!$A$3:$CW$999,94,FALSE),"unknown")</f>
        <v>Over $125,000</v>
      </c>
      <c r="AT214" s="120" t="str">
        <f>IFERROR(VLOOKUP(Table1[RespondentID],'All Data'!$A$3:$CW$999,95,FALSE),"unknown")</f>
        <v>College graduate</v>
      </c>
      <c r="AU214" s="120" t="str">
        <f>IFERROR(VLOOKUP(Table1[RespondentID],'All Data'!$A$3:$CW$999,96,FALSE),"unknown")</f>
        <v>Employed for wages</v>
      </c>
      <c r="AV214" s="120" t="str">
        <f>IFERROR(VLOOKUP(Table1[RespondentID],'All Data'!$A$3:$CW$999,97,FALSE),"unknown")</f>
        <v>Yes</v>
      </c>
      <c r="AW214" s="120" t="str">
        <f>IFERROR(VLOOKUP(Table1[RespondentID],'All Data'!$A$3:$CW$999,98,FALSE),"unknown")</f>
        <v>Medicaid</v>
      </c>
      <c r="AX214" s="120" t="str">
        <f>IFERROR(VLOOKUP(Table1[RespondentID],'All Data'!$A$3:$CW$999,99,FALSE),"unknown")</f>
        <v>Yes</v>
      </c>
    </row>
    <row r="215" spans="1:50">
      <c r="A215" s="5">
        <v>18019478995</v>
      </c>
      <c r="B215" s="5" t="s">
        <v>16</v>
      </c>
      <c r="C215" s="5"/>
      <c r="D215" s="5"/>
      <c r="E215" s="5"/>
      <c r="F215" s="5"/>
      <c r="G215" s="5"/>
      <c r="H215" s="5"/>
      <c r="I215" s="5"/>
      <c r="J215" s="5"/>
      <c r="K215" s="5" t="s">
        <v>25</v>
      </c>
      <c r="L215" s="5" t="s">
        <v>26</v>
      </c>
      <c r="M215" s="5"/>
      <c r="N215" s="5"/>
      <c r="O215" s="7"/>
      <c r="P215" s="7">
        <f t="shared" si="54"/>
        <v>3</v>
      </c>
      <c r="Q215" s="7">
        <f t="shared" si="55"/>
        <v>1</v>
      </c>
      <c r="R215" s="7"/>
      <c r="S215" s="7">
        <f t="shared" si="71"/>
        <v>1</v>
      </c>
      <c r="T215" s="7">
        <f t="shared" si="56"/>
        <v>0</v>
      </c>
      <c r="U215" s="7">
        <f t="shared" si="57"/>
        <v>0</v>
      </c>
      <c r="V215" s="119">
        <f t="shared" si="58"/>
        <v>0</v>
      </c>
      <c r="W215" s="119">
        <f t="shared" si="59"/>
        <v>0</v>
      </c>
      <c r="X215" s="119">
        <f t="shared" si="60"/>
        <v>0</v>
      </c>
      <c r="Y215" s="119">
        <f t="shared" si="61"/>
        <v>0</v>
      </c>
      <c r="Z215" s="119">
        <f t="shared" si="62"/>
        <v>0</v>
      </c>
      <c r="AA215" s="119">
        <f t="shared" si="63"/>
        <v>0</v>
      </c>
      <c r="AB215" s="119">
        <f t="shared" si="64"/>
        <v>1</v>
      </c>
      <c r="AC215" s="119">
        <f t="shared" si="65"/>
        <v>1</v>
      </c>
      <c r="AD215" s="119">
        <f t="shared" si="66"/>
        <v>0</v>
      </c>
      <c r="AE215" s="119">
        <f t="shared" si="67"/>
        <v>0</v>
      </c>
      <c r="AF215" s="7"/>
      <c r="AG215" s="7"/>
      <c r="AH215" s="7">
        <f t="shared" si="68"/>
        <v>3</v>
      </c>
      <c r="AI215" s="7">
        <f t="shared" si="69"/>
        <v>3</v>
      </c>
      <c r="AJ215" s="7" t="str">
        <f t="shared" si="70"/>
        <v>Correct</v>
      </c>
      <c r="AL215" s="120" t="str">
        <f>IFERROR(VLOOKUP(Table1[RespondentID],'All Data'!$A$3:$CO$999,87,FALSE),"unknown")</f>
        <v>Man</v>
      </c>
      <c r="AM215" s="120">
        <f>IFERROR(VLOOKUP(Table1[RespondentID],'All Data'!$A$3:$CO$999,88,FALSE),"unknown")</f>
        <v>0</v>
      </c>
      <c r="AN215" s="120" t="str">
        <f>IFERROR(VLOOKUP(Table1[RespondentID],'All Data'!$A$3:$CO$999,89,FALSE),"unknown")</f>
        <v>Suffolk</v>
      </c>
      <c r="AO215" s="120" t="str">
        <f>IFERROR(VLOOKUP(Table1[RespondentID],'All Data'!$A$3:$CO$999,90,FALSE),"unknown")</f>
        <v>East Northport, 11731</v>
      </c>
      <c r="AP215" s="120" t="str">
        <f>IFERROR(VLOOKUP(Table1[RespondentID],'All Data'!$A$3:$CO$999,91,FALSE),"unknown")</f>
        <v>Asian</v>
      </c>
      <c r="AQ215" s="120" t="str">
        <f>IFERROR(VLOOKUP(Table1[RespondentID],'All Data'!$A$3:$CO$999,92,FALSE),"unknown")</f>
        <v>Not Hispanic or Latino</v>
      </c>
      <c r="AR215" s="120" t="str">
        <f>IFERROR(VLOOKUP(Table1[RespondentID],'All Data'!$A$3:$CO$999,93,FALSE),"unknown")</f>
        <v>English</v>
      </c>
      <c r="AS215" s="120" t="str">
        <f>IFERROR(VLOOKUP(Table1[RespondentID],'All Data'!$A$3:$CW$999,94,FALSE),"unknown")</f>
        <v>$50,000 to $74,999</v>
      </c>
      <c r="AT215" s="120" t="str">
        <f>IFERROR(VLOOKUP(Table1[RespondentID],'All Data'!$A$3:$CW$999,95,FALSE),"unknown")</f>
        <v>Some college</v>
      </c>
      <c r="AU215" s="120" t="str">
        <f>IFERROR(VLOOKUP(Table1[RespondentID],'All Data'!$A$3:$CW$999,96,FALSE),"unknown")</f>
        <v>Employed for wages</v>
      </c>
      <c r="AV215" s="120" t="str">
        <f>IFERROR(VLOOKUP(Table1[RespondentID],'All Data'!$A$3:$CW$999,97,FALSE),"unknown")</f>
        <v>No</v>
      </c>
      <c r="AW215" s="120" t="str">
        <f>IFERROR(VLOOKUP(Table1[RespondentID],'All Data'!$A$3:$CW$999,98,FALSE),"unknown")</f>
        <v>No Insurance</v>
      </c>
      <c r="AX215" s="120" t="str">
        <f>IFERROR(VLOOKUP(Table1[RespondentID],'All Data'!$A$3:$CW$999,99,FALSE),"unknown")</f>
        <v>Yes</v>
      </c>
    </row>
    <row r="216" spans="1:50">
      <c r="A216" s="5">
        <v>18019349230</v>
      </c>
      <c r="B216" s="5" t="s">
        <v>16</v>
      </c>
      <c r="C216" s="5"/>
      <c r="D216" s="5"/>
      <c r="E216" s="5"/>
      <c r="F216" s="5"/>
      <c r="G216" s="5"/>
      <c r="H216" s="5"/>
      <c r="I216" s="5" t="s">
        <v>23</v>
      </c>
      <c r="J216" s="5"/>
      <c r="K216" s="5" t="s">
        <v>25</v>
      </c>
      <c r="L216" s="5"/>
      <c r="M216" s="5"/>
      <c r="N216" s="5"/>
      <c r="O216" s="7"/>
      <c r="P216" s="7">
        <f t="shared" si="54"/>
        <v>3</v>
      </c>
      <c r="Q216" s="7">
        <f t="shared" si="55"/>
        <v>1</v>
      </c>
      <c r="R216" s="7"/>
      <c r="S216" s="7">
        <f t="shared" si="71"/>
        <v>1</v>
      </c>
      <c r="T216" s="7">
        <f t="shared" si="56"/>
        <v>0</v>
      </c>
      <c r="U216" s="7">
        <f t="shared" si="57"/>
        <v>0</v>
      </c>
      <c r="V216" s="119">
        <f t="shared" si="58"/>
        <v>0</v>
      </c>
      <c r="W216" s="119">
        <f t="shared" si="59"/>
        <v>0</v>
      </c>
      <c r="X216" s="119">
        <f t="shared" si="60"/>
        <v>0</v>
      </c>
      <c r="Y216" s="119">
        <f t="shared" si="61"/>
        <v>0</v>
      </c>
      <c r="Z216" s="119">
        <f t="shared" si="62"/>
        <v>1</v>
      </c>
      <c r="AA216" s="119">
        <f t="shared" si="63"/>
        <v>0</v>
      </c>
      <c r="AB216" s="119">
        <f t="shared" si="64"/>
        <v>1</v>
      </c>
      <c r="AC216" s="119">
        <f t="shared" si="65"/>
        <v>0</v>
      </c>
      <c r="AD216" s="119">
        <f t="shared" si="66"/>
        <v>0</v>
      </c>
      <c r="AE216" s="119">
        <f t="shared" si="67"/>
        <v>0</v>
      </c>
      <c r="AF216" s="7"/>
      <c r="AG216" s="7"/>
      <c r="AH216" s="7">
        <f t="shared" si="68"/>
        <v>3</v>
      </c>
      <c r="AI216" s="7">
        <f t="shared" si="69"/>
        <v>3</v>
      </c>
      <c r="AJ216" s="7" t="str">
        <f t="shared" si="70"/>
        <v>Correct</v>
      </c>
      <c r="AL216" s="120" t="str">
        <f>IFERROR(VLOOKUP(Table1[RespondentID],'All Data'!$A$3:$CO$999,87,FALSE),"unknown")</f>
        <v>Man</v>
      </c>
      <c r="AM216" s="120">
        <f>IFERROR(VLOOKUP(Table1[RespondentID],'All Data'!$A$3:$CO$999,88,FALSE),"unknown")</f>
        <v>16</v>
      </c>
      <c r="AN216" s="120" t="str">
        <f>IFERROR(VLOOKUP(Table1[RespondentID],'All Data'!$A$3:$CO$999,89,FALSE),"unknown")</f>
        <v>Suffolk</v>
      </c>
      <c r="AO216" s="120" t="str">
        <f>IFERROR(VLOOKUP(Table1[RespondentID],'All Data'!$A$3:$CO$999,90,FALSE),"unknown")</f>
        <v>Centerport, 11721</v>
      </c>
      <c r="AP216" s="120" t="str">
        <f>IFERROR(VLOOKUP(Table1[RespondentID],'All Data'!$A$3:$CO$999,91,FALSE),"unknown")</f>
        <v>Native Hawaiian and Other Pacific Islander</v>
      </c>
      <c r="AQ216" s="120" t="str">
        <f>IFERROR(VLOOKUP(Table1[RespondentID],'All Data'!$A$3:$CO$999,92,FALSE),"unknown")</f>
        <v>Hispanic or Latino</v>
      </c>
      <c r="AR216" s="120" t="str">
        <f>IFERROR(VLOOKUP(Table1[RespondentID],'All Data'!$A$3:$CO$999,93,FALSE),"unknown")</f>
        <v>Haitian Creole</v>
      </c>
      <c r="AS216" s="120" t="str">
        <f>IFERROR(VLOOKUP(Table1[RespondentID],'All Data'!$A$3:$CW$999,94,FALSE),"unknown")</f>
        <v>$35,000 to $49,999</v>
      </c>
      <c r="AT216" s="120" t="str">
        <f>IFERROR(VLOOKUP(Table1[RespondentID],'All Data'!$A$3:$CW$999,95,FALSE),"unknown")</f>
        <v>Some high school</v>
      </c>
      <c r="AU216" s="120" t="str">
        <f>IFERROR(VLOOKUP(Table1[RespondentID],'All Data'!$A$3:$CW$999,96,FALSE),"unknown")</f>
        <v>Student</v>
      </c>
      <c r="AV216" s="120">
        <f>IFERROR(VLOOKUP(Table1[RespondentID],'All Data'!$A$3:$CW$999,97,FALSE),"unknown")</f>
        <v>0</v>
      </c>
      <c r="AW216" s="120" t="str">
        <f>IFERROR(VLOOKUP(Table1[RespondentID],'All Data'!$A$3:$CW$999,98,FALSE),"unknown")</f>
        <v>Private/Commercial</v>
      </c>
      <c r="AX216" s="120" t="str">
        <f>IFERROR(VLOOKUP(Table1[RespondentID],'All Data'!$A$3:$CW$999,99,FALSE),"unknown")</f>
        <v>Yes</v>
      </c>
    </row>
    <row r="217" spans="1:50">
      <c r="A217" s="5">
        <v>18019193765</v>
      </c>
      <c r="B217" s="5"/>
      <c r="C217" s="5"/>
      <c r="D217" s="5"/>
      <c r="E217" s="5"/>
      <c r="F217" s="5"/>
      <c r="G217" s="5"/>
      <c r="H217" s="5"/>
      <c r="I217" s="5"/>
      <c r="J217" s="5"/>
      <c r="K217" s="5"/>
      <c r="L217" s="5"/>
      <c r="M217" s="5"/>
      <c r="N217" s="5"/>
      <c r="O217" s="7"/>
      <c r="P217" s="7">
        <f t="shared" si="54"/>
        <v>0</v>
      </c>
      <c r="Q217" s="7" t="e">
        <f t="shared" si="55"/>
        <v>#DIV/0!</v>
      </c>
      <c r="R217" s="7"/>
      <c r="S217" s="7">
        <f t="shared" si="71"/>
        <v>0</v>
      </c>
      <c r="T217" s="7">
        <f t="shared" si="56"/>
        <v>0</v>
      </c>
      <c r="U217" s="7">
        <f t="shared" si="57"/>
        <v>0</v>
      </c>
      <c r="V217" s="119">
        <f t="shared" si="58"/>
        <v>0</v>
      </c>
      <c r="W217" s="119">
        <f t="shared" si="59"/>
        <v>0</v>
      </c>
      <c r="X217" s="119">
        <f t="shared" si="60"/>
        <v>0</v>
      </c>
      <c r="Y217" s="119">
        <f t="shared" si="61"/>
        <v>0</v>
      </c>
      <c r="Z217" s="119">
        <f t="shared" si="62"/>
        <v>0</v>
      </c>
      <c r="AA217" s="119">
        <f t="shared" si="63"/>
        <v>0</v>
      </c>
      <c r="AB217" s="119">
        <f t="shared" si="64"/>
        <v>0</v>
      </c>
      <c r="AC217" s="119">
        <f t="shared" si="65"/>
        <v>0</v>
      </c>
      <c r="AD217" s="119">
        <f t="shared" si="66"/>
        <v>0</v>
      </c>
      <c r="AE217" s="119">
        <f t="shared" si="67"/>
        <v>0</v>
      </c>
      <c r="AF217" s="7"/>
      <c r="AG217" s="7"/>
      <c r="AH217" s="7">
        <f t="shared" si="68"/>
        <v>0</v>
      </c>
      <c r="AI217" s="7">
        <f t="shared" si="69"/>
        <v>0</v>
      </c>
      <c r="AJ217" s="7" t="str">
        <f t="shared" si="70"/>
        <v>Correct</v>
      </c>
      <c r="AL217" s="120">
        <f>IFERROR(VLOOKUP(Table1[RespondentID],'All Data'!$A$3:$CO$999,87,FALSE),"unknown")</f>
        <v>0</v>
      </c>
      <c r="AM217" s="120">
        <f>IFERROR(VLOOKUP(Table1[RespondentID],'All Data'!$A$3:$CO$999,88,FALSE),"unknown")</f>
        <v>0</v>
      </c>
      <c r="AN217" s="120">
        <f>IFERROR(VLOOKUP(Table1[RespondentID],'All Data'!$A$3:$CO$999,89,FALSE),"unknown")</f>
        <v>0</v>
      </c>
      <c r="AO217" s="120" t="str">
        <f>IFERROR(VLOOKUP(Table1[RespondentID],'All Data'!$A$3:$CO$999,90,FALSE),"unknown")</f>
        <v>Brookville, 11545</v>
      </c>
      <c r="AP217" s="120">
        <f>IFERROR(VLOOKUP(Table1[RespondentID],'All Data'!$A$3:$CO$999,91,FALSE),"unknown")</f>
        <v>0</v>
      </c>
      <c r="AQ217" s="120">
        <f>IFERROR(VLOOKUP(Table1[RespondentID],'All Data'!$A$3:$CO$999,92,FALSE),"unknown")</f>
        <v>0</v>
      </c>
      <c r="AR217" s="120">
        <f>IFERROR(VLOOKUP(Table1[RespondentID],'All Data'!$A$3:$CO$999,93,FALSE),"unknown")</f>
        <v>0</v>
      </c>
      <c r="AS217" s="120">
        <f>IFERROR(VLOOKUP(Table1[RespondentID],'All Data'!$A$3:$CW$999,94,FALSE),"unknown")</f>
        <v>0</v>
      </c>
      <c r="AT217" s="120">
        <f>IFERROR(VLOOKUP(Table1[RespondentID],'All Data'!$A$3:$CW$999,95,FALSE),"unknown")</f>
        <v>0</v>
      </c>
      <c r="AU217" s="120">
        <f>IFERROR(VLOOKUP(Table1[RespondentID],'All Data'!$A$3:$CW$999,96,FALSE),"unknown")</f>
        <v>0</v>
      </c>
      <c r="AV217" s="120">
        <f>IFERROR(VLOOKUP(Table1[RespondentID],'All Data'!$A$3:$CW$999,97,FALSE),"unknown")</f>
        <v>0</v>
      </c>
      <c r="AW217" s="120">
        <f>IFERROR(VLOOKUP(Table1[RespondentID],'All Data'!$A$3:$CW$999,98,FALSE),"unknown")</f>
        <v>0</v>
      </c>
      <c r="AX217" s="120">
        <f>IFERROR(VLOOKUP(Table1[RespondentID],'All Data'!$A$3:$CW$999,99,FALSE),"unknown")</f>
        <v>0</v>
      </c>
    </row>
    <row r="218" spans="1:50">
      <c r="A218" s="5">
        <v>18019104432</v>
      </c>
      <c r="B218" s="5" t="s">
        <v>16</v>
      </c>
      <c r="C218" s="5"/>
      <c r="D218" s="5"/>
      <c r="E218" s="5"/>
      <c r="F218" s="5"/>
      <c r="G218" s="5"/>
      <c r="H218" s="5" t="s">
        <v>22</v>
      </c>
      <c r="I218" s="5"/>
      <c r="J218" s="5"/>
      <c r="K218" s="5"/>
      <c r="L218" s="5" t="s">
        <v>26</v>
      </c>
      <c r="M218" s="5"/>
      <c r="N218" s="5"/>
      <c r="O218" s="7"/>
      <c r="P218" s="7">
        <f t="shared" si="54"/>
        <v>3</v>
      </c>
      <c r="Q218" s="7">
        <f t="shared" si="55"/>
        <v>1</v>
      </c>
      <c r="R218" s="7"/>
      <c r="S218" s="7">
        <f t="shared" si="71"/>
        <v>1</v>
      </c>
      <c r="T218" s="7">
        <f t="shared" si="56"/>
        <v>0</v>
      </c>
      <c r="U218" s="7">
        <f t="shared" si="57"/>
        <v>0</v>
      </c>
      <c r="V218" s="119">
        <f t="shared" si="58"/>
        <v>0</v>
      </c>
      <c r="W218" s="119">
        <f t="shared" si="59"/>
        <v>0</v>
      </c>
      <c r="X218" s="119">
        <f t="shared" si="60"/>
        <v>0</v>
      </c>
      <c r="Y218" s="119">
        <f t="shared" si="61"/>
        <v>1</v>
      </c>
      <c r="Z218" s="119">
        <f t="shared" si="62"/>
        <v>0</v>
      </c>
      <c r="AA218" s="119">
        <f t="shared" si="63"/>
        <v>0</v>
      </c>
      <c r="AB218" s="119">
        <f t="shared" si="64"/>
        <v>0</v>
      </c>
      <c r="AC218" s="119">
        <f t="shared" si="65"/>
        <v>1</v>
      </c>
      <c r="AD218" s="119">
        <f t="shared" si="66"/>
        <v>0</v>
      </c>
      <c r="AE218" s="119">
        <f t="shared" si="67"/>
        <v>0</v>
      </c>
      <c r="AF218" s="7"/>
      <c r="AG218" s="7"/>
      <c r="AH218" s="7">
        <f t="shared" si="68"/>
        <v>3</v>
      </c>
      <c r="AI218" s="7">
        <f t="shared" si="69"/>
        <v>3</v>
      </c>
      <c r="AJ218" s="7" t="str">
        <f t="shared" si="70"/>
        <v>Correct</v>
      </c>
      <c r="AL218" s="120" t="str">
        <f>IFERROR(VLOOKUP(Table1[RespondentID],'All Data'!$A$3:$CO$999,87,FALSE),"unknown")</f>
        <v>Woman</v>
      </c>
      <c r="AM218" s="120">
        <f>IFERROR(VLOOKUP(Table1[RespondentID],'All Data'!$A$3:$CO$999,88,FALSE),"unknown")</f>
        <v>23</v>
      </c>
      <c r="AN218" s="120" t="str">
        <f>IFERROR(VLOOKUP(Table1[RespondentID],'All Data'!$A$3:$CO$999,89,FALSE),"unknown")</f>
        <v>Suffolk</v>
      </c>
      <c r="AO218" s="120" t="str">
        <f>IFERROR(VLOOKUP(Table1[RespondentID],'All Data'!$A$3:$CO$999,90,FALSE),"unknown")</f>
        <v>Commack, 11725</v>
      </c>
      <c r="AP218" s="120" t="str">
        <f>IFERROR(VLOOKUP(Table1[RespondentID],'All Data'!$A$3:$CO$999,91,FALSE),"unknown")</f>
        <v>Native Hawaiian and Other Pacific Islander</v>
      </c>
      <c r="AQ218" s="120" t="str">
        <f>IFERROR(VLOOKUP(Table1[RespondentID],'All Data'!$A$3:$CO$999,92,FALSE),"unknown")</f>
        <v>Hispanic or Latino</v>
      </c>
      <c r="AR218" s="120" t="str">
        <f>IFERROR(VLOOKUP(Table1[RespondentID],'All Data'!$A$3:$CO$999,93,FALSE),"unknown")</f>
        <v>English, Italian</v>
      </c>
      <c r="AS218" s="120" t="str">
        <f>IFERROR(VLOOKUP(Table1[RespondentID],'All Data'!$A$3:$CW$999,94,FALSE),"unknown")</f>
        <v>$35,000 to $49,999</v>
      </c>
      <c r="AT218" s="120" t="str">
        <f>IFERROR(VLOOKUP(Table1[RespondentID],'All Data'!$A$3:$CW$999,95,FALSE),"unknown")</f>
        <v>High school graduate</v>
      </c>
      <c r="AU218" s="120" t="str">
        <f>IFERROR(VLOOKUP(Table1[RespondentID],'All Data'!$A$3:$CW$999,96,FALSE),"unknown")</f>
        <v>Employed for wages</v>
      </c>
      <c r="AV218" s="120" t="str">
        <f>IFERROR(VLOOKUP(Table1[RespondentID],'All Data'!$A$3:$CW$999,97,FALSE),"unknown")</f>
        <v>Yes</v>
      </c>
      <c r="AW218" s="120">
        <f>IFERROR(VLOOKUP(Table1[RespondentID],'All Data'!$A$3:$CW$999,98,FALSE),"unknown")</f>
        <v>0</v>
      </c>
      <c r="AX218" s="120">
        <f>IFERROR(VLOOKUP(Table1[RespondentID],'All Data'!$A$3:$CW$999,99,FALSE),"unknown")</f>
        <v>0</v>
      </c>
    </row>
    <row r="219" spans="1:50">
      <c r="A219" s="5">
        <v>18019104294</v>
      </c>
      <c r="B219" s="5"/>
      <c r="C219" s="5"/>
      <c r="D219" s="5"/>
      <c r="E219" s="5"/>
      <c r="F219" s="5" t="s">
        <v>20</v>
      </c>
      <c r="G219" s="5" t="s">
        <v>21</v>
      </c>
      <c r="H219" s="5"/>
      <c r="I219" s="5"/>
      <c r="J219" s="5"/>
      <c r="K219" s="5"/>
      <c r="L219" s="5"/>
      <c r="M219" s="5"/>
      <c r="N219" s="5" t="s">
        <v>28</v>
      </c>
      <c r="O219" s="7"/>
      <c r="P219" s="7">
        <f t="shared" si="54"/>
        <v>3</v>
      </c>
      <c r="Q219" s="7">
        <f t="shared" si="55"/>
        <v>1</v>
      </c>
      <c r="R219" s="7"/>
      <c r="S219" s="7">
        <f t="shared" si="71"/>
        <v>0</v>
      </c>
      <c r="T219" s="7">
        <f t="shared" si="56"/>
        <v>0</v>
      </c>
      <c r="U219" s="7">
        <f t="shared" si="57"/>
        <v>0</v>
      </c>
      <c r="V219" s="119">
        <f t="shared" si="58"/>
        <v>0</v>
      </c>
      <c r="W219" s="119">
        <f t="shared" si="59"/>
        <v>1</v>
      </c>
      <c r="X219" s="119">
        <f t="shared" si="60"/>
        <v>1</v>
      </c>
      <c r="Y219" s="119">
        <f t="shared" si="61"/>
        <v>0</v>
      </c>
      <c r="Z219" s="119">
        <f t="shared" si="62"/>
        <v>0</v>
      </c>
      <c r="AA219" s="119">
        <f t="shared" si="63"/>
        <v>0</v>
      </c>
      <c r="AB219" s="119">
        <f t="shared" si="64"/>
        <v>0</v>
      </c>
      <c r="AC219" s="119">
        <f t="shared" si="65"/>
        <v>0</v>
      </c>
      <c r="AD219" s="119">
        <f t="shared" si="66"/>
        <v>0</v>
      </c>
      <c r="AE219" s="119">
        <f t="shared" si="67"/>
        <v>1</v>
      </c>
      <c r="AF219" s="7"/>
      <c r="AG219" s="7"/>
      <c r="AH219" s="7">
        <f t="shared" si="68"/>
        <v>3</v>
      </c>
      <c r="AI219" s="7">
        <f t="shared" si="69"/>
        <v>3</v>
      </c>
      <c r="AJ219" s="7" t="str">
        <f t="shared" si="70"/>
        <v>Correct</v>
      </c>
      <c r="AL219" s="120" t="str">
        <f>IFERROR(VLOOKUP(Table1[RespondentID],'All Data'!$A$3:$CO$999,87,FALSE),"unknown")</f>
        <v>Woman</v>
      </c>
      <c r="AM219" s="120">
        <f>IFERROR(VLOOKUP(Table1[RespondentID],'All Data'!$A$3:$CO$999,88,FALSE),"unknown")</f>
        <v>15</v>
      </c>
      <c r="AN219" s="120" t="str">
        <f>IFERROR(VLOOKUP(Table1[RespondentID],'All Data'!$A$3:$CO$999,89,FALSE),"unknown")</f>
        <v>Suffolk</v>
      </c>
      <c r="AO219" s="120" t="str">
        <f>IFERROR(VLOOKUP(Table1[RespondentID],'All Data'!$A$3:$CO$999,90,FALSE),"unknown")</f>
        <v>Commack, 11725</v>
      </c>
      <c r="AP219" s="120" t="str">
        <f>IFERROR(VLOOKUP(Table1[RespondentID],'All Data'!$A$3:$CO$999,91,FALSE),"unknown")</f>
        <v>White</v>
      </c>
      <c r="AQ219" s="120" t="str">
        <f>IFERROR(VLOOKUP(Table1[RespondentID],'All Data'!$A$3:$CO$999,92,FALSE),"unknown")</f>
        <v>Hispanic or Latino</v>
      </c>
      <c r="AR219" s="120" t="str">
        <f>IFERROR(VLOOKUP(Table1[RespondentID],'All Data'!$A$3:$CO$999,93,FALSE),"unknown")</f>
        <v>English</v>
      </c>
      <c r="AS219" s="120" t="str">
        <f>IFERROR(VLOOKUP(Table1[RespondentID],'All Data'!$A$3:$CW$999,94,FALSE),"unknown")</f>
        <v>$20,000 to $34,999</v>
      </c>
      <c r="AT219" s="120" t="str">
        <f>IFERROR(VLOOKUP(Table1[RespondentID],'All Data'!$A$3:$CW$999,95,FALSE),"unknown")</f>
        <v>Some high school</v>
      </c>
      <c r="AU219" s="120" t="str">
        <f>IFERROR(VLOOKUP(Table1[RespondentID],'All Data'!$A$3:$CW$999,96,FALSE),"unknown")</f>
        <v>Student</v>
      </c>
      <c r="AV219" s="120" t="str">
        <f>IFERROR(VLOOKUP(Table1[RespondentID],'All Data'!$A$3:$CW$999,97,FALSE),"unknown")</f>
        <v>No</v>
      </c>
      <c r="AW219" s="120">
        <f>IFERROR(VLOOKUP(Table1[RespondentID],'All Data'!$A$3:$CW$999,98,FALSE),"unknown")</f>
        <v>0</v>
      </c>
      <c r="AX219" s="120">
        <f>IFERROR(VLOOKUP(Table1[RespondentID],'All Data'!$A$3:$CW$999,99,FALSE),"unknown")</f>
        <v>0</v>
      </c>
    </row>
    <row r="220" spans="1:50">
      <c r="A220" s="5">
        <v>18019104165</v>
      </c>
      <c r="B220" s="5"/>
      <c r="C220" s="5"/>
      <c r="D220" s="5"/>
      <c r="E220" s="5" t="s">
        <v>19</v>
      </c>
      <c r="F220" s="5"/>
      <c r="G220" s="5"/>
      <c r="H220" s="5"/>
      <c r="I220" s="5" t="s">
        <v>23</v>
      </c>
      <c r="J220" s="5"/>
      <c r="K220" s="5" t="s">
        <v>25</v>
      </c>
      <c r="L220" s="5"/>
      <c r="M220" s="5"/>
      <c r="N220" s="5"/>
      <c r="O220" s="7"/>
      <c r="P220" s="7">
        <f t="shared" si="54"/>
        <v>3</v>
      </c>
      <c r="Q220" s="7">
        <f t="shared" si="55"/>
        <v>1</v>
      </c>
      <c r="R220" s="7"/>
      <c r="S220" s="7">
        <f t="shared" si="71"/>
        <v>0</v>
      </c>
      <c r="T220" s="7">
        <f t="shared" si="56"/>
        <v>0</v>
      </c>
      <c r="U220" s="7">
        <f t="shared" si="57"/>
        <v>0</v>
      </c>
      <c r="V220" s="119">
        <f t="shared" si="58"/>
        <v>1</v>
      </c>
      <c r="W220" s="119">
        <f t="shared" si="59"/>
        <v>0</v>
      </c>
      <c r="X220" s="119">
        <f t="shared" si="60"/>
        <v>0</v>
      </c>
      <c r="Y220" s="119">
        <f t="shared" si="61"/>
        <v>0</v>
      </c>
      <c r="Z220" s="119">
        <f t="shared" si="62"/>
        <v>1</v>
      </c>
      <c r="AA220" s="119">
        <f t="shared" si="63"/>
        <v>0</v>
      </c>
      <c r="AB220" s="119">
        <f t="shared" si="64"/>
        <v>1</v>
      </c>
      <c r="AC220" s="119">
        <f t="shared" si="65"/>
        <v>0</v>
      </c>
      <c r="AD220" s="119">
        <f t="shared" si="66"/>
        <v>0</v>
      </c>
      <c r="AE220" s="119">
        <f t="shared" si="67"/>
        <v>0</v>
      </c>
      <c r="AF220" s="7"/>
      <c r="AG220" s="7"/>
      <c r="AH220" s="7">
        <f t="shared" si="68"/>
        <v>3</v>
      </c>
      <c r="AI220" s="7">
        <f t="shared" si="69"/>
        <v>3</v>
      </c>
      <c r="AJ220" s="7" t="str">
        <f t="shared" si="70"/>
        <v>Correct</v>
      </c>
      <c r="AL220" s="120" t="str">
        <f>IFERROR(VLOOKUP(Table1[RespondentID],'All Data'!$A$3:$CO$999,87,FALSE),"unknown")</f>
        <v>Man</v>
      </c>
      <c r="AM220" s="120">
        <f>IFERROR(VLOOKUP(Table1[RespondentID],'All Data'!$A$3:$CO$999,88,FALSE),"unknown")</f>
        <v>17</v>
      </c>
      <c r="AN220" s="120" t="str">
        <f>IFERROR(VLOOKUP(Table1[RespondentID],'All Data'!$A$3:$CO$999,89,FALSE),"unknown")</f>
        <v>Suffolk</v>
      </c>
      <c r="AO220" s="120" t="str">
        <f>IFERROR(VLOOKUP(Table1[RespondentID],'All Data'!$A$3:$CO$999,90,FALSE),"unknown")</f>
        <v>Commack, 11725</v>
      </c>
      <c r="AP220" s="120" t="str">
        <f>IFERROR(VLOOKUP(Table1[RespondentID],'All Data'!$A$3:$CO$999,91,FALSE),"unknown")</f>
        <v>American Indian and Alaska Native</v>
      </c>
      <c r="AQ220" s="120" t="str">
        <f>IFERROR(VLOOKUP(Table1[RespondentID],'All Data'!$A$3:$CO$999,92,FALSE),"unknown")</f>
        <v>Hispanic or Latino</v>
      </c>
      <c r="AR220" s="120" t="str">
        <f>IFERROR(VLOOKUP(Table1[RespondentID],'All Data'!$A$3:$CO$999,93,FALSE),"unknown")</f>
        <v>English, Korean</v>
      </c>
      <c r="AS220" s="120" t="str">
        <f>IFERROR(VLOOKUP(Table1[RespondentID],'All Data'!$A$3:$CW$999,94,FALSE),"unknown")</f>
        <v>$35,000 to $49,999</v>
      </c>
      <c r="AT220" s="120" t="str">
        <f>IFERROR(VLOOKUP(Table1[RespondentID],'All Data'!$A$3:$CW$999,95,FALSE),"unknown")</f>
        <v>Some high school</v>
      </c>
      <c r="AU220" s="120" t="str">
        <f>IFERROR(VLOOKUP(Table1[RespondentID],'All Data'!$A$3:$CW$999,96,FALSE),"unknown")</f>
        <v>Student</v>
      </c>
      <c r="AV220" s="120">
        <f>IFERROR(VLOOKUP(Table1[RespondentID],'All Data'!$A$3:$CW$999,97,FALSE),"unknown")</f>
        <v>0</v>
      </c>
      <c r="AW220" s="120">
        <f>IFERROR(VLOOKUP(Table1[RespondentID],'All Data'!$A$3:$CW$999,98,FALSE),"unknown")</f>
        <v>0</v>
      </c>
      <c r="AX220" s="120">
        <f>IFERROR(VLOOKUP(Table1[RespondentID],'All Data'!$A$3:$CW$999,99,FALSE),"unknown")</f>
        <v>0</v>
      </c>
    </row>
    <row r="221" spans="1:50">
      <c r="A221" s="5">
        <v>18019103935</v>
      </c>
      <c r="B221" s="5"/>
      <c r="C221" s="5"/>
      <c r="D221" s="5"/>
      <c r="E221" s="5" t="s">
        <v>19</v>
      </c>
      <c r="F221" s="5"/>
      <c r="G221" s="5"/>
      <c r="H221" s="5"/>
      <c r="I221" s="5"/>
      <c r="J221" s="5"/>
      <c r="K221" s="5"/>
      <c r="L221" s="5"/>
      <c r="M221" s="5" t="s">
        <v>27</v>
      </c>
      <c r="N221" s="5" t="s">
        <v>28</v>
      </c>
      <c r="O221" s="7"/>
      <c r="P221" s="7">
        <f t="shared" si="54"/>
        <v>3</v>
      </c>
      <c r="Q221" s="7">
        <f t="shared" si="55"/>
        <v>1</v>
      </c>
      <c r="R221" s="7"/>
      <c r="S221" s="7">
        <f t="shared" si="71"/>
        <v>0</v>
      </c>
      <c r="T221" s="7">
        <f t="shared" si="56"/>
        <v>0</v>
      </c>
      <c r="U221" s="7">
        <f t="shared" si="57"/>
        <v>0</v>
      </c>
      <c r="V221" s="119">
        <f t="shared" si="58"/>
        <v>1</v>
      </c>
      <c r="W221" s="119">
        <f t="shared" si="59"/>
        <v>0</v>
      </c>
      <c r="X221" s="119">
        <f t="shared" si="60"/>
        <v>0</v>
      </c>
      <c r="Y221" s="119">
        <f t="shared" si="61"/>
        <v>0</v>
      </c>
      <c r="Z221" s="119">
        <f t="shared" si="62"/>
        <v>0</v>
      </c>
      <c r="AA221" s="119">
        <f t="shared" si="63"/>
        <v>0</v>
      </c>
      <c r="AB221" s="119">
        <f t="shared" si="64"/>
        <v>0</v>
      </c>
      <c r="AC221" s="119">
        <f t="shared" si="65"/>
        <v>0</v>
      </c>
      <c r="AD221" s="119">
        <f t="shared" si="66"/>
        <v>1</v>
      </c>
      <c r="AE221" s="119">
        <f t="shared" si="67"/>
        <v>1</v>
      </c>
      <c r="AF221" s="7"/>
      <c r="AG221" s="7"/>
      <c r="AH221" s="7">
        <f t="shared" si="68"/>
        <v>3</v>
      </c>
      <c r="AI221" s="7">
        <f t="shared" si="69"/>
        <v>3</v>
      </c>
      <c r="AJ221" s="7" t="str">
        <f t="shared" si="70"/>
        <v>Correct</v>
      </c>
      <c r="AL221" s="120" t="str">
        <f>IFERROR(VLOOKUP(Table1[RespondentID],'All Data'!$A$3:$CO$999,87,FALSE),"unknown")</f>
        <v>Woman</v>
      </c>
      <c r="AM221" s="120">
        <f>IFERROR(VLOOKUP(Table1[RespondentID],'All Data'!$A$3:$CO$999,88,FALSE),"unknown")</f>
        <v>42</v>
      </c>
      <c r="AN221" s="120" t="str">
        <f>IFERROR(VLOOKUP(Table1[RespondentID],'All Data'!$A$3:$CO$999,89,FALSE),"unknown")</f>
        <v>Suffolk</v>
      </c>
      <c r="AO221" s="120" t="str">
        <f>IFERROR(VLOOKUP(Table1[RespondentID],'All Data'!$A$3:$CO$999,90,FALSE),"unknown")</f>
        <v>Commack, 11725</v>
      </c>
      <c r="AP221" s="120" t="str">
        <f>IFERROR(VLOOKUP(Table1[RespondentID],'All Data'!$A$3:$CO$999,91,FALSE),"unknown")</f>
        <v>Asian</v>
      </c>
      <c r="AQ221" s="120" t="str">
        <f>IFERROR(VLOOKUP(Table1[RespondentID],'All Data'!$A$3:$CO$999,92,FALSE),"unknown")</f>
        <v>Not Hispanic or Latino</v>
      </c>
      <c r="AR221" s="120" t="str">
        <f>IFERROR(VLOOKUP(Table1[RespondentID],'All Data'!$A$3:$CO$999,93,FALSE),"unknown")</f>
        <v>English, Portuguese, Spanish</v>
      </c>
      <c r="AS221" s="120" t="str">
        <f>IFERROR(VLOOKUP(Table1[RespondentID],'All Data'!$A$3:$CW$999,94,FALSE),"unknown")</f>
        <v>$20,000 to $34,999</v>
      </c>
      <c r="AT221" s="120" t="str">
        <f>IFERROR(VLOOKUP(Table1[RespondentID],'All Data'!$A$3:$CW$999,95,FALSE),"unknown")</f>
        <v>College graduate</v>
      </c>
      <c r="AU221" s="120" t="str">
        <f>IFERROR(VLOOKUP(Table1[RespondentID],'All Data'!$A$3:$CW$999,96,FALSE),"unknown")</f>
        <v>Employed for wages</v>
      </c>
      <c r="AV221" s="120" t="str">
        <f>IFERROR(VLOOKUP(Table1[RespondentID],'All Data'!$A$3:$CW$999,97,FALSE),"unknown")</f>
        <v>Yes</v>
      </c>
      <c r="AW221" s="120">
        <f>IFERROR(VLOOKUP(Table1[RespondentID],'All Data'!$A$3:$CW$999,98,FALSE),"unknown")</f>
        <v>0</v>
      </c>
      <c r="AX221" s="120">
        <f>IFERROR(VLOOKUP(Table1[RespondentID],'All Data'!$A$3:$CW$999,99,FALSE),"unknown")</f>
        <v>0</v>
      </c>
    </row>
    <row r="222" spans="1:50">
      <c r="A222" s="5">
        <v>18019103724</v>
      </c>
      <c r="B222" s="5" t="s">
        <v>16</v>
      </c>
      <c r="C222" s="5"/>
      <c r="D222" s="5"/>
      <c r="E222" s="5"/>
      <c r="F222" s="5"/>
      <c r="G222" s="5"/>
      <c r="H222" s="5"/>
      <c r="I222" s="5"/>
      <c r="J222" s="5" t="s">
        <v>24</v>
      </c>
      <c r="K222" s="5"/>
      <c r="L222" s="5" t="s">
        <v>26</v>
      </c>
      <c r="M222" s="5"/>
      <c r="N222" s="5"/>
      <c r="O222" s="7"/>
      <c r="P222" s="7">
        <f t="shared" si="54"/>
        <v>3</v>
      </c>
      <c r="Q222" s="7">
        <f t="shared" si="55"/>
        <v>1</v>
      </c>
      <c r="R222" s="7"/>
      <c r="S222" s="7">
        <f t="shared" si="71"/>
        <v>1</v>
      </c>
      <c r="T222" s="7">
        <f t="shared" si="56"/>
        <v>0</v>
      </c>
      <c r="U222" s="7">
        <f t="shared" si="57"/>
        <v>0</v>
      </c>
      <c r="V222" s="119">
        <f t="shared" si="58"/>
        <v>0</v>
      </c>
      <c r="W222" s="119">
        <f t="shared" si="59"/>
        <v>0</v>
      </c>
      <c r="X222" s="119">
        <f t="shared" si="60"/>
        <v>0</v>
      </c>
      <c r="Y222" s="119">
        <f t="shared" si="61"/>
        <v>0</v>
      </c>
      <c r="Z222" s="119">
        <f t="shared" si="62"/>
        <v>0</v>
      </c>
      <c r="AA222" s="119">
        <f t="shared" si="63"/>
        <v>1</v>
      </c>
      <c r="AB222" s="119">
        <f t="shared" si="64"/>
        <v>0</v>
      </c>
      <c r="AC222" s="119">
        <f t="shared" si="65"/>
        <v>1</v>
      </c>
      <c r="AD222" s="119">
        <f t="shared" si="66"/>
        <v>0</v>
      </c>
      <c r="AE222" s="119">
        <f t="shared" si="67"/>
        <v>0</v>
      </c>
      <c r="AF222" s="7"/>
      <c r="AG222" s="7"/>
      <c r="AH222" s="7">
        <f t="shared" si="68"/>
        <v>3</v>
      </c>
      <c r="AI222" s="7">
        <f t="shared" si="69"/>
        <v>3</v>
      </c>
      <c r="AJ222" s="7" t="str">
        <f t="shared" si="70"/>
        <v>Correct</v>
      </c>
      <c r="AL222" s="120" t="str">
        <f>IFERROR(VLOOKUP(Table1[RespondentID],'All Data'!$A$3:$CO$999,87,FALSE),"unknown")</f>
        <v>Man</v>
      </c>
      <c r="AM222" s="120">
        <f>IFERROR(VLOOKUP(Table1[RespondentID],'All Data'!$A$3:$CO$999,88,FALSE),"unknown")</f>
        <v>52</v>
      </c>
      <c r="AN222" s="120" t="str">
        <f>IFERROR(VLOOKUP(Table1[RespondentID],'All Data'!$A$3:$CO$999,89,FALSE),"unknown")</f>
        <v>Suffolk</v>
      </c>
      <c r="AO222" s="120" t="str">
        <f>IFERROR(VLOOKUP(Table1[RespondentID],'All Data'!$A$3:$CO$999,90,FALSE),"unknown")</f>
        <v>Commack, 11725</v>
      </c>
      <c r="AP222" s="120" t="str">
        <f>IFERROR(VLOOKUP(Table1[RespondentID],'All Data'!$A$3:$CO$999,91,FALSE),"unknown")</f>
        <v>Native Hawaiian and Other Pacific Islander</v>
      </c>
      <c r="AQ222" s="120" t="str">
        <f>IFERROR(VLOOKUP(Table1[RespondentID],'All Data'!$A$3:$CO$999,92,FALSE),"unknown")</f>
        <v>Hispanic or Latino</v>
      </c>
      <c r="AR222" s="120" t="str">
        <f>IFERROR(VLOOKUP(Table1[RespondentID],'All Data'!$A$3:$CO$999,93,FALSE),"unknown")</f>
        <v>English, Spanish</v>
      </c>
      <c r="AS222" s="120" t="str">
        <f>IFERROR(VLOOKUP(Table1[RespondentID],'All Data'!$A$3:$CW$999,94,FALSE),"unknown")</f>
        <v>$35,000 to $49,999</v>
      </c>
      <c r="AT222" s="120" t="str">
        <f>IFERROR(VLOOKUP(Table1[RespondentID],'All Data'!$A$3:$CW$999,95,FALSE),"unknown")</f>
        <v>Graduate school</v>
      </c>
      <c r="AU222" s="120" t="str">
        <f>IFERROR(VLOOKUP(Table1[RespondentID],'All Data'!$A$3:$CW$999,96,FALSE),"unknown")</f>
        <v>Employed for wages</v>
      </c>
      <c r="AV222" s="120" t="str">
        <f>IFERROR(VLOOKUP(Table1[RespondentID],'All Data'!$A$3:$CW$999,97,FALSE),"unknown")</f>
        <v>Yes</v>
      </c>
      <c r="AW222" s="120">
        <f>IFERROR(VLOOKUP(Table1[RespondentID],'All Data'!$A$3:$CW$999,98,FALSE),"unknown")</f>
        <v>0</v>
      </c>
      <c r="AX222" s="120">
        <f>IFERROR(VLOOKUP(Table1[RespondentID],'All Data'!$A$3:$CW$999,99,FALSE),"unknown")</f>
        <v>0</v>
      </c>
    </row>
    <row r="223" spans="1:50">
      <c r="A223" s="5">
        <v>18019103593</v>
      </c>
      <c r="B223" s="5"/>
      <c r="C223" s="5"/>
      <c r="D223" s="5"/>
      <c r="E223" s="5" t="s">
        <v>19</v>
      </c>
      <c r="F223" s="5"/>
      <c r="G223" s="5"/>
      <c r="H223" s="5" t="s">
        <v>22</v>
      </c>
      <c r="I223" s="5"/>
      <c r="J223" s="5"/>
      <c r="K223" s="5"/>
      <c r="L223" s="5"/>
      <c r="M223" s="5" t="s">
        <v>27</v>
      </c>
      <c r="N223" s="5"/>
      <c r="O223" s="7"/>
      <c r="P223" s="7">
        <f t="shared" si="54"/>
        <v>3</v>
      </c>
      <c r="Q223" s="7">
        <f t="shared" si="55"/>
        <v>1</v>
      </c>
      <c r="R223" s="7"/>
      <c r="S223" s="7">
        <f t="shared" si="71"/>
        <v>0</v>
      </c>
      <c r="T223" s="7">
        <f t="shared" si="56"/>
        <v>0</v>
      </c>
      <c r="U223" s="7">
        <f t="shared" si="57"/>
        <v>0</v>
      </c>
      <c r="V223" s="119">
        <f t="shared" si="58"/>
        <v>1</v>
      </c>
      <c r="W223" s="119">
        <f t="shared" si="59"/>
        <v>0</v>
      </c>
      <c r="X223" s="119">
        <f t="shared" si="60"/>
        <v>0</v>
      </c>
      <c r="Y223" s="119">
        <f t="shared" si="61"/>
        <v>1</v>
      </c>
      <c r="Z223" s="119">
        <f t="shared" si="62"/>
        <v>0</v>
      </c>
      <c r="AA223" s="119">
        <f t="shared" si="63"/>
        <v>0</v>
      </c>
      <c r="AB223" s="119">
        <f t="shared" si="64"/>
        <v>0</v>
      </c>
      <c r="AC223" s="119">
        <f t="shared" si="65"/>
        <v>0</v>
      </c>
      <c r="AD223" s="119">
        <f t="shared" si="66"/>
        <v>1</v>
      </c>
      <c r="AE223" s="119">
        <f t="shared" si="67"/>
        <v>0</v>
      </c>
      <c r="AF223" s="7"/>
      <c r="AG223" s="7"/>
      <c r="AH223" s="7">
        <f t="shared" si="68"/>
        <v>3</v>
      </c>
      <c r="AI223" s="7">
        <f t="shared" si="69"/>
        <v>3</v>
      </c>
      <c r="AJ223" s="7" t="str">
        <f t="shared" si="70"/>
        <v>Correct</v>
      </c>
      <c r="AL223" s="120" t="str">
        <f>IFERROR(VLOOKUP(Table1[RespondentID],'All Data'!$A$3:$CO$999,87,FALSE),"unknown")</f>
        <v>Woman</v>
      </c>
      <c r="AM223" s="120">
        <f>IFERROR(VLOOKUP(Table1[RespondentID],'All Data'!$A$3:$CO$999,88,FALSE),"unknown")</f>
        <v>85</v>
      </c>
      <c r="AN223" s="120" t="str">
        <f>IFERROR(VLOOKUP(Table1[RespondentID],'All Data'!$A$3:$CO$999,89,FALSE),"unknown")</f>
        <v>Suffolk</v>
      </c>
      <c r="AO223" s="120" t="str">
        <f>IFERROR(VLOOKUP(Table1[RespondentID],'All Data'!$A$3:$CO$999,90,FALSE),"unknown")</f>
        <v>Commack, 11725</v>
      </c>
      <c r="AP223" s="120" t="str">
        <f>IFERROR(VLOOKUP(Table1[RespondentID],'All Data'!$A$3:$CO$999,91,FALSE),"unknown")</f>
        <v>Black or African American</v>
      </c>
      <c r="AQ223" s="120" t="str">
        <f>IFERROR(VLOOKUP(Table1[RespondentID],'All Data'!$A$3:$CO$999,92,FALSE),"unknown")</f>
        <v>Hispanic or Latino</v>
      </c>
      <c r="AR223" s="120" t="str">
        <f>IFERROR(VLOOKUP(Table1[RespondentID],'All Data'!$A$3:$CO$999,93,FALSE),"unknown")</f>
        <v>English</v>
      </c>
      <c r="AS223" s="120" t="str">
        <f>IFERROR(VLOOKUP(Table1[RespondentID],'All Data'!$A$3:$CW$999,94,FALSE),"unknown")</f>
        <v>$50,000 to $74,999</v>
      </c>
      <c r="AT223" s="120" t="str">
        <f>IFERROR(VLOOKUP(Table1[RespondentID],'All Data'!$A$3:$CW$999,95,FALSE),"unknown")</f>
        <v>College graduate</v>
      </c>
      <c r="AU223" s="120" t="str">
        <f>IFERROR(VLOOKUP(Table1[RespondentID],'All Data'!$A$3:$CW$999,96,FALSE),"unknown")</f>
        <v>Retired</v>
      </c>
      <c r="AV223" s="120" t="str">
        <f>IFERROR(VLOOKUP(Table1[RespondentID],'All Data'!$A$3:$CW$999,97,FALSE),"unknown")</f>
        <v>Yes</v>
      </c>
      <c r="AW223" s="120">
        <f>IFERROR(VLOOKUP(Table1[RespondentID],'All Data'!$A$3:$CW$999,98,FALSE),"unknown")</f>
        <v>0</v>
      </c>
      <c r="AX223" s="120">
        <f>IFERROR(VLOOKUP(Table1[RespondentID],'All Data'!$A$3:$CW$999,99,FALSE),"unknown")</f>
        <v>0</v>
      </c>
    </row>
    <row r="224" spans="1:50">
      <c r="A224" s="5">
        <v>18019103458</v>
      </c>
      <c r="B224" s="5"/>
      <c r="C224" s="5"/>
      <c r="D224" s="5" t="s">
        <v>18</v>
      </c>
      <c r="E224" s="5"/>
      <c r="F224" s="5"/>
      <c r="G224" s="5"/>
      <c r="H224" s="5"/>
      <c r="I224" s="5"/>
      <c r="J224" s="5"/>
      <c r="K224" s="5"/>
      <c r="L224" s="5"/>
      <c r="M224" s="5" t="s">
        <v>27</v>
      </c>
      <c r="N224" s="5" t="s">
        <v>28</v>
      </c>
      <c r="O224" s="7"/>
      <c r="P224" s="7">
        <f t="shared" si="54"/>
        <v>3</v>
      </c>
      <c r="Q224" s="7">
        <f t="shared" si="55"/>
        <v>1</v>
      </c>
      <c r="R224" s="7"/>
      <c r="S224" s="7">
        <f t="shared" si="71"/>
        <v>0</v>
      </c>
      <c r="T224" s="7">
        <f t="shared" si="56"/>
        <v>0</v>
      </c>
      <c r="U224" s="7">
        <f t="shared" si="57"/>
        <v>1</v>
      </c>
      <c r="V224" s="119">
        <f t="shared" si="58"/>
        <v>0</v>
      </c>
      <c r="W224" s="119">
        <f t="shared" si="59"/>
        <v>0</v>
      </c>
      <c r="X224" s="119">
        <f t="shared" si="60"/>
        <v>0</v>
      </c>
      <c r="Y224" s="119">
        <f t="shared" si="61"/>
        <v>0</v>
      </c>
      <c r="Z224" s="119">
        <f t="shared" si="62"/>
        <v>0</v>
      </c>
      <c r="AA224" s="119">
        <f t="shared" si="63"/>
        <v>0</v>
      </c>
      <c r="AB224" s="119">
        <f t="shared" si="64"/>
        <v>0</v>
      </c>
      <c r="AC224" s="119">
        <f t="shared" si="65"/>
        <v>0</v>
      </c>
      <c r="AD224" s="119">
        <f t="shared" si="66"/>
        <v>1</v>
      </c>
      <c r="AE224" s="119">
        <f t="shared" si="67"/>
        <v>1</v>
      </c>
      <c r="AF224" s="7"/>
      <c r="AG224" s="7"/>
      <c r="AH224" s="7">
        <f t="shared" si="68"/>
        <v>3</v>
      </c>
      <c r="AI224" s="7">
        <f t="shared" si="69"/>
        <v>3</v>
      </c>
      <c r="AJ224" s="7" t="str">
        <f t="shared" si="70"/>
        <v>Correct</v>
      </c>
      <c r="AL224" s="120" t="str">
        <f>IFERROR(VLOOKUP(Table1[RespondentID],'All Data'!$A$3:$CO$999,87,FALSE),"unknown")</f>
        <v>Woman</v>
      </c>
      <c r="AM224" s="120">
        <f>IFERROR(VLOOKUP(Table1[RespondentID],'All Data'!$A$3:$CO$999,88,FALSE),"unknown")</f>
        <v>14</v>
      </c>
      <c r="AN224" s="120" t="str">
        <f>IFERROR(VLOOKUP(Table1[RespondentID],'All Data'!$A$3:$CO$999,89,FALSE),"unknown")</f>
        <v>Suffolk</v>
      </c>
      <c r="AO224" s="120" t="str">
        <f>IFERROR(VLOOKUP(Table1[RespondentID],'All Data'!$A$3:$CO$999,90,FALSE),"unknown")</f>
        <v>Smithtown, 11787</v>
      </c>
      <c r="AP224" s="120" t="str">
        <f>IFERROR(VLOOKUP(Table1[RespondentID],'All Data'!$A$3:$CO$999,91,FALSE),"unknown")</f>
        <v>Native Hawaiian and Other Pacific Islander</v>
      </c>
      <c r="AQ224" s="120" t="str">
        <f>IFERROR(VLOOKUP(Table1[RespondentID],'All Data'!$A$3:$CO$999,92,FALSE),"unknown")</f>
        <v>Hispanic or Latino</v>
      </c>
      <c r="AR224" s="120" t="str">
        <f>IFERROR(VLOOKUP(Table1[RespondentID],'All Data'!$A$3:$CO$999,93,FALSE),"unknown")</f>
        <v>English</v>
      </c>
      <c r="AS224" s="120" t="str">
        <f>IFERROR(VLOOKUP(Table1[RespondentID],'All Data'!$A$3:$CW$999,94,FALSE),"unknown")</f>
        <v>$20,000 to $34,999</v>
      </c>
      <c r="AT224" s="120" t="str">
        <f>IFERROR(VLOOKUP(Table1[RespondentID],'All Data'!$A$3:$CW$999,95,FALSE),"unknown")</f>
        <v>K-8 grade</v>
      </c>
      <c r="AU224" s="120" t="str">
        <f>IFERROR(VLOOKUP(Table1[RespondentID],'All Data'!$A$3:$CW$999,96,FALSE),"unknown")</f>
        <v>Student</v>
      </c>
      <c r="AV224" s="120" t="str">
        <f>IFERROR(VLOOKUP(Table1[RespondentID],'All Data'!$A$3:$CW$999,97,FALSE),"unknown")</f>
        <v>No</v>
      </c>
      <c r="AW224" s="120">
        <f>IFERROR(VLOOKUP(Table1[RespondentID],'All Data'!$A$3:$CW$999,98,FALSE),"unknown")</f>
        <v>0</v>
      </c>
      <c r="AX224" s="120">
        <f>IFERROR(VLOOKUP(Table1[RespondentID],'All Data'!$A$3:$CW$999,99,FALSE),"unknown")</f>
        <v>0</v>
      </c>
    </row>
    <row r="225" spans="1:50">
      <c r="A225" s="5">
        <v>18019103288</v>
      </c>
      <c r="B225" s="5" t="s">
        <v>16</v>
      </c>
      <c r="C225" s="5"/>
      <c r="D225" s="5" t="s">
        <v>18</v>
      </c>
      <c r="E225" s="5"/>
      <c r="F225" s="5"/>
      <c r="G225" s="5"/>
      <c r="H225" s="5"/>
      <c r="I225" s="5"/>
      <c r="J225" s="5"/>
      <c r="K225" s="5"/>
      <c r="L225" s="5"/>
      <c r="M225" s="5"/>
      <c r="N225" s="5" t="s">
        <v>28</v>
      </c>
      <c r="O225" s="7"/>
      <c r="P225" s="7">
        <f t="shared" si="54"/>
        <v>3</v>
      </c>
      <c r="Q225" s="7">
        <f t="shared" si="55"/>
        <v>1</v>
      </c>
      <c r="R225" s="7"/>
      <c r="S225" s="7">
        <f t="shared" si="71"/>
        <v>1</v>
      </c>
      <c r="T225" s="7">
        <f t="shared" si="56"/>
        <v>0</v>
      </c>
      <c r="U225" s="7">
        <f t="shared" si="57"/>
        <v>1</v>
      </c>
      <c r="V225" s="119">
        <f t="shared" si="58"/>
        <v>0</v>
      </c>
      <c r="W225" s="119">
        <f t="shared" si="59"/>
        <v>0</v>
      </c>
      <c r="X225" s="119">
        <f t="shared" si="60"/>
        <v>0</v>
      </c>
      <c r="Y225" s="119">
        <f t="shared" si="61"/>
        <v>0</v>
      </c>
      <c r="Z225" s="119">
        <f t="shared" si="62"/>
        <v>0</v>
      </c>
      <c r="AA225" s="119">
        <f t="shared" si="63"/>
        <v>0</v>
      </c>
      <c r="AB225" s="119">
        <f t="shared" si="64"/>
        <v>0</v>
      </c>
      <c r="AC225" s="119">
        <f t="shared" si="65"/>
        <v>0</v>
      </c>
      <c r="AD225" s="119">
        <f t="shared" si="66"/>
        <v>0</v>
      </c>
      <c r="AE225" s="119">
        <f t="shared" si="67"/>
        <v>1</v>
      </c>
      <c r="AF225" s="7"/>
      <c r="AG225" s="7"/>
      <c r="AH225" s="7">
        <f t="shared" si="68"/>
        <v>3</v>
      </c>
      <c r="AI225" s="7">
        <f t="shared" si="69"/>
        <v>3</v>
      </c>
      <c r="AJ225" s="7" t="str">
        <f t="shared" si="70"/>
        <v>Correct</v>
      </c>
      <c r="AL225" s="120" t="str">
        <f>IFERROR(VLOOKUP(Table1[RespondentID],'All Data'!$A$3:$CO$999,87,FALSE),"unknown")</f>
        <v>Man</v>
      </c>
      <c r="AM225" s="120">
        <f>IFERROR(VLOOKUP(Table1[RespondentID],'All Data'!$A$3:$CO$999,88,FALSE),"unknown")</f>
        <v>42</v>
      </c>
      <c r="AN225" s="120" t="str">
        <f>IFERROR(VLOOKUP(Table1[RespondentID],'All Data'!$A$3:$CO$999,89,FALSE),"unknown")</f>
        <v>Suffolk</v>
      </c>
      <c r="AO225" s="120" t="str">
        <f>IFERROR(VLOOKUP(Table1[RespondentID],'All Data'!$A$3:$CO$999,90,FALSE),"unknown")</f>
        <v>Smithtown, 11787</v>
      </c>
      <c r="AP225" s="120" t="str">
        <f>IFERROR(VLOOKUP(Table1[RespondentID],'All Data'!$A$3:$CO$999,91,FALSE),"unknown")</f>
        <v>Asian</v>
      </c>
      <c r="AQ225" s="120" t="str">
        <f>IFERROR(VLOOKUP(Table1[RespondentID],'All Data'!$A$3:$CO$999,92,FALSE),"unknown")</f>
        <v>Not Hispanic or Latino</v>
      </c>
      <c r="AR225" s="120" t="str">
        <f>IFERROR(VLOOKUP(Table1[RespondentID],'All Data'!$A$3:$CO$999,93,FALSE),"unknown")</f>
        <v>English, Spanish</v>
      </c>
      <c r="AS225" s="120" t="str">
        <f>IFERROR(VLOOKUP(Table1[RespondentID],'All Data'!$A$3:$CW$999,94,FALSE),"unknown")</f>
        <v>$35,000 to $49,999</v>
      </c>
      <c r="AT225" s="120" t="str">
        <f>IFERROR(VLOOKUP(Table1[RespondentID],'All Data'!$A$3:$CW$999,95,FALSE),"unknown")</f>
        <v>College graduate</v>
      </c>
      <c r="AU225" s="120" t="str">
        <f>IFERROR(VLOOKUP(Table1[RespondentID],'All Data'!$A$3:$CW$999,96,FALSE),"unknown")</f>
        <v>Employed for wages</v>
      </c>
      <c r="AV225" s="120" t="str">
        <f>IFERROR(VLOOKUP(Table1[RespondentID],'All Data'!$A$3:$CW$999,97,FALSE),"unknown")</f>
        <v>Yes</v>
      </c>
      <c r="AW225" s="120">
        <f>IFERROR(VLOOKUP(Table1[RespondentID],'All Data'!$A$3:$CW$999,98,FALSE),"unknown")</f>
        <v>0</v>
      </c>
      <c r="AX225" s="120">
        <f>IFERROR(VLOOKUP(Table1[RespondentID],'All Data'!$A$3:$CW$999,99,FALSE),"unknown")</f>
        <v>0</v>
      </c>
    </row>
    <row r="226" spans="1:50">
      <c r="A226" s="5">
        <v>18019103154</v>
      </c>
      <c r="B226" s="5"/>
      <c r="C226" s="5"/>
      <c r="D226" s="5"/>
      <c r="E226" s="5"/>
      <c r="F226" s="5"/>
      <c r="G226" s="5"/>
      <c r="H226" s="5"/>
      <c r="I226" s="5" t="s">
        <v>23</v>
      </c>
      <c r="J226" s="5"/>
      <c r="K226" s="5"/>
      <c r="L226" s="5" t="s">
        <v>26</v>
      </c>
      <c r="M226" s="5" t="s">
        <v>27</v>
      </c>
      <c r="N226" s="5"/>
      <c r="O226" s="7"/>
      <c r="P226" s="7">
        <f t="shared" si="54"/>
        <v>3</v>
      </c>
      <c r="Q226" s="7">
        <f t="shared" si="55"/>
        <v>1</v>
      </c>
      <c r="R226" s="7"/>
      <c r="S226" s="7">
        <f t="shared" si="71"/>
        <v>0</v>
      </c>
      <c r="T226" s="7">
        <f t="shared" si="56"/>
        <v>0</v>
      </c>
      <c r="U226" s="7">
        <f t="shared" si="57"/>
        <v>0</v>
      </c>
      <c r="V226" s="119">
        <f t="shared" si="58"/>
        <v>0</v>
      </c>
      <c r="W226" s="119">
        <f t="shared" si="59"/>
        <v>0</v>
      </c>
      <c r="X226" s="119">
        <f t="shared" si="60"/>
        <v>0</v>
      </c>
      <c r="Y226" s="119">
        <f t="shared" si="61"/>
        <v>0</v>
      </c>
      <c r="Z226" s="119">
        <f t="shared" si="62"/>
        <v>1</v>
      </c>
      <c r="AA226" s="119">
        <f t="shared" si="63"/>
        <v>0</v>
      </c>
      <c r="AB226" s="119">
        <f t="shared" si="64"/>
        <v>0</v>
      </c>
      <c r="AC226" s="119">
        <f t="shared" si="65"/>
        <v>1</v>
      </c>
      <c r="AD226" s="119">
        <f t="shared" si="66"/>
        <v>1</v>
      </c>
      <c r="AE226" s="119">
        <f t="shared" si="67"/>
        <v>0</v>
      </c>
      <c r="AF226" s="7"/>
      <c r="AG226" s="7"/>
      <c r="AH226" s="7">
        <f t="shared" si="68"/>
        <v>3</v>
      </c>
      <c r="AI226" s="7">
        <f t="shared" si="69"/>
        <v>3</v>
      </c>
      <c r="AJ226" s="7" t="str">
        <f t="shared" si="70"/>
        <v>Correct</v>
      </c>
      <c r="AL226" s="120" t="str">
        <f>IFERROR(VLOOKUP(Table1[RespondentID],'All Data'!$A$3:$CO$999,87,FALSE),"unknown")</f>
        <v>Woman</v>
      </c>
      <c r="AM226" s="120">
        <f>IFERROR(VLOOKUP(Table1[RespondentID],'All Data'!$A$3:$CO$999,88,FALSE),"unknown")</f>
        <v>48</v>
      </c>
      <c r="AN226" s="120" t="str">
        <f>IFERROR(VLOOKUP(Table1[RespondentID],'All Data'!$A$3:$CO$999,89,FALSE),"unknown")</f>
        <v>Suffolk</v>
      </c>
      <c r="AO226" s="120" t="str">
        <f>IFERROR(VLOOKUP(Table1[RespondentID],'All Data'!$A$3:$CO$999,90,FALSE),"unknown")</f>
        <v>Commack, 11725</v>
      </c>
      <c r="AP226" s="120" t="str">
        <f>IFERROR(VLOOKUP(Table1[RespondentID],'All Data'!$A$3:$CO$999,91,FALSE),"unknown")</f>
        <v>White</v>
      </c>
      <c r="AQ226" s="120" t="str">
        <f>IFERROR(VLOOKUP(Table1[RespondentID],'All Data'!$A$3:$CO$999,92,FALSE),"unknown")</f>
        <v>Hispanic or Latino</v>
      </c>
      <c r="AR226" s="120" t="str">
        <f>IFERROR(VLOOKUP(Table1[RespondentID],'All Data'!$A$3:$CO$999,93,FALSE),"unknown")</f>
        <v>English</v>
      </c>
      <c r="AS226" s="120" t="str">
        <f>IFERROR(VLOOKUP(Table1[RespondentID],'All Data'!$A$3:$CW$999,94,FALSE),"unknown")</f>
        <v>$20,000 to $34,999</v>
      </c>
      <c r="AT226" s="120" t="str">
        <f>IFERROR(VLOOKUP(Table1[RespondentID],'All Data'!$A$3:$CW$999,95,FALSE),"unknown")</f>
        <v>Graduate school</v>
      </c>
      <c r="AU226" s="120" t="str">
        <f>IFERROR(VLOOKUP(Table1[RespondentID],'All Data'!$A$3:$CW$999,96,FALSE),"unknown")</f>
        <v>Employed for wages</v>
      </c>
      <c r="AV226" s="120" t="str">
        <f>IFERROR(VLOOKUP(Table1[RespondentID],'All Data'!$A$3:$CW$999,97,FALSE),"unknown")</f>
        <v>Yes</v>
      </c>
      <c r="AW226" s="120">
        <f>IFERROR(VLOOKUP(Table1[RespondentID],'All Data'!$A$3:$CW$999,98,FALSE),"unknown")</f>
        <v>0</v>
      </c>
      <c r="AX226" s="120">
        <f>IFERROR(VLOOKUP(Table1[RespondentID],'All Data'!$A$3:$CW$999,99,FALSE),"unknown")</f>
        <v>0</v>
      </c>
    </row>
    <row r="227" spans="1:50">
      <c r="A227" s="5">
        <v>18019102990</v>
      </c>
      <c r="B227" s="5"/>
      <c r="C227" s="5"/>
      <c r="D227" s="5"/>
      <c r="E227" s="5"/>
      <c r="F227" s="5"/>
      <c r="G227" s="5"/>
      <c r="H227" s="5"/>
      <c r="I227" s="5"/>
      <c r="J227" s="5" t="s">
        <v>24</v>
      </c>
      <c r="K227" s="5" t="s">
        <v>25</v>
      </c>
      <c r="L227" s="5"/>
      <c r="M227" s="5" t="s">
        <v>27</v>
      </c>
      <c r="N227" s="5"/>
      <c r="O227" s="7"/>
      <c r="P227" s="7">
        <f t="shared" si="54"/>
        <v>3</v>
      </c>
      <c r="Q227" s="7">
        <f t="shared" si="55"/>
        <v>1</v>
      </c>
      <c r="R227" s="7"/>
      <c r="S227" s="7">
        <f t="shared" si="71"/>
        <v>0</v>
      </c>
      <c r="T227" s="7">
        <f t="shared" si="56"/>
        <v>0</v>
      </c>
      <c r="U227" s="7">
        <f t="shared" si="57"/>
        <v>0</v>
      </c>
      <c r="V227" s="119">
        <f t="shared" si="58"/>
        <v>0</v>
      </c>
      <c r="W227" s="119">
        <f t="shared" si="59"/>
        <v>0</v>
      </c>
      <c r="X227" s="119">
        <f t="shared" si="60"/>
        <v>0</v>
      </c>
      <c r="Y227" s="119">
        <f t="shared" si="61"/>
        <v>0</v>
      </c>
      <c r="Z227" s="119">
        <f t="shared" si="62"/>
        <v>0</v>
      </c>
      <c r="AA227" s="119">
        <f t="shared" si="63"/>
        <v>1</v>
      </c>
      <c r="AB227" s="119">
        <f t="shared" si="64"/>
        <v>1</v>
      </c>
      <c r="AC227" s="119">
        <f t="shared" si="65"/>
        <v>0</v>
      </c>
      <c r="AD227" s="119">
        <f t="shared" si="66"/>
        <v>1</v>
      </c>
      <c r="AE227" s="119">
        <f t="shared" si="67"/>
        <v>0</v>
      </c>
      <c r="AF227" s="7"/>
      <c r="AG227" s="7"/>
      <c r="AH227" s="7">
        <f t="shared" si="68"/>
        <v>3</v>
      </c>
      <c r="AI227" s="7">
        <f t="shared" si="69"/>
        <v>3</v>
      </c>
      <c r="AJ227" s="7" t="str">
        <f t="shared" si="70"/>
        <v>Correct</v>
      </c>
      <c r="AL227" s="120" t="str">
        <f>IFERROR(VLOOKUP(Table1[RespondentID],'All Data'!$A$3:$CO$999,87,FALSE),"unknown")</f>
        <v>Man</v>
      </c>
      <c r="AM227" s="120">
        <f>IFERROR(VLOOKUP(Table1[RespondentID],'All Data'!$A$3:$CO$999,88,FALSE),"unknown")</f>
        <v>24</v>
      </c>
      <c r="AN227" s="120" t="str">
        <f>IFERROR(VLOOKUP(Table1[RespondentID],'All Data'!$A$3:$CO$999,89,FALSE),"unknown")</f>
        <v>Suffolk</v>
      </c>
      <c r="AO227" s="120" t="str">
        <f>IFERROR(VLOOKUP(Table1[RespondentID],'All Data'!$A$3:$CO$999,90,FALSE),"unknown")</f>
        <v>Commack, 11725</v>
      </c>
      <c r="AP227" s="120" t="str">
        <f>IFERROR(VLOOKUP(Table1[RespondentID],'All Data'!$A$3:$CO$999,91,FALSE),"unknown")</f>
        <v>Black or African American</v>
      </c>
      <c r="AQ227" s="120" t="str">
        <f>IFERROR(VLOOKUP(Table1[RespondentID],'All Data'!$A$3:$CO$999,92,FALSE),"unknown")</f>
        <v>Hispanic or Latino</v>
      </c>
      <c r="AR227" s="120" t="str">
        <f>IFERROR(VLOOKUP(Table1[RespondentID],'All Data'!$A$3:$CO$999,93,FALSE),"unknown")</f>
        <v>Polish</v>
      </c>
      <c r="AS227" s="120" t="str">
        <f>IFERROR(VLOOKUP(Table1[RespondentID],'All Data'!$A$3:$CW$999,94,FALSE),"unknown")</f>
        <v>$35,000 to $49,999</v>
      </c>
      <c r="AT227" s="120" t="str">
        <f>IFERROR(VLOOKUP(Table1[RespondentID],'All Data'!$A$3:$CW$999,95,FALSE),"unknown")</f>
        <v>Some college</v>
      </c>
      <c r="AU227" s="120" t="str">
        <f>IFERROR(VLOOKUP(Table1[RespondentID],'All Data'!$A$3:$CW$999,96,FALSE),"unknown")</f>
        <v>Employed for wages</v>
      </c>
      <c r="AV227" s="120" t="str">
        <f>IFERROR(VLOOKUP(Table1[RespondentID],'All Data'!$A$3:$CW$999,97,FALSE),"unknown")</f>
        <v>Yes</v>
      </c>
      <c r="AW227" s="120">
        <f>IFERROR(VLOOKUP(Table1[RespondentID],'All Data'!$A$3:$CW$999,98,FALSE),"unknown")</f>
        <v>0</v>
      </c>
      <c r="AX227" s="120">
        <f>IFERROR(VLOOKUP(Table1[RespondentID],'All Data'!$A$3:$CW$999,99,FALSE),"unknown")</f>
        <v>0</v>
      </c>
    </row>
    <row r="228" spans="1:50">
      <c r="A228" s="5">
        <v>18019102832</v>
      </c>
      <c r="B228" s="5" t="s">
        <v>16</v>
      </c>
      <c r="C228" s="5"/>
      <c r="D228" s="5"/>
      <c r="E228" s="5" t="s">
        <v>19</v>
      </c>
      <c r="F228" s="5"/>
      <c r="G228" s="5" t="s">
        <v>21</v>
      </c>
      <c r="H228" s="5"/>
      <c r="I228" s="5"/>
      <c r="J228" s="5"/>
      <c r="K228" s="5"/>
      <c r="L228" s="5"/>
      <c r="M228" s="5"/>
      <c r="N228" s="5"/>
      <c r="O228" s="7"/>
      <c r="P228" s="7">
        <f t="shared" si="54"/>
        <v>3</v>
      </c>
      <c r="Q228" s="7">
        <f t="shared" si="55"/>
        <v>1</v>
      </c>
      <c r="R228" s="7"/>
      <c r="S228" s="7">
        <f t="shared" si="71"/>
        <v>1</v>
      </c>
      <c r="T228" s="7">
        <f t="shared" si="56"/>
        <v>0</v>
      </c>
      <c r="U228" s="7">
        <f t="shared" si="57"/>
        <v>0</v>
      </c>
      <c r="V228" s="119">
        <f t="shared" si="58"/>
        <v>1</v>
      </c>
      <c r="W228" s="119">
        <f t="shared" si="59"/>
        <v>0</v>
      </c>
      <c r="X228" s="119">
        <f t="shared" si="60"/>
        <v>1</v>
      </c>
      <c r="Y228" s="119">
        <f t="shared" si="61"/>
        <v>0</v>
      </c>
      <c r="Z228" s="119">
        <f t="shared" si="62"/>
        <v>0</v>
      </c>
      <c r="AA228" s="119">
        <f t="shared" si="63"/>
        <v>0</v>
      </c>
      <c r="AB228" s="119">
        <f t="shared" si="64"/>
        <v>0</v>
      </c>
      <c r="AC228" s="119">
        <f t="shared" si="65"/>
        <v>0</v>
      </c>
      <c r="AD228" s="119">
        <f t="shared" si="66"/>
        <v>0</v>
      </c>
      <c r="AE228" s="119">
        <f t="shared" si="67"/>
        <v>0</v>
      </c>
      <c r="AF228" s="7"/>
      <c r="AG228" s="7"/>
      <c r="AH228" s="7">
        <f t="shared" si="68"/>
        <v>3</v>
      </c>
      <c r="AI228" s="7">
        <f t="shared" si="69"/>
        <v>3</v>
      </c>
      <c r="AJ228" s="7" t="str">
        <f t="shared" si="70"/>
        <v>Correct</v>
      </c>
      <c r="AL228" s="120" t="str">
        <f>IFERROR(VLOOKUP(Table1[RespondentID],'All Data'!$A$3:$CO$999,87,FALSE),"unknown")</f>
        <v>Man</v>
      </c>
      <c r="AM228" s="120">
        <f>IFERROR(VLOOKUP(Table1[RespondentID],'All Data'!$A$3:$CO$999,88,FALSE),"unknown")</f>
        <v>19</v>
      </c>
      <c r="AN228" s="120" t="str">
        <f>IFERROR(VLOOKUP(Table1[RespondentID],'All Data'!$A$3:$CO$999,89,FALSE),"unknown")</f>
        <v>Suffolk</v>
      </c>
      <c r="AO228" s="120" t="str">
        <f>IFERROR(VLOOKUP(Table1[RespondentID],'All Data'!$A$3:$CO$999,90,FALSE),"unknown")</f>
        <v>Commack, 11725</v>
      </c>
      <c r="AP228" s="120" t="str">
        <f>IFERROR(VLOOKUP(Table1[RespondentID],'All Data'!$A$3:$CO$999,91,FALSE),"unknown")</f>
        <v>American Indian and Alaska Native</v>
      </c>
      <c r="AQ228" s="120" t="str">
        <f>IFERROR(VLOOKUP(Table1[RespondentID],'All Data'!$A$3:$CO$999,92,FALSE),"unknown")</f>
        <v>Hispanic or Latino</v>
      </c>
      <c r="AR228" s="120" t="str">
        <f>IFERROR(VLOOKUP(Table1[RespondentID],'All Data'!$A$3:$CO$999,93,FALSE),"unknown")</f>
        <v>English, Chinese</v>
      </c>
      <c r="AS228" s="120" t="str">
        <f>IFERROR(VLOOKUP(Table1[RespondentID],'All Data'!$A$3:$CW$999,94,FALSE),"unknown")</f>
        <v>$20,000 to $34,999</v>
      </c>
      <c r="AT228" s="120" t="str">
        <f>IFERROR(VLOOKUP(Table1[RespondentID],'All Data'!$A$3:$CW$999,95,FALSE),"unknown")</f>
        <v>High school graduate</v>
      </c>
      <c r="AU228" s="120" t="str">
        <f>IFERROR(VLOOKUP(Table1[RespondentID],'All Data'!$A$3:$CW$999,96,FALSE),"unknown")</f>
        <v>Student</v>
      </c>
      <c r="AV228" s="120" t="str">
        <f>IFERROR(VLOOKUP(Table1[RespondentID],'All Data'!$A$3:$CW$999,97,FALSE),"unknown")</f>
        <v>Yes</v>
      </c>
      <c r="AW228" s="120">
        <f>IFERROR(VLOOKUP(Table1[RespondentID],'All Data'!$A$3:$CW$999,98,FALSE),"unknown")</f>
        <v>0</v>
      </c>
      <c r="AX228" s="120">
        <f>IFERROR(VLOOKUP(Table1[RespondentID],'All Data'!$A$3:$CW$999,99,FALSE),"unknown")</f>
        <v>0</v>
      </c>
    </row>
    <row r="229" spans="1:50">
      <c r="A229" s="5">
        <v>18019102674</v>
      </c>
      <c r="B229" s="5"/>
      <c r="C229" s="5"/>
      <c r="D229" s="5"/>
      <c r="E229" s="5"/>
      <c r="F229" s="5"/>
      <c r="G229" s="5" t="s">
        <v>21</v>
      </c>
      <c r="H229" s="5"/>
      <c r="I229" s="5" t="s">
        <v>23</v>
      </c>
      <c r="J229" s="5"/>
      <c r="K229" s="5"/>
      <c r="L229" s="5"/>
      <c r="M229" s="5"/>
      <c r="N229" s="5" t="s">
        <v>28</v>
      </c>
      <c r="O229" s="7"/>
      <c r="P229" s="7">
        <f t="shared" si="54"/>
        <v>3</v>
      </c>
      <c r="Q229" s="7">
        <f t="shared" si="55"/>
        <v>1</v>
      </c>
      <c r="R229" s="7"/>
      <c r="S229" s="7">
        <f t="shared" si="71"/>
        <v>0</v>
      </c>
      <c r="T229" s="7">
        <f t="shared" si="56"/>
        <v>0</v>
      </c>
      <c r="U229" s="7">
        <f t="shared" si="57"/>
        <v>0</v>
      </c>
      <c r="V229" s="119">
        <f t="shared" si="58"/>
        <v>0</v>
      </c>
      <c r="W229" s="119">
        <f t="shared" si="59"/>
        <v>0</v>
      </c>
      <c r="X229" s="119">
        <f t="shared" si="60"/>
        <v>1</v>
      </c>
      <c r="Y229" s="119">
        <f t="shared" si="61"/>
        <v>0</v>
      </c>
      <c r="Z229" s="119">
        <f t="shared" si="62"/>
        <v>1</v>
      </c>
      <c r="AA229" s="119">
        <f t="shared" si="63"/>
        <v>0</v>
      </c>
      <c r="AB229" s="119">
        <f t="shared" si="64"/>
        <v>0</v>
      </c>
      <c r="AC229" s="119">
        <f t="shared" si="65"/>
        <v>0</v>
      </c>
      <c r="AD229" s="119">
        <f t="shared" si="66"/>
        <v>0</v>
      </c>
      <c r="AE229" s="119">
        <f t="shared" si="67"/>
        <v>1</v>
      </c>
      <c r="AF229" s="7"/>
      <c r="AG229" s="7"/>
      <c r="AH229" s="7">
        <f t="shared" si="68"/>
        <v>3</v>
      </c>
      <c r="AI229" s="7">
        <f t="shared" si="69"/>
        <v>3</v>
      </c>
      <c r="AJ229" s="7" t="str">
        <f t="shared" si="70"/>
        <v>Correct</v>
      </c>
      <c r="AL229" s="120" t="str">
        <f>IFERROR(VLOOKUP(Table1[RespondentID],'All Data'!$A$3:$CO$999,87,FALSE),"unknown")</f>
        <v>Woman</v>
      </c>
      <c r="AM229" s="120">
        <f>IFERROR(VLOOKUP(Table1[RespondentID],'All Data'!$A$3:$CO$999,88,FALSE),"unknown")</f>
        <v>72</v>
      </c>
      <c r="AN229" s="120" t="str">
        <f>IFERROR(VLOOKUP(Table1[RespondentID],'All Data'!$A$3:$CO$999,89,FALSE),"unknown")</f>
        <v>Suffolk</v>
      </c>
      <c r="AO229" s="120" t="str">
        <f>IFERROR(VLOOKUP(Table1[RespondentID],'All Data'!$A$3:$CO$999,90,FALSE),"unknown")</f>
        <v>Commack, 11725</v>
      </c>
      <c r="AP229" s="120" t="str">
        <f>IFERROR(VLOOKUP(Table1[RespondentID],'All Data'!$A$3:$CO$999,91,FALSE),"unknown")</f>
        <v>White</v>
      </c>
      <c r="AQ229" s="120" t="str">
        <f>IFERROR(VLOOKUP(Table1[RespondentID],'All Data'!$A$3:$CO$999,92,FALSE),"unknown")</f>
        <v>Hispanic or Latino</v>
      </c>
      <c r="AR229" s="120" t="str">
        <f>IFERROR(VLOOKUP(Table1[RespondentID],'All Data'!$A$3:$CO$999,93,FALSE),"unknown")</f>
        <v>English</v>
      </c>
      <c r="AS229" s="120" t="str">
        <f>IFERROR(VLOOKUP(Table1[RespondentID],'All Data'!$A$3:$CW$999,94,FALSE),"unknown")</f>
        <v>$75,000 to $125,000</v>
      </c>
      <c r="AT229" s="120" t="str">
        <f>IFERROR(VLOOKUP(Table1[RespondentID],'All Data'!$A$3:$CW$999,95,FALSE),"unknown")</f>
        <v>College graduate</v>
      </c>
      <c r="AU229" s="120" t="str">
        <f>IFERROR(VLOOKUP(Table1[RespondentID],'All Data'!$A$3:$CW$999,96,FALSE),"unknown")</f>
        <v>Retired</v>
      </c>
      <c r="AV229" s="120" t="str">
        <f>IFERROR(VLOOKUP(Table1[RespondentID],'All Data'!$A$3:$CW$999,97,FALSE),"unknown")</f>
        <v>Yes</v>
      </c>
      <c r="AW229" s="120">
        <f>IFERROR(VLOOKUP(Table1[RespondentID],'All Data'!$A$3:$CW$999,98,FALSE),"unknown")</f>
        <v>0</v>
      </c>
      <c r="AX229" s="120">
        <f>IFERROR(VLOOKUP(Table1[RespondentID],'All Data'!$A$3:$CW$999,99,FALSE),"unknown")</f>
        <v>0</v>
      </c>
    </row>
    <row r="230" spans="1:50">
      <c r="A230" s="5">
        <v>18019102453</v>
      </c>
      <c r="B230" s="5"/>
      <c r="C230" s="5"/>
      <c r="D230" s="5"/>
      <c r="E230" s="5"/>
      <c r="F230" s="5"/>
      <c r="G230" s="5"/>
      <c r="H230" s="5"/>
      <c r="I230" s="5"/>
      <c r="J230" s="5"/>
      <c r="K230" s="5" t="s">
        <v>25</v>
      </c>
      <c r="L230" s="5" t="s">
        <v>26</v>
      </c>
      <c r="M230" s="5" t="s">
        <v>27</v>
      </c>
      <c r="N230" s="5"/>
      <c r="O230" s="7"/>
      <c r="P230" s="7">
        <f t="shared" si="54"/>
        <v>3</v>
      </c>
      <c r="Q230" s="7">
        <f t="shared" si="55"/>
        <v>1</v>
      </c>
      <c r="R230" s="7"/>
      <c r="S230" s="7">
        <f t="shared" si="71"/>
        <v>0</v>
      </c>
      <c r="T230" s="7">
        <f t="shared" si="56"/>
        <v>0</v>
      </c>
      <c r="U230" s="7">
        <f t="shared" si="57"/>
        <v>0</v>
      </c>
      <c r="V230" s="119">
        <f t="shared" si="58"/>
        <v>0</v>
      </c>
      <c r="W230" s="119">
        <f t="shared" si="59"/>
        <v>0</v>
      </c>
      <c r="X230" s="119">
        <f t="shared" si="60"/>
        <v>0</v>
      </c>
      <c r="Y230" s="119">
        <f t="shared" si="61"/>
        <v>0</v>
      </c>
      <c r="Z230" s="119">
        <f t="shared" si="62"/>
        <v>0</v>
      </c>
      <c r="AA230" s="119">
        <f t="shared" si="63"/>
        <v>0</v>
      </c>
      <c r="AB230" s="119">
        <f t="shared" si="64"/>
        <v>1</v>
      </c>
      <c r="AC230" s="119">
        <f t="shared" si="65"/>
        <v>1</v>
      </c>
      <c r="AD230" s="119">
        <f t="shared" si="66"/>
        <v>1</v>
      </c>
      <c r="AE230" s="119">
        <f t="shared" si="67"/>
        <v>0</v>
      </c>
      <c r="AF230" s="7"/>
      <c r="AG230" s="7"/>
      <c r="AH230" s="7">
        <f t="shared" si="68"/>
        <v>3</v>
      </c>
      <c r="AI230" s="7">
        <f t="shared" si="69"/>
        <v>3</v>
      </c>
      <c r="AJ230" s="7" t="str">
        <f t="shared" si="70"/>
        <v>Correct</v>
      </c>
      <c r="AL230" s="120" t="str">
        <f>IFERROR(VLOOKUP(Table1[RespondentID],'All Data'!$A$3:$CO$999,87,FALSE),"unknown")</f>
        <v>Woman</v>
      </c>
      <c r="AM230" s="120">
        <f>IFERROR(VLOOKUP(Table1[RespondentID],'All Data'!$A$3:$CO$999,88,FALSE),"unknown")</f>
        <v>17</v>
      </c>
      <c r="AN230" s="120" t="str">
        <f>IFERROR(VLOOKUP(Table1[RespondentID],'All Data'!$A$3:$CO$999,89,FALSE),"unknown")</f>
        <v>Suffolk</v>
      </c>
      <c r="AO230" s="120" t="str">
        <f>IFERROR(VLOOKUP(Table1[RespondentID],'All Data'!$A$3:$CO$999,90,FALSE),"unknown")</f>
        <v>Commack, 11725</v>
      </c>
      <c r="AP230" s="120" t="str">
        <f>IFERROR(VLOOKUP(Table1[RespondentID],'All Data'!$A$3:$CO$999,91,FALSE),"unknown")</f>
        <v>White</v>
      </c>
      <c r="AQ230" s="120" t="str">
        <f>IFERROR(VLOOKUP(Table1[RespondentID],'All Data'!$A$3:$CO$999,92,FALSE),"unknown")</f>
        <v>Hispanic or Latino</v>
      </c>
      <c r="AR230" s="120" t="str">
        <f>IFERROR(VLOOKUP(Table1[RespondentID],'All Data'!$A$3:$CO$999,93,FALSE),"unknown")</f>
        <v>English, Italian</v>
      </c>
      <c r="AS230" s="120" t="str">
        <f>IFERROR(VLOOKUP(Table1[RespondentID],'All Data'!$A$3:$CW$999,94,FALSE),"unknown")</f>
        <v>$75,000 to $125,000</v>
      </c>
      <c r="AT230" s="120" t="str">
        <f>IFERROR(VLOOKUP(Table1[RespondentID],'All Data'!$A$3:$CW$999,95,FALSE),"unknown")</f>
        <v>Some high school</v>
      </c>
      <c r="AU230" s="120" t="str">
        <f>IFERROR(VLOOKUP(Table1[RespondentID],'All Data'!$A$3:$CW$999,96,FALSE),"unknown")</f>
        <v>Student</v>
      </c>
      <c r="AV230" s="120" t="str">
        <f>IFERROR(VLOOKUP(Table1[RespondentID],'All Data'!$A$3:$CW$999,97,FALSE),"unknown")</f>
        <v>Yes</v>
      </c>
      <c r="AW230" s="120">
        <f>IFERROR(VLOOKUP(Table1[RespondentID],'All Data'!$A$3:$CW$999,98,FALSE),"unknown")</f>
        <v>0</v>
      </c>
      <c r="AX230" s="120">
        <f>IFERROR(VLOOKUP(Table1[RespondentID],'All Data'!$A$3:$CW$999,99,FALSE),"unknown")</f>
        <v>0</v>
      </c>
    </row>
    <row r="231" spans="1:50">
      <c r="A231" s="5">
        <v>18019102258</v>
      </c>
      <c r="B231" s="5"/>
      <c r="C231" s="5"/>
      <c r="D231" s="5"/>
      <c r="E231" s="5"/>
      <c r="F231" s="5" t="s">
        <v>20</v>
      </c>
      <c r="G231" s="5"/>
      <c r="H231" s="5"/>
      <c r="I231" s="5"/>
      <c r="J231" s="5"/>
      <c r="K231" s="5"/>
      <c r="L231" s="5" t="s">
        <v>26</v>
      </c>
      <c r="M231" s="5" t="s">
        <v>27</v>
      </c>
      <c r="N231" s="5"/>
      <c r="O231" s="7"/>
      <c r="P231" s="7">
        <f t="shared" si="54"/>
        <v>3</v>
      </c>
      <c r="Q231" s="7">
        <f t="shared" si="55"/>
        <v>1</v>
      </c>
      <c r="R231" s="7"/>
      <c r="S231" s="7">
        <f t="shared" si="71"/>
        <v>0</v>
      </c>
      <c r="T231" s="7">
        <f t="shared" si="56"/>
        <v>0</v>
      </c>
      <c r="U231" s="7">
        <f t="shared" si="57"/>
        <v>0</v>
      </c>
      <c r="V231" s="119">
        <f t="shared" si="58"/>
        <v>0</v>
      </c>
      <c r="W231" s="119">
        <f t="shared" si="59"/>
        <v>1</v>
      </c>
      <c r="X231" s="119">
        <f t="shared" si="60"/>
        <v>0</v>
      </c>
      <c r="Y231" s="119">
        <f t="shared" si="61"/>
        <v>0</v>
      </c>
      <c r="Z231" s="119">
        <f t="shared" si="62"/>
        <v>0</v>
      </c>
      <c r="AA231" s="119">
        <f t="shared" si="63"/>
        <v>0</v>
      </c>
      <c r="AB231" s="119">
        <f t="shared" si="64"/>
        <v>0</v>
      </c>
      <c r="AC231" s="119">
        <f t="shared" si="65"/>
        <v>1</v>
      </c>
      <c r="AD231" s="119">
        <f t="shared" si="66"/>
        <v>1</v>
      </c>
      <c r="AE231" s="119">
        <f t="shared" si="67"/>
        <v>0</v>
      </c>
      <c r="AF231" s="7"/>
      <c r="AG231" s="7"/>
      <c r="AH231" s="7">
        <f t="shared" si="68"/>
        <v>3</v>
      </c>
      <c r="AI231" s="7">
        <f t="shared" si="69"/>
        <v>3</v>
      </c>
      <c r="AJ231" s="7" t="str">
        <f t="shared" si="70"/>
        <v>Correct</v>
      </c>
      <c r="AL231" s="120" t="str">
        <f>IFERROR(VLOOKUP(Table1[RespondentID],'All Data'!$A$3:$CO$999,87,FALSE),"unknown")</f>
        <v>Woman</v>
      </c>
      <c r="AM231" s="120">
        <f>IFERROR(VLOOKUP(Table1[RespondentID],'All Data'!$A$3:$CO$999,88,FALSE),"unknown")</f>
        <v>84</v>
      </c>
      <c r="AN231" s="120" t="str">
        <f>IFERROR(VLOOKUP(Table1[RespondentID],'All Data'!$A$3:$CO$999,89,FALSE),"unknown")</f>
        <v>Suffolk</v>
      </c>
      <c r="AO231" s="120" t="str">
        <f>IFERROR(VLOOKUP(Table1[RespondentID],'All Data'!$A$3:$CO$999,90,FALSE),"unknown")</f>
        <v>Smithtown, 11787</v>
      </c>
      <c r="AP231" s="120" t="str">
        <f>IFERROR(VLOOKUP(Table1[RespondentID],'All Data'!$A$3:$CO$999,91,FALSE),"unknown")</f>
        <v>Asian</v>
      </c>
      <c r="AQ231" s="120" t="str">
        <f>IFERROR(VLOOKUP(Table1[RespondentID],'All Data'!$A$3:$CO$999,92,FALSE),"unknown")</f>
        <v>Not Hispanic or Latino</v>
      </c>
      <c r="AR231" s="120" t="str">
        <f>IFERROR(VLOOKUP(Table1[RespondentID],'All Data'!$A$3:$CO$999,93,FALSE),"unknown")</f>
        <v>English, Spanish</v>
      </c>
      <c r="AS231" s="120" t="str">
        <f>IFERROR(VLOOKUP(Table1[RespondentID],'All Data'!$A$3:$CW$999,94,FALSE),"unknown")</f>
        <v>$75,000 to $125,000</v>
      </c>
      <c r="AT231" s="120" t="str">
        <f>IFERROR(VLOOKUP(Table1[RespondentID],'All Data'!$A$3:$CW$999,95,FALSE),"unknown")</f>
        <v>College graduate</v>
      </c>
      <c r="AU231" s="120" t="str">
        <f>IFERROR(VLOOKUP(Table1[RespondentID],'All Data'!$A$3:$CW$999,96,FALSE),"unknown")</f>
        <v>Retired</v>
      </c>
      <c r="AV231" s="120" t="str">
        <f>IFERROR(VLOOKUP(Table1[RespondentID],'All Data'!$A$3:$CW$999,97,FALSE),"unknown")</f>
        <v>Yes</v>
      </c>
      <c r="AW231" s="120">
        <f>IFERROR(VLOOKUP(Table1[RespondentID],'All Data'!$A$3:$CW$999,98,FALSE),"unknown")</f>
        <v>0</v>
      </c>
      <c r="AX231" s="120">
        <f>IFERROR(VLOOKUP(Table1[RespondentID],'All Data'!$A$3:$CW$999,99,FALSE),"unknown")</f>
        <v>0</v>
      </c>
    </row>
    <row r="232" spans="1:50">
      <c r="A232" s="5">
        <v>18019102072</v>
      </c>
      <c r="B232" s="5"/>
      <c r="C232" s="5"/>
      <c r="D232" s="5"/>
      <c r="E232" s="5" t="s">
        <v>19</v>
      </c>
      <c r="F232" s="5"/>
      <c r="G232" s="5"/>
      <c r="H232" s="5"/>
      <c r="I232" s="5" t="s">
        <v>23</v>
      </c>
      <c r="J232" s="5"/>
      <c r="K232" s="5"/>
      <c r="L232" s="5"/>
      <c r="M232" s="5" t="s">
        <v>27</v>
      </c>
      <c r="N232" s="5"/>
      <c r="O232" s="7"/>
      <c r="P232" s="7">
        <f t="shared" si="54"/>
        <v>3</v>
      </c>
      <c r="Q232" s="7">
        <f t="shared" si="55"/>
        <v>1</v>
      </c>
      <c r="R232" s="7"/>
      <c r="S232" s="7">
        <f t="shared" si="71"/>
        <v>0</v>
      </c>
      <c r="T232" s="7">
        <f t="shared" si="56"/>
        <v>0</v>
      </c>
      <c r="U232" s="7">
        <f t="shared" si="57"/>
        <v>0</v>
      </c>
      <c r="V232" s="119">
        <f t="shared" si="58"/>
        <v>1</v>
      </c>
      <c r="W232" s="119">
        <f t="shared" si="59"/>
        <v>0</v>
      </c>
      <c r="X232" s="119">
        <f t="shared" si="60"/>
        <v>0</v>
      </c>
      <c r="Y232" s="119">
        <f t="shared" si="61"/>
        <v>0</v>
      </c>
      <c r="Z232" s="119">
        <f t="shared" si="62"/>
        <v>1</v>
      </c>
      <c r="AA232" s="119">
        <f t="shared" si="63"/>
        <v>0</v>
      </c>
      <c r="AB232" s="119">
        <f t="shared" si="64"/>
        <v>0</v>
      </c>
      <c r="AC232" s="119">
        <f t="shared" si="65"/>
        <v>0</v>
      </c>
      <c r="AD232" s="119">
        <f t="shared" si="66"/>
        <v>1</v>
      </c>
      <c r="AE232" s="119">
        <f t="shared" si="67"/>
        <v>0</v>
      </c>
      <c r="AF232" s="7"/>
      <c r="AG232" s="7"/>
      <c r="AH232" s="7">
        <f t="shared" si="68"/>
        <v>3</v>
      </c>
      <c r="AI232" s="7">
        <f t="shared" si="69"/>
        <v>3</v>
      </c>
      <c r="AJ232" s="7" t="str">
        <f t="shared" si="70"/>
        <v>Correct</v>
      </c>
      <c r="AL232" s="120" t="str">
        <f>IFERROR(VLOOKUP(Table1[RespondentID],'All Data'!$A$3:$CO$999,87,FALSE),"unknown")</f>
        <v>Man</v>
      </c>
      <c r="AM232" s="120">
        <f>IFERROR(VLOOKUP(Table1[RespondentID],'All Data'!$A$3:$CO$999,88,FALSE),"unknown")</f>
        <v>92</v>
      </c>
      <c r="AN232" s="120" t="str">
        <f>IFERROR(VLOOKUP(Table1[RespondentID],'All Data'!$A$3:$CO$999,89,FALSE),"unknown")</f>
        <v>Suffolk</v>
      </c>
      <c r="AO232" s="120" t="str">
        <f>IFERROR(VLOOKUP(Table1[RespondentID],'All Data'!$A$3:$CO$999,90,FALSE),"unknown")</f>
        <v>Commack, 11725</v>
      </c>
      <c r="AP232" s="120" t="str">
        <f>IFERROR(VLOOKUP(Table1[RespondentID],'All Data'!$A$3:$CO$999,91,FALSE),"unknown")</f>
        <v>Asian</v>
      </c>
      <c r="AQ232" s="120" t="str">
        <f>IFERROR(VLOOKUP(Table1[RespondentID],'All Data'!$A$3:$CO$999,92,FALSE),"unknown")</f>
        <v>Not Hispanic or Latino</v>
      </c>
      <c r="AR232" s="120" t="str">
        <f>IFERROR(VLOOKUP(Table1[RespondentID],'All Data'!$A$3:$CO$999,93,FALSE),"unknown")</f>
        <v>English, Spanish, Italian</v>
      </c>
      <c r="AS232" s="120" t="str">
        <f>IFERROR(VLOOKUP(Table1[RespondentID],'All Data'!$A$3:$CW$999,94,FALSE),"unknown")</f>
        <v>$35,000 to $49,999</v>
      </c>
      <c r="AT232" s="120" t="str">
        <f>IFERROR(VLOOKUP(Table1[RespondentID],'All Data'!$A$3:$CW$999,95,FALSE),"unknown")</f>
        <v>Graduate school</v>
      </c>
      <c r="AU232" s="120" t="str">
        <f>IFERROR(VLOOKUP(Table1[RespondentID],'All Data'!$A$3:$CW$999,96,FALSE),"unknown")</f>
        <v>Retired</v>
      </c>
      <c r="AV232" s="120" t="str">
        <f>IFERROR(VLOOKUP(Table1[RespondentID],'All Data'!$A$3:$CW$999,97,FALSE),"unknown")</f>
        <v>Yes</v>
      </c>
      <c r="AW232" s="120">
        <f>IFERROR(VLOOKUP(Table1[RespondentID],'All Data'!$A$3:$CW$999,98,FALSE),"unknown")</f>
        <v>0</v>
      </c>
      <c r="AX232" s="120">
        <f>IFERROR(VLOOKUP(Table1[RespondentID],'All Data'!$A$3:$CW$999,99,FALSE),"unknown")</f>
        <v>0</v>
      </c>
    </row>
    <row r="233" spans="1:50">
      <c r="A233" s="5">
        <v>18019101896</v>
      </c>
      <c r="B233" s="5"/>
      <c r="C233" s="5"/>
      <c r="D233" s="5"/>
      <c r="E233" s="5"/>
      <c r="F233" s="5"/>
      <c r="G233" s="5"/>
      <c r="H233" s="5" t="s">
        <v>22</v>
      </c>
      <c r="I233" s="5"/>
      <c r="J233" s="5"/>
      <c r="K233" s="5" t="s">
        <v>25</v>
      </c>
      <c r="L233" s="5"/>
      <c r="M233" s="5" t="s">
        <v>27</v>
      </c>
      <c r="N233" s="5"/>
      <c r="O233" s="7"/>
      <c r="P233" s="7">
        <f t="shared" si="54"/>
        <v>3</v>
      </c>
      <c r="Q233" s="7">
        <f t="shared" si="55"/>
        <v>1</v>
      </c>
      <c r="R233" s="7"/>
      <c r="S233" s="7">
        <f t="shared" si="71"/>
        <v>0</v>
      </c>
      <c r="T233" s="7">
        <f t="shared" si="56"/>
        <v>0</v>
      </c>
      <c r="U233" s="7">
        <f t="shared" si="57"/>
        <v>0</v>
      </c>
      <c r="V233" s="119">
        <f t="shared" si="58"/>
        <v>0</v>
      </c>
      <c r="W233" s="119">
        <f t="shared" si="59"/>
        <v>0</v>
      </c>
      <c r="X233" s="119">
        <f t="shared" si="60"/>
        <v>0</v>
      </c>
      <c r="Y233" s="119">
        <f t="shared" si="61"/>
        <v>1</v>
      </c>
      <c r="Z233" s="119">
        <f t="shared" si="62"/>
        <v>0</v>
      </c>
      <c r="AA233" s="119">
        <f t="shared" si="63"/>
        <v>0</v>
      </c>
      <c r="AB233" s="119">
        <f t="shared" si="64"/>
        <v>1</v>
      </c>
      <c r="AC233" s="119">
        <f t="shared" si="65"/>
        <v>0</v>
      </c>
      <c r="AD233" s="119">
        <f t="shared" si="66"/>
        <v>1</v>
      </c>
      <c r="AE233" s="119">
        <f t="shared" si="67"/>
        <v>0</v>
      </c>
      <c r="AF233" s="7"/>
      <c r="AG233" s="7"/>
      <c r="AH233" s="7">
        <f t="shared" si="68"/>
        <v>3</v>
      </c>
      <c r="AI233" s="7">
        <f t="shared" si="69"/>
        <v>3</v>
      </c>
      <c r="AJ233" s="7" t="str">
        <f t="shared" si="70"/>
        <v>Correct</v>
      </c>
      <c r="AL233" s="120" t="str">
        <f>IFERROR(VLOOKUP(Table1[RespondentID],'All Data'!$A$3:$CO$999,87,FALSE),"unknown")</f>
        <v>Man</v>
      </c>
      <c r="AM233" s="120">
        <f>IFERROR(VLOOKUP(Table1[RespondentID],'All Data'!$A$3:$CO$999,88,FALSE),"unknown")</f>
        <v>63</v>
      </c>
      <c r="AN233" s="120" t="str">
        <f>IFERROR(VLOOKUP(Table1[RespondentID],'All Data'!$A$3:$CO$999,89,FALSE),"unknown")</f>
        <v>Suffolk</v>
      </c>
      <c r="AO233" s="120" t="str">
        <f>IFERROR(VLOOKUP(Table1[RespondentID],'All Data'!$A$3:$CO$999,90,FALSE),"unknown")</f>
        <v>Smithtown, 11787</v>
      </c>
      <c r="AP233" s="120" t="str">
        <f>IFERROR(VLOOKUP(Table1[RespondentID],'All Data'!$A$3:$CO$999,91,FALSE),"unknown")</f>
        <v>Native Hawaiian and Other Pacific Islander</v>
      </c>
      <c r="AQ233" s="120" t="str">
        <f>IFERROR(VLOOKUP(Table1[RespondentID],'All Data'!$A$3:$CO$999,92,FALSE),"unknown")</f>
        <v>Hispanic or Latino</v>
      </c>
      <c r="AR233" s="120" t="str">
        <f>IFERROR(VLOOKUP(Table1[RespondentID],'All Data'!$A$3:$CO$999,93,FALSE),"unknown")</f>
        <v>English</v>
      </c>
      <c r="AS233" s="120" t="str">
        <f>IFERROR(VLOOKUP(Table1[RespondentID],'All Data'!$A$3:$CW$999,94,FALSE),"unknown")</f>
        <v>$75,000 to $125,000</v>
      </c>
      <c r="AT233" s="120" t="str">
        <f>IFERROR(VLOOKUP(Table1[RespondentID],'All Data'!$A$3:$CW$999,95,FALSE),"unknown")</f>
        <v>College graduate</v>
      </c>
      <c r="AU233" s="120" t="str">
        <f>IFERROR(VLOOKUP(Table1[RespondentID],'All Data'!$A$3:$CW$999,96,FALSE),"unknown")</f>
        <v>Employed for wages</v>
      </c>
      <c r="AV233" s="120" t="str">
        <f>IFERROR(VLOOKUP(Table1[RespondentID],'All Data'!$A$3:$CW$999,97,FALSE),"unknown")</f>
        <v>Yes</v>
      </c>
      <c r="AW233" s="120">
        <f>IFERROR(VLOOKUP(Table1[RespondentID],'All Data'!$A$3:$CW$999,98,FALSE),"unknown")</f>
        <v>0</v>
      </c>
      <c r="AX233" s="120">
        <f>IFERROR(VLOOKUP(Table1[RespondentID],'All Data'!$A$3:$CW$999,99,FALSE),"unknown")</f>
        <v>0</v>
      </c>
    </row>
    <row r="234" spans="1:50">
      <c r="A234" s="5">
        <v>18019101753</v>
      </c>
      <c r="B234" s="5"/>
      <c r="C234" s="5" t="s">
        <v>17</v>
      </c>
      <c r="D234" s="5"/>
      <c r="E234" s="5"/>
      <c r="F234" s="5"/>
      <c r="G234" s="5"/>
      <c r="H234" s="5" t="s">
        <v>22</v>
      </c>
      <c r="I234" s="5"/>
      <c r="J234" s="5"/>
      <c r="K234" s="5"/>
      <c r="L234" s="5"/>
      <c r="M234" s="5"/>
      <c r="N234" s="5" t="s">
        <v>28</v>
      </c>
      <c r="O234" s="7"/>
      <c r="P234" s="7">
        <f t="shared" si="54"/>
        <v>3</v>
      </c>
      <c r="Q234" s="7">
        <f t="shared" si="55"/>
        <v>1</v>
      </c>
      <c r="R234" s="7"/>
      <c r="S234" s="7">
        <f t="shared" si="71"/>
        <v>0</v>
      </c>
      <c r="T234" s="7">
        <f t="shared" si="56"/>
        <v>1</v>
      </c>
      <c r="U234" s="7">
        <f t="shared" si="57"/>
        <v>0</v>
      </c>
      <c r="V234" s="119">
        <f t="shared" si="58"/>
        <v>0</v>
      </c>
      <c r="W234" s="119">
        <f t="shared" si="59"/>
        <v>0</v>
      </c>
      <c r="X234" s="119">
        <f t="shared" si="60"/>
        <v>0</v>
      </c>
      <c r="Y234" s="119">
        <f t="shared" si="61"/>
        <v>1</v>
      </c>
      <c r="Z234" s="119">
        <f t="shared" si="62"/>
        <v>0</v>
      </c>
      <c r="AA234" s="119">
        <f t="shared" si="63"/>
        <v>0</v>
      </c>
      <c r="AB234" s="119">
        <f t="shared" si="64"/>
        <v>0</v>
      </c>
      <c r="AC234" s="119">
        <f t="shared" si="65"/>
        <v>0</v>
      </c>
      <c r="AD234" s="119">
        <f t="shared" si="66"/>
        <v>0</v>
      </c>
      <c r="AE234" s="119">
        <f t="shared" si="67"/>
        <v>1</v>
      </c>
      <c r="AF234" s="7"/>
      <c r="AG234" s="7"/>
      <c r="AH234" s="7">
        <f t="shared" si="68"/>
        <v>3</v>
      </c>
      <c r="AI234" s="7">
        <f t="shared" si="69"/>
        <v>3</v>
      </c>
      <c r="AJ234" s="7" t="str">
        <f t="shared" si="70"/>
        <v>Correct</v>
      </c>
      <c r="AL234" s="120" t="str">
        <f>IFERROR(VLOOKUP(Table1[RespondentID],'All Data'!$A$3:$CO$999,87,FALSE),"unknown")</f>
        <v>Woman</v>
      </c>
      <c r="AM234" s="120">
        <f>IFERROR(VLOOKUP(Table1[RespondentID],'All Data'!$A$3:$CO$999,88,FALSE),"unknown")</f>
        <v>22</v>
      </c>
      <c r="AN234" s="120" t="str">
        <f>IFERROR(VLOOKUP(Table1[RespondentID],'All Data'!$A$3:$CO$999,89,FALSE),"unknown")</f>
        <v>Suffolk</v>
      </c>
      <c r="AO234" s="120" t="str">
        <f>IFERROR(VLOOKUP(Table1[RespondentID],'All Data'!$A$3:$CO$999,90,FALSE),"unknown")</f>
        <v>Commack, 11725</v>
      </c>
      <c r="AP234" s="120" t="str">
        <f>IFERROR(VLOOKUP(Table1[RespondentID],'All Data'!$A$3:$CO$999,91,FALSE),"unknown")</f>
        <v>Asian</v>
      </c>
      <c r="AQ234" s="120" t="str">
        <f>IFERROR(VLOOKUP(Table1[RespondentID],'All Data'!$A$3:$CO$999,92,FALSE),"unknown")</f>
        <v>Not Hispanic or Latino</v>
      </c>
      <c r="AR234" s="120" t="str">
        <f>IFERROR(VLOOKUP(Table1[RespondentID],'All Data'!$A$3:$CO$999,93,FALSE),"unknown")</f>
        <v>English, Spanish, Polish</v>
      </c>
      <c r="AS234" s="120">
        <f>IFERROR(VLOOKUP(Table1[RespondentID],'All Data'!$A$3:$CW$999,94,FALSE),"unknown")</f>
        <v>0</v>
      </c>
      <c r="AT234" s="120" t="str">
        <f>IFERROR(VLOOKUP(Table1[RespondentID],'All Data'!$A$3:$CW$999,95,FALSE),"unknown")</f>
        <v>Some college</v>
      </c>
      <c r="AU234" s="120" t="str">
        <f>IFERROR(VLOOKUP(Table1[RespondentID],'All Data'!$A$3:$CW$999,96,FALSE),"unknown")</f>
        <v>Student</v>
      </c>
      <c r="AV234" s="120" t="str">
        <f>IFERROR(VLOOKUP(Table1[RespondentID],'All Data'!$A$3:$CW$999,97,FALSE),"unknown")</f>
        <v>Yes</v>
      </c>
      <c r="AW234" s="120">
        <f>IFERROR(VLOOKUP(Table1[RespondentID],'All Data'!$A$3:$CW$999,98,FALSE),"unknown")</f>
        <v>0</v>
      </c>
      <c r="AX234" s="120">
        <f>IFERROR(VLOOKUP(Table1[RespondentID],'All Data'!$A$3:$CW$999,99,FALSE),"unknown")</f>
        <v>0</v>
      </c>
    </row>
    <row r="235" spans="1:50">
      <c r="A235" s="5">
        <v>18019101576</v>
      </c>
      <c r="B235" s="5"/>
      <c r="C235" s="5"/>
      <c r="D235" s="5"/>
      <c r="E235" s="5"/>
      <c r="F235" s="5" t="s">
        <v>20</v>
      </c>
      <c r="G235" s="5"/>
      <c r="H235" s="5"/>
      <c r="I235" s="5" t="s">
        <v>23</v>
      </c>
      <c r="J235" s="5" t="s">
        <v>24</v>
      </c>
      <c r="K235" s="5"/>
      <c r="L235" s="5"/>
      <c r="M235" s="5"/>
      <c r="N235" s="5"/>
      <c r="O235" s="7"/>
      <c r="P235" s="7">
        <f t="shared" si="54"/>
        <v>3</v>
      </c>
      <c r="Q235" s="7">
        <f t="shared" si="55"/>
        <v>1</v>
      </c>
      <c r="R235" s="7"/>
      <c r="S235" s="7">
        <f t="shared" si="71"/>
        <v>0</v>
      </c>
      <c r="T235" s="7">
        <f t="shared" si="56"/>
        <v>0</v>
      </c>
      <c r="U235" s="7">
        <f t="shared" si="57"/>
        <v>0</v>
      </c>
      <c r="V235" s="119">
        <f t="shared" si="58"/>
        <v>0</v>
      </c>
      <c r="W235" s="119">
        <f t="shared" si="59"/>
        <v>1</v>
      </c>
      <c r="X235" s="119">
        <f t="shared" si="60"/>
        <v>0</v>
      </c>
      <c r="Y235" s="119">
        <f t="shared" si="61"/>
        <v>0</v>
      </c>
      <c r="Z235" s="119">
        <f t="shared" si="62"/>
        <v>1</v>
      </c>
      <c r="AA235" s="119">
        <f t="shared" si="63"/>
        <v>1</v>
      </c>
      <c r="AB235" s="119">
        <f t="shared" si="64"/>
        <v>0</v>
      </c>
      <c r="AC235" s="119">
        <f t="shared" si="65"/>
        <v>0</v>
      </c>
      <c r="AD235" s="119">
        <f t="shared" si="66"/>
        <v>0</v>
      </c>
      <c r="AE235" s="119">
        <f t="shared" si="67"/>
        <v>0</v>
      </c>
      <c r="AF235" s="7"/>
      <c r="AG235" s="7"/>
      <c r="AH235" s="7">
        <f t="shared" si="68"/>
        <v>3</v>
      </c>
      <c r="AI235" s="7">
        <f t="shared" si="69"/>
        <v>3</v>
      </c>
      <c r="AJ235" s="7" t="str">
        <f t="shared" si="70"/>
        <v>Correct</v>
      </c>
      <c r="AL235" s="120">
        <f>IFERROR(VLOOKUP(Table1[RespondentID],'All Data'!$A$3:$CO$999,87,FALSE),"unknown")</f>
        <v>0</v>
      </c>
      <c r="AM235" s="120">
        <f>IFERROR(VLOOKUP(Table1[RespondentID],'All Data'!$A$3:$CO$999,88,FALSE),"unknown")</f>
        <v>0</v>
      </c>
      <c r="AN235" s="120">
        <f>IFERROR(VLOOKUP(Table1[RespondentID],'All Data'!$A$3:$CO$999,89,FALSE),"unknown")</f>
        <v>0</v>
      </c>
      <c r="AO235" s="120">
        <f>IFERROR(VLOOKUP(Table1[RespondentID],'All Data'!$A$3:$CO$999,90,FALSE),"unknown")</f>
        <v>0</v>
      </c>
      <c r="AP235" s="120">
        <f>IFERROR(VLOOKUP(Table1[RespondentID],'All Data'!$A$3:$CO$999,91,FALSE),"unknown")</f>
        <v>0</v>
      </c>
      <c r="AQ235" s="120">
        <f>IFERROR(VLOOKUP(Table1[RespondentID],'All Data'!$A$3:$CO$999,92,FALSE),"unknown")</f>
        <v>0</v>
      </c>
      <c r="AR235" s="120">
        <f>IFERROR(VLOOKUP(Table1[RespondentID],'All Data'!$A$3:$CO$999,93,FALSE),"unknown")</f>
        <v>0</v>
      </c>
      <c r="AS235" s="120">
        <f>IFERROR(VLOOKUP(Table1[RespondentID],'All Data'!$A$3:$CW$999,94,FALSE),"unknown")</f>
        <v>0</v>
      </c>
      <c r="AT235" s="120">
        <f>IFERROR(VLOOKUP(Table1[RespondentID],'All Data'!$A$3:$CW$999,95,FALSE),"unknown")</f>
        <v>0</v>
      </c>
      <c r="AU235" s="120">
        <f>IFERROR(VLOOKUP(Table1[RespondentID],'All Data'!$A$3:$CW$999,96,FALSE),"unknown")</f>
        <v>0</v>
      </c>
      <c r="AV235" s="120">
        <f>IFERROR(VLOOKUP(Table1[RespondentID],'All Data'!$A$3:$CW$999,97,FALSE),"unknown")</f>
        <v>0</v>
      </c>
      <c r="AW235" s="120">
        <f>IFERROR(VLOOKUP(Table1[RespondentID],'All Data'!$A$3:$CW$999,98,FALSE),"unknown")</f>
        <v>0</v>
      </c>
      <c r="AX235" s="120">
        <f>IFERROR(VLOOKUP(Table1[RespondentID],'All Data'!$A$3:$CW$999,99,FALSE),"unknown")</f>
        <v>0</v>
      </c>
    </row>
    <row r="236" spans="1:50">
      <c r="A236" s="5">
        <v>18019101345</v>
      </c>
      <c r="B236" s="5"/>
      <c r="C236" s="5"/>
      <c r="D236" s="5"/>
      <c r="E236" s="5"/>
      <c r="F236" s="5" t="s">
        <v>20</v>
      </c>
      <c r="G236" s="5" t="s">
        <v>21</v>
      </c>
      <c r="H236" s="5"/>
      <c r="I236" s="5"/>
      <c r="J236" s="5"/>
      <c r="K236" s="5" t="s">
        <v>25</v>
      </c>
      <c r="L236" s="5"/>
      <c r="M236" s="5"/>
      <c r="N236" s="5"/>
      <c r="O236" s="7"/>
      <c r="P236" s="7">
        <f t="shared" si="54"/>
        <v>3</v>
      </c>
      <c r="Q236" s="7">
        <f t="shared" si="55"/>
        <v>1</v>
      </c>
      <c r="R236" s="7"/>
      <c r="S236" s="7">
        <f t="shared" si="71"/>
        <v>0</v>
      </c>
      <c r="T236" s="7">
        <f t="shared" si="56"/>
        <v>0</v>
      </c>
      <c r="U236" s="7">
        <f t="shared" si="57"/>
        <v>0</v>
      </c>
      <c r="V236" s="119">
        <f t="shared" si="58"/>
        <v>0</v>
      </c>
      <c r="W236" s="119">
        <f t="shared" si="59"/>
        <v>1</v>
      </c>
      <c r="X236" s="119">
        <f t="shared" si="60"/>
        <v>1</v>
      </c>
      <c r="Y236" s="119">
        <f t="shared" si="61"/>
        <v>0</v>
      </c>
      <c r="Z236" s="119">
        <f t="shared" si="62"/>
        <v>0</v>
      </c>
      <c r="AA236" s="119">
        <f t="shared" si="63"/>
        <v>0</v>
      </c>
      <c r="AB236" s="119">
        <f t="shared" si="64"/>
        <v>1</v>
      </c>
      <c r="AC236" s="119">
        <f t="shared" si="65"/>
        <v>0</v>
      </c>
      <c r="AD236" s="119">
        <f t="shared" si="66"/>
        <v>0</v>
      </c>
      <c r="AE236" s="119">
        <f t="shared" si="67"/>
        <v>0</v>
      </c>
      <c r="AF236" s="7"/>
      <c r="AG236" s="7"/>
      <c r="AH236" s="7">
        <f t="shared" si="68"/>
        <v>3</v>
      </c>
      <c r="AI236" s="7">
        <f t="shared" si="69"/>
        <v>3</v>
      </c>
      <c r="AJ236" s="7" t="str">
        <f t="shared" si="70"/>
        <v>Correct</v>
      </c>
      <c r="AL236" s="120" t="str">
        <f>IFERROR(VLOOKUP(Table1[RespondentID],'All Data'!$A$3:$CO$999,87,FALSE),"unknown")</f>
        <v>Man</v>
      </c>
      <c r="AM236" s="120">
        <f>IFERROR(VLOOKUP(Table1[RespondentID],'All Data'!$A$3:$CO$999,88,FALSE),"unknown")</f>
        <v>82</v>
      </c>
      <c r="AN236" s="120" t="str">
        <f>IFERROR(VLOOKUP(Table1[RespondentID],'All Data'!$A$3:$CO$999,89,FALSE),"unknown")</f>
        <v>Suffolk</v>
      </c>
      <c r="AO236" s="120" t="str">
        <f>IFERROR(VLOOKUP(Table1[RespondentID],'All Data'!$A$3:$CO$999,90,FALSE),"unknown")</f>
        <v>Smithtown, 11787</v>
      </c>
      <c r="AP236" s="120" t="str">
        <f>IFERROR(VLOOKUP(Table1[RespondentID],'All Data'!$A$3:$CO$999,91,FALSE),"unknown")</f>
        <v>Black or African American</v>
      </c>
      <c r="AQ236" s="120" t="str">
        <f>IFERROR(VLOOKUP(Table1[RespondentID],'All Data'!$A$3:$CO$999,92,FALSE),"unknown")</f>
        <v>Hispanic or Latino</v>
      </c>
      <c r="AR236" s="120" t="str">
        <f>IFERROR(VLOOKUP(Table1[RespondentID],'All Data'!$A$3:$CO$999,93,FALSE),"unknown")</f>
        <v>English</v>
      </c>
      <c r="AS236" s="120" t="str">
        <f>IFERROR(VLOOKUP(Table1[RespondentID],'All Data'!$A$3:$CW$999,94,FALSE),"unknown")</f>
        <v>$75,000 to $125,000</v>
      </c>
      <c r="AT236" s="120" t="str">
        <f>IFERROR(VLOOKUP(Table1[RespondentID],'All Data'!$A$3:$CW$999,95,FALSE),"unknown")</f>
        <v>Graduate school</v>
      </c>
      <c r="AU236" s="120" t="str">
        <f>IFERROR(VLOOKUP(Table1[RespondentID],'All Data'!$A$3:$CW$999,96,FALSE),"unknown")</f>
        <v>Retired</v>
      </c>
      <c r="AV236" s="120" t="str">
        <f>IFERROR(VLOOKUP(Table1[RespondentID],'All Data'!$A$3:$CW$999,97,FALSE),"unknown")</f>
        <v>Yes</v>
      </c>
      <c r="AW236" s="120">
        <f>IFERROR(VLOOKUP(Table1[RespondentID],'All Data'!$A$3:$CW$999,98,FALSE),"unknown")</f>
        <v>0</v>
      </c>
      <c r="AX236" s="120">
        <f>IFERROR(VLOOKUP(Table1[RespondentID],'All Data'!$A$3:$CW$999,99,FALSE),"unknown")</f>
        <v>0</v>
      </c>
    </row>
    <row r="237" spans="1:50">
      <c r="A237" s="5">
        <v>18019101072</v>
      </c>
      <c r="B237" s="5"/>
      <c r="C237" s="5"/>
      <c r="D237" s="5"/>
      <c r="E237" s="5" t="s">
        <v>19</v>
      </c>
      <c r="F237" s="5" t="s">
        <v>20</v>
      </c>
      <c r="G237" s="5"/>
      <c r="H237" s="5"/>
      <c r="I237" s="5"/>
      <c r="J237" s="5"/>
      <c r="K237" s="5"/>
      <c r="L237" s="5" t="s">
        <v>26</v>
      </c>
      <c r="M237" s="5"/>
      <c r="N237" s="5"/>
      <c r="O237" s="7"/>
      <c r="P237" s="7">
        <f t="shared" si="54"/>
        <v>3</v>
      </c>
      <c r="Q237" s="7">
        <f t="shared" si="55"/>
        <v>1</v>
      </c>
      <c r="R237" s="7"/>
      <c r="S237" s="7">
        <f t="shared" si="71"/>
        <v>0</v>
      </c>
      <c r="T237" s="7">
        <f t="shared" si="56"/>
        <v>0</v>
      </c>
      <c r="U237" s="7">
        <f t="shared" si="57"/>
        <v>0</v>
      </c>
      <c r="V237" s="119">
        <f t="shared" si="58"/>
        <v>1</v>
      </c>
      <c r="W237" s="119">
        <f t="shared" si="59"/>
        <v>1</v>
      </c>
      <c r="X237" s="119">
        <f t="shared" si="60"/>
        <v>0</v>
      </c>
      <c r="Y237" s="119">
        <f t="shared" si="61"/>
        <v>0</v>
      </c>
      <c r="Z237" s="119">
        <f t="shared" si="62"/>
        <v>0</v>
      </c>
      <c r="AA237" s="119">
        <f t="shared" si="63"/>
        <v>0</v>
      </c>
      <c r="AB237" s="119">
        <f t="shared" si="64"/>
        <v>0</v>
      </c>
      <c r="AC237" s="119">
        <f t="shared" si="65"/>
        <v>1</v>
      </c>
      <c r="AD237" s="119">
        <f t="shared" si="66"/>
        <v>0</v>
      </c>
      <c r="AE237" s="119">
        <f t="shared" si="67"/>
        <v>0</v>
      </c>
      <c r="AF237" s="7"/>
      <c r="AG237" s="7"/>
      <c r="AH237" s="7">
        <f t="shared" si="68"/>
        <v>3</v>
      </c>
      <c r="AI237" s="7">
        <f t="shared" si="69"/>
        <v>3</v>
      </c>
      <c r="AJ237" s="7" t="str">
        <f t="shared" si="70"/>
        <v>Correct</v>
      </c>
      <c r="AL237" s="120" t="str">
        <f>IFERROR(VLOOKUP(Table1[RespondentID],'All Data'!$A$3:$CO$999,87,FALSE),"unknown")</f>
        <v>Man</v>
      </c>
      <c r="AM237" s="120">
        <f>IFERROR(VLOOKUP(Table1[RespondentID],'All Data'!$A$3:$CO$999,88,FALSE),"unknown")</f>
        <v>18</v>
      </c>
      <c r="AN237" s="120" t="str">
        <f>IFERROR(VLOOKUP(Table1[RespondentID],'All Data'!$A$3:$CO$999,89,FALSE),"unknown")</f>
        <v>Suffolk</v>
      </c>
      <c r="AO237" s="120" t="str">
        <f>IFERROR(VLOOKUP(Table1[RespondentID],'All Data'!$A$3:$CO$999,90,FALSE),"unknown")</f>
        <v>Smithtown, 11787</v>
      </c>
      <c r="AP237" s="120" t="str">
        <f>IFERROR(VLOOKUP(Table1[RespondentID],'All Data'!$A$3:$CO$999,91,FALSE),"unknown")</f>
        <v>White</v>
      </c>
      <c r="AQ237" s="120" t="str">
        <f>IFERROR(VLOOKUP(Table1[RespondentID],'All Data'!$A$3:$CO$999,92,FALSE),"unknown")</f>
        <v>Hispanic or Latino</v>
      </c>
      <c r="AR237" s="120" t="str">
        <f>IFERROR(VLOOKUP(Table1[RespondentID],'All Data'!$A$3:$CO$999,93,FALSE),"unknown")</f>
        <v>English</v>
      </c>
      <c r="AS237" s="120" t="str">
        <f>IFERROR(VLOOKUP(Table1[RespondentID],'All Data'!$A$3:$CW$999,94,FALSE),"unknown")</f>
        <v>$20,000 to $34,999</v>
      </c>
      <c r="AT237" s="120" t="str">
        <f>IFERROR(VLOOKUP(Table1[RespondentID],'All Data'!$A$3:$CW$999,95,FALSE),"unknown")</f>
        <v>Some college</v>
      </c>
      <c r="AU237" s="120" t="str">
        <f>IFERROR(VLOOKUP(Table1[RespondentID],'All Data'!$A$3:$CW$999,96,FALSE),"unknown")</f>
        <v>Student</v>
      </c>
      <c r="AV237" s="120" t="str">
        <f>IFERROR(VLOOKUP(Table1[RespondentID],'All Data'!$A$3:$CW$999,97,FALSE),"unknown")</f>
        <v>Yes</v>
      </c>
      <c r="AW237" s="120">
        <f>IFERROR(VLOOKUP(Table1[RespondentID],'All Data'!$A$3:$CW$999,98,FALSE),"unknown")</f>
        <v>0</v>
      </c>
      <c r="AX237" s="120">
        <f>IFERROR(VLOOKUP(Table1[RespondentID],'All Data'!$A$3:$CW$999,99,FALSE),"unknown")</f>
        <v>0</v>
      </c>
    </row>
    <row r="238" spans="1:50">
      <c r="A238" s="5">
        <v>18019100917</v>
      </c>
      <c r="B238" s="5" t="s">
        <v>16</v>
      </c>
      <c r="C238" s="5"/>
      <c r="D238" s="5"/>
      <c r="E238" s="5"/>
      <c r="F238" s="5"/>
      <c r="G238" s="5"/>
      <c r="H238" s="5"/>
      <c r="I238" s="5"/>
      <c r="J238" s="5" t="s">
        <v>24</v>
      </c>
      <c r="K238" s="5" t="s">
        <v>25</v>
      </c>
      <c r="L238" s="5"/>
      <c r="M238" s="5"/>
      <c r="N238" s="5"/>
      <c r="O238" s="7"/>
      <c r="P238" s="7">
        <f t="shared" si="54"/>
        <v>3</v>
      </c>
      <c r="Q238" s="7">
        <f t="shared" si="55"/>
        <v>1</v>
      </c>
      <c r="R238" s="7"/>
      <c r="S238" s="7">
        <f t="shared" si="71"/>
        <v>1</v>
      </c>
      <c r="T238" s="7">
        <f t="shared" si="56"/>
        <v>0</v>
      </c>
      <c r="U238" s="7">
        <f t="shared" si="57"/>
        <v>0</v>
      </c>
      <c r="V238" s="119">
        <f t="shared" si="58"/>
        <v>0</v>
      </c>
      <c r="W238" s="119">
        <f t="shared" si="59"/>
        <v>0</v>
      </c>
      <c r="X238" s="119">
        <f t="shared" si="60"/>
        <v>0</v>
      </c>
      <c r="Y238" s="119">
        <f t="shared" si="61"/>
        <v>0</v>
      </c>
      <c r="Z238" s="119">
        <f t="shared" si="62"/>
        <v>0</v>
      </c>
      <c r="AA238" s="119">
        <f t="shared" si="63"/>
        <v>1</v>
      </c>
      <c r="AB238" s="119">
        <f t="shared" si="64"/>
        <v>1</v>
      </c>
      <c r="AC238" s="119">
        <f t="shared" si="65"/>
        <v>0</v>
      </c>
      <c r="AD238" s="119">
        <f t="shared" si="66"/>
        <v>0</v>
      </c>
      <c r="AE238" s="119">
        <f t="shared" si="67"/>
        <v>0</v>
      </c>
      <c r="AF238" s="7"/>
      <c r="AG238" s="7"/>
      <c r="AH238" s="7">
        <f t="shared" si="68"/>
        <v>3</v>
      </c>
      <c r="AI238" s="7">
        <f t="shared" si="69"/>
        <v>3</v>
      </c>
      <c r="AJ238" s="7" t="str">
        <f t="shared" si="70"/>
        <v>Correct</v>
      </c>
      <c r="AL238" s="120" t="str">
        <f>IFERROR(VLOOKUP(Table1[RespondentID],'All Data'!$A$3:$CO$999,87,FALSE),"unknown")</f>
        <v>Woman</v>
      </c>
      <c r="AM238" s="120">
        <f>IFERROR(VLOOKUP(Table1[RespondentID],'All Data'!$A$3:$CO$999,88,FALSE),"unknown")</f>
        <v>34</v>
      </c>
      <c r="AN238" s="120" t="str">
        <f>IFERROR(VLOOKUP(Table1[RespondentID],'All Data'!$A$3:$CO$999,89,FALSE),"unknown")</f>
        <v>Suffolk</v>
      </c>
      <c r="AO238" s="120" t="str">
        <f>IFERROR(VLOOKUP(Table1[RespondentID],'All Data'!$A$3:$CO$999,90,FALSE),"unknown")</f>
        <v>Huntington, 11743</v>
      </c>
      <c r="AP238" s="120" t="str">
        <f>IFERROR(VLOOKUP(Table1[RespondentID],'All Data'!$A$3:$CO$999,91,FALSE),"unknown")</f>
        <v>Native Hawaiian and Other Pacific Islander</v>
      </c>
      <c r="AQ238" s="120" t="str">
        <f>IFERROR(VLOOKUP(Table1[RespondentID],'All Data'!$A$3:$CO$999,92,FALSE),"unknown")</f>
        <v>Hispanic or Latino</v>
      </c>
      <c r="AR238" s="120" t="str">
        <f>IFERROR(VLOOKUP(Table1[RespondentID],'All Data'!$A$3:$CO$999,93,FALSE),"unknown")</f>
        <v>English</v>
      </c>
      <c r="AS238" s="120" t="str">
        <f>IFERROR(VLOOKUP(Table1[RespondentID],'All Data'!$A$3:$CW$999,94,FALSE),"unknown")</f>
        <v>$20,000 to $34,999</v>
      </c>
      <c r="AT238" s="120" t="str">
        <f>IFERROR(VLOOKUP(Table1[RespondentID],'All Data'!$A$3:$CW$999,95,FALSE),"unknown")</f>
        <v>Technical school</v>
      </c>
      <c r="AU238" s="120" t="str">
        <f>IFERROR(VLOOKUP(Table1[RespondentID],'All Data'!$A$3:$CW$999,96,FALSE),"unknown")</f>
        <v>Out of work and looking for work</v>
      </c>
      <c r="AV238" s="120" t="str">
        <f>IFERROR(VLOOKUP(Table1[RespondentID],'All Data'!$A$3:$CW$999,97,FALSE),"unknown")</f>
        <v>No</v>
      </c>
      <c r="AW238" s="120">
        <f>IFERROR(VLOOKUP(Table1[RespondentID],'All Data'!$A$3:$CW$999,98,FALSE),"unknown")</f>
        <v>0</v>
      </c>
      <c r="AX238" s="120">
        <f>IFERROR(VLOOKUP(Table1[RespondentID],'All Data'!$A$3:$CW$999,99,FALSE),"unknown")</f>
        <v>0</v>
      </c>
    </row>
    <row r="239" spans="1:50">
      <c r="A239" s="5">
        <v>18019100690</v>
      </c>
      <c r="B239" s="5"/>
      <c r="C239" s="5" t="s">
        <v>17</v>
      </c>
      <c r="D239" s="5"/>
      <c r="E239" s="5"/>
      <c r="F239" s="5"/>
      <c r="G239" s="5" t="s">
        <v>21</v>
      </c>
      <c r="H239" s="5"/>
      <c r="I239" s="5"/>
      <c r="J239" s="5"/>
      <c r="K239" s="5"/>
      <c r="L239" s="5"/>
      <c r="M239" s="5"/>
      <c r="N239" s="5"/>
      <c r="O239" s="7"/>
      <c r="P239" s="7">
        <f t="shared" si="54"/>
        <v>2</v>
      </c>
      <c r="Q239" s="7">
        <f t="shared" si="55"/>
        <v>1.5</v>
      </c>
      <c r="R239" s="7"/>
      <c r="S239" s="7">
        <f t="shared" si="71"/>
        <v>0</v>
      </c>
      <c r="T239" s="7">
        <f t="shared" si="56"/>
        <v>1</v>
      </c>
      <c r="U239" s="7">
        <f t="shared" si="57"/>
        <v>0</v>
      </c>
      <c r="V239" s="119">
        <f t="shared" si="58"/>
        <v>0</v>
      </c>
      <c r="W239" s="119">
        <f t="shared" si="59"/>
        <v>0</v>
      </c>
      <c r="X239" s="119">
        <f t="shared" si="60"/>
        <v>1</v>
      </c>
      <c r="Y239" s="119">
        <f t="shared" si="61"/>
        <v>0</v>
      </c>
      <c r="Z239" s="119">
        <f t="shared" si="62"/>
        <v>0</v>
      </c>
      <c r="AA239" s="119">
        <f t="shared" si="63"/>
        <v>0</v>
      </c>
      <c r="AB239" s="119">
        <f t="shared" si="64"/>
        <v>0</v>
      </c>
      <c r="AC239" s="119">
        <f t="shared" si="65"/>
        <v>0</v>
      </c>
      <c r="AD239" s="119">
        <f t="shared" si="66"/>
        <v>0</v>
      </c>
      <c r="AE239" s="119">
        <f t="shared" si="67"/>
        <v>0</v>
      </c>
      <c r="AF239" s="7"/>
      <c r="AG239" s="7"/>
      <c r="AH239" s="7">
        <f t="shared" si="68"/>
        <v>2</v>
      </c>
      <c r="AI239" s="7">
        <f t="shared" si="69"/>
        <v>2</v>
      </c>
      <c r="AJ239" s="7" t="str">
        <f t="shared" si="70"/>
        <v>Correct</v>
      </c>
      <c r="AL239" s="120" t="str">
        <f>IFERROR(VLOOKUP(Table1[RespondentID],'All Data'!$A$3:$CO$999,87,FALSE),"unknown")</f>
        <v>Woman</v>
      </c>
      <c r="AM239" s="120">
        <f>IFERROR(VLOOKUP(Table1[RespondentID],'All Data'!$A$3:$CO$999,88,FALSE),"unknown")</f>
        <v>28</v>
      </c>
      <c r="AN239" s="120" t="str">
        <f>IFERROR(VLOOKUP(Table1[RespondentID],'All Data'!$A$3:$CO$999,89,FALSE),"unknown")</f>
        <v>Suffolk</v>
      </c>
      <c r="AO239" s="120" t="str">
        <f>IFERROR(VLOOKUP(Table1[RespondentID],'All Data'!$A$3:$CO$999,90,FALSE),"unknown")</f>
        <v>Greenlawn, 11740</v>
      </c>
      <c r="AP239" s="120" t="str">
        <f>IFERROR(VLOOKUP(Table1[RespondentID],'All Data'!$A$3:$CO$999,91,FALSE),"unknown")</f>
        <v>White</v>
      </c>
      <c r="AQ239" s="120" t="str">
        <f>IFERROR(VLOOKUP(Table1[RespondentID],'All Data'!$A$3:$CO$999,92,FALSE),"unknown")</f>
        <v>Hispanic or Latino</v>
      </c>
      <c r="AR239" s="120" t="str">
        <f>IFERROR(VLOOKUP(Table1[RespondentID],'All Data'!$A$3:$CO$999,93,FALSE),"unknown")</f>
        <v>English</v>
      </c>
      <c r="AS239" s="120" t="str">
        <f>IFERROR(VLOOKUP(Table1[RespondentID],'All Data'!$A$3:$CW$999,94,FALSE),"unknown")</f>
        <v>$50,000 to $74,999</v>
      </c>
      <c r="AT239" s="120" t="str">
        <f>IFERROR(VLOOKUP(Table1[RespondentID],'All Data'!$A$3:$CW$999,95,FALSE),"unknown")</f>
        <v>College graduate</v>
      </c>
      <c r="AU239" s="120" t="str">
        <f>IFERROR(VLOOKUP(Table1[RespondentID],'All Data'!$A$3:$CW$999,96,FALSE),"unknown")</f>
        <v>Employed for wages</v>
      </c>
      <c r="AV239" s="120" t="str">
        <f>IFERROR(VLOOKUP(Table1[RespondentID],'All Data'!$A$3:$CW$999,97,FALSE),"unknown")</f>
        <v>Yes</v>
      </c>
      <c r="AW239" s="120">
        <f>IFERROR(VLOOKUP(Table1[RespondentID],'All Data'!$A$3:$CW$999,98,FALSE),"unknown")</f>
        <v>0</v>
      </c>
      <c r="AX239" s="120">
        <f>IFERROR(VLOOKUP(Table1[RespondentID],'All Data'!$A$3:$CW$999,99,FALSE),"unknown")</f>
        <v>0</v>
      </c>
    </row>
    <row r="240" spans="1:50">
      <c r="A240" s="5">
        <v>18019098685</v>
      </c>
      <c r="B240" s="5"/>
      <c r="C240" s="5" t="s">
        <v>17</v>
      </c>
      <c r="D240" s="5"/>
      <c r="E240" s="5"/>
      <c r="F240" s="5"/>
      <c r="G240" s="5" t="s">
        <v>21</v>
      </c>
      <c r="H240" s="5"/>
      <c r="I240" s="5"/>
      <c r="J240" s="5"/>
      <c r="K240" s="5"/>
      <c r="L240" s="5"/>
      <c r="M240" s="5"/>
      <c r="N240" s="5" t="s">
        <v>28</v>
      </c>
      <c r="O240" s="7"/>
      <c r="P240" s="7">
        <f t="shared" si="54"/>
        <v>3</v>
      </c>
      <c r="Q240" s="7">
        <f t="shared" si="55"/>
        <v>1</v>
      </c>
      <c r="R240" s="7"/>
      <c r="S240" s="7">
        <f t="shared" si="71"/>
        <v>0</v>
      </c>
      <c r="T240" s="7">
        <f t="shared" si="56"/>
        <v>1</v>
      </c>
      <c r="U240" s="7">
        <f t="shared" si="57"/>
        <v>0</v>
      </c>
      <c r="V240" s="119">
        <f t="shared" si="58"/>
        <v>0</v>
      </c>
      <c r="W240" s="119">
        <f t="shared" si="59"/>
        <v>0</v>
      </c>
      <c r="X240" s="119">
        <f t="shared" si="60"/>
        <v>1</v>
      </c>
      <c r="Y240" s="119">
        <f t="shared" si="61"/>
        <v>0</v>
      </c>
      <c r="Z240" s="119">
        <f t="shared" si="62"/>
        <v>0</v>
      </c>
      <c r="AA240" s="119">
        <f t="shared" si="63"/>
        <v>0</v>
      </c>
      <c r="AB240" s="119">
        <f t="shared" si="64"/>
        <v>0</v>
      </c>
      <c r="AC240" s="119">
        <f t="shared" si="65"/>
        <v>0</v>
      </c>
      <c r="AD240" s="119">
        <f t="shared" si="66"/>
        <v>0</v>
      </c>
      <c r="AE240" s="119">
        <f t="shared" si="67"/>
        <v>1</v>
      </c>
      <c r="AF240" s="7"/>
      <c r="AG240" s="7"/>
      <c r="AH240" s="7">
        <f t="shared" si="68"/>
        <v>3</v>
      </c>
      <c r="AI240" s="7">
        <f t="shared" si="69"/>
        <v>3</v>
      </c>
      <c r="AJ240" s="7" t="str">
        <f t="shared" si="70"/>
        <v>Correct</v>
      </c>
      <c r="AL240" s="120" t="str">
        <f>IFERROR(VLOOKUP(Table1[RespondentID],'All Data'!$A$3:$CO$999,87,FALSE),"unknown")</f>
        <v>Man</v>
      </c>
      <c r="AM240" s="120">
        <f>IFERROR(VLOOKUP(Table1[RespondentID],'All Data'!$A$3:$CO$999,88,FALSE),"unknown")</f>
        <v>27</v>
      </c>
      <c r="AN240" s="120" t="str">
        <f>IFERROR(VLOOKUP(Table1[RespondentID],'All Data'!$A$3:$CO$999,89,FALSE),"unknown")</f>
        <v>Suffolk</v>
      </c>
      <c r="AO240" s="120" t="str">
        <f>IFERROR(VLOOKUP(Table1[RespondentID],'All Data'!$A$3:$CO$999,90,FALSE),"unknown")</f>
        <v>Centerport, 11721</v>
      </c>
      <c r="AP240" s="120" t="str">
        <f>IFERROR(VLOOKUP(Table1[RespondentID],'All Data'!$A$3:$CO$999,91,FALSE),"unknown")</f>
        <v>White</v>
      </c>
      <c r="AQ240" s="120">
        <f>IFERROR(VLOOKUP(Table1[RespondentID],'All Data'!$A$3:$CO$999,92,FALSE),"unknown")</f>
        <v>0</v>
      </c>
      <c r="AR240" s="120" t="str">
        <f>IFERROR(VLOOKUP(Table1[RespondentID],'All Data'!$A$3:$CO$999,93,FALSE),"unknown")</f>
        <v>English, Spanish</v>
      </c>
      <c r="AS240" s="120" t="str">
        <f>IFERROR(VLOOKUP(Table1[RespondentID],'All Data'!$A$3:$CW$999,94,FALSE),"unknown")</f>
        <v>$75,000 to $125,000</v>
      </c>
      <c r="AT240" s="120" t="str">
        <f>IFERROR(VLOOKUP(Table1[RespondentID],'All Data'!$A$3:$CW$999,95,FALSE),"unknown")</f>
        <v>College graduate</v>
      </c>
      <c r="AU240" s="120" t="str">
        <f>IFERROR(VLOOKUP(Table1[RespondentID],'All Data'!$A$3:$CW$999,96,FALSE),"unknown")</f>
        <v>Student</v>
      </c>
      <c r="AV240" s="120" t="str">
        <f>IFERROR(VLOOKUP(Table1[RespondentID],'All Data'!$A$3:$CW$999,97,FALSE),"unknown")</f>
        <v>Yes</v>
      </c>
      <c r="AW240" s="120">
        <f>IFERROR(VLOOKUP(Table1[RespondentID],'All Data'!$A$3:$CW$999,98,FALSE),"unknown")</f>
        <v>0</v>
      </c>
      <c r="AX240" s="120">
        <f>IFERROR(VLOOKUP(Table1[RespondentID],'All Data'!$A$3:$CW$999,99,FALSE),"unknown")</f>
        <v>0</v>
      </c>
    </row>
    <row r="241" spans="1:50">
      <c r="A241" s="5">
        <v>18019098565</v>
      </c>
      <c r="B241" s="5"/>
      <c r="C241" s="5" t="s">
        <v>17</v>
      </c>
      <c r="D241" s="5"/>
      <c r="E241" s="5" t="s">
        <v>19</v>
      </c>
      <c r="F241" s="5"/>
      <c r="G241" s="5"/>
      <c r="H241" s="5"/>
      <c r="I241" s="5"/>
      <c r="J241" s="5"/>
      <c r="K241" s="5" t="s">
        <v>25</v>
      </c>
      <c r="L241" s="5"/>
      <c r="M241" s="5"/>
      <c r="N241" s="5"/>
      <c r="O241" s="7"/>
      <c r="P241" s="7">
        <f t="shared" si="54"/>
        <v>3</v>
      </c>
      <c r="Q241" s="7">
        <f t="shared" si="55"/>
        <v>1</v>
      </c>
      <c r="R241" s="7"/>
      <c r="S241" s="7">
        <f t="shared" si="71"/>
        <v>0</v>
      </c>
      <c r="T241" s="7">
        <f t="shared" si="56"/>
        <v>1</v>
      </c>
      <c r="U241" s="7">
        <f t="shared" si="57"/>
        <v>0</v>
      </c>
      <c r="V241" s="119">
        <f t="shared" si="58"/>
        <v>1</v>
      </c>
      <c r="W241" s="119">
        <f t="shared" si="59"/>
        <v>0</v>
      </c>
      <c r="X241" s="119">
        <f t="shared" si="60"/>
        <v>0</v>
      </c>
      <c r="Y241" s="119">
        <f t="shared" si="61"/>
        <v>0</v>
      </c>
      <c r="Z241" s="119">
        <f t="shared" si="62"/>
        <v>0</v>
      </c>
      <c r="AA241" s="119">
        <f t="shared" si="63"/>
        <v>0</v>
      </c>
      <c r="AB241" s="119">
        <f t="shared" si="64"/>
        <v>1</v>
      </c>
      <c r="AC241" s="119">
        <f t="shared" si="65"/>
        <v>0</v>
      </c>
      <c r="AD241" s="119">
        <f t="shared" si="66"/>
        <v>0</v>
      </c>
      <c r="AE241" s="119">
        <f t="shared" si="67"/>
        <v>0</v>
      </c>
      <c r="AF241" s="7"/>
      <c r="AG241" s="7"/>
      <c r="AH241" s="7">
        <f t="shared" si="68"/>
        <v>3</v>
      </c>
      <c r="AI241" s="7">
        <f t="shared" si="69"/>
        <v>3</v>
      </c>
      <c r="AJ241" s="7" t="str">
        <f t="shared" si="70"/>
        <v>Correct</v>
      </c>
      <c r="AL241" s="120" t="str">
        <f>IFERROR(VLOOKUP(Table1[RespondentID],'All Data'!$A$3:$CO$999,87,FALSE),"unknown")</f>
        <v>Man</v>
      </c>
      <c r="AM241" s="120">
        <f>IFERROR(VLOOKUP(Table1[RespondentID],'All Data'!$A$3:$CO$999,88,FALSE),"unknown")</f>
        <v>22</v>
      </c>
      <c r="AN241" s="120" t="str">
        <f>IFERROR(VLOOKUP(Table1[RespondentID],'All Data'!$A$3:$CO$999,89,FALSE),"unknown")</f>
        <v>Suffolk</v>
      </c>
      <c r="AO241" s="120" t="str">
        <f>IFERROR(VLOOKUP(Table1[RespondentID],'All Data'!$A$3:$CO$999,90,FALSE),"unknown")</f>
        <v>Centerport, 11721</v>
      </c>
      <c r="AP241" s="120" t="str">
        <f>IFERROR(VLOOKUP(Table1[RespondentID],'All Data'!$A$3:$CO$999,91,FALSE),"unknown")</f>
        <v>White</v>
      </c>
      <c r="AQ241" s="120" t="str">
        <f>IFERROR(VLOOKUP(Table1[RespondentID],'All Data'!$A$3:$CO$999,92,FALSE),"unknown")</f>
        <v>Hispanic or Latino</v>
      </c>
      <c r="AR241" s="120" t="str">
        <f>IFERROR(VLOOKUP(Table1[RespondentID],'All Data'!$A$3:$CO$999,93,FALSE),"unknown")</f>
        <v>English, Polish</v>
      </c>
      <c r="AS241" s="120" t="str">
        <f>IFERROR(VLOOKUP(Table1[RespondentID],'All Data'!$A$3:$CW$999,94,FALSE),"unknown")</f>
        <v>$75,000 to $125,000</v>
      </c>
      <c r="AT241" s="120" t="str">
        <f>IFERROR(VLOOKUP(Table1[RespondentID],'All Data'!$A$3:$CW$999,95,FALSE),"unknown")</f>
        <v>Some college</v>
      </c>
      <c r="AU241" s="120" t="str">
        <f>IFERROR(VLOOKUP(Table1[RespondentID],'All Data'!$A$3:$CW$999,96,FALSE),"unknown")</f>
        <v>Student</v>
      </c>
      <c r="AV241" s="120" t="str">
        <f>IFERROR(VLOOKUP(Table1[RespondentID],'All Data'!$A$3:$CW$999,97,FALSE),"unknown")</f>
        <v>No</v>
      </c>
      <c r="AW241" s="120">
        <f>IFERROR(VLOOKUP(Table1[RespondentID],'All Data'!$A$3:$CW$999,98,FALSE),"unknown")</f>
        <v>0</v>
      </c>
      <c r="AX241" s="120">
        <f>IFERROR(VLOOKUP(Table1[RespondentID],'All Data'!$A$3:$CW$999,99,FALSE),"unknown")</f>
        <v>0</v>
      </c>
    </row>
    <row r="242" spans="1:50">
      <c r="A242" s="5">
        <v>18019098372</v>
      </c>
      <c r="B242" s="5"/>
      <c r="C242" s="5" t="s">
        <v>17</v>
      </c>
      <c r="D242" s="5"/>
      <c r="E242" s="5"/>
      <c r="F242" s="5"/>
      <c r="G242" s="5"/>
      <c r="H242" s="5"/>
      <c r="I242" s="5"/>
      <c r="J242" s="5"/>
      <c r="K242" s="5" t="s">
        <v>25</v>
      </c>
      <c r="L242" s="5" t="s">
        <v>26</v>
      </c>
      <c r="M242" s="5"/>
      <c r="N242" s="5"/>
      <c r="O242" s="7"/>
      <c r="P242" s="7">
        <f t="shared" si="54"/>
        <v>3</v>
      </c>
      <c r="Q242" s="7">
        <f t="shared" si="55"/>
        <v>1</v>
      </c>
      <c r="R242" s="7"/>
      <c r="S242" s="7">
        <f t="shared" si="71"/>
        <v>0</v>
      </c>
      <c r="T242" s="7">
        <f t="shared" si="56"/>
        <v>1</v>
      </c>
      <c r="U242" s="7">
        <f t="shared" si="57"/>
        <v>0</v>
      </c>
      <c r="V242" s="119">
        <f t="shared" si="58"/>
        <v>0</v>
      </c>
      <c r="W242" s="119">
        <f t="shared" si="59"/>
        <v>0</v>
      </c>
      <c r="X242" s="119">
        <f t="shared" si="60"/>
        <v>0</v>
      </c>
      <c r="Y242" s="119">
        <f t="shared" si="61"/>
        <v>0</v>
      </c>
      <c r="Z242" s="119">
        <f t="shared" si="62"/>
        <v>0</v>
      </c>
      <c r="AA242" s="119">
        <f t="shared" si="63"/>
        <v>0</v>
      </c>
      <c r="AB242" s="119">
        <f t="shared" si="64"/>
        <v>1</v>
      </c>
      <c r="AC242" s="119">
        <f t="shared" si="65"/>
        <v>1</v>
      </c>
      <c r="AD242" s="119">
        <f t="shared" si="66"/>
        <v>0</v>
      </c>
      <c r="AE242" s="119">
        <f t="shared" si="67"/>
        <v>0</v>
      </c>
      <c r="AF242" s="7"/>
      <c r="AG242" s="7"/>
      <c r="AH242" s="7">
        <f t="shared" si="68"/>
        <v>3</v>
      </c>
      <c r="AI242" s="7">
        <f t="shared" si="69"/>
        <v>3</v>
      </c>
      <c r="AJ242" s="7" t="str">
        <f t="shared" si="70"/>
        <v>Correct</v>
      </c>
      <c r="AL242" s="120" t="str">
        <f>IFERROR(VLOOKUP(Table1[RespondentID],'All Data'!$A$3:$CO$999,87,FALSE),"unknown")</f>
        <v>Man</v>
      </c>
      <c r="AM242" s="120">
        <f>IFERROR(VLOOKUP(Table1[RespondentID],'All Data'!$A$3:$CO$999,88,FALSE),"unknown")</f>
        <v>59</v>
      </c>
      <c r="AN242" s="120" t="str">
        <f>IFERROR(VLOOKUP(Table1[RespondentID],'All Data'!$A$3:$CO$999,89,FALSE),"unknown")</f>
        <v>Suffolk</v>
      </c>
      <c r="AO242" s="120" t="str">
        <f>IFERROR(VLOOKUP(Table1[RespondentID],'All Data'!$A$3:$CO$999,90,FALSE),"unknown")</f>
        <v>Setauket, 11733</v>
      </c>
      <c r="AP242" s="120" t="str">
        <f>IFERROR(VLOOKUP(Table1[RespondentID],'All Data'!$A$3:$CO$999,91,FALSE),"unknown")</f>
        <v>White</v>
      </c>
      <c r="AQ242" s="120">
        <f>IFERROR(VLOOKUP(Table1[RespondentID],'All Data'!$A$3:$CO$999,92,FALSE),"unknown")</f>
        <v>0</v>
      </c>
      <c r="AR242" s="120" t="str">
        <f>IFERROR(VLOOKUP(Table1[RespondentID],'All Data'!$A$3:$CO$999,93,FALSE),"unknown")</f>
        <v>English</v>
      </c>
      <c r="AS242" s="120">
        <f>IFERROR(VLOOKUP(Table1[RespondentID],'All Data'!$A$3:$CW$999,94,FALSE),"unknown")</f>
        <v>0</v>
      </c>
      <c r="AT242" s="120" t="str">
        <f>IFERROR(VLOOKUP(Table1[RespondentID],'All Data'!$A$3:$CW$999,95,FALSE),"unknown")</f>
        <v>Some college</v>
      </c>
      <c r="AU242" s="120" t="str">
        <f>IFERROR(VLOOKUP(Table1[RespondentID],'All Data'!$A$3:$CW$999,96,FALSE),"unknown")</f>
        <v>Retired</v>
      </c>
      <c r="AV242" s="120" t="str">
        <f>IFERROR(VLOOKUP(Table1[RespondentID],'All Data'!$A$3:$CW$999,97,FALSE),"unknown")</f>
        <v>Yes</v>
      </c>
      <c r="AW242" s="120">
        <f>IFERROR(VLOOKUP(Table1[RespondentID],'All Data'!$A$3:$CW$999,98,FALSE),"unknown")</f>
        <v>0</v>
      </c>
      <c r="AX242" s="120">
        <f>IFERROR(VLOOKUP(Table1[RespondentID],'All Data'!$A$3:$CW$999,99,FALSE),"unknown")</f>
        <v>0</v>
      </c>
    </row>
    <row r="243" spans="1:50">
      <c r="A243" s="5">
        <v>18019098190</v>
      </c>
      <c r="B243" s="5"/>
      <c r="C243" s="5"/>
      <c r="D243" s="5"/>
      <c r="E243" s="5"/>
      <c r="F243" s="5"/>
      <c r="G243" s="5"/>
      <c r="H243" s="5" t="s">
        <v>22</v>
      </c>
      <c r="I243" s="5"/>
      <c r="J243" s="5" t="s">
        <v>24</v>
      </c>
      <c r="K243" s="5"/>
      <c r="L243" s="5"/>
      <c r="M243" s="5" t="s">
        <v>27</v>
      </c>
      <c r="N243" s="5" t="s">
        <v>28</v>
      </c>
      <c r="O243" s="7"/>
      <c r="P243" s="7">
        <f t="shared" si="54"/>
        <v>4</v>
      </c>
      <c r="Q243" s="7">
        <f t="shared" si="55"/>
        <v>0.75</v>
      </c>
      <c r="R243" s="7"/>
      <c r="S243" s="7">
        <f t="shared" si="71"/>
        <v>0</v>
      </c>
      <c r="T243" s="7">
        <f t="shared" si="56"/>
        <v>0</v>
      </c>
      <c r="U243" s="7">
        <f t="shared" si="57"/>
        <v>0</v>
      </c>
      <c r="V243" s="119">
        <f t="shared" si="58"/>
        <v>0</v>
      </c>
      <c r="W243" s="119">
        <f t="shared" si="59"/>
        <v>0</v>
      </c>
      <c r="X243" s="119">
        <f t="shared" si="60"/>
        <v>0</v>
      </c>
      <c r="Y243" s="119">
        <f t="shared" si="61"/>
        <v>0.75</v>
      </c>
      <c r="Z243" s="119">
        <f t="shared" si="62"/>
        <v>0</v>
      </c>
      <c r="AA243" s="119">
        <f t="shared" si="63"/>
        <v>0.75</v>
      </c>
      <c r="AB243" s="119">
        <f t="shared" si="64"/>
        <v>0</v>
      </c>
      <c r="AC243" s="119">
        <f t="shared" si="65"/>
        <v>0</v>
      </c>
      <c r="AD243" s="119">
        <f t="shared" si="66"/>
        <v>0.75</v>
      </c>
      <c r="AE243" s="119">
        <f t="shared" si="67"/>
        <v>0.75</v>
      </c>
      <c r="AF243" s="7"/>
      <c r="AG243" s="7"/>
      <c r="AH243" s="7">
        <f t="shared" si="68"/>
        <v>3</v>
      </c>
      <c r="AI243" s="7">
        <f t="shared" si="69"/>
        <v>4</v>
      </c>
      <c r="AJ243" s="7" t="str">
        <f t="shared" si="70"/>
        <v>Correct</v>
      </c>
      <c r="AL243" s="120" t="str">
        <f>IFERROR(VLOOKUP(Table1[RespondentID],'All Data'!$A$3:$CO$999,87,FALSE),"unknown")</f>
        <v>Man</v>
      </c>
      <c r="AM243" s="120">
        <f>IFERROR(VLOOKUP(Table1[RespondentID],'All Data'!$A$3:$CO$999,88,FALSE),"unknown")</f>
        <v>40</v>
      </c>
      <c r="AN243" s="120" t="str">
        <f>IFERROR(VLOOKUP(Table1[RespondentID],'All Data'!$A$3:$CO$999,89,FALSE),"unknown")</f>
        <v>Suffolk</v>
      </c>
      <c r="AO243" s="120" t="str">
        <f>IFERROR(VLOOKUP(Table1[RespondentID],'All Data'!$A$3:$CO$999,90,FALSE),"unknown")</f>
        <v>Port Jefferson Station, 11776</v>
      </c>
      <c r="AP243" s="120" t="str">
        <f>IFERROR(VLOOKUP(Table1[RespondentID],'All Data'!$A$3:$CO$999,91,FALSE),"unknown")</f>
        <v>Other (please specify)</v>
      </c>
      <c r="AQ243" s="120" t="str">
        <f>IFERROR(VLOOKUP(Table1[RespondentID],'All Data'!$A$3:$CO$999,92,FALSE),"unknown")</f>
        <v>Hispanic or Latino</v>
      </c>
      <c r="AR243" s="120">
        <f>IFERROR(VLOOKUP(Table1[RespondentID],'All Data'!$A$3:$CO$999,93,FALSE),"unknown")</f>
        <v>0</v>
      </c>
      <c r="AS243" s="120" t="str">
        <f>IFERROR(VLOOKUP(Table1[RespondentID],'All Data'!$A$3:$CW$999,94,FALSE),"unknown")</f>
        <v>$75,000 to $125,000</v>
      </c>
      <c r="AT243" s="120" t="str">
        <f>IFERROR(VLOOKUP(Table1[RespondentID],'All Data'!$A$3:$CW$999,95,FALSE),"unknown")</f>
        <v>College graduate</v>
      </c>
      <c r="AU243" s="120" t="str">
        <f>IFERROR(VLOOKUP(Table1[RespondentID],'All Data'!$A$3:$CW$999,96,FALSE),"unknown")</f>
        <v>Employed for wages</v>
      </c>
      <c r="AV243" s="120" t="str">
        <f>IFERROR(VLOOKUP(Table1[RespondentID],'All Data'!$A$3:$CW$999,97,FALSE),"unknown")</f>
        <v>Yes</v>
      </c>
      <c r="AW243" s="120">
        <f>IFERROR(VLOOKUP(Table1[RespondentID],'All Data'!$A$3:$CW$999,98,FALSE),"unknown")</f>
        <v>0</v>
      </c>
      <c r="AX243" s="120">
        <f>IFERROR(VLOOKUP(Table1[RespondentID],'All Data'!$A$3:$CW$999,99,FALSE),"unknown")</f>
        <v>0</v>
      </c>
    </row>
    <row r="244" spans="1:50">
      <c r="A244" s="5">
        <v>18019097991</v>
      </c>
      <c r="B244" s="5"/>
      <c r="C244" s="5" t="s">
        <v>17</v>
      </c>
      <c r="D244" s="5" t="s">
        <v>18</v>
      </c>
      <c r="E244" s="5"/>
      <c r="F244" s="5"/>
      <c r="G244" s="5"/>
      <c r="H244" s="5"/>
      <c r="I244" s="5"/>
      <c r="J244" s="5"/>
      <c r="K244" s="5"/>
      <c r="L244" s="5"/>
      <c r="M244" s="5"/>
      <c r="N244" s="5" t="s">
        <v>28</v>
      </c>
      <c r="O244" s="7"/>
      <c r="P244" s="7">
        <f t="shared" si="54"/>
        <v>3</v>
      </c>
      <c r="Q244" s="7">
        <f t="shared" si="55"/>
        <v>1</v>
      </c>
      <c r="R244" s="7"/>
      <c r="S244" s="7">
        <f t="shared" si="71"/>
        <v>0</v>
      </c>
      <c r="T244" s="7">
        <f t="shared" si="56"/>
        <v>1</v>
      </c>
      <c r="U244" s="7">
        <f t="shared" si="57"/>
        <v>1</v>
      </c>
      <c r="V244" s="119">
        <f t="shared" si="58"/>
        <v>0</v>
      </c>
      <c r="W244" s="119">
        <f t="shared" si="59"/>
        <v>0</v>
      </c>
      <c r="X244" s="119">
        <f t="shared" si="60"/>
        <v>0</v>
      </c>
      <c r="Y244" s="119">
        <f t="shared" si="61"/>
        <v>0</v>
      </c>
      <c r="Z244" s="119">
        <f t="shared" si="62"/>
        <v>0</v>
      </c>
      <c r="AA244" s="119">
        <f t="shared" si="63"/>
        <v>0</v>
      </c>
      <c r="AB244" s="119">
        <f t="shared" si="64"/>
        <v>0</v>
      </c>
      <c r="AC244" s="119">
        <f t="shared" si="65"/>
        <v>0</v>
      </c>
      <c r="AD244" s="119">
        <f t="shared" si="66"/>
        <v>0</v>
      </c>
      <c r="AE244" s="119">
        <f t="shared" si="67"/>
        <v>1</v>
      </c>
      <c r="AF244" s="7"/>
      <c r="AG244" s="7"/>
      <c r="AH244" s="7">
        <f t="shared" si="68"/>
        <v>3</v>
      </c>
      <c r="AI244" s="7">
        <f t="shared" si="69"/>
        <v>3</v>
      </c>
      <c r="AJ244" s="7" t="str">
        <f t="shared" si="70"/>
        <v>Correct</v>
      </c>
      <c r="AL244" s="120" t="str">
        <f>IFERROR(VLOOKUP(Table1[RespondentID],'All Data'!$A$3:$CO$999,87,FALSE),"unknown")</f>
        <v>Woman</v>
      </c>
      <c r="AM244" s="120">
        <f>IFERROR(VLOOKUP(Table1[RespondentID],'All Data'!$A$3:$CO$999,88,FALSE),"unknown")</f>
        <v>47</v>
      </c>
      <c r="AN244" s="120" t="str">
        <f>IFERROR(VLOOKUP(Table1[RespondentID],'All Data'!$A$3:$CO$999,89,FALSE),"unknown")</f>
        <v>Suffolk</v>
      </c>
      <c r="AO244" s="120" t="str">
        <f>IFERROR(VLOOKUP(Table1[RespondentID],'All Data'!$A$3:$CO$999,90,FALSE),"unknown")</f>
        <v>North Babylon, 11703</v>
      </c>
      <c r="AP244" s="120" t="str">
        <f>IFERROR(VLOOKUP(Table1[RespondentID],'All Data'!$A$3:$CO$999,91,FALSE),"unknown")</f>
        <v>White</v>
      </c>
      <c r="AQ244" s="120" t="str">
        <f>IFERROR(VLOOKUP(Table1[RespondentID],'All Data'!$A$3:$CO$999,92,FALSE),"unknown")</f>
        <v>Hispanic or Latino</v>
      </c>
      <c r="AR244" s="120" t="str">
        <f>IFERROR(VLOOKUP(Table1[RespondentID],'All Data'!$A$3:$CO$999,93,FALSE),"unknown")</f>
        <v>English</v>
      </c>
      <c r="AS244" s="120" t="str">
        <f>IFERROR(VLOOKUP(Table1[RespondentID],'All Data'!$A$3:$CW$999,94,FALSE),"unknown")</f>
        <v>Over $125,000</v>
      </c>
      <c r="AT244" s="120" t="str">
        <f>IFERROR(VLOOKUP(Table1[RespondentID],'All Data'!$A$3:$CW$999,95,FALSE),"unknown")</f>
        <v>Graduate school</v>
      </c>
      <c r="AU244" s="120" t="str">
        <f>IFERROR(VLOOKUP(Table1[RespondentID],'All Data'!$A$3:$CW$999,96,FALSE),"unknown")</f>
        <v>Employed for wages</v>
      </c>
      <c r="AV244" s="120" t="str">
        <f>IFERROR(VLOOKUP(Table1[RespondentID],'All Data'!$A$3:$CW$999,97,FALSE),"unknown")</f>
        <v>Yes</v>
      </c>
      <c r="AW244" s="120">
        <f>IFERROR(VLOOKUP(Table1[RespondentID],'All Data'!$A$3:$CW$999,98,FALSE),"unknown")</f>
        <v>0</v>
      </c>
      <c r="AX244" s="120">
        <f>IFERROR(VLOOKUP(Table1[RespondentID],'All Data'!$A$3:$CW$999,99,FALSE),"unknown")</f>
        <v>0</v>
      </c>
    </row>
    <row r="245" spans="1:50">
      <c r="A245" s="5">
        <v>18019097887</v>
      </c>
      <c r="B245" s="5"/>
      <c r="C245" s="5" t="s">
        <v>17</v>
      </c>
      <c r="D245" s="5"/>
      <c r="E245" s="5"/>
      <c r="F245" s="5"/>
      <c r="G245" s="5"/>
      <c r="H245" s="5"/>
      <c r="I245" s="5"/>
      <c r="J245" s="5"/>
      <c r="K245" s="5"/>
      <c r="L245" s="5" t="s">
        <v>26</v>
      </c>
      <c r="M245" s="5"/>
      <c r="N245" s="5"/>
      <c r="O245" s="7"/>
      <c r="P245" s="7">
        <f t="shared" si="54"/>
        <v>2</v>
      </c>
      <c r="Q245" s="7">
        <f t="shared" si="55"/>
        <v>1.5</v>
      </c>
      <c r="R245" s="7"/>
      <c r="S245" s="7">
        <f t="shared" si="71"/>
        <v>0</v>
      </c>
      <c r="T245" s="7">
        <f t="shared" si="56"/>
        <v>1</v>
      </c>
      <c r="U245" s="7">
        <f t="shared" si="57"/>
        <v>0</v>
      </c>
      <c r="V245" s="119">
        <f t="shared" si="58"/>
        <v>0</v>
      </c>
      <c r="W245" s="119">
        <f t="shared" si="59"/>
        <v>0</v>
      </c>
      <c r="X245" s="119">
        <f t="shared" si="60"/>
        <v>0</v>
      </c>
      <c r="Y245" s="119">
        <f t="shared" si="61"/>
        <v>0</v>
      </c>
      <c r="Z245" s="119">
        <f t="shared" si="62"/>
        <v>0</v>
      </c>
      <c r="AA245" s="119">
        <f t="shared" si="63"/>
        <v>0</v>
      </c>
      <c r="AB245" s="119">
        <f t="shared" si="64"/>
        <v>0</v>
      </c>
      <c r="AC245" s="119">
        <f t="shared" si="65"/>
        <v>1</v>
      </c>
      <c r="AD245" s="119">
        <f t="shared" si="66"/>
        <v>0</v>
      </c>
      <c r="AE245" s="119">
        <f t="shared" si="67"/>
        <v>0</v>
      </c>
      <c r="AF245" s="7"/>
      <c r="AG245" s="7"/>
      <c r="AH245" s="7">
        <f t="shared" si="68"/>
        <v>2</v>
      </c>
      <c r="AI245" s="7">
        <f t="shared" si="69"/>
        <v>2</v>
      </c>
      <c r="AJ245" s="7" t="str">
        <f t="shared" si="70"/>
        <v>Correct</v>
      </c>
      <c r="AL245" s="120" t="str">
        <f>IFERROR(VLOOKUP(Table1[RespondentID],'All Data'!$A$3:$CO$999,87,FALSE),"unknown")</f>
        <v>Man</v>
      </c>
      <c r="AM245" s="120">
        <f>IFERROR(VLOOKUP(Table1[RespondentID],'All Data'!$A$3:$CO$999,88,FALSE),"unknown")</f>
        <v>40</v>
      </c>
      <c r="AN245" s="120" t="str">
        <f>IFERROR(VLOOKUP(Table1[RespondentID],'All Data'!$A$3:$CO$999,89,FALSE),"unknown")</f>
        <v>Suffolk</v>
      </c>
      <c r="AO245" s="120" t="str">
        <f>IFERROR(VLOOKUP(Table1[RespondentID],'All Data'!$A$3:$CO$999,90,FALSE),"unknown")</f>
        <v>Rocky Point, 11778</v>
      </c>
      <c r="AP245" s="120" t="str">
        <f>IFERROR(VLOOKUP(Table1[RespondentID],'All Data'!$A$3:$CO$999,91,FALSE),"unknown")</f>
        <v>White</v>
      </c>
      <c r="AQ245" s="120" t="str">
        <f>IFERROR(VLOOKUP(Table1[RespondentID],'All Data'!$A$3:$CO$999,92,FALSE),"unknown")</f>
        <v>Hispanic or Latino</v>
      </c>
      <c r="AR245" s="120" t="str">
        <f>IFERROR(VLOOKUP(Table1[RespondentID],'All Data'!$A$3:$CO$999,93,FALSE),"unknown")</f>
        <v>English</v>
      </c>
      <c r="AS245" s="120">
        <f>IFERROR(VLOOKUP(Table1[RespondentID],'All Data'!$A$3:$CW$999,94,FALSE),"unknown")</f>
        <v>0</v>
      </c>
      <c r="AT245" s="120" t="str">
        <f>IFERROR(VLOOKUP(Table1[RespondentID],'All Data'!$A$3:$CW$999,95,FALSE),"unknown")</f>
        <v>Graduate school</v>
      </c>
      <c r="AU245" s="120" t="str">
        <f>IFERROR(VLOOKUP(Table1[RespondentID],'All Data'!$A$3:$CW$999,96,FALSE),"unknown")</f>
        <v>Employed for wages</v>
      </c>
      <c r="AV245" s="120" t="str">
        <f>IFERROR(VLOOKUP(Table1[RespondentID],'All Data'!$A$3:$CW$999,97,FALSE),"unknown")</f>
        <v>Yes</v>
      </c>
      <c r="AW245" s="120">
        <f>IFERROR(VLOOKUP(Table1[RespondentID],'All Data'!$A$3:$CW$999,98,FALSE),"unknown")</f>
        <v>0</v>
      </c>
      <c r="AX245" s="120">
        <f>IFERROR(VLOOKUP(Table1[RespondentID],'All Data'!$A$3:$CW$999,99,FALSE),"unknown")</f>
        <v>0</v>
      </c>
    </row>
    <row r="246" spans="1:50">
      <c r="A246" s="5">
        <v>18019097745</v>
      </c>
      <c r="B246" s="5"/>
      <c r="C246" s="5" t="s">
        <v>17</v>
      </c>
      <c r="D246" s="5" t="s">
        <v>18</v>
      </c>
      <c r="E246" s="5"/>
      <c r="F246" s="5"/>
      <c r="G246" s="5"/>
      <c r="H246" s="5"/>
      <c r="I246" s="5"/>
      <c r="J246" s="5"/>
      <c r="K246" s="5"/>
      <c r="L246" s="5"/>
      <c r="M246" s="5"/>
      <c r="N246" s="5" t="s">
        <v>28</v>
      </c>
      <c r="O246" s="7"/>
      <c r="P246" s="7">
        <f t="shared" si="54"/>
        <v>3</v>
      </c>
      <c r="Q246" s="7">
        <f t="shared" si="55"/>
        <v>1</v>
      </c>
      <c r="R246" s="7"/>
      <c r="S246" s="7">
        <f t="shared" si="71"/>
        <v>0</v>
      </c>
      <c r="T246" s="7">
        <f t="shared" si="56"/>
        <v>1</v>
      </c>
      <c r="U246" s="7">
        <f t="shared" si="57"/>
        <v>1</v>
      </c>
      <c r="V246" s="119">
        <f t="shared" si="58"/>
        <v>0</v>
      </c>
      <c r="W246" s="119">
        <f t="shared" si="59"/>
        <v>0</v>
      </c>
      <c r="X246" s="119">
        <f t="shared" si="60"/>
        <v>0</v>
      </c>
      <c r="Y246" s="119">
        <f t="shared" si="61"/>
        <v>0</v>
      </c>
      <c r="Z246" s="119">
        <f t="shared" si="62"/>
        <v>0</v>
      </c>
      <c r="AA246" s="119">
        <f t="shared" si="63"/>
        <v>0</v>
      </c>
      <c r="AB246" s="119">
        <f t="shared" si="64"/>
        <v>0</v>
      </c>
      <c r="AC246" s="119">
        <f t="shared" si="65"/>
        <v>0</v>
      </c>
      <c r="AD246" s="119">
        <f t="shared" si="66"/>
        <v>0</v>
      </c>
      <c r="AE246" s="119">
        <f t="shared" si="67"/>
        <v>1</v>
      </c>
      <c r="AF246" s="7"/>
      <c r="AG246" s="7"/>
      <c r="AH246" s="7">
        <f t="shared" si="68"/>
        <v>3</v>
      </c>
      <c r="AI246" s="7">
        <f t="shared" si="69"/>
        <v>3</v>
      </c>
      <c r="AJ246" s="7" t="str">
        <f t="shared" si="70"/>
        <v>Correct</v>
      </c>
      <c r="AL246" s="120" t="str">
        <f>IFERROR(VLOOKUP(Table1[RespondentID],'All Data'!$A$3:$CO$999,87,FALSE),"unknown")</f>
        <v>Woman</v>
      </c>
      <c r="AM246" s="120">
        <f>IFERROR(VLOOKUP(Table1[RespondentID],'All Data'!$A$3:$CO$999,88,FALSE),"unknown")</f>
        <v>39</v>
      </c>
      <c r="AN246" s="120" t="str">
        <f>IFERROR(VLOOKUP(Table1[RespondentID],'All Data'!$A$3:$CO$999,89,FALSE),"unknown")</f>
        <v>Suffolk</v>
      </c>
      <c r="AO246" s="120" t="str">
        <f>IFERROR(VLOOKUP(Table1[RespondentID],'All Data'!$A$3:$CO$999,90,FALSE),"unknown")</f>
        <v>Smithtown, 11787</v>
      </c>
      <c r="AP246" s="120" t="str">
        <f>IFERROR(VLOOKUP(Table1[RespondentID],'All Data'!$A$3:$CO$999,91,FALSE),"unknown")</f>
        <v>White</v>
      </c>
      <c r="AQ246" s="120" t="str">
        <f>IFERROR(VLOOKUP(Table1[RespondentID],'All Data'!$A$3:$CO$999,92,FALSE),"unknown")</f>
        <v>Hispanic or Latino</v>
      </c>
      <c r="AR246" s="120" t="str">
        <f>IFERROR(VLOOKUP(Table1[RespondentID],'All Data'!$A$3:$CO$999,93,FALSE),"unknown")</f>
        <v>English</v>
      </c>
      <c r="AS246" s="120" t="str">
        <f>IFERROR(VLOOKUP(Table1[RespondentID],'All Data'!$A$3:$CW$999,94,FALSE),"unknown")</f>
        <v>Over $125,000</v>
      </c>
      <c r="AT246" s="120" t="str">
        <f>IFERROR(VLOOKUP(Table1[RespondentID],'All Data'!$A$3:$CW$999,95,FALSE),"unknown")</f>
        <v>Graduate school</v>
      </c>
      <c r="AU246" s="120" t="str">
        <f>IFERROR(VLOOKUP(Table1[RespondentID],'All Data'!$A$3:$CW$999,96,FALSE),"unknown")</f>
        <v>Employed for wages</v>
      </c>
      <c r="AV246" s="120" t="str">
        <f>IFERROR(VLOOKUP(Table1[RespondentID],'All Data'!$A$3:$CW$999,97,FALSE),"unknown")</f>
        <v>Yes</v>
      </c>
      <c r="AW246" s="120">
        <f>IFERROR(VLOOKUP(Table1[RespondentID],'All Data'!$A$3:$CW$999,98,FALSE),"unknown")</f>
        <v>0</v>
      </c>
      <c r="AX246" s="120">
        <f>IFERROR(VLOOKUP(Table1[RespondentID],'All Data'!$A$3:$CW$999,99,FALSE),"unknown")</f>
        <v>0</v>
      </c>
    </row>
    <row r="247" spans="1:50">
      <c r="A247" s="5">
        <v>18019097274</v>
      </c>
      <c r="B247" s="5"/>
      <c r="C247" s="5" t="s">
        <v>17</v>
      </c>
      <c r="D247" s="5" t="s">
        <v>18</v>
      </c>
      <c r="E247" s="5"/>
      <c r="F247" s="5"/>
      <c r="G247" s="5"/>
      <c r="H247" s="5" t="s">
        <v>22</v>
      </c>
      <c r="I247" s="5"/>
      <c r="J247" s="5" t="s">
        <v>24</v>
      </c>
      <c r="K247" s="5"/>
      <c r="L247" s="5"/>
      <c r="M247" s="5"/>
      <c r="N247" s="5"/>
      <c r="O247" s="7"/>
      <c r="P247" s="7">
        <f t="shared" si="54"/>
        <v>4</v>
      </c>
      <c r="Q247" s="7">
        <f t="shared" si="55"/>
        <v>0.75</v>
      </c>
      <c r="R247" s="7"/>
      <c r="S247" s="7">
        <f t="shared" si="71"/>
        <v>0</v>
      </c>
      <c r="T247" s="7">
        <f t="shared" si="56"/>
        <v>0.75</v>
      </c>
      <c r="U247" s="7">
        <f t="shared" si="57"/>
        <v>0.75</v>
      </c>
      <c r="V247" s="119">
        <f t="shared" si="58"/>
        <v>0</v>
      </c>
      <c r="W247" s="119">
        <f t="shared" si="59"/>
        <v>0</v>
      </c>
      <c r="X247" s="119">
        <f t="shared" si="60"/>
        <v>0</v>
      </c>
      <c r="Y247" s="119">
        <f t="shared" si="61"/>
        <v>0.75</v>
      </c>
      <c r="Z247" s="119">
        <f t="shared" si="62"/>
        <v>0</v>
      </c>
      <c r="AA247" s="119">
        <f t="shared" si="63"/>
        <v>0.75</v>
      </c>
      <c r="AB247" s="119">
        <f t="shared" si="64"/>
        <v>0</v>
      </c>
      <c r="AC247" s="119">
        <f t="shared" si="65"/>
        <v>0</v>
      </c>
      <c r="AD247" s="119">
        <f t="shared" si="66"/>
        <v>0</v>
      </c>
      <c r="AE247" s="119">
        <f t="shared" si="67"/>
        <v>0</v>
      </c>
      <c r="AF247" s="7"/>
      <c r="AG247" s="7"/>
      <c r="AH247" s="7">
        <f t="shared" si="68"/>
        <v>3</v>
      </c>
      <c r="AI247" s="7">
        <f t="shared" si="69"/>
        <v>4</v>
      </c>
      <c r="AJ247" s="7" t="str">
        <f t="shared" si="70"/>
        <v>Correct</v>
      </c>
      <c r="AL247" s="120" t="str">
        <f>IFERROR(VLOOKUP(Table1[RespondentID],'All Data'!$A$3:$CO$999,87,FALSE),"unknown")</f>
        <v>Man</v>
      </c>
      <c r="AM247" s="120">
        <f>IFERROR(VLOOKUP(Table1[RespondentID],'All Data'!$A$3:$CO$999,88,FALSE),"unknown")</f>
        <v>39</v>
      </c>
      <c r="AN247" s="120" t="str">
        <f>IFERROR(VLOOKUP(Table1[RespondentID],'All Data'!$A$3:$CO$999,89,FALSE),"unknown")</f>
        <v>Suffolk</v>
      </c>
      <c r="AO247" s="120" t="str">
        <f>IFERROR(VLOOKUP(Table1[RespondentID],'All Data'!$A$3:$CO$999,90,FALSE),"unknown")</f>
        <v>Coram, 11727</v>
      </c>
      <c r="AP247" s="120" t="str">
        <f>IFERROR(VLOOKUP(Table1[RespondentID],'All Data'!$A$3:$CO$999,91,FALSE),"unknown")</f>
        <v>White</v>
      </c>
      <c r="AQ247" s="120">
        <f>IFERROR(VLOOKUP(Table1[RespondentID],'All Data'!$A$3:$CO$999,92,FALSE),"unknown")</f>
        <v>0</v>
      </c>
      <c r="AR247" s="120" t="str">
        <f>IFERROR(VLOOKUP(Table1[RespondentID],'All Data'!$A$3:$CO$999,93,FALSE),"unknown")</f>
        <v>English</v>
      </c>
      <c r="AS247" s="120" t="str">
        <f>IFERROR(VLOOKUP(Table1[RespondentID],'All Data'!$A$3:$CW$999,94,FALSE),"unknown")</f>
        <v>Over $125,000</v>
      </c>
      <c r="AT247" s="120" t="str">
        <f>IFERROR(VLOOKUP(Table1[RespondentID],'All Data'!$A$3:$CW$999,95,FALSE),"unknown")</f>
        <v>College graduate</v>
      </c>
      <c r="AU247" s="120" t="str">
        <f>IFERROR(VLOOKUP(Table1[RespondentID],'All Data'!$A$3:$CW$999,96,FALSE),"unknown")</f>
        <v>Employed for wages</v>
      </c>
      <c r="AV247" s="120" t="str">
        <f>IFERROR(VLOOKUP(Table1[RespondentID],'All Data'!$A$3:$CW$999,97,FALSE),"unknown")</f>
        <v>Yes</v>
      </c>
      <c r="AW247" s="120">
        <f>IFERROR(VLOOKUP(Table1[RespondentID],'All Data'!$A$3:$CW$999,98,FALSE),"unknown")</f>
        <v>0</v>
      </c>
      <c r="AX247" s="120">
        <f>IFERROR(VLOOKUP(Table1[RespondentID],'All Data'!$A$3:$CW$999,99,FALSE),"unknown")</f>
        <v>0</v>
      </c>
    </row>
    <row r="248" spans="1:50">
      <c r="A248" s="5">
        <v>18019097132</v>
      </c>
      <c r="B248" s="5" t="s">
        <v>16</v>
      </c>
      <c r="C248" s="5" t="s">
        <v>17</v>
      </c>
      <c r="D248" s="5" t="s">
        <v>18</v>
      </c>
      <c r="E248" s="5"/>
      <c r="F248" s="5"/>
      <c r="G248" s="5"/>
      <c r="H248" s="5"/>
      <c r="I248" s="5"/>
      <c r="J248" s="5"/>
      <c r="K248" s="5"/>
      <c r="L248" s="5"/>
      <c r="M248" s="5"/>
      <c r="N248" s="5"/>
      <c r="O248" s="7"/>
      <c r="P248" s="7">
        <f t="shared" si="54"/>
        <v>3</v>
      </c>
      <c r="Q248" s="7">
        <f t="shared" si="55"/>
        <v>1</v>
      </c>
      <c r="R248" s="7"/>
      <c r="S248" s="7">
        <f t="shared" si="71"/>
        <v>1</v>
      </c>
      <c r="T248" s="7">
        <f t="shared" si="56"/>
        <v>1</v>
      </c>
      <c r="U248" s="7">
        <f t="shared" si="57"/>
        <v>1</v>
      </c>
      <c r="V248" s="119">
        <f t="shared" si="58"/>
        <v>0</v>
      </c>
      <c r="W248" s="119">
        <f t="shared" si="59"/>
        <v>0</v>
      </c>
      <c r="X248" s="119">
        <f t="shared" si="60"/>
        <v>0</v>
      </c>
      <c r="Y248" s="119">
        <f t="shared" si="61"/>
        <v>0</v>
      </c>
      <c r="Z248" s="119">
        <f t="shared" si="62"/>
        <v>0</v>
      </c>
      <c r="AA248" s="119">
        <f t="shared" si="63"/>
        <v>0</v>
      </c>
      <c r="AB248" s="119">
        <f t="shared" si="64"/>
        <v>0</v>
      </c>
      <c r="AC248" s="119">
        <f t="shared" si="65"/>
        <v>0</v>
      </c>
      <c r="AD248" s="119">
        <f t="shared" si="66"/>
        <v>0</v>
      </c>
      <c r="AE248" s="119">
        <f t="shared" si="67"/>
        <v>0</v>
      </c>
      <c r="AF248" s="7"/>
      <c r="AG248" s="7"/>
      <c r="AH248" s="7">
        <f t="shared" si="68"/>
        <v>3</v>
      </c>
      <c r="AI248" s="7">
        <f t="shared" si="69"/>
        <v>3</v>
      </c>
      <c r="AJ248" s="7" t="str">
        <f t="shared" si="70"/>
        <v>Correct</v>
      </c>
      <c r="AL248" s="120" t="str">
        <f>IFERROR(VLOOKUP(Table1[RespondentID],'All Data'!$A$3:$CO$999,87,FALSE),"unknown")</f>
        <v>Woman</v>
      </c>
      <c r="AM248" s="120">
        <f>IFERROR(VLOOKUP(Table1[RespondentID],'All Data'!$A$3:$CO$999,88,FALSE),"unknown")</f>
        <v>50</v>
      </c>
      <c r="AN248" s="120" t="str">
        <f>IFERROR(VLOOKUP(Table1[RespondentID],'All Data'!$A$3:$CO$999,89,FALSE),"unknown")</f>
        <v>Suffolk</v>
      </c>
      <c r="AO248" s="120" t="str">
        <f>IFERROR(VLOOKUP(Table1[RespondentID],'All Data'!$A$3:$CO$999,90,FALSE),"unknown")</f>
        <v>West Islip, 11795</v>
      </c>
      <c r="AP248" s="120" t="str">
        <f>IFERROR(VLOOKUP(Table1[RespondentID],'All Data'!$A$3:$CO$999,91,FALSE),"unknown")</f>
        <v>White</v>
      </c>
      <c r="AQ248" s="120">
        <f>IFERROR(VLOOKUP(Table1[RespondentID],'All Data'!$A$3:$CO$999,92,FALSE),"unknown")</f>
        <v>0</v>
      </c>
      <c r="AR248" s="120" t="str">
        <f>IFERROR(VLOOKUP(Table1[RespondentID],'All Data'!$A$3:$CO$999,93,FALSE),"unknown")</f>
        <v>English</v>
      </c>
      <c r="AS248" s="120" t="str">
        <f>IFERROR(VLOOKUP(Table1[RespondentID],'All Data'!$A$3:$CW$999,94,FALSE),"unknown")</f>
        <v>Over $125,000</v>
      </c>
      <c r="AT248" s="120" t="str">
        <f>IFERROR(VLOOKUP(Table1[RespondentID],'All Data'!$A$3:$CW$999,95,FALSE),"unknown")</f>
        <v>College graduate</v>
      </c>
      <c r="AU248" s="120" t="str">
        <f>IFERROR(VLOOKUP(Table1[RespondentID],'All Data'!$A$3:$CW$999,96,FALSE),"unknown")</f>
        <v>Employed for wages</v>
      </c>
      <c r="AV248" s="120" t="str">
        <f>IFERROR(VLOOKUP(Table1[RespondentID],'All Data'!$A$3:$CW$999,97,FALSE),"unknown")</f>
        <v>Yes</v>
      </c>
      <c r="AW248" s="120">
        <f>IFERROR(VLOOKUP(Table1[RespondentID],'All Data'!$A$3:$CW$999,98,FALSE),"unknown")</f>
        <v>0</v>
      </c>
      <c r="AX248" s="120">
        <f>IFERROR(VLOOKUP(Table1[RespondentID],'All Data'!$A$3:$CW$999,99,FALSE),"unknown")</f>
        <v>0</v>
      </c>
    </row>
    <row r="249" spans="1:50">
      <c r="A249" s="5">
        <v>18019096838</v>
      </c>
      <c r="B249" s="5" t="s">
        <v>16</v>
      </c>
      <c r="C249" s="5" t="s">
        <v>17</v>
      </c>
      <c r="D249" s="5" t="s">
        <v>18</v>
      </c>
      <c r="E249" s="5"/>
      <c r="F249" s="5"/>
      <c r="G249" s="5"/>
      <c r="H249" s="5"/>
      <c r="I249" s="5"/>
      <c r="J249" s="5" t="s">
        <v>24</v>
      </c>
      <c r="K249" s="5"/>
      <c r="L249" s="5"/>
      <c r="M249" s="5" t="s">
        <v>27</v>
      </c>
      <c r="N249" s="5"/>
      <c r="O249" s="7"/>
      <c r="P249" s="7">
        <f t="shared" si="54"/>
        <v>5</v>
      </c>
      <c r="Q249" s="7">
        <f t="shared" si="55"/>
        <v>0.6</v>
      </c>
      <c r="R249" s="7"/>
      <c r="S249" s="7">
        <f t="shared" si="71"/>
        <v>0.6</v>
      </c>
      <c r="T249" s="7">
        <f t="shared" si="56"/>
        <v>0.6</v>
      </c>
      <c r="U249" s="7">
        <f t="shared" si="57"/>
        <v>0.6</v>
      </c>
      <c r="V249" s="119">
        <f t="shared" si="58"/>
        <v>0</v>
      </c>
      <c r="W249" s="119">
        <f t="shared" si="59"/>
        <v>0</v>
      </c>
      <c r="X249" s="119">
        <f t="shared" si="60"/>
        <v>0</v>
      </c>
      <c r="Y249" s="119">
        <f t="shared" si="61"/>
        <v>0</v>
      </c>
      <c r="Z249" s="119">
        <f t="shared" si="62"/>
        <v>0</v>
      </c>
      <c r="AA249" s="119">
        <f t="shared" si="63"/>
        <v>0.6</v>
      </c>
      <c r="AB249" s="119">
        <f t="shared" si="64"/>
        <v>0</v>
      </c>
      <c r="AC249" s="119">
        <f t="shared" si="65"/>
        <v>0</v>
      </c>
      <c r="AD249" s="119">
        <f t="shared" si="66"/>
        <v>0.6</v>
      </c>
      <c r="AE249" s="119">
        <f t="shared" si="67"/>
        <v>0</v>
      </c>
      <c r="AF249" s="7"/>
      <c r="AG249" s="7"/>
      <c r="AH249" s="7">
        <f t="shared" si="68"/>
        <v>3</v>
      </c>
      <c r="AI249" s="7">
        <f t="shared" si="69"/>
        <v>5</v>
      </c>
      <c r="AJ249" s="7" t="str">
        <f t="shared" si="70"/>
        <v>Correct</v>
      </c>
      <c r="AL249" s="120" t="str">
        <f>IFERROR(VLOOKUP(Table1[RespondentID],'All Data'!$A$3:$CO$999,87,FALSE),"unknown")</f>
        <v>Man</v>
      </c>
      <c r="AM249" s="120">
        <f>IFERROR(VLOOKUP(Table1[RespondentID],'All Data'!$A$3:$CO$999,88,FALSE),"unknown")</f>
        <v>69</v>
      </c>
      <c r="AN249" s="120">
        <f>IFERROR(VLOOKUP(Table1[RespondentID],'All Data'!$A$3:$CO$999,89,FALSE),"unknown")</f>
        <v>0</v>
      </c>
      <c r="AO249" s="120">
        <f>IFERROR(VLOOKUP(Table1[RespondentID],'All Data'!$A$3:$CO$999,90,FALSE),"unknown")</f>
        <v>0</v>
      </c>
      <c r="AP249" s="120">
        <f>IFERROR(VLOOKUP(Table1[RespondentID],'All Data'!$A$3:$CO$999,91,FALSE),"unknown")</f>
        <v>0</v>
      </c>
      <c r="AQ249" s="120">
        <f>IFERROR(VLOOKUP(Table1[RespondentID],'All Data'!$A$3:$CO$999,92,FALSE),"unknown")</f>
        <v>0</v>
      </c>
      <c r="AR249" s="120">
        <f>IFERROR(VLOOKUP(Table1[RespondentID],'All Data'!$A$3:$CO$999,93,FALSE),"unknown")</f>
        <v>0</v>
      </c>
      <c r="AS249" s="120">
        <f>IFERROR(VLOOKUP(Table1[RespondentID],'All Data'!$A$3:$CW$999,94,FALSE),"unknown")</f>
        <v>0</v>
      </c>
      <c r="AT249" s="120">
        <f>IFERROR(VLOOKUP(Table1[RespondentID],'All Data'!$A$3:$CW$999,95,FALSE),"unknown")</f>
        <v>0</v>
      </c>
      <c r="AU249" s="120">
        <f>IFERROR(VLOOKUP(Table1[RespondentID],'All Data'!$A$3:$CW$999,96,FALSE),"unknown")</f>
        <v>0</v>
      </c>
      <c r="AV249" s="120">
        <f>IFERROR(VLOOKUP(Table1[RespondentID],'All Data'!$A$3:$CW$999,97,FALSE),"unknown")</f>
        <v>0</v>
      </c>
      <c r="AW249" s="120">
        <f>IFERROR(VLOOKUP(Table1[RespondentID],'All Data'!$A$3:$CW$999,98,FALSE),"unknown")</f>
        <v>0</v>
      </c>
      <c r="AX249" s="120">
        <f>IFERROR(VLOOKUP(Table1[RespondentID],'All Data'!$A$3:$CW$999,99,FALSE),"unknown")</f>
        <v>0</v>
      </c>
    </row>
    <row r="250" spans="1:50">
      <c r="A250" s="5">
        <v>18019096349</v>
      </c>
      <c r="B250" s="5" t="s">
        <v>16</v>
      </c>
      <c r="C250" s="5" t="s">
        <v>17</v>
      </c>
      <c r="D250" s="5" t="s">
        <v>18</v>
      </c>
      <c r="E250" s="5"/>
      <c r="F250" s="5"/>
      <c r="G250" s="5"/>
      <c r="H250" s="5"/>
      <c r="I250" s="5"/>
      <c r="J250" s="5" t="s">
        <v>24</v>
      </c>
      <c r="K250" s="5"/>
      <c r="L250" s="5"/>
      <c r="M250" s="5"/>
      <c r="N250" s="5"/>
      <c r="O250" s="7"/>
      <c r="P250" s="7">
        <f t="shared" si="54"/>
        <v>4</v>
      </c>
      <c r="Q250" s="7">
        <f t="shared" si="55"/>
        <v>0.75</v>
      </c>
      <c r="R250" s="7"/>
      <c r="S250" s="7">
        <f t="shared" si="71"/>
        <v>0.75</v>
      </c>
      <c r="T250" s="7">
        <f t="shared" si="56"/>
        <v>0.75</v>
      </c>
      <c r="U250" s="7">
        <f t="shared" si="57"/>
        <v>0.75</v>
      </c>
      <c r="V250" s="119">
        <f t="shared" si="58"/>
        <v>0</v>
      </c>
      <c r="W250" s="119">
        <f t="shared" si="59"/>
        <v>0</v>
      </c>
      <c r="X250" s="119">
        <f t="shared" si="60"/>
        <v>0</v>
      </c>
      <c r="Y250" s="119">
        <f t="shared" si="61"/>
        <v>0</v>
      </c>
      <c r="Z250" s="119">
        <f t="shared" si="62"/>
        <v>0</v>
      </c>
      <c r="AA250" s="119">
        <f t="shared" si="63"/>
        <v>0.75</v>
      </c>
      <c r="AB250" s="119">
        <f t="shared" si="64"/>
        <v>0</v>
      </c>
      <c r="AC250" s="119">
        <f t="shared" si="65"/>
        <v>0</v>
      </c>
      <c r="AD250" s="119">
        <f t="shared" si="66"/>
        <v>0</v>
      </c>
      <c r="AE250" s="119">
        <f t="shared" si="67"/>
        <v>0</v>
      </c>
      <c r="AF250" s="7"/>
      <c r="AG250" s="7"/>
      <c r="AH250" s="7">
        <f t="shared" si="68"/>
        <v>3</v>
      </c>
      <c r="AI250" s="7">
        <f t="shared" si="69"/>
        <v>4</v>
      </c>
      <c r="AJ250" s="7" t="str">
        <f t="shared" si="70"/>
        <v>Correct</v>
      </c>
      <c r="AL250" s="120" t="str">
        <f>IFERROR(VLOOKUP(Table1[RespondentID],'All Data'!$A$3:$CO$999,87,FALSE),"unknown")</f>
        <v>Woman</v>
      </c>
      <c r="AM250" s="120">
        <f>IFERROR(VLOOKUP(Table1[RespondentID],'All Data'!$A$3:$CO$999,88,FALSE),"unknown")</f>
        <v>58</v>
      </c>
      <c r="AN250" s="120" t="str">
        <f>IFERROR(VLOOKUP(Table1[RespondentID],'All Data'!$A$3:$CO$999,89,FALSE),"unknown")</f>
        <v>Suffolk</v>
      </c>
      <c r="AO250" s="120" t="str">
        <f>IFERROR(VLOOKUP(Table1[RespondentID],'All Data'!$A$3:$CO$999,90,FALSE),"unknown")</f>
        <v>West Babylon, 11704</v>
      </c>
      <c r="AP250" s="120" t="str">
        <f>IFERROR(VLOOKUP(Table1[RespondentID],'All Data'!$A$3:$CO$999,91,FALSE),"unknown")</f>
        <v>White</v>
      </c>
      <c r="AQ250" s="120">
        <f>IFERROR(VLOOKUP(Table1[RespondentID],'All Data'!$A$3:$CO$999,92,FALSE),"unknown")</f>
        <v>0</v>
      </c>
      <c r="AR250" s="120" t="str">
        <f>IFERROR(VLOOKUP(Table1[RespondentID],'All Data'!$A$3:$CO$999,93,FALSE),"unknown")</f>
        <v>English</v>
      </c>
      <c r="AS250" s="120" t="str">
        <f>IFERROR(VLOOKUP(Table1[RespondentID],'All Data'!$A$3:$CW$999,94,FALSE),"unknown")</f>
        <v>Over $125,000</v>
      </c>
      <c r="AT250" s="120" t="str">
        <f>IFERROR(VLOOKUP(Table1[RespondentID],'All Data'!$A$3:$CW$999,95,FALSE),"unknown")</f>
        <v>Some college</v>
      </c>
      <c r="AU250" s="120" t="str">
        <f>IFERROR(VLOOKUP(Table1[RespondentID],'All Data'!$A$3:$CW$999,96,FALSE),"unknown")</f>
        <v>Employed for wages</v>
      </c>
      <c r="AV250" s="120" t="str">
        <f>IFERROR(VLOOKUP(Table1[RespondentID],'All Data'!$A$3:$CW$999,97,FALSE),"unknown")</f>
        <v>Yes</v>
      </c>
      <c r="AW250" s="120">
        <f>IFERROR(VLOOKUP(Table1[RespondentID],'All Data'!$A$3:$CW$999,98,FALSE),"unknown")</f>
        <v>0</v>
      </c>
      <c r="AX250" s="120">
        <f>IFERROR(VLOOKUP(Table1[RespondentID],'All Data'!$A$3:$CW$999,99,FALSE),"unknown")</f>
        <v>0</v>
      </c>
    </row>
    <row r="251" spans="1:50">
      <c r="A251" s="5">
        <v>18019096113</v>
      </c>
      <c r="B251" s="5" t="s">
        <v>16</v>
      </c>
      <c r="C251" s="5" t="s">
        <v>17</v>
      </c>
      <c r="D251" s="5" t="s">
        <v>18</v>
      </c>
      <c r="E251" s="5"/>
      <c r="F251" s="5"/>
      <c r="G251" s="5"/>
      <c r="H251" s="5"/>
      <c r="I251" s="5"/>
      <c r="J251" s="5" t="s">
        <v>24</v>
      </c>
      <c r="K251" s="5"/>
      <c r="L251" s="5"/>
      <c r="M251" s="5"/>
      <c r="N251" s="5"/>
      <c r="O251" s="7"/>
      <c r="P251" s="7">
        <f t="shared" si="54"/>
        <v>4</v>
      </c>
      <c r="Q251" s="7">
        <f t="shared" si="55"/>
        <v>0.75</v>
      </c>
      <c r="R251" s="7"/>
      <c r="S251" s="7">
        <f t="shared" si="71"/>
        <v>0.75</v>
      </c>
      <c r="T251" s="7">
        <f t="shared" si="56"/>
        <v>0.75</v>
      </c>
      <c r="U251" s="7">
        <f t="shared" si="57"/>
        <v>0.75</v>
      </c>
      <c r="V251" s="119">
        <f t="shared" si="58"/>
        <v>0</v>
      </c>
      <c r="W251" s="119">
        <f t="shared" si="59"/>
        <v>0</v>
      </c>
      <c r="X251" s="119">
        <f t="shared" si="60"/>
        <v>0</v>
      </c>
      <c r="Y251" s="119">
        <f t="shared" si="61"/>
        <v>0</v>
      </c>
      <c r="Z251" s="119">
        <f t="shared" si="62"/>
        <v>0</v>
      </c>
      <c r="AA251" s="119">
        <f t="shared" si="63"/>
        <v>0.75</v>
      </c>
      <c r="AB251" s="119">
        <f t="shared" si="64"/>
        <v>0</v>
      </c>
      <c r="AC251" s="119">
        <f t="shared" si="65"/>
        <v>0</v>
      </c>
      <c r="AD251" s="119">
        <f t="shared" si="66"/>
        <v>0</v>
      </c>
      <c r="AE251" s="119">
        <f t="shared" si="67"/>
        <v>0</v>
      </c>
      <c r="AF251" s="7"/>
      <c r="AG251" s="7"/>
      <c r="AH251" s="7">
        <f t="shared" si="68"/>
        <v>3</v>
      </c>
      <c r="AI251" s="7">
        <f t="shared" si="69"/>
        <v>4</v>
      </c>
      <c r="AJ251" s="7" t="str">
        <f t="shared" si="70"/>
        <v>Correct</v>
      </c>
      <c r="AL251" s="120" t="str">
        <f>IFERROR(VLOOKUP(Table1[RespondentID],'All Data'!$A$3:$CO$999,87,FALSE),"unknown")</f>
        <v>Man</v>
      </c>
      <c r="AM251" s="120">
        <f>IFERROR(VLOOKUP(Table1[RespondentID],'All Data'!$A$3:$CO$999,88,FALSE),"unknown")</f>
        <v>56</v>
      </c>
      <c r="AN251" s="120" t="str">
        <f>IFERROR(VLOOKUP(Table1[RespondentID],'All Data'!$A$3:$CO$999,89,FALSE),"unknown")</f>
        <v>Suffolk</v>
      </c>
      <c r="AO251" s="120" t="str">
        <f>IFERROR(VLOOKUP(Table1[RespondentID],'All Data'!$A$3:$CO$999,90,FALSE),"unknown")</f>
        <v>West Babylon, 11704</v>
      </c>
      <c r="AP251" s="120" t="str">
        <f>IFERROR(VLOOKUP(Table1[RespondentID],'All Data'!$A$3:$CO$999,91,FALSE),"unknown")</f>
        <v>White</v>
      </c>
      <c r="AQ251" s="120" t="str">
        <f>IFERROR(VLOOKUP(Table1[RespondentID],'All Data'!$A$3:$CO$999,92,FALSE),"unknown")</f>
        <v>Hispanic or Latino</v>
      </c>
      <c r="AR251" s="120" t="str">
        <f>IFERROR(VLOOKUP(Table1[RespondentID],'All Data'!$A$3:$CO$999,93,FALSE),"unknown")</f>
        <v>English</v>
      </c>
      <c r="AS251" s="120" t="str">
        <f>IFERROR(VLOOKUP(Table1[RespondentID],'All Data'!$A$3:$CW$999,94,FALSE),"unknown")</f>
        <v>Over $125,000</v>
      </c>
      <c r="AT251" s="120" t="str">
        <f>IFERROR(VLOOKUP(Table1[RespondentID],'All Data'!$A$3:$CW$999,95,FALSE),"unknown")</f>
        <v>Some college</v>
      </c>
      <c r="AU251" s="120" t="str">
        <f>IFERROR(VLOOKUP(Table1[RespondentID],'All Data'!$A$3:$CW$999,96,FALSE),"unknown")</f>
        <v>Employed for wages</v>
      </c>
      <c r="AV251" s="120" t="str">
        <f>IFERROR(VLOOKUP(Table1[RespondentID],'All Data'!$A$3:$CW$999,97,FALSE),"unknown")</f>
        <v>Yes</v>
      </c>
      <c r="AW251" s="120">
        <f>IFERROR(VLOOKUP(Table1[RespondentID],'All Data'!$A$3:$CW$999,98,FALSE),"unknown")</f>
        <v>0</v>
      </c>
      <c r="AX251" s="120">
        <f>IFERROR(VLOOKUP(Table1[RespondentID],'All Data'!$A$3:$CW$999,99,FALSE),"unknown")</f>
        <v>0</v>
      </c>
    </row>
    <row r="252" spans="1:50">
      <c r="A252" s="5">
        <v>18019095931</v>
      </c>
      <c r="B252" s="5"/>
      <c r="C252" s="5" t="s">
        <v>17</v>
      </c>
      <c r="D252" s="5" t="s">
        <v>18</v>
      </c>
      <c r="E252" s="5"/>
      <c r="F252" s="5"/>
      <c r="G252" s="5"/>
      <c r="H252" s="5"/>
      <c r="I252" s="5"/>
      <c r="J252" s="5"/>
      <c r="K252" s="5"/>
      <c r="L252" s="5" t="s">
        <v>26</v>
      </c>
      <c r="M252" s="5"/>
      <c r="N252" s="5"/>
      <c r="O252" s="7"/>
      <c r="P252" s="7">
        <f t="shared" si="54"/>
        <v>3</v>
      </c>
      <c r="Q252" s="7">
        <f t="shared" si="55"/>
        <v>1</v>
      </c>
      <c r="R252" s="7"/>
      <c r="S252" s="7">
        <f t="shared" si="71"/>
        <v>0</v>
      </c>
      <c r="T252" s="7">
        <f t="shared" si="56"/>
        <v>1</v>
      </c>
      <c r="U252" s="7">
        <f t="shared" si="57"/>
        <v>1</v>
      </c>
      <c r="V252" s="119">
        <f t="shared" si="58"/>
        <v>0</v>
      </c>
      <c r="W252" s="119">
        <f t="shared" si="59"/>
        <v>0</v>
      </c>
      <c r="X252" s="119">
        <f t="shared" si="60"/>
        <v>0</v>
      </c>
      <c r="Y252" s="119">
        <f t="shared" si="61"/>
        <v>0</v>
      </c>
      <c r="Z252" s="119">
        <f t="shared" si="62"/>
        <v>0</v>
      </c>
      <c r="AA252" s="119">
        <f t="shared" si="63"/>
        <v>0</v>
      </c>
      <c r="AB252" s="119">
        <f t="shared" si="64"/>
        <v>0</v>
      </c>
      <c r="AC252" s="119">
        <f t="shared" si="65"/>
        <v>1</v>
      </c>
      <c r="AD252" s="119">
        <f t="shared" si="66"/>
        <v>0</v>
      </c>
      <c r="AE252" s="119">
        <f t="shared" si="67"/>
        <v>0</v>
      </c>
      <c r="AF252" s="7"/>
      <c r="AG252" s="7"/>
      <c r="AH252" s="7">
        <f t="shared" si="68"/>
        <v>3</v>
      </c>
      <c r="AI252" s="7">
        <f t="shared" si="69"/>
        <v>3</v>
      </c>
      <c r="AJ252" s="7" t="str">
        <f t="shared" si="70"/>
        <v>Correct</v>
      </c>
      <c r="AL252" s="120" t="str">
        <f>IFERROR(VLOOKUP(Table1[RespondentID],'All Data'!$A$3:$CO$999,87,FALSE),"unknown")</f>
        <v>Man</v>
      </c>
      <c r="AM252" s="120">
        <f>IFERROR(VLOOKUP(Table1[RespondentID],'All Data'!$A$3:$CO$999,88,FALSE),"unknown")</f>
        <v>43</v>
      </c>
      <c r="AN252" s="120" t="str">
        <f>IFERROR(VLOOKUP(Table1[RespondentID],'All Data'!$A$3:$CO$999,89,FALSE),"unknown")</f>
        <v>Suffolk</v>
      </c>
      <c r="AO252" s="120" t="str">
        <f>IFERROR(VLOOKUP(Table1[RespondentID],'All Data'!$A$3:$CO$999,90,FALSE),"unknown")</f>
        <v>Commack, 11725</v>
      </c>
      <c r="AP252" s="120" t="str">
        <f>IFERROR(VLOOKUP(Table1[RespondentID],'All Data'!$A$3:$CO$999,91,FALSE),"unknown")</f>
        <v>White</v>
      </c>
      <c r="AQ252" s="120" t="str">
        <f>IFERROR(VLOOKUP(Table1[RespondentID],'All Data'!$A$3:$CO$999,92,FALSE),"unknown")</f>
        <v>Hispanic or Latino</v>
      </c>
      <c r="AR252" s="120" t="str">
        <f>IFERROR(VLOOKUP(Table1[RespondentID],'All Data'!$A$3:$CO$999,93,FALSE),"unknown")</f>
        <v>English</v>
      </c>
      <c r="AS252" s="120" t="str">
        <f>IFERROR(VLOOKUP(Table1[RespondentID],'All Data'!$A$3:$CW$999,94,FALSE),"unknown")</f>
        <v>Over $125,000</v>
      </c>
      <c r="AT252" s="120" t="str">
        <f>IFERROR(VLOOKUP(Table1[RespondentID],'All Data'!$A$3:$CW$999,95,FALSE),"unknown")</f>
        <v>Graduate school</v>
      </c>
      <c r="AU252" s="120" t="str">
        <f>IFERROR(VLOOKUP(Table1[RespondentID],'All Data'!$A$3:$CW$999,96,FALSE),"unknown")</f>
        <v>Self-employed</v>
      </c>
      <c r="AV252" s="120" t="str">
        <f>IFERROR(VLOOKUP(Table1[RespondentID],'All Data'!$A$3:$CW$999,97,FALSE),"unknown")</f>
        <v>Yes</v>
      </c>
      <c r="AW252" s="120">
        <f>IFERROR(VLOOKUP(Table1[RespondentID],'All Data'!$A$3:$CW$999,98,FALSE),"unknown")</f>
        <v>0</v>
      </c>
      <c r="AX252" s="120">
        <f>IFERROR(VLOOKUP(Table1[RespondentID],'All Data'!$A$3:$CW$999,99,FALSE),"unknown")</f>
        <v>0</v>
      </c>
    </row>
    <row r="253" spans="1:50">
      <c r="A253" s="5">
        <v>18019095788</v>
      </c>
      <c r="B253" s="5" t="s">
        <v>16</v>
      </c>
      <c r="C253" s="5" t="s">
        <v>17</v>
      </c>
      <c r="D253" s="5" t="s">
        <v>18</v>
      </c>
      <c r="E253" s="5"/>
      <c r="F253" s="5"/>
      <c r="G253" s="5"/>
      <c r="H253" s="5"/>
      <c r="I253" s="5"/>
      <c r="J253" s="5"/>
      <c r="K253" s="5"/>
      <c r="L253" s="5"/>
      <c r="M253" s="5"/>
      <c r="N253" s="5"/>
      <c r="O253" s="7"/>
      <c r="P253" s="7">
        <f t="shared" si="54"/>
        <v>3</v>
      </c>
      <c r="Q253" s="7">
        <f t="shared" si="55"/>
        <v>1</v>
      </c>
      <c r="R253" s="7"/>
      <c r="S253" s="7">
        <f t="shared" si="71"/>
        <v>1</v>
      </c>
      <c r="T253" s="7">
        <f t="shared" si="56"/>
        <v>1</v>
      </c>
      <c r="U253" s="7">
        <f t="shared" si="57"/>
        <v>1</v>
      </c>
      <c r="V253" s="119">
        <f t="shared" si="58"/>
        <v>0</v>
      </c>
      <c r="W253" s="119">
        <f t="shared" si="59"/>
        <v>0</v>
      </c>
      <c r="X253" s="119">
        <f t="shared" si="60"/>
        <v>0</v>
      </c>
      <c r="Y253" s="119">
        <f t="shared" si="61"/>
        <v>0</v>
      </c>
      <c r="Z253" s="119">
        <f t="shared" si="62"/>
        <v>0</v>
      </c>
      <c r="AA253" s="119">
        <f t="shared" si="63"/>
        <v>0</v>
      </c>
      <c r="AB253" s="119">
        <f t="shared" si="64"/>
        <v>0</v>
      </c>
      <c r="AC253" s="119">
        <f t="shared" si="65"/>
        <v>0</v>
      </c>
      <c r="AD253" s="119">
        <f t="shared" si="66"/>
        <v>0</v>
      </c>
      <c r="AE253" s="119">
        <f t="shared" si="67"/>
        <v>0</v>
      </c>
      <c r="AF253" s="7"/>
      <c r="AG253" s="7"/>
      <c r="AH253" s="7">
        <f t="shared" si="68"/>
        <v>3</v>
      </c>
      <c r="AI253" s="7">
        <f t="shared" si="69"/>
        <v>3</v>
      </c>
      <c r="AJ253" s="7" t="str">
        <f t="shared" si="70"/>
        <v>Correct</v>
      </c>
      <c r="AL253" s="120" t="str">
        <f>IFERROR(VLOOKUP(Table1[RespondentID],'All Data'!$A$3:$CO$999,87,FALSE),"unknown")</f>
        <v>Woman</v>
      </c>
      <c r="AM253" s="120">
        <f>IFERROR(VLOOKUP(Table1[RespondentID],'All Data'!$A$3:$CO$999,88,FALSE),"unknown")</f>
        <v>48</v>
      </c>
      <c r="AN253" s="120" t="str">
        <f>IFERROR(VLOOKUP(Table1[RespondentID],'All Data'!$A$3:$CO$999,89,FALSE),"unknown")</f>
        <v>Suffolk</v>
      </c>
      <c r="AO253" s="120" t="str">
        <f>IFERROR(VLOOKUP(Table1[RespondentID],'All Data'!$A$3:$CO$999,90,FALSE),"unknown")</f>
        <v>Commack, 11725</v>
      </c>
      <c r="AP253" s="120" t="str">
        <f>IFERROR(VLOOKUP(Table1[RespondentID],'All Data'!$A$3:$CO$999,91,FALSE),"unknown")</f>
        <v>White</v>
      </c>
      <c r="AQ253" s="120" t="str">
        <f>IFERROR(VLOOKUP(Table1[RespondentID],'All Data'!$A$3:$CO$999,92,FALSE),"unknown")</f>
        <v>Hispanic or Latino</v>
      </c>
      <c r="AR253" s="120" t="str">
        <f>IFERROR(VLOOKUP(Table1[RespondentID],'All Data'!$A$3:$CO$999,93,FALSE),"unknown")</f>
        <v>English</v>
      </c>
      <c r="AS253" s="120" t="str">
        <f>IFERROR(VLOOKUP(Table1[RespondentID],'All Data'!$A$3:$CW$999,94,FALSE),"unknown")</f>
        <v>Over $125,000</v>
      </c>
      <c r="AT253" s="120" t="str">
        <f>IFERROR(VLOOKUP(Table1[RespondentID],'All Data'!$A$3:$CW$999,95,FALSE),"unknown")</f>
        <v>Some college</v>
      </c>
      <c r="AU253" s="120" t="str">
        <f>IFERROR(VLOOKUP(Table1[RespondentID],'All Data'!$A$3:$CW$999,96,FALSE),"unknown")</f>
        <v>Employed for wages</v>
      </c>
      <c r="AV253" s="120" t="str">
        <f>IFERROR(VLOOKUP(Table1[RespondentID],'All Data'!$A$3:$CW$999,97,FALSE),"unknown")</f>
        <v>Yes</v>
      </c>
      <c r="AW253" s="120">
        <f>IFERROR(VLOOKUP(Table1[RespondentID],'All Data'!$A$3:$CW$999,98,FALSE),"unknown")</f>
        <v>0</v>
      </c>
      <c r="AX253" s="120">
        <f>IFERROR(VLOOKUP(Table1[RespondentID],'All Data'!$A$3:$CW$999,99,FALSE),"unknown")</f>
        <v>0</v>
      </c>
    </row>
    <row r="254" spans="1:50">
      <c r="A254" s="5">
        <v>18019095658</v>
      </c>
      <c r="B254" s="5" t="s">
        <v>16</v>
      </c>
      <c r="C254" s="5" t="s">
        <v>17</v>
      </c>
      <c r="D254" s="5"/>
      <c r="E254" s="5"/>
      <c r="F254" s="5"/>
      <c r="G254" s="5"/>
      <c r="H254" s="5"/>
      <c r="I254" s="5"/>
      <c r="J254" s="5" t="s">
        <v>24</v>
      </c>
      <c r="K254" s="5"/>
      <c r="L254" s="5"/>
      <c r="M254" s="5"/>
      <c r="N254" s="5"/>
      <c r="O254" s="7"/>
      <c r="P254" s="7">
        <f t="shared" si="54"/>
        <v>3</v>
      </c>
      <c r="Q254" s="7">
        <f t="shared" si="55"/>
        <v>1</v>
      </c>
      <c r="R254" s="7"/>
      <c r="S254" s="7">
        <f t="shared" si="71"/>
        <v>1</v>
      </c>
      <c r="T254" s="7">
        <f t="shared" si="56"/>
        <v>1</v>
      </c>
      <c r="U254" s="7">
        <f t="shared" si="57"/>
        <v>0</v>
      </c>
      <c r="V254" s="119">
        <f t="shared" si="58"/>
        <v>0</v>
      </c>
      <c r="W254" s="119">
        <f t="shared" si="59"/>
        <v>0</v>
      </c>
      <c r="X254" s="119">
        <f t="shared" si="60"/>
        <v>0</v>
      </c>
      <c r="Y254" s="119">
        <f t="shared" si="61"/>
        <v>0</v>
      </c>
      <c r="Z254" s="119">
        <f t="shared" si="62"/>
        <v>0</v>
      </c>
      <c r="AA254" s="119">
        <f t="shared" si="63"/>
        <v>1</v>
      </c>
      <c r="AB254" s="119">
        <f t="shared" si="64"/>
        <v>0</v>
      </c>
      <c r="AC254" s="119">
        <f t="shared" si="65"/>
        <v>0</v>
      </c>
      <c r="AD254" s="119">
        <f t="shared" si="66"/>
        <v>0</v>
      </c>
      <c r="AE254" s="119">
        <f t="shared" si="67"/>
        <v>0</v>
      </c>
      <c r="AF254" s="7"/>
      <c r="AG254" s="7"/>
      <c r="AH254" s="7">
        <f t="shared" si="68"/>
        <v>3</v>
      </c>
      <c r="AI254" s="7">
        <f t="shared" si="69"/>
        <v>3</v>
      </c>
      <c r="AJ254" s="7" t="str">
        <f t="shared" si="70"/>
        <v>Correct</v>
      </c>
      <c r="AL254" s="120" t="str">
        <f>IFERROR(VLOOKUP(Table1[RespondentID],'All Data'!$A$3:$CO$999,87,FALSE),"unknown")</f>
        <v>Man</v>
      </c>
      <c r="AM254" s="120">
        <f>IFERROR(VLOOKUP(Table1[RespondentID],'All Data'!$A$3:$CO$999,88,FALSE),"unknown")</f>
        <v>49</v>
      </c>
      <c r="AN254" s="120" t="str">
        <f>IFERROR(VLOOKUP(Table1[RespondentID],'All Data'!$A$3:$CO$999,89,FALSE),"unknown")</f>
        <v>Suffolk</v>
      </c>
      <c r="AO254" s="120" t="str">
        <f>IFERROR(VLOOKUP(Table1[RespondentID],'All Data'!$A$3:$CO$999,90,FALSE),"unknown")</f>
        <v>West Islip, 11795</v>
      </c>
      <c r="AP254" s="120" t="str">
        <f>IFERROR(VLOOKUP(Table1[RespondentID],'All Data'!$A$3:$CO$999,91,FALSE),"unknown")</f>
        <v>White</v>
      </c>
      <c r="AQ254" s="120" t="str">
        <f>IFERROR(VLOOKUP(Table1[RespondentID],'All Data'!$A$3:$CO$999,92,FALSE),"unknown")</f>
        <v>Hispanic or Latino</v>
      </c>
      <c r="AR254" s="120" t="str">
        <f>IFERROR(VLOOKUP(Table1[RespondentID],'All Data'!$A$3:$CO$999,93,FALSE),"unknown")</f>
        <v>English</v>
      </c>
      <c r="AS254" s="120" t="str">
        <f>IFERROR(VLOOKUP(Table1[RespondentID],'All Data'!$A$3:$CW$999,94,FALSE),"unknown")</f>
        <v>Over $125,000</v>
      </c>
      <c r="AT254" s="120" t="str">
        <f>IFERROR(VLOOKUP(Table1[RespondentID],'All Data'!$A$3:$CW$999,95,FALSE),"unknown")</f>
        <v>College graduate</v>
      </c>
      <c r="AU254" s="120" t="str">
        <f>IFERROR(VLOOKUP(Table1[RespondentID],'All Data'!$A$3:$CW$999,96,FALSE),"unknown")</f>
        <v>Employed for wages</v>
      </c>
      <c r="AV254" s="120" t="str">
        <f>IFERROR(VLOOKUP(Table1[RespondentID],'All Data'!$A$3:$CW$999,97,FALSE),"unknown")</f>
        <v>Yes</v>
      </c>
      <c r="AW254" s="120">
        <f>IFERROR(VLOOKUP(Table1[RespondentID],'All Data'!$A$3:$CW$999,98,FALSE),"unknown")</f>
        <v>0</v>
      </c>
      <c r="AX254" s="120">
        <f>IFERROR(VLOOKUP(Table1[RespondentID],'All Data'!$A$3:$CW$999,99,FALSE),"unknown")</f>
        <v>0</v>
      </c>
    </row>
    <row r="255" spans="1:50">
      <c r="A255" s="5">
        <v>18019095504</v>
      </c>
      <c r="B255" s="5"/>
      <c r="C255" s="5"/>
      <c r="D255" s="5" t="s">
        <v>18</v>
      </c>
      <c r="E255" s="5"/>
      <c r="F255" s="5"/>
      <c r="G255" s="5"/>
      <c r="H255" s="5"/>
      <c r="I255" s="5"/>
      <c r="J255" s="5"/>
      <c r="K255" s="5" t="s">
        <v>25</v>
      </c>
      <c r="L255" s="5" t="s">
        <v>26</v>
      </c>
      <c r="M255" s="5"/>
      <c r="N255" s="5"/>
      <c r="O255" s="7"/>
      <c r="P255" s="7">
        <f t="shared" si="54"/>
        <v>3</v>
      </c>
      <c r="Q255" s="7">
        <f t="shared" si="55"/>
        <v>1</v>
      </c>
      <c r="R255" s="7"/>
      <c r="S255" s="7">
        <f t="shared" si="71"/>
        <v>0</v>
      </c>
      <c r="T255" s="7">
        <f t="shared" si="56"/>
        <v>0</v>
      </c>
      <c r="U255" s="7">
        <f t="shared" si="57"/>
        <v>1</v>
      </c>
      <c r="V255" s="119">
        <f t="shared" si="58"/>
        <v>0</v>
      </c>
      <c r="W255" s="119">
        <f t="shared" si="59"/>
        <v>0</v>
      </c>
      <c r="X255" s="119">
        <f t="shared" si="60"/>
        <v>0</v>
      </c>
      <c r="Y255" s="119">
        <f t="shared" si="61"/>
        <v>0</v>
      </c>
      <c r="Z255" s="119">
        <f t="shared" si="62"/>
        <v>0</v>
      </c>
      <c r="AA255" s="119">
        <f t="shared" si="63"/>
        <v>0</v>
      </c>
      <c r="AB255" s="119">
        <f t="shared" si="64"/>
        <v>1</v>
      </c>
      <c r="AC255" s="119">
        <f t="shared" si="65"/>
        <v>1</v>
      </c>
      <c r="AD255" s="119">
        <f t="shared" si="66"/>
        <v>0</v>
      </c>
      <c r="AE255" s="119">
        <f t="shared" si="67"/>
        <v>0</v>
      </c>
      <c r="AF255" s="7"/>
      <c r="AG255" s="7"/>
      <c r="AH255" s="7">
        <f t="shared" si="68"/>
        <v>3</v>
      </c>
      <c r="AI255" s="7">
        <f t="shared" si="69"/>
        <v>3</v>
      </c>
      <c r="AJ255" s="7" t="str">
        <f t="shared" si="70"/>
        <v>Correct</v>
      </c>
      <c r="AL255" s="120" t="str">
        <f>IFERROR(VLOOKUP(Table1[RespondentID],'All Data'!$A$3:$CO$999,87,FALSE),"unknown")</f>
        <v>Woman</v>
      </c>
      <c r="AM255" s="120">
        <f>IFERROR(VLOOKUP(Table1[RespondentID],'All Data'!$A$3:$CO$999,88,FALSE),"unknown")</f>
        <v>49</v>
      </c>
      <c r="AN255" s="120" t="str">
        <f>IFERROR(VLOOKUP(Table1[RespondentID],'All Data'!$A$3:$CO$999,89,FALSE),"unknown")</f>
        <v>Suffolk</v>
      </c>
      <c r="AO255" s="120" t="str">
        <f>IFERROR(VLOOKUP(Table1[RespondentID],'All Data'!$A$3:$CO$999,90,FALSE),"unknown")</f>
        <v>Coram, 11727</v>
      </c>
      <c r="AP255" s="120" t="str">
        <f>IFERROR(VLOOKUP(Table1[RespondentID],'All Data'!$A$3:$CO$999,91,FALSE),"unknown")</f>
        <v>White</v>
      </c>
      <c r="AQ255" s="120">
        <f>IFERROR(VLOOKUP(Table1[RespondentID],'All Data'!$A$3:$CO$999,92,FALSE),"unknown")</f>
        <v>0</v>
      </c>
      <c r="AR255" s="120" t="str">
        <f>IFERROR(VLOOKUP(Table1[RespondentID],'All Data'!$A$3:$CO$999,93,FALSE),"unknown")</f>
        <v>English</v>
      </c>
      <c r="AS255" s="120" t="str">
        <f>IFERROR(VLOOKUP(Table1[RespondentID],'All Data'!$A$3:$CW$999,94,FALSE),"unknown")</f>
        <v>$75,000 to $125,000</v>
      </c>
      <c r="AT255" s="120" t="str">
        <f>IFERROR(VLOOKUP(Table1[RespondentID],'All Data'!$A$3:$CW$999,95,FALSE),"unknown")</f>
        <v>College graduate</v>
      </c>
      <c r="AU255" s="120" t="str">
        <f>IFERROR(VLOOKUP(Table1[RespondentID],'All Data'!$A$3:$CW$999,96,FALSE),"unknown")</f>
        <v>Employed for wages</v>
      </c>
      <c r="AV255" s="120" t="str">
        <f>IFERROR(VLOOKUP(Table1[RespondentID],'All Data'!$A$3:$CW$999,97,FALSE),"unknown")</f>
        <v>Yes</v>
      </c>
      <c r="AW255" s="120">
        <f>IFERROR(VLOOKUP(Table1[RespondentID],'All Data'!$A$3:$CW$999,98,FALSE),"unknown")</f>
        <v>0</v>
      </c>
      <c r="AX255" s="120">
        <f>IFERROR(VLOOKUP(Table1[RespondentID],'All Data'!$A$3:$CW$999,99,FALSE),"unknown")</f>
        <v>0</v>
      </c>
    </row>
    <row r="256" spans="1:50">
      <c r="A256" s="5">
        <v>18019095328</v>
      </c>
      <c r="B256" s="5"/>
      <c r="C256" s="5"/>
      <c r="D256" s="5"/>
      <c r="E256" s="5"/>
      <c r="F256" s="5"/>
      <c r="G256" s="5" t="s">
        <v>21</v>
      </c>
      <c r="H256" s="5"/>
      <c r="I256" s="5"/>
      <c r="J256" s="5"/>
      <c r="K256" s="5" t="s">
        <v>25</v>
      </c>
      <c r="L256" s="5" t="s">
        <v>26</v>
      </c>
      <c r="M256" s="5"/>
      <c r="N256" s="5"/>
      <c r="O256" s="7"/>
      <c r="P256" s="7">
        <f t="shared" si="54"/>
        <v>3</v>
      </c>
      <c r="Q256" s="7">
        <f t="shared" si="55"/>
        <v>1</v>
      </c>
      <c r="R256" s="7"/>
      <c r="S256" s="7">
        <f t="shared" si="71"/>
        <v>0</v>
      </c>
      <c r="T256" s="7">
        <f t="shared" si="56"/>
        <v>0</v>
      </c>
      <c r="U256" s="7">
        <f t="shared" si="57"/>
        <v>0</v>
      </c>
      <c r="V256" s="119">
        <f t="shared" si="58"/>
        <v>0</v>
      </c>
      <c r="W256" s="119">
        <f t="shared" si="59"/>
        <v>0</v>
      </c>
      <c r="X256" s="119">
        <f t="shared" si="60"/>
        <v>1</v>
      </c>
      <c r="Y256" s="119">
        <f t="shared" si="61"/>
        <v>0</v>
      </c>
      <c r="Z256" s="119">
        <f t="shared" si="62"/>
        <v>0</v>
      </c>
      <c r="AA256" s="119">
        <f t="shared" si="63"/>
        <v>0</v>
      </c>
      <c r="AB256" s="119">
        <f t="shared" si="64"/>
        <v>1</v>
      </c>
      <c r="AC256" s="119">
        <f t="shared" si="65"/>
        <v>1</v>
      </c>
      <c r="AD256" s="119">
        <f t="shared" si="66"/>
        <v>0</v>
      </c>
      <c r="AE256" s="119">
        <f t="shared" si="67"/>
        <v>0</v>
      </c>
      <c r="AF256" s="7"/>
      <c r="AG256" s="7"/>
      <c r="AH256" s="7">
        <f t="shared" si="68"/>
        <v>3</v>
      </c>
      <c r="AI256" s="7">
        <f t="shared" si="69"/>
        <v>3</v>
      </c>
      <c r="AJ256" s="7" t="str">
        <f t="shared" si="70"/>
        <v>Correct</v>
      </c>
      <c r="AL256" s="120" t="str">
        <f>IFERROR(VLOOKUP(Table1[RespondentID],'All Data'!$A$3:$CO$999,87,FALSE),"unknown")</f>
        <v>Man</v>
      </c>
      <c r="AM256" s="120">
        <f>IFERROR(VLOOKUP(Table1[RespondentID],'All Data'!$A$3:$CO$999,88,FALSE),"unknown")</f>
        <v>48</v>
      </c>
      <c r="AN256" s="120" t="str">
        <f>IFERROR(VLOOKUP(Table1[RespondentID],'All Data'!$A$3:$CO$999,89,FALSE),"unknown")</f>
        <v>Suffolk</v>
      </c>
      <c r="AO256" s="120" t="str">
        <f>IFERROR(VLOOKUP(Table1[RespondentID],'All Data'!$A$3:$CO$999,90,FALSE),"unknown")</f>
        <v>Commack, 11725</v>
      </c>
      <c r="AP256" s="120" t="str">
        <f>IFERROR(VLOOKUP(Table1[RespondentID],'All Data'!$A$3:$CO$999,91,FALSE),"unknown")</f>
        <v>White</v>
      </c>
      <c r="AQ256" s="120" t="str">
        <f>IFERROR(VLOOKUP(Table1[RespondentID],'All Data'!$A$3:$CO$999,92,FALSE),"unknown")</f>
        <v>Hispanic or Latino</v>
      </c>
      <c r="AR256" s="120" t="str">
        <f>IFERROR(VLOOKUP(Table1[RespondentID],'All Data'!$A$3:$CO$999,93,FALSE),"unknown")</f>
        <v>English</v>
      </c>
      <c r="AS256" s="120" t="str">
        <f>IFERROR(VLOOKUP(Table1[RespondentID],'All Data'!$A$3:$CW$999,94,FALSE),"unknown")</f>
        <v>Over $125,000</v>
      </c>
      <c r="AT256" s="120" t="str">
        <f>IFERROR(VLOOKUP(Table1[RespondentID],'All Data'!$A$3:$CW$999,95,FALSE),"unknown")</f>
        <v>College graduate</v>
      </c>
      <c r="AU256" s="120" t="str">
        <f>IFERROR(VLOOKUP(Table1[RespondentID],'All Data'!$A$3:$CW$999,96,FALSE),"unknown")</f>
        <v>Out of work, but not currently looking</v>
      </c>
      <c r="AV256" s="120" t="str">
        <f>IFERROR(VLOOKUP(Table1[RespondentID],'All Data'!$A$3:$CW$999,97,FALSE),"unknown")</f>
        <v>Yes</v>
      </c>
      <c r="AW256" s="120">
        <f>IFERROR(VLOOKUP(Table1[RespondentID],'All Data'!$A$3:$CW$999,98,FALSE),"unknown")</f>
        <v>0</v>
      </c>
      <c r="AX256" s="120">
        <f>IFERROR(VLOOKUP(Table1[RespondentID],'All Data'!$A$3:$CW$999,99,FALSE),"unknown")</f>
        <v>0</v>
      </c>
    </row>
    <row r="257" spans="1:50">
      <c r="A257" s="5">
        <v>18019095130</v>
      </c>
      <c r="B257" s="5"/>
      <c r="C257" s="5"/>
      <c r="D257" s="5"/>
      <c r="E257" s="5" t="s">
        <v>19</v>
      </c>
      <c r="F257" s="5"/>
      <c r="G257" s="5"/>
      <c r="H257" s="5"/>
      <c r="I257" s="5"/>
      <c r="J257" s="5"/>
      <c r="K257" s="5"/>
      <c r="L257" s="5"/>
      <c r="M257" s="5"/>
      <c r="N257" s="5"/>
      <c r="O257" s="7"/>
      <c r="P257" s="7">
        <f t="shared" si="54"/>
        <v>1</v>
      </c>
      <c r="Q257" s="7">
        <f t="shared" si="55"/>
        <v>3</v>
      </c>
      <c r="R257" s="7"/>
      <c r="S257" s="7">
        <f t="shared" si="71"/>
        <v>0</v>
      </c>
      <c r="T257" s="7">
        <f t="shared" si="56"/>
        <v>0</v>
      </c>
      <c r="U257" s="7">
        <f t="shared" si="57"/>
        <v>0</v>
      </c>
      <c r="V257" s="119">
        <f t="shared" si="58"/>
        <v>1</v>
      </c>
      <c r="W257" s="119">
        <f t="shared" si="59"/>
        <v>0</v>
      </c>
      <c r="X257" s="119">
        <f t="shared" si="60"/>
        <v>0</v>
      </c>
      <c r="Y257" s="119">
        <f t="shared" si="61"/>
        <v>0</v>
      </c>
      <c r="Z257" s="119">
        <f t="shared" si="62"/>
        <v>0</v>
      </c>
      <c r="AA257" s="119">
        <f t="shared" si="63"/>
        <v>0</v>
      </c>
      <c r="AB257" s="119">
        <f t="shared" si="64"/>
        <v>0</v>
      </c>
      <c r="AC257" s="119">
        <f t="shared" si="65"/>
        <v>0</v>
      </c>
      <c r="AD257" s="119">
        <f t="shared" si="66"/>
        <v>0</v>
      </c>
      <c r="AE257" s="119">
        <f t="shared" si="67"/>
        <v>0</v>
      </c>
      <c r="AF257" s="7"/>
      <c r="AG257" s="7"/>
      <c r="AH257" s="7">
        <f t="shared" si="68"/>
        <v>1</v>
      </c>
      <c r="AI257" s="7">
        <f t="shared" si="69"/>
        <v>1</v>
      </c>
      <c r="AJ257" s="7" t="str">
        <f t="shared" si="70"/>
        <v>Correct</v>
      </c>
      <c r="AL257" s="120" t="str">
        <f>IFERROR(VLOOKUP(Table1[RespondentID],'All Data'!$A$3:$CO$999,87,FALSE),"unknown")</f>
        <v>Woman</v>
      </c>
      <c r="AM257" s="120">
        <f>IFERROR(VLOOKUP(Table1[RespondentID],'All Data'!$A$3:$CO$999,88,FALSE),"unknown")</f>
        <v>50</v>
      </c>
      <c r="AN257" s="120" t="str">
        <f>IFERROR(VLOOKUP(Table1[RespondentID],'All Data'!$A$3:$CO$999,89,FALSE),"unknown")</f>
        <v>Suffolk</v>
      </c>
      <c r="AO257" s="120" t="str">
        <f>IFERROR(VLOOKUP(Table1[RespondentID],'All Data'!$A$3:$CO$999,90,FALSE),"unknown")</f>
        <v>Nesconset, 11767</v>
      </c>
      <c r="AP257" s="120" t="str">
        <f>IFERROR(VLOOKUP(Table1[RespondentID],'All Data'!$A$3:$CO$999,91,FALSE),"unknown")</f>
        <v>White</v>
      </c>
      <c r="AQ257" s="120" t="str">
        <f>IFERROR(VLOOKUP(Table1[RespondentID],'All Data'!$A$3:$CO$999,92,FALSE),"unknown")</f>
        <v>Hispanic or Latino</v>
      </c>
      <c r="AR257" s="120" t="str">
        <f>IFERROR(VLOOKUP(Table1[RespondentID],'All Data'!$A$3:$CO$999,93,FALSE),"unknown")</f>
        <v>English</v>
      </c>
      <c r="AS257" s="120" t="str">
        <f>IFERROR(VLOOKUP(Table1[RespondentID],'All Data'!$A$3:$CW$999,94,FALSE),"unknown")</f>
        <v>$75,000 to $125,000</v>
      </c>
      <c r="AT257" s="120" t="str">
        <f>IFERROR(VLOOKUP(Table1[RespondentID],'All Data'!$A$3:$CW$999,95,FALSE),"unknown")</f>
        <v>High school graduate</v>
      </c>
      <c r="AU257" s="120" t="str">
        <f>IFERROR(VLOOKUP(Table1[RespondentID],'All Data'!$A$3:$CW$999,96,FALSE),"unknown")</f>
        <v>Employed for wages</v>
      </c>
      <c r="AV257" s="120" t="str">
        <f>IFERROR(VLOOKUP(Table1[RespondentID],'All Data'!$A$3:$CW$999,97,FALSE),"unknown")</f>
        <v>Yes</v>
      </c>
      <c r="AW257" s="120">
        <f>IFERROR(VLOOKUP(Table1[RespondentID],'All Data'!$A$3:$CW$999,98,FALSE),"unknown")</f>
        <v>0</v>
      </c>
      <c r="AX257" s="120">
        <f>IFERROR(VLOOKUP(Table1[RespondentID],'All Data'!$A$3:$CW$999,99,FALSE),"unknown")</f>
        <v>0</v>
      </c>
    </row>
    <row r="258" spans="1:50">
      <c r="A258" s="5">
        <v>18019094934</v>
      </c>
      <c r="B258" s="5"/>
      <c r="C258" s="5" t="s">
        <v>17</v>
      </c>
      <c r="D258" s="5"/>
      <c r="E258" s="5"/>
      <c r="F258" s="5"/>
      <c r="G258" s="5"/>
      <c r="H258" s="5" t="s">
        <v>22</v>
      </c>
      <c r="I258" s="5"/>
      <c r="J258" s="5"/>
      <c r="K258" s="5" t="s">
        <v>25</v>
      </c>
      <c r="L258" s="5"/>
      <c r="M258" s="5"/>
      <c r="N258" s="5"/>
      <c r="O258" s="7"/>
      <c r="P258" s="7">
        <f t="shared" ref="P258:P321" si="72">COUNTA(B258:N258)</f>
        <v>3</v>
      </c>
      <c r="Q258" s="7">
        <f t="shared" ref="Q258:Q321" si="73">3/P258</f>
        <v>1</v>
      </c>
      <c r="R258" s="7"/>
      <c r="S258" s="7">
        <f t="shared" si="71"/>
        <v>0</v>
      </c>
      <c r="T258" s="7">
        <f t="shared" ref="T258:T321" si="74">IF($P258&lt;3,IF($C258=$C$1,1,0),IF($C258=$C$1,$Q258,0))</f>
        <v>1</v>
      </c>
      <c r="U258" s="7">
        <f t="shared" ref="U258:U321" si="75">IF($P258&lt;3,IF($D258=$D$1,1,0),IF($D258=$D$1,$Q258,0))</f>
        <v>0</v>
      </c>
      <c r="V258" s="119">
        <f t="shared" ref="V258:V321" si="76">IF($P258&lt;3,IF($E258=$E$1,1,0),IF($E258=$E$1,$Q258,0))</f>
        <v>0</v>
      </c>
      <c r="W258" s="119">
        <f t="shared" ref="W258:W321" si="77">IF($P258&lt;3,IF($F258=$F$1,1,0),IF($F258=$F$1,$Q258,0))</f>
        <v>0</v>
      </c>
      <c r="X258" s="119">
        <f t="shared" ref="X258:X321" si="78">IF($P258&lt;3,IF($G258=$G$1,1,0),IF($G258=$G$1,$Q258,0))</f>
        <v>0</v>
      </c>
      <c r="Y258" s="119">
        <f t="shared" ref="Y258:Y321" si="79">IF($P258&lt;3,IF($H258=$H$1,1,0),IF($H258=$H$1,$Q258,0))</f>
        <v>1</v>
      </c>
      <c r="Z258" s="119">
        <f t="shared" ref="Z258:Z321" si="80">IF($P258&lt;3,IF($I258=$I$1,1,0),IF($I258=$I$1,$Q258,0))</f>
        <v>0</v>
      </c>
      <c r="AA258" s="119">
        <f t="shared" ref="AA258:AA321" si="81">IF($P258&lt;3,IF($J258=$J$1,1,0),IF($J258=$J$1,$Q258,0))</f>
        <v>0</v>
      </c>
      <c r="AB258" s="119">
        <f t="shared" ref="AB258:AB321" si="82">IF($P258&lt;3,IF($K258=$K$1,1,0),IF($K258=$K$1,$Q258,0))</f>
        <v>1</v>
      </c>
      <c r="AC258" s="119">
        <f t="shared" ref="AC258:AC321" si="83">IF($P258&lt;3,IF($L258=$L$1,1,0),IF($L258=$L$1,$Q258,0))</f>
        <v>0</v>
      </c>
      <c r="AD258" s="119">
        <f t="shared" ref="AD258:AD321" si="84">IF($P258&lt;3,IF($M258=$M$1,1,0),IF($M258=$M$1,$Q258,0))</f>
        <v>0</v>
      </c>
      <c r="AE258" s="119">
        <f t="shared" ref="AE258:AE321" si="85">IF($P258&lt;3,IF($N258=$N$1,1,0),IF($N258=$N$1,$Q258,0))</f>
        <v>0</v>
      </c>
      <c r="AF258" s="7"/>
      <c r="AG258" s="7"/>
      <c r="AH258" s="7">
        <f t="shared" ref="AH258:AH321" si="86">SUM(S258:AE258)</f>
        <v>3</v>
      </c>
      <c r="AI258" s="7">
        <f t="shared" ref="AI258:AI321" si="87">P258</f>
        <v>3</v>
      </c>
      <c r="AJ258" s="7" t="str">
        <f t="shared" ref="AJ258:AJ321" si="88">IF(AH258=AI258,"Correct",IF(AH258=3,"Correct","Wrong"))</f>
        <v>Correct</v>
      </c>
      <c r="AL258" s="120" t="str">
        <f>IFERROR(VLOOKUP(Table1[RespondentID],'All Data'!$A$3:$CO$999,87,FALSE),"unknown")</f>
        <v>Man</v>
      </c>
      <c r="AM258" s="120">
        <f>IFERROR(VLOOKUP(Table1[RespondentID],'All Data'!$A$3:$CO$999,88,FALSE),"unknown")</f>
        <v>50</v>
      </c>
      <c r="AN258" s="120" t="str">
        <f>IFERROR(VLOOKUP(Table1[RespondentID],'All Data'!$A$3:$CO$999,89,FALSE),"unknown")</f>
        <v>Suffolk</v>
      </c>
      <c r="AO258" s="120" t="str">
        <f>IFERROR(VLOOKUP(Table1[RespondentID],'All Data'!$A$3:$CO$999,90,FALSE),"unknown")</f>
        <v>Greenlawn, 11740</v>
      </c>
      <c r="AP258" s="120" t="str">
        <f>IFERROR(VLOOKUP(Table1[RespondentID],'All Data'!$A$3:$CO$999,91,FALSE),"unknown")</f>
        <v>White</v>
      </c>
      <c r="AQ258" s="120" t="str">
        <f>IFERROR(VLOOKUP(Table1[RespondentID],'All Data'!$A$3:$CO$999,92,FALSE),"unknown")</f>
        <v>Hispanic or Latino</v>
      </c>
      <c r="AR258" s="120" t="str">
        <f>IFERROR(VLOOKUP(Table1[RespondentID],'All Data'!$A$3:$CO$999,93,FALSE),"unknown")</f>
        <v>English</v>
      </c>
      <c r="AS258" s="120" t="str">
        <f>IFERROR(VLOOKUP(Table1[RespondentID],'All Data'!$A$3:$CW$999,94,FALSE),"unknown")</f>
        <v>Over $125,000</v>
      </c>
      <c r="AT258" s="120" t="str">
        <f>IFERROR(VLOOKUP(Table1[RespondentID],'All Data'!$A$3:$CW$999,95,FALSE),"unknown")</f>
        <v>College graduate</v>
      </c>
      <c r="AU258" s="120" t="str">
        <f>IFERROR(VLOOKUP(Table1[RespondentID],'All Data'!$A$3:$CW$999,96,FALSE),"unknown")</f>
        <v>Employed for wages</v>
      </c>
      <c r="AV258" s="120" t="str">
        <f>IFERROR(VLOOKUP(Table1[RespondentID],'All Data'!$A$3:$CW$999,97,FALSE),"unknown")</f>
        <v>Yes</v>
      </c>
      <c r="AW258" s="120">
        <f>IFERROR(VLOOKUP(Table1[RespondentID],'All Data'!$A$3:$CW$999,98,FALSE),"unknown")</f>
        <v>0</v>
      </c>
      <c r="AX258" s="120">
        <f>IFERROR(VLOOKUP(Table1[RespondentID],'All Data'!$A$3:$CW$999,99,FALSE),"unknown")</f>
        <v>0</v>
      </c>
    </row>
    <row r="259" spans="1:50">
      <c r="A259" s="5">
        <v>18019094740</v>
      </c>
      <c r="B259" s="5" t="s">
        <v>16</v>
      </c>
      <c r="C259" s="5" t="s">
        <v>17</v>
      </c>
      <c r="D259" s="5"/>
      <c r="E259" s="5"/>
      <c r="F259" s="5"/>
      <c r="G259" s="5"/>
      <c r="H259" s="5" t="s">
        <v>22</v>
      </c>
      <c r="I259" s="5" t="s">
        <v>23</v>
      </c>
      <c r="J259" s="5"/>
      <c r="K259" s="5" t="s">
        <v>25</v>
      </c>
      <c r="L259" s="5"/>
      <c r="M259" s="5"/>
      <c r="N259" s="5"/>
      <c r="O259" s="7"/>
      <c r="P259" s="7">
        <f t="shared" si="72"/>
        <v>5</v>
      </c>
      <c r="Q259" s="7">
        <f t="shared" si="73"/>
        <v>0.6</v>
      </c>
      <c r="R259" s="7"/>
      <c r="S259" s="7">
        <f t="shared" si="71"/>
        <v>0.6</v>
      </c>
      <c r="T259" s="7">
        <f t="shared" si="74"/>
        <v>0.6</v>
      </c>
      <c r="U259" s="7">
        <f t="shared" si="75"/>
        <v>0</v>
      </c>
      <c r="V259" s="119">
        <f t="shared" si="76"/>
        <v>0</v>
      </c>
      <c r="W259" s="119">
        <f t="shared" si="77"/>
        <v>0</v>
      </c>
      <c r="X259" s="119">
        <f t="shared" si="78"/>
        <v>0</v>
      </c>
      <c r="Y259" s="119">
        <f t="shared" si="79"/>
        <v>0.6</v>
      </c>
      <c r="Z259" s="119">
        <f t="shared" si="80"/>
        <v>0.6</v>
      </c>
      <c r="AA259" s="119">
        <f t="shared" si="81"/>
        <v>0</v>
      </c>
      <c r="AB259" s="119">
        <f t="shared" si="82"/>
        <v>0.6</v>
      </c>
      <c r="AC259" s="119">
        <f t="shared" si="83"/>
        <v>0</v>
      </c>
      <c r="AD259" s="119">
        <f t="shared" si="84"/>
        <v>0</v>
      </c>
      <c r="AE259" s="119">
        <f t="shared" si="85"/>
        <v>0</v>
      </c>
      <c r="AF259" s="7"/>
      <c r="AG259" s="7"/>
      <c r="AH259" s="7">
        <f t="shared" si="86"/>
        <v>3</v>
      </c>
      <c r="AI259" s="7">
        <f t="shared" si="87"/>
        <v>5</v>
      </c>
      <c r="AJ259" s="7" t="str">
        <f t="shared" si="88"/>
        <v>Correct</v>
      </c>
      <c r="AL259" s="120" t="str">
        <f>IFERROR(VLOOKUP(Table1[RespondentID],'All Data'!$A$3:$CO$999,87,FALSE),"unknown")</f>
        <v>Man</v>
      </c>
      <c r="AM259" s="120">
        <f>IFERROR(VLOOKUP(Table1[RespondentID],'All Data'!$A$3:$CO$999,88,FALSE),"unknown")</f>
        <v>52</v>
      </c>
      <c r="AN259" s="120" t="str">
        <f>IFERROR(VLOOKUP(Table1[RespondentID],'All Data'!$A$3:$CO$999,89,FALSE),"unknown")</f>
        <v>Suffolk</v>
      </c>
      <c r="AO259" s="120" t="str">
        <f>IFERROR(VLOOKUP(Table1[RespondentID],'All Data'!$A$3:$CO$999,90,FALSE),"unknown")</f>
        <v>Centerport, 11721</v>
      </c>
      <c r="AP259" s="120" t="str">
        <f>IFERROR(VLOOKUP(Table1[RespondentID],'All Data'!$A$3:$CO$999,91,FALSE),"unknown")</f>
        <v>White</v>
      </c>
      <c r="AQ259" s="120" t="str">
        <f>IFERROR(VLOOKUP(Table1[RespondentID],'All Data'!$A$3:$CO$999,92,FALSE),"unknown")</f>
        <v>Hispanic or Latino</v>
      </c>
      <c r="AR259" s="120" t="str">
        <f>IFERROR(VLOOKUP(Table1[RespondentID],'All Data'!$A$3:$CO$999,93,FALSE),"unknown")</f>
        <v>English</v>
      </c>
      <c r="AS259" s="120" t="str">
        <f>IFERROR(VLOOKUP(Table1[RespondentID],'All Data'!$A$3:$CW$999,94,FALSE),"unknown")</f>
        <v>Over $125,000</v>
      </c>
      <c r="AT259" s="120" t="str">
        <f>IFERROR(VLOOKUP(Table1[RespondentID],'All Data'!$A$3:$CW$999,95,FALSE),"unknown")</f>
        <v>College graduate</v>
      </c>
      <c r="AU259" s="120" t="str">
        <f>IFERROR(VLOOKUP(Table1[RespondentID],'All Data'!$A$3:$CW$999,96,FALSE),"unknown")</f>
        <v>Self-employed</v>
      </c>
      <c r="AV259" s="120" t="str">
        <f>IFERROR(VLOOKUP(Table1[RespondentID],'All Data'!$A$3:$CW$999,97,FALSE),"unknown")</f>
        <v>Yes</v>
      </c>
      <c r="AW259" s="120">
        <f>IFERROR(VLOOKUP(Table1[RespondentID],'All Data'!$A$3:$CW$999,98,FALSE),"unknown")</f>
        <v>0</v>
      </c>
      <c r="AX259" s="120">
        <f>IFERROR(VLOOKUP(Table1[RespondentID],'All Data'!$A$3:$CW$999,99,FALSE),"unknown")</f>
        <v>0</v>
      </c>
    </row>
    <row r="260" spans="1:50">
      <c r="A260" s="5">
        <v>18018964801</v>
      </c>
      <c r="B260" s="5"/>
      <c r="C260" s="5"/>
      <c r="D260" s="5"/>
      <c r="E260" s="5"/>
      <c r="F260" s="5" t="s">
        <v>20</v>
      </c>
      <c r="G260" s="5" t="s">
        <v>21</v>
      </c>
      <c r="H260" s="5"/>
      <c r="I260" s="5"/>
      <c r="J260" s="5"/>
      <c r="K260" s="5" t="s">
        <v>25</v>
      </c>
      <c r="L260" s="5"/>
      <c r="M260" s="5"/>
      <c r="N260" s="5"/>
      <c r="O260" s="7"/>
      <c r="P260" s="7">
        <f t="shared" si="72"/>
        <v>3</v>
      </c>
      <c r="Q260" s="7">
        <f t="shared" si="73"/>
        <v>1</v>
      </c>
      <c r="R260" s="7"/>
      <c r="S260" s="7">
        <f t="shared" ref="S260:S323" si="89">IF($P260&lt;3,IF($B260=$B$1,1,0),IF($B260=$B$1,$Q260,0))</f>
        <v>0</v>
      </c>
      <c r="T260" s="7">
        <f t="shared" si="74"/>
        <v>0</v>
      </c>
      <c r="U260" s="7">
        <f t="shared" si="75"/>
        <v>0</v>
      </c>
      <c r="V260" s="119">
        <f t="shared" si="76"/>
        <v>0</v>
      </c>
      <c r="W260" s="119">
        <f t="shared" si="77"/>
        <v>1</v>
      </c>
      <c r="X260" s="119">
        <f t="shared" si="78"/>
        <v>1</v>
      </c>
      <c r="Y260" s="119">
        <f t="shared" si="79"/>
        <v>0</v>
      </c>
      <c r="Z260" s="119">
        <f t="shared" si="80"/>
        <v>0</v>
      </c>
      <c r="AA260" s="119">
        <f t="shared" si="81"/>
        <v>0</v>
      </c>
      <c r="AB260" s="119">
        <f t="shared" si="82"/>
        <v>1</v>
      </c>
      <c r="AC260" s="119">
        <f t="shared" si="83"/>
        <v>0</v>
      </c>
      <c r="AD260" s="119">
        <f t="shared" si="84"/>
        <v>0</v>
      </c>
      <c r="AE260" s="119">
        <f t="shared" si="85"/>
        <v>0</v>
      </c>
      <c r="AF260" s="7"/>
      <c r="AG260" s="7"/>
      <c r="AH260" s="7">
        <f t="shared" si="86"/>
        <v>3</v>
      </c>
      <c r="AI260" s="7">
        <f t="shared" si="87"/>
        <v>3</v>
      </c>
      <c r="AJ260" s="7" t="str">
        <f t="shared" si="88"/>
        <v>Correct</v>
      </c>
      <c r="AL260" s="120" t="str">
        <f>IFERROR(VLOOKUP(Table1[RespondentID],'All Data'!$A$3:$CO$999,87,FALSE),"unknown")</f>
        <v>Woman</v>
      </c>
      <c r="AM260" s="120">
        <f>IFERROR(VLOOKUP(Table1[RespondentID],'All Data'!$A$3:$CO$999,88,FALSE),"unknown")</f>
        <v>60</v>
      </c>
      <c r="AN260" s="120" t="str">
        <f>IFERROR(VLOOKUP(Table1[RespondentID],'All Data'!$A$3:$CO$999,89,FALSE),"unknown")</f>
        <v>Suffolk</v>
      </c>
      <c r="AO260" s="120" t="str">
        <f>IFERROR(VLOOKUP(Table1[RespondentID],'All Data'!$A$3:$CO$999,90,FALSE),"unknown")</f>
        <v>Yaphank, 11980</v>
      </c>
      <c r="AP260" s="120" t="str">
        <f>IFERROR(VLOOKUP(Table1[RespondentID],'All Data'!$A$3:$CO$999,91,FALSE),"unknown")</f>
        <v>White</v>
      </c>
      <c r="AQ260" s="120" t="str">
        <f>IFERROR(VLOOKUP(Table1[RespondentID],'All Data'!$A$3:$CO$999,92,FALSE),"unknown")</f>
        <v>Hispanic or Latino</v>
      </c>
      <c r="AR260" s="120" t="str">
        <f>IFERROR(VLOOKUP(Table1[RespondentID],'All Data'!$A$3:$CO$999,93,FALSE),"unknown")</f>
        <v>English</v>
      </c>
      <c r="AS260" s="120" t="str">
        <f>IFERROR(VLOOKUP(Table1[RespondentID],'All Data'!$A$3:$CW$999,94,FALSE),"unknown")</f>
        <v>Over $125,000</v>
      </c>
      <c r="AT260" s="120" t="str">
        <f>IFERROR(VLOOKUP(Table1[RespondentID],'All Data'!$A$3:$CW$999,95,FALSE),"unknown")</f>
        <v>Other (please specify)</v>
      </c>
      <c r="AU260" s="120" t="str">
        <f>IFERROR(VLOOKUP(Table1[RespondentID],'All Data'!$A$3:$CW$999,96,FALSE),"unknown")</f>
        <v>Employed for wages</v>
      </c>
      <c r="AV260" s="120" t="str">
        <f>IFERROR(VLOOKUP(Table1[RespondentID],'All Data'!$A$3:$CW$999,97,FALSE),"unknown")</f>
        <v>Yes</v>
      </c>
      <c r="AW260" s="120" t="str">
        <f>IFERROR(VLOOKUP(Table1[RespondentID],'All Data'!$A$3:$CW$999,98,FALSE),"unknown")</f>
        <v>Private/Commercial</v>
      </c>
      <c r="AX260" s="120" t="str">
        <f>IFERROR(VLOOKUP(Table1[RespondentID],'All Data'!$A$3:$CW$999,99,FALSE),"unknown")</f>
        <v>Yes</v>
      </c>
    </row>
    <row r="261" spans="1:50">
      <c r="A261" s="5">
        <v>18018757371</v>
      </c>
      <c r="B261" s="5" t="s">
        <v>16</v>
      </c>
      <c r="C261" s="5"/>
      <c r="D261" s="5" t="s">
        <v>18</v>
      </c>
      <c r="E261" s="5" t="s">
        <v>19</v>
      </c>
      <c r="F261" s="5"/>
      <c r="G261" s="5"/>
      <c r="H261" s="5"/>
      <c r="I261" s="5"/>
      <c r="J261" s="5"/>
      <c r="K261" s="5" t="s">
        <v>25</v>
      </c>
      <c r="L261" s="5" t="s">
        <v>26</v>
      </c>
      <c r="M261" s="5"/>
      <c r="N261" s="5" t="s">
        <v>28</v>
      </c>
      <c r="O261" s="7"/>
      <c r="P261" s="7">
        <f t="shared" si="72"/>
        <v>6</v>
      </c>
      <c r="Q261" s="7">
        <f t="shared" si="73"/>
        <v>0.5</v>
      </c>
      <c r="R261" s="7"/>
      <c r="S261" s="7">
        <f t="shared" si="89"/>
        <v>0.5</v>
      </c>
      <c r="T261" s="7">
        <f t="shared" si="74"/>
        <v>0</v>
      </c>
      <c r="U261" s="7">
        <f t="shared" si="75"/>
        <v>0.5</v>
      </c>
      <c r="V261" s="119">
        <f t="shared" si="76"/>
        <v>0.5</v>
      </c>
      <c r="W261" s="119">
        <f t="shared" si="77"/>
        <v>0</v>
      </c>
      <c r="X261" s="119">
        <f t="shared" si="78"/>
        <v>0</v>
      </c>
      <c r="Y261" s="119">
        <f t="shared" si="79"/>
        <v>0</v>
      </c>
      <c r="Z261" s="119">
        <f t="shared" si="80"/>
        <v>0</v>
      </c>
      <c r="AA261" s="119">
        <f t="shared" si="81"/>
        <v>0</v>
      </c>
      <c r="AB261" s="119">
        <f t="shared" si="82"/>
        <v>0.5</v>
      </c>
      <c r="AC261" s="119">
        <f t="shared" si="83"/>
        <v>0.5</v>
      </c>
      <c r="AD261" s="119">
        <f t="shared" si="84"/>
        <v>0</v>
      </c>
      <c r="AE261" s="119">
        <f t="shared" si="85"/>
        <v>0.5</v>
      </c>
      <c r="AF261" s="7"/>
      <c r="AG261" s="7"/>
      <c r="AH261" s="7">
        <f t="shared" si="86"/>
        <v>3</v>
      </c>
      <c r="AI261" s="7">
        <f t="shared" si="87"/>
        <v>6</v>
      </c>
      <c r="AJ261" s="7" t="str">
        <f t="shared" si="88"/>
        <v>Correct</v>
      </c>
      <c r="AL261" s="120" t="str">
        <f>IFERROR(VLOOKUP(Table1[RespondentID],'All Data'!$A$3:$CO$999,87,FALSE),"unknown")</f>
        <v>Man</v>
      </c>
      <c r="AM261" s="120">
        <f>IFERROR(VLOOKUP(Table1[RespondentID],'All Data'!$A$3:$CO$999,88,FALSE),"unknown")</f>
        <v>40</v>
      </c>
      <c r="AN261" s="120" t="str">
        <f>IFERROR(VLOOKUP(Table1[RespondentID],'All Data'!$A$3:$CO$999,89,FALSE),"unknown")</f>
        <v>Suffolk</v>
      </c>
      <c r="AO261" s="120" t="str">
        <f>IFERROR(VLOOKUP(Table1[RespondentID],'All Data'!$A$3:$CO$999,90,FALSE),"unknown")</f>
        <v>Babylon, 11703</v>
      </c>
      <c r="AP261" s="120" t="str">
        <f>IFERROR(VLOOKUP(Table1[RespondentID],'All Data'!$A$3:$CO$999,91,FALSE),"unknown")</f>
        <v>White</v>
      </c>
      <c r="AQ261" s="120" t="str">
        <f>IFERROR(VLOOKUP(Table1[RespondentID],'All Data'!$A$3:$CO$999,92,FALSE),"unknown")</f>
        <v>Hispanic or Latino</v>
      </c>
      <c r="AR261" s="120" t="str">
        <f>IFERROR(VLOOKUP(Table1[RespondentID],'All Data'!$A$3:$CO$999,93,FALSE),"unknown")</f>
        <v>English</v>
      </c>
      <c r="AS261" s="120" t="str">
        <f>IFERROR(VLOOKUP(Table1[RespondentID],'All Data'!$A$3:$CW$999,94,FALSE),"unknown")</f>
        <v>$50,000 to $74,999</v>
      </c>
      <c r="AT261" s="120" t="str">
        <f>IFERROR(VLOOKUP(Table1[RespondentID],'All Data'!$A$3:$CW$999,95,FALSE),"unknown")</f>
        <v>Some college</v>
      </c>
      <c r="AU261" s="120" t="str">
        <f>IFERROR(VLOOKUP(Table1[RespondentID],'All Data'!$A$3:$CW$999,96,FALSE),"unknown")</f>
        <v>Out of work and looking for work</v>
      </c>
      <c r="AV261" s="120" t="str">
        <f>IFERROR(VLOOKUP(Table1[RespondentID],'All Data'!$A$3:$CW$999,97,FALSE),"unknown")</f>
        <v>Yes</v>
      </c>
      <c r="AW261" s="120" t="str">
        <f>IFERROR(VLOOKUP(Table1[RespondentID],'All Data'!$A$3:$CW$999,98,FALSE),"unknown")</f>
        <v>Medicaid</v>
      </c>
      <c r="AX261" s="120" t="str">
        <f>IFERROR(VLOOKUP(Table1[RespondentID],'All Data'!$A$3:$CW$999,99,FALSE),"unknown")</f>
        <v>No</v>
      </c>
    </row>
    <row r="262" spans="1:50">
      <c r="A262" s="5">
        <v>18018472615</v>
      </c>
      <c r="B262" s="5" t="s">
        <v>16</v>
      </c>
      <c r="C262" s="5"/>
      <c r="D262" s="5"/>
      <c r="E262" s="5"/>
      <c r="F262" s="5"/>
      <c r="G262" s="5"/>
      <c r="H262" s="5" t="s">
        <v>22</v>
      </c>
      <c r="I262" s="5" t="s">
        <v>23</v>
      </c>
      <c r="J262" s="5"/>
      <c r="K262" s="5" t="s">
        <v>25</v>
      </c>
      <c r="L262" s="5" t="s">
        <v>26</v>
      </c>
      <c r="M262" s="5"/>
      <c r="N262" s="5"/>
      <c r="O262" s="7"/>
      <c r="P262" s="7">
        <f t="shared" si="72"/>
        <v>5</v>
      </c>
      <c r="Q262" s="7">
        <f t="shared" si="73"/>
        <v>0.6</v>
      </c>
      <c r="R262" s="7"/>
      <c r="S262" s="7">
        <f t="shared" si="89"/>
        <v>0.6</v>
      </c>
      <c r="T262" s="7">
        <f t="shared" si="74"/>
        <v>0</v>
      </c>
      <c r="U262" s="7">
        <f t="shared" si="75"/>
        <v>0</v>
      </c>
      <c r="V262" s="119">
        <f t="shared" si="76"/>
        <v>0</v>
      </c>
      <c r="W262" s="119">
        <f t="shared" si="77"/>
        <v>0</v>
      </c>
      <c r="X262" s="119">
        <f t="shared" si="78"/>
        <v>0</v>
      </c>
      <c r="Y262" s="119">
        <f t="shared" si="79"/>
        <v>0.6</v>
      </c>
      <c r="Z262" s="119">
        <f t="shared" si="80"/>
        <v>0.6</v>
      </c>
      <c r="AA262" s="119">
        <f t="shared" si="81"/>
        <v>0</v>
      </c>
      <c r="AB262" s="119">
        <f t="shared" si="82"/>
        <v>0.6</v>
      </c>
      <c r="AC262" s="119">
        <f t="shared" si="83"/>
        <v>0.6</v>
      </c>
      <c r="AD262" s="119">
        <f t="shared" si="84"/>
        <v>0</v>
      </c>
      <c r="AE262" s="119">
        <f t="shared" si="85"/>
        <v>0</v>
      </c>
      <c r="AF262" s="7"/>
      <c r="AG262" s="7"/>
      <c r="AH262" s="7">
        <f t="shared" si="86"/>
        <v>3</v>
      </c>
      <c r="AI262" s="7">
        <f t="shared" si="87"/>
        <v>5</v>
      </c>
      <c r="AJ262" s="7" t="str">
        <f t="shared" si="88"/>
        <v>Correct</v>
      </c>
      <c r="AL262" s="120" t="str">
        <f>IFERROR(VLOOKUP(Table1[RespondentID],'All Data'!$A$3:$CO$999,87,FALSE),"unknown")</f>
        <v>Man</v>
      </c>
      <c r="AM262" s="120">
        <f>IFERROR(VLOOKUP(Table1[RespondentID],'All Data'!$A$3:$CO$999,88,FALSE),"unknown")</f>
        <v>41</v>
      </c>
      <c r="AN262" s="120" t="str">
        <f>IFERROR(VLOOKUP(Table1[RespondentID],'All Data'!$A$3:$CO$999,89,FALSE),"unknown")</f>
        <v>Suffolk</v>
      </c>
      <c r="AO262" s="120" t="str">
        <f>IFERROR(VLOOKUP(Table1[RespondentID],'All Data'!$A$3:$CO$999,90,FALSE),"unknown")</f>
        <v>Lindenhurst, 11757</v>
      </c>
      <c r="AP262" s="120" t="str">
        <f>IFERROR(VLOOKUP(Table1[RespondentID],'All Data'!$A$3:$CO$999,91,FALSE),"unknown")</f>
        <v>Other (please specify)</v>
      </c>
      <c r="AQ262" s="120">
        <f>IFERROR(VLOOKUP(Table1[RespondentID],'All Data'!$A$3:$CO$999,92,FALSE),"unknown")</f>
        <v>0</v>
      </c>
      <c r="AR262" s="120" t="str">
        <f>IFERROR(VLOOKUP(Table1[RespondentID],'All Data'!$A$3:$CO$999,93,FALSE),"unknown")</f>
        <v>English</v>
      </c>
      <c r="AS262" s="120" t="str">
        <f>IFERROR(VLOOKUP(Table1[RespondentID],'All Data'!$A$3:$CW$999,94,FALSE),"unknown")</f>
        <v>$75,000 to $125,000</v>
      </c>
      <c r="AT262" s="120" t="str">
        <f>IFERROR(VLOOKUP(Table1[RespondentID],'All Data'!$A$3:$CW$999,95,FALSE),"unknown")</f>
        <v>College graduate</v>
      </c>
      <c r="AU262" s="120" t="str">
        <f>IFERROR(VLOOKUP(Table1[RespondentID],'All Data'!$A$3:$CW$999,96,FALSE),"unknown")</f>
        <v>Employed for wages</v>
      </c>
      <c r="AV262" s="120" t="str">
        <f>IFERROR(VLOOKUP(Table1[RespondentID],'All Data'!$A$3:$CW$999,97,FALSE),"unknown")</f>
        <v>Yes</v>
      </c>
      <c r="AW262" s="120" t="str">
        <f>IFERROR(VLOOKUP(Table1[RespondentID],'All Data'!$A$3:$CW$999,98,FALSE),"unknown")</f>
        <v>Private/Commercial</v>
      </c>
      <c r="AX262" s="120" t="str">
        <f>IFERROR(VLOOKUP(Table1[RespondentID],'All Data'!$A$3:$CW$999,99,FALSE),"unknown")</f>
        <v>Yes</v>
      </c>
    </row>
    <row r="263" spans="1:50">
      <c r="A263" s="5">
        <v>18018191958</v>
      </c>
      <c r="B263" s="5"/>
      <c r="C263" s="5"/>
      <c r="D263" s="5"/>
      <c r="E263" s="5"/>
      <c r="F263" s="5"/>
      <c r="G263" s="5"/>
      <c r="H263" s="5"/>
      <c r="I263" s="5"/>
      <c r="J263" s="5"/>
      <c r="K263" s="5"/>
      <c r="L263" s="5"/>
      <c r="M263" s="5"/>
      <c r="N263" s="5"/>
      <c r="O263" s="7"/>
      <c r="P263" s="7">
        <f t="shared" si="72"/>
        <v>0</v>
      </c>
      <c r="Q263" s="7" t="e">
        <f t="shared" si="73"/>
        <v>#DIV/0!</v>
      </c>
      <c r="R263" s="7"/>
      <c r="S263" s="7">
        <f t="shared" si="89"/>
        <v>0</v>
      </c>
      <c r="T263" s="7">
        <f t="shared" si="74"/>
        <v>0</v>
      </c>
      <c r="U263" s="7">
        <f t="shared" si="75"/>
        <v>0</v>
      </c>
      <c r="V263" s="119">
        <f t="shared" si="76"/>
        <v>0</v>
      </c>
      <c r="W263" s="119">
        <f t="shared" si="77"/>
        <v>0</v>
      </c>
      <c r="X263" s="119">
        <f t="shared" si="78"/>
        <v>0</v>
      </c>
      <c r="Y263" s="119">
        <f t="shared" si="79"/>
        <v>0</v>
      </c>
      <c r="Z263" s="119">
        <f t="shared" si="80"/>
        <v>0</v>
      </c>
      <c r="AA263" s="119">
        <f t="shared" si="81"/>
        <v>0</v>
      </c>
      <c r="AB263" s="119">
        <f t="shared" si="82"/>
        <v>0</v>
      </c>
      <c r="AC263" s="119">
        <f t="shared" si="83"/>
        <v>0</v>
      </c>
      <c r="AD263" s="119">
        <f t="shared" si="84"/>
        <v>0</v>
      </c>
      <c r="AE263" s="119">
        <f t="shared" si="85"/>
        <v>0</v>
      </c>
      <c r="AF263" s="7"/>
      <c r="AG263" s="7"/>
      <c r="AH263" s="7">
        <f t="shared" si="86"/>
        <v>0</v>
      </c>
      <c r="AI263" s="7">
        <f t="shared" si="87"/>
        <v>0</v>
      </c>
      <c r="AJ263" s="7" t="str">
        <f t="shared" si="88"/>
        <v>Correct</v>
      </c>
      <c r="AL263" s="120">
        <f>IFERROR(VLOOKUP(Table1[RespondentID],'All Data'!$A$3:$CO$999,87,FALSE),"unknown")</f>
        <v>0</v>
      </c>
      <c r="AM263" s="120">
        <f>IFERROR(VLOOKUP(Table1[RespondentID],'All Data'!$A$3:$CO$999,88,FALSE),"unknown")</f>
        <v>0</v>
      </c>
      <c r="AN263" s="120">
        <f>IFERROR(VLOOKUP(Table1[RespondentID],'All Data'!$A$3:$CO$999,89,FALSE),"unknown")</f>
        <v>0</v>
      </c>
      <c r="AO263" s="120" t="str">
        <f>IFERROR(VLOOKUP(Table1[RespondentID],'All Data'!$A$3:$CO$999,90,FALSE),"unknown")</f>
        <v>Levittown, 11756</v>
      </c>
      <c r="AP263" s="120">
        <f>IFERROR(VLOOKUP(Table1[RespondentID],'All Data'!$A$3:$CO$999,91,FALSE),"unknown")</f>
        <v>0</v>
      </c>
      <c r="AQ263" s="120">
        <f>IFERROR(VLOOKUP(Table1[RespondentID],'All Data'!$A$3:$CO$999,92,FALSE),"unknown")</f>
        <v>0</v>
      </c>
      <c r="AR263" s="120">
        <f>IFERROR(VLOOKUP(Table1[RespondentID],'All Data'!$A$3:$CO$999,93,FALSE),"unknown")</f>
        <v>0</v>
      </c>
      <c r="AS263" s="120">
        <f>IFERROR(VLOOKUP(Table1[RespondentID],'All Data'!$A$3:$CW$999,94,FALSE),"unknown")</f>
        <v>0</v>
      </c>
      <c r="AT263" s="120">
        <f>IFERROR(VLOOKUP(Table1[RespondentID],'All Data'!$A$3:$CW$999,95,FALSE),"unknown")</f>
        <v>0</v>
      </c>
      <c r="AU263" s="120">
        <f>IFERROR(VLOOKUP(Table1[RespondentID],'All Data'!$A$3:$CW$999,96,FALSE),"unknown")</f>
        <v>0</v>
      </c>
      <c r="AV263" s="120">
        <f>IFERROR(VLOOKUP(Table1[RespondentID],'All Data'!$A$3:$CW$999,97,FALSE),"unknown")</f>
        <v>0</v>
      </c>
      <c r="AW263" s="120">
        <f>IFERROR(VLOOKUP(Table1[RespondentID],'All Data'!$A$3:$CW$999,98,FALSE),"unknown")</f>
        <v>0</v>
      </c>
      <c r="AX263" s="120">
        <f>IFERROR(VLOOKUP(Table1[RespondentID],'All Data'!$A$3:$CW$999,99,FALSE),"unknown")</f>
        <v>0</v>
      </c>
    </row>
    <row r="264" spans="1:50">
      <c r="A264" s="5">
        <v>18018187534</v>
      </c>
      <c r="B264" s="5"/>
      <c r="C264" s="5" t="s">
        <v>17</v>
      </c>
      <c r="D264" s="5"/>
      <c r="E264" s="5"/>
      <c r="F264" s="5"/>
      <c r="G264" s="5"/>
      <c r="H264" s="5"/>
      <c r="I264" s="5"/>
      <c r="J264" s="5"/>
      <c r="K264" s="5" t="s">
        <v>25</v>
      </c>
      <c r="L264" s="5"/>
      <c r="M264" s="5"/>
      <c r="N264" s="5" t="s">
        <v>28</v>
      </c>
      <c r="O264" s="7"/>
      <c r="P264" s="7">
        <f t="shared" si="72"/>
        <v>3</v>
      </c>
      <c r="Q264" s="7">
        <f t="shared" si="73"/>
        <v>1</v>
      </c>
      <c r="R264" s="7"/>
      <c r="S264" s="7">
        <f t="shared" si="89"/>
        <v>0</v>
      </c>
      <c r="T264" s="7">
        <f t="shared" si="74"/>
        <v>1</v>
      </c>
      <c r="U264" s="7">
        <f t="shared" si="75"/>
        <v>0</v>
      </c>
      <c r="V264" s="119">
        <f t="shared" si="76"/>
        <v>0</v>
      </c>
      <c r="W264" s="119">
        <f t="shared" si="77"/>
        <v>0</v>
      </c>
      <c r="X264" s="119">
        <f t="shared" si="78"/>
        <v>0</v>
      </c>
      <c r="Y264" s="119">
        <f t="shared" si="79"/>
        <v>0</v>
      </c>
      <c r="Z264" s="119">
        <f t="shared" si="80"/>
        <v>0</v>
      </c>
      <c r="AA264" s="119">
        <f t="shared" si="81"/>
        <v>0</v>
      </c>
      <c r="AB264" s="119">
        <f t="shared" si="82"/>
        <v>1</v>
      </c>
      <c r="AC264" s="119">
        <f t="shared" si="83"/>
        <v>0</v>
      </c>
      <c r="AD264" s="119">
        <f t="shared" si="84"/>
        <v>0</v>
      </c>
      <c r="AE264" s="119">
        <f t="shared" si="85"/>
        <v>1</v>
      </c>
      <c r="AF264" s="7"/>
      <c r="AG264" s="7"/>
      <c r="AH264" s="7">
        <f t="shared" si="86"/>
        <v>3</v>
      </c>
      <c r="AI264" s="7">
        <f t="shared" si="87"/>
        <v>3</v>
      </c>
      <c r="AJ264" s="7" t="str">
        <f t="shared" si="88"/>
        <v>Correct</v>
      </c>
      <c r="AL264" s="120" t="str">
        <f>IFERROR(VLOOKUP(Table1[RespondentID],'All Data'!$A$3:$CO$999,87,FALSE),"unknown")</f>
        <v>Man</v>
      </c>
      <c r="AM264" s="120">
        <f>IFERROR(VLOOKUP(Table1[RespondentID],'All Data'!$A$3:$CO$999,88,FALSE),"unknown")</f>
        <v>32</v>
      </c>
      <c r="AN264" s="120" t="str">
        <f>IFERROR(VLOOKUP(Table1[RespondentID],'All Data'!$A$3:$CO$999,89,FALSE),"unknown")</f>
        <v>Nassau</v>
      </c>
      <c r="AO264" s="120" t="str">
        <f>IFERROR(VLOOKUP(Table1[RespondentID],'All Data'!$A$3:$CO$999,90,FALSE),"unknown")</f>
        <v>Great Neck, 11026</v>
      </c>
      <c r="AP264" s="120" t="str">
        <f>IFERROR(VLOOKUP(Table1[RespondentID],'All Data'!$A$3:$CO$999,91,FALSE),"unknown")</f>
        <v>White</v>
      </c>
      <c r="AQ264" s="120" t="str">
        <f>IFERROR(VLOOKUP(Table1[RespondentID],'All Data'!$A$3:$CO$999,92,FALSE),"unknown")</f>
        <v>Hispanic or Latino</v>
      </c>
      <c r="AR264" s="120" t="str">
        <f>IFERROR(VLOOKUP(Table1[RespondentID],'All Data'!$A$3:$CO$999,93,FALSE),"unknown")</f>
        <v>English</v>
      </c>
      <c r="AS264" s="120" t="str">
        <f>IFERROR(VLOOKUP(Table1[RespondentID],'All Data'!$A$3:$CW$999,94,FALSE),"unknown")</f>
        <v>$75,000 to $125,000</v>
      </c>
      <c r="AT264" s="120" t="str">
        <f>IFERROR(VLOOKUP(Table1[RespondentID],'All Data'!$A$3:$CW$999,95,FALSE),"unknown")</f>
        <v>College graduate</v>
      </c>
      <c r="AU264" s="120" t="str">
        <f>IFERROR(VLOOKUP(Table1[RespondentID],'All Data'!$A$3:$CW$999,96,FALSE),"unknown")</f>
        <v>Employed for wages</v>
      </c>
      <c r="AV264" s="120" t="str">
        <f>IFERROR(VLOOKUP(Table1[RespondentID],'All Data'!$A$3:$CW$999,97,FALSE),"unknown")</f>
        <v>Yes</v>
      </c>
      <c r="AW264" s="120" t="str">
        <f>IFERROR(VLOOKUP(Table1[RespondentID],'All Data'!$A$3:$CW$999,98,FALSE),"unknown")</f>
        <v>Medicaid</v>
      </c>
      <c r="AX264" s="120" t="str">
        <f>IFERROR(VLOOKUP(Table1[RespondentID],'All Data'!$A$3:$CW$999,99,FALSE),"unknown")</f>
        <v>Yes</v>
      </c>
    </row>
    <row r="265" spans="1:50">
      <c r="A265" s="5">
        <v>18018187458</v>
      </c>
      <c r="B265" s="5"/>
      <c r="C265" s="5" t="s">
        <v>17</v>
      </c>
      <c r="D265" s="5"/>
      <c r="E265" s="5"/>
      <c r="F265" s="5"/>
      <c r="G265" s="5"/>
      <c r="H265" s="5"/>
      <c r="I265" s="5"/>
      <c r="J265" s="5"/>
      <c r="K265" s="5" t="s">
        <v>25</v>
      </c>
      <c r="L265" s="5"/>
      <c r="M265" s="5"/>
      <c r="N265" s="5" t="s">
        <v>28</v>
      </c>
      <c r="O265" s="7"/>
      <c r="P265" s="7">
        <f t="shared" si="72"/>
        <v>3</v>
      </c>
      <c r="Q265" s="7">
        <f t="shared" si="73"/>
        <v>1</v>
      </c>
      <c r="R265" s="7"/>
      <c r="S265" s="7">
        <f t="shared" si="89"/>
        <v>0</v>
      </c>
      <c r="T265" s="7">
        <f t="shared" si="74"/>
        <v>1</v>
      </c>
      <c r="U265" s="7">
        <f t="shared" si="75"/>
        <v>0</v>
      </c>
      <c r="V265" s="119">
        <f t="shared" si="76"/>
        <v>0</v>
      </c>
      <c r="W265" s="119">
        <f t="shared" si="77"/>
        <v>0</v>
      </c>
      <c r="X265" s="119">
        <f t="shared" si="78"/>
        <v>0</v>
      </c>
      <c r="Y265" s="119">
        <f t="shared" si="79"/>
        <v>0</v>
      </c>
      <c r="Z265" s="119">
        <f t="shared" si="80"/>
        <v>0</v>
      </c>
      <c r="AA265" s="119">
        <f t="shared" si="81"/>
        <v>0</v>
      </c>
      <c r="AB265" s="119">
        <f t="shared" si="82"/>
        <v>1</v>
      </c>
      <c r="AC265" s="119">
        <f t="shared" si="83"/>
        <v>0</v>
      </c>
      <c r="AD265" s="119">
        <f t="shared" si="84"/>
        <v>0</v>
      </c>
      <c r="AE265" s="119">
        <f t="shared" si="85"/>
        <v>1</v>
      </c>
      <c r="AF265" s="7"/>
      <c r="AG265" s="7"/>
      <c r="AH265" s="7">
        <f t="shared" si="86"/>
        <v>3</v>
      </c>
      <c r="AI265" s="7">
        <f t="shared" si="87"/>
        <v>3</v>
      </c>
      <c r="AJ265" s="7" t="str">
        <f t="shared" si="88"/>
        <v>Correct</v>
      </c>
      <c r="AL265" s="120" t="str">
        <f>IFERROR(VLOOKUP(Table1[RespondentID],'All Data'!$A$3:$CO$999,87,FALSE),"unknown")</f>
        <v>Man</v>
      </c>
      <c r="AM265" s="120">
        <f>IFERROR(VLOOKUP(Table1[RespondentID],'All Data'!$A$3:$CO$999,88,FALSE),"unknown")</f>
        <v>32</v>
      </c>
      <c r="AN265" s="120" t="str">
        <f>IFERROR(VLOOKUP(Table1[RespondentID],'All Data'!$A$3:$CO$999,89,FALSE),"unknown")</f>
        <v>Nassau</v>
      </c>
      <c r="AO265" s="120">
        <f>IFERROR(VLOOKUP(Table1[RespondentID],'All Data'!$A$3:$CO$999,90,FALSE),"unknown")</f>
        <v>0</v>
      </c>
      <c r="AP265" s="120">
        <f>IFERROR(VLOOKUP(Table1[RespondentID],'All Data'!$A$3:$CO$999,91,FALSE),"unknown")</f>
        <v>0</v>
      </c>
      <c r="AQ265" s="120">
        <f>IFERROR(VLOOKUP(Table1[RespondentID],'All Data'!$A$3:$CO$999,92,FALSE),"unknown")</f>
        <v>0</v>
      </c>
      <c r="AR265" s="120">
        <f>IFERROR(VLOOKUP(Table1[RespondentID],'All Data'!$A$3:$CO$999,93,FALSE),"unknown")</f>
        <v>0</v>
      </c>
      <c r="AS265" s="120">
        <f>IFERROR(VLOOKUP(Table1[RespondentID],'All Data'!$A$3:$CW$999,94,FALSE),"unknown")</f>
        <v>0</v>
      </c>
      <c r="AT265" s="120">
        <f>IFERROR(VLOOKUP(Table1[RespondentID],'All Data'!$A$3:$CW$999,95,FALSE),"unknown")</f>
        <v>0</v>
      </c>
      <c r="AU265" s="120">
        <f>IFERROR(VLOOKUP(Table1[RespondentID],'All Data'!$A$3:$CW$999,96,FALSE),"unknown")</f>
        <v>0</v>
      </c>
      <c r="AV265" s="120">
        <f>IFERROR(VLOOKUP(Table1[RespondentID],'All Data'!$A$3:$CW$999,97,FALSE),"unknown")</f>
        <v>0</v>
      </c>
      <c r="AW265" s="120">
        <f>IFERROR(VLOOKUP(Table1[RespondentID],'All Data'!$A$3:$CW$999,98,FALSE),"unknown")</f>
        <v>0</v>
      </c>
      <c r="AX265" s="120">
        <f>IFERROR(VLOOKUP(Table1[RespondentID],'All Data'!$A$3:$CW$999,99,FALSE),"unknown")</f>
        <v>0</v>
      </c>
    </row>
    <row r="266" spans="1:50">
      <c r="A266" s="5">
        <v>18017707683</v>
      </c>
      <c r="B266" s="5"/>
      <c r="C266" s="5"/>
      <c r="D266" s="5"/>
      <c r="E266" s="5"/>
      <c r="F266" s="5"/>
      <c r="G266" s="5"/>
      <c r="H266" s="5"/>
      <c r="I266" s="5"/>
      <c r="J266" s="5" t="s">
        <v>24</v>
      </c>
      <c r="K266" s="5" t="s">
        <v>25</v>
      </c>
      <c r="L266" s="5"/>
      <c r="M266" s="5"/>
      <c r="N266" s="5"/>
      <c r="O266" s="7"/>
      <c r="P266" s="7">
        <f t="shared" si="72"/>
        <v>2</v>
      </c>
      <c r="Q266" s="7">
        <f t="shared" si="73"/>
        <v>1.5</v>
      </c>
      <c r="R266" s="7"/>
      <c r="S266" s="7">
        <f t="shared" si="89"/>
        <v>0</v>
      </c>
      <c r="T266" s="7">
        <f t="shared" si="74"/>
        <v>0</v>
      </c>
      <c r="U266" s="7">
        <f t="shared" si="75"/>
        <v>0</v>
      </c>
      <c r="V266" s="119">
        <f t="shared" si="76"/>
        <v>0</v>
      </c>
      <c r="W266" s="119">
        <f t="shared" si="77"/>
        <v>0</v>
      </c>
      <c r="X266" s="119">
        <f t="shared" si="78"/>
        <v>0</v>
      </c>
      <c r="Y266" s="119">
        <f t="shared" si="79"/>
        <v>0</v>
      </c>
      <c r="Z266" s="119">
        <f t="shared" si="80"/>
        <v>0</v>
      </c>
      <c r="AA266" s="119">
        <f t="shared" si="81"/>
        <v>1</v>
      </c>
      <c r="AB266" s="119">
        <f t="shared" si="82"/>
        <v>1</v>
      </c>
      <c r="AC266" s="119">
        <f t="shared" si="83"/>
        <v>0</v>
      </c>
      <c r="AD266" s="119">
        <f t="shared" si="84"/>
        <v>0</v>
      </c>
      <c r="AE266" s="119">
        <f t="shared" si="85"/>
        <v>0</v>
      </c>
      <c r="AF266" s="7"/>
      <c r="AG266" s="7"/>
      <c r="AH266" s="7">
        <f t="shared" si="86"/>
        <v>2</v>
      </c>
      <c r="AI266" s="7">
        <f t="shared" si="87"/>
        <v>2</v>
      </c>
      <c r="AJ266" s="7" t="str">
        <f t="shared" si="88"/>
        <v>Correct</v>
      </c>
      <c r="AL266" s="120" t="str">
        <f>IFERROR(VLOOKUP(Table1[RespondentID],'All Data'!$A$3:$CO$999,87,FALSE),"unknown")</f>
        <v>Man</v>
      </c>
      <c r="AM266" s="120">
        <f>IFERROR(VLOOKUP(Table1[RespondentID],'All Data'!$A$3:$CO$999,88,FALSE),"unknown")</f>
        <v>43</v>
      </c>
      <c r="AN266" s="120" t="str">
        <f>IFERROR(VLOOKUP(Table1[RespondentID],'All Data'!$A$3:$CO$999,89,FALSE),"unknown")</f>
        <v>Suffolk</v>
      </c>
      <c r="AO266" s="120" t="str">
        <f>IFERROR(VLOOKUP(Table1[RespondentID],'All Data'!$A$3:$CO$999,90,FALSE),"unknown")</f>
        <v>Nesconset, 11767</v>
      </c>
      <c r="AP266" s="120" t="str">
        <f>IFERROR(VLOOKUP(Table1[RespondentID],'All Data'!$A$3:$CO$999,91,FALSE),"unknown")</f>
        <v>White</v>
      </c>
      <c r="AQ266" s="120" t="str">
        <f>IFERROR(VLOOKUP(Table1[RespondentID],'All Data'!$A$3:$CO$999,92,FALSE),"unknown")</f>
        <v>Not Hispanic or Latino</v>
      </c>
      <c r="AR266" s="120" t="str">
        <f>IFERROR(VLOOKUP(Table1[RespondentID],'All Data'!$A$3:$CO$999,93,FALSE),"unknown")</f>
        <v>English</v>
      </c>
      <c r="AS266" s="120" t="str">
        <f>IFERROR(VLOOKUP(Table1[RespondentID],'All Data'!$A$3:$CW$999,94,FALSE),"unknown")</f>
        <v>$0-$19,999</v>
      </c>
      <c r="AT266" s="120" t="str">
        <f>IFERROR(VLOOKUP(Table1[RespondentID],'All Data'!$A$3:$CW$999,95,FALSE),"unknown")</f>
        <v>Some college</v>
      </c>
      <c r="AU266" s="120" t="str">
        <f>IFERROR(VLOOKUP(Table1[RespondentID],'All Data'!$A$3:$CW$999,96,FALSE),"unknown")</f>
        <v>Employed for wages</v>
      </c>
      <c r="AV266" s="120" t="str">
        <f>IFERROR(VLOOKUP(Table1[RespondentID],'All Data'!$A$3:$CW$999,97,FALSE),"unknown")</f>
        <v>Yes</v>
      </c>
      <c r="AW266" s="120" t="str">
        <f>IFERROR(VLOOKUP(Table1[RespondentID],'All Data'!$A$3:$CW$999,98,FALSE),"unknown")</f>
        <v>Medicaid</v>
      </c>
      <c r="AX266" s="120" t="str">
        <f>IFERROR(VLOOKUP(Table1[RespondentID],'All Data'!$A$3:$CW$999,99,FALSE),"unknown")</f>
        <v>No</v>
      </c>
    </row>
    <row r="267" spans="1:50">
      <c r="A267" s="5">
        <v>18017611415</v>
      </c>
      <c r="B267" s="5"/>
      <c r="C267" s="5" t="s">
        <v>17</v>
      </c>
      <c r="D267" s="5"/>
      <c r="E267" s="5"/>
      <c r="F267" s="5"/>
      <c r="G267" s="5"/>
      <c r="H267" s="5"/>
      <c r="I267" s="5"/>
      <c r="J267" s="5"/>
      <c r="K267" s="5" t="s">
        <v>25</v>
      </c>
      <c r="L267" s="5"/>
      <c r="M267" s="5"/>
      <c r="N267" s="5"/>
      <c r="O267" s="7"/>
      <c r="P267" s="7">
        <f t="shared" si="72"/>
        <v>2</v>
      </c>
      <c r="Q267" s="7">
        <f t="shared" si="73"/>
        <v>1.5</v>
      </c>
      <c r="R267" s="7"/>
      <c r="S267" s="7">
        <f t="shared" si="89"/>
        <v>0</v>
      </c>
      <c r="T267" s="7">
        <f t="shared" si="74"/>
        <v>1</v>
      </c>
      <c r="U267" s="7">
        <f t="shared" si="75"/>
        <v>0</v>
      </c>
      <c r="V267" s="119">
        <f t="shared" si="76"/>
        <v>0</v>
      </c>
      <c r="W267" s="119">
        <f t="shared" si="77"/>
        <v>0</v>
      </c>
      <c r="X267" s="119">
        <f t="shared" si="78"/>
        <v>0</v>
      </c>
      <c r="Y267" s="119">
        <f t="shared" si="79"/>
        <v>0</v>
      </c>
      <c r="Z267" s="119">
        <f t="shared" si="80"/>
        <v>0</v>
      </c>
      <c r="AA267" s="119">
        <f t="shared" si="81"/>
        <v>0</v>
      </c>
      <c r="AB267" s="119">
        <f t="shared" si="82"/>
        <v>1</v>
      </c>
      <c r="AC267" s="119">
        <f t="shared" si="83"/>
        <v>0</v>
      </c>
      <c r="AD267" s="119">
        <f t="shared" si="84"/>
        <v>0</v>
      </c>
      <c r="AE267" s="119">
        <f t="shared" si="85"/>
        <v>0</v>
      </c>
      <c r="AF267" s="7"/>
      <c r="AG267" s="7"/>
      <c r="AH267" s="7">
        <f t="shared" si="86"/>
        <v>2</v>
      </c>
      <c r="AI267" s="7">
        <f t="shared" si="87"/>
        <v>2</v>
      </c>
      <c r="AJ267" s="7" t="str">
        <f t="shared" si="88"/>
        <v>Correct</v>
      </c>
      <c r="AL267" s="120" t="str">
        <f>IFERROR(VLOOKUP(Table1[RespondentID],'All Data'!$A$3:$CO$999,87,FALSE),"unknown")</f>
        <v>Man</v>
      </c>
      <c r="AM267" s="120">
        <f>IFERROR(VLOOKUP(Table1[RespondentID],'All Data'!$A$3:$CO$999,88,FALSE),"unknown")</f>
        <v>68</v>
      </c>
      <c r="AN267" s="120" t="str">
        <f>IFERROR(VLOOKUP(Table1[RespondentID],'All Data'!$A$3:$CO$999,89,FALSE),"unknown")</f>
        <v>Suffolk</v>
      </c>
      <c r="AO267" s="120" t="str">
        <f>IFERROR(VLOOKUP(Table1[RespondentID],'All Data'!$A$3:$CO$999,90,FALSE),"unknown")</f>
        <v>Sayville, 11782</v>
      </c>
      <c r="AP267" s="120" t="str">
        <f>IFERROR(VLOOKUP(Table1[RespondentID],'All Data'!$A$3:$CO$999,91,FALSE),"unknown")</f>
        <v>White</v>
      </c>
      <c r="AQ267" s="120" t="str">
        <f>IFERROR(VLOOKUP(Table1[RespondentID],'All Data'!$A$3:$CO$999,92,FALSE),"unknown")</f>
        <v>Hispanic or Latino</v>
      </c>
      <c r="AR267" s="120" t="str">
        <f>IFERROR(VLOOKUP(Table1[RespondentID],'All Data'!$A$3:$CO$999,93,FALSE),"unknown")</f>
        <v>English</v>
      </c>
      <c r="AS267" s="120" t="str">
        <f>IFERROR(VLOOKUP(Table1[RespondentID],'All Data'!$A$3:$CW$999,94,FALSE),"unknown")</f>
        <v>$75,000 to $125,000</v>
      </c>
      <c r="AT267" s="120" t="str">
        <f>IFERROR(VLOOKUP(Table1[RespondentID],'All Data'!$A$3:$CW$999,95,FALSE),"unknown")</f>
        <v>College graduate</v>
      </c>
      <c r="AU267" s="120" t="str">
        <f>IFERROR(VLOOKUP(Table1[RespondentID],'All Data'!$A$3:$CW$999,96,FALSE),"unknown")</f>
        <v>Retired</v>
      </c>
      <c r="AV267" s="120" t="str">
        <f>IFERROR(VLOOKUP(Table1[RespondentID],'All Data'!$A$3:$CW$999,97,FALSE),"unknown")</f>
        <v>Yes</v>
      </c>
      <c r="AW267" s="120" t="str">
        <f>IFERROR(VLOOKUP(Table1[RespondentID],'All Data'!$A$3:$CW$999,98,FALSE),"unknown")</f>
        <v>Medicaid, Private/Commercial</v>
      </c>
      <c r="AX267" s="120" t="str">
        <f>IFERROR(VLOOKUP(Table1[RespondentID],'All Data'!$A$3:$CW$999,99,FALSE),"unknown")</f>
        <v>Yes</v>
      </c>
    </row>
    <row r="268" spans="1:50">
      <c r="A268" s="5">
        <v>18017568152</v>
      </c>
      <c r="B268" s="5"/>
      <c r="C268" s="5"/>
      <c r="D268" s="5"/>
      <c r="E268" s="5"/>
      <c r="F268" s="5"/>
      <c r="G268" s="5"/>
      <c r="H268" s="5"/>
      <c r="I268" s="5"/>
      <c r="J268" s="5"/>
      <c r="K268" s="5" t="s">
        <v>25</v>
      </c>
      <c r="L268" s="5"/>
      <c r="M268" s="5"/>
      <c r="N268" s="5" t="s">
        <v>28</v>
      </c>
      <c r="O268" s="7"/>
      <c r="P268" s="7">
        <f t="shared" si="72"/>
        <v>2</v>
      </c>
      <c r="Q268" s="7">
        <f t="shared" si="73"/>
        <v>1.5</v>
      </c>
      <c r="R268" s="7"/>
      <c r="S268" s="7">
        <f t="shared" si="89"/>
        <v>0</v>
      </c>
      <c r="T268" s="7">
        <f t="shared" si="74"/>
        <v>0</v>
      </c>
      <c r="U268" s="7">
        <f t="shared" si="75"/>
        <v>0</v>
      </c>
      <c r="V268" s="119">
        <f t="shared" si="76"/>
        <v>0</v>
      </c>
      <c r="W268" s="119">
        <f t="shared" si="77"/>
        <v>0</v>
      </c>
      <c r="X268" s="119">
        <f t="shared" si="78"/>
        <v>0</v>
      </c>
      <c r="Y268" s="119">
        <f t="shared" si="79"/>
        <v>0</v>
      </c>
      <c r="Z268" s="119">
        <f t="shared" si="80"/>
        <v>0</v>
      </c>
      <c r="AA268" s="119">
        <f t="shared" si="81"/>
        <v>0</v>
      </c>
      <c r="AB268" s="119">
        <f t="shared" si="82"/>
        <v>1</v>
      </c>
      <c r="AC268" s="119">
        <f t="shared" si="83"/>
        <v>0</v>
      </c>
      <c r="AD268" s="119">
        <f t="shared" si="84"/>
        <v>0</v>
      </c>
      <c r="AE268" s="119">
        <f t="shared" si="85"/>
        <v>1</v>
      </c>
      <c r="AF268" s="7"/>
      <c r="AG268" s="7"/>
      <c r="AH268" s="7">
        <f t="shared" si="86"/>
        <v>2</v>
      </c>
      <c r="AI268" s="7">
        <f t="shared" si="87"/>
        <v>2</v>
      </c>
      <c r="AJ268" s="7" t="str">
        <f t="shared" si="88"/>
        <v>Correct</v>
      </c>
      <c r="AL268" s="120" t="str">
        <f>IFERROR(VLOOKUP(Table1[RespondentID],'All Data'!$A$3:$CO$999,87,FALSE),"unknown")</f>
        <v>Man</v>
      </c>
      <c r="AM268" s="120">
        <f>IFERROR(VLOOKUP(Table1[RespondentID],'All Data'!$A$3:$CO$999,88,FALSE),"unknown")</f>
        <v>52</v>
      </c>
      <c r="AN268" s="120" t="str">
        <f>IFERROR(VLOOKUP(Table1[RespondentID],'All Data'!$A$3:$CO$999,89,FALSE),"unknown")</f>
        <v>Nassau</v>
      </c>
      <c r="AO268" s="120" t="str">
        <f>IFERROR(VLOOKUP(Table1[RespondentID],'All Data'!$A$3:$CO$999,90,FALSE),"unknown")</f>
        <v>Manhasset, 11030</v>
      </c>
      <c r="AP268" s="120" t="str">
        <f>IFERROR(VLOOKUP(Table1[RespondentID],'All Data'!$A$3:$CO$999,91,FALSE),"unknown")</f>
        <v>White</v>
      </c>
      <c r="AQ268" s="120" t="str">
        <f>IFERROR(VLOOKUP(Table1[RespondentID],'All Data'!$A$3:$CO$999,92,FALSE),"unknown")</f>
        <v>Hispanic or Latino</v>
      </c>
      <c r="AR268" s="120" t="str">
        <f>IFERROR(VLOOKUP(Table1[RespondentID],'All Data'!$A$3:$CO$999,93,FALSE),"unknown")</f>
        <v>English</v>
      </c>
      <c r="AS268" s="120" t="str">
        <f>IFERROR(VLOOKUP(Table1[RespondentID],'All Data'!$A$3:$CW$999,94,FALSE),"unknown")</f>
        <v>Over $125,000</v>
      </c>
      <c r="AT268" s="120" t="str">
        <f>IFERROR(VLOOKUP(Table1[RespondentID],'All Data'!$A$3:$CW$999,95,FALSE),"unknown")</f>
        <v>Graduate school</v>
      </c>
      <c r="AU268" s="120" t="str">
        <f>IFERROR(VLOOKUP(Table1[RespondentID],'All Data'!$A$3:$CW$999,96,FALSE),"unknown")</f>
        <v>Employed for wages</v>
      </c>
      <c r="AV268" s="120" t="str">
        <f>IFERROR(VLOOKUP(Table1[RespondentID],'All Data'!$A$3:$CW$999,97,FALSE),"unknown")</f>
        <v>Yes</v>
      </c>
      <c r="AW268" s="120" t="str">
        <f>IFERROR(VLOOKUP(Table1[RespondentID],'All Data'!$A$3:$CW$999,98,FALSE),"unknown")</f>
        <v>Private/Commercial</v>
      </c>
      <c r="AX268" s="120" t="str">
        <f>IFERROR(VLOOKUP(Table1[RespondentID],'All Data'!$A$3:$CW$999,99,FALSE),"unknown")</f>
        <v>Yes</v>
      </c>
    </row>
    <row r="269" spans="1:50">
      <c r="A269" s="5">
        <v>18017061305</v>
      </c>
      <c r="B269" s="5"/>
      <c r="C269" s="5"/>
      <c r="D269" s="5"/>
      <c r="E269" s="5" t="s">
        <v>19</v>
      </c>
      <c r="F269" s="5"/>
      <c r="G269" s="5"/>
      <c r="H269" s="5"/>
      <c r="I269" s="5"/>
      <c r="J269" s="5"/>
      <c r="K269" s="5" t="s">
        <v>25</v>
      </c>
      <c r="L269" s="5"/>
      <c r="M269" s="5"/>
      <c r="N269" s="5"/>
      <c r="O269" s="7"/>
      <c r="P269" s="7">
        <f t="shared" si="72"/>
        <v>2</v>
      </c>
      <c r="Q269" s="7">
        <f t="shared" si="73"/>
        <v>1.5</v>
      </c>
      <c r="R269" s="7"/>
      <c r="S269" s="7">
        <f t="shared" si="89"/>
        <v>0</v>
      </c>
      <c r="T269" s="7">
        <f t="shared" si="74"/>
        <v>0</v>
      </c>
      <c r="U269" s="7">
        <f t="shared" si="75"/>
        <v>0</v>
      </c>
      <c r="V269" s="119">
        <f t="shared" si="76"/>
        <v>1</v>
      </c>
      <c r="W269" s="119">
        <f t="shared" si="77"/>
        <v>0</v>
      </c>
      <c r="X269" s="119">
        <f t="shared" si="78"/>
        <v>0</v>
      </c>
      <c r="Y269" s="119">
        <f t="shared" si="79"/>
        <v>0</v>
      </c>
      <c r="Z269" s="119">
        <f t="shared" si="80"/>
        <v>0</v>
      </c>
      <c r="AA269" s="119">
        <f t="shared" si="81"/>
        <v>0</v>
      </c>
      <c r="AB269" s="119">
        <f t="shared" si="82"/>
        <v>1</v>
      </c>
      <c r="AC269" s="119">
        <f t="shared" si="83"/>
        <v>0</v>
      </c>
      <c r="AD269" s="119">
        <f t="shared" si="84"/>
        <v>0</v>
      </c>
      <c r="AE269" s="119">
        <f t="shared" si="85"/>
        <v>0</v>
      </c>
      <c r="AF269" s="7"/>
      <c r="AG269" s="7"/>
      <c r="AH269" s="7">
        <f t="shared" si="86"/>
        <v>2</v>
      </c>
      <c r="AI269" s="7">
        <f t="shared" si="87"/>
        <v>2</v>
      </c>
      <c r="AJ269" s="7" t="str">
        <f t="shared" si="88"/>
        <v>Correct</v>
      </c>
      <c r="AL269" s="120" t="str">
        <f>IFERROR(VLOOKUP(Table1[RespondentID],'All Data'!$A$3:$CO$999,87,FALSE),"unknown")</f>
        <v>Man</v>
      </c>
      <c r="AM269" s="120">
        <f>IFERROR(VLOOKUP(Table1[RespondentID],'All Data'!$A$3:$CO$999,88,FALSE),"unknown")</f>
        <v>44</v>
      </c>
      <c r="AN269" s="120" t="str">
        <f>IFERROR(VLOOKUP(Table1[RespondentID],'All Data'!$A$3:$CO$999,89,FALSE),"unknown")</f>
        <v>Suffolk</v>
      </c>
      <c r="AO269" s="120" t="str">
        <f>IFERROR(VLOOKUP(Table1[RespondentID],'All Data'!$A$3:$CO$999,90,FALSE),"unknown")</f>
        <v>Selden, 11784</v>
      </c>
      <c r="AP269" s="120" t="str">
        <f>IFERROR(VLOOKUP(Table1[RespondentID],'All Data'!$A$3:$CO$999,91,FALSE),"unknown")</f>
        <v>White</v>
      </c>
      <c r="AQ269" s="120" t="str">
        <f>IFERROR(VLOOKUP(Table1[RespondentID],'All Data'!$A$3:$CO$999,92,FALSE),"unknown")</f>
        <v>Hispanic or Latino</v>
      </c>
      <c r="AR269" s="120" t="str">
        <f>IFERROR(VLOOKUP(Table1[RespondentID],'All Data'!$A$3:$CO$999,93,FALSE),"unknown")</f>
        <v>English</v>
      </c>
      <c r="AS269" s="120" t="str">
        <f>IFERROR(VLOOKUP(Table1[RespondentID],'All Data'!$A$3:$CW$999,94,FALSE),"unknown")</f>
        <v>$50,000 to $74,999</v>
      </c>
      <c r="AT269" s="120" t="str">
        <f>IFERROR(VLOOKUP(Table1[RespondentID],'All Data'!$A$3:$CW$999,95,FALSE),"unknown")</f>
        <v>College graduate</v>
      </c>
      <c r="AU269" s="120" t="str">
        <f>IFERROR(VLOOKUP(Table1[RespondentID],'All Data'!$A$3:$CW$999,96,FALSE),"unknown")</f>
        <v>Employed for wages</v>
      </c>
      <c r="AV269" s="120" t="str">
        <f>IFERROR(VLOOKUP(Table1[RespondentID],'All Data'!$A$3:$CW$999,97,FALSE),"unknown")</f>
        <v>Yes</v>
      </c>
      <c r="AW269" s="120" t="str">
        <f>IFERROR(VLOOKUP(Table1[RespondentID],'All Data'!$A$3:$CW$999,98,FALSE),"unknown")</f>
        <v>Private/Commercial</v>
      </c>
      <c r="AX269" s="120" t="str">
        <f>IFERROR(VLOOKUP(Table1[RespondentID],'All Data'!$A$3:$CW$999,99,FALSE),"unknown")</f>
        <v>Yes</v>
      </c>
    </row>
    <row r="270" spans="1:50">
      <c r="A270" s="5">
        <v>18016902456</v>
      </c>
      <c r="B270" s="5"/>
      <c r="C270" s="5" t="s">
        <v>17</v>
      </c>
      <c r="D270" s="5"/>
      <c r="E270" s="5"/>
      <c r="F270" s="5"/>
      <c r="G270" s="5"/>
      <c r="H270" s="5"/>
      <c r="I270" s="5"/>
      <c r="J270" s="5"/>
      <c r="K270" s="5" t="s">
        <v>25</v>
      </c>
      <c r="L270" s="5" t="s">
        <v>26</v>
      </c>
      <c r="M270" s="5"/>
      <c r="N270" s="5"/>
      <c r="O270" s="7"/>
      <c r="P270" s="7">
        <f t="shared" si="72"/>
        <v>3</v>
      </c>
      <c r="Q270" s="7">
        <f t="shared" si="73"/>
        <v>1</v>
      </c>
      <c r="R270" s="7"/>
      <c r="S270" s="7">
        <f t="shared" si="89"/>
        <v>0</v>
      </c>
      <c r="T270" s="7">
        <f t="shared" si="74"/>
        <v>1</v>
      </c>
      <c r="U270" s="7">
        <f t="shared" si="75"/>
        <v>0</v>
      </c>
      <c r="V270" s="119">
        <f t="shared" si="76"/>
        <v>0</v>
      </c>
      <c r="W270" s="119">
        <f t="shared" si="77"/>
        <v>0</v>
      </c>
      <c r="X270" s="119">
        <f t="shared" si="78"/>
        <v>0</v>
      </c>
      <c r="Y270" s="119">
        <f t="shared" si="79"/>
        <v>0</v>
      </c>
      <c r="Z270" s="119">
        <f t="shared" si="80"/>
        <v>0</v>
      </c>
      <c r="AA270" s="119">
        <f t="shared" si="81"/>
        <v>0</v>
      </c>
      <c r="AB270" s="119">
        <f t="shared" si="82"/>
        <v>1</v>
      </c>
      <c r="AC270" s="119">
        <f t="shared" si="83"/>
        <v>1</v>
      </c>
      <c r="AD270" s="119">
        <f t="shared" si="84"/>
        <v>0</v>
      </c>
      <c r="AE270" s="119">
        <f t="shared" si="85"/>
        <v>0</v>
      </c>
      <c r="AF270" s="7"/>
      <c r="AG270" s="7"/>
      <c r="AH270" s="7">
        <f t="shared" si="86"/>
        <v>3</v>
      </c>
      <c r="AI270" s="7">
        <f t="shared" si="87"/>
        <v>3</v>
      </c>
      <c r="AJ270" s="7" t="str">
        <f t="shared" si="88"/>
        <v>Correct</v>
      </c>
      <c r="AL270" s="120" t="str">
        <f>IFERROR(VLOOKUP(Table1[RespondentID],'All Data'!$A$3:$CO$999,87,FALSE),"unknown")</f>
        <v>Man</v>
      </c>
      <c r="AM270" s="120">
        <f>IFERROR(VLOOKUP(Table1[RespondentID],'All Data'!$A$3:$CO$999,88,FALSE),"unknown")</f>
        <v>45</v>
      </c>
      <c r="AN270" s="120" t="str">
        <f>IFERROR(VLOOKUP(Table1[RespondentID],'All Data'!$A$3:$CO$999,89,FALSE),"unknown")</f>
        <v>Suffolk</v>
      </c>
      <c r="AO270" s="120" t="str">
        <f>IFERROR(VLOOKUP(Table1[RespondentID],'All Data'!$A$3:$CO$999,90,FALSE),"unknown")</f>
        <v>Mastic, 11950</v>
      </c>
      <c r="AP270" s="120" t="str">
        <f>IFERROR(VLOOKUP(Table1[RespondentID],'All Data'!$A$3:$CO$999,91,FALSE),"unknown")</f>
        <v>White</v>
      </c>
      <c r="AQ270" s="120" t="str">
        <f>IFERROR(VLOOKUP(Table1[RespondentID],'All Data'!$A$3:$CO$999,92,FALSE),"unknown")</f>
        <v>Hispanic or Latino</v>
      </c>
      <c r="AR270" s="120" t="str">
        <f>IFERROR(VLOOKUP(Table1[RespondentID],'All Data'!$A$3:$CO$999,93,FALSE),"unknown")</f>
        <v>English</v>
      </c>
      <c r="AS270" s="120" t="str">
        <f>IFERROR(VLOOKUP(Table1[RespondentID],'All Data'!$A$3:$CW$999,94,FALSE),"unknown")</f>
        <v>Over $125,000</v>
      </c>
      <c r="AT270" s="120" t="str">
        <f>IFERROR(VLOOKUP(Table1[RespondentID],'All Data'!$A$3:$CW$999,95,FALSE),"unknown")</f>
        <v>College graduate</v>
      </c>
      <c r="AU270" s="120" t="str">
        <f>IFERROR(VLOOKUP(Table1[RespondentID],'All Data'!$A$3:$CW$999,96,FALSE),"unknown")</f>
        <v>Employed for wages</v>
      </c>
      <c r="AV270" s="120" t="str">
        <f>IFERROR(VLOOKUP(Table1[RespondentID],'All Data'!$A$3:$CW$999,97,FALSE),"unknown")</f>
        <v>Yes</v>
      </c>
      <c r="AW270" s="120" t="str">
        <f>IFERROR(VLOOKUP(Table1[RespondentID],'All Data'!$A$3:$CW$999,98,FALSE),"unknown")</f>
        <v>Private/Commercial</v>
      </c>
      <c r="AX270" s="120" t="str">
        <f>IFERROR(VLOOKUP(Table1[RespondentID],'All Data'!$A$3:$CW$999,99,FALSE),"unknown")</f>
        <v>Yes</v>
      </c>
    </row>
    <row r="271" spans="1:50">
      <c r="A271" s="5">
        <v>18016880706</v>
      </c>
      <c r="B271" s="5"/>
      <c r="C271" s="5" t="s">
        <v>17</v>
      </c>
      <c r="D271" s="5"/>
      <c r="E271" s="5"/>
      <c r="F271" s="5"/>
      <c r="G271" s="5"/>
      <c r="H271" s="5"/>
      <c r="I271" s="5"/>
      <c r="J271" s="5"/>
      <c r="K271" s="5" t="s">
        <v>25</v>
      </c>
      <c r="L271" s="5" t="s">
        <v>26</v>
      </c>
      <c r="M271" s="5"/>
      <c r="N271" s="5"/>
      <c r="O271" s="7"/>
      <c r="P271" s="7">
        <f t="shared" si="72"/>
        <v>3</v>
      </c>
      <c r="Q271" s="7">
        <f t="shared" si="73"/>
        <v>1</v>
      </c>
      <c r="R271" s="7"/>
      <c r="S271" s="7">
        <f t="shared" si="89"/>
        <v>0</v>
      </c>
      <c r="T271" s="7">
        <f t="shared" si="74"/>
        <v>1</v>
      </c>
      <c r="U271" s="7">
        <f t="shared" si="75"/>
        <v>0</v>
      </c>
      <c r="V271" s="119">
        <f t="shared" si="76"/>
        <v>0</v>
      </c>
      <c r="W271" s="119">
        <f t="shared" si="77"/>
        <v>0</v>
      </c>
      <c r="X271" s="119">
        <f t="shared" si="78"/>
        <v>0</v>
      </c>
      <c r="Y271" s="119">
        <f t="shared" si="79"/>
        <v>0</v>
      </c>
      <c r="Z271" s="119">
        <f t="shared" si="80"/>
        <v>0</v>
      </c>
      <c r="AA271" s="119">
        <f t="shared" si="81"/>
        <v>0</v>
      </c>
      <c r="AB271" s="119">
        <f t="shared" si="82"/>
        <v>1</v>
      </c>
      <c r="AC271" s="119">
        <f t="shared" si="83"/>
        <v>1</v>
      </c>
      <c r="AD271" s="119">
        <f t="shared" si="84"/>
        <v>0</v>
      </c>
      <c r="AE271" s="119">
        <f t="shared" si="85"/>
        <v>0</v>
      </c>
      <c r="AF271" s="7"/>
      <c r="AG271" s="7"/>
      <c r="AH271" s="7">
        <f t="shared" si="86"/>
        <v>3</v>
      </c>
      <c r="AI271" s="7">
        <f t="shared" si="87"/>
        <v>3</v>
      </c>
      <c r="AJ271" s="7" t="str">
        <f t="shared" si="88"/>
        <v>Correct</v>
      </c>
      <c r="AL271" s="120" t="str">
        <f>IFERROR(VLOOKUP(Table1[RespondentID],'All Data'!$A$3:$CO$999,87,FALSE),"unknown")</f>
        <v>Man</v>
      </c>
      <c r="AM271" s="120">
        <f>IFERROR(VLOOKUP(Table1[RespondentID],'All Data'!$A$3:$CO$999,88,FALSE),"unknown")</f>
        <v>16</v>
      </c>
      <c r="AN271" s="120" t="str">
        <f>IFERROR(VLOOKUP(Table1[RespondentID],'All Data'!$A$3:$CO$999,89,FALSE),"unknown")</f>
        <v>Suffolk</v>
      </c>
      <c r="AO271" s="120" t="str">
        <f>IFERROR(VLOOKUP(Table1[RespondentID],'All Data'!$A$3:$CO$999,90,FALSE),"unknown")</f>
        <v>Nesconset, 11767</v>
      </c>
      <c r="AP271" s="120" t="str">
        <f>IFERROR(VLOOKUP(Table1[RespondentID],'All Data'!$A$3:$CO$999,91,FALSE),"unknown")</f>
        <v>White</v>
      </c>
      <c r="AQ271" s="120" t="str">
        <f>IFERROR(VLOOKUP(Table1[RespondentID],'All Data'!$A$3:$CO$999,92,FALSE),"unknown")</f>
        <v>Hispanic or Latino</v>
      </c>
      <c r="AR271" s="120" t="str">
        <f>IFERROR(VLOOKUP(Table1[RespondentID],'All Data'!$A$3:$CO$999,93,FALSE),"unknown")</f>
        <v>English</v>
      </c>
      <c r="AS271" s="120" t="str">
        <f>IFERROR(VLOOKUP(Table1[RespondentID],'All Data'!$A$3:$CW$999,94,FALSE),"unknown")</f>
        <v>Over $125,000</v>
      </c>
      <c r="AT271" s="120" t="str">
        <f>IFERROR(VLOOKUP(Table1[RespondentID],'All Data'!$A$3:$CW$999,95,FALSE),"unknown")</f>
        <v>Some high school</v>
      </c>
      <c r="AU271" s="120" t="str">
        <f>IFERROR(VLOOKUP(Table1[RespondentID],'All Data'!$A$3:$CW$999,96,FALSE),"unknown")</f>
        <v>Student</v>
      </c>
      <c r="AV271" s="120" t="str">
        <f>IFERROR(VLOOKUP(Table1[RespondentID],'All Data'!$A$3:$CW$999,97,FALSE),"unknown")</f>
        <v>Yes</v>
      </c>
      <c r="AW271" s="120" t="str">
        <f>IFERROR(VLOOKUP(Table1[RespondentID],'All Data'!$A$3:$CW$999,98,FALSE),"unknown")</f>
        <v>Private/Commercial</v>
      </c>
      <c r="AX271" s="120" t="str">
        <f>IFERROR(VLOOKUP(Table1[RespondentID],'All Data'!$A$3:$CW$999,99,FALSE),"unknown")</f>
        <v>Yes</v>
      </c>
    </row>
    <row r="272" spans="1:50">
      <c r="A272" s="5">
        <v>18016880667</v>
      </c>
      <c r="B272" s="5"/>
      <c r="C272" s="5" t="s">
        <v>17</v>
      </c>
      <c r="D272" s="5"/>
      <c r="E272" s="5"/>
      <c r="F272" s="5"/>
      <c r="G272" s="5"/>
      <c r="H272" s="5"/>
      <c r="I272" s="5"/>
      <c r="J272" s="5"/>
      <c r="K272" s="5" t="s">
        <v>25</v>
      </c>
      <c r="L272" s="5" t="s">
        <v>26</v>
      </c>
      <c r="M272" s="5"/>
      <c r="N272" s="5"/>
      <c r="O272" s="7"/>
      <c r="P272" s="7">
        <f t="shared" si="72"/>
        <v>3</v>
      </c>
      <c r="Q272" s="7">
        <f t="shared" si="73"/>
        <v>1</v>
      </c>
      <c r="R272" s="7"/>
      <c r="S272" s="7">
        <f t="shared" si="89"/>
        <v>0</v>
      </c>
      <c r="T272" s="7">
        <f t="shared" si="74"/>
        <v>1</v>
      </c>
      <c r="U272" s="7">
        <f t="shared" si="75"/>
        <v>0</v>
      </c>
      <c r="V272" s="119">
        <f t="shared" si="76"/>
        <v>0</v>
      </c>
      <c r="W272" s="119">
        <f t="shared" si="77"/>
        <v>0</v>
      </c>
      <c r="X272" s="119">
        <f t="shared" si="78"/>
        <v>0</v>
      </c>
      <c r="Y272" s="119">
        <f t="shared" si="79"/>
        <v>0</v>
      </c>
      <c r="Z272" s="119">
        <f t="shared" si="80"/>
        <v>0</v>
      </c>
      <c r="AA272" s="119">
        <f t="shared" si="81"/>
        <v>0</v>
      </c>
      <c r="AB272" s="119">
        <f t="shared" si="82"/>
        <v>1</v>
      </c>
      <c r="AC272" s="119">
        <f t="shared" si="83"/>
        <v>1</v>
      </c>
      <c r="AD272" s="119">
        <f t="shared" si="84"/>
        <v>0</v>
      </c>
      <c r="AE272" s="119">
        <f t="shared" si="85"/>
        <v>0</v>
      </c>
      <c r="AF272" s="7"/>
      <c r="AG272" s="7"/>
      <c r="AH272" s="7">
        <f t="shared" si="86"/>
        <v>3</v>
      </c>
      <c r="AI272" s="7">
        <f t="shared" si="87"/>
        <v>3</v>
      </c>
      <c r="AJ272" s="7" t="str">
        <f t="shared" si="88"/>
        <v>Correct</v>
      </c>
      <c r="AL272" s="120" t="str">
        <f>IFERROR(VLOOKUP(Table1[RespondentID],'All Data'!$A$3:$CO$999,87,FALSE),"unknown")</f>
        <v>Man</v>
      </c>
      <c r="AM272" s="120">
        <f>IFERROR(VLOOKUP(Table1[RespondentID],'All Data'!$A$3:$CO$999,88,FALSE),"unknown")</f>
        <v>16</v>
      </c>
      <c r="AN272" s="120" t="str">
        <f>IFERROR(VLOOKUP(Table1[RespondentID],'All Data'!$A$3:$CO$999,89,FALSE),"unknown")</f>
        <v>Suffolk</v>
      </c>
      <c r="AO272" s="120" t="str">
        <f>IFERROR(VLOOKUP(Table1[RespondentID],'All Data'!$A$3:$CO$999,90,FALSE),"unknown")</f>
        <v>Nesconset, 11767</v>
      </c>
      <c r="AP272" s="120" t="str">
        <f>IFERROR(VLOOKUP(Table1[RespondentID],'All Data'!$A$3:$CO$999,91,FALSE),"unknown")</f>
        <v>White</v>
      </c>
      <c r="AQ272" s="120" t="str">
        <f>IFERROR(VLOOKUP(Table1[RespondentID],'All Data'!$A$3:$CO$999,92,FALSE),"unknown")</f>
        <v>Hispanic or Latino</v>
      </c>
      <c r="AR272" s="120" t="str">
        <f>IFERROR(VLOOKUP(Table1[RespondentID],'All Data'!$A$3:$CO$999,93,FALSE),"unknown")</f>
        <v>English</v>
      </c>
      <c r="AS272" s="120" t="str">
        <f>IFERROR(VLOOKUP(Table1[RespondentID],'All Data'!$A$3:$CW$999,94,FALSE),"unknown")</f>
        <v>Over $125,000</v>
      </c>
      <c r="AT272" s="120" t="str">
        <f>IFERROR(VLOOKUP(Table1[RespondentID],'All Data'!$A$3:$CW$999,95,FALSE),"unknown")</f>
        <v>Some high school</v>
      </c>
      <c r="AU272" s="120" t="str">
        <f>IFERROR(VLOOKUP(Table1[RespondentID],'All Data'!$A$3:$CW$999,96,FALSE),"unknown")</f>
        <v>Student</v>
      </c>
      <c r="AV272" s="120" t="str">
        <f>IFERROR(VLOOKUP(Table1[RespondentID],'All Data'!$A$3:$CW$999,97,FALSE),"unknown")</f>
        <v>Yes</v>
      </c>
      <c r="AW272" s="120" t="str">
        <f>IFERROR(VLOOKUP(Table1[RespondentID],'All Data'!$A$3:$CW$999,98,FALSE),"unknown")</f>
        <v>Private/Commercial</v>
      </c>
      <c r="AX272" s="120" t="str">
        <f>IFERROR(VLOOKUP(Table1[RespondentID],'All Data'!$A$3:$CW$999,99,FALSE),"unknown")</f>
        <v>Yes</v>
      </c>
    </row>
    <row r="273" spans="1:50">
      <c r="A273" s="5">
        <v>18016880611</v>
      </c>
      <c r="B273" s="5"/>
      <c r="C273" s="5" t="s">
        <v>17</v>
      </c>
      <c r="D273" s="5"/>
      <c r="E273" s="5"/>
      <c r="F273" s="5"/>
      <c r="G273" s="5"/>
      <c r="H273" s="5"/>
      <c r="I273" s="5"/>
      <c r="J273" s="5"/>
      <c r="K273" s="5" t="s">
        <v>25</v>
      </c>
      <c r="L273" s="5"/>
      <c r="M273" s="5"/>
      <c r="N273" s="5" t="s">
        <v>28</v>
      </c>
      <c r="O273" s="7"/>
      <c r="P273" s="7">
        <f t="shared" si="72"/>
        <v>3</v>
      </c>
      <c r="Q273" s="7">
        <f t="shared" si="73"/>
        <v>1</v>
      </c>
      <c r="R273" s="7"/>
      <c r="S273" s="7">
        <f t="shared" si="89"/>
        <v>0</v>
      </c>
      <c r="T273" s="7">
        <f t="shared" si="74"/>
        <v>1</v>
      </c>
      <c r="U273" s="7">
        <f t="shared" si="75"/>
        <v>0</v>
      </c>
      <c r="V273" s="119">
        <f t="shared" si="76"/>
        <v>0</v>
      </c>
      <c r="W273" s="119">
        <f t="shared" si="77"/>
        <v>0</v>
      </c>
      <c r="X273" s="119">
        <f t="shared" si="78"/>
        <v>0</v>
      </c>
      <c r="Y273" s="119">
        <f t="shared" si="79"/>
        <v>0</v>
      </c>
      <c r="Z273" s="119">
        <f t="shared" si="80"/>
        <v>0</v>
      </c>
      <c r="AA273" s="119">
        <f t="shared" si="81"/>
        <v>0</v>
      </c>
      <c r="AB273" s="119">
        <f t="shared" si="82"/>
        <v>1</v>
      </c>
      <c r="AC273" s="119">
        <f t="shared" si="83"/>
        <v>0</v>
      </c>
      <c r="AD273" s="119">
        <f t="shared" si="84"/>
        <v>0</v>
      </c>
      <c r="AE273" s="119">
        <f t="shared" si="85"/>
        <v>1</v>
      </c>
      <c r="AF273" s="7"/>
      <c r="AG273" s="7"/>
      <c r="AH273" s="7">
        <f t="shared" si="86"/>
        <v>3</v>
      </c>
      <c r="AI273" s="7">
        <f t="shared" si="87"/>
        <v>3</v>
      </c>
      <c r="AJ273" s="7" t="str">
        <f t="shared" si="88"/>
        <v>Correct</v>
      </c>
      <c r="AL273" s="120" t="str">
        <f>IFERROR(VLOOKUP(Table1[RespondentID],'All Data'!$A$3:$CO$999,87,FALSE),"unknown")</f>
        <v>Man</v>
      </c>
      <c r="AM273" s="120">
        <f>IFERROR(VLOOKUP(Table1[RespondentID],'All Data'!$A$3:$CO$999,88,FALSE),"unknown")</f>
        <v>16</v>
      </c>
      <c r="AN273" s="120" t="str">
        <f>IFERROR(VLOOKUP(Table1[RespondentID],'All Data'!$A$3:$CO$999,89,FALSE),"unknown")</f>
        <v>Suffolk</v>
      </c>
      <c r="AO273" s="120" t="str">
        <f>IFERROR(VLOOKUP(Table1[RespondentID],'All Data'!$A$3:$CO$999,90,FALSE),"unknown")</f>
        <v>Nesconset, 11767</v>
      </c>
      <c r="AP273" s="120" t="str">
        <f>IFERROR(VLOOKUP(Table1[RespondentID],'All Data'!$A$3:$CO$999,91,FALSE),"unknown")</f>
        <v>White</v>
      </c>
      <c r="AQ273" s="120" t="str">
        <f>IFERROR(VLOOKUP(Table1[RespondentID],'All Data'!$A$3:$CO$999,92,FALSE),"unknown")</f>
        <v>Hispanic or Latino</v>
      </c>
      <c r="AR273" s="120" t="str">
        <f>IFERROR(VLOOKUP(Table1[RespondentID],'All Data'!$A$3:$CO$999,93,FALSE),"unknown")</f>
        <v>English</v>
      </c>
      <c r="AS273" s="120" t="str">
        <f>IFERROR(VLOOKUP(Table1[RespondentID],'All Data'!$A$3:$CW$999,94,FALSE),"unknown")</f>
        <v>Over $125,000</v>
      </c>
      <c r="AT273" s="120" t="str">
        <f>IFERROR(VLOOKUP(Table1[RespondentID],'All Data'!$A$3:$CW$999,95,FALSE),"unknown")</f>
        <v>Some high school</v>
      </c>
      <c r="AU273" s="120" t="str">
        <f>IFERROR(VLOOKUP(Table1[RespondentID],'All Data'!$A$3:$CW$999,96,FALSE),"unknown")</f>
        <v>Student</v>
      </c>
      <c r="AV273" s="120" t="str">
        <f>IFERROR(VLOOKUP(Table1[RespondentID],'All Data'!$A$3:$CW$999,97,FALSE),"unknown")</f>
        <v>Yes</v>
      </c>
      <c r="AW273" s="120" t="str">
        <f>IFERROR(VLOOKUP(Table1[RespondentID],'All Data'!$A$3:$CW$999,98,FALSE),"unknown")</f>
        <v>Private/Commercial</v>
      </c>
      <c r="AX273" s="120" t="str">
        <f>IFERROR(VLOOKUP(Table1[RespondentID],'All Data'!$A$3:$CW$999,99,FALSE),"unknown")</f>
        <v>Yes</v>
      </c>
    </row>
    <row r="274" spans="1:50">
      <c r="A274" s="5">
        <v>18016880556</v>
      </c>
      <c r="B274" s="5"/>
      <c r="C274" s="5" t="s">
        <v>17</v>
      </c>
      <c r="D274" s="5"/>
      <c r="E274" s="5"/>
      <c r="F274" s="5"/>
      <c r="G274" s="5"/>
      <c r="H274" s="5"/>
      <c r="I274" s="5"/>
      <c r="J274" s="5"/>
      <c r="K274" s="5" t="s">
        <v>25</v>
      </c>
      <c r="L274" s="5" t="s">
        <v>26</v>
      </c>
      <c r="M274" s="5"/>
      <c r="N274" s="5"/>
      <c r="O274" s="7"/>
      <c r="P274" s="7">
        <f t="shared" si="72"/>
        <v>3</v>
      </c>
      <c r="Q274" s="7">
        <f t="shared" si="73"/>
        <v>1</v>
      </c>
      <c r="R274" s="7"/>
      <c r="S274" s="7">
        <f t="shared" si="89"/>
        <v>0</v>
      </c>
      <c r="T274" s="7">
        <f t="shared" si="74"/>
        <v>1</v>
      </c>
      <c r="U274" s="7">
        <f t="shared" si="75"/>
        <v>0</v>
      </c>
      <c r="V274" s="119">
        <f t="shared" si="76"/>
        <v>0</v>
      </c>
      <c r="W274" s="119">
        <f t="shared" si="77"/>
        <v>0</v>
      </c>
      <c r="X274" s="119">
        <f t="shared" si="78"/>
        <v>0</v>
      </c>
      <c r="Y274" s="119">
        <f t="shared" si="79"/>
        <v>0</v>
      </c>
      <c r="Z274" s="119">
        <f t="shared" si="80"/>
        <v>0</v>
      </c>
      <c r="AA274" s="119">
        <f t="shared" si="81"/>
        <v>0</v>
      </c>
      <c r="AB274" s="119">
        <f t="shared" si="82"/>
        <v>1</v>
      </c>
      <c r="AC274" s="119">
        <f t="shared" si="83"/>
        <v>1</v>
      </c>
      <c r="AD274" s="119">
        <f t="shared" si="84"/>
        <v>0</v>
      </c>
      <c r="AE274" s="119">
        <f t="shared" si="85"/>
        <v>0</v>
      </c>
      <c r="AF274" s="7"/>
      <c r="AG274" s="7"/>
      <c r="AH274" s="7">
        <f t="shared" si="86"/>
        <v>3</v>
      </c>
      <c r="AI274" s="7">
        <f t="shared" si="87"/>
        <v>3</v>
      </c>
      <c r="AJ274" s="7" t="str">
        <f t="shared" si="88"/>
        <v>Correct</v>
      </c>
      <c r="AL274" s="120" t="str">
        <f>IFERROR(VLOOKUP(Table1[RespondentID],'All Data'!$A$3:$CO$999,87,FALSE),"unknown")</f>
        <v>Man</v>
      </c>
      <c r="AM274" s="120">
        <f>IFERROR(VLOOKUP(Table1[RespondentID],'All Data'!$A$3:$CO$999,88,FALSE),"unknown")</f>
        <v>16</v>
      </c>
      <c r="AN274" s="120" t="str">
        <f>IFERROR(VLOOKUP(Table1[RespondentID],'All Data'!$A$3:$CO$999,89,FALSE),"unknown")</f>
        <v>Suffolk</v>
      </c>
      <c r="AO274" s="120" t="str">
        <f>IFERROR(VLOOKUP(Table1[RespondentID],'All Data'!$A$3:$CO$999,90,FALSE),"unknown")</f>
        <v>Nesconset, 11767</v>
      </c>
      <c r="AP274" s="120" t="str">
        <f>IFERROR(VLOOKUP(Table1[RespondentID],'All Data'!$A$3:$CO$999,91,FALSE),"unknown")</f>
        <v>White</v>
      </c>
      <c r="AQ274" s="120" t="str">
        <f>IFERROR(VLOOKUP(Table1[RespondentID],'All Data'!$A$3:$CO$999,92,FALSE),"unknown")</f>
        <v>Hispanic or Latino</v>
      </c>
      <c r="AR274" s="120" t="str">
        <f>IFERROR(VLOOKUP(Table1[RespondentID],'All Data'!$A$3:$CO$999,93,FALSE),"unknown")</f>
        <v>English</v>
      </c>
      <c r="AS274" s="120" t="str">
        <f>IFERROR(VLOOKUP(Table1[RespondentID],'All Data'!$A$3:$CW$999,94,FALSE),"unknown")</f>
        <v>Over $125,000</v>
      </c>
      <c r="AT274" s="120" t="str">
        <f>IFERROR(VLOOKUP(Table1[RespondentID],'All Data'!$A$3:$CW$999,95,FALSE),"unknown")</f>
        <v>Some high school</v>
      </c>
      <c r="AU274" s="120" t="str">
        <f>IFERROR(VLOOKUP(Table1[RespondentID],'All Data'!$A$3:$CW$999,96,FALSE),"unknown")</f>
        <v>Student</v>
      </c>
      <c r="AV274" s="120" t="str">
        <f>IFERROR(VLOOKUP(Table1[RespondentID],'All Data'!$A$3:$CW$999,97,FALSE),"unknown")</f>
        <v>Yes</v>
      </c>
      <c r="AW274" s="120" t="str">
        <f>IFERROR(VLOOKUP(Table1[RespondentID],'All Data'!$A$3:$CW$999,98,FALSE),"unknown")</f>
        <v>Private/Commercial</v>
      </c>
      <c r="AX274" s="120" t="str">
        <f>IFERROR(VLOOKUP(Table1[RespondentID],'All Data'!$A$3:$CW$999,99,FALSE),"unknown")</f>
        <v>Yes</v>
      </c>
    </row>
    <row r="275" spans="1:50">
      <c r="A275" s="5">
        <v>18016880499</v>
      </c>
      <c r="B275" s="5"/>
      <c r="C275" s="5" t="s">
        <v>17</v>
      </c>
      <c r="D275" s="5"/>
      <c r="E275" s="5"/>
      <c r="F275" s="5"/>
      <c r="G275" s="5"/>
      <c r="H275" s="5"/>
      <c r="I275" s="5"/>
      <c r="J275" s="5"/>
      <c r="K275" s="5" t="s">
        <v>25</v>
      </c>
      <c r="L275" s="5" t="s">
        <v>26</v>
      </c>
      <c r="M275" s="5"/>
      <c r="N275" s="5"/>
      <c r="O275" s="7"/>
      <c r="P275" s="7">
        <f t="shared" si="72"/>
        <v>3</v>
      </c>
      <c r="Q275" s="7">
        <f t="shared" si="73"/>
        <v>1</v>
      </c>
      <c r="R275" s="7"/>
      <c r="S275" s="7">
        <f t="shared" si="89"/>
        <v>0</v>
      </c>
      <c r="T275" s="7">
        <f t="shared" si="74"/>
        <v>1</v>
      </c>
      <c r="U275" s="7">
        <f t="shared" si="75"/>
        <v>0</v>
      </c>
      <c r="V275" s="119">
        <f t="shared" si="76"/>
        <v>0</v>
      </c>
      <c r="W275" s="119">
        <f t="shared" si="77"/>
        <v>0</v>
      </c>
      <c r="X275" s="119">
        <f t="shared" si="78"/>
        <v>0</v>
      </c>
      <c r="Y275" s="119">
        <f t="shared" si="79"/>
        <v>0</v>
      </c>
      <c r="Z275" s="119">
        <f t="shared" si="80"/>
        <v>0</v>
      </c>
      <c r="AA275" s="119">
        <f t="shared" si="81"/>
        <v>0</v>
      </c>
      <c r="AB275" s="119">
        <f t="shared" si="82"/>
        <v>1</v>
      </c>
      <c r="AC275" s="119">
        <f t="shared" si="83"/>
        <v>1</v>
      </c>
      <c r="AD275" s="119">
        <f t="shared" si="84"/>
        <v>0</v>
      </c>
      <c r="AE275" s="119">
        <f t="shared" si="85"/>
        <v>0</v>
      </c>
      <c r="AF275" s="7"/>
      <c r="AG275" s="7"/>
      <c r="AH275" s="7">
        <f t="shared" si="86"/>
        <v>3</v>
      </c>
      <c r="AI275" s="7">
        <f t="shared" si="87"/>
        <v>3</v>
      </c>
      <c r="AJ275" s="7" t="str">
        <f t="shared" si="88"/>
        <v>Correct</v>
      </c>
      <c r="AL275" s="120" t="str">
        <f>IFERROR(VLOOKUP(Table1[RespondentID],'All Data'!$A$3:$CO$999,87,FALSE),"unknown")</f>
        <v>Man</v>
      </c>
      <c r="AM275" s="120">
        <f>IFERROR(VLOOKUP(Table1[RespondentID],'All Data'!$A$3:$CO$999,88,FALSE),"unknown")</f>
        <v>16</v>
      </c>
      <c r="AN275" s="120" t="str">
        <f>IFERROR(VLOOKUP(Table1[RespondentID],'All Data'!$A$3:$CO$999,89,FALSE),"unknown")</f>
        <v>Suffolk</v>
      </c>
      <c r="AO275" s="120" t="str">
        <f>IFERROR(VLOOKUP(Table1[RespondentID],'All Data'!$A$3:$CO$999,90,FALSE),"unknown")</f>
        <v>Nesconset, 11767</v>
      </c>
      <c r="AP275" s="120" t="str">
        <f>IFERROR(VLOOKUP(Table1[RespondentID],'All Data'!$A$3:$CO$999,91,FALSE),"unknown")</f>
        <v>White</v>
      </c>
      <c r="AQ275" s="120" t="str">
        <f>IFERROR(VLOOKUP(Table1[RespondentID],'All Data'!$A$3:$CO$999,92,FALSE),"unknown")</f>
        <v>Hispanic or Latino</v>
      </c>
      <c r="AR275" s="120" t="str">
        <f>IFERROR(VLOOKUP(Table1[RespondentID],'All Data'!$A$3:$CO$999,93,FALSE),"unknown")</f>
        <v>English</v>
      </c>
      <c r="AS275" s="120" t="str">
        <f>IFERROR(VLOOKUP(Table1[RespondentID],'All Data'!$A$3:$CW$999,94,FALSE),"unknown")</f>
        <v>Over $125,000</v>
      </c>
      <c r="AT275" s="120" t="str">
        <f>IFERROR(VLOOKUP(Table1[RespondentID],'All Data'!$A$3:$CW$999,95,FALSE),"unknown")</f>
        <v>Some high school</v>
      </c>
      <c r="AU275" s="120" t="str">
        <f>IFERROR(VLOOKUP(Table1[RespondentID],'All Data'!$A$3:$CW$999,96,FALSE),"unknown")</f>
        <v>Student</v>
      </c>
      <c r="AV275" s="120" t="str">
        <f>IFERROR(VLOOKUP(Table1[RespondentID],'All Data'!$A$3:$CW$999,97,FALSE),"unknown")</f>
        <v>Yes</v>
      </c>
      <c r="AW275" s="120" t="str">
        <f>IFERROR(VLOOKUP(Table1[RespondentID],'All Data'!$A$3:$CW$999,98,FALSE),"unknown")</f>
        <v>Private/Commercial</v>
      </c>
      <c r="AX275" s="120" t="str">
        <f>IFERROR(VLOOKUP(Table1[RespondentID],'All Data'!$A$3:$CW$999,99,FALSE),"unknown")</f>
        <v>Yes</v>
      </c>
    </row>
    <row r="276" spans="1:50">
      <c r="A276" s="5">
        <v>18016880433</v>
      </c>
      <c r="B276" s="5"/>
      <c r="C276" s="5" t="s">
        <v>17</v>
      </c>
      <c r="D276" s="5"/>
      <c r="E276" s="5"/>
      <c r="F276" s="5"/>
      <c r="G276" s="5"/>
      <c r="H276" s="5"/>
      <c r="I276" s="5"/>
      <c r="J276" s="5"/>
      <c r="K276" s="5" t="s">
        <v>25</v>
      </c>
      <c r="L276" s="5" t="s">
        <v>26</v>
      </c>
      <c r="M276" s="5"/>
      <c r="N276" s="5"/>
      <c r="O276" s="7"/>
      <c r="P276" s="7">
        <f t="shared" si="72"/>
        <v>3</v>
      </c>
      <c r="Q276" s="7">
        <f t="shared" si="73"/>
        <v>1</v>
      </c>
      <c r="R276" s="7"/>
      <c r="S276" s="7">
        <f t="shared" si="89"/>
        <v>0</v>
      </c>
      <c r="T276" s="7">
        <f t="shared" si="74"/>
        <v>1</v>
      </c>
      <c r="U276" s="7">
        <f t="shared" si="75"/>
        <v>0</v>
      </c>
      <c r="V276" s="119">
        <f t="shared" si="76"/>
        <v>0</v>
      </c>
      <c r="W276" s="119">
        <f t="shared" si="77"/>
        <v>0</v>
      </c>
      <c r="X276" s="119">
        <f t="shared" si="78"/>
        <v>0</v>
      </c>
      <c r="Y276" s="119">
        <f t="shared" si="79"/>
        <v>0</v>
      </c>
      <c r="Z276" s="119">
        <f t="shared" si="80"/>
        <v>0</v>
      </c>
      <c r="AA276" s="119">
        <f t="shared" si="81"/>
        <v>0</v>
      </c>
      <c r="AB276" s="119">
        <f t="shared" si="82"/>
        <v>1</v>
      </c>
      <c r="AC276" s="119">
        <f t="shared" si="83"/>
        <v>1</v>
      </c>
      <c r="AD276" s="119">
        <f t="shared" si="84"/>
        <v>0</v>
      </c>
      <c r="AE276" s="119">
        <f t="shared" si="85"/>
        <v>0</v>
      </c>
      <c r="AF276" s="7"/>
      <c r="AG276" s="7"/>
      <c r="AH276" s="7">
        <f t="shared" si="86"/>
        <v>3</v>
      </c>
      <c r="AI276" s="7">
        <f t="shared" si="87"/>
        <v>3</v>
      </c>
      <c r="AJ276" s="7" t="str">
        <f t="shared" si="88"/>
        <v>Correct</v>
      </c>
      <c r="AL276" s="120" t="str">
        <f>IFERROR(VLOOKUP(Table1[RespondentID],'All Data'!$A$3:$CO$999,87,FALSE),"unknown")</f>
        <v>Man</v>
      </c>
      <c r="AM276" s="120">
        <f>IFERROR(VLOOKUP(Table1[RespondentID],'All Data'!$A$3:$CO$999,88,FALSE),"unknown")</f>
        <v>16</v>
      </c>
      <c r="AN276" s="120" t="str">
        <f>IFERROR(VLOOKUP(Table1[RespondentID],'All Data'!$A$3:$CO$999,89,FALSE),"unknown")</f>
        <v>Suffolk</v>
      </c>
      <c r="AO276" s="120" t="str">
        <f>IFERROR(VLOOKUP(Table1[RespondentID],'All Data'!$A$3:$CO$999,90,FALSE),"unknown")</f>
        <v>Nesconset, 11767</v>
      </c>
      <c r="AP276" s="120" t="str">
        <f>IFERROR(VLOOKUP(Table1[RespondentID],'All Data'!$A$3:$CO$999,91,FALSE),"unknown")</f>
        <v>White</v>
      </c>
      <c r="AQ276" s="120" t="str">
        <f>IFERROR(VLOOKUP(Table1[RespondentID],'All Data'!$A$3:$CO$999,92,FALSE),"unknown")</f>
        <v>Hispanic or Latino</v>
      </c>
      <c r="AR276" s="120" t="str">
        <f>IFERROR(VLOOKUP(Table1[RespondentID],'All Data'!$A$3:$CO$999,93,FALSE),"unknown")</f>
        <v>English</v>
      </c>
      <c r="AS276" s="120" t="str">
        <f>IFERROR(VLOOKUP(Table1[RespondentID],'All Data'!$A$3:$CW$999,94,FALSE),"unknown")</f>
        <v>Over $125,000</v>
      </c>
      <c r="AT276" s="120" t="str">
        <f>IFERROR(VLOOKUP(Table1[RespondentID],'All Data'!$A$3:$CW$999,95,FALSE),"unknown")</f>
        <v>Some high school</v>
      </c>
      <c r="AU276" s="120" t="str">
        <f>IFERROR(VLOOKUP(Table1[RespondentID],'All Data'!$A$3:$CW$999,96,FALSE),"unknown")</f>
        <v>Student</v>
      </c>
      <c r="AV276" s="120" t="str">
        <f>IFERROR(VLOOKUP(Table1[RespondentID],'All Data'!$A$3:$CW$999,97,FALSE),"unknown")</f>
        <v>Yes</v>
      </c>
      <c r="AW276" s="120" t="str">
        <f>IFERROR(VLOOKUP(Table1[RespondentID],'All Data'!$A$3:$CW$999,98,FALSE),"unknown")</f>
        <v>Private/Commercial</v>
      </c>
      <c r="AX276" s="120" t="str">
        <f>IFERROR(VLOOKUP(Table1[RespondentID],'All Data'!$A$3:$CW$999,99,FALSE),"unknown")</f>
        <v>Yes</v>
      </c>
    </row>
    <row r="277" spans="1:50">
      <c r="A277" s="5">
        <v>18016880374</v>
      </c>
      <c r="B277" s="5"/>
      <c r="C277" s="5" t="s">
        <v>17</v>
      </c>
      <c r="D277" s="5"/>
      <c r="E277" s="5"/>
      <c r="F277" s="5"/>
      <c r="G277" s="5"/>
      <c r="H277" s="5"/>
      <c r="I277" s="5"/>
      <c r="J277" s="5"/>
      <c r="K277" s="5" t="s">
        <v>25</v>
      </c>
      <c r="L277" s="5" t="s">
        <v>26</v>
      </c>
      <c r="M277" s="5"/>
      <c r="N277" s="5"/>
      <c r="O277" s="7"/>
      <c r="P277" s="7">
        <f t="shared" si="72"/>
        <v>3</v>
      </c>
      <c r="Q277" s="7">
        <f t="shared" si="73"/>
        <v>1</v>
      </c>
      <c r="R277" s="7"/>
      <c r="S277" s="7">
        <f t="shared" si="89"/>
        <v>0</v>
      </c>
      <c r="T277" s="7">
        <f t="shared" si="74"/>
        <v>1</v>
      </c>
      <c r="U277" s="7">
        <f t="shared" si="75"/>
        <v>0</v>
      </c>
      <c r="V277" s="119">
        <f t="shared" si="76"/>
        <v>0</v>
      </c>
      <c r="W277" s="119">
        <f t="shared" si="77"/>
        <v>0</v>
      </c>
      <c r="X277" s="119">
        <f t="shared" si="78"/>
        <v>0</v>
      </c>
      <c r="Y277" s="119">
        <f t="shared" si="79"/>
        <v>0</v>
      </c>
      <c r="Z277" s="119">
        <f t="shared" si="80"/>
        <v>0</v>
      </c>
      <c r="AA277" s="119">
        <f t="shared" si="81"/>
        <v>0</v>
      </c>
      <c r="AB277" s="119">
        <f t="shared" si="82"/>
        <v>1</v>
      </c>
      <c r="AC277" s="119">
        <f t="shared" si="83"/>
        <v>1</v>
      </c>
      <c r="AD277" s="119">
        <f t="shared" si="84"/>
        <v>0</v>
      </c>
      <c r="AE277" s="119">
        <f t="shared" si="85"/>
        <v>0</v>
      </c>
      <c r="AF277" s="7"/>
      <c r="AG277" s="7"/>
      <c r="AH277" s="7">
        <f t="shared" si="86"/>
        <v>3</v>
      </c>
      <c r="AI277" s="7">
        <f t="shared" si="87"/>
        <v>3</v>
      </c>
      <c r="AJ277" s="7" t="str">
        <f t="shared" si="88"/>
        <v>Correct</v>
      </c>
      <c r="AL277" s="120" t="str">
        <f>IFERROR(VLOOKUP(Table1[RespondentID],'All Data'!$A$3:$CO$999,87,FALSE),"unknown")</f>
        <v>Man</v>
      </c>
      <c r="AM277" s="120">
        <f>IFERROR(VLOOKUP(Table1[RespondentID],'All Data'!$A$3:$CO$999,88,FALSE),"unknown")</f>
        <v>16</v>
      </c>
      <c r="AN277" s="120" t="str">
        <f>IFERROR(VLOOKUP(Table1[RespondentID],'All Data'!$A$3:$CO$999,89,FALSE),"unknown")</f>
        <v>Suffolk</v>
      </c>
      <c r="AO277" s="120" t="str">
        <f>IFERROR(VLOOKUP(Table1[RespondentID],'All Data'!$A$3:$CO$999,90,FALSE),"unknown")</f>
        <v>Nesconset, 11767</v>
      </c>
      <c r="AP277" s="120" t="str">
        <f>IFERROR(VLOOKUP(Table1[RespondentID],'All Data'!$A$3:$CO$999,91,FALSE),"unknown")</f>
        <v>White</v>
      </c>
      <c r="AQ277" s="120" t="str">
        <f>IFERROR(VLOOKUP(Table1[RespondentID],'All Data'!$A$3:$CO$999,92,FALSE),"unknown")</f>
        <v>Hispanic or Latino</v>
      </c>
      <c r="AR277" s="120" t="str">
        <f>IFERROR(VLOOKUP(Table1[RespondentID],'All Data'!$A$3:$CO$999,93,FALSE),"unknown")</f>
        <v>English</v>
      </c>
      <c r="AS277" s="120" t="str">
        <f>IFERROR(VLOOKUP(Table1[RespondentID],'All Data'!$A$3:$CW$999,94,FALSE),"unknown")</f>
        <v>Over $125,000</v>
      </c>
      <c r="AT277" s="120" t="str">
        <f>IFERROR(VLOOKUP(Table1[RespondentID],'All Data'!$A$3:$CW$999,95,FALSE),"unknown")</f>
        <v>Some high school</v>
      </c>
      <c r="AU277" s="120" t="str">
        <f>IFERROR(VLOOKUP(Table1[RespondentID],'All Data'!$A$3:$CW$999,96,FALSE),"unknown")</f>
        <v>Student</v>
      </c>
      <c r="AV277" s="120" t="str">
        <f>IFERROR(VLOOKUP(Table1[RespondentID],'All Data'!$A$3:$CW$999,97,FALSE),"unknown")</f>
        <v>Yes</v>
      </c>
      <c r="AW277" s="120" t="str">
        <f>IFERROR(VLOOKUP(Table1[RespondentID],'All Data'!$A$3:$CW$999,98,FALSE),"unknown")</f>
        <v>Private/Commercial</v>
      </c>
      <c r="AX277" s="120" t="str">
        <f>IFERROR(VLOOKUP(Table1[RespondentID],'All Data'!$A$3:$CW$999,99,FALSE),"unknown")</f>
        <v>Yes</v>
      </c>
    </row>
    <row r="278" spans="1:50">
      <c r="A278" s="5">
        <v>18016880299</v>
      </c>
      <c r="B278" s="5"/>
      <c r="C278" s="5" t="s">
        <v>17</v>
      </c>
      <c r="D278" s="5"/>
      <c r="E278" s="5"/>
      <c r="F278" s="5"/>
      <c r="G278" s="5"/>
      <c r="H278" s="5"/>
      <c r="I278" s="5"/>
      <c r="J278" s="5"/>
      <c r="K278" s="5" t="s">
        <v>25</v>
      </c>
      <c r="L278" s="5" t="s">
        <v>26</v>
      </c>
      <c r="M278" s="5"/>
      <c r="N278" s="5"/>
      <c r="O278" s="7"/>
      <c r="P278" s="7">
        <f t="shared" si="72"/>
        <v>3</v>
      </c>
      <c r="Q278" s="7">
        <f t="shared" si="73"/>
        <v>1</v>
      </c>
      <c r="R278" s="7"/>
      <c r="S278" s="7">
        <f t="shared" si="89"/>
        <v>0</v>
      </c>
      <c r="T278" s="7">
        <f t="shared" si="74"/>
        <v>1</v>
      </c>
      <c r="U278" s="7">
        <f t="shared" si="75"/>
        <v>0</v>
      </c>
      <c r="V278" s="119">
        <f t="shared" si="76"/>
        <v>0</v>
      </c>
      <c r="W278" s="119">
        <f t="shared" si="77"/>
        <v>0</v>
      </c>
      <c r="X278" s="119">
        <f t="shared" si="78"/>
        <v>0</v>
      </c>
      <c r="Y278" s="119">
        <f t="shared" si="79"/>
        <v>0</v>
      </c>
      <c r="Z278" s="119">
        <f t="shared" si="80"/>
        <v>0</v>
      </c>
      <c r="AA278" s="119">
        <f t="shared" si="81"/>
        <v>0</v>
      </c>
      <c r="AB278" s="119">
        <f t="shared" si="82"/>
        <v>1</v>
      </c>
      <c r="AC278" s="119">
        <f t="shared" si="83"/>
        <v>1</v>
      </c>
      <c r="AD278" s="119">
        <f t="shared" si="84"/>
        <v>0</v>
      </c>
      <c r="AE278" s="119">
        <f t="shared" si="85"/>
        <v>0</v>
      </c>
      <c r="AF278" s="7"/>
      <c r="AG278" s="7"/>
      <c r="AH278" s="7">
        <f t="shared" si="86"/>
        <v>3</v>
      </c>
      <c r="AI278" s="7">
        <f t="shared" si="87"/>
        <v>3</v>
      </c>
      <c r="AJ278" s="7" t="str">
        <f t="shared" si="88"/>
        <v>Correct</v>
      </c>
      <c r="AL278" s="120" t="str">
        <f>IFERROR(VLOOKUP(Table1[RespondentID],'All Data'!$A$3:$CO$999,87,FALSE),"unknown")</f>
        <v>Man</v>
      </c>
      <c r="AM278" s="120">
        <f>IFERROR(VLOOKUP(Table1[RespondentID],'All Data'!$A$3:$CO$999,88,FALSE),"unknown")</f>
        <v>16</v>
      </c>
      <c r="AN278" s="120" t="str">
        <f>IFERROR(VLOOKUP(Table1[RespondentID],'All Data'!$A$3:$CO$999,89,FALSE),"unknown")</f>
        <v>Suffolk</v>
      </c>
      <c r="AO278" s="120" t="str">
        <f>IFERROR(VLOOKUP(Table1[RespondentID],'All Data'!$A$3:$CO$999,90,FALSE),"unknown")</f>
        <v>Nesconset, 11767</v>
      </c>
      <c r="AP278" s="120" t="str">
        <f>IFERROR(VLOOKUP(Table1[RespondentID],'All Data'!$A$3:$CO$999,91,FALSE),"unknown")</f>
        <v>White</v>
      </c>
      <c r="AQ278" s="120" t="str">
        <f>IFERROR(VLOOKUP(Table1[RespondentID],'All Data'!$A$3:$CO$999,92,FALSE),"unknown")</f>
        <v>Hispanic or Latino</v>
      </c>
      <c r="AR278" s="120" t="str">
        <f>IFERROR(VLOOKUP(Table1[RespondentID],'All Data'!$A$3:$CO$999,93,FALSE),"unknown")</f>
        <v>English</v>
      </c>
      <c r="AS278" s="120" t="str">
        <f>IFERROR(VLOOKUP(Table1[RespondentID],'All Data'!$A$3:$CW$999,94,FALSE),"unknown")</f>
        <v>Over $125,000</v>
      </c>
      <c r="AT278" s="120" t="str">
        <f>IFERROR(VLOOKUP(Table1[RespondentID],'All Data'!$A$3:$CW$999,95,FALSE),"unknown")</f>
        <v>High school graduate</v>
      </c>
      <c r="AU278" s="120" t="str">
        <f>IFERROR(VLOOKUP(Table1[RespondentID],'All Data'!$A$3:$CW$999,96,FALSE),"unknown")</f>
        <v>Student</v>
      </c>
      <c r="AV278" s="120" t="str">
        <f>IFERROR(VLOOKUP(Table1[RespondentID],'All Data'!$A$3:$CW$999,97,FALSE),"unknown")</f>
        <v>Yes</v>
      </c>
      <c r="AW278" s="120" t="str">
        <f>IFERROR(VLOOKUP(Table1[RespondentID],'All Data'!$A$3:$CW$999,98,FALSE),"unknown")</f>
        <v>Private/Commercial</v>
      </c>
      <c r="AX278" s="120" t="str">
        <f>IFERROR(VLOOKUP(Table1[RespondentID],'All Data'!$A$3:$CW$999,99,FALSE),"unknown")</f>
        <v>Yes</v>
      </c>
    </row>
    <row r="279" spans="1:50">
      <c r="A279" s="5">
        <v>18016880225</v>
      </c>
      <c r="B279" s="5"/>
      <c r="C279" s="5" t="s">
        <v>17</v>
      </c>
      <c r="D279" s="5"/>
      <c r="E279" s="5"/>
      <c r="F279" s="5"/>
      <c r="G279" s="5"/>
      <c r="H279" s="5"/>
      <c r="I279" s="5"/>
      <c r="J279" s="5"/>
      <c r="K279" s="5" t="s">
        <v>25</v>
      </c>
      <c r="L279" s="5" t="s">
        <v>26</v>
      </c>
      <c r="M279" s="5"/>
      <c r="N279" s="5"/>
      <c r="O279" s="7"/>
      <c r="P279" s="7">
        <f t="shared" si="72"/>
        <v>3</v>
      </c>
      <c r="Q279" s="7">
        <f t="shared" si="73"/>
        <v>1</v>
      </c>
      <c r="R279" s="7"/>
      <c r="S279" s="7">
        <f t="shared" si="89"/>
        <v>0</v>
      </c>
      <c r="T279" s="7">
        <f t="shared" si="74"/>
        <v>1</v>
      </c>
      <c r="U279" s="7">
        <f t="shared" si="75"/>
        <v>0</v>
      </c>
      <c r="V279" s="119">
        <f t="shared" si="76"/>
        <v>0</v>
      </c>
      <c r="W279" s="119">
        <f t="shared" si="77"/>
        <v>0</v>
      </c>
      <c r="X279" s="119">
        <f t="shared" si="78"/>
        <v>0</v>
      </c>
      <c r="Y279" s="119">
        <f t="shared" si="79"/>
        <v>0</v>
      </c>
      <c r="Z279" s="119">
        <f t="shared" si="80"/>
        <v>0</v>
      </c>
      <c r="AA279" s="119">
        <f t="shared" si="81"/>
        <v>0</v>
      </c>
      <c r="AB279" s="119">
        <f t="shared" si="82"/>
        <v>1</v>
      </c>
      <c r="AC279" s="119">
        <f t="shared" si="83"/>
        <v>1</v>
      </c>
      <c r="AD279" s="119">
        <f t="shared" si="84"/>
        <v>0</v>
      </c>
      <c r="AE279" s="119">
        <f t="shared" si="85"/>
        <v>0</v>
      </c>
      <c r="AF279" s="7"/>
      <c r="AG279" s="7"/>
      <c r="AH279" s="7">
        <f t="shared" si="86"/>
        <v>3</v>
      </c>
      <c r="AI279" s="7">
        <f t="shared" si="87"/>
        <v>3</v>
      </c>
      <c r="AJ279" s="7" t="str">
        <f t="shared" si="88"/>
        <v>Correct</v>
      </c>
      <c r="AL279" s="120" t="str">
        <f>IFERROR(VLOOKUP(Table1[RespondentID],'All Data'!$A$3:$CO$999,87,FALSE),"unknown")</f>
        <v>Man</v>
      </c>
      <c r="AM279" s="120">
        <f>IFERROR(VLOOKUP(Table1[RespondentID],'All Data'!$A$3:$CO$999,88,FALSE),"unknown")</f>
        <v>16</v>
      </c>
      <c r="AN279" s="120" t="str">
        <f>IFERROR(VLOOKUP(Table1[RespondentID],'All Data'!$A$3:$CO$999,89,FALSE),"unknown")</f>
        <v>Suffolk</v>
      </c>
      <c r="AO279" s="120" t="str">
        <f>IFERROR(VLOOKUP(Table1[RespondentID],'All Data'!$A$3:$CO$999,90,FALSE),"unknown")</f>
        <v>Nesconset, 11767</v>
      </c>
      <c r="AP279" s="120" t="str">
        <f>IFERROR(VLOOKUP(Table1[RespondentID],'All Data'!$A$3:$CO$999,91,FALSE),"unknown")</f>
        <v>White</v>
      </c>
      <c r="AQ279" s="120" t="str">
        <f>IFERROR(VLOOKUP(Table1[RespondentID],'All Data'!$A$3:$CO$999,92,FALSE),"unknown")</f>
        <v>Hispanic or Latino</v>
      </c>
      <c r="AR279" s="120" t="str">
        <f>IFERROR(VLOOKUP(Table1[RespondentID],'All Data'!$A$3:$CO$999,93,FALSE),"unknown")</f>
        <v>English</v>
      </c>
      <c r="AS279" s="120" t="str">
        <f>IFERROR(VLOOKUP(Table1[RespondentID],'All Data'!$A$3:$CW$999,94,FALSE),"unknown")</f>
        <v>Over $125,000</v>
      </c>
      <c r="AT279" s="120" t="str">
        <f>IFERROR(VLOOKUP(Table1[RespondentID],'All Data'!$A$3:$CW$999,95,FALSE),"unknown")</f>
        <v>Doctorate</v>
      </c>
      <c r="AU279" s="120" t="str">
        <f>IFERROR(VLOOKUP(Table1[RespondentID],'All Data'!$A$3:$CW$999,96,FALSE),"unknown")</f>
        <v>Student</v>
      </c>
      <c r="AV279" s="120" t="str">
        <f>IFERROR(VLOOKUP(Table1[RespondentID],'All Data'!$A$3:$CW$999,97,FALSE),"unknown")</f>
        <v>Yes</v>
      </c>
      <c r="AW279" s="120" t="str">
        <f>IFERROR(VLOOKUP(Table1[RespondentID],'All Data'!$A$3:$CW$999,98,FALSE),"unknown")</f>
        <v>Private/Commercial</v>
      </c>
      <c r="AX279" s="120" t="str">
        <f>IFERROR(VLOOKUP(Table1[RespondentID],'All Data'!$A$3:$CW$999,99,FALSE),"unknown")</f>
        <v>Yes</v>
      </c>
    </row>
    <row r="280" spans="1:50">
      <c r="A280" s="5">
        <v>18016880137</v>
      </c>
      <c r="B280" s="5"/>
      <c r="C280" s="5" t="s">
        <v>17</v>
      </c>
      <c r="D280" s="5"/>
      <c r="E280" s="5"/>
      <c r="F280" s="5"/>
      <c r="G280" s="5"/>
      <c r="H280" s="5"/>
      <c r="I280" s="5"/>
      <c r="J280" s="5"/>
      <c r="K280" s="5" t="s">
        <v>25</v>
      </c>
      <c r="L280" s="5" t="s">
        <v>26</v>
      </c>
      <c r="M280" s="5"/>
      <c r="N280" s="5"/>
      <c r="O280" s="7"/>
      <c r="P280" s="7">
        <f t="shared" si="72"/>
        <v>3</v>
      </c>
      <c r="Q280" s="7">
        <f t="shared" si="73"/>
        <v>1</v>
      </c>
      <c r="R280" s="7"/>
      <c r="S280" s="7">
        <f t="shared" si="89"/>
        <v>0</v>
      </c>
      <c r="T280" s="7">
        <f t="shared" si="74"/>
        <v>1</v>
      </c>
      <c r="U280" s="7">
        <f t="shared" si="75"/>
        <v>0</v>
      </c>
      <c r="V280" s="119">
        <f t="shared" si="76"/>
        <v>0</v>
      </c>
      <c r="W280" s="119">
        <f t="shared" si="77"/>
        <v>0</v>
      </c>
      <c r="X280" s="119">
        <f t="shared" si="78"/>
        <v>0</v>
      </c>
      <c r="Y280" s="119">
        <f t="shared" si="79"/>
        <v>0</v>
      </c>
      <c r="Z280" s="119">
        <f t="shared" si="80"/>
        <v>0</v>
      </c>
      <c r="AA280" s="119">
        <f t="shared" si="81"/>
        <v>0</v>
      </c>
      <c r="AB280" s="119">
        <f t="shared" si="82"/>
        <v>1</v>
      </c>
      <c r="AC280" s="119">
        <f t="shared" si="83"/>
        <v>1</v>
      </c>
      <c r="AD280" s="119">
        <f t="shared" si="84"/>
        <v>0</v>
      </c>
      <c r="AE280" s="119">
        <f t="shared" si="85"/>
        <v>0</v>
      </c>
      <c r="AF280" s="7"/>
      <c r="AG280" s="7"/>
      <c r="AH280" s="7">
        <f t="shared" si="86"/>
        <v>3</v>
      </c>
      <c r="AI280" s="7">
        <f t="shared" si="87"/>
        <v>3</v>
      </c>
      <c r="AJ280" s="7" t="str">
        <f t="shared" si="88"/>
        <v>Correct</v>
      </c>
      <c r="AL280" s="120" t="str">
        <f>IFERROR(VLOOKUP(Table1[RespondentID],'All Data'!$A$3:$CO$999,87,FALSE),"unknown")</f>
        <v>Man</v>
      </c>
      <c r="AM280" s="120">
        <f>IFERROR(VLOOKUP(Table1[RespondentID],'All Data'!$A$3:$CO$999,88,FALSE),"unknown")</f>
        <v>16</v>
      </c>
      <c r="AN280" s="120" t="str">
        <f>IFERROR(VLOOKUP(Table1[RespondentID],'All Data'!$A$3:$CO$999,89,FALSE),"unknown")</f>
        <v>Suffolk</v>
      </c>
      <c r="AO280" s="120" t="str">
        <f>IFERROR(VLOOKUP(Table1[RespondentID],'All Data'!$A$3:$CO$999,90,FALSE),"unknown")</f>
        <v>Nesconset, 11767</v>
      </c>
      <c r="AP280" s="120" t="str">
        <f>IFERROR(VLOOKUP(Table1[RespondentID],'All Data'!$A$3:$CO$999,91,FALSE),"unknown")</f>
        <v>White</v>
      </c>
      <c r="AQ280" s="120" t="str">
        <f>IFERROR(VLOOKUP(Table1[RespondentID],'All Data'!$A$3:$CO$999,92,FALSE),"unknown")</f>
        <v>Hispanic or Latino</v>
      </c>
      <c r="AR280" s="120" t="str">
        <f>IFERROR(VLOOKUP(Table1[RespondentID],'All Data'!$A$3:$CO$999,93,FALSE),"unknown")</f>
        <v>English</v>
      </c>
      <c r="AS280" s="120" t="str">
        <f>IFERROR(VLOOKUP(Table1[RespondentID],'All Data'!$A$3:$CW$999,94,FALSE),"unknown")</f>
        <v>Over $125,000</v>
      </c>
      <c r="AT280" s="120" t="str">
        <f>IFERROR(VLOOKUP(Table1[RespondentID],'All Data'!$A$3:$CW$999,95,FALSE),"unknown")</f>
        <v>Doctorate</v>
      </c>
      <c r="AU280" s="120" t="str">
        <f>IFERROR(VLOOKUP(Table1[RespondentID],'All Data'!$A$3:$CW$999,96,FALSE),"unknown")</f>
        <v>Student</v>
      </c>
      <c r="AV280" s="120" t="str">
        <f>IFERROR(VLOOKUP(Table1[RespondentID],'All Data'!$A$3:$CW$999,97,FALSE),"unknown")</f>
        <v>Yes</v>
      </c>
      <c r="AW280" s="120" t="str">
        <f>IFERROR(VLOOKUP(Table1[RespondentID],'All Data'!$A$3:$CW$999,98,FALSE),"unknown")</f>
        <v>Private/Commercial</v>
      </c>
      <c r="AX280" s="120" t="str">
        <f>IFERROR(VLOOKUP(Table1[RespondentID],'All Data'!$A$3:$CW$999,99,FALSE),"unknown")</f>
        <v>Yes</v>
      </c>
    </row>
    <row r="281" spans="1:50">
      <c r="A281" s="5">
        <v>18016878205</v>
      </c>
      <c r="B281" s="5"/>
      <c r="C281" s="5" t="s">
        <v>17</v>
      </c>
      <c r="D281" s="5"/>
      <c r="E281" s="5"/>
      <c r="F281" s="5"/>
      <c r="G281" s="5"/>
      <c r="H281" s="5"/>
      <c r="I281" s="5" t="s">
        <v>23</v>
      </c>
      <c r="J281" s="5" t="s">
        <v>24</v>
      </c>
      <c r="K281" s="5"/>
      <c r="L281" s="5" t="s">
        <v>26</v>
      </c>
      <c r="M281" s="5"/>
      <c r="N281" s="5"/>
      <c r="O281" s="7"/>
      <c r="P281" s="7">
        <f t="shared" si="72"/>
        <v>4</v>
      </c>
      <c r="Q281" s="7">
        <f t="shared" si="73"/>
        <v>0.75</v>
      </c>
      <c r="R281" s="7"/>
      <c r="S281" s="7">
        <f t="shared" si="89"/>
        <v>0</v>
      </c>
      <c r="T281" s="7">
        <f t="shared" si="74"/>
        <v>0.75</v>
      </c>
      <c r="U281" s="7">
        <f t="shared" si="75"/>
        <v>0</v>
      </c>
      <c r="V281" s="119">
        <f t="shared" si="76"/>
        <v>0</v>
      </c>
      <c r="W281" s="119">
        <f t="shared" si="77"/>
        <v>0</v>
      </c>
      <c r="X281" s="119">
        <f t="shared" si="78"/>
        <v>0</v>
      </c>
      <c r="Y281" s="119">
        <f t="shared" si="79"/>
        <v>0</v>
      </c>
      <c r="Z281" s="119">
        <f t="shared" si="80"/>
        <v>0.75</v>
      </c>
      <c r="AA281" s="119">
        <f t="shared" si="81"/>
        <v>0.75</v>
      </c>
      <c r="AB281" s="119">
        <f t="shared" si="82"/>
        <v>0</v>
      </c>
      <c r="AC281" s="119">
        <f t="shared" si="83"/>
        <v>0.75</v>
      </c>
      <c r="AD281" s="119">
        <f t="shared" si="84"/>
        <v>0</v>
      </c>
      <c r="AE281" s="119">
        <f t="shared" si="85"/>
        <v>0</v>
      </c>
      <c r="AF281" s="7"/>
      <c r="AG281" s="7"/>
      <c r="AH281" s="7">
        <f t="shared" si="86"/>
        <v>3</v>
      </c>
      <c r="AI281" s="7">
        <f t="shared" si="87"/>
        <v>4</v>
      </c>
      <c r="AJ281" s="7" t="str">
        <f t="shared" si="88"/>
        <v>Correct</v>
      </c>
      <c r="AL281" s="120" t="str">
        <f>IFERROR(VLOOKUP(Table1[RespondentID],'All Data'!$A$3:$CO$999,87,FALSE),"unknown")</f>
        <v>Man</v>
      </c>
      <c r="AM281" s="120">
        <f>IFERROR(VLOOKUP(Table1[RespondentID],'All Data'!$A$3:$CO$999,88,FALSE),"unknown")</f>
        <v>54</v>
      </c>
      <c r="AN281" s="120" t="str">
        <f>IFERROR(VLOOKUP(Table1[RespondentID],'All Data'!$A$3:$CO$999,89,FALSE),"unknown")</f>
        <v>Suffolk</v>
      </c>
      <c r="AO281" s="120" t="str">
        <f>IFERROR(VLOOKUP(Table1[RespondentID],'All Data'!$A$3:$CO$999,90,FALSE),"unknown")</f>
        <v>Commack, 11725</v>
      </c>
      <c r="AP281" s="120" t="str">
        <f>IFERROR(VLOOKUP(Table1[RespondentID],'All Data'!$A$3:$CO$999,91,FALSE),"unknown")</f>
        <v>White</v>
      </c>
      <c r="AQ281" s="120" t="str">
        <f>IFERROR(VLOOKUP(Table1[RespondentID],'All Data'!$A$3:$CO$999,92,FALSE),"unknown")</f>
        <v>Hispanic or Latino</v>
      </c>
      <c r="AR281" s="120" t="str">
        <f>IFERROR(VLOOKUP(Table1[RespondentID],'All Data'!$A$3:$CO$999,93,FALSE),"unknown")</f>
        <v>English</v>
      </c>
      <c r="AS281" s="120" t="str">
        <f>IFERROR(VLOOKUP(Table1[RespondentID],'All Data'!$A$3:$CW$999,94,FALSE),"unknown")</f>
        <v>Over $125,000</v>
      </c>
      <c r="AT281" s="120" t="str">
        <f>IFERROR(VLOOKUP(Table1[RespondentID],'All Data'!$A$3:$CW$999,95,FALSE),"unknown")</f>
        <v>College graduate</v>
      </c>
      <c r="AU281" s="120" t="str">
        <f>IFERROR(VLOOKUP(Table1[RespondentID],'All Data'!$A$3:$CW$999,96,FALSE),"unknown")</f>
        <v>Retired</v>
      </c>
      <c r="AV281" s="120" t="str">
        <f>IFERROR(VLOOKUP(Table1[RespondentID],'All Data'!$A$3:$CW$999,97,FALSE),"unknown")</f>
        <v>Yes</v>
      </c>
      <c r="AW281" s="120" t="str">
        <f>IFERROR(VLOOKUP(Table1[RespondentID],'All Data'!$A$3:$CW$999,98,FALSE),"unknown")</f>
        <v>Medicaid</v>
      </c>
      <c r="AX281" s="120" t="str">
        <f>IFERROR(VLOOKUP(Table1[RespondentID],'All Data'!$A$3:$CW$999,99,FALSE),"unknown")</f>
        <v>Yes</v>
      </c>
    </row>
    <row r="282" spans="1:50">
      <c r="A282" s="5">
        <v>18016878064</v>
      </c>
      <c r="B282" s="5"/>
      <c r="C282" s="5"/>
      <c r="D282" s="5"/>
      <c r="E282" s="5"/>
      <c r="F282" s="5"/>
      <c r="G282" s="5" t="s">
        <v>21</v>
      </c>
      <c r="H282" s="5"/>
      <c r="I282" s="5"/>
      <c r="J282" s="5"/>
      <c r="K282" s="5" t="s">
        <v>25</v>
      </c>
      <c r="L282" s="5" t="s">
        <v>26</v>
      </c>
      <c r="M282" s="5"/>
      <c r="N282" s="5"/>
      <c r="O282" s="7"/>
      <c r="P282" s="7">
        <f t="shared" si="72"/>
        <v>3</v>
      </c>
      <c r="Q282" s="7">
        <f t="shared" si="73"/>
        <v>1</v>
      </c>
      <c r="R282" s="7"/>
      <c r="S282" s="7">
        <f t="shared" si="89"/>
        <v>0</v>
      </c>
      <c r="T282" s="7">
        <f t="shared" si="74"/>
        <v>0</v>
      </c>
      <c r="U282" s="7">
        <f t="shared" si="75"/>
        <v>0</v>
      </c>
      <c r="V282" s="119">
        <f t="shared" si="76"/>
        <v>0</v>
      </c>
      <c r="W282" s="119">
        <f t="shared" si="77"/>
        <v>0</v>
      </c>
      <c r="X282" s="119">
        <f t="shared" si="78"/>
        <v>1</v>
      </c>
      <c r="Y282" s="119">
        <f t="shared" si="79"/>
        <v>0</v>
      </c>
      <c r="Z282" s="119">
        <f t="shared" si="80"/>
        <v>0</v>
      </c>
      <c r="AA282" s="119">
        <f t="shared" si="81"/>
        <v>0</v>
      </c>
      <c r="AB282" s="119">
        <f t="shared" si="82"/>
        <v>1</v>
      </c>
      <c r="AC282" s="119">
        <f t="shared" si="83"/>
        <v>1</v>
      </c>
      <c r="AD282" s="119">
        <f t="shared" si="84"/>
        <v>0</v>
      </c>
      <c r="AE282" s="119">
        <f t="shared" si="85"/>
        <v>0</v>
      </c>
      <c r="AF282" s="7"/>
      <c r="AG282" s="7"/>
      <c r="AH282" s="7">
        <f t="shared" si="86"/>
        <v>3</v>
      </c>
      <c r="AI282" s="7">
        <f t="shared" si="87"/>
        <v>3</v>
      </c>
      <c r="AJ282" s="7" t="str">
        <f t="shared" si="88"/>
        <v>Correct</v>
      </c>
      <c r="AL282" s="120" t="str">
        <f>IFERROR(VLOOKUP(Table1[RespondentID],'All Data'!$A$3:$CO$999,87,FALSE),"unknown")</f>
        <v>Woman</v>
      </c>
      <c r="AM282" s="120">
        <f>IFERROR(VLOOKUP(Table1[RespondentID],'All Data'!$A$3:$CO$999,88,FALSE),"unknown")</f>
        <v>55</v>
      </c>
      <c r="AN282" s="120" t="str">
        <f>IFERROR(VLOOKUP(Table1[RespondentID],'All Data'!$A$3:$CO$999,89,FALSE),"unknown")</f>
        <v>Suffolk</v>
      </c>
      <c r="AO282" s="120" t="str">
        <f>IFERROR(VLOOKUP(Table1[RespondentID],'All Data'!$A$3:$CO$999,90,FALSE),"unknown")</f>
        <v>Commack, 11725</v>
      </c>
      <c r="AP282" s="120" t="str">
        <f>IFERROR(VLOOKUP(Table1[RespondentID],'All Data'!$A$3:$CO$999,91,FALSE),"unknown")</f>
        <v>White</v>
      </c>
      <c r="AQ282" s="120" t="str">
        <f>IFERROR(VLOOKUP(Table1[RespondentID],'All Data'!$A$3:$CO$999,92,FALSE),"unknown")</f>
        <v>Hispanic or Latino</v>
      </c>
      <c r="AR282" s="120" t="str">
        <f>IFERROR(VLOOKUP(Table1[RespondentID],'All Data'!$A$3:$CO$999,93,FALSE),"unknown")</f>
        <v>English, Farsi</v>
      </c>
      <c r="AS282" s="120" t="str">
        <f>IFERROR(VLOOKUP(Table1[RespondentID],'All Data'!$A$3:$CW$999,94,FALSE),"unknown")</f>
        <v>Over $125,000</v>
      </c>
      <c r="AT282" s="120" t="str">
        <f>IFERROR(VLOOKUP(Table1[RespondentID],'All Data'!$A$3:$CW$999,95,FALSE),"unknown")</f>
        <v>College graduate</v>
      </c>
      <c r="AU282" s="120" t="str">
        <f>IFERROR(VLOOKUP(Table1[RespondentID],'All Data'!$A$3:$CW$999,96,FALSE),"unknown")</f>
        <v>Employed for wages</v>
      </c>
      <c r="AV282" s="120" t="str">
        <f>IFERROR(VLOOKUP(Table1[RespondentID],'All Data'!$A$3:$CW$999,97,FALSE),"unknown")</f>
        <v>Yes</v>
      </c>
      <c r="AW282" s="120" t="str">
        <f>IFERROR(VLOOKUP(Table1[RespondentID],'All Data'!$A$3:$CW$999,98,FALSE),"unknown")</f>
        <v>Medicare</v>
      </c>
      <c r="AX282" s="120" t="str">
        <f>IFERROR(VLOOKUP(Table1[RespondentID],'All Data'!$A$3:$CW$999,99,FALSE),"unknown")</f>
        <v>Yes</v>
      </c>
    </row>
    <row r="283" spans="1:50">
      <c r="A283" s="5">
        <v>18016877876</v>
      </c>
      <c r="B283" s="5"/>
      <c r="C283" s="5"/>
      <c r="D283" s="5" t="s">
        <v>18</v>
      </c>
      <c r="E283" s="5"/>
      <c r="F283" s="5"/>
      <c r="G283" s="5"/>
      <c r="H283" s="5"/>
      <c r="I283" s="5"/>
      <c r="J283" s="5"/>
      <c r="K283" s="5" t="s">
        <v>25</v>
      </c>
      <c r="L283" s="5" t="s">
        <v>26</v>
      </c>
      <c r="M283" s="5"/>
      <c r="N283" s="5"/>
      <c r="O283" s="7"/>
      <c r="P283" s="7">
        <f t="shared" si="72"/>
        <v>3</v>
      </c>
      <c r="Q283" s="7">
        <f t="shared" si="73"/>
        <v>1</v>
      </c>
      <c r="R283" s="7"/>
      <c r="S283" s="7">
        <f t="shared" si="89"/>
        <v>0</v>
      </c>
      <c r="T283" s="7">
        <f t="shared" si="74"/>
        <v>0</v>
      </c>
      <c r="U283" s="7">
        <f t="shared" si="75"/>
        <v>1</v>
      </c>
      <c r="V283" s="119">
        <f t="shared" si="76"/>
        <v>0</v>
      </c>
      <c r="W283" s="119">
        <f t="shared" si="77"/>
        <v>0</v>
      </c>
      <c r="X283" s="119">
        <f t="shared" si="78"/>
        <v>0</v>
      </c>
      <c r="Y283" s="119">
        <f t="shared" si="79"/>
        <v>0</v>
      </c>
      <c r="Z283" s="119">
        <f t="shared" si="80"/>
        <v>0</v>
      </c>
      <c r="AA283" s="119">
        <f t="shared" si="81"/>
        <v>0</v>
      </c>
      <c r="AB283" s="119">
        <f t="shared" si="82"/>
        <v>1</v>
      </c>
      <c r="AC283" s="119">
        <f t="shared" si="83"/>
        <v>1</v>
      </c>
      <c r="AD283" s="119">
        <f t="shared" si="84"/>
        <v>0</v>
      </c>
      <c r="AE283" s="119">
        <f t="shared" si="85"/>
        <v>0</v>
      </c>
      <c r="AF283" s="7"/>
      <c r="AG283" s="7"/>
      <c r="AH283" s="7">
        <f t="shared" si="86"/>
        <v>3</v>
      </c>
      <c r="AI283" s="7">
        <f t="shared" si="87"/>
        <v>3</v>
      </c>
      <c r="AJ283" s="7" t="str">
        <f t="shared" si="88"/>
        <v>Correct</v>
      </c>
      <c r="AL283" s="120" t="str">
        <f>IFERROR(VLOOKUP(Table1[RespondentID],'All Data'!$A$3:$CO$999,87,FALSE),"unknown")</f>
        <v>Woman</v>
      </c>
      <c r="AM283" s="120">
        <f>IFERROR(VLOOKUP(Table1[RespondentID],'All Data'!$A$3:$CO$999,88,FALSE),"unknown")</f>
        <v>50</v>
      </c>
      <c r="AN283" s="120" t="str">
        <f>IFERROR(VLOOKUP(Table1[RespondentID],'All Data'!$A$3:$CO$999,89,FALSE),"unknown")</f>
        <v>Suffolk</v>
      </c>
      <c r="AO283" s="120" t="str">
        <f>IFERROR(VLOOKUP(Table1[RespondentID],'All Data'!$A$3:$CO$999,90,FALSE),"unknown")</f>
        <v>Commack, 11725</v>
      </c>
      <c r="AP283" s="120" t="str">
        <f>IFERROR(VLOOKUP(Table1[RespondentID],'All Data'!$A$3:$CO$999,91,FALSE),"unknown")</f>
        <v>White</v>
      </c>
      <c r="AQ283" s="120" t="str">
        <f>IFERROR(VLOOKUP(Table1[RespondentID],'All Data'!$A$3:$CO$999,92,FALSE),"unknown")</f>
        <v>Hispanic or Latino</v>
      </c>
      <c r="AR283" s="120" t="str">
        <f>IFERROR(VLOOKUP(Table1[RespondentID],'All Data'!$A$3:$CO$999,93,FALSE),"unknown")</f>
        <v>English</v>
      </c>
      <c r="AS283" s="120" t="str">
        <f>IFERROR(VLOOKUP(Table1[RespondentID],'All Data'!$A$3:$CW$999,94,FALSE),"unknown")</f>
        <v>Over $125,000</v>
      </c>
      <c r="AT283" s="120" t="str">
        <f>IFERROR(VLOOKUP(Table1[RespondentID],'All Data'!$A$3:$CW$999,95,FALSE),"unknown")</f>
        <v>College graduate</v>
      </c>
      <c r="AU283" s="120" t="str">
        <f>IFERROR(VLOOKUP(Table1[RespondentID],'All Data'!$A$3:$CW$999,96,FALSE),"unknown")</f>
        <v>Employed for wages</v>
      </c>
      <c r="AV283" s="120" t="str">
        <f>IFERROR(VLOOKUP(Table1[RespondentID],'All Data'!$A$3:$CW$999,97,FALSE),"unknown")</f>
        <v>Yes</v>
      </c>
      <c r="AW283" s="120" t="str">
        <f>IFERROR(VLOOKUP(Table1[RespondentID],'All Data'!$A$3:$CW$999,98,FALSE),"unknown")</f>
        <v>Medicare</v>
      </c>
      <c r="AX283" s="120" t="str">
        <f>IFERROR(VLOOKUP(Table1[RespondentID],'All Data'!$A$3:$CW$999,99,FALSE),"unknown")</f>
        <v>Yes</v>
      </c>
    </row>
    <row r="284" spans="1:50">
      <c r="A284" s="5">
        <v>18016806771</v>
      </c>
      <c r="B284" s="5"/>
      <c r="C284" s="5"/>
      <c r="D284" s="5"/>
      <c r="E284" s="5"/>
      <c r="F284" s="5"/>
      <c r="G284" s="5"/>
      <c r="H284" s="5" t="s">
        <v>22</v>
      </c>
      <c r="I284" s="5"/>
      <c r="J284" s="5"/>
      <c r="K284" s="5"/>
      <c r="L284" s="5" t="s">
        <v>26</v>
      </c>
      <c r="M284" s="5"/>
      <c r="N284" s="5"/>
      <c r="O284" s="7"/>
      <c r="P284" s="7">
        <f t="shared" si="72"/>
        <v>2</v>
      </c>
      <c r="Q284" s="7">
        <f t="shared" si="73"/>
        <v>1.5</v>
      </c>
      <c r="R284" s="7"/>
      <c r="S284" s="7">
        <f t="shared" si="89"/>
        <v>0</v>
      </c>
      <c r="T284" s="7">
        <f t="shared" si="74"/>
        <v>0</v>
      </c>
      <c r="U284" s="7">
        <f t="shared" si="75"/>
        <v>0</v>
      </c>
      <c r="V284" s="119">
        <f t="shared" si="76"/>
        <v>0</v>
      </c>
      <c r="W284" s="119">
        <f t="shared" si="77"/>
        <v>0</v>
      </c>
      <c r="X284" s="119">
        <f t="shared" si="78"/>
        <v>0</v>
      </c>
      <c r="Y284" s="119">
        <f t="shared" si="79"/>
        <v>1</v>
      </c>
      <c r="Z284" s="119">
        <f t="shared" si="80"/>
        <v>0</v>
      </c>
      <c r="AA284" s="119">
        <f t="shared" si="81"/>
        <v>0</v>
      </c>
      <c r="AB284" s="119">
        <f t="shared" si="82"/>
        <v>0</v>
      </c>
      <c r="AC284" s="119">
        <f t="shared" si="83"/>
        <v>1</v>
      </c>
      <c r="AD284" s="119">
        <f t="shared" si="84"/>
        <v>0</v>
      </c>
      <c r="AE284" s="119">
        <f t="shared" si="85"/>
        <v>0</v>
      </c>
      <c r="AF284" s="7"/>
      <c r="AG284" s="7"/>
      <c r="AH284" s="7">
        <f t="shared" si="86"/>
        <v>2</v>
      </c>
      <c r="AI284" s="7">
        <f t="shared" si="87"/>
        <v>2</v>
      </c>
      <c r="AJ284" s="7" t="str">
        <f t="shared" si="88"/>
        <v>Correct</v>
      </c>
      <c r="AL284" s="120" t="str">
        <f>IFERROR(VLOOKUP(Table1[RespondentID],'All Data'!$A$3:$CO$999,87,FALSE),"unknown")</f>
        <v>Man</v>
      </c>
      <c r="AM284" s="120">
        <f>IFERROR(VLOOKUP(Table1[RespondentID],'All Data'!$A$3:$CO$999,88,FALSE),"unknown")</f>
        <v>18</v>
      </c>
      <c r="AN284" s="120" t="str">
        <f>IFERROR(VLOOKUP(Table1[RespondentID],'All Data'!$A$3:$CO$999,89,FALSE),"unknown")</f>
        <v>Suffolk</v>
      </c>
      <c r="AO284" s="120" t="str">
        <f>IFERROR(VLOOKUP(Table1[RespondentID],'All Data'!$A$3:$CO$999,90,FALSE),"unknown")</f>
        <v>Commack, 11725</v>
      </c>
      <c r="AP284" s="120" t="str">
        <f>IFERROR(VLOOKUP(Table1[RespondentID],'All Data'!$A$3:$CO$999,91,FALSE),"unknown")</f>
        <v>White</v>
      </c>
      <c r="AQ284" s="120" t="str">
        <f>IFERROR(VLOOKUP(Table1[RespondentID],'All Data'!$A$3:$CO$999,92,FALSE),"unknown")</f>
        <v>Hispanic or Latino</v>
      </c>
      <c r="AR284" s="120" t="str">
        <f>IFERROR(VLOOKUP(Table1[RespondentID],'All Data'!$A$3:$CO$999,93,FALSE),"unknown")</f>
        <v>English</v>
      </c>
      <c r="AS284" s="120" t="str">
        <f>IFERROR(VLOOKUP(Table1[RespondentID],'All Data'!$A$3:$CW$999,94,FALSE),"unknown")</f>
        <v>$75,000 to $125,000</v>
      </c>
      <c r="AT284" s="120" t="str">
        <f>IFERROR(VLOOKUP(Table1[RespondentID],'All Data'!$A$3:$CW$999,95,FALSE),"unknown")</f>
        <v>High school graduate</v>
      </c>
      <c r="AU284" s="120" t="str">
        <f>IFERROR(VLOOKUP(Table1[RespondentID],'All Data'!$A$3:$CW$999,96,FALSE),"unknown")</f>
        <v>Student</v>
      </c>
      <c r="AV284" s="120" t="str">
        <f>IFERROR(VLOOKUP(Table1[RespondentID],'All Data'!$A$3:$CW$999,97,FALSE),"unknown")</f>
        <v>No</v>
      </c>
      <c r="AW284" s="120" t="str">
        <f>IFERROR(VLOOKUP(Table1[RespondentID],'All Data'!$A$3:$CW$999,98,FALSE),"unknown")</f>
        <v>No Insurance</v>
      </c>
      <c r="AX284" s="120" t="str">
        <f>IFERROR(VLOOKUP(Table1[RespondentID],'All Data'!$A$3:$CW$999,99,FALSE),"unknown")</f>
        <v>Yes</v>
      </c>
    </row>
    <row r="285" spans="1:50">
      <c r="A285" s="5">
        <v>18016769736</v>
      </c>
      <c r="B285" s="5"/>
      <c r="C285" s="5" t="s">
        <v>17</v>
      </c>
      <c r="D285" s="5"/>
      <c r="E285" s="5"/>
      <c r="F285" s="5"/>
      <c r="G285" s="5"/>
      <c r="H285" s="5"/>
      <c r="I285" s="5" t="s">
        <v>23</v>
      </c>
      <c r="J285" s="5"/>
      <c r="K285" s="5"/>
      <c r="L285" s="5" t="s">
        <v>26</v>
      </c>
      <c r="M285" s="5"/>
      <c r="N285" s="5" t="s">
        <v>28</v>
      </c>
      <c r="O285" s="7"/>
      <c r="P285" s="7">
        <f t="shared" si="72"/>
        <v>4</v>
      </c>
      <c r="Q285" s="7">
        <f t="shared" si="73"/>
        <v>0.75</v>
      </c>
      <c r="R285" s="7"/>
      <c r="S285" s="7">
        <f t="shared" si="89"/>
        <v>0</v>
      </c>
      <c r="T285" s="7">
        <f t="shared" si="74"/>
        <v>0.75</v>
      </c>
      <c r="U285" s="7">
        <f t="shared" si="75"/>
        <v>0</v>
      </c>
      <c r="V285" s="119">
        <f t="shared" si="76"/>
        <v>0</v>
      </c>
      <c r="W285" s="119">
        <f t="shared" si="77"/>
        <v>0</v>
      </c>
      <c r="X285" s="119">
        <f t="shared" si="78"/>
        <v>0</v>
      </c>
      <c r="Y285" s="119">
        <f t="shared" si="79"/>
        <v>0</v>
      </c>
      <c r="Z285" s="119">
        <f t="shared" si="80"/>
        <v>0.75</v>
      </c>
      <c r="AA285" s="119">
        <f t="shared" si="81"/>
        <v>0</v>
      </c>
      <c r="AB285" s="119">
        <f t="shared" si="82"/>
        <v>0</v>
      </c>
      <c r="AC285" s="119">
        <f t="shared" si="83"/>
        <v>0.75</v>
      </c>
      <c r="AD285" s="119">
        <f t="shared" si="84"/>
        <v>0</v>
      </c>
      <c r="AE285" s="119">
        <f t="shared" si="85"/>
        <v>0.75</v>
      </c>
      <c r="AF285" s="7"/>
      <c r="AG285" s="7"/>
      <c r="AH285" s="7">
        <f t="shared" si="86"/>
        <v>3</v>
      </c>
      <c r="AI285" s="7">
        <f t="shared" si="87"/>
        <v>4</v>
      </c>
      <c r="AJ285" s="7" t="str">
        <f t="shared" si="88"/>
        <v>Correct</v>
      </c>
      <c r="AL285" s="120" t="str">
        <f>IFERROR(VLOOKUP(Table1[RespondentID],'All Data'!$A$3:$CO$999,87,FALSE),"unknown")</f>
        <v>Man</v>
      </c>
      <c r="AM285" s="120">
        <f>IFERROR(VLOOKUP(Table1[RespondentID],'All Data'!$A$3:$CO$999,88,FALSE),"unknown")</f>
        <v>17</v>
      </c>
      <c r="AN285" s="120" t="str">
        <f>IFERROR(VLOOKUP(Table1[RespondentID],'All Data'!$A$3:$CO$999,89,FALSE),"unknown")</f>
        <v>Suffolk</v>
      </c>
      <c r="AO285" s="120" t="str">
        <f>IFERROR(VLOOKUP(Table1[RespondentID],'All Data'!$A$3:$CO$999,90,FALSE),"unknown")</f>
        <v>Commack, 11725</v>
      </c>
      <c r="AP285" s="120" t="str">
        <f>IFERROR(VLOOKUP(Table1[RespondentID],'All Data'!$A$3:$CO$999,91,FALSE),"unknown")</f>
        <v>White</v>
      </c>
      <c r="AQ285" s="120" t="str">
        <f>IFERROR(VLOOKUP(Table1[RespondentID],'All Data'!$A$3:$CO$999,92,FALSE),"unknown")</f>
        <v>Hispanic or Latino</v>
      </c>
      <c r="AR285" s="120" t="str">
        <f>IFERROR(VLOOKUP(Table1[RespondentID],'All Data'!$A$3:$CO$999,93,FALSE),"unknown")</f>
        <v>English</v>
      </c>
      <c r="AS285" s="120" t="str">
        <f>IFERROR(VLOOKUP(Table1[RespondentID],'All Data'!$A$3:$CW$999,94,FALSE),"unknown")</f>
        <v>Over $125,000</v>
      </c>
      <c r="AT285" s="120" t="str">
        <f>IFERROR(VLOOKUP(Table1[RespondentID],'All Data'!$A$3:$CW$999,95,FALSE),"unknown")</f>
        <v>High school graduate</v>
      </c>
      <c r="AU285" s="120" t="str">
        <f>IFERROR(VLOOKUP(Table1[RespondentID],'All Data'!$A$3:$CW$999,96,FALSE),"unknown")</f>
        <v>Employed for wages</v>
      </c>
      <c r="AV285" s="120" t="str">
        <f>IFERROR(VLOOKUP(Table1[RespondentID],'All Data'!$A$3:$CW$999,97,FALSE),"unknown")</f>
        <v>Yes</v>
      </c>
      <c r="AW285" s="120" t="str">
        <f>IFERROR(VLOOKUP(Table1[RespondentID],'All Data'!$A$3:$CW$999,98,FALSE),"unknown")</f>
        <v>Medicare</v>
      </c>
      <c r="AX285" s="120" t="str">
        <f>IFERROR(VLOOKUP(Table1[RespondentID],'All Data'!$A$3:$CW$999,99,FALSE),"unknown")</f>
        <v>Yes</v>
      </c>
    </row>
    <row r="286" spans="1:50">
      <c r="A286" s="5">
        <v>18016765374</v>
      </c>
      <c r="B286" s="5"/>
      <c r="C286" s="5" t="s">
        <v>17</v>
      </c>
      <c r="D286" s="5"/>
      <c r="E286" s="5"/>
      <c r="F286" s="5"/>
      <c r="G286" s="5"/>
      <c r="H286" s="5"/>
      <c r="I286" s="5"/>
      <c r="J286" s="5"/>
      <c r="K286" s="5" t="s">
        <v>25</v>
      </c>
      <c r="L286" s="5" t="s">
        <v>26</v>
      </c>
      <c r="M286" s="5"/>
      <c r="N286" s="5"/>
      <c r="O286" s="7"/>
      <c r="P286" s="7">
        <f t="shared" si="72"/>
        <v>3</v>
      </c>
      <c r="Q286" s="7">
        <f t="shared" si="73"/>
        <v>1</v>
      </c>
      <c r="R286" s="7"/>
      <c r="S286" s="7">
        <f t="shared" si="89"/>
        <v>0</v>
      </c>
      <c r="T286" s="7">
        <f t="shared" si="74"/>
        <v>1</v>
      </c>
      <c r="U286" s="7">
        <f t="shared" si="75"/>
        <v>0</v>
      </c>
      <c r="V286" s="119">
        <f t="shared" si="76"/>
        <v>0</v>
      </c>
      <c r="W286" s="119">
        <f t="shared" si="77"/>
        <v>0</v>
      </c>
      <c r="X286" s="119">
        <f t="shared" si="78"/>
        <v>0</v>
      </c>
      <c r="Y286" s="119">
        <f t="shared" si="79"/>
        <v>0</v>
      </c>
      <c r="Z286" s="119">
        <f t="shared" si="80"/>
        <v>0</v>
      </c>
      <c r="AA286" s="119">
        <f t="shared" si="81"/>
        <v>0</v>
      </c>
      <c r="AB286" s="119">
        <f t="shared" si="82"/>
        <v>1</v>
      </c>
      <c r="AC286" s="119">
        <f t="shared" si="83"/>
        <v>1</v>
      </c>
      <c r="AD286" s="119">
        <f t="shared" si="84"/>
        <v>0</v>
      </c>
      <c r="AE286" s="119">
        <f t="shared" si="85"/>
        <v>0</v>
      </c>
      <c r="AF286" s="7"/>
      <c r="AG286" s="7"/>
      <c r="AH286" s="7">
        <f t="shared" si="86"/>
        <v>3</v>
      </c>
      <c r="AI286" s="7">
        <f t="shared" si="87"/>
        <v>3</v>
      </c>
      <c r="AJ286" s="7" t="str">
        <f t="shared" si="88"/>
        <v>Correct</v>
      </c>
      <c r="AL286" s="120" t="str">
        <f>IFERROR(VLOOKUP(Table1[RespondentID],'All Data'!$A$3:$CO$999,87,FALSE),"unknown")</f>
        <v>Man</v>
      </c>
      <c r="AM286" s="120">
        <f>IFERROR(VLOOKUP(Table1[RespondentID],'All Data'!$A$3:$CO$999,88,FALSE),"unknown")</f>
        <v>16</v>
      </c>
      <c r="AN286" s="120" t="str">
        <f>IFERROR(VLOOKUP(Table1[RespondentID],'All Data'!$A$3:$CO$999,89,FALSE),"unknown")</f>
        <v>Suffolk</v>
      </c>
      <c r="AO286" s="120" t="str">
        <f>IFERROR(VLOOKUP(Table1[RespondentID],'All Data'!$A$3:$CO$999,90,FALSE),"unknown")</f>
        <v>Nesconset, 11767</v>
      </c>
      <c r="AP286" s="120" t="str">
        <f>IFERROR(VLOOKUP(Table1[RespondentID],'All Data'!$A$3:$CO$999,91,FALSE),"unknown")</f>
        <v>White</v>
      </c>
      <c r="AQ286" s="120" t="str">
        <f>IFERROR(VLOOKUP(Table1[RespondentID],'All Data'!$A$3:$CO$999,92,FALSE),"unknown")</f>
        <v>Hispanic or Latino</v>
      </c>
      <c r="AR286" s="120" t="str">
        <f>IFERROR(VLOOKUP(Table1[RespondentID],'All Data'!$A$3:$CO$999,93,FALSE),"unknown")</f>
        <v>English</v>
      </c>
      <c r="AS286" s="120" t="str">
        <f>IFERROR(VLOOKUP(Table1[RespondentID],'All Data'!$A$3:$CW$999,94,FALSE),"unknown")</f>
        <v>Over $125,000</v>
      </c>
      <c r="AT286" s="120" t="str">
        <f>IFERROR(VLOOKUP(Table1[RespondentID],'All Data'!$A$3:$CW$999,95,FALSE),"unknown")</f>
        <v>Graduate school</v>
      </c>
      <c r="AU286" s="120" t="str">
        <f>IFERROR(VLOOKUP(Table1[RespondentID],'All Data'!$A$3:$CW$999,96,FALSE),"unknown")</f>
        <v>Student</v>
      </c>
      <c r="AV286" s="120" t="str">
        <f>IFERROR(VLOOKUP(Table1[RespondentID],'All Data'!$A$3:$CW$999,97,FALSE),"unknown")</f>
        <v>Yes</v>
      </c>
      <c r="AW286" s="120" t="str">
        <f>IFERROR(VLOOKUP(Table1[RespondentID],'All Data'!$A$3:$CW$999,98,FALSE),"unknown")</f>
        <v>Private/Commercial</v>
      </c>
      <c r="AX286" s="120" t="str">
        <f>IFERROR(VLOOKUP(Table1[RespondentID],'All Data'!$A$3:$CW$999,99,FALSE),"unknown")</f>
        <v>Yes</v>
      </c>
    </row>
    <row r="287" spans="1:50">
      <c r="A287" s="5">
        <v>18016764813</v>
      </c>
      <c r="B287" s="5"/>
      <c r="C287" s="5" t="s">
        <v>17</v>
      </c>
      <c r="D287" s="5"/>
      <c r="E287" s="5"/>
      <c r="F287" s="5"/>
      <c r="G287" s="5" t="s">
        <v>21</v>
      </c>
      <c r="H287" s="5"/>
      <c r="I287" s="5"/>
      <c r="J287" s="5" t="s">
        <v>24</v>
      </c>
      <c r="K287" s="5" t="s">
        <v>25</v>
      </c>
      <c r="L287" s="5"/>
      <c r="M287" s="5"/>
      <c r="N287" s="5"/>
      <c r="O287" s="7"/>
      <c r="P287" s="7">
        <f t="shared" si="72"/>
        <v>4</v>
      </c>
      <c r="Q287" s="7">
        <f t="shared" si="73"/>
        <v>0.75</v>
      </c>
      <c r="R287" s="7"/>
      <c r="S287" s="7">
        <f t="shared" si="89"/>
        <v>0</v>
      </c>
      <c r="T287" s="7">
        <f t="shared" si="74"/>
        <v>0.75</v>
      </c>
      <c r="U287" s="7">
        <f t="shared" si="75"/>
        <v>0</v>
      </c>
      <c r="V287" s="119">
        <f t="shared" si="76"/>
        <v>0</v>
      </c>
      <c r="W287" s="119">
        <f t="shared" si="77"/>
        <v>0</v>
      </c>
      <c r="X287" s="119">
        <f t="shared" si="78"/>
        <v>0.75</v>
      </c>
      <c r="Y287" s="119">
        <f t="shared" si="79"/>
        <v>0</v>
      </c>
      <c r="Z287" s="119">
        <f t="shared" si="80"/>
        <v>0</v>
      </c>
      <c r="AA287" s="119">
        <f t="shared" si="81"/>
        <v>0.75</v>
      </c>
      <c r="AB287" s="119">
        <f t="shared" si="82"/>
        <v>0.75</v>
      </c>
      <c r="AC287" s="119">
        <f t="shared" si="83"/>
        <v>0</v>
      </c>
      <c r="AD287" s="119">
        <f t="shared" si="84"/>
        <v>0</v>
      </c>
      <c r="AE287" s="119">
        <f t="shared" si="85"/>
        <v>0</v>
      </c>
      <c r="AF287" s="7"/>
      <c r="AG287" s="7"/>
      <c r="AH287" s="7">
        <f t="shared" si="86"/>
        <v>3</v>
      </c>
      <c r="AI287" s="7">
        <f t="shared" si="87"/>
        <v>4</v>
      </c>
      <c r="AJ287" s="7" t="str">
        <f t="shared" si="88"/>
        <v>Correct</v>
      </c>
      <c r="AL287" s="120" t="str">
        <f>IFERROR(VLOOKUP(Table1[RespondentID],'All Data'!$A$3:$CO$999,87,FALSE),"unknown")</f>
        <v>Man</v>
      </c>
      <c r="AM287" s="120">
        <f>IFERROR(VLOOKUP(Table1[RespondentID],'All Data'!$A$3:$CO$999,88,FALSE),"unknown")</f>
        <v>16</v>
      </c>
      <c r="AN287" s="120" t="str">
        <f>IFERROR(VLOOKUP(Table1[RespondentID],'All Data'!$A$3:$CO$999,89,FALSE),"unknown")</f>
        <v>Suffolk</v>
      </c>
      <c r="AO287" s="120" t="str">
        <f>IFERROR(VLOOKUP(Table1[RespondentID],'All Data'!$A$3:$CO$999,90,FALSE),"unknown")</f>
        <v>Nesconset, 11767</v>
      </c>
      <c r="AP287" s="120" t="str">
        <f>IFERROR(VLOOKUP(Table1[RespondentID],'All Data'!$A$3:$CO$999,91,FALSE),"unknown")</f>
        <v>White</v>
      </c>
      <c r="AQ287" s="120" t="str">
        <f>IFERROR(VLOOKUP(Table1[RespondentID],'All Data'!$A$3:$CO$999,92,FALSE),"unknown")</f>
        <v>Hispanic or Latino</v>
      </c>
      <c r="AR287" s="120" t="str">
        <f>IFERROR(VLOOKUP(Table1[RespondentID],'All Data'!$A$3:$CO$999,93,FALSE),"unknown")</f>
        <v>English</v>
      </c>
      <c r="AS287" s="120" t="str">
        <f>IFERROR(VLOOKUP(Table1[RespondentID],'All Data'!$A$3:$CW$999,94,FALSE),"unknown")</f>
        <v>Over $125,000</v>
      </c>
      <c r="AT287" s="120" t="str">
        <f>IFERROR(VLOOKUP(Table1[RespondentID],'All Data'!$A$3:$CW$999,95,FALSE),"unknown")</f>
        <v>College graduate</v>
      </c>
      <c r="AU287" s="120" t="str">
        <f>IFERROR(VLOOKUP(Table1[RespondentID],'All Data'!$A$3:$CW$999,96,FALSE),"unknown")</f>
        <v>Student</v>
      </c>
      <c r="AV287" s="120" t="str">
        <f>IFERROR(VLOOKUP(Table1[RespondentID],'All Data'!$A$3:$CW$999,97,FALSE),"unknown")</f>
        <v>Yes</v>
      </c>
      <c r="AW287" s="120" t="str">
        <f>IFERROR(VLOOKUP(Table1[RespondentID],'All Data'!$A$3:$CW$999,98,FALSE),"unknown")</f>
        <v>Private/Commercial</v>
      </c>
      <c r="AX287" s="120" t="str">
        <f>IFERROR(VLOOKUP(Table1[RespondentID],'All Data'!$A$3:$CW$999,99,FALSE),"unknown")</f>
        <v>Yes</v>
      </c>
    </row>
    <row r="288" spans="1:50">
      <c r="A288" s="5">
        <v>18016645165</v>
      </c>
      <c r="B288" s="5"/>
      <c r="C288" s="5"/>
      <c r="D288" s="5"/>
      <c r="E288" s="5" t="s">
        <v>19</v>
      </c>
      <c r="F288" s="5"/>
      <c r="G288" s="5" t="s">
        <v>21</v>
      </c>
      <c r="H288" s="5"/>
      <c r="I288" s="5"/>
      <c r="J288" s="5"/>
      <c r="K288" s="5"/>
      <c r="L288" s="5"/>
      <c r="M288" s="5"/>
      <c r="N288" s="5" t="s">
        <v>28</v>
      </c>
      <c r="O288" s="7"/>
      <c r="P288" s="7">
        <f t="shared" si="72"/>
        <v>3</v>
      </c>
      <c r="Q288" s="7">
        <f t="shared" si="73"/>
        <v>1</v>
      </c>
      <c r="R288" s="7"/>
      <c r="S288" s="7">
        <f t="shared" si="89"/>
        <v>0</v>
      </c>
      <c r="T288" s="7">
        <f t="shared" si="74"/>
        <v>0</v>
      </c>
      <c r="U288" s="7">
        <f t="shared" si="75"/>
        <v>0</v>
      </c>
      <c r="V288" s="119">
        <f t="shared" si="76"/>
        <v>1</v>
      </c>
      <c r="W288" s="119">
        <f t="shared" si="77"/>
        <v>0</v>
      </c>
      <c r="X288" s="119">
        <f t="shared" si="78"/>
        <v>1</v>
      </c>
      <c r="Y288" s="119">
        <f t="shared" si="79"/>
        <v>0</v>
      </c>
      <c r="Z288" s="119">
        <f t="shared" si="80"/>
        <v>0</v>
      </c>
      <c r="AA288" s="119">
        <f t="shared" si="81"/>
        <v>0</v>
      </c>
      <c r="AB288" s="119">
        <f t="shared" si="82"/>
        <v>0</v>
      </c>
      <c r="AC288" s="119">
        <f t="shared" si="83"/>
        <v>0</v>
      </c>
      <c r="AD288" s="119">
        <f t="shared" si="84"/>
        <v>0</v>
      </c>
      <c r="AE288" s="119">
        <f t="shared" si="85"/>
        <v>1</v>
      </c>
      <c r="AF288" s="7"/>
      <c r="AG288" s="7"/>
      <c r="AH288" s="7">
        <f t="shared" si="86"/>
        <v>3</v>
      </c>
      <c r="AI288" s="7">
        <f t="shared" si="87"/>
        <v>3</v>
      </c>
      <c r="AJ288" s="7" t="str">
        <f t="shared" si="88"/>
        <v>Correct</v>
      </c>
      <c r="AL288" s="120" t="str">
        <f>IFERROR(VLOOKUP(Table1[RespondentID],'All Data'!$A$3:$CO$999,87,FALSE),"unknown")</f>
        <v>Woman</v>
      </c>
      <c r="AM288" s="120">
        <f>IFERROR(VLOOKUP(Table1[RespondentID],'All Data'!$A$3:$CO$999,88,FALSE),"unknown")</f>
        <v>35</v>
      </c>
      <c r="AN288" s="120" t="str">
        <f>IFERROR(VLOOKUP(Table1[RespondentID],'All Data'!$A$3:$CO$999,89,FALSE),"unknown")</f>
        <v>Queens</v>
      </c>
      <c r="AO288" s="120">
        <f>IFERROR(VLOOKUP(Table1[RespondentID],'All Data'!$A$3:$CO$999,90,FALSE),"unknown")</f>
        <v>11375</v>
      </c>
      <c r="AP288" s="120" t="str">
        <f>IFERROR(VLOOKUP(Table1[RespondentID],'All Data'!$A$3:$CO$999,91,FALSE),"unknown")</f>
        <v>American Indian and Alaska Native</v>
      </c>
      <c r="AQ288" s="120" t="str">
        <f>IFERROR(VLOOKUP(Table1[RespondentID],'All Data'!$A$3:$CO$999,92,FALSE),"unknown")</f>
        <v>Hispanic or Latino</v>
      </c>
      <c r="AR288" s="120" t="str">
        <f>IFERROR(VLOOKUP(Table1[RespondentID],'All Data'!$A$3:$CO$999,93,FALSE),"unknown")</f>
        <v>English, Korean</v>
      </c>
      <c r="AS288" s="120" t="str">
        <f>IFERROR(VLOOKUP(Table1[RespondentID],'All Data'!$A$3:$CW$999,94,FALSE),"unknown")</f>
        <v>Over $125,000</v>
      </c>
      <c r="AT288" s="120" t="str">
        <f>IFERROR(VLOOKUP(Table1[RespondentID],'All Data'!$A$3:$CW$999,95,FALSE),"unknown")</f>
        <v>Doctorate</v>
      </c>
      <c r="AU288" s="120" t="str">
        <f>IFERROR(VLOOKUP(Table1[RespondentID],'All Data'!$A$3:$CW$999,96,FALSE),"unknown")</f>
        <v>Employed for wages</v>
      </c>
      <c r="AV288" s="120" t="str">
        <f>IFERROR(VLOOKUP(Table1[RespondentID],'All Data'!$A$3:$CW$999,97,FALSE),"unknown")</f>
        <v>Yes</v>
      </c>
      <c r="AW288" s="120" t="str">
        <f>IFERROR(VLOOKUP(Table1[RespondentID],'All Data'!$A$3:$CW$999,98,FALSE),"unknown")</f>
        <v>Private/Commercial</v>
      </c>
      <c r="AX288" s="120" t="str">
        <f>IFERROR(VLOOKUP(Table1[RespondentID],'All Data'!$A$3:$CW$999,99,FALSE),"unknown")</f>
        <v>Yes</v>
      </c>
    </row>
    <row r="289" spans="1:50">
      <c r="A289" s="5">
        <v>18016455302</v>
      </c>
      <c r="B289" s="5"/>
      <c r="C289" s="5"/>
      <c r="D289" s="5"/>
      <c r="E289" s="5"/>
      <c r="F289" s="5"/>
      <c r="G289" s="5"/>
      <c r="H289" s="5"/>
      <c r="I289" s="5"/>
      <c r="J289" s="5"/>
      <c r="K289" s="5"/>
      <c r="L289" s="5" t="s">
        <v>26</v>
      </c>
      <c r="M289" s="5"/>
      <c r="N289" s="5" t="s">
        <v>28</v>
      </c>
      <c r="O289" s="7"/>
      <c r="P289" s="7">
        <f t="shared" si="72"/>
        <v>2</v>
      </c>
      <c r="Q289" s="7">
        <f t="shared" si="73"/>
        <v>1.5</v>
      </c>
      <c r="R289" s="7"/>
      <c r="S289" s="7">
        <f t="shared" si="89"/>
        <v>0</v>
      </c>
      <c r="T289" s="7">
        <f t="shared" si="74"/>
        <v>0</v>
      </c>
      <c r="U289" s="7">
        <f t="shared" si="75"/>
        <v>0</v>
      </c>
      <c r="V289" s="119">
        <f t="shared" si="76"/>
        <v>0</v>
      </c>
      <c r="W289" s="119">
        <f t="shared" si="77"/>
        <v>0</v>
      </c>
      <c r="X289" s="119">
        <f t="shared" si="78"/>
        <v>0</v>
      </c>
      <c r="Y289" s="119">
        <f t="shared" si="79"/>
        <v>0</v>
      </c>
      <c r="Z289" s="119">
        <f t="shared" si="80"/>
        <v>0</v>
      </c>
      <c r="AA289" s="119">
        <f t="shared" si="81"/>
        <v>0</v>
      </c>
      <c r="AB289" s="119">
        <f t="shared" si="82"/>
        <v>0</v>
      </c>
      <c r="AC289" s="119">
        <f t="shared" si="83"/>
        <v>1</v>
      </c>
      <c r="AD289" s="119">
        <f t="shared" si="84"/>
        <v>0</v>
      </c>
      <c r="AE289" s="119">
        <f t="shared" si="85"/>
        <v>1</v>
      </c>
      <c r="AF289" s="7"/>
      <c r="AG289" s="7"/>
      <c r="AH289" s="7">
        <f t="shared" si="86"/>
        <v>2</v>
      </c>
      <c r="AI289" s="7">
        <f t="shared" si="87"/>
        <v>2</v>
      </c>
      <c r="AJ289" s="7" t="str">
        <f t="shared" si="88"/>
        <v>Correct</v>
      </c>
      <c r="AL289" s="120" t="str">
        <f>IFERROR(VLOOKUP(Table1[RespondentID],'All Data'!$A$3:$CO$999,87,FALSE),"unknown")</f>
        <v>Man</v>
      </c>
      <c r="AM289" s="120">
        <f>IFERROR(VLOOKUP(Table1[RespondentID],'All Data'!$A$3:$CO$999,88,FALSE),"unknown")</f>
        <v>21</v>
      </c>
      <c r="AN289" s="120" t="str">
        <f>IFERROR(VLOOKUP(Table1[RespondentID],'All Data'!$A$3:$CO$999,89,FALSE),"unknown")</f>
        <v>Suffolk</v>
      </c>
      <c r="AO289" s="120" t="str">
        <f>IFERROR(VLOOKUP(Table1[RespondentID],'All Data'!$A$3:$CO$999,90,FALSE),"unknown")</f>
        <v>Lindenhurst, 11757</v>
      </c>
      <c r="AP289" s="120" t="str">
        <f>IFERROR(VLOOKUP(Table1[RespondentID],'All Data'!$A$3:$CO$999,91,FALSE),"unknown")</f>
        <v>White</v>
      </c>
      <c r="AQ289" s="120" t="str">
        <f>IFERROR(VLOOKUP(Table1[RespondentID],'All Data'!$A$3:$CO$999,92,FALSE),"unknown")</f>
        <v>Not Hispanic or Latino</v>
      </c>
      <c r="AR289" s="120" t="str">
        <f>IFERROR(VLOOKUP(Table1[RespondentID],'All Data'!$A$3:$CO$999,93,FALSE),"unknown")</f>
        <v>Spanish</v>
      </c>
      <c r="AS289" s="120" t="str">
        <f>IFERROR(VLOOKUP(Table1[RespondentID],'All Data'!$A$3:$CW$999,94,FALSE),"unknown")</f>
        <v>$75,000 to $125,000</v>
      </c>
      <c r="AT289" s="120" t="str">
        <f>IFERROR(VLOOKUP(Table1[RespondentID],'All Data'!$A$3:$CW$999,95,FALSE),"unknown")</f>
        <v>Some college</v>
      </c>
      <c r="AU289" s="120" t="str">
        <f>IFERROR(VLOOKUP(Table1[RespondentID],'All Data'!$A$3:$CW$999,96,FALSE),"unknown")</f>
        <v>Student</v>
      </c>
      <c r="AV289" s="120" t="str">
        <f>IFERROR(VLOOKUP(Table1[RespondentID],'All Data'!$A$3:$CW$999,97,FALSE),"unknown")</f>
        <v>Yes</v>
      </c>
      <c r="AW289" s="120" t="str">
        <f>IFERROR(VLOOKUP(Table1[RespondentID],'All Data'!$A$3:$CW$999,98,FALSE),"unknown")</f>
        <v>Medicare</v>
      </c>
      <c r="AX289" s="120" t="str">
        <f>IFERROR(VLOOKUP(Table1[RespondentID],'All Data'!$A$3:$CW$999,99,FALSE),"unknown")</f>
        <v>Yes</v>
      </c>
    </row>
    <row r="290" spans="1:50">
      <c r="A290" s="5">
        <v>18016436237</v>
      </c>
      <c r="B290" s="5" t="s">
        <v>16</v>
      </c>
      <c r="C290" s="5" t="s">
        <v>17</v>
      </c>
      <c r="D290" s="5"/>
      <c r="E290" s="5"/>
      <c r="F290" s="5"/>
      <c r="G290" s="5"/>
      <c r="H290" s="5" t="s">
        <v>22</v>
      </c>
      <c r="I290" s="5"/>
      <c r="J290" s="5" t="s">
        <v>24</v>
      </c>
      <c r="K290" s="5"/>
      <c r="L290" s="5"/>
      <c r="M290" s="5"/>
      <c r="N290" s="5"/>
      <c r="O290" s="7"/>
      <c r="P290" s="7">
        <f t="shared" si="72"/>
        <v>4</v>
      </c>
      <c r="Q290" s="7">
        <f t="shared" si="73"/>
        <v>0.75</v>
      </c>
      <c r="R290" s="7"/>
      <c r="S290" s="7">
        <f t="shared" si="89"/>
        <v>0.75</v>
      </c>
      <c r="T290" s="7">
        <f t="shared" si="74"/>
        <v>0.75</v>
      </c>
      <c r="U290" s="7">
        <f t="shared" si="75"/>
        <v>0</v>
      </c>
      <c r="V290" s="119">
        <f t="shared" si="76"/>
        <v>0</v>
      </c>
      <c r="W290" s="119">
        <f t="shared" si="77"/>
        <v>0</v>
      </c>
      <c r="X290" s="119">
        <f t="shared" si="78"/>
        <v>0</v>
      </c>
      <c r="Y290" s="119">
        <f t="shared" si="79"/>
        <v>0.75</v>
      </c>
      <c r="Z290" s="119">
        <f t="shared" si="80"/>
        <v>0</v>
      </c>
      <c r="AA290" s="119">
        <f t="shared" si="81"/>
        <v>0.75</v>
      </c>
      <c r="AB290" s="119">
        <f t="shared" si="82"/>
        <v>0</v>
      </c>
      <c r="AC290" s="119">
        <f t="shared" si="83"/>
        <v>0</v>
      </c>
      <c r="AD290" s="119">
        <f t="shared" si="84"/>
        <v>0</v>
      </c>
      <c r="AE290" s="119">
        <f t="shared" si="85"/>
        <v>0</v>
      </c>
      <c r="AF290" s="7"/>
      <c r="AG290" s="7"/>
      <c r="AH290" s="7">
        <f t="shared" si="86"/>
        <v>3</v>
      </c>
      <c r="AI290" s="7">
        <f t="shared" si="87"/>
        <v>4</v>
      </c>
      <c r="AJ290" s="7" t="str">
        <f t="shared" si="88"/>
        <v>Correct</v>
      </c>
      <c r="AL290" s="120" t="str">
        <f>IFERROR(VLOOKUP(Table1[RespondentID],'All Data'!$A$3:$CO$999,87,FALSE),"unknown")</f>
        <v>Man</v>
      </c>
      <c r="AM290" s="120">
        <f>IFERROR(VLOOKUP(Table1[RespondentID],'All Data'!$A$3:$CO$999,88,FALSE),"unknown")</f>
        <v>18</v>
      </c>
      <c r="AN290" s="120" t="str">
        <f>IFERROR(VLOOKUP(Table1[RespondentID],'All Data'!$A$3:$CO$999,89,FALSE),"unknown")</f>
        <v>Queens</v>
      </c>
      <c r="AO290" s="120">
        <f>IFERROR(VLOOKUP(Table1[RespondentID],'All Data'!$A$3:$CO$999,90,FALSE),"unknown")</f>
        <v>11428</v>
      </c>
      <c r="AP290" s="120" t="str">
        <f>IFERROR(VLOOKUP(Table1[RespondentID],'All Data'!$A$3:$CO$999,91,FALSE),"unknown")</f>
        <v>White</v>
      </c>
      <c r="AQ290" s="120" t="str">
        <f>IFERROR(VLOOKUP(Table1[RespondentID],'All Data'!$A$3:$CO$999,92,FALSE),"unknown")</f>
        <v>Hispanic or Latino</v>
      </c>
      <c r="AR290" s="120" t="str">
        <f>IFERROR(VLOOKUP(Table1[RespondentID],'All Data'!$A$3:$CO$999,93,FALSE),"unknown")</f>
        <v>English</v>
      </c>
      <c r="AS290" s="120" t="str">
        <f>IFERROR(VLOOKUP(Table1[RespondentID],'All Data'!$A$3:$CW$999,94,FALSE),"unknown")</f>
        <v>$0-$19,999</v>
      </c>
      <c r="AT290" s="120" t="str">
        <f>IFERROR(VLOOKUP(Table1[RespondentID],'All Data'!$A$3:$CW$999,95,FALSE),"unknown")</f>
        <v>Some college</v>
      </c>
      <c r="AU290" s="120" t="str">
        <f>IFERROR(VLOOKUP(Table1[RespondentID],'All Data'!$A$3:$CW$999,96,FALSE),"unknown")</f>
        <v>Military</v>
      </c>
      <c r="AV290" s="120" t="str">
        <f>IFERROR(VLOOKUP(Table1[RespondentID],'All Data'!$A$3:$CW$999,97,FALSE),"unknown")</f>
        <v>No, but I did in the past</v>
      </c>
      <c r="AW290" s="120" t="str">
        <f>IFERROR(VLOOKUP(Table1[RespondentID],'All Data'!$A$3:$CW$999,98,FALSE),"unknown")</f>
        <v>Medicare</v>
      </c>
      <c r="AX290" s="120" t="str">
        <f>IFERROR(VLOOKUP(Table1[RespondentID],'All Data'!$A$3:$CW$999,99,FALSE),"unknown")</f>
        <v>No</v>
      </c>
    </row>
    <row r="291" spans="1:50">
      <c r="A291" s="5">
        <v>18016056284</v>
      </c>
      <c r="B291" s="5"/>
      <c r="C291" s="5"/>
      <c r="D291" s="5"/>
      <c r="E291" s="5" t="s">
        <v>19</v>
      </c>
      <c r="F291" s="5"/>
      <c r="G291" s="5"/>
      <c r="H291" s="5"/>
      <c r="I291" s="5"/>
      <c r="J291" s="5"/>
      <c r="K291" s="5" t="s">
        <v>25</v>
      </c>
      <c r="L291" s="5" t="s">
        <v>26</v>
      </c>
      <c r="M291" s="5"/>
      <c r="N291" s="5"/>
      <c r="O291" s="7"/>
      <c r="P291" s="7">
        <f t="shared" si="72"/>
        <v>3</v>
      </c>
      <c r="Q291" s="7">
        <f t="shared" si="73"/>
        <v>1</v>
      </c>
      <c r="R291" s="7"/>
      <c r="S291" s="7">
        <f t="shared" si="89"/>
        <v>0</v>
      </c>
      <c r="T291" s="7">
        <f t="shared" si="74"/>
        <v>0</v>
      </c>
      <c r="U291" s="7">
        <f t="shared" si="75"/>
        <v>0</v>
      </c>
      <c r="V291" s="119">
        <f t="shared" si="76"/>
        <v>1</v>
      </c>
      <c r="W291" s="119">
        <f t="shared" si="77"/>
        <v>0</v>
      </c>
      <c r="X291" s="119">
        <f t="shared" si="78"/>
        <v>0</v>
      </c>
      <c r="Y291" s="119">
        <f t="shared" si="79"/>
        <v>0</v>
      </c>
      <c r="Z291" s="119">
        <f t="shared" si="80"/>
        <v>0</v>
      </c>
      <c r="AA291" s="119">
        <f t="shared" si="81"/>
        <v>0</v>
      </c>
      <c r="AB291" s="119">
        <f t="shared" si="82"/>
        <v>1</v>
      </c>
      <c r="AC291" s="119">
        <f t="shared" si="83"/>
        <v>1</v>
      </c>
      <c r="AD291" s="119">
        <f t="shared" si="84"/>
        <v>0</v>
      </c>
      <c r="AE291" s="119">
        <f t="shared" si="85"/>
        <v>0</v>
      </c>
      <c r="AF291" s="7"/>
      <c r="AG291" s="7"/>
      <c r="AH291" s="7">
        <f t="shared" si="86"/>
        <v>3</v>
      </c>
      <c r="AI291" s="7">
        <f t="shared" si="87"/>
        <v>3</v>
      </c>
      <c r="AJ291" s="7" t="str">
        <f t="shared" si="88"/>
        <v>Correct</v>
      </c>
      <c r="AL291" s="120" t="str">
        <f>IFERROR(VLOOKUP(Table1[RespondentID],'All Data'!$A$3:$CO$999,87,FALSE),"unknown")</f>
        <v>Woman</v>
      </c>
      <c r="AM291" s="120">
        <f>IFERROR(VLOOKUP(Table1[RespondentID],'All Data'!$A$3:$CO$999,88,FALSE),"unknown")</f>
        <v>21</v>
      </c>
      <c r="AN291" s="120" t="str">
        <f>IFERROR(VLOOKUP(Table1[RespondentID],'All Data'!$A$3:$CO$999,89,FALSE),"unknown")</f>
        <v>Suffolk</v>
      </c>
      <c r="AO291" s="120" t="str">
        <f>IFERROR(VLOOKUP(Table1[RespondentID],'All Data'!$A$3:$CO$999,90,FALSE),"unknown")</f>
        <v>Farmingville, 11738</v>
      </c>
      <c r="AP291" s="120" t="str">
        <f>IFERROR(VLOOKUP(Table1[RespondentID],'All Data'!$A$3:$CO$999,91,FALSE),"unknown")</f>
        <v>Asian</v>
      </c>
      <c r="AQ291" s="120" t="str">
        <f>IFERROR(VLOOKUP(Table1[RespondentID],'All Data'!$A$3:$CO$999,92,FALSE),"unknown")</f>
        <v>Not Hispanic or Latino</v>
      </c>
      <c r="AR291" s="120" t="str">
        <f>IFERROR(VLOOKUP(Table1[RespondentID],'All Data'!$A$3:$CO$999,93,FALSE),"unknown")</f>
        <v>English</v>
      </c>
      <c r="AS291" s="120" t="str">
        <f>IFERROR(VLOOKUP(Table1[RespondentID],'All Data'!$A$3:$CW$999,94,FALSE),"unknown")</f>
        <v>$50,000 to $74,999</v>
      </c>
      <c r="AT291" s="120" t="str">
        <f>IFERROR(VLOOKUP(Table1[RespondentID],'All Data'!$A$3:$CW$999,95,FALSE),"unknown")</f>
        <v>Some college</v>
      </c>
      <c r="AU291" s="120" t="str">
        <f>IFERROR(VLOOKUP(Table1[RespondentID],'All Data'!$A$3:$CW$999,96,FALSE),"unknown")</f>
        <v>Student</v>
      </c>
      <c r="AV291" s="120" t="str">
        <f>IFERROR(VLOOKUP(Table1[RespondentID],'All Data'!$A$3:$CW$999,97,FALSE),"unknown")</f>
        <v>Yes</v>
      </c>
      <c r="AW291" s="120" t="str">
        <f>IFERROR(VLOOKUP(Table1[RespondentID],'All Data'!$A$3:$CW$999,98,FALSE),"unknown")</f>
        <v>Medicare</v>
      </c>
      <c r="AX291" s="120" t="str">
        <f>IFERROR(VLOOKUP(Table1[RespondentID],'All Data'!$A$3:$CW$999,99,FALSE),"unknown")</f>
        <v>Yes</v>
      </c>
    </row>
    <row r="292" spans="1:50">
      <c r="A292" s="5">
        <v>18016042262</v>
      </c>
      <c r="B292" s="5"/>
      <c r="C292" s="5"/>
      <c r="D292" s="5"/>
      <c r="E292" s="5"/>
      <c r="F292" s="5" t="s">
        <v>20</v>
      </c>
      <c r="G292" s="5"/>
      <c r="H292" s="5"/>
      <c r="I292" s="5"/>
      <c r="J292" s="5"/>
      <c r="K292" s="5"/>
      <c r="L292" s="5"/>
      <c r="M292" s="5"/>
      <c r="N292" s="5"/>
      <c r="O292" s="7"/>
      <c r="P292" s="7">
        <f t="shared" si="72"/>
        <v>1</v>
      </c>
      <c r="Q292" s="7">
        <f t="shared" si="73"/>
        <v>3</v>
      </c>
      <c r="R292" s="7"/>
      <c r="S292" s="7">
        <f t="shared" si="89"/>
        <v>0</v>
      </c>
      <c r="T292" s="7">
        <f t="shared" si="74"/>
        <v>0</v>
      </c>
      <c r="U292" s="7">
        <f t="shared" si="75"/>
        <v>0</v>
      </c>
      <c r="V292" s="119">
        <f t="shared" si="76"/>
        <v>0</v>
      </c>
      <c r="W292" s="119">
        <f t="shared" si="77"/>
        <v>1</v>
      </c>
      <c r="X292" s="119">
        <f t="shared" si="78"/>
        <v>0</v>
      </c>
      <c r="Y292" s="119">
        <f t="shared" si="79"/>
        <v>0</v>
      </c>
      <c r="Z292" s="119">
        <f t="shared" si="80"/>
        <v>0</v>
      </c>
      <c r="AA292" s="119">
        <f t="shared" si="81"/>
        <v>0</v>
      </c>
      <c r="AB292" s="119">
        <f t="shared" si="82"/>
        <v>0</v>
      </c>
      <c r="AC292" s="119">
        <f t="shared" si="83"/>
        <v>0</v>
      </c>
      <c r="AD292" s="119">
        <f t="shared" si="84"/>
        <v>0</v>
      </c>
      <c r="AE292" s="119">
        <f t="shared" si="85"/>
        <v>0</v>
      </c>
      <c r="AF292" s="7"/>
      <c r="AG292" s="7"/>
      <c r="AH292" s="7">
        <f t="shared" si="86"/>
        <v>1</v>
      </c>
      <c r="AI292" s="7">
        <f t="shared" si="87"/>
        <v>1</v>
      </c>
      <c r="AJ292" s="7" t="str">
        <f t="shared" si="88"/>
        <v>Correct</v>
      </c>
      <c r="AL292" s="120">
        <f>IFERROR(VLOOKUP(Table1[RespondentID],'All Data'!$A$3:$CO$999,87,FALSE),"unknown")</f>
        <v>0</v>
      </c>
      <c r="AM292" s="120">
        <f>IFERROR(VLOOKUP(Table1[RespondentID],'All Data'!$A$3:$CO$999,88,FALSE),"unknown")</f>
        <v>0</v>
      </c>
      <c r="AN292" s="120">
        <f>IFERROR(VLOOKUP(Table1[RespondentID],'All Data'!$A$3:$CO$999,89,FALSE),"unknown")</f>
        <v>0</v>
      </c>
      <c r="AO292" s="120">
        <f>IFERROR(VLOOKUP(Table1[RespondentID],'All Data'!$A$3:$CO$999,90,FALSE),"unknown")</f>
        <v>0</v>
      </c>
      <c r="AP292" s="120">
        <f>IFERROR(VLOOKUP(Table1[RespondentID],'All Data'!$A$3:$CO$999,91,FALSE),"unknown")</f>
        <v>0</v>
      </c>
      <c r="AQ292" s="120">
        <f>IFERROR(VLOOKUP(Table1[RespondentID],'All Data'!$A$3:$CO$999,92,FALSE),"unknown")</f>
        <v>0</v>
      </c>
      <c r="AR292" s="120">
        <f>IFERROR(VLOOKUP(Table1[RespondentID],'All Data'!$A$3:$CO$999,93,FALSE),"unknown")</f>
        <v>0</v>
      </c>
      <c r="AS292" s="120">
        <f>IFERROR(VLOOKUP(Table1[RespondentID],'All Data'!$A$3:$CW$999,94,FALSE),"unknown")</f>
        <v>0</v>
      </c>
      <c r="AT292" s="120">
        <f>IFERROR(VLOOKUP(Table1[RespondentID],'All Data'!$A$3:$CW$999,95,FALSE),"unknown")</f>
        <v>0</v>
      </c>
      <c r="AU292" s="120">
        <f>IFERROR(VLOOKUP(Table1[RespondentID],'All Data'!$A$3:$CW$999,96,FALSE),"unknown")</f>
        <v>0</v>
      </c>
      <c r="AV292" s="120">
        <f>IFERROR(VLOOKUP(Table1[RespondentID],'All Data'!$A$3:$CW$999,97,FALSE),"unknown")</f>
        <v>0</v>
      </c>
      <c r="AW292" s="120">
        <f>IFERROR(VLOOKUP(Table1[RespondentID],'All Data'!$A$3:$CW$999,98,FALSE),"unknown")</f>
        <v>0</v>
      </c>
      <c r="AX292" s="120">
        <f>IFERROR(VLOOKUP(Table1[RespondentID],'All Data'!$A$3:$CW$999,99,FALSE),"unknown")</f>
        <v>0</v>
      </c>
    </row>
    <row r="293" spans="1:50">
      <c r="A293" s="5">
        <v>18016041834</v>
      </c>
      <c r="B293" s="5"/>
      <c r="C293" s="5"/>
      <c r="D293" s="5"/>
      <c r="E293" s="5"/>
      <c r="F293" s="5"/>
      <c r="G293" s="5" t="s">
        <v>21</v>
      </c>
      <c r="H293" s="5"/>
      <c r="I293" s="5"/>
      <c r="J293" s="5"/>
      <c r="K293" s="5" t="s">
        <v>25</v>
      </c>
      <c r="L293" s="5"/>
      <c r="M293" s="5"/>
      <c r="N293" s="5"/>
      <c r="O293" s="7"/>
      <c r="P293" s="7">
        <f t="shared" si="72"/>
        <v>2</v>
      </c>
      <c r="Q293" s="7">
        <f t="shared" si="73"/>
        <v>1.5</v>
      </c>
      <c r="R293" s="7"/>
      <c r="S293" s="7">
        <f t="shared" si="89"/>
        <v>0</v>
      </c>
      <c r="T293" s="7">
        <f t="shared" si="74"/>
        <v>0</v>
      </c>
      <c r="U293" s="7">
        <f t="shared" si="75"/>
        <v>0</v>
      </c>
      <c r="V293" s="119">
        <f t="shared" si="76"/>
        <v>0</v>
      </c>
      <c r="W293" s="119">
        <f t="shared" si="77"/>
        <v>0</v>
      </c>
      <c r="X293" s="119">
        <f t="shared" si="78"/>
        <v>1</v>
      </c>
      <c r="Y293" s="119">
        <f t="shared" si="79"/>
        <v>0</v>
      </c>
      <c r="Z293" s="119">
        <f t="shared" si="80"/>
        <v>0</v>
      </c>
      <c r="AA293" s="119">
        <f t="shared" si="81"/>
        <v>0</v>
      </c>
      <c r="AB293" s="119">
        <f t="shared" si="82"/>
        <v>1</v>
      </c>
      <c r="AC293" s="119">
        <f t="shared" si="83"/>
        <v>0</v>
      </c>
      <c r="AD293" s="119">
        <f t="shared" si="84"/>
        <v>0</v>
      </c>
      <c r="AE293" s="119">
        <f t="shared" si="85"/>
        <v>0</v>
      </c>
      <c r="AF293" s="7"/>
      <c r="AG293" s="7"/>
      <c r="AH293" s="7">
        <f t="shared" si="86"/>
        <v>2</v>
      </c>
      <c r="AI293" s="7">
        <f t="shared" si="87"/>
        <v>2</v>
      </c>
      <c r="AJ293" s="7" t="str">
        <f t="shared" si="88"/>
        <v>Correct</v>
      </c>
      <c r="AL293" s="120" t="str">
        <f>IFERROR(VLOOKUP(Table1[RespondentID],'All Data'!$A$3:$CO$999,87,FALSE),"unknown")</f>
        <v>Man</v>
      </c>
      <c r="AM293" s="120">
        <f>IFERROR(VLOOKUP(Table1[RespondentID],'All Data'!$A$3:$CO$999,88,FALSE),"unknown")</f>
        <v>20</v>
      </c>
      <c r="AN293" s="120" t="str">
        <f>IFERROR(VLOOKUP(Table1[RespondentID],'All Data'!$A$3:$CO$999,89,FALSE),"unknown")</f>
        <v>Suffolk</v>
      </c>
      <c r="AO293" s="120" t="str">
        <f>IFERROR(VLOOKUP(Table1[RespondentID],'All Data'!$A$3:$CO$999,90,FALSE),"unknown")</f>
        <v>Melville, 11747</v>
      </c>
      <c r="AP293" s="120" t="str">
        <f>IFERROR(VLOOKUP(Table1[RespondentID],'All Data'!$A$3:$CO$999,91,FALSE),"unknown")</f>
        <v>White</v>
      </c>
      <c r="AQ293" s="120" t="str">
        <f>IFERROR(VLOOKUP(Table1[RespondentID],'All Data'!$A$3:$CO$999,92,FALSE),"unknown")</f>
        <v>Not Hispanic or Latino</v>
      </c>
      <c r="AR293" s="120" t="str">
        <f>IFERROR(VLOOKUP(Table1[RespondentID],'All Data'!$A$3:$CO$999,93,FALSE),"unknown")</f>
        <v>English, Spanish</v>
      </c>
      <c r="AS293" s="120" t="str">
        <f>IFERROR(VLOOKUP(Table1[RespondentID],'All Data'!$A$3:$CW$999,94,FALSE),"unknown")</f>
        <v>$75,000 to $125,000</v>
      </c>
      <c r="AT293" s="120" t="str">
        <f>IFERROR(VLOOKUP(Table1[RespondentID],'All Data'!$A$3:$CW$999,95,FALSE),"unknown")</f>
        <v>Some college</v>
      </c>
      <c r="AU293" s="120" t="str">
        <f>IFERROR(VLOOKUP(Table1[RespondentID],'All Data'!$A$3:$CW$999,96,FALSE),"unknown")</f>
        <v>Employed for wages</v>
      </c>
      <c r="AV293" s="120" t="str">
        <f>IFERROR(VLOOKUP(Table1[RespondentID],'All Data'!$A$3:$CW$999,97,FALSE),"unknown")</f>
        <v>Yes</v>
      </c>
      <c r="AW293" s="120" t="str">
        <f>IFERROR(VLOOKUP(Table1[RespondentID],'All Data'!$A$3:$CW$999,98,FALSE),"unknown")</f>
        <v>Private/Commercial</v>
      </c>
      <c r="AX293" s="120" t="str">
        <f>IFERROR(VLOOKUP(Table1[RespondentID],'All Data'!$A$3:$CW$999,99,FALSE),"unknown")</f>
        <v>Yes</v>
      </c>
    </row>
    <row r="294" spans="1:50">
      <c r="A294" s="5">
        <v>18016041235</v>
      </c>
      <c r="B294" s="5"/>
      <c r="C294" s="5"/>
      <c r="D294" s="5"/>
      <c r="E294" s="5"/>
      <c r="F294" s="5"/>
      <c r="G294" s="5"/>
      <c r="H294" s="5"/>
      <c r="I294" s="5"/>
      <c r="J294" s="5"/>
      <c r="K294" s="5" t="s">
        <v>25</v>
      </c>
      <c r="L294" s="5" t="s">
        <v>26</v>
      </c>
      <c r="M294" s="5"/>
      <c r="N294" s="5"/>
      <c r="O294" s="7"/>
      <c r="P294" s="7">
        <f t="shared" si="72"/>
        <v>2</v>
      </c>
      <c r="Q294" s="7">
        <f t="shared" si="73"/>
        <v>1.5</v>
      </c>
      <c r="R294" s="7"/>
      <c r="S294" s="7">
        <f t="shared" si="89"/>
        <v>0</v>
      </c>
      <c r="T294" s="7">
        <f t="shared" si="74"/>
        <v>0</v>
      </c>
      <c r="U294" s="7">
        <f t="shared" si="75"/>
        <v>0</v>
      </c>
      <c r="V294" s="119">
        <f t="shared" si="76"/>
        <v>0</v>
      </c>
      <c r="W294" s="119">
        <f t="shared" si="77"/>
        <v>0</v>
      </c>
      <c r="X294" s="119">
        <f t="shared" si="78"/>
        <v>0</v>
      </c>
      <c r="Y294" s="119">
        <f t="shared" si="79"/>
        <v>0</v>
      </c>
      <c r="Z294" s="119">
        <f t="shared" si="80"/>
        <v>0</v>
      </c>
      <c r="AA294" s="119">
        <f t="shared" si="81"/>
        <v>0</v>
      </c>
      <c r="AB294" s="119">
        <f t="shared" si="82"/>
        <v>1</v>
      </c>
      <c r="AC294" s="119">
        <f t="shared" si="83"/>
        <v>1</v>
      </c>
      <c r="AD294" s="119">
        <f t="shared" si="84"/>
        <v>0</v>
      </c>
      <c r="AE294" s="119">
        <f t="shared" si="85"/>
        <v>0</v>
      </c>
      <c r="AF294" s="7"/>
      <c r="AG294" s="7"/>
      <c r="AH294" s="7">
        <f t="shared" si="86"/>
        <v>2</v>
      </c>
      <c r="AI294" s="7">
        <f t="shared" si="87"/>
        <v>2</v>
      </c>
      <c r="AJ294" s="7" t="str">
        <f t="shared" si="88"/>
        <v>Correct</v>
      </c>
      <c r="AL294" s="120">
        <f>IFERROR(VLOOKUP(Table1[RespondentID],'All Data'!$A$3:$CO$999,87,FALSE),"unknown")</f>
        <v>0</v>
      </c>
      <c r="AM294" s="120">
        <f>IFERROR(VLOOKUP(Table1[RespondentID],'All Data'!$A$3:$CO$999,88,FALSE),"unknown")</f>
        <v>0</v>
      </c>
      <c r="AN294" s="120">
        <f>IFERROR(VLOOKUP(Table1[RespondentID],'All Data'!$A$3:$CO$999,89,FALSE),"unknown")</f>
        <v>0</v>
      </c>
      <c r="AO294" s="120" t="str">
        <f>IFERROR(VLOOKUP(Table1[RespondentID],'All Data'!$A$3:$CO$999,90,FALSE),"unknown")</f>
        <v>Garden City South, 11530</v>
      </c>
      <c r="AP294" s="120">
        <f>IFERROR(VLOOKUP(Table1[RespondentID],'All Data'!$A$3:$CO$999,91,FALSE),"unknown")</f>
        <v>0</v>
      </c>
      <c r="AQ294" s="120">
        <f>IFERROR(VLOOKUP(Table1[RespondentID],'All Data'!$A$3:$CO$999,92,FALSE),"unknown")</f>
        <v>0</v>
      </c>
      <c r="AR294" s="120">
        <f>IFERROR(VLOOKUP(Table1[RespondentID],'All Data'!$A$3:$CO$999,93,FALSE),"unknown")</f>
        <v>0</v>
      </c>
      <c r="AS294" s="120">
        <f>IFERROR(VLOOKUP(Table1[RespondentID],'All Data'!$A$3:$CW$999,94,FALSE),"unknown")</f>
        <v>0</v>
      </c>
      <c r="AT294" s="120">
        <f>IFERROR(VLOOKUP(Table1[RespondentID],'All Data'!$A$3:$CW$999,95,FALSE),"unknown")</f>
        <v>0</v>
      </c>
      <c r="AU294" s="120">
        <f>IFERROR(VLOOKUP(Table1[RespondentID],'All Data'!$A$3:$CW$999,96,FALSE),"unknown")</f>
        <v>0</v>
      </c>
      <c r="AV294" s="120">
        <f>IFERROR(VLOOKUP(Table1[RespondentID],'All Data'!$A$3:$CW$999,97,FALSE),"unknown")</f>
        <v>0</v>
      </c>
      <c r="AW294" s="120">
        <f>IFERROR(VLOOKUP(Table1[RespondentID],'All Data'!$A$3:$CW$999,98,FALSE),"unknown")</f>
        <v>0</v>
      </c>
      <c r="AX294" s="120">
        <f>IFERROR(VLOOKUP(Table1[RespondentID],'All Data'!$A$3:$CW$999,99,FALSE),"unknown")</f>
        <v>0</v>
      </c>
    </row>
    <row r="295" spans="1:50">
      <c r="A295" s="5">
        <v>18016030783</v>
      </c>
      <c r="B295" s="5"/>
      <c r="C295" s="5"/>
      <c r="D295" s="5"/>
      <c r="E295" s="5"/>
      <c r="F295" s="5"/>
      <c r="G295" s="5"/>
      <c r="H295" s="5"/>
      <c r="I295" s="5" t="s">
        <v>23</v>
      </c>
      <c r="J295" s="5"/>
      <c r="K295" s="5" t="s">
        <v>25</v>
      </c>
      <c r="L295" s="5"/>
      <c r="M295" s="5"/>
      <c r="N295" s="5" t="s">
        <v>28</v>
      </c>
      <c r="O295" s="7"/>
      <c r="P295" s="7">
        <f t="shared" si="72"/>
        <v>3</v>
      </c>
      <c r="Q295" s="7">
        <f t="shared" si="73"/>
        <v>1</v>
      </c>
      <c r="R295" s="7"/>
      <c r="S295" s="7">
        <f t="shared" si="89"/>
        <v>0</v>
      </c>
      <c r="T295" s="7">
        <f t="shared" si="74"/>
        <v>0</v>
      </c>
      <c r="U295" s="7">
        <f t="shared" si="75"/>
        <v>0</v>
      </c>
      <c r="V295" s="119">
        <f t="shared" si="76"/>
        <v>0</v>
      </c>
      <c r="W295" s="119">
        <f t="shared" si="77"/>
        <v>0</v>
      </c>
      <c r="X295" s="119">
        <f t="shared" si="78"/>
        <v>0</v>
      </c>
      <c r="Y295" s="119">
        <f t="shared" si="79"/>
        <v>0</v>
      </c>
      <c r="Z295" s="119">
        <f t="shared" si="80"/>
        <v>1</v>
      </c>
      <c r="AA295" s="119">
        <f t="shared" si="81"/>
        <v>0</v>
      </c>
      <c r="AB295" s="119">
        <f t="shared" si="82"/>
        <v>1</v>
      </c>
      <c r="AC295" s="119">
        <f t="shared" si="83"/>
        <v>0</v>
      </c>
      <c r="AD295" s="119">
        <f t="shared" si="84"/>
        <v>0</v>
      </c>
      <c r="AE295" s="119">
        <f t="shared" si="85"/>
        <v>1</v>
      </c>
      <c r="AF295" s="7"/>
      <c r="AG295" s="7"/>
      <c r="AH295" s="7">
        <f t="shared" si="86"/>
        <v>3</v>
      </c>
      <c r="AI295" s="7">
        <f t="shared" si="87"/>
        <v>3</v>
      </c>
      <c r="AJ295" s="7" t="str">
        <f t="shared" si="88"/>
        <v>Correct</v>
      </c>
      <c r="AL295" s="120" t="str">
        <f>IFERROR(VLOOKUP(Table1[RespondentID],'All Data'!$A$3:$CO$999,87,FALSE),"unknown")</f>
        <v>Woman</v>
      </c>
      <c r="AM295" s="120">
        <f>IFERROR(VLOOKUP(Table1[RespondentID],'All Data'!$A$3:$CO$999,88,FALSE),"unknown")</f>
        <v>57</v>
      </c>
      <c r="AN295" s="120" t="str">
        <f>IFERROR(VLOOKUP(Table1[RespondentID],'All Data'!$A$3:$CO$999,89,FALSE),"unknown")</f>
        <v>Queens</v>
      </c>
      <c r="AO295" s="120">
        <f>IFERROR(VLOOKUP(Table1[RespondentID],'All Data'!$A$3:$CO$999,90,FALSE),"unknown")</f>
        <v>10001</v>
      </c>
      <c r="AP295" s="120" t="str">
        <f>IFERROR(VLOOKUP(Table1[RespondentID],'All Data'!$A$3:$CO$999,91,FALSE),"unknown")</f>
        <v>White</v>
      </c>
      <c r="AQ295" s="120" t="str">
        <f>IFERROR(VLOOKUP(Table1[RespondentID],'All Data'!$A$3:$CO$999,92,FALSE),"unknown")</f>
        <v>Not Hispanic or Latino</v>
      </c>
      <c r="AR295" s="120" t="str">
        <f>IFERROR(VLOOKUP(Table1[RespondentID],'All Data'!$A$3:$CO$999,93,FALSE),"unknown")</f>
        <v>English, Haitian Creole</v>
      </c>
      <c r="AS295" s="120" t="str">
        <f>IFERROR(VLOOKUP(Table1[RespondentID],'All Data'!$A$3:$CW$999,94,FALSE),"unknown")</f>
        <v>$35,000 to $49,999</v>
      </c>
      <c r="AT295" s="120" t="str">
        <f>IFERROR(VLOOKUP(Table1[RespondentID],'All Data'!$A$3:$CW$999,95,FALSE),"unknown")</f>
        <v>College graduate</v>
      </c>
      <c r="AU295" s="120" t="str">
        <f>IFERROR(VLOOKUP(Table1[RespondentID],'All Data'!$A$3:$CW$999,96,FALSE),"unknown")</f>
        <v>Employed for wages</v>
      </c>
      <c r="AV295" s="120" t="str">
        <f>IFERROR(VLOOKUP(Table1[RespondentID],'All Data'!$A$3:$CW$999,97,FALSE),"unknown")</f>
        <v>Yes</v>
      </c>
      <c r="AW295" s="120" t="str">
        <f>IFERROR(VLOOKUP(Table1[RespondentID],'All Data'!$A$3:$CW$999,98,FALSE),"unknown")</f>
        <v>Medicaid, Medicare</v>
      </c>
      <c r="AX295" s="120" t="str">
        <f>IFERROR(VLOOKUP(Table1[RespondentID],'All Data'!$A$3:$CW$999,99,FALSE),"unknown")</f>
        <v>Yes</v>
      </c>
    </row>
    <row r="296" spans="1:50">
      <c r="A296" s="5">
        <v>18016029769</v>
      </c>
      <c r="B296" s="5"/>
      <c r="C296" s="5"/>
      <c r="D296" s="5"/>
      <c r="E296" s="5" t="s">
        <v>19</v>
      </c>
      <c r="F296" s="5"/>
      <c r="G296" s="5"/>
      <c r="H296" s="5"/>
      <c r="I296" s="5"/>
      <c r="J296" s="5"/>
      <c r="K296" s="5"/>
      <c r="L296" s="5"/>
      <c r="M296" s="5"/>
      <c r="N296" s="5"/>
      <c r="O296" s="7"/>
      <c r="P296" s="7">
        <f t="shared" si="72"/>
        <v>1</v>
      </c>
      <c r="Q296" s="7">
        <f t="shared" si="73"/>
        <v>3</v>
      </c>
      <c r="R296" s="7"/>
      <c r="S296" s="7">
        <f t="shared" si="89"/>
        <v>0</v>
      </c>
      <c r="T296" s="7">
        <f t="shared" si="74"/>
        <v>0</v>
      </c>
      <c r="U296" s="7">
        <f t="shared" si="75"/>
        <v>0</v>
      </c>
      <c r="V296" s="119">
        <f t="shared" si="76"/>
        <v>1</v>
      </c>
      <c r="W296" s="119">
        <f t="shared" si="77"/>
        <v>0</v>
      </c>
      <c r="X296" s="119">
        <f t="shared" si="78"/>
        <v>0</v>
      </c>
      <c r="Y296" s="119">
        <f t="shared" si="79"/>
        <v>0</v>
      </c>
      <c r="Z296" s="119">
        <f t="shared" si="80"/>
        <v>0</v>
      </c>
      <c r="AA296" s="119">
        <f t="shared" si="81"/>
        <v>0</v>
      </c>
      <c r="AB296" s="119">
        <f t="shared" si="82"/>
        <v>0</v>
      </c>
      <c r="AC296" s="119">
        <f t="shared" si="83"/>
        <v>0</v>
      </c>
      <c r="AD296" s="119">
        <f t="shared" si="84"/>
        <v>0</v>
      </c>
      <c r="AE296" s="119">
        <f t="shared" si="85"/>
        <v>0</v>
      </c>
      <c r="AF296" s="7"/>
      <c r="AG296" s="7"/>
      <c r="AH296" s="7">
        <f t="shared" si="86"/>
        <v>1</v>
      </c>
      <c r="AI296" s="7">
        <f t="shared" si="87"/>
        <v>1</v>
      </c>
      <c r="AJ296" s="7" t="str">
        <f t="shared" si="88"/>
        <v>Correct</v>
      </c>
      <c r="AL296" s="120" t="str">
        <f>IFERROR(VLOOKUP(Table1[RespondentID],'All Data'!$A$3:$CO$999,87,FALSE),"unknown")</f>
        <v>Woman</v>
      </c>
      <c r="AM296" s="120">
        <f>IFERROR(VLOOKUP(Table1[RespondentID],'All Data'!$A$3:$CO$999,88,FALSE),"unknown")</f>
        <v>25</v>
      </c>
      <c r="AN296" s="120" t="str">
        <f>IFERROR(VLOOKUP(Table1[RespondentID],'All Data'!$A$3:$CO$999,89,FALSE),"unknown")</f>
        <v>Queens</v>
      </c>
      <c r="AO296" s="120">
        <f>IFERROR(VLOOKUP(Table1[RespondentID],'All Data'!$A$3:$CO$999,90,FALSE),"unknown")</f>
        <v>10001</v>
      </c>
      <c r="AP296" s="120" t="str">
        <f>IFERROR(VLOOKUP(Table1[RespondentID],'All Data'!$A$3:$CO$999,91,FALSE),"unknown")</f>
        <v>White</v>
      </c>
      <c r="AQ296" s="120" t="str">
        <f>IFERROR(VLOOKUP(Table1[RespondentID],'All Data'!$A$3:$CO$999,92,FALSE),"unknown")</f>
        <v>Hispanic or Latino</v>
      </c>
      <c r="AR296" s="120" t="str">
        <f>IFERROR(VLOOKUP(Table1[RespondentID],'All Data'!$A$3:$CO$999,93,FALSE),"unknown")</f>
        <v>English</v>
      </c>
      <c r="AS296" s="120" t="str">
        <f>IFERROR(VLOOKUP(Table1[RespondentID],'All Data'!$A$3:$CW$999,94,FALSE),"unknown")</f>
        <v>$35,000 to $49,999</v>
      </c>
      <c r="AT296" s="120" t="str">
        <f>IFERROR(VLOOKUP(Table1[RespondentID],'All Data'!$A$3:$CW$999,95,FALSE),"unknown")</f>
        <v>Some high school</v>
      </c>
      <c r="AU296" s="120" t="str">
        <f>IFERROR(VLOOKUP(Table1[RespondentID],'All Data'!$A$3:$CW$999,96,FALSE),"unknown")</f>
        <v>Employed for wages</v>
      </c>
      <c r="AV296" s="120" t="str">
        <f>IFERROR(VLOOKUP(Table1[RespondentID],'All Data'!$A$3:$CW$999,97,FALSE),"unknown")</f>
        <v>Yes</v>
      </c>
      <c r="AW296" s="120" t="str">
        <f>IFERROR(VLOOKUP(Table1[RespondentID],'All Data'!$A$3:$CW$999,98,FALSE),"unknown")</f>
        <v>Medicaid</v>
      </c>
      <c r="AX296" s="120" t="str">
        <f>IFERROR(VLOOKUP(Table1[RespondentID],'All Data'!$A$3:$CW$999,99,FALSE),"unknown")</f>
        <v>Yes</v>
      </c>
    </row>
    <row r="297" spans="1:50">
      <c r="A297" s="5">
        <v>18016029289</v>
      </c>
      <c r="B297" s="5" t="s">
        <v>16</v>
      </c>
      <c r="C297" s="5" t="s">
        <v>17</v>
      </c>
      <c r="D297" s="5"/>
      <c r="E297" s="5"/>
      <c r="F297" s="5" t="s">
        <v>20</v>
      </c>
      <c r="G297" s="5"/>
      <c r="H297" s="5"/>
      <c r="I297" s="5"/>
      <c r="J297" s="5"/>
      <c r="K297" s="5"/>
      <c r="L297" s="5"/>
      <c r="M297" s="5"/>
      <c r="N297" s="5"/>
      <c r="O297" s="7"/>
      <c r="P297" s="7">
        <f t="shared" si="72"/>
        <v>3</v>
      </c>
      <c r="Q297" s="7">
        <f t="shared" si="73"/>
        <v>1</v>
      </c>
      <c r="R297" s="7"/>
      <c r="S297" s="7">
        <f t="shared" si="89"/>
        <v>1</v>
      </c>
      <c r="T297" s="7">
        <f t="shared" si="74"/>
        <v>1</v>
      </c>
      <c r="U297" s="7">
        <f t="shared" si="75"/>
        <v>0</v>
      </c>
      <c r="V297" s="119">
        <f t="shared" si="76"/>
        <v>0</v>
      </c>
      <c r="W297" s="119">
        <f t="shared" si="77"/>
        <v>1</v>
      </c>
      <c r="X297" s="119">
        <f t="shared" si="78"/>
        <v>0</v>
      </c>
      <c r="Y297" s="119">
        <f t="shared" si="79"/>
        <v>0</v>
      </c>
      <c r="Z297" s="119">
        <f t="shared" si="80"/>
        <v>0</v>
      </c>
      <c r="AA297" s="119">
        <f t="shared" si="81"/>
        <v>0</v>
      </c>
      <c r="AB297" s="119">
        <f t="shared" si="82"/>
        <v>0</v>
      </c>
      <c r="AC297" s="119">
        <f t="shared" si="83"/>
        <v>0</v>
      </c>
      <c r="AD297" s="119">
        <f t="shared" si="84"/>
        <v>0</v>
      </c>
      <c r="AE297" s="119">
        <f t="shared" si="85"/>
        <v>0</v>
      </c>
      <c r="AF297" s="7"/>
      <c r="AG297" s="7"/>
      <c r="AH297" s="7">
        <f t="shared" si="86"/>
        <v>3</v>
      </c>
      <c r="AI297" s="7">
        <f t="shared" si="87"/>
        <v>3</v>
      </c>
      <c r="AJ297" s="7" t="str">
        <f t="shared" si="88"/>
        <v>Correct</v>
      </c>
      <c r="AL297" s="120" t="str">
        <f>IFERROR(VLOOKUP(Table1[RespondentID],'All Data'!$A$3:$CO$999,87,FALSE),"unknown")</f>
        <v>Woman</v>
      </c>
      <c r="AM297" s="120">
        <f>IFERROR(VLOOKUP(Table1[RespondentID],'All Data'!$A$3:$CO$999,88,FALSE),"unknown")</f>
        <v>0</v>
      </c>
      <c r="AN297" s="120" t="str">
        <f>IFERROR(VLOOKUP(Table1[RespondentID],'All Data'!$A$3:$CO$999,89,FALSE),"unknown")</f>
        <v>Suffolk</v>
      </c>
      <c r="AO297" s="120" t="str">
        <f>IFERROR(VLOOKUP(Table1[RespondentID],'All Data'!$A$3:$CO$999,90,FALSE),"unknown")</f>
        <v>Amagansett, 11930</v>
      </c>
      <c r="AP297" s="120" t="str">
        <f>IFERROR(VLOOKUP(Table1[RespondentID],'All Data'!$A$3:$CO$999,91,FALSE),"unknown")</f>
        <v>White</v>
      </c>
      <c r="AQ297" s="120" t="str">
        <f>IFERROR(VLOOKUP(Table1[RespondentID],'All Data'!$A$3:$CO$999,92,FALSE),"unknown")</f>
        <v>Hispanic or Latino</v>
      </c>
      <c r="AR297" s="120" t="str">
        <f>IFERROR(VLOOKUP(Table1[RespondentID],'All Data'!$A$3:$CO$999,93,FALSE),"unknown")</f>
        <v>English</v>
      </c>
      <c r="AS297" s="120" t="str">
        <f>IFERROR(VLOOKUP(Table1[RespondentID],'All Data'!$A$3:$CW$999,94,FALSE),"unknown")</f>
        <v>$35,000 to $49,999</v>
      </c>
      <c r="AT297" s="120" t="str">
        <f>IFERROR(VLOOKUP(Table1[RespondentID],'All Data'!$A$3:$CW$999,95,FALSE),"unknown")</f>
        <v>Graduate school</v>
      </c>
      <c r="AU297" s="120" t="str">
        <f>IFERROR(VLOOKUP(Table1[RespondentID],'All Data'!$A$3:$CW$999,96,FALSE),"unknown")</f>
        <v>Employed for wages</v>
      </c>
      <c r="AV297" s="120" t="str">
        <f>IFERROR(VLOOKUP(Table1[RespondentID],'All Data'!$A$3:$CW$999,97,FALSE),"unknown")</f>
        <v>Yes</v>
      </c>
      <c r="AW297" s="120" t="str">
        <f>IFERROR(VLOOKUP(Table1[RespondentID],'All Data'!$A$3:$CW$999,98,FALSE),"unknown")</f>
        <v>Medicaid</v>
      </c>
      <c r="AX297" s="120" t="str">
        <f>IFERROR(VLOOKUP(Table1[RespondentID],'All Data'!$A$3:$CW$999,99,FALSE),"unknown")</f>
        <v>Yes</v>
      </c>
    </row>
    <row r="298" spans="1:50">
      <c r="A298" s="5">
        <v>18016028237</v>
      </c>
      <c r="B298" s="5"/>
      <c r="C298" s="5"/>
      <c r="D298" s="5"/>
      <c r="E298" s="5"/>
      <c r="F298" s="5"/>
      <c r="G298" s="5" t="s">
        <v>21</v>
      </c>
      <c r="H298" s="5"/>
      <c r="I298" s="5"/>
      <c r="J298" s="5" t="s">
        <v>24</v>
      </c>
      <c r="K298" s="5"/>
      <c r="L298" s="5"/>
      <c r="M298" s="5" t="s">
        <v>27</v>
      </c>
      <c r="N298" s="5"/>
      <c r="O298" s="7"/>
      <c r="P298" s="7">
        <f t="shared" si="72"/>
        <v>3</v>
      </c>
      <c r="Q298" s="7">
        <f t="shared" si="73"/>
        <v>1</v>
      </c>
      <c r="R298" s="7"/>
      <c r="S298" s="7">
        <f t="shared" si="89"/>
        <v>0</v>
      </c>
      <c r="T298" s="7">
        <f t="shared" si="74"/>
        <v>0</v>
      </c>
      <c r="U298" s="7">
        <f t="shared" si="75"/>
        <v>0</v>
      </c>
      <c r="V298" s="119">
        <f t="shared" si="76"/>
        <v>0</v>
      </c>
      <c r="W298" s="119">
        <f t="shared" si="77"/>
        <v>0</v>
      </c>
      <c r="X298" s="119">
        <f t="shared" si="78"/>
        <v>1</v>
      </c>
      <c r="Y298" s="119">
        <f t="shared" si="79"/>
        <v>0</v>
      </c>
      <c r="Z298" s="119">
        <f t="shared" si="80"/>
        <v>0</v>
      </c>
      <c r="AA298" s="119">
        <f t="shared" si="81"/>
        <v>1</v>
      </c>
      <c r="AB298" s="119">
        <f t="shared" si="82"/>
        <v>0</v>
      </c>
      <c r="AC298" s="119">
        <f t="shared" si="83"/>
        <v>0</v>
      </c>
      <c r="AD298" s="119">
        <f t="shared" si="84"/>
        <v>1</v>
      </c>
      <c r="AE298" s="119">
        <f t="shared" si="85"/>
        <v>0</v>
      </c>
      <c r="AF298" s="7"/>
      <c r="AG298" s="7"/>
      <c r="AH298" s="7">
        <f t="shared" si="86"/>
        <v>3</v>
      </c>
      <c r="AI298" s="7">
        <f t="shared" si="87"/>
        <v>3</v>
      </c>
      <c r="AJ298" s="7" t="str">
        <f t="shared" si="88"/>
        <v>Correct</v>
      </c>
      <c r="AL298" s="120" t="str">
        <f>IFERROR(VLOOKUP(Table1[RespondentID],'All Data'!$A$3:$CO$999,87,FALSE),"unknown")</f>
        <v>Woman</v>
      </c>
      <c r="AM298" s="120">
        <f>IFERROR(VLOOKUP(Table1[RespondentID],'All Data'!$A$3:$CO$999,88,FALSE),"unknown")</f>
        <v>29</v>
      </c>
      <c r="AN298" s="120" t="str">
        <f>IFERROR(VLOOKUP(Table1[RespondentID],'All Data'!$A$3:$CO$999,89,FALSE),"unknown")</f>
        <v>Nassau</v>
      </c>
      <c r="AO298" s="120" t="str">
        <f>IFERROR(VLOOKUP(Table1[RespondentID],'All Data'!$A$3:$CO$999,90,FALSE),"unknown")</f>
        <v>Baxter Estates, 11050</v>
      </c>
      <c r="AP298" s="120" t="str">
        <f>IFERROR(VLOOKUP(Table1[RespondentID],'All Data'!$A$3:$CO$999,91,FALSE),"unknown")</f>
        <v>White</v>
      </c>
      <c r="AQ298" s="120" t="str">
        <f>IFERROR(VLOOKUP(Table1[RespondentID],'All Data'!$A$3:$CO$999,92,FALSE),"unknown")</f>
        <v>Not Hispanic or Latino</v>
      </c>
      <c r="AR298" s="120" t="str">
        <f>IFERROR(VLOOKUP(Table1[RespondentID],'All Data'!$A$3:$CO$999,93,FALSE),"unknown")</f>
        <v>English</v>
      </c>
      <c r="AS298" s="120" t="str">
        <f>IFERROR(VLOOKUP(Table1[RespondentID],'All Data'!$A$3:$CW$999,94,FALSE),"unknown")</f>
        <v>$75,000 to $125,000</v>
      </c>
      <c r="AT298" s="120" t="str">
        <f>IFERROR(VLOOKUP(Table1[RespondentID],'All Data'!$A$3:$CW$999,95,FALSE),"unknown")</f>
        <v>Some college</v>
      </c>
      <c r="AU298" s="120" t="str">
        <f>IFERROR(VLOOKUP(Table1[RespondentID],'All Data'!$A$3:$CW$999,96,FALSE),"unknown")</f>
        <v>Employed for wages</v>
      </c>
      <c r="AV298" s="120" t="str">
        <f>IFERROR(VLOOKUP(Table1[RespondentID],'All Data'!$A$3:$CW$999,97,FALSE),"unknown")</f>
        <v>Yes</v>
      </c>
      <c r="AW298" s="120" t="str">
        <f>IFERROR(VLOOKUP(Table1[RespondentID],'All Data'!$A$3:$CW$999,98,FALSE),"unknown")</f>
        <v>Medicaid</v>
      </c>
      <c r="AX298" s="120" t="str">
        <f>IFERROR(VLOOKUP(Table1[RespondentID],'All Data'!$A$3:$CW$999,99,FALSE),"unknown")</f>
        <v>Yes</v>
      </c>
    </row>
    <row r="299" spans="1:50">
      <c r="A299" s="5">
        <v>18015976959</v>
      </c>
      <c r="B299" s="5"/>
      <c r="C299" s="5" t="s">
        <v>17</v>
      </c>
      <c r="D299" s="5"/>
      <c r="E299" s="5"/>
      <c r="F299" s="5"/>
      <c r="G299" s="5"/>
      <c r="H299" s="5" t="s">
        <v>22</v>
      </c>
      <c r="I299" s="5"/>
      <c r="J299" s="5" t="s">
        <v>24</v>
      </c>
      <c r="K299" s="5"/>
      <c r="L299" s="5"/>
      <c r="M299" s="5"/>
      <c r="N299" s="5"/>
      <c r="O299" s="7"/>
      <c r="P299" s="7">
        <f t="shared" si="72"/>
        <v>3</v>
      </c>
      <c r="Q299" s="7">
        <f t="shared" si="73"/>
        <v>1</v>
      </c>
      <c r="R299" s="7"/>
      <c r="S299" s="7">
        <f t="shared" si="89"/>
        <v>0</v>
      </c>
      <c r="T299" s="7">
        <f t="shared" si="74"/>
        <v>1</v>
      </c>
      <c r="U299" s="7">
        <f t="shared" si="75"/>
        <v>0</v>
      </c>
      <c r="V299" s="119">
        <f t="shared" si="76"/>
        <v>0</v>
      </c>
      <c r="W299" s="119">
        <f t="shared" si="77"/>
        <v>0</v>
      </c>
      <c r="X299" s="119">
        <f t="shared" si="78"/>
        <v>0</v>
      </c>
      <c r="Y299" s="119">
        <f t="shared" si="79"/>
        <v>1</v>
      </c>
      <c r="Z299" s="119">
        <f t="shared" si="80"/>
        <v>0</v>
      </c>
      <c r="AA299" s="119">
        <f t="shared" si="81"/>
        <v>1</v>
      </c>
      <c r="AB299" s="119">
        <f t="shared" si="82"/>
        <v>0</v>
      </c>
      <c r="AC299" s="119">
        <f t="shared" si="83"/>
        <v>0</v>
      </c>
      <c r="AD299" s="119">
        <f t="shared" si="84"/>
        <v>0</v>
      </c>
      <c r="AE299" s="119">
        <f t="shared" si="85"/>
        <v>0</v>
      </c>
      <c r="AF299" s="7"/>
      <c r="AG299" s="7"/>
      <c r="AH299" s="7">
        <f t="shared" si="86"/>
        <v>3</v>
      </c>
      <c r="AI299" s="7">
        <f t="shared" si="87"/>
        <v>3</v>
      </c>
      <c r="AJ299" s="7" t="str">
        <f t="shared" si="88"/>
        <v>Correct</v>
      </c>
      <c r="AL299" s="120" t="str">
        <f>IFERROR(VLOOKUP(Table1[RespondentID],'All Data'!$A$3:$CO$999,87,FALSE),"unknown")</f>
        <v>Woman</v>
      </c>
      <c r="AM299" s="120">
        <f>IFERROR(VLOOKUP(Table1[RespondentID],'All Data'!$A$3:$CO$999,88,FALSE),"unknown")</f>
        <v>23</v>
      </c>
      <c r="AN299" s="120" t="str">
        <f>IFERROR(VLOOKUP(Table1[RespondentID],'All Data'!$A$3:$CO$999,89,FALSE),"unknown")</f>
        <v>Queens</v>
      </c>
      <c r="AO299" s="120">
        <f>IFERROR(VLOOKUP(Table1[RespondentID],'All Data'!$A$3:$CO$999,90,FALSE),"unknown")</f>
        <v>11456</v>
      </c>
      <c r="AP299" s="120" t="str">
        <f>IFERROR(VLOOKUP(Table1[RespondentID],'All Data'!$A$3:$CO$999,91,FALSE),"unknown")</f>
        <v>White</v>
      </c>
      <c r="AQ299" s="120" t="str">
        <f>IFERROR(VLOOKUP(Table1[RespondentID],'All Data'!$A$3:$CO$999,92,FALSE),"unknown")</f>
        <v>Hispanic or Latino</v>
      </c>
      <c r="AR299" s="120" t="str">
        <f>IFERROR(VLOOKUP(Table1[RespondentID],'All Data'!$A$3:$CO$999,93,FALSE),"unknown")</f>
        <v>English</v>
      </c>
      <c r="AS299" s="120" t="str">
        <f>IFERROR(VLOOKUP(Table1[RespondentID],'All Data'!$A$3:$CW$999,94,FALSE),"unknown")</f>
        <v>$35,000 to $49,999</v>
      </c>
      <c r="AT299" s="120" t="str">
        <f>IFERROR(VLOOKUP(Table1[RespondentID],'All Data'!$A$3:$CW$999,95,FALSE),"unknown")</f>
        <v>College graduate</v>
      </c>
      <c r="AU299" s="120" t="str">
        <f>IFERROR(VLOOKUP(Table1[RespondentID],'All Data'!$A$3:$CW$999,96,FALSE),"unknown")</f>
        <v>Employed for wages</v>
      </c>
      <c r="AV299" s="120" t="str">
        <f>IFERROR(VLOOKUP(Table1[RespondentID],'All Data'!$A$3:$CW$999,97,FALSE),"unknown")</f>
        <v>Yes</v>
      </c>
      <c r="AW299" s="120" t="str">
        <f>IFERROR(VLOOKUP(Table1[RespondentID],'All Data'!$A$3:$CW$999,98,FALSE),"unknown")</f>
        <v>Medicare</v>
      </c>
      <c r="AX299" s="120" t="str">
        <f>IFERROR(VLOOKUP(Table1[RespondentID],'All Data'!$A$3:$CW$999,99,FALSE),"unknown")</f>
        <v>Yes</v>
      </c>
    </row>
    <row r="300" spans="1:50">
      <c r="A300" s="5">
        <v>18015976856</v>
      </c>
      <c r="B300" s="5" t="s">
        <v>16</v>
      </c>
      <c r="C300" s="5"/>
      <c r="D300" s="5"/>
      <c r="E300" s="5"/>
      <c r="F300" s="5"/>
      <c r="G300" s="5"/>
      <c r="H300" s="5"/>
      <c r="I300" s="5"/>
      <c r="J300" s="5" t="s">
        <v>24</v>
      </c>
      <c r="K300" s="5"/>
      <c r="L300" s="5" t="s">
        <v>26</v>
      </c>
      <c r="M300" s="5"/>
      <c r="N300" s="5"/>
      <c r="O300" s="7"/>
      <c r="P300" s="7">
        <f t="shared" si="72"/>
        <v>3</v>
      </c>
      <c r="Q300" s="7">
        <f t="shared" si="73"/>
        <v>1</v>
      </c>
      <c r="R300" s="7"/>
      <c r="S300" s="7">
        <f t="shared" si="89"/>
        <v>1</v>
      </c>
      <c r="T300" s="7">
        <f t="shared" si="74"/>
        <v>0</v>
      </c>
      <c r="U300" s="7">
        <f t="shared" si="75"/>
        <v>0</v>
      </c>
      <c r="V300" s="119">
        <f t="shared" si="76"/>
        <v>0</v>
      </c>
      <c r="W300" s="119">
        <f t="shared" si="77"/>
        <v>0</v>
      </c>
      <c r="X300" s="119">
        <f t="shared" si="78"/>
        <v>0</v>
      </c>
      <c r="Y300" s="119">
        <f t="shared" si="79"/>
        <v>0</v>
      </c>
      <c r="Z300" s="119">
        <f t="shared" si="80"/>
        <v>0</v>
      </c>
      <c r="AA300" s="119">
        <f t="shared" si="81"/>
        <v>1</v>
      </c>
      <c r="AB300" s="119">
        <f t="shared" si="82"/>
        <v>0</v>
      </c>
      <c r="AC300" s="119">
        <f t="shared" si="83"/>
        <v>1</v>
      </c>
      <c r="AD300" s="119">
        <f t="shared" si="84"/>
        <v>0</v>
      </c>
      <c r="AE300" s="119">
        <f t="shared" si="85"/>
        <v>0</v>
      </c>
      <c r="AF300" s="7"/>
      <c r="AG300" s="7"/>
      <c r="AH300" s="7">
        <f t="shared" si="86"/>
        <v>3</v>
      </c>
      <c r="AI300" s="7">
        <f t="shared" si="87"/>
        <v>3</v>
      </c>
      <c r="AJ300" s="7" t="str">
        <f t="shared" si="88"/>
        <v>Correct</v>
      </c>
      <c r="AL300" s="120" t="str">
        <f>IFERROR(VLOOKUP(Table1[RespondentID],'All Data'!$A$3:$CO$999,87,FALSE),"unknown")</f>
        <v>Man</v>
      </c>
      <c r="AM300" s="120">
        <f>IFERROR(VLOOKUP(Table1[RespondentID],'All Data'!$A$3:$CO$999,88,FALSE),"unknown")</f>
        <v>16</v>
      </c>
      <c r="AN300" s="120" t="str">
        <f>IFERROR(VLOOKUP(Table1[RespondentID],'All Data'!$A$3:$CO$999,89,FALSE),"unknown")</f>
        <v>Suffolk</v>
      </c>
      <c r="AO300" s="120" t="str">
        <f>IFERROR(VLOOKUP(Table1[RespondentID],'All Data'!$A$3:$CO$999,90,FALSE),"unknown")</f>
        <v>Head of the Harbor, 11780</v>
      </c>
      <c r="AP300" s="120" t="str">
        <f>IFERROR(VLOOKUP(Table1[RespondentID],'All Data'!$A$3:$CO$999,91,FALSE),"unknown")</f>
        <v>White</v>
      </c>
      <c r="AQ300" s="120" t="str">
        <f>IFERROR(VLOOKUP(Table1[RespondentID],'All Data'!$A$3:$CO$999,92,FALSE),"unknown")</f>
        <v>Hispanic or Latino</v>
      </c>
      <c r="AR300" s="120" t="str">
        <f>IFERROR(VLOOKUP(Table1[RespondentID],'All Data'!$A$3:$CO$999,93,FALSE),"unknown")</f>
        <v>English</v>
      </c>
      <c r="AS300" s="120" t="str">
        <f>IFERROR(VLOOKUP(Table1[RespondentID],'All Data'!$A$3:$CW$999,94,FALSE),"unknown")</f>
        <v>Over $125,000</v>
      </c>
      <c r="AT300" s="120" t="str">
        <f>IFERROR(VLOOKUP(Table1[RespondentID],'All Data'!$A$3:$CW$999,95,FALSE),"unknown")</f>
        <v>Some high school</v>
      </c>
      <c r="AU300" s="120" t="str">
        <f>IFERROR(VLOOKUP(Table1[RespondentID],'All Data'!$A$3:$CW$999,96,FALSE),"unknown")</f>
        <v>Employed for wages</v>
      </c>
      <c r="AV300" s="120" t="str">
        <f>IFERROR(VLOOKUP(Table1[RespondentID],'All Data'!$A$3:$CW$999,97,FALSE),"unknown")</f>
        <v>Yes</v>
      </c>
      <c r="AW300" s="120" t="str">
        <f>IFERROR(VLOOKUP(Table1[RespondentID],'All Data'!$A$3:$CW$999,98,FALSE),"unknown")</f>
        <v>Private/Commercial</v>
      </c>
      <c r="AX300" s="120" t="str">
        <f>IFERROR(VLOOKUP(Table1[RespondentID],'All Data'!$A$3:$CW$999,99,FALSE),"unknown")</f>
        <v>Yes</v>
      </c>
    </row>
    <row r="301" spans="1:50">
      <c r="A301" s="5">
        <v>18015956572</v>
      </c>
      <c r="B301" s="5"/>
      <c r="C301" s="5"/>
      <c r="D301" s="5"/>
      <c r="E301" s="5"/>
      <c r="F301" s="5"/>
      <c r="G301" s="5"/>
      <c r="H301" s="5"/>
      <c r="I301" s="5" t="s">
        <v>23</v>
      </c>
      <c r="J301" s="5"/>
      <c r="K301" s="5" t="s">
        <v>25</v>
      </c>
      <c r="L301" s="5" t="s">
        <v>26</v>
      </c>
      <c r="M301" s="5"/>
      <c r="N301" s="5"/>
      <c r="O301" s="7"/>
      <c r="P301" s="7">
        <f t="shared" si="72"/>
        <v>3</v>
      </c>
      <c r="Q301" s="7">
        <f t="shared" si="73"/>
        <v>1</v>
      </c>
      <c r="R301" s="7"/>
      <c r="S301" s="7">
        <f t="shared" si="89"/>
        <v>0</v>
      </c>
      <c r="T301" s="7">
        <f t="shared" si="74"/>
        <v>0</v>
      </c>
      <c r="U301" s="7">
        <f t="shared" si="75"/>
        <v>0</v>
      </c>
      <c r="V301" s="119">
        <f t="shared" si="76"/>
        <v>0</v>
      </c>
      <c r="W301" s="119">
        <f t="shared" si="77"/>
        <v>0</v>
      </c>
      <c r="X301" s="119">
        <f t="shared" si="78"/>
        <v>0</v>
      </c>
      <c r="Y301" s="119">
        <f t="shared" si="79"/>
        <v>0</v>
      </c>
      <c r="Z301" s="119">
        <f t="shared" si="80"/>
        <v>1</v>
      </c>
      <c r="AA301" s="119">
        <f t="shared" si="81"/>
        <v>0</v>
      </c>
      <c r="AB301" s="119">
        <f t="shared" si="82"/>
        <v>1</v>
      </c>
      <c r="AC301" s="119">
        <f t="shared" si="83"/>
        <v>1</v>
      </c>
      <c r="AD301" s="119">
        <f t="shared" si="84"/>
        <v>0</v>
      </c>
      <c r="AE301" s="119">
        <f t="shared" si="85"/>
        <v>0</v>
      </c>
      <c r="AF301" s="7"/>
      <c r="AG301" s="7"/>
      <c r="AH301" s="7">
        <f t="shared" si="86"/>
        <v>3</v>
      </c>
      <c r="AI301" s="7">
        <f t="shared" si="87"/>
        <v>3</v>
      </c>
      <c r="AJ301" s="7" t="str">
        <f t="shared" si="88"/>
        <v>Correct</v>
      </c>
      <c r="AL301" s="120" t="str">
        <f>IFERROR(VLOOKUP(Table1[RespondentID],'All Data'!$A$3:$CO$999,87,FALSE),"unknown")</f>
        <v>Man</v>
      </c>
      <c r="AM301" s="120">
        <f>IFERROR(VLOOKUP(Table1[RespondentID],'All Data'!$A$3:$CO$999,88,FALSE),"unknown")</f>
        <v>20</v>
      </c>
      <c r="AN301" s="120" t="str">
        <f>IFERROR(VLOOKUP(Table1[RespondentID],'All Data'!$A$3:$CO$999,89,FALSE),"unknown")</f>
        <v>Nassau</v>
      </c>
      <c r="AO301" s="120" t="str">
        <f>IFERROR(VLOOKUP(Table1[RespondentID],'All Data'!$A$3:$CO$999,90,FALSE),"unknown")</f>
        <v>Hempstead, 11550</v>
      </c>
      <c r="AP301" s="120" t="str">
        <f>IFERROR(VLOOKUP(Table1[RespondentID],'All Data'!$A$3:$CO$999,91,FALSE),"unknown")</f>
        <v>White</v>
      </c>
      <c r="AQ301" s="120" t="str">
        <f>IFERROR(VLOOKUP(Table1[RespondentID],'All Data'!$A$3:$CO$999,92,FALSE),"unknown")</f>
        <v>Not Hispanic or Latino</v>
      </c>
      <c r="AR301" s="120" t="str">
        <f>IFERROR(VLOOKUP(Table1[RespondentID],'All Data'!$A$3:$CO$999,93,FALSE),"unknown")</f>
        <v>Spanish</v>
      </c>
      <c r="AS301" s="120" t="str">
        <f>IFERROR(VLOOKUP(Table1[RespondentID],'All Data'!$A$3:$CW$999,94,FALSE),"unknown")</f>
        <v>$20,000 to $34,999</v>
      </c>
      <c r="AT301" s="120" t="str">
        <f>IFERROR(VLOOKUP(Table1[RespondentID],'All Data'!$A$3:$CW$999,95,FALSE),"unknown")</f>
        <v>Some college</v>
      </c>
      <c r="AU301" s="120" t="str">
        <f>IFERROR(VLOOKUP(Table1[RespondentID],'All Data'!$A$3:$CW$999,96,FALSE),"unknown")</f>
        <v>Student</v>
      </c>
      <c r="AV301" s="120" t="str">
        <f>IFERROR(VLOOKUP(Table1[RespondentID],'All Data'!$A$3:$CW$999,97,FALSE),"unknown")</f>
        <v>Yes</v>
      </c>
      <c r="AW301" s="120" t="str">
        <f>IFERROR(VLOOKUP(Table1[RespondentID],'All Data'!$A$3:$CW$999,98,FALSE),"unknown")</f>
        <v>Medicaid</v>
      </c>
      <c r="AX301" s="120" t="str">
        <f>IFERROR(VLOOKUP(Table1[RespondentID],'All Data'!$A$3:$CW$999,99,FALSE),"unknown")</f>
        <v>Yes</v>
      </c>
    </row>
    <row r="302" spans="1:50">
      <c r="A302" s="5">
        <v>18015878869</v>
      </c>
      <c r="B302" s="5"/>
      <c r="C302" s="5"/>
      <c r="D302" s="5"/>
      <c r="E302" s="5"/>
      <c r="F302" s="5"/>
      <c r="G302" s="5" t="s">
        <v>21</v>
      </c>
      <c r="H302" s="5"/>
      <c r="I302" s="5"/>
      <c r="J302" s="5"/>
      <c r="K302" s="5"/>
      <c r="L302" s="5" t="s">
        <v>26</v>
      </c>
      <c r="M302" s="5"/>
      <c r="N302" s="5" t="s">
        <v>28</v>
      </c>
      <c r="O302" s="7"/>
      <c r="P302" s="7">
        <f t="shared" si="72"/>
        <v>3</v>
      </c>
      <c r="Q302" s="7">
        <f t="shared" si="73"/>
        <v>1</v>
      </c>
      <c r="R302" s="7"/>
      <c r="S302" s="7">
        <f t="shared" si="89"/>
        <v>0</v>
      </c>
      <c r="T302" s="7">
        <f t="shared" si="74"/>
        <v>0</v>
      </c>
      <c r="U302" s="7">
        <f t="shared" si="75"/>
        <v>0</v>
      </c>
      <c r="V302" s="119">
        <f t="shared" si="76"/>
        <v>0</v>
      </c>
      <c r="W302" s="119">
        <f t="shared" si="77"/>
        <v>0</v>
      </c>
      <c r="X302" s="119">
        <f t="shared" si="78"/>
        <v>1</v>
      </c>
      <c r="Y302" s="119">
        <f t="shared" si="79"/>
        <v>0</v>
      </c>
      <c r="Z302" s="119">
        <f t="shared" si="80"/>
        <v>0</v>
      </c>
      <c r="AA302" s="119">
        <f t="shared" si="81"/>
        <v>0</v>
      </c>
      <c r="AB302" s="119">
        <f t="shared" si="82"/>
        <v>0</v>
      </c>
      <c r="AC302" s="119">
        <f t="shared" si="83"/>
        <v>1</v>
      </c>
      <c r="AD302" s="119">
        <f t="shared" si="84"/>
        <v>0</v>
      </c>
      <c r="AE302" s="119">
        <f t="shared" si="85"/>
        <v>1</v>
      </c>
      <c r="AF302" s="7"/>
      <c r="AG302" s="7"/>
      <c r="AH302" s="7">
        <f t="shared" si="86"/>
        <v>3</v>
      </c>
      <c r="AI302" s="7">
        <f t="shared" si="87"/>
        <v>3</v>
      </c>
      <c r="AJ302" s="7" t="str">
        <f t="shared" si="88"/>
        <v>Correct</v>
      </c>
      <c r="AL302" s="120" t="str">
        <f>IFERROR(VLOOKUP(Table1[RespondentID],'All Data'!$A$3:$CO$999,87,FALSE),"unknown")</f>
        <v>Woman</v>
      </c>
      <c r="AM302" s="120">
        <f>IFERROR(VLOOKUP(Table1[RespondentID],'All Data'!$A$3:$CO$999,88,FALSE),"unknown")</f>
        <v>20</v>
      </c>
      <c r="AN302" s="120" t="str">
        <f>IFERROR(VLOOKUP(Table1[RespondentID],'All Data'!$A$3:$CO$999,89,FALSE),"unknown")</f>
        <v>Nassau</v>
      </c>
      <c r="AO302" s="120" t="str">
        <f>IFERROR(VLOOKUP(Table1[RespondentID],'All Data'!$A$3:$CO$999,90,FALSE),"unknown")</f>
        <v>Freeport, 11520</v>
      </c>
      <c r="AP302" s="120" t="str">
        <f>IFERROR(VLOOKUP(Table1[RespondentID],'All Data'!$A$3:$CO$999,91,FALSE),"unknown")</f>
        <v>Other (please specify)</v>
      </c>
      <c r="AQ302" s="120" t="str">
        <f>IFERROR(VLOOKUP(Table1[RespondentID],'All Data'!$A$3:$CO$999,92,FALSE),"unknown")</f>
        <v>Not Hispanic or Latino</v>
      </c>
      <c r="AR302" s="120" t="str">
        <f>IFERROR(VLOOKUP(Table1[RespondentID],'All Data'!$A$3:$CO$999,93,FALSE),"unknown")</f>
        <v>English, Spanish</v>
      </c>
      <c r="AS302" s="120" t="str">
        <f>IFERROR(VLOOKUP(Table1[RespondentID],'All Data'!$A$3:$CW$999,94,FALSE),"unknown")</f>
        <v>$0-$19,999</v>
      </c>
      <c r="AT302" s="120" t="str">
        <f>IFERROR(VLOOKUP(Table1[RespondentID],'All Data'!$A$3:$CW$999,95,FALSE),"unknown")</f>
        <v>Some college</v>
      </c>
      <c r="AU302" s="120" t="str">
        <f>IFERROR(VLOOKUP(Table1[RespondentID],'All Data'!$A$3:$CW$999,96,FALSE),"unknown")</f>
        <v>Employed for wages</v>
      </c>
      <c r="AV302" s="120">
        <f>IFERROR(VLOOKUP(Table1[RespondentID],'All Data'!$A$3:$CW$999,97,FALSE),"unknown")</f>
        <v>0</v>
      </c>
      <c r="AW302" s="120" t="str">
        <f>IFERROR(VLOOKUP(Table1[RespondentID],'All Data'!$A$3:$CW$999,98,FALSE),"unknown")</f>
        <v>No Insurance</v>
      </c>
      <c r="AX302" s="120" t="str">
        <f>IFERROR(VLOOKUP(Table1[RespondentID],'All Data'!$A$3:$CW$999,99,FALSE),"unknown")</f>
        <v>Yes</v>
      </c>
    </row>
    <row r="303" spans="1:50">
      <c r="A303" s="5">
        <v>18015822327</v>
      </c>
      <c r="B303" s="5"/>
      <c r="C303" s="5"/>
      <c r="D303" s="5"/>
      <c r="E303" s="5" t="s">
        <v>19</v>
      </c>
      <c r="F303" s="5"/>
      <c r="G303" s="5"/>
      <c r="H303" s="5"/>
      <c r="I303" s="5" t="s">
        <v>23</v>
      </c>
      <c r="J303" s="5"/>
      <c r="K303" s="5"/>
      <c r="L303" s="5"/>
      <c r="M303" s="5"/>
      <c r="N303" s="5" t="s">
        <v>28</v>
      </c>
      <c r="O303" s="7"/>
      <c r="P303" s="7">
        <f t="shared" si="72"/>
        <v>3</v>
      </c>
      <c r="Q303" s="7">
        <f t="shared" si="73"/>
        <v>1</v>
      </c>
      <c r="R303" s="7"/>
      <c r="S303" s="7">
        <f t="shared" si="89"/>
        <v>0</v>
      </c>
      <c r="T303" s="7">
        <f t="shared" si="74"/>
        <v>0</v>
      </c>
      <c r="U303" s="7">
        <f t="shared" si="75"/>
        <v>0</v>
      </c>
      <c r="V303" s="119">
        <f t="shared" si="76"/>
        <v>1</v>
      </c>
      <c r="W303" s="119">
        <f t="shared" si="77"/>
        <v>0</v>
      </c>
      <c r="X303" s="119">
        <f t="shared" si="78"/>
        <v>0</v>
      </c>
      <c r="Y303" s="119">
        <f t="shared" si="79"/>
        <v>0</v>
      </c>
      <c r="Z303" s="119">
        <f t="shared" si="80"/>
        <v>1</v>
      </c>
      <c r="AA303" s="119">
        <f t="shared" si="81"/>
        <v>0</v>
      </c>
      <c r="AB303" s="119">
        <f t="shared" si="82"/>
        <v>0</v>
      </c>
      <c r="AC303" s="119">
        <f t="shared" si="83"/>
        <v>0</v>
      </c>
      <c r="AD303" s="119">
        <f t="shared" si="84"/>
        <v>0</v>
      </c>
      <c r="AE303" s="119">
        <f t="shared" si="85"/>
        <v>1</v>
      </c>
      <c r="AF303" s="7"/>
      <c r="AG303" s="7"/>
      <c r="AH303" s="7">
        <f t="shared" si="86"/>
        <v>3</v>
      </c>
      <c r="AI303" s="7">
        <f t="shared" si="87"/>
        <v>3</v>
      </c>
      <c r="AJ303" s="7" t="str">
        <f t="shared" si="88"/>
        <v>Correct</v>
      </c>
      <c r="AL303" s="120" t="str">
        <f>IFERROR(VLOOKUP(Table1[RespondentID],'All Data'!$A$3:$CO$999,87,FALSE),"unknown")</f>
        <v>Man</v>
      </c>
      <c r="AM303" s="120">
        <f>IFERROR(VLOOKUP(Table1[RespondentID],'All Data'!$A$3:$CO$999,88,FALSE),"unknown")</f>
        <v>21</v>
      </c>
      <c r="AN303" s="120" t="str">
        <f>IFERROR(VLOOKUP(Table1[RespondentID],'All Data'!$A$3:$CO$999,89,FALSE),"unknown")</f>
        <v>Nassau</v>
      </c>
      <c r="AO303" s="120" t="str">
        <f>IFERROR(VLOOKUP(Table1[RespondentID],'All Data'!$A$3:$CO$999,90,FALSE),"unknown")</f>
        <v>Uniondale, 11553</v>
      </c>
      <c r="AP303" s="120">
        <f>IFERROR(VLOOKUP(Table1[RespondentID],'All Data'!$A$3:$CO$999,91,FALSE),"unknown")</f>
        <v>0</v>
      </c>
      <c r="AQ303" s="120" t="str">
        <f>IFERROR(VLOOKUP(Table1[RespondentID],'All Data'!$A$3:$CO$999,92,FALSE),"unknown")</f>
        <v>Not Hispanic or Latino</v>
      </c>
      <c r="AR303" s="120" t="str">
        <f>IFERROR(VLOOKUP(Table1[RespondentID],'All Data'!$A$3:$CO$999,93,FALSE),"unknown")</f>
        <v>English, Spanish</v>
      </c>
      <c r="AS303" s="120">
        <f>IFERROR(VLOOKUP(Table1[RespondentID],'All Data'!$A$3:$CW$999,94,FALSE),"unknown")</f>
        <v>0</v>
      </c>
      <c r="AT303" s="120" t="str">
        <f>IFERROR(VLOOKUP(Table1[RespondentID],'All Data'!$A$3:$CW$999,95,FALSE),"unknown")</f>
        <v>High school graduate</v>
      </c>
      <c r="AU303" s="120" t="str">
        <f>IFERROR(VLOOKUP(Table1[RespondentID],'All Data'!$A$3:$CW$999,96,FALSE),"unknown")</f>
        <v>Out of work and looking for work</v>
      </c>
      <c r="AV303" s="120" t="str">
        <f>IFERROR(VLOOKUP(Table1[RespondentID],'All Data'!$A$3:$CW$999,97,FALSE),"unknown")</f>
        <v>Yes</v>
      </c>
      <c r="AW303" s="120" t="str">
        <f>IFERROR(VLOOKUP(Table1[RespondentID],'All Data'!$A$3:$CW$999,98,FALSE),"unknown")</f>
        <v>Medicaid</v>
      </c>
      <c r="AX303" s="120" t="str">
        <f>IFERROR(VLOOKUP(Table1[RespondentID],'All Data'!$A$3:$CW$999,99,FALSE),"unknown")</f>
        <v>Yes</v>
      </c>
    </row>
    <row r="304" spans="1:50">
      <c r="A304" s="5">
        <v>18015503169</v>
      </c>
      <c r="B304" s="5" t="s">
        <v>16</v>
      </c>
      <c r="C304" s="5"/>
      <c r="D304" s="5"/>
      <c r="E304" s="5"/>
      <c r="F304" s="5"/>
      <c r="G304" s="5"/>
      <c r="H304" s="5" t="s">
        <v>22</v>
      </c>
      <c r="I304" s="5"/>
      <c r="J304" s="5"/>
      <c r="K304" s="5"/>
      <c r="L304" s="5"/>
      <c r="M304" s="5" t="s">
        <v>27</v>
      </c>
      <c r="N304" s="5"/>
      <c r="O304" s="7"/>
      <c r="P304" s="7">
        <f t="shared" si="72"/>
        <v>3</v>
      </c>
      <c r="Q304" s="7">
        <f t="shared" si="73"/>
        <v>1</v>
      </c>
      <c r="R304" s="7"/>
      <c r="S304" s="7">
        <f t="shared" si="89"/>
        <v>1</v>
      </c>
      <c r="T304" s="7">
        <f t="shared" si="74"/>
        <v>0</v>
      </c>
      <c r="U304" s="7">
        <f t="shared" si="75"/>
        <v>0</v>
      </c>
      <c r="V304" s="119">
        <f t="shared" si="76"/>
        <v>0</v>
      </c>
      <c r="W304" s="119">
        <f t="shared" si="77"/>
        <v>0</v>
      </c>
      <c r="X304" s="119">
        <f t="shared" si="78"/>
        <v>0</v>
      </c>
      <c r="Y304" s="119">
        <f t="shared" si="79"/>
        <v>1</v>
      </c>
      <c r="Z304" s="119">
        <f t="shared" si="80"/>
        <v>0</v>
      </c>
      <c r="AA304" s="119">
        <f t="shared" si="81"/>
        <v>0</v>
      </c>
      <c r="AB304" s="119">
        <f t="shared" si="82"/>
        <v>0</v>
      </c>
      <c r="AC304" s="119">
        <f t="shared" si="83"/>
        <v>0</v>
      </c>
      <c r="AD304" s="119">
        <f t="shared" si="84"/>
        <v>1</v>
      </c>
      <c r="AE304" s="119">
        <f t="shared" si="85"/>
        <v>0</v>
      </c>
      <c r="AF304" s="7"/>
      <c r="AG304" s="7"/>
      <c r="AH304" s="7">
        <f t="shared" si="86"/>
        <v>3</v>
      </c>
      <c r="AI304" s="7">
        <f t="shared" si="87"/>
        <v>3</v>
      </c>
      <c r="AJ304" s="7" t="str">
        <f t="shared" si="88"/>
        <v>Correct</v>
      </c>
      <c r="AL304" s="120" t="str">
        <f>IFERROR(VLOOKUP(Table1[RespondentID],'All Data'!$A$3:$CO$999,87,FALSE),"unknown")</f>
        <v>Man</v>
      </c>
      <c r="AM304" s="120">
        <f>IFERROR(VLOOKUP(Table1[RespondentID],'All Data'!$A$3:$CO$999,88,FALSE),"unknown")</f>
        <v>18</v>
      </c>
      <c r="AN304" s="120" t="str">
        <f>IFERROR(VLOOKUP(Table1[RespondentID],'All Data'!$A$3:$CO$999,89,FALSE),"unknown")</f>
        <v>Nassau</v>
      </c>
      <c r="AO304" s="120" t="str">
        <f>IFERROR(VLOOKUP(Table1[RespondentID],'All Data'!$A$3:$CO$999,90,FALSE),"unknown")</f>
        <v>Lake Success, 11020</v>
      </c>
      <c r="AP304" s="120" t="str">
        <f>IFERROR(VLOOKUP(Table1[RespondentID],'All Data'!$A$3:$CO$999,91,FALSE),"unknown")</f>
        <v>White</v>
      </c>
      <c r="AQ304" s="120" t="str">
        <f>IFERROR(VLOOKUP(Table1[RespondentID],'All Data'!$A$3:$CO$999,92,FALSE),"unknown")</f>
        <v>Not Hispanic or Latino</v>
      </c>
      <c r="AR304" s="120" t="str">
        <f>IFERROR(VLOOKUP(Table1[RespondentID],'All Data'!$A$3:$CO$999,93,FALSE),"unknown")</f>
        <v>English</v>
      </c>
      <c r="AS304" s="120" t="str">
        <f>IFERROR(VLOOKUP(Table1[RespondentID],'All Data'!$A$3:$CW$999,94,FALSE),"unknown")</f>
        <v>$0-$19,999</v>
      </c>
      <c r="AT304" s="120" t="str">
        <f>IFERROR(VLOOKUP(Table1[RespondentID],'All Data'!$A$3:$CW$999,95,FALSE),"unknown")</f>
        <v>College graduate</v>
      </c>
      <c r="AU304" s="120" t="str">
        <f>IFERROR(VLOOKUP(Table1[RespondentID],'All Data'!$A$3:$CW$999,96,FALSE),"unknown")</f>
        <v>Employed for wages</v>
      </c>
      <c r="AV304" s="120" t="str">
        <f>IFERROR(VLOOKUP(Table1[RespondentID],'All Data'!$A$3:$CW$999,97,FALSE),"unknown")</f>
        <v>Yes</v>
      </c>
      <c r="AW304" s="120" t="str">
        <f>IFERROR(VLOOKUP(Table1[RespondentID],'All Data'!$A$3:$CW$999,98,FALSE),"unknown")</f>
        <v>Medicare</v>
      </c>
      <c r="AX304" s="120" t="str">
        <f>IFERROR(VLOOKUP(Table1[RespondentID],'All Data'!$A$3:$CW$999,99,FALSE),"unknown")</f>
        <v>Yes</v>
      </c>
    </row>
    <row r="305" spans="1:50">
      <c r="A305" s="5">
        <v>18015489362</v>
      </c>
      <c r="B305" s="5"/>
      <c r="C305" s="5"/>
      <c r="D305" s="5"/>
      <c r="E305" s="5"/>
      <c r="F305" s="5"/>
      <c r="G305" s="5"/>
      <c r="H305" s="5"/>
      <c r="I305" s="5"/>
      <c r="J305" s="5" t="s">
        <v>24</v>
      </c>
      <c r="K305" s="5" t="s">
        <v>25</v>
      </c>
      <c r="L305" s="5" t="s">
        <v>26</v>
      </c>
      <c r="M305" s="5"/>
      <c r="N305" s="5"/>
      <c r="O305" s="7"/>
      <c r="P305" s="7">
        <f t="shared" si="72"/>
        <v>3</v>
      </c>
      <c r="Q305" s="7">
        <f t="shared" si="73"/>
        <v>1</v>
      </c>
      <c r="R305" s="7"/>
      <c r="S305" s="7">
        <f t="shared" si="89"/>
        <v>0</v>
      </c>
      <c r="T305" s="7">
        <f t="shared" si="74"/>
        <v>0</v>
      </c>
      <c r="U305" s="7">
        <f t="shared" si="75"/>
        <v>0</v>
      </c>
      <c r="V305" s="119">
        <f t="shared" si="76"/>
        <v>0</v>
      </c>
      <c r="W305" s="119">
        <f t="shared" si="77"/>
        <v>0</v>
      </c>
      <c r="X305" s="119">
        <f t="shared" si="78"/>
        <v>0</v>
      </c>
      <c r="Y305" s="119">
        <f t="shared" si="79"/>
        <v>0</v>
      </c>
      <c r="Z305" s="119">
        <f t="shared" si="80"/>
        <v>0</v>
      </c>
      <c r="AA305" s="119">
        <f t="shared" si="81"/>
        <v>1</v>
      </c>
      <c r="AB305" s="119">
        <f t="shared" si="82"/>
        <v>1</v>
      </c>
      <c r="AC305" s="119">
        <f t="shared" si="83"/>
        <v>1</v>
      </c>
      <c r="AD305" s="119">
        <f t="shared" si="84"/>
        <v>0</v>
      </c>
      <c r="AE305" s="119">
        <f t="shared" si="85"/>
        <v>0</v>
      </c>
      <c r="AF305" s="7"/>
      <c r="AG305" s="7"/>
      <c r="AH305" s="7">
        <f t="shared" si="86"/>
        <v>3</v>
      </c>
      <c r="AI305" s="7">
        <f t="shared" si="87"/>
        <v>3</v>
      </c>
      <c r="AJ305" s="7" t="str">
        <f t="shared" si="88"/>
        <v>Correct</v>
      </c>
      <c r="AL305" s="120" t="str">
        <f>IFERROR(VLOOKUP(Table1[RespondentID],'All Data'!$A$3:$CO$999,87,FALSE),"unknown")</f>
        <v>Man</v>
      </c>
      <c r="AM305" s="120">
        <f>IFERROR(VLOOKUP(Table1[RespondentID],'All Data'!$A$3:$CO$999,88,FALSE),"unknown")</f>
        <v>18</v>
      </c>
      <c r="AN305" s="120" t="str">
        <f>IFERROR(VLOOKUP(Table1[RespondentID],'All Data'!$A$3:$CO$999,89,FALSE),"unknown")</f>
        <v>Suffolk</v>
      </c>
      <c r="AO305" s="120" t="str">
        <f>IFERROR(VLOOKUP(Table1[RespondentID],'All Data'!$A$3:$CO$999,90,FALSE),"unknown")</f>
        <v>Smithtown, 11745</v>
      </c>
      <c r="AP305" s="120" t="str">
        <f>IFERROR(VLOOKUP(Table1[RespondentID],'All Data'!$A$3:$CO$999,91,FALSE),"unknown")</f>
        <v>White</v>
      </c>
      <c r="AQ305" s="120" t="str">
        <f>IFERROR(VLOOKUP(Table1[RespondentID],'All Data'!$A$3:$CO$999,92,FALSE),"unknown")</f>
        <v>Hispanic or Latino</v>
      </c>
      <c r="AR305" s="120" t="str">
        <f>IFERROR(VLOOKUP(Table1[RespondentID],'All Data'!$A$3:$CO$999,93,FALSE),"unknown")</f>
        <v>English</v>
      </c>
      <c r="AS305" s="120" t="str">
        <f>IFERROR(VLOOKUP(Table1[RespondentID],'All Data'!$A$3:$CW$999,94,FALSE),"unknown")</f>
        <v>Over $125,000</v>
      </c>
      <c r="AT305" s="120" t="str">
        <f>IFERROR(VLOOKUP(Table1[RespondentID],'All Data'!$A$3:$CW$999,95,FALSE),"unknown")</f>
        <v>College graduate</v>
      </c>
      <c r="AU305" s="120" t="str">
        <f>IFERROR(VLOOKUP(Table1[RespondentID],'All Data'!$A$3:$CW$999,96,FALSE),"unknown")</f>
        <v>Employed for wages</v>
      </c>
      <c r="AV305" s="120" t="str">
        <f>IFERROR(VLOOKUP(Table1[RespondentID],'All Data'!$A$3:$CW$999,97,FALSE),"unknown")</f>
        <v>Yes</v>
      </c>
      <c r="AW305" s="120" t="str">
        <f>IFERROR(VLOOKUP(Table1[RespondentID],'All Data'!$A$3:$CW$999,98,FALSE),"unknown")</f>
        <v>Private/Commercial</v>
      </c>
      <c r="AX305" s="120" t="str">
        <f>IFERROR(VLOOKUP(Table1[RespondentID],'All Data'!$A$3:$CW$999,99,FALSE),"unknown")</f>
        <v>Yes</v>
      </c>
    </row>
    <row r="306" spans="1:50">
      <c r="A306" s="5">
        <v>18015152631</v>
      </c>
      <c r="B306" s="5"/>
      <c r="C306" s="5"/>
      <c r="D306" s="5"/>
      <c r="E306" s="5"/>
      <c r="F306" s="5"/>
      <c r="G306" s="5"/>
      <c r="H306" s="5"/>
      <c r="I306" s="5"/>
      <c r="J306" s="5"/>
      <c r="K306" s="5" t="s">
        <v>25</v>
      </c>
      <c r="L306" s="5"/>
      <c r="M306" s="5"/>
      <c r="N306" s="5"/>
      <c r="O306" s="7"/>
      <c r="P306" s="7">
        <f t="shared" si="72"/>
        <v>1</v>
      </c>
      <c r="Q306" s="7">
        <f t="shared" si="73"/>
        <v>3</v>
      </c>
      <c r="R306" s="7"/>
      <c r="S306" s="7">
        <f t="shared" si="89"/>
        <v>0</v>
      </c>
      <c r="T306" s="7">
        <f t="shared" si="74"/>
        <v>0</v>
      </c>
      <c r="U306" s="7">
        <f t="shared" si="75"/>
        <v>0</v>
      </c>
      <c r="V306" s="119">
        <f t="shared" si="76"/>
        <v>0</v>
      </c>
      <c r="W306" s="119">
        <f t="shared" si="77"/>
        <v>0</v>
      </c>
      <c r="X306" s="119">
        <f t="shared" si="78"/>
        <v>0</v>
      </c>
      <c r="Y306" s="119">
        <f t="shared" si="79"/>
        <v>0</v>
      </c>
      <c r="Z306" s="119">
        <f t="shared" si="80"/>
        <v>0</v>
      </c>
      <c r="AA306" s="119">
        <f t="shared" si="81"/>
        <v>0</v>
      </c>
      <c r="AB306" s="119">
        <f t="shared" si="82"/>
        <v>1</v>
      </c>
      <c r="AC306" s="119">
        <f t="shared" si="83"/>
        <v>0</v>
      </c>
      <c r="AD306" s="119">
        <f t="shared" si="84"/>
        <v>0</v>
      </c>
      <c r="AE306" s="119">
        <f t="shared" si="85"/>
        <v>0</v>
      </c>
      <c r="AF306" s="7"/>
      <c r="AG306" s="7"/>
      <c r="AH306" s="7">
        <f t="shared" si="86"/>
        <v>1</v>
      </c>
      <c r="AI306" s="7">
        <f t="shared" si="87"/>
        <v>1</v>
      </c>
      <c r="AJ306" s="7" t="str">
        <f t="shared" si="88"/>
        <v>Correct</v>
      </c>
      <c r="AL306" s="120" t="str">
        <f>IFERROR(VLOOKUP(Table1[RespondentID],'All Data'!$A$3:$CO$999,87,FALSE),"unknown")</f>
        <v>Woman</v>
      </c>
      <c r="AM306" s="120">
        <f>IFERROR(VLOOKUP(Table1[RespondentID],'All Data'!$A$3:$CO$999,88,FALSE),"unknown")</f>
        <v>31</v>
      </c>
      <c r="AN306" s="120" t="str">
        <f>IFERROR(VLOOKUP(Table1[RespondentID],'All Data'!$A$3:$CO$999,89,FALSE),"unknown")</f>
        <v>Queens</v>
      </c>
      <c r="AO306" s="120">
        <f>IFERROR(VLOOKUP(Table1[RespondentID],'All Data'!$A$3:$CO$999,90,FALSE),"unknown")</f>
        <v>0</v>
      </c>
      <c r="AP306" s="120">
        <f>IFERROR(VLOOKUP(Table1[RespondentID],'All Data'!$A$3:$CO$999,91,FALSE),"unknown")</f>
        <v>0</v>
      </c>
      <c r="AQ306" s="120">
        <f>IFERROR(VLOOKUP(Table1[RespondentID],'All Data'!$A$3:$CO$999,92,FALSE),"unknown")</f>
        <v>0</v>
      </c>
      <c r="AR306" s="120">
        <f>IFERROR(VLOOKUP(Table1[RespondentID],'All Data'!$A$3:$CO$999,93,FALSE),"unknown")</f>
        <v>0</v>
      </c>
      <c r="AS306" s="120">
        <f>IFERROR(VLOOKUP(Table1[RespondentID],'All Data'!$A$3:$CW$999,94,FALSE),"unknown")</f>
        <v>0</v>
      </c>
      <c r="AT306" s="120">
        <f>IFERROR(VLOOKUP(Table1[RespondentID],'All Data'!$A$3:$CW$999,95,FALSE),"unknown")</f>
        <v>0</v>
      </c>
      <c r="AU306" s="120">
        <f>IFERROR(VLOOKUP(Table1[RespondentID],'All Data'!$A$3:$CW$999,96,FALSE),"unknown")</f>
        <v>0</v>
      </c>
      <c r="AV306" s="120">
        <f>IFERROR(VLOOKUP(Table1[RespondentID],'All Data'!$A$3:$CW$999,97,FALSE),"unknown")</f>
        <v>0</v>
      </c>
      <c r="AW306" s="120">
        <f>IFERROR(VLOOKUP(Table1[RespondentID],'All Data'!$A$3:$CW$999,98,FALSE),"unknown")</f>
        <v>0</v>
      </c>
      <c r="AX306" s="120">
        <f>IFERROR(VLOOKUP(Table1[RespondentID],'All Data'!$A$3:$CW$999,99,FALSE),"unknown")</f>
        <v>0</v>
      </c>
    </row>
    <row r="307" spans="1:50">
      <c r="A307" s="5">
        <v>18014932720</v>
      </c>
      <c r="B307" s="5"/>
      <c r="C307" s="5" t="s">
        <v>17</v>
      </c>
      <c r="D307" s="5"/>
      <c r="E307" s="5"/>
      <c r="F307" s="5"/>
      <c r="G307" s="5"/>
      <c r="H307" s="5"/>
      <c r="I307" s="5"/>
      <c r="J307" s="5"/>
      <c r="K307" s="5"/>
      <c r="L307" s="5" t="s">
        <v>26</v>
      </c>
      <c r="M307" s="5"/>
      <c r="N307" s="5"/>
      <c r="O307" s="7"/>
      <c r="P307" s="7">
        <f t="shared" si="72"/>
        <v>2</v>
      </c>
      <c r="Q307" s="7">
        <f t="shared" si="73"/>
        <v>1.5</v>
      </c>
      <c r="R307" s="7"/>
      <c r="S307" s="7">
        <f t="shared" si="89"/>
        <v>0</v>
      </c>
      <c r="T307" s="7">
        <f t="shared" si="74"/>
        <v>1</v>
      </c>
      <c r="U307" s="7">
        <f t="shared" si="75"/>
        <v>0</v>
      </c>
      <c r="V307" s="119">
        <f t="shared" si="76"/>
        <v>0</v>
      </c>
      <c r="W307" s="119">
        <f t="shared" si="77"/>
        <v>0</v>
      </c>
      <c r="X307" s="119">
        <f t="shared" si="78"/>
        <v>0</v>
      </c>
      <c r="Y307" s="119">
        <f t="shared" si="79"/>
        <v>0</v>
      </c>
      <c r="Z307" s="119">
        <f t="shared" si="80"/>
        <v>0</v>
      </c>
      <c r="AA307" s="119">
        <f t="shared" si="81"/>
        <v>0</v>
      </c>
      <c r="AB307" s="119">
        <f t="shared" si="82"/>
        <v>0</v>
      </c>
      <c r="AC307" s="119">
        <f t="shared" si="83"/>
        <v>1</v>
      </c>
      <c r="AD307" s="119">
        <f t="shared" si="84"/>
        <v>0</v>
      </c>
      <c r="AE307" s="119">
        <f t="shared" si="85"/>
        <v>0</v>
      </c>
      <c r="AF307" s="7"/>
      <c r="AG307" s="7"/>
      <c r="AH307" s="7">
        <f t="shared" si="86"/>
        <v>2</v>
      </c>
      <c r="AI307" s="7">
        <f t="shared" si="87"/>
        <v>2</v>
      </c>
      <c r="AJ307" s="7" t="str">
        <f t="shared" si="88"/>
        <v>Correct</v>
      </c>
      <c r="AL307" s="120" t="str">
        <f>IFERROR(VLOOKUP(Table1[RespondentID],'All Data'!$A$3:$CO$999,87,FALSE),"unknown")</f>
        <v>Man</v>
      </c>
      <c r="AM307" s="120">
        <f>IFERROR(VLOOKUP(Table1[RespondentID],'All Data'!$A$3:$CO$999,88,FALSE),"unknown")</f>
        <v>45</v>
      </c>
      <c r="AN307" s="120" t="str">
        <f>IFERROR(VLOOKUP(Table1[RespondentID],'All Data'!$A$3:$CO$999,89,FALSE),"unknown")</f>
        <v>Suffolk</v>
      </c>
      <c r="AO307" s="120" t="str">
        <f>IFERROR(VLOOKUP(Table1[RespondentID],'All Data'!$A$3:$CO$999,90,FALSE),"unknown")</f>
        <v>Smithtown, 11787</v>
      </c>
      <c r="AP307" s="120" t="str">
        <f>IFERROR(VLOOKUP(Table1[RespondentID],'All Data'!$A$3:$CO$999,91,FALSE),"unknown")</f>
        <v>American Indian and Alaska Native</v>
      </c>
      <c r="AQ307" s="120" t="str">
        <f>IFERROR(VLOOKUP(Table1[RespondentID],'All Data'!$A$3:$CO$999,92,FALSE),"unknown")</f>
        <v>Hispanic or Latino</v>
      </c>
      <c r="AR307" s="120" t="str">
        <f>IFERROR(VLOOKUP(Table1[RespondentID],'All Data'!$A$3:$CO$999,93,FALSE),"unknown")</f>
        <v>English</v>
      </c>
      <c r="AS307" s="120" t="str">
        <f>IFERROR(VLOOKUP(Table1[RespondentID],'All Data'!$A$3:$CW$999,94,FALSE),"unknown")</f>
        <v>Over $125,000</v>
      </c>
      <c r="AT307" s="120" t="str">
        <f>IFERROR(VLOOKUP(Table1[RespondentID],'All Data'!$A$3:$CW$999,95,FALSE),"unknown")</f>
        <v>Doctorate</v>
      </c>
      <c r="AU307" s="120" t="str">
        <f>IFERROR(VLOOKUP(Table1[RespondentID],'All Data'!$A$3:$CW$999,96,FALSE),"unknown")</f>
        <v>Self-employed</v>
      </c>
      <c r="AV307" s="120" t="str">
        <f>IFERROR(VLOOKUP(Table1[RespondentID],'All Data'!$A$3:$CW$999,97,FALSE),"unknown")</f>
        <v>Yes</v>
      </c>
      <c r="AW307" s="120" t="str">
        <f>IFERROR(VLOOKUP(Table1[RespondentID],'All Data'!$A$3:$CW$999,98,FALSE),"unknown")</f>
        <v>Private/Commercial</v>
      </c>
      <c r="AX307" s="120" t="str">
        <f>IFERROR(VLOOKUP(Table1[RespondentID],'All Data'!$A$3:$CW$999,99,FALSE),"unknown")</f>
        <v>Yes</v>
      </c>
    </row>
    <row r="308" spans="1:50">
      <c r="A308" s="5">
        <v>18014930527</v>
      </c>
      <c r="B308" s="5"/>
      <c r="C308" s="5" t="s">
        <v>17</v>
      </c>
      <c r="D308" s="5"/>
      <c r="E308" s="5"/>
      <c r="F308" s="5"/>
      <c r="G308" s="5"/>
      <c r="H308" s="5"/>
      <c r="I308" s="5"/>
      <c r="J308" s="5"/>
      <c r="K308" s="5" t="s">
        <v>25</v>
      </c>
      <c r="L308" s="5" t="s">
        <v>26</v>
      </c>
      <c r="M308" s="5"/>
      <c r="N308" s="5"/>
      <c r="O308" s="7"/>
      <c r="P308" s="7">
        <f t="shared" si="72"/>
        <v>3</v>
      </c>
      <c r="Q308" s="7">
        <f t="shared" si="73"/>
        <v>1</v>
      </c>
      <c r="R308" s="7"/>
      <c r="S308" s="7">
        <f t="shared" si="89"/>
        <v>0</v>
      </c>
      <c r="T308" s="7">
        <f t="shared" si="74"/>
        <v>1</v>
      </c>
      <c r="U308" s="7">
        <f t="shared" si="75"/>
        <v>0</v>
      </c>
      <c r="V308" s="119">
        <f t="shared" si="76"/>
        <v>0</v>
      </c>
      <c r="W308" s="119">
        <f t="shared" si="77"/>
        <v>0</v>
      </c>
      <c r="X308" s="119">
        <f t="shared" si="78"/>
        <v>0</v>
      </c>
      <c r="Y308" s="119">
        <f t="shared" si="79"/>
        <v>0</v>
      </c>
      <c r="Z308" s="119">
        <f t="shared" si="80"/>
        <v>0</v>
      </c>
      <c r="AA308" s="119">
        <f t="shared" si="81"/>
        <v>0</v>
      </c>
      <c r="AB308" s="119">
        <f t="shared" si="82"/>
        <v>1</v>
      </c>
      <c r="AC308" s="119">
        <f t="shared" si="83"/>
        <v>1</v>
      </c>
      <c r="AD308" s="119">
        <f t="shared" si="84"/>
        <v>0</v>
      </c>
      <c r="AE308" s="119">
        <f t="shared" si="85"/>
        <v>0</v>
      </c>
      <c r="AF308" s="7"/>
      <c r="AG308" s="7"/>
      <c r="AH308" s="7">
        <f t="shared" si="86"/>
        <v>3</v>
      </c>
      <c r="AI308" s="7">
        <f t="shared" si="87"/>
        <v>3</v>
      </c>
      <c r="AJ308" s="7" t="str">
        <f t="shared" si="88"/>
        <v>Correct</v>
      </c>
      <c r="AL308" s="120" t="str">
        <f>IFERROR(VLOOKUP(Table1[RespondentID],'All Data'!$A$3:$CO$999,87,FALSE),"unknown")</f>
        <v>Woman</v>
      </c>
      <c r="AM308" s="120">
        <f>IFERROR(VLOOKUP(Table1[RespondentID],'All Data'!$A$3:$CO$999,88,FALSE),"unknown")</f>
        <v>44</v>
      </c>
      <c r="AN308" s="120" t="str">
        <f>IFERROR(VLOOKUP(Table1[RespondentID],'All Data'!$A$3:$CO$999,89,FALSE),"unknown")</f>
        <v>Suffolk</v>
      </c>
      <c r="AO308" s="120" t="str">
        <f>IFERROR(VLOOKUP(Table1[RespondentID],'All Data'!$A$3:$CO$999,90,FALSE),"unknown")</f>
        <v>Smithtown, 11787</v>
      </c>
      <c r="AP308" s="120" t="str">
        <f>IFERROR(VLOOKUP(Table1[RespondentID],'All Data'!$A$3:$CO$999,91,FALSE),"unknown")</f>
        <v>American Indian and Alaska Native</v>
      </c>
      <c r="AQ308" s="120" t="str">
        <f>IFERROR(VLOOKUP(Table1[RespondentID],'All Data'!$A$3:$CO$999,92,FALSE),"unknown")</f>
        <v>Hispanic or Latino</v>
      </c>
      <c r="AR308" s="120" t="str">
        <f>IFERROR(VLOOKUP(Table1[RespondentID],'All Data'!$A$3:$CO$999,93,FALSE),"unknown")</f>
        <v>English</v>
      </c>
      <c r="AS308" s="120" t="str">
        <f>IFERROR(VLOOKUP(Table1[RespondentID],'All Data'!$A$3:$CW$999,94,FALSE),"unknown")</f>
        <v>Over $125,000</v>
      </c>
      <c r="AT308" s="120" t="str">
        <f>IFERROR(VLOOKUP(Table1[RespondentID],'All Data'!$A$3:$CW$999,95,FALSE),"unknown")</f>
        <v>Doctorate</v>
      </c>
      <c r="AU308" s="120" t="str">
        <f>IFERROR(VLOOKUP(Table1[RespondentID],'All Data'!$A$3:$CW$999,96,FALSE),"unknown")</f>
        <v>Self-employed</v>
      </c>
      <c r="AV308" s="120" t="str">
        <f>IFERROR(VLOOKUP(Table1[RespondentID],'All Data'!$A$3:$CW$999,97,FALSE),"unknown")</f>
        <v>Yes</v>
      </c>
      <c r="AW308" s="120" t="str">
        <f>IFERROR(VLOOKUP(Table1[RespondentID],'All Data'!$A$3:$CW$999,98,FALSE),"unknown")</f>
        <v>Private/Commercial</v>
      </c>
      <c r="AX308" s="120" t="str">
        <f>IFERROR(VLOOKUP(Table1[RespondentID],'All Data'!$A$3:$CW$999,99,FALSE),"unknown")</f>
        <v>Yes</v>
      </c>
    </row>
    <row r="309" spans="1:50">
      <c r="A309" s="5">
        <v>18014783155</v>
      </c>
      <c r="B309" s="5" t="s">
        <v>16</v>
      </c>
      <c r="C309" s="5"/>
      <c r="D309" s="5"/>
      <c r="E309" s="5"/>
      <c r="F309" s="5"/>
      <c r="G309" s="5"/>
      <c r="H309" s="5"/>
      <c r="I309" s="5"/>
      <c r="J309" s="5"/>
      <c r="K309" s="5"/>
      <c r="L309" s="5"/>
      <c r="M309" s="5"/>
      <c r="N309" s="5"/>
      <c r="O309" s="7"/>
      <c r="P309" s="7">
        <f t="shared" si="72"/>
        <v>1</v>
      </c>
      <c r="Q309" s="7">
        <f t="shared" si="73"/>
        <v>3</v>
      </c>
      <c r="R309" s="7"/>
      <c r="S309" s="7">
        <f t="shared" si="89"/>
        <v>1</v>
      </c>
      <c r="T309" s="7">
        <f t="shared" si="74"/>
        <v>0</v>
      </c>
      <c r="U309" s="7">
        <f t="shared" si="75"/>
        <v>0</v>
      </c>
      <c r="V309" s="119">
        <f t="shared" si="76"/>
        <v>0</v>
      </c>
      <c r="W309" s="119">
        <f t="shared" si="77"/>
        <v>0</v>
      </c>
      <c r="X309" s="119">
        <f t="shared" si="78"/>
        <v>0</v>
      </c>
      <c r="Y309" s="119">
        <f t="shared" si="79"/>
        <v>0</v>
      </c>
      <c r="Z309" s="119">
        <f t="shared" si="80"/>
        <v>0</v>
      </c>
      <c r="AA309" s="119">
        <f t="shared" si="81"/>
        <v>0</v>
      </c>
      <c r="AB309" s="119">
        <f t="shared" si="82"/>
        <v>0</v>
      </c>
      <c r="AC309" s="119">
        <f t="shared" si="83"/>
        <v>0</v>
      </c>
      <c r="AD309" s="119">
        <f t="shared" si="84"/>
        <v>0</v>
      </c>
      <c r="AE309" s="119">
        <f t="shared" si="85"/>
        <v>0</v>
      </c>
      <c r="AF309" s="7"/>
      <c r="AG309" s="7"/>
      <c r="AH309" s="7">
        <f t="shared" si="86"/>
        <v>1</v>
      </c>
      <c r="AI309" s="7">
        <f t="shared" si="87"/>
        <v>1</v>
      </c>
      <c r="AJ309" s="7" t="str">
        <f t="shared" si="88"/>
        <v>Correct</v>
      </c>
      <c r="AL309" s="120">
        <f>IFERROR(VLOOKUP(Table1[RespondentID],'All Data'!$A$3:$CO$999,87,FALSE),"unknown")</f>
        <v>0</v>
      </c>
      <c r="AM309" s="120">
        <f>IFERROR(VLOOKUP(Table1[RespondentID],'All Data'!$A$3:$CO$999,88,FALSE),"unknown")</f>
        <v>0</v>
      </c>
      <c r="AN309" s="120">
        <f>IFERROR(VLOOKUP(Table1[RespondentID],'All Data'!$A$3:$CO$999,89,FALSE),"unknown")</f>
        <v>0</v>
      </c>
      <c r="AO309" s="120">
        <f>IFERROR(VLOOKUP(Table1[RespondentID],'All Data'!$A$3:$CO$999,90,FALSE),"unknown")</f>
        <v>0</v>
      </c>
      <c r="AP309" s="120">
        <f>IFERROR(VLOOKUP(Table1[RespondentID],'All Data'!$A$3:$CO$999,91,FALSE),"unknown")</f>
        <v>0</v>
      </c>
      <c r="AQ309" s="120">
        <f>IFERROR(VLOOKUP(Table1[RespondentID],'All Data'!$A$3:$CO$999,92,FALSE),"unknown")</f>
        <v>0</v>
      </c>
      <c r="AR309" s="120">
        <f>IFERROR(VLOOKUP(Table1[RespondentID],'All Data'!$A$3:$CO$999,93,FALSE),"unknown")</f>
        <v>0</v>
      </c>
      <c r="AS309" s="120">
        <f>IFERROR(VLOOKUP(Table1[RespondentID],'All Data'!$A$3:$CW$999,94,FALSE),"unknown")</f>
        <v>0</v>
      </c>
      <c r="AT309" s="120">
        <f>IFERROR(VLOOKUP(Table1[RespondentID],'All Data'!$A$3:$CW$999,95,FALSE),"unknown")</f>
        <v>0</v>
      </c>
      <c r="AU309" s="120">
        <f>IFERROR(VLOOKUP(Table1[RespondentID],'All Data'!$A$3:$CW$999,96,FALSE),"unknown")</f>
        <v>0</v>
      </c>
      <c r="AV309" s="120">
        <f>IFERROR(VLOOKUP(Table1[RespondentID],'All Data'!$A$3:$CW$999,97,FALSE),"unknown")</f>
        <v>0</v>
      </c>
      <c r="AW309" s="120">
        <f>IFERROR(VLOOKUP(Table1[RespondentID],'All Data'!$A$3:$CW$999,98,FALSE),"unknown")</f>
        <v>0</v>
      </c>
      <c r="AX309" s="120">
        <f>IFERROR(VLOOKUP(Table1[RespondentID],'All Data'!$A$3:$CW$999,99,FALSE),"unknown")</f>
        <v>0</v>
      </c>
    </row>
    <row r="310" spans="1:50">
      <c r="A310" s="5">
        <v>18014743256</v>
      </c>
      <c r="B310" s="5"/>
      <c r="C310" s="5" t="s">
        <v>17</v>
      </c>
      <c r="D310" s="5"/>
      <c r="E310" s="5"/>
      <c r="F310" s="5"/>
      <c r="G310" s="5"/>
      <c r="H310" s="5" t="s">
        <v>22</v>
      </c>
      <c r="I310" s="5"/>
      <c r="J310" s="5"/>
      <c r="K310" s="5"/>
      <c r="L310" s="5"/>
      <c r="M310" s="5"/>
      <c r="N310" s="5" t="s">
        <v>28</v>
      </c>
      <c r="O310" s="7"/>
      <c r="P310" s="7">
        <f t="shared" si="72"/>
        <v>3</v>
      </c>
      <c r="Q310" s="7">
        <f t="shared" si="73"/>
        <v>1</v>
      </c>
      <c r="R310" s="7"/>
      <c r="S310" s="7">
        <f t="shared" si="89"/>
        <v>0</v>
      </c>
      <c r="T310" s="7">
        <f t="shared" si="74"/>
        <v>1</v>
      </c>
      <c r="U310" s="7">
        <f t="shared" si="75"/>
        <v>0</v>
      </c>
      <c r="V310" s="119">
        <f t="shared" si="76"/>
        <v>0</v>
      </c>
      <c r="W310" s="119">
        <f t="shared" si="77"/>
        <v>0</v>
      </c>
      <c r="X310" s="119">
        <f t="shared" si="78"/>
        <v>0</v>
      </c>
      <c r="Y310" s="119">
        <f t="shared" si="79"/>
        <v>1</v>
      </c>
      <c r="Z310" s="119">
        <f t="shared" si="80"/>
        <v>0</v>
      </c>
      <c r="AA310" s="119">
        <f t="shared" si="81"/>
        <v>0</v>
      </c>
      <c r="AB310" s="119">
        <f t="shared" si="82"/>
        <v>0</v>
      </c>
      <c r="AC310" s="119">
        <f t="shared" si="83"/>
        <v>0</v>
      </c>
      <c r="AD310" s="119">
        <f t="shared" si="84"/>
        <v>0</v>
      </c>
      <c r="AE310" s="119">
        <f t="shared" si="85"/>
        <v>1</v>
      </c>
      <c r="AF310" s="7"/>
      <c r="AG310" s="7"/>
      <c r="AH310" s="7">
        <f t="shared" si="86"/>
        <v>3</v>
      </c>
      <c r="AI310" s="7">
        <f t="shared" si="87"/>
        <v>3</v>
      </c>
      <c r="AJ310" s="7" t="str">
        <f t="shared" si="88"/>
        <v>Correct</v>
      </c>
      <c r="AL310" s="120" t="str">
        <f>IFERROR(VLOOKUP(Table1[RespondentID],'All Data'!$A$3:$CO$999,87,FALSE),"unknown")</f>
        <v>Woman</v>
      </c>
      <c r="AM310" s="120">
        <f>IFERROR(VLOOKUP(Table1[RespondentID],'All Data'!$A$3:$CO$999,88,FALSE),"unknown")</f>
        <v>54</v>
      </c>
      <c r="AN310" s="120" t="str">
        <f>IFERROR(VLOOKUP(Table1[RespondentID],'All Data'!$A$3:$CO$999,89,FALSE),"unknown")</f>
        <v>Suffolk</v>
      </c>
      <c r="AO310" s="120" t="str">
        <f>IFERROR(VLOOKUP(Table1[RespondentID],'All Data'!$A$3:$CO$999,90,FALSE),"unknown")</f>
        <v>Centereach, 11720</v>
      </c>
      <c r="AP310" s="120" t="str">
        <f>IFERROR(VLOOKUP(Table1[RespondentID],'All Data'!$A$3:$CO$999,91,FALSE),"unknown")</f>
        <v>White</v>
      </c>
      <c r="AQ310" s="120" t="str">
        <f>IFERROR(VLOOKUP(Table1[RespondentID],'All Data'!$A$3:$CO$999,92,FALSE),"unknown")</f>
        <v>Hispanic or Latino</v>
      </c>
      <c r="AR310" s="120" t="str">
        <f>IFERROR(VLOOKUP(Table1[RespondentID],'All Data'!$A$3:$CO$999,93,FALSE),"unknown")</f>
        <v>English</v>
      </c>
      <c r="AS310" s="120" t="str">
        <f>IFERROR(VLOOKUP(Table1[RespondentID],'All Data'!$A$3:$CW$999,94,FALSE),"unknown")</f>
        <v>Over $125,000</v>
      </c>
      <c r="AT310" s="120" t="str">
        <f>IFERROR(VLOOKUP(Table1[RespondentID],'All Data'!$A$3:$CW$999,95,FALSE),"unknown")</f>
        <v>Graduate school</v>
      </c>
      <c r="AU310" s="120" t="str">
        <f>IFERROR(VLOOKUP(Table1[RespondentID],'All Data'!$A$3:$CW$999,96,FALSE),"unknown")</f>
        <v>Employed for wages</v>
      </c>
      <c r="AV310" s="120" t="str">
        <f>IFERROR(VLOOKUP(Table1[RespondentID],'All Data'!$A$3:$CW$999,97,FALSE),"unknown")</f>
        <v>Yes</v>
      </c>
      <c r="AW310" s="120" t="str">
        <f>IFERROR(VLOOKUP(Table1[RespondentID],'All Data'!$A$3:$CW$999,98,FALSE),"unknown")</f>
        <v>Private/Commercial</v>
      </c>
      <c r="AX310" s="120" t="str">
        <f>IFERROR(VLOOKUP(Table1[RespondentID],'All Data'!$A$3:$CW$999,99,FALSE),"unknown")</f>
        <v>Yes</v>
      </c>
    </row>
    <row r="311" spans="1:50">
      <c r="A311" s="5">
        <v>18014731066</v>
      </c>
      <c r="B311" s="5"/>
      <c r="C311" s="5"/>
      <c r="D311" s="5"/>
      <c r="E311" s="5" t="s">
        <v>19</v>
      </c>
      <c r="F311" s="5"/>
      <c r="G311" s="5" t="s">
        <v>21</v>
      </c>
      <c r="H311" s="5"/>
      <c r="I311" s="5"/>
      <c r="J311" s="5"/>
      <c r="K311" s="5" t="s">
        <v>25</v>
      </c>
      <c r="L311" s="5"/>
      <c r="M311" s="5"/>
      <c r="N311" s="5"/>
      <c r="O311" s="7"/>
      <c r="P311" s="7">
        <f t="shared" si="72"/>
        <v>3</v>
      </c>
      <c r="Q311" s="7">
        <f t="shared" si="73"/>
        <v>1</v>
      </c>
      <c r="R311" s="7"/>
      <c r="S311" s="7">
        <f t="shared" si="89"/>
        <v>0</v>
      </c>
      <c r="T311" s="7">
        <f t="shared" si="74"/>
        <v>0</v>
      </c>
      <c r="U311" s="7">
        <f t="shared" si="75"/>
        <v>0</v>
      </c>
      <c r="V311" s="119">
        <f t="shared" si="76"/>
        <v>1</v>
      </c>
      <c r="W311" s="119">
        <f t="shared" si="77"/>
        <v>0</v>
      </c>
      <c r="X311" s="119">
        <f t="shared" si="78"/>
        <v>1</v>
      </c>
      <c r="Y311" s="119">
        <f t="shared" si="79"/>
        <v>0</v>
      </c>
      <c r="Z311" s="119">
        <f t="shared" si="80"/>
        <v>0</v>
      </c>
      <c r="AA311" s="119">
        <f t="shared" si="81"/>
        <v>0</v>
      </c>
      <c r="AB311" s="119">
        <f t="shared" si="82"/>
        <v>1</v>
      </c>
      <c r="AC311" s="119">
        <f t="shared" si="83"/>
        <v>0</v>
      </c>
      <c r="AD311" s="119">
        <f t="shared" si="84"/>
        <v>0</v>
      </c>
      <c r="AE311" s="119">
        <f t="shared" si="85"/>
        <v>0</v>
      </c>
      <c r="AF311" s="7"/>
      <c r="AG311" s="7"/>
      <c r="AH311" s="7">
        <f t="shared" si="86"/>
        <v>3</v>
      </c>
      <c r="AI311" s="7">
        <f t="shared" si="87"/>
        <v>3</v>
      </c>
      <c r="AJ311" s="7" t="str">
        <f t="shared" si="88"/>
        <v>Correct</v>
      </c>
      <c r="AL311" s="120" t="str">
        <f>IFERROR(VLOOKUP(Table1[RespondentID],'All Data'!$A$3:$CO$999,87,FALSE),"unknown")</f>
        <v>Man</v>
      </c>
      <c r="AM311" s="120">
        <f>IFERROR(VLOOKUP(Table1[RespondentID],'All Data'!$A$3:$CO$999,88,FALSE),"unknown")</f>
        <v>40</v>
      </c>
      <c r="AN311" s="120" t="str">
        <f>IFERROR(VLOOKUP(Table1[RespondentID],'All Data'!$A$3:$CO$999,89,FALSE),"unknown")</f>
        <v>Suffolk</v>
      </c>
      <c r="AO311" s="120" t="str">
        <f>IFERROR(VLOOKUP(Table1[RespondentID],'All Data'!$A$3:$CO$999,90,FALSE),"unknown")</f>
        <v>Nesconset, 11767</v>
      </c>
      <c r="AP311" s="120" t="str">
        <f>IFERROR(VLOOKUP(Table1[RespondentID],'All Data'!$A$3:$CO$999,91,FALSE),"unknown")</f>
        <v>White</v>
      </c>
      <c r="AQ311" s="120" t="str">
        <f>IFERROR(VLOOKUP(Table1[RespondentID],'All Data'!$A$3:$CO$999,92,FALSE),"unknown")</f>
        <v>Hispanic or Latino</v>
      </c>
      <c r="AR311" s="120" t="str">
        <f>IFERROR(VLOOKUP(Table1[RespondentID],'All Data'!$A$3:$CO$999,93,FALSE),"unknown")</f>
        <v>English</v>
      </c>
      <c r="AS311" s="120" t="str">
        <f>IFERROR(VLOOKUP(Table1[RespondentID],'All Data'!$A$3:$CW$999,94,FALSE),"unknown")</f>
        <v>Over $125,000</v>
      </c>
      <c r="AT311" s="120" t="str">
        <f>IFERROR(VLOOKUP(Table1[RespondentID],'All Data'!$A$3:$CW$999,95,FALSE),"unknown")</f>
        <v>Graduate school</v>
      </c>
      <c r="AU311" s="120" t="str">
        <f>IFERROR(VLOOKUP(Table1[RespondentID],'All Data'!$A$3:$CW$999,96,FALSE),"unknown")</f>
        <v>Employed for wages</v>
      </c>
      <c r="AV311" s="120" t="str">
        <f>IFERROR(VLOOKUP(Table1[RespondentID],'All Data'!$A$3:$CW$999,97,FALSE),"unknown")</f>
        <v>Yes</v>
      </c>
      <c r="AW311" s="120" t="str">
        <f>IFERROR(VLOOKUP(Table1[RespondentID],'All Data'!$A$3:$CW$999,98,FALSE),"unknown")</f>
        <v>Private/Commercial</v>
      </c>
      <c r="AX311" s="120" t="str">
        <f>IFERROR(VLOOKUP(Table1[RespondentID],'All Data'!$A$3:$CW$999,99,FALSE),"unknown")</f>
        <v>Yes</v>
      </c>
    </row>
    <row r="312" spans="1:50">
      <c r="A312" s="5">
        <v>18014717463</v>
      </c>
      <c r="B312" s="5"/>
      <c r="C312" s="5" t="s">
        <v>17</v>
      </c>
      <c r="D312" s="5"/>
      <c r="E312" s="5"/>
      <c r="F312" s="5"/>
      <c r="G312" s="5"/>
      <c r="H312" s="5" t="s">
        <v>22</v>
      </c>
      <c r="I312" s="5"/>
      <c r="J312" s="5"/>
      <c r="K312" s="5"/>
      <c r="L312" s="5"/>
      <c r="M312" s="5"/>
      <c r="N312" s="5" t="s">
        <v>28</v>
      </c>
      <c r="O312" s="7"/>
      <c r="P312" s="7">
        <f t="shared" si="72"/>
        <v>3</v>
      </c>
      <c r="Q312" s="7">
        <f t="shared" si="73"/>
        <v>1</v>
      </c>
      <c r="R312" s="7"/>
      <c r="S312" s="7">
        <f t="shared" si="89"/>
        <v>0</v>
      </c>
      <c r="T312" s="7">
        <f t="shared" si="74"/>
        <v>1</v>
      </c>
      <c r="U312" s="7">
        <f t="shared" si="75"/>
        <v>0</v>
      </c>
      <c r="V312" s="119">
        <f t="shared" si="76"/>
        <v>0</v>
      </c>
      <c r="W312" s="119">
        <f t="shared" si="77"/>
        <v>0</v>
      </c>
      <c r="X312" s="119">
        <f t="shared" si="78"/>
        <v>0</v>
      </c>
      <c r="Y312" s="119">
        <f t="shared" si="79"/>
        <v>1</v>
      </c>
      <c r="Z312" s="119">
        <f t="shared" si="80"/>
        <v>0</v>
      </c>
      <c r="AA312" s="119">
        <f t="shared" si="81"/>
        <v>0</v>
      </c>
      <c r="AB312" s="119">
        <f t="shared" si="82"/>
        <v>0</v>
      </c>
      <c r="AC312" s="119">
        <f t="shared" si="83"/>
        <v>0</v>
      </c>
      <c r="AD312" s="119">
        <f t="shared" si="84"/>
        <v>0</v>
      </c>
      <c r="AE312" s="119">
        <f t="shared" si="85"/>
        <v>1</v>
      </c>
      <c r="AF312" s="7"/>
      <c r="AG312" s="7"/>
      <c r="AH312" s="7">
        <f t="shared" si="86"/>
        <v>3</v>
      </c>
      <c r="AI312" s="7">
        <f t="shared" si="87"/>
        <v>3</v>
      </c>
      <c r="AJ312" s="7" t="str">
        <f t="shared" si="88"/>
        <v>Correct</v>
      </c>
      <c r="AL312" s="120" t="str">
        <f>IFERROR(VLOOKUP(Table1[RespondentID],'All Data'!$A$3:$CO$999,87,FALSE),"unknown")</f>
        <v>Man</v>
      </c>
      <c r="AM312" s="120">
        <f>IFERROR(VLOOKUP(Table1[RespondentID],'All Data'!$A$3:$CO$999,88,FALSE),"unknown")</f>
        <v>36</v>
      </c>
      <c r="AN312" s="120" t="str">
        <f>IFERROR(VLOOKUP(Table1[RespondentID],'All Data'!$A$3:$CO$999,89,FALSE),"unknown")</f>
        <v>Nassau</v>
      </c>
      <c r="AO312" s="120" t="str">
        <f>IFERROR(VLOOKUP(Table1[RespondentID],'All Data'!$A$3:$CO$999,90,FALSE),"unknown")</f>
        <v>Alden Manor, 11003</v>
      </c>
      <c r="AP312" s="120" t="str">
        <f>IFERROR(VLOOKUP(Table1[RespondentID],'All Data'!$A$3:$CO$999,91,FALSE),"unknown")</f>
        <v>American Indian and Alaska Native</v>
      </c>
      <c r="AQ312" s="120" t="str">
        <f>IFERROR(VLOOKUP(Table1[RespondentID],'All Data'!$A$3:$CO$999,92,FALSE),"unknown")</f>
        <v>Not Hispanic or Latino</v>
      </c>
      <c r="AR312" s="120" t="str">
        <f>IFERROR(VLOOKUP(Table1[RespondentID],'All Data'!$A$3:$CO$999,93,FALSE),"unknown")</f>
        <v>English</v>
      </c>
      <c r="AS312" s="120" t="str">
        <f>IFERROR(VLOOKUP(Table1[RespondentID],'All Data'!$A$3:$CW$999,94,FALSE),"unknown")</f>
        <v>$50,000 to $74,999</v>
      </c>
      <c r="AT312" s="120" t="str">
        <f>IFERROR(VLOOKUP(Table1[RespondentID],'All Data'!$A$3:$CW$999,95,FALSE),"unknown")</f>
        <v>College graduate</v>
      </c>
      <c r="AU312" s="120" t="str">
        <f>IFERROR(VLOOKUP(Table1[RespondentID],'All Data'!$A$3:$CW$999,96,FALSE),"unknown")</f>
        <v>Employed for wages</v>
      </c>
      <c r="AV312" s="120" t="str">
        <f>IFERROR(VLOOKUP(Table1[RespondentID],'All Data'!$A$3:$CW$999,97,FALSE),"unknown")</f>
        <v>Yes</v>
      </c>
      <c r="AW312" s="120" t="str">
        <f>IFERROR(VLOOKUP(Table1[RespondentID],'All Data'!$A$3:$CW$999,98,FALSE),"unknown")</f>
        <v>Private/Commercial</v>
      </c>
      <c r="AX312" s="120" t="str">
        <f>IFERROR(VLOOKUP(Table1[RespondentID],'All Data'!$A$3:$CW$999,99,FALSE),"unknown")</f>
        <v>Yes</v>
      </c>
    </row>
    <row r="313" spans="1:50">
      <c r="A313" s="5">
        <v>18014645318</v>
      </c>
      <c r="B313" s="5"/>
      <c r="C313" s="5" t="s">
        <v>17</v>
      </c>
      <c r="D313" s="5"/>
      <c r="E313" s="5"/>
      <c r="F313" s="5"/>
      <c r="G313" s="5"/>
      <c r="H313" s="5"/>
      <c r="I313" s="5"/>
      <c r="J313" s="5"/>
      <c r="K313" s="5"/>
      <c r="L313" s="5" t="s">
        <v>26</v>
      </c>
      <c r="M313" s="5"/>
      <c r="N313" s="5" t="s">
        <v>28</v>
      </c>
      <c r="O313" s="7"/>
      <c r="P313" s="7">
        <f t="shared" si="72"/>
        <v>3</v>
      </c>
      <c r="Q313" s="7">
        <f t="shared" si="73"/>
        <v>1</v>
      </c>
      <c r="R313" s="7"/>
      <c r="S313" s="7">
        <f t="shared" si="89"/>
        <v>0</v>
      </c>
      <c r="T313" s="7">
        <f t="shared" si="74"/>
        <v>1</v>
      </c>
      <c r="U313" s="7">
        <f t="shared" si="75"/>
        <v>0</v>
      </c>
      <c r="V313" s="119">
        <f t="shared" si="76"/>
        <v>0</v>
      </c>
      <c r="W313" s="119">
        <f t="shared" si="77"/>
        <v>0</v>
      </c>
      <c r="X313" s="119">
        <f t="shared" si="78"/>
        <v>0</v>
      </c>
      <c r="Y313" s="119">
        <f t="shared" si="79"/>
        <v>0</v>
      </c>
      <c r="Z313" s="119">
        <f t="shared" si="80"/>
        <v>0</v>
      </c>
      <c r="AA313" s="119">
        <f t="shared" si="81"/>
        <v>0</v>
      </c>
      <c r="AB313" s="119">
        <f t="shared" si="82"/>
        <v>0</v>
      </c>
      <c r="AC313" s="119">
        <f t="shared" si="83"/>
        <v>1</v>
      </c>
      <c r="AD313" s="119">
        <f t="shared" si="84"/>
        <v>0</v>
      </c>
      <c r="AE313" s="119">
        <f t="shared" si="85"/>
        <v>1</v>
      </c>
      <c r="AF313" s="7"/>
      <c r="AG313" s="7"/>
      <c r="AH313" s="7">
        <f t="shared" si="86"/>
        <v>3</v>
      </c>
      <c r="AI313" s="7">
        <f t="shared" si="87"/>
        <v>3</v>
      </c>
      <c r="AJ313" s="7" t="str">
        <f t="shared" si="88"/>
        <v>Correct</v>
      </c>
      <c r="AL313" s="120" t="str">
        <f>IFERROR(VLOOKUP(Table1[RespondentID],'All Data'!$A$3:$CO$999,87,FALSE),"unknown")</f>
        <v>Man</v>
      </c>
      <c r="AM313" s="120">
        <f>IFERROR(VLOOKUP(Table1[RespondentID],'All Data'!$A$3:$CO$999,88,FALSE),"unknown")</f>
        <v>55</v>
      </c>
      <c r="AN313" s="120" t="str">
        <f>IFERROR(VLOOKUP(Table1[RespondentID],'All Data'!$A$3:$CO$999,89,FALSE),"unknown")</f>
        <v>Suffolk</v>
      </c>
      <c r="AO313" s="120" t="str">
        <f>IFERROR(VLOOKUP(Table1[RespondentID],'All Data'!$A$3:$CO$999,90,FALSE),"unknown")</f>
        <v>Babylon, 11702</v>
      </c>
      <c r="AP313" s="120" t="str">
        <f>IFERROR(VLOOKUP(Table1[RespondentID],'All Data'!$A$3:$CO$999,91,FALSE),"unknown")</f>
        <v>White</v>
      </c>
      <c r="AQ313" s="120" t="str">
        <f>IFERROR(VLOOKUP(Table1[RespondentID],'All Data'!$A$3:$CO$999,92,FALSE),"unknown")</f>
        <v>Hispanic or Latino</v>
      </c>
      <c r="AR313" s="120" t="str">
        <f>IFERROR(VLOOKUP(Table1[RespondentID],'All Data'!$A$3:$CO$999,93,FALSE),"unknown")</f>
        <v>English</v>
      </c>
      <c r="AS313" s="120" t="str">
        <f>IFERROR(VLOOKUP(Table1[RespondentID],'All Data'!$A$3:$CW$999,94,FALSE),"unknown")</f>
        <v>$20,000 to $34,999</v>
      </c>
      <c r="AT313" s="120" t="str">
        <f>IFERROR(VLOOKUP(Table1[RespondentID],'All Data'!$A$3:$CW$999,95,FALSE),"unknown")</f>
        <v>Some college</v>
      </c>
      <c r="AU313" s="120" t="str">
        <f>IFERROR(VLOOKUP(Table1[RespondentID],'All Data'!$A$3:$CW$999,96,FALSE),"unknown")</f>
        <v>Employed for wages</v>
      </c>
      <c r="AV313" s="120" t="str">
        <f>IFERROR(VLOOKUP(Table1[RespondentID],'All Data'!$A$3:$CW$999,97,FALSE),"unknown")</f>
        <v>Yes</v>
      </c>
      <c r="AW313" s="120" t="str">
        <f>IFERROR(VLOOKUP(Table1[RespondentID],'All Data'!$A$3:$CW$999,98,FALSE),"unknown")</f>
        <v>Private/Commercial</v>
      </c>
      <c r="AX313" s="120" t="str">
        <f>IFERROR(VLOOKUP(Table1[RespondentID],'All Data'!$A$3:$CW$999,99,FALSE),"unknown")</f>
        <v>Yes</v>
      </c>
    </row>
    <row r="314" spans="1:50">
      <c r="A314" s="5">
        <v>18014644097</v>
      </c>
      <c r="B314" s="5"/>
      <c r="C314" s="5"/>
      <c r="D314" s="5"/>
      <c r="E314" s="5"/>
      <c r="F314" s="5"/>
      <c r="G314" s="5" t="s">
        <v>21</v>
      </c>
      <c r="H314" s="5"/>
      <c r="I314" s="5"/>
      <c r="J314" s="5"/>
      <c r="K314" s="5" t="s">
        <v>25</v>
      </c>
      <c r="L314" s="5" t="s">
        <v>26</v>
      </c>
      <c r="M314" s="5"/>
      <c r="N314" s="5"/>
      <c r="O314" s="7"/>
      <c r="P314" s="7">
        <f t="shared" si="72"/>
        <v>3</v>
      </c>
      <c r="Q314" s="7">
        <f t="shared" si="73"/>
        <v>1</v>
      </c>
      <c r="R314" s="7"/>
      <c r="S314" s="7">
        <f t="shared" si="89"/>
        <v>0</v>
      </c>
      <c r="T314" s="7">
        <f t="shared" si="74"/>
        <v>0</v>
      </c>
      <c r="U314" s="7">
        <f t="shared" si="75"/>
        <v>0</v>
      </c>
      <c r="V314" s="119">
        <f t="shared" si="76"/>
        <v>0</v>
      </c>
      <c r="W314" s="119">
        <f t="shared" si="77"/>
        <v>0</v>
      </c>
      <c r="X314" s="119">
        <f t="shared" si="78"/>
        <v>1</v>
      </c>
      <c r="Y314" s="119">
        <f t="shared" si="79"/>
        <v>0</v>
      </c>
      <c r="Z314" s="119">
        <f t="shared" si="80"/>
        <v>0</v>
      </c>
      <c r="AA314" s="119">
        <f t="shared" si="81"/>
        <v>0</v>
      </c>
      <c r="AB314" s="119">
        <f t="shared" si="82"/>
        <v>1</v>
      </c>
      <c r="AC314" s="119">
        <f t="shared" si="83"/>
        <v>1</v>
      </c>
      <c r="AD314" s="119">
        <f t="shared" si="84"/>
        <v>0</v>
      </c>
      <c r="AE314" s="119">
        <f t="shared" si="85"/>
        <v>0</v>
      </c>
      <c r="AF314" s="7"/>
      <c r="AG314" s="7"/>
      <c r="AH314" s="7">
        <f t="shared" si="86"/>
        <v>3</v>
      </c>
      <c r="AI314" s="7">
        <f t="shared" si="87"/>
        <v>3</v>
      </c>
      <c r="AJ314" s="7" t="str">
        <f t="shared" si="88"/>
        <v>Correct</v>
      </c>
      <c r="AL314" s="120" t="str">
        <f>IFERROR(VLOOKUP(Table1[RespondentID],'All Data'!$A$3:$CO$999,87,FALSE),"unknown")</f>
        <v>Man</v>
      </c>
      <c r="AM314" s="120">
        <f>IFERROR(VLOOKUP(Table1[RespondentID],'All Data'!$A$3:$CO$999,88,FALSE),"unknown")</f>
        <v>73</v>
      </c>
      <c r="AN314" s="120" t="str">
        <f>IFERROR(VLOOKUP(Table1[RespondentID],'All Data'!$A$3:$CO$999,89,FALSE),"unknown")</f>
        <v>Suffolk</v>
      </c>
      <c r="AO314" s="120" t="str">
        <f>IFERROR(VLOOKUP(Table1[RespondentID],'All Data'!$A$3:$CO$999,90,FALSE),"unknown")</f>
        <v>Port Jefferson Station, 11776</v>
      </c>
      <c r="AP314" s="120" t="str">
        <f>IFERROR(VLOOKUP(Table1[RespondentID],'All Data'!$A$3:$CO$999,91,FALSE),"unknown")</f>
        <v>White</v>
      </c>
      <c r="AQ314" s="120" t="str">
        <f>IFERROR(VLOOKUP(Table1[RespondentID],'All Data'!$A$3:$CO$999,92,FALSE),"unknown")</f>
        <v>Hispanic or Latino</v>
      </c>
      <c r="AR314" s="120" t="str">
        <f>IFERROR(VLOOKUP(Table1[RespondentID],'All Data'!$A$3:$CO$999,93,FALSE),"unknown")</f>
        <v>English</v>
      </c>
      <c r="AS314" s="120" t="str">
        <f>IFERROR(VLOOKUP(Table1[RespondentID],'All Data'!$A$3:$CW$999,94,FALSE),"unknown")</f>
        <v>$75,000 to $125,000</v>
      </c>
      <c r="AT314" s="120" t="str">
        <f>IFERROR(VLOOKUP(Table1[RespondentID],'All Data'!$A$3:$CW$999,95,FALSE),"unknown")</f>
        <v>College graduate</v>
      </c>
      <c r="AU314" s="120" t="str">
        <f>IFERROR(VLOOKUP(Table1[RespondentID],'All Data'!$A$3:$CW$999,96,FALSE),"unknown")</f>
        <v>Employed for wages</v>
      </c>
      <c r="AV314" s="120" t="str">
        <f>IFERROR(VLOOKUP(Table1[RespondentID],'All Data'!$A$3:$CW$999,97,FALSE),"unknown")</f>
        <v>Yes</v>
      </c>
      <c r="AW314" s="120" t="str">
        <f>IFERROR(VLOOKUP(Table1[RespondentID],'All Data'!$A$3:$CW$999,98,FALSE),"unknown")</f>
        <v>Private/Commercial</v>
      </c>
      <c r="AX314" s="120" t="str">
        <f>IFERROR(VLOOKUP(Table1[RespondentID],'All Data'!$A$3:$CW$999,99,FALSE),"unknown")</f>
        <v>Yes</v>
      </c>
    </row>
    <row r="315" spans="1:50">
      <c r="A315" s="5">
        <v>18014642721</v>
      </c>
      <c r="B315" s="5"/>
      <c r="C315" s="5" t="s">
        <v>17</v>
      </c>
      <c r="D315" s="5"/>
      <c r="E315" s="5"/>
      <c r="F315" s="5"/>
      <c r="G315" s="5"/>
      <c r="H315" s="5"/>
      <c r="I315" s="5"/>
      <c r="J315" s="5"/>
      <c r="K315" s="5"/>
      <c r="L315" s="5" t="s">
        <v>26</v>
      </c>
      <c r="M315" s="5"/>
      <c r="N315" s="5" t="s">
        <v>28</v>
      </c>
      <c r="O315" s="7"/>
      <c r="P315" s="7">
        <f t="shared" si="72"/>
        <v>3</v>
      </c>
      <c r="Q315" s="7">
        <f t="shared" si="73"/>
        <v>1</v>
      </c>
      <c r="R315" s="7"/>
      <c r="S315" s="7">
        <f t="shared" si="89"/>
        <v>0</v>
      </c>
      <c r="T315" s="7">
        <f t="shared" si="74"/>
        <v>1</v>
      </c>
      <c r="U315" s="7">
        <f t="shared" si="75"/>
        <v>0</v>
      </c>
      <c r="V315" s="119">
        <f t="shared" si="76"/>
        <v>0</v>
      </c>
      <c r="W315" s="119">
        <f t="shared" si="77"/>
        <v>0</v>
      </c>
      <c r="X315" s="119">
        <f t="shared" si="78"/>
        <v>0</v>
      </c>
      <c r="Y315" s="119">
        <f t="shared" si="79"/>
        <v>0</v>
      </c>
      <c r="Z315" s="119">
        <f t="shared" si="80"/>
        <v>0</v>
      </c>
      <c r="AA315" s="119">
        <f t="shared" si="81"/>
        <v>0</v>
      </c>
      <c r="AB315" s="119">
        <f t="shared" si="82"/>
        <v>0</v>
      </c>
      <c r="AC315" s="119">
        <f t="shared" si="83"/>
        <v>1</v>
      </c>
      <c r="AD315" s="119">
        <f t="shared" si="84"/>
        <v>0</v>
      </c>
      <c r="AE315" s="119">
        <f t="shared" si="85"/>
        <v>1</v>
      </c>
      <c r="AF315" s="7"/>
      <c r="AG315" s="7"/>
      <c r="AH315" s="7">
        <f t="shared" si="86"/>
        <v>3</v>
      </c>
      <c r="AI315" s="7">
        <f t="shared" si="87"/>
        <v>3</v>
      </c>
      <c r="AJ315" s="7" t="str">
        <f t="shared" si="88"/>
        <v>Correct</v>
      </c>
      <c r="AL315" s="120" t="str">
        <f>IFERROR(VLOOKUP(Table1[RespondentID],'All Data'!$A$3:$CO$999,87,FALSE),"unknown")</f>
        <v>Woman</v>
      </c>
      <c r="AM315" s="120">
        <f>IFERROR(VLOOKUP(Table1[RespondentID],'All Data'!$A$3:$CO$999,88,FALSE),"unknown")</f>
        <v>57</v>
      </c>
      <c r="AN315" s="120" t="str">
        <f>IFERROR(VLOOKUP(Table1[RespondentID],'All Data'!$A$3:$CO$999,89,FALSE),"unknown")</f>
        <v>Suffolk</v>
      </c>
      <c r="AO315" s="120" t="str">
        <f>IFERROR(VLOOKUP(Table1[RespondentID],'All Data'!$A$3:$CO$999,90,FALSE),"unknown")</f>
        <v>Port Jefferson Station, 11776</v>
      </c>
      <c r="AP315" s="120" t="str">
        <f>IFERROR(VLOOKUP(Table1[RespondentID],'All Data'!$A$3:$CO$999,91,FALSE),"unknown")</f>
        <v>White</v>
      </c>
      <c r="AQ315" s="120" t="str">
        <f>IFERROR(VLOOKUP(Table1[RespondentID],'All Data'!$A$3:$CO$999,92,FALSE),"unknown")</f>
        <v>Hispanic or Latino</v>
      </c>
      <c r="AR315" s="120" t="str">
        <f>IFERROR(VLOOKUP(Table1[RespondentID],'All Data'!$A$3:$CO$999,93,FALSE),"unknown")</f>
        <v>English</v>
      </c>
      <c r="AS315" s="120" t="str">
        <f>IFERROR(VLOOKUP(Table1[RespondentID],'All Data'!$A$3:$CW$999,94,FALSE),"unknown")</f>
        <v>$75,000 to $125,000</v>
      </c>
      <c r="AT315" s="120" t="str">
        <f>IFERROR(VLOOKUP(Table1[RespondentID],'All Data'!$A$3:$CW$999,95,FALSE),"unknown")</f>
        <v>Some college</v>
      </c>
      <c r="AU315" s="120" t="str">
        <f>IFERROR(VLOOKUP(Table1[RespondentID],'All Data'!$A$3:$CW$999,96,FALSE),"unknown")</f>
        <v>Retired</v>
      </c>
      <c r="AV315" s="120" t="str">
        <f>IFERROR(VLOOKUP(Table1[RespondentID],'All Data'!$A$3:$CW$999,97,FALSE),"unknown")</f>
        <v>Yes</v>
      </c>
      <c r="AW315" s="120" t="str">
        <f>IFERROR(VLOOKUP(Table1[RespondentID],'All Data'!$A$3:$CW$999,98,FALSE),"unknown")</f>
        <v>Private/Commercial</v>
      </c>
      <c r="AX315" s="120" t="str">
        <f>IFERROR(VLOOKUP(Table1[RespondentID],'All Data'!$A$3:$CW$999,99,FALSE),"unknown")</f>
        <v>Yes</v>
      </c>
    </row>
    <row r="316" spans="1:50">
      <c r="A316" s="5">
        <v>18014642355</v>
      </c>
      <c r="B316" s="5"/>
      <c r="C316" s="5"/>
      <c r="D316" s="5"/>
      <c r="E316" s="5"/>
      <c r="F316" s="5"/>
      <c r="G316" s="5"/>
      <c r="H316" s="5"/>
      <c r="I316" s="5"/>
      <c r="J316" s="5"/>
      <c r="K316" s="5" t="s">
        <v>25</v>
      </c>
      <c r="L316" s="5" t="s">
        <v>26</v>
      </c>
      <c r="M316" s="5"/>
      <c r="N316" s="5" t="s">
        <v>28</v>
      </c>
      <c r="O316" s="7"/>
      <c r="P316" s="7">
        <f t="shared" si="72"/>
        <v>3</v>
      </c>
      <c r="Q316" s="7">
        <f t="shared" si="73"/>
        <v>1</v>
      </c>
      <c r="R316" s="7"/>
      <c r="S316" s="7">
        <f t="shared" si="89"/>
        <v>0</v>
      </c>
      <c r="T316" s="7">
        <f t="shared" si="74"/>
        <v>0</v>
      </c>
      <c r="U316" s="7">
        <f t="shared" si="75"/>
        <v>0</v>
      </c>
      <c r="V316" s="119">
        <f t="shared" si="76"/>
        <v>0</v>
      </c>
      <c r="W316" s="119">
        <f t="shared" si="77"/>
        <v>0</v>
      </c>
      <c r="X316" s="119">
        <f t="shared" si="78"/>
        <v>0</v>
      </c>
      <c r="Y316" s="119">
        <f t="shared" si="79"/>
        <v>0</v>
      </c>
      <c r="Z316" s="119">
        <f t="shared" si="80"/>
        <v>0</v>
      </c>
      <c r="AA316" s="119">
        <f t="shared" si="81"/>
        <v>0</v>
      </c>
      <c r="AB316" s="119">
        <f t="shared" si="82"/>
        <v>1</v>
      </c>
      <c r="AC316" s="119">
        <f t="shared" si="83"/>
        <v>1</v>
      </c>
      <c r="AD316" s="119">
        <f t="shared" si="84"/>
        <v>0</v>
      </c>
      <c r="AE316" s="119">
        <f t="shared" si="85"/>
        <v>1</v>
      </c>
      <c r="AF316" s="7"/>
      <c r="AG316" s="7"/>
      <c r="AH316" s="7">
        <f t="shared" si="86"/>
        <v>3</v>
      </c>
      <c r="AI316" s="7">
        <f t="shared" si="87"/>
        <v>3</v>
      </c>
      <c r="AJ316" s="7" t="str">
        <f t="shared" si="88"/>
        <v>Correct</v>
      </c>
      <c r="AL316" s="120" t="str">
        <f>IFERROR(VLOOKUP(Table1[RespondentID],'All Data'!$A$3:$CO$999,87,FALSE),"unknown")</f>
        <v>Man</v>
      </c>
      <c r="AM316" s="120">
        <f>IFERROR(VLOOKUP(Table1[RespondentID],'All Data'!$A$3:$CO$999,88,FALSE),"unknown")</f>
        <v>31</v>
      </c>
      <c r="AN316" s="120" t="str">
        <f>IFERROR(VLOOKUP(Table1[RespondentID],'All Data'!$A$3:$CO$999,89,FALSE),"unknown")</f>
        <v>Suffolk</v>
      </c>
      <c r="AO316" s="120" t="str">
        <f>IFERROR(VLOOKUP(Table1[RespondentID],'All Data'!$A$3:$CO$999,90,FALSE),"unknown")</f>
        <v>Port Jefferson Station, 11776</v>
      </c>
      <c r="AP316" s="120" t="str">
        <f>IFERROR(VLOOKUP(Table1[RespondentID],'All Data'!$A$3:$CO$999,91,FALSE),"unknown")</f>
        <v>White</v>
      </c>
      <c r="AQ316" s="120" t="str">
        <f>IFERROR(VLOOKUP(Table1[RespondentID],'All Data'!$A$3:$CO$999,92,FALSE),"unknown")</f>
        <v>Hispanic or Latino</v>
      </c>
      <c r="AR316" s="120" t="str">
        <f>IFERROR(VLOOKUP(Table1[RespondentID],'All Data'!$A$3:$CO$999,93,FALSE),"unknown")</f>
        <v>English</v>
      </c>
      <c r="AS316" s="120" t="str">
        <f>IFERROR(VLOOKUP(Table1[RespondentID],'All Data'!$A$3:$CW$999,94,FALSE),"unknown")</f>
        <v>Over $125,000</v>
      </c>
      <c r="AT316" s="120" t="str">
        <f>IFERROR(VLOOKUP(Table1[RespondentID],'All Data'!$A$3:$CW$999,95,FALSE),"unknown")</f>
        <v>College graduate</v>
      </c>
      <c r="AU316" s="120" t="str">
        <f>IFERROR(VLOOKUP(Table1[RespondentID],'All Data'!$A$3:$CW$999,96,FALSE),"unknown")</f>
        <v>Employed for wages</v>
      </c>
      <c r="AV316" s="120" t="str">
        <f>IFERROR(VLOOKUP(Table1[RespondentID],'All Data'!$A$3:$CW$999,97,FALSE),"unknown")</f>
        <v>Yes</v>
      </c>
      <c r="AW316" s="120" t="str">
        <f>IFERROR(VLOOKUP(Table1[RespondentID],'All Data'!$A$3:$CW$999,98,FALSE),"unknown")</f>
        <v>Private/Commercial</v>
      </c>
      <c r="AX316" s="120" t="str">
        <f>IFERROR(VLOOKUP(Table1[RespondentID],'All Data'!$A$3:$CW$999,99,FALSE),"unknown")</f>
        <v>Yes</v>
      </c>
    </row>
    <row r="317" spans="1:50">
      <c r="A317" s="5">
        <v>18014635603</v>
      </c>
      <c r="B317" s="5"/>
      <c r="C317" s="5"/>
      <c r="D317" s="5"/>
      <c r="E317" s="5" t="s">
        <v>19</v>
      </c>
      <c r="F317" s="5"/>
      <c r="G317" s="5"/>
      <c r="H317" s="5" t="s">
        <v>22</v>
      </c>
      <c r="I317" s="5"/>
      <c r="J317" s="5"/>
      <c r="K317" s="5" t="s">
        <v>25</v>
      </c>
      <c r="L317" s="5"/>
      <c r="M317" s="5"/>
      <c r="N317" s="5"/>
      <c r="O317" s="7"/>
      <c r="P317" s="7">
        <f t="shared" si="72"/>
        <v>3</v>
      </c>
      <c r="Q317" s="7">
        <f t="shared" si="73"/>
        <v>1</v>
      </c>
      <c r="R317" s="7"/>
      <c r="S317" s="7">
        <f t="shared" si="89"/>
        <v>0</v>
      </c>
      <c r="T317" s="7">
        <f t="shared" si="74"/>
        <v>0</v>
      </c>
      <c r="U317" s="7">
        <f t="shared" si="75"/>
        <v>0</v>
      </c>
      <c r="V317" s="119">
        <f t="shared" si="76"/>
        <v>1</v>
      </c>
      <c r="W317" s="119">
        <f t="shared" si="77"/>
        <v>0</v>
      </c>
      <c r="X317" s="119">
        <f t="shared" si="78"/>
        <v>0</v>
      </c>
      <c r="Y317" s="119">
        <f t="shared" si="79"/>
        <v>1</v>
      </c>
      <c r="Z317" s="119">
        <f t="shared" si="80"/>
        <v>0</v>
      </c>
      <c r="AA317" s="119">
        <f t="shared" si="81"/>
        <v>0</v>
      </c>
      <c r="AB317" s="119">
        <f t="shared" si="82"/>
        <v>1</v>
      </c>
      <c r="AC317" s="119">
        <f t="shared" si="83"/>
        <v>0</v>
      </c>
      <c r="AD317" s="119">
        <f t="shared" si="84"/>
        <v>0</v>
      </c>
      <c r="AE317" s="119">
        <f t="shared" si="85"/>
        <v>0</v>
      </c>
      <c r="AF317" s="7"/>
      <c r="AG317" s="7"/>
      <c r="AH317" s="7">
        <f t="shared" si="86"/>
        <v>3</v>
      </c>
      <c r="AI317" s="7">
        <f t="shared" si="87"/>
        <v>3</v>
      </c>
      <c r="AJ317" s="7" t="str">
        <f t="shared" si="88"/>
        <v>Correct</v>
      </c>
      <c r="AL317" s="120" t="str">
        <f>IFERROR(VLOOKUP(Table1[RespondentID],'All Data'!$A$3:$CO$999,87,FALSE),"unknown")</f>
        <v>Man</v>
      </c>
      <c r="AM317" s="120">
        <f>IFERROR(VLOOKUP(Table1[RespondentID],'All Data'!$A$3:$CO$999,88,FALSE),"unknown")</f>
        <v>18</v>
      </c>
      <c r="AN317" s="120" t="str">
        <f>IFERROR(VLOOKUP(Table1[RespondentID],'All Data'!$A$3:$CO$999,89,FALSE),"unknown")</f>
        <v>Nassau</v>
      </c>
      <c r="AO317" s="120" t="str">
        <f>IFERROR(VLOOKUP(Table1[RespondentID],'All Data'!$A$3:$CO$999,90,FALSE),"unknown")</f>
        <v>Malverne, 11565</v>
      </c>
      <c r="AP317" s="120" t="str">
        <f>IFERROR(VLOOKUP(Table1[RespondentID],'All Data'!$A$3:$CO$999,91,FALSE),"unknown")</f>
        <v>White</v>
      </c>
      <c r="AQ317" s="120" t="str">
        <f>IFERROR(VLOOKUP(Table1[RespondentID],'All Data'!$A$3:$CO$999,92,FALSE),"unknown")</f>
        <v>Not Hispanic or Latino</v>
      </c>
      <c r="AR317" s="120" t="str">
        <f>IFERROR(VLOOKUP(Table1[RespondentID],'All Data'!$A$3:$CO$999,93,FALSE),"unknown")</f>
        <v>English, Spanish</v>
      </c>
      <c r="AS317" s="120" t="str">
        <f>IFERROR(VLOOKUP(Table1[RespondentID],'All Data'!$A$3:$CW$999,94,FALSE),"unknown")</f>
        <v>$35,000 to $49,999</v>
      </c>
      <c r="AT317" s="120" t="str">
        <f>IFERROR(VLOOKUP(Table1[RespondentID],'All Data'!$A$3:$CW$999,95,FALSE),"unknown")</f>
        <v>Some college</v>
      </c>
      <c r="AU317" s="120" t="str">
        <f>IFERROR(VLOOKUP(Table1[RespondentID],'All Data'!$A$3:$CW$999,96,FALSE),"unknown")</f>
        <v>Student</v>
      </c>
      <c r="AV317" s="120" t="str">
        <f>IFERROR(VLOOKUP(Table1[RespondentID],'All Data'!$A$3:$CW$999,97,FALSE),"unknown")</f>
        <v>Yes</v>
      </c>
      <c r="AW317" s="120" t="str">
        <f>IFERROR(VLOOKUP(Table1[RespondentID],'All Data'!$A$3:$CW$999,98,FALSE),"unknown")</f>
        <v>Private/Commercial</v>
      </c>
      <c r="AX317" s="120" t="str">
        <f>IFERROR(VLOOKUP(Table1[RespondentID],'All Data'!$A$3:$CW$999,99,FALSE),"unknown")</f>
        <v>Yes</v>
      </c>
    </row>
    <row r="318" spans="1:50">
      <c r="A318" s="5">
        <v>18014599240</v>
      </c>
      <c r="B318" s="5"/>
      <c r="C318" s="5" t="s">
        <v>17</v>
      </c>
      <c r="D318" s="5"/>
      <c r="E318" s="5"/>
      <c r="F318" s="5"/>
      <c r="G318" s="5" t="s">
        <v>21</v>
      </c>
      <c r="H318" s="5"/>
      <c r="I318" s="5"/>
      <c r="J318" s="5"/>
      <c r="K318" s="5"/>
      <c r="L318" s="5" t="s">
        <v>26</v>
      </c>
      <c r="M318" s="5"/>
      <c r="N318" s="5"/>
      <c r="O318" s="7"/>
      <c r="P318" s="7">
        <f t="shared" si="72"/>
        <v>3</v>
      </c>
      <c r="Q318" s="7">
        <f t="shared" si="73"/>
        <v>1</v>
      </c>
      <c r="R318" s="7"/>
      <c r="S318" s="7">
        <f t="shared" si="89"/>
        <v>0</v>
      </c>
      <c r="T318" s="7">
        <f t="shared" si="74"/>
        <v>1</v>
      </c>
      <c r="U318" s="7">
        <f t="shared" si="75"/>
        <v>0</v>
      </c>
      <c r="V318" s="119">
        <f t="shared" si="76"/>
        <v>0</v>
      </c>
      <c r="W318" s="119">
        <f t="shared" si="77"/>
        <v>0</v>
      </c>
      <c r="X318" s="119">
        <f t="shared" si="78"/>
        <v>1</v>
      </c>
      <c r="Y318" s="119">
        <f t="shared" si="79"/>
        <v>0</v>
      </c>
      <c r="Z318" s="119">
        <f t="shared" si="80"/>
        <v>0</v>
      </c>
      <c r="AA318" s="119">
        <f t="shared" si="81"/>
        <v>0</v>
      </c>
      <c r="AB318" s="119">
        <f t="shared" si="82"/>
        <v>0</v>
      </c>
      <c r="AC318" s="119">
        <f t="shared" si="83"/>
        <v>1</v>
      </c>
      <c r="AD318" s="119">
        <f t="shared" si="84"/>
        <v>0</v>
      </c>
      <c r="AE318" s="119">
        <f t="shared" si="85"/>
        <v>0</v>
      </c>
      <c r="AF318" s="7"/>
      <c r="AG318" s="7"/>
      <c r="AH318" s="7">
        <f t="shared" si="86"/>
        <v>3</v>
      </c>
      <c r="AI318" s="7">
        <f t="shared" si="87"/>
        <v>3</v>
      </c>
      <c r="AJ318" s="7" t="str">
        <f t="shared" si="88"/>
        <v>Correct</v>
      </c>
      <c r="AL318" s="120" t="str">
        <f>IFERROR(VLOOKUP(Table1[RespondentID],'All Data'!$A$3:$CO$999,87,FALSE),"unknown")</f>
        <v>Man</v>
      </c>
      <c r="AM318" s="120">
        <f>IFERROR(VLOOKUP(Table1[RespondentID],'All Data'!$A$3:$CO$999,88,FALSE),"unknown")</f>
        <v>17</v>
      </c>
      <c r="AN318" s="120" t="str">
        <f>IFERROR(VLOOKUP(Table1[RespondentID],'All Data'!$A$3:$CO$999,89,FALSE),"unknown")</f>
        <v>Suffolk</v>
      </c>
      <c r="AO318" s="120" t="str">
        <f>IFERROR(VLOOKUP(Table1[RespondentID],'All Data'!$A$3:$CO$999,90,FALSE),"unknown")</f>
        <v>Commack, 11725</v>
      </c>
      <c r="AP318" s="120" t="str">
        <f>IFERROR(VLOOKUP(Table1[RespondentID],'All Data'!$A$3:$CO$999,91,FALSE),"unknown")</f>
        <v>White</v>
      </c>
      <c r="AQ318" s="120" t="str">
        <f>IFERROR(VLOOKUP(Table1[RespondentID],'All Data'!$A$3:$CO$999,92,FALSE),"unknown")</f>
        <v>Hispanic or Latino</v>
      </c>
      <c r="AR318" s="120" t="str">
        <f>IFERROR(VLOOKUP(Table1[RespondentID],'All Data'!$A$3:$CO$999,93,FALSE),"unknown")</f>
        <v>English</v>
      </c>
      <c r="AS318" s="120" t="str">
        <f>IFERROR(VLOOKUP(Table1[RespondentID],'All Data'!$A$3:$CW$999,94,FALSE),"unknown")</f>
        <v>Over $125,000</v>
      </c>
      <c r="AT318" s="120" t="str">
        <f>IFERROR(VLOOKUP(Table1[RespondentID],'All Data'!$A$3:$CW$999,95,FALSE),"unknown")</f>
        <v>High school graduate</v>
      </c>
      <c r="AU318" s="120" t="str">
        <f>IFERROR(VLOOKUP(Table1[RespondentID],'All Data'!$A$3:$CW$999,96,FALSE),"unknown")</f>
        <v>Employed for wages</v>
      </c>
      <c r="AV318" s="120" t="str">
        <f>IFERROR(VLOOKUP(Table1[RespondentID],'All Data'!$A$3:$CW$999,97,FALSE),"unknown")</f>
        <v>Yes</v>
      </c>
      <c r="AW318" s="120" t="str">
        <f>IFERROR(VLOOKUP(Table1[RespondentID],'All Data'!$A$3:$CW$999,98,FALSE),"unknown")</f>
        <v>Medicare</v>
      </c>
      <c r="AX318" s="120" t="str">
        <f>IFERROR(VLOOKUP(Table1[RespondentID],'All Data'!$A$3:$CW$999,99,FALSE),"unknown")</f>
        <v>Yes</v>
      </c>
    </row>
    <row r="319" spans="1:50">
      <c r="A319" s="5">
        <v>18014578066</v>
      </c>
      <c r="B319" s="5"/>
      <c r="C319" s="5"/>
      <c r="D319" s="5"/>
      <c r="E319" s="5" t="s">
        <v>19</v>
      </c>
      <c r="F319" s="5"/>
      <c r="G319" s="5"/>
      <c r="H319" s="5"/>
      <c r="I319" s="5"/>
      <c r="J319" s="5"/>
      <c r="K319" s="5" t="s">
        <v>25</v>
      </c>
      <c r="L319" s="5" t="s">
        <v>26</v>
      </c>
      <c r="M319" s="5"/>
      <c r="N319" s="5"/>
      <c r="O319" s="7"/>
      <c r="P319" s="7">
        <f t="shared" si="72"/>
        <v>3</v>
      </c>
      <c r="Q319" s="7">
        <f t="shared" si="73"/>
        <v>1</v>
      </c>
      <c r="R319" s="7"/>
      <c r="S319" s="7">
        <f t="shared" si="89"/>
        <v>0</v>
      </c>
      <c r="T319" s="7">
        <f t="shared" si="74"/>
        <v>0</v>
      </c>
      <c r="U319" s="7">
        <f t="shared" si="75"/>
        <v>0</v>
      </c>
      <c r="V319" s="119">
        <f t="shared" si="76"/>
        <v>1</v>
      </c>
      <c r="W319" s="119">
        <f t="shared" si="77"/>
        <v>0</v>
      </c>
      <c r="X319" s="119">
        <f t="shared" si="78"/>
        <v>0</v>
      </c>
      <c r="Y319" s="119">
        <f t="shared" si="79"/>
        <v>0</v>
      </c>
      <c r="Z319" s="119">
        <f t="shared" si="80"/>
        <v>0</v>
      </c>
      <c r="AA319" s="119">
        <f t="shared" si="81"/>
        <v>0</v>
      </c>
      <c r="AB319" s="119">
        <f t="shared" si="82"/>
        <v>1</v>
      </c>
      <c r="AC319" s="119">
        <f t="shared" si="83"/>
        <v>1</v>
      </c>
      <c r="AD319" s="119">
        <f t="shared" si="84"/>
        <v>0</v>
      </c>
      <c r="AE319" s="119">
        <f t="shared" si="85"/>
        <v>0</v>
      </c>
      <c r="AF319" s="7"/>
      <c r="AG319" s="7"/>
      <c r="AH319" s="7">
        <f t="shared" si="86"/>
        <v>3</v>
      </c>
      <c r="AI319" s="7">
        <f t="shared" si="87"/>
        <v>3</v>
      </c>
      <c r="AJ319" s="7" t="str">
        <f t="shared" si="88"/>
        <v>Correct</v>
      </c>
      <c r="AL319" s="120" t="str">
        <f>IFERROR(VLOOKUP(Table1[RespondentID],'All Data'!$A$3:$CO$999,87,FALSE),"unknown")</f>
        <v>Transgender</v>
      </c>
      <c r="AM319" s="120">
        <f>IFERROR(VLOOKUP(Table1[RespondentID],'All Data'!$A$3:$CO$999,88,FALSE),"unknown")</f>
        <v>24</v>
      </c>
      <c r="AN319" s="120" t="str">
        <f>IFERROR(VLOOKUP(Table1[RespondentID],'All Data'!$A$3:$CO$999,89,FALSE),"unknown")</f>
        <v>Queens</v>
      </c>
      <c r="AO319" s="120">
        <f>IFERROR(VLOOKUP(Table1[RespondentID],'All Data'!$A$3:$CO$999,90,FALSE),"unknown")</f>
        <v>11429</v>
      </c>
      <c r="AP319" s="120" t="str">
        <f>IFERROR(VLOOKUP(Table1[RespondentID],'All Data'!$A$3:$CO$999,91,FALSE),"unknown")</f>
        <v>Native Hawaiian and Other Pacific Islander</v>
      </c>
      <c r="AQ319" s="120">
        <f>IFERROR(VLOOKUP(Table1[RespondentID],'All Data'!$A$3:$CO$999,92,FALSE),"unknown")</f>
        <v>0</v>
      </c>
      <c r="AR319" s="120">
        <f>IFERROR(VLOOKUP(Table1[RespondentID],'All Data'!$A$3:$CO$999,93,FALSE),"unknown")</f>
        <v>0</v>
      </c>
      <c r="AS319" s="120" t="str">
        <f>IFERROR(VLOOKUP(Table1[RespondentID],'All Data'!$A$3:$CW$999,94,FALSE),"unknown")</f>
        <v>Over $125,000</v>
      </c>
      <c r="AT319" s="120" t="str">
        <f>IFERROR(VLOOKUP(Table1[RespondentID],'All Data'!$A$3:$CW$999,95,FALSE),"unknown")</f>
        <v>College graduate</v>
      </c>
      <c r="AU319" s="120" t="str">
        <f>IFERROR(VLOOKUP(Table1[RespondentID],'All Data'!$A$3:$CW$999,96,FALSE),"unknown")</f>
        <v>Employed for wages</v>
      </c>
      <c r="AV319" s="120" t="str">
        <f>IFERROR(VLOOKUP(Table1[RespondentID],'All Data'!$A$3:$CW$999,97,FALSE),"unknown")</f>
        <v>Yes</v>
      </c>
      <c r="AW319" s="120" t="str">
        <f>IFERROR(VLOOKUP(Table1[RespondentID],'All Data'!$A$3:$CW$999,98,FALSE),"unknown")</f>
        <v>Private/Commercial</v>
      </c>
      <c r="AX319" s="120" t="str">
        <f>IFERROR(VLOOKUP(Table1[RespondentID],'All Data'!$A$3:$CW$999,99,FALSE),"unknown")</f>
        <v>Yes</v>
      </c>
    </row>
    <row r="320" spans="1:50">
      <c r="A320" s="5">
        <v>18014577716</v>
      </c>
      <c r="B320" s="5"/>
      <c r="C320" s="5" t="s">
        <v>17</v>
      </c>
      <c r="D320" s="5"/>
      <c r="E320" s="5"/>
      <c r="F320" s="5"/>
      <c r="G320" s="5"/>
      <c r="H320" s="5"/>
      <c r="I320" s="5"/>
      <c r="J320" s="5" t="s">
        <v>24</v>
      </c>
      <c r="K320" s="5"/>
      <c r="L320" s="5"/>
      <c r="M320" s="5"/>
      <c r="N320" s="5" t="s">
        <v>28</v>
      </c>
      <c r="O320" s="7"/>
      <c r="P320" s="7">
        <f t="shared" si="72"/>
        <v>3</v>
      </c>
      <c r="Q320" s="7">
        <f t="shared" si="73"/>
        <v>1</v>
      </c>
      <c r="R320" s="7"/>
      <c r="S320" s="7">
        <f t="shared" si="89"/>
        <v>0</v>
      </c>
      <c r="T320" s="7">
        <f t="shared" si="74"/>
        <v>1</v>
      </c>
      <c r="U320" s="7">
        <f t="shared" si="75"/>
        <v>0</v>
      </c>
      <c r="V320" s="119">
        <f t="shared" si="76"/>
        <v>0</v>
      </c>
      <c r="W320" s="119">
        <f t="shared" si="77"/>
        <v>0</v>
      </c>
      <c r="X320" s="119">
        <f t="shared" si="78"/>
        <v>0</v>
      </c>
      <c r="Y320" s="119">
        <f t="shared" si="79"/>
        <v>0</v>
      </c>
      <c r="Z320" s="119">
        <f t="shared" si="80"/>
        <v>0</v>
      </c>
      <c r="AA320" s="119">
        <f t="shared" si="81"/>
        <v>1</v>
      </c>
      <c r="AB320" s="119">
        <f t="shared" si="82"/>
        <v>0</v>
      </c>
      <c r="AC320" s="119">
        <f t="shared" si="83"/>
        <v>0</v>
      </c>
      <c r="AD320" s="119">
        <f t="shared" si="84"/>
        <v>0</v>
      </c>
      <c r="AE320" s="119">
        <f t="shared" si="85"/>
        <v>1</v>
      </c>
      <c r="AF320" s="7"/>
      <c r="AG320" s="7"/>
      <c r="AH320" s="7">
        <f t="shared" si="86"/>
        <v>3</v>
      </c>
      <c r="AI320" s="7">
        <f t="shared" si="87"/>
        <v>3</v>
      </c>
      <c r="AJ320" s="7" t="str">
        <f t="shared" si="88"/>
        <v>Correct</v>
      </c>
      <c r="AL320" s="120" t="str">
        <f>IFERROR(VLOOKUP(Table1[RespondentID],'All Data'!$A$3:$CO$999,87,FALSE),"unknown")</f>
        <v>Man</v>
      </c>
      <c r="AM320" s="120">
        <f>IFERROR(VLOOKUP(Table1[RespondentID],'All Data'!$A$3:$CO$999,88,FALSE),"unknown")</f>
        <v>67</v>
      </c>
      <c r="AN320" s="120" t="str">
        <f>IFERROR(VLOOKUP(Table1[RespondentID],'All Data'!$A$3:$CO$999,89,FALSE),"unknown")</f>
        <v>Suffolk</v>
      </c>
      <c r="AO320" s="120" t="str">
        <f>IFERROR(VLOOKUP(Table1[RespondentID],'All Data'!$A$3:$CO$999,90,FALSE),"unknown")</f>
        <v>Huntington Station, 11747</v>
      </c>
      <c r="AP320" s="120" t="str">
        <f>IFERROR(VLOOKUP(Table1[RespondentID],'All Data'!$A$3:$CO$999,91,FALSE),"unknown")</f>
        <v>American Indian and Alaska Native</v>
      </c>
      <c r="AQ320" s="120" t="str">
        <f>IFERROR(VLOOKUP(Table1[RespondentID],'All Data'!$A$3:$CO$999,92,FALSE),"unknown")</f>
        <v>Hispanic or Latino</v>
      </c>
      <c r="AR320" s="120" t="str">
        <f>IFERROR(VLOOKUP(Table1[RespondentID],'All Data'!$A$3:$CO$999,93,FALSE),"unknown")</f>
        <v>English</v>
      </c>
      <c r="AS320" s="120" t="str">
        <f>IFERROR(VLOOKUP(Table1[RespondentID],'All Data'!$A$3:$CW$999,94,FALSE),"unknown")</f>
        <v>$75,000 to $125,000</v>
      </c>
      <c r="AT320" s="120" t="str">
        <f>IFERROR(VLOOKUP(Table1[RespondentID],'All Data'!$A$3:$CW$999,95,FALSE),"unknown")</f>
        <v>College graduate</v>
      </c>
      <c r="AU320" s="120" t="str">
        <f>IFERROR(VLOOKUP(Table1[RespondentID],'All Data'!$A$3:$CW$999,96,FALSE),"unknown")</f>
        <v>Retired</v>
      </c>
      <c r="AV320" s="120" t="str">
        <f>IFERROR(VLOOKUP(Table1[RespondentID],'All Data'!$A$3:$CW$999,97,FALSE),"unknown")</f>
        <v>Yes</v>
      </c>
      <c r="AW320" s="120" t="str">
        <f>IFERROR(VLOOKUP(Table1[RespondentID],'All Data'!$A$3:$CW$999,98,FALSE),"unknown")</f>
        <v>Medicare, Private/Commercial</v>
      </c>
      <c r="AX320" s="120" t="str">
        <f>IFERROR(VLOOKUP(Table1[RespondentID],'All Data'!$A$3:$CW$999,99,FALSE),"unknown")</f>
        <v>Yes</v>
      </c>
    </row>
    <row r="321" spans="1:50">
      <c r="A321" s="5">
        <v>18014577265</v>
      </c>
      <c r="B321" s="5"/>
      <c r="C321" s="5" t="s">
        <v>17</v>
      </c>
      <c r="D321" s="5" t="s">
        <v>18</v>
      </c>
      <c r="E321" s="5" t="s">
        <v>19</v>
      </c>
      <c r="F321" s="5"/>
      <c r="G321" s="5" t="s">
        <v>21</v>
      </c>
      <c r="H321" s="5" t="s">
        <v>22</v>
      </c>
      <c r="I321" s="5" t="s">
        <v>23</v>
      </c>
      <c r="J321" s="5" t="s">
        <v>24</v>
      </c>
      <c r="K321" s="5" t="s">
        <v>25</v>
      </c>
      <c r="L321" s="5" t="s">
        <v>26</v>
      </c>
      <c r="M321" s="5" t="s">
        <v>27</v>
      </c>
      <c r="N321" s="5"/>
      <c r="O321" s="7"/>
      <c r="P321" s="7">
        <f t="shared" si="72"/>
        <v>10</v>
      </c>
      <c r="Q321" s="7">
        <f t="shared" si="73"/>
        <v>0.3</v>
      </c>
      <c r="R321" s="7"/>
      <c r="S321" s="7">
        <f t="shared" si="89"/>
        <v>0</v>
      </c>
      <c r="T321" s="7">
        <f t="shared" si="74"/>
        <v>0.3</v>
      </c>
      <c r="U321" s="7">
        <f t="shared" si="75"/>
        <v>0.3</v>
      </c>
      <c r="V321" s="119">
        <f t="shared" si="76"/>
        <v>0.3</v>
      </c>
      <c r="W321" s="119">
        <f t="shared" si="77"/>
        <v>0</v>
      </c>
      <c r="X321" s="119">
        <f t="shared" si="78"/>
        <v>0.3</v>
      </c>
      <c r="Y321" s="119">
        <f t="shared" si="79"/>
        <v>0.3</v>
      </c>
      <c r="Z321" s="119">
        <f t="shared" si="80"/>
        <v>0.3</v>
      </c>
      <c r="AA321" s="119">
        <f t="shared" si="81"/>
        <v>0.3</v>
      </c>
      <c r="AB321" s="119">
        <f t="shared" si="82"/>
        <v>0.3</v>
      </c>
      <c r="AC321" s="119">
        <f t="shared" si="83"/>
        <v>0.3</v>
      </c>
      <c r="AD321" s="119">
        <f t="shared" si="84"/>
        <v>0.3</v>
      </c>
      <c r="AE321" s="119">
        <f t="shared" si="85"/>
        <v>0</v>
      </c>
      <c r="AF321" s="7"/>
      <c r="AG321" s="7"/>
      <c r="AH321" s="7">
        <f t="shared" si="86"/>
        <v>2.9999999999999996</v>
      </c>
      <c r="AI321" s="7">
        <f t="shared" si="87"/>
        <v>10</v>
      </c>
      <c r="AJ321" s="7" t="str">
        <f t="shared" si="88"/>
        <v>Correct</v>
      </c>
      <c r="AL321" s="120" t="str">
        <f>IFERROR(VLOOKUP(Table1[RespondentID],'All Data'!$A$3:$CO$999,87,FALSE),"unknown")</f>
        <v>Man</v>
      </c>
      <c r="AM321" s="120">
        <f>IFERROR(VLOOKUP(Table1[RespondentID],'All Data'!$A$3:$CO$999,88,FALSE),"unknown")</f>
        <v>19</v>
      </c>
      <c r="AN321" s="120" t="str">
        <f>IFERROR(VLOOKUP(Table1[RespondentID],'All Data'!$A$3:$CO$999,89,FALSE),"unknown")</f>
        <v>Nassau</v>
      </c>
      <c r="AO321" s="120" t="str">
        <f>IFERROR(VLOOKUP(Table1[RespondentID],'All Data'!$A$3:$CO$999,90,FALSE),"unknown")</f>
        <v>Farmingdale, 11735</v>
      </c>
      <c r="AP321" s="120" t="str">
        <f>IFERROR(VLOOKUP(Table1[RespondentID],'All Data'!$A$3:$CO$999,91,FALSE),"unknown")</f>
        <v>American Indian and Alaska Native</v>
      </c>
      <c r="AQ321" s="120" t="str">
        <f>IFERROR(VLOOKUP(Table1[RespondentID],'All Data'!$A$3:$CO$999,92,FALSE),"unknown")</f>
        <v>Hispanic or Latino</v>
      </c>
      <c r="AR321" s="120" t="str">
        <f>IFERROR(VLOOKUP(Table1[RespondentID],'All Data'!$A$3:$CO$999,93,FALSE),"unknown")</f>
        <v>English</v>
      </c>
      <c r="AS321" s="120" t="str">
        <f>IFERROR(VLOOKUP(Table1[RespondentID],'All Data'!$A$3:$CW$999,94,FALSE),"unknown")</f>
        <v>$50,000 to $74,999</v>
      </c>
      <c r="AT321" s="120" t="str">
        <f>IFERROR(VLOOKUP(Table1[RespondentID],'All Data'!$A$3:$CW$999,95,FALSE),"unknown")</f>
        <v>Some college</v>
      </c>
      <c r="AU321" s="120" t="str">
        <f>IFERROR(VLOOKUP(Table1[RespondentID],'All Data'!$A$3:$CW$999,96,FALSE),"unknown")</f>
        <v>Student</v>
      </c>
      <c r="AV321" s="120" t="str">
        <f>IFERROR(VLOOKUP(Table1[RespondentID],'All Data'!$A$3:$CW$999,97,FALSE),"unknown")</f>
        <v>Yes</v>
      </c>
      <c r="AW321" s="120" t="str">
        <f>IFERROR(VLOOKUP(Table1[RespondentID],'All Data'!$A$3:$CW$999,98,FALSE),"unknown")</f>
        <v>Medicare</v>
      </c>
      <c r="AX321" s="120" t="str">
        <f>IFERROR(VLOOKUP(Table1[RespondentID],'All Data'!$A$3:$CW$999,99,FALSE),"unknown")</f>
        <v>Yes</v>
      </c>
    </row>
    <row r="322" spans="1:50">
      <c r="A322" s="5">
        <v>18014577228</v>
      </c>
      <c r="B322" s="5"/>
      <c r="C322" s="5" t="s">
        <v>17</v>
      </c>
      <c r="D322" s="5" t="s">
        <v>18</v>
      </c>
      <c r="E322" s="5"/>
      <c r="F322" s="5"/>
      <c r="G322" s="5"/>
      <c r="H322" s="5"/>
      <c r="I322" s="5"/>
      <c r="J322" s="5"/>
      <c r="K322" s="5"/>
      <c r="L322" s="5" t="s">
        <v>26</v>
      </c>
      <c r="M322" s="5"/>
      <c r="N322" s="5"/>
      <c r="O322" s="7"/>
      <c r="P322" s="7">
        <f t="shared" ref="P322:P385" si="90">COUNTA(B322:N322)</f>
        <v>3</v>
      </c>
      <c r="Q322" s="7">
        <f t="shared" ref="Q322:Q385" si="91">3/P322</f>
        <v>1</v>
      </c>
      <c r="R322" s="7"/>
      <c r="S322" s="7">
        <f t="shared" si="89"/>
        <v>0</v>
      </c>
      <c r="T322" s="7">
        <f t="shared" ref="T322:T385" si="92">IF($P322&lt;3,IF($C322=$C$1,1,0),IF($C322=$C$1,$Q322,0))</f>
        <v>1</v>
      </c>
      <c r="U322" s="7">
        <f t="shared" ref="U322:U385" si="93">IF($P322&lt;3,IF($D322=$D$1,1,0),IF($D322=$D$1,$Q322,0))</f>
        <v>1</v>
      </c>
      <c r="V322" s="119">
        <f t="shared" ref="V322:V385" si="94">IF($P322&lt;3,IF($E322=$E$1,1,0),IF($E322=$E$1,$Q322,0))</f>
        <v>0</v>
      </c>
      <c r="W322" s="119">
        <f t="shared" ref="W322:W385" si="95">IF($P322&lt;3,IF($F322=$F$1,1,0),IF($F322=$F$1,$Q322,0))</f>
        <v>0</v>
      </c>
      <c r="X322" s="119">
        <f t="shared" ref="X322:X385" si="96">IF($P322&lt;3,IF($G322=$G$1,1,0),IF($G322=$G$1,$Q322,0))</f>
        <v>0</v>
      </c>
      <c r="Y322" s="119">
        <f t="shared" ref="Y322:Y385" si="97">IF($P322&lt;3,IF($H322=$H$1,1,0),IF($H322=$H$1,$Q322,0))</f>
        <v>0</v>
      </c>
      <c r="Z322" s="119">
        <f t="shared" ref="Z322:Z385" si="98">IF($P322&lt;3,IF($I322=$I$1,1,0),IF($I322=$I$1,$Q322,0))</f>
        <v>0</v>
      </c>
      <c r="AA322" s="119">
        <f t="shared" ref="AA322:AA385" si="99">IF($P322&lt;3,IF($J322=$J$1,1,0),IF($J322=$J$1,$Q322,0))</f>
        <v>0</v>
      </c>
      <c r="AB322" s="119">
        <f t="shared" ref="AB322:AB385" si="100">IF($P322&lt;3,IF($K322=$K$1,1,0),IF($K322=$K$1,$Q322,0))</f>
        <v>0</v>
      </c>
      <c r="AC322" s="119">
        <f t="shared" ref="AC322:AC385" si="101">IF($P322&lt;3,IF($L322=$L$1,1,0),IF($L322=$L$1,$Q322,0))</f>
        <v>1</v>
      </c>
      <c r="AD322" s="119">
        <f t="shared" ref="AD322:AD385" si="102">IF($P322&lt;3,IF($M322=$M$1,1,0),IF($M322=$M$1,$Q322,0))</f>
        <v>0</v>
      </c>
      <c r="AE322" s="119">
        <f t="shared" ref="AE322:AE385" si="103">IF($P322&lt;3,IF($N322=$N$1,1,0),IF($N322=$N$1,$Q322,0))</f>
        <v>0</v>
      </c>
      <c r="AF322" s="7"/>
      <c r="AG322" s="7"/>
      <c r="AH322" s="7">
        <f t="shared" ref="AH322:AH385" si="104">SUM(S322:AE322)</f>
        <v>3</v>
      </c>
      <c r="AI322" s="7">
        <f t="shared" ref="AI322:AI385" si="105">P322</f>
        <v>3</v>
      </c>
      <c r="AJ322" s="7" t="str">
        <f t="shared" ref="AJ322:AJ385" si="106">IF(AH322=AI322,"Correct",IF(AH322=3,"Correct","Wrong"))</f>
        <v>Correct</v>
      </c>
      <c r="AL322" s="120" t="str">
        <f>IFERROR(VLOOKUP(Table1[RespondentID],'All Data'!$A$3:$CO$999,87,FALSE),"unknown")</f>
        <v>Man</v>
      </c>
      <c r="AM322" s="120">
        <f>IFERROR(VLOOKUP(Table1[RespondentID],'All Data'!$A$3:$CO$999,88,FALSE),"unknown")</f>
        <v>54</v>
      </c>
      <c r="AN322" s="120" t="str">
        <f>IFERROR(VLOOKUP(Table1[RespondentID],'All Data'!$A$3:$CO$999,89,FALSE),"unknown")</f>
        <v>Nassau</v>
      </c>
      <c r="AO322" s="120" t="str">
        <f>IFERROR(VLOOKUP(Table1[RespondentID],'All Data'!$A$3:$CO$999,90,FALSE),"unknown")</f>
        <v>Farmingdale, 11735</v>
      </c>
      <c r="AP322" s="120" t="str">
        <f>IFERROR(VLOOKUP(Table1[RespondentID],'All Data'!$A$3:$CO$999,91,FALSE),"unknown")</f>
        <v>American Indian and Alaska Native</v>
      </c>
      <c r="AQ322" s="120" t="str">
        <f>IFERROR(VLOOKUP(Table1[RespondentID],'All Data'!$A$3:$CO$999,92,FALSE),"unknown")</f>
        <v>Hispanic or Latino</v>
      </c>
      <c r="AR322" s="120">
        <f>IFERROR(VLOOKUP(Table1[RespondentID],'All Data'!$A$3:$CO$999,93,FALSE),"unknown")</f>
        <v>0</v>
      </c>
      <c r="AS322" s="120">
        <f>IFERROR(VLOOKUP(Table1[RespondentID],'All Data'!$A$3:$CW$999,94,FALSE),"unknown")</f>
        <v>0</v>
      </c>
      <c r="AT322" s="120" t="str">
        <f>IFERROR(VLOOKUP(Table1[RespondentID],'All Data'!$A$3:$CW$999,95,FALSE),"unknown")</f>
        <v>College graduate</v>
      </c>
      <c r="AU322" s="120" t="str">
        <f>IFERROR(VLOOKUP(Table1[RespondentID],'All Data'!$A$3:$CW$999,96,FALSE),"unknown")</f>
        <v>Employed for wages</v>
      </c>
      <c r="AV322" s="120" t="str">
        <f>IFERROR(VLOOKUP(Table1[RespondentID],'All Data'!$A$3:$CW$999,97,FALSE),"unknown")</f>
        <v>Yes</v>
      </c>
      <c r="AW322" s="120" t="str">
        <f>IFERROR(VLOOKUP(Table1[RespondentID],'All Data'!$A$3:$CW$999,98,FALSE),"unknown")</f>
        <v>Medicaid</v>
      </c>
      <c r="AX322" s="120" t="str">
        <f>IFERROR(VLOOKUP(Table1[RespondentID],'All Data'!$A$3:$CW$999,99,FALSE),"unknown")</f>
        <v>Yes</v>
      </c>
    </row>
    <row r="323" spans="1:50">
      <c r="A323" s="5">
        <v>18014577099</v>
      </c>
      <c r="B323" s="5"/>
      <c r="C323" s="5"/>
      <c r="D323" s="5"/>
      <c r="E323" s="5" t="s">
        <v>19</v>
      </c>
      <c r="F323" s="5"/>
      <c r="G323" s="5"/>
      <c r="H323" s="5"/>
      <c r="I323" s="5"/>
      <c r="J323" s="5"/>
      <c r="K323" s="5" t="s">
        <v>25</v>
      </c>
      <c r="L323" s="5" t="s">
        <v>26</v>
      </c>
      <c r="M323" s="5"/>
      <c r="N323" s="5"/>
      <c r="O323" s="7"/>
      <c r="P323" s="7">
        <f t="shared" si="90"/>
        <v>3</v>
      </c>
      <c r="Q323" s="7">
        <f t="shared" si="91"/>
        <v>1</v>
      </c>
      <c r="R323" s="7"/>
      <c r="S323" s="7">
        <f t="shared" si="89"/>
        <v>0</v>
      </c>
      <c r="T323" s="7">
        <f t="shared" si="92"/>
        <v>0</v>
      </c>
      <c r="U323" s="7">
        <f t="shared" si="93"/>
        <v>0</v>
      </c>
      <c r="V323" s="119">
        <f t="shared" si="94"/>
        <v>1</v>
      </c>
      <c r="W323" s="119">
        <f t="shared" si="95"/>
        <v>0</v>
      </c>
      <c r="X323" s="119">
        <f t="shared" si="96"/>
        <v>0</v>
      </c>
      <c r="Y323" s="119">
        <f t="shared" si="97"/>
        <v>0</v>
      </c>
      <c r="Z323" s="119">
        <f t="shared" si="98"/>
        <v>0</v>
      </c>
      <c r="AA323" s="119">
        <f t="shared" si="99"/>
        <v>0</v>
      </c>
      <c r="AB323" s="119">
        <f t="shared" si="100"/>
        <v>1</v>
      </c>
      <c r="AC323" s="119">
        <f t="shared" si="101"/>
        <v>1</v>
      </c>
      <c r="AD323" s="119">
        <f t="shared" si="102"/>
        <v>0</v>
      </c>
      <c r="AE323" s="119">
        <f t="shared" si="103"/>
        <v>0</v>
      </c>
      <c r="AF323" s="7"/>
      <c r="AG323" s="7"/>
      <c r="AH323" s="7">
        <f t="shared" si="104"/>
        <v>3</v>
      </c>
      <c r="AI323" s="7">
        <f t="shared" si="105"/>
        <v>3</v>
      </c>
      <c r="AJ323" s="7" t="str">
        <f t="shared" si="106"/>
        <v>Correct</v>
      </c>
      <c r="AL323" s="120" t="str">
        <f>IFERROR(VLOOKUP(Table1[RespondentID],'All Data'!$A$3:$CO$999,87,FALSE),"unknown")</f>
        <v>Woman</v>
      </c>
      <c r="AM323" s="120">
        <f>IFERROR(VLOOKUP(Table1[RespondentID],'All Data'!$A$3:$CO$999,88,FALSE),"unknown")</f>
        <v>16</v>
      </c>
      <c r="AN323" s="120" t="str">
        <f>IFERROR(VLOOKUP(Table1[RespondentID],'All Data'!$A$3:$CO$999,89,FALSE),"unknown")</f>
        <v>Suffolk</v>
      </c>
      <c r="AO323" s="120" t="str">
        <f>IFERROR(VLOOKUP(Table1[RespondentID],'All Data'!$A$3:$CO$999,90,FALSE),"unknown")</f>
        <v>Smithtown, 11787</v>
      </c>
      <c r="AP323" s="120">
        <f>IFERROR(VLOOKUP(Table1[RespondentID],'All Data'!$A$3:$CO$999,91,FALSE),"unknown")</f>
        <v>0</v>
      </c>
      <c r="AQ323" s="120">
        <f>IFERROR(VLOOKUP(Table1[RespondentID],'All Data'!$A$3:$CO$999,92,FALSE),"unknown")</f>
        <v>0</v>
      </c>
      <c r="AR323" s="120">
        <f>IFERROR(VLOOKUP(Table1[RespondentID],'All Data'!$A$3:$CO$999,93,FALSE),"unknown")</f>
        <v>0</v>
      </c>
      <c r="AS323" s="120">
        <f>IFERROR(VLOOKUP(Table1[RespondentID],'All Data'!$A$3:$CW$999,94,FALSE),"unknown")</f>
        <v>0</v>
      </c>
      <c r="AT323" s="120">
        <f>IFERROR(VLOOKUP(Table1[RespondentID],'All Data'!$A$3:$CW$999,95,FALSE),"unknown")</f>
        <v>0</v>
      </c>
      <c r="AU323" s="120">
        <f>IFERROR(VLOOKUP(Table1[RespondentID],'All Data'!$A$3:$CW$999,96,FALSE),"unknown")</f>
        <v>0</v>
      </c>
      <c r="AV323" s="120">
        <f>IFERROR(VLOOKUP(Table1[RespondentID],'All Data'!$A$3:$CW$999,97,FALSE),"unknown")</f>
        <v>0</v>
      </c>
      <c r="AW323" s="120">
        <f>IFERROR(VLOOKUP(Table1[RespondentID],'All Data'!$A$3:$CW$999,98,FALSE),"unknown")</f>
        <v>0</v>
      </c>
      <c r="AX323" s="120">
        <f>IFERROR(VLOOKUP(Table1[RespondentID],'All Data'!$A$3:$CW$999,99,FALSE),"unknown")</f>
        <v>0</v>
      </c>
    </row>
    <row r="324" spans="1:50">
      <c r="A324" s="5">
        <v>18014577029</v>
      </c>
      <c r="B324" s="5"/>
      <c r="C324" s="5"/>
      <c r="D324" s="5" t="s">
        <v>18</v>
      </c>
      <c r="E324" s="5"/>
      <c r="F324" s="5"/>
      <c r="G324" s="5" t="s">
        <v>21</v>
      </c>
      <c r="H324" s="5"/>
      <c r="I324" s="5"/>
      <c r="J324" s="5" t="s">
        <v>24</v>
      </c>
      <c r="K324" s="5"/>
      <c r="L324" s="5"/>
      <c r="M324" s="5"/>
      <c r="N324" s="5" t="s">
        <v>28</v>
      </c>
      <c r="O324" s="7"/>
      <c r="P324" s="7">
        <f t="shared" si="90"/>
        <v>4</v>
      </c>
      <c r="Q324" s="7">
        <f t="shared" si="91"/>
        <v>0.75</v>
      </c>
      <c r="R324" s="7"/>
      <c r="S324" s="7">
        <f t="shared" ref="S324:S387" si="107">IF($P324&lt;3,IF($B324=$B$1,1,0),IF($B324=$B$1,$Q324,0))</f>
        <v>0</v>
      </c>
      <c r="T324" s="7">
        <f t="shared" si="92"/>
        <v>0</v>
      </c>
      <c r="U324" s="7">
        <f t="shared" si="93"/>
        <v>0.75</v>
      </c>
      <c r="V324" s="119">
        <f t="shared" si="94"/>
        <v>0</v>
      </c>
      <c r="W324" s="119">
        <f t="shared" si="95"/>
        <v>0</v>
      </c>
      <c r="X324" s="119">
        <f t="shared" si="96"/>
        <v>0.75</v>
      </c>
      <c r="Y324" s="119">
        <f t="shared" si="97"/>
        <v>0</v>
      </c>
      <c r="Z324" s="119">
        <f t="shared" si="98"/>
        <v>0</v>
      </c>
      <c r="AA324" s="119">
        <f t="shared" si="99"/>
        <v>0.75</v>
      </c>
      <c r="AB324" s="119">
        <f t="shared" si="100"/>
        <v>0</v>
      </c>
      <c r="AC324" s="119">
        <f t="shared" si="101"/>
        <v>0</v>
      </c>
      <c r="AD324" s="119">
        <f t="shared" si="102"/>
        <v>0</v>
      </c>
      <c r="AE324" s="119">
        <f t="shared" si="103"/>
        <v>0.75</v>
      </c>
      <c r="AF324" s="7"/>
      <c r="AG324" s="7"/>
      <c r="AH324" s="7">
        <f t="shared" si="104"/>
        <v>3</v>
      </c>
      <c r="AI324" s="7">
        <f t="shared" si="105"/>
        <v>4</v>
      </c>
      <c r="AJ324" s="7" t="str">
        <f t="shared" si="106"/>
        <v>Correct</v>
      </c>
      <c r="AL324" s="120" t="str">
        <f>IFERROR(VLOOKUP(Table1[RespondentID],'All Data'!$A$3:$CO$999,87,FALSE),"unknown")</f>
        <v>Woman</v>
      </c>
      <c r="AM324" s="120">
        <f>IFERROR(VLOOKUP(Table1[RespondentID],'All Data'!$A$3:$CO$999,88,FALSE),"unknown")</f>
        <v>0</v>
      </c>
      <c r="AN324" s="120" t="str">
        <f>IFERROR(VLOOKUP(Table1[RespondentID],'All Data'!$A$3:$CO$999,89,FALSE),"unknown")</f>
        <v>Suffolk</v>
      </c>
      <c r="AO324" s="120" t="str">
        <f>IFERROR(VLOOKUP(Table1[RespondentID],'All Data'!$A$3:$CO$999,90,FALSE),"unknown")</f>
        <v>Melville, 11747</v>
      </c>
      <c r="AP324" s="120" t="str">
        <f>IFERROR(VLOOKUP(Table1[RespondentID],'All Data'!$A$3:$CO$999,91,FALSE),"unknown")</f>
        <v>American Indian and Alaska Native</v>
      </c>
      <c r="AQ324" s="120" t="str">
        <f>IFERROR(VLOOKUP(Table1[RespondentID],'All Data'!$A$3:$CO$999,92,FALSE),"unknown")</f>
        <v>Hispanic or Latino</v>
      </c>
      <c r="AR324" s="120" t="str">
        <f>IFERROR(VLOOKUP(Table1[RespondentID],'All Data'!$A$3:$CO$999,93,FALSE),"unknown")</f>
        <v>English</v>
      </c>
      <c r="AS324" s="120" t="str">
        <f>IFERROR(VLOOKUP(Table1[RespondentID],'All Data'!$A$3:$CW$999,94,FALSE),"unknown")</f>
        <v>Over $125,000</v>
      </c>
      <c r="AT324" s="120" t="str">
        <f>IFERROR(VLOOKUP(Table1[RespondentID],'All Data'!$A$3:$CW$999,95,FALSE),"unknown")</f>
        <v>Graduate school</v>
      </c>
      <c r="AU324" s="120" t="str">
        <f>IFERROR(VLOOKUP(Table1[RespondentID],'All Data'!$A$3:$CW$999,96,FALSE),"unknown")</f>
        <v>Employed for wages</v>
      </c>
      <c r="AV324" s="120" t="str">
        <f>IFERROR(VLOOKUP(Table1[RespondentID],'All Data'!$A$3:$CW$999,97,FALSE),"unknown")</f>
        <v>Yes</v>
      </c>
      <c r="AW324" s="120" t="str">
        <f>IFERROR(VLOOKUP(Table1[RespondentID],'All Data'!$A$3:$CW$999,98,FALSE),"unknown")</f>
        <v>Private/Commercial</v>
      </c>
      <c r="AX324" s="120" t="str">
        <f>IFERROR(VLOOKUP(Table1[RespondentID],'All Data'!$A$3:$CW$999,99,FALSE),"unknown")</f>
        <v>Yes</v>
      </c>
    </row>
    <row r="325" spans="1:50">
      <c r="A325" s="5">
        <v>18014574170</v>
      </c>
      <c r="B325" s="5"/>
      <c r="C325" s="5"/>
      <c r="D325" s="5"/>
      <c r="E325" s="5" t="s">
        <v>19</v>
      </c>
      <c r="F325" s="5"/>
      <c r="G325" s="5"/>
      <c r="H325" s="5" t="s">
        <v>22</v>
      </c>
      <c r="I325" s="5"/>
      <c r="J325" s="5"/>
      <c r="K325" s="5"/>
      <c r="L325" s="5"/>
      <c r="M325" s="5"/>
      <c r="N325" s="5" t="s">
        <v>28</v>
      </c>
      <c r="O325" s="7"/>
      <c r="P325" s="7">
        <f t="shared" si="90"/>
        <v>3</v>
      </c>
      <c r="Q325" s="7">
        <f t="shared" si="91"/>
        <v>1</v>
      </c>
      <c r="R325" s="7"/>
      <c r="S325" s="7">
        <f t="shared" si="107"/>
        <v>0</v>
      </c>
      <c r="T325" s="7">
        <f t="shared" si="92"/>
        <v>0</v>
      </c>
      <c r="U325" s="7">
        <f t="shared" si="93"/>
        <v>0</v>
      </c>
      <c r="V325" s="119">
        <f t="shared" si="94"/>
        <v>1</v>
      </c>
      <c r="W325" s="119">
        <f t="shared" si="95"/>
        <v>0</v>
      </c>
      <c r="X325" s="119">
        <f t="shared" si="96"/>
        <v>0</v>
      </c>
      <c r="Y325" s="119">
        <f t="shared" si="97"/>
        <v>1</v>
      </c>
      <c r="Z325" s="119">
        <f t="shared" si="98"/>
        <v>0</v>
      </c>
      <c r="AA325" s="119">
        <f t="shared" si="99"/>
        <v>0</v>
      </c>
      <c r="AB325" s="119">
        <f t="shared" si="100"/>
        <v>0</v>
      </c>
      <c r="AC325" s="119">
        <f t="shared" si="101"/>
        <v>0</v>
      </c>
      <c r="AD325" s="119">
        <f t="shared" si="102"/>
        <v>0</v>
      </c>
      <c r="AE325" s="119">
        <f t="shared" si="103"/>
        <v>1</v>
      </c>
      <c r="AF325" s="7"/>
      <c r="AG325" s="7"/>
      <c r="AH325" s="7">
        <f t="shared" si="104"/>
        <v>3</v>
      </c>
      <c r="AI325" s="7">
        <f t="shared" si="105"/>
        <v>3</v>
      </c>
      <c r="AJ325" s="7" t="str">
        <f t="shared" si="106"/>
        <v>Correct</v>
      </c>
      <c r="AL325" s="120" t="str">
        <f>IFERROR(VLOOKUP(Table1[RespondentID],'All Data'!$A$3:$CO$999,87,FALSE),"unknown")</f>
        <v>Woman</v>
      </c>
      <c r="AM325" s="120">
        <f>IFERROR(VLOOKUP(Table1[RespondentID],'All Data'!$A$3:$CO$999,88,FALSE),"unknown")</f>
        <v>56</v>
      </c>
      <c r="AN325" s="120" t="str">
        <f>IFERROR(VLOOKUP(Table1[RespondentID],'All Data'!$A$3:$CO$999,89,FALSE),"unknown")</f>
        <v>Suffolk</v>
      </c>
      <c r="AO325" s="120" t="str">
        <f>IFERROR(VLOOKUP(Table1[RespondentID],'All Data'!$A$3:$CO$999,90,FALSE),"unknown")</f>
        <v>Smithtown, 11787</v>
      </c>
      <c r="AP325" s="120" t="str">
        <f>IFERROR(VLOOKUP(Table1[RespondentID],'All Data'!$A$3:$CO$999,91,FALSE),"unknown")</f>
        <v>Native Hawaiian and Other Pacific Islander</v>
      </c>
      <c r="AQ325" s="120" t="str">
        <f>IFERROR(VLOOKUP(Table1[RespondentID],'All Data'!$A$3:$CO$999,92,FALSE),"unknown")</f>
        <v>Hispanic or Latino</v>
      </c>
      <c r="AR325" s="120" t="str">
        <f>IFERROR(VLOOKUP(Table1[RespondentID],'All Data'!$A$3:$CO$999,93,FALSE),"unknown")</f>
        <v>English, Haitian Creole, French Creole</v>
      </c>
      <c r="AS325" s="120" t="str">
        <f>IFERROR(VLOOKUP(Table1[RespondentID],'All Data'!$A$3:$CW$999,94,FALSE),"unknown")</f>
        <v>$50,000 to $74,999</v>
      </c>
      <c r="AT325" s="120" t="str">
        <f>IFERROR(VLOOKUP(Table1[RespondentID],'All Data'!$A$3:$CW$999,95,FALSE),"unknown")</f>
        <v>Some college</v>
      </c>
      <c r="AU325" s="120" t="str">
        <f>IFERROR(VLOOKUP(Table1[RespondentID],'All Data'!$A$3:$CW$999,96,FALSE),"unknown")</f>
        <v>Employed for wages</v>
      </c>
      <c r="AV325" s="120" t="str">
        <f>IFERROR(VLOOKUP(Table1[RespondentID],'All Data'!$A$3:$CW$999,97,FALSE),"unknown")</f>
        <v>Yes</v>
      </c>
      <c r="AW325" s="120" t="str">
        <f>IFERROR(VLOOKUP(Table1[RespondentID],'All Data'!$A$3:$CW$999,98,FALSE),"unknown")</f>
        <v>Private/Commercial</v>
      </c>
      <c r="AX325" s="120" t="str">
        <f>IFERROR(VLOOKUP(Table1[RespondentID],'All Data'!$A$3:$CW$999,99,FALSE),"unknown")</f>
        <v>No</v>
      </c>
    </row>
    <row r="326" spans="1:50">
      <c r="A326" s="5">
        <v>18014573176</v>
      </c>
      <c r="B326" s="5"/>
      <c r="C326" s="5" t="s">
        <v>17</v>
      </c>
      <c r="D326" s="5" t="s">
        <v>18</v>
      </c>
      <c r="E326" s="5"/>
      <c r="F326" s="5"/>
      <c r="G326" s="5"/>
      <c r="H326" s="5"/>
      <c r="I326" s="5"/>
      <c r="J326" s="5"/>
      <c r="K326" s="5"/>
      <c r="L326" s="5" t="s">
        <v>26</v>
      </c>
      <c r="M326" s="5"/>
      <c r="N326" s="5"/>
      <c r="O326" s="7"/>
      <c r="P326" s="7">
        <f t="shared" si="90"/>
        <v>3</v>
      </c>
      <c r="Q326" s="7">
        <f t="shared" si="91"/>
        <v>1</v>
      </c>
      <c r="R326" s="7"/>
      <c r="S326" s="7">
        <f t="shared" si="107"/>
        <v>0</v>
      </c>
      <c r="T326" s="7">
        <f t="shared" si="92"/>
        <v>1</v>
      </c>
      <c r="U326" s="7">
        <f t="shared" si="93"/>
        <v>1</v>
      </c>
      <c r="V326" s="119">
        <f t="shared" si="94"/>
        <v>0</v>
      </c>
      <c r="W326" s="119">
        <f t="shared" si="95"/>
        <v>0</v>
      </c>
      <c r="X326" s="119">
        <f t="shared" si="96"/>
        <v>0</v>
      </c>
      <c r="Y326" s="119">
        <f t="shared" si="97"/>
        <v>0</v>
      </c>
      <c r="Z326" s="119">
        <f t="shared" si="98"/>
        <v>0</v>
      </c>
      <c r="AA326" s="119">
        <f t="shared" si="99"/>
        <v>0</v>
      </c>
      <c r="AB326" s="119">
        <f t="shared" si="100"/>
        <v>0</v>
      </c>
      <c r="AC326" s="119">
        <f t="shared" si="101"/>
        <v>1</v>
      </c>
      <c r="AD326" s="119">
        <f t="shared" si="102"/>
        <v>0</v>
      </c>
      <c r="AE326" s="119">
        <f t="shared" si="103"/>
        <v>0</v>
      </c>
      <c r="AF326" s="7"/>
      <c r="AG326" s="7"/>
      <c r="AH326" s="7">
        <f t="shared" si="104"/>
        <v>3</v>
      </c>
      <c r="AI326" s="7">
        <f t="shared" si="105"/>
        <v>3</v>
      </c>
      <c r="AJ326" s="7" t="str">
        <f t="shared" si="106"/>
        <v>Correct</v>
      </c>
      <c r="AL326" s="120" t="str">
        <f>IFERROR(VLOOKUP(Table1[RespondentID],'All Data'!$A$3:$CO$999,87,FALSE),"unknown")</f>
        <v>Woman</v>
      </c>
      <c r="AM326" s="120">
        <f>IFERROR(VLOOKUP(Table1[RespondentID],'All Data'!$A$3:$CO$999,88,FALSE),"unknown")</f>
        <v>49</v>
      </c>
      <c r="AN326" s="120" t="str">
        <f>IFERROR(VLOOKUP(Table1[RespondentID],'All Data'!$A$3:$CO$999,89,FALSE),"unknown")</f>
        <v>Suffolk</v>
      </c>
      <c r="AO326" s="120" t="str">
        <f>IFERROR(VLOOKUP(Table1[RespondentID],'All Data'!$A$3:$CO$999,90,FALSE),"unknown")</f>
        <v>Setauket, 11733</v>
      </c>
      <c r="AP326" s="120" t="str">
        <f>IFERROR(VLOOKUP(Table1[RespondentID],'All Data'!$A$3:$CO$999,91,FALSE),"unknown")</f>
        <v>White</v>
      </c>
      <c r="AQ326" s="120" t="str">
        <f>IFERROR(VLOOKUP(Table1[RespondentID],'All Data'!$A$3:$CO$999,92,FALSE),"unknown")</f>
        <v>Hispanic or Latino</v>
      </c>
      <c r="AR326" s="120" t="str">
        <f>IFERROR(VLOOKUP(Table1[RespondentID],'All Data'!$A$3:$CO$999,93,FALSE),"unknown")</f>
        <v>English</v>
      </c>
      <c r="AS326" s="120" t="str">
        <f>IFERROR(VLOOKUP(Table1[RespondentID],'All Data'!$A$3:$CW$999,94,FALSE),"unknown")</f>
        <v>Over $125,000</v>
      </c>
      <c r="AT326" s="120" t="str">
        <f>IFERROR(VLOOKUP(Table1[RespondentID],'All Data'!$A$3:$CW$999,95,FALSE),"unknown")</f>
        <v>Graduate school</v>
      </c>
      <c r="AU326" s="120" t="str">
        <f>IFERROR(VLOOKUP(Table1[RespondentID],'All Data'!$A$3:$CW$999,96,FALSE),"unknown")</f>
        <v>Employed for wages</v>
      </c>
      <c r="AV326" s="120" t="str">
        <f>IFERROR(VLOOKUP(Table1[RespondentID],'All Data'!$A$3:$CW$999,97,FALSE),"unknown")</f>
        <v>Yes</v>
      </c>
      <c r="AW326" s="120" t="str">
        <f>IFERROR(VLOOKUP(Table1[RespondentID],'All Data'!$A$3:$CW$999,98,FALSE),"unknown")</f>
        <v>Private/Commercial</v>
      </c>
      <c r="AX326" s="120" t="str">
        <f>IFERROR(VLOOKUP(Table1[RespondentID],'All Data'!$A$3:$CW$999,99,FALSE),"unknown")</f>
        <v>Yes</v>
      </c>
    </row>
    <row r="327" spans="1:50">
      <c r="A327" s="5">
        <v>18014553236</v>
      </c>
      <c r="B327" s="5"/>
      <c r="C327" s="5"/>
      <c r="D327" s="5"/>
      <c r="E327" s="5"/>
      <c r="F327" s="5"/>
      <c r="G327" s="5"/>
      <c r="H327" s="5"/>
      <c r="I327" s="5"/>
      <c r="J327" s="5"/>
      <c r="K327" s="5" t="s">
        <v>25</v>
      </c>
      <c r="L327" s="5" t="s">
        <v>26</v>
      </c>
      <c r="M327" s="5"/>
      <c r="N327" s="5"/>
      <c r="O327" s="7"/>
      <c r="P327" s="7">
        <f t="shared" si="90"/>
        <v>2</v>
      </c>
      <c r="Q327" s="7">
        <f t="shared" si="91"/>
        <v>1.5</v>
      </c>
      <c r="R327" s="7"/>
      <c r="S327" s="7">
        <f t="shared" si="107"/>
        <v>0</v>
      </c>
      <c r="T327" s="7">
        <f t="shared" si="92"/>
        <v>0</v>
      </c>
      <c r="U327" s="7">
        <f t="shared" si="93"/>
        <v>0</v>
      </c>
      <c r="V327" s="119">
        <f t="shared" si="94"/>
        <v>0</v>
      </c>
      <c r="W327" s="119">
        <f t="shared" si="95"/>
        <v>0</v>
      </c>
      <c r="X327" s="119">
        <f t="shared" si="96"/>
        <v>0</v>
      </c>
      <c r="Y327" s="119">
        <f t="shared" si="97"/>
        <v>0</v>
      </c>
      <c r="Z327" s="119">
        <f t="shared" si="98"/>
        <v>0</v>
      </c>
      <c r="AA327" s="119">
        <f t="shared" si="99"/>
        <v>0</v>
      </c>
      <c r="AB327" s="119">
        <f t="shared" si="100"/>
        <v>1</v>
      </c>
      <c r="AC327" s="119">
        <f t="shared" si="101"/>
        <v>1</v>
      </c>
      <c r="AD327" s="119">
        <f t="shared" si="102"/>
        <v>0</v>
      </c>
      <c r="AE327" s="119">
        <f t="shared" si="103"/>
        <v>0</v>
      </c>
      <c r="AF327" s="7"/>
      <c r="AG327" s="7"/>
      <c r="AH327" s="7">
        <f t="shared" si="104"/>
        <v>2</v>
      </c>
      <c r="AI327" s="7">
        <f t="shared" si="105"/>
        <v>2</v>
      </c>
      <c r="AJ327" s="7" t="str">
        <f t="shared" si="106"/>
        <v>Correct</v>
      </c>
      <c r="AL327" s="120" t="str">
        <f>IFERROR(VLOOKUP(Table1[RespondentID],'All Data'!$A$3:$CO$999,87,FALSE),"unknown")</f>
        <v>Man</v>
      </c>
      <c r="AM327" s="120">
        <f>IFERROR(VLOOKUP(Table1[RespondentID],'All Data'!$A$3:$CO$999,88,FALSE),"unknown")</f>
        <v>18</v>
      </c>
      <c r="AN327" s="120" t="str">
        <f>IFERROR(VLOOKUP(Table1[RespondentID],'All Data'!$A$3:$CO$999,89,FALSE),"unknown")</f>
        <v>Suffolk</v>
      </c>
      <c r="AO327" s="120" t="str">
        <f>IFERROR(VLOOKUP(Table1[RespondentID],'All Data'!$A$3:$CO$999,90,FALSE),"unknown")</f>
        <v>Smithtown, 11787</v>
      </c>
      <c r="AP327" s="120" t="str">
        <f>IFERROR(VLOOKUP(Table1[RespondentID],'All Data'!$A$3:$CO$999,91,FALSE),"unknown")</f>
        <v>White</v>
      </c>
      <c r="AQ327" s="120" t="str">
        <f>IFERROR(VLOOKUP(Table1[RespondentID],'All Data'!$A$3:$CO$999,92,FALSE),"unknown")</f>
        <v>Not Hispanic or Latino</v>
      </c>
      <c r="AR327" s="120" t="str">
        <f>IFERROR(VLOOKUP(Table1[RespondentID],'All Data'!$A$3:$CO$999,93,FALSE),"unknown")</f>
        <v>English, Spanish</v>
      </c>
      <c r="AS327" s="120" t="str">
        <f>IFERROR(VLOOKUP(Table1[RespondentID],'All Data'!$A$3:$CW$999,94,FALSE),"unknown")</f>
        <v>$50,000 to $74,999</v>
      </c>
      <c r="AT327" s="120" t="str">
        <f>IFERROR(VLOOKUP(Table1[RespondentID],'All Data'!$A$3:$CW$999,95,FALSE),"unknown")</f>
        <v>High school graduate</v>
      </c>
      <c r="AU327" s="120" t="str">
        <f>IFERROR(VLOOKUP(Table1[RespondentID],'All Data'!$A$3:$CW$999,96,FALSE),"unknown")</f>
        <v>Student</v>
      </c>
      <c r="AV327" s="120" t="str">
        <f>IFERROR(VLOOKUP(Table1[RespondentID],'All Data'!$A$3:$CW$999,97,FALSE),"unknown")</f>
        <v>Yes</v>
      </c>
      <c r="AW327" s="120" t="str">
        <f>IFERROR(VLOOKUP(Table1[RespondentID],'All Data'!$A$3:$CW$999,98,FALSE),"unknown")</f>
        <v>Medicaid</v>
      </c>
      <c r="AX327" s="120" t="str">
        <f>IFERROR(VLOOKUP(Table1[RespondentID],'All Data'!$A$3:$CW$999,99,FALSE),"unknown")</f>
        <v>Yes</v>
      </c>
    </row>
    <row r="328" spans="1:50">
      <c r="A328" s="5">
        <v>18014545263</v>
      </c>
      <c r="B328" s="5"/>
      <c r="C328" s="5"/>
      <c r="D328" s="5"/>
      <c r="E328" s="5"/>
      <c r="F328" s="5"/>
      <c r="G328" s="5" t="s">
        <v>21</v>
      </c>
      <c r="H328" s="5"/>
      <c r="I328" s="5"/>
      <c r="J328" s="5" t="s">
        <v>24</v>
      </c>
      <c r="K328" s="5"/>
      <c r="L328" s="5"/>
      <c r="M328" s="5"/>
      <c r="N328" s="5" t="s">
        <v>28</v>
      </c>
      <c r="O328" s="7"/>
      <c r="P328" s="7">
        <f t="shared" si="90"/>
        <v>3</v>
      </c>
      <c r="Q328" s="7">
        <f t="shared" si="91"/>
        <v>1</v>
      </c>
      <c r="R328" s="7"/>
      <c r="S328" s="7">
        <f t="shared" si="107"/>
        <v>0</v>
      </c>
      <c r="T328" s="7">
        <f t="shared" si="92"/>
        <v>0</v>
      </c>
      <c r="U328" s="7">
        <f t="shared" si="93"/>
        <v>0</v>
      </c>
      <c r="V328" s="119">
        <f t="shared" si="94"/>
        <v>0</v>
      </c>
      <c r="W328" s="119">
        <f t="shared" si="95"/>
        <v>0</v>
      </c>
      <c r="X328" s="119">
        <f t="shared" si="96"/>
        <v>1</v>
      </c>
      <c r="Y328" s="119">
        <f t="shared" si="97"/>
        <v>0</v>
      </c>
      <c r="Z328" s="119">
        <f t="shared" si="98"/>
        <v>0</v>
      </c>
      <c r="AA328" s="119">
        <f t="shared" si="99"/>
        <v>1</v>
      </c>
      <c r="AB328" s="119">
        <f t="shared" si="100"/>
        <v>0</v>
      </c>
      <c r="AC328" s="119">
        <f t="shared" si="101"/>
        <v>0</v>
      </c>
      <c r="AD328" s="119">
        <f t="shared" si="102"/>
        <v>0</v>
      </c>
      <c r="AE328" s="119">
        <f t="shared" si="103"/>
        <v>1</v>
      </c>
      <c r="AF328" s="7"/>
      <c r="AG328" s="7"/>
      <c r="AH328" s="7">
        <f t="shared" si="104"/>
        <v>3</v>
      </c>
      <c r="AI328" s="7">
        <f t="shared" si="105"/>
        <v>3</v>
      </c>
      <c r="AJ328" s="7" t="str">
        <f t="shared" si="106"/>
        <v>Correct</v>
      </c>
      <c r="AL328" s="120" t="str">
        <f>IFERROR(VLOOKUP(Table1[RespondentID],'All Data'!$A$3:$CO$999,87,FALSE),"unknown")</f>
        <v>Man</v>
      </c>
      <c r="AM328" s="120">
        <f>IFERROR(VLOOKUP(Table1[RespondentID],'All Data'!$A$3:$CO$999,88,FALSE),"unknown")</f>
        <v>18</v>
      </c>
      <c r="AN328" s="120" t="str">
        <f>IFERROR(VLOOKUP(Table1[RespondentID],'All Data'!$A$3:$CO$999,89,FALSE),"unknown")</f>
        <v>Suffolk</v>
      </c>
      <c r="AO328" s="120" t="str">
        <f>IFERROR(VLOOKUP(Table1[RespondentID],'All Data'!$A$3:$CO$999,90,FALSE),"unknown")</f>
        <v>Smithtown, 11787</v>
      </c>
      <c r="AP328" s="120" t="str">
        <f>IFERROR(VLOOKUP(Table1[RespondentID],'All Data'!$A$3:$CO$999,91,FALSE),"unknown")</f>
        <v>Native Hawaiian and Other Pacific Islander</v>
      </c>
      <c r="AQ328" s="120" t="str">
        <f>IFERROR(VLOOKUP(Table1[RespondentID],'All Data'!$A$3:$CO$999,92,FALSE),"unknown")</f>
        <v>Hispanic or Latino</v>
      </c>
      <c r="AR328" s="120" t="str">
        <f>IFERROR(VLOOKUP(Table1[RespondentID],'All Data'!$A$3:$CO$999,93,FALSE),"unknown")</f>
        <v>English</v>
      </c>
      <c r="AS328" s="120" t="str">
        <f>IFERROR(VLOOKUP(Table1[RespondentID],'All Data'!$A$3:$CW$999,94,FALSE),"unknown")</f>
        <v>$35,000 to $49,999</v>
      </c>
      <c r="AT328" s="120" t="str">
        <f>IFERROR(VLOOKUP(Table1[RespondentID],'All Data'!$A$3:$CW$999,95,FALSE),"unknown")</f>
        <v>High school graduate</v>
      </c>
      <c r="AU328" s="120" t="str">
        <f>IFERROR(VLOOKUP(Table1[RespondentID],'All Data'!$A$3:$CW$999,96,FALSE),"unknown")</f>
        <v>Student</v>
      </c>
      <c r="AV328" s="120" t="str">
        <f>IFERROR(VLOOKUP(Table1[RespondentID],'All Data'!$A$3:$CW$999,97,FALSE),"unknown")</f>
        <v>No</v>
      </c>
      <c r="AW328" s="120" t="str">
        <f>IFERROR(VLOOKUP(Table1[RespondentID],'All Data'!$A$3:$CW$999,98,FALSE),"unknown")</f>
        <v>No Insurance</v>
      </c>
      <c r="AX328" s="120" t="str">
        <f>IFERROR(VLOOKUP(Table1[RespondentID],'All Data'!$A$3:$CW$999,99,FALSE),"unknown")</f>
        <v>Yes</v>
      </c>
    </row>
    <row r="329" spans="1:50">
      <c r="A329" s="5">
        <v>18014444882</v>
      </c>
      <c r="B329" s="5"/>
      <c r="C329" s="5"/>
      <c r="D329" s="5"/>
      <c r="E329" s="5"/>
      <c r="F329" s="5"/>
      <c r="G329" s="5"/>
      <c r="H329" s="5" t="s">
        <v>22</v>
      </c>
      <c r="I329" s="5"/>
      <c r="J329" s="5" t="s">
        <v>24</v>
      </c>
      <c r="K329" s="5"/>
      <c r="L329" s="5"/>
      <c r="M329" s="5"/>
      <c r="N329" s="5"/>
      <c r="O329" s="7"/>
      <c r="P329" s="7">
        <f t="shared" si="90"/>
        <v>2</v>
      </c>
      <c r="Q329" s="7">
        <f t="shared" si="91"/>
        <v>1.5</v>
      </c>
      <c r="R329" s="7"/>
      <c r="S329" s="7">
        <f t="shared" si="107"/>
        <v>0</v>
      </c>
      <c r="T329" s="7">
        <f t="shared" si="92"/>
        <v>0</v>
      </c>
      <c r="U329" s="7">
        <f t="shared" si="93"/>
        <v>0</v>
      </c>
      <c r="V329" s="119">
        <f t="shared" si="94"/>
        <v>0</v>
      </c>
      <c r="W329" s="119">
        <f t="shared" si="95"/>
        <v>0</v>
      </c>
      <c r="X329" s="119">
        <f t="shared" si="96"/>
        <v>0</v>
      </c>
      <c r="Y329" s="119">
        <f t="shared" si="97"/>
        <v>1</v>
      </c>
      <c r="Z329" s="119">
        <f t="shared" si="98"/>
        <v>0</v>
      </c>
      <c r="AA329" s="119">
        <f t="shared" si="99"/>
        <v>1</v>
      </c>
      <c r="AB329" s="119">
        <f t="shared" si="100"/>
        <v>0</v>
      </c>
      <c r="AC329" s="119">
        <f t="shared" si="101"/>
        <v>0</v>
      </c>
      <c r="AD329" s="119">
        <f t="shared" si="102"/>
        <v>0</v>
      </c>
      <c r="AE329" s="119">
        <f t="shared" si="103"/>
        <v>0</v>
      </c>
      <c r="AF329" s="7"/>
      <c r="AG329" s="7"/>
      <c r="AH329" s="7">
        <f t="shared" si="104"/>
        <v>2</v>
      </c>
      <c r="AI329" s="7">
        <f t="shared" si="105"/>
        <v>2</v>
      </c>
      <c r="AJ329" s="7" t="str">
        <f t="shared" si="106"/>
        <v>Correct</v>
      </c>
      <c r="AL329" s="120" t="str">
        <f>IFERROR(VLOOKUP(Table1[RespondentID],'All Data'!$A$3:$CO$999,87,FALSE),"unknown")</f>
        <v>Woman</v>
      </c>
      <c r="AM329" s="120">
        <f>IFERROR(VLOOKUP(Table1[RespondentID],'All Data'!$A$3:$CO$999,88,FALSE),"unknown")</f>
        <v>54</v>
      </c>
      <c r="AN329" s="120" t="str">
        <f>IFERROR(VLOOKUP(Table1[RespondentID],'All Data'!$A$3:$CO$999,89,FALSE),"unknown")</f>
        <v>Nassau</v>
      </c>
      <c r="AO329" s="120" t="str">
        <f>IFERROR(VLOOKUP(Table1[RespondentID],'All Data'!$A$3:$CO$999,90,FALSE),"unknown")</f>
        <v>Syosset, 11791</v>
      </c>
      <c r="AP329" s="120" t="str">
        <f>IFERROR(VLOOKUP(Table1[RespondentID],'All Data'!$A$3:$CO$999,91,FALSE),"unknown")</f>
        <v>American Indian and Alaska Native</v>
      </c>
      <c r="AQ329" s="120" t="str">
        <f>IFERROR(VLOOKUP(Table1[RespondentID],'All Data'!$A$3:$CO$999,92,FALSE),"unknown")</f>
        <v>Hispanic or Latino</v>
      </c>
      <c r="AR329" s="120" t="str">
        <f>IFERROR(VLOOKUP(Table1[RespondentID],'All Data'!$A$3:$CO$999,93,FALSE),"unknown")</f>
        <v>English, Korean</v>
      </c>
      <c r="AS329" s="120" t="str">
        <f>IFERROR(VLOOKUP(Table1[RespondentID],'All Data'!$A$3:$CW$999,94,FALSE),"unknown")</f>
        <v>$20,000 to $34,999</v>
      </c>
      <c r="AT329" s="120" t="str">
        <f>IFERROR(VLOOKUP(Table1[RespondentID],'All Data'!$A$3:$CW$999,95,FALSE),"unknown")</f>
        <v>Doctorate</v>
      </c>
      <c r="AU329" s="120" t="str">
        <f>IFERROR(VLOOKUP(Table1[RespondentID],'All Data'!$A$3:$CW$999,96,FALSE),"unknown")</f>
        <v>Out of work and looking for work</v>
      </c>
      <c r="AV329" s="120" t="str">
        <f>IFERROR(VLOOKUP(Table1[RespondentID],'All Data'!$A$3:$CW$999,97,FALSE),"unknown")</f>
        <v>Yes</v>
      </c>
      <c r="AW329" s="120" t="str">
        <f>IFERROR(VLOOKUP(Table1[RespondentID],'All Data'!$A$3:$CW$999,98,FALSE),"unknown")</f>
        <v>Medicaid</v>
      </c>
      <c r="AX329" s="120" t="str">
        <f>IFERROR(VLOOKUP(Table1[RespondentID],'All Data'!$A$3:$CW$999,99,FALSE),"unknown")</f>
        <v>Yes</v>
      </c>
    </row>
    <row r="330" spans="1:50">
      <c r="A330" s="5">
        <v>18014407639</v>
      </c>
      <c r="B330" s="5"/>
      <c r="C330" s="5"/>
      <c r="D330" s="5"/>
      <c r="E330" s="5" t="s">
        <v>19</v>
      </c>
      <c r="F330" s="5"/>
      <c r="G330" s="5" t="s">
        <v>21</v>
      </c>
      <c r="H330" s="5"/>
      <c r="I330" s="5"/>
      <c r="J330" s="5"/>
      <c r="K330" s="5"/>
      <c r="L330" s="5"/>
      <c r="M330" s="5" t="s">
        <v>27</v>
      </c>
      <c r="N330" s="5"/>
      <c r="O330" s="7"/>
      <c r="P330" s="7">
        <f t="shared" si="90"/>
        <v>3</v>
      </c>
      <c r="Q330" s="7">
        <f t="shared" si="91"/>
        <v>1</v>
      </c>
      <c r="R330" s="7"/>
      <c r="S330" s="7">
        <f t="shared" si="107"/>
        <v>0</v>
      </c>
      <c r="T330" s="7">
        <f t="shared" si="92"/>
        <v>0</v>
      </c>
      <c r="U330" s="7">
        <f t="shared" si="93"/>
        <v>0</v>
      </c>
      <c r="V330" s="119">
        <f t="shared" si="94"/>
        <v>1</v>
      </c>
      <c r="W330" s="119">
        <f t="shared" si="95"/>
        <v>0</v>
      </c>
      <c r="X330" s="119">
        <f t="shared" si="96"/>
        <v>1</v>
      </c>
      <c r="Y330" s="119">
        <f t="shared" si="97"/>
        <v>0</v>
      </c>
      <c r="Z330" s="119">
        <f t="shared" si="98"/>
        <v>0</v>
      </c>
      <c r="AA330" s="119">
        <f t="shared" si="99"/>
        <v>0</v>
      </c>
      <c r="AB330" s="119">
        <f t="shared" si="100"/>
        <v>0</v>
      </c>
      <c r="AC330" s="119">
        <f t="shared" si="101"/>
        <v>0</v>
      </c>
      <c r="AD330" s="119">
        <f t="shared" si="102"/>
        <v>1</v>
      </c>
      <c r="AE330" s="119">
        <f t="shared" si="103"/>
        <v>0</v>
      </c>
      <c r="AF330" s="7"/>
      <c r="AG330" s="7"/>
      <c r="AH330" s="7">
        <f t="shared" si="104"/>
        <v>3</v>
      </c>
      <c r="AI330" s="7">
        <f t="shared" si="105"/>
        <v>3</v>
      </c>
      <c r="AJ330" s="7" t="str">
        <f t="shared" si="106"/>
        <v>Correct</v>
      </c>
      <c r="AL330" s="120" t="str">
        <f>IFERROR(VLOOKUP(Table1[RespondentID],'All Data'!$A$3:$CO$999,87,FALSE),"unknown")</f>
        <v>Man</v>
      </c>
      <c r="AM330" s="120">
        <f>IFERROR(VLOOKUP(Table1[RespondentID],'All Data'!$A$3:$CO$999,88,FALSE),"unknown")</f>
        <v>49</v>
      </c>
      <c r="AN330" s="120" t="str">
        <f>IFERROR(VLOOKUP(Table1[RespondentID],'All Data'!$A$3:$CO$999,89,FALSE),"unknown")</f>
        <v>Queens</v>
      </c>
      <c r="AO330" s="120">
        <f>IFERROR(VLOOKUP(Table1[RespondentID],'All Data'!$A$3:$CO$999,90,FALSE),"unknown")</f>
        <v>11003</v>
      </c>
      <c r="AP330" s="120" t="str">
        <f>IFERROR(VLOOKUP(Table1[RespondentID],'All Data'!$A$3:$CO$999,91,FALSE),"unknown")</f>
        <v>Native Hawaiian and Other Pacific Islander</v>
      </c>
      <c r="AQ330" s="120" t="str">
        <f>IFERROR(VLOOKUP(Table1[RespondentID],'All Data'!$A$3:$CO$999,92,FALSE),"unknown")</f>
        <v>Hispanic or Latino</v>
      </c>
      <c r="AR330" s="120" t="str">
        <f>IFERROR(VLOOKUP(Table1[RespondentID],'All Data'!$A$3:$CO$999,93,FALSE),"unknown")</f>
        <v>Haitian Creole, French Creole</v>
      </c>
      <c r="AS330" s="120" t="str">
        <f>IFERROR(VLOOKUP(Table1[RespondentID],'All Data'!$A$3:$CW$999,94,FALSE),"unknown")</f>
        <v>$20,000 to $34,999</v>
      </c>
      <c r="AT330" s="120" t="str">
        <f>IFERROR(VLOOKUP(Table1[RespondentID],'All Data'!$A$3:$CW$999,95,FALSE),"unknown")</f>
        <v>Graduate school</v>
      </c>
      <c r="AU330" s="120" t="str">
        <f>IFERROR(VLOOKUP(Table1[RespondentID],'All Data'!$A$3:$CW$999,96,FALSE),"unknown")</f>
        <v>Employed for wages</v>
      </c>
      <c r="AV330" s="120" t="str">
        <f>IFERROR(VLOOKUP(Table1[RespondentID],'All Data'!$A$3:$CW$999,97,FALSE),"unknown")</f>
        <v>Yes</v>
      </c>
      <c r="AW330" s="120" t="str">
        <f>IFERROR(VLOOKUP(Table1[RespondentID],'All Data'!$A$3:$CW$999,98,FALSE),"unknown")</f>
        <v>Medicaid</v>
      </c>
      <c r="AX330" s="120" t="str">
        <f>IFERROR(VLOOKUP(Table1[RespondentID],'All Data'!$A$3:$CW$999,99,FALSE),"unknown")</f>
        <v>Yes</v>
      </c>
    </row>
    <row r="331" spans="1:50">
      <c r="A331" s="5">
        <v>18014391810</v>
      </c>
      <c r="B331" s="5" t="s">
        <v>16</v>
      </c>
      <c r="C331" s="5" t="s">
        <v>17</v>
      </c>
      <c r="D331" s="5"/>
      <c r="E331" s="5"/>
      <c r="F331" s="5"/>
      <c r="G331" s="5"/>
      <c r="H331" s="5" t="s">
        <v>22</v>
      </c>
      <c r="I331" s="5"/>
      <c r="J331" s="5" t="s">
        <v>24</v>
      </c>
      <c r="K331" s="5"/>
      <c r="L331" s="5"/>
      <c r="M331" s="5"/>
      <c r="N331" s="5"/>
      <c r="O331" s="7"/>
      <c r="P331" s="7">
        <f t="shared" si="90"/>
        <v>4</v>
      </c>
      <c r="Q331" s="7">
        <f t="shared" si="91"/>
        <v>0.75</v>
      </c>
      <c r="R331" s="7"/>
      <c r="S331" s="7">
        <f t="shared" si="107"/>
        <v>0.75</v>
      </c>
      <c r="T331" s="7">
        <f t="shared" si="92"/>
        <v>0.75</v>
      </c>
      <c r="U331" s="7">
        <f t="shared" si="93"/>
        <v>0</v>
      </c>
      <c r="V331" s="119">
        <f t="shared" si="94"/>
        <v>0</v>
      </c>
      <c r="W331" s="119">
        <f t="shared" si="95"/>
        <v>0</v>
      </c>
      <c r="X331" s="119">
        <f t="shared" si="96"/>
        <v>0</v>
      </c>
      <c r="Y331" s="119">
        <f t="shared" si="97"/>
        <v>0.75</v>
      </c>
      <c r="Z331" s="119">
        <f t="shared" si="98"/>
        <v>0</v>
      </c>
      <c r="AA331" s="119">
        <f t="shared" si="99"/>
        <v>0.75</v>
      </c>
      <c r="AB331" s="119">
        <f t="shared" si="100"/>
        <v>0</v>
      </c>
      <c r="AC331" s="119">
        <f t="shared" si="101"/>
        <v>0</v>
      </c>
      <c r="AD331" s="119">
        <f t="shared" si="102"/>
        <v>0</v>
      </c>
      <c r="AE331" s="119">
        <f t="shared" si="103"/>
        <v>0</v>
      </c>
      <c r="AF331" s="7"/>
      <c r="AG331" s="7"/>
      <c r="AH331" s="7">
        <f t="shared" si="104"/>
        <v>3</v>
      </c>
      <c r="AI331" s="7">
        <f t="shared" si="105"/>
        <v>4</v>
      </c>
      <c r="AJ331" s="7" t="str">
        <f t="shared" si="106"/>
        <v>Correct</v>
      </c>
      <c r="AL331" s="120" t="str">
        <f>IFERROR(VLOOKUP(Table1[RespondentID],'All Data'!$A$3:$CO$999,87,FALSE),"unknown")</f>
        <v>Man</v>
      </c>
      <c r="AM331" s="120">
        <f>IFERROR(VLOOKUP(Table1[RespondentID],'All Data'!$A$3:$CO$999,88,FALSE),"unknown")</f>
        <v>50</v>
      </c>
      <c r="AN331" s="120" t="str">
        <f>IFERROR(VLOOKUP(Table1[RespondentID],'All Data'!$A$3:$CO$999,89,FALSE),"unknown")</f>
        <v>Suffolk</v>
      </c>
      <c r="AO331" s="120" t="str">
        <f>IFERROR(VLOOKUP(Table1[RespondentID],'All Data'!$A$3:$CO$999,90,FALSE),"unknown")</f>
        <v>Smithtown, 11787</v>
      </c>
      <c r="AP331" s="120" t="str">
        <f>IFERROR(VLOOKUP(Table1[RespondentID],'All Data'!$A$3:$CO$999,91,FALSE),"unknown")</f>
        <v>Native Hawaiian and Other Pacific Islander</v>
      </c>
      <c r="AQ331" s="120" t="str">
        <f>IFERROR(VLOOKUP(Table1[RespondentID],'All Data'!$A$3:$CO$999,92,FALSE),"unknown")</f>
        <v>Hispanic or Latino</v>
      </c>
      <c r="AR331" s="120" t="str">
        <f>IFERROR(VLOOKUP(Table1[RespondentID],'All Data'!$A$3:$CO$999,93,FALSE),"unknown")</f>
        <v>English, Haitian Creole, French Creole</v>
      </c>
      <c r="AS331" s="120" t="str">
        <f>IFERROR(VLOOKUP(Table1[RespondentID],'All Data'!$A$3:$CW$999,94,FALSE),"unknown")</f>
        <v>Over $125,000</v>
      </c>
      <c r="AT331" s="120" t="str">
        <f>IFERROR(VLOOKUP(Table1[RespondentID],'All Data'!$A$3:$CW$999,95,FALSE),"unknown")</f>
        <v>Other (please specify)</v>
      </c>
      <c r="AU331" s="120" t="str">
        <f>IFERROR(VLOOKUP(Table1[RespondentID],'All Data'!$A$3:$CW$999,96,FALSE),"unknown")</f>
        <v>Employed for wages</v>
      </c>
      <c r="AV331" s="120" t="str">
        <f>IFERROR(VLOOKUP(Table1[RespondentID],'All Data'!$A$3:$CW$999,97,FALSE),"unknown")</f>
        <v>Yes</v>
      </c>
      <c r="AW331" s="120" t="str">
        <f>IFERROR(VLOOKUP(Table1[RespondentID],'All Data'!$A$3:$CW$999,98,FALSE),"unknown")</f>
        <v>Private/Commercial</v>
      </c>
      <c r="AX331" s="120" t="str">
        <f>IFERROR(VLOOKUP(Table1[RespondentID],'All Data'!$A$3:$CW$999,99,FALSE),"unknown")</f>
        <v>Yes</v>
      </c>
    </row>
    <row r="332" spans="1:50">
      <c r="A332" s="5">
        <v>18014391895</v>
      </c>
      <c r="B332" s="5" t="s">
        <v>16</v>
      </c>
      <c r="C332" s="5" t="s">
        <v>17</v>
      </c>
      <c r="D332" s="5" t="s">
        <v>18</v>
      </c>
      <c r="E332" s="5"/>
      <c r="F332" s="5" t="s">
        <v>20</v>
      </c>
      <c r="G332" s="5" t="s">
        <v>21</v>
      </c>
      <c r="H332" s="5" t="s">
        <v>22</v>
      </c>
      <c r="I332" s="5" t="s">
        <v>23</v>
      </c>
      <c r="J332" s="5" t="s">
        <v>24</v>
      </c>
      <c r="K332" s="5" t="s">
        <v>25</v>
      </c>
      <c r="L332" s="5" t="s">
        <v>26</v>
      </c>
      <c r="M332" s="5" t="s">
        <v>27</v>
      </c>
      <c r="N332" s="5"/>
      <c r="O332" s="7"/>
      <c r="P332" s="7">
        <f t="shared" si="90"/>
        <v>11</v>
      </c>
      <c r="Q332" s="7">
        <f t="shared" si="91"/>
        <v>0.27272727272727271</v>
      </c>
      <c r="R332" s="7"/>
      <c r="S332" s="7">
        <f t="shared" si="107"/>
        <v>0.27272727272727271</v>
      </c>
      <c r="T332" s="7">
        <f t="shared" si="92"/>
        <v>0.27272727272727271</v>
      </c>
      <c r="U332" s="7">
        <f t="shared" si="93"/>
        <v>0.27272727272727271</v>
      </c>
      <c r="V332" s="119">
        <f t="shared" si="94"/>
        <v>0</v>
      </c>
      <c r="W332" s="119">
        <f t="shared" si="95"/>
        <v>0.27272727272727271</v>
      </c>
      <c r="X332" s="119">
        <f t="shared" si="96"/>
        <v>0.27272727272727271</v>
      </c>
      <c r="Y332" s="119">
        <f t="shared" si="97"/>
        <v>0.27272727272727271</v>
      </c>
      <c r="Z332" s="119">
        <f t="shared" si="98"/>
        <v>0.27272727272727271</v>
      </c>
      <c r="AA332" s="119">
        <f t="shared" si="99"/>
        <v>0.27272727272727271</v>
      </c>
      <c r="AB332" s="119">
        <f t="shared" si="100"/>
        <v>0.27272727272727271</v>
      </c>
      <c r="AC332" s="119">
        <f t="shared" si="101"/>
        <v>0.27272727272727271</v>
      </c>
      <c r="AD332" s="119">
        <f t="shared" si="102"/>
        <v>0.27272727272727271</v>
      </c>
      <c r="AE332" s="119">
        <f t="shared" si="103"/>
        <v>0</v>
      </c>
      <c r="AF332" s="7"/>
      <c r="AG332" s="7"/>
      <c r="AH332" s="7">
        <f t="shared" si="104"/>
        <v>2.9999999999999991</v>
      </c>
      <c r="AI332" s="7">
        <f t="shared" si="105"/>
        <v>11</v>
      </c>
      <c r="AJ332" s="7" t="str">
        <f t="shared" si="106"/>
        <v>Correct</v>
      </c>
      <c r="AL332" s="120" t="str">
        <f>IFERROR(VLOOKUP(Table1[RespondentID],'All Data'!$A$3:$CO$999,87,FALSE),"unknown")</f>
        <v>Man</v>
      </c>
      <c r="AM332" s="120">
        <f>IFERROR(VLOOKUP(Table1[RespondentID],'All Data'!$A$3:$CO$999,88,FALSE),"unknown")</f>
        <v>65</v>
      </c>
      <c r="AN332" s="120" t="str">
        <f>IFERROR(VLOOKUP(Table1[RespondentID],'All Data'!$A$3:$CO$999,89,FALSE),"unknown")</f>
        <v>Queens</v>
      </c>
      <c r="AO332" s="120">
        <f>IFERROR(VLOOKUP(Table1[RespondentID],'All Data'!$A$3:$CO$999,90,FALSE),"unknown")</f>
        <v>11692</v>
      </c>
      <c r="AP332" s="120" t="str">
        <f>IFERROR(VLOOKUP(Table1[RespondentID],'All Data'!$A$3:$CO$999,91,FALSE),"unknown")</f>
        <v>Native Hawaiian and Other Pacific Islander</v>
      </c>
      <c r="AQ332" s="120" t="str">
        <f>IFERROR(VLOOKUP(Table1[RespondentID],'All Data'!$A$3:$CO$999,92,FALSE),"unknown")</f>
        <v>Hispanic or Latino</v>
      </c>
      <c r="AR332" s="120" t="str">
        <f>IFERROR(VLOOKUP(Table1[RespondentID],'All Data'!$A$3:$CO$999,93,FALSE),"unknown")</f>
        <v>English</v>
      </c>
      <c r="AS332" s="120" t="str">
        <f>IFERROR(VLOOKUP(Table1[RespondentID],'All Data'!$A$3:$CW$999,94,FALSE),"unknown")</f>
        <v>$35,000 to $49,999</v>
      </c>
      <c r="AT332" s="120" t="str">
        <f>IFERROR(VLOOKUP(Table1[RespondentID],'All Data'!$A$3:$CW$999,95,FALSE),"unknown")</f>
        <v>College graduate</v>
      </c>
      <c r="AU332" s="120" t="str">
        <f>IFERROR(VLOOKUP(Table1[RespondentID],'All Data'!$A$3:$CW$999,96,FALSE),"unknown")</f>
        <v>Employed for wages</v>
      </c>
      <c r="AV332" s="120" t="str">
        <f>IFERROR(VLOOKUP(Table1[RespondentID],'All Data'!$A$3:$CW$999,97,FALSE),"unknown")</f>
        <v>Yes</v>
      </c>
      <c r="AW332" s="120" t="str">
        <f>IFERROR(VLOOKUP(Table1[RespondentID],'All Data'!$A$3:$CW$999,98,FALSE),"unknown")</f>
        <v>Private/Commercial</v>
      </c>
      <c r="AX332" s="120" t="str">
        <f>IFERROR(VLOOKUP(Table1[RespondentID],'All Data'!$A$3:$CW$999,99,FALSE),"unknown")</f>
        <v>Yes</v>
      </c>
    </row>
    <row r="333" spans="1:50">
      <c r="A333" s="5">
        <v>18014390822</v>
      </c>
      <c r="B333" s="5"/>
      <c r="C333" s="5"/>
      <c r="D333" s="5"/>
      <c r="E333" s="5" t="s">
        <v>19</v>
      </c>
      <c r="F333" s="5"/>
      <c r="G333" s="5"/>
      <c r="H333" s="5"/>
      <c r="I333" s="5"/>
      <c r="J333" s="5"/>
      <c r="K333" s="5" t="s">
        <v>25</v>
      </c>
      <c r="L333" s="5" t="s">
        <v>26</v>
      </c>
      <c r="M333" s="5"/>
      <c r="N333" s="5"/>
      <c r="O333" s="7"/>
      <c r="P333" s="7">
        <f t="shared" si="90"/>
        <v>3</v>
      </c>
      <c r="Q333" s="7">
        <f t="shared" si="91"/>
        <v>1</v>
      </c>
      <c r="R333" s="7"/>
      <c r="S333" s="7">
        <f t="shared" si="107"/>
        <v>0</v>
      </c>
      <c r="T333" s="7">
        <f t="shared" si="92"/>
        <v>0</v>
      </c>
      <c r="U333" s="7">
        <f t="shared" si="93"/>
        <v>0</v>
      </c>
      <c r="V333" s="119">
        <f t="shared" si="94"/>
        <v>1</v>
      </c>
      <c r="W333" s="119">
        <f t="shared" si="95"/>
        <v>0</v>
      </c>
      <c r="X333" s="119">
        <f t="shared" si="96"/>
        <v>0</v>
      </c>
      <c r="Y333" s="119">
        <f t="shared" si="97"/>
        <v>0</v>
      </c>
      <c r="Z333" s="119">
        <f t="shared" si="98"/>
        <v>0</v>
      </c>
      <c r="AA333" s="119">
        <f t="shared" si="99"/>
        <v>0</v>
      </c>
      <c r="AB333" s="119">
        <f t="shared" si="100"/>
        <v>1</v>
      </c>
      <c r="AC333" s="119">
        <f t="shared" si="101"/>
        <v>1</v>
      </c>
      <c r="AD333" s="119">
        <f t="shared" si="102"/>
        <v>0</v>
      </c>
      <c r="AE333" s="119">
        <f t="shared" si="103"/>
        <v>0</v>
      </c>
      <c r="AF333" s="7"/>
      <c r="AG333" s="7"/>
      <c r="AH333" s="7">
        <f t="shared" si="104"/>
        <v>3</v>
      </c>
      <c r="AI333" s="7">
        <f t="shared" si="105"/>
        <v>3</v>
      </c>
      <c r="AJ333" s="7" t="str">
        <f t="shared" si="106"/>
        <v>Correct</v>
      </c>
      <c r="AL333" s="120" t="str">
        <f>IFERROR(VLOOKUP(Table1[RespondentID],'All Data'!$A$3:$CO$999,87,FALSE),"unknown")</f>
        <v>Man</v>
      </c>
      <c r="AM333" s="120">
        <f>IFERROR(VLOOKUP(Table1[RespondentID],'All Data'!$A$3:$CO$999,88,FALSE),"unknown")</f>
        <v>45</v>
      </c>
      <c r="AN333" s="120" t="str">
        <f>IFERROR(VLOOKUP(Table1[RespondentID],'All Data'!$A$3:$CO$999,89,FALSE),"unknown")</f>
        <v>Queens</v>
      </c>
      <c r="AO333" s="120">
        <f>IFERROR(VLOOKUP(Table1[RespondentID],'All Data'!$A$3:$CO$999,90,FALSE),"unknown")</f>
        <v>11355</v>
      </c>
      <c r="AP333" s="120" t="str">
        <f>IFERROR(VLOOKUP(Table1[RespondentID],'All Data'!$A$3:$CO$999,91,FALSE),"unknown")</f>
        <v>Asian</v>
      </c>
      <c r="AQ333" s="120" t="str">
        <f>IFERROR(VLOOKUP(Table1[RespondentID],'All Data'!$A$3:$CO$999,92,FALSE),"unknown")</f>
        <v>Hispanic or Latino</v>
      </c>
      <c r="AR333" s="120" t="str">
        <f>IFERROR(VLOOKUP(Table1[RespondentID],'All Data'!$A$3:$CO$999,93,FALSE),"unknown")</f>
        <v>English</v>
      </c>
      <c r="AS333" s="120" t="str">
        <f>IFERROR(VLOOKUP(Table1[RespondentID],'All Data'!$A$3:$CW$999,94,FALSE),"unknown")</f>
        <v>$35,000 to $49,999</v>
      </c>
      <c r="AT333" s="120" t="str">
        <f>IFERROR(VLOOKUP(Table1[RespondentID],'All Data'!$A$3:$CW$999,95,FALSE),"unknown")</f>
        <v>Some high school</v>
      </c>
      <c r="AU333" s="120" t="str">
        <f>IFERROR(VLOOKUP(Table1[RespondentID],'All Data'!$A$3:$CW$999,96,FALSE),"unknown")</f>
        <v>Employed for wages</v>
      </c>
      <c r="AV333" s="120" t="str">
        <f>IFERROR(VLOOKUP(Table1[RespondentID],'All Data'!$A$3:$CW$999,97,FALSE),"unknown")</f>
        <v>Yes</v>
      </c>
      <c r="AW333" s="120" t="str">
        <f>IFERROR(VLOOKUP(Table1[RespondentID],'All Data'!$A$3:$CW$999,98,FALSE),"unknown")</f>
        <v>Private/Commercial</v>
      </c>
      <c r="AX333" s="120" t="str">
        <f>IFERROR(VLOOKUP(Table1[RespondentID],'All Data'!$A$3:$CW$999,99,FALSE),"unknown")</f>
        <v>Yes</v>
      </c>
    </row>
    <row r="334" spans="1:50">
      <c r="A334" s="5">
        <v>18014390460</v>
      </c>
      <c r="B334" s="5"/>
      <c r="C334" s="5"/>
      <c r="D334" s="5"/>
      <c r="E334" s="5"/>
      <c r="F334" s="5"/>
      <c r="G334" s="5"/>
      <c r="H334" s="5"/>
      <c r="I334" s="5"/>
      <c r="J334" s="5"/>
      <c r="K334" s="5"/>
      <c r="L334" s="5" t="s">
        <v>26</v>
      </c>
      <c r="M334" s="5"/>
      <c r="N334" s="5"/>
      <c r="O334" s="7"/>
      <c r="P334" s="7">
        <f t="shared" si="90"/>
        <v>1</v>
      </c>
      <c r="Q334" s="7">
        <f t="shared" si="91"/>
        <v>3</v>
      </c>
      <c r="R334" s="7"/>
      <c r="S334" s="7">
        <f t="shared" si="107"/>
        <v>0</v>
      </c>
      <c r="T334" s="7">
        <f t="shared" si="92"/>
        <v>0</v>
      </c>
      <c r="U334" s="7">
        <f t="shared" si="93"/>
        <v>0</v>
      </c>
      <c r="V334" s="119">
        <f t="shared" si="94"/>
        <v>0</v>
      </c>
      <c r="W334" s="119">
        <f t="shared" si="95"/>
        <v>0</v>
      </c>
      <c r="X334" s="119">
        <f t="shared" si="96"/>
        <v>0</v>
      </c>
      <c r="Y334" s="119">
        <f t="shared" si="97"/>
        <v>0</v>
      </c>
      <c r="Z334" s="119">
        <f t="shared" si="98"/>
        <v>0</v>
      </c>
      <c r="AA334" s="119">
        <f t="shared" si="99"/>
        <v>0</v>
      </c>
      <c r="AB334" s="119">
        <f t="shared" si="100"/>
        <v>0</v>
      </c>
      <c r="AC334" s="119">
        <f t="shared" si="101"/>
        <v>1</v>
      </c>
      <c r="AD334" s="119">
        <f t="shared" si="102"/>
        <v>0</v>
      </c>
      <c r="AE334" s="119">
        <f t="shared" si="103"/>
        <v>0</v>
      </c>
      <c r="AF334" s="7"/>
      <c r="AG334" s="7"/>
      <c r="AH334" s="7">
        <f t="shared" si="104"/>
        <v>1</v>
      </c>
      <c r="AI334" s="7">
        <f t="shared" si="105"/>
        <v>1</v>
      </c>
      <c r="AJ334" s="7" t="str">
        <f t="shared" si="106"/>
        <v>Correct</v>
      </c>
      <c r="AL334" s="120" t="str">
        <f>IFERROR(VLOOKUP(Table1[RespondentID],'All Data'!$A$3:$CO$999,87,FALSE),"unknown")</f>
        <v>Woman</v>
      </c>
      <c r="AM334" s="120">
        <f>IFERROR(VLOOKUP(Table1[RespondentID],'All Data'!$A$3:$CO$999,88,FALSE),"unknown")</f>
        <v>38</v>
      </c>
      <c r="AN334" s="120" t="str">
        <f>IFERROR(VLOOKUP(Table1[RespondentID],'All Data'!$A$3:$CO$999,89,FALSE),"unknown")</f>
        <v>Queens</v>
      </c>
      <c r="AO334" s="120">
        <f>IFERROR(VLOOKUP(Table1[RespondentID],'All Data'!$A$3:$CO$999,90,FALSE),"unknown")</f>
        <v>11236</v>
      </c>
      <c r="AP334" s="120" t="str">
        <f>IFERROR(VLOOKUP(Table1[RespondentID],'All Data'!$A$3:$CO$999,91,FALSE),"unknown")</f>
        <v>Asian</v>
      </c>
      <c r="AQ334" s="120" t="str">
        <f>IFERROR(VLOOKUP(Table1[RespondentID],'All Data'!$A$3:$CO$999,92,FALSE),"unknown")</f>
        <v>Not Hispanic or Latino</v>
      </c>
      <c r="AR334" s="120" t="str">
        <f>IFERROR(VLOOKUP(Table1[RespondentID],'All Data'!$A$3:$CO$999,93,FALSE),"unknown")</f>
        <v>English, Haitian Creole</v>
      </c>
      <c r="AS334" s="120" t="str">
        <f>IFERROR(VLOOKUP(Table1[RespondentID],'All Data'!$A$3:$CW$999,94,FALSE),"unknown")</f>
        <v>$75,000 to $125,000</v>
      </c>
      <c r="AT334" s="120" t="str">
        <f>IFERROR(VLOOKUP(Table1[RespondentID],'All Data'!$A$3:$CW$999,95,FALSE),"unknown")</f>
        <v>College graduate</v>
      </c>
      <c r="AU334" s="120" t="str">
        <f>IFERROR(VLOOKUP(Table1[RespondentID],'All Data'!$A$3:$CW$999,96,FALSE),"unknown")</f>
        <v>Employed for wages</v>
      </c>
      <c r="AV334" s="120" t="str">
        <f>IFERROR(VLOOKUP(Table1[RespondentID],'All Data'!$A$3:$CW$999,97,FALSE),"unknown")</f>
        <v>No</v>
      </c>
      <c r="AW334" s="120" t="str">
        <f>IFERROR(VLOOKUP(Table1[RespondentID],'All Data'!$A$3:$CW$999,98,FALSE),"unknown")</f>
        <v>Medicaid, Medicare</v>
      </c>
      <c r="AX334" s="120" t="str">
        <f>IFERROR(VLOOKUP(Table1[RespondentID],'All Data'!$A$3:$CW$999,99,FALSE),"unknown")</f>
        <v>Yes</v>
      </c>
    </row>
    <row r="335" spans="1:50">
      <c r="A335" s="5">
        <v>18014363228</v>
      </c>
      <c r="B335" s="5"/>
      <c r="C335" s="5"/>
      <c r="D335" s="5"/>
      <c r="E335" s="5"/>
      <c r="F335" s="5"/>
      <c r="G335" s="5"/>
      <c r="H335" s="5"/>
      <c r="I335" s="5"/>
      <c r="J335" s="5"/>
      <c r="K335" s="5"/>
      <c r="L335" s="5"/>
      <c r="M335" s="5"/>
      <c r="N335" s="5"/>
      <c r="O335" s="7"/>
      <c r="P335" s="7">
        <f t="shared" si="90"/>
        <v>0</v>
      </c>
      <c r="Q335" s="7" t="e">
        <f t="shared" si="91"/>
        <v>#DIV/0!</v>
      </c>
      <c r="R335" s="7"/>
      <c r="S335" s="7">
        <f t="shared" si="107"/>
        <v>0</v>
      </c>
      <c r="T335" s="7">
        <f t="shared" si="92"/>
        <v>0</v>
      </c>
      <c r="U335" s="7">
        <f t="shared" si="93"/>
        <v>0</v>
      </c>
      <c r="V335" s="119">
        <f t="shared" si="94"/>
        <v>0</v>
      </c>
      <c r="W335" s="119">
        <f t="shared" si="95"/>
        <v>0</v>
      </c>
      <c r="X335" s="119">
        <f t="shared" si="96"/>
        <v>0</v>
      </c>
      <c r="Y335" s="119">
        <f t="shared" si="97"/>
        <v>0</v>
      </c>
      <c r="Z335" s="119">
        <f t="shared" si="98"/>
        <v>0</v>
      </c>
      <c r="AA335" s="119">
        <f t="shared" si="99"/>
        <v>0</v>
      </c>
      <c r="AB335" s="119">
        <f t="shared" si="100"/>
        <v>0</v>
      </c>
      <c r="AC335" s="119">
        <f t="shared" si="101"/>
        <v>0</v>
      </c>
      <c r="AD335" s="119">
        <f t="shared" si="102"/>
        <v>0</v>
      </c>
      <c r="AE335" s="119">
        <f t="shared" si="103"/>
        <v>0</v>
      </c>
      <c r="AF335" s="7"/>
      <c r="AG335" s="7"/>
      <c r="AH335" s="7">
        <f t="shared" si="104"/>
        <v>0</v>
      </c>
      <c r="AI335" s="7">
        <f t="shared" si="105"/>
        <v>0</v>
      </c>
      <c r="AJ335" s="7" t="str">
        <f t="shared" si="106"/>
        <v>Correct</v>
      </c>
      <c r="AL335" s="120">
        <f>IFERROR(VLOOKUP(Table1[RespondentID],'All Data'!$A$3:$CO$999,87,FALSE),"unknown")</f>
        <v>0</v>
      </c>
      <c r="AM335" s="120">
        <f>IFERROR(VLOOKUP(Table1[RespondentID],'All Data'!$A$3:$CO$999,88,FALSE),"unknown")</f>
        <v>0</v>
      </c>
      <c r="AN335" s="120">
        <f>IFERROR(VLOOKUP(Table1[RespondentID],'All Data'!$A$3:$CO$999,89,FALSE),"unknown")</f>
        <v>0</v>
      </c>
      <c r="AO335" s="120" t="str">
        <f>IFERROR(VLOOKUP(Table1[RespondentID],'All Data'!$A$3:$CO$999,90,FALSE),"unknown")</f>
        <v>Alden Manor, 11003</v>
      </c>
      <c r="AP335" s="120">
        <f>IFERROR(VLOOKUP(Table1[RespondentID],'All Data'!$A$3:$CO$999,91,FALSE),"unknown")</f>
        <v>0</v>
      </c>
      <c r="AQ335" s="120">
        <f>IFERROR(VLOOKUP(Table1[RespondentID],'All Data'!$A$3:$CO$999,92,FALSE),"unknown")</f>
        <v>0</v>
      </c>
      <c r="AR335" s="120">
        <f>IFERROR(VLOOKUP(Table1[RespondentID],'All Data'!$A$3:$CO$999,93,FALSE),"unknown")</f>
        <v>0</v>
      </c>
      <c r="AS335" s="120">
        <f>IFERROR(VLOOKUP(Table1[RespondentID],'All Data'!$A$3:$CW$999,94,FALSE),"unknown")</f>
        <v>0</v>
      </c>
      <c r="AT335" s="120">
        <f>IFERROR(VLOOKUP(Table1[RespondentID],'All Data'!$A$3:$CW$999,95,FALSE),"unknown")</f>
        <v>0</v>
      </c>
      <c r="AU335" s="120">
        <f>IFERROR(VLOOKUP(Table1[RespondentID],'All Data'!$A$3:$CW$999,96,FALSE),"unknown")</f>
        <v>0</v>
      </c>
      <c r="AV335" s="120">
        <f>IFERROR(VLOOKUP(Table1[RespondentID],'All Data'!$A$3:$CW$999,97,FALSE),"unknown")</f>
        <v>0</v>
      </c>
      <c r="AW335" s="120">
        <f>IFERROR(VLOOKUP(Table1[RespondentID],'All Data'!$A$3:$CW$999,98,FALSE),"unknown")</f>
        <v>0</v>
      </c>
      <c r="AX335" s="120">
        <f>IFERROR(VLOOKUP(Table1[RespondentID],'All Data'!$A$3:$CW$999,99,FALSE),"unknown")</f>
        <v>0</v>
      </c>
    </row>
    <row r="336" spans="1:50">
      <c r="A336" s="5">
        <v>18014090175</v>
      </c>
      <c r="B336" s="5"/>
      <c r="C336" s="5" t="s">
        <v>17</v>
      </c>
      <c r="D336" s="5"/>
      <c r="E336" s="5" t="s">
        <v>19</v>
      </c>
      <c r="F336" s="5"/>
      <c r="G336" s="5" t="s">
        <v>21</v>
      </c>
      <c r="H336" s="5"/>
      <c r="I336" s="5"/>
      <c r="J336" s="5"/>
      <c r="K336" s="5"/>
      <c r="L336" s="5"/>
      <c r="M336" s="5"/>
      <c r="N336" s="5"/>
      <c r="O336" s="7"/>
      <c r="P336" s="7">
        <f t="shared" si="90"/>
        <v>3</v>
      </c>
      <c r="Q336" s="7">
        <f t="shared" si="91"/>
        <v>1</v>
      </c>
      <c r="R336" s="7"/>
      <c r="S336" s="7">
        <f t="shared" si="107"/>
        <v>0</v>
      </c>
      <c r="T336" s="7">
        <f t="shared" si="92"/>
        <v>1</v>
      </c>
      <c r="U336" s="7">
        <f t="shared" si="93"/>
        <v>0</v>
      </c>
      <c r="V336" s="119">
        <f t="shared" si="94"/>
        <v>1</v>
      </c>
      <c r="W336" s="119">
        <f t="shared" si="95"/>
        <v>0</v>
      </c>
      <c r="X336" s="119">
        <f t="shared" si="96"/>
        <v>1</v>
      </c>
      <c r="Y336" s="119">
        <f t="shared" si="97"/>
        <v>0</v>
      </c>
      <c r="Z336" s="119">
        <f t="shared" si="98"/>
        <v>0</v>
      </c>
      <c r="AA336" s="119">
        <f t="shared" si="99"/>
        <v>0</v>
      </c>
      <c r="AB336" s="119">
        <f t="shared" si="100"/>
        <v>0</v>
      </c>
      <c r="AC336" s="119">
        <f t="shared" si="101"/>
        <v>0</v>
      </c>
      <c r="AD336" s="119">
        <f t="shared" si="102"/>
        <v>0</v>
      </c>
      <c r="AE336" s="119">
        <f t="shared" si="103"/>
        <v>0</v>
      </c>
      <c r="AF336" s="7"/>
      <c r="AG336" s="7"/>
      <c r="AH336" s="7">
        <f t="shared" si="104"/>
        <v>3</v>
      </c>
      <c r="AI336" s="7">
        <f t="shared" si="105"/>
        <v>3</v>
      </c>
      <c r="AJ336" s="7" t="str">
        <f t="shared" si="106"/>
        <v>Correct</v>
      </c>
      <c r="AL336" s="120" t="str">
        <f>IFERROR(VLOOKUP(Table1[RespondentID],'All Data'!$A$3:$CO$999,87,FALSE),"unknown")</f>
        <v>Man</v>
      </c>
      <c r="AM336" s="120">
        <f>IFERROR(VLOOKUP(Table1[RespondentID],'All Data'!$A$3:$CO$999,88,FALSE),"unknown")</f>
        <v>17</v>
      </c>
      <c r="AN336" s="120" t="str">
        <f>IFERROR(VLOOKUP(Table1[RespondentID],'All Data'!$A$3:$CO$999,89,FALSE),"unknown")</f>
        <v>Suffolk</v>
      </c>
      <c r="AO336" s="120" t="str">
        <f>IFERROR(VLOOKUP(Table1[RespondentID],'All Data'!$A$3:$CO$999,90,FALSE),"unknown")</f>
        <v>Kings Park, 11754</v>
      </c>
      <c r="AP336" s="120" t="str">
        <f>IFERROR(VLOOKUP(Table1[RespondentID],'All Data'!$A$3:$CO$999,91,FALSE),"unknown")</f>
        <v>White</v>
      </c>
      <c r="AQ336" s="120" t="str">
        <f>IFERROR(VLOOKUP(Table1[RespondentID],'All Data'!$A$3:$CO$999,92,FALSE),"unknown")</f>
        <v>Hispanic or Latino</v>
      </c>
      <c r="AR336" s="120" t="str">
        <f>IFERROR(VLOOKUP(Table1[RespondentID],'All Data'!$A$3:$CO$999,93,FALSE),"unknown")</f>
        <v>English</v>
      </c>
      <c r="AS336" s="120" t="str">
        <f>IFERROR(VLOOKUP(Table1[RespondentID],'All Data'!$A$3:$CW$999,94,FALSE),"unknown")</f>
        <v>Over $125,000</v>
      </c>
      <c r="AT336" s="120" t="str">
        <f>IFERROR(VLOOKUP(Table1[RespondentID],'All Data'!$A$3:$CW$999,95,FALSE),"unknown")</f>
        <v>High school graduate</v>
      </c>
      <c r="AU336" s="120" t="str">
        <f>IFERROR(VLOOKUP(Table1[RespondentID],'All Data'!$A$3:$CW$999,96,FALSE),"unknown")</f>
        <v>Student</v>
      </c>
      <c r="AV336" s="120" t="str">
        <f>IFERROR(VLOOKUP(Table1[RespondentID],'All Data'!$A$3:$CW$999,97,FALSE),"unknown")</f>
        <v>Yes</v>
      </c>
      <c r="AW336" s="120" t="str">
        <f>IFERROR(VLOOKUP(Table1[RespondentID],'All Data'!$A$3:$CW$999,98,FALSE),"unknown")</f>
        <v>Medicare</v>
      </c>
      <c r="AX336" s="120" t="str">
        <f>IFERROR(VLOOKUP(Table1[RespondentID],'All Data'!$A$3:$CW$999,99,FALSE),"unknown")</f>
        <v>Yes</v>
      </c>
    </row>
    <row r="337" spans="1:50">
      <c r="A337" s="5">
        <v>18013870170</v>
      </c>
      <c r="B337" s="5"/>
      <c r="C337" s="5" t="s">
        <v>17</v>
      </c>
      <c r="D337" s="5"/>
      <c r="E337" s="5"/>
      <c r="F337" s="5"/>
      <c r="G337" s="5"/>
      <c r="H337" s="5"/>
      <c r="I337" s="5"/>
      <c r="J337" s="5"/>
      <c r="K337" s="5" t="s">
        <v>25</v>
      </c>
      <c r="L337" s="5" t="s">
        <v>26</v>
      </c>
      <c r="M337" s="5"/>
      <c r="N337" s="5"/>
      <c r="O337" s="7"/>
      <c r="P337" s="7">
        <f t="shared" si="90"/>
        <v>3</v>
      </c>
      <c r="Q337" s="7">
        <f t="shared" si="91"/>
        <v>1</v>
      </c>
      <c r="R337" s="7"/>
      <c r="S337" s="7">
        <f t="shared" si="107"/>
        <v>0</v>
      </c>
      <c r="T337" s="7">
        <f t="shared" si="92"/>
        <v>1</v>
      </c>
      <c r="U337" s="7">
        <f t="shared" si="93"/>
        <v>0</v>
      </c>
      <c r="V337" s="119">
        <f t="shared" si="94"/>
        <v>0</v>
      </c>
      <c r="W337" s="119">
        <f t="shared" si="95"/>
        <v>0</v>
      </c>
      <c r="X337" s="119">
        <f t="shared" si="96"/>
        <v>0</v>
      </c>
      <c r="Y337" s="119">
        <f t="shared" si="97"/>
        <v>0</v>
      </c>
      <c r="Z337" s="119">
        <f t="shared" si="98"/>
        <v>0</v>
      </c>
      <c r="AA337" s="119">
        <f t="shared" si="99"/>
        <v>0</v>
      </c>
      <c r="AB337" s="119">
        <f t="shared" si="100"/>
        <v>1</v>
      </c>
      <c r="AC337" s="119">
        <f t="shared" si="101"/>
        <v>1</v>
      </c>
      <c r="AD337" s="119">
        <f t="shared" si="102"/>
        <v>0</v>
      </c>
      <c r="AE337" s="119">
        <f t="shared" si="103"/>
        <v>0</v>
      </c>
      <c r="AF337" s="7"/>
      <c r="AG337" s="7"/>
      <c r="AH337" s="7">
        <f t="shared" si="104"/>
        <v>3</v>
      </c>
      <c r="AI337" s="7">
        <f t="shared" si="105"/>
        <v>3</v>
      </c>
      <c r="AJ337" s="7" t="str">
        <f t="shared" si="106"/>
        <v>Correct</v>
      </c>
      <c r="AL337" s="120" t="str">
        <f>IFERROR(VLOOKUP(Table1[RespondentID],'All Data'!$A$3:$CO$999,87,FALSE),"unknown")</f>
        <v>Man</v>
      </c>
      <c r="AM337" s="120">
        <f>IFERROR(VLOOKUP(Table1[RespondentID],'All Data'!$A$3:$CO$999,88,FALSE),"unknown")</f>
        <v>53</v>
      </c>
      <c r="AN337" s="120" t="str">
        <f>IFERROR(VLOOKUP(Table1[RespondentID],'All Data'!$A$3:$CO$999,89,FALSE),"unknown")</f>
        <v>Suffolk</v>
      </c>
      <c r="AO337" s="120" t="str">
        <f>IFERROR(VLOOKUP(Table1[RespondentID],'All Data'!$A$3:$CO$999,90,FALSE),"unknown")</f>
        <v>Manorville, 11949</v>
      </c>
      <c r="AP337" s="120" t="str">
        <f>IFERROR(VLOOKUP(Table1[RespondentID],'All Data'!$A$3:$CO$999,91,FALSE),"unknown")</f>
        <v>White</v>
      </c>
      <c r="AQ337" s="120" t="str">
        <f>IFERROR(VLOOKUP(Table1[RespondentID],'All Data'!$A$3:$CO$999,92,FALSE),"unknown")</f>
        <v>Hispanic or Latino</v>
      </c>
      <c r="AR337" s="120" t="str">
        <f>IFERROR(VLOOKUP(Table1[RespondentID],'All Data'!$A$3:$CO$999,93,FALSE),"unknown")</f>
        <v>English</v>
      </c>
      <c r="AS337" s="120" t="str">
        <f>IFERROR(VLOOKUP(Table1[RespondentID],'All Data'!$A$3:$CW$999,94,FALSE),"unknown")</f>
        <v>$75,000 to $125,000</v>
      </c>
      <c r="AT337" s="120" t="str">
        <f>IFERROR(VLOOKUP(Table1[RespondentID],'All Data'!$A$3:$CW$999,95,FALSE),"unknown")</f>
        <v>College graduate</v>
      </c>
      <c r="AU337" s="120" t="str">
        <f>IFERROR(VLOOKUP(Table1[RespondentID],'All Data'!$A$3:$CW$999,96,FALSE),"unknown")</f>
        <v>Employed for wages</v>
      </c>
      <c r="AV337" s="120" t="str">
        <f>IFERROR(VLOOKUP(Table1[RespondentID],'All Data'!$A$3:$CW$999,97,FALSE),"unknown")</f>
        <v>Yes</v>
      </c>
      <c r="AW337" s="120" t="str">
        <f>IFERROR(VLOOKUP(Table1[RespondentID],'All Data'!$A$3:$CW$999,98,FALSE),"unknown")</f>
        <v>Private/Commercial</v>
      </c>
      <c r="AX337" s="120" t="str">
        <f>IFERROR(VLOOKUP(Table1[RespondentID],'All Data'!$A$3:$CW$999,99,FALSE),"unknown")</f>
        <v>Yes</v>
      </c>
    </row>
    <row r="338" spans="1:50">
      <c r="A338" s="5">
        <v>18013484831</v>
      </c>
      <c r="B338" s="5"/>
      <c r="C338" s="5" t="s">
        <v>17</v>
      </c>
      <c r="D338" s="5" t="s">
        <v>18</v>
      </c>
      <c r="E338" s="5"/>
      <c r="F338" s="5"/>
      <c r="G338" s="5"/>
      <c r="H338" s="5"/>
      <c r="I338" s="5"/>
      <c r="J338" s="5" t="s">
        <v>24</v>
      </c>
      <c r="K338" s="5"/>
      <c r="L338" s="5"/>
      <c r="M338" s="5"/>
      <c r="N338" s="5"/>
      <c r="O338" s="7"/>
      <c r="P338" s="7">
        <f t="shared" si="90"/>
        <v>3</v>
      </c>
      <c r="Q338" s="7">
        <f t="shared" si="91"/>
        <v>1</v>
      </c>
      <c r="R338" s="7"/>
      <c r="S338" s="7">
        <f t="shared" si="107"/>
        <v>0</v>
      </c>
      <c r="T338" s="7">
        <f t="shared" si="92"/>
        <v>1</v>
      </c>
      <c r="U338" s="7">
        <f t="shared" si="93"/>
        <v>1</v>
      </c>
      <c r="V338" s="119">
        <f t="shared" si="94"/>
        <v>0</v>
      </c>
      <c r="W338" s="119">
        <f t="shared" si="95"/>
        <v>0</v>
      </c>
      <c r="X338" s="119">
        <f t="shared" si="96"/>
        <v>0</v>
      </c>
      <c r="Y338" s="119">
        <f t="shared" si="97"/>
        <v>0</v>
      </c>
      <c r="Z338" s="119">
        <f t="shared" si="98"/>
        <v>0</v>
      </c>
      <c r="AA338" s="119">
        <f t="shared" si="99"/>
        <v>1</v>
      </c>
      <c r="AB338" s="119">
        <f t="shared" si="100"/>
        <v>0</v>
      </c>
      <c r="AC338" s="119">
        <f t="shared" si="101"/>
        <v>0</v>
      </c>
      <c r="AD338" s="119">
        <f t="shared" si="102"/>
        <v>0</v>
      </c>
      <c r="AE338" s="119">
        <f t="shared" si="103"/>
        <v>0</v>
      </c>
      <c r="AF338" s="7"/>
      <c r="AG338" s="7"/>
      <c r="AH338" s="7">
        <f t="shared" si="104"/>
        <v>3</v>
      </c>
      <c r="AI338" s="7">
        <f t="shared" si="105"/>
        <v>3</v>
      </c>
      <c r="AJ338" s="7" t="str">
        <f t="shared" si="106"/>
        <v>Correct</v>
      </c>
      <c r="AL338" s="120" t="str">
        <f>IFERROR(VLOOKUP(Table1[RespondentID],'All Data'!$A$3:$CO$999,87,FALSE),"unknown")</f>
        <v>Man</v>
      </c>
      <c r="AM338" s="120">
        <f>IFERROR(VLOOKUP(Table1[RespondentID],'All Data'!$A$3:$CO$999,88,FALSE),"unknown")</f>
        <v>83</v>
      </c>
      <c r="AN338" s="120" t="str">
        <f>IFERROR(VLOOKUP(Table1[RespondentID],'All Data'!$A$3:$CO$999,89,FALSE),"unknown")</f>
        <v>Nassau</v>
      </c>
      <c r="AO338" s="120" t="str">
        <f>IFERROR(VLOOKUP(Table1[RespondentID],'All Data'!$A$3:$CO$999,90,FALSE),"unknown")</f>
        <v>Syosset, 11791</v>
      </c>
      <c r="AP338" s="120" t="str">
        <f>IFERROR(VLOOKUP(Table1[RespondentID],'All Data'!$A$3:$CO$999,91,FALSE),"unknown")</f>
        <v>White</v>
      </c>
      <c r="AQ338" s="120" t="str">
        <f>IFERROR(VLOOKUP(Table1[RespondentID],'All Data'!$A$3:$CO$999,92,FALSE),"unknown")</f>
        <v>Hispanic or Latino</v>
      </c>
      <c r="AR338" s="120" t="str">
        <f>IFERROR(VLOOKUP(Table1[RespondentID],'All Data'!$A$3:$CO$999,93,FALSE),"unknown")</f>
        <v>English</v>
      </c>
      <c r="AS338" s="120" t="str">
        <f>IFERROR(VLOOKUP(Table1[RespondentID],'All Data'!$A$3:$CW$999,94,FALSE),"unknown")</f>
        <v>Over $125,000</v>
      </c>
      <c r="AT338" s="120" t="str">
        <f>IFERROR(VLOOKUP(Table1[RespondentID],'All Data'!$A$3:$CW$999,95,FALSE),"unknown")</f>
        <v>College graduate</v>
      </c>
      <c r="AU338" s="120" t="str">
        <f>IFERROR(VLOOKUP(Table1[RespondentID],'All Data'!$A$3:$CW$999,96,FALSE),"unknown")</f>
        <v>Retired</v>
      </c>
      <c r="AV338" s="120" t="str">
        <f>IFERROR(VLOOKUP(Table1[RespondentID],'All Data'!$A$3:$CW$999,97,FALSE),"unknown")</f>
        <v>Yes</v>
      </c>
      <c r="AW338" s="120" t="str">
        <f>IFERROR(VLOOKUP(Table1[RespondentID],'All Data'!$A$3:$CW$999,98,FALSE),"unknown")</f>
        <v>Medicare</v>
      </c>
      <c r="AX338" s="120" t="str">
        <f>IFERROR(VLOOKUP(Table1[RespondentID],'All Data'!$A$3:$CW$999,99,FALSE),"unknown")</f>
        <v>Yes</v>
      </c>
    </row>
    <row r="339" spans="1:50">
      <c r="A339" s="5">
        <v>18013472458</v>
      </c>
      <c r="B339" s="5"/>
      <c r="C339" s="5"/>
      <c r="D339" s="5"/>
      <c r="E339" s="5"/>
      <c r="F339" s="5"/>
      <c r="G339" s="5"/>
      <c r="H339" s="5"/>
      <c r="I339" s="5"/>
      <c r="J339" s="5"/>
      <c r="K339" s="5"/>
      <c r="L339" s="5"/>
      <c r="M339" s="5"/>
      <c r="N339" s="5"/>
      <c r="O339" s="7"/>
      <c r="P339" s="7">
        <f t="shared" si="90"/>
        <v>0</v>
      </c>
      <c r="Q339" s="7" t="e">
        <f t="shared" si="91"/>
        <v>#DIV/0!</v>
      </c>
      <c r="R339" s="7"/>
      <c r="S339" s="7">
        <f t="shared" si="107"/>
        <v>0</v>
      </c>
      <c r="T339" s="7">
        <f t="shared" si="92"/>
        <v>0</v>
      </c>
      <c r="U339" s="7">
        <f t="shared" si="93"/>
        <v>0</v>
      </c>
      <c r="V339" s="119">
        <f t="shared" si="94"/>
        <v>0</v>
      </c>
      <c r="W339" s="119">
        <f t="shared" si="95"/>
        <v>0</v>
      </c>
      <c r="X339" s="119">
        <f t="shared" si="96"/>
        <v>0</v>
      </c>
      <c r="Y339" s="119">
        <f t="shared" si="97"/>
        <v>0</v>
      </c>
      <c r="Z339" s="119">
        <f t="shared" si="98"/>
        <v>0</v>
      </c>
      <c r="AA339" s="119">
        <f t="shared" si="99"/>
        <v>0</v>
      </c>
      <c r="AB339" s="119">
        <f t="shared" si="100"/>
        <v>0</v>
      </c>
      <c r="AC339" s="119">
        <f t="shared" si="101"/>
        <v>0</v>
      </c>
      <c r="AD339" s="119">
        <f t="shared" si="102"/>
        <v>0</v>
      </c>
      <c r="AE339" s="119">
        <f t="shared" si="103"/>
        <v>0</v>
      </c>
      <c r="AF339" s="7"/>
      <c r="AG339" s="7"/>
      <c r="AH339" s="7">
        <f t="shared" si="104"/>
        <v>0</v>
      </c>
      <c r="AI339" s="7">
        <f t="shared" si="105"/>
        <v>0</v>
      </c>
      <c r="AJ339" s="7" t="str">
        <f t="shared" si="106"/>
        <v>Correct</v>
      </c>
      <c r="AL339" s="120">
        <f>IFERROR(VLOOKUP(Table1[RespondentID],'All Data'!$A$3:$CO$999,87,FALSE),"unknown")</f>
        <v>0</v>
      </c>
      <c r="AM339" s="120">
        <f>IFERROR(VLOOKUP(Table1[RespondentID],'All Data'!$A$3:$CO$999,88,FALSE),"unknown")</f>
        <v>0</v>
      </c>
      <c r="AN339" s="120">
        <f>IFERROR(VLOOKUP(Table1[RespondentID],'All Data'!$A$3:$CO$999,89,FALSE),"unknown")</f>
        <v>0</v>
      </c>
      <c r="AO339" s="120" t="str">
        <f>IFERROR(VLOOKUP(Table1[RespondentID],'All Data'!$A$3:$CO$999,90,FALSE),"unknown")</f>
        <v>East Hills, 11576</v>
      </c>
      <c r="AP339" s="120">
        <f>IFERROR(VLOOKUP(Table1[RespondentID],'All Data'!$A$3:$CO$999,91,FALSE),"unknown")</f>
        <v>0</v>
      </c>
      <c r="AQ339" s="120">
        <f>IFERROR(VLOOKUP(Table1[RespondentID],'All Data'!$A$3:$CO$999,92,FALSE),"unknown")</f>
        <v>0</v>
      </c>
      <c r="AR339" s="120">
        <f>IFERROR(VLOOKUP(Table1[RespondentID],'All Data'!$A$3:$CO$999,93,FALSE),"unknown")</f>
        <v>0</v>
      </c>
      <c r="AS339" s="120">
        <f>IFERROR(VLOOKUP(Table1[RespondentID],'All Data'!$A$3:$CW$999,94,FALSE),"unknown")</f>
        <v>0</v>
      </c>
      <c r="AT339" s="120">
        <f>IFERROR(VLOOKUP(Table1[RespondentID],'All Data'!$A$3:$CW$999,95,FALSE),"unknown")</f>
        <v>0</v>
      </c>
      <c r="AU339" s="120">
        <f>IFERROR(VLOOKUP(Table1[RespondentID],'All Data'!$A$3:$CW$999,96,FALSE),"unknown")</f>
        <v>0</v>
      </c>
      <c r="AV339" s="120">
        <f>IFERROR(VLOOKUP(Table1[RespondentID],'All Data'!$A$3:$CW$999,97,FALSE),"unknown")</f>
        <v>0</v>
      </c>
      <c r="AW339" s="120">
        <f>IFERROR(VLOOKUP(Table1[RespondentID],'All Data'!$A$3:$CW$999,98,FALSE),"unknown")</f>
        <v>0</v>
      </c>
      <c r="AX339" s="120">
        <f>IFERROR(VLOOKUP(Table1[RespondentID],'All Data'!$A$3:$CW$999,99,FALSE),"unknown")</f>
        <v>0</v>
      </c>
    </row>
    <row r="340" spans="1:50">
      <c r="A340" s="5">
        <v>18013326061</v>
      </c>
      <c r="B340" s="5"/>
      <c r="C340" s="5"/>
      <c r="D340" s="5"/>
      <c r="E340" s="5"/>
      <c r="F340" s="5"/>
      <c r="G340" s="5" t="s">
        <v>21</v>
      </c>
      <c r="H340" s="5" t="s">
        <v>22</v>
      </c>
      <c r="I340" s="5"/>
      <c r="J340" s="5"/>
      <c r="K340" s="5"/>
      <c r="L340" s="5"/>
      <c r="M340" s="5"/>
      <c r="N340" s="5"/>
      <c r="O340" s="7"/>
      <c r="P340" s="7">
        <f t="shared" si="90"/>
        <v>2</v>
      </c>
      <c r="Q340" s="7">
        <f t="shared" si="91"/>
        <v>1.5</v>
      </c>
      <c r="R340" s="7"/>
      <c r="S340" s="7">
        <f t="shared" si="107"/>
        <v>0</v>
      </c>
      <c r="T340" s="7">
        <f t="shared" si="92"/>
        <v>0</v>
      </c>
      <c r="U340" s="7">
        <f t="shared" si="93"/>
        <v>0</v>
      </c>
      <c r="V340" s="119">
        <f t="shared" si="94"/>
        <v>0</v>
      </c>
      <c r="W340" s="119">
        <f t="shared" si="95"/>
        <v>0</v>
      </c>
      <c r="X340" s="119">
        <f t="shared" si="96"/>
        <v>1</v>
      </c>
      <c r="Y340" s="119">
        <f t="shared" si="97"/>
        <v>1</v>
      </c>
      <c r="Z340" s="119">
        <f t="shared" si="98"/>
        <v>0</v>
      </c>
      <c r="AA340" s="119">
        <f t="shared" si="99"/>
        <v>0</v>
      </c>
      <c r="AB340" s="119">
        <f t="shared" si="100"/>
        <v>0</v>
      </c>
      <c r="AC340" s="119">
        <f t="shared" si="101"/>
        <v>0</v>
      </c>
      <c r="AD340" s="119">
        <f t="shared" si="102"/>
        <v>0</v>
      </c>
      <c r="AE340" s="119">
        <f t="shared" si="103"/>
        <v>0</v>
      </c>
      <c r="AF340" s="7"/>
      <c r="AG340" s="7"/>
      <c r="AH340" s="7">
        <f t="shared" si="104"/>
        <v>2</v>
      </c>
      <c r="AI340" s="7">
        <f t="shared" si="105"/>
        <v>2</v>
      </c>
      <c r="AJ340" s="7" t="str">
        <f t="shared" si="106"/>
        <v>Correct</v>
      </c>
      <c r="AL340" s="120" t="str">
        <f>IFERROR(VLOOKUP(Table1[RespondentID],'All Data'!$A$3:$CO$999,87,FALSE),"unknown")</f>
        <v>Man</v>
      </c>
      <c r="AM340" s="120">
        <f>IFERROR(VLOOKUP(Table1[RespondentID],'All Data'!$A$3:$CO$999,88,FALSE),"unknown")</f>
        <v>58</v>
      </c>
      <c r="AN340" s="120" t="str">
        <f>IFERROR(VLOOKUP(Table1[RespondentID],'All Data'!$A$3:$CO$999,89,FALSE),"unknown")</f>
        <v>Suffolk</v>
      </c>
      <c r="AO340" s="120" t="str">
        <f>IFERROR(VLOOKUP(Table1[RespondentID],'All Data'!$A$3:$CO$999,90,FALSE),"unknown")</f>
        <v>Aquebogue, 11931</v>
      </c>
      <c r="AP340" s="120" t="str">
        <f>IFERROR(VLOOKUP(Table1[RespondentID],'All Data'!$A$3:$CO$999,91,FALSE),"unknown")</f>
        <v>Other (please specify)</v>
      </c>
      <c r="AQ340" s="120">
        <f>IFERROR(VLOOKUP(Table1[RespondentID],'All Data'!$A$3:$CO$999,92,FALSE),"unknown")</f>
        <v>0</v>
      </c>
      <c r="AR340" s="120" t="str">
        <f>IFERROR(VLOOKUP(Table1[RespondentID],'All Data'!$A$3:$CO$999,93,FALSE),"unknown")</f>
        <v>English</v>
      </c>
      <c r="AS340" s="120" t="str">
        <f>IFERROR(VLOOKUP(Table1[RespondentID],'All Data'!$A$3:$CW$999,94,FALSE),"unknown")</f>
        <v>$50,000 to $74,999</v>
      </c>
      <c r="AT340" s="120" t="str">
        <f>IFERROR(VLOOKUP(Table1[RespondentID],'All Data'!$A$3:$CW$999,95,FALSE),"unknown")</f>
        <v>College graduate</v>
      </c>
      <c r="AU340" s="120" t="str">
        <f>IFERROR(VLOOKUP(Table1[RespondentID],'All Data'!$A$3:$CW$999,96,FALSE),"unknown")</f>
        <v>Employed for wages</v>
      </c>
      <c r="AV340" s="120" t="str">
        <f>IFERROR(VLOOKUP(Table1[RespondentID],'All Data'!$A$3:$CW$999,97,FALSE),"unknown")</f>
        <v>Yes</v>
      </c>
      <c r="AW340" s="120" t="str">
        <f>IFERROR(VLOOKUP(Table1[RespondentID],'All Data'!$A$3:$CW$999,98,FALSE),"unknown")</f>
        <v>Private/Commercial</v>
      </c>
      <c r="AX340" s="120" t="str">
        <f>IFERROR(VLOOKUP(Table1[RespondentID],'All Data'!$A$3:$CW$999,99,FALSE),"unknown")</f>
        <v>Yes</v>
      </c>
    </row>
    <row r="341" spans="1:50">
      <c r="A341" s="5">
        <v>18013301185</v>
      </c>
      <c r="B341" s="5"/>
      <c r="C341" s="5" t="s">
        <v>17</v>
      </c>
      <c r="D341" s="5" t="s">
        <v>18</v>
      </c>
      <c r="E341" s="5"/>
      <c r="F341" s="5"/>
      <c r="G341" s="5"/>
      <c r="H341" s="5"/>
      <c r="I341" s="5"/>
      <c r="J341" s="5" t="s">
        <v>24</v>
      </c>
      <c r="K341" s="5" t="s">
        <v>25</v>
      </c>
      <c r="L341" s="5"/>
      <c r="M341" s="5"/>
      <c r="N341" s="5"/>
      <c r="O341" s="7"/>
      <c r="P341" s="7">
        <f t="shared" si="90"/>
        <v>4</v>
      </c>
      <c r="Q341" s="7">
        <f t="shared" si="91"/>
        <v>0.75</v>
      </c>
      <c r="R341" s="7"/>
      <c r="S341" s="7">
        <f t="shared" si="107"/>
        <v>0</v>
      </c>
      <c r="T341" s="7">
        <f t="shared" si="92"/>
        <v>0.75</v>
      </c>
      <c r="U341" s="7">
        <f t="shared" si="93"/>
        <v>0.75</v>
      </c>
      <c r="V341" s="119">
        <f t="shared" si="94"/>
        <v>0</v>
      </c>
      <c r="W341" s="119">
        <f t="shared" si="95"/>
        <v>0</v>
      </c>
      <c r="X341" s="119">
        <f t="shared" si="96"/>
        <v>0</v>
      </c>
      <c r="Y341" s="119">
        <f t="shared" si="97"/>
        <v>0</v>
      </c>
      <c r="Z341" s="119">
        <f t="shared" si="98"/>
        <v>0</v>
      </c>
      <c r="AA341" s="119">
        <f t="shared" si="99"/>
        <v>0.75</v>
      </c>
      <c r="AB341" s="119">
        <f t="shared" si="100"/>
        <v>0.75</v>
      </c>
      <c r="AC341" s="119">
        <f t="shared" si="101"/>
        <v>0</v>
      </c>
      <c r="AD341" s="119">
        <f t="shared" si="102"/>
        <v>0</v>
      </c>
      <c r="AE341" s="119">
        <f t="shared" si="103"/>
        <v>0</v>
      </c>
      <c r="AF341" s="7"/>
      <c r="AG341" s="7"/>
      <c r="AH341" s="7">
        <f t="shared" si="104"/>
        <v>3</v>
      </c>
      <c r="AI341" s="7">
        <f t="shared" si="105"/>
        <v>4</v>
      </c>
      <c r="AJ341" s="7" t="str">
        <f t="shared" si="106"/>
        <v>Correct</v>
      </c>
      <c r="AL341" s="120" t="str">
        <f>IFERROR(VLOOKUP(Table1[RespondentID],'All Data'!$A$3:$CO$999,87,FALSE),"unknown")</f>
        <v>Man</v>
      </c>
      <c r="AM341" s="120">
        <f>IFERROR(VLOOKUP(Table1[RespondentID],'All Data'!$A$3:$CO$999,88,FALSE),"unknown")</f>
        <v>26</v>
      </c>
      <c r="AN341" s="120" t="str">
        <f>IFERROR(VLOOKUP(Table1[RespondentID],'All Data'!$A$3:$CO$999,89,FALSE),"unknown")</f>
        <v>Nassau</v>
      </c>
      <c r="AO341" s="120" t="str">
        <f>IFERROR(VLOOKUP(Table1[RespondentID],'All Data'!$A$3:$CO$999,90,FALSE),"unknown")</f>
        <v>Jericho, 11753</v>
      </c>
      <c r="AP341" s="120" t="str">
        <f>IFERROR(VLOOKUP(Table1[RespondentID],'All Data'!$A$3:$CO$999,91,FALSE),"unknown")</f>
        <v>White</v>
      </c>
      <c r="AQ341" s="120" t="str">
        <f>IFERROR(VLOOKUP(Table1[RespondentID],'All Data'!$A$3:$CO$999,92,FALSE),"unknown")</f>
        <v>Hispanic or Latino</v>
      </c>
      <c r="AR341" s="120" t="str">
        <f>IFERROR(VLOOKUP(Table1[RespondentID],'All Data'!$A$3:$CO$999,93,FALSE),"unknown")</f>
        <v>English</v>
      </c>
      <c r="AS341" s="120" t="str">
        <f>IFERROR(VLOOKUP(Table1[RespondentID],'All Data'!$A$3:$CW$999,94,FALSE),"unknown")</f>
        <v>Over $125,000</v>
      </c>
      <c r="AT341" s="120" t="str">
        <f>IFERROR(VLOOKUP(Table1[RespondentID],'All Data'!$A$3:$CW$999,95,FALSE),"unknown")</f>
        <v>Graduate school</v>
      </c>
      <c r="AU341" s="120" t="str">
        <f>IFERROR(VLOOKUP(Table1[RespondentID],'All Data'!$A$3:$CW$999,96,FALSE),"unknown")</f>
        <v>Employed for wages</v>
      </c>
      <c r="AV341" s="120" t="str">
        <f>IFERROR(VLOOKUP(Table1[RespondentID],'All Data'!$A$3:$CW$999,97,FALSE),"unknown")</f>
        <v>Yes</v>
      </c>
      <c r="AW341" s="120" t="str">
        <f>IFERROR(VLOOKUP(Table1[RespondentID],'All Data'!$A$3:$CW$999,98,FALSE),"unknown")</f>
        <v>Private/Commercial</v>
      </c>
      <c r="AX341" s="120" t="str">
        <f>IFERROR(VLOOKUP(Table1[RespondentID],'All Data'!$A$3:$CW$999,99,FALSE),"unknown")</f>
        <v>Yes</v>
      </c>
    </row>
    <row r="342" spans="1:50">
      <c r="A342" s="5">
        <v>18013187377</v>
      </c>
      <c r="B342" s="5"/>
      <c r="C342" s="5"/>
      <c r="D342" s="5"/>
      <c r="E342" s="5"/>
      <c r="F342" s="5"/>
      <c r="G342" s="5"/>
      <c r="H342" s="5"/>
      <c r="I342" s="5"/>
      <c r="J342" s="5" t="s">
        <v>24</v>
      </c>
      <c r="K342" s="5"/>
      <c r="L342" s="5" t="s">
        <v>26</v>
      </c>
      <c r="M342" s="5"/>
      <c r="N342" s="5" t="s">
        <v>28</v>
      </c>
      <c r="O342" s="7"/>
      <c r="P342" s="7">
        <f t="shared" si="90"/>
        <v>3</v>
      </c>
      <c r="Q342" s="7">
        <f t="shared" si="91"/>
        <v>1</v>
      </c>
      <c r="R342" s="7"/>
      <c r="S342" s="7">
        <f t="shared" si="107"/>
        <v>0</v>
      </c>
      <c r="T342" s="7">
        <f t="shared" si="92"/>
        <v>0</v>
      </c>
      <c r="U342" s="7">
        <f t="shared" si="93"/>
        <v>0</v>
      </c>
      <c r="V342" s="119">
        <f t="shared" si="94"/>
        <v>0</v>
      </c>
      <c r="W342" s="119">
        <f t="shared" si="95"/>
        <v>0</v>
      </c>
      <c r="X342" s="119">
        <f t="shared" si="96"/>
        <v>0</v>
      </c>
      <c r="Y342" s="119">
        <f t="shared" si="97"/>
        <v>0</v>
      </c>
      <c r="Z342" s="119">
        <f t="shared" si="98"/>
        <v>0</v>
      </c>
      <c r="AA342" s="119">
        <f t="shared" si="99"/>
        <v>1</v>
      </c>
      <c r="AB342" s="119">
        <f t="shared" si="100"/>
        <v>0</v>
      </c>
      <c r="AC342" s="119">
        <f t="shared" si="101"/>
        <v>1</v>
      </c>
      <c r="AD342" s="119">
        <f t="shared" si="102"/>
        <v>0</v>
      </c>
      <c r="AE342" s="119">
        <f t="shared" si="103"/>
        <v>1</v>
      </c>
      <c r="AF342" s="7"/>
      <c r="AG342" s="7"/>
      <c r="AH342" s="7">
        <f t="shared" si="104"/>
        <v>3</v>
      </c>
      <c r="AI342" s="7">
        <f t="shared" si="105"/>
        <v>3</v>
      </c>
      <c r="AJ342" s="7" t="str">
        <f t="shared" si="106"/>
        <v>Correct</v>
      </c>
      <c r="AL342" s="120" t="str">
        <f>IFERROR(VLOOKUP(Table1[RespondentID],'All Data'!$A$3:$CO$999,87,FALSE),"unknown")</f>
        <v>Man</v>
      </c>
      <c r="AM342" s="120">
        <f>IFERROR(VLOOKUP(Table1[RespondentID],'All Data'!$A$3:$CO$999,88,FALSE),"unknown")</f>
        <v>45</v>
      </c>
      <c r="AN342" s="120" t="str">
        <f>IFERROR(VLOOKUP(Table1[RespondentID],'All Data'!$A$3:$CO$999,89,FALSE),"unknown")</f>
        <v>Suffolk</v>
      </c>
      <c r="AO342" s="120" t="str">
        <f>IFERROR(VLOOKUP(Table1[RespondentID],'All Data'!$A$3:$CO$999,90,FALSE),"unknown")</f>
        <v>Riverhead, 11901</v>
      </c>
      <c r="AP342" s="120" t="str">
        <f>IFERROR(VLOOKUP(Table1[RespondentID],'All Data'!$A$3:$CO$999,91,FALSE),"unknown")</f>
        <v>White</v>
      </c>
      <c r="AQ342" s="120" t="str">
        <f>IFERROR(VLOOKUP(Table1[RespondentID],'All Data'!$A$3:$CO$999,92,FALSE),"unknown")</f>
        <v>Hispanic or Latino</v>
      </c>
      <c r="AR342" s="120" t="str">
        <f>IFERROR(VLOOKUP(Table1[RespondentID],'All Data'!$A$3:$CO$999,93,FALSE),"unknown")</f>
        <v>English</v>
      </c>
      <c r="AS342" s="120" t="str">
        <f>IFERROR(VLOOKUP(Table1[RespondentID],'All Data'!$A$3:$CW$999,94,FALSE),"unknown")</f>
        <v>Over $125,000</v>
      </c>
      <c r="AT342" s="120" t="str">
        <f>IFERROR(VLOOKUP(Table1[RespondentID],'All Data'!$A$3:$CW$999,95,FALSE),"unknown")</f>
        <v>Some college</v>
      </c>
      <c r="AU342" s="120" t="str">
        <f>IFERROR(VLOOKUP(Table1[RespondentID],'All Data'!$A$3:$CW$999,96,FALSE),"unknown")</f>
        <v>Employed for wages</v>
      </c>
      <c r="AV342" s="120" t="str">
        <f>IFERROR(VLOOKUP(Table1[RespondentID],'All Data'!$A$3:$CW$999,97,FALSE),"unknown")</f>
        <v>Yes</v>
      </c>
      <c r="AW342" s="120" t="str">
        <f>IFERROR(VLOOKUP(Table1[RespondentID],'All Data'!$A$3:$CW$999,98,FALSE),"unknown")</f>
        <v>Private/Commercial</v>
      </c>
      <c r="AX342" s="120" t="str">
        <f>IFERROR(VLOOKUP(Table1[RespondentID],'All Data'!$A$3:$CW$999,99,FALSE),"unknown")</f>
        <v>Yes</v>
      </c>
    </row>
    <row r="343" spans="1:50">
      <c r="A343" s="5">
        <v>18012940725</v>
      </c>
      <c r="B343" s="5"/>
      <c r="C343" s="5"/>
      <c r="D343" s="5"/>
      <c r="E343" s="5"/>
      <c r="F343" s="5"/>
      <c r="G343" s="5"/>
      <c r="H343" s="5" t="s">
        <v>22</v>
      </c>
      <c r="I343" s="5"/>
      <c r="J343" s="5"/>
      <c r="K343" s="5" t="s">
        <v>25</v>
      </c>
      <c r="L343" s="5" t="s">
        <v>26</v>
      </c>
      <c r="M343" s="5"/>
      <c r="N343" s="5"/>
      <c r="O343" s="7"/>
      <c r="P343" s="7">
        <f t="shared" si="90"/>
        <v>3</v>
      </c>
      <c r="Q343" s="7">
        <f t="shared" si="91"/>
        <v>1</v>
      </c>
      <c r="R343" s="7"/>
      <c r="S343" s="7">
        <f t="shared" si="107"/>
        <v>0</v>
      </c>
      <c r="T343" s="7">
        <f t="shared" si="92"/>
        <v>0</v>
      </c>
      <c r="U343" s="7">
        <f t="shared" si="93"/>
        <v>0</v>
      </c>
      <c r="V343" s="119">
        <f t="shared" si="94"/>
        <v>0</v>
      </c>
      <c r="W343" s="119">
        <f t="shared" si="95"/>
        <v>0</v>
      </c>
      <c r="X343" s="119">
        <f t="shared" si="96"/>
        <v>0</v>
      </c>
      <c r="Y343" s="119">
        <f t="shared" si="97"/>
        <v>1</v>
      </c>
      <c r="Z343" s="119">
        <f t="shared" si="98"/>
        <v>0</v>
      </c>
      <c r="AA343" s="119">
        <f t="shared" si="99"/>
        <v>0</v>
      </c>
      <c r="AB343" s="119">
        <f t="shared" si="100"/>
        <v>1</v>
      </c>
      <c r="AC343" s="119">
        <f t="shared" si="101"/>
        <v>1</v>
      </c>
      <c r="AD343" s="119">
        <f t="shared" si="102"/>
        <v>0</v>
      </c>
      <c r="AE343" s="119">
        <f t="shared" si="103"/>
        <v>0</v>
      </c>
      <c r="AF343" s="7"/>
      <c r="AG343" s="7"/>
      <c r="AH343" s="7">
        <f t="shared" si="104"/>
        <v>3</v>
      </c>
      <c r="AI343" s="7">
        <f t="shared" si="105"/>
        <v>3</v>
      </c>
      <c r="AJ343" s="7" t="str">
        <f t="shared" si="106"/>
        <v>Correct</v>
      </c>
      <c r="AL343" s="120" t="str">
        <f>IFERROR(VLOOKUP(Table1[RespondentID],'All Data'!$A$3:$CO$999,87,FALSE),"unknown")</f>
        <v>Man</v>
      </c>
      <c r="AM343" s="120">
        <f>IFERROR(VLOOKUP(Table1[RespondentID],'All Data'!$A$3:$CO$999,88,FALSE),"unknown")</f>
        <v>47</v>
      </c>
      <c r="AN343" s="120" t="str">
        <f>IFERROR(VLOOKUP(Table1[RespondentID],'All Data'!$A$3:$CO$999,89,FALSE),"unknown")</f>
        <v>Suffolk</v>
      </c>
      <c r="AO343" s="120" t="str">
        <f>IFERROR(VLOOKUP(Table1[RespondentID],'All Data'!$A$3:$CO$999,90,FALSE),"unknown")</f>
        <v>Setauket, 11733</v>
      </c>
      <c r="AP343" s="120" t="str">
        <f>IFERROR(VLOOKUP(Table1[RespondentID],'All Data'!$A$3:$CO$999,91,FALSE),"unknown")</f>
        <v>White</v>
      </c>
      <c r="AQ343" s="120" t="str">
        <f>IFERROR(VLOOKUP(Table1[RespondentID],'All Data'!$A$3:$CO$999,92,FALSE),"unknown")</f>
        <v>Hispanic or Latino</v>
      </c>
      <c r="AR343" s="120" t="str">
        <f>IFERROR(VLOOKUP(Table1[RespondentID],'All Data'!$A$3:$CO$999,93,FALSE),"unknown")</f>
        <v>English</v>
      </c>
      <c r="AS343" s="120" t="str">
        <f>IFERROR(VLOOKUP(Table1[RespondentID],'All Data'!$A$3:$CW$999,94,FALSE),"unknown")</f>
        <v>Over $125,000</v>
      </c>
      <c r="AT343" s="120" t="str">
        <f>IFERROR(VLOOKUP(Table1[RespondentID],'All Data'!$A$3:$CW$999,95,FALSE),"unknown")</f>
        <v>College graduate</v>
      </c>
      <c r="AU343" s="120" t="str">
        <f>IFERROR(VLOOKUP(Table1[RespondentID],'All Data'!$A$3:$CW$999,96,FALSE),"unknown")</f>
        <v>Employed for wages</v>
      </c>
      <c r="AV343" s="120" t="str">
        <f>IFERROR(VLOOKUP(Table1[RespondentID],'All Data'!$A$3:$CW$999,97,FALSE),"unknown")</f>
        <v>Yes</v>
      </c>
      <c r="AW343" s="120">
        <f>IFERROR(VLOOKUP(Table1[RespondentID],'All Data'!$A$3:$CW$999,98,FALSE),"unknown")</f>
        <v>0</v>
      </c>
      <c r="AX343" s="120" t="str">
        <f>IFERROR(VLOOKUP(Table1[RespondentID],'All Data'!$A$3:$CW$999,99,FALSE),"unknown")</f>
        <v>Yes</v>
      </c>
    </row>
    <row r="344" spans="1:50">
      <c r="A344" s="5">
        <v>18012862597</v>
      </c>
      <c r="B344" s="5"/>
      <c r="C344" s="5"/>
      <c r="D344" s="5"/>
      <c r="E344" s="5" t="s">
        <v>19</v>
      </c>
      <c r="F344" s="5"/>
      <c r="G344" s="5"/>
      <c r="H344" s="5"/>
      <c r="I344" s="5"/>
      <c r="J344" s="5"/>
      <c r="K344" s="5"/>
      <c r="L344" s="5"/>
      <c r="M344" s="5"/>
      <c r="N344" s="5"/>
      <c r="O344" s="7"/>
      <c r="P344" s="7">
        <f t="shared" si="90"/>
        <v>1</v>
      </c>
      <c r="Q344" s="7">
        <f t="shared" si="91"/>
        <v>3</v>
      </c>
      <c r="R344" s="7"/>
      <c r="S344" s="7">
        <f t="shared" si="107"/>
        <v>0</v>
      </c>
      <c r="T344" s="7">
        <f t="shared" si="92"/>
        <v>0</v>
      </c>
      <c r="U344" s="7">
        <f t="shared" si="93"/>
        <v>0</v>
      </c>
      <c r="V344" s="119">
        <f t="shared" si="94"/>
        <v>1</v>
      </c>
      <c r="W344" s="119">
        <f t="shared" si="95"/>
        <v>0</v>
      </c>
      <c r="X344" s="119">
        <f t="shared" si="96"/>
        <v>0</v>
      </c>
      <c r="Y344" s="119">
        <f t="shared" si="97"/>
        <v>0</v>
      </c>
      <c r="Z344" s="119">
        <f t="shared" si="98"/>
        <v>0</v>
      </c>
      <c r="AA344" s="119">
        <f t="shared" si="99"/>
        <v>0</v>
      </c>
      <c r="AB344" s="119">
        <f t="shared" si="100"/>
        <v>0</v>
      </c>
      <c r="AC344" s="119">
        <f t="shared" si="101"/>
        <v>0</v>
      </c>
      <c r="AD344" s="119">
        <f t="shared" si="102"/>
        <v>0</v>
      </c>
      <c r="AE344" s="119">
        <f t="shared" si="103"/>
        <v>0</v>
      </c>
      <c r="AF344" s="7"/>
      <c r="AG344" s="7"/>
      <c r="AH344" s="7">
        <f t="shared" si="104"/>
        <v>1</v>
      </c>
      <c r="AI344" s="7">
        <f t="shared" si="105"/>
        <v>1</v>
      </c>
      <c r="AJ344" s="7" t="str">
        <f t="shared" si="106"/>
        <v>Correct</v>
      </c>
      <c r="AL344" s="120" t="str">
        <f>IFERROR(VLOOKUP(Table1[RespondentID],'All Data'!$A$3:$CO$999,87,FALSE),"unknown")</f>
        <v>Man</v>
      </c>
      <c r="AM344" s="120">
        <f>IFERROR(VLOOKUP(Table1[RespondentID],'All Data'!$A$3:$CO$999,88,FALSE),"unknown")</f>
        <v>69</v>
      </c>
      <c r="AN344" s="120" t="str">
        <f>IFERROR(VLOOKUP(Table1[RespondentID],'All Data'!$A$3:$CO$999,89,FALSE),"unknown")</f>
        <v>Nassau</v>
      </c>
      <c r="AO344" s="120" t="str">
        <f>IFERROR(VLOOKUP(Table1[RespondentID],'All Data'!$A$3:$CO$999,90,FALSE),"unknown")</f>
        <v>Farmingdale, 11735</v>
      </c>
      <c r="AP344" s="120" t="str">
        <f>IFERROR(VLOOKUP(Table1[RespondentID],'All Data'!$A$3:$CO$999,91,FALSE),"unknown")</f>
        <v>White</v>
      </c>
      <c r="AQ344" s="120" t="str">
        <f>IFERROR(VLOOKUP(Table1[RespondentID],'All Data'!$A$3:$CO$999,92,FALSE),"unknown")</f>
        <v>Hispanic or Latino</v>
      </c>
      <c r="AR344" s="120" t="str">
        <f>IFERROR(VLOOKUP(Table1[RespondentID],'All Data'!$A$3:$CO$999,93,FALSE),"unknown")</f>
        <v>English</v>
      </c>
      <c r="AS344" s="120" t="str">
        <f>IFERROR(VLOOKUP(Table1[RespondentID],'All Data'!$A$3:$CW$999,94,FALSE),"unknown")</f>
        <v>$50,000 to $74,999</v>
      </c>
      <c r="AT344" s="120" t="str">
        <f>IFERROR(VLOOKUP(Table1[RespondentID],'All Data'!$A$3:$CW$999,95,FALSE),"unknown")</f>
        <v>Some college</v>
      </c>
      <c r="AU344" s="120" t="str">
        <f>IFERROR(VLOOKUP(Table1[RespondentID],'All Data'!$A$3:$CW$999,96,FALSE),"unknown")</f>
        <v>Employed for wages</v>
      </c>
      <c r="AV344" s="120" t="str">
        <f>IFERROR(VLOOKUP(Table1[RespondentID],'All Data'!$A$3:$CW$999,97,FALSE),"unknown")</f>
        <v>Yes</v>
      </c>
      <c r="AW344" s="120" t="str">
        <f>IFERROR(VLOOKUP(Table1[RespondentID],'All Data'!$A$3:$CW$999,98,FALSE),"unknown")</f>
        <v>Private/Commercial</v>
      </c>
      <c r="AX344" s="120" t="str">
        <f>IFERROR(VLOOKUP(Table1[RespondentID],'All Data'!$A$3:$CW$999,99,FALSE),"unknown")</f>
        <v>Yes</v>
      </c>
    </row>
    <row r="345" spans="1:50">
      <c r="A345" s="5">
        <v>18012790929</v>
      </c>
      <c r="B345" s="5"/>
      <c r="C345" s="5"/>
      <c r="D345" s="5"/>
      <c r="E345" s="5" t="s">
        <v>19</v>
      </c>
      <c r="F345" s="5"/>
      <c r="G345" s="5"/>
      <c r="H345" s="5"/>
      <c r="I345" s="5" t="s">
        <v>23</v>
      </c>
      <c r="J345" s="5"/>
      <c r="K345" s="5"/>
      <c r="L345" s="5"/>
      <c r="M345" s="5"/>
      <c r="N345" s="5"/>
      <c r="O345" s="7"/>
      <c r="P345" s="7">
        <f t="shared" si="90"/>
        <v>2</v>
      </c>
      <c r="Q345" s="7">
        <f t="shared" si="91"/>
        <v>1.5</v>
      </c>
      <c r="R345" s="7"/>
      <c r="S345" s="7">
        <f t="shared" si="107"/>
        <v>0</v>
      </c>
      <c r="T345" s="7">
        <f t="shared" si="92"/>
        <v>0</v>
      </c>
      <c r="U345" s="7">
        <f t="shared" si="93"/>
        <v>0</v>
      </c>
      <c r="V345" s="119">
        <f t="shared" si="94"/>
        <v>1</v>
      </c>
      <c r="W345" s="119">
        <f t="shared" si="95"/>
        <v>0</v>
      </c>
      <c r="X345" s="119">
        <f t="shared" si="96"/>
        <v>0</v>
      </c>
      <c r="Y345" s="119">
        <f t="shared" si="97"/>
        <v>0</v>
      </c>
      <c r="Z345" s="119">
        <f t="shared" si="98"/>
        <v>1</v>
      </c>
      <c r="AA345" s="119">
        <f t="shared" si="99"/>
        <v>0</v>
      </c>
      <c r="AB345" s="119">
        <f t="shared" si="100"/>
        <v>0</v>
      </c>
      <c r="AC345" s="119">
        <f t="shared" si="101"/>
        <v>0</v>
      </c>
      <c r="AD345" s="119">
        <f t="shared" si="102"/>
        <v>0</v>
      </c>
      <c r="AE345" s="119">
        <f t="shared" si="103"/>
        <v>0</v>
      </c>
      <c r="AF345" s="7"/>
      <c r="AG345" s="7"/>
      <c r="AH345" s="7">
        <f t="shared" si="104"/>
        <v>2</v>
      </c>
      <c r="AI345" s="7">
        <f t="shared" si="105"/>
        <v>2</v>
      </c>
      <c r="AJ345" s="7" t="str">
        <f t="shared" si="106"/>
        <v>Correct</v>
      </c>
      <c r="AL345" s="120" t="str">
        <f>IFERROR(VLOOKUP(Table1[RespondentID],'All Data'!$A$3:$CO$999,87,FALSE),"unknown")</f>
        <v>Man</v>
      </c>
      <c r="AM345" s="120">
        <f>IFERROR(VLOOKUP(Table1[RespondentID],'All Data'!$A$3:$CO$999,88,FALSE),"unknown")</f>
        <v>42</v>
      </c>
      <c r="AN345" s="120" t="str">
        <f>IFERROR(VLOOKUP(Table1[RespondentID],'All Data'!$A$3:$CO$999,89,FALSE),"unknown")</f>
        <v>Suffolk</v>
      </c>
      <c r="AO345" s="120" t="str">
        <f>IFERROR(VLOOKUP(Table1[RespondentID],'All Data'!$A$3:$CO$999,90,FALSE),"unknown")</f>
        <v>Nesconset, 11767</v>
      </c>
      <c r="AP345" s="120" t="str">
        <f>IFERROR(VLOOKUP(Table1[RespondentID],'All Data'!$A$3:$CO$999,91,FALSE),"unknown")</f>
        <v>White</v>
      </c>
      <c r="AQ345" s="120" t="str">
        <f>IFERROR(VLOOKUP(Table1[RespondentID],'All Data'!$A$3:$CO$999,92,FALSE),"unknown")</f>
        <v>Hispanic or Latino</v>
      </c>
      <c r="AR345" s="120" t="str">
        <f>IFERROR(VLOOKUP(Table1[RespondentID],'All Data'!$A$3:$CO$999,93,FALSE),"unknown")</f>
        <v>English</v>
      </c>
      <c r="AS345" s="120" t="str">
        <f>IFERROR(VLOOKUP(Table1[RespondentID],'All Data'!$A$3:$CW$999,94,FALSE),"unknown")</f>
        <v>$0-$19,999</v>
      </c>
      <c r="AT345" s="120" t="str">
        <f>IFERROR(VLOOKUP(Table1[RespondentID],'All Data'!$A$3:$CW$999,95,FALSE),"unknown")</f>
        <v>Some college</v>
      </c>
      <c r="AU345" s="120" t="str">
        <f>IFERROR(VLOOKUP(Table1[RespondentID],'All Data'!$A$3:$CW$999,96,FALSE),"unknown")</f>
        <v>Out of work and looking for work</v>
      </c>
      <c r="AV345" s="120" t="str">
        <f>IFERROR(VLOOKUP(Table1[RespondentID],'All Data'!$A$3:$CW$999,97,FALSE),"unknown")</f>
        <v>Yes</v>
      </c>
      <c r="AW345" s="120" t="str">
        <f>IFERROR(VLOOKUP(Table1[RespondentID],'All Data'!$A$3:$CW$999,98,FALSE),"unknown")</f>
        <v>Medicaid</v>
      </c>
      <c r="AX345" s="120" t="str">
        <f>IFERROR(VLOOKUP(Table1[RespondentID],'All Data'!$A$3:$CW$999,99,FALSE),"unknown")</f>
        <v>Yes</v>
      </c>
    </row>
    <row r="346" spans="1:50">
      <c r="A346" s="5">
        <v>18012747258</v>
      </c>
      <c r="B346" s="5" t="s">
        <v>16</v>
      </c>
      <c r="C346" s="5"/>
      <c r="D346" s="5"/>
      <c r="E346" s="5"/>
      <c r="F346" s="5"/>
      <c r="G346" s="5"/>
      <c r="H346" s="5"/>
      <c r="I346" s="5"/>
      <c r="J346" s="5"/>
      <c r="K346" s="5" t="s">
        <v>25</v>
      </c>
      <c r="L346" s="5" t="s">
        <v>26</v>
      </c>
      <c r="M346" s="5"/>
      <c r="N346" s="5"/>
      <c r="O346" s="7"/>
      <c r="P346" s="7">
        <f t="shared" si="90"/>
        <v>3</v>
      </c>
      <c r="Q346" s="7">
        <f t="shared" si="91"/>
        <v>1</v>
      </c>
      <c r="R346" s="7"/>
      <c r="S346" s="7">
        <f t="shared" si="107"/>
        <v>1</v>
      </c>
      <c r="T346" s="7">
        <f t="shared" si="92"/>
        <v>0</v>
      </c>
      <c r="U346" s="7">
        <f t="shared" si="93"/>
        <v>0</v>
      </c>
      <c r="V346" s="119">
        <f t="shared" si="94"/>
        <v>0</v>
      </c>
      <c r="W346" s="119">
        <f t="shared" si="95"/>
        <v>0</v>
      </c>
      <c r="X346" s="119">
        <f t="shared" si="96"/>
        <v>0</v>
      </c>
      <c r="Y346" s="119">
        <f t="shared" si="97"/>
        <v>0</v>
      </c>
      <c r="Z346" s="119">
        <f t="shared" si="98"/>
        <v>0</v>
      </c>
      <c r="AA346" s="119">
        <f t="shared" si="99"/>
        <v>0</v>
      </c>
      <c r="AB346" s="119">
        <f t="shared" si="100"/>
        <v>1</v>
      </c>
      <c r="AC346" s="119">
        <f t="shared" si="101"/>
        <v>1</v>
      </c>
      <c r="AD346" s="119">
        <f t="shared" si="102"/>
        <v>0</v>
      </c>
      <c r="AE346" s="119">
        <f t="shared" si="103"/>
        <v>0</v>
      </c>
      <c r="AF346" s="7"/>
      <c r="AG346" s="7"/>
      <c r="AH346" s="7">
        <f t="shared" si="104"/>
        <v>3</v>
      </c>
      <c r="AI346" s="7">
        <f t="shared" si="105"/>
        <v>3</v>
      </c>
      <c r="AJ346" s="7" t="str">
        <f t="shared" si="106"/>
        <v>Correct</v>
      </c>
      <c r="AL346" s="120" t="str">
        <f>IFERROR(VLOOKUP(Table1[RespondentID],'All Data'!$A$3:$CO$999,87,FALSE),"unknown")</f>
        <v>Man</v>
      </c>
      <c r="AM346" s="120">
        <f>IFERROR(VLOOKUP(Table1[RespondentID],'All Data'!$A$3:$CO$999,88,FALSE),"unknown")</f>
        <v>40</v>
      </c>
      <c r="AN346" s="120" t="str">
        <f>IFERROR(VLOOKUP(Table1[RespondentID],'All Data'!$A$3:$CO$999,89,FALSE),"unknown")</f>
        <v>Suffolk</v>
      </c>
      <c r="AO346" s="120" t="str">
        <f>IFERROR(VLOOKUP(Table1[RespondentID],'All Data'!$A$3:$CO$999,90,FALSE),"unknown")</f>
        <v>Bay Shore, 11706</v>
      </c>
      <c r="AP346" s="120" t="str">
        <f>IFERROR(VLOOKUP(Table1[RespondentID],'All Data'!$A$3:$CO$999,91,FALSE),"unknown")</f>
        <v>White</v>
      </c>
      <c r="AQ346" s="120" t="str">
        <f>IFERROR(VLOOKUP(Table1[RespondentID],'All Data'!$A$3:$CO$999,92,FALSE),"unknown")</f>
        <v>Hispanic or Latino</v>
      </c>
      <c r="AR346" s="120" t="str">
        <f>IFERROR(VLOOKUP(Table1[RespondentID],'All Data'!$A$3:$CO$999,93,FALSE),"unknown")</f>
        <v>English</v>
      </c>
      <c r="AS346" s="120" t="str">
        <f>IFERROR(VLOOKUP(Table1[RespondentID],'All Data'!$A$3:$CW$999,94,FALSE),"unknown")</f>
        <v>$0-$19,999</v>
      </c>
      <c r="AT346" s="120" t="str">
        <f>IFERROR(VLOOKUP(Table1[RespondentID],'All Data'!$A$3:$CW$999,95,FALSE),"unknown")</f>
        <v>High school graduate</v>
      </c>
      <c r="AU346" s="120" t="str">
        <f>IFERROR(VLOOKUP(Table1[RespondentID],'All Data'!$A$3:$CW$999,96,FALSE),"unknown")</f>
        <v>Out of work and looking for work</v>
      </c>
      <c r="AV346" s="120" t="str">
        <f>IFERROR(VLOOKUP(Table1[RespondentID],'All Data'!$A$3:$CW$999,97,FALSE),"unknown")</f>
        <v>Yes</v>
      </c>
      <c r="AW346" s="120" t="str">
        <f>IFERROR(VLOOKUP(Table1[RespondentID],'All Data'!$A$3:$CW$999,98,FALSE),"unknown")</f>
        <v>Medicaid</v>
      </c>
      <c r="AX346" s="120" t="str">
        <f>IFERROR(VLOOKUP(Table1[RespondentID],'All Data'!$A$3:$CW$999,99,FALSE),"unknown")</f>
        <v>Yes</v>
      </c>
    </row>
    <row r="347" spans="1:50">
      <c r="A347" s="5">
        <v>18022877008</v>
      </c>
      <c r="B347" s="5"/>
      <c r="C347" s="5" t="s">
        <v>17</v>
      </c>
      <c r="D347" s="5"/>
      <c r="E347" s="5"/>
      <c r="F347" s="5"/>
      <c r="G347" s="5"/>
      <c r="H347" s="5" t="s">
        <v>22</v>
      </c>
      <c r="I347" s="5"/>
      <c r="J347" s="5"/>
      <c r="K347" s="5" t="s">
        <v>25</v>
      </c>
      <c r="L347" s="5"/>
      <c r="M347" s="5" t="s">
        <v>27</v>
      </c>
      <c r="N347" s="5"/>
      <c r="O347" s="7"/>
      <c r="P347" s="7">
        <f t="shared" si="90"/>
        <v>4</v>
      </c>
      <c r="Q347" s="7">
        <f t="shared" si="91"/>
        <v>0.75</v>
      </c>
      <c r="R347" s="7"/>
      <c r="S347" s="7">
        <f t="shared" si="107"/>
        <v>0</v>
      </c>
      <c r="T347" s="7">
        <f t="shared" si="92"/>
        <v>0.75</v>
      </c>
      <c r="U347" s="7">
        <f t="shared" si="93"/>
        <v>0</v>
      </c>
      <c r="V347" s="119">
        <f t="shared" si="94"/>
        <v>0</v>
      </c>
      <c r="W347" s="119">
        <f t="shared" si="95"/>
        <v>0</v>
      </c>
      <c r="X347" s="119">
        <f t="shared" si="96"/>
        <v>0</v>
      </c>
      <c r="Y347" s="119">
        <f t="shared" si="97"/>
        <v>0.75</v>
      </c>
      <c r="Z347" s="119">
        <f t="shared" si="98"/>
        <v>0</v>
      </c>
      <c r="AA347" s="119">
        <f t="shared" si="99"/>
        <v>0</v>
      </c>
      <c r="AB347" s="119">
        <f t="shared" si="100"/>
        <v>0.75</v>
      </c>
      <c r="AC347" s="119">
        <f t="shared" si="101"/>
        <v>0</v>
      </c>
      <c r="AD347" s="119">
        <f t="shared" si="102"/>
        <v>0.75</v>
      </c>
      <c r="AE347" s="119">
        <f t="shared" si="103"/>
        <v>0</v>
      </c>
      <c r="AF347" s="7"/>
      <c r="AG347" s="7"/>
      <c r="AH347" s="7">
        <f t="shared" si="104"/>
        <v>3</v>
      </c>
      <c r="AI347" s="7">
        <f t="shared" si="105"/>
        <v>4</v>
      </c>
      <c r="AJ347" s="7" t="str">
        <f t="shared" si="106"/>
        <v>Correct</v>
      </c>
      <c r="AL347" s="120" t="str">
        <f>IFERROR(VLOOKUP(Table1[RespondentID],'All Data'!$A$3:$CO$999,87,FALSE),"unknown")</f>
        <v>Man</v>
      </c>
      <c r="AM347" s="120">
        <f>IFERROR(VLOOKUP(Table1[RespondentID],'All Data'!$A$3:$CO$999,88,FALSE),"unknown")</f>
        <v>54</v>
      </c>
      <c r="AN347" s="120" t="str">
        <f>IFERROR(VLOOKUP(Table1[RespondentID],'All Data'!$A$3:$CO$999,89,FALSE),"unknown")</f>
        <v>Suffolk</v>
      </c>
      <c r="AO347" s="120" t="str">
        <f>IFERROR(VLOOKUP(Table1[RespondentID],'All Data'!$A$3:$CO$999,90,FALSE),"unknown")</f>
        <v>Halesite, 11743</v>
      </c>
      <c r="AP347" s="120" t="str">
        <f>IFERROR(VLOOKUP(Table1[RespondentID],'All Data'!$A$3:$CO$999,91,FALSE),"unknown")</f>
        <v>White</v>
      </c>
      <c r="AQ347" s="120" t="str">
        <f>IFERROR(VLOOKUP(Table1[RespondentID],'All Data'!$A$3:$CO$999,92,FALSE),"unknown")</f>
        <v>Hispanic or Latino</v>
      </c>
      <c r="AR347" s="120" t="str">
        <f>IFERROR(VLOOKUP(Table1[RespondentID],'All Data'!$A$3:$CO$999,93,FALSE),"unknown")</f>
        <v>English</v>
      </c>
      <c r="AS347" s="120" t="str">
        <f>IFERROR(VLOOKUP(Table1[RespondentID],'All Data'!$A$3:$CW$999,94,FALSE),"unknown")</f>
        <v>Over $125,000</v>
      </c>
      <c r="AT347" s="120" t="str">
        <f>IFERROR(VLOOKUP(Table1[RespondentID],'All Data'!$A$3:$CW$999,95,FALSE),"unknown")</f>
        <v>Some college</v>
      </c>
      <c r="AU347" s="120">
        <f>IFERROR(VLOOKUP(Table1[RespondentID],'All Data'!$A$3:$CW$999,96,FALSE),"unknown")</f>
        <v>0</v>
      </c>
      <c r="AV347" s="120" t="str">
        <f>IFERROR(VLOOKUP(Table1[RespondentID],'All Data'!$A$3:$CW$999,97,FALSE),"unknown")</f>
        <v>Employed for wages</v>
      </c>
      <c r="AW347" s="120">
        <f>IFERROR(VLOOKUP(Table1[RespondentID],'All Data'!$A$3:$CW$999,98,FALSE),"unknown")</f>
        <v>0</v>
      </c>
      <c r="AX347" s="120">
        <f>IFERROR(VLOOKUP(Table1[RespondentID],'All Data'!$A$3:$CW$999,99,FALSE),"unknown")</f>
        <v>0</v>
      </c>
    </row>
    <row r="348" spans="1:50">
      <c r="A348" s="5">
        <v>18019100304</v>
      </c>
      <c r="B348" s="5"/>
      <c r="C348" s="5"/>
      <c r="D348" s="5"/>
      <c r="E348" s="5" t="s">
        <v>19</v>
      </c>
      <c r="F348" s="5"/>
      <c r="G348" s="5"/>
      <c r="H348" s="5"/>
      <c r="I348" s="5"/>
      <c r="J348" s="5" t="s">
        <v>24</v>
      </c>
      <c r="K348" s="5" t="s">
        <v>25</v>
      </c>
      <c r="L348" s="5"/>
      <c r="M348" s="5"/>
      <c r="N348" s="5"/>
      <c r="O348" s="7"/>
      <c r="P348" s="7">
        <f t="shared" si="90"/>
        <v>3</v>
      </c>
      <c r="Q348" s="7">
        <f t="shared" si="91"/>
        <v>1</v>
      </c>
      <c r="R348" s="7"/>
      <c r="S348" s="7">
        <f t="shared" si="107"/>
        <v>0</v>
      </c>
      <c r="T348" s="7">
        <f t="shared" si="92"/>
        <v>0</v>
      </c>
      <c r="U348" s="7">
        <f t="shared" si="93"/>
        <v>0</v>
      </c>
      <c r="V348" s="119">
        <f t="shared" si="94"/>
        <v>1</v>
      </c>
      <c r="W348" s="119">
        <f t="shared" si="95"/>
        <v>0</v>
      </c>
      <c r="X348" s="119">
        <f t="shared" si="96"/>
        <v>0</v>
      </c>
      <c r="Y348" s="119">
        <f t="shared" si="97"/>
        <v>0</v>
      </c>
      <c r="Z348" s="119">
        <f t="shared" si="98"/>
        <v>0</v>
      </c>
      <c r="AA348" s="119">
        <f t="shared" si="99"/>
        <v>1</v>
      </c>
      <c r="AB348" s="119">
        <f t="shared" si="100"/>
        <v>1</v>
      </c>
      <c r="AC348" s="119">
        <f t="shared" si="101"/>
        <v>0</v>
      </c>
      <c r="AD348" s="119">
        <f t="shared" si="102"/>
        <v>0</v>
      </c>
      <c r="AE348" s="119">
        <f t="shared" si="103"/>
        <v>0</v>
      </c>
      <c r="AF348" s="7"/>
      <c r="AG348" s="7"/>
      <c r="AH348" s="7">
        <f t="shared" si="104"/>
        <v>3</v>
      </c>
      <c r="AI348" s="7">
        <f t="shared" si="105"/>
        <v>3</v>
      </c>
      <c r="AJ348" s="7" t="str">
        <f t="shared" si="106"/>
        <v>Correct</v>
      </c>
      <c r="AL348" s="120" t="str">
        <f>IFERROR(VLOOKUP(Table1[RespondentID],'All Data'!$A$3:$CO$999,87,FALSE),"unknown")</f>
        <v>Woman</v>
      </c>
      <c r="AM348" s="120">
        <f>IFERROR(VLOOKUP(Table1[RespondentID],'All Data'!$A$3:$CO$999,88,FALSE),"unknown")</f>
        <v>16</v>
      </c>
      <c r="AN348" s="120" t="str">
        <f>IFERROR(VLOOKUP(Table1[RespondentID],'All Data'!$A$3:$CO$999,89,FALSE),"unknown")</f>
        <v>Suffolk</v>
      </c>
      <c r="AO348" s="120" t="str">
        <f>IFERROR(VLOOKUP(Table1[RespondentID],'All Data'!$A$3:$CO$999,90,FALSE),"unknown")</f>
        <v>Commack, 11725</v>
      </c>
      <c r="AP348" s="120" t="str">
        <f>IFERROR(VLOOKUP(Table1[RespondentID],'All Data'!$A$3:$CO$999,91,FALSE),"unknown")</f>
        <v>White</v>
      </c>
      <c r="AQ348" s="120" t="str">
        <f>IFERROR(VLOOKUP(Table1[RespondentID],'All Data'!$A$3:$CO$999,92,FALSE),"unknown")</f>
        <v>Hispanic or Latino</v>
      </c>
      <c r="AR348" s="120" t="str">
        <f>IFERROR(VLOOKUP(Table1[RespondentID],'All Data'!$A$3:$CO$999,93,FALSE),"unknown")</f>
        <v>English</v>
      </c>
      <c r="AS348" s="120" t="str">
        <f>IFERROR(VLOOKUP(Table1[RespondentID],'All Data'!$A$3:$CW$999,94,FALSE),"unknown")</f>
        <v>$50,000 to $74,999</v>
      </c>
      <c r="AT348" s="120" t="str">
        <f>IFERROR(VLOOKUP(Table1[RespondentID],'All Data'!$A$3:$CW$999,95,FALSE),"unknown")</f>
        <v>Some high school</v>
      </c>
      <c r="AU348" s="120">
        <f>IFERROR(VLOOKUP(Table1[RespondentID],'All Data'!$A$3:$CW$999,96,FALSE),"unknown")</f>
        <v>0</v>
      </c>
      <c r="AV348" s="120" t="str">
        <f>IFERROR(VLOOKUP(Table1[RespondentID],'All Data'!$A$3:$CW$999,97,FALSE),"unknown")</f>
        <v>Employed for wages</v>
      </c>
      <c r="AW348" s="120">
        <f>IFERROR(VLOOKUP(Table1[RespondentID],'All Data'!$A$3:$CW$999,98,FALSE),"unknown")</f>
        <v>0</v>
      </c>
      <c r="AX348" s="120">
        <f>IFERROR(VLOOKUP(Table1[RespondentID],'All Data'!$A$3:$CW$999,99,FALSE),"unknown")</f>
        <v>0</v>
      </c>
    </row>
    <row r="349" spans="1:50">
      <c r="A349" s="5">
        <v>18019100026</v>
      </c>
      <c r="B349" s="5"/>
      <c r="C349" s="5"/>
      <c r="D349" s="5" t="s">
        <v>18</v>
      </c>
      <c r="E349" s="5"/>
      <c r="F349" s="5" t="s">
        <v>20</v>
      </c>
      <c r="G349" s="5"/>
      <c r="H349" s="5"/>
      <c r="I349" s="5"/>
      <c r="J349" s="5"/>
      <c r="K349" s="5" t="s">
        <v>25</v>
      </c>
      <c r="L349" s="5"/>
      <c r="M349" s="5"/>
      <c r="N349" s="5"/>
      <c r="O349" s="7"/>
      <c r="P349" s="7">
        <f t="shared" si="90"/>
        <v>3</v>
      </c>
      <c r="Q349" s="7">
        <f t="shared" si="91"/>
        <v>1</v>
      </c>
      <c r="R349" s="7"/>
      <c r="S349" s="7">
        <f t="shared" si="107"/>
        <v>0</v>
      </c>
      <c r="T349" s="7">
        <f t="shared" si="92"/>
        <v>0</v>
      </c>
      <c r="U349" s="7">
        <f t="shared" si="93"/>
        <v>1</v>
      </c>
      <c r="V349" s="119">
        <f t="shared" si="94"/>
        <v>0</v>
      </c>
      <c r="W349" s="119">
        <f t="shared" si="95"/>
        <v>1</v>
      </c>
      <c r="X349" s="119">
        <f t="shared" si="96"/>
        <v>0</v>
      </c>
      <c r="Y349" s="119">
        <f t="shared" si="97"/>
        <v>0</v>
      </c>
      <c r="Z349" s="119">
        <f t="shared" si="98"/>
        <v>0</v>
      </c>
      <c r="AA349" s="119">
        <f t="shared" si="99"/>
        <v>0</v>
      </c>
      <c r="AB349" s="119">
        <f t="shared" si="100"/>
        <v>1</v>
      </c>
      <c r="AC349" s="119">
        <f t="shared" si="101"/>
        <v>0</v>
      </c>
      <c r="AD349" s="119">
        <f t="shared" si="102"/>
        <v>0</v>
      </c>
      <c r="AE349" s="119">
        <f t="shared" si="103"/>
        <v>0</v>
      </c>
      <c r="AF349" s="7"/>
      <c r="AG349" s="7"/>
      <c r="AH349" s="7">
        <f t="shared" si="104"/>
        <v>3</v>
      </c>
      <c r="AI349" s="7">
        <f t="shared" si="105"/>
        <v>3</v>
      </c>
      <c r="AJ349" s="7" t="str">
        <f t="shared" si="106"/>
        <v>Correct</v>
      </c>
      <c r="AL349" s="120" t="str">
        <f>IFERROR(VLOOKUP(Table1[RespondentID],'All Data'!$A$3:$CO$999,87,FALSE),"unknown")</f>
        <v>Woman</v>
      </c>
      <c r="AM349" s="120">
        <f>IFERROR(VLOOKUP(Table1[RespondentID],'All Data'!$A$3:$CO$999,88,FALSE),"unknown")</f>
        <v>73</v>
      </c>
      <c r="AN349" s="120" t="str">
        <f>IFERROR(VLOOKUP(Table1[RespondentID],'All Data'!$A$3:$CO$999,89,FALSE),"unknown")</f>
        <v>Suffolk</v>
      </c>
      <c r="AO349" s="120" t="str">
        <f>IFERROR(VLOOKUP(Table1[RespondentID],'All Data'!$A$3:$CO$999,90,FALSE),"unknown")</f>
        <v>Commack, 11725</v>
      </c>
      <c r="AP349" s="120" t="str">
        <f>IFERROR(VLOOKUP(Table1[RespondentID],'All Data'!$A$3:$CO$999,91,FALSE),"unknown")</f>
        <v>Asian</v>
      </c>
      <c r="AQ349" s="120" t="str">
        <f>IFERROR(VLOOKUP(Table1[RespondentID],'All Data'!$A$3:$CO$999,92,FALSE),"unknown")</f>
        <v>Not Hispanic or Latino</v>
      </c>
      <c r="AR349" s="120" t="str">
        <f>IFERROR(VLOOKUP(Table1[RespondentID],'All Data'!$A$3:$CO$999,93,FALSE),"unknown")</f>
        <v>English,Spanish,Italian,</v>
      </c>
      <c r="AS349" s="120" t="str">
        <f>IFERROR(VLOOKUP(Table1[RespondentID],'All Data'!$A$3:$CW$999,94,FALSE),"unknown")</f>
        <v>$75,000 to $125,000</v>
      </c>
      <c r="AT349" s="120" t="str">
        <f>IFERROR(VLOOKUP(Table1[RespondentID],'All Data'!$A$3:$CW$999,95,FALSE),"unknown")</f>
        <v>College graduate</v>
      </c>
      <c r="AU349" s="120">
        <f>IFERROR(VLOOKUP(Table1[RespondentID],'All Data'!$A$3:$CW$999,96,FALSE),"unknown")</f>
        <v>0</v>
      </c>
      <c r="AV349" s="120" t="str">
        <f>IFERROR(VLOOKUP(Table1[RespondentID],'All Data'!$A$3:$CW$999,97,FALSE),"unknown")</f>
        <v>Employed for wages</v>
      </c>
      <c r="AW349" s="120">
        <f>IFERROR(VLOOKUP(Table1[RespondentID],'All Data'!$A$3:$CW$999,98,FALSE),"unknown")</f>
        <v>0</v>
      </c>
      <c r="AX349" s="120">
        <f>IFERROR(VLOOKUP(Table1[RespondentID],'All Data'!$A$3:$CW$999,99,FALSE),"unknown")</f>
        <v>0</v>
      </c>
    </row>
    <row r="350" spans="1:50">
      <c r="A350" s="5">
        <v>18019099617</v>
      </c>
      <c r="B350" s="5"/>
      <c r="C350" s="5"/>
      <c r="D350" s="5"/>
      <c r="E350" s="5" t="s">
        <v>19</v>
      </c>
      <c r="F350" s="5"/>
      <c r="G350" s="5" t="s">
        <v>21</v>
      </c>
      <c r="H350" s="5"/>
      <c r="I350" s="5"/>
      <c r="J350" s="5"/>
      <c r="K350" s="5"/>
      <c r="L350" s="5"/>
      <c r="M350" s="5"/>
      <c r="N350" s="5" t="s">
        <v>28</v>
      </c>
      <c r="O350" s="7"/>
      <c r="P350" s="7">
        <f t="shared" si="90"/>
        <v>3</v>
      </c>
      <c r="Q350" s="7">
        <f t="shared" si="91"/>
        <v>1</v>
      </c>
      <c r="R350" s="7"/>
      <c r="S350" s="7">
        <f t="shared" si="107"/>
        <v>0</v>
      </c>
      <c r="T350" s="7">
        <f t="shared" si="92"/>
        <v>0</v>
      </c>
      <c r="U350" s="7">
        <f t="shared" si="93"/>
        <v>0</v>
      </c>
      <c r="V350" s="119">
        <f t="shared" si="94"/>
        <v>1</v>
      </c>
      <c r="W350" s="119">
        <f t="shared" si="95"/>
        <v>0</v>
      </c>
      <c r="X350" s="119">
        <f t="shared" si="96"/>
        <v>1</v>
      </c>
      <c r="Y350" s="119">
        <f t="shared" si="97"/>
        <v>0</v>
      </c>
      <c r="Z350" s="119">
        <f t="shared" si="98"/>
        <v>0</v>
      </c>
      <c r="AA350" s="119">
        <f t="shared" si="99"/>
        <v>0</v>
      </c>
      <c r="AB350" s="119">
        <f t="shared" si="100"/>
        <v>0</v>
      </c>
      <c r="AC350" s="119">
        <f t="shared" si="101"/>
        <v>0</v>
      </c>
      <c r="AD350" s="119">
        <f t="shared" si="102"/>
        <v>0</v>
      </c>
      <c r="AE350" s="119">
        <f t="shared" si="103"/>
        <v>1</v>
      </c>
      <c r="AF350" s="7"/>
      <c r="AG350" s="7"/>
      <c r="AH350" s="7">
        <f t="shared" si="104"/>
        <v>3</v>
      </c>
      <c r="AI350" s="7">
        <f t="shared" si="105"/>
        <v>3</v>
      </c>
      <c r="AJ350" s="7" t="str">
        <f t="shared" si="106"/>
        <v>Correct</v>
      </c>
      <c r="AL350" s="120" t="str">
        <f>IFERROR(VLOOKUP(Table1[RespondentID],'All Data'!$A$3:$CO$999,87,FALSE),"unknown")</f>
        <v>Man</v>
      </c>
      <c r="AM350" s="120">
        <f>IFERROR(VLOOKUP(Table1[RespondentID],'All Data'!$A$3:$CO$999,88,FALSE),"unknown")</f>
        <v>87</v>
      </c>
      <c r="AN350" s="120" t="str">
        <f>IFERROR(VLOOKUP(Table1[RespondentID],'All Data'!$A$3:$CO$999,89,FALSE),"unknown")</f>
        <v>Suffolk</v>
      </c>
      <c r="AO350" s="120" t="str">
        <f>IFERROR(VLOOKUP(Table1[RespondentID],'All Data'!$A$3:$CO$999,90,FALSE),"unknown")</f>
        <v>Smithtown, 11787</v>
      </c>
      <c r="AP350" s="120" t="str">
        <f>IFERROR(VLOOKUP(Table1[RespondentID],'All Data'!$A$3:$CO$999,91,FALSE),"unknown")</f>
        <v>White</v>
      </c>
      <c r="AQ350" s="120">
        <f>IFERROR(VLOOKUP(Table1[RespondentID],'All Data'!$A$3:$CO$999,92,FALSE),"unknown")</f>
        <v>0</v>
      </c>
      <c r="AR350" s="120" t="str">
        <f>IFERROR(VLOOKUP(Table1[RespondentID],'All Data'!$A$3:$CO$999,93,FALSE),"unknown")</f>
        <v>English,Spanish</v>
      </c>
      <c r="AS350" s="120" t="str">
        <f>IFERROR(VLOOKUP(Table1[RespondentID],'All Data'!$A$3:$CW$999,94,FALSE),"unknown")</f>
        <v>$75,000 to $125,000</v>
      </c>
      <c r="AT350" s="120" t="str">
        <f>IFERROR(VLOOKUP(Table1[RespondentID],'All Data'!$A$3:$CW$999,95,FALSE),"unknown")</f>
        <v>College graduate</v>
      </c>
      <c r="AU350" s="120">
        <f>IFERROR(VLOOKUP(Table1[RespondentID],'All Data'!$A$3:$CW$999,96,FALSE),"unknown")</f>
        <v>0</v>
      </c>
      <c r="AV350" s="120" t="str">
        <f>IFERROR(VLOOKUP(Table1[RespondentID],'All Data'!$A$3:$CW$999,97,FALSE),"unknown")</f>
        <v>Retired</v>
      </c>
      <c r="AW350" s="120">
        <f>IFERROR(VLOOKUP(Table1[RespondentID],'All Data'!$A$3:$CW$999,98,FALSE),"unknown")</f>
        <v>0</v>
      </c>
      <c r="AX350" s="120">
        <f>IFERROR(VLOOKUP(Table1[RespondentID],'All Data'!$A$3:$CW$999,99,FALSE),"unknown")</f>
        <v>0</v>
      </c>
    </row>
    <row r="351" spans="1:50">
      <c r="A351" s="5">
        <v>18019099122</v>
      </c>
      <c r="B351" s="5"/>
      <c r="C351" s="5"/>
      <c r="D351" s="5"/>
      <c r="E351" s="5" t="s">
        <v>19</v>
      </c>
      <c r="F351" s="5"/>
      <c r="G351" s="5"/>
      <c r="H351" s="5"/>
      <c r="I351" s="5"/>
      <c r="J351" s="5"/>
      <c r="K351" s="5"/>
      <c r="L351" s="5"/>
      <c r="M351" s="5"/>
      <c r="N351" s="5" t="s">
        <v>28</v>
      </c>
      <c r="O351" s="7"/>
      <c r="P351" s="7">
        <f t="shared" si="90"/>
        <v>2</v>
      </c>
      <c r="Q351" s="7">
        <f t="shared" si="91"/>
        <v>1.5</v>
      </c>
      <c r="R351" s="7"/>
      <c r="S351" s="7">
        <f t="shared" si="107"/>
        <v>0</v>
      </c>
      <c r="T351" s="7">
        <f t="shared" si="92"/>
        <v>0</v>
      </c>
      <c r="U351" s="7">
        <f t="shared" si="93"/>
        <v>0</v>
      </c>
      <c r="V351" s="119">
        <f t="shared" si="94"/>
        <v>1</v>
      </c>
      <c r="W351" s="119">
        <f t="shared" si="95"/>
        <v>0</v>
      </c>
      <c r="X351" s="119">
        <f t="shared" si="96"/>
        <v>0</v>
      </c>
      <c r="Y351" s="119">
        <f t="shared" si="97"/>
        <v>0</v>
      </c>
      <c r="Z351" s="119">
        <f t="shared" si="98"/>
        <v>0</v>
      </c>
      <c r="AA351" s="119">
        <f t="shared" si="99"/>
        <v>0</v>
      </c>
      <c r="AB351" s="119">
        <f t="shared" si="100"/>
        <v>0</v>
      </c>
      <c r="AC351" s="119">
        <f t="shared" si="101"/>
        <v>0</v>
      </c>
      <c r="AD351" s="119">
        <f t="shared" si="102"/>
        <v>0</v>
      </c>
      <c r="AE351" s="119">
        <f t="shared" si="103"/>
        <v>1</v>
      </c>
      <c r="AF351" s="7"/>
      <c r="AG351" s="7"/>
      <c r="AH351" s="7">
        <f t="shared" si="104"/>
        <v>2</v>
      </c>
      <c r="AI351" s="7">
        <f t="shared" si="105"/>
        <v>2</v>
      </c>
      <c r="AJ351" s="7" t="str">
        <f t="shared" si="106"/>
        <v>Correct</v>
      </c>
      <c r="AL351" s="120" t="str">
        <f>IFERROR(VLOOKUP(Table1[RespondentID],'All Data'!$A$3:$CO$999,87,FALSE),"unknown")</f>
        <v>Woman</v>
      </c>
      <c r="AM351" s="120">
        <f>IFERROR(VLOOKUP(Table1[RespondentID],'All Data'!$A$3:$CO$999,88,FALSE),"unknown")</f>
        <v>47</v>
      </c>
      <c r="AN351" s="120" t="str">
        <f>IFERROR(VLOOKUP(Table1[RespondentID],'All Data'!$A$3:$CO$999,89,FALSE),"unknown")</f>
        <v>Suffolk</v>
      </c>
      <c r="AO351" s="120" t="str">
        <f>IFERROR(VLOOKUP(Table1[RespondentID],'All Data'!$A$3:$CO$999,90,FALSE),"unknown")</f>
        <v>Smithtown, 11787</v>
      </c>
      <c r="AP351" s="120" t="str">
        <f>IFERROR(VLOOKUP(Table1[RespondentID],'All Data'!$A$3:$CO$999,91,FALSE),"unknown")</f>
        <v>Asian</v>
      </c>
      <c r="AQ351" s="120" t="str">
        <f>IFERROR(VLOOKUP(Table1[RespondentID],'All Data'!$A$3:$CO$999,92,FALSE),"unknown")</f>
        <v>Not Hispanic or Latino</v>
      </c>
      <c r="AR351" s="120" t="str">
        <f>IFERROR(VLOOKUP(Table1[RespondentID],'All Data'!$A$3:$CO$999,93,FALSE),"unknown")</f>
        <v>English,Spanish</v>
      </c>
      <c r="AS351" s="120" t="str">
        <f>IFERROR(VLOOKUP(Table1[RespondentID],'All Data'!$A$3:$CW$999,94,FALSE),"unknown")</f>
        <v>$75,000 to $125,000</v>
      </c>
      <c r="AT351" s="120" t="str">
        <f>IFERROR(VLOOKUP(Table1[RespondentID],'All Data'!$A$3:$CW$999,95,FALSE),"unknown")</f>
        <v>College graduate</v>
      </c>
      <c r="AU351" s="120">
        <f>IFERROR(VLOOKUP(Table1[RespondentID],'All Data'!$A$3:$CW$999,96,FALSE),"unknown")</f>
        <v>0</v>
      </c>
      <c r="AV351" s="120" t="str">
        <f>IFERROR(VLOOKUP(Table1[RespondentID],'All Data'!$A$3:$CW$999,97,FALSE),"unknown")</f>
        <v>Employed for wages</v>
      </c>
      <c r="AW351" s="120">
        <f>IFERROR(VLOOKUP(Table1[RespondentID],'All Data'!$A$3:$CW$999,98,FALSE),"unknown")</f>
        <v>0</v>
      </c>
      <c r="AX351" s="120">
        <f>IFERROR(VLOOKUP(Table1[RespondentID],'All Data'!$A$3:$CW$999,99,FALSE),"unknown")</f>
        <v>0</v>
      </c>
    </row>
    <row r="352" spans="1:50">
      <c r="A352" s="5">
        <v>18019098909</v>
      </c>
      <c r="B352" s="5"/>
      <c r="C352" s="5" t="s">
        <v>17</v>
      </c>
      <c r="D352" s="5" t="s">
        <v>18</v>
      </c>
      <c r="E352" s="5"/>
      <c r="F352" s="5"/>
      <c r="G352" s="5"/>
      <c r="H352" s="5"/>
      <c r="I352" s="5"/>
      <c r="J352" s="5" t="s">
        <v>24</v>
      </c>
      <c r="K352" s="5"/>
      <c r="L352" s="5"/>
      <c r="M352" s="5"/>
      <c r="N352" s="5"/>
      <c r="O352" s="7"/>
      <c r="P352" s="7">
        <f t="shared" si="90"/>
        <v>3</v>
      </c>
      <c r="Q352" s="7">
        <f t="shared" si="91"/>
        <v>1</v>
      </c>
      <c r="R352" s="7"/>
      <c r="S352" s="7">
        <f t="shared" si="107"/>
        <v>0</v>
      </c>
      <c r="T352" s="7">
        <f t="shared" si="92"/>
        <v>1</v>
      </c>
      <c r="U352" s="7">
        <f t="shared" si="93"/>
        <v>1</v>
      </c>
      <c r="V352" s="119">
        <f t="shared" si="94"/>
        <v>0</v>
      </c>
      <c r="W352" s="119">
        <f t="shared" si="95"/>
        <v>0</v>
      </c>
      <c r="X352" s="119">
        <f t="shared" si="96"/>
        <v>0</v>
      </c>
      <c r="Y352" s="119">
        <f t="shared" si="97"/>
        <v>0</v>
      </c>
      <c r="Z352" s="119">
        <f t="shared" si="98"/>
        <v>0</v>
      </c>
      <c r="AA352" s="119">
        <f t="shared" si="99"/>
        <v>1</v>
      </c>
      <c r="AB352" s="119">
        <f t="shared" si="100"/>
        <v>0</v>
      </c>
      <c r="AC352" s="119">
        <f t="shared" si="101"/>
        <v>0</v>
      </c>
      <c r="AD352" s="119">
        <f t="shared" si="102"/>
        <v>0</v>
      </c>
      <c r="AE352" s="119">
        <f t="shared" si="103"/>
        <v>0</v>
      </c>
      <c r="AF352" s="7"/>
      <c r="AG352" s="7"/>
      <c r="AH352" s="7">
        <f t="shared" si="104"/>
        <v>3</v>
      </c>
      <c r="AI352" s="7">
        <f t="shared" si="105"/>
        <v>3</v>
      </c>
      <c r="AJ352" s="7" t="str">
        <f t="shared" si="106"/>
        <v>Correct</v>
      </c>
      <c r="AL352" s="120" t="str">
        <f>IFERROR(VLOOKUP(Table1[RespondentID],'All Data'!$A$3:$CO$999,87,FALSE),"unknown")</f>
        <v>Man</v>
      </c>
      <c r="AM352" s="120">
        <f>IFERROR(VLOOKUP(Table1[RespondentID],'All Data'!$A$3:$CO$999,88,FALSE),"unknown")</f>
        <v>35</v>
      </c>
      <c r="AN352" s="120" t="str">
        <f>IFERROR(VLOOKUP(Table1[RespondentID],'All Data'!$A$3:$CO$999,89,FALSE),"unknown")</f>
        <v>Suffolk</v>
      </c>
      <c r="AO352" s="120" t="str">
        <f>IFERROR(VLOOKUP(Table1[RespondentID],'All Data'!$A$3:$CO$999,90,FALSE),"unknown")</f>
        <v>Middle Island, 11953</v>
      </c>
      <c r="AP352" s="120" t="str">
        <f>IFERROR(VLOOKUP(Table1[RespondentID],'All Data'!$A$3:$CO$999,91,FALSE),"unknown")</f>
        <v>White</v>
      </c>
      <c r="AQ352" s="120" t="str">
        <f>IFERROR(VLOOKUP(Table1[RespondentID],'All Data'!$A$3:$CO$999,92,FALSE),"unknown")</f>
        <v>Hispanic or Latino</v>
      </c>
      <c r="AR352" s="120" t="str">
        <f>IFERROR(VLOOKUP(Table1[RespondentID],'All Data'!$A$3:$CO$999,93,FALSE),"unknown")</f>
        <v>English,Spanish</v>
      </c>
      <c r="AS352" s="120" t="str">
        <f>IFERROR(VLOOKUP(Table1[RespondentID],'All Data'!$A$3:$CW$999,94,FALSE),"unknown")</f>
        <v>Over $125,000</v>
      </c>
      <c r="AT352" s="120" t="str">
        <f>IFERROR(VLOOKUP(Table1[RespondentID],'All Data'!$A$3:$CW$999,95,FALSE),"unknown")</f>
        <v>Doctorate</v>
      </c>
      <c r="AU352" s="120">
        <f>IFERROR(VLOOKUP(Table1[RespondentID],'All Data'!$A$3:$CW$999,96,FALSE),"unknown")</f>
        <v>0</v>
      </c>
      <c r="AV352" s="120" t="str">
        <f>IFERROR(VLOOKUP(Table1[RespondentID],'All Data'!$A$3:$CW$999,97,FALSE),"unknown")</f>
        <v>Employed for wages</v>
      </c>
      <c r="AW352" s="120">
        <f>IFERROR(VLOOKUP(Table1[RespondentID],'All Data'!$A$3:$CW$999,98,FALSE),"unknown")</f>
        <v>0</v>
      </c>
      <c r="AX352" s="120">
        <f>IFERROR(VLOOKUP(Table1[RespondentID],'All Data'!$A$3:$CW$999,99,FALSE),"unknown")</f>
        <v>0</v>
      </c>
    </row>
    <row r="353" spans="1:50">
      <c r="A353" s="5">
        <v>18018901331</v>
      </c>
      <c r="B353" s="5"/>
      <c r="C353" s="5" t="s">
        <v>17</v>
      </c>
      <c r="D353" s="5"/>
      <c r="E353" s="5"/>
      <c r="F353" s="5"/>
      <c r="G353" s="5"/>
      <c r="H353" s="5"/>
      <c r="I353" s="5" t="s">
        <v>23</v>
      </c>
      <c r="J353" s="5" t="s">
        <v>24</v>
      </c>
      <c r="K353" s="5"/>
      <c r="L353" s="5"/>
      <c r="M353" s="5"/>
      <c r="N353" s="5"/>
      <c r="O353" s="7"/>
      <c r="P353" s="7">
        <f t="shared" si="90"/>
        <v>3</v>
      </c>
      <c r="Q353" s="7">
        <f t="shared" si="91"/>
        <v>1</v>
      </c>
      <c r="R353" s="7"/>
      <c r="S353" s="7">
        <f t="shared" si="107"/>
        <v>0</v>
      </c>
      <c r="T353" s="7">
        <f t="shared" si="92"/>
        <v>1</v>
      </c>
      <c r="U353" s="7">
        <f t="shared" si="93"/>
        <v>0</v>
      </c>
      <c r="V353" s="119">
        <f t="shared" si="94"/>
        <v>0</v>
      </c>
      <c r="W353" s="119">
        <f t="shared" si="95"/>
        <v>0</v>
      </c>
      <c r="X353" s="119">
        <f t="shared" si="96"/>
        <v>0</v>
      </c>
      <c r="Y353" s="119">
        <f t="shared" si="97"/>
        <v>0</v>
      </c>
      <c r="Z353" s="119">
        <f t="shared" si="98"/>
        <v>1</v>
      </c>
      <c r="AA353" s="119">
        <f t="shared" si="99"/>
        <v>1</v>
      </c>
      <c r="AB353" s="119">
        <f t="shared" si="100"/>
        <v>0</v>
      </c>
      <c r="AC353" s="119">
        <f t="shared" si="101"/>
        <v>0</v>
      </c>
      <c r="AD353" s="119">
        <f t="shared" si="102"/>
        <v>0</v>
      </c>
      <c r="AE353" s="119">
        <f t="shared" si="103"/>
        <v>0</v>
      </c>
      <c r="AF353" s="7"/>
      <c r="AG353" s="7"/>
      <c r="AH353" s="7">
        <f t="shared" si="104"/>
        <v>3</v>
      </c>
      <c r="AI353" s="7">
        <f t="shared" si="105"/>
        <v>3</v>
      </c>
      <c r="AJ353" s="7" t="str">
        <f t="shared" si="106"/>
        <v>Correct</v>
      </c>
      <c r="AL353" s="120" t="str">
        <f>IFERROR(VLOOKUP(Table1[RespondentID],'All Data'!$A$3:$CO$999,87,FALSE),"unknown")</f>
        <v>Woman</v>
      </c>
      <c r="AM353" s="120">
        <f>IFERROR(VLOOKUP(Table1[RespondentID],'All Data'!$A$3:$CO$999,88,FALSE),"unknown")</f>
        <v>31</v>
      </c>
      <c r="AN353" s="120">
        <f>IFERROR(VLOOKUP(Table1[RespondentID],'All Data'!$A$3:$CO$999,89,FALSE),"unknown")</f>
        <v>0</v>
      </c>
      <c r="AO353" s="120" t="str">
        <f>IFERROR(VLOOKUP(Table1[RespondentID],'All Data'!$A$3:$CO$999,90,FALSE),"unknown")</f>
        <v>Garden City, 11536</v>
      </c>
      <c r="AP353" s="120" t="str">
        <f>IFERROR(VLOOKUP(Table1[RespondentID],'All Data'!$A$3:$CO$999,91,FALSE),"unknown")</f>
        <v>White</v>
      </c>
      <c r="AQ353" s="120" t="str">
        <f>IFERROR(VLOOKUP(Table1[RespondentID],'All Data'!$A$3:$CO$999,92,FALSE),"unknown")</f>
        <v>Not Hispanic or Latino</v>
      </c>
      <c r="AR353" s="120" t="str">
        <f>IFERROR(VLOOKUP(Table1[RespondentID],'All Data'!$A$3:$CO$999,93,FALSE),"unknown")</f>
        <v>Italian</v>
      </c>
      <c r="AS353" s="120" t="str">
        <f>IFERROR(VLOOKUP(Table1[RespondentID],'All Data'!$A$3:$CW$999,94,FALSE),"unknown")</f>
        <v>$20,000 to $34,999</v>
      </c>
      <c r="AT353" s="120" t="str">
        <f>IFERROR(VLOOKUP(Table1[RespondentID],'All Data'!$A$3:$CW$999,95,FALSE),"unknown")</f>
        <v>Some high school</v>
      </c>
      <c r="AU353" s="120">
        <f>IFERROR(VLOOKUP(Table1[RespondentID],'All Data'!$A$3:$CW$999,96,FALSE),"unknown")</f>
        <v>0</v>
      </c>
      <c r="AV353" s="120" t="str">
        <f>IFERROR(VLOOKUP(Table1[RespondentID],'All Data'!$A$3:$CW$999,97,FALSE),"unknown")</f>
        <v>Out of work and looking for work</v>
      </c>
      <c r="AW353" s="120">
        <f>IFERROR(VLOOKUP(Table1[RespondentID],'All Data'!$A$3:$CW$999,98,FALSE),"unknown")</f>
        <v>0</v>
      </c>
      <c r="AX353" s="120" t="str">
        <f>IFERROR(VLOOKUP(Table1[RespondentID],'All Data'!$A$3:$CW$999,99,FALSE),"unknown")</f>
        <v>No</v>
      </c>
    </row>
    <row r="354" spans="1:50">
      <c r="A354" s="5">
        <v>18018148216</v>
      </c>
      <c r="B354" s="5"/>
      <c r="C354" s="5"/>
      <c r="D354" s="5"/>
      <c r="E354" s="5"/>
      <c r="F354" s="5"/>
      <c r="G354" s="5"/>
      <c r="H354" s="5"/>
      <c r="I354" s="5"/>
      <c r="J354" s="5"/>
      <c r="K354" s="5" t="s">
        <v>25</v>
      </c>
      <c r="L354" s="5"/>
      <c r="M354" s="5"/>
      <c r="N354" s="5"/>
      <c r="O354" s="7"/>
      <c r="P354" s="7">
        <f t="shared" si="90"/>
        <v>1</v>
      </c>
      <c r="Q354" s="7">
        <f t="shared" si="91"/>
        <v>3</v>
      </c>
      <c r="R354" s="7"/>
      <c r="S354" s="7">
        <f t="shared" si="107"/>
        <v>0</v>
      </c>
      <c r="T354" s="7">
        <f t="shared" si="92"/>
        <v>0</v>
      </c>
      <c r="U354" s="7">
        <f t="shared" si="93"/>
        <v>0</v>
      </c>
      <c r="V354" s="119">
        <f t="shared" si="94"/>
        <v>0</v>
      </c>
      <c r="W354" s="119">
        <f t="shared" si="95"/>
        <v>0</v>
      </c>
      <c r="X354" s="119">
        <f t="shared" si="96"/>
        <v>0</v>
      </c>
      <c r="Y354" s="119">
        <f t="shared" si="97"/>
        <v>0</v>
      </c>
      <c r="Z354" s="119">
        <f t="shared" si="98"/>
        <v>0</v>
      </c>
      <c r="AA354" s="119">
        <f t="shared" si="99"/>
        <v>0</v>
      </c>
      <c r="AB354" s="119">
        <f t="shared" si="100"/>
        <v>1</v>
      </c>
      <c r="AC354" s="119">
        <f t="shared" si="101"/>
        <v>0</v>
      </c>
      <c r="AD354" s="119">
        <f t="shared" si="102"/>
        <v>0</v>
      </c>
      <c r="AE354" s="119">
        <f t="shared" si="103"/>
        <v>0</v>
      </c>
      <c r="AF354" s="7"/>
      <c r="AG354" s="7"/>
      <c r="AH354" s="7">
        <f t="shared" si="104"/>
        <v>1</v>
      </c>
      <c r="AI354" s="7">
        <f t="shared" si="105"/>
        <v>1</v>
      </c>
      <c r="AJ354" s="7" t="str">
        <f t="shared" si="106"/>
        <v>Correct</v>
      </c>
      <c r="AL354" s="120" t="str">
        <f>IFERROR(VLOOKUP(Table1[RespondentID],'All Data'!$A$3:$CO$999,87,FALSE),"unknown")</f>
        <v>Woman</v>
      </c>
      <c r="AM354" s="120">
        <f>IFERROR(VLOOKUP(Table1[RespondentID],'All Data'!$A$3:$CO$999,88,FALSE),"unknown")</f>
        <v>68</v>
      </c>
      <c r="AN354" s="120">
        <f>IFERROR(VLOOKUP(Table1[RespondentID],'All Data'!$A$3:$CO$999,89,FALSE),"unknown")</f>
        <v>0</v>
      </c>
      <c r="AO354" s="120">
        <f>IFERROR(VLOOKUP(Table1[RespondentID],'All Data'!$A$3:$CO$999,90,FALSE),"unknown")</f>
        <v>0</v>
      </c>
      <c r="AP354" s="120">
        <f>IFERROR(VLOOKUP(Table1[RespondentID],'All Data'!$A$3:$CO$999,91,FALSE),"unknown")</f>
        <v>0</v>
      </c>
      <c r="AQ354" s="120">
        <f>IFERROR(VLOOKUP(Table1[RespondentID],'All Data'!$A$3:$CO$999,92,FALSE),"unknown")</f>
        <v>0</v>
      </c>
      <c r="AR354" s="120">
        <f>IFERROR(VLOOKUP(Table1[RespondentID],'All Data'!$A$3:$CO$999,93,FALSE),"unknown")</f>
        <v>0</v>
      </c>
      <c r="AS354" s="120">
        <f>IFERROR(VLOOKUP(Table1[RespondentID],'All Data'!$A$3:$CW$999,94,FALSE),"unknown")</f>
        <v>0</v>
      </c>
      <c r="AT354" s="120">
        <f>IFERROR(VLOOKUP(Table1[RespondentID],'All Data'!$A$3:$CW$999,95,FALSE),"unknown")</f>
        <v>0</v>
      </c>
      <c r="AU354" s="120">
        <f>IFERROR(VLOOKUP(Table1[RespondentID],'All Data'!$A$3:$CW$999,96,FALSE),"unknown")</f>
        <v>0</v>
      </c>
      <c r="AV354" s="120">
        <f>IFERROR(VLOOKUP(Table1[RespondentID],'All Data'!$A$3:$CW$999,97,FALSE),"unknown")</f>
        <v>0</v>
      </c>
      <c r="AW354" s="120">
        <f>IFERROR(VLOOKUP(Table1[RespondentID],'All Data'!$A$3:$CW$999,98,FALSE),"unknown")</f>
        <v>0</v>
      </c>
      <c r="AX354" s="120">
        <f>IFERROR(VLOOKUP(Table1[RespondentID],'All Data'!$A$3:$CW$999,99,FALSE),"unknown")</f>
        <v>0</v>
      </c>
    </row>
    <row r="355" spans="1:50">
      <c r="A355" s="5">
        <v>18014643757</v>
      </c>
      <c r="B355" s="5"/>
      <c r="C355" s="5"/>
      <c r="D355" s="5"/>
      <c r="E355" s="5"/>
      <c r="F355" s="5"/>
      <c r="G355" s="103"/>
      <c r="H355" s="5"/>
      <c r="I355" s="5"/>
      <c r="J355" s="5"/>
      <c r="K355" s="5"/>
      <c r="L355" s="5" t="s">
        <v>26</v>
      </c>
      <c r="M355" s="5"/>
      <c r="N355" s="5"/>
      <c r="O355" s="7"/>
      <c r="P355" s="7">
        <f t="shared" si="90"/>
        <v>1</v>
      </c>
      <c r="Q355" s="7">
        <f t="shared" si="91"/>
        <v>3</v>
      </c>
      <c r="R355" s="7"/>
      <c r="S355" s="7">
        <f t="shared" si="107"/>
        <v>0</v>
      </c>
      <c r="T355" s="7">
        <f t="shared" si="92"/>
        <v>0</v>
      </c>
      <c r="U355" s="7">
        <f t="shared" si="93"/>
        <v>0</v>
      </c>
      <c r="V355" s="119">
        <f t="shared" si="94"/>
        <v>0</v>
      </c>
      <c r="W355" s="119">
        <f t="shared" si="95"/>
        <v>0</v>
      </c>
      <c r="X355" s="119">
        <f t="shared" si="96"/>
        <v>0</v>
      </c>
      <c r="Y355" s="119">
        <f t="shared" si="97"/>
        <v>0</v>
      </c>
      <c r="Z355" s="119">
        <f t="shared" si="98"/>
        <v>0</v>
      </c>
      <c r="AA355" s="119">
        <f t="shared" si="99"/>
        <v>0</v>
      </c>
      <c r="AB355" s="119">
        <f t="shared" si="100"/>
        <v>0</v>
      </c>
      <c r="AC355" s="119">
        <f t="shared" si="101"/>
        <v>1</v>
      </c>
      <c r="AD355" s="119">
        <f t="shared" si="102"/>
        <v>0</v>
      </c>
      <c r="AE355" s="119">
        <f t="shared" si="103"/>
        <v>0</v>
      </c>
      <c r="AF355" s="7"/>
      <c r="AG355" s="7"/>
      <c r="AH355" s="7">
        <f t="shared" si="104"/>
        <v>1</v>
      </c>
      <c r="AI355" s="7">
        <f t="shared" si="105"/>
        <v>1</v>
      </c>
      <c r="AJ355" s="7" t="str">
        <f t="shared" si="106"/>
        <v>Correct</v>
      </c>
      <c r="AL355" s="120">
        <f>IFERROR(VLOOKUP(Table1[RespondentID],'All Data'!$A$3:$CO$999,87,FALSE),"unknown")</f>
        <v>0</v>
      </c>
      <c r="AM355" s="120">
        <f>IFERROR(VLOOKUP(Table1[RespondentID],'All Data'!$A$3:$CO$999,88,FALSE),"unknown")</f>
        <v>0</v>
      </c>
      <c r="AN355" s="120">
        <f>IFERROR(VLOOKUP(Table1[RespondentID],'All Data'!$A$3:$CO$999,89,FALSE),"unknown")</f>
        <v>0</v>
      </c>
      <c r="AO355" s="120">
        <f>IFERROR(VLOOKUP(Table1[RespondentID],'All Data'!$A$3:$CO$999,90,FALSE),"unknown")</f>
        <v>0</v>
      </c>
      <c r="AP355" s="120">
        <f>IFERROR(VLOOKUP(Table1[RespondentID],'All Data'!$A$3:$CO$999,91,FALSE),"unknown")</f>
        <v>0</v>
      </c>
      <c r="AQ355" s="120">
        <f>IFERROR(VLOOKUP(Table1[RespondentID],'All Data'!$A$3:$CO$999,92,FALSE),"unknown")</f>
        <v>0</v>
      </c>
      <c r="AR355" s="120">
        <f>IFERROR(VLOOKUP(Table1[RespondentID],'All Data'!$A$3:$CO$999,93,FALSE),"unknown")</f>
        <v>0</v>
      </c>
      <c r="AS355" s="120">
        <f>IFERROR(VLOOKUP(Table1[RespondentID],'All Data'!$A$3:$CW$999,94,FALSE),"unknown")</f>
        <v>0</v>
      </c>
      <c r="AT355" s="120">
        <f>IFERROR(VLOOKUP(Table1[RespondentID],'All Data'!$A$3:$CW$999,95,FALSE),"unknown")</f>
        <v>0</v>
      </c>
      <c r="AU355" s="120">
        <f>IFERROR(VLOOKUP(Table1[RespondentID],'All Data'!$A$3:$CW$999,96,FALSE),"unknown")</f>
        <v>0</v>
      </c>
      <c r="AV355" s="120">
        <f>IFERROR(VLOOKUP(Table1[RespondentID],'All Data'!$A$3:$CW$999,97,FALSE),"unknown")</f>
        <v>0</v>
      </c>
      <c r="AW355" s="120">
        <f>IFERROR(VLOOKUP(Table1[RespondentID],'All Data'!$A$3:$CW$999,98,FALSE),"unknown")</f>
        <v>0</v>
      </c>
      <c r="AX355" s="120">
        <f>IFERROR(VLOOKUP(Table1[RespondentID],'All Data'!$A$3:$CW$999,99,FALSE),"unknown")</f>
        <v>0</v>
      </c>
    </row>
    <row r="356" spans="1:50">
      <c r="A356" s="5">
        <v>114107008144</v>
      </c>
      <c r="B356" s="5"/>
      <c r="C356" s="5" t="s">
        <v>17</v>
      </c>
      <c r="D356" s="5"/>
      <c r="E356" s="5"/>
      <c r="F356" s="5"/>
      <c r="G356" s="5"/>
      <c r="H356" s="5" t="s">
        <v>22</v>
      </c>
      <c r="I356" s="5"/>
      <c r="J356" s="5"/>
      <c r="K356" s="5" t="s">
        <v>25</v>
      </c>
      <c r="L356" s="5" t="s">
        <v>26</v>
      </c>
      <c r="M356" s="5"/>
      <c r="N356" s="5"/>
      <c r="O356" s="7"/>
      <c r="P356" s="7">
        <f t="shared" si="90"/>
        <v>4</v>
      </c>
      <c r="Q356" s="7">
        <f t="shared" si="91"/>
        <v>0.75</v>
      </c>
      <c r="R356" s="7"/>
      <c r="S356" s="7">
        <f t="shared" si="107"/>
        <v>0</v>
      </c>
      <c r="T356" s="7">
        <f t="shared" si="92"/>
        <v>0.75</v>
      </c>
      <c r="U356" s="7">
        <f t="shared" si="93"/>
        <v>0</v>
      </c>
      <c r="V356" s="119">
        <f t="shared" si="94"/>
        <v>0</v>
      </c>
      <c r="W356" s="119">
        <f t="shared" si="95"/>
        <v>0</v>
      </c>
      <c r="X356" s="119">
        <f t="shared" si="96"/>
        <v>0</v>
      </c>
      <c r="Y356" s="119">
        <f t="shared" si="97"/>
        <v>0.75</v>
      </c>
      <c r="Z356" s="119">
        <f t="shared" si="98"/>
        <v>0</v>
      </c>
      <c r="AA356" s="119">
        <f t="shared" si="99"/>
        <v>0</v>
      </c>
      <c r="AB356" s="119">
        <f t="shared" si="100"/>
        <v>0.75</v>
      </c>
      <c r="AC356" s="119">
        <f t="shared" si="101"/>
        <v>0.75</v>
      </c>
      <c r="AD356" s="119">
        <f t="shared" si="102"/>
        <v>0</v>
      </c>
      <c r="AE356" s="119">
        <f t="shared" si="103"/>
        <v>0</v>
      </c>
      <c r="AF356" s="7"/>
      <c r="AG356" s="7"/>
      <c r="AH356" s="7">
        <f t="shared" si="104"/>
        <v>3</v>
      </c>
      <c r="AI356" s="7">
        <f t="shared" si="105"/>
        <v>4</v>
      </c>
      <c r="AJ356" s="7" t="str">
        <f t="shared" si="106"/>
        <v>Correct</v>
      </c>
      <c r="AL356" s="120" t="str">
        <f>IFERROR(VLOOKUP(Table1[RespondentID],'All Data'!$A$3:$CO$999,87,FALSE),"unknown")</f>
        <v>Man</v>
      </c>
      <c r="AM356" s="120">
        <f>IFERROR(VLOOKUP(Table1[RespondentID],'All Data'!$A$3:$CO$999,88,FALSE),"unknown")</f>
        <v>0</v>
      </c>
      <c r="AN356" s="120" t="str">
        <f>IFERROR(VLOOKUP(Table1[RespondentID],'All Data'!$A$3:$CO$999,89,FALSE),"unknown")</f>
        <v>Queens</v>
      </c>
      <c r="AO356" s="120">
        <f>IFERROR(VLOOKUP(Table1[RespondentID],'All Data'!$A$3:$CO$999,90,FALSE),"unknown")</f>
        <v>22407</v>
      </c>
      <c r="AP356" s="120" t="str">
        <f>IFERROR(VLOOKUP(Table1[RespondentID],'All Data'!$A$3:$CO$999,91,FALSE),"unknown")</f>
        <v>White</v>
      </c>
      <c r="AQ356" s="120" t="str">
        <f>IFERROR(VLOOKUP(Table1[RespondentID],'All Data'!$A$3:$CO$999,92,FALSE),"unknown")</f>
        <v>Not Hispanic or Latino</v>
      </c>
      <c r="AR356" s="120" t="str">
        <f>IFERROR(VLOOKUP(Table1[RespondentID],'All Data'!$A$3:$CO$999,93,FALSE),"unknown")</f>
        <v>English</v>
      </c>
      <c r="AS356" s="120" t="str">
        <f>IFERROR(VLOOKUP(Table1[RespondentID],'All Data'!$A$3:$CW$999,94,FALSE),"unknown")</f>
        <v>Over $125,000</v>
      </c>
      <c r="AT356" s="120" t="str">
        <f>IFERROR(VLOOKUP(Table1[RespondentID],'All Data'!$A$3:$CW$999,95,FALSE),"unknown")</f>
        <v>College graduate</v>
      </c>
      <c r="AU356" s="120" t="str">
        <f>IFERROR(VLOOKUP(Table1[RespondentID],'All Data'!$A$3:$CW$999,96,FALSE),"unknown")</f>
        <v>Employed for wages</v>
      </c>
      <c r="AV356" s="120" t="str">
        <f>IFERROR(VLOOKUP(Table1[RespondentID],'All Data'!$A$3:$CW$999,97,FALSE),"unknown")</f>
        <v>Yes</v>
      </c>
      <c r="AW356" s="120" t="str">
        <f>IFERROR(VLOOKUP(Table1[RespondentID],'All Data'!$A$3:$CW$999,98,FALSE),"unknown")</f>
        <v>Medicaid,Medicare</v>
      </c>
      <c r="AX356" s="120" t="str">
        <f>IFERROR(VLOOKUP(Table1[RespondentID],'All Data'!$A$3:$CW$999,99,FALSE),"unknown")</f>
        <v>Yes</v>
      </c>
    </row>
    <row r="357" spans="1:50">
      <c r="A357" s="5">
        <v>114106902413</v>
      </c>
      <c r="B357" s="5"/>
      <c r="C357" s="5"/>
      <c r="D357" s="5"/>
      <c r="E357" s="5"/>
      <c r="F357" s="5"/>
      <c r="G357" s="5"/>
      <c r="H357" s="5"/>
      <c r="I357" s="5"/>
      <c r="J357" s="5" t="s">
        <v>24</v>
      </c>
      <c r="K357" s="5"/>
      <c r="L357" s="5"/>
      <c r="M357" s="5"/>
      <c r="N357" s="5"/>
      <c r="O357" s="7"/>
      <c r="P357" s="7">
        <f t="shared" si="90"/>
        <v>1</v>
      </c>
      <c r="Q357" s="7">
        <f t="shared" si="91"/>
        <v>3</v>
      </c>
      <c r="R357" s="7"/>
      <c r="S357" s="7">
        <f t="shared" si="107"/>
        <v>0</v>
      </c>
      <c r="T357" s="7">
        <f t="shared" si="92"/>
        <v>0</v>
      </c>
      <c r="U357" s="7">
        <f t="shared" si="93"/>
        <v>0</v>
      </c>
      <c r="V357" s="119">
        <f t="shared" si="94"/>
        <v>0</v>
      </c>
      <c r="W357" s="119">
        <f t="shared" si="95"/>
        <v>0</v>
      </c>
      <c r="X357" s="119">
        <f t="shared" si="96"/>
        <v>0</v>
      </c>
      <c r="Y357" s="119">
        <f t="shared" si="97"/>
        <v>0</v>
      </c>
      <c r="Z357" s="119">
        <f t="shared" si="98"/>
        <v>0</v>
      </c>
      <c r="AA357" s="119">
        <f t="shared" si="99"/>
        <v>1</v>
      </c>
      <c r="AB357" s="119">
        <f t="shared" si="100"/>
        <v>0</v>
      </c>
      <c r="AC357" s="119">
        <f t="shared" si="101"/>
        <v>0</v>
      </c>
      <c r="AD357" s="119">
        <f t="shared" si="102"/>
        <v>0</v>
      </c>
      <c r="AE357" s="119">
        <f t="shared" si="103"/>
        <v>0</v>
      </c>
      <c r="AF357" s="7"/>
      <c r="AG357" s="7"/>
      <c r="AH357" s="7">
        <f t="shared" si="104"/>
        <v>1</v>
      </c>
      <c r="AI357" s="7">
        <f t="shared" si="105"/>
        <v>1</v>
      </c>
      <c r="AJ357" s="7" t="str">
        <f t="shared" si="106"/>
        <v>Correct</v>
      </c>
      <c r="AL357" s="120" t="str">
        <f>IFERROR(VLOOKUP(Table1[RespondentID],'All Data'!$A$3:$CO$999,87,FALSE),"unknown")</f>
        <v>Man</v>
      </c>
      <c r="AM357" s="120">
        <f>IFERROR(VLOOKUP(Table1[RespondentID],'All Data'!$A$3:$CO$999,88,FALSE),"unknown")</f>
        <v>0</v>
      </c>
      <c r="AN357" s="120" t="str">
        <f>IFERROR(VLOOKUP(Table1[RespondentID],'All Data'!$A$3:$CO$999,89,FALSE),"unknown")</f>
        <v>Suffolk</v>
      </c>
      <c r="AO357" s="120" t="str">
        <f>IFERROR(VLOOKUP(Table1[RespondentID],'All Data'!$A$3:$CO$999,90,FALSE),"unknown")</f>
        <v>Babylon, 11702</v>
      </c>
      <c r="AP357" s="120" t="str">
        <f>IFERROR(VLOOKUP(Table1[RespondentID],'All Data'!$A$3:$CO$999,91,FALSE),"unknown")</f>
        <v>White</v>
      </c>
      <c r="AQ357" s="120" t="str">
        <f>IFERROR(VLOOKUP(Table1[RespondentID],'All Data'!$A$3:$CO$999,92,FALSE),"unknown")</f>
        <v>Not Hispanic or Latino</v>
      </c>
      <c r="AR357" s="120" t="str">
        <f>IFERROR(VLOOKUP(Table1[RespondentID],'All Data'!$A$3:$CO$999,93,FALSE),"unknown")</f>
        <v>English</v>
      </c>
      <c r="AS357" s="120" t="str">
        <f>IFERROR(VLOOKUP(Table1[RespondentID],'All Data'!$A$3:$CW$999,94,FALSE),"unknown")</f>
        <v>$35,000 to $49,999</v>
      </c>
      <c r="AT357" s="120" t="str">
        <f>IFERROR(VLOOKUP(Table1[RespondentID],'All Data'!$A$3:$CW$999,95,FALSE),"unknown")</f>
        <v>Some college</v>
      </c>
      <c r="AU357" s="120" t="str">
        <f>IFERROR(VLOOKUP(Table1[RespondentID],'All Data'!$A$3:$CW$999,96,FALSE),"unknown")</f>
        <v>Retired</v>
      </c>
      <c r="AV357" s="120" t="str">
        <f>IFERROR(VLOOKUP(Table1[RespondentID],'All Data'!$A$3:$CW$999,97,FALSE),"unknown")</f>
        <v>No</v>
      </c>
      <c r="AW357" s="120" t="str">
        <f>IFERROR(VLOOKUP(Table1[RespondentID],'All Data'!$A$3:$CW$999,98,FALSE),"unknown")</f>
        <v>No Insurance</v>
      </c>
      <c r="AX357" s="120" t="str">
        <f>IFERROR(VLOOKUP(Table1[RespondentID],'All Data'!$A$3:$CW$999,99,FALSE),"unknown")</f>
        <v>Yes</v>
      </c>
    </row>
    <row r="358" spans="1:50">
      <c r="A358" s="5">
        <v>114106901021</v>
      </c>
      <c r="B358" s="5"/>
      <c r="C358" s="5" t="s">
        <v>17</v>
      </c>
      <c r="D358" s="5"/>
      <c r="E358" s="5"/>
      <c r="F358" s="5"/>
      <c r="G358" s="5"/>
      <c r="H358" s="5" t="s">
        <v>22</v>
      </c>
      <c r="I358" s="5"/>
      <c r="J358" s="5"/>
      <c r="K358" s="5"/>
      <c r="L358" s="5" t="s">
        <v>26</v>
      </c>
      <c r="M358" s="5"/>
      <c r="N358" s="5"/>
      <c r="O358" s="7"/>
      <c r="P358" s="7">
        <f t="shared" si="90"/>
        <v>3</v>
      </c>
      <c r="Q358" s="7">
        <f t="shared" si="91"/>
        <v>1</v>
      </c>
      <c r="R358" s="7"/>
      <c r="S358" s="7">
        <f t="shared" si="107"/>
        <v>0</v>
      </c>
      <c r="T358" s="7">
        <f t="shared" si="92"/>
        <v>1</v>
      </c>
      <c r="U358" s="7">
        <f t="shared" si="93"/>
        <v>0</v>
      </c>
      <c r="V358" s="119">
        <f t="shared" si="94"/>
        <v>0</v>
      </c>
      <c r="W358" s="119">
        <f t="shared" si="95"/>
        <v>0</v>
      </c>
      <c r="X358" s="119">
        <f t="shared" si="96"/>
        <v>0</v>
      </c>
      <c r="Y358" s="119">
        <f t="shared" si="97"/>
        <v>1</v>
      </c>
      <c r="Z358" s="119">
        <f t="shared" si="98"/>
        <v>0</v>
      </c>
      <c r="AA358" s="119">
        <f t="shared" si="99"/>
        <v>0</v>
      </c>
      <c r="AB358" s="119">
        <f t="shared" si="100"/>
        <v>0</v>
      </c>
      <c r="AC358" s="119">
        <f t="shared" si="101"/>
        <v>1</v>
      </c>
      <c r="AD358" s="119">
        <f t="shared" si="102"/>
        <v>0</v>
      </c>
      <c r="AE358" s="119">
        <f t="shared" si="103"/>
        <v>0</v>
      </c>
      <c r="AF358" s="7"/>
      <c r="AG358" s="7"/>
      <c r="AH358" s="7">
        <f t="shared" si="104"/>
        <v>3</v>
      </c>
      <c r="AI358" s="7">
        <f t="shared" si="105"/>
        <v>3</v>
      </c>
      <c r="AJ358" s="7" t="str">
        <f t="shared" si="106"/>
        <v>Correct</v>
      </c>
      <c r="AL358" s="120" t="str">
        <f>IFERROR(VLOOKUP(Table1[RespondentID],'All Data'!$A$3:$CO$999,87,FALSE),"unknown")</f>
        <v>Man</v>
      </c>
      <c r="AM358" s="120">
        <f>IFERROR(VLOOKUP(Table1[RespondentID],'All Data'!$A$3:$CO$999,88,FALSE),"unknown")</f>
        <v>0</v>
      </c>
      <c r="AN358" s="120" t="str">
        <f>IFERROR(VLOOKUP(Table1[RespondentID],'All Data'!$A$3:$CO$999,89,FALSE),"unknown")</f>
        <v>Suffolk</v>
      </c>
      <c r="AO358" s="120" t="str">
        <f>IFERROR(VLOOKUP(Table1[RespondentID],'All Data'!$A$3:$CO$999,90,FALSE),"unknown")</f>
        <v>Huntington, 11743</v>
      </c>
      <c r="AP358" s="120" t="str">
        <f>IFERROR(VLOOKUP(Table1[RespondentID],'All Data'!$A$3:$CO$999,91,FALSE),"unknown")</f>
        <v>White</v>
      </c>
      <c r="AQ358" s="120">
        <f>IFERROR(VLOOKUP(Table1[RespondentID],'All Data'!$A$3:$CO$999,92,FALSE),"unknown")</f>
        <v>0</v>
      </c>
      <c r="AR358" s="120" t="str">
        <f>IFERROR(VLOOKUP(Table1[RespondentID],'All Data'!$A$3:$CO$999,93,FALSE),"unknown")</f>
        <v>English</v>
      </c>
      <c r="AS358" s="120" t="str">
        <f>IFERROR(VLOOKUP(Table1[RespondentID],'All Data'!$A$3:$CW$999,94,FALSE),"unknown")</f>
        <v>$75,000 to $125,000</v>
      </c>
      <c r="AT358" s="120" t="str">
        <f>IFERROR(VLOOKUP(Table1[RespondentID],'All Data'!$A$3:$CW$999,95,FALSE),"unknown")</f>
        <v>Some college</v>
      </c>
      <c r="AU358" s="120" t="str">
        <f>IFERROR(VLOOKUP(Table1[RespondentID],'All Data'!$A$3:$CW$999,96,FALSE),"unknown")</f>
        <v>Employed for wages</v>
      </c>
      <c r="AV358" s="120" t="str">
        <f>IFERROR(VLOOKUP(Table1[RespondentID],'All Data'!$A$3:$CW$999,97,FALSE),"unknown")</f>
        <v>Yes</v>
      </c>
      <c r="AW358" s="120">
        <f>IFERROR(VLOOKUP(Table1[RespondentID],'All Data'!$A$3:$CW$999,98,FALSE),"unknown")</f>
        <v>0</v>
      </c>
      <c r="AX358" s="120" t="str">
        <f>IFERROR(VLOOKUP(Table1[RespondentID],'All Data'!$A$3:$CW$999,99,FALSE),"unknown")</f>
        <v>Yes</v>
      </c>
    </row>
    <row r="359" spans="1:50">
      <c r="A359" s="5">
        <v>114106899755</v>
      </c>
      <c r="B359" s="5"/>
      <c r="C359" s="5" t="s">
        <v>17</v>
      </c>
      <c r="D359" s="5"/>
      <c r="E359" s="5"/>
      <c r="F359" s="5"/>
      <c r="G359" s="5"/>
      <c r="H359" s="5"/>
      <c r="I359" s="5"/>
      <c r="J359" s="5"/>
      <c r="K359" s="5" t="s">
        <v>25</v>
      </c>
      <c r="L359" s="5" t="s">
        <v>26</v>
      </c>
      <c r="M359" s="5"/>
      <c r="N359" s="5"/>
      <c r="O359" s="7"/>
      <c r="P359" s="7">
        <f t="shared" si="90"/>
        <v>3</v>
      </c>
      <c r="Q359" s="7">
        <f t="shared" si="91"/>
        <v>1</v>
      </c>
      <c r="R359" s="7"/>
      <c r="S359" s="7">
        <f t="shared" si="107"/>
        <v>0</v>
      </c>
      <c r="T359" s="7">
        <f t="shared" si="92"/>
        <v>1</v>
      </c>
      <c r="U359" s="7">
        <f t="shared" si="93"/>
        <v>0</v>
      </c>
      <c r="V359" s="119">
        <f t="shared" si="94"/>
        <v>0</v>
      </c>
      <c r="W359" s="119">
        <f t="shared" si="95"/>
        <v>0</v>
      </c>
      <c r="X359" s="119">
        <f t="shared" si="96"/>
        <v>0</v>
      </c>
      <c r="Y359" s="119">
        <f t="shared" si="97"/>
        <v>0</v>
      </c>
      <c r="Z359" s="119">
        <f t="shared" si="98"/>
        <v>0</v>
      </c>
      <c r="AA359" s="119">
        <f t="shared" si="99"/>
        <v>0</v>
      </c>
      <c r="AB359" s="119">
        <f t="shared" si="100"/>
        <v>1</v>
      </c>
      <c r="AC359" s="119">
        <f t="shared" si="101"/>
        <v>1</v>
      </c>
      <c r="AD359" s="119">
        <f t="shared" si="102"/>
        <v>0</v>
      </c>
      <c r="AE359" s="119">
        <f t="shared" si="103"/>
        <v>0</v>
      </c>
      <c r="AF359" s="7"/>
      <c r="AG359" s="7"/>
      <c r="AH359" s="7">
        <f t="shared" si="104"/>
        <v>3</v>
      </c>
      <c r="AI359" s="7">
        <f t="shared" si="105"/>
        <v>3</v>
      </c>
      <c r="AJ359" s="7" t="str">
        <f t="shared" si="106"/>
        <v>Correct</v>
      </c>
      <c r="AL359" s="120" t="str">
        <f>IFERROR(VLOOKUP(Table1[RespondentID],'All Data'!$A$3:$CO$999,87,FALSE),"unknown")</f>
        <v>Woman</v>
      </c>
      <c r="AM359" s="120">
        <f>IFERROR(VLOOKUP(Table1[RespondentID],'All Data'!$A$3:$CO$999,88,FALSE),"unknown")</f>
        <v>0</v>
      </c>
      <c r="AN359" s="120" t="str">
        <f>IFERROR(VLOOKUP(Table1[RespondentID],'All Data'!$A$3:$CO$999,89,FALSE),"unknown")</f>
        <v>Suffolk</v>
      </c>
      <c r="AO359" s="120" t="str">
        <f>IFERROR(VLOOKUP(Table1[RespondentID],'All Data'!$A$3:$CO$999,90,FALSE),"unknown")</f>
        <v>Babylon, 11703</v>
      </c>
      <c r="AP359" s="120" t="str">
        <f>IFERROR(VLOOKUP(Table1[RespondentID],'All Data'!$A$3:$CO$999,91,FALSE),"unknown")</f>
        <v>White</v>
      </c>
      <c r="AQ359" s="120" t="str">
        <f>IFERROR(VLOOKUP(Table1[RespondentID],'All Data'!$A$3:$CO$999,92,FALSE),"unknown")</f>
        <v>Not Hispanic or Latino</v>
      </c>
      <c r="AR359" s="120" t="str">
        <f>IFERROR(VLOOKUP(Table1[RespondentID],'All Data'!$A$3:$CO$999,93,FALSE),"unknown")</f>
        <v>English</v>
      </c>
      <c r="AS359" s="120" t="str">
        <f>IFERROR(VLOOKUP(Table1[RespondentID],'All Data'!$A$3:$CW$999,94,FALSE),"unknown")</f>
        <v>$50,000 to $74,999</v>
      </c>
      <c r="AT359" s="120" t="str">
        <f>IFERROR(VLOOKUP(Table1[RespondentID],'All Data'!$A$3:$CW$999,95,FALSE),"unknown")</f>
        <v>College graduate</v>
      </c>
      <c r="AU359" s="120" t="str">
        <f>IFERROR(VLOOKUP(Table1[RespondentID],'All Data'!$A$3:$CW$999,96,FALSE),"unknown")</f>
        <v>Employed for wages</v>
      </c>
      <c r="AV359" s="120" t="str">
        <f>IFERROR(VLOOKUP(Table1[RespondentID],'All Data'!$A$3:$CW$999,97,FALSE),"unknown")</f>
        <v>Yes</v>
      </c>
      <c r="AW359" s="120" t="str">
        <f>IFERROR(VLOOKUP(Table1[RespondentID],'All Data'!$A$3:$CW$999,98,FALSE),"unknown")</f>
        <v>Private/Commercial</v>
      </c>
      <c r="AX359" s="120" t="str">
        <f>IFERROR(VLOOKUP(Table1[RespondentID],'All Data'!$A$3:$CW$999,99,FALSE),"unknown")</f>
        <v>Yes</v>
      </c>
    </row>
    <row r="360" spans="1:50">
      <c r="A360" s="5">
        <v>114106893781</v>
      </c>
      <c r="B360" s="5"/>
      <c r="C360" s="5" t="s">
        <v>17</v>
      </c>
      <c r="D360" s="5" t="s">
        <v>18</v>
      </c>
      <c r="E360" s="5"/>
      <c r="F360" s="5" t="s">
        <v>20</v>
      </c>
      <c r="G360" s="5"/>
      <c r="H360" s="5"/>
      <c r="I360" s="5"/>
      <c r="J360" s="5"/>
      <c r="K360" s="5"/>
      <c r="L360" s="5"/>
      <c r="M360" s="5"/>
      <c r="N360" s="5"/>
      <c r="O360" s="7"/>
      <c r="P360" s="7">
        <f t="shared" si="90"/>
        <v>3</v>
      </c>
      <c r="Q360" s="7">
        <f t="shared" si="91"/>
        <v>1</v>
      </c>
      <c r="R360" s="7"/>
      <c r="S360" s="7">
        <f t="shared" si="107"/>
        <v>0</v>
      </c>
      <c r="T360" s="7">
        <f t="shared" si="92"/>
        <v>1</v>
      </c>
      <c r="U360" s="7">
        <f t="shared" si="93"/>
        <v>1</v>
      </c>
      <c r="V360" s="119">
        <f t="shared" si="94"/>
        <v>0</v>
      </c>
      <c r="W360" s="119">
        <f t="shared" si="95"/>
        <v>1</v>
      </c>
      <c r="X360" s="119">
        <f t="shared" si="96"/>
        <v>0</v>
      </c>
      <c r="Y360" s="119">
        <f t="shared" si="97"/>
        <v>0</v>
      </c>
      <c r="Z360" s="119">
        <f t="shared" si="98"/>
        <v>0</v>
      </c>
      <c r="AA360" s="119">
        <f t="shared" si="99"/>
        <v>0</v>
      </c>
      <c r="AB360" s="119">
        <f t="shared" si="100"/>
        <v>0</v>
      </c>
      <c r="AC360" s="119">
        <f t="shared" si="101"/>
        <v>0</v>
      </c>
      <c r="AD360" s="119">
        <f t="shared" si="102"/>
        <v>0</v>
      </c>
      <c r="AE360" s="119">
        <f t="shared" si="103"/>
        <v>0</v>
      </c>
      <c r="AF360" s="7"/>
      <c r="AG360" s="7"/>
      <c r="AH360" s="7">
        <f t="shared" si="104"/>
        <v>3</v>
      </c>
      <c r="AI360" s="7">
        <f t="shared" si="105"/>
        <v>3</v>
      </c>
      <c r="AJ360" s="7" t="str">
        <f t="shared" si="106"/>
        <v>Correct</v>
      </c>
      <c r="AL360" s="120" t="str">
        <f>IFERROR(VLOOKUP(Table1[RespondentID],'All Data'!$A$3:$CO$999,87,FALSE),"unknown")</f>
        <v>Man</v>
      </c>
      <c r="AM360" s="120">
        <f>IFERROR(VLOOKUP(Table1[RespondentID],'All Data'!$A$3:$CO$999,88,FALSE),"unknown")</f>
        <v>0</v>
      </c>
      <c r="AN360" s="120" t="str">
        <f>IFERROR(VLOOKUP(Table1[RespondentID],'All Data'!$A$3:$CO$999,89,FALSE),"unknown")</f>
        <v>Suffolk</v>
      </c>
      <c r="AO360" s="120" t="str">
        <f>IFERROR(VLOOKUP(Table1[RespondentID],'All Data'!$A$3:$CO$999,90,FALSE),"unknown")</f>
        <v>Babylon, 11703</v>
      </c>
      <c r="AP360" s="120" t="str">
        <f>IFERROR(VLOOKUP(Table1[RespondentID],'All Data'!$A$3:$CO$999,91,FALSE),"unknown")</f>
        <v>White</v>
      </c>
      <c r="AQ360" s="120" t="str">
        <f>IFERROR(VLOOKUP(Table1[RespondentID],'All Data'!$A$3:$CO$999,92,FALSE),"unknown")</f>
        <v>Not Hispanic or Latino</v>
      </c>
      <c r="AR360" s="120" t="str">
        <f>IFERROR(VLOOKUP(Table1[RespondentID],'All Data'!$A$3:$CO$999,93,FALSE),"unknown")</f>
        <v>English</v>
      </c>
      <c r="AS360" s="120" t="str">
        <f>IFERROR(VLOOKUP(Table1[RespondentID],'All Data'!$A$3:$CW$999,94,FALSE),"unknown")</f>
        <v>$50,000 to $74,999</v>
      </c>
      <c r="AT360" s="120" t="str">
        <f>IFERROR(VLOOKUP(Table1[RespondentID],'All Data'!$A$3:$CW$999,95,FALSE),"unknown")</f>
        <v>Some college</v>
      </c>
      <c r="AU360" s="120" t="str">
        <f>IFERROR(VLOOKUP(Table1[RespondentID],'All Data'!$A$3:$CW$999,96,FALSE),"unknown")</f>
        <v>Employed for wages</v>
      </c>
      <c r="AV360" s="120" t="str">
        <f>IFERROR(VLOOKUP(Table1[RespondentID],'All Data'!$A$3:$CW$999,97,FALSE),"unknown")</f>
        <v>Yes</v>
      </c>
      <c r="AW360" s="120" t="str">
        <f>IFERROR(VLOOKUP(Table1[RespondentID],'All Data'!$A$3:$CW$999,98,FALSE),"unknown")</f>
        <v>Private/Commercial</v>
      </c>
      <c r="AX360" s="120" t="str">
        <f>IFERROR(VLOOKUP(Table1[RespondentID],'All Data'!$A$3:$CW$999,99,FALSE),"unknown")</f>
        <v>Yes</v>
      </c>
    </row>
    <row r="361" spans="1:50">
      <c r="A361" s="5">
        <v>114098493520</v>
      </c>
      <c r="B361" s="5"/>
      <c r="C361" s="5" t="s">
        <v>17</v>
      </c>
      <c r="D361" s="5"/>
      <c r="E361" s="5"/>
      <c r="F361" s="5"/>
      <c r="G361" s="5"/>
      <c r="H361" s="5"/>
      <c r="I361" s="5"/>
      <c r="J361" s="5"/>
      <c r="K361" s="5"/>
      <c r="L361" s="5" t="s">
        <v>26</v>
      </c>
      <c r="M361" s="5" t="s">
        <v>27</v>
      </c>
      <c r="N361" s="5"/>
      <c r="O361" s="7"/>
      <c r="P361" s="7">
        <f t="shared" si="90"/>
        <v>3</v>
      </c>
      <c r="Q361" s="7">
        <f t="shared" si="91"/>
        <v>1</v>
      </c>
      <c r="R361" s="7"/>
      <c r="S361" s="7">
        <f t="shared" si="107"/>
        <v>0</v>
      </c>
      <c r="T361" s="7">
        <f t="shared" si="92"/>
        <v>1</v>
      </c>
      <c r="U361" s="7">
        <f t="shared" si="93"/>
        <v>0</v>
      </c>
      <c r="V361" s="119">
        <f t="shared" si="94"/>
        <v>0</v>
      </c>
      <c r="W361" s="119">
        <f t="shared" si="95"/>
        <v>0</v>
      </c>
      <c r="X361" s="119">
        <f t="shared" si="96"/>
        <v>0</v>
      </c>
      <c r="Y361" s="119">
        <f t="shared" si="97"/>
        <v>0</v>
      </c>
      <c r="Z361" s="119">
        <f t="shared" si="98"/>
        <v>0</v>
      </c>
      <c r="AA361" s="119">
        <f t="shared" si="99"/>
        <v>0</v>
      </c>
      <c r="AB361" s="119">
        <f t="shared" si="100"/>
        <v>0</v>
      </c>
      <c r="AC361" s="119">
        <f t="shared" si="101"/>
        <v>1</v>
      </c>
      <c r="AD361" s="119">
        <f t="shared" si="102"/>
        <v>1</v>
      </c>
      <c r="AE361" s="119">
        <f t="shared" si="103"/>
        <v>0</v>
      </c>
      <c r="AF361" s="7"/>
      <c r="AG361" s="7"/>
      <c r="AH361" s="7">
        <f t="shared" si="104"/>
        <v>3</v>
      </c>
      <c r="AI361" s="7">
        <f t="shared" si="105"/>
        <v>3</v>
      </c>
      <c r="AJ361" s="7" t="str">
        <f t="shared" si="106"/>
        <v>Correct</v>
      </c>
      <c r="AL361" s="120" t="str">
        <f>IFERROR(VLOOKUP(Table1[RespondentID],'All Data'!$A$3:$CO$999,87,FALSE),"unknown")</f>
        <v>Woman</v>
      </c>
      <c r="AM361" s="120">
        <f>IFERROR(VLOOKUP(Table1[RespondentID],'All Data'!$A$3:$CO$999,88,FALSE),"unknown")</f>
        <v>0</v>
      </c>
      <c r="AN361" s="120" t="str">
        <f>IFERROR(VLOOKUP(Table1[RespondentID],'All Data'!$A$3:$CO$999,89,FALSE),"unknown")</f>
        <v>Suffolk</v>
      </c>
      <c r="AO361" s="120" t="str">
        <f>IFERROR(VLOOKUP(Table1[RespondentID],'All Data'!$A$3:$CO$999,90,FALSE),"unknown")</f>
        <v>East Islip, 11730</v>
      </c>
      <c r="AP361" s="120" t="str">
        <f>IFERROR(VLOOKUP(Table1[RespondentID],'All Data'!$A$3:$CO$999,91,FALSE),"unknown")</f>
        <v>White</v>
      </c>
      <c r="AQ361" s="120" t="str">
        <f>IFERROR(VLOOKUP(Table1[RespondentID],'All Data'!$A$3:$CO$999,92,FALSE),"unknown")</f>
        <v>Not Hispanic or Latino</v>
      </c>
      <c r="AR361" s="120" t="str">
        <f>IFERROR(VLOOKUP(Table1[RespondentID],'All Data'!$A$3:$CO$999,93,FALSE),"unknown")</f>
        <v>English</v>
      </c>
      <c r="AS361" s="120" t="str">
        <f>IFERROR(VLOOKUP(Table1[RespondentID],'All Data'!$A$3:$CW$999,94,FALSE),"unknown")</f>
        <v>$75,000 to $125,000</v>
      </c>
      <c r="AT361" s="120" t="str">
        <f>IFERROR(VLOOKUP(Table1[RespondentID],'All Data'!$A$3:$CW$999,95,FALSE),"unknown")</f>
        <v>College graduate</v>
      </c>
      <c r="AU361" s="120" t="str">
        <f>IFERROR(VLOOKUP(Table1[RespondentID],'All Data'!$A$3:$CW$999,96,FALSE),"unknown")</f>
        <v>Retired</v>
      </c>
      <c r="AV361" s="120" t="str">
        <f>IFERROR(VLOOKUP(Table1[RespondentID],'All Data'!$A$3:$CW$999,97,FALSE),"unknown")</f>
        <v>Yes</v>
      </c>
      <c r="AW361" s="120" t="str">
        <f>IFERROR(VLOOKUP(Table1[RespondentID],'All Data'!$A$3:$CW$999,98,FALSE),"unknown")</f>
        <v>Medicare,Private/Commercial</v>
      </c>
      <c r="AX361" s="120" t="str">
        <f>IFERROR(VLOOKUP(Table1[RespondentID],'All Data'!$A$3:$CW$999,99,FALSE),"unknown")</f>
        <v>Yes</v>
      </c>
    </row>
    <row r="362" spans="1:50">
      <c r="A362" s="5">
        <v>114098444126</v>
      </c>
      <c r="B362" s="5"/>
      <c r="C362" s="5"/>
      <c r="D362" s="5"/>
      <c r="E362" s="5"/>
      <c r="F362" s="5"/>
      <c r="G362" s="5"/>
      <c r="H362" s="5"/>
      <c r="I362" s="5"/>
      <c r="J362" s="5" t="s">
        <v>24</v>
      </c>
      <c r="K362" s="5" t="s">
        <v>25</v>
      </c>
      <c r="L362" s="5" t="s">
        <v>26</v>
      </c>
      <c r="M362" s="5"/>
      <c r="N362" s="5"/>
      <c r="O362" s="7"/>
      <c r="P362" s="7">
        <f t="shared" si="90"/>
        <v>3</v>
      </c>
      <c r="Q362" s="7">
        <f t="shared" si="91"/>
        <v>1</v>
      </c>
      <c r="R362" s="7"/>
      <c r="S362" s="7">
        <f t="shared" si="107"/>
        <v>0</v>
      </c>
      <c r="T362" s="7">
        <f t="shared" si="92"/>
        <v>0</v>
      </c>
      <c r="U362" s="7">
        <f t="shared" si="93"/>
        <v>0</v>
      </c>
      <c r="V362" s="119">
        <f t="shared" si="94"/>
        <v>0</v>
      </c>
      <c r="W362" s="119">
        <f t="shared" si="95"/>
        <v>0</v>
      </c>
      <c r="X362" s="119">
        <f t="shared" si="96"/>
        <v>0</v>
      </c>
      <c r="Y362" s="119">
        <f t="shared" si="97"/>
        <v>0</v>
      </c>
      <c r="Z362" s="119">
        <f t="shared" si="98"/>
        <v>0</v>
      </c>
      <c r="AA362" s="119">
        <f t="shared" si="99"/>
        <v>1</v>
      </c>
      <c r="AB362" s="119">
        <f t="shared" si="100"/>
        <v>1</v>
      </c>
      <c r="AC362" s="119">
        <f t="shared" si="101"/>
        <v>1</v>
      </c>
      <c r="AD362" s="119">
        <f t="shared" si="102"/>
        <v>0</v>
      </c>
      <c r="AE362" s="119">
        <f t="shared" si="103"/>
        <v>0</v>
      </c>
      <c r="AF362" s="7"/>
      <c r="AG362" s="7"/>
      <c r="AH362" s="7">
        <f t="shared" si="104"/>
        <v>3</v>
      </c>
      <c r="AI362" s="7">
        <f t="shared" si="105"/>
        <v>3</v>
      </c>
      <c r="AJ362" s="7" t="str">
        <f t="shared" si="106"/>
        <v>Correct</v>
      </c>
      <c r="AL362" s="120" t="str">
        <f>IFERROR(VLOOKUP(Table1[RespondentID],'All Data'!$A$3:$CO$999,87,FALSE),"unknown")</f>
        <v>Woman</v>
      </c>
      <c r="AM362" s="120">
        <f>IFERROR(VLOOKUP(Table1[RespondentID],'All Data'!$A$3:$CO$999,88,FALSE),"unknown")</f>
        <v>0</v>
      </c>
      <c r="AN362" s="120" t="str">
        <f>IFERROR(VLOOKUP(Table1[RespondentID],'All Data'!$A$3:$CO$999,89,FALSE),"unknown")</f>
        <v>Nassau</v>
      </c>
      <c r="AO362" s="120" t="str">
        <f>IFERROR(VLOOKUP(Table1[RespondentID],'All Data'!$A$3:$CO$999,90,FALSE),"unknown")</f>
        <v>Massapequa, 11758</v>
      </c>
      <c r="AP362" s="120" t="str">
        <f>IFERROR(VLOOKUP(Table1[RespondentID],'All Data'!$A$3:$CO$999,91,FALSE),"unknown")</f>
        <v>White</v>
      </c>
      <c r="AQ362" s="120" t="str">
        <f>IFERROR(VLOOKUP(Table1[RespondentID],'All Data'!$A$3:$CO$999,92,FALSE),"unknown")</f>
        <v>Not Hispanic or Latino</v>
      </c>
      <c r="AR362" s="120" t="str">
        <f>IFERROR(VLOOKUP(Table1[RespondentID],'All Data'!$A$3:$CO$999,93,FALSE),"unknown")</f>
        <v>English</v>
      </c>
      <c r="AS362" s="120" t="str">
        <f>IFERROR(VLOOKUP(Table1[RespondentID],'All Data'!$A$3:$CW$999,94,FALSE),"unknown")</f>
        <v>Over $125,000</v>
      </c>
      <c r="AT362" s="120" t="str">
        <f>IFERROR(VLOOKUP(Table1[RespondentID],'All Data'!$A$3:$CW$999,95,FALSE),"unknown")</f>
        <v>College graduate</v>
      </c>
      <c r="AU362" s="120" t="str">
        <f>IFERROR(VLOOKUP(Table1[RespondentID],'All Data'!$A$3:$CW$999,96,FALSE),"unknown")</f>
        <v>Employed for wages</v>
      </c>
      <c r="AV362" s="120" t="str">
        <f>IFERROR(VLOOKUP(Table1[RespondentID],'All Data'!$A$3:$CW$999,97,FALSE),"unknown")</f>
        <v>Yes</v>
      </c>
      <c r="AW362" s="120" t="str">
        <f>IFERROR(VLOOKUP(Table1[RespondentID],'All Data'!$A$3:$CW$999,98,FALSE),"unknown")</f>
        <v>Private/Commercial</v>
      </c>
      <c r="AX362" s="120" t="str">
        <f>IFERROR(VLOOKUP(Table1[RespondentID],'All Data'!$A$3:$CW$999,99,FALSE),"unknown")</f>
        <v>Yes</v>
      </c>
    </row>
    <row r="363" spans="1:50">
      <c r="A363" s="5">
        <v>114097859158</v>
      </c>
      <c r="B363" s="5"/>
      <c r="C363" s="5"/>
      <c r="D363" s="5"/>
      <c r="E363" s="5"/>
      <c r="F363" s="5"/>
      <c r="G363" s="5" t="s">
        <v>21</v>
      </c>
      <c r="H363" s="5"/>
      <c r="I363" s="5"/>
      <c r="J363" s="5"/>
      <c r="K363" s="5"/>
      <c r="L363" s="5" t="s">
        <v>26</v>
      </c>
      <c r="M363" s="5"/>
      <c r="N363" s="5" t="s">
        <v>28</v>
      </c>
      <c r="O363" s="7"/>
      <c r="P363" s="7">
        <f t="shared" si="90"/>
        <v>3</v>
      </c>
      <c r="Q363" s="7">
        <f t="shared" si="91"/>
        <v>1</v>
      </c>
      <c r="R363" s="7"/>
      <c r="S363" s="7">
        <f t="shared" si="107"/>
        <v>0</v>
      </c>
      <c r="T363" s="7">
        <f t="shared" si="92"/>
        <v>0</v>
      </c>
      <c r="U363" s="7">
        <f t="shared" si="93"/>
        <v>0</v>
      </c>
      <c r="V363" s="119">
        <f t="shared" si="94"/>
        <v>0</v>
      </c>
      <c r="W363" s="119">
        <f t="shared" si="95"/>
        <v>0</v>
      </c>
      <c r="X363" s="119">
        <f t="shared" si="96"/>
        <v>1</v>
      </c>
      <c r="Y363" s="119">
        <f t="shared" si="97"/>
        <v>0</v>
      </c>
      <c r="Z363" s="119">
        <f t="shared" si="98"/>
        <v>0</v>
      </c>
      <c r="AA363" s="119">
        <f t="shared" si="99"/>
        <v>0</v>
      </c>
      <c r="AB363" s="119">
        <f t="shared" si="100"/>
        <v>0</v>
      </c>
      <c r="AC363" s="119">
        <f t="shared" si="101"/>
        <v>1</v>
      </c>
      <c r="AD363" s="119">
        <f t="shared" si="102"/>
        <v>0</v>
      </c>
      <c r="AE363" s="119">
        <f t="shared" si="103"/>
        <v>1</v>
      </c>
      <c r="AF363" s="7"/>
      <c r="AG363" s="7"/>
      <c r="AH363" s="7">
        <f t="shared" si="104"/>
        <v>3</v>
      </c>
      <c r="AI363" s="7">
        <f t="shared" si="105"/>
        <v>3</v>
      </c>
      <c r="AJ363" s="7" t="str">
        <f t="shared" si="106"/>
        <v>Correct</v>
      </c>
      <c r="AL363" s="120" t="str">
        <f>IFERROR(VLOOKUP(Table1[RespondentID],'All Data'!$A$3:$CO$999,87,FALSE),"unknown")</f>
        <v>Woman</v>
      </c>
      <c r="AM363" s="120">
        <f>IFERROR(VLOOKUP(Table1[RespondentID],'All Data'!$A$3:$CO$999,88,FALSE),"unknown")</f>
        <v>0</v>
      </c>
      <c r="AN363" s="120" t="str">
        <f>IFERROR(VLOOKUP(Table1[RespondentID],'All Data'!$A$3:$CO$999,89,FALSE),"unknown")</f>
        <v>Suffolk</v>
      </c>
      <c r="AO363" s="120" t="str">
        <f>IFERROR(VLOOKUP(Table1[RespondentID],'All Data'!$A$3:$CO$999,90,FALSE),"unknown")</f>
        <v>Lindenhurst, 11757</v>
      </c>
      <c r="AP363" s="120" t="str">
        <f>IFERROR(VLOOKUP(Table1[RespondentID],'All Data'!$A$3:$CO$999,91,FALSE),"unknown")</f>
        <v>White</v>
      </c>
      <c r="AQ363" s="120" t="str">
        <f>IFERROR(VLOOKUP(Table1[RespondentID],'All Data'!$A$3:$CO$999,92,FALSE),"unknown")</f>
        <v>Not Hispanic or Latino</v>
      </c>
      <c r="AR363" s="120" t="str">
        <f>IFERROR(VLOOKUP(Table1[RespondentID],'All Data'!$A$3:$CO$999,93,FALSE),"unknown")</f>
        <v>English</v>
      </c>
      <c r="AS363" s="120">
        <f>IFERROR(VLOOKUP(Table1[RespondentID],'All Data'!$A$3:$CW$999,94,FALSE),"unknown")</f>
        <v>0</v>
      </c>
      <c r="AT363" s="120" t="str">
        <f>IFERROR(VLOOKUP(Table1[RespondentID],'All Data'!$A$3:$CW$999,95,FALSE),"unknown")</f>
        <v>High school graduate</v>
      </c>
      <c r="AU363" s="120" t="str">
        <f>IFERROR(VLOOKUP(Table1[RespondentID],'All Data'!$A$3:$CW$999,96,FALSE),"unknown")</f>
        <v>Retired</v>
      </c>
      <c r="AV363" s="120" t="str">
        <f>IFERROR(VLOOKUP(Table1[RespondentID],'All Data'!$A$3:$CW$999,97,FALSE),"unknown")</f>
        <v>Yes</v>
      </c>
      <c r="AW363" s="120" t="str">
        <f>IFERROR(VLOOKUP(Table1[RespondentID],'All Data'!$A$3:$CW$999,98,FALSE),"unknown")</f>
        <v>Medicare</v>
      </c>
      <c r="AX363" s="120" t="str">
        <f>IFERROR(VLOOKUP(Table1[RespondentID],'All Data'!$A$3:$CW$999,99,FALSE),"unknown")</f>
        <v>Yes</v>
      </c>
    </row>
    <row r="364" spans="1:50">
      <c r="A364" s="5">
        <v>114097590747</v>
      </c>
      <c r="B364" s="5"/>
      <c r="C364" s="5" t="s">
        <v>17</v>
      </c>
      <c r="D364" s="5"/>
      <c r="E364" s="5"/>
      <c r="F364" s="5"/>
      <c r="G364" s="5"/>
      <c r="H364" s="5"/>
      <c r="I364" s="5"/>
      <c r="J364" s="5"/>
      <c r="K364" s="5" t="s">
        <v>25</v>
      </c>
      <c r="L364" s="5" t="s">
        <v>26</v>
      </c>
      <c r="M364" s="5"/>
      <c r="N364" s="5"/>
      <c r="O364" s="7"/>
      <c r="P364" s="7">
        <f t="shared" si="90"/>
        <v>3</v>
      </c>
      <c r="Q364" s="7">
        <f t="shared" si="91"/>
        <v>1</v>
      </c>
      <c r="R364" s="7"/>
      <c r="S364" s="7">
        <f t="shared" si="107"/>
        <v>0</v>
      </c>
      <c r="T364" s="7">
        <f t="shared" si="92"/>
        <v>1</v>
      </c>
      <c r="U364" s="7">
        <f t="shared" si="93"/>
        <v>0</v>
      </c>
      <c r="V364" s="119">
        <f t="shared" si="94"/>
        <v>0</v>
      </c>
      <c r="W364" s="119">
        <f t="shared" si="95"/>
        <v>0</v>
      </c>
      <c r="X364" s="119">
        <f t="shared" si="96"/>
        <v>0</v>
      </c>
      <c r="Y364" s="119">
        <f t="shared" si="97"/>
        <v>0</v>
      </c>
      <c r="Z364" s="119">
        <f t="shared" si="98"/>
        <v>0</v>
      </c>
      <c r="AA364" s="119">
        <f t="shared" si="99"/>
        <v>0</v>
      </c>
      <c r="AB364" s="119">
        <f t="shared" si="100"/>
        <v>1</v>
      </c>
      <c r="AC364" s="119">
        <f t="shared" si="101"/>
        <v>1</v>
      </c>
      <c r="AD364" s="119">
        <f t="shared" si="102"/>
        <v>0</v>
      </c>
      <c r="AE364" s="119">
        <f t="shared" si="103"/>
        <v>0</v>
      </c>
      <c r="AF364" s="7"/>
      <c r="AG364" s="7"/>
      <c r="AH364" s="7">
        <f t="shared" si="104"/>
        <v>3</v>
      </c>
      <c r="AI364" s="7">
        <f t="shared" si="105"/>
        <v>3</v>
      </c>
      <c r="AJ364" s="7" t="str">
        <f t="shared" si="106"/>
        <v>Correct</v>
      </c>
      <c r="AL364" s="120" t="str">
        <f>IFERROR(VLOOKUP(Table1[RespondentID],'All Data'!$A$3:$CO$999,87,FALSE),"unknown")</f>
        <v>Woman</v>
      </c>
      <c r="AM364" s="120">
        <f>IFERROR(VLOOKUP(Table1[RespondentID],'All Data'!$A$3:$CO$999,88,FALSE),"unknown")</f>
        <v>0</v>
      </c>
      <c r="AN364" s="120" t="str">
        <f>IFERROR(VLOOKUP(Table1[RespondentID],'All Data'!$A$3:$CO$999,89,FALSE),"unknown")</f>
        <v>Suffolk</v>
      </c>
      <c r="AO364" s="120" t="str">
        <f>IFERROR(VLOOKUP(Table1[RespondentID],'All Data'!$A$3:$CO$999,90,FALSE),"unknown")</f>
        <v>Bay Shore, 11706</v>
      </c>
      <c r="AP364" s="120" t="str">
        <f>IFERROR(VLOOKUP(Table1[RespondentID],'All Data'!$A$3:$CO$999,91,FALSE),"unknown")</f>
        <v>White</v>
      </c>
      <c r="AQ364" s="120" t="str">
        <f>IFERROR(VLOOKUP(Table1[RespondentID],'All Data'!$A$3:$CO$999,92,FALSE),"unknown")</f>
        <v>Not Hispanic or Latino</v>
      </c>
      <c r="AR364" s="120" t="str">
        <f>IFERROR(VLOOKUP(Table1[RespondentID],'All Data'!$A$3:$CO$999,93,FALSE),"unknown")</f>
        <v>English</v>
      </c>
      <c r="AS364" s="120" t="str">
        <f>IFERROR(VLOOKUP(Table1[RespondentID],'All Data'!$A$3:$CW$999,94,FALSE),"unknown")</f>
        <v>Over $125,000</v>
      </c>
      <c r="AT364" s="120" t="str">
        <f>IFERROR(VLOOKUP(Table1[RespondentID],'All Data'!$A$3:$CW$999,95,FALSE),"unknown")</f>
        <v>College graduate</v>
      </c>
      <c r="AU364" s="120" t="str">
        <f>IFERROR(VLOOKUP(Table1[RespondentID],'All Data'!$A$3:$CW$999,96,FALSE),"unknown")</f>
        <v>Employed for wages</v>
      </c>
      <c r="AV364" s="120" t="str">
        <f>IFERROR(VLOOKUP(Table1[RespondentID],'All Data'!$A$3:$CW$999,97,FALSE),"unknown")</f>
        <v>Yes</v>
      </c>
      <c r="AW364" s="120" t="str">
        <f>IFERROR(VLOOKUP(Table1[RespondentID],'All Data'!$A$3:$CW$999,98,FALSE),"unknown")</f>
        <v>Private/Commercial</v>
      </c>
      <c r="AX364" s="120" t="str">
        <f>IFERROR(VLOOKUP(Table1[RespondentID],'All Data'!$A$3:$CW$999,99,FALSE),"unknown")</f>
        <v>Yes</v>
      </c>
    </row>
    <row r="365" spans="1:50">
      <c r="A365" s="5">
        <v>114097326158</v>
      </c>
      <c r="B365" s="5"/>
      <c r="C365" s="5"/>
      <c r="D365" s="5" t="s">
        <v>18</v>
      </c>
      <c r="E365" s="5"/>
      <c r="F365" s="5"/>
      <c r="G365" s="5"/>
      <c r="H365" s="5" t="s">
        <v>22</v>
      </c>
      <c r="I365" s="5"/>
      <c r="J365" s="5"/>
      <c r="K365" s="5"/>
      <c r="L365" s="5"/>
      <c r="M365" s="5"/>
      <c r="N365" s="5"/>
      <c r="O365" s="7"/>
      <c r="P365" s="7">
        <f t="shared" si="90"/>
        <v>2</v>
      </c>
      <c r="Q365" s="7">
        <f t="shared" si="91"/>
        <v>1.5</v>
      </c>
      <c r="R365" s="7"/>
      <c r="S365" s="7">
        <f t="shared" si="107"/>
        <v>0</v>
      </c>
      <c r="T365" s="7">
        <f t="shared" si="92"/>
        <v>0</v>
      </c>
      <c r="U365" s="7">
        <f t="shared" si="93"/>
        <v>1</v>
      </c>
      <c r="V365" s="119">
        <f t="shared" si="94"/>
        <v>0</v>
      </c>
      <c r="W365" s="119">
        <f t="shared" si="95"/>
        <v>0</v>
      </c>
      <c r="X365" s="119">
        <f t="shared" si="96"/>
        <v>0</v>
      </c>
      <c r="Y365" s="119">
        <f t="shared" si="97"/>
        <v>1</v>
      </c>
      <c r="Z365" s="119">
        <f t="shared" si="98"/>
        <v>0</v>
      </c>
      <c r="AA365" s="119">
        <f t="shared" si="99"/>
        <v>0</v>
      </c>
      <c r="AB365" s="119">
        <f t="shared" si="100"/>
        <v>0</v>
      </c>
      <c r="AC365" s="119">
        <f t="shared" si="101"/>
        <v>0</v>
      </c>
      <c r="AD365" s="119">
        <f t="shared" si="102"/>
        <v>0</v>
      </c>
      <c r="AE365" s="119">
        <f t="shared" si="103"/>
        <v>0</v>
      </c>
      <c r="AF365" s="7"/>
      <c r="AG365" s="7"/>
      <c r="AH365" s="7">
        <f t="shared" si="104"/>
        <v>2</v>
      </c>
      <c r="AI365" s="7">
        <f t="shared" si="105"/>
        <v>2</v>
      </c>
      <c r="AJ365" s="7" t="str">
        <f t="shared" si="106"/>
        <v>Correct</v>
      </c>
      <c r="AL365" s="120" t="str">
        <f>IFERROR(VLOOKUP(Table1[RespondentID],'All Data'!$A$3:$CO$999,87,FALSE),"unknown")</f>
        <v>Woman</v>
      </c>
      <c r="AM365" s="120">
        <f>IFERROR(VLOOKUP(Table1[RespondentID],'All Data'!$A$3:$CO$999,88,FALSE),"unknown")</f>
        <v>0</v>
      </c>
      <c r="AN365" s="120" t="str">
        <f>IFERROR(VLOOKUP(Table1[RespondentID],'All Data'!$A$3:$CO$999,89,FALSE),"unknown")</f>
        <v>Nassau</v>
      </c>
      <c r="AO365" s="120" t="str">
        <f>IFERROR(VLOOKUP(Table1[RespondentID],'All Data'!$A$3:$CO$999,90,FALSE),"unknown")</f>
        <v>Alden Manor, 11003</v>
      </c>
      <c r="AP365" s="120" t="str">
        <f>IFERROR(VLOOKUP(Table1[RespondentID],'All Data'!$A$3:$CO$999,91,FALSE),"unknown")</f>
        <v>American Indian and Alaska Native</v>
      </c>
      <c r="AQ365" s="120" t="str">
        <f>IFERROR(VLOOKUP(Table1[RespondentID],'All Data'!$A$3:$CO$999,92,FALSE),"unknown")</f>
        <v>Not Hispanic or Latino</v>
      </c>
      <c r="AR365" s="120" t="str">
        <f>IFERROR(VLOOKUP(Table1[RespondentID],'All Data'!$A$3:$CO$999,93,FALSE),"unknown")</f>
        <v>English</v>
      </c>
      <c r="AS365" s="120" t="str">
        <f>IFERROR(VLOOKUP(Table1[RespondentID],'All Data'!$A$3:$CW$999,94,FALSE),"unknown")</f>
        <v>$75,000 to $125,000</v>
      </c>
      <c r="AT365" s="120" t="str">
        <f>IFERROR(VLOOKUP(Table1[RespondentID],'All Data'!$A$3:$CW$999,95,FALSE),"unknown")</f>
        <v>Technical school</v>
      </c>
      <c r="AU365" s="120" t="str">
        <f>IFERROR(VLOOKUP(Table1[RespondentID],'All Data'!$A$3:$CW$999,96,FALSE),"unknown")</f>
        <v>Employed for wages</v>
      </c>
      <c r="AV365" s="120">
        <f>IFERROR(VLOOKUP(Table1[RespondentID],'All Data'!$A$3:$CW$999,97,FALSE),"unknown")</f>
        <v>0</v>
      </c>
      <c r="AW365" s="120" t="str">
        <f>IFERROR(VLOOKUP(Table1[RespondentID],'All Data'!$A$3:$CW$999,98,FALSE),"unknown")</f>
        <v>Medicaid</v>
      </c>
      <c r="AX365" s="120" t="str">
        <f>IFERROR(VLOOKUP(Table1[RespondentID],'All Data'!$A$3:$CW$999,99,FALSE),"unknown")</f>
        <v>Yes</v>
      </c>
    </row>
    <row r="366" spans="1:50">
      <c r="A366" s="5">
        <v>114097224144</v>
      </c>
      <c r="B366" s="5"/>
      <c r="C366" s="5" t="s">
        <v>17</v>
      </c>
      <c r="D366" s="5" t="s">
        <v>18</v>
      </c>
      <c r="E366" s="5"/>
      <c r="F366" s="5"/>
      <c r="G366" s="5"/>
      <c r="H366" s="5"/>
      <c r="I366" s="5"/>
      <c r="J366" s="5"/>
      <c r="K366" s="5"/>
      <c r="L366" s="5" t="s">
        <v>26</v>
      </c>
      <c r="M366" s="5"/>
      <c r="N366" s="5"/>
      <c r="O366" s="7"/>
      <c r="P366" s="7">
        <f t="shared" si="90"/>
        <v>3</v>
      </c>
      <c r="Q366" s="7">
        <f t="shared" si="91"/>
        <v>1</v>
      </c>
      <c r="R366" s="7"/>
      <c r="S366" s="7">
        <f t="shared" si="107"/>
        <v>0</v>
      </c>
      <c r="T366" s="7">
        <f t="shared" si="92"/>
        <v>1</v>
      </c>
      <c r="U366" s="7">
        <f t="shared" si="93"/>
        <v>1</v>
      </c>
      <c r="V366" s="119">
        <f t="shared" si="94"/>
        <v>0</v>
      </c>
      <c r="W366" s="119">
        <f t="shared" si="95"/>
        <v>0</v>
      </c>
      <c r="X366" s="119">
        <f t="shared" si="96"/>
        <v>0</v>
      </c>
      <c r="Y366" s="119">
        <f t="shared" si="97"/>
        <v>0</v>
      </c>
      <c r="Z366" s="119">
        <f t="shared" si="98"/>
        <v>0</v>
      </c>
      <c r="AA366" s="119">
        <f t="shared" si="99"/>
        <v>0</v>
      </c>
      <c r="AB366" s="119">
        <f t="shared" si="100"/>
        <v>0</v>
      </c>
      <c r="AC366" s="119">
        <f t="shared" si="101"/>
        <v>1</v>
      </c>
      <c r="AD366" s="119">
        <f t="shared" si="102"/>
        <v>0</v>
      </c>
      <c r="AE366" s="119">
        <f t="shared" si="103"/>
        <v>0</v>
      </c>
      <c r="AF366" s="7"/>
      <c r="AG366" s="7"/>
      <c r="AH366" s="7">
        <f t="shared" si="104"/>
        <v>3</v>
      </c>
      <c r="AI366" s="7">
        <f t="shared" si="105"/>
        <v>3</v>
      </c>
      <c r="AJ366" s="7" t="str">
        <f t="shared" si="106"/>
        <v>Correct</v>
      </c>
      <c r="AL366" s="120" t="str">
        <f>IFERROR(VLOOKUP(Table1[RespondentID],'All Data'!$A$3:$CO$999,87,FALSE),"unknown")</f>
        <v>Woman</v>
      </c>
      <c r="AM366" s="120">
        <f>IFERROR(VLOOKUP(Table1[RespondentID],'All Data'!$A$3:$CO$999,88,FALSE),"unknown")</f>
        <v>0</v>
      </c>
      <c r="AN366" s="120" t="str">
        <f>IFERROR(VLOOKUP(Table1[RespondentID],'All Data'!$A$3:$CO$999,89,FALSE),"unknown")</f>
        <v>Suffolk</v>
      </c>
      <c r="AO366" s="120" t="str">
        <f>IFERROR(VLOOKUP(Table1[RespondentID],'All Data'!$A$3:$CO$999,90,FALSE),"unknown")</f>
        <v>West Islip, 11795</v>
      </c>
      <c r="AP366" s="120" t="str">
        <f>IFERROR(VLOOKUP(Table1[RespondentID],'All Data'!$A$3:$CO$999,91,FALSE),"unknown")</f>
        <v>White</v>
      </c>
      <c r="AQ366" s="120" t="str">
        <f>IFERROR(VLOOKUP(Table1[RespondentID],'All Data'!$A$3:$CO$999,92,FALSE),"unknown")</f>
        <v>Not Hispanic or Latino</v>
      </c>
      <c r="AR366" s="120" t="str">
        <f>IFERROR(VLOOKUP(Table1[RespondentID],'All Data'!$A$3:$CO$999,93,FALSE),"unknown")</f>
        <v>English</v>
      </c>
      <c r="AS366" s="120" t="str">
        <f>IFERROR(VLOOKUP(Table1[RespondentID],'All Data'!$A$3:$CW$999,94,FALSE),"unknown")</f>
        <v>$75,000 to $125,000</v>
      </c>
      <c r="AT366" s="120" t="str">
        <f>IFERROR(VLOOKUP(Table1[RespondentID],'All Data'!$A$3:$CW$999,95,FALSE),"unknown")</f>
        <v>High school graduate</v>
      </c>
      <c r="AU366" s="120" t="str">
        <f>IFERROR(VLOOKUP(Table1[RespondentID],'All Data'!$A$3:$CW$999,96,FALSE),"unknown")</f>
        <v>Retired</v>
      </c>
      <c r="AV366" s="120" t="str">
        <f>IFERROR(VLOOKUP(Table1[RespondentID],'All Data'!$A$3:$CW$999,97,FALSE),"unknown")</f>
        <v>Yes</v>
      </c>
      <c r="AW366" s="120" t="str">
        <f>IFERROR(VLOOKUP(Table1[RespondentID],'All Data'!$A$3:$CW$999,98,FALSE),"unknown")</f>
        <v>Medicare,Private/Commercial</v>
      </c>
      <c r="AX366" s="120" t="str">
        <f>IFERROR(VLOOKUP(Table1[RespondentID],'All Data'!$A$3:$CW$999,99,FALSE),"unknown")</f>
        <v>Yes</v>
      </c>
    </row>
    <row r="367" spans="1:50">
      <c r="A367" s="5">
        <v>114097096005</v>
      </c>
      <c r="B367" s="5"/>
      <c r="C367" s="5" t="s">
        <v>17</v>
      </c>
      <c r="D367" s="5"/>
      <c r="E367" s="5"/>
      <c r="F367" s="5"/>
      <c r="G367" s="5" t="s">
        <v>21</v>
      </c>
      <c r="H367" s="5"/>
      <c r="I367" s="5"/>
      <c r="J367" s="5"/>
      <c r="K367" s="5"/>
      <c r="L367" s="5"/>
      <c r="M367" s="5"/>
      <c r="N367" s="5" t="s">
        <v>28</v>
      </c>
      <c r="O367" s="7"/>
      <c r="P367" s="7">
        <f t="shared" si="90"/>
        <v>3</v>
      </c>
      <c r="Q367" s="7">
        <f t="shared" si="91"/>
        <v>1</v>
      </c>
      <c r="R367" s="7"/>
      <c r="S367" s="7">
        <f t="shared" si="107"/>
        <v>0</v>
      </c>
      <c r="T367" s="7">
        <f t="shared" si="92"/>
        <v>1</v>
      </c>
      <c r="U367" s="7">
        <f t="shared" si="93"/>
        <v>0</v>
      </c>
      <c r="V367" s="119">
        <f t="shared" si="94"/>
        <v>0</v>
      </c>
      <c r="W367" s="119">
        <f t="shared" si="95"/>
        <v>0</v>
      </c>
      <c r="X367" s="119">
        <f t="shared" si="96"/>
        <v>1</v>
      </c>
      <c r="Y367" s="119">
        <f t="shared" si="97"/>
        <v>0</v>
      </c>
      <c r="Z367" s="119">
        <f t="shared" si="98"/>
        <v>0</v>
      </c>
      <c r="AA367" s="119">
        <f t="shared" si="99"/>
        <v>0</v>
      </c>
      <c r="AB367" s="119">
        <f t="shared" si="100"/>
        <v>0</v>
      </c>
      <c r="AC367" s="119">
        <f t="shared" si="101"/>
        <v>0</v>
      </c>
      <c r="AD367" s="119">
        <f t="shared" si="102"/>
        <v>0</v>
      </c>
      <c r="AE367" s="119">
        <f t="shared" si="103"/>
        <v>1</v>
      </c>
      <c r="AF367" s="7"/>
      <c r="AG367" s="7"/>
      <c r="AH367" s="7">
        <f t="shared" si="104"/>
        <v>3</v>
      </c>
      <c r="AI367" s="7">
        <f t="shared" si="105"/>
        <v>3</v>
      </c>
      <c r="AJ367" s="7" t="str">
        <f t="shared" si="106"/>
        <v>Correct</v>
      </c>
      <c r="AL367" s="120" t="str">
        <f>IFERROR(VLOOKUP(Table1[RespondentID],'All Data'!$A$3:$CO$999,87,FALSE),"unknown")</f>
        <v>Man</v>
      </c>
      <c r="AM367" s="120">
        <f>IFERROR(VLOOKUP(Table1[RespondentID],'All Data'!$A$3:$CO$999,88,FALSE),"unknown")</f>
        <v>0</v>
      </c>
      <c r="AN367" s="120" t="str">
        <f>IFERROR(VLOOKUP(Table1[RespondentID],'All Data'!$A$3:$CO$999,89,FALSE),"unknown")</f>
        <v>Suffolk</v>
      </c>
      <c r="AO367" s="120" t="str">
        <f>IFERROR(VLOOKUP(Table1[RespondentID],'All Data'!$A$3:$CO$999,90,FALSE),"unknown")</f>
        <v>Lindenhurst, 11757</v>
      </c>
      <c r="AP367" s="120" t="str">
        <f>IFERROR(VLOOKUP(Table1[RespondentID],'All Data'!$A$3:$CO$999,91,FALSE),"unknown")</f>
        <v>White</v>
      </c>
      <c r="AQ367" s="120" t="str">
        <f>IFERROR(VLOOKUP(Table1[RespondentID],'All Data'!$A$3:$CO$999,92,FALSE),"unknown")</f>
        <v>Not Hispanic or Latino</v>
      </c>
      <c r="AR367" s="120" t="str">
        <f>IFERROR(VLOOKUP(Table1[RespondentID],'All Data'!$A$3:$CO$999,93,FALSE),"unknown")</f>
        <v>English</v>
      </c>
      <c r="AS367" s="120" t="str">
        <f>IFERROR(VLOOKUP(Table1[RespondentID],'All Data'!$A$3:$CW$999,94,FALSE),"unknown")</f>
        <v>Over $125,000</v>
      </c>
      <c r="AT367" s="120" t="str">
        <f>IFERROR(VLOOKUP(Table1[RespondentID],'All Data'!$A$3:$CW$999,95,FALSE),"unknown")</f>
        <v>College graduate</v>
      </c>
      <c r="AU367" s="120" t="str">
        <f>IFERROR(VLOOKUP(Table1[RespondentID],'All Data'!$A$3:$CW$999,96,FALSE),"unknown")</f>
        <v>Retired</v>
      </c>
      <c r="AV367" s="120" t="str">
        <f>IFERROR(VLOOKUP(Table1[RespondentID],'All Data'!$A$3:$CW$999,97,FALSE),"unknown")</f>
        <v>Yes</v>
      </c>
      <c r="AW367" s="120" t="str">
        <f>IFERROR(VLOOKUP(Table1[RespondentID],'All Data'!$A$3:$CW$999,98,FALSE),"unknown")</f>
        <v>Medicare,Private/Commercial</v>
      </c>
      <c r="AX367" s="120" t="str">
        <f>IFERROR(VLOOKUP(Table1[RespondentID],'All Data'!$A$3:$CW$999,99,FALSE),"unknown")</f>
        <v>Yes</v>
      </c>
    </row>
    <row r="368" spans="1:50">
      <c r="A368" s="5">
        <v>114097086259</v>
      </c>
      <c r="B368" s="5"/>
      <c r="C368" s="5" t="s">
        <v>17</v>
      </c>
      <c r="D368" s="5" t="s">
        <v>18</v>
      </c>
      <c r="E368" s="5"/>
      <c r="F368" s="5"/>
      <c r="G368" s="5"/>
      <c r="H368" s="5"/>
      <c r="I368" s="5" t="s">
        <v>23</v>
      </c>
      <c r="J368" s="5"/>
      <c r="K368" s="5"/>
      <c r="L368" s="5"/>
      <c r="M368" s="5"/>
      <c r="N368" s="5"/>
      <c r="O368" s="7"/>
      <c r="P368" s="7">
        <f t="shared" si="90"/>
        <v>3</v>
      </c>
      <c r="Q368" s="7">
        <f t="shared" si="91"/>
        <v>1</v>
      </c>
      <c r="R368" s="7"/>
      <c r="S368" s="7">
        <f t="shared" si="107"/>
        <v>0</v>
      </c>
      <c r="T368" s="7">
        <f t="shared" si="92"/>
        <v>1</v>
      </c>
      <c r="U368" s="7">
        <f t="shared" si="93"/>
        <v>1</v>
      </c>
      <c r="V368" s="119">
        <f t="shared" si="94"/>
        <v>0</v>
      </c>
      <c r="W368" s="119">
        <f t="shared" si="95"/>
        <v>0</v>
      </c>
      <c r="X368" s="119">
        <f t="shared" si="96"/>
        <v>0</v>
      </c>
      <c r="Y368" s="119">
        <f t="shared" si="97"/>
        <v>0</v>
      </c>
      <c r="Z368" s="119">
        <f t="shared" si="98"/>
        <v>1</v>
      </c>
      <c r="AA368" s="119">
        <f t="shared" si="99"/>
        <v>0</v>
      </c>
      <c r="AB368" s="119">
        <f t="shared" si="100"/>
        <v>0</v>
      </c>
      <c r="AC368" s="119">
        <f t="shared" si="101"/>
        <v>0</v>
      </c>
      <c r="AD368" s="119">
        <f t="shared" si="102"/>
        <v>0</v>
      </c>
      <c r="AE368" s="119">
        <f t="shared" si="103"/>
        <v>0</v>
      </c>
      <c r="AF368" s="7"/>
      <c r="AG368" s="7"/>
      <c r="AH368" s="7">
        <f t="shared" si="104"/>
        <v>3</v>
      </c>
      <c r="AI368" s="7">
        <f t="shared" si="105"/>
        <v>3</v>
      </c>
      <c r="AJ368" s="7" t="str">
        <f t="shared" si="106"/>
        <v>Correct</v>
      </c>
      <c r="AL368" s="120" t="str">
        <f>IFERROR(VLOOKUP(Table1[RespondentID],'All Data'!$A$3:$CO$999,87,FALSE),"unknown")</f>
        <v>Woman</v>
      </c>
      <c r="AM368" s="120">
        <f>IFERROR(VLOOKUP(Table1[RespondentID],'All Data'!$A$3:$CO$999,88,FALSE),"unknown")</f>
        <v>0</v>
      </c>
      <c r="AN368" s="120" t="str">
        <f>IFERROR(VLOOKUP(Table1[RespondentID],'All Data'!$A$3:$CO$999,89,FALSE),"unknown")</f>
        <v>Nassau</v>
      </c>
      <c r="AO368" s="120" t="str">
        <f>IFERROR(VLOOKUP(Table1[RespondentID],'All Data'!$A$3:$CO$999,90,FALSE),"unknown")</f>
        <v>Farmingdale, 11735</v>
      </c>
      <c r="AP368" s="120" t="str">
        <f>IFERROR(VLOOKUP(Table1[RespondentID],'All Data'!$A$3:$CO$999,91,FALSE),"unknown")</f>
        <v>White</v>
      </c>
      <c r="AQ368" s="120" t="str">
        <f>IFERROR(VLOOKUP(Table1[RespondentID],'All Data'!$A$3:$CO$999,92,FALSE),"unknown")</f>
        <v>Not Hispanic or Latino</v>
      </c>
      <c r="AR368" s="120" t="str">
        <f>IFERROR(VLOOKUP(Table1[RespondentID],'All Data'!$A$3:$CO$999,93,FALSE),"unknown")</f>
        <v>English</v>
      </c>
      <c r="AS368" s="120" t="str">
        <f>IFERROR(VLOOKUP(Table1[RespondentID],'All Data'!$A$3:$CW$999,94,FALSE),"unknown")</f>
        <v>$50,000 to $74,999</v>
      </c>
      <c r="AT368" s="120" t="str">
        <f>IFERROR(VLOOKUP(Table1[RespondentID],'All Data'!$A$3:$CW$999,95,FALSE),"unknown")</f>
        <v>Some college</v>
      </c>
      <c r="AU368" s="120" t="str">
        <f>IFERROR(VLOOKUP(Table1[RespondentID],'All Data'!$A$3:$CW$999,96,FALSE),"unknown")</f>
        <v>Employed for wages</v>
      </c>
      <c r="AV368" s="120" t="str">
        <f>IFERROR(VLOOKUP(Table1[RespondentID],'All Data'!$A$3:$CW$999,97,FALSE),"unknown")</f>
        <v>Yes</v>
      </c>
      <c r="AW368" s="120" t="str">
        <f>IFERROR(VLOOKUP(Table1[RespondentID],'All Data'!$A$3:$CW$999,98,FALSE),"unknown")</f>
        <v>Medicare,Private/Commercial</v>
      </c>
      <c r="AX368" s="120" t="str">
        <f>IFERROR(VLOOKUP(Table1[RespondentID],'All Data'!$A$3:$CW$999,99,FALSE),"unknown")</f>
        <v>Yes</v>
      </c>
    </row>
    <row r="369" spans="1:50">
      <c r="A369" s="5">
        <v>114096895942</v>
      </c>
      <c r="B369" s="5"/>
      <c r="C369" s="5"/>
      <c r="D369" s="5"/>
      <c r="E369" s="5" t="s">
        <v>19</v>
      </c>
      <c r="F369" s="5"/>
      <c r="G369" s="5"/>
      <c r="H369" s="5"/>
      <c r="I369" s="5"/>
      <c r="J369" s="5"/>
      <c r="K369" s="5" t="s">
        <v>25</v>
      </c>
      <c r="L369" s="5" t="s">
        <v>26</v>
      </c>
      <c r="M369" s="5"/>
      <c r="N369" s="5"/>
      <c r="O369" s="7"/>
      <c r="P369" s="7">
        <f t="shared" si="90"/>
        <v>3</v>
      </c>
      <c r="Q369" s="7">
        <f t="shared" si="91"/>
        <v>1</v>
      </c>
      <c r="R369" s="7"/>
      <c r="S369" s="7">
        <f t="shared" si="107"/>
        <v>0</v>
      </c>
      <c r="T369" s="7">
        <f t="shared" si="92"/>
        <v>0</v>
      </c>
      <c r="U369" s="7">
        <f t="shared" si="93"/>
        <v>0</v>
      </c>
      <c r="V369" s="119">
        <f t="shared" si="94"/>
        <v>1</v>
      </c>
      <c r="W369" s="119">
        <f t="shared" si="95"/>
        <v>0</v>
      </c>
      <c r="X369" s="119">
        <f t="shared" si="96"/>
        <v>0</v>
      </c>
      <c r="Y369" s="119">
        <f t="shared" si="97"/>
        <v>0</v>
      </c>
      <c r="Z369" s="119">
        <f t="shared" si="98"/>
        <v>0</v>
      </c>
      <c r="AA369" s="119">
        <f t="shared" si="99"/>
        <v>0</v>
      </c>
      <c r="AB369" s="119">
        <f t="shared" si="100"/>
        <v>1</v>
      </c>
      <c r="AC369" s="119">
        <f t="shared" si="101"/>
        <v>1</v>
      </c>
      <c r="AD369" s="119">
        <f t="shared" si="102"/>
        <v>0</v>
      </c>
      <c r="AE369" s="119">
        <f t="shared" si="103"/>
        <v>0</v>
      </c>
      <c r="AF369" s="7"/>
      <c r="AG369" s="7"/>
      <c r="AH369" s="7">
        <f t="shared" si="104"/>
        <v>3</v>
      </c>
      <c r="AI369" s="7">
        <f t="shared" si="105"/>
        <v>3</v>
      </c>
      <c r="AJ369" s="7" t="str">
        <f t="shared" si="106"/>
        <v>Correct</v>
      </c>
      <c r="AL369" s="120" t="str">
        <f>IFERROR(VLOOKUP(Table1[RespondentID],'All Data'!$A$3:$CO$999,87,FALSE),"unknown")</f>
        <v>Woman</v>
      </c>
      <c r="AM369" s="120">
        <f>IFERROR(VLOOKUP(Table1[RespondentID],'All Data'!$A$3:$CO$999,88,FALSE),"unknown")</f>
        <v>0</v>
      </c>
      <c r="AN369" s="120" t="str">
        <f>IFERROR(VLOOKUP(Table1[RespondentID],'All Data'!$A$3:$CO$999,89,FALSE),"unknown")</f>
        <v>Suffolk</v>
      </c>
      <c r="AO369" s="120" t="str">
        <f>IFERROR(VLOOKUP(Table1[RespondentID],'All Data'!$A$3:$CO$999,90,FALSE),"unknown")</f>
        <v>North Babylon, 11703</v>
      </c>
      <c r="AP369" s="120" t="str">
        <f>IFERROR(VLOOKUP(Table1[RespondentID],'All Data'!$A$3:$CO$999,91,FALSE),"unknown")</f>
        <v>White</v>
      </c>
      <c r="AQ369" s="120" t="str">
        <f>IFERROR(VLOOKUP(Table1[RespondentID],'All Data'!$A$3:$CO$999,92,FALSE),"unknown")</f>
        <v>Not Hispanic or Latino</v>
      </c>
      <c r="AR369" s="120" t="str">
        <f>IFERROR(VLOOKUP(Table1[RespondentID],'All Data'!$A$3:$CO$999,93,FALSE),"unknown")</f>
        <v>English</v>
      </c>
      <c r="AS369" s="120" t="str">
        <f>IFERROR(VLOOKUP(Table1[RespondentID],'All Data'!$A$3:$CW$999,94,FALSE),"unknown")</f>
        <v>$35,000 to $49,999</v>
      </c>
      <c r="AT369" s="120" t="str">
        <f>IFERROR(VLOOKUP(Table1[RespondentID],'All Data'!$A$3:$CW$999,95,FALSE),"unknown")</f>
        <v>Some college</v>
      </c>
      <c r="AU369" s="120" t="str">
        <f>IFERROR(VLOOKUP(Table1[RespondentID],'All Data'!$A$3:$CW$999,96,FALSE),"unknown")</f>
        <v>Employed for wages</v>
      </c>
      <c r="AV369" s="120" t="str">
        <f>IFERROR(VLOOKUP(Table1[RespondentID],'All Data'!$A$3:$CW$999,97,FALSE),"unknown")</f>
        <v>Yes</v>
      </c>
      <c r="AW369" s="120" t="str">
        <f>IFERROR(VLOOKUP(Table1[RespondentID],'All Data'!$A$3:$CW$999,98,FALSE),"unknown")</f>
        <v>Private/Commercial</v>
      </c>
      <c r="AX369" s="120" t="str">
        <f>IFERROR(VLOOKUP(Table1[RespondentID],'All Data'!$A$3:$CW$999,99,FALSE),"unknown")</f>
        <v>Yes</v>
      </c>
    </row>
    <row r="370" spans="1:50">
      <c r="A370" s="5">
        <v>114096869874</v>
      </c>
      <c r="B370" s="5"/>
      <c r="C370" s="5" t="s">
        <v>17</v>
      </c>
      <c r="D370" s="5" t="s">
        <v>18</v>
      </c>
      <c r="E370" s="5"/>
      <c r="F370" s="5"/>
      <c r="G370" s="5"/>
      <c r="H370" s="5"/>
      <c r="I370" s="5"/>
      <c r="J370" s="5"/>
      <c r="K370" s="5"/>
      <c r="L370" s="5" t="s">
        <v>26</v>
      </c>
      <c r="M370" s="5"/>
      <c r="N370" s="5"/>
      <c r="O370" s="7"/>
      <c r="P370" s="7">
        <f t="shared" si="90"/>
        <v>3</v>
      </c>
      <c r="Q370" s="7">
        <f t="shared" si="91"/>
        <v>1</v>
      </c>
      <c r="R370" s="7"/>
      <c r="S370" s="7">
        <f t="shared" si="107"/>
        <v>0</v>
      </c>
      <c r="T370" s="7">
        <f t="shared" si="92"/>
        <v>1</v>
      </c>
      <c r="U370" s="7">
        <f t="shared" si="93"/>
        <v>1</v>
      </c>
      <c r="V370" s="119">
        <f t="shared" si="94"/>
        <v>0</v>
      </c>
      <c r="W370" s="119">
        <f t="shared" si="95"/>
        <v>0</v>
      </c>
      <c r="X370" s="119">
        <f t="shared" si="96"/>
        <v>0</v>
      </c>
      <c r="Y370" s="119">
        <f t="shared" si="97"/>
        <v>0</v>
      </c>
      <c r="Z370" s="119">
        <f t="shared" si="98"/>
        <v>0</v>
      </c>
      <c r="AA370" s="119">
        <f t="shared" si="99"/>
        <v>0</v>
      </c>
      <c r="AB370" s="119">
        <f t="shared" si="100"/>
        <v>0</v>
      </c>
      <c r="AC370" s="119">
        <f t="shared" si="101"/>
        <v>1</v>
      </c>
      <c r="AD370" s="119">
        <f t="shared" si="102"/>
        <v>0</v>
      </c>
      <c r="AE370" s="119">
        <f t="shared" si="103"/>
        <v>0</v>
      </c>
      <c r="AF370" s="7"/>
      <c r="AG370" s="7"/>
      <c r="AH370" s="7">
        <f t="shared" si="104"/>
        <v>3</v>
      </c>
      <c r="AI370" s="7">
        <f t="shared" si="105"/>
        <v>3</v>
      </c>
      <c r="AJ370" s="7" t="str">
        <f t="shared" si="106"/>
        <v>Correct</v>
      </c>
      <c r="AL370" s="120" t="str">
        <f>IFERROR(VLOOKUP(Table1[RespondentID],'All Data'!$A$3:$CO$999,87,FALSE),"unknown")</f>
        <v>Woman</v>
      </c>
      <c r="AM370" s="120">
        <f>IFERROR(VLOOKUP(Table1[RespondentID],'All Data'!$A$3:$CO$999,88,FALSE),"unknown")</f>
        <v>0</v>
      </c>
      <c r="AN370" s="120" t="str">
        <f>IFERROR(VLOOKUP(Table1[RespondentID],'All Data'!$A$3:$CO$999,89,FALSE),"unknown")</f>
        <v>Nassau</v>
      </c>
      <c r="AO370" s="120" t="str">
        <f>IFERROR(VLOOKUP(Table1[RespondentID],'All Data'!$A$3:$CO$999,90,FALSE),"unknown")</f>
        <v>Bellmore, 11710</v>
      </c>
      <c r="AP370" s="120" t="str">
        <f>IFERROR(VLOOKUP(Table1[RespondentID],'All Data'!$A$3:$CO$999,91,FALSE),"unknown")</f>
        <v>White</v>
      </c>
      <c r="AQ370" s="120" t="str">
        <f>IFERROR(VLOOKUP(Table1[RespondentID],'All Data'!$A$3:$CO$999,92,FALSE),"unknown")</f>
        <v>Not Hispanic or Latino</v>
      </c>
      <c r="AR370" s="120" t="str">
        <f>IFERROR(VLOOKUP(Table1[RespondentID],'All Data'!$A$3:$CO$999,93,FALSE),"unknown")</f>
        <v>English</v>
      </c>
      <c r="AS370" s="120" t="str">
        <f>IFERROR(VLOOKUP(Table1[RespondentID],'All Data'!$A$3:$CW$999,94,FALSE),"unknown")</f>
        <v>Over $125,000</v>
      </c>
      <c r="AT370" s="120" t="str">
        <f>IFERROR(VLOOKUP(Table1[RespondentID],'All Data'!$A$3:$CW$999,95,FALSE),"unknown")</f>
        <v>College graduate</v>
      </c>
      <c r="AU370" s="120" t="str">
        <f>IFERROR(VLOOKUP(Table1[RespondentID],'All Data'!$A$3:$CW$999,96,FALSE),"unknown")</f>
        <v>Employed for wages</v>
      </c>
      <c r="AV370" s="120" t="str">
        <f>IFERROR(VLOOKUP(Table1[RespondentID],'All Data'!$A$3:$CW$999,97,FALSE),"unknown")</f>
        <v>Yes</v>
      </c>
      <c r="AW370" s="120" t="str">
        <f>IFERROR(VLOOKUP(Table1[RespondentID],'All Data'!$A$3:$CW$999,98,FALSE),"unknown")</f>
        <v>Private/Commercial</v>
      </c>
      <c r="AX370" s="120" t="str">
        <f>IFERROR(VLOOKUP(Table1[RespondentID],'All Data'!$A$3:$CW$999,99,FALSE),"unknown")</f>
        <v>Yes</v>
      </c>
    </row>
    <row r="371" spans="1:50">
      <c r="A371" s="5">
        <v>114096853684</v>
      </c>
      <c r="B371" s="5"/>
      <c r="C371" s="5"/>
      <c r="D371" s="5"/>
      <c r="E371" s="5"/>
      <c r="F371" s="5"/>
      <c r="G371" s="5"/>
      <c r="H371" s="5"/>
      <c r="I371" s="5" t="s">
        <v>23</v>
      </c>
      <c r="J371" s="5"/>
      <c r="K371" s="5" t="s">
        <v>25</v>
      </c>
      <c r="L371" s="5" t="s">
        <v>26</v>
      </c>
      <c r="M371" s="5"/>
      <c r="N371" s="5"/>
      <c r="O371" s="7"/>
      <c r="P371" s="7">
        <f t="shared" si="90"/>
        <v>3</v>
      </c>
      <c r="Q371" s="7">
        <f t="shared" si="91"/>
        <v>1</v>
      </c>
      <c r="R371" s="7"/>
      <c r="S371" s="7">
        <f t="shared" si="107"/>
        <v>0</v>
      </c>
      <c r="T371" s="7">
        <f t="shared" si="92"/>
        <v>0</v>
      </c>
      <c r="U371" s="7">
        <f t="shared" si="93"/>
        <v>0</v>
      </c>
      <c r="V371" s="119">
        <f t="shared" si="94"/>
        <v>0</v>
      </c>
      <c r="W371" s="119">
        <f t="shared" si="95"/>
        <v>0</v>
      </c>
      <c r="X371" s="119">
        <f t="shared" si="96"/>
        <v>0</v>
      </c>
      <c r="Y371" s="119">
        <f t="shared" si="97"/>
        <v>0</v>
      </c>
      <c r="Z371" s="119">
        <f t="shared" si="98"/>
        <v>1</v>
      </c>
      <c r="AA371" s="119">
        <f t="shared" si="99"/>
        <v>0</v>
      </c>
      <c r="AB371" s="119">
        <f t="shared" si="100"/>
        <v>1</v>
      </c>
      <c r="AC371" s="119">
        <f t="shared" si="101"/>
        <v>1</v>
      </c>
      <c r="AD371" s="119">
        <f t="shared" si="102"/>
        <v>0</v>
      </c>
      <c r="AE371" s="119">
        <f t="shared" si="103"/>
        <v>0</v>
      </c>
      <c r="AF371" s="7"/>
      <c r="AG371" s="7"/>
      <c r="AH371" s="7">
        <f t="shared" si="104"/>
        <v>3</v>
      </c>
      <c r="AI371" s="7">
        <f t="shared" si="105"/>
        <v>3</v>
      </c>
      <c r="AJ371" s="7" t="str">
        <f t="shared" si="106"/>
        <v>Correct</v>
      </c>
      <c r="AL371" s="120" t="str">
        <f>IFERROR(VLOOKUP(Table1[RespondentID],'All Data'!$A$3:$CO$999,87,FALSE),"unknown")</f>
        <v>Woman</v>
      </c>
      <c r="AM371" s="120">
        <f>IFERROR(VLOOKUP(Table1[RespondentID],'All Data'!$A$3:$CO$999,88,FALSE),"unknown")</f>
        <v>0</v>
      </c>
      <c r="AN371" s="120" t="str">
        <f>IFERROR(VLOOKUP(Table1[RespondentID],'All Data'!$A$3:$CO$999,89,FALSE),"unknown")</f>
        <v>Suffolk</v>
      </c>
      <c r="AO371" s="120" t="str">
        <f>IFERROR(VLOOKUP(Table1[RespondentID],'All Data'!$A$3:$CO$999,90,FALSE),"unknown")</f>
        <v>West Islip, 11795</v>
      </c>
      <c r="AP371" s="120" t="str">
        <f>IFERROR(VLOOKUP(Table1[RespondentID],'All Data'!$A$3:$CO$999,91,FALSE),"unknown")</f>
        <v>White</v>
      </c>
      <c r="AQ371" s="120" t="str">
        <f>IFERROR(VLOOKUP(Table1[RespondentID],'All Data'!$A$3:$CO$999,92,FALSE),"unknown")</f>
        <v>Not Hispanic or Latino</v>
      </c>
      <c r="AR371" s="120" t="str">
        <f>IFERROR(VLOOKUP(Table1[RespondentID],'All Data'!$A$3:$CO$999,93,FALSE),"unknown")</f>
        <v>English</v>
      </c>
      <c r="AS371" s="120" t="str">
        <f>IFERROR(VLOOKUP(Table1[RespondentID],'All Data'!$A$3:$CW$999,94,FALSE),"unknown")</f>
        <v>$75,000 to $125,000</v>
      </c>
      <c r="AT371" s="120" t="str">
        <f>IFERROR(VLOOKUP(Table1[RespondentID],'All Data'!$A$3:$CW$999,95,FALSE),"unknown")</f>
        <v>Some college</v>
      </c>
      <c r="AU371" s="120" t="str">
        <f>IFERROR(VLOOKUP(Table1[RespondentID],'All Data'!$A$3:$CW$999,96,FALSE),"unknown")</f>
        <v>Employed for wages</v>
      </c>
      <c r="AV371" s="120" t="str">
        <f>IFERROR(VLOOKUP(Table1[RespondentID],'All Data'!$A$3:$CW$999,97,FALSE),"unknown")</f>
        <v>Yes</v>
      </c>
      <c r="AW371" s="120" t="str">
        <f>IFERROR(VLOOKUP(Table1[RespondentID],'All Data'!$A$3:$CW$999,98,FALSE),"unknown")</f>
        <v>Private/Commercial</v>
      </c>
      <c r="AX371" s="120" t="str">
        <f>IFERROR(VLOOKUP(Table1[RespondentID],'All Data'!$A$3:$CW$999,99,FALSE),"unknown")</f>
        <v>Yes</v>
      </c>
    </row>
    <row r="372" spans="1:50">
      <c r="A372" s="5">
        <v>114096829794</v>
      </c>
      <c r="B372" s="5"/>
      <c r="C372" s="5" t="s">
        <v>17</v>
      </c>
      <c r="D372" s="5"/>
      <c r="E372" s="5"/>
      <c r="F372" s="5"/>
      <c r="G372" s="5"/>
      <c r="H372" s="5"/>
      <c r="I372" s="5"/>
      <c r="J372" s="5"/>
      <c r="K372" s="5" t="s">
        <v>25</v>
      </c>
      <c r="L372" s="5"/>
      <c r="M372" s="5" t="s">
        <v>27</v>
      </c>
      <c r="N372" s="5"/>
      <c r="O372" s="7"/>
      <c r="P372" s="7">
        <f t="shared" si="90"/>
        <v>3</v>
      </c>
      <c r="Q372" s="7">
        <f t="shared" si="91"/>
        <v>1</v>
      </c>
      <c r="R372" s="7"/>
      <c r="S372" s="7">
        <f t="shared" si="107"/>
        <v>0</v>
      </c>
      <c r="T372" s="7">
        <f t="shared" si="92"/>
        <v>1</v>
      </c>
      <c r="U372" s="7">
        <f t="shared" si="93"/>
        <v>0</v>
      </c>
      <c r="V372" s="119">
        <f t="shared" si="94"/>
        <v>0</v>
      </c>
      <c r="W372" s="119">
        <f t="shared" si="95"/>
        <v>0</v>
      </c>
      <c r="X372" s="119">
        <f t="shared" si="96"/>
        <v>0</v>
      </c>
      <c r="Y372" s="119">
        <f t="shared" si="97"/>
        <v>0</v>
      </c>
      <c r="Z372" s="119">
        <f t="shared" si="98"/>
        <v>0</v>
      </c>
      <c r="AA372" s="119">
        <f t="shared" si="99"/>
        <v>0</v>
      </c>
      <c r="AB372" s="119">
        <f t="shared" si="100"/>
        <v>1</v>
      </c>
      <c r="AC372" s="119">
        <f t="shared" si="101"/>
        <v>0</v>
      </c>
      <c r="AD372" s="119">
        <f t="shared" si="102"/>
        <v>1</v>
      </c>
      <c r="AE372" s="119">
        <f t="shared" si="103"/>
        <v>0</v>
      </c>
      <c r="AF372" s="7"/>
      <c r="AG372" s="7"/>
      <c r="AH372" s="7">
        <f t="shared" si="104"/>
        <v>3</v>
      </c>
      <c r="AI372" s="7">
        <f t="shared" si="105"/>
        <v>3</v>
      </c>
      <c r="AJ372" s="7" t="str">
        <f t="shared" si="106"/>
        <v>Correct</v>
      </c>
      <c r="AL372" s="120" t="str">
        <f>IFERROR(VLOOKUP(Table1[RespondentID],'All Data'!$A$3:$CO$999,87,FALSE),"unknown")</f>
        <v>Woman</v>
      </c>
      <c r="AM372" s="120">
        <f>IFERROR(VLOOKUP(Table1[RespondentID],'All Data'!$A$3:$CO$999,88,FALSE),"unknown")</f>
        <v>0</v>
      </c>
      <c r="AN372" s="120" t="str">
        <f>IFERROR(VLOOKUP(Table1[RespondentID],'All Data'!$A$3:$CO$999,89,FALSE),"unknown")</f>
        <v>Suffolk</v>
      </c>
      <c r="AO372" s="120" t="str">
        <f>IFERROR(VLOOKUP(Table1[RespondentID],'All Data'!$A$3:$CO$999,90,FALSE),"unknown")</f>
        <v>Sayville, 11782</v>
      </c>
      <c r="AP372" s="120" t="str">
        <f>IFERROR(VLOOKUP(Table1[RespondentID],'All Data'!$A$3:$CO$999,91,FALSE),"unknown")</f>
        <v>White</v>
      </c>
      <c r="AQ372" s="120" t="str">
        <f>IFERROR(VLOOKUP(Table1[RespondentID],'All Data'!$A$3:$CO$999,92,FALSE),"unknown")</f>
        <v>Not Hispanic or Latino</v>
      </c>
      <c r="AR372" s="120" t="str">
        <f>IFERROR(VLOOKUP(Table1[RespondentID],'All Data'!$A$3:$CO$999,93,FALSE),"unknown")</f>
        <v>English</v>
      </c>
      <c r="AS372" s="120" t="str">
        <f>IFERROR(VLOOKUP(Table1[RespondentID],'All Data'!$A$3:$CW$999,94,FALSE),"unknown")</f>
        <v>$50,000 to $74,999</v>
      </c>
      <c r="AT372" s="120" t="str">
        <f>IFERROR(VLOOKUP(Table1[RespondentID],'All Data'!$A$3:$CW$999,95,FALSE),"unknown")</f>
        <v>Some college</v>
      </c>
      <c r="AU372" s="120" t="str">
        <f>IFERROR(VLOOKUP(Table1[RespondentID],'All Data'!$A$3:$CW$999,96,FALSE),"unknown")</f>
        <v>Retired</v>
      </c>
      <c r="AV372" s="120" t="str">
        <f>IFERROR(VLOOKUP(Table1[RespondentID],'All Data'!$A$3:$CW$999,97,FALSE),"unknown")</f>
        <v>Yes</v>
      </c>
      <c r="AW372" s="120" t="str">
        <f>IFERROR(VLOOKUP(Table1[RespondentID],'All Data'!$A$3:$CW$999,98,FALSE),"unknown")</f>
        <v>Medicare,Private/Commercial</v>
      </c>
      <c r="AX372" s="120" t="str">
        <f>IFERROR(VLOOKUP(Table1[RespondentID],'All Data'!$A$3:$CW$999,99,FALSE),"unknown")</f>
        <v>Yes</v>
      </c>
    </row>
    <row r="373" spans="1:50">
      <c r="A373" s="5">
        <v>114096746832</v>
      </c>
      <c r="B373" s="5"/>
      <c r="C373" s="5"/>
      <c r="D373" s="5"/>
      <c r="E373" s="5"/>
      <c r="F373" s="5"/>
      <c r="G373" s="5"/>
      <c r="H373" s="5"/>
      <c r="I373" s="5"/>
      <c r="J373" s="5"/>
      <c r="K373" s="5" t="s">
        <v>25</v>
      </c>
      <c r="L373" s="5" t="s">
        <v>26</v>
      </c>
      <c r="M373" s="5"/>
      <c r="N373" s="5"/>
      <c r="O373" s="7"/>
      <c r="P373" s="7">
        <f t="shared" si="90"/>
        <v>2</v>
      </c>
      <c r="Q373" s="7">
        <f t="shared" si="91"/>
        <v>1.5</v>
      </c>
      <c r="R373" s="7"/>
      <c r="S373" s="7">
        <f t="shared" si="107"/>
        <v>0</v>
      </c>
      <c r="T373" s="7">
        <f t="shared" si="92"/>
        <v>0</v>
      </c>
      <c r="U373" s="7">
        <f t="shared" si="93"/>
        <v>0</v>
      </c>
      <c r="V373" s="119">
        <f t="shared" si="94"/>
        <v>0</v>
      </c>
      <c r="W373" s="119">
        <f t="shared" si="95"/>
        <v>0</v>
      </c>
      <c r="X373" s="119">
        <f t="shared" si="96"/>
        <v>0</v>
      </c>
      <c r="Y373" s="119">
        <f t="shared" si="97"/>
        <v>0</v>
      </c>
      <c r="Z373" s="119">
        <f t="shared" si="98"/>
        <v>0</v>
      </c>
      <c r="AA373" s="119">
        <f t="shared" si="99"/>
        <v>0</v>
      </c>
      <c r="AB373" s="119">
        <f t="shared" si="100"/>
        <v>1</v>
      </c>
      <c r="AC373" s="119">
        <f t="shared" si="101"/>
        <v>1</v>
      </c>
      <c r="AD373" s="119">
        <f t="shared" si="102"/>
        <v>0</v>
      </c>
      <c r="AE373" s="119">
        <f t="shared" si="103"/>
        <v>0</v>
      </c>
      <c r="AF373" s="7"/>
      <c r="AG373" s="7"/>
      <c r="AH373" s="7">
        <f t="shared" si="104"/>
        <v>2</v>
      </c>
      <c r="AI373" s="7">
        <f t="shared" si="105"/>
        <v>2</v>
      </c>
      <c r="AJ373" s="7" t="str">
        <f t="shared" si="106"/>
        <v>Correct</v>
      </c>
      <c r="AL373" s="120" t="str">
        <f>IFERROR(VLOOKUP(Table1[RespondentID],'All Data'!$A$3:$CO$999,87,FALSE),"unknown")</f>
        <v>Woman</v>
      </c>
      <c r="AM373" s="120">
        <f>IFERROR(VLOOKUP(Table1[RespondentID],'All Data'!$A$3:$CO$999,88,FALSE),"unknown")</f>
        <v>0</v>
      </c>
      <c r="AN373" s="120" t="str">
        <f>IFERROR(VLOOKUP(Table1[RespondentID],'All Data'!$A$3:$CO$999,89,FALSE),"unknown")</f>
        <v>Suffolk</v>
      </c>
      <c r="AO373" s="120" t="str">
        <f>IFERROR(VLOOKUP(Table1[RespondentID],'All Data'!$A$3:$CO$999,90,FALSE),"unknown")</f>
        <v>Babylon, 11704</v>
      </c>
      <c r="AP373" s="120" t="str">
        <f>IFERROR(VLOOKUP(Table1[RespondentID],'All Data'!$A$3:$CO$999,91,FALSE),"unknown")</f>
        <v>White</v>
      </c>
      <c r="AQ373" s="120" t="str">
        <f>IFERROR(VLOOKUP(Table1[RespondentID],'All Data'!$A$3:$CO$999,92,FALSE),"unknown")</f>
        <v>Not Hispanic or Latino</v>
      </c>
      <c r="AR373" s="120" t="str">
        <f>IFERROR(VLOOKUP(Table1[RespondentID],'All Data'!$A$3:$CO$999,93,FALSE),"unknown")</f>
        <v>English</v>
      </c>
      <c r="AS373" s="120" t="str">
        <f>IFERROR(VLOOKUP(Table1[RespondentID],'All Data'!$A$3:$CW$999,94,FALSE),"unknown")</f>
        <v>$50,000 to $74,999</v>
      </c>
      <c r="AT373" s="120" t="str">
        <f>IFERROR(VLOOKUP(Table1[RespondentID],'All Data'!$A$3:$CW$999,95,FALSE),"unknown")</f>
        <v>College graduate</v>
      </c>
      <c r="AU373" s="120" t="str">
        <f>IFERROR(VLOOKUP(Table1[RespondentID],'All Data'!$A$3:$CW$999,96,FALSE),"unknown")</f>
        <v>Employed for wages</v>
      </c>
      <c r="AV373" s="120" t="str">
        <f>IFERROR(VLOOKUP(Table1[RespondentID],'All Data'!$A$3:$CW$999,97,FALSE),"unknown")</f>
        <v>Yes</v>
      </c>
      <c r="AW373" s="120" t="str">
        <f>IFERROR(VLOOKUP(Table1[RespondentID],'All Data'!$A$3:$CW$999,98,FALSE),"unknown")</f>
        <v>Private/Commercial</v>
      </c>
      <c r="AX373" s="120" t="str">
        <f>IFERROR(VLOOKUP(Table1[RespondentID],'All Data'!$A$3:$CW$999,99,FALSE),"unknown")</f>
        <v>Yes</v>
      </c>
    </row>
    <row r="374" spans="1:50">
      <c r="A374" s="5">
        <v>114096742817</v>
      </c>
      <c r="B374" s="5"/>
      <c r="C374" s="5" t="s">
        <v>17</v>
      </c>
      <c r="D374" s="5" t="s">
        <v>18</v>
      </c>
      <c r="E374" s="5"/>
      <c r="F374" s="5"/>
      <c r="G374" s="5"/>
      <c r="H374" s="5"/>
      <c r="I374" s="5"/>
      <c r="J374" s="5" t="s">
        <v>24</v>
      </c>
      <c r="K374" s="5"/>
      <c r="L374" s="5"/>
      <c r="M374" s="5"/>
      <c r="N374" s="5"/>
      <c r="O374" s="7"/>
      <c r="P374" s="7">
        <f t="shared" si="90"/>
        <v>3</v>
      </c>
      <c r="Q374" s="7">
        <f t="shared" si="91"/>
        <v>1</v>
      </c>
      <c r="R374" s="7"/>
      <c r="S374" s="7">
        <f t="shared" si="107"/>
        <v>0</v>
      </c>
      <c r="T374" s="7">
        <f t="shared" si="92"/>
        <v>1</v>
      </c>
      <c r="U374" s="7">
        <f t="shared" si="93"/>
        <v>1</v>
      </c>
      <c r="V374" s="119">
        <f t="shared" si="94"/>
        <v>0</v>
      </c>
      <c r="W374" s="119">
        <f t="shared" si="95"/>
        <v>0</v>
      </c>
      <c r="X374" s="119">
        <f t="shared" si="96"/>
        <v>0</v>
      </c>
      <c r="Y374" s="119">
        <f t="shared" si="97"/>
        <v>0</v>
      </c>
      <c r="Z374" s="119">
        <f t="shared" si="98"/>
        <v>0</v>
      </c>
      <c r="AA374" s="119">
        <f t="shared" si="99"/>
        <v>1</v>
      </c>
      <c r="AB374" s="119">
        <f t="shared" si="100"/>
        <v>0</v>
      </c>
      <c r="AC374" s="119">
        <f t="shared" si="101"/>
        <v>0</v>
      </c>
      <c r="AD374" s="119">
        <f t="shared" si="102"/>
        <v>0</v>
      </c>
      <c r="AE374" s="119">
        <f t="shared" si="103"/>
        <v>0</v>
      </c>
      <c r="AF374" s="7"/>
      <c r="AG374" s="7"/>
      <c r="AH374" s="7">
        <f t="shared" si="104"/>
        <v>3</v>
      </c>
      <c r="AI374" s="7">
        <f t="shared" si="105"/>
        <v>3</v>
      </c>
      <c r="AJ374" s="7" t="str">
        <f t="shared" si="106"/>
        <v>Correct</v>
      </c>
      <c r="AL374" s="120" t="str">
        <f>IFERROR(VLOOKUP(Table1[RespondentID],'All Data'!$A$3:$CO$999,87,FALSE),"unknown")</f>
        <v>Woman</v>
      </c>
      <c r="AM374" s="120">
        <f>IFERROR(VLOOKUP(Table1[RespondentID],'All Data'!$A$3:$CO$999,88,FALSE),"unknown")</f>
        <v>0</v>
      </c>
      <c r="AN374" s="120" t="str">
        <f>IFERROR(VLOOKUP(Table1[RespondentID],'All Data'!$A$3:$CO$999,89,FALSE),"unknown")</f>
        <v>Suffolk</v>
      </c>
      <c r="AO374" s="120" t="str">
        <f>IFERROR(VLOOKUP(Table1[RespondentID],'All Data'!$A$3:$CO$999,90,FALSE),"unknown")</f>
        <v>Islip, 11751</v>
      </c>
      <c r="AP374" s="120" t="str">
        <f>IFERROR(VLOOKUP(Table1[RespondentID],'All Data'!$A$3:$CO$999,91,FALSE),"unknown")</f>
        <v>White</v>
      </c>
      <c r="AQ374" s="120" t="str">
        <f>IFERROR(VLOOKUP(Table1[RespondentID],'All Data'!$A$3:$CO$999,92,FALSE),"unknown")</f>
        <v>Not Hispanic or Latino</v>
      </c>
      <c r="AR374" s="120" t="str">
        <f>IFERROR(VLOOKUP(Table1[RespondentID],'All Data'!$A$3:$CO$999,93,FALSE),"unknown")</f>
        <v>English</v>
      </c>
      <c r="AS374" s="120" t="str">
        <f>IFERROR(VLOOKUP(Table1[RespondentID],'All Data'!$A$3:$CW$999,94,FALSE),"unknown")</f>
        <v>Over $125,000</v>
      </c>
      <c r="AT374" s="120" t="str">
        <f>IFERROR(VLOOKUP(Table1[RespondentID],'All Data'!$A$3:$CW$999,95,FALSE),"unknown")</f>
        <v>Graduate school</v>
      </c>
      <c r="AU374" s="120" t="str">
        <f>IFERROR(VLOOKUP(Table1[RespondentID],'All Data'!$A$3:$CW$999,96,FALSE),"unknown")</f>
        <v>Employed for wages</v>
      </c>
      <c r="AV374" s="120" t="str">
        <f>IFERROR(VLOOKUP(Table1[RespondentID],'All Data'!$A$3:$CW$999,97,FALSE),"unknown")</f>
        <v>Yes</v>
      </c>
      <c r="AW374" s="120" t="str">
        <f>IFERROR(VLOOKUP(Table1[RespondentID],'All Data'!$A$3:$CW$999,98,FALSE),"unknown")</f>
        <v>Private/Commercial</v>
      </c>
      <c r="AX374" s="120" t="str">
        <f>IFERROR(VLOOKUP(Table1[RespondentID],'All Data'!$A$3:$CW$999,99,FALSE),"unknown")</f>
        <v>Yes</v>
      </c>
    </row>
    <row r="375" spans="1:50">
      <c r="A375" s="5">
        <v>114096674095</v>
      </c>
      <c r="B375" s="5"/>
      <c r="C375" s="5"/>
      <c r="D375" s="5"/>
      <c r="E375" s="5"/>
      <c r="F375" s="5"/>
      <c r="G375" s="5"/>
      <c r="H375" s="5"/>
      <c r="I375" s="5"/>
      <c r="J375" s="5"/>
      <c r="K375" s="5"/>
      <c r="L375" s="5"/>
      <c r="M375" s="5"/>
      <c r="N375" s="5"/>
      <c r="O375" s="7"/>
      <c r="P375" s="7">
        <f t="shared" si="90"/>
        <v>0</v>
      </c>
      <c r="Q375" s="7" t="e">
        <f t="shared" si="91"/>
        <v>#DIV/0!</v>
      </c>
      <c r="R375" s="7"/>
      <c r="S375" s="7">
        <f t="shared" si="107"/>
        <v>0</v>
      </c>
      <c r="T375" s="7">
        <f t="shared" si="92"/>
        <v>0</v>
      </c>
      <c r="U375" s="7">
        <f t="shared" si="93"/>
        <v>0</v>
      </c>
      <c r="V375" s="119">
        <f t="shared" si="94"/>
        <v>0</v>
      </c>
      <c r="W375" s="119">
        <f t="shared" si="95"/>
        <v>0</v>
      </c>
      <c r="X375" s="119">
        <f t="shared" si="96"/>
        <v>0</v>
      </c>
      <c r="Y375" s="119">
        <f t="shared" si="97"/>
        <v>0</v>
      </c>
      <c r="Z375" s="119">
        <f t="shared" si="98"/>
        <v>0</v>
      </c>
      <c r="AA375" s="119">
        <f t="shared" si="99"/>
        <v>0</v>
      </c>
      <c r="AB375" s="119">
        <f t="shared" si="100"/>
        <v>0</v>
      </c>
      <c r="AC375" s="119">
        <f t="shared" si="101"/>
        <v>0</v>
      </c>
      <c r="AD375" s="119">
        <f t="shared" si="102"/>
        <v>0</v>
      </c>
      <c r="AE375" s="119">
        <f t="shared" si="103"/>
        <v>0</v>
      </c>
      <c r="AF375" s="7"/>
      <c r="AG375" s="7"/>
      <c r="AH375" s="7">
        <f t="shared" si="104"/>
        <v>0</v>
      </c>
      <c r="AI375" s="7">
        <f t="shared" si="105"/>
        <v>0</v>
      </c>
      <c r="AJ375" s="7" t="str">
        <f t="shared" si="106"/>
        <v>Correct</v>
      </c>
      <c r="AL375" s="120" t="str">
        <f>IFERROR(VLOOKUP(Table1[RespondentID],'All Data'!$A$3:$CO$999,87,FALSE),"unknown")</f>
        <v>Woman</v>
      </c>
      <c r="AM375" s="120">
        <f>IFERROR(VLOOKUP(Table1[RespondentID],'All Data'!$A$3:$CO$999,88,FALSE),"unknown")</f>
        <v>0</v>
      </c>
      <c r="AN375" s="120" t="str">
        <f>IFERROR(VLOOKUP(Table1[RespondentID],'All Data'!$A$3:$CO$999,89,FALSE),"unknown")</f>
        <v>Suffolk</v>
      </c>
      <c r="AO375" s="120" t="str">
        <f>IFERROR(VLOOKUP(Table1[RespondentID],'All Data'!$A$3:$CO$999,90,FALSE),"unknown")</f>
        <v>Babylon, 11702</v>
      </c>
      <c r="AP375" s="120" t="str">
        <f>IFERROR(VLOOKUP(Table1[RespondentID],'All Data'!$A$3:$CO$999,91,FALSE),"unknown")</f>
        <v>White</v>
      </c>
      <c r="AQ375" s="120" t="str">
        <f>IFERROR(VLOOKUP(Table1[RespondentID],'All Data'!$A$3:$CO$999,92,FALSE),"unknown")</f>
        <v>Not Hispanic or Latino</v>
      </c>
      <c r="AR375" s="120" t="str">
        <f>IFERROR(VLOOKUP(Table1[RespondentID],'All Data'!$A$3:$CO$999,93,FALSE),"unknown")</f>
        <v>English</v>
      </c>
      <c r="AS375" s="120" t="str">
        <f>IFERROR(VLOOKUP(Table1[RespondentID],'All Data'!$A$3:$CW$999,94,FALSE),"unknown")</f>
        <v>$75,000 to $125,000</v>
      </c>
      <c r="AT375" s="120" t="str">
        <f>IFERROR(VLOOKUP(Table1[RespondentID],'All Data'!$A$3:$CW$999,95,FALSE),"unknown")</f>
        <v>Some college</v>
      </c>
      <c r="AU375" s="120" t="str">
        <f>IFERROR(VLOOKUP(Table1[RespondentID],'All Data'!$A$3:$CW$999,96,FALSE),"unknown")</f>
        <v>Retired</v>
      </c>
      <c r="AV375" s="120" t="str">
        <f>IFERROR(VLOOKUP(Table1[RespondentID],'All Data'!$A$3:$CW$999,97,FALSE),"unknown")</f>
        <v>Yes</v>
      </c>
      <c r="AW375" s="120" t="str">
        <f>IFERROR(VLOOKUP(Table1[RespondentID],'All Data'!$A$3:$CW$999,98,FALSE),"unknown")</f>
        <v>Medicare</v>
      </c>
      <c r="AX375" s="120" t="str">
        <f>IFERROR(VLOOKUP(Table1[RespondentID],'All Data'!$A$3:$CW$999,99,FALSE),"unknown")</f>
        <v>Yes</v>
      </c>
    </row>
    <row r="376" spans="1:50">
      <c r="A376" s="5">
        <v>114096668073</v>
      </c>
      <c r="B376" s="5"/>
      <c r="C376" s="5" t="s">
        <v>17</v>
      </c>
      <c r="D376" s="5"/>
      <c r="E376" s="5"/>
      <c r="F376" s="5"/>
      <c r="G376" s="5"/>
      <c r="H376" s="5"/>
      <c r="I376" s="5"/>
      <c r="J376" s="5" t="s">
        <v>24</v>
      </c>
      <c r="K376" s="5" t="s">
        <v>25</v>
      </c>
      <c r="L376" s="5"/>
      <c r="M376" s="5"/>
      <c r="N376" s="5"/>
      <c r="O376" s="7"/>
      <c r="P376" s="7">
        <f t="shared" si="90"/>
        <v>3</v>
      </c>
      <c r="Q376" s="7">
        <f t="shared" si="91"/>
        <v>1</v>
      </c>
      <c r="R376" s="7"/>
      <c r="S376" s="7">
        <f t="shared" si="107"/>
        <v>0</v>
      </c>
      <c r="T376" s="7">
        <f t="shared" si="92"/>
        <v>1</v>
      </c>
      <c r="U376" s="7">
        <f t="shared" si="93"/>
        <v>0</v>
      </c>
      <c r="V376" s="119">
        <f t="shared" si="94"/>
        <v>0</v>
      </c>
      <c r="W376" s="119">
        <f t="shared" si="95"/>
        <v>0</v>
      </c>
      <c r="X376" s="119">
        <f t="shared" si="96"/>
        <v>0</v>
      </c>
      <c r="Y376" s="119">
        <f t="shared" si="97"/>
        <v>0</v>
      </c>
      <c r="Z376" s="119">
        <f t="shared" si="98"/>
        <v>0</v>
      </c>
      <c r="AA376" s="119">
        <f t="shared" si="99"/>
        <v>1</v>
      </c>
      <c r="AB376" s="119">
        <f t="shared" si="100"/>
        <v>1</v>
      </c>
      <c r="AC376" s="119">
        <f t="shared" si="101"/>
        <v>0</v>
      </c>
      <c r="AD376" s="119">
        <f t="shared" si="102"/>
        <v>0</v>
      </c>
      <c r="AE376" s="119">
        <f t="shared" si="103"/>
        <v>0</v>
      </c>
      <c r="AF376" s="7"/>
      <c r="AG376" s="7"/>
      <c r="AH376" s="7">
        <f t="shared" si="104"/>
        <v>3</v>
      </c>
      <c r="AI376" s="7">
        <f t="shared" si="105"/>
        <v>3</v>
      </c>
      <c r="AJ376" s="7" t="str">
        <f t="shared" si="106"/>
        <v>Correct</v>
      </c>
      <c r="AL376" s="120" t="str">
        <f>IFERROR(VLOOKUP(Table1[RespondentID],'All Data'!$A$3:$CO$999,87,FALSE),"unknown")</f>
        <v>Man</v>
      </c>
      <c r="AM376" s="120">
        <f>IFERROR(VLOOKUP(Table1[RespondentID],'All Data'!$A$3:$CO$999,88,FALSE),"unknown")</f>
        <v>0</v>
      </c>
      <c r="AN376" s="120" t="str">
        <f>IFERROR(VLOOKUP(Table1[RespondentID],'All Data'!$A$3:$CO$999,89,FALSE),"unknown")</f>
        <v>Suffolk</v>
      </c>
      <c r="AO376" s="120" t="str">
        <f>IFERROR(VLOOKUP(Table1[RespondentID],'All Data'!$A$3:$CO$999,90,FALSE),"unknown")</f>
        <v>Kings Park, 11754</v>
      </c>
      <c r="AP376" s="120" t="str">
        <f>IFERROR(VLOOKUP(Table1[RespondentID],'All Data'!$A$3:$CO$999,91,FALSE),"unknown")</f>
        <v>White</v>
      </c>
      <c r="AQ376" s="120" t="str">
        <f>IFERROR(VLOOKUP(Table1[RespondentID],'All Data'!$A$3:$CO$999,92,FALSE),"unknown")</f>
        <v>Not Hispanic or Latino</v>
      </c>
      <c r="AR376" s="120" t="str">
        <f>IFERROR(VLOOKUP(Table1[RespondentID],'All Data'!$A$3:$CO$999,93,FALSE),"unknown")</f>
        <v>English</v>
      </c>
      <c r="AS376" s="120" t="str">
        <f>IFERROR(VLOOKUP(Table1[RespondentID],'All Data'!$A$3:$CW$999,94,FALSE),"unknown")</f>
        <v>$75,000 to $125,000</v>
      </c>
      <c r="AT376" s="120" t="str">
        <f>IFERROR(VLOOKUP(Table1[RespondentID],'All Data'!$A$3:$CW$999,95,FALSE),"unknown")</f>
        <v>College graduate</v>
      </c>
      <c r="AU376" s="120" t="str">
        <f>IFERROR(VLOOKUP(Table1[RespondentID],'All Data'!$A$3:$CW$999,96,FALSE),"unknown")</f>
        <v>Retired</v>
      </c>
      <c r="AV376" s="120" t="str">
        <f>IFERROR(VLOOKUP(Table1[RespondentID],'All Data'!$A$3:$CW$999,97,FALSE),"unknown")</f>
        <v>Yes</v>
      </c>
      <c r="AW376" s="120" t="str">
        <f>IFERROR(VLOOKUP(Table1[RespondentID],'All Data'!$A$3:$CW$999,98,FALSE),"unknown")</f>
        <v>Medicare,Private/Commercial</v>
      </c>
      <c r="AX376" s="120" t="str">
        <f>IFERROR(VLOOKUP(Table1[RespondentID],'All Data'!$A$3:$CW$999,99,FALSE),"unknown")</f>
        <v>Yes</v>
      </c>
    </row>
    <row r="377" spans="1:50">
      <c r="A377" s="5">
        <v>114096661817</v>
      </c>
      <c r="B377" s="5"/>
      <c r="C377" s="5" t="s">
        <v>17</v>
      </c>
      <c r="D377" s="5"/>
      <c r="E377" s="5"/>
      <c r="F377" s="5"/>
      <c r="G377" s="5"/>
      <c r="H377" s="5"/>
      <c r="I377" s="5" t="s">
        <v>23</v>
      </c>
      <c r="J377" s="5"/>
      <c r="K377" s="5" t="s">
        <v>25</v>
      </c>
      <c r="L377" s="5"/>
      <c r="M377" s="5"/>
      <c r="N377" s="5"/>
      <c r="O377" s="7"/>
      <c r="P377" s="7">
        <f t="shared" si="90"/>
        <v>3</v>
      </c>
      <c r="Q377" s="7">
        <f t="shared" si="91"/>
        <v>1</v>
      </c>
      <c r="R377" s="7"/>
      <c r="S377" s="7">
        <f t="shared" si="107"/>
        <v>0</v>
      </c>
      <c r="T377" s="7">
        <f t="shared" si="92"/>
        <v>1</v>
      </c>
      <c r="U377" s="7">
        <f t="shared" si="93"/>
        <v>0</v>
      </c>
      <c r="V377" s="119">
        <f t="shared" si="94"/>
        <v>0</v>
      </c>
      <c r="W377" s="119">
        <f t="shared" si="95"/>
        <v>0</v>
      </c>
      <c r="X377" s="119">
        <f t="shared" si="96"/>
        <v>0</v>
      </c>
      <c r="Y377" s="119">
        <f t="shared" si="97"/>
        <v>0</v>
      </c>
      <c r="Z377" s="119">
        <f t="shared" si="98"/>
        <v>1</v>
      </c>
      <c r="AA377" s="119">
        <f t="shared" si="99"/>
        <v>0</v>
      </c>
      <c r="AB377" s="119">
        <f t="shared" si="100"/>
        <v>1</v>
      </c>
      <c r="AC377" s="119">
        <f t="shared" si="101"/>
        <v>0</v>
      </c>
      <c r="AD377" s="119">
        <f t="shared" si="102"/>
        <v>0</v>
      </c>
      <c r="AE377" s="119">
        <f t="shared" si="103"/>
        <v>0</v>
      </c>
      <c r="AF377" s="7"/>
      <c r="AG377" s="7"/>
      <c r="AH377" s="7">
        <f t="shared" si="104"/>
        <v>3</v>
      </c>
      <c r="AI377" s="7">
        <f t="shared" si="105"/>
        <v>3</v>
      </c>
      <c r="AJ377" s="7" t="str">
        <f t="shared" si="106"/>
        <v>Correct</v>
      </c>
      <c r="AL377" s="120" t="str">
        <f>IFERROR(VLOOKUP(Table1[RespondentID],'All Data'!$A$3:$CO$999,87,FALSE),"unknown")</f>
        <v>Woman</v>
      </c>
      <c r="AM377" s="120">
        <f>IFERROR(VLOOKUP(Table1[RespondentID],'All Data'!$A$3:$CO$999,88,FALSE),"unknown")</f>
        <v>0</v>
      </c>
      <c r="AN377" s="120" t="str">
        <f>IFERROR(VLOOKUP(Table1[RespondentID],'All Data'!$A$3:$CO$999,89,FALSE),"unknown")</f>
        <v>Suffolk</v>
      </c>
      <c r="AO377" s="120" t="str">
        <f>IFERROR(VLOOKUP(Table1[RespondentID],'All Data'!$A$3:$CO$999,90,FALSE),"unknown")</f>
        <v>West Islip, 11795</v>
      </c>
      <c r="AP377" s="120" t="str">
        <f>IFERROR(VLOOKUP(Table1[RespondentID],'All Data'!$A$3:$CO$999,91,FALSE),"unknown")</f>
        <v>White</v>
      </c>
      <c r="AQ377" s="120" t="str">
        <f>IFERROR(VLOOKUP(Table1[RespondentID],'All Data'!$A$3:$CO$999,92,FALSE),"unknown")</f>
        <v>Not Hispanic or Latino</v>
      </c>
      <c r="AR377" s="120" t="str">
        <f>IFERROR(VLOOKUP(Table1[RespondentID],'All Data'!$A$3:$CO$999,93,FALSE),"unknown")</f>
        <v>English</v>
      </c>
      <c r="AS377" s="120" t="str">
        <f>IFERROR(VLOOKUP(Table1[RespondentID],'All Data'!$A$3:$CW$999,94,FALSE),"unknown")</f>
        <v>$35,000 to $49,999</v>
      </c>
      <c r="AT377" s="120" t="str">
        <f>IFERROR(VLOOKUP(Table1[RespondentID],'All Data'!$A$3:$CW$999,95,FALSE),"unknown")</f>
        <v>High school graduate</v>
      </c>
      <c r="AU377" s="120" t="str">
        <f>IFERROR(VLOOKUP(Table1[RespondentID],'All Data'!$A$3:$CW$999,96,FALSE),"unknown")</f>
        <v>Retired</v>
      </c>
      <c r="AV377" s="120" t="str">
        <f>IFERROR(VLOOKUP(Table1[RespondentID],'All Data'!$A$3:$CW$999,97,FALSE),"unknown")</f>
        <v>Yes</v>
      </c>
      <c r="AW377" s="120" t="str">
        <f>IFERROR(VLOOKUP(Table1[RespondentID],'All Data'!$A$3:$CW$999,98,FALSE),"unknown")</f>
        <v>Medicare</v>
      </c>
      <c r="AX377" s="120" t="str">
        <f>IFERROR(VLOOKUP(Table1[RespondentID],'All Data'!$A$3:$CW$999,99,FALSE),"unknown")</f>
        <v>Yes</v>
      </c>
    </row>
    <row r="378" spans="1:50">
      <c r="A378" s="5">
        <v>114096658219</v>
      </c>
      <c r="B378" s="5"/>
      <c r="C378" s="5" t="s">
        <v>17</v>
      </c>
      <c r="D378" s="5" t="s">
        <v>18</v>
      </c>
      <c r="E378" s="5"/>
      <c r="F378" s="5"/>
      <c r="G378" s="5"/>
      <c r="H378" s="5"/>
      <c r="I378" s="5"/>
      <c r="J378" s="5"/>
      <c r="K378" s="5" t="s">
        <v>25</v>
      </c>
      <c r="L378" s="5" t="s">
        <v>26</v>
      </c>
      <c r="M378" s="5"/>
      <c r="N378" s="5"/>
      <c r="O378" s="7"/>
      <c r="P378" s="7">
        <f t="shared" si="90"/>
        <v>4</v>
      </c>
      <c r="Q378" s="7">
        <f t="shared" si="91"/>
        <v>0.75</v>
      </c>
      <c r="R378" s="7"/>
      <c r="S378" s="7">
        <f t="shared" si="107"/>
        <v>0</v>
      </c>
      <c r="T378" s="7">
        <f t="shared" si="92"/>
        <v>0.75</v>
      </c>
      <c r="U378" s="7">
        <f t="shared" si="93"/>
        <v>0.75</v>
      </c>
      <c r="V378" s="119">
        <f t="shared" si="94"/>
        <v>0</v>
      </c>
      <c r="W378" s="119">
        <f t="shared" si="95"/>
        <v>0</v>
      </c>
      <c r="X378" s="119">
        <f t="shared" si="96"/>
        <v>0</v>
      </c>
      <c r="Y378" s="119">
        <f t="shared" si="97"/>
        <v>0</v>
      </c>
      <c r="Z378" s="119">
        <f t="shared" si="98"/>
        <v>0</v>
      </c>
      <c r="AA378" s="119">
        <f t="shared" si="99"/>
        <v>0</v>
      </c>
      <c r="AB378" s="119">
        <f t="shared" si="100"/>
        <v>0.75</v>
      </c>
      <c r="AC378" s="119">
        <f t="shared" si="101"/>
        <v>0.75</v>
      </c>
      <c r="AD378" s="119">
        <f t="shared" si="102"/>
        <v>0</v>
      </c>
      <c r="AE378" s="119">
        <f t="shared" si="103"/>
        <v>0</v>
      </c>
      <c r="AF378" s="7"/>
      <c r="AG378" s="7"/>
      <c r="AH378" s="7">
        <f t="shared" si="104"/>
        <v>3</v>
      </c>
      <c r="AI378" s="7">
        <f t="shared" si="105"/>
        <v>4</v>
      </c>
      <c r="AJ378" s="7" t="str">
        <f t="shared" si="106"/>
        <v>Correct</v>
      </c>
      <c r="AL378" s="120" t="str">
        <f>IFERROR(VLOOKUP(Table1[RespondentID],'All Data'!$A$3:$CO$999,87,FALSE),"unknown")</f>
        <v>Woman</v>
      </c>
      <c r="AM378" s="120">
        <f>IFERROR(VLOOKUP(Table1[RespondentID],'All Data'!$A$3:$CO$999,88,FALSE),"unknown")</f>
        <v>0</v>
      </c>
      <c r="AN378" s="120" t="str">
        <f>IFERROR(VLOOKUP(Table1[RespondentID],'All Data'!$A$3:$CO$999,89,FALSE),"unknown")</f>
        <v>Suffolk</v>
      </c>
      <c r="AO378" s="120" t="str">
        <f>IFERROR(VLOOKUP(Table1[RespondentID],'All Data'!$A$3:$CO$999,90,FALSE),"unknown")</f>
        <v>Babylon, 11702</v>
      </c>
      <c r="AP378" s="120" t="str">
        <f>IFERROR(VLOOKUP(Table1[RespondentID],'All Data'!$A$3:$CO$999,91,FALSE),"unknown")</f>
        <v>White</v>
      </c>
      <c r="AQ378" s="120" t="str">
        <f>IFERROR(VLOOKUP(Table1[RespondentID],'All Data'!$A$3:$CO$999,92,FALSE),"unknown")</f>
        <v>Not Hispanic or Latino</v>
      </c>
      <c r="AR378" s="120" t="str">
        <f>IFERROR(VLOOKUP(Table1[RespondentID],'All Data'!$A$3:$CO$999,93,FALSE),"unknown")</f>
        <v>English</v>
      </c>
      <c r="AS378" s="120" t="str">
        <f>IFERROR(VLOOKUP(Table1[RespondentID],'All Data'!$A$3:$CW$999,94,FALSE),"unknown")</f>
        <v>$50,000 to $74,999</v>
      </c>
      <c r="AT378" s="120" t="str">
        <f>IFERROR(VLOOKUP(Table1[RespondentID],'All Data'!$A$3:$CW$999,95,FALSE),"unknown")</f>
        <v>College graduate</v>
      </c>
      <c r="AU378" s="120" t="str">
        <f>IFERROR(VLOOKUP(Table1[RespondentID],'All Data'!$A$3:$CW$999,96,FALSE),"unknown")</f>
        <v>Retired</v>
      </c>
      <c r="AV378" s="120" t="str">
        <f>IFERROR(VLOOKUP(Table1[RespondentID],'All Data'!$A$3:$CW$999,97,FALSE),"unknown")</f>
        <v>Yes</v>
      </c>
      <c r="AW378" s="120" t="str">
        <f>IFERROR(VLOOKUP(Table1[RespondentID],'All Data'!$A$3:$CW$999,98,FALSE),"unknown")</f>
        <v>Medicare,Private/Commercial</v>
      </c>
      <c r="AX378" s="120" t="str">
        <f>IFERROR(VLOOKUP(Table1[RespondentID],'All Data'!$A$3:$CW$999,99,FALSE),"unknown")</f>
        <v>Yes</v>
      </c>
    </row>
    <row r="379" spans="1:50">
      <c r="A379" s="5">
        <v>114089866335</v>
      </c>
      <c r="B379" s="5"/>
      <c r="C379" s="5"/>
      <c r="D379" s="5"/>
      <c r="E379" s="5"/>
      <c r="F379" s="5"/>
      <c r="G379" s="5"/>
      <c r="H379" s="5"/>
      <c r="I379" s="5" t="s">
        <v>23</v>
      </c>
      <c r="J379" s="5" t="s">
        <v>24</v>
      </c>
      <c r="K379" s="5" t="s">
        <v>25</v>
      </c>
      <c r="L379" s="5"/>
      <c r="M379" s="5"/>
      <c r="N379" s="5"/>
      <c r="O379" s="7"/>
      <c r="P379" s="7">
        <f t="shared" si="90"/>
        <v>3</v>
      </c>
      <c r="Q379" s="7">
        <f t="shared" si="91"/>
        <v>1</v>
      </c>
      <c r="R379" s="7"/>
      <c r="S379" s="7">
        <f t="shared" si="107"/>
        <v>0</v>
      </c>
      <c r="T379" s="7">
        <f t="shared" si="92"/>
        <v>0</v>
      </c>
      <c r="U379" s="7">
        <f t="shared" si="93"/>
        <v>0</v>
      </c>
      <c r="V379" s="119">
        <f t="shared" si="94"/>
        <v>0</v>
      </c>
      <c r="W379" s="119">
        <f t="shared" si="95"/>
        <v>0</v>
      </c>
      <c r="X379" s="119">
        <f t="shared" si="96"/>
        <v>0</v>
      </c>
      <c r="Y379" s="119">
        <f t="shared" si="97"/>
        <v>0</v>
      </c>
      <c r="Z379" s="119">
        <f t="shared" si="98"/>
        <v>1</v>
      </c>
      <c r="AA379" s="119">
        <f t="shared" si="99"/>
        <v>1</v>
      </c>
      <c r="AB379" s="119">
        <f t="shared" si="100"/>
        <v>1</v>
      </c>
      <c r="AC379" s="119">
        <f t="shared" si="101"/>
        <v>0</v>
      </c>
      <c r="AD379" s="119">
        <f t="shared" si="102"/>
        <v>0</v>
      </c>
      <c r="AE379" s="119">
        <f t="shared" si="103"/>
        <v>0</v>
      </c>
      <c r="AF379" s="7"/>
      <c r="AG379" s="7"/>
      <c r="AH379" s="7">
        <f t="shared" si="104"/>
        <v>3</v>
      </c>
      <c r="AI379" s="7">
        <f t="shared" si="105"/>
        <v>3</v>
      </c>
      <c r="AJ379" s="7" t="str">
        <f t="shared" si="106"/>
        <v>Correct</v>
      </c>
      <c r="AL379" s="120" t="str">
        <f>IFERROR(VLOOKUP(Table1[RespondentID],'All Data'!$A$3:$CO$999,87,FALSE),"unknown")</f>
        <v>Woman</v>
      </c>
      <c r="AM379" s="120">
        <f>IFERROR(VLOOKUP(Table1[RespondentID],'All Data'!$A$3:$CO$999,88,FALSE),"unknown")</f>
        <v>0</v>
      </c>
      <c r="AN379" s="120" t="str">
        <f>IFERROR(VLOOKUP(Table1[RespondentID],'All Data'!$A$3:$CO$999,89,FALSE),"unknown")</f>
        <v>Nassau</v>
      </c>
      <c r="AO379" s="120" t="str">
        <f>IFERROR(VLOOKUP(Table1[RespondentID],'All Data'!$A$3:$CO$999,90,FALSE),"unknown")</f>
        <v>East Meadow, 11554</v>
      </c>
      <c r="AP379" s="120" t="str">
        <f>IFERROR(VLOOKUP(Table1[RespondentID],'All Data'!$A$3:$CO$999,91,FALSE),"unknown")</f>
        <v>Other (please specify)</v>
      </c>
      <c r="AQ379" s="120" t="str">
        <f>IFERROR(VLOOKUP(Table1[RespondentID],'All Data'!$A$3:$CO$999,92,FALSE),"unknown")</f>
        <v>Not Hispanic or Latino</v>
      </c>
      <c r="AR379" s="120" t="str">
        <f>IFERROR(VLOOKUP(Table1[RespondentID],'All Data'!$A$3:$CO$999,93,FALSE),"unknown")</f>
        <v>English</v>
      </c>
      <c r="AS379" s="120">
        <f>IFERROR(VLOOKUP(Table1[RespondentID],'All Data'!$A$3:$CW$999,94,FALSE),"unknown")</f>
        <v>0</v>
      </c>
      <c r="AT379" s="120" t="str">
        <f>IFERROR(VLOOKUP(Table1[RespondentID],'All Data'!$A$3:$CW$999,95,FALSE),"unknown")</f>
        <v>College graduate</v>
      </c>
      <c r="AU379" s="120" t="str">
        <f>IFERROR(VLOOKUP(Table1[RespondentID],'All Data'!$A$3:$CW$999,96,FALSE),"unknown")</f>
        <v>Employed for wages</v>
      </c>
      <c r="AV379" s="120" t="str">
        <f>IFERROR(VLOOKUP(Table1[RespondentID],'All Data'!$A$3:$CW$999,97,FALSE),"unknown")</f>
        <v>Yes</v>
      </c>
      <c r="AW379" s="120" t="str">
        <f>IFERROR(VLOOKUP(Table1[RespondentID],'All Data'!$A$3:$CW$999,98,FALSE),"unknown")</f>
        <v>Private/Commercial</v>
      </c>
      <c r="AX379" s="120" t="str">
        <f>IFERROR(VLOOKUP(Table1[RespondentID],'All Data'!$A$3:$CW$999,99,FALSE),"unknown")</f>
        <v>Yes</v>
      </c>
    </row>
    <row r="380" spans="1:50">
      <c r="A380" s="5">
        <v>114089496497</v>
      </c>
      <c r="B380" s="5"/>
      <c r="C380" s="5"/>
      <c r="D380" s="5"/>
      <c r="E380" s="5" t="s">
        <v>19</v>
      </c>
      <c r="F380" s="5"/>
      <c r="G380" s="5"/>
      <c r="H380" s="5" t="s">
        <v>22</v>
      </c>
      <c r="I380" s="5"/>
      <c r="J380" s="5"/>
      <c r="K380" s="5"/>
      <c r="L380" s="5" t="s">
        <v>26</v>
      </c>
      <c r="M380" s="5"/>
      <c r="N380" s="5"/>
      <c r="O380" s="7"/>
      <c r="P380" s="7">
        <f t="shared" si="90"/>
        <v>3</v>
      </c>
      <c r="Q380" s="7">
        <f t="shared" si="91"/>
        <v>1</v>
      </c>
      <c r="R380" s="7"/>
      <c r="S380" s="7">
        <f t="shared" si="107"/>
        <v>0</v>
      </c>
      <c r="T380" s="7">
        <f t="shared" si="92"/>
        <v>0</v>
      </c>
      <c r="U380" s="7">
        <f t="shared" si="93"/>
        <v>0</v>
      </c>
      <c r="V380" s="119">
        <f t="shared" si="94"/>
        <v>1</v>
      </c>
      <c r="W380" s="119">
        <f t="shared" si="95"/>
        <v>0</v>
      </c>
      <c r="X380" s="119">
        <f t="shared" si="96"/>
        <v>0</v>
      </c>
      <c r="Y380" s="119">
        <f t="shared" si="97"/>
        <v>1</v>
      </c>
      <c r="Z380" s="119">
        <f t="shared" si="98"/>
        <v>0</v>
      </c>
      <c r="AA380" s="119">
        <f t="shared" si="99"/>
        <v>0</v>
      </c>
      <c r="AB380" s="119">
        <f t="shared" si="100"/>
        <v>0</v>
      </c>
      <c r="AC380" s="119">
        <f t="shared" si="101"/>
        <v>1</v>
      </c>
      <c r="AD380" s="119">
        <f t="shared" si="102"/>
        <v>0</v>
      </c>
      <c r="AE380" s="119">
        <f t="shared" si="103"/>
        <v>0</v>
      </c>
      <c r="AF380" s="7"/>
      <c r="AG380" s="7"/>
      <c r="AH380" s="7">
        <f t="shared" si="104"/>
        <v>3</v>
      </c>
      <c r="AI380" s="7">
        <f t="shared" si="105"/>
        <v>3</v>
      </c>
      <c r="AJ380" s="7" t="str">
        <f t="shared" si="106"/>
        <v>Correct</v>
      </c>
      <c r="AL380" s="120" t="str">
        <f>IFERROR(VLOOKUP(Table1[RespondentID],'All Data'!$A$3:$CO$999,87,FALSE),"unknown")</f>
        <v>Woman</v>
      </c>
      <c r="AM380" s="120">
        <f>IFERROR(VLOOKUP(Table1[RespondentID],'All Data'!$A$3:$CO$999,88,FALSE),"unknown")</f>
        <v>0</v>
      </c>
      <c r="AN380" s="120" t="str">
        <f>IFERROR(VLOOKUP(Table1[RespondentID],'All Data'!$A$3:$CO$999,89,FALSE),"unknown")</f>
        <v>Suffolk</v>
      </c>
      <c r="AO380" s="120" t="str">
        <f>IFERROR(VLOOKUP(Table1[RespondentID],'All Data'!$A$3:$CO$999,90,FALSE),"unknown")</f>
        <v>Lindenhurst, 11757</v>
      </c>
      <c r="AP380" s="120" t="str">
        <f>IFERROR(VLOOKUP(Table1[RespondentID],'All Data'!$A$3:$CO$999,91,FALSE),"unknown")</f>
        <v>White</v>
      </c>
      <c r="AQ380" s="120" t="str">
        <f>IFERROR(VLOOKUP(Table1[RespondentID],'All Data'!$A$3:$CO$999,92,FALSE),"unknown")</f>
        <v>Not Hispanic or Latino</v>
      </c>
      <c r="AR380" s="120" t="str">
        <f>IFERROR(VLOOKUP(Table1[RespondentID],'All Data'!$A$3:$CO$999,93,FALSE),"unknown")</f>
        <v>English</v>
      </c>
      <c r="AS380" s="120" t="str">
        <f>IFERROR(VLOOKUP(Table1[RespondentID],'All Data'!$A$3:$CW$999,94,FALSE),"unknown")</f>
        <v>$50,000 to $74,999</v>
      </c>
      <c r="AT380" s="120" t="str">
        <f>IFERROR(VLOOKUP(Table1[RespondentID],'All Data'!$A$3:$CW$999,95,FALSE),"unknown")</f>
        <v>Some college</v>
      </c>
      <c r="AU380" s="120" t="str">
        <f>IFERROR(VLOOKUP(Table1[RespondentID],'All Data'!$A$3:$CW$999,96,FALSE),"unknown")</f>
        <v>Employed for wages</v>
      </c>
      <c r="AV380" s="120" t="str">
        <f>IFERROR(VLOOKUP(Table1[RespondentID],'All Data'!$A$3:$CW$999,97,FALSE),"unknown")</f>
        <v>Yes</v>
      </c>
      <c r="AW380" s="120" t="str">
        <f>IFERROR(VLOOKUP(Table1[RespondentID],'All Data'!$A$3:$CW$999,98,FALSE),"unknown")</f>
        <v>Private/Commercial</v>
      </c>
      <c r="AX380" s="120" t="str">
        <f>IFERROR(VLOOKUP(Table1[RespondentID],'All Data'!$A$3:$CW$999,99,FALSE),"unknown")</f>
        <v>Yes</v>
      </c>
    </row>
    <row r="381" spans="1:50">
      <c r="A381" s="5">
        <v>114089303117</v>
      </c>
      <c r="B381" s="5"/>
      <c r="C381" s="5"/>
      <c r="D381" s="5"/>
      <c r="E381" s="5" t="s">
        <v>19</v>
      </c>
      <c r="F381" s="5"/>
      <c r="G381" s="5"/>
      <c r="H381" s="5"/>
      <c r="I381" s="5" t="s">
        <v>23</v>
      </c>
      <c r="J381" s="5"/>
      <c r="K381" s="5"/>
      <c r="L381" s="5"/>
      <c r="M381" s="5"/>
      <c r="N381" s="5"/>
      <c r="O381" s="7"/>
      <c r="P381" s="7">
        <f t="shared" si="90"/>
        <v>2</v>
      </c>
      <c r="Q381" s="7">
        <f t="shared" si="91"/>
        <v>1.5</v>
      </c>
      <c r="R381" s="7"/>
      <c r="S381" s="7">
        <f t="shared" si="107"/>
        <v>0</v>
      </c>
      <c r="T381" s="7">
        <f t="shared" si="92"/>
        <v>0</v>
      </c>
      <c r="U381" s="7">
        <f t="shared" si="93"/>
        <v>0</v>
      </c>
      <c r="V381" s="119">
        <f t="shared" si="94"/>
        <v>1</v>
      </c>
      <c r="W381" s="119">
        <f t="shared" si="95"/>
        <v>0</v>
      </c>
      <c r="X381" s="119">
        <f t="shared" si="96"/>
        <v>0</v>
      </c>
      <c r="Y381" s="119">
        <f t="shared" si="97"/>
        <v>0</v>
      </c>
      <c r="Z381" s="119">
        <f t="shared" si="98"/>
        <v>1</v>
      </c>
      <c r="AA381" s="119">
        <f t="shared" si="99"/>
        <v>0</v>
      </c>
      <c r="AB381" s="119">
        <f t="shared" si="100"/>
        <v>0</v>
      </c>
      <c r="AC381" s="119">
        <f t="shared" si="101"/>
        <v>0</v>
      </c>
      <c r="AD381" s="119">
        <f t="shared" si="102"/>
        <v>0</v>
      </c>
      <c r="AE381" s="119">
        <f t="shared" si="103"/>
        <v>0</v>
      </c>
      <c r="AF381" s="7"/>
      <c r="AG381" s="7"/>
      <c r="AH381" s="7">
        <f t="shared" si="104"/>
        <v>2</v>
      </c>
      <c r="AI381" s="7">
        <f t="shared" si="105"/>
        <v>2</v>
      </c>
      <c r="AJ381" s="7" t="str">
        <f t="shared" si="106"/>
        <v>Correct</v>
      </c>
      <c r="AL381" s="120" t="str">
        <f>IFERROR(VLOOKUP(Table1[RespondentID],'All Data'!$A$3:$CO$999,87,FALSE),"unknown")</f>
        <v>Woman</v>
      </c>
      <c r="AM381" s="120">
        <f>IFERROR(VLOOKUP(Table1[RespondentID],'All Data'!$A$3:$CO$999,88,FALSE),"unknown")</f>
        <v>0</v>
      </c>
      <c r="AN381" s="120" t="str">
        <f>IFERROR(VLOOKUP(Table1[RespondentID],'All Data'!$A$3:$CO$999,89,FALSE),"unknown")</f>
        <v>Suffolk</v>
      </c>
      <c r="AO381" s="120" t="str">
        <f>IFERROR(VLOOKUP(Table1[RespondentID],'All Data'!$A$3:$CO$999,90,FALSE),"unknown")</f>
        <v>Lindenhurst, 11757</v>
      </c>
      <c r="AP381" s="120" t="str">
        <f>IFERROR(VLOOKUP(Table1[RespondentID],'All Data'!$A$3:$CO$999,91,FALSE),"unknown")</f>
        <v>White</v>
      </c>
      <c r="AQ381" s="120" t="str">
        <f>IFERROR(VLOOKUP(Table1[RespondentID],'All Data'!$A$3:$CO$999,92,FALSE),"unknown")</f>
        <v>Not Hispanic or Latino</v>
      </c>
      <c r="AR381" s="120" t="str">
        <f>IFERROR(VLOOKUP(Table1[RespondentID],'All Data'!$A$3:$CO$999,93,FALSE),"unknown")</f>
        <v>English</v>
      </c>
      <c r="AS381" s="120" t="str">
        <f>IFERROR(VLOOKUP(Table1[RespondentID],'All Data'!$A$3:$CW$999,94,FALSE),"unknown")</f>
        <v>$35,000 to $49,999</v>
      </c>
      <c r="AT381" s="120" t="str">
        <f>IFERROR(VLOOKUP(Table1[RespondentID],'All Data'!$A$3:$CW$999,95,FALSE),"unknown")</f>
        <v>Some college</v>
      </c>
      <c r="AU381" s="120" t="str">
        <f>IFERROR(VLOOKUP(Table1[RespondentID],'All Data'!$A$3:$CW$999,96,FALSE),"unknown")</f>
        <v>Out of work, but not currently looking</v>
      </c>
      <c r="AV381" s="120" t="str">
        <f>IFERROR(VLOOKUP(Table1[RespondentID],'All Data'!$A$3:$CW$999,97,FALSE),"unknown")</f>
        <v>Yes</v>
      </c>
      <c r="AW381" s="120" t="str">
        <f>IFERROR(VLOOKUP(Table1[RespondentID],'All Data'!$A$3:$CW$999,98,FALSE),"unknown")</f>
        <v>Medicaid,</v>
      </c>
      <c r="AX381" s="120" t="str">
        <f>IFERROR(VLOOKUP(Table1[RespondentID],'All Data'!$A$3:$CW$999,99,FALSE),"unknown")</f>
        <v>Yes</v>
      </c>
    </row>
    <row r="382" spans="1:50">
      <c r="A382" s="5">
        <v>114088122122</v>
      </c>
      <c r="B382" s="5"/>
      <c r="C382" s="5" t="s">
        <v>17</v>
      </c>
      <c r="D382" s="5"/>
      <c r="E382" s="5"/>
      <c r="F382" s="5"/>
      <c r="G382" s="5"/>
      <c r="H382" s="5"/>
      <c r="I382" s="5"/>
      <c r="J382" s="5"/>
      <c r="K382" s="5"/>
      <c r="L382" s="5" t="s">
        <v>26</v>
      </c>
      <c r="M382" s="5" t="s">
        <v>27</v>
      </c>
      <c r="N382" s="5"/>
      <c r="O382" s="7"/>
      <c r="P382" s="7">
        <f t="shared" si="90"/>
        <v>3</v>
      </c>
      <c r="Q382" s="7">
        <f t="shared" si="91"/>
        <v>1</v>
      </c>
      <c r="R382" s="7"/>
      <c r="S382" s="7">
        <f t="shared" si="107"/>
        <v>0</v>
      </c>
      <c r="T382" s="7">
        <f t="shared" si="92"/>
        <v>1</v>
      </c>
      <c r="U382" s="7">
        <f t="shared" si="93"/>
        <v>0</v>
      </c>
      <c r="V382" s="119">
        <f t="shared" si="94"/>
        <v>0</v>
      </c>
      <c r="W382" s="119">
        <f t="shared" si="95"/>
        <v>0</v>
      </c>
      <c r="X382" s="119">
        <f t="shared" si="96"/>
        <v>0</v>
      </c>
      <c r="Y382" s="119">
        <f t="shared" si="97"/>
        <v>0</v>
      </c>
      <c r="Z382" s="119">
        <f t="shared" si="98"/>
        <v>0</v>
      </c>
      <c r="AA382" s="119">
        <f t="shared" si="99"/>
        <v>0</v>
      </c>
      <c r="AB382" s="119">
        <f t="shared" si="100"/>
        <v>0</v>
      </c>
      <c r="AC382" s="119">
        <f t="shared" si="101"/>
        <v>1</v>
      </c>
      <c r="AD382" s="119">
        <f t="shared" si="102"/>
        <v>1</v>
      </c>
      <c r="AE382" s="119">
        <f t="shared" si="103"/>
        <v>0</v>
      </c>
      <c r="AF382" s="7"/>
      <c r="AG382" s="7"/>
      <c r="AH382" s="7">
        <f t="shared" si="104"/>
        <v>3</v>
      </c>
      <c r="AI382" s="7">
        <f t="shared" si="105"/>
        <v>3</v>
      </c>
      <c r="AJ382" s="7" t="str">
        <f t="shared" si="106"/>
        <v>Correct</v>
      </c>
      <c r="AL382" s="120" t="str">
        <f>IFERROR(VLOOKUP(Table1[RespondentID],'All Data'!$A$3:$CO$999,87,FALSE),"unknown")</f>
        <v>Woman</v>
      </c>
      <c r="AM382" s="120">
        <f>IFERROR(VLOOKUP(Table1[RespondentID],'All Data'!$A$3:$CO$999,88,FALSE),"unknown")</f>
        <v>0</v>
      </c>
      <c r="AN382" s="120" t="str">
        <f>IFERROR(VLOOKUP(Table1[RespondentID],'All Data'!$A$3:$CO$999,89,FALSE),"unknown")</f>
        <v>Suffolk</v>
      </c>
      <c r="AO382" s="120" t="str">
        <f>IFERROR(VLOOKUP(Table1[RespondentID],'All Data'!$A$3:$CO$999,90,FALSE),"unknown")</f>
        <v>Bohemia, 11716</v>
      </c>
      <c r="AP382" s="120" t="str">
        <f>IFERROR(VLOOKUP(Table1[RespondentID],'All Data'!$A$3:$CO$999,91,FALSE),"unknown")</f>
        <v>White</v>
      </c>
      <c r="AQ382" s="120" t="str">
        <f>IFERROR(VLOOKUP(Table1[RespondentID],'All Data'!$A$3:$CO$999,92,FALSE),"unknown")</f>
        <v>Not Hispanic or Latino</v>
      </c>
      <c r="AR382" s="120" t="str">
        <f>IFERROR(VLOOKUP(Table1[RespondentID],'All Data'!$A$3:$CO$999,93,FALSE),"unknown")</f>
        <v>English</v>
      </c>
      <c r="AS382" s="120" t="str">
        <f>IFERROR(VLOOKUP(Table1[RespondentID],'All Data'!$A$3:$CW$999,94,FALSE),"unknown")</f>
        <v>$75,000 to $125,000</v>
      </c>
      <c r="AT382" s="120" t="str">
        <f>IFERROR(VLOOKUP(Table1[RespondentID],'All Data'!$A$3:$CW$999,95,FALSE),"unknown")</f>
        <v>High school graduate</v>
      </c>
      <c r="AU382" s="120" t="str">
        <f>IFERROR(VLOOKUP(Table1[RespondentID],'All Data'!$A$3:$CW$999,96,FALSE),"unknown")</f>
        <v>Employed for wages</v>
      </c>
      <c r="AV382" s="120" t="str">
        <f>IFERROR(VLOOKUP(Table1[RespondentID],'All Data'!$A$3:$CW$999,97,FALSE),"unknown")</f>
        <v>No, but I did in the past</v>
      </c>
      <c r="AW382" s="120" t="str">
        <f>IFERROR(VLOOKUP(Table1[RespondentID],'All Data'!$A$3:$CW$999,98,FALSE),"unknown")</f>
        <v>Private/Commercial</v>
      </c>
      <c r="AX382" s="120" t="str">
        <f>IFERROR(VLOOKUP(Table1[RespondentID],'All Data'!$A$3:$CW$999,99,FALSE),"unknown")</f>
        <v>Yes</v>
      </c>
    </row>
    <row r="383" spans="1:50">
      <c r="A383" s="5">
        <v>114087722061</v>
      </c>
      <c r="B383" s="5"/>
      <c r="C383" s="5"/>
      <c r="D383" s="5"/>
      <c r="E383" s="5"/>
      <c r="F383" s="5"/>
      <c r="G383" s="5"/>
      <c r="H383" s="5"/>
      <c r="I383" s="5"/>
      <c r="J383" s="5"/>
      <c r="K383" s="5" t="s">
        <v>25</v>
      </c>
      <c r="L383" s="5" t="s">
        <v>26</v>
      </c>
      <c r="M383" s="5"/>
      <c r="N383" s="5" t="s">
        <v>28</v>
      </c>
      <c r="O383" s="7"/>
      <c r="P383" s="7">
        <f t="shared" si="90"/>
        <v>3</v>
      </c>
      <c r="Q383" s="7">
        <f t="shared" si="91"/>
        <v>1</v>
      </c>
      <c r="R383" s="7"/>
      <c r="S383" s="7">
        <f t="shared" si="107"/>
        <v>0</v>
      </c>
      <c r="T383" s="7">
        <f t="shared" si="92"/>
        <v>0</v>
      </c>
      <c r="U383" s="7">
        <f t="shared" si="93"/>
        <v>0</v>
      </c>
      <c r="V383" s="119">
        <f t="shared" si="94"/>
        <v>0</v>
      </c>
      <c r="W383" s="119">
        <f t="shared" si="95"/>
        <v>0</v>
      </c>
      <c r="X383" s="119">
        <f t="shared" si="96"/>
        <v>0</v>
      </c>
      <c r="Y383" s="119">
        <f t="shared" si="97"/>
        <v>0</v>
      </c>
      <c r="Z383" s="119">
        <f t="shared" si="98"/>
        <v>0</v>
      </c>
      <c r="AA383" s="119">
        <f t="shared" si="99"/>
        <v>0</v>
      </c>
      <c r="AB383" s="119">
        <f t="shared" si="100"/>
        <v>1</v>
      </c>
      <c r="AC383" s="119">
        <f t="shared" si="101"/>
        <v>1</v>
      </c>
      <c r="AD383" s="119">
        <f t="shared" si="102"/>
        <v>0</v>
      </c>
      <c r="AE383" s="119">
        <f t="shared" si="103"/>
        <v>1</v>
      </c>
      <c r="AF383" s="7"/>
      <c r="AG383" s="7"/>
      <c r="AH383" s="7">
        <f t="shared" si="104"/>
        <v>3</v>
      </c>
      <c r="AI383" s="7">
        <f t="shared" si="105"/>
        <v>3</v>
      </c>
      <c r="AJ383" s="7" t="str">
        <f t="shared" si="106"/>
        <v>Correct</v>
      </c>
      <c r="AL383" s="120" t="str">
        <f>IFERROR(VLOOKUP(Table1[RespondentID],'All Data'!$A$3:$CO$999,87,FALSE),"unknown")</f>
        <v>Woman</v>
      </c>
      <c r="AM383" s="120">
        <f>IFERROR(VLOOKUP(Table1[RespondentID],'All Data'!$A$3:$CO$999,88,FALSE),"unknown")</f>
        <v>0</v>
      </c>
      <c r="AN383" s="120" t="str">
        <f>IFERROR(VLOOKUP(Table1[RespondentID],'All Data'!$A$3:$CO$999,89,FALSE),"unknown")</f>
        <v>Nassau</v>
      </c>
      <c r="AO383" s="120" t="str">
        <f>IFERROR(VLOOKUP(Table1[RespondentID],'All Data'!$A$3:$CO$999,90,FALSE),"unknown")</f>
        <v>Valley Stream, 11580</v>
      </c>
      <c r="AP383" s="120" t="str">
        <f>IFERROR(VLOOKUP(Table1[RespondentID],'All Data'!$A$3:$CO$999,91,FALSE),"unknown")</f>
        <v>Other (please specify)</v>
      </c>
      <c r="AQ383" s="120" t="str">
        <f>IFERROR(VLOOKUP(Table1[RespondentID],'All Data'!$A$3:$CO$999,92,FALSE),"unknown")</f>
        <v>Unknown</v>
      </c>
      <c r="AR383" s="120" t="str">
        <f>IFERROR(VLOOKUP(Table1[RespondentID],'All Data'!$A$3:$CO$999,93,FALSE),"unknown")</f>
        <v>English</v>
      </c>
      <c r="AS383" s="120" t="str">
        <f>IFERROR(VLOOKUP(Table1[RespondentID],'All Data'!$A$3:$CW$999,94,FALSE),"unknown")</f>
        <v>$35,000 to $49,999</v>
      </c>
      <c r="AT383" s="120" t="str">
        <f>IFERROR(VLOOKUP(Table1[RespondentID],'All Data'!$A$3:$CW$999,95,FALSE),"unknown")</f>
        <v>Some college</v>
      </c>
      <c r="AU383" s="120" t="str">
        <f>IFERROR(VLOOKUP(Table1[RespondentID],'All Data'!$A$3:$CW$999,96,FALSE),"unknown")</f>
        <v>Employed for wages</v>
      </c>
      <c r="AV383" s="120" t="str">
        <f>IFERROR(VLOOKUP(Table1[RespondentID],'All Data'!$A$3:$CW$999,97,FALSE),"unknown")</f>
        <v>Yes</v>
      </c>
      <c r="AW383" s="120" t="str">
        <f>IFERROR(VLOOKUP(Table1[RespondentID],'All Data'!$A$3:$CW$999,98,FALSE),"unknown")</f>
        <v>Private/Commercial</v>
      </c>
      <c r="AX383" s="120" t="str">
        <f>IFERROR(VLOOKUP(Table1[RespondentID],'All Data'!$A$3:$CW$999,99,FALSE),"unknown")</f>
        <v>Yes</v>
      </c>
    </row>
    <row r="384" spans="1:50">
      <c r="A384" s="5">
        <v>114087334117</v>
      </c>
      <c r="B384" s="5"/>
      <c r="C384" s="5"/>
      <c r="D384" s="5"/>
      <c r="E384" s="5"/>
      <c r="F384" s="5"/>
      <c r="G384" s="5"/>
      <c r="H384" s="5"/>
      <c r="I384" s="5"/>
      <c r="J384" s="5"/>
      <c r="K384" s="5" t="s">
        <v>25</v>
      </c>
      <c r="L384" s="5" t="s">
        <v>26</v>
      </c>
      <c r="M384" s="5"/>
      <c r="N384" s="5"/>
      <c r="O384" s="7"/>
      <c r="P384" s="7">
        <f t="shared" si="90"/>
        <v>2</v>
      </c>
      <c r="Q384" s="7">
        <f t="shared" si="91"/>
        <v>1.5</v>
      </c>
      <c r="R384" s="7"/>
      <c r="S384" s="7">
        <f t="shared" si="107"/>
        <v>0</v>
      </c>
      <c r="T384" s="7">
        <f t="shared" si="92"/>
        <v>0</v>
      </c>
      <c r="U384" s="7">
        <f t="shared" si="93"/>
        <v>0</v>
      </c>
      <c r="V384" s="119">
        <f t="shared" si="94"/>
        <v>0</v>
      </c>
      <c r="W384" s="119">
        <f t="shared" si="95"/>
        <v>0</v>
      </c>
      <c r="X384" s="119">
        <f t="shared" si="96"/>
        <v>0</v>
      </c>
      <c r="Y384" s="119">
        <f t="shared" si="97"/>
        <v>0</v>
      </c>
      <c r="Z384" s="119">
        <f t="shared" si="98"/>
        <v>0</v>
      </c>
      <c r="AA384" s="119">
        <f t="shared" si="99"/>
        <v>0</v>
      </c>
      <c r="AB384" s="119">
        <f t="shared" si="100"/>
        <v>1</v>
      </c>
      <c r="AC384" s="119">
        <f t="shared" si="101"/>
        <v>1</v>
      </c>
      <c r="AD384" s="119">
        <f t="shared" si="102"/>
        <v>0</v>
      </c>
      <c r="AE384" s="119">
        <f t="shared" si="103"/>
        <v>0</v>
      </c>
      <c r="AF384" s="7"/>
      <c r="AG384" s="7"/>
      <c r="AH384" s="7">
        <f t="shared" si="104"/>
        <v>2</v>
      </c>
      <c r="AI384" s="7">
        <f t="shared" si="105"/>
        <v>2</v>
      </c>
      <c r="AJ384" s="7" t="str">
        <f t="shared" si="106"/>
        <v>Correct</v>
      </c>
      <c r="AL384" s="120" t="str">
        <f>IFERROR(VLOOKUP(Table1[RespondentID],'All Data'!$A$3:$CO$999,87,FALSE),"unknown")</f>
        <v>Woman</v>
      </c>
      <c r="AM384" s="120">
        <f>IFERROR(VLOOKUP(Table1[RespondentID],'All Data'!$A$3:$CO$999,88,FALSE),"unknown")</f>
        <v>0</v>
      </c>
      <c r="AN384" s="120" t="str">
        <f>IFERROR(VLOOKUP(Table1[RespondentID],'All Data'!$A$3:$CO$999,89,FALSE),"unknown")</f>
        <v>Nassau</v>
      </c>
      <c r="AO384" s="120" t="str">
        <f>IFERROR(VLOOKUP(Table1[RespondentID],'All Data'!$A$3:$CO$999,90,FALSE),"unknown")</f>
        <v>Freeport, 11520</v>
      </c>
      <c r="AP384" s="120" t="str">
        <f>IFERROR(VLOOKUP(Table1[RespondentID],'All Data'!$A$3:$CO$999,91,FALSE),"unknown")</f>
        <v>White</v>
      </c>
      <c r="AQ384" s="120" t="str">
        <f>IFERROR(VLOOKUP(Table1[RespondentID],'All Data'!$A$3:$CO$999,92,FALSE),"unknown")</f>
        <v>Not Hispanic or Latino</v>
      </c>
      <c r="AR384" s="120" t="str">
        <f>IFERROR(VLOOKUP(Table1[RespondentID],'All Data'!$A$3:$CO$999,93,FALSE),"unknown")</f>
        <v>English</v>
      </c>
      <c r="AS384" s="120" t="str">
        <f>IFERROR(VLOOKUP(Table1[RespondentID],'All Data'!$A$3:$CW$999,94,FALSE),"unknown")</f>
        <v>$75,000 to $125,000</v>
      </c>
      <c r="AT384" s="120" t="str">
        <f>IFERROR(VLOOKUP(Table1[RespondentID],'All Data'!$A$3:$CW$999,95,FALSE),"unknown")</f>
        <v>Graduate school</v>
      </c>
      <c r="AU384" s="120" t="str">
        <f>IFERROR(VLOOKUP(Table1[RespondentID],'All Data'!$A$3:$CW$999,96,FALSE),"unknown")</f>
        <v>Employed for wages</v>
      </c>
      <c r="AV384" s="120" t="str">
        <f>IFERROR(VLOOKUP(Table1[RespondentID],'All Data'!$A$3:$CW$999,97,FALSE),"unknown")</f>
        <v>Yes</v>
      </c>
      <c r="AW384" s="120" t="str">
        <f>IFERROR(VLOOKUP(Table1[RespondentID],'All Data'!$A$3:$CW$999,98,FALSE),"unknown")</f>
        <v>Private/Commercial</v>
      </c>
      <c r="AX384" s="120" t="str">
        <f>IFERROR(VLOOKUP(Table1[RespondentID],'All Data'!$A$3:$CW$999,99,FALSE),"unknown")</f>
        <v>Yes</v>
      </c>
    </row>
    <row r="385" spans="1:50">
      <c r="A385" s="5">
        <v>114087289322</v>
      </c>
      <c r="B385" s="5"/>
      <c r="C385" s="5"/>
      <c r="D385" s="5"/>
      <c r="E385" s="5" t="s">
        <v>19</v>
      </c>
      <c r="F385" s="5"/>
      <c r="G385" s="5"/>
      <c r="H385" s="5"/>
      <c r="I385" s="5" t="s">
        <v>23</v>
      </c>
      <c r="J385" s="5"/>
      <c r="K385" s="5" t="s">
        <v>25</v>
      </c>
      <c r="L385" s="5"/>
      <c r="M385" s="5"/>
      <c r="N385" s="5"/>
      <c r="O385" s="7"/>
      <c r="P385" s="7">
        <f t="shared" si="90"/>
        <v>3</v>
      </c>
      <c r="Q385" s="7">
        <f t="shared" si="91"/>
        <v>1</v>
      </c>
      <c r="R385" s="7"/>
      <c r="S385" s="7">
        <f t="shared" si="107"/>
        <v>0</v>
      </c>
      <c r="T385" s="7">
        <f t="shared" si="92"/>
        <v>0</v>
      </c>
      <c r="U385" s="7">
        <f t="shared" si="93"/>
        <v>0</v>
      </c>
      <c r="V385" s="119">
        <f t="shared" si="94"/>
        <v>1</v>
      </c>
      <c r="W385" s="119">
        <f t="shared" si="95"/>
        <v>0</v>
      </c>
      <c r="X385" s="119">
        <f t="shared" si="96"/>
        <v>0</v>
      </c>
      <c r="Y385" s="119">
        <f t="shared" si="97"/>
        <v>0</v>
      </c>
      <c r="Z385" s="119">
        <f t="shared" si="98"/>
        <v>1</v>
      </c>
      <c r="AA385" s="119">
        <f t="shared" si="99"/>
        <v>0</v>
      </c>
      <c r="AB385" s="119">
        <f t="shared" si="100"/>
        <v>1</v>
      </c>
      <c r="AC385" s="119">
        <f t="shared" si="101"/>
        <v>0</v>
      </c>
      <c r="AD385" s="119">
        <f t="shared" si="102"/>
        <v>0</v>
      </c>
      <c r="AE385" s="119">
        <f t="shared" si="103"/>
        <v>0</v>
      </c>
      <c r="AF385" s="7"/>
      <c r="AG385" s="7"/>
      <c r="AH385" s="7">
        <f t="shared" si="104"/>
        <v>3</v>
      </c>
      <c r="AI385" s="7">
        <f t="shared" si="105"/>
        <v>3</v>
      </c>
      <c r="AJ385" s="7" t="str">
        <f t="shared" si="106"/>
        <v>Correct</v>
      </c>
      <c r="AL385" s="120" t="str">
        <f>IFERROR(VLOOKUP(Table1[RespondentID],'All Data'!$A$3:$CO$999,87,FALSE),"unknown")</f>
        <v>Woman</v>
      </c>
      <c r="AM385" s="120">
        <f>IFERROR(VLOOKUP(Table1[RespondentID],'All Data'!$A$3:$CO$999,88,FALSE),"unknown")</f>
        <v>0</v>
      </c>
      <c r="AN385" s="120" t="str">
        <f>IFERROR(VLOOKUP(Table1[RespondentID],'All Data'!$A$3:$CO$999,89,FALSE),"unknown")</f>
        <v>Nassau</v>
      </c>
      <c r="AO385" s="120" t="str">
        <f>IFERROR(VLOOKUP(Table1[RespondentID],'All Data'!$A$3:$CO$999,90,FALSE),"unknown")</f>
        <v>Franklin Square, 11010</v>
      </c>
      <c r="AP385" s="120" t="str">
        <f>IFERROR(VLOOKUP(Table1[RespondentID],'All Data'!$A$3:$CO$999,91,FALSE),"unknown")</f>
        <v>White</v>
      </c>
      <c r="AQ385" s="120" t="str">
        <f>IFERROR(VLOOKUP(Table1[RespondentID],'All Data'!$A$3:$CO$999,92,FALSE),"unknown")</f>
        <v>Not Hispanic or Latino</v>
      </c>
      <c r="AR385" s="120" t="str">
        <f>IFERROR(VLOOKUP(Table1[RespondentID],'All Data'!$A$3:$CO$999,93,FALSE),"unknown")</f>
        <v>English</v>
      </c>
      <c r="AS385" s="120" t="str">
        <f>IFERROR(VLOOKUP(Table1[RespondentID],'All Data'!$A$3:$CW$999,94,FALSE),"unknown")</f>
        <v>Over $125,000</v>
      </c>
      <c r="AT385" s="120" t="str">
        <f>IFERROR(VLOOKUP(Table1[RespondentID],'All Data'!$A$3:$CW$999,95,FALSE),"unknown")</f>
        <v>College graduate</v>
      </c>
      <c r="AU385" s="120" t="str">
        <f>IFERROR(VLOOKUP(Table1[RespondentID],'All Data'!$A$3:$CW$999,96,FALSE),"unknown")</f>
        <v>Employed for wages</v>
      </c>
      <c r="AV385" s="120" t="str">
        <f>IFERROR(VLOOKUP(Table1[RespondentID],'All Data'!$A$3:$CW$999,97,FALSE),"unknown")</f>
        <v>Yes</v>
      </c>
      <c r="AW385" s="120" t="str">
        <f>IFERROR(VLOOKUP(Table1[RespondentID],'All Data'!$A$3:$CW$999,98,FALSE),"unknown")</f>
        <v>Private/Commercial</v>
      </c>
      <c r="AX385" s="120" t="str">
        <f>IFERROR(VLOOKUP(Table1[RespondentID],'All Data'!$A$3:$CW$999,99,FALSE),"unknown")</f>
        <v>Yes</v>
      </c>
    </row>
    <row r="386" spans="1:50">
      <c r="A386" s="5">
        <v>114087207731</v>
      </c>
      <c r="B386" s="5"/>
      <c r="C386" s="5" t="s">
        <v>17</v>
      </c>
      <c r="D386" s="5" t="s">
        <v>18</v>
      </c>
      <c r="E386" s="5"/>
      <c r="F386" s="5"/>
      <c r="G386" s="5" t="s">
        <v>21</v>
      </c>
      <c r="H386" s="5"/>
      <c r="I386" s="5"/>
      <c r="J386" s="5" t="s">
        <v>24</v>
      </c>
      <c r="K386" s="5" t="s">
        <v>25</v>
      </c>
      <c r="L386" s="5"/>
      <c r="M386" s="5"/>
      <c r="N386" s="5"/>
      <c r="O386" s="7"/>
      <c r="P386" s="7">
        <f t="shared" ref="P386:P429" si="108">COUNTA(B386:N386)</f>
        <v>5</v>
      </c>
      <c r="Q386" s="7">
        <f t="shared" ref="Q386:Q429" si="109">3/P386</f>
        <v>0.6</v>
      </c>
      <c r="R386" s="7"/>
      <c r="S386" s="7">
        <f t="shared" si="107"/>
        <v>0</v>
      </c>
      <c r="T386" s="7">
        <f t="shared" ref="T386:T429" si="110">IF($P386&lt;3,IF($C386=$C$1,1,0),IF($C386=$C$1,$Q386,0))</f>
        <v>0.6</v>
      </c>
      <c r="U386" s="7">
        <f t="shared" ref="U386:U429" si="111">IF($P386&lt;3,IF($D386=$D$1,1,0),IF($D386=$D$1,$Q386,0))</f>
        <v>0.6</v>
      </c>
      <c r="V386" s="119">
        <f t="shared" ref="V386:V429" si="112">IF($P386&lt;3,IF($E386=$E$1,1,0),IF($E386=$E$1,$Q386,0))</f>
        <v>0</v>
      </c>
      <c r="W386" s="119">
        <f t="shared" ref="W386:W429" si="113">IF($P386&lt;3,IF($F386=$F$1,1,0),IF($F386=$F$1,$Q386,0))</f>
        <v>0</v>
      </c>
      <c r="X386" s="119">
        <f t="shared" ref="X386:X429" si="114">IF($P386&lt;3,IF($G386=$G$1,1,0),IF($G386=$G$1,$Q386,0))</f>
        <v>0.6</v>
      </c>
      <c r="Y386" s="119">
        <f t="shared" ref="Y386:Y429" si="115">IF($P386&lt;3,IF($H386=$H$1,1,0),IF($H386=$H$1,$Q386,0))</f>
        <v>0</v>
      </c>
      <c r="Z386" s="119">
        <f t="shared" ref="Z386:Z429" si="116">IF($P386&lt;3,IF($I386=$I$1,1,0),IF($I386=$I$1,$Q386,0))</f>
        <v>0</v>
      </c>
      <c r="AA386" s="119">
        <f t="shared" ref="AA386:AA429" si="117">IF($P386&lt;3,IF($J386=$J$1,1,0),IF($J386=$J$1,$Q386,0))</f>
        <v>0.6</v>
      </c>
      <c r="AB386" s="119">
        <f t="shared" ref="AB386:AB429" si="118">IF($P386&lt;3,IF($K386=$K$1,1,0),IF($K386=$K$1,$Q386,0))</f>
        <v>0.6</v>
      </c>
      <c r="AC386" s="119">
        <f t="shared" ref="AC386:AC429" si="119">IF($P386&lt;3,IF($L386=$L$1,1,0),IF($L386=$L$1,$Q386,0))</f>
        <v>0</v>
      </c>
      <c r="AD386" s="119">
        <f t="shared" ref="AD386:AD429" si="120">IF($P386&lt;3,IF($M386=$M$1,1,0),IF($M386=$M$1,$Q386,0))</f>
        <v>0</v>
      </c>
      <c r="AE386" s="119">
        <f t="shared" ref="AE386:AE429" si="121">IF($P386&lt;3,IF($N386=$N$1,1,0),IF($N386=$N$1,$Q386,0))</f>
        <v>0</v>
      </c>
      <c r="AF386" s="7"/>
      <c r="AG386" s="7"/>
      <c r="AH386" s="7">
        <f t="shared" ref="AH386:AH429" si="122">SUM(S386:AE386)</f>
        <v>3</v>
      </c>
      <c r="AI386" s="7">
        <f t="shared" ref="AI386:AI429" si="123">P386</f>
        <v>5</v>
      </c>
      <c r="AJ386" s="7" t="str">
        <f t="shared" ref="AJ386:AJ429" si="124">IF(AH386=AI386,"Correct",IF(AH386=3,"Correct","Wrong"))</f>
        <v>Correct</v>
      </c>
      <c r="AL386" s="120" t="str">
        <f>IFERROR(VLOOKUP(Table1[RespondentID],'All Data'!$A$3:$CO$999,87,FALSE),"unknown")</f>
        <v>Woman</v>
      </c>
      <c r="AM386" s="120">
        <f>IFERROR(VLOOKUP(Table1[RespondentID],'All Data'!$A$3:$CO$999,88,FALSE),"unknown")</f>
        <v>0</v>
      </c>
      <c r="AN386" s="120" t="str">
        <f>IFERROR(VLOOKUP(Table1[RespondentID],'All Data'!$A$3:$CO$999,89,FALSE),"unknown")</f>
        <v>Nassau</v>
      </c>
      <c r="AO386" s="120" t="str">
        <f>IFERROR(VLOOKUP(Table1[RespondentID],'All Data'!$A$3:$CO$999,90,FALSE),"unknown")</f>
        <v>Wantagh, 11793</v>
      </c>
      <c r="AP386" s="120" t="str">
        <f>IFERROR(VLOOKUP(Table1[RespondentID],'All Data'!$A$3:$CO$999,91,FALSE),"unknown")</f>
        <v>White</v>
      </c>
      <c r="AQ386" s="120" t="str">
        <f>IFERROR(VLOOKUP(Table1[RespondentID],'All Data'!$A$3:$CO$999,92,FALSE),"unknown")</f>
        <v>Not Hispanic or Latino</v>
      </c>
      <c r="AR386" s="120" t="str">
        <f>IFERROR(VLOOKUP(Table1[RespondentID],'All Data'!$A$3:$CO$999,93,FALSE),"unknown")</f>
        <v>English</v>
      </c>
      <c r="AS386" s="120" t="str">
        <f>IFERROR(VLOOKUP(Table1[RespondentID],'All Data'!$A$3:$CW$999,94,FALSE),"unknown")</f>
        <v>$75,000 to $125,000</v>
      </c>
      <c r="AT386" s="120" t="str">
        <f>IFERROR(VLOOKUP(Table1[RespondentID],'All Data'!$A$3:$CW$999,95,FALSE),"unknown")</f>
        <v>College graduate</v>
      </c>
      <c r="AU386" s="120" t="str">
        <f>IFERROR(VLOOKUP(Table1[RespondentID],'All Data'!$A$3:$CW$999,96,FALSE),"unknown")</f>
        <v>Employed for wages</v>
      </c>
      <c r="AV386" s="120" t="str">
        <f>IFERROR(VLOOKUP(Table1[RespondentID],'All Data'!$A$3:$CW$999,97,FALSE),"unknown")</f>
        <v>Yes</v>
      </c>
      <c r="AW386" s="120" t="str">
        <f>IFERROR(VLOOKUP(Table1[RespondentID],'All Data'!$A$3:$CW$999,98,FALSE),"unknown")</f>
        <v>Private/Commercial</v>
      </c>
      <c r="AX386" s="120" t="str">
        <f>IFERROR(VLOOKUP(Table1[RespondentID],'All Data'!$A$3:$CW$999,99,FALSE),"unknown")</f>
        <v>Yes</v>
      </c>
    </row>
    <row r="387" spans="1:50">
      <c r="A387" s="5">
        <v>114086765018</v>
      </c>
      <c r="B387" s="5"/>
      <c r="C387" s="5"/>
      <c r="D387" s="5" t="s">
        <v>18</v>
      </c>
      <c r="E387" s="5"/>
      <c r="F387" s="5"/>
      <c r="G387" s="5"/>
      <c r="H387" s="5"/>
      <c r="I387" s="5" t="s">
        <v>23</v>
      </c>
      <c r="J387" s="5"/>
      <c r="K387" s="5"/>
      <c r="L387" s="5"/>
      <c r="M387" s="5" t="s">
        <v>27</v>
      </c>
      <c r="N387" s="5"/>
      <c r="O387" s="7"/>
      <c r="P387" s="7">
        <f t="shared" si="108"/>
        <v>3</v>
      </c>
      <c r="Q387" s="7">
        <f t="shared" si="109"/>
        <v>1</v>
      </c>
      <c r="R387" s="7"/>
      <c r="S387" s="7">
        <f t="shared" si="107"/>
        <v>0</v>
      </c>
      <c r="T387" s="7">
        <f t="shared" si="110"/>
        <v>0</v>
      </c>
      <c r="U387" s="7">
        <f t="shared" si="111"/>
        <v>1</v>
      </c>
      <c r="V387" s="119">
        <f t="shared" si="112"/>
        <v>0</v>
      </c>
      <c r="W387" s="119">
        <f t="shared" si="113"/>
        <v>0</v>
      </c>
      <c r="X387" s="119">
        <f t="shared" si="114"/>
        <v>0</v>
      </c>
      <c r="Y387" s="119">
        <f t="shared" si="115"/>
        <v>0</v>
      </c>
      <c r="Z387" s="119">
        <f t="shared" si="116"/>
        <v>1</v>
      </c>
      <c r="AA387" s="119">
        <f t="shared" si="117"/>
        <v>0</v>
      </c>
      <c r="AB387" s="119">
        <f t="shared" si="118"/>
        <v>0</v>
      </c>
      <c r="AC387" s="119">
        <f t="shared" si="119"/>
        <v>0</v>
      </c>
      <c r="AD387" s="119">
        <f t="shared" si="120"/>
        <v>1</v>
      </c>
      <c r="AE387" s="119">
        <f t="shared" si="121"/>
        <v>0</v>
      </c>
      <c r="AF387" s="7"/>
      <c r="AG387" s="7"/>
      <c r="AH387" s="7">
        <f t="shared" si="122"/>
        <v>3</v>
      </c>
      <c r="AI387" s="7">
        <f t="shared" si="123"/>
        <v>3</v>
      </c>
      <c r="AJ387" s="7" t="str">
        <f t="shared" si="124"/>
        <v>Correct</v>
      </c>
      <c r="AL387" s="120" t="str">
        <f>IFERROR(VLOOKUP(Table1[RespondentID],'All Data'!$A$3:$CO$999,87,FALSE),"unknown")</f>
        <v>Man</v>
      </c>
      <c r="AM387" s="120">
        <f>IFERROR(VLOOKUP(Table1[RespondentID],'All Data'!$A$3:$CO$999,88,FALSE),"unknown")</f>
        <v>0</v>
      </c>
      <c r="AN387" s="120" t="str">
        <f>IFERROR(VLOOKUP(Table1[RespondentID],'All Data'!$A$3:$CO$999,89,FALSE),"unknown")</f>
        <v>Suffolk</v>
      </c>
      <c r="AO387" s="120" t="str">
        <f>IFERROR(VLOOKUP(Table1[RespondentID],'All Data'!$A$3:$CO$999,90,FALSE),"unknown")</f>
        <v>West Islip, 11795</v>
      </c>
      <c r="AP387" s="120" t="str">
        <f>IFERROR(VLOOKUP(Table1[RespondentID],'All Data'!$A$3:$CO$999,91,FALSE),"unknown")</f>
        <v>White</v>
      </c>
      <c r="AQ387" s="120" t="str">
        <f>IFERROR(VLOOKUP(Table1[RespondentID],'All Data'!$A$3:$CO$999,92,FALSE),"unknown")</f>
        <v>Not Hispanic or Latino</v>
      </c>
      <c r="AR387" s="120" t="str">
        <f>IFERROR(VLOOKUP(Table1[RespondentID],'All Data'!$A$3:$CO$999,93,FALSE),"unknown")</f>
        <v>English</v>
      </c>
      <c r="AS387" s="120" t="str">
        <f>IFERROR(VLOOKUP(Table1[RespondentID],'All Data'!$A$3:$CW$999,94,FALSE),"unknown")</f>
        <v>Over $125,000</v>
      </c>
      <c r="AT387" s="120" t="str">
        <f>IFERROR(VLOOKUP(Table1[RespondentID],'All Data'!$A$3:$CW$999,95,FALSE),"unknown")</f>
        <v>College graduate</v>
      </c>
      <c r="AU387" s="120" t="str">
        <f>IFERROR(VLOOKUP(Table1[RespondentID],'All Data'!$A$3:$CW$999,96,FALSE),"unknown")</f>
        <v>Employed for wages</v>
      </c>
      <c r="AV387" s="120" t="str">
        <f>IFERROR(VLOOKUP(Table1[RespondentID],'All Data'!$A$3:$CW$999,97,FALSE),"unknown")</f>
        <v>Yes</v>
      </c>
      <c r="AW387" s="120" t="str">
        <f>IFERROR(VLOOKUP(Table1[RespondentID],'All Data'!$A$3:$CW$999,98,FALSE),"unknown")</f>
        <v>Private/Commercial</v>
      </c>
      <c r="AX387" s="120" t="str">
        <f>IFERROR(VLOOKUP(Table1[RespondentID],'All Data'!$A$3:$CW$999,99,FALSE),"unknown")</f>
        <v>Yes</v>
      </c>
    </row>
    <row r="388" spans="1:50">
      <c r="A388" s="5">
        <v>114086729438</v>
      </c>
      <c r="B388" s="5"/>
      <c r="C388" s="5" t="s">
        <v>17</v>
      </c>
      <c r="D388" s="5"/>
      <c r="E388" s="5"/>
      <c r="F388" s="5"/>
      <c r="G388" s="5" t="s">
        <v>21</v>
      </c>
      <c r="H388" s="5"/>
      <c r="I388" s="5"/>
      <c r="J388" s="5"/>
      <c r="K388" s="5" t="s">
        <v>25</v>
      </c>
      <c r="L388" s="5"/>
      <c r="M388" s="5"/>
      <c r="N388" s="5"/>
      <c r="O388" s="7"/>
      <c r="P388" s="7">
        <f t="shared" si="108"/>
        <v>3</v>
      </c>
      <c r="Q388" s="7">
        <f t="shared" si="109"/>
        <v>1</v>
      </c>
      <c r="R388" s="7"/>
      <c r="S388" s="7">
        <f t="shared" ref="S388:S429" si="125">IF($P388&lt;3,IF($B388=$B$1,1,0),IF($B388=$B$1,$Q388,0))</f>
        <v>0</v>
      </c>
      <c r="T388" s="7">
        <f t="shared" si="110"/>
        <v>1</v>
      </c>
      <c r="U388" s="7">
        <f t="shared" si="111"/>
        <v>0</v>
      </c>
      <c r="V388" s="119">
        <f t="shared" si="112"/>
        <v>0</v>
      </c>
      <c r="W388" s="119">
        <f t="shared" si="113"/>
        <v>0</v>
      </c>
      <c r="X388" s="119">
        <f t="shared" si="114"/>
        <v>1</v>
      </c>
      <c r="Y388" s="119">
        <f t="shared" si="115"/>
        <v>0</v>
      </c>
      <c r="Z388" s="119">
        <f t="shared" si="116"/>
        <v>0</v>
      </c>
      <c r="AA388" s="119">
        <f t="shared" si="117"/>
        <v>0</v>
      </c>
      <c r="AB388" s="119">
        <f t="shared" si="118"/>
        <v>1</v>
      </c>
      <c r="AC388" s="119">
        <f t="shared" si="119"/>
        <v>0</v>
      </c>
      <c r="AD388" s="119">
        <f t="shared" si="120"/>
        <v>0</v>
      </c>
      <c r="AE388" s="119">
        <f t="shared" si="121"/>
        <v>0</v>
      </c>
      <c r="AF388" s="7"/>
      <c r="AG388" s="7"/>
      <c r="AH388" s="7">
        <f t="shared" si="122"/>
        <v>3</v>
      </c>
      <c r="AI388" s="7">
        <f t="shared" si="123"/>
        <v>3</v>
      </c>
      <c r="AJ388" s="7" t="str">
        <f t="shared" si="124"/>
        <v>Correct</v>
      </c>
      <c r="AL388" s="120" t="str">
        <f>IFERROR(VLOOKUP(Table1[RespondentID],'All Data'!$A$3:$CO$999,87,FALSE),"unknown")</f>
        <v>Woman</v>
      </c>
      <c r="AM388" s="120">
        <f>IFERROR(VLOOKUP(Table1[RespondentID],'All Data'!$A$3:$CO$999,88,FALSE),"unknown")</f>
        <v>0</v>
      </c>
      <c r="AN388" s="120" t="str">
        <f>IFERROR(VLOOKUP(Table1[RespondentID],'All Data'!$A$3:$CO$999,89,FALSE),"unknown")</f>
        <v>Nassau</v>
      </c>
      <c r="AO388" s="120" t="str">
        <f>IFERROR(VLOOKUP(Table1[RespondentID],'All Data'!$A$3:$CO$999,90,FALSE),"unknown")</f>
        <v>Roslyn, 11576</v>
      </c>
      <c r="AP388" s="120" t="str">
        <f>IFERROR(VLOOKUP(Table1[RespondentID],'All Data'!$A$3:$CO$999,91,FALSE),"unknown")</f>
        <v>White</v>
      </c>
      <c r="AQ388" s="120" t="str">
        <f>IFERROR(VLOOKUP(Table1[RespondentID],'All Data'!$A$3:$CO$999,92,FALSE),"unknown")</f>
        <v>Not Hispanic or Latino</v>
      </c>
      <c r="AR388" s="120">
        <f>IFERROR(VLOOKUP(Table1[RespondentID],'All Data'!$A$3:$CO$999,93,FALSE),"unknown")</f>
        <v>0</v>
      </c>
      <c r="AS388" s="120" t="str">
        <f>IFERROR(VLOOKUP(Table1[RespondentID],'All Data'!$A$3:$CW$999,94,FALSE),"unknown")</f>
        <v>$75,000 to $125,000</v>
      </c>
      <c r="AT388" s="120" t="str">
        <f>IFERROR(VLOOKUP(Table1[RespondentID],'All Data'!$A$3:$CW$999,95,FALSE),"unknown")</f>
        <v>College graduate</v>
      </c>
      <c r="AU388" s="120" t="str">
        <f>IFERROR(VLOOKUP(Table1[RespondentID],'All Data'!$A$3:$CW$999,96,FALSE),"unknown")</f>
        <v>Employed for wages</v>
      </c>
      <c r="AV388" s="120" t="str">
        <f>IFERROR(VLOOKUP(Table1[RespondentID],'All Data'!$A$3:$CW$999,97,FALSE),"unknown")</f>
        <v>Yes</v>
      </c>
      <c r="AW388" s="120" t="str">
        <f>IFERROR(VLOOKUP(Table1[RespondentID],'All Data'!$A$3:$CW$999,98,FALSE),"unknown")</f>
        <v>Private/Commercial</v>
      </c>
      <c r="AX388" s="120" t="str">
        <f>IFERROR(VLOOKUP(Table1[RespondentID],'All Data'!$A$3:$CW$999,99,FALSE),"unknown")</f>
        <v>Yes</v>
      </c>
    </row>
    <row r="389" spans="1:50">
      <c r="A389" s="5">
        <v>114086716435</v>
      </c>
      <c r="B389" s="5" t="s">
        <v>16</v>
      </c>
      <c r="C389" s="5" t="s">
        <v>17</v>
      </c>
      <c r="D389" s="5" t="s">
        <v>18</v>
      </c>
      <c r="E389" s="5"/>
      <c r="F389" s="5"/>
      <c r="G389" s="5"/>
      <c r="H389" s="5" t="s">
        <v>22</v>
      </c>
      <c r="I389" s="5" t="s">
        <v>23</v>
      </c>
      <c r="J389" s="5" t="s">
        <v>24</v>
      </c>
      <c r="K389" s="5"/>
      <c r="L389" s="5"/>
      <c r="M389" s="5"/>
      <c r="N389" s="5" t="s">
        <v>28</v>
      </c>
      <c r="O389" s="7"/>
      <c r="P389" s="7">
        <f t="shared" si="108"/>
        <v>7</v>
      </c>
      <c r="Q389" s="7">
        <f t="shared" si="109"/>
        <v>0.42857142857142855</v>
      </c>
      <c r="R389" s="7"/>
      <c r="S389" s="7">
        <f t="shared" si="125"/>
        <v>0.42857142857142855</v>
      </c>
      <c r="T389" s="7">
        <f t="shared" si="110"/>
        <v>0.42857142857142855</v>
      </c>
      <c r="U389" s="7">
        <f t="shared" si="111"/>
        <v>0.42857142857142855</v>
      </c>
      <c r="V389" s="119">
        <f t="shared" si="112"/>
        <v>0</v>
      </c>
      <c r="W389" s="119">
        <f t="shared" si="113"/>
        <v>0</v>
      </c>
      <c r="X389" s="119">
        <f t="shared" si="114"/>
        <v>0</v>
      </c>
      <c r="Y389" s="119">
        <f t="shared" si="115"/>
        <v>0.42857142857142855</v>
      </c>
      <c r="Z389" s="119">
        <f t="shared" si="116"/>
        <v>0.42857142857142855</v>
      </c>
      <c r="AA389" s="119">
        <f t="shared" si="117"/>
        <v>0.42857142857142855</v>
      </c>
      <c r="AB389" s="119">
        <f t="shared" si="118"/>
        <v>0</v>
      </c>
      <c r="AC389" s="119">
        <f t="shared" si="119"/>
        <v>0</v>
      </c>
      <c r="AD389" s="119">
        <f t="shared" si="120"/>
        <v>0</v>
      </c>
      <c r="AE389" s="119">
        <f t="shared" si="121"/>
        <v>0.42857142857142855</v>
      </c>
      <c r="AF389" s="7"/>
      <c r="AG389" s="7"/>
      <c r="AH389" s="7">
        <f t="shared" si="122"/>
        <v>2.9999999999999996</v>
      </c>
      <c r="AI389" s="7">
        <f t="shared" si="123"/>
        <v>7</v>
      </c>
      <c r="AJ389" s="7" t="str">
        <f t="shared" si="124"/>
        <v>Correct</v>
      </c>
      <c r="AL389" s="120" t="str">
        <f>IFERROR(VLOOKUP(Table1[RespondentID],'All Data'!$A$3:$CO$999,87,FALSE),"unknown")</f>
        <v>Woman</v>
      </c>
      <c r="AM389" s="120">
        <f>IFERROR(VLOOKUP(Table1[RespondentID],'All Data'!$A$3:$CO$999,88,FALSE),"unknown")</f>
        <v>0</v>
      </c>
      <c r="AN389" s="120" t="str">
        <f>IFERROR(VLOOKUP(Table1[RespondentID],'All Data'!$A$3:$CO$999,89,FALSE),"unknown")</f>
        <v>Nassau</v>
      </c>
      <c r="AO389" s="120" t="str">
        <f>IFERROR(VLOOKUP(Table1[RespondentID],'All Data'!$A$3:$CO$999,90,FALSE),"unknown")</f>
        <v>North New Hyde Park, 11040</v>
      </c>
      <c r="AP389" s="120" t="str">
        <f>IFERROR(VLOOKUP(Table1[RespondentID],'All Data'!$A$3:$CO$999,91,FALSE),"unknown")</f>
        <v>Asian</v>
      </c>
      <c r="AQ389" s="120" t="str">
        <f>IFERROR(VLOOKUP(Table1[RespondentID],'All Data'!$A$3:$CO$999,92,FALSE),"unknown")</f>
        <v>Not Hispanic or Latino</v>
      </c>
      <c r="AR389" s="120" t="str">
        <f>IFERROR(VLOOKUP(Table1[RespondentID],'All Data'!$A$3:$CO$999,93,FALSE),"unknown")</f>
        <v>English</v>
      </c>
      <c r="AS389" s="120" t="str">
        <f>IFERROR(VLOOKUP(Table1[RespondentID],'All Data'!$A$3:$CW$999,94,FALSE),"unknown")</f>
        <v>$50,000 to $74,999</v>
      </c>
      <c r="AT389" s="120" t="str">
        <f>IFERROR(VLOOKUP(Table1[RespondentID],'All Data'!$A$3:$CW$999,95,FALSE),"unknown")</f>
        <v>College graduate</v>
      </c>
      <c r="AU389" s="120" t="str">
        <f>IFERROR(VLOOKUP(Table1[RespondentID],'All Data'!$A$3:$CW$999,96,FALSE),"unknown")</f>
        <v>Employed for wages</v>
      </c>
      <c r="AV389" s="120" t="str">
        <f>IFERROR(VLOOKUP(Table1[RespondentID],'All Data'!$A$3:$CW$999,97,FALSE),"unknown")</f>
        <v>Yes</v>
      </c>
      <c r="AW389" s="120" t="str">
        <f>IFERROR(VLOOKUP(Table1[RespondentID],'All Data'!$A$3:$CW$999,98,FALSE),"unknown")</f>
        <v>Private/Commercial</v>
      </c>
      <c r="AX389" s="120" t="str">
        <f>IFERROR(VLOOKUP(Table1[RespondentID],'All Data'!$A$3:$CW$999,99,FALSE),"unknown")</f>
        <v>Yes</v>
      </c>
    </row>
    <row r="390" spans="1:50">
      <c r="A390" s="5">
        <v>114086712665</v>
      </c>
      <c r="B390" s="5"/>
      <c r="C390" s="5" t="s">
        <v>17</v>
      </c>
      <c r="D390" s="5" t="s">
        <v>18</v>
      </c>
      <c r="E390" s="5"/>
      <c r="F390" s="5"/>
      <c r="G390" s="5"/>
      <c r="H390" s="5"/>
      <c r="I390" s="5"/>
      <c r="J390" s="5"/>
      <c r="K390" s="5"/>
      <c r="L390" s="5" t="s">
        <v>26</v>
      </c>
      <c r="M390" s="5"/>
      <c r="N390" s="5"/>
      <c r="O390" s="7"/>
      <c r="P390" s="7">
        <f t="shared" si="108"/>
        <v>3</v>
      </c>
      <c r="Q390" s="7">
        <f t="shared" si="109"/>
        <v>1</v>
      </c>
      <c r="R390" s="7"/>
      <c r="S390" s="7">
        <f t="shared" si="125"/>
        <v>0</v>
      </c>
      <c r="T390" s="7">
        <f t="shared" si="110"/>
        <v>1</v>
      </c>
      <c r="U390" s="7">
        <f t="shared" si="111"/>
        <v>1</v>
      </c>
      <c r="V390" s="119">
        <f t="shared" si="112"/>
        <v>0</v>
      </c>
      <c r="W390" s="119">
        <f t="shared" si="113"/>
        <v>0</v>
      </c>
      <c r="X390" s="119">
        <f t="shared" si="114"/>
        <v>0</v>
      </c>
      <c r="Y390" s="119">
        <f t="shared" si="115"/>
        <v>0</v>
      </c>
      <c r="Z390" s="119">
        <f t="shared" si="116"/>
        <v>0</v>
      </c>
      <c r="AA390" s="119">
        <f t="shared" si="117"/>
        <v>0</v>
      </c>
      <c r="AB390" s="119">
        <f t="shared" si="118"/>
        <v>0</v>
      </c>
      <c r="AC390" s="119">
        <f t="shared" si="119"/>
        <v>1</v>
      </c>
      <c r="AD390" s="119">
        <f t="shared" si="120"/>
        <v>0</v>
      </c>
      <c r="AE390" s="119">
        <f t="shared" si="121"/>
        <v>0</v>
      </c>
      <c r="AF390" s="7"/>
      <c r="AG390" s="7"/>
      <c r="AH390" s="7">
        <f t="shared" si="122"/>
        <v>3</v>
      </c>
      <c r="AI390" s="7">
        <f t="shared" si="123"/>
        <v>3</v>
      </c>
      <c r="AJ390" s="7" t="str">
        <f t="shared" si="124"/>
        <v>Correct</v>
      </c>
      <c r="AL390" s="120" t="str">
        <f>IFERROR(VLOOKUP(Table1[RespondentID],'All Data'!$A$3:$CO$999,87,FALSE),"unknown")</f>
        <v>Woman</v>
      </c>
      <c r="AM390" s="120">
        <f>IFERROR(VLOOKUP(Table1[RespondentID],'All Data'!$A$3:$CO$999,88,FALSE),"unknown")</f>
        <v>0</v>
      </c>
      <c r="AN390" s="120">
        <f>IFERROR(VLOOKUP(Table1[RespondentID],'All Data'!$A$3:$CO$999,89,FALSE),"unknown")</f>
        <v>0</v>
      </c>
      <c r="AO390" s="120" t="str">
        <f>IFERROR(VLOOKUP(Table1[RespondentID],'All Data'!$A$3:$CO$999,90,FALSE),"unknown")</f>
        <v>Levittown, 11756</v>
      </c>
      <c r="AP390" s="120" t="str">
        <f>IFERROR(VLOOKUP(Table1[RespondentID],'All Data'!$A$3:$CO$999,91,FALSE),"unknown")</f>
        <v>Two or more races</v>
      </c>
      <c r="AQ390" s="120" t="str">
        <f>IFERROR(VLOOKUP(Table1[RespondentID],'All Data'!$A$3:$CO$999,92,FALSE),"unknown")</f>
        <v>Not Hispanic or Latino</v>
      </c>
      <c r="AR390" s="120">
        <f>IFERROR(VLOOKUP(Table1[RespondentID],'All Data'!$A$3:$CO$999,93,FALSE),"unknown")</f>
        <v>0</v>
      </c>
      <c r="AS390" s="120" t="str">
        <f>IFERROR(VLOOKUP(Table1[RespondentID],'All Data'!$A$3:$CW$999,94,FALSE),"unknown")</f>
        <v>$75,000 to $125,000</v>
      </c>
      <c r="AT390" s="120" t="str">
        <f>IFERROR(VLOOKUP(Table1[RespondentID],'All Data'!$A$3:$CW$999,95,FALSE),"unknown")</f>
        <v>College graduate</v>
      </c>
      <c r="AU390" s="120" t="str">
        <f>IFERROR(VLOOKUP(Table1[RespondentID],'All Data'!$A$3:$CW$999,96,FALSE),"unknown")</f>
        <v>Employed for wages</v>
      </c>
      <c r="AV390" s="120" t="str">
        <f>IFERROR(VLOOKUP(Table1[RespondentID],'All Data'!$A$3:$CW$999,97,FALSE),"unknown")</f>
        <v>Yes</v>
      </c>
      <c r="AW390" s="120" t="str">
        <f>IFERROR(VLOOKUP(Table1[RespondentID],'All Data'!$A$3:$CW$999,98,FALSE),"unknown")</f>
        <v>Private/Commercial</v>
      </c>
      <c r="AX390" s="120" t="str">
        <f>IFERROR(VLOOKUP(Table1[RespondentID],'All Data'!$A$3:$CW$999,99,FALSE),"unknown")</f>
        <v>Yes</v>
      </c>
    </row>
    <row r="391" spans="1:50">
      <c r="A391" s="5">
        <v>114086703421</v>
      </c>
      <c r="B391" s="5" t="s">
        <v>16</v>
      </c>
      <c r="C391" s="5" t="s">
        <v>17</v>
      </c>
      <c r="D391" s="5" t="s">
        <v>18</v>
      </c>
      <c r="E391" s="5"/>
      <c r="F391" s="5"/>
      <c r="G391" s="5"/>
      <c r="H391" s="5" t="s">
        <v>22</v>
      </c>
      <c r="I391" s="5"/>
      <c r="J391" s="5" t="s">
        <v>24</v>
      </c>
      <c r="K391" s="5" t="s">
        <v>25</v>
      </c>
      <c r="L391" s="5"/>
      <c r="M391" s="5"/>
      <c r="N391" s="5" t="s">
        <v>28</v>
      </c>
      <c r="O391" s="7"/>
      <c r="P391" s="7">
        <f t="shared" si="108"/>
        <v>7</v>
      </c>
      <c r="Q391" s="7">
        <f t="shared" si="109"/>
        <v>0.42857142857142855</v>
      </c>
      <c r="R391" s="7"/>
      <c r="S391" s="7">
        <f t="shared" si="125"/>
        <v>0.42857142857142855</v>
      </c>
      <c r="T391" s="7">
        <f t="shared" si="110"/>
        <v>0.42857142857142855</v>
      </c>
      <c r="U391" s="7">
        <f t="shared" si="111"/>
        <v>0.42857142857142855</v>
      </c>
      <c r="V391" s="119">
        <f t="shared" si="112"/>
        <v>0</v>
      </c>
      <c r="W391" s="119">
        <f t="shared" si="113"/>
        <v>0</v>
      </c>
      <c r="X391" s="119">
        <f t="shared" si="114"/>
        <v>0</v>
      </c>
      <c r="Y391" s="119">
        <f t="shared" si="115"/>
        <v>0.42857142857142855</v>
      </c>
      <c r="Z391" s="119">
        <f t="shared" si="116"/>
        <v>0</v>
      </c>
      <c r="AA391" s="119">
        <f t="shared" si="117"/>
        <v>0.42857142857142855</v>
      </c>
      <c r="AB391" s="119">
        <f t="shared" si="118"/>
        <v>0.42857142857142855</v>
      </c>
      <c r="AC391" s="119">
        <f t="shared" si="119"/>
        <v>0</v>
      </c>
      <c r="AD391" s="119">
        <f t="shared" si="120"/>
        <v>0</v>
      </c>
      <c r="AE391" s="119">
        <f t="shared" si="121"/>
        <v>0.42857142857142855</v>
      </c>
      <c r="AF391" s="7"/>
      <c r="AG391" s="7"/>
      <c r="AH391" s="7">
        <f t="shared" si="122"/>
        <v>2.9999999999999996</v>
      </c>
      <c r="AI391" s="7">
        <f t="shared" si="123"/>
        <v>7</v>
      </c>
      <c r="AJ391" s="7" t="str">
        <f t="shared" si="124"/>
        <v>Correct</v>
      </c>
      <c r="AL391" s="120" t="str">
        <f>IFERROR(VLOOKUP(Table1[RespondentID],'All Data'!$A$3:$CO$999,87,FALSE),"unknown")</f>
        <v>Woman</v>
      </c>
      <c r="AM391" s="120">
        <f>IFERROR(VLOOKUP(Table1[RespondentID],'All Data'!$A$3:$CO$999,88,FALSE),"unknown")</f>
        <v>0</v>
      </c>
      <c r="AN391" s="120" t="str">
        <f>IFERROR(VLOOKUP(Table1[RespondentID],'All Data'!$A$3:$CO$999,89,FALSE),"unknown")</f>
        <v>Queens</v>
      </c>
      <c r="AO391" s="120">
        <f>IFERROR(VLOOKUP(Table1[RespondentID],'All Data'!$A$3:$CO$999,90,FALSE),"unknown")</f>
        <v>11367</v>
      </c>
      <c r="AP391" s="120" t="str">
        <f>IFERROR(VLOOKUP(Table1[RespondentID],'All Data'!$A$3:$CO$999,91,FALSE),"unknown")</f>
        <v>White</v>
      </c>
      <c r="AQ391" s="120" t="str">
        <f>IFERROR(VLOOKUP(Table1[RespondentID],'All Data'!$A$3:$CO$999,92,FALSE),"unknown")</f>
        <v>Hispanic or Latino</v>
      </c>
      <c r="AR391" s="120" t="str">
        <f>IFERROR(VLOOKUP(Table1[RespondentID],'All Data'!$A$3:$CO$999,93,FALSE),"unknown")</f>
        <v>English</v>
      </c>
      <c r="AS391" s="120" t="str">
        <f>IFERROR(VLOOKUP(Table1[RespondentID],'All Data'!$A$3:$CW$999,94,FALSE),"unknown")</f>
        <v>Over $125,000</v>
      </c>
      <c r="AT391" s="120" t="str">
        <f>IFERROR(VLOOKUP(Table1[RespondentID],'All Data'!$A$3:$CW$999,95,FALSE),"unknown")</f>
        <v>College graduate</v>
      </c>
      <c r="AU391" s="120" t="str">
        <f>IFERROR(VLOOKUP(Table1[RespondentID],'All Data'!$A$3:$CW$999,96,FALSE),"unknown")</f>
        <v>Employed for wages</v>
      </c>
      <c r="AV391" s="120" t="str">
        <f>IFERROR(VLOOKUP(Table1[RespondentID],'All Data'!$A$3:$CW$999,97,FALSE),"unknown")</f>
        <v>Yes</v>
      </c>
      <c r="AW391" s="120" t="str">
        <f>IFERROR(VLOOKUP(Table1[RespondentID],'All Data'!$A$3:$CW$999,98,FALSE),"unknown")</f>
        <v>Private/Commercial</v>
      </c>
      <c r="AX391" s="120" t="str">
        <f>IFERROR(VLOOKUP(Table1[RespondentID],'All Data'!$A$3:$CW$999,99,FALSE),"unknown")</f>
        <v>Yes</v>
      </c>
    </row>
    <row r="392" spans="1:50">
      <c r="A392" s="5">
        <v>114086547834</v>
      </c>
      <c r="B392" s="5"/>
      <c r="C392" s="5"/>
      <c r="D392" s="5"/>
      <c r="E392" s="5" t="s">
        <v>19</v>
      </c>
      <c r="F392" s="5"/>
      <c r="G392" s="5"/>
      <c r="H392" s="5"/>
      <c r="I392" s="5"/>
      <c r="J392" s="5"/>
      <c r="K392" s="5" t="s">
        <v>25</v>
      </c>
      <c r="L392" s="5" t="s">
        <v>26</v>
      </c>
      <c r="M392" s="5"/>
      <c r="N392" s="5"/>
      <c r="O392" s="7"/>
      <c r="P392" s="7">
        <f t="shared" si="108"/>
        <v>3</v>
      </c>
      <c r="Q392" s="7">
        <f t="shared" si="109"/>
        <v>1</v>
      </c>
      <c r="R392" s="7"/>
      <c r="S392" s="7">
        <f t="shared" si="125"/>
        <v>0</v>
      </c>
      <c r="T392" s="7">
        <f t="shared" si="110"/>
        <v>0</v>
      </c>
      <c r="U392" s="7">
        <f t="shared" si="111"/>
        <v>0</v>
      </c>
      <c r="V392" s="119">
        <f t="shared" si="112"/>
        <v>1</v>
      </c>
      <c r="W392" s="119">
        <f t="shared" si="113"/>
        <v>0</v>
      </c>
      <c r="X392" s="119">
        <f t="shared" si="114"/>
        <v>0</v>
      </c>
      <c r="Y392" s="119">
        <f t="shared" si="115"/>
        <v>0</v>
      </c>
      <c r="Z392" s="119">
        <f t="shared" si="116"/>
        <v>0</v>
      </c>
      <c r="AA392" s="119">
        <f t="shared" si="117"/>
        <v>0</v>
      </c>
      <c r="AB392" s="119">
        <f t="shared" si="118"/>
        <v>1</v>
      </c>
      <c r="AC392" s="119">
        <f t="shared" si="119"/>
        <v>1</v>
      </c>
      <c r="AD392" s="119">
        <f t="shared" si="120"/>
        <v>0</v>
      </c>
      <c r="AE392" s="119">
        <f t="shared" si="121"/>
        <v>0</v>
      </c>
      <c r="AF392" s="7"/>
      <c r="AG392" s="7"/>
      <c r="AH392" s="7">
        <f t="shared" si="122"/>
        <v>3</v>
      </c>
      <c r="AI392" s="7">
        <f t="shared" si="123"/>
        <v>3</v>
      </c>
      <c r="AJ392" s="7" t="str">
        <f t="shared" si="124"/>
        <v>Correct</v>
      </c>
      <c r="AL392" s="120" t="str">
        <f>IFERROR(VLOOKUP(Table1[RespondentID],'All Data'!$A$3:$CO$999,87,FALSE),"unknown")</f>
        <v>Woman</v>
      </c>
      <c r="AM392" s="120">
        <f>IFERROR(VLOOKUP(Table1[RespondentID],'All Data'!$A$3:$CO$999,88,FALSE),"unknown")</f>
        <v>0</v>
      </c>
      <c r="AN392" s="120" t="str">
        <f>IFERROR(VLOOKUP(Table1[RespondentID],'All Data'!$A$3:$CO$999,89,FALSE),"unknown")</f>
        <v>Suffolk</v>
      </c>
      <c r="AO392" s="120" t="str">
        <f>IFERROR(VLOOKUP(Table1[RespondentID],'All Data'!$A$3:$CO$999,90,FALSE),"unknown")</f>
        <v>North Babylon, 11703</v>
      </c>
      <c r="AP392" s="120" t="str">
        <f>IFERROR(VLOOKUP(Table1[RespondentID],'All Data'!$A$3:$CO$999,91,FALSE),"unknown")</f>
        <v>Other (please specify)</v>
      </c>
      <c r="AQ392" s="120" t="str">
        <f>IFERROR(VLOOKUP(Table1[RespondentID],'All Data'!$A$3:$CO$999,92,FALSE),"unknown")</f>
        <v>Hispanic or Latino</v>
      </c>
      <c r="AR392" s="120" t="str">
        <f>IFERROR(VLOOKUP(Table1[RespondentID],'All Data'!$A$3:$CO$999,93,FALSE),"unknown")</f>
        <v>English</v>
      </c>
      <c r="AS392" s="120" t="str">
        <f>IFERROR(VLOOKUP(Table1[RespondentID],'All Data'!$A$3:$CW$999,94,FALSE),"unknown")</f>
        <v>Over $125,000</v>
      </c>
      <c r="AT392" s="120" t="str">
        <f>IFERROR(VLOOKUP(Table1[RespondentID],'All Data'!$A$3:$CW$999,95,FALSE),"unknown")</f>
        <v>Graduate school</v>
      </c>
      <c r="AU392" s="120" t="str">
        <f>IFERROR(VLOOKUP(Table1[RespondentID],'All Data'!$A$3:$CW$999,96,FALSE),"unknown")</f>
        <v>Employed for wages</v>
      </c>
      <c r="AV392" s="120" t="str">
        <f>IFERROR(VLOOKUP(Table1[RespondentID],'All Data'!$A$3:$CW$999,97,FALSE),"unknown")</f>
        <v>Yes</v>
      </c>
      <c r="AW392" s="120" t="str">
        <f>IFERROR(VLOOKUP(Table1[RespondentID],'All Data'!$A$3:$CW$999,98,FALSE),"unknown")</f>
        <v>Private/Commercial</v>
      </c>
      <c r="AX392" s="120" t="str">
        <f>IFERROR(VLOOKUP(Table1[RespondentID],'All Data'!$A$3:$CW$999,99,FALSE),"unknown")</f>
        <v>Yes</v>
      </c>
    </row>
    <row r="393" spans="1:50">
      <c r="A393" s="5">
        <v>114086512910</v>
      </c>
      <c r="B393" s="5"/>
      <c r="C393" s="5" t="s">
        <v>17</v>
      </c>
      <c r="D393" s="5"/>
      <c r="E393" s="5"/>
      <c r="F393" s="5"/>
      <c r="G393" s="5"/>
      <c r="H393" s="5" t="s">
        <v>22</v>
      </c>
      <c r="I393" s="5"/>
      <c r="J393" s="5"/>
      <c r="K393" s="5" t="s">
        <v>25</v>
      </c>
      <c r="L393" s="5" t="s">
        <v>26</v>
      </c>
      <c r="M393" s="5"/>
      <c r="N393" s="5"/>
      <c r="O393" s="7"/>
      <c r="P393" s="7">
        <f t="shared" si="108"/>
        <v>4</v>
      </c>
      <c r="Q393" s="7">
        <f t="shared" si="109"/>
        <v>0.75</v>
      </c>
      <c r="R393" s="7"/>
      <c r="S393" s="7">
        <f t="shared" si="125"/>
        <v>0</v>
      </c>
      <c r="T393" s="7">
        <f t="shared" si="110"/>
        <v>0.75</v>
      </c>
      <c r="U393" s="7">
        <f t="shared" si="111"/>
        <v>0</v>
      </c>
      <c r="V393" s="119">
        <f t="shared" si="112"/>
        <v>0</v>
      </c>
      <c r="W393" s="119">
        <f t="shared" si="113"/>
        <v>0</v>
      </c>
      <c r="X393" s="119">
        <f t="shared" si="114"/>
        <v>0</v>
      </c>
      <c r="Y393" s="119">
        <f t="shared" si="115"/>
        <v>0.75</v>
      </c>
      <c r="Z393" s="119">
        <f t="shared" si="116"/>
        <v>0</v>
      </c>
      <c r="AA393" s="119">
        <f t="shared" si="117"/>
        <v>0</v>
      </c>
      <c r="AB393" s="119">
        <f t="shared" si="118"/>
        <v>0.75</v>
      </c>
      <c r="AC393" s="119">
        <f t="shared" si="119"/>
        <v>0.75</v>
      </c>
      <c r="AD393" s="119">
        <f t="shared" si="120"/>
        <v>0</v>
      </c>
      <c r="AE393" s="119">
        <f t="shared" si="121"/>
        <v>0</v>
      </c>
      <c r="AF393" s="7"/>
      <c r="AG393" s="7"/>
      <c r="AH393" s="7">
        <f t="shared" si="122"/>
        <v>3</v>
      </c>
      <c r="AI393" s="7">
        <f t="shared" si="123"/>
        <v>4</v>
      </c>
      <c r="AJ393" s="7" t="str">
        <f t="shared" si="124"/>
        <v>Correct</v>
      </c>
      <c r="AL393" s="120" t="str">
        <f>IFERROR(VLOOKUP(Table1[RespondentID],'All Data'!$A$3:$CO$999,87,FALSE),"unknown")</f>
        <v>Woman</v>
      </c>
      <c r="AM393" s="120">
        <f>IFERROR(VLOOKUP(Table1[RespondentID],'All Data'!$A$3:$CO$999,88,FALSE),"unknown")</f>
        <v>0</v>
      </c>
      <c r="AN393" s="120" t="str">
        <f>IFERROR(VLOOKUP(Table1[RespondentID],'All Data'!$A$3:$CO$999,89,FALSE),"unknown")</f>
        <v>Suffolk</v>
      </c>
      <c r="AO393" s="120" t="str">
        <f>IFERROR(VLOOKUP(Table1[RespondentID],'All Data'!$A$3:$CO$999,90,FALSE),"unknown")</f>
        <v>West Islip, 11795</v>
      </c>
      <c r="AP393" s="120" t="str">
        <f>IFERROR(VLOOKUP(Table1[RespondentID],'All Data'!$A$3:$CO$999,91,FALSE),"unknown")</f>
        <v>White</v>
      </c>
      <c r="AQ393" s="120" t="str">
        <f>IFERROR(VLOOKUP(Table1[RespondentID],'All Data'!$A$3:$CO$999,92,FALSE),"unknown")</f>
        <v>Not Hispanic or Latino</v>
      </c>
      <c r="AR393" s="120" t="str">
        <f>IFERROR(VLOOKUP(Table1[RespondentID],'All Data'!$A$3:$CO$999,93,FALSE),"unknown")</f>
        <v>English</v>
      </c>
      <c r="AS393" s="120">
        <f>IFERROR(VLOOKUP(Table1[RespondentID],'All Data'!$A$3:$CW$999,94,FALSE),"unknown")</f>
        <v>0</v>
      </c>
      <c r="AT393" s="120" t="str">
        <f>IFERROR(VLOOKUP(Table1[RespondentID],'All Data'!$A$3:$CW$999,95,FALSE),"unknown")</f>
        <v>Some college</v>
      </c>
      <c r="AU393" s="120" t="str">
        <f>IFERROR(VLOOKUP(Table1[RespondentID],'All Data'!$A$3:$CW$999,96,FALSE),"unknown")</f>
        <v>Employed for wages</v>
      </c>
      <c r="AV393" s="120" t="str">
        <f>IFERROR(VLOOKUP(Table1[RespondentID],'All Data'!$A$3:$CW$999,97,FALSE),"unknown")</f>
        <v>Yes</v>
      </c>
      <c r="AW393" s="120" t="str">
        <f>IFERROR(VLOOKUP(Table1[RespondentID],'All Data'!$A$3:$CW$999,98,FALSE),"unknown")</f>
        <v>Private/Commercial</v>
      </c>
      <c r="AX393" s="120" t="str">
        <f>IFERROR(VLOOKUP(Table1[RespondentID],'All Data'!$A$3:$CW$999,99,FALSE),"unknown")</f>
        <v>Yes</v>
      </c>
    </row>
    <row r="394" spans="1:50">
      <c r="A394" s="5">
        <v>114086485509</v>
      </c>
      <c r="B394" s="5"/>
      <c r="C394" s="5"/>
      <c r="D394" s="5"/>
      <c r="E394" s="5" t="s">
        <v>19</v>
      </c>
      <c r="F394" s="5"/>
      <c r="G394" s="5"/>
      <c r="H394" s="5"/>
      <c r="I394" s="5"/>
      <c r="J394" s="5"/>
      <c r="K394" s="5"/>
      <c r="L394" s="5"/>
      <c r="M394" s="5"/>
      <c r="N394" s="5"/>
      <c r="O394" s="7"/>
      <c r="P394" s="7">
        <f t="shared" si="108"/>
        <v>1</v>
      </c>
      <c r="Q394" s="7">
        <f t="shared" si="109"/>
        <v>3</v>
      </c>
      <c r="R394" s="7"/>
      <c r="S394" s="7">
        <f t="shared" si="125"/>
        <v>0</v>
      </c>
      <c r="T394" s="7">
        <f t="shared" si="110"/>
        <v>0</v>
      </c>
      <c r="U394" s="7">
        <f t="shared" si="111"/>
        <v>0</v>
      </c>
      <c r="V394" s="119">
        <f t="shared" si="112"/>
        <v>1</v>
      </c>
      <c r="W394" s="119">
        <f t="shared" si="113"/>
        <v>0</v>
      </c>
      <c r="X394" s="119">
        <f t="shared" si="114"/>
        <v>0</v>
      </c>
      <c r="Y394" s="119">
        <f t="shared" si="115"/>
        <v>0</v>
      </c>
      <c r="Z394" s="119">
        <f t="shared" si="116"/>
        <v>0</v>
      </c>
      <c r="AA394" s="119">
        <f t="shared" si="117"/>
        <v>0</v>
      </c>
      <c r="AB394" s="119">
        <f t="shared" si="118"/>
        <v>0</v>
      </c>
      <c r="AC394" s="119">
        <f t="shared" si="119"/>
        <v>0</v>
      </c>
      <c r="AD394" s="119">
        <f t="shared" si="120"/>
        <v>0</v>
      </c>
      <c r="AE394" s="119">
        <f t="shared" si="121"/>
        <v>0</v>
      </c>
      <c r="AF394" s="7"/>
      <c r="AG394" s="7"/>
      <c r="AH394" s="7">
        <f t="shared" si="122"/>
        <v>1</v>
      </c>
      <c r="AI394" s="7">
        <f t="shared" si="123"/>
        <v>1</v>
      </c>
      <c r="AJ394" s="7" t="str">
        <f t="shared" si="124"/>
        <v>Correct</v>
      </c>
      <c r="AL394" s="120" t="str">
        <f>IFERROR(VLOOKUP(Table1[RespondentID],'All Data'!$A$3:$CO$999,87,FALSE),"unknown")</f>
        <v>Woman</v>
      </c>
      <c r="AM394" s="120">
        <f>IFERROR(VLOOKUP(Table1[RespondentID],'All Data'!$A$3:$CO$999,88,FALSE),"unknown")</f>
        <v>0</v>
      </c>
      <c r="AN394" s="120" t="str">
        <f>IFERROR(VLOOKUP(Table1[RespondentID],'All Data'!$A$3:$CO$999,89,FALSE),"unknown")</f>
        <v>Nassau</v>
      </c>
      <c r="AO394" s="120" t="str">
        <f>IFERROR(VLOOKUP(Table1[RespondentID],'All Data'!$A$3:$CO$999,90,FALSE),"unknown")</f>
        <v>Massapequa, 11758</v>
      </c>
      <c r="AP394" s="120" t="str">
        <f>IFERROR(VLOOKUP(Table1[RespondentID],'All Data'!$A$3:$CO$999,91,FALSE),"unknown")</f>
        <v>White</v>
      </c>
      <c r="AQ394" s="120" t="str">
        <f>IFERROR(VLOOKUP(Table1[RespondentID],'All Data'!$A$3:$CO$999,92,FALSE),"unknown")</f>
        <v>Not Hispanic or Latino</v>
      </c>
      <c r="AR394" s="120" t="str">
        <f>IFERROR(VLOOKUP(Table1[RespondentID],'All Data'!$A$3:$CO$999,93,FALSE),"unknown")</f>
        <v>English</v>
      </c>
      <c r="AS394" s="120" t="str">
        <f>IFERROR(VLOOKUP(Table1[RespondentID],'All Data'!$A$3:$CW$999,94,FALSE),"unknown")</f>
        <v>Over $125,000</v>
      </c>
      <c r="AT394" s="120" t="str">
        <f>IFERROR(VLOOKUP(Table1[RespondentID],'All Data'!$A$3:$CW$999,95,FALSE),"unknown")</f>
        <v>College graduate</v>
      </c>
      <c r="AU394" s="120" t="str">
        <f>IFERROR(VLOOKUP(Table1[RespondentID],'All Data'!$A$3:$CW$999,96,FALSE),"unknown")</f>
        <v>Employed for wages</v>
      </c>
      <c r="AV394" s="120" t="str">
        <f>IFERROR(VLOOKUP(Table1[RespondentID],'All Data'!$A$3:$CW$999,97,FALSE),"unknown")</f>
        <v>Yes</v>
      </c>
      <c r="AW394" s="120" t="str">
        <f>IFERROR(VLOOKUP(Table1[RespondentID],'All Data'!$A$3:$CW$999,98,FALSE),"unknown")</f>
        <v>Private/Commercial</v>
      </c>
      <c r="AX394" s="120" t="str">
        <f>IFERROR(VLOOKUP(Table1[RespondentID],'All Data'!$A$3:$CW$999,99,FALSE),"unknown")</f>
        <v>Yes</v>
      </c>
    </row>
    <row r="395" spans="1:50">
      <c r="A395" s="5">
        <v>114086434376</v>
      </c>
      <c r="B395" s="5"/>
      <c r="C395" s="5"/>
      <c r="D395" s="5"/>
      <c r="E395" s="5"/>
      <c r="F395" s="5"/>
      <c r="G395" s="5"/>
      <c r="H395" s="5"/>
      <c r="I395" s="5"/>
      <c r="J395" s="5"/>
      <c r="K395" s="5" t="s">
        <v>25</v>
      </c>
      <c r="L395" s="5" t="s">
        <v>26</v>
      </c>
      <c r="M395" s="5"/>
      <c r="N395" s="5"/>
      <c r="O395" s="7"/>
      <c r="P395" s="7">
        <f t="shared" si="108"/>
        <v>2</v>
      </c>
      <c r="Q395" s="7">
        <f t="shared" si="109"/>
        <v>1.5</v>
      </c>
      <c r="R395" s="7"/>
      <c r="S395" s="7">
        <f t="shared" si="125"/>
        <v>0</v>
      </c>
      <c r="T395" s="7">
        <f t="shared" si="110"/>
        <v>0</v>
      </c>
      <c r="U395" s="7">
        <f t="shared" si="111"/>
        <v>0</v>
      </c>
      <c r="V395" s="119">
        <f t="shared" si="112"/>
        <v>0</v>
      </c>
      <c r="W395" s="119">
        <f t="shared" si="113"/>
        <v>0</v>
      </c>
      <c r="X395" s="119">
        <f t="shared" si="114"/>
        <v>0</v>
      </c>
      <c r="Y395" s="119">
        <f t="shared" si="115"/>
        <v>0</v>
      </c>
      <c r="Z395" s="119">
        <f t="shared" si="116"/>
        <v>0</v>
      </c>
      <c r="AA395" s="119">
        <f t="shared" si="117"/>
        <v>0</v>
      </c>
      <c r="AB395" s="119">
        <f t="shared" si="118"/>
        <v>1</v>
      </c>
      <c r="AC395" s="119">
        <f t="shared" si="119"/>
        <v>1</v>
      </c>
      <c r="AD395" s="119">
        <f t="shared" si="120"/>
        <v>0</v>
      </c>
      <c r="AE395" s="119">
        <f t="shared" si="121"/>
        <v>0</v>
      </c>
      <c r="AF395" s="7"/>
      <c r="AG395" s="7"/>
      <c r="AH395" s="7">
        <f t="shared" si="122"/>
        <v>2</v>
      </c>
      <c r="AI395" s="7">
        <f t="shared" si="123"/>
        <v>2</v>
      </c>
      <c r="AJ395" s="7" t="str">
        <f t="shared" si="124"/>
        <v>Correct</v>
      </c>
      <c r="AL395" s="120" t="str">
        <f>IFERROR(VLOOKUP(Table1[RespondentID],'All Data'!$A$3:$CO$999,87,FALSE),"unknown")</f>
        <v>Woman</v>
      </c>
      <c r="AM395" s="120">
        <f>IFERROR(VLOOKUP(Table1[RespondentID],'All Data'!$A$3:$CO$999,88,FALSE),"unknown")</f>
        <v>0</v>
      </c>
      <c r="AN395" s="120" t="str">
        <f>IFERROR(VLOOKUP(Table1[RespondentID],'All Data'!$A$3:$CO$999,89,FALSE),"unknown")</f>
        <v>Nassau</v>
      </c>
      <c r="AO395" s="120" t="str">
        <f>IFERROR(VLOOKUP(Table1[RespondentID],'All Data'!$A$3:$CO$999,90,FALSE),"unknown")</f>
        <v>Long Beach, 11561</v>
      </c>
      <c r="AP395" s="120" t="str">
        <f>IFERROR(VLOOKUP(Table1[RespondentID],'All Data'!$A$3:$CO$999,91,FALSE),"unknown")</f>
        <v>Two or more races</v>
      </c>
      <c r="AQ395" s="120" t="str">
        <f>IFERROR(VLOOKUP(Table1[RespondentID],'All Data'!$A$3:$CO$999,92,FALSE),"unknown")</f>
        <v>Hispanic or Latino</v>
      </c>
      <c r="AR395" s="120" t="str">
        <f>IFERROR(VLOOKUP(Table1[RespondentID],'All Data'!$A$3:$CO$999,93,FALSE),"unknown")</f>
        <v>English</v>
      </c>
      <c r="AS395" s="120" t="str">
        <f>IFERROR(VLOOKUP(Table1[RespondentID],'All Data'!$A$3:$CW$999,94,FALSE),"unknown")</f>
        <v>$35,000 to $49,999</v>
      </c>
      <c r="AT395" s="120" t="str">
        <f>IFERROR(VLOOKUP(Table1[RespondentID],'All Data'!$A$3:$CW$999,95,FALSE),"unknown")</f>
        <v>Other (please specify)</v>
      </c>
      <c r="AU395" s="120" t="str">
        <f>IFERROR(VLOOKUP(Table1[RespondentID],'All Data'!$A$3:$CW$999,96,FALSE),"unknown")</f>
        <v>Employed for wages</v>
      </c>
      <c r="AV395" s="120" t="str">
        <f>IFERROR(VLOOKUP(Table1[RespondentID],'All Data'!$A$3:$CW$999,97,FALSE),"unknown")</f>
        <v>Yes</v>
      </c>
      <c r="AW395" s="120" t="str">
        <f>IFERROR(VLOOKUP(Table1[RespondentID],'All Data'!$A$3:$CW$999,98,FALSE),"unknown")</f>
        <v>Private/Commercial</v>
      </c>
      <c r="AX395" s="120" t="str">
        <f>IFERROR(VLOOKUP(Table1[RespondentID],'All Data'!$A$3:$CW$999,99,FALSE),"unknown")</f>
        <v>Yes</v>
      </c>
    </row>
    <row r="396" spans="1:50">
      <c r="A396" s="5">
        <v>114086430098</v>
      </c>
      <c r="B396" s="5"/>
      <c r="C396" s="5"/>
      <c r="D396" s="5"/>
      <c r="E396" s="5"/>
      <c r="F396" s="5"/>
      <c r="G396" s="5"/>
      <c r="H396" s="5"/>
      <c r="I396" s="5"/>
      <c r="J396" s="5"/>
      <c r="K396" s="5" t="s">
        <v>25</v>
      </c>
      <c r="L396" s="5"/>
      <c r="M396" s="5"/>
      <c r="N396" s="5" t="s">
        <v>28</v>
      </c>
      <c r="O396" s="7"/>
      <c r="P396" s="7">
        <f t="shared" si="108"/>
        <v>2</v>
      </c>
      <c r="Q396" s="7">
        <f t="shared" si="109"/>
        <v>1.5</v>
      </c>
      <c r="R396" s="7"/>
      <c r="S396" s="7">
        <f t="shared" si="125"/>
        <v>0</v>
      </c>
      <c r="T396" s="7">
        <f t="shared" si="110"/>
        <v>0</v>
      </c>
      <c r="U396" s="7">
        <f t="shared" si="111"/>
        <v>0</v>
      </c>
      <c r="V396" s="119">
        <f t="shared" si="112"/>
        <v>0</v>
      </c>
      <c r="W396" s="119">
        <f t="shared" si="113"/>
        <v>0</v>
      </c>
      <c r="X396" s="119">
        <f t="shared" si="114"/>
        <v>0</v>
      </c>
      <c r="Y396" s="119">
        <f t="shared" si="115"/>
        <v>0</v>
      </c>
      <c r="Z396" s="119">
        <f t="shared" si="116"/>
        <v>0</v>
      </c>
      <c r="AA396" s="119">
        <f t="shared" si="117"/>
        <v>0</v>
      </c>
      <c r="AB396" s="119">
        <f t="shared" si="118"/>
        <v>1</v>
      </c>
      <c r="AC396" s="119">
        <f t="shared" si="119"/>
        <v>0</v>
      </c>
      <c r="AD396" s="119">
        <f t="shared" si="120"/>
        <v>0</v>
      </c>
      <c r="AE396" s="119">
        <f t="shared" si="121"/>
        <v>1</v>
      </c>
      <c r="AF396" s="7"/>
      <c r="AG396" s="7"/>
      <c r="AH396" s="7">
        <f t="shared" si="122"/>
        <v>2</v>
      </c>
      <c r="AI396" s="7">
        <f t="shared" si="123"/>
        <v>2</v>
      </c>
      <c r="AJ396" s="7" t="str">
        <f t="shared" si="124"/>
        <v>Correct</v>
      </c>
      <c r="AL396" s="120" t="str">
        <f>IFERROR(VLOOKUP(Table1[RespondentID],'All Data'!$A$3:$CO$999,87,FALSE),"unknown")</f>
        <v>Woman</v>
      </c>
      <c r="AM396" s="120">
        <f>IFERROR(VLOOKUP(Table1[RespondentID],'All Data'!$A$3:$CO$999,88,FALSE),"unknown")</f>
        <v>0</v>
      </c>
      <c r="AN396" s="120" t="str">
        <f>IFERROR(VLOOKUP(Table1[RespondentID],'All Data'!$A$3:$CO$999,89,FALSE),"unknown")</f>
        <v>Nassau</v>
      </c>
      <c r="AO396" s="120" t="str">
        <f>IFERROR(VLOOKUP(Table1[RespondentID],'All Data'!$A$3:$CO$999,90,FALSE),"unknown")</f>
        <v>Rockville Centre, 11570</v>
      </c>
      <c r="AP396" s="120" t="str">
        <f>IFERROR(VLOOKUP(Table1[RespondentID],'All Data'!$A$3:$CO$999,91,FALSE),"unknown")</f>
        <v>Asian</v>
      </c>
      <c r="AQ396" s="120" t="str">
        <f>IFERROR(VLOOKUP(Table1[RespondentID],'All Data'!$A$3:$CO$999,92,FALSE),"unknown")</f>
        <v>Not Hispanic or Latino</v>
      </c>
      <c r="AR396" s="120" t="str">
        <f>IFERROR(VLOOKUP(Table1[RespondentID],'All Data'!$A$3:$CO$999,93,FALSE),"unknown")</f>
        <v>English</v>
      </c>
      <c r="AS396" s="120" t="str">
        <f>IFERROR(VLOOKUP(Table1[RespondentID],'All Data'!$A$3:$CW$999,94,FALSE),"unknown")</f>
        <v>$75,000 to $125,000</v>
      </c>
      <c r="AT396" s="120" t="str">
        <f>IFERROR(VLOOKUP(Table1[RespondentID],'All Data'!$A$3:$CW$999,95,FALSE),"unknown")</f>
        <v>Graduate school</v>
      </c>
      <c r="AU396" s="120" t="str">
        <f>IFERROR(VLOOKUP(Table1[RespondentID],'All Data'!$A$3:$CW$999,96,FALSE),"unknown")</f>
        <v>Employed for wages</v>
      </c>
      <c r="AV396" s="120" t="str">
        <f>IFERROR(VLOOKUP(Table1[RespondentID],'All Data'!$A$3:$CW$999,97,FALSE),"unknown")</f>
        <v>Yes</v>
      </c>
      <c r="AW396" s="120" t="str">
        <f>IFERROR(VLOOKUP(Table1[RespondentID],'All Data'!$A$3:$CW$999,98,FALSE),"unknown")</f>
        <v>Private/Commercial</v>
      </c>
      <c r="AX396" s="120" t="str">
        <f>IFERROR(VLOOKUP(Table1[RespondentID],'All Data'!$A$3:$CW$999,99,FALSE),"unknown")</f>
        <v>Yes</v>
      </c>
    </row>
    <row r="397" spans="1:50">
      <c r="A397" s="5">
        <v>114086397914</v>
      </c>
      <c r="B397" s="5"/>
      <c r="C397" s="5" t="s">
        <v>17</v>
      </c>
      <c r="D397" s="5"/>
      <c r="E397" s="5"/>
      <c r="F397" s="5"/>
      <c r="G397" s="5"/>
      <c r="H397" s="5"/>
      <c r="I397" s="5"/>
      <c r="J397" s="5"/>
      <c r="K397" s="5" t="s">
        <v>25</v>
      </c>
      <c r="L397" s="5" t="s">
        <v>26</v>
      </c>
      <c r="M397" s="5"/>
      <c r="N397" s="5"/>
      <c r="O397" s="7"/>
      <c r="P397" s="7">
        <f t="shared" si="108"/>
        <v>3</v>
      </c>
      <c r="Q397" s="7">
        <f t="shared" si="109"/>
        <v>1</v>
      </c>
      <c r="R397" s="7"/>
      <c r="S397" s="7">
        <f t="shared" si="125"/>
        <v>0</v>
      </c>
      <c r="T397" s="7">
        <f t="shared" si="110"/>
        <v>1</v>
      </c>
      <c r="U397" s="7">
        <f t="shared" si="111"/>
        <v>0</v>
      </c>
      <c r="V397" s="119">
        <f t="shared" si="112"/>
        <v>0</v>
      </c>
      <c r="W397" s="119">
        <f t="shared" si="113"/>
        <v>0</v>
      </c>
      <c r="X397" s="119">
        <f t="shared" si="114"/>
        <v>0</v>
      </c>
      <c r="Y397" s="119">
        <f t="shared" si="115"/>
        <v>0</v>
      </c>
      <c r="Z397" s="119">
        <f t="shared" si="116"/>
        <v>0</v>
      </c>
      <c r="AA397" s="119">
        <f t="shared" si="117"/>
        <v>0</v>
      </c>
      <c r="AB397" s="119">
        <f t="shared" si="118"/>
        <v>1</v>
      </c>
      <c r="AC397" s="119">
        <f t="shared" si="119"/>
        <v>1</v>
      </c>
      <c r="AD397" s="119">
        <f t="shared" si="120"/>
        <v>0</v>
      </c>
      <c r="AE397" s="119">
        <f t="shared" si="121"/>
        <v>0</v>
      </c>
      <c r="AF397" s="7"/>
      <c r="AG397" s="7"/>
      <c r="AH397" s="7">
        <f t="shared" si="122"/>
        <v>3</v>
      </c>
      <c r="AI397" s="7">
        <f t="shared" si="123"/>
        <v>3</v>
      </c>
      <c r="AJ397" s="7" t="str">
        <f t="shared" si="124"/>
        <v>Correct</v>
      </c>
      <c r="AL397" s="120" t="str">
        <f>IFERROR(VLOOKUP(Table1[RespondentID],'All Data'!$A$3:$CO$999,87,FALSE),"unknown")</f>
        <v>Woman</v>
      </c>
      <c r="AM397" s="120">
        <f>IFERROR(VLOOKUP(Table1[RespondentID],'All Data'!$A$3:$CO$999,88,FALSE),"unknown")</f>
        <v>0</v>
      </c>
      <c r="AN397" s="120" t="str">
        <f>IFERROR(VLOOKUP(Table1[RespondentID],'All Data'!$A$3:$CO$999,89,FALSE),"unknown")</f>
        <v>Suffolk</v>
      </c>
      <c r="AO397" s="120" t="str">
        <f>IFERROR(VLOOKUP(Table1[RespondentID],'All Data'!$A$3:$CO$999,90,FALSE),"unknown")</f>
        <v>Deer Park, 11729</v>
      </c>
      <c r="AP397" s="120" t="str">
        <f>IFERROR(VLOOKUP(Table1[RespondentID],'All Data'!$A$3:$CO$999,91,FALSE),"unknown")</f>
        <v>White</v>
      </c>
      <c r="AQ397" s="120" t="str">
        <f>IFERROR(VLOOKUP(Table1[RespondentID],'All Data'!$A$3:$CO$999,92,FALSE),"unknown")</f>
        <v>Unknown</v>
      </c>
      <c r="AR397" s="120" t="str">
        <f>IFERROR(VLOOKUP(Table1[RespondentID],'All Data'!$A$3:$CO$999,93,FALSE),"unknown")</f>
        <v>English</v>
      </c>
      <c r="AS397" s="120" t="str">
        <f>IFERROR(VLOOKUP(Table1[RespondentID],'All Data'!$A$3:$CW$999,94,FALSE),"unknown")</f>
        <v>$50,000 to $74,999</v>
      </c>
      <c r="AT397" s="120" t="str">
        <f>IFERROR(VLOOKUP(Table1[RespondentID],'All Data'!$A$3:$CW$999,95,FALSE),"unknown")</f>
        <v>Technical school</v>
      </c>
      <c r="AU397" s="120" t="str">
        <f>IFERROR(VLOOKUP(Table1[RespondentID],'All Data'!$A$3:$CW$999,96,FALSE),"unknown")</f>
        <v>Employed for wages</v>
      </c>
      <c r="AV397" s="120" t="str">
        <f>IFERROR(VLOOKUP(Table1[RespondentID],'All Data'!$A$3:$CW$999,97,FALSE),"unknown")</f>
        <v>Yes</v>
      </c>
      <c r="AW397" s="120" t="str">
        <f>IFERROR(VLOOKUP(Table1[RespondentID],'All Data'!$A$3:$CW$999,98,FALSE),"unknown")</f>
        <v>Private/Commercial</v>
      </c>
      <c r="AX397" s="120" t="str">
        <f>IFERROR(VLOOKUP(Table1[RespondentID],'All Data'!$A$3:$CW$999,99,FALSE),"unknown")</f>
        <v>Yes</v>
      </c>
    </row>
    <row r="398" spans="1:50">
      <c r="A398" s="5">
        <v>114086383426</v>
      </c>
      <c r="B398" s="5" t="s">
        <v>16</v>
      </c>
      <c r="C398" s="5"/>
      <c r="D398" s="5" t="s">
        <v>18</v>
      </c>
      <c r="E398" s="5"/>
      <c r="F398" s="5" t="s">
        <v>20</v>
      </c>
      <c r="G398" s="5" t="s">
        <v>21</v>
      </c>
      <c r="H398" s="5" t="s">
        <v>22</v>
      </c>
      <c r="I398" s="5" t="s">
        <v>23</v>
      </c>
      <c r="J398" s="5" t="s">
        <v>24</v>
      </c>
      <c r="K398" s="5" t="s">
        <v>25</v>
      </c>
      <c r="L398" s="5" t="s">
        <v>26</v>
      </c>
      <c r="M398" s="5"/>
      <c r="N398" s="5" t="s">
        <v>28</v>
      </c>
      <c r="O398" s="7"/>
      <c r="P398" s="7">
        <f t="shared" si="108"/>
        <v>10</v>
      </c>
      <c r="Q398" s="7">
        <f t="shared" si="109"/>
        <v>0.3</v>
      </c>
      <c r="R398" s="7"/>
      <c r="S398" s="7">
        <f t="shared" si="125"/>
        <v>0.3</v>
      </c>
      <c r="T398" s="7">
        <f t="shared" si="110"/>
        <v>0</v>
      </c>
      <c r="U398" s="7">
        <f t="shared" si="111"/>
        <v>0.3</v>
      </c>
      <c r="V398" s="119">
        <f t="shared" si="112"/>
        <v>0</v>
      </c>
      <c r="W398" s="119">
        <f t="shared" si="113"/>
        <v>0.3</v>
      </c>
      <c r="X398" s="119">
        <f t="shared" si="114"/>
        <v>0.3</v>
      </c>
      <c r="Y398" s="119">
        <f t="shared" si="115"/>
        <v>0.3</v>
      </c>
      <c r="Z398" s="119">
        <f t="shared" si="116"/>
        <v>0.3</v>
      </c>
      <c r="AA398" s="119">
        <f t="shared" si="117"/>
        <v>0.3</v>
      </c>
      <c r="AB398" s="119">
        <f t="shared" si="118"/>
        <v>0.3</v>
      </c>
      <c r="AC398" s="119">
        <f t="shared" si="119"/>
        <v>0.3</v>
      </c>
      <c r="AD398" s="119">
        <f t="shared" si="120"/>
        <v>0</v>
      </c>
      <c r="AE398" s="119">
        <f t="shared" si="121"/>
        <v>0.3</v>
      </c>
      <c r="AF398" s="7"/>
      <c r="AG398" s="7"/>
      <c r="AH398" s="7">
        <f t="shared" si="122"/>
        <v>2.9999999999999996</v>
      </c>
      <c r="AI398" s="7">
        <f t="shared" si="123"/>
        <v>10</v>
      </c>
      <c r="AJ398" s="7" t="str">
        <f t="shared" si="124"/>
        <v>Correct</v>
      </c>
      <c r="AL398" s="120" t="str">
        <f>IFERROR(VLOOKUP(Table1[RespondentID],'All Data'!$A$3:$CO$999,87,FALSE),"unknown")</f>
        <v>Woman</v>
      </c>
      <c r="AM398" s="120">
        <f>IFERROR(VLOOKUP(Table1[RespondentID],'All Data'!$A$3:$CO$999,88,FALSE),"unknown")</f>
        <v>0</v>
      </c>
      <c r="AN398" s="120" t="str">
        <f>IFERROR(VLOOKUP(Table1[RespondentID],'All Data'!$A$3:$CO$999,89,FALSE),"unknown")</f>
        <v>Nassau</v>
      </c>
      <c r="AO398" s="120" t="str">
        <f>IFERROR(VLOOKUP(Table1[RespondentID],'All Data'!$A$3:$CO$999,90,FALSE),"unknown")</f>
        <v>Lynbrook, 11563</v>
      </c>
      <c r="AP398" s="120">
        <f>IFERROR(VLOOKUP(Table1[RespondentID],'All Data'!$A$3:$CO$999,91,FALSE),"unknown")</f>
        <v>0</v>
      </c>
      <c r="AQ398" s="120" t="str">
        <f>IFERROR(VLOOKUP(Table1[RespondentID],'All Data'!$A$3:$CO$999,92,FALSE),"unknown")</f>
        <v>Hispanic or Latino</v>
      </c>
      <c r="AR398" s="120" t="str">
        <f>IFERROR(VLOOKUP(Table1[RespondentID],'All Data'!$A$3:$CO$999,93,FALSE),"unknown")</f>
        <v>English,Spanish</v>
      </c>
      <c r="AS398" s="120" t="str">
        <f>IFERROR(VLOOKUP(Table1[RespondentID],'All Data'!$A$3:$CW$999,94,FALSE),"unknown")</f>
        <v>$35,000 to $49,999</v>
      </c>
      <c r="AT398" s="120" t="str">
        <f>IFERROR(VLOOKUP(Table1[RespondentID],'All Data'!$A$3:$CW$999,95,FALSE),"unknown")</f>
        <v>Some college</v>
      </c>
      <c r="AU398" s="120" t="str">
        <f>IFERROR(VLOOKUP(Table1[RespondentID],'All Data'!$A$3:$CW$999,96,FALSE),"unknown")</f>
        <v>Employed for wages</v>
      </c>
      <c r="AV398" s="120" t="str">
        <f>IFERROR(VLOOKUP(Table1[RespondentID],'All Data'!$A$3:$CW$999,97,FALSE),"unknown")</f>
        <v>Yes</v>
      </c>
      <c r="AW398" s="120" t="str">
        <f>IFERROR(VLOOKUP(Table1[RespondentID],'All Data'!$A$3:$CW$999,98,FALSE),"unknown")</f>
        <v>Private/Commercial</v>
      </c>
      <c r="AX398" s="120" t="str">
        <f>IFERROR(VLOOKUP(Table1[RespondentID],'All Data'!$A$3:$CW$999,99,FALSE),"unknown")</f>
        <v>Yes</v>
      </c>
    </row>
    <row r="399" spans="1:50">
      <c r="A399" s="5">
        <v>114086379762</v>
      </c>
      <c r="B399" s="5"/>
      <c r="C399" s="5"/>
      <c r="D399" s="5"/>
      <c r="E399" s="5"/>
      <c r="F399" s="5"/>
      <c r="G399" s="5"/>
      <c r="H399" s="5" t="s">
        <v>22</v>
      </c>
      <c r="I399" s="5"/>
      <c r="J399" s="5"/>
      <c r="K399" s="5" t="s">
        <v>25</v>
      </c>
      <c r="L399" s="5" t="s">
        <v>26</v>
      </c>
      <c r="M399" s="5"/>
      <c r="N399" s="5"/>
      <c r="O399" s="7"/>
      <c r="P399" s="7">
        <f t="shared" si="108"/>
        <v>3</v>
      </c>
      <c r="Q399" s="7">
        <f t="shared" si="109"/>
        <v>1</v>
      </c>
      <c r="R399" s="7"/>
      <c r="S399" s="7">
        <f t="shared" si="125"/>
        <v>0</v>
      </c>
      <c r="T399" s="7">
        <f t="shared" si="110"/>
        <v>0</v>
      </c>
      <c r="U399" s="7">
        <f t="shared" si="111"/>
        <v>0</v>
      </c>
      <c r="V399" s="119">
        <f t="shared" si="112"/>
        <v>0</v>
      </c>
      <c r="W399" s="119">
        <f t="shared" si="113"/>
        <v>0</v>
      </c>
      <c r="X399" s="119">
        <f t="shared" si="114"/>
        <v>0</v>
      </c>
      <c r="Y399" s="119">
        <f t="shared" si="115"/>
        <v>1</v>
      </c>
      <c r="Z399" s="119">
        <f t="shared" si="116"/>
        <v>0</v>
      </c>
      <c r="AA399" s="119">
        <f t="shared" si="117"/>
        <v>0</v>
      </c>
      <c r="AB399" s="119">
        <f t="shared" si="118"/>
        <v>1</v>
      </c>
      <c r="AC399" s="119">
        <f t="shared" si="119"/>
        <v>1</v>
      </c>
      <c r="AD399" s="119">
        <f t="shared" si="120"/>
        <v>0</v>
      </c>
      <c r="AE399" s="119">
        <f t="shared" si="121"/>
        <v>0</v>
      </c>
      <c r="AF399" s="7"/>
      <c r="AG399" s="7"/>
      <c r="AH399" s="7">
        <f t="shared" si="122"/>
        <v>3</v>
      </c>
      <c r="AI399" s="7">
        <f t="shared" si="123"/>
        <v>3</v>
      </c>
      <c r="AJ399" s="7" t="str">
        <f t="shared" si="124"/>
        <v>Correct</v>
      </c>
      <c r="AL399" s="120" t="str">
        <f>IFERROR(VLOOKUP(Table1[RespondentID],'All Data'!$A$3:$CO$999,87,FALSE),"unknown")</f>
        <v>Woman</v>
      </c>
      <c r="AM399" s="120">
        <f>IFERROR(VLOOKUP(Table1[RespondentID],'All Data'!$A$3:$CO$999,88,FALSE),"unknown")</f>
        <v>0</v>
      </c>
      <c r="AN399" s="120" t="str">
        <f>IFERROR(VLOOKUP(Table1[RespondentID],'All Data'!$A$3:$CO$999,89,FALSE),"unknown")</f>
        <v>Nassau</v>
      </c>
      <c r="AO399" s="120" t="str">
        <f>IFERROR(VLOOKUP(Table1[RespondentID],'All Data'!$A$3:$CO$999,90,FALSE),"unknown")</f>
        <v>Massapequa, 11758</v>
      </c>
      <c r="AP399" s="120">
        <f>IFERROR(VLOOKUP(Table1[RespondentID],'All Data'!$A$3:$CO$999,91,FALSE),"unknown")</f>
        <v>0</v>
      </c>
      <c r="AQ399" s="120" t="str">
        <f>IFERROR(VLOOKUP(Table1[RespondentID],'All Data'!$A$3:$CO$999,92,FALSE),"unknown")</f>
        <v>Not Hispanic or Latino</v>
      </c>
      <c r="AR399" s="120" t="str">
        <f>IFERROR(VLOOKUP(Table1[RespondentID],'All Data'!$A$3:$CO$999,93,FALSE),"unknown")</f>
        <v>English</v>
      </c>
      <c r="AS399" s="120" t="str">
        <f>IFERROR(VLOOKUP(Table1[RespondentID],'All Data'!$A$3:$CW$999,94,FALSE),"unknown")</f>
        <v>Over $125,000</v>
      </c>
      <c r="AT399" s="120" t="str">
        <f>IFERROR(VLOOKUP(Table1[RespondentID],'All Data'!$A$3:$CW$999,95,FALSE),"unknown")</f>
        <v>Graduate school</v>
      </c>
      <c r="AU399" s="120" t="str">
        <f>IFERROR(VLOOKUP(Table1[RespondentID],'All Data'!$A$3:$CW$999,96,FALSE),"unknown")</f>
        <v>Employed for wages</v>
      </c>
      <c r="AV399" s="120" t="str">
        <f>IFERROR(VLOOKUP(Table1[RespondentID],'All Data'!$A$3:$CW$999,97,FALSE),"unknown")</f>
        <v>Yes</v>
      </c>
      <c r="AW399" s="120" t="str">
        <f>IFERROR(VLOOKUP(Table1[RespondentID],'All Data'!$A$3:$CW$999,98,FALSE),"unknown")</f>
        <v>Private/Commercial</v>
      </c>
      <c r="AX399" s="120" t="str">
        <f>IFERROR(VLOOKUP(Table1[RespondentID],'All Data'!$A$3:$CW$999,99,FALSE),"unknown")</f>
        <v>Yes</v>
      </c>
    </row>
    <row r="400" spans="1:50">
      <c r="A400" s="5">
        <v>114086370794</v>
      </c>
      <c r="B400" s="5"/>
      <c r="C400" s="5" t="s">
        <v>17</v>
      </c>
      <c r="D400" s="5"/>
      <c r="E400" s="5"/>
      <c r="F400" s="5"/>
      <c r="G400" s="5"/>
      <c r="H400" s="5"/>
      <c r="I400" s="5"/>
      <c r="J400" s="5"/>
      <c r="K400" s="5"/>
      <c r="L400" s="5" t="s">
        <v>26</v>
      </c>
      <c r="M400" s="5"/>
      <c r="N400" s="5" t="s">
        <v>28</v>
      </c>
      <c r="O400" s="7"/>
      <c r="P400" s="7">
        <f t="shared" si="108"/>
        <v>3</v>
      </c>
      <c r="Q400" s="7">
        <f t="shared" si="109"/>
        <v>1</v>
      </c>
      <c r="R400" s="7"/>
      <c r="S400" s="7">
        <f t="shared" si="125"/>
        <v>0</v>
      </c>
      <c r="T400" s="7">
        <f t="shared" si="110"/>
        <v>1</v>
      </c>
      <c r="U400" s="7">
        <f t="shared" si="111"/>
        <v>0</v>
      </c>
      <c r="V400" s="119">
        <f t="shared" si="112"/>
        <v>0</v>
      </c>
      <c r="W400" s="119">
        <f t="shared" si="113"/>
        <v>0</v>
      </c>
      <c r="X400" s="119">
        <f t="shared" si="114"/>
        <v>0</v>
      </c>
      <c r="Y400" s="119">
        <f t="shared" si="115"/>
        <v>0</v>
      </c>
      <c r="Z400" s="119">
        <f t="shared" si="116"/>
        <v>0</v>
      </c>
      <c r="AA400" s="119">
        <f t="shared" si="117"/>
        <v>0</v>
      </c>
      <c r="AB400" s="119">
        <f t="shared" si="118"/>
        <v>0</v>
      </c>
      <c r="AC400" s="119">
        <f t="shared" si="119"/>
        <v>1</v>
      </c>
      <c r="AD400" s="119">
        <f t="shared" si="120"/>
        <v>0</v>
      </c>
      <c r="AE400" s="119">
        <f t="shared" si="121"/>
        <v>1</v>
      </c>
      <c r="AF400" s="7"/>
      <c r="AG400" s="7"/>
      <c r="AH400" s="7">
        <f t="shared" si="122"/>
        <v>3</v>
      </c>
      <c r="AI400" s="7">
        <f t="shared" si="123"/>
        <v>3</v>
      </c>
      <c r="AJ400" s="7" t="str">
        <f t="shared" si="124"/>
        <v>Correct</v>
      </c>
      <c r="AL400" s="120" t="str">
        <f>IFERROR(VLOOKUP(Table1[RespondentID],'All Data'!$A$3:$CO$999,87,FALSE),"unknown")</f>
        <v>Woman</v>
      </c>
      <c r="AM400" s="120">
        <f>IFERROR(VLOOKUP(Table1[RespondentID],'All Data'!$A$3:$CO$999,88,FALSE),"unknown")</f>
        <v>0</v>
      </c>
      <c r="AN400" s="120" t="str">
        <f>IFERROR(VLOOKUP(Table1[RespondentID],'All Data'!$A$3:$CO$999,89,FALSE),"unknown")</f>
        <v>Queens</v>
      </c>
      <c r="AO400" s="120">
        <f>IFERROR(VLOOKUP(Table1[RespondentID],'All Data'!$A$3:$CO$999,90,FALSE),"unknown")</f>
        <v>11414</v>
      </c>
      <c r="AP400" s="120">
        <f>IFERROR(VLOOKUP(Table1[RespondentID],'All Data'!$A$3:$CO$999,91,FALSE),"unknown")</f>
        <v>0</v>
      </c>
      <c r="AQ400" s="120" t="str">
        <f>IFERROR(VLOOKUP(Table1[RespondentID],'All Data'!$A$3:$CO$999,92,FALSE),"unknown")</f>
        <v>Hispanic or Latino</v>
      </c>
      <c r="AR400" s="120" t="str">
        <f>IFERROR(VLOOKUP(Table1[RespondentID],'All Data'!$A$3:$CO$999,93,FALSE),"unknown")</f>
        <v>English,Spanish,Italian</v>
      </c>
      <c r="AS400" s="120" t="str">
        <f>IFERROR(VLOOKUP(Table1[RespondentID],'All Data'!$A$3:$CW$999,94,FALSE),"unknown")</f>
        <v>$50,000 to $74,999</v>
      </c>
      <c r="AT400" s="120" t="str">
        <f>IFERROR(VLOOKUP(Table1[RespondentID],'All Data'!$A$3:$CW$999,95,FALSE),"unknown")</f>
        <v>Some college</v>
      </c>
      <c r="AU400" s="120" t="str">
        <f>IFERROR(VLOOKUP(Table1[RespondentID],'All Data'!$A$3:$CW$999,96,FALSE),"unknown")</f>
        <v>Employed for wages</v>
      </c>
      <c r="AV400" s="120" t="str">
        <f>IFERROR(VLOOKUP(Table1[RespondentID],'All Data'!$A$3:$CW$999,97,FALSE),"unknown")</f>
        <v>No, but I did in the past</v>
      </c>
      <c r="AW400" s="120" t="str">
        <f>IFERROR(VLOOKUP(Table1[RespondentID],'All Data'!$A$3:$CW$999,98,FALSE),"unknown")</f>
        <v>No Insurance</v>
      </c>
      <c r="AX400" s="120" t="str">
        <f>IFERROR(VLOOKUP(Table1[RespondentID],'All Data'!$A$3:$CW$999,99,FALSE),"unknown")</f>
        <v>Yes</v>
      </c>
    </row>
    <row r="401" spans="1:50">
      <c r="A401" s="5">
        <v>114086141494</v>
      </c>
      <c r="B401" s="5"/>
      <c r="C401" s="5" t="s">
        <v>17</v>
      </c>
      <c r="D401" s="5" t="s">
        <v>18</v>
      </c>
      <c r="E401" s="5"/>
      <c r="F401" s="5"/>
      <c r="G401" s="5"/>
      <c r="H401" s="5"/>
      <c r="I401" s="5"/>
      <c r="J401" s="5"/>
      <c r="K401" s="5" t="s">
        <v>25</v>
      </c>
      <c r="L401" s="5" t="s">
        <v>26</v>
      </c>
      <c r="M401" s="5"/>
      <c r="N401" s="5" t="s">
        <v>28</v>
      </c>
      <c r="O401" s="7"/>
      <c r="P401" s="7">
        <f t="shared" si="108"/>
        <v>5</v>
      </c>
      <c r="Q401" s="7">
        <f t="shared" si="109"/>
        <v>0.6</v>
      </c>
      <c r="R401" s="7"/>
      <c r="S401" s="7">
        <f t="shared" si="125"/>
        <v>0</v>
      </c>
      <c r="T401" s="7">
        <f t="shared" si="110"/>
        <v>0.6</v>
      </c>
      <c r="U401" s="7">
        <f t="shared" si="111"/>
        <v>0.6</v>
      </c>
      <c r="V401" s="119">
        <f t="shared" si="112"/>
        <v>0</v>
      </c>
      <c r="W401" s="119">
        <f t="shared" si="113"/>
        <v>0</v>
      </c>
      <c r="X401" s="119">
        <f t="shared" si="114"/>
        <v>0</v>
      </c>
      <c r="Y401" s="119">
        <f t="shared" si="115"/>
        <v>0</v>
      </c>
      <c r="Z401" s="119">
        <f t="shared" si="116"/>
        <v>0</v>
      </c>
      <c r="AA401" s="119">
        <f t="shared" si="117"/>
        <v>0</v>
      </c>
      <c r="AB401" s="119">
        <f t="shared" si="118"/>
        <v>0.6</v>
      </c>
      <c r="AC401" s="119">
        <f t="shared" si="119"/>
        <v>0.6</v>
      </c>
      <c r="AD401" s="119">
        <f t="shared" si="120"/>
        <v>0</v>
      </c>
      <c r="AE401" s="119">
        <f t="shared" si="121"/>
        <v>0.6</v>
      </c>
      <c r="AF401" s="7"/>
      <c r="AG401" s="7"/>
      <c r="AH401" s="7">
        <f t="shared" si="122"/>
        <v>3</v>
      </c>
      <c r="AI401" s="7">
        <f t="shared" si="123"/>
        <v>5</v>
      </c>
      <c r="AJ401" s="7" t="str">
        <f t="shared" si="124"/>
        <v>Correct</v>
      </c>
      <c r="AL401" s="120" t="str">
        <f>IFERROR(VLOOKUP(Table1[RespondentID],'All Data'!$A$3:$CO$999,87,FALSE),"unknown")</f>
        <v>Man</v>
      </c>
      <c r="AM401" s="120">
        <f>IFERROR(VLOOKUP(Table1[RespondentID],'All Data'!$A$3:$CO$999,88,FALSE),"unknown")</f>
        <v>0</v>
      </c>
      <c r="AN401" s="120" t="str">
        <f>IFERROR(VLOOKUP(Table1[RespondentID],'All Data'!$A$3:$CO$999,89,FALSE),"unknown")</f>
        <v>Suffolk</v>
      </c>
      <c r="AO401" s="120" t="str">
        <f>IFERROR(VLOOKUP(Table1[RespondentID],'All Data'!$A$3:$CO$999,90,FALSE),"unknown")</f>
        <v>Islip, 11751</v>
      </c>
      <c r="AP401" s="120">
        <f>IFERROR(VLOOKUP(Table1[RespondentID],'All Data'!$A$3:$CO$999,91,FALSE),"unknown")</f>
        <v>0</v>
      </c>
      <c r="AQ401" s="120" t="str">
        <f>IFERROR(VLOOKUP(Table1[RespondentID],'All Data'!$A$3:$CO$999,92,FALSE),"unknown")</f>
        <v>Not Hispanic or Latino</v>
      </c>
      <c r="AR401" s="120" t="str">
        <f>IFERROR(VLOOKUP(Table1[RespondentID],'All Data'!$A$3:$CO$999,93,FALSE),"unknown")</f>
        <v>English</v>
      </c>
      <c r="AS401" s="120" t="str">
        <f>IFERROR(VLOOKUP(Table1[RespondentID],'All Data'!$A$3:$CW$999,94,FALSE),"unknown")</f>
        <v>$35,000 to $49,999</v>
      </c>
      <c r="AT401" s="120" t="str">
        <f>IFERROR(VLOOKUP(Table1[RespondentID],'All Data'!$A$3:$CW$999,95,FALSE),"unknown")</f>
        <v>Doctorate</v>
      </c>
      <c r="AU401" s="120" t="str">
        <f>IFERROR(VLOOKUP(Table1[RespondentID],'All Data'!$A$3:$CW$999,96,FALSE),"unknown")</f>
        <v>Employed for wages</v>
      </c>
      <c r="AV401" s="120" t="str">
        <f>IFERROR(VLOOKUP(Table1[RespondentID],'All Data'!$A$3:$CW$999,97,FALSE),"unknown")</f>
        <v>Yes</v>
      </c>
      <c r="AW401" s="120" t="str">
        <f>IFERROR(VLOOKUP(Table1[RespondentID],'All Data'!$A$3:$CW$999,98,FALSE),"unknown")</f>
        <v>Private/Commercial</v>
      </c>
      <c r="AX401" s="120" t="str">
        <f>IFERROR(VLOOKUP(Table1[RespondentID],'All Data'!$A$3:$CW$999,99,FALSE),"unknown")</f>
        <v>Yes</v>
      </c>
    </row>
    <row r="402" spans="1:50">
      <c r="A402" s="5">
        <v>114086076324</v>
      </c>
      <c r="B402" s="5"/>
      <c r="C402" s="5" t="s">
        <v>17</v>
      </c>
      <c r="D402" s="5"/>
      <c r="E402" s="5"/>
      <c r="F402" s="5"/>
      <c r="G402" s="5"/>
      <c r="H402" s="5"/>
      <c r="I402" s="5"/>
      <c r="J402" s="5"/>
      <c r="K402" s="5"/>
      <c r="L402" s="5"/>
      <c r="M402" s="5"/>
      <c r="N402" s="5"/>
      <c r="O402" s="7"/>
      <c r="P402" s="7">
        <f t="shared" si="108"/>
        <v>1</v>
      </c>
      <c r="Q402" s="7">
        <f t="shared" si="109"/>
        <v>3</v>
      </c>
      <c r="R402" s="7"/>
      <c r="S402" s="7">
        <f t="shared" si="125"/>
        <v>0</v>
      </c>
      <c r="T402" s="7">
        <f t="shared" si="110"/>
        <v>1</v>
      </c>
      <c r="U402" s="7">
        <f t="shared" si="111"/>
        <v>0</v>
      </c>
      <c r="V402" s="119">
        <f t="shared" si="112"/>
        <v>0</v>
      </c>
      <c r="W402" s="119">
        <f t="shared" si="113"/>
        <v>0</v>
      </c>
      <c r="X402" s="119">
        <f t="shared" si="114"/>
        <v>0</v>
      </c>
      <c r="Y402" s="119">
        <f t="shared" si="115"/>
        <v>0</v>
      </c>
      <c r="Z402" s="119">
        <f t="shared" si="116"/>
        <v>0</v>
      </c>
      <c r="AA402" s="119">
        <f t="shared" si="117"/>
        <v>0</v>
      </c>
      <c r="AB402" s="119">
        <f t="shared" si="118"/>
        <v>0</v>
      </c>
      <c r="AC402" s="119">
        <f t="shared" si="119"/>
        <v>0</v>
      </c>
      <c r="AD402" s="119">
        <f t="shared" si="120"/>
        <v>0</v>
      </c>
      <c r="AE402" s="119">
        <f t="shared" si="121"/>
        <v>0</v>
      </c>
      <c r="AF402" s="7"/>
      <c r="AG402" s="7"/>
      <c r="AH402" s="7">
        <f t="shared" si="122"/>
        <v>1</v>
      </c>
      <c r="AI402" s="7">
        <f t="shared" si="123"/>
        <v>1</v>
      </c>
      <c r="AJ402" s="7" t="str">
        <f t="shared" si="124"/>
        <v>Correct</v>
      </c>
      <c r="AL402" s="120" t="str">
        <f>IFERROR(VLOOKUP(Table1[RespondentID],'All Data'!$A$3:$CO$999,87,FALSE),"unknown")</f>
        <v>Woman</v>
      </c>
      <c r="AM402" s="120">
        <f>IFERROR(VLOOKUP(Table1[RespondentID],'All Data'!$A$3:$CO$999,88,FALSE),"unknown")</f>
        <v>0</v>
      </c>
      <c r="AN402" s="120" t="str">
        <f>IFERROR(VLOOKUP(Table1[RespondentID],'All Data'!$A$3:$CO$999,89,FALSE),"unknown")</f>
        <v>Nassau</v>
      </c>
      <c r="AO402" s="120" t="str">
        <f>IFERROR(VLOOKUP(Table1[RespondentID],'All Data'!$A$3:$CO$999,90,FALSE),"unknown")</f>
        <v>Seaford, 11783</v>
      </c>
      <c r="AP402" s="120">
        <f>IFERROR(VLOOKUP(Table1[RespondentID],'All Data'!$A$3:$CO$999,91,FALSE),"unknown")</f>
        <v>0</v>
      </c>
      <c r="AQ402" s="120" t="str">
        <f>IFERROR(VLOOKUP(Table1[RespondentID],'All Data'!$A$3:$CO$999,92,FALSE),"unknown")</f>
        <v>Not Hispanic or Latino</v>
      </c>
      <c r="AR402" s="120" t="str">
        <f>IFERROR(VLOOKUP(Table1[RespondentID],'All Data'!$A$3:$CO$999,93,FALSE),"unknown")</f>
        <v>English</v>
      </c>
      <c r="AS402" s="120" t="str">
        <f>IFERROR(VLOOKUP(Table1[RespondentID],'All Data'!$A$3:$CW$999,94,FALSE),"unknown")</f>
        <v>Over $125,000</v>
      </c>
      <c r="AT402" s="120" t="str">
        <f>IFERROR(VLOOKUP(Table1[RespondentID],'All Data'!$A$3:$CW$999,95,FALSE),"unknown")</f>
        <v>College graduate</v>
      </c>
      <c r="AU402" s="120" t="str">
        <f>IFERROR(VLOOKUP(Table1[RespondentID],'All Data'!$A$3:$CW$999,96,FALSE),"unknown")</f>
        <v>Employed for wages</v>
      </c>
      <c r="AV402" s="120" t="str">
        <f>IFERROR(VLOOKUP(Table1[RespondentID],'All Data'!$A$3:$CW$999,97,FALSE),"unknown")</f>
        <v>Yes</v>
      </c>
      <c r="AW402" s="120" t="str">
        <f>IFERROR(VLOOKUP(Table1[RespondentID],'All Data'!$A$3:$CW$999,98,FALSE),"unknown")</f>
        <v>Private/Commercial</v>
      </c>
      <c r="AX402" s="120" t="str">
        <f>IFERROR(VLOOKUP(Table1[RespondentID],'All Data'!$A$3:$CW$999,99,FALSE),"unknown")</f>
        <v>Yes</v>
      </c>
    </row>
    <row r="403" spans="1:50">
      <c r="A403" s="5">
        <v>114086069086</v>
      </c>
      <c r="B403" s="5"/>
      <c r="C403" s="5" t="s">
        <v>17</v>
      </c>
      <c r="D403" s="5" t="s">
        <v>18</v>
      </c>
      <c r="E403" s="5"/>
      <c r="F403" s="5"/>
      <c r="G403" s="5"/>
      <c r="H403" s="5"/>
      <c r="I403" s="5" t="s">
        <v>23</v>
      </c>
      <c r="J403" s="5" t="s">
        <v>24</v>
      </c>
      <c r="K403" s="5"/>
      <c r="L403" s="5"/>
      <c r="M403" s="5"/>
      <c r="N403" s="5"/>
      <c r="O403" s="7"/>
      <c r="P403" s="7">
        <f t="shared" si="108"/>
        <v>4</v>
      </c>
      <c r="Q403" s="7">
        <f t="shared" si="109"/>
        <v>0.75</v>
      </c>
      <c r="R403" s="7"/>
      <c r="S403" s="7">
        <f t="shared" si="125"/>
        <v>0</v>
      </c>
      <c r="T403" s="7">
        <f t="shared" si="110"/>
        <v>0.75</v>
      </c>
      <c r="U403" s="7">
        <f t="shared" si="111"/>
        <v>0.75</v>
      </c>
      <c r="V403" s="119">
        <f t="shared" si="112"/>
        <v>0</v>
      </c>
      <c r="W403" s="119">
        <f t="shared" si="113"/>
        <v>0</v>
      </c>
      <c r="X403" s="119">
        <f t="shared" si="114"/>
        <v>0</v>
      </c>
      <c r="Y403" s="119">
        <f t="shared" si="115"/>
        <v>0</v>
      </c>
      <c r="Z403" s="119">
        <f t="shared" si="116"/>
        <v>0.75</v>
      </c>
      <c r="AA403" s="119">
        <f t="shared" si="117"/>
        <v>0.75</v>
      </c>
      <c r="AB403" s="119">
        <f t="shared" si="118"/>
        <v>0</v>
      </c>
      <c r="AC403" s="119">
        <f t="shared" si="119"/>
        <v>0</v>
      </c>
      <c r="AD403" s="119">
        <f t="shared" si="120"/>
        <v>0</v>
      </c>
      <c r="AE403" s="119">
        <f t="shared" si="121"/>
        <v>0</v>
      </c>
      <c r="AF403" s="7"/>
      <c r="AG403" s="7"/>
      <c r="AH403" s="7">
        <f t="shared" si="122"/>
        <v>3</v>
      </c>
      <c r="AI403" s="7">
        <f t="shared" si="123"/>
        <v>4</v>
      </c>
      <c r="AJ403" s="7" t="str">
        <f t="shared" si="124"/>
        <v>Correct</v>
      </c>
      <c r="AL403" s="120" t="str">
        <f>IFERROR(VLOOKUP(Table1[RespondentID],'All Data'!$A$3:$CO$999,87,FALSE),"unknown")</f>
        <v>Woman</v>
      </c>
      <c r="AM403" s="120">
        <f>IFERROR(VLOOKUP(Table1[RespondentID],'All Data'!$A$3:$CO$999,88,FALSE),"unknown")</f>
        <v>0</v>
      </c>
      <c r="AN403" s="120" t="str">
        <f>IFERROR(VLOOKUP(Table1[RespondentID],'All Data'!$A$3:$CO$999,89,FALSE),"unknown")</f>
        <v>Nassau</v>
      </c>
      <c r="AO403" s="120" t="str">
        <f>IFERROR(VLOOKUP(Table1[RespondentID],'All Data'!$A$3:$CO$999,90,FALSE),"unknown")</f>
        <v>Garden City, 11530</v>
      </c>
      <c r="AP403" s="120">
        <f>IFERROR(VLOOKUP(Table1[RespondentID],'All Data'!$A$3:$CO$999,91,FALSE),"unknown")</f>
        <v>0</v>
      </c>
      <c r="AQ403" s="120" t="str">
        <f>IFERROR(VLOOKUP(Table1[RespondentID],'All Data'!$A$3:$CO$999,92,FALSE),"unknown")</f>
        <v>Not Hispanic or Latino</v>
      </c>
      <c r="AR403" s="120" t="str">
        <f>IFERROR(VLOOKUP(Table1[RespondentID],'All Data'!$A$3:$CO$999,93,FALSE),"unknown")</f>
        <v>English</v>
      </c>
      <c r="AS403" s="120" t="str">
        <f>IFERROR(VLOOKUP(Table1[RespondentID],'All Data'!$A$3:$CW$999,94,FALSE),"unknown")</f>
        <v>Over $125,000</v>
      </c>
      <c r="AT403" s="120" t="str">
        <f>IFERROR(VLOOKUP(Table1[RespondentID],'All Data'!$A$3:$CW$999,95,FALSE),"unknown")</f>
        <v>Graduate school</v>
      </c>
      <c r="AU403" s="120" t="str">
        <f>IFERROR(VLOOKUP(Table1[RespondentID],'All Data'!$A$3:$CW$999,96,FALSE),"unknown")</f>
        <v>Employed for wages</v>
      </c>
      <c r="AV403" s="120" t="str">
        <f>IFERROR(VLOOKUP(Table1[RespondentID],'All Data'!$A$3:$CW$999,97,FALSE),"unknown")</f>
        <v>Yes</v>
      </c>
      <c r="AW403" s="120" t="str">
        <f>IFERROR(VLOOKUP(Table1[RespondentID],'All Data'!$A$3:$CW$999,98,FALSE),"unknown")</f>
        <v>Private/Commercial</v>
      </c>
      <c r="AX403" s="120" t="str">
        <f>IFERROR(VLOOKUP(Table1[RespondentID],'All Data'!$A$3:$CW$999,99,FALSE),"unknown")</f>
        <v>Yes</v>
      </c>
    </row>
    <row r="404" spans="1:50">
      <c r="A404" s="5">
        <v>114086062451</v>
      </c>
      <c r="B404" s="5"/>
      <c r="C404" s="5" t="s">
        <v>17</v>
      </c>
      <c r="D404" s="5"/>
      <c r="E404" s="5"/>
      <c r="F404" s="5"/>
      <c r="G404" s="5"/>
      <c r="H404" s="5"/>
      <c r="I404" s="5"/>
      <c r="J404" s="5" t="s">
        <v>24</v>
      </c>
      <c r="K404" s="5" t="s">
        <v>25</v>
      </c>
      <c r="L404" s="5"/>
      <c r="M404" s="5"/>
      <c r="N404" s="5"/>
      <c r="O404" s="7"/>
      <c r="P404" s="7">
        <f t="shared" si="108"/>
        <v>3</v>
      </c>
      <c r="Q404" s="7">
        <f t="shared" si="109"/>
        <v>1</v>
      </c>
      <c r="R404" s="7"/>
      <c r="S404" s="7">
        <f t="shared" si="125"/>
        <v>0</v>
      </c>
      <c r="T404" s="7">
        <f t="shared" si="110"/>
        <v>1</v>
      </c>
      <c r="U404" s="7">
        <f t="shared" si="111"/>
        <v>0</v>
      </c>
      <c r="V404" s="119">
        <f t="shared" si="112"/>
        <v>0</v>
      </c>
      <c r="W404" s="119">
        <f t="shared" si="113"/>
        <v>0</v>
      </c>
      <c r="X404" s="119">
        <f t="shared" si="114"/>
        <v>0</v>
      </c>
      <c r="Y404" s="119">
        <f t="shared" si="115"/>
        <v>0</v>
      </c>
      <c r="Z404" s="119">
        <f t="shared" si="116"/>
        <v>0</v>
      </c>
      <c r="AA404" s="119">
        <f t="shared" si="117"/>
        <v>1</v>
      </c>
      <c r="AB404" s="119">
        <f t="shared" si="118"/>
        <v>1</v>
      </c>
      <c r="AC404" s="119">
        <f t="shared" si="119"/>
        <v>0</v>
      </c>
      <c r="AD404" s="119">
        <f t="shared" si="120"/>
        <v>0</v>
      </c>
      <c r="AE404" s="119">
        <f t="shared" si="121"/>
        <v>0</v>
      </c>
      <c r="AF404" s="7"/>
      <c r="AG404" s="7"/>
      <c r="AH404" s="7">
        <f t="shared" si="122"/>
        <v>3</v>
      </c>
      <c r="AI404" s="7">
        <f t="shared" si="123"/>
        <v>3</v>
      </c>
      <c r="AJ404" s="7" t="str">
        <f t="shared" si="124"/>
        <v>Correct</v>
      </c>
      <c r="AL404" s="120" t="str">
        <f>IFERROR(VLOOKUP(Table1[RespondentID],'All Data'!$A$3:$CO$999,87,FALSE),"unknown")</f>
        <v>Woman</v>
      </c>
      <c r="AM404" s="120">
        <f>IFERROR(VLOOKUP(Table1[RespondentID],'All Data'!$A$3:$CO$999,88,FALSE),"unknown")</f>
        <v>0</v>
      </c>
      <c r="AN404" s="120" t="str">
        <f>IFERROR(VLOOKUP(Table1[RespondentID],'All Data'!$A$3:$CO$999,89,FALSE),"unknown")</f>
        <v>Nassau</v>
      </c>
      <c r="AO404" s="120" t="str">
        <f>IFERROR(VLOOKUP(Table1[RespondentID],'All Data'!$A$3:$CO$999,90,FALSE),"unknown")</f>
        <v>Freeport, 11520</v>
      </c>
      <c r="AP404" s="120">
        <f>IFERROR(VLOOKUP(Table1[RespondentID],'All Data'!$A$3:$CO$999,91,FALSE),"unknown")</f>
        <v>0</v>
      </c>
      <c r="AQ404" s="120" t="str">
        <f>IFERROR(VLOOKUP(Table1[RespondentID],'All Data'!$A$3:$CO$999,92,FALSE),"unknown")</f>
        <v>Not Hispanic or Latino</v>
      </c>
      <c r="AR404" s="120" t="str">
        <f>IFERROR(VLOOKUP(Table1[RespondentID],'All Data'!$A$3:$CO$999,93,FALSE),"unknown")</f>
        <v>English,Haitian Creole,French Creole</v>
      </c>
      <c r="AS404" s="120" t="str">
        <f>IFERROR(VLOOKUP(Table1[RespondentID],'All Data'!$A$3:$CW$999,94,FALSE),"unknown")</f>
        <v>Over $125,000</v>
      </c>
      <c r="AT404" s="120" t="str">
        <f>IFERROR(VLOOKUP(Table1[RespondentID],'All Data'!$A$3:$CW$999,95,FALSE),"unknown")</f>
        <v>Doctorate</v>
      </c>
      <c r="AU404" s="120" t="str">
        <f>IFERROR(VLOOKUP(Table1[RespondentID],'All Data'!$A$3:$CW$999,96,FALSE),"unknown")</f>
        <v>Employed for wages</v>
      </c>
      <c r="AV404" s="120" t="str">
        <f>IFERROR(VLOOKUP(Table1[RespondentID],'All Data'!$A$3:$CW$999,97,FALSE),"unknown")</f>
        <v>Yes</v>
      </c>
      <c r="AW404" s="120" t="str">
        <f>IFERROR(VLOOKUP(Table1[RespondentID],'All Data'!$A$3:$CW$999,98,FALSE),"unknown")</f>
        <v>Private/Commercial</v>
      </c>
      <c r="AX404" s="120" t="str">
        <f>IFERROR(VLOOKUP(Table1[RespondentID],'All Data'!$A$3:$CW$999,99,FALSE),"unknown")</f>
        <v>Yes</v>
      </c>
    </row>
    <row r="405" spans="1:50">
      <c r="A405" s="5">
        <v>114085969464</v>
      </c>
      <c r="B405" s="5" t="s">
        <v>16</v>
      </c>
      <c r="C405" s="5" t="s">
        <v>17</v>
      </c>
      <c r="D405" s="5" t="s">
        <v>18</v>
      </c>
      <c r="E405" s="5"/>
      <c r="F405" s="5"/>
      <c r="G405" s="5"/>
      <c r="H405" s="5"/>
      <c r="I405" s="5"/>
      <c r="J405" s="5" t="s">
        <v>24</v>
      </c>
      <c r="K405" s="5" t="s">
        <v>25</v>
      </c>
      <c r="L405" s="5" t="s">
        <v>26</v>
      </c>
      <c r="M405" s="5" t="s">
        <v>27</v>
      </c>
      <c r="N405" s="5" t="s">
        <v>28</v>
      </c>
      <c r="O405" s="7"/>
      <c r="P405" s="7">
        <f t="shared" si="108"/>
        <v>8</v>
      </c>
      <c r="Q405" s="7">
        <f t="shared" si="109"/>
        <v>0.375</v>
      </c>
      <c r="R405" s="7"/>
      <c r="S405" s="7">
        <f t="shared" si="125"/>
        <v>0.375</v>
      </c>
      <c r="T405" s="7">
        <f t="shared" si="110"/>
        <v>0.375</v>
      </c>
      <c r="U405" s="7">
        <f t="shared" si="111"/>
        <v>0.375</v>
      </c>
      <c r="V405" s="119">
        <f t="shared" si="112"/>
        <v>0</v>
      </c>
      <c r="W405" s="119">
        <f t="shared" si="113"/>
        <v>0</v>
      </c>
      <c r="X405" s="119">
        <f t="shared" si="114"/>
        <v>0</v>
      </c>
      <c r="Y405" s="119">
        <f t="shared" si="115"/>
        <v>0</v>
      </c>
      <c r="Z405" s="119">
        <f t="shared" si="116"/>
        <v>0</v>
      </c>
      <c r="AA405" s="119">
        <f t="shared" si="117"/>
        <v>0.375</v>
      </c>
      <c r="AB405" s="119">
        <f t="shared" si="118"/>
        <v>0.375</v>
      </c>
      <c r="AC405" s="119">
        <f t="shared" si="119"/>
        <v>0.375</v>
      </c>
      <c r="AD405" s="119">
        <f t="shared" si="120"/>
        <v>0.375</v>
      </c>
      <c r="AE405" s="119">
        <f t="shared" si="121"/>
        <v>0.375</v>
      </c>
      <c r="AF405" s="7"/>
      <c r="AG405" s="7"/>
      <c r="AH405" s="7">
        <f t="shared" si="122"/>
        <v>3</v>
      </c>
      <c r="AI405" s="7">
        <f t="shared" si="123"/>
        <v>8</v>
      </c>
      <c r="AJ405" s="7" t="str">
        <f t="shared" si="124"/>
        <v>Correct</v>
      </c>
      <c r="AL405" s="120" t="str">
        <f>IFERROR(VLOOKUP(Table1[RespondentID],'All Data'!$A$3:$CO$999,87,FALSE),"unknown")</f>
        <v>Man</v>
      </c>
      <c r="AM405" s="120">
        <f>IFERROR(VLOOKUP(Table1[RespondentID],'All Data'!$A$3:$CO$999,88,FALSE),"unknown")</f>
        <v>0</v>
      </c>
      <c r="AN405" s="120" t="str">
        <f>IFERROR(VLOOKUP(Table1[RespondentID],'All Data'!$A$3:$CO$999,89,FALSE),"unknown")</f>
        <v>Suffolk</v>
      </c>
      <c r="AO405" s="120" t="str">
        <f>IFERROR(VLOOKUP(Table1[RespondentID],'All Data'!$A$3:$CO$999,90,FALSE),"unknown")</f>
        <v>Babylon, 11704</v>
      </c>
      <c r="AP405" s="120">
        <f>IFERROR(VLOOKUP(Table1[RespondentID],'All Data'!$A$3:$CO$999,91,FALSE),"unknown")</f>
        <v>0</v>
      </c>
      <c r="AQ405" s="120">
        <f>IFERROR(VLOOKUP(Table1[RespondentID],'All Data'!$A$3:$CO$999,92,FALSE),"unknown")</f>
        <v>0</v>
      </c>
      <c r="AR405" s="120" t="str">
        <f>IFERROR(VLOOKUP(Table1[RespondentID],'All Data'!$A$3:$CO$999,93,FALSE),"unknown")</f>
        <v>English</v>
      </c>
      <c r="AS405" s="120" t="str">
        <f>IFERROR(VLOOKUP(Table1[RespondentID],'All Data'!$A$3:$CW$999,94,FALSE),"unknown")</f>
        <v>Over $125,000</v>
      </c>
      <c r="AT405" s="120" t="str">
        <f>IFERROR(VLOOKUP(Table1[RespondentID],'All Data'!$A$3:$CW$999,95,FALSE),"unknown")</f>
        <v>College graduate</v>
      </c>
      <c r="AU405" s="120" t="str">
        <f>IFERROR(VLOOKUP(Table1[RespondentID],'All Data'!$A$3:$CW$999,96,FALSE),"unknown")</f>
        <v>Employed for wages</v>
      </c>
      <c r="AV405" s="120" t="str">
        <f>IFERROR(VLOOKUP(Table1[RespondentID],'All Data'!$A$3:$CW$999,97,FALSE),"unknown")</f>
        <v>Yes</v>
      </c>
      <c r="AW405" s="120" t="str">
        <f>IFERROR(VLOOKUP(Table1[RespondentID],'All Data'!$A$3:$CW$999,98,FALSE),"unknown")</f>
        <v>Private/Commercial</v>
      </c>
      <c r="AX405" s="120" t="str">
        <f>IFERROR(VLOOKUP(Table1[RespondentID],'All Data'!$A$3:$CW$999,99,FALSE),"unknown")</f>
        <v>Yes</v>
      </c>
    </row>
    <row r="406" spans="1:50">
      <c r="A406" s="5">
        <v>114085966921</v>
      </c>
      <c r="B406" s="5" t="s">
        <v>16</v>
      </c>
      <c r="C406" s="5" t="s">
        <v>17</v>
      </c>
      <c r="D406" s="5"/>
      <c r="E406" s="5"/>
      <c r="F406" s="5"/>
      <c r="G406" s="5"/>
      <c r="H406" s="5"/>
      <c r="I406" s="5"/>
      <c r="J406" s="5"/>
      <c r="K406" s="5"/>
      <c r="L406" s="5" t="s">
        <v>26</v>
      </c>
      <c r="M406" s="5"/>
      <c r="N406" s="5"/>
      <c r="O406" s="7"/>
      <c r="P406" s="7">
        <f t="shared" si="108"/>
        <v>3</v>
      </c>
      <c r="Q406" s="7">
        <f t="shared" si="109"/>
        <v>1</v>
      </c>
      <c r="R406" s="7"/>
      <c r="S406" s="7">
        <f t="shared" si="125"/>
        <v>1</v>
      </c>
      <c r="T406" s="7">
        <f t="shared" si="110"/>
        <v>1</v>
      </c>
      <c r="U406" s="7">
        <f t="shared" si="111"/>
        <v>0</v>
      </c>
      <c r="V406" s="119">
        <f t="shared" si="112"/>
        <v>0</v>
      </c>
      <c r="W406" s="119">
        <f t="shared" si="113"/>
        <v>0</v>
      </c>
      <c r="X406" s="119">
        <f t="shared" si="114"/>
        <v>0</v>
      </c>
      <c r="Y406" s="119">
        <f t="shared" si="115"/>
        <v>0</v>
      </c>
      <c r="Z406" s="119">
        <f t="shared" si="116"/>
        <v>0</v>
      </c>
      <c r="AA406" s="119">
        <f t="shared" si="117"/>
        <v>0</v>
      </c>
      <c r="AB406" s="119">
        <f t="shared" si="118"/>
        <v>0</v>
      </c>
      <c r="AC406" s="119">
        <f t="shared" si="119"/>
        <v>1</v>
      </c>
      <c r="AD406" s="119">
        <f t="shared" si="120"/>
        <v>0</v>
      </c>
      <c r="AE406" s="119">
        <f t="shared" si="121"/>
        <v>0</v>
      </c>
      <c r="AF406" s="7"/>
      <c r="AG406" s="7"/>
      <c r="AH406" s="7">
        <f t="shared" si="122"/>
        <v>3</v>
      </c>
      <c r="AI406" s="7">
        <f t="shared" si="123"/>
        <v>3</v>
      </c>
      <c r="AJ406" s="7" t="str">
        <f t="shared" si="124"/>
        <v>Correct</v>
      </c>
      <c r="AL406" s="120" t="str">
        <f>IFERROR(VLOOKUP(Table1[RespondentID],'All Data'!$A$3:$CO$999,87,FALSE),"unknown")</f>
        <v>Woman</v>
      </c>
      <c r="AM406" s="120">
        <f>IFERROR(VLOOKUP(Table1[RespondentID],'All Data'!$A$3:$CO$999,88,FALSE),"unknown")</f>
        <v>0</v>
      </c>
      <c r="AN406" s="120" t="str">
        <f>IFERROR(VLOOKUP(Table1[RespondentID],'All Data'!$A$3:$CO$999,89,FALSE),"unknown")</f>
        <v>Nassau</v>
      </c>
      <c r="AO406" s="120" t="str">
        <f>IFERROR(VLOOKUP(Table1[RespondentID],'All Data'!$A$3:$CO$999,90,FALSE),"unknown")</f>
        <v>Massapequa, 11758</v>
      </c>
      <c r="AP406" s="120">
        <f>IFERROR(VLOOKUP(Table1[RespondentID],'All Data'!$A$3:$CO$999,91,FALSE),"unknown")</f>
        <v>0</v>
      </c>
      <c r="AQ406" s="120" t="str">
        <f>IFERROR(VLOOKUP(Table1[RespondentID],'All Data'!$A$3:$CO$999,92,FALSE),"unknown")</f>
        <v>Not Hispanic or Latino</v>
      </c>
      <c r="AR406" s="120" t="str">
        <f>IFERROR(VLOOKUP(Table1[RespondentID],'All Data'!$A$3:$CO$999,93,FALSE),"unknown")</f>
        <v>English</v>
      </c>
      <c r="AS406" s="120" t="str">
        <f>IFERROR(VLOOKUP(Table1[RespondentID],'All Data'!$A$3:$CW$999,94,FALSE),"unknown")</f>
        <v>Over $125,000</v>
      </c>
      <c r="AT406" s="120" t="str">
        <f>IFERROR(VLOOKUP(Table1[RespondentID],'All Data'!$A$3:$CW$999,95,FALSE),"unknown")</f>
        <v>College graduate</v>
      </c>
      <c r="AU406" s="120" t="str">
        <f>IFERROR(VLOOKUP(Table1[RespondentID],'All Data'!$A$3:$CW$999,96,FALSE),"unknown")</f>
        <v>Employed for wages</v>
      </c>
      <c r="AV406" s="120" t="str">
        <f>IFERROR(VLOOKUP(Table1[RespondentID],'All Data'!$A$3:$CW$999,97,FALSE),"unknown")</f>
        <v>Yes</v>
      </c>
      <c r="AW406" s="120" t="str">
        <f>IFERROR(VLOOKUP(Table1[RespondentID],'All Data'!$A$3:$CW$999,98,FALSE),"unknown")</f>
        <v>Private/Commercial</v>
      </c>
      <c r="AX406" s="120" t="str">
        <f>IFERROR(VLOOKUP(Table1[RespondentID],'All Data'!$A$3:$CW$999,99,FALSE),"unknown")</f>
        <v>Yes</v>
      </c>
    </row>
    <row r="407" spans="1:50">
      <c r="A407" s="5">
        <v>114085904332</v>
      </c>
      <c r="B407" s="5"/>
      <c r="C407" s="5"/>
      <c r="D407" s="5"/>
      <c r="E407" s="5"/>
      <c r="F407" s="5"/>
      <c r="G407" s="5" t="s">
        <v>21</v>
      </c>
      <c r="H407" s="5"/>
      <c r="I407" s="5"/>
      <c r="J407" s="5"/>
      <c r="K407" s="5"/>
      <c r="L407" s="5"/>
      <c r="M407" s="5"/>
      <c r="N407" s="5" t="s">
        <v>28</v>
      </c>
      <c r="O407" s="7"/>
      <c r="P407" s="7">
        <f t="shared" si="108"/>
        <v>2</v>
      </c>
      <c r="Q407" s="7">
        <f t="shared" si="109"/>
        <v>1.5</v>
      </c>
      <c r="R407" s="7"/>
      <c r="S407" s="7">
        <f t="shared" si="125"/>
        <v>0</v>
      </c>
      <c r="T407" s="7">
        <f t="shared" si="110"/>
        <v>0</v>
      </c>
      <c r="U407" s="7">
        <f t="shared" si="111"/>
        <v>0</v>
      </c>
      <c r="V407" s="119">
        <f t="shared" si="112"/>
        <v>0</v>
      </c>
      <c r="W407" s="119">
        <f t="shared" si="113"/>
        <v>0</v>
      </c>
      <c r="X407" s="119">
        <f t="shared" si="114"/>
        <v>1</v>
      </c>
      <c r="Y407" s="119">
        <f t="shared" si="115"/>
        <v>0</v>
      </c>
      <c r="Z407" s="119">
        <f t="shared" si="116"/>
        <v>0</v>
      </c>
      <c r="AA407" s="119">
        <f t="shared" si="117"/>
        <v>0</v>
      </c>
      <c r="AB407" s="119">
        <f t="shared" si="118"/>
        <v>0</v>
      </c>
      <c r="AC407" s="119">
        <f t="shared" si="119"/>
        <v>0</v>
      </c>
      <c r="AD407" s="119">
        <f t="shared" si="120"/>
        <v>0</v>
      </c>
      <c r="AE407" s="119">
        <f t="shared" si="121"/>
        <v>1</v>
      </c>
      <c r="AF407" s="7"/>
      <c r="AG407" s="7"/>
      <c r="AH407" s="7">
        <f t="shared" si="122"/>
        <v>2</v>
      </c>
      <c r="AI407" s="7">
        <f t="shared" si="123"/>
        <v>2</v>
      </c>
      <c r="AJ407" s="7" t="str">
        <f t="shared" si="124"/>
        <v>Correct</v>
      </c>
      <c r="AL407" s="120" t="str">
        <f>IFERROR(VLOOKUP(Table1[RespondentID],'All Data'!$A$3:$CO$999,87,FALSE),"unknown")</f>
        <v>Woman</v>
      </c>
      <c r="AM407" s="120">
        <f>IFERROR(VLOOKUP(Table1[RespondentID],'All Data'!$A$3:$CO$999,88,FALSE),"unknown")</f>
        <v>0</v>
      </c>
      <c r="AN407" s="120" t="str">
        <f>IFERROR(VLOOKUP(Table1[RespondentID],'All Data'!$A$3:$CO$999,89,FALSE),"unknown")</f>
        <v>Nassau</v>
      </c>
      <c r="AO407" s="120" t="str">
        <f>IFERROR(VLOOKUP(Table1[RespondentID],'All Data'!$A$3:$CO$999,90,FALSE),"unknown")</f>
        <v>Hempstead, 11550</v>
      </c>
      <c r="AP407" s="120">
        <f>IFERROR(VLOOKUP(Table1[RespondentID],'All Data'!$A$3:$CO$999,91,FALSE),"unknown")</f>
        <v>0</v>
      </c>
      <c r="AQ407" s="120">
        <f>IFERROR(VLOOKUP(Table1[RespondentID],'All Data'!$A$3:$CO$999,92,FALSE),"unknown")</f>
        <v>0</v>
      </c>
      <c r="AR407" s="120">
        <f>IFERROR(VLOOKUP(Table1[RespondentID],'All Data'!$A$3:$CO$999,93,FALSE),"unknown")</f>
        <v>0</v>
      </c>
      <c r="AS407" s="120">
        <f>IFERROR(VLOOKUP(Table1[RespondentID],'All Data'!$A$3:$CW$999,94,FALSE),"unknown")</f>
        <v>0</v>
      </c>
      <c r="AT407" s="120">
        <f>IFERROR(VLOOKUP(Table1[RespondentID],'All Data'!$A$3:$CW$999,95,FALSE),"unknown")</f>
        <v>0</v>
      </c>
      <c r="AU407" s="120">
        <f>IFERROR(VLOOKUP(Table1[RespondentID],'All Data'!$A$3:$CW$999,96,FALSE),"unknown")</f>
        <v>0</v>
      </c>
      <c r="AV407" s="120">
        <f>IFERROR(VLOOKUP(Table1[RespondentID],'All Data'!$A$3:$CW$999,97,FALSE),"unknown")</f>
        <v>0</v>
      </c>
      <c r="AW407" s="120">
        <f>IFERROR(VLOOKUP(Table1[RespondentID],'All Data'!$A$3:$CW$999,98,FALSE),"unknown")</f>
        <v>0</v>
      </c>
      <c r="AX407" s="120">
        <f>IFERROR(VLOOKUP(Table1[RespondentID],'All Data'!$A$3:$CW$999,99,FALSE),"unknown")</f>
        <v>0</v>
      </c>
    </row>
    <row r="408" spans="1:50">
      <c r="A408" s="5">
        <v>114085903127</v>
      </c>
      <c r="B408" s="5"/>
      <c r="C408" s="5"/>
      <c r="D408" s="5"/>
      <c r="E408" s="5"/>
      <c r="F408" s="5"/>
      <c r="G408" s="5" t="s">
        <v>21</v>
      </c>
      <c r="H408" s="5" t="s">
        <v>22</v>
      </c>
      <c r="I408" s="5" t="s">
        <v>23</v>
      </c>
      <c r="J408" s="5" t="s">
        <v>24</v>
      </c>
      <c r="K408" s="5" t="s">
        <v>25</v>
      </c>
      <c r="L408" s="5"/>
      <c r="M408" s="5"/>
      <c r="N408" s="5" t="s">
        <v>28</v>
      </c>
      <c r="O408" s="7"/>
      <c r="P408" s="7">
        <f t="shared" si="108"/>
        <v>6</v>
      </c>
      <c r="Q408" s="7">
        <f t="shared" si="109"/>
        <v>0.5</v>
      </c>
      <c r="R408" s="7"/>
      <c r="S408" s="7">
        <f t="shared" si="125"/>
        <v>0</v>
      </c>
      <c r="T408" s="7">
        <f t="shared" si="110"/>
        <v>0</v>
      </c>
      <c r="U408" s="7">
        <f t="shared" si="111"/>
        <v>0</v>
      </c>
      <c r="V408" s="119">
        <f t="shared" si="112"/>
        <v>0</v>
      </c>
      <c r="W408" s="119">
        <f t="shared" si="113"/>
        <v>0</v>
      </c>
      <c r="X408" s="119">
        <f t="shared" si="114"/>
        <v>0.5</v>
      </c>
      <c r="Y408" s="119">
        <f t="shared" si="115"/>
        <v>0.5</v>
      </c>
      <c r="Z408" s="119">
        <f t="shared" si="116"/>
        <v>0.5</v>
      </c>
      <c r="AA408" s="119">
        <f t="shared" si="117"/>
        <v>0.5</v>
      </c>
      <c r="AB408" s="119">
        <f t="shared" si="118"/>
        <v>0.5</v>
      </c>
      <c r="AC408" s="119">
        <f t="shared" si="119"/>
        <v>0</v>
      </c>
      <c r="AD408" s="119">
        <f t="shared" si="120"/>
        <v>0</v>
      </c>
      <c r="AE408" s="119">
        <f t="shared" si="121"/>
        <v>0.5</v>
      </c>
      <c r="AF408" s="7"/>
      <c r="AG408" s="7"/>
      <c r="AH408" s="7">
        <f t="shared" si="122"/>
        <v>3</v>
      </c>
      <c r="AI408" s="7">
        <f t="shared" si="123"/>
        <v>6</v>
      </c>
      <c r="AJ408" s="7" t="str">
        <f t="shared" si="124"/>
        <v>Correct</v>
      </c>
      <c r="AL408" s="120" t="str">
        <f>IFERROR(VLOOKUP(Table1[RespondentID],'All Data'!$A$3:$CO$999,87,FALSE),"unknown")</f>
        <v>Woman</v>
      </c>
      <c r="AM408" s="120">
        <f>IFERROR(VLOOKUP(Table1[RespondentID],'All Data'!$A$3:$CO$999,88,FALSE),"unknown")</f>
        <v>0</v>
      </c>
      <c r="AN408" s="120" t="str">
        <f>IFERROR(VLOOKUP(Table1[RespondentID],'All Data'!$A$3:$CO$999,89,FALSE),"unknown")</f>
        <v>Nassau</v>
      </c>
      <c r="AO408" s="120" t="str">
        <f>IFERROR(VLOOKUP(Table1[RespondentID],'All Data'!$A$3:$CO$999,90,FALSE),"unknown")</f>
        <v>Hewlett Neck, 11598</v>
      </c>
      <c r="AP408" s="120">
        <f>IFERROR(VLOOKUP(Table1[RespondentID],'All Data'!$A$3:$CO$999,91,FALSE),"unknown")</f>
        <v>0</v>
      </c>
      <c r="AQ408" s="120" t="str">
        <f>IFERROR(VLOOKUP(Table1[RespondentID],'All Data'!$A$3:$CO$999,92,FALSE),"unknown")</f>
        <v>Not Hispanic or Latino</v>
      </c>
      <c r="AR408" s="120">
        <f>IFERROR(VLOOKUP(Table1[RespondentID],'All Data'!$A$3:$CO$999,93,FALSE),"unknown")</f>
        <v>0</v>
      </c>
      <c r="AS408" s="120" t="str">
        <f>IFERROR(VLOOKUP(Table1[RespondentID],'All Data'!$A$3:$CW$999,94,FALSE),"unknown")</f>
        <v>$50,000 to $74,999</v>
      </c>
      <c r="AT408" s="120" t="str">
        <f>IFERROR(VLOOKUP(Table1[RespondentID],'All Data'!$A$3:$CW$999,95,FALSE),"unknown")</f>
        <v>Graduate school</v>
      </c>
      <c r="AU408" s="120">
        <f>IFERROR(VLOOKUP(Table1[RespondentID],'All Data'!$A$3:$CW$999,96,FALSE),"unknown")</f>
        <v>0</v>
      </c>
      <c r="AV408" s="120">
        <f>IFERROR(VLOOKUP(Table1[RespondentID],'All Data'!$A$3:$CW$999,97,FALSE),"unknown")</f>
        <v>0</v>
      </c>
      <c r="AW408" s="120" t="str">
        <f>IFERROR(VLOOKUP(Table1[RespondentID],'All Data'!$A$3:$CW$999,98,FALSE),"unknown")</f>
        <v>Private/Commercial</v>
      </c>
      <c r="AX408" s="120" t="str">
        <f>IFERROR(VLOOKUP(Table1[RespondentID],'All Data'!$A$3:$CW$999,99,FALSE),"unknown")</f>
        <v>Yes</v>
      </c>
    </row>
    <row r="409" spans="1:50">
      <c r="A409" s="5">
        <v>114085875144</v>
      </c>
      <c r="B409" s="5"/>
      <c r="C409" s="5"/>
      <c r="D409" s="5" t="s">
        <v>18</v>
      </c>
      <c r="E409" s="5"/>
      <c r="F409" s="5"/>
      <c r="G409" s="5"/>
      <c r="H409" s="5"/>
      <c r="I409" s="5" t="s">
        <v>23</v>
      </c>
      <c r="J409" s="5" t="s">
        <v>24</v>
      </c>
      <c r="K409" s="5"/>
      <c r="L409" s="5"/>
      <c r="M409" s="5"/>
      <c r="N409" s="5"/>
      <c r="O409" s="7"/>
      <c r="P409" s="7">
        <f t="shared" si="108"/>
        <v>3</v>
      </c>
      <c r="Q409" s="7">
        <f t="shared" si="109"/>
        <v>1</v>
      </c>
      <c r="R409" s="7"/>
      <c r="S409" s="7">
        <f t="shared" si="125"/>
        <v>0</v>
      </c>
      <c r="T409" s="7">
        <f t="shared" si="110"/>
        <v>0</v>
      </c>
      <c r="U409" s="7">
        <f t="shared" si="111"/>
        <v>1</v>
      </c>
      <c r="V409" s="119">
        <f t="shared" si="112"/>
        <v>0</v>
      </c>
      <c r="W409" s="119">
        <f t="shared" si="113"/>
        <v>0</v>
      </c>
      <c r="X409" s="119">
        <f t="shared" si="114"/>
        <v>0</v>
      </c>
      <c r="Y409" s="119">
        <f t="shared" si="115"/>
        <v>0</v>
      </c>
      <c r="Z409" s="119">
        <f t="shared" si="116"/>
        <v>1</v>
      </c>
      <c r="AA409" s="119">
        <f t="shared" si="117"/>
        <v>1</v>
      </c>
      <c r="AB409" s="119">
        <f t="shared" si="118"/>
        <v>0</v>
      </c>
      <c r="AC409" s="119">
        <f t="shared" si="119"/>
        <v>0</v>
      </c>
      <c r="AD409" s="119">
        <f t="shared" si="120"/>
        <v>0</v>
      </c>
      <c r="AE409" s="119">
        <f t="shared" si="121"/>
        <v>0</v>
      </c>
      <c r="AF409" s="7"/>
      <c r="AG409" s="7"/>
      <c r="AH409" s="7">
        <f t="shared" si="122"/>
        <v>3</v>
      </c>
      <c r="AI409" s="7">
        <f t="shared" si="123"/>
        <v>3</v>
      </c>
      <c r="AJ409" s="7" t="str">
        <f t="shared" si="124"/>
        <v>Correct</v>
      </c>
      <c r="AL409" s="120" t="str">
        <f>IFERROR(VLOOKUP(Table1[RespondentID],'All Data'!$A$3:$CO$999,87,FALSE),"unknown")</f>
        <v>Woman</v>
      </c>
      <c r="AM409" s="120">
        <f>IFERROR(VLOOKUP(Table1[RespondentID],'All Data'!$A$3:$CO$999,88,FALSE),"unknown")</f>
        <v>0</v>
      </c>
      <c r="AN409" s="120" t="str">
        <f>IFERROR(VLOOKUP(Table1[RespondentID],'All Data'!$A$3:$CO$999,89,FALSE),"unknown")</f>
        <v>Nassau</v>
      </c>
      <c r="AO409" s="120" t="str">
        <f>IFERROR(VLOOKUP(Table1[RespondentID],'All Data'!$A$3:$CO$999,90,FALSE),"unknown")</f>
        <v>Lakeview, 11552</v>
      </c>
      <c r="AP409" s="120">
        <f>IFERROR(VLOOKUP(Table1[RespondentID],'All Data'!$A$3:$CO$999,91,FALSE),"unknown")</f>
        <v>0</v>
      </c>
      <c r="AQ409" s="120" t="str">
        <f>IFERROR(VLOOKUP(Table1[RespondentID],'All Data'!$A$3:$CO$999,92,FALSE),"unknown")</f>
        <v>Not Hispanic or Latino</v>
      </c>
      <c r="AR409" s="120" t="str">
        <f>IFERROR(VLOOKUP(Table1[RespondentID],'All Data'!$A$3:$CO$999,93,FALSE),"unknown")</f>
        <v>English</v>
      </c>
      <c r="AS409" s="120" t="str">
        <f>IFERROR(VLOOKUP(Table1[RespondentID],'All Data'!$A$3:$CW$999,94,FALSE),"unknown")</f>
        <v>$50,000 to $74,999</v>
      </c>
      <c r="AT409" s="120" t="str">
        <f>IFERROR(VLOOKUP(Table1[RespondentID],'All Data'!$A$3:$CW$999,95,FALSE),"unknown")</f>
        <v>College graduate</v>
      </c>
      <c r="AU409" s="120">
        <f>IFERROR(VLOOKUP(Table1[RespondentID],'All Data'!$A$3:$CW$999,96,FALSE),"unknown")</f>
        <v>0</v>
      </c>
      <c r="AV409" s="120">
        <f>IFERROR(VLOOKUP(Table1[RespondentID],'All Data'!$A$3:$CW$999,97,FALSE),"unknown")</f>
        <v>0</v>
      </c>
      <c r="AW409" s="120" t="str">
        <f>IFERROR(VLOOKUP(Table1[RespondentID],'All Data'!$A$3:$CW$999,98,FALSE),"unknown")</f>
        <v>Private/Commercial</v>
      </c>
      <c r="AX409" s="120" t="str">
        <f>IFERROR(VLOOKUP(Table1[RespondentID],'All Data'!$A$3:$CW$999,99,FALSE),"unknown")</f>
        <v>Yes</v>
      </c>
    </row>
    <row r="410" spans="1:50">
      <c r="A410" s="5">
        <v>114085855650</v>
      </c>
      <c r="B410" s="5"/>
      <c r="C410" s="5"/>
      <c r="D410" s="5"/>
      <c r="E410" s="5" t="s">
        <v>19</v>
      </c>
      <c r="F410" s="5"/>
      <c r="G410" s="5"/>
      <c r="H410" s="5"/>
      <c r="I410" s="5"/>
      <c r="J410" s="5"/>
      <c r="K410" s="5"/>
      <c r="L410" s="5" t="s">
        <v>26</v>
      </c>
      <c r="M410" s="5" t="s">
        <v>27</v>
      </c>
      <c r="N410" s="5"/>
      <c r="O410" s="7"/>
      <c r="P410" s="7">
        <f t="shared" si="108"/>
        <v>3</v>
      </c>
      <c r="Q410" s="7">
        <f t="shared" si="109"/>
        <v>1</v>
      </c>
      <c r="R410" s="7"/>
      <c r="S410" s="7">
        <f t="shared" si="125"/>
        <v>0</v>
      </c>
      <c r="T410" s="7">
        <f t="shared" si="110"/>
        <v>0</v>
      </c>
      <c r="U410" s="7">
        <f t="shared" si="111"/>
        <v>0</v>
      </c>
      <c r="V410" s="119">
        <f t="shared" si="112"/>
        <v>1</v>
      </c>
      <c r="W410" s="119">
        <f t="shared" si="113"/>
        <v>0</v>
      </c>
      <c r="X410" s="119">
        <f t="shared" si="114"/>
        <v>0</v>
      </c>
      <c r="Y410" s="119">
        <f t="shared" si="115"/>
        <v>0</v>
      </c>
      <c r="Z410" s="119">
        <f t="shared" si="116"/>
        <v>0</v>
      </c>
      <c r="AA410" s="119">
        <f t="shared" si="117"/>
        <v>0</v>
      </c>
      <c r="AB410" s="119">
        <f t="shared" si="118"/>
        <v>0</v>
      </c>
      <c r="AC410" s="119">
        <f t="shared" si="119"/>
        <v>1</v>
      </c>
      <c r="AD410" s="119">
        <f t="shared" si="120"/>
        <v>1</v>
      </c>
      <c r="AE410" s="119">
        <f t="shared" si="121"/>
        <v>0</v>
      </c>
      <c r="AF410" s="7"/>
      <c r="AG410" s="7"/>
      <c r="AH410" s="7">
        <f t="shared" si="122"/>
        <v>3</v>
      </c>
      <c r="AI410" s="7">
        <f t="shared" si="123"/>
        <v>3</v>
      </c>
      <c r="AJ410" s="7" t="str">
        <f t="shared" si="124"/>
        <v>Correct</v>
      </c>
      <c r="AL410" s="120" t="str">
        <f>IFERROR(VLOOKUP(Table1[RespondentID],'All Data'!$A$3:$CO$999,87,FALSE),"unknown")</f>
        <v>Man</v>
      </c>
      <c r="AM410" s="120">
        <f>IFERROR(VLOOKUP(Table1[RespondentID],'All Data'!$A$3:$CO$999,88,FALSE),"unknown")</f>
        <v>0</v>
      </c>
      <c r="AN410" s="120" t="str">
        <f>IFERROR(VLOOKUP(Table1[RespondentID],'All Data'!$A$3:$CO$999,89,FALSE),"unknown")</f>
        <v>Nassau</v>
      </c>
      <c r="AO410" s="120" t="str">
        <f>IFERROR(VLOOKUP(Table1[RespondentID],'All Data'!$A$3:$CO$999,90,FALSE),"unknown")</f>
        <v>Levittown, 11756</v>
      </c>
      <c r="AP410" s="120">
        <f>IFERROR(VLOOKUP(Table1[RespondentID],'All Data'!$A$3:$CO$999,91,FALSE),"unknown")</f>
        <v>0</v>
      </c>
      <c r="AQ410" s="120" t="str">
        <f>IFERROR(VLOOKUP(Table1[RespondentID],'All Data'!$A$3:$CO$999,92,FALSE),"unknown")</f>
        <v>Not Hispanic or Latino</v>
      </c>
      <c r="AR410" s="120" t="str">
        <f>IFERROR(VLOOKUP(Table1[RespondentID],'All Data'!$A$3:$CO$999,93,FALSE),"unknown")</f>
        <v>English</v>
      </c>
      <c r="AS410" s="120">
        <f>IFERROR(VLOOKUP(Table1[RespondentID],'All Data'!$A$3:$CW$999,94,FALSE),"unknown")</f>
        <v>0</v>
      </c>
      <c r="AT410" s="120" t="str">
        <f>IFERROR(VLOOKUP(Table1[RespondentID],'All Data'!$A$3:$CW$999,95,FALSE),"unknown")</f>
        <v>Some college</v>
      </c>
      <c r="AU410" s="120">
        <f>IFERROR(VLOOKUP(Table1[RespondentID],'All Data'!$A$3:$CW$999,96,FALSE),"unknown")</f>
        <v>0</v>
      </c>
      <c r="AV410" s="120">
        <f>IFERROR(VLOOKUP(Table1[RespondentID],'All Data'!$A$3:$CW$999,97,FALSE),"unknown")</f>
        <v>0</v>
      </c>
      <c r="AW410" s="120" t="str">
        <f>IFERROR(VLOOKUP(Table1[RespondentID],'All Data'!$A$3:$CW$999,98,FALSE),"unknown")</f>
        <v>Medicare</v>
      </c>
      <c r="AX410" s="120" t="str">
        <f>IFERROR(VLOOKUP(Table1[RespondentID],'All Data'!$A$3:$CW$999,99,FALSE),"unknown")</f>
        <v>Yes</v>
      </c>
    </row>
    <row r="411" spans="1:50">
      <c r="A411" s="5">
        <v>114085847217</v>
      </c>
      <c r="B411" s="5"/>
      <c r="C411" s="5" t="s">
        <v>17</v>
      </c>
      <c r="D411" s="5"/>
      <c r="E411" s="5"/>
      <c r="F411" s="5"/>
      <c r="G411" s="5"/>
      <c r="H411" s="5"/>
      <c r="I411" s="5"/>
      <c r="J411" s="5" t="s">
        <v>24</v>
      </c>
      <c r="K411" s="5" t="s">
        <v>25</v>
      </c>
      <c r="L411" s="5"/>
      <c r="M411" s="5"/>
      <c r="N411" s="5"/>
      <c r="O411" s="7"/>
      <c r="P411" s="7">
        <f t="shared" si="108"/>
        <v>3</v>
      </c>
      <c r="Q411" s="7">
        <f t="shared" si="109"/>
        <v>1</v>
      </c>
      <c r="R411" s="7"/>
      <c r="S411" s="7">
        <f t="shared" si="125"/>
        <v>0</v>
      </c>
      <c r="T411" s="7">
        <f t="shared" si="110"/>
        <v>1</v>
      </c>
      <c r="U411" s="7">
        <f t="shared" si="111"/>
        <v>0</v>
      </c>
      <c r="V411" s="119">
        <f t="shared" si="112"/>
        <v>0</v>
      </c>
      <c r="W411" s="119">
        <f t="shared" si="113"/>
        <v>0</v>
      </c>
      <c r="X411" s="119">
        <f t="shared" si="114"/>
        <v>0</v>
      </c>
      <c r="Y411" s="119">
        <f t="shared" si="115"/>
        <v>0</v>
      </c>
      <c r="Z411" s="119">
        <f t="shared" si="116"/>
        <v>0</v>
      </c>
      <c r="AA411" s="119">
        <f t="shared" si="117"/>
        <v>1</v>
      </c>
      <c r="AB411" s="119">
        <f t="shared" si="118"/>
        <v>1</v>
      </c>
      <c r="AC411" s="119">
        <f t="shared" si="119"/>
        <v>0</v>
      </c>
      <c r="AD411" s="119">
        <f t="shared" si="120"/>
        <v>0</v>
      </c>
      <c r="AE411" s="119">
        <f t="shared" si="121"/>
        <v>0</v>
      </c>
      <c r="AF411" s="7"/>
      <c r="AG411" s="7"/>
      <c r="AH411" s="7">
        <f t="shared" si="122"/>
        <v>3</v>
      </c>
      <c r="AI411" s="7">
        <f t="shared" si="123"/>
        <v>3</v>
      </c>
      <c r="AJ411" s="7" t="str">
        <f t="shared" si="124"/>
        <v>Correct</v>
      </c>
      <c r="AL411" s="120" t="str">
        <f>IFERROR(VLOOKUP(Table1[RespondentID],'All Data'!$A$3:$CO$999,87,FALSE),"unknown")</f>
        <v>Woman</v>
      </c>
      <c r="AM411" s="120">
        <f>IFERROR(VLOOKUP(Table1[RespondentID],'All Data'!$A$3:$CO$999,88,FALSE),"unknown")</f>
        <v>0</v>
      </c>
      <c r="AN411" s="120" t="str">
        <f>IFERROR(VLOOKUP(Table1[RespondentID],'All Data'!$A$3:$CO$999,89,FALSE),"unknown")</f>
        <v>Nassau</v>
      </c>
      <c r="AO411" s="120" t="str">
        <f>IFERROR(VLOOKUP(Table1[RespondentID],'All Data'!$A$3:$CO$999,90,FALSE),"unknown")</f>
        <v>Massapequa Park, 11762</v>
      </c>
      <c r="AP411" s="120">
        <f>IFERROR(VLOOKUP(Table1[RespondentID],'All Data'!$A$3:$CO$999,91,FALSE),"unknown")</f>
        <v>0</v>
      </c>
      <c r="AQ411" s="120" t="str">
        <f>IFERROR(VLOOKUP(Table1[RespondentID],'All Data'!$A$3:$CO$999,92,FALSE),"unknown")</f>
        <v>Not Hispanic or Latino</v>
      </c>
      <c r="AR411" s="120" t="str">
        <f>IFERROR(VLOOKUP(Table1[RespondentID],'All Data'!$A$3:$CO$999,93,FALSE),"unknown")</f>
        <v>English</v>
      </c>
      <c r="AS411" s="120" t="str">
        <f>IFERROR(VLOOKUP(Table1[RespondentID],'All Data'!$A$3:$CW$999,94,FALSE),"unknown")</f>
        <v>$50,000 to $74,999</v>
      </c>
      <c r="AT411" s="120" t="str">
        <f>IFERROR(VLOOKUP(Table1[RespondentID],'All Data'!$A$3:$CW$999,95,FALSE),"unknown")</f>
        <v>Graduate school</v>
      </c>
      <c r="AU411" s="120">
        <f>IFERROR(VLOOKUP(Table1[RespondentID],'All Data'!$A$3:$CW$999,96,FALSE),"unknown")</f>
        <v>0</v>
      </c>
      <c r="AV411" s="120">
        <f>IFERROR(VLOOKUP(Table1[RespondentID],'All Data'!$A$3:$CW$999,97,FALSE),"unknown")</f>
        <v>0</v>
      </c>
      <c r="AW411" s="120" t="str">
        <f>IFERROR(VLOOKUP(Table1[RespondentID],'All Data'!$A$3:$CW$999,98,FALSE),"unknown")</f>
        <v>Private/Commercial</v>
      </c>
      <c r="AX411" s="120" t="str">
        <f>IFERROR(VLOOKUP(Table1[RespondentID],'All Data'!$A$3:$CW$999,99,FALSE),"unknown")</f>
        <v>Yes</v>
      </c>
    </row>
    <row r="412" spans="1:50">
      <c r="A412" s="5">
        <v>114085845695</v>
      </c>
      <c r="B412" s="5"/>
      <c r="C412" s="5" t="s">
        <v>17</v>
      </c>
      <c r="D412" s="5" t="s">
        <v>18</v>
      </c>
      <c r="E412" s="5"/>
      <c r="F412" s="5"/>
      <c r="G412" s="5"/>
      <c r="H412" s="5"/>
      <c r="I412" s="5"/>
      <c r="J412" s="5"/>
      <c r="K412" s="5" t="s">
        <v>25</v>
      </c>
      <c r="L412" s="5"/>
      <c r="M412" s="5"/>
      <c r="N412" s="5"/>
      <c r="O412" s="7"/>
      <c r="P412" s="7">
        <f t="shared" si="108"/>
        <v>3</v>
      </c>
      <c r="Q412" s="7">
        <f t="shared" si="109"/>
        <v>1</v>
      </c>
      <c r="R412" s="7"/>
      <c r="S412" s="7">
        <f t="shared" si="125"/>
        <v>0</v>
      </c>
      <c r="T412" s="7">
        <f t="shared" si="110"/>
        <v>1</v>
      </c>
      <c r="U412" s="7">
        <f t="shared" si="111"/>
        <v>1</v>
      </c>
      <c r="V412" s="119">
        <f t="shared" si="112"/>
        <v>0</v>
      </c>
      <c r="W412" s="119">
        <f t="shared" si="113"/>
        <v>0</v>
      </c>
      <c r="X412" s="119">
        <f t="shared" si="114"/>
        <v>0</v>
      </c>
      <c r="Y412" s="119">
        <f t="shared" si="115"/>
        <v>0</v>
      </c>
      <c r="Z412" s="119">
        <f t="shared" si="116"/>
        <v>0</v>
      </c>
      <c r="AA412" s="119">
        <f t="shared" si="117"/>
        <v>0</v>
      </c>
      <c r="AB412" s="119">
        <f t="shared" si="118"/>
        <v>1</v>
      </c>
      <c r="AC412" s="119">
        <f t="shared" si="119"/>
        <v>0</v>
      </c>
      <c r="AD412" s="119">
        <f t="shared" si="120"/>
        <v>0</v>
      </c>
      <c r="AE412" s="119">
        <f t="shared" si="121"/>
        <v>0</v>
      </c>
      <c r="AF412" s="7"/>
      <c r="AG412" s="7"/>
      <c r="AH412" s="7">
        <f t="shared" si="122"/>
        <v>3</v>
      </c>
      <c r="AI412" s="7">
        <f t="shared" si="123"/>
        <v>3</v>
      </c>
      <c r="AJ412" s="7" t="str">
        <f t="shared" si="124"/>
        <v>Correct</v>
      </c>
      <c r="AL412" s="120" t="str">
        <f>IFERROR(VLOOKUP(Table1[RespondentID],'All Data'!$A$3:$CO$999,87,FALSE),"unknown")</f>
        <v>Woman</v>
      </c>
      <c r="AM412" s="120">
        <f>IFERROR(VLOOKUP(Table1[RespondentID],'All Data'!$A$3:$CO$999,88,FALSE),"unknown")</f>
        <v>0</v>
      </c>
      <c r="AN412" s="120" t="str">
        <f>IFERROR(VLOOKUP(Table1[RespondentID],'All Data'!$A$3:$CO$999,89,FALSE),"unknown")</f>
        <v>Nassau</v>
      </c>
      <c r="AO412" s="120" t="str">
        <f>IFERROR(VLOOKUP(Table1[RespondentID],'All Data'!$A$3:$CO$999,90,FALSE),"unknown")</f>
        <v>West Hempstead, 11552</v>
      </c>
      <c r="AP412" s="120">
        <f>IFERROR(VLOOKUP(Table1[RespondentID],'All Data'!$A$3:$CO$999,91,FALSE),"unknown")</f>
        <v>0</v>
      </c>
      <c r="AQ412" s="120" t="str">
        <f>IFERROR(VLOOKUP(Table1[RespondentID],'All Data'!$A$3:$CO$999,92,FALSE),"unknown")</f>
        <v>Not Hispanic or Latino</v>
      </c>
      <c r="AR412" s="120" t="str">
        <f>IFERROR(VLOOKUP(Table1[RespondentID],'All Data'!$A$3:$CO$999,93,FALSE),"unknown")</f>
        <v>English</v>
      </c>
      <c r="AS412" s="120" t="str">
        <f>IFERROR(VLOOKUP(Table1[RespondentID],'All Data'!$A$3:$CW$999,94,FALSE),"unknown")</f>
        <v>$75,000 to $125,000</v>
      </c>
      <c r="AT412" s="120" t="str">
        <f>IFERROR(VLOOKUP(Table1[RespondentID],'All Data'!$A$3:$CW$999,95,FALSE),"unknown")</f>
        <v>Graduate school</v>
      </c>
      <c r="AU412" s="120">
        <f>IFERROR(VLOOKUP(Table1[RespondentID],'All Data'!$A$3:$CW$999,96,FALSE),"unknown")</f>
        <v>0</v>
      </c>
      <c r="AV412" s="120">
        <f>IFERROR(VLOOKUP(Table1[RespondentID],'All Data'!$A$3:$CW$999,97,FALSE),"unknown")</f>
        <v>0</v>
      </c>
      <c r="AW412" s="120" t="str">
        <f>IFERROR(VLOOKUP(Table1[RespondentID],'All Data'!$A$3:$CW$999,98,FALSE),"unknown")</f>
        <v>Private/Commercial</v>
      </c>
      <c r="AX412" s="120" t="str">
        <f>IFERROR(VLOOKUP(Table1[RespondentID],'All Data'!$A$3:$CW$999,99,FALSE),"unknown")</f>
        <v>Yes</v>
      </c>
    </row>
    <row r="413" spans="1:50">
      <c r="A413" s="5">
        <v>114085842785</v>
      </c>
      <c r="B413" s="5"/>
      <c r="C413" s="5"/>
      <c r="D413" s="5"/>
      <c r="E413" s="5" t="s">
        <v>19</v>
      </c>
      <c r="F413" s="5"/>
      <c r="G413" s="5"/>
      <c r="H413" s="5"/>
      <c r="I413" s="5"/>
      <c r="J413" s="5" t="s">
        <v>24</v>
      </c>
      <c r="K413" s="5"/>
      <c r="L413" s="5"/>
      <c r="M413" s="5"/>
      <c r="N413" s="5" t="s">
        <v>28</v>
      </c>
      <c r="O413" s="7"/>
      <c r="P413" s="7">
        <f t="shared" si="108"/>
        <v>3</v>
      </c>
      <c r="Q413" s="7">
        <f t="shared" si="109"/>
        <v>1</v>
      </c>
      <c r="R413" s="7"/>
      <c r="S413" s="7">
        <f t="shared" si="125"/>
        <v>0</v>
      </c>
      <c r="T413" s="7">
        <f t="shared" si="110"/>
        <v>0</v>
      </c>
      <c r="U413" s="7">
        <f t="shared" si="111"/>
        <v>0</v>
      </c>
      <c r="V413" s="119">
        <f t="shared" si="112"/>
        <v>1</v>
      </c>
      <c r="W413" s="119">
        <f t="shared" si="113"/>
        <v>0</v>
      </c>
      <c r="X413" s="119">
        <f t="shared" si="114"/>
        <v>0</v>
      </c>
      <c r="Y413" s="119">
        <f t="shared" si="115"/>
        <v>0</v>
      </c>
      <c r="Z413" s="119">
        <f t="shared" si="116"/>
        <v>0</v>
      </c>
      <c r="AA413" s="119">
        <f t="shared" si="117"/>
        <v>1</v>
      </c>
      <c r="AB413" s="119">
        <f t="shared" si="118"/>
        <v>0</v>
      </c>
      <c r="AC413" s="119">
        <f t="shared" si="119"/>
        <v>0</v>
      </c>
      <c r="AD413" s="119">
        <f t="shared" si="120"/>
        <v>0</v>
      </c>
      <c r="AE413" s="119">
        <f t="shared" si="121"/>
        <v>1</v>
      </c>
      <c r="AF413" s="7"/>
      <c r="AG413" s="7"/>
      <c r="AH413" s="7">
        <f t="shared" si="122"/>
        <v>3</v>
      </c>
      <c r="AI413" s="7">
        <f t="shared" si="123"/>
        <v>3</v>
      </c>
      <c r="AJ413" s="7" t="str">
        <f t="shared" si="124"/>
        <v>Correct</v>
      </c>
      <c r="AL413" s="120" t="str">
        <f>IFERROR(VLOOKUP(Table1[RespondentID],'All Data'!$A$3:$CO$999,87,FALSE),"unknown")</f>
        <v>Woman</v>
      </c>
      <c r="AM413" s="120">
        <f>IFERROR(VLOOKUP(Table1[RespondentID],'All Data'!$A$3:$CO$999,88,FALSE),"unknown")</f>
        <v>0</v>
      </c>
      <c r="AN413" s="120" t="str">
        <f>IFERROR(VLOOKUP(Table1[RespondentID],'All Data'!$A$3:$CO$999,89,FALSE),"unknown")</f>
        <v>Nassau</v>
      </c>
      <c r="AO413" s="120" t="str">
        <f>IFERROR(VLOOKUP(Table1[RespondentID],'All Data'!$A$3:$CO$999,90,FALSE),"unknown")</f>
        <v>Bellmore, 11710</v>
      </c>
      <c r="AP413" s="120">
        <f>IFERROR(VLOOKUP(Table1[RespondentID],'All Data'!$A$3:$CO$999,91,FALSE),"unknown")</f>
        <v>0</v>
      </c>
      <c r="AQ413" s="120" t="str">
        <f>IFERROR(VLOOKUP(Table1[RespondentID],'All Data'!$A$3:$CO$999,92,FALSE),"unknown")</f>
        <v>Not Hispanic or Latino</v>
      </c>
      <c r="AR413" s="120" t="str">
        <f>IFERROR(VLOOKUP(Table1[RespondentID],'All Data'!$A$3:$CO$999,93,FALSE),"unknown")</f>
        <v>English</v>
      </c>
      <c r="AS413" s="120" t="str">
        <f>IFERROR(VLOOKUP(Table1[RespondentID],'All Data'!$A$3:$CW$999,94,FALSE),"unknown")</f>
        <v>$75,000 to $125,000</v>
      </c>
      <c r="AT413" s="120" t="str">
        <f>IFERROR(VLOOKUP(Table1[RespondentID],'All Data'!$A$3:$CW$999,95,FALSE),"unknown")</f>
        <v>High school graduate</v>
      </c>
      <c r="AU413" s="120">
        <f>IFERROR(VLOOKUP(Table1[RespondentID],'All Data'!$A$3:$CW$999,96,FALSE),"unknown")</f>
        <v>0</v>
      </c>
      <c r="AV413" s="120">
        <f>IFERROR(VLOOKUP(Table1[RespondentID],'All Data'!$A$3:$CW$999,97,FALSE),"unknown")</f>
        <v>0</v>
      </c>
      <c r="AW413" s="120" t="str">
        <f>IFERROR(VLOOKUP(Table1[RespondentID],'All Data'!$A$3:$CW$999,98,FALSE),"unknown")</f>
        <v>Private/Commercial</v>
      </c>
      <c r="AX413" s="120" t="str">
        <f>IFERROR(VLOOKUP(Table1[RespondentID],'All Data'!$A$3:$CW$999,99,FALSE),"unknown")</f>
        <v>Yes</v>
      </c>
    </row>
    <row r="414" spans="1:50">
      <c r="A414" s="5">
        <v>114085835907</v>
      </c>
      <c r="B414" s="5"/>
      <c r="C414" s="5"/>
      <c r="D414" s="5"/>
      <c r="E414" s="5"/>
      <c r="F414" s="5"/>
      <c r="G414" s="5" t="s">
        <v>21</v>
      </c>
      <c r="H414" s="5"/>
      <c r="I414" s="5"/>
      <c r="J414" s="5" t="s">
        <v>24</v>
      </c>
      <c r="K414" s="5" t="s">
        <v>25</v>
      </c>
      <c r="L414" s="5" t="s">
        <v>26</v>
      </c>
      <c r="M414" s="5"/>
      <c r="N414" s="5"/>
      <c r="O414" s="7"/>
      <c r="P414" s="7">
        <f t="shared" si="108"/>
        <v>4</v>
      </c>
      <c r="Q414" s="7">
        <f t="shared" si="109"/>
        <v>0.75</v>
      </c>
      <c r="R414" s="7"/>
      <c r="S414" s="7">
        <f t="shared" si="125"/>
        <v>0</v>
      </c>
      <c r="T414" s="7">
        <f t="shared" si="110"/>
        <v>0</v>
      </c>
      <c r="U414" s="7">
        <f t="shared" si="111"/>
        <v>0</v>
      </c>
      <c r="V414" s="119">
        <f t="shared" si="112"/>
        <v>0</v>
      </c>
      <c r="W414" s="119">
        <f t="shared" si="113"/>
        <v>0</v>
      </c>
      <c r="X414" s="119">
        <f t="shared" si="114"/>
        <v>0.75</v>
      </c>
      <c r="Y414" s="119">
        <f t="shared" si="115"/>
        <v>0</v>
      </c>
      <c r="Z414" s="119">
        <f t="shared" si="116"/>
        <v>0</v>
      </c>
      <c r="AA414" s="119">
        <f t="shared" si="117"/>
        <v>0.75</v>
      </c>
      <c r="AB414" s="119">
        <f t="shared" si="118"/>
        <v>0.75</v>
      </c>
      <c r="AC414" s="119">
        <f t="shared" si="119"/>
        <v>0.75</v>
      </c>
      <c r="AD414" s="119">
        <f t="shared" si="120"/>
        <v>0</v>
      </c>
      <c r="AE414" s="119">
        <f t="shared" si="121"/>
        <v>0</v>
      </c>
      <c r="AF414" s="7"/>
      <c r="AG414" s="7"/>
      <c r="AH414" s="7">
        <f t="shared" si="122"/>
        <v>3</v>
      </c>
      <c r="AI414" s="7">
        <f t="shared" si="123"/>
        <v>4</v>
      </c>
      <c r="AJ414" s="7" t="str">
        <f t="shared" si="124"/>
        <v>Correct</v>
      </c>
      <c r="AL414" s="120" t="str">
        <f>IFERROR(VLOOKUP(Table1[RespondentID],'All Data'!$A$3:$CO$999,87,FALSE),"unknown")</f>
        <v>Woman</v>
      </c>
      <c r="AM414" s="120">
        <f>IFERROR(VLOOKUP(Table1[RespondentID],'All Data'!$A$3:$CO$999,88,FALSE),"unknown")</f>
        <v>0</v>
      </c>
      <c r="AN414" s="120" t="str">
        <f>IFERROR(VLOOKUP(Table1[RespondentID],'All Data'!$A$3:$CO$999,89,FALSE),"unknown")</f>
        <v>Nassau</v>
      </c>
      <c r="AO414" s="120" t="str">
        <f>IFERROR(VLOOKUP(Table1[RespondentID],'All Data'!$A$3:$CO$999,90,FALSE),"unknown")</f>
        <v>Westbury, 11590</v>
      </c>
      <c r="AP414" s="120">
        <f>IFERROR(VLOOKUP(Table1[RespondentID],'All Data'!$A$3:$CO$999,91,FALSE),"unknown")</f>
        <v>0</v>
      </c>
      <c r="AQ414" s="120" t="str">
        <f>IFERROR(VLOOKUP(Table1[RespondentID],'All Data'!$A$3:$CO$999,92,FALSE),"unknown")</f>
        <v>Not Hispanic or Latino</v>
      </c>
      <c r="AR414" s="120" t="str">
        <f>IFERROR(VLOOKUP(Table1[RespondentID],'All Data'!$A$3:$CO$999,93,FALSE),"unknown")</f>
        <v>English</v>
      </c>
      <c r="AS414" s="120" t="str">
        <f>IFERROR(VLOOKUP(Table1[RespondentID],'All Data'!$A$3:$CW$999,94,FALSE),"unknown")</f>
        <v>$50,000 to $74,999</v>
      </c>
      <c r="AT414" s="120">
        <f>IFERROR(VLOOKUP(Table1[RespondentID],'All Data'!$A$3:$CW$999,95,FALSE),"unknown")</f>
        <v>0</v>
      </c>
      <c r="AU414" s="120">
        <f>IFERROR(VLOOKUP(Table1[RespondentID],'All Data'!$A$3:$CW$999,96,FALSE),"unknown")</f>
        <v>0</v>
      </c>
      <c r="AV414" s="120">
        <f>IFERROR(VLOOKUP(Table1[RespondentID],'All Data'!$A$3:$CW$999,97,FALSE),"unknown")</f>
        <v>0</v>
      </c>
      <c r="AW414" s="120" t="str">
        <f>IFERROR(VLOOKUP(Table1[RespondentID],'All Data'!$A$3:$CW$999,98,FALSE),"unknown")</f>
        <v>Private/Commercial</v>
      </c>
      <c r="AX414" s="120" t="str">
        <f>IFERROR(VLOOKUP(Table1[RespondentID],'All Data'!$A$3:$CW$999,99,FALSE),"unknown")</f>
        <v>Yes</v>
      </c>
    </row>
    <row r="415" spans="1:50">
      <c r="A415" s="5">
        <v>114085832464</v>
      </c>
      <c r="B415" s="5"/>
      <c r="C415" s="5" t="s">
        <v>17</v>
      </c>
      <c r="D415" s="5" t="s">
        <v>18</v>
      </c>
      <c r="E415" s="5"/>
      <c r="F415" s="5"/>
      <c r="G415" s="5" t="s">
        <v>21</v>
      </c>
      <c r="H415" s="5"/>
      <c r="I415" s="5"/>
      <c r="J415" s="5" t="s">
        <v>24</v>
      </c>
      <c r="K415" s="5" t="s">
        <v>25</v>
      </c>
      <c r="L415" s="5" t="s">
        <v>26</v>
      </c>
      <c r="M415" s="5"/>
      <c r="N415" s="5"/>
      <c r="O415" s="7"/>
      <c r="P415" s="7">
        <f t="shared" si="108"/>
        <v>6</v>
      </c>
      <c r="Q415" s="7">
        <f t="shared" si="109"/>
        <v>0.5</v>
      </c>
      <c r="R415" s="7"/>
      <c r="S415" s="7">
        <f t="shared" si="125"/>
        <v>0</v>
      </c>
      <c r="T415" s="7">
        <f t="shared" si="110"/>
        <v>0.5</v>
      </c>
      <c r="U415" s="7">
        <f t="shared" si="111"/>
        <v>0.5</v>
      </c>
      <c r="V415" s="119">
        <f t="shared" si="112"/>
        <v>0</v>
      </c>
      <c r="W415" s="119">
        <f t="shared" si="113"/>
        <v>0</v>
      </c>
      <c r="X415" s="119">
        <f t="shared" si="114"/>
        <v>0.5</v>
      </c>
      <c r="Y415" s="119">
        <f t="shared" si="115"/>
        <v>0</v>
      </c>
      <c r="Z415" s="119">
        <f t="shared" si="116"/>
        <v>0</v>
      </c>
      <c r="AA415" s="119">
        <f t="shared" si="117"/>
        <v>0.5</v>
      </c>
      <c r="AB415" s="119">
        <f t="shared" si="118"/>
        <v>0.5</v>
      </c>
      <c r="AC415" s="119">
        <f t="shared" si="119"/>
        <v>0.5</v>
      </c>
      <c r="AD415" s="119">
        <f t="shared" si="120"/>
        <v>0</v>
      </c>
      <c r="AE415" s="119">
        <f t="shared" si="121"/>
        <v>0</v>
      </c>
      <c r="AF415" s="7"/>
      <c r="AG415" s="7"/>
      <c r="AH415" s="7">
        <f t="shared" si="122"/>
        <v>3</v>
      </c>
      <c r="AI415" s="7">
        <f t="shared" si="123"/>
        <v>6</v>
      </c>
      <c r="AJ415" s="7" t="str">
        <f t="shared" si="124"/>
        <v>Correct</v>
      </c>
      <c r="AL415" s="120" t="str">
        <f>IFERROR(VLOOKUP(Table1[RespondentID],'All Data'!$A$3:$CO$999,87,FALSE),"unknown")</f>
        <v>Man</v>
      </c>
      <c r="AM415" s="120">
        <f>IFERROR(VLOOKUP(Table1[RespondentID],'All Data'!$A$3:$CO$999,88,FALSE),"unknown")</f>
        <v>0</v>
      </c>
      <c r="AN415" s="120" t="str">
        <f>IFERROR(VLOOKUP(Table1[RespondentID],'All Data'!$A$3:$CO$999,89,FALSE),"unknown")</f>
        <v>Nassau</v>
      </c>
      <c r="AO415" s="120" t="str">
        <f>IFERROR(VLOOKUP(Table1[RespondentID],'All Data'!$A$3:$CO$999,90,FALSE),"unknown")</f>
        <v>East Meadow, 11554</v>
      </c>
      <c r="AP415" s="120">
        <f>IFERROR(VLOOKUP(Table1[RespondentID],'All Data'!$A$3:$CO$999,91,FALSE),"unknown")</f>
        <v>0</v>
      </c>
      <c r="AQ415" s="120" t="str">
        <f>IFERROR(VLOOKUP(Table1[RespondentID],'All Data'!$A$3:$CO$999,92,FALSE),"unknown")</f>
        <v>Not Hispanic or Latino</v>
      </c>
      <c r="AR415" s="120" t="str">
        <f>IFERROR(VLOOKUP(Table1[RespondentID],'All Data'!$A$3:$CO$999,93,FALSE),"unknown")</f>
        <v>English</v>
      </c>
      <c r="AS415" s="120" t="str">
        <f>IFERROR(VLOOKUP(Table1[RespondentID],'All Data'!$A$3:$CW$999,94,FALSE),"unknown")</f>
        <v>Over $125,000</v>
      </c>
      <c r="AT415" s="120" t="str">
        <f>IFERROR(VLOOKUP(Table1[RespondentID],'All Data'!$A$3:$CW$999,95,FALSE),"unknown")</f>
        <v>Doctorate</v>
      </c>
      <c r="AU415" s="120">
        <f>IFERROR(VLOOKUP(Table1[RespondentID],'All Data'!$A$3:$CW$999,96,FALSE),"unknown")</f>
        <v>0</v>
      </c>
      <c r="AV415" s="120">
        <f>IFERROR(VLOOKUP(Table1[RespondentID],'All Data'!$A$3:$CW$999,97,FALSE),"unknown")</f>
        <v>0</v>
      </c>
      <c r="AW415" s="120" t="str">
        <f>IFERROR(VLOOKUP(Table1[RespondentID],'All Data'!$A$3:$CW$999,98,FALSE),"unknown")</f>
        <v>Medicare,Private/Commercial</v>
      </c>
      <c r="AX415" s="120" t="str">
        <f>IFERROR(VLOOKUP(Table1[RespondentID],'All Data'!$A$3:$CW$999,99,FALSE),"unknown")</f>
        <v>Yes</v>
      </c>
    </row>
    <row r="416" spans="1:50">
      <c r="A416" s="5">
        <v>114085828973</v>
      </c>
      <c r="B416" s="5"/>
      <c r="C416" s="5"/>
      <c r="D416" s="5" t="s">
        <v>18</v>
      </c>
      <c r="E416" s="5"/>
      <c r="F416" s="5"/>
      <c r="G416" s="5"/>
      <c r="H416" s="5"/>
      <c r="I416" s="5"/>
      <c r="J416" s="5" t="s">
        <v>24</v>
      </c>
      <c r="K416" s="5"/>
      <c r="L416" s="5"/>
      <c r="M416" s="5"/>
      <c r="N416" s="5" t="s">
        <v>28</v>
      </c>
      <c r="O416" s="7"/>
      <c r="P416" s="7">
        <f t="shared" si="108"/>
        <v>3</v>
      </c>
      <c r="Q416" s="7">
        <f t="shared" si="109"/>
        <v>1</v>
      </c>
      <c r="R416" s="7"/>
      <c r="S416" s="7">
        <f t="shared" si="125"/>
        <v>0</v>
      </c>
      <c r="T416" s="7">
        <f t="shared" si="110"/>
        <v>0</v>
      </c>
      <c r="U416" s="7">
        <f t="shared" si="111"/>
        <v>1</v>
      </c>
      <c r="V416" s="119">
        <f t="shared" si="112"/>
        <v>0</v>
      </c>
      <c r="W416" s="119">
        <f t="shared" si="113"/>
        <v>0</v>
      </c>
      <c r="X416" s="119">
        <f t="shared" si="114"/>
        <v>0</v>
      </c>
      <c r="Y416" s="119">
        <f t="shared" si="115"/>
        <v>0</v>
      </c>
      <c r="Z416" s="119">
        <f t="shared" si="116"/>
        <v>0</v>
      </c>
      <c r="AA416" s="119">
        <f t="shared" si="117"/>
        <v>1</v>
      </c>
      <c r="AB416" s="119">
        <f t="shared" si="118"/>
        <v>0</v>
      </c>
      <c r="AC416" s="119">
        <f t="shared" si="119"/>
        <v>0</v>
      </c>
      <c r="AD416" s="119">
        <f t="shared" si="120"/>
        <v>0</v>
      </c>
      <c r="AE416" s="119">
        <f t="shared" si="121"/>
        <v>1</v>
      </c>
      <c r="AF416" s="7"/>
      <c r="AG416" s="7"/>
      <c r="AH416" s="7">
        <f t="shared" si="122"/>
        <v>3</v>
      </c>
      <c r="AI416" s="7">
        <f t="shared" si="123"/>
        <v>3</v>
      </c>
      <c r="AJ416" s="7" t="str">
        <f t="shared" si="124"/>
        <v>Correct</v>
      </c>
      <c r="AL416" s="120" t="str">
        <f>IFERROR(VLOOKUP(Table1[RespondentID],'All Data'!$A$3:$CO$999,87,FALSE),"unknown")</f>
        <v>Woman</v>
      </c>
      <c r="AM416" s="120">
        <f>IFERROR(VLOOKUP(Table1[RespondentID],'All Data'!$A$3:$CO$999,88,FALSE),"unknown")</f>
        <v>0</v>
      </c>
      <c r="AN416" s="120" t="str">
        <f>IFERROR(VLOOKUP(Table1[RespondentID],'All Data'!$A$3:$CO$999,89,FALSE),"unknown")</f>
        <v>Suffolk</v>
      </c>
      <c r="AO416" s="120" t="str">
        <f>IFERROR(VLOOKUP(Table1[RespondentID],'All Data'!$A$3:$CO$999,90,FALSE),"unknown")</f>
        <v>Deer Park, 11729</v>
      </c>
      <c r="AP416" s="120">
        <f>IFERROR(VLOOKUP(Table1[RespondentID],'All Data'!$A$3:$CO$999,91,FALSE),"unknown")</f>
        <v>0</v>
      </c>
      <c r="AQ416" s="120" t="str">
        <f>IFERROR(VLOOKUP(Table1[RespondentID],'All Data'!$A$3:$CO$999,92,FALSE),"unknown")</f>
        <v>Not Hispanic or Latino</v>
      </c>
      <c r="AR416" s="120" t="str">
        <f>IFERROR(VLOOKUP(Table1[RespondentID],'All Data'!$A$3:$CO$999,93,FALSE),"unknown")</f>
        <v>English</v>
      </c>
      <c r="AS416" s="120" t="str">
        <f>IFERROR(VLOOKUP(Table1[RespondentID],'All Data'!$A$3:$CW$999,94,FALSE),"unknown")</f>
        <v>$75,000 to $125,000</v>
      </c>
      <c r="AT416" s="120" t="str">
        <f>IFERROR(VLOOKUP(Table1[RespondentID],'All Data'!$A$3:$CW$999,95,FALSE),"unknown")</f>
        <v>Graduate school</v>
      </c>
      <c r="AU416" s="120">
        <f>IFERROR(VLOOKUP(Table1[RespondentID],'All Data'!$A$3:$CW$999,96,FALSE),"unknown")</f>
        <v>0</v>
      </c>
      <c r="AV416" s="120">
        <f>IFERROR(VLOOKUP(Table1[RespondentID],'All Data'!$A$3:$CW$999,97,FALSE),"unknown")</f>
        <v>0</v>
      </c>
      <c r="AW416" s="120" t="str">
        <f>IFERROR(VLOOKUP(Table1[RespondentID],'All Data'!$A$3:$CW$999,98,FALSE),"unknown")</f>
        <v>Private/Commercial</v>
      </c>
      <c r="AX416" s="120" t="str">
        <f>IFERROR(VLOOKUP(Table1[RespondentID],'All Data'!$A$3:$CW$999,99,FALSE),"unknown")</f>
        <v>Yes</v>
      </c>
    </row>
    <row r="417" spans="1:50">
      <c r="A417" s="5">
        <v>114085827353</v>
      </c>
      <c r="B417" s="5"/>
      <c r="C417" s="5" t="s">
        <v>17</v>
      </c>
      <c r="D417" s="5" t="s">
        <v>18</v>
      </c>
      <c r="E417" s="5"/>
      <c r="F417" s="5"/>
      <c r="G417" s="5" t="s">
        <v>21</v>
      </c>
      <c r="H417" s="5"/>
      <c r="I417" s="5"/>
      <c r="J417" s="5" t="s">
        <v>24</v>
      </c>
      <c r="K417" s="5" t="s">
        <v>25</v>
      </c>
      <c r="L417" s="5" t="s">
        <v>26</v>
      </c>
      <c r="M417" s="5" t="s">
        <v>27</v>
      </c>
      <c r="N417" s="5"/>
      <c r="O417" s="7"/>
      <c r="P417" s="7">
        <f t="shared" si="108"/>
        <v>7</v>
      </c>
      <c r="Q417" s="7">
        <f t="shared" si="109"/>
        <v>0.42857142857142855</v>
      </c>
      <c r="R417" s="7"/>
      <c r="S417" s="7">
        <f t="shared" si="125"/>
        <v>0</v>
      </c>
      <c r="T417" s="7">
        <f t="shared" si="110"/>
        <v>0.42857142857142855</v>
      </c>
      <c r="U417" s="7">
        <f t="shared" si="111"/>
        <v>0.42857142857142855</v>
      </c>
      <c r="V417" s="119">
        <f t="shared" si="112"/>
        <v>0</v>
      </c>
      <c r="W417" s="119">
        <f t="shared" si="113"/>
        <v>0</v>
      </c>
      <c r="X417" s="119">
        <f t="shared" si="114"/>
        <v>0.42857142857142855</v>
      </c>
      <c r="Y417" s="119">
        <f t="shared" si="115"/>
        <v>0</v>
      </c>
      <c r="Z417" s="119">
        <f t="shared" si="116"/>
        <v>0</v>
      </c>
      <c r="AA417" s="119">
        <f t="shared" si="117"/>
        <v>0.42857142857142855</v>
      </c>
      <c r="AB417" s="119">
        <f t="shared" si="118"/>
        <v>0.42857142857142855</v>
      </c>
      <c r="AC417" s="119">
        <f t="shared" si="119"/>
        <v>0.42857142857142855</v>
      </c>
      <c r="AD417" s="119">
        <f t="shared" si="120"/>
        <v>0.42857142857142855</v>
      </c>
      <c r="AE417" s="119">
        <f t="shared" si="121"/>
        <v>0</v>
      </c>
      <c r="AF417" s="7"/>
      <c r="AG417" s="7"/>
      <c r="AH417" s="7">
        <f t="shared" si="122"/>
        <v>2.9999999999999996</v>
      </c>
      <c r="AI417" s="7">
        <f t="shared" si="123"/>
        <v>7</v>
      </c>
      <c r="AJ417" s="7" t="str">
        <f t="shared" si="124"/>
        <v>Correct</v>
      </c>
      <c r="AL417" s="120" t="str">
        <f>IFERROR(VLOOKUP(Table1[RespondentID],'All Data'!$A$3:$CO$999,87,FALSE),"unknown")</f>
        <v>Man</v>
      </c>
      <c r="AM417" s="120">
        <f>IFERROR(VLOOKUP(Table1[RespondentID],'All Data'!$A$3:$CO$999,88,FALSE),"unknown")</f>
        <v>0</v>
      </c>
      <c r="AN417" s="120" t="str">
        <f>IFERROR(VLOOKUP(Table1[RespondentID],'All Data'!$A$3:$CO$999,89,FALSE),"unknown")</f>
        <v>Nassau</v>
      </c>
      <c r="AO417" s="120" t="str">
        <f>IFERROR(VLOOKUP(Table1[RespondentID],'All Data'!$A$3:$CO$999,90,FALSE),"unknown")</f>
        <v>Massapequa, 11758</v>
      </c>
      <c r="AP417" s="120">
        <f>IFERROR(VLOOKUP(Table1[RespondentID],'All Data'!$A$3:$CO$999,91,FALSE),"unknown")</f>
        <v>0</v>
      </c>
      <c r="AQ417" s="120" t="str">
        <f>IFERROR(VLOOKUP(Table1[RespondentID],'All Data'!$A$3:$CO$999,92,FALSE),"unknown")</f>
        <v>Not Hispanic or Latino</v>
      </c>
      <c r="AR417" s="120" t="str">
        <f>IFERROR(VLOOKUP(Table1[RespondentID],'All Data'!$A$3:$CO$999,93,FALSE),"unknown")</f>
        <v>English</v>
      </c>
      <c r="AS417" s="120" t="str">
        <f>IFERROR(VLOOKUP(Table1[RespondentID],'All Data'!$A$3:$CW$999,94,FALSE),"unknown")</f>
        <v>Over $125,000</v>
      </c>
      <c r="AT417" s="120" t="str">
        <f>IFERROR(VLOOKUP(Table1[RespondentID],'All Data'!$A$3:$CW$999,95,FALSE),"unknown")</f>
        <v>Doctorate</v>
      </c>
      <c r="AU417" s="120">
        <f>IFERROR(VLOOKUP(Table1[RespondentID],'All Data'!$A$3:$CW$999,96,FALSE),"unknown")</f>
        <v>0</v>
      </c>
      <c r="AV417" s="120">
        <f>IFERROR(VLOOKUP(Table1[RespondentID],'All Data'!$A$3:$CW$999,97,FALSE),"unknown")</f>
        <v>0</v>
      </c>
      <c r="AW417" s="120" t="str">
        <f>IFERROR(VLOOKUP(Table1[RespondentID],'All Data'!$A$3:$CW$999,98,FALSE),"unknown")</f>
        <v>Private/Commercial</v>
      </c>
      <c r="AX417" s="120" t="str">
        <f>IFERROR(VLOOKUP(Table1[RespondentID],'All Data'!$A$3:$CW$999,99,FALSE),"unknown")</f>
        <v>Yes</v>
      </c>
    </row>
    <row r="418" spans="1:50">
      <c r="A418" s="5">
        <v>114085823569</v>
      </c>
      <c r="B418" s="5"/>
      <c r="C418" s="5" t="s">
        <v>17</v>
      </c>
      <c r="D418" s="5" t="s">
        <v>18</v>
      </c>
      <c r="E418" s="5"/>
      <c r="F418" s="5"/>
      <c r="G418" s="5"/>
      <c r="H418" s="5"/>
      <c r="I418" s="5"/>
      <c r="J418" s="5" t="s">
        <v>24</v>
      </c>
      <c r="K418" s="5"/>
      <c r="L418" s="5"/>
      <c r="M418" s="5"/>
      <c r="N418" s="5"/>
      <c r="O418" s="7"/>
      <c r="P418" s="7">
        <f t="shared" si="108"/>
        <v>3</v>
      </c>
      <c r="Q418" s="7">
        <f t="shared" si="109"/>
        <v>1</v>
      </c>
      <c r="R418" s="7"/>
      <c r="S418" s="7">
        <f t="shared" si="125"/>
        <v>0</v>
      </c>
      <c r="T418" s="7">
        <f t="shared" si="110"/>
        <v>1</v>
      </c>
      <c r="U418" s="7">
        <f t="shared" si="111"/>
        <v>1</v>
      </c>
      <c r="V418" s="119">
        <f t="shared" si="112"/>
        <v>0</v>
      </c>
      <c r="W418" s="119">
        <f t="shared" si="113"/>
        <v>0</v>
      </c>
      <c r="X418" s="119">
        <f t="shared" si="114"/>
        <v>0</v>
      </c>
      <c r="Y418" s="119">
        <f t="shared" si="115"/>
        <v>0</v>
      </c>
      <c r="Z418" s="119">
        <f t="shared" si="116"/>
        <v>0</v>
      </c>
      <c r="AA418" s="119">
        <f t="shared" si="117"/>
        <v>1</v>
      </c>
      <c r="AB418" s="119">
        <f t="shared" si="118"/>
        <v>0</v>
      </c>
      <c r="AC418" s="119">
        <f t="shared" si="119"/>
        <v>0</v>
      </c>
      <c r="AD418" s="119">
        <f t="shared" si="120"/>
        <v>0</v>
      </c>
      <c r="AE418" s="119">
        <f t="shared" si="121"/>
        <v>0</v>
      </c>
      <c r="AF418" s="7"/>
      <c r="AG418" s="7"/>
      <c r="AH418" s="7">
        <f t="shared" si="122"/>
        <v>3</v>
      </c>
      <c r="AI418" s="7">
        <f t="shared" si="123"/>
        <v>3</v>
      </c>
      <c r="AJ418" s="7" t="str">
        <f t="shared" si="124"/>
        <v>Correct</v>
      </c>
      <c r="AL418" s="120" t="str">
        <f>IFERROR(VLOOKUP(Table1[RespondentID],'All Data'!$A$3:$CO$999,87,FALSE),"unknown")</f>
        <v>Woman</v>
      </c>
      <c r="AM418" s="120">
        <f>IFERROR(VLOOKUP(Table1[RespondentID],'All Data'!$A$3:$CO$999,88,FALSE),"unknown")</f>
        <v>0</v>
      </c>
      <c r="AN418" s="120" t="str">
        <f>IFERROR(VLOOKUP(Table1[RespondentID],'All Data'!$A$3:$CO$999,89,FALSE),"unknown")</f>
        <v>Suffolk</v>
      </c>
      <c r="AO418" s="120" t="str">
        <f>IFERROR(VLOOKUP(Table1[RespondentID],'All Data'!$A$3:$CO$999,90,FALSE),"unknown")</f>
        <v>Deer Park, 11729</v>
      </c>
      <c r="AP418" s="120">
        <f>IFERROR(VLOOKUP(Table1[RespondentID],'All Data'!$A$3:$CO$999,91,FALSE),"unknown")</f>
        <v>0</v>
      </c>
      <c r="AQ418" s="120" t="str">
        <f>IFERROR(VLOOKUP(Table1[RespondentID],'All Data'!$A$3:$CO$999,92,FALSE),"unknown")</f>
        <v>Not Hispanic or Latino</v>
      </c>
      <c r="AR418" s="120" t="str">
        <f>IFERROR(VLOOKUP(Table1[RespondentID],'All Data'!$A$3:$CO$999,93,FALSE),"unknown")</f>
        <v>English</v>
      </c>
      <c r="AS418" s="120" t="str">
        <f>IFERROR(VLOOKUP(Table1[RespondentID],'All Data'!$A$3:$CW$999,94,FALSE),"unknown")</f>
        <v>Over $125,000</v>
      </c>
      <c r="AT418" s="120" t="str">
        <f>IFERROR(VLOOKUP(Table1[RespondentID],'All Data'!$A$3:$CW$999,95,FALSE),"unknown")</f>
        <v>College graduate</v>
      </c>
      <c r="AU418" s="120">
        <f>IFERROR(VLOOKUP(Table1[RespondentID],'All Data'!$A$3:$CW$999,96,FALSE),"unknown")</f>
        <v>0</v>
      </c>
      <c r="AV418" s="120">
        <f>IFERROR(VLOOKUP(Table1[RespondentID],'All Data'!$A$3:$CW$999,97,FALSE),"unknown")</f>
        <v>0</v>
      </c>
      <c r="AW418" s="120" t="str">
        <f>IFERROR(VLOOKUP(Table1[RespondentID],'All Data'!$A$3:$CW$999,98,FALSE),"unknown")</f>
        <v>Private/Commercial</v>
      </c>
      <c r="AX418" s="120" t="str">
        <f>IFERROR(VLOOKUP(Table1[RespondentID],'All Data'!$A$3:$CW$999,99,FALSE),"unknown")</f>
        <v>Yes</v>
      </c>
    </row>
    <row r="419" spans="1:50">
      <c r="A419" s="5">
        <v>114085822022</v>
      </c>
      <c r="B419" s="5" t="s">
        <v>16</v>
      </c>
      <c r="C419" s="5" t="s">
        <v>17</v>
      </c>
      <c r="D419" s="5"/>
      <c r="E419" s="5"/>
      <c r="F419" s="5"/>
      <c r="G419" s="5"/>
      <c r="H419" s="5"/>
      <c r="I419" s="5"/>
      <c r="J419" s="5"/>
      <c r="K419" s="5" t="s">
        <v>25</v>
      </c>
      <c r="L419" s="5"/>
      <c r="M419" s="5" t="s">
        <v>27</v>
      </c>
      <c r="N419" s="5" t="s">
        <v>28</v>
      </c>
      <c r="O419" s="7"/>
      <c r="P419" s="7">
        <f t="shared" si="108"/>
        <v>5</v>
      </c>
      <c r="Q419" s="7">
        <f t="shared" si="109"/>
        <v>0.6</v>
      </c>
      <c r="R419" s="7"/>
      <c r="S419" s="7">
        <f t="shared" si="125"/>
        <v>0.6</v>
      </c>
      <c r="T419" s="7">
        <f t="shared" si="110"/>
        <v>0.6</v>
      </c>
      <c r="U419" s="7">
        <f t="shared" si="111"/>
        <v>0</v>
      </c>
      <c r="V419" s="119">
        <f t="shared" si="112"/>
        <v>0</v>
      </c>
      <c r="W419" s="119">
        <f t="shared" si="113"/>
        <v>0</v>
      </c>
      <c r="X419" s="119">
        <f t="shared" si="114"/>
        <v>0</v>
      </c>
      <c r="Y419" s="119">
        <f t="shared" si="115"/>
        <v>0</v>
      </c>
      <c r="Z419" s="119">
        <f t="shared" si="116"/>
        <v>0</v>
      </c>
      <c r="AA419" s="119">
        <f t="shared" si="117"/>
        <v>0</v>
      </c>
      <c r="AB419" s="119">
        <f t="shared" si="118"/>
        <v>0.6</v>
      </c>
      <c r="AC419" s="119">
        <f t="shared" si="119"/>
        <v>0</v>
      </c>
      <c r="AD419" s="119">
        <f t="shared" si="120"/>
        <v>0.6</v>
      </c>
      <c r="AE419" s="119">
        <f t="shared" si="121"/>
        <v>0.6</v>
      </c>
      <c r="AF419" s="7"/>
      <c r="AG419" s="7"/>
      <c r="AH419" s="7">
        <f t="shared" si="122"/>
        <v>3</v>
      </c>
      <c r="AI419" s="7">
        <f t="shared" si="123"/>
        <v>5</v>
      </c>
      <c r="AJ419" s="7" t="str">
        <f t="shared" si="124"/>
        <v>Correct</v>
      </c>
      <c r="AL419" s="120" t="str">
        <f>IFERROR(VLOOKUP(Table1[RespondentID],'All Data'!$A$3:$CO$999,87,FALSE),"unknown")</f>
        <v>Woman</v>
      </c>
      <c r="AM419" s="120">
        <f>IFERROR(VLOOKUP(Table1[RespondentID],'All Data'!$A$3:$CO$999,88,FALSE),"unknown")</f>
        <v>0</v>
      </c>
      <c r="AN419" s="120" t="str">
        <f>IFERROR(VLOOKUP(Table1[RespondentID],'All Data'!$A$3:$CO$999,89,FALSE),"unknown")</f>
        <v>Nassau</v>
      </c>
      <c r="AO419" s="120" t="str">
        <f>IFERROR(VLOOKUP(Table1[RespondentID],'All Data'!$A$3:$CO$999,90,FALSE),"unknown")</f>
        <v>Bethpage, 11714</v>
      </c>
      <c r="AP419" s="120">
        <f>IFERROR(VLOOKUP(Table1[RespondentID],'All Data'!$A$3:$CO$999,91,FALSE),"unknown")</f>
        <v>0</v>
      </c>
      <c r="AQ419" s="120" t="str">
        <f>IFERROR(VLOOKUP(Table1[RespondentID],'All Data'!$A$3:$CO$999,92,FALSE),"unknown")</f>
        <v>Not Hispanic or Latino</v>
      </c>
      <c r="AR419" s="120" t="str">
        <f>IFERROR(VLOOKUP(Table1[RespondentID],'All Data'!$A$3:$CO$999,93,FALSE),"unknown")</f>
        <v>English</v>
      </c>
      <c r="AS419" s="120" t="str">
        <f>IFERROR(VLOOKUP(Table1[RespondentID],'All Data'!$A$3:$CW$999,94,FALSE),"unknown")</f>
        <v>$75,000 to $125,000</v>
      </c>
      <c r="AT419" s="120" t="str">
        <f>IFERROR(VLOOKUP(Table1[RespondentID],'All Data'!$A$3:$CW$999,95,FALSE),"unknown")</f>
        <v>College graduate</v>
      </c>
      <c r="AU419" s="120">
        <f>IFERROR(VLOOKUP(Table1[RespondentID],'All Data'!$A$3:$CW$999,96,FALSE),"unknown")</f>
        <v>0</v>
      </c>
      <c r="AV419" s="120">
        <f>IFERROR(VLOOKUP(Table1[RespondentID],'All Data'!$A$3:$CW$999,97,FALSE),"unknown")</f>
        <v>0</v>
      </c>
      <c r="AW419" s="120" t="str">
        <f>IFERROR(VLOOKUP(Table1[RespondentID],'All Data'!$A$3:$CW$999,98,FALSE),"unknown")</f>
        <v>Private/Commercial</v>
      </c>
      <c r="AX419" s="120" t="str">
        <f>IFERROR(VLOOKUP(Table1[RespondentID],'All Data'!$A$3:$CW$999,99,FALSE),"unknown")</f>
        <v>Yes</v>
      </c>
    </row>
    <row r="420" spans="1:50">
      <c r="A420" s="5">
        <v>114085818088</v>
      </c>
      <c r="B420" s="5"/>
      <c r="C420" s="5"/>
      <c r="D420" s="5"/>
      <c r="E420" s="5"/>
      <c r="F420" s="5"/>
      <c r="G420" s="5"/>
      <c r="H420" s="5"/>
      <c r="I420" s="5"/>
      <c r="J420" s="5" t="s">
        <v>24</v>
      </c>
      <c r="K420" s="5"/>
      <c r="L420" s="5"/>
      <c r="M420" s="5"/>
      <c r="N420" s="5" t="s">
        <v>28</v>
      </c>
      <c r="O420" s="7"/>
      <c r="P420" s="7">
        <f t="shared" si="108"/>
        <v>2</v>
      </c>
      <c r="Q420" s="7">
        <f t="shared" si="109"/>
        <v>1.5</v>
      </c>
      <c r="R420" s="7"/>
      <c r="S420" s="7">
        <f t="shared" si="125"/>
        <v>0</v>
      </c>
      <c r="T420" s="7">
        <f t="shared" si="110"/>
        <v>0</v>
      </c>
      <c r="U420" s="7">
        <f t="shared" si="111"/>
        <v>0</v>
      </c>
      <c r="V420" s="119">
        <f t="shared" si="112"/>
        <v>0</v>
      </c>
      <c r="W420" s="119">
        <f t="shared" si="113"/>
        <v>0</v>
      </c>
      <c r="X420" s="119">
        <f t="shared" si="114"/>
        <v>0</v>
      </c>
      <c r="Y420" s="119">
        <f t="shared" si="115"/>
        <v>0</v>
      </c>
      <c r="Z420" s="119">
        <f t="shared" si="116"/>
        <v>0</v>
      </c>
      <c r="AA420" s="119">
        <f t="shared" si="117"/>
        <v>1</v>
      </c>
      <c r="AB420" s="119">
        <f t="shared" si="118"/>
        <v>0</v>
      </c>
      <c r="AC420" s="119">
        <f t="shared" si="119"/>
        <v>0</v>
      </c>
      <c r="AD420" s="119">
        <f t="shared" si="120"/>
        <v>0</v>
      </c>
      <c r="AE420" s="119">
        <f t="shared" si="121"/>
        <v>1</v>
      </c>
      <c r="AF420" s="7"/>
      <c r="AG420" s="7"/>
      <c r="AH420" s="7">
        <f t="shared" si="122"/>
        <v>2</v>
      </c>
      <c r="AI420" s="7">
        <f t="shared" si="123"/>
        <v>2</v>
      </c>
      <c r="AJ420" s="7" t="str">
        <f t="shared" si="124"/>
        <v>Correct</v>
      </c>
      <c r="AL420" s="120" t="str">
        <f>IFERROR(VLOOKUP(Table1[RespondentID],'All Data'!$A$3:$CO$999,87,FALSE),"unknown")</f>
        <v>Woman</v>
      </c>
      <c r="AM420" s="120">
        <f>IFERROR(VLOOKUP(Table1[RespondentID],'All Data'!$A$3:$CO$999,88,FALSE),"unknown")</f>
        <v>0</v>
      </c>
      <c r="AN420" s="120" t="str">
        <f>IFERROR(VLOOKUP(Table1[RespondentID],'All Data'!$A$3:$CO$999,89,FALSE),"unknown")</f>
        <v>Nassau</v>
      </c>
      <c r="AO420" s="120" t="str">
        <f>IFERROR(VLOOKUP(Table1[RespondentID],'All Data'!$A$3:$CO$999,90,FALSE),"unknown")</f>
        <v>New Hyde Park, 11040</v>
      </c>
      <c r="AP420" s="120">
        <f>IFERROR(VLOOKUP(Table1[RespondentID],'All Data'!$A$3:$CO$999,91,FALSE),"unknown")</f>
        <v>0</v>
      </c>
      <c r="AQ420" s="120" t="str">
        <f>IFERROR(VLOOKUP(Table1[RespondentID],'All Data'!$A$3:$CO$999,92,FALSE),"unknown")</f>
        <v>Not Hispanic or Latino</v>
      </c>
      <c r="AR420" s="120" t="str">
        <f>IFERROR(VLOOKUP(Table1[RespondentID],'All Data'!$A$3:$CO$999,93,FALSE),"unknown")</f>
        <v>English</v>
      </c>
      <c r="AS420" s="120" t="str">
        <f>IFERROR(VLOOKUP(Table1[RespondentID],'All Data'!$A$3:$CW$999,94,FALSE),"unknown")</f>
        <v>Over $125,000</v>
      </c>
      <c r="AT420" s="120" t="str">
        <f>IFERROR(VLOOKUP(Table1[RespondentID],'All Data'!$A$3:$CW$999,95,FALSE),"unknown")</f>
        <v>Graduate school</v>
      </c>
      <c r="AU420" s="120">
        <f>IFERROR(VLOOKUP(Table1[RespondentID],'All Data'!$A$3:$CW$999,96,FALSE),"unknown")</f>
        <v>0</v>
      </c>
      <c r="AV420" s="120">
        <f>IFERROR(VLOOKUP(Table1[RespondentID],'All Data'!$A$3:$CW$999,97,FALSE),"unknown")</f>
        <v>0</v>
      </c>
      <c r="AW420" s="120" t="str">
        <f>IFERROR(VLOOKUP(Table1[RespondentID],'All Data'!$A$3:$CW$999,98,FALSE),"unknown")</f>
        <v>Medicare,Private/Commercial</v>
      </c>
      <c r="AX420" s="120" t="str">
        <f>IFERROR(VLOOKUP(Table1[RespondentID],'All Data'!$A$3:$CW$999,99,FALSE),"unknown")</f>
        <v>Yes</v>
      </c>
    </row>
    <row r="421" spans="1:50">
      <c r="A421" s="5">
        <v>114085818365</v>
      </c>
      <c r="B421" s="5"/>
      <c r="C421" s="5" t="s">
        <v>17</v>
      </c>
      <c r="D421" s="5"/>
      <c r="E421" s="5"/>
      <c r="F421" s="5"/>
      <c r="G421" s="5" t="s">
        <v>21</v>
      </c>
      <c r="H421" s="5"/>
      <c r="I421" s="5" t="s">
        <v>23</v>
      </c>
      <c r="J421" s="5"/>
      <c r="K421" s="5" t="s">
        <v>25</v>
      </c>
      <c r="L421" s="5" t="s">
        <v>26</v>
      </c>
      <c r="M421" s="5" t="s">
        <v>27</v>
      </c>
      <c r="N421" s="5"/>
      <c r="O421" s="7"/>
      <c r="P421" s="7">
        <f t="shared" si="108"/>
        <v>6</v>
      </c>
      <c r="Q421" s="7">
        <f t="shared" si="109"/>
        <v>0.5</v>
      </c>
      <c r="R421" s="7"/>
      <c r="S421" s="7">
        <f t="shared" si="125"/>
        <v>0</v>
      </c>
      <c r="T421" s="7">
        <f t="shared" si="110"/>
        <v>0.5</v>
      </c>
      <c r="U421" s="7">
        <f t="shared" si="111"/>
        <v>0</v>
      </c>
      <c r="V421" s="119">
        <f t="shared" si="112"/>
        <v>0</v>
      </c>
      <c r="W421" s="119">
        <f t="shared" si="113"/>
        <v>0</v>
      </c>
      <c r="X421" s="119">
        <f t="shared" si="114"/>
        <v>0.5</v>
      </c>
      <c r="Y421" s="119">
        <f t="shared" si="115"/>
        <v>0</v>
      </c>
      <c r="Z421" s="119">
        <f t="shared" si="116"/>
        <v>0.5</v>
      </c>
      <c r="AA421" s="119">
        <f t="shared" si="117"/>
        <v>0</v>
      </c>
      <c r="AB421" s="119">
        <f t="shared" si="118"/>
        <v>0.5</v>
      </c>
      <c r="AC421" s="119">
        <f t="shared" si="119"/>
        <v>0.5</v>
      </c>
      <c r="AD421" s="119">
        <f t="shared" si="120"/>
        <v>0.5</v>
      </c>
      <c r="AE421" s="119">
        <f t="shared" si="121"/>
        <v>0</v>
      </c>
      <c r="AF421" s="7"/>
      <c r="AG421" s="7"/>
      <c r="AH421" s="7">
        <f t="shared" si="122"/>
        <v>3</v>
      </c>
      <c r="AI421" s="7">
        <f t="shared" si="123"/>
        <v>6</v>
      </c>
      <c r="AJ421" s="7" t="str">
        <f t="shared" si="124"/>
        <v>Correct</v>
      </c>
      <c r="AL421" s="120" t="str">
        <f>IFERROR(VLOOKUP(Table1[RespondentID],'All Data'!$A$3:$CO$999,87,FALSE),"unknown")</f>
        <v>Woman</v>
      </c>
      <c r="AM421" s="120">
        <f>IFERROR(VLOOKUP(Table1[RespondentID],'All Data'!$A$3:$CO$999,88,FALSE),"unknown")</f>
        <v>0</v>
      </c>
      <c r="AN421" s="120" t="str">
        <f>IFERROR(VLOOKUP(Table1[RespondentID],'All Data'!$A$3:$CO$999,89,FALSE),"unknown")</f>
        <v>Suffolk</v>
      </c>
      <c r="AO421" s="120" t="str">
        <f>IFERROR(VLOOKUP(Table1[RespondentID],'All Data'!$A$3:$CO$999,90,FALSE),"unknown")</f>
        <v>Lake Grove, 11755</v>
      </c>
      <c r="AP421" s="120">
        <f>IFERROR(VLOOKUP(Table1[RespondentID],'All Data'!$A$3:$CO$999,91,FALSE),"unknown")</f>
        <v>0</v>
      </c>
      <c r="AQ421" s="120" t="str">
        <f>IFERROR(VLOOKUP(Table1[RespondentID],'All Data'!$A$3:$CO$999,92,FALSE),"unknown")</f>
        <v>Not Hispanic or Latino</v>
      </c>
      <c r="AR421" s="120" t="str">
        <f>IFERROR(VLOOKUP(Table1[RespondentID],'All Data'!$A$3:$CO$999,93,FALSE),"unknown")</f>
        <v>English</v>
      </c>
      <c r="AS421" s="120" t="str">
        <f>IFERROR(VLOOKUP(Table1[RespondentID],'All Data'!$A$3:$CW$999,94,FALSE),"unknown")</f>
        <v>Over $125,000</v>
      </c>
      <c r="AT421" s="120" t="str">
        <f>IFERROR(VLOOKUP(Table1[RespondentID],'All Data'!$A$3:$CW$999,95,FALSE),"unknown")</f>
        <v>College graduate</v>
      </c>
      <c r="AU421" s="120">
        <f>IFERROR(VLOOKUP(Table1[RespondentID],'All Data'!$A$3:$CW$999,96,FALSE),"unknown")</f>
        <v>0</v>
      </c>
      <c r="AV421" s="120">
        <f>IFERROR(VLOOKUP(Table1[RespondentID],'All Data'!$A$3:$CW$999,97,FALSE),"unknown")</f>
        <v>0</v>
      </c>
      <c r="AW421" s="120" t="str">
        <f>IFERROR(VLOOKUP(Table1[RespondentID],'All Data'!$A$3:$CW$999,98,FALSE),"unknown")</f>
        <v>Private/Commercial</v>
      </c>
      <c r="AX421" s="120" t="str">
        <f>IFERROR(VLOOKUP(Table1[RespondentID],'All Data'!$A$3:$CW$999,99,FALSE),"unknown")</f>
        <v>Yes</v>
      </c>
    </row>
    <row r="422" spans="1:50">
      <c r="A422" s="5">
        <v>114085818190</v>
      </c>
      <c r="B422" s="5"/>
      <c r="C422" s="5"/>
      <c r="D422" s="5" t="s">
        <v>18</v>
      </c>
      <c r="E422" s="5"/>
      <c r="F422" s="5"/>
      <c r="G422" s="5"/>
      <c r="H422" s="5"/>
      <c r="I422" s="5"/>
      <c r="J422" s="5"/>
      <c r="K422" s="5" t="s">
        <v>25</v>
      </c>
      <c r="L422" s="5" t="s">
        <v>26</v>
      </c>
      <c r="M422" s="5"/>
      <c r="N422" s="5"/>
      <c r="O422" s="7"/>
      <c r="P422" s="7">
        <f t="shared" si="108"/>
        <v>3</v>
      </c>
      <c r="Q422" s="7">
        <f t="shared" si="109"/>
        <v>1</v>
      </c>
      <c r="R422" s="7"/>
      <c r="S422" s="7">
        <f t="shared" si="125"/>
        <v>0</v>
      </c>
      <c r="T422" s="7">
        <f t="shared" si="110"/>
        <v>0</v>
      </c>
      <c r="U422" s="7">
        <f t="shared" si="111"/>
        <v>1</v>
      </c>
      <c r="V422" s="119">
        <f t="shared" si="112"/>
        <v>0</v>
      </c>
      <c r="W422" s="119">
        <f t="shared" si="113"/>
        <v>0</v>
      </c>
      <c r="X422" s="119">
        <f t="shared" si="114"/>
        <v>0</v>
      </c>
      <c r="Y422" s="119">
        <f t="shared" si="115"/>
        <v>0</v>
      </c>
      <c r="Z422" s="119">
        <f t="shared" si="116"/>
        <v>0</v>
      </c>
      <c r="AA422" s="119">
        <f t="shared" si="117"/>
        <v>0</v>
      </c>
      <c r="AB422" s="119">
        <f t="shared" si="118"/>
        <v>1</v>
      </c>
      <c r="AC422" s="119">
        <f t="shared" si="119"/>
        <v>1</v>
      </c>
      <c r="AD422" s="119">
        <f t="shared" si="120"/>
        <v>0</v>
      </c>
      <c r="AE422" s="119">
        <f t="shared" si="121"/>
        <v>0</v>
      </c>
      <c r="AF422" s="7"/>
      <c r="AG422" s="7"/>
      <c r="AH422" s="7">
        <f t="shared" si="122"/>
        <v>3</v>
      </c>
      <c r="AI422" s="7">
        <f t="shared" si="123"/>
        <v>3</v>
      </c>
      <c r="AJ422" s="7" t="str">
        <f t="shared" si="124"/>
        <v>Correct</v>
      </c>
      <c r="AL422" s="120" t="str">
        <f>IFERROR(VLOOKUP(Table1[RespondentID],'All Data'!$A$3:$CO$999,87,FALSE),"unknown")</f>
        <v>Man</v>
      </c>
      <c r="AM422" s="120">
        <f>IFERROR(VLOOKUP(Table1[RespondentID],'All Data'!$A$3:$CO$999,88,FALSE),"unknown")</f>
        <v>0</v>
      </c>
      <c r="AN422" s="120" t="str">
        <f>IFERROR(VLOOKUP(Table1[RespondentID],'All Data'!$A$3:$CO$999,89,FALSE),"unknown")</f>
        <v>Nassau</v>
      </c>
      <c r="AO422" s="120" t="str">
        <f>IFERROR(VLOOKUP(Table1[RespondentID],'All Data'!$A$3:$CO$999,90,FALSE),"unknown")</f>
        <v>Jericho, 11753</v>
      </c>
      <c r="AP422" s="120">
        <f>IFERROR(VLOOKUP(Table1[RespondentID],'All Data'!$A$3:$CO$999,91,FALSE),"unknown")</f>
        <v>0</v>
      </c>
      <c r="AQ422" s="120" t="str">
        <f>IFERROR(VLOOKUP(Table1[RespondentID],'All Data'!$A$3:$CO$999,92,FALSE),"unknown")</f>
        <v>Not Hispanic or Latino</v>
      </c>
      <c r="AR422" s="120" t="str">
        <f>IFERROR(VLOOKUP(Table1[RespondentID],'All Data'!$A$3:$CO$999,93,FALSE),"unknown")</f>
        <v>English</v>
      </c>
      <c r="AS422" s="120" t="str">
        <f>IFERROR(VLOOKUP(Table1[RespondentID],'All Data'!$A$3:$CW$999,94,FALSE),"unknown")</f>
        <v>Over $125,000</v>
      </c>
      <c r="AT422" s="120" t="str">
        <f>IFERROR(VLOOKUP(Table1[RespondentID],'All Data'!$A$3:$CW$999,95,FALSE),"unknown")</f>
        <v>Doctorate</v>
      </c>
      <c r="AU422" s="120">
        <f>IFERROR(VLOOKUP(Table1[RespondentID],'All Data'!$A$3:$CW$999,96,FALSE),"unknown")</f>
        <v>0</v>
      </c>
      <c r="AV422" s="120">
        <f>IFERROR(VLOOKUP(Table1[RespondentID],'All Data'!$A$3:$CW$999,97,FALSE),"unknown")</f>
        <v>0</v>
      </c>
      <c r="AW422" s="120" t="str">
        <f>IFERROR(VLOOKUP(Table1[RespondentID],'All Data'!$A$3:$CW$999,98,FALSE),"unknown")</f>
        <v>Private/Commercial</v>
      </c>
      <c r="AX422" s="120" t="str">
        <f>IFERROR(VLOOKUP(Table1[RespondentID],'All Data'!$A$3:$CW$999,99,FALSE),"unknown")</f>
        <v>Yes</v>
      </c>
    </row>
    <row r="423" spans="1:50">
      <c r="A423" s="5">
        <v>114085817474</v>
      </c>
      <c r="B423" s="5"/>
      <c r="C423" s="5"/>
      <c r="D423" s="5"/>
      <c r="E423" s="5"/>
      <c r="F423" s="5"/>
      <c r="G423" s="5"/>
      <c r="H423" s="5"/>
      <c r="I423" s="5"/>
      <c r="J423" s="5"/>
      <c r="K423" s="5" t="s">
        <v>25</v>
      </c>
      <c r="L423" s="5" t="s">
        <v>26</v>
      </c>
      <c r="M423" s="5"/>
      <c r="N423" s="5"/>
      <c r="O423" s="7"/>
      <c r="P423" s="7">
        <f t="shared" si="108"/>
        <v>2</v>
      </c>
      <c r="Q423" s="7">
        <f t="shared" si="109"/>
        <v>1.5</v>
      </c>
      <c r="R423" s="7"/>
      <c r="S423" s="7">
        <f t="shared" si="125"/>
        <v>0</v>
      </c>
      <c r="T423" s="7">
        <f t="shared" si="110"/>
        <v>0</v>
      </c>
      <c r="U423" s="7">
        <f t="shared" si="111"/>
        <v>0</v>
      </c>
      <c r="V423" s="119">
        <f t="shared" si="112"/>
        <v>0</v>
      </c>
      <c r="W423" s="119">
        <f t="shared" si="113"/>
        <v>0</v>
      </c>
      <c r="X423" s="119">
        <f t="shared" si="114"/>
        <v>0</v>
      </c>
      <c r="Y423" s="119">
        <f t="shared" si="115"/>
        <v>0</v>
      </c>
      <c r="Z423" s="119">
        <f t="shared" si="116"/>
        <v>0</v>
      </c>
      <c r="AA423" s="119">
        <f t="shared" si="117"/>
        <v>0</v>
      </c>
      <c r="AB423" s="119">
        <f t="shared" si="118"/>
        <v>1</v>
      </c>
      <c r="AC423" s="119">
        <f t="shared" si="119"/>
        <v>1</v>
      </c>
      <c r="AD423" s="119">
        <f t="shared" si="120"/>
        <v>0</v>
      </c>
      <c r="AE423" s="119">
        <f t="shared" si="121"/>
        <v>0</v>
      </c>
      <c r="AF423" s="7"/>
      <c r="AG423" s="7"/>
      <c r="AH423" s="7">
        <f t="shared" si="122"/>
        <v>2</v>
      </c>
      <c r="AI423" s="7">
        <f t="shared" si="123"/>
        <v>2</v>
      </c>
      <c r="AJ423" s="7" t="str">
        <f t="shared" si="124"/>
        <v>Correct</v>
      </c>
      <c r="AL423" s="120" t="str">
        <f>IFERROR(VLOOKUP(Table1[RespondentID],'All Data'!$A$3:$CO$999,87,FALSE),"unknown")</f>
        <v>Woman</v>
      </c>
      <c r="AM423" s="120">
        <f>IFERROR(VLOOKUP(Table1[RespondentID],'All Data'!$A$3:$CO$999,88,FALSE),"unknown")</f>
        <v>0</v>
      </c>
      <c r="AN423" s="120" t="str">
        <f>IFERROR(VLOOKUP(Table1[RespondentID],'All Data'!$A$3:$CO$999,89,FALSE),"unknown")</f>
        <v>Nassau</v>
      </c>
      <c r="AO423" s="120" t="str">
        <f>IFERROR(VLOOKUP(Table1[RespondentID],'All Data'!$A$3:$CO$999,90,FALSE),"unknown")</f>
        <v>Long Beach, 11561</v>
      </c>
      <c r="AP423" s="120">
        <f>IFERROR(VLOOKUP(Table1[RespondentID],'All Data'!$A$3:$CO$999,91,FALSE),"unknown")</f>
        <v>0</v>
      </c>
      <c r="AQ423" s="120" t="str">
        <f>IFERROR(VLOOKUP(Table1[RespondentID],'All Data'!$A$3:$CO$999,92,FALSE),"unknown")</f>
        <v>Hispanic or Latino</v>
      </c>
      <c r="AR423" s="120" t="str">
        <f>IFERROR(VLOOKUP(Table1[RespondentID],'All Data'!$A$3:$CO$999,93,FALSE),"unknown")</f>
        <v>English</v>
      </c>
      <c r="AS423" s="120" t="str">
        <f>IFERROR(VLOOKUP(Table1[RespondentID],'All Data'!$A$3:$CW$999,94,FALSE),"unknown")</f>
        <v>$50,000 to $74,999</v>
      </c>
      <c r="AT423" s="120" t="str">
        <f>IFERROR(VLOOKUP(Table1[RespondentID],'All Data'!$A$3:$CW$999,95,FALSE),"unknown")</f>
        <v>College graduate</v>
      </c>
      <c r="AU423" s="120">
        <f>IFERROR(VLOOKUP(Table1[RespondentID],'All Data'!$A$3:$CW$999,96,FALSE),"unknown")</f>
        <v>0</v>
      </c>
      <c r="AV423" s="120">
        <f>IFERROR(VLOOKUP(Table1[RespondentID],'All Data'!$A$3:$CW$999,97,FALSE),"unknown")</f>
        <v>0</v>
      </c>
      <c r="AW423" s="120" t="str">
        <f>IFERROR(VLOOKUP(Table1[RespondentID],'All Data'!$A$3:$CW$999,98,FALSE),"unknown")</f>
        <v>Private/Commercial</v>
      </c>
      <c r="AX423" s="120" t="str">
        <f>IFERROR(VLOOKUP(Table1[RespondentID],'All Data'!$A$3:$CW$999,99,FALSE),"unknown")</f>
        <v>Yes</v>
      </c>
    </row>
    <row r="424" spans="1:50">
      <c r="A424" s="5">
        <v>114085817457</v>
      </c>
      <c r="B424" s="5"/>
      <c r="C424" s="5"/>
      <c r="D424" s="5"/>
      <c r="E424" s="5"/>
      <c r="F424" s="5"/>
      <c r="G424" s="5"/>
      <c r="H424" s="5" t="s">
        <v>22</v>
      </c>
      <c r="I424" s="5" t="s">
        <v>23</v>
      </c>
      <c r="J424" s="5"/>
      <c r="K424" s="5" t="s">
        <v>25</v>
      </c>
      <c r="L424" s="5" t="s">
        <v>26</v>
      </c>
      <c r="M424" s="5"/>
      <c r="N424" s="5" t="s">
        <v>28</v>
      </c>
      <c r="O424" s="7"/>
      <c r="P424" s="7">
        <f t="shared" si="108"/>
        <v>5</v>
      </c>
      <c r="Q424" s="7">
        <f t="shared" si="109"/>
        <v>0.6</v>
      </c>
      <c r="R424" s="7"/>
      <c r="S424" s="7">
        <f t="shared" si="125"/>
        <v>0</v>
      </c>
      <c r="T424" s="7">
        <f t="shared" si="110"/>
        <v>0</v>
      </c>
      <c r="U424" s="7">
        <f t="shared" si="111"/>
        <v>0</v>
      </c>
      <c r="V424" s="119">
        <f t="shared" si="112"/>
        <v>0</v>
      </c>
      <c r="W424" s="119">
        <f t="shared" si="113"/>
        <v>0</v>
      </c>
      <c r="X424" s="119">
        <f t="shared" si="114"/>
        <v>0</v>
      </c>
      <c r="Y424" s="119">
        <f t="shared" si="115"/>
        <v>0.6</v>
      </c>
      <c r="Z424" s="119">
        <f t="shared" si="116"/>
        <v>0.6</v>
      </c>
      <c r="AA424" s="119">
        <f t="shared" si="117"/>
        <v>0</v>
      </c>
      <c r="AB424" s="119">
        <f t="shared" si="118"/>
        <v>0.6</v>
      </c>
      <c r="AC424" s="119">
        <f t="shared" si="119"/>
        <v>0.6</v>
      </c>
      <c r="AD424" s="119">
        <f t="shared" si="120"/>
        <v>0</v>
      </c>
      <c r="AE424" s="119">
        <f t="shared" si="121"/>
        <v>0.6</v>
      </c>
      <c r="AF424" s="7"/>
      <c r="AG424" s="7"/>
      <c r="AH424" s="7">
        <f t="shared" si="122"/>
        <v>3</v>
      </c>
      <c r="AI424" s="7">
        <f t="shared" si="123"/>
        <v>5</v>
      </c>
      <c r="AJ424" s="7" t="str">
        <f t="shared" si="124"/>
        <v>Correct</v>
      </c>
      <c r="AL424" s="120" t="str">
        <f>IFERROR(VLOOKUP(Table1[RespondentID],'All Data'!$A$3:$CO$999,87,FALSE),"unknown")</f>
        <v>Woman</v>
      </c>
      <c r="AM424" s="120">
        <f>IFERROR(VLOOKUP(Table1[RespondentID],'All Data'!$A$3:$CO$999,88,FALSE),"unknown")</f>
        <v>0</v>
      </c>
      <c r="AN424" s="120" t="str">
        <f>IFERROR(VLOOKUP(Table1[RespondentID],'All Data'!$A$3:$CO$999,89,FALSE),"unknown")</f>
        <v>Nassau</v>
      </c>
      <c r="AO424" s="120" t="str">
        <f>IFERROR(VLOOKUP(Table1[RespondentID],'All Data'!$A$3:$CO$999,90,FALSE),"unknown")</f>
        <v>Uniondale, 11553</v>
      </c>
      <c r="AP424" s="120">
        <f>IFERROR(VLOOKUP(Table1[RespondentID],'All Data'!$A$3:$CO$999,91,FALSE),"unknown")</f>
        <v>0</v>
      </c>
      <c r="AQ424" s="120" t="str">
        <f>IFERROR(VLOOKUP(Table1[RespondentID],'All Data'!$A$3:$CO$999,92,FALSE),"unknown")</f>
        <v>Not Hispanic or Latino</v>
      </c>
      <c r="AR424" s="120" t="str">
        <f>IFERROR(VLOOKUP(Table1[RespondentID],'All Data'!$A$3:$CO$999,93,FALSE),"unknown")</f>
        <v>English</v>
      </c>
      <c r="AS424" s="120" t="str">
        <f>IFERROR(VLOOKUP(Table1[RespondentID],'All Data'!$A$3:$CW$999,94,FALSE),"unknown")</f>
        <v>$35,000 to $49,999</v>
      </c>
      <c r="AT424" s="120" t="str">
        <f>IFERROR(VLOOKUP(Table1[RespondentID],'All Data'!$A$3:$CW$999,95,FALSE),"unknown")</f>
        <v>Some college</v>
      </c>
      <c r="AU424" s="120">
        <f>IFERROR(VLOOKUP(Table1[RespondentID],'All Data'!$A$3:$CW$999,96,FALSE),"unknown")</f>
        <v>0</v>
      </c>
      <c r="AV424" s="120">
        <f>IFERROR(VLOOKUP(Table1[RespondentID],'All Data'!$A$3:$CW$999,97,FALSE),"unknown")</f>
        <v>0</v>
      </c>
      <c r="AW424" s="120" t="str">
        <f>IFERROR(VLOOKUP(Table1[RespondentID],'All Data'!$A$3:$CW$999,98,FALSE),"unknown")</f>
        <v>Private/Commercial</v>
      </c>
      <c r="AX424" s="120" t="str">
        <f>IFERROR(VLOOKUP(Table1[RespondentID],'All Data'!$A$3:$CW$999,99,FALSE),"unknown")</f>
        <v>Yes</v>
      </c>
    </row>
    <row r="425" spans="1:50">
      <c r="A425" s="5">
        <v>114085817331</v>
      </c>
      <c r="B425" s="5"/>
      <c r="C425" s="5"/>
      <c r="D425" s="5"/>
      <c r="E425" s="5"/>
      <c r="F425" s="5"/>
      <c r="G425" s="5"/>
      <c r="H425" s="5"/>
      <c r="I425" s="5"/>
      <c r="J425" s="5"/>
      <c r="K425" s="5" t="s">
        <v>25</v>
      </c>
      <c r="L425" s="5" t="s">
        <v>26</v>
      </c>
      <c r="M425" s="5"/>
      <c r="N425" s="5"/>
      <c r="O425" s="7"/>
      <c r="P425" s="7">
        <f t="shared" si="108"/>
        <v>2</v>
      </c>
      <c r="Q425" s="7">
        <f t="shared" si="109"/>
        <v>1.5</v>
      </c>
      <c r="R425" s="7"/>
      <c r="S425" s="7">
        <f t="shared" si="125"/>
        <v>0</v>
      </c>
      <c r="T425" s="7">
        <f t="shared" si="110"/>
        <v>0</v>
      </c>
      <c r="U425" s="7">
        <f t="shared" si="111"/>
        <v>0</v>
      </c>
      <c r="V425" s="119">
        <f t="shared" si="112"/>
        <v>0</v>
      </c>
      <c r="W425" s="119">
        <f t="shared" si="113"/>
        <v>0</v>
      </c>
      <c r="X425" s="119">
        <f t="shared" si="114"/>
        <v>0</v>
      </c>
      <c r="Y425" s="119">
        <f t="shared" si="115"/>
        <v>0</v>
      </c>
      <c r="Z425" s="119">
        <f t="shared" si="116"/>
        <v>0</v>
      </c>
      <c r="AA425" s="119">
        <f t="shared" si="117"/>
        <v>0</v>
      </c>
      <c r="AB425" s="119">
        <f t="shared" si="118"/>
        <v>1</v>
      </c>
      <c r="AC425" s="119">
        <f t="shared" si="119"/>
        <v>1</v>
      </c>
      <c r="AD425" s="119">
        <f t="shared" si="120"/>
        <v>0</v>
      </c>
      <c r="AE425" s="119">
        <f t="shared" si="121"/>
        <v>0</v>
      </c>
      <c r="AF425" s="7"/>
      <c r="AG425" s="7"/>
      <c r="AH425" s="7">
        <f t="shared" si="122"/>
        <v>2</v>
      </c>
      <c r="AI425" s="7">
        <f t="shared" si="123"/>
        <v>2</v>
      </c>
      <c r="AJ425" s="7" t="str">
        <f t="shared" si="124"/>
        <v>Correct</v>
      </c>
      <c r="AL425" s="120" t="str">
        <f>IFERROR(VLOOKUP(Table1[RespondentID],'All Data'!$A$3:$CO$999,87,FALSE),"unknown")</f>
        <v>Woman</v>
      </c>
      <c r="AM425" s="120">
        <f>IFERROR(VLOOKUP(Table1[RespondentID],'All Data'!$A$3:$CO$999,88,FALSE),"unknown")</f>
        <v>0</v>
      </c>
      <c r="AN425" s="120" t="str">
        <f>IFERROR(VLOOKUP(Table1[RespondentID],'All Data'!$A$3:$CO$999,89,FALSE),"unknown")</f>
        <v>Nassau</v>
      </c>
      <c r="AO425" s="120" t="str">
        <f>IFERROR(VLOOKUP(Table1[RespondentID],'All Data'!$A$3:$CO$999,90,FALSE),"unknown")</f>
        <v>Plainview, 11803</v>
      </c>
      <c r="AP425" s="120">
        <f>IFERROR(VLOOKUP(Table1[RespondentID],'All Data'!$A$3:$CO$999,91,FALSE),"unknown")</f>
        <v>0</v>
      </c>
      <c r="AQ425" s="120" t="str">
        <f>IFERROR(VLOOKUP(Table1[RespondentID],'All Data'!$A$3:$CO$999,92,FALSE),"unknown")</f>
        <v>Not Hispanic or Latino</v>
      </c>
      <c r="AR425" s="120" t="str">
        <f>IFERROR(VLOOKUP(Table1[RespondentID],'All Data'!$A$3:$CO$999,93,FALSE),"unknown")</f>
        <v>English</v>
      </c>
      <c r="AS425" s="120" t="str">
        <f>IFERROR(VLOOKUP(Table1[RespondentID],'All Data'!$A$3:$CW$999,94,FALSE),"unknown")</f>
        <v>Over $125,000</v>
      </c>
      <c r="AT425" s="120" t="str">
        <f>IFERROR(VLOOKUP(Table1[RespondentID],'All Data'!$A$3:$CW$999,95,FALSE),"unknown")</f>
        <v>Graduate school</v>
      </c>
      <c r="AU425" s="120">
        <f>IFERROR(VLOOKUP(Table1[RespondentID],'All Data'!$A$3:$CW$999,96,FALSE),"unknown")</f>
        <v>0</v>
      </c>
      <c r="AV425" s="120">
        <f>IFERROR(VLOOKUP(Table1[RespondentID],'All Data'!$A$3:$CW$999,97,FALSE),"unknown")</f>
        <v>0</v>
      </c>
      <c r="AW425" s="120" t="str">
        <f>IFERROR(VLOOKUP(Table1[RespondentID],'All Data'!$A$3:$CW$999,98,FALSE),"unknown")</f>
        <v>Private/Commercial</v>
      </c>
      <c r="AX425" s="120" t="str">
        <f>IFERROR(VLOOKUP(Table1[RespondentID],'All Data'!$A$3:$CW$999,99,FALSE),"unknown")</f>
        <v>Yes</v>
      </c>
    </row>
    <row r="426" spans="1:50">
      <c r="A426" s="5">
        <v>114085816678</v>
      </c>
      <c r="B426" s="5" t="s">
        <v>16</v>
      </c>
      <c r="C426" s="5"/>
      <c r="D426" s="5" t="s">
        <v>18</v>
      </c>
      <c r="E426" s="5"/>
      <c r="F426" s="5"/>
      <c r="G426" s="5"/>
      <c r="H426" s="5"/>
      <c r="I426" s="5"/>
      <c r="J426" s="5"/>
      <c r="K426" s="5"/>
      <c r="L426" s="5" t="s">
        <v>26</v>
      </c>
      <c r="M426" s="5"/>
      <c r="N426" s="5"/>
      <c r="O426" s="7"/>
      <c r="P426" s="7">
        <f t="shared" si="108"/>
        <v>3</v>
      </c>
      <c r="Q426" s="7">
        <f t="shared" si="109"/>
        <v>1</v>
      </c>
      <c r="R426" s="7"/>
      <c r="S426" s="7">
        <f t="shared" si="125"/>
        <v>1</v>
      </c>
      <c r="T426" s="7">
        <f t="shared" si="110"/>
        <v>0</v>
      </c>
      <c r="U426" s="7">
        <f t="shared" si="111"/>
        <v>1</v>
      </c>
      <c r="V426" s="119">
        <f t="shared" si="112"/>
        <v>0</v>
      </c>
      <c r="W426" s="119">
        <f t="shared" si="113"/>
        <v>0</v>
      </c>
      <c r="X426" s="119">
        <f t="shared" si="114"/>
        <v>0</v>
      </c>
      <c r="Y426" s="119">
        <f t="shared" si="115"/>
        <v>0</v>
      </c>
      <c r="Z426" s="119">
        <f t="shared" si="116"/>
        <v>0</v>
      </c>
      <c r="AA426" s="119">
        <f t="shared" si="117"/>
        <v>0</v>
      </c>
      <c r="AB426" s="119">
        <f t="shared" si="118"/>
        <v>0</v>
      </c>
      <c r="AC426" s="119">
        <f t="shared" si="119"/>
        <v>1</v>
      </c>
      <c r="AD426" s="119">
        <f t="shared" si="120"/>
        <v>0</v>
      </c>
      <c r="AE426" s="119">
        <f t="shared" si="121"/>
        <v>0</v>
      </c>
      <c r="AF426" s="7"/>
      <c r="AG426" s="7"/>
      <c r="AH426" s="7">
        <f t="shared" si="122"/>
        <v>3</v>
      </c>
      <c r="AI426" s="7">
        <f t="shared" si="123"/>
        <v>3</v>
      </c>
      <c r="AJ426" s="7" t="str">
        <f t="shared" si="124"/>
        <v>Correct</v>
      </c>
      <c r="AL426" s="120" t="str">
        <f>IFERROR(VLOOKUP(Table1[RespondentID],'All Data'!$A$3:$CO$999,87,FALSE),"unknown")</f>
        <v>Woman</v>
      </c>
      <c r="AM426" s="120">
        <f>IFERROR(VLOOKUP(Table1[RespondentID],'All Data'!$A$3:$CO$999,88,FALSE),"unknown")</f>
        <v>0</v>
      </c>
      <c r="AN426" s="120" t="str">
        <f>IFERROR(VLOOKUP(Table1[RespondentID],'All Data'!$A$3:$CO$999,89,FALSE),"unknown")</f>
        <v>Nassau</v>
      </c>
      <c r="AO426" s="120" t="str">
        <f>IFERROR(VLOOKUP(Table1[RespondentID],'All Data'!$A$3:$CO$999,90,FALSE),"unknown")</f>
        <v>Malverne, 11565</v>
      </c>
      <c r="AP426" s="120">
        <f>IFERROR(VLOOKUP(Table1[RespondentID],'All Data'!$A$3:$CO$999,91,FALSE),"unknown")</f>
        <v>0</v>
      </c>
      <c r="AQ426" s="120" t="str">
        <f>IFERROR(VLOOKUP(Table1[RespondentID],'All Data'!$A$3:$CO$999,92,FALSE),"unknown")</f>
        <v>Not Hispanic or Latino</v>
      </c>
      <c r="AR426" s="120" t="str">
        <f>IFERROR(VLOOKUP(Table1[RespondentID],'All Data'!$A$3:$CO$999,93,FALSE),"unknown")</f>
        <v>English</v>
      </c>
      <c r="AS426" s="120" t="str">
        <f>IFERROR(VLOOKUP(Table1[RespondentID],'All Data'!$A$3:$CW$999,94,FALSE),"unknown")</f>
        <v>Over $125,000</v>
      </c>
      <c r="AT426" s="120" t="str">
        <f>IFERROR(VLOOKUP(Table1[RespondentID],'All Data'!$A$3:$CW$999,95,FALSE),"unknown")</f>
        <v>College graduate</v>
      </c>
      <c r="AU426" s="120">
        <f>IFERROR(VLOOKUP(Table1[RespondentID],'All Data'!$A$3:$CW$999,96,FALSE),"unknown")</f>
        <v>0</v>
      </c>
      <c r="AV426" s="120">
        <f>IFERROR(VLOOKUP(Table1[RespondentID],'All Data'!$A$3:$CW$999,97,FALSE),"unknown")</f>
        <v>0</v>
      </c>
      <c r="AW426" s="120" t="str">
        <f>IFERROR(VLOOKUP(Table1[RespondentID],'All Data'!$A$3:$CW$999,98,FALSE),"unknown")</f>
        <v>Private/Commercial</v>
      </c>
      <c r="AX426" s="120" t="str">
        <f>IFERROR(VLOOKUP(Table1[RespondentID],'All Data'!$A$3:$CW$999,99,FALSE),"unknown")</f>
        <v>Yes</v>
      </c>
    </row>
    <row r="427" spans="1:50">
      <c r="A427" s="5">
        <v>114083656423</v>
      </c>
      <c r="B427" s="5"/>
      <c r="C427" s="5" t="s">
        <v>17</v>
      </c>
      <c r="D427" s="5"/>
      <c r="E427" s="5"/>
      <c r="F427" s="5"/>
      <c r="G427" s="5"/>
      <c r="H427" s="5"/>
      <c r="I427" s="5"/>
      <c r="J427" s="5"/>
      <c r="K427" s="5" t="s">
        <v>25</v>
      </c>
      <c r="L427" s="5"/>
      <c r="M427" s="5" t="s">
        <v>27</v>
      </c>
      <c r="N427" s="5"/>
      <c r="O427" s="7"/>
      <c r="P427" s="7">
        <f t="shared" si="108"/>
        <v>3</v>
      </c>
      <c r="Q427" s="7">
        <f t="shared" si="109"/>
        <v>1</v>
      </c>
      <c r="R427" s="7"/>
      <c r="S427" s="7">
        <f t="shared" si="125"/>
        <v>0</v>
      </c>
      <c r="T427" s="7">
        <f t="shared" si="110"/>
        <v>1</v>
      </c>
      <c r="U427" s="7">
        <f t="shared" si="111"/>
        <v>0</v>
      </c>
      <c r="V427" s="119">
        <f t="shared" si="112"/>
        <v>0</v>
      </c>
      <c r="W427" s="119">
        <f t="shared" si="113"/>
        <v>0</v>
      </c>
      <c r="X427" s="119">
        <f t="shared" si="114"/>
        <v>0</v>
      </c>
      <c r="Y427" s="119">
        <f t="shared" si="115"/>
        <v>0</v>
      </c>
      <c r="Z427" s="119">
        <f t="shared" si="116"/>
        <v>0</v>
      </c>
      <c r="AA427" s="119">
        <f t="shared" si="117"/>
        <v>0</v>
      </c>
      <c r="AB427" s="119">
        <f t="shared" si="118"/>
        <v>1</v>
      </c>
      <c r="AC427" s="119">
        <f t="shared" si="119"/>
        <v>0</v>
      </c>
      <c r="AD427" s="119">
        <f t="shared" si="120"/>
        <v>1</v>
      </c>
      <c r="AE427" s="119">
        <f t="shared" si="121"/>
        <v>0</v>
      </c>
      <c r="AF427" s="7"/>
      <c r="AG427" s="7"/>
      <c r="AH427" s="7">
        <f t="shared" si="122"/>
        <v>3</v>
      </c>
      <c r="AI427" s="7">
        <f t="shared" si="123"/>
        <v>3</v>
      </c>
      <c r="AJ427" s="7" t="str">
        <f t="shared" si="124"/>
        <v>Correct</v>
      </c>
      <c r="AL427" s="120" t="str">
        <f>IFERROR(VLOOKUP(Table1[RespondentID],'All Data'!$A$3:$CO$999,87,FALSE),"unknown")</f>
        <v>Woman</v>
      </c>
      <c r="AM427" s="120">
        <f>IFERROR(VLOOKUP(Table1[RespondentID],'All Data'!$A$3:$CO$999,88,FALSE),"unknown")</f>
        <v>0</v>
      </c>
      <c r="AN427" s="120" t="str">
        <f>IFERROR(VLOOKUP(Table1[RespondentID],'All Data'!$A$3:$CO$999,89,FALSE),"unknown")</f>
        <v>Suffolk</v>
      </c>
      <c r="AO427" s="120" t="str">
        <f>IFERROR(VLOOKUP(Table1[RespondentID],'All Data'!$A$3:$CO$999,90,FALSE),"unknown")</f>
        <v>West Islip, 11795</v>
      </c>
      <c r="AP427" s="120">
        <f>IFERROR(VLOOKUP(Table1[RespondentID],'All Data'!$A$3:$CO$999,91,FALSE),"unknown")</f>
        <v>0</v>
      </c>
      <c r="AQ427" s="120" t="str">
        <f>IFERROR(VLOOKUP(Table1[RespondentID],'All Data'!$A$3:$CO$999,92,FALSE),"unknown")</f>
        <v>Hispanic or Latino</v>
      </c>
      <c r="AR427" s="120" t="str">
        <f>IFERROR(VLOOKUP(Table1[RespondentID],'All Data'!$A$3:$CO$999,93,FALSE),"unknown")</f>
        <v>English</v>
      </c>
      <c r="AS427" s="120" t="str">
        <f>IFERROR(VLOOKUP(Table1[RespondentID],'All Data'!$A$3:$CW$999,94,FALSE),"unknown")</f>
        <v>Over $125,000</v>
      </c>
      <c r="AT427" s="120" t="str">
        <f>IFERROR(VLOOKUP(Table1[RespondentID],'All Data'!$A$3:$CW$999,95,FALSE),"unknown")</f>
        <v>Graduate school</v>
      </c>
      <c r="AU427" s="120">
        <f>IFERROR(VLOOKUP(Table1[RespondentID],'All Data'!$A$3:$CW$999,96,FALSE),"unknown")</f>
        <v>0</v>
      </c>
      <c r="AV427" s="120">
        <f>IFERROR(VLOOKUP(Table1[RespondentID],'All Data'!$A$3:$CW$999,97,FALSE),"unknown")</f>
        <v>0</v>
      </c>
      <c r="AW427" s="120" t="str">
        <f>IFERROR(VLOOKUP(Table1[RespondentID],'All Data'!$A$3:$CW$999,98,FALSE),"unknown")</f>
        <v>Private/Commercial</v>
      </c>
      <c r="AX427" s="120" t="str">
        <f>IFERROR(VLOOKUP(Table1[RespondentID],'All Data'!$A$3:$CW$999,99,FALSE),"unknown")</f>
        <v>Yes</v>
      </c>
    </row>
    <row r="428" spans="1:50">
      <c r="A428" s="5">
        <v>114082818594</v>
      </c>
      <c r="B428" s="5"/>
      <c r="C428" s="5" t="s">
        <v>17</v>
      </c>
      <c r="D428" s="5"/>
      <c r="E428" s="5" t="s">
        <v>19</v>
      </c>
      <c r="F428" s="5"/>
      <c r="G428" s="5"/>
      <c r="H428" s="5"/>
      <c r="I428" s="5"/>
      <c r="J428" s="5"/>
      <c r="K428" s="5"/>
      <c r="L428" s="5" t="s">
        <v>26</v>
      </c>
      <c r="M428" s="5"/>
      <c r="N428" s="5"/>
      <c r="O428" s="7"/>
      <c r="P428" s="7">
        <f t="shared" si="108"/>
        <v>3</v>
      </c>
      <c r="Q428" s="7">
        <f t="shared" si="109"/>
        <v>1</v>
      </c>
      <c r="R428" s="7"/>
      <c r="S428" s="7">
        <f t="shared" si="125"/>
        <v>0</v>
      </c>
      <c r="T428" s="7">
        <f t="shared" si="110"/>
        <v>1</v>
      </c>
      <c r="U428" s="7">
        <f t="shared" si="111"/>
        <v>0</v>
      </c>
      <c r="V428" s="119">
        <f t="shared" si="112"/>
        <v>1</v>
      </c>
      <c r="W428" s="119">
        <f t="shared" si="113"/>
        <v>0</v>
      </c>
      <c r="X428" s="119">
        <f t="shared" si="114"/>
        <v>0</v>
      </c>
      <c r="Y428" s="119">
        <f t="shared" si="115"/>
        <v>0</v>
      </c>
      <c r="Z428" s="119">
        <f t="shared" si="116"/>
        <v>0</v>
      </c>
      <c r="AA428" s="119">
        <f t="shared" si="117"/>
        <v>0</v>
      </c>
      <c r="AB428" s="119">
        <f t="shared" si="118"/>
        <v>0</v>
      </c>
      <c r="AC428" s="119">
        <f t="shared" si="119"/>
        <v>1</v>
      </c>
      <c r="AD428" s="119">
        <f t="shared" si="120"/>
        <v>0</v>
      </c>
      <c r="AE428" s="119">
        <f t="shared" si="121"/>
        <v>0</v>
      </c>
      <c r="AF428" s="7"/>
      <c r="AG428" s="7"/>
      <c r="AH428" s="7">
        <f t="shared" si="122"/>
        <v>3</v>
      </c>
      <c r="AI428" s="7">
        <f t="shared" si="123"/>
        <v>3</v>
      </c>
      <c r="AJ428" s="7" t="str">
        <f t="shared" si="124"/>
        <v>Correct</v>
      </c>
      <c r="AL428" s="120" t="str">
        <f>IFERROR(VLOOKUP(Table1[RespondentID],'All Data'!$A$3:$CO$999,87,FALSE),"unknown")</f>
        <v>Man</v>
      </c>
      <c r="AM428" s="120">
        <f>IFERROR(VLOOKUP(Table1[RespondentID],'All Data'!$A$3:$CO$999,88,FALSE),"unknown")</f>
        <v>0</v>
      </c>
      <c r="AN428" s="120" t="str">
        <f>IFERROR(VLOOKUP(Table1[RespondentID],'All Data'!$A$3:$CO$999,89,FALSE),"unknown")</f>
        <v>Nassau</v>
      </c>
      <c r="AO428" s="120" t="str">
        <f>IFERROR(VLOOKUP(Table1[RespondentID],'All Data'!$A$3:$CO$999,90,FALSE),"unknown")</f>
        <v>Merrick, 11566</v>
      </c>
      <c r="AP428" s="120">
        <f>IFERROR(VLOOKUP(Table1[RespondentID],'All Data'!$A$3:$CO$999,91,FALSE),"unknown")</f>
        <v>0</v>
      </c>
      <c r="AQ428" s="120" t="str">
        <f>IFERROR(VLOOKUP(Table1[RespondentID],'All Data'!$A$3:$CO$999,92,FALSE),"unknown")</f>
        <v>Not Hispanic or Latino</v>
      </c>
      <c r="AR428" s="120" t="str">
        <f>IFERROR(VLOOKUP(Table1[RespondentID],'All Data'!$A$3:$CO$999,93,FALSE),"unknown")</f>
        <v>English</v>
      </c>
      <c r="AS428" s="120" t="str">
        <f>IFERROR(VLOOKUP(Table1[RespondentID],'All Data'!$A$3:$CW$999,94,FALSE),"unknown")</f>
        <v>Over $125,000</v>
      </c>
      <c r="AT428" s="120" t="str">
        <f>IFERROR(VLOOKUP(Table1[RespondentID],'All Data'!$A$3:$CW$999,95,FALSE),"unknown")</f>
        <v>Doctorate</v>
      </c>
      <c r="AU428" s="120">
        <f>IFERROR(VLOOKUP(Table1[RespondentID],'All Data'!$A$3:$CW$999,96,FALSE),"unknown")</f>
        <v>0</v>
      </c>
      <c r="AV428" s="120">
        <f>IFERROR(VLOOKUP(Table1[RespondentID],'All Data'!$A$3:$CW$999,97,FALSE),"unknown")</f>
        <v>0</v>
      </c>
      <c r="AW428" s="120" t="str">
        <f>IFERROR(VLOOKUP(Table1[RespondentID],'All Data'!$A$3:$CW$999,98,FALSE),"unknown")</f>
        <v>Private/Commercial</v>
      </c>
      <c r="AX428" s="120" t="str">
        <f>IFERROR(VLOOKUP(Table1[RespondentID],'All Data'!$A$3:$CW$999,99,FALSE),"unknown")</f>
        <v>Yes</v>
      </c>
    </row>
    <row r="429" spans="1:50">
      <c r="A429" s="5">
        <v>114087300174</v>
      </c>
      <c r="B429" s="5"/>
      <c r="C429" s="5" t="s">
        <v>17</v>
      </c>
      <c r="D429" s="5" t="s">
        <v>18</v>
      </c>
      <c r="E429" s="5"/>
      <c r="F429" s="5"/>
      <c r="G429" s="5"/>
      <c r="H429" s="5"/>
      <c r="I429" s="5"/>
      <c r="J429" s="5" t="s">
        <v>24</v>
      </c>
      <c r="K429" s="5" t="s">
        <v>25</v>
      </c>
      <c r="L429" s="5" t="s">
        <v>26</v>
      </c>
      <c r="M429" s="5"/>
      <c r="N429" s="5" t="s">
        <v>28</v>
      </c>
      <c r="O429" s="7"/>
      <c r="P429" s="7">
        <f t="shared" si="108"/>
        <v>6</v>
      </c>
      <c r="Q429" s="7">
        <f t="shared" si="109"/>
        <v>0.5</v>
      </c>
      <c r="R429" s="7"/>
      <c r="S429" s="7">
        <f t="shared" si="125"/>
        <v>0</v>
      </c>
      <c r="T429" s="7">
        <f t="shared" si="110"/>
        <v>0.5</v>
      </c>
      <c r="U429" s="7">
        <f t="shared" si="111"/>
        <v>0.5</v>
      </c>
      <c r="V429" s="119">
        <f t="shared" si="112"/>
        <v>0</v>
      </c>
      <c r="W429" s="119">
        <f t="shared" si="113"/>
        <v>0</v>
      </c>
      <c r="X429" s="119">
        <f t="shared" si="114"/>
        <v>0</v>
      </c>
      <c r="Y429" s="119">
        <f t="shared" si="115"/>
        <v>0</v>
      </c>
      <c r="Z429" s="119">
        <f t="shared" si="116"/>
        <v>0</v>
      </c>
      <c r="AA429" s="119">
        <f t="shared" si="117"/>
        <v>0.5</v>
      </c>
      <c r="AB429" s="119">
        <f t="shared" si="118"/>
        <v>0.5</v>
      </c>
      <c r="AC429" s="119">
        <f t="shared" si="119"/>
        <v>0.5</v>
      </c>
      <c r="AD429" s="119">
        <f t="shared" si="120"/>
        <v>0</v>
      </c>
      <c r="AE429" s="119">
        <f t="shared" si="121"/>
        <v>0.5</v>
      </c>
      <c r="AF429" s="7"/>
      <c r="AG429" s="7"/>
      <c r="AH429" s="7">
        <f t="shared" si="122"/>
        <v>3</v>
      </c>
      <c r="AI429" s="7">
        <f t="shared" si="123"/>
        <v>6</v>
      </c>
      <c r="AJ429" s="7" t="str">
        <f t="shared" si="124"/>
        <v>Correct</v>
      </c>
      <c r="AL429" s="120" t="str">
        <f>IFERROR(VLOOKUP(Table1[RespondentID],'All Data'!$A$3:$CO$999,87,FALSE),"unknown")</f>
        <v>Woman</v>
      </c>
      <c r="AM429" s="120">
        <f>IFERROR(VLOOKUP(Table1[RespondentID],'All Data'!$A$3:$CO$999,88,FALSE),"unknown")</f>
        <v>0</v>
      </c>
      <c r="AN429" s="120" t="str">
        <f>IFERROR(VLOOKUP(Table1[RespondentID],'All Data'!$A$3:$CO$999,89,FALSE),"unknown")</f>
        <v>Suffolk</v>
      </c>
      <c r="AO429" s="120" t="str">
        <f>IFERROR(VLOOKUP(Table1[RespondentID],'All Data'!$A$3:$CO$999,90,FALSE),"unknown")</f>
        <v>Bay Shore, 11706</v>
      </c>
      <c r="AP429" s="120">
        <f>IFERROR(VLOOKUP(Table1[RespondentID],'All Data'!$A$3:$CO$999,91,FALSE),"unknown")</f>
        <v>0</v>
      </c>
      <c r="AQ429" s="120" t="str">
        <f>IFERROR(VLOOKUP(Table1[RespondentID],'All Data'!$A$3:$CO$999,92,FALSE),"unknown")</f>
        <v>Hispanic or Latino</v>
      </c>
      <c r="AR429" s="120" t="str">
        <f>IFERROR(VLOOKUP(Table1[RespondentID],'All Data'!$A$3:$CO$999,93,FALSE),"unknown")</f>
        <v>English,Spanish</v>
      </c>
      <c r="AS429" s="120" t="str">
        <f>IFERROR(VLOOKUP(Table1[RespondentID],'All Data'!$A$3:$CW$999,94,FALSE),"unknown")</f>
        <v>$50,000 to $74,999</v>
      </c>
      <c r="AT429" s="120" t="str">
        <f>IFERROR(VLOOKUP(Table1[RespondentID],'All Data'!$A$3:$CW$999,95,FALSE),"unknown")</f>
        <v>College graduate</v>
      </c>
      <c r="AU429" s="120">
        <f>IFERROR(VLOOKUP(Table1[RespondentID],'All Data'!$A$3:$CW$999,96,FALSE),"unknown")</f>
        <v>0</v>
      </c>
      <c r="AV429" s="120" t="str">
        <f>IFERROR(VLOOKUP(Table1[RespondentID],'All Data'!$A$3:$CW$999,97,FALSE),"unknown")</f>
        <v>Yes</v>
      </c>
      <c r="AW429" s="120">
        <f>IFERROR(VLOOKUP(Table1[RespondentID],'All Data'!$A$3:$CW$999,98,FALSE),"unknown")</f>
        <v>0</v>
      </c>
      <c r="AX429" s="120" t="str">
        <f>IFERROR(VLOOKUP(Table1[RespondentID],'All Data'!$A$3:$CW$999,99,FALSE),"unknown")</f>
        <v>Yes</v>
      </c>
    </row>
    <row r="430" spans="1:50">
      <c r="A430" s="159">
        <v>114201599852</v>
      </c>
      <c r="B430" s="160"/>
      <c r="C430" s="124" t="s">
        <v>17</v>
      </c>
      <c r="D430" s="124"/>
      <c r="E430" s="124"/>
      <c r="F430" s="124"/>
      <c r="G430" s="124"/>
      <c r="H430" s="124"/>
      <c r="I430" s="124"/>
      <c r="J430" s="124"/>
      <c r="K430" s="124"/>
      <c r="L430" s="124" t="s">
        <v>26</v>
      </c>
      <c r="M430" s="124" t="s">
        <v>27</v>
      </c>
      <c r="N430" s="124"/>
      <c r="O430" s="124"/>
      <c r="P430" s="161">
        <f t="shared" ref="P430:P461" si="126">COUNTA(B430:N430)</f>
        <v>3</v>
      </c>
      <c r="Q430" s="161">
        <f t="shared" ref="Q430:Q461" si="127">3/P430</f>
        <v>1</v>
      </c>
      <c r="R430" s="161"/>
      <c r="S430" s="161">
        <f t="shared" ref="S430:S461" si="128">IF($P430&lt;3,IF($B430=$B$1,1,0),IF($B430=$B$1,$Q430,0))</f>
        <v>0</v>
      </c>
      <c r="T430" s="161">
        <f t="shared" ref="T430:T461" si="129">IF($P430&lt;3,IF($C430=$C$1,1,0),IF($C430=$C$1,$Q430,0))</f>
        <v>1</v>
      </c>
      <c r="U430" s="161">
        <f t="shared" ref="U430:U461" si="130">IF($P430&lt;3,IF($D430=$D$1,1,0),IF($D430=$D$1,$Q430,0))</f>
        <v>0</v>
      </c>
      <c r="V430" s="162">
        <f t="shared" ref="V430:V461" si="131">IF($P430&lt;3,IF($E430=$E$1,1,0),IF($E430=$E$1,$Q430,0))</f>
        <v>0</v>
      </c>
      <c r="W430" s="162">
        <f t="shared" ref="W430:W461" si="132">IF($P430&lt;3,IF($F430=$F$1,1,0),IF($F430=$F$1,$Q430,0))</f>
        <v>0</v>
      </c>
      <c r="X430" s="162">
        <f t="shared" ref="X430:X461" si="133">IF($P430&lt;3,IF($G430=$G$1,1,0),IF($G430=$G$1,$Q430,0))</f>
        <v>0</v>
      </c>
      <c r="Y430" s="162">
        <f t="shared" ref="Y430:Y461" si="134">IF($P430&lt;3,IF($H430=$H$1,1,0),IF($H430=$H$1,$Q430,0))</f>
        <v>0</v>
      </c>
      <c r="Z430" s="162">
        <f t="shared" ref="Z430:Z461" si="135">IF($P430&lt;3,IF($I430=$I$1,1,0),IF($I430=$I$1,$Q430,0))</f>
        <v>0</v>
      </c>
      <c r="AA430" s="162">
        <f t="shared" ref="AA430:AA461" si="136">IF($P430&lt;3,IF($J430=$J$1,1,0),IF($J430=$J$1,$Q430,0))</f>
        <v>0</v>
      </c>
      <c r="AB430" s="162">
        <f t="shared" ref="AB430:AB461" si="137">IF($P430&lt;3,IF($K430=$K$1,1,0),IF($K430=$K$1,$Q430,0))</f>
        <v>0</v>
      </c>
      <c r="AC430" s="162">
        <f t="shared" ref="AC430:AC461" si="138">IF($P430&lt;3,IF($L430=$L$1,1,0),IF($L430=$L$1,$Q430,0))</f>
        <v>1</v>
      </c>
      <c r="AD430" s="162">
        <f t="shared" ref="AD430:AD461" si="139">IF($P430&lt;3,IF($M430=$M$1,1,0),IF($M430=$M$1,$Q430,0))</f>
        <v>1</v>
      </c>
      <c r="AE430" s="162">
        <f t="shared" ref="AE430:AE461" si="140">IF($P430&lt;3,IF($N430=$N$1,1,0),IF($N430=$N$1,$Q430,0))</f>
        <v>0</v>
      </c>
      <c r="AF430" s="163"/>
      <c r="AG430" s="161"/>
      <c r="AH430" s="161">
        <f t="shared" ref="AH430:AH461" si="141">SUM(S430:AE430)</f>
        <v>3</v>
      </c>
      <c r="AI430" s="161">
        <f t="shared" ref="AI430:AI461" si="142">P430</f>
        <v>3</v>
      </c>
      <c r="AJ430" s="161" t="str">
        <f t="shared" ref="AJ430:AJ461" si="143">IF(AH430=AI430,"Correct",IF(AH430=3,"Correct","Wrong"))</f>
        <v>Correct</v>
      </c>
      <c r="AK430" s="124"/>
      <c r="AL430" s="164" t="str">
        <f>IFERROR(VLOOKUP(Table1[RespondentID],'All Data'!$A$3:$CO$999,87,FALSE),"unknown")</f>
        <v>Woman</v>
      </c>
      <c r="AM430" s="124"/>
      <c r="AN430" s="120" t="str">
        <f>IFERROR(VLOOKUP(Table1[RespondentID],'All Data'!$A$3:$CO$999,89,FALSE),"unknown")</f>
        <v>Suffolk</v>
      </c>
      <c r="AO430" s="120" t="str">
        <f>IFERROR(VLOOKUP(Table1[RespondentID],'All Data'!$A$3:$CO$999,90,FALSE),"unknown")</f>
        <v>Centerport, 11721</v>
      </c>
      <c r="AP430" s="120" t="str">
        <f>IFERROR(VLOOKUP(Table1[RespondentID],'All Data'!$A$3:$CO$999,91,FALSE),"unknown")</f>
        <v>White</v>
      </c>
      <c r="AQ430" s="120" t="str">
        <f>IFERROR(VLOOKUP(Table1[RespondentID],'All Data'!$A$3:$CO$999,92,FALSE),"unknown")</f>
        <v>Not Hispanic or Latino</v>
      </c>
      <c r="AR430" s="120" t="str">
        <f>IFERROR(VLOOKUP(Table1[RespondentID],'All Data'!$A$3:$CO$999,93,FALSE),"unknown")</f>
        <v>English</v>
      </c>
      <c r="AS430" s="120" t="str">
        <f>IFERROR(VLOOKUP(Table1[RespondentID],'All Data'!$A$3:$CW$999,94,FALSE),"unknown")</f>
        <v>Over $125,000</v>
      </c>
      <c r="AT430" s="120" t="str">
        <f>IFERROR(VLOOKUP(Table1[RespondentID],'All Data'!$A$3:$CW$999,95,FALSE),"unknown")</f>
        <v>Graduate school</v>
      </c>
      <c r="AU430" s="120" t="str">
        <f>IFERROR(VLOOKUP(Table1[RespondentID],'All Data'!$A$3:$CW$999,96,FALSE),"unknown")</f>
        <v>Employed for wages</v>
      </c>
      <c r="AV430" s="120" t="str">
        <f>IFERROR(VLOOKUP(Table1[RespondentID],'All Data'!$A$3:$CW$999,97,FALSE),"unknown")</f>
        <v>Yes</v>
      </c>
      <c r="AW430" s="120" t="str">
        <f>IFERROR(VLOOKUP(Table1[RespondentID],'All Data'!$A$3:$CW$999,98,FALSE),"unknown")</f>
        <v>Private/Commercial</v>
      </c>
      <c r="AX430" s="120" t="str">
        <f>IFERROR(VLOOKUP(Table1[RespondentID],'All Data'!$A$3:$CW$999,99,FALSE),"unknown")</f>
        <v>Yes</v>
      </c>
    </row>
    <row r="431" spans="1:50">
      <c r="A431" s="159">
        <v>114187605562</v>
      </c>
      <c r="B431" s="160"/>
      <c r="C431" s="124"/>
      <c r="D431" s="124"/>
      <c r="E431" s="124" t="s">
        <v>19</v>
      </c>
      <c r="F431" s="124"/>
      <c r="G431" s="124"/>
      <c r="H431" s="124"/>
      <c r="I431" s="124"/>
      <c r="J431" s="124"/>
      <c r="K431" s="124" t="s">
        <v>25</v>
      </c>
      <c r="L431" s="124" t="s">
        <v>26</v>
      </c>
      <c r="M431" s="124"/>
      <c r="N431" s="124"/>
      <c r="O431" s="124"/>
      <c r="P431" s="161">
        <f t="shared" si="126"/>
        <v>3</v>
      </c>
      <c r="Q431" s="161">
        <f t="shared" si="127"/>
        <v>1</v>
      </c>
      <c r="R431" s="161"/>
      <c r="S431" s="161">
        <f t="shared" si="128"/>
        <v>0</v>
      </c>
      <c r="T431" s="161">
        <f t="shared" si="129"/>
        <v>0</v>
      </c>
      <c r="U431" s="161">
        <f t="shared" si="130"/>
        <v>0</v>
      </c>
      <c r="V431" s="162">
        <f t="shared" si="131"/>
        <v>1</v>
      </c>
      <c r="W431" s="162">
        <f t="shared" si="132"/>
        <v>0</v>
      </c>
      <c r="X431" s="162">
        <f t="shared" si="133"/>
        <v>0</v>
      </c>
      <c r="Y431" s="162">
        <f t="shared" si="134"/>
        <v>0</v>
      </c>
      <c r="Z431" s="162">
        <f t="shared" si="135"/>
        <v>0</v>
      </c>
      <c r="AA431" s="162">
        <f t="shared" si="136"/>
        <v>0</v>
      </c>
      <c r="AB431" s="162">
        <f t="shared" si="137"/>
        <v>1</v>
      </c>
      <c r="AC431" s="162">
        <f t="shared" si="138"/>
        <v>1</v>
      </c>
      <c r="AD431" s="162">
        <f t="shared" si="139"/>
        <v>0</v>
      </c>
      <c r="AE431" s="162">
        <f t="shared" si="140"/>
        <v>0</v>
      </c>
      <c r="AF431" s="163"/>
      <c r="AG431" s="161"/>
      <c r="AH431" s="161">
        <f t="shared" si="141"/>
        <v>3</v>
      </c>
      <c r="AI431" s="161">
        <f t="shared" si="142"/>
        <v>3</v>
      </c>
      <c r="AJ431" s="161" t="str">
        <f t="shared" si="143"/>
        <v>Correct</v>
      </c>
      <c r="AK431" s="124"/>
      <c r="AL431" s="164" t="str">
        <f>IFERROR(VLOOKUP(Table1[RespondentID],'All Data'!$A$3:$CO$999,87,FALSE),"unknown")</f>
        <v>Man</v>
      </c>
      <c r="AM431" s="124"/>
      <c r="AN431" s="120" t="str">
        <f>IFERROR(VLOOKUP(Table1[RespondentID],'All Data'!$A$3:$CO$999,89,FALSE),"unknown")</f>
        <v>Nassau</v>
      </c>
      <c r="AO431" s="120" t="str">
        <f>IFERROR(VLOOKUP(Table1[RespondentID],'All Data'!$A$3:$CO$999,90,FALSE),"unknown")</f>
        <v>Merrick, 11566</v>
      </c>
      <c r="AP431" s="120" t="str">
        <f>IFERROR(VLOOKUP(Table1[RespondentID],'All Data'!$A$3:$CO$999,91,FALSE),"unknown")</f>
        <v>White</v>
      </c>
      <c r="AQ431" s="120" t="str">
        <f>IFERROR(VLOOKUP(Table1[RespondentID],'All Data'!$A$3:$CO$999,92,FALSE),"unknown")</f>
        <v>Not Hispanic or Latino</v>
      </c>
      <c r="AR431" s="120" t="str">
        <f>IFERROR(VLOOKUP(Table1[RespondentID],'All Data'!$A$3:$CO$999,93,FALSE),"unknown")</f>
        <v>English</v>
      </c>
      <c r="AS431" s="120" t="str">
        <f>IFERROR(VLOOKUP(Table1[RespondentID],'All Data'!$A$3:$CW$999,94,FALSE),"unknown")</f>
        <v>Over $125,000</v>
      </c>
      <c r="AT431" s="120" t="str">
        <f>IFERROR(VLOOKUP(Table1[RespondentID],'All Data'!$A$3:$CW$999,95,FALSE),"unknown")</f>
        <v>Doctorate</v>
      </c>
      <c r="AU431" s="120" t="str">
        <f>IFERROR(VLOOKUP(Table1[RespondentID],'All Data'!$A$3:$CW$999,96,FALSE),"unknown")</f>
        <v>Employed for wages</v>
      </c>
      <c r="AV431" s="120" t="str">
        <f>IFERROR(VLOOKUP(Table1[RespondentID],'All Data'!$A$3:$CW$999,97,FALSE),"unknown")</f>
        <v>Yes</v>
      </c>
      <c r="AW431" s="120" t="str">
        <f>IFERROR(VLOOKUP(Table1[RespondentID],'All Data'!$A$3:$CW$999,98,FALSE),"unknown")</f>
        <v>Private/Commercial</v>
      </c>
      <c r="AX431" s="120" t="str">
        <f>IFERROR(VLOOKUP(Table1[RespondentID],'All Data'!$A$3:$CW$999,99,FALSE),"unknown")</f>
        <v>Yes</v>
      </c>
    </row>
    <row r="432" spans="1:50">
      <c r="A432" s="159">
        <v>114178252865</v>
      </c>
      <c r="B432" s="160"/>
      <c r="C432" s="124"/>
      <c r="D432" s="124"/>
      <c r="E432" s="124"/>
      <c r="F432" s="124"/>
      <c r="G432" s="124"/>
      <c r="H432" s="124"/>
      <c r="I432" s="124"/>
      <c r="J432" s="124"/>
      <c r="K432" s="124"/>
      <c r="L432" s="124"/>
      <c r="M432" s="124"/>
      <c r="N432" s="124"/>
      <c r="O432" s="124"/>
      <c r="P432" s="161">
        <f t="shared" si="126"/>
        <v>0</v>
      </c>
      <c r="Q432" s="161" t="e">
        <f t="shared" si="127"/>
        <v>#DIV/0!</v>
      </c>
      <c r="R432" s="161"/>
      <c r="S432" s="161">
        <f t="shared" si="128"/>
        <v>0</v>
      </c>
      <c r="T432" s="161">
        <f t="shared" si="129"/>
        <v>0</v>
      </c>
      <c r="U432" s="161">
        <f t="shared" si="130"/>
        <v>0</v>
      </c>
      <c r="V432" s="162">
        <f t="shared" si="131"/>
        <v>0</v>
      </c>
      <c r="W432" s="162">
        <f t="shared" si="132"/>
        <v>0</v>
      </c>
      <c r="X432" s="162">
        <f t="shared" si="133"/>
        <v>0</v>
      </c>
      <c r="Y432" s="162">
        <f t="shared" si="134"/>
        <v>0</v>
      </c>
      <c r="Z432" s="162">
        <f t="shared" si="135"/>
        <v>0</v>
      </c>
      <c r="AA432" s="162">
        <f t="shared" si="136"/>
        <v>0</v>
      </c>
      <c r="AB432" s="162">
        <f t="shared" si="137"/>
        <v>0</v>
      </c>
      <c r="AC432" s="162">
        <f t="shared" si="138"/>
        <v>0</v>
      </c>
      <c r="AD432" s="162">
        <f t="shared" si="139"/>
        <v>0</v>
      </c>
      <c r="AE432" s="162">
        <f t="shared" si="140"/>
        <v>0</v>
      </c>
      <c r="AF432" s="163"/>
      <c r="AG432" s="161"/>
      <c r="AH432" s="161">
        <f t="shared" si="141"/>
        <v>0</v>
      </c>
      <c r="AI432" s="161">
        <f t="shared" si="142"/>
        <v>0</v>
      </c>
      <c r="AJ432" s="161" t="str">
        <f t="shared" si="143"/>
        <v>Correct</v>
      </c>
      <c r="AK432" s="124"/>
      <c r="AL432" s="164">
        <f>IFERROR(VLOOKUP(Table1[RespondentID],'All Data'!$A$3:$CO$999,87,FALSE),"unknown")</f>
        <v>0</v>
      </c>
      <c r="AM432" s="124"/>
      <c r="AN432" s="120">
        <f>IFERROR(VLOOKUP(Table1[RespondentID],'All Data'!$A$3:$CO$999,89,FALSE),"unknown")</f>
        <v>0</v>
      </c>
      <c r="AO432" s="120">
        <f>IFERROR(VLOOKUP(Table1[RespondentID],'All Data'!$A$3:$CO$999,90,FALSE),"unknown")</f>
        <v>0</v>
      </c>
      <c r="AP432" s="120">
        <f>IFERROR(VLOOKUP(Table1[RespondentID],'All Data'!$A$3:$CO$999,91,FALSE),"unknown")</f>
        <v>0</v>
      </c>
      <c r="AQ432" s="120">
        <f>IFERROR(VLOOKUP(Table1[RespondentID],'All Data'!$A$3:$CO$999,92,FALSE),"unknown")</f>
        <v>0</v>
      </c>
      <c r="AR432" s="120">
        <f>IFERROR(VLOOKUP(Table1[RespondentID],'All Data'!$A$3:$CO$999,93,FALSE),"unknown")</f>
        <v>0</v>
      </c>
      <c r="AS432" s="120">
        <f>IFERROR(VLOOKUP(Table1[RespondentID],'All Data'!$A$3:$CW$999,94,FALSE),"unknown")</f>
        <v>0</v>
      </c>
      <c r="AT432" s="120">
        <f>IFERROR(VLOOKUP(Table1[RespondentID],'All Data'!$A$3:$CW$999,95,FALSE),"unknown")</f>
        <v>0</v>
      </c>
      <c r="AU432" s="120">
        <f>IFERROR(VLOOKUP(Table1[RespondentID],'All Data'!$A$3:$CW$999,96,FALSE),"unknown")</f>
        <v>0</v>
      </c>
      <c r="AV432" s="120">
        <f>IFERROR(VLOOKUP(Table1[RespondentID],'All Data'!$A$3:$CW$999,97,FALSE),"unknown")</f>
        <v>0</v>
      </c>
      <c r="AW432" s="120">
        <f>IFERROR(VLOOKUP(Table1[RespondentID],'All Data'!$A$3:$CW$999,98,FALSE),"unknown")</f>
        <v>0</v>
      </c>
      <c r="AX432" s="120">
        <f>IFERROR(VLOOKUP(Table1[RespondentID],'All Data'!$A$3:$CW$999,99,FALSE),"unknown")</f>
        <v>0</v>
      </c>
    </row>
    <row r="433" spans="1:50">
      <c r="A433" s="159">
        <v>114155044650</v>
      </c>
      <c r="B433" s="160"/>
      <c r="C433" s="124"/>
      <c r="D433" s="124" t="s">
        <v>18</v>
      </c>
      <c r="E433" s="124"/>
      <c r="F433" s="124"/>
      <c r="G433" s="124" t="s">
        <v>21</v>
      </c>
      <c r="H433" s="124" t="s">
        <v>22</v>
      </c>
      <c r="I433" s="124" t="s">
        <v>23</v>
      </c>
      <c r="J433" s="124" t="s">
        <v>24</v>
      </c>
      <c r="K433" s="124" t="s">
        <v>25</v>
      </c>
      <c r="L433" s="124" t="s">
        <v>26</v>
      </c>
      <c r="M433" s="124"/>
      <c r="N433" s="124" t="s">
        <v>28</v>
      </c>
      <c r="O433" s="124"/>
      <c r="P433" s="161">
        <f t="shared" si="126"/>
        <v>8</v>
      </c>
      <c r="Q433" s="161">
        <f t="shared" si="127"/>
        <v>0.375</v>
      </c>
      <c r="R433" s="161"/>
      <c r="S433" s="161">
        <f t="shared" si="128"/>
        <v>0</v>
      </c>
      <c r="T433" s="161">
        <f t="shared" si="129"/>
        <v>0</v>
      </c>
      <c r="U433" s="161">
        <f t="shared" si="130"/>
        <v>0.375</v>
      </c>
      <c r="V433" s="162">
        <f t="shared" si="131"/>
        <v>0</v>
      </c>
      <c r="W433" s="162">
        <f t="shared" si="132"/>
        <v>0</v>
      </c>
      <c r="X433" s="162">
        <f t="shared" si="133"/>
        <v>0.375</v>
      </c>
      <c r="Y433" s="162">
        <f t="shared" si="134"/>
        <v>0.375</v>
      </c>
      <c r="Z433" s="162">
        <f t="shared" si="135"/>
        <v>0.375</v>
      </c>
      <c r="AA433" s="162">
        <f t="shared" si="136"/>
        <v>0.375</v>
      </c>
      <c r="AB433" s="162">
        <f t="shared" si="137"/>
        <v>0.375</v>
      </c>
      <c r="AC433" s="162">
        <f t="shared" si="138"/>
        <v>0.375</v>
      </c>
      <c r="AD433" s="162">
        <f t="shared" si="139"/>
        <v>0</v>
      </c>
      <c r="AE433" s="162">
        <f t="shared" si="140"/>
        <v>0.375</v>
      </c>
      <c r="AF433" s="163"/>
      <c r="AG433" s="161"/>
      <c r="AH433" s="161">
        <f t="shared" si="141"/>
        <v>3</v>
      </c>
      <c r="AI433" s="161">
        <f t="shared" si="142"/>
        <v>8</v>
      </c>
      <c r="AJ433" s="161" t="str">
        <f t="shared" si="143"/>
        <v>Correct</v>
      </c>
      <c r="AK433" s="124"/>
      <c r="AL433" s="164" t="str">
        <f>IFERROR(VLOOKUP(Table1[RespondentID],'All Data'!$A$3:$CO$999,87,FALSE),"unknown")</f>
        <v>Woman</v>
      </c>
      <c r="AM433" s="124"/>
      <c r="AN433" s="120" t="str">
        <f>IFERROR(VLOOKUP(Table1[RespondentID],'All Data'!$A$3:$CO$999,89,FALSE),"unknown")</f>
        <v>Nassau</v>
      </c>
      <c r="AO433" s="120" t="str">
        <f>IFERROR(VLOOKUP(Table1[RespondentID],'All Data'!$A$3:$CO$999,90,FALSE),"unknown")</f>
        <v>Hempstead, 11550</v>
      </c>
      <c r="AP433" s="120">
        <f>IFERROR(VLOOKUP(Table1[RespondentID],'All Data'!$A$3:$CO$999,91,FALSE),"unknown")</f>
        <v>0</v>
      </c>
      <c r="AQ433" s="120" t="str">
        <f>IFERROR(VLOOKUP(Table1[RespondentID],'All Data'!$A$3:$CO$999,92,FALSE),"unknown")</f>
        <v>Hispanic or Latino</v>
      </c>
      <c r="AR433" s="120" t="str">
        <f>IFERROR(VLOOKUP(Table1[RespondentID],'All Data'!$A$3:$CO$999,93,FALSE),"unknown")</f>
        <v>Spanish</v>
      </c>
      <c r="AS433" s="120" t="str">
        <f>IFERROR(VLOOKUP(Table1[RespondentID],'All Data'!$A$3:$CW$999,94,FALSE),"unknown")</f>
        <v>$20,000 to $34,999</v>
      </c>
      <c r="AT433" s="120" t="str">
        <f>IFERROR(VLOOKUP(Table1[RespondentID],'All Data'!$A$3:$CW$999,95,FALSE),"unknown")</f>
        <v>K-8 grade</v>
      </c>
      <c r="AU433" s="120" t="str">
        <f>IFERROR(VLOOKUP(Table1[RespondentID],'All Data'!$A$3:$CW$999,96,FALSE),"unknown")</f>
        <v>Out of work and looking for work</v>
      </c>
      <c r="AV433" s="120" t="str">
        <f>IFERROR(VLOOKUP(Table1[RespondentID],'All Data'!$A$3:$CW$999,97,FALSE),"unknown")</f>
        <v>No</v>
      </c>
      <c r="AW433" s="120">
        <f>IFERROR(VLOOKUP(Table1[RespondentID],'All Data'!$A$3:$CW$999,98,FALSE),"unknown")</f>
        <v>0</v>
      </c>
      <c r="AX433" s="120" t="str">
        <f>IFERROR(VLOOKUP(Table1[RespondentID],'All Data'!$A$3:$CW$999,99,FALSE),"unknown")</f>
        <v>No</v>
      </c>
    </row>
    <row r="434" spans="1:50">
      <c r="A434" s="159">
        <v>114138224772</v>
      </c>
      <c r="B434" s="160"/>
      <c r="C434" s="124"/>
      <c r="D434" s="124"/>
      <c r="E434" s="124" t="s">
        <v>19</v>
      </c>
      <c r="F434" s="124"/>
      <c r="G434" s="124"/>
      <c r="H434" s="124"/>
      <c r="I434" s="124"/>
      <c r="J434" s="124"/>
      <c r="K434" s="124" t="s">
        <v>25</v>
      </c>
      <c r="L434" s="124" t="s">
        <v>26</v>
      </c>
      <c r="M434" s="124"/>
      <c r="N434" s="124"/>
      <c r="O434" s="124"/>
      <c r="P434" s="161">
        <f t="shared" si="126"/>
        <v>3</v>
      </c>
      <c r="Q434" s="161">
        <f t="shared" si="127"/>
        <v>1</v>
      </c>
      <c r="R434" s="161"/>
      <c r="S434" s="161">
        <f t="shared" si="128"/>
        <v>0</v>
      </c>
      <c r="T434" s="161">
        <f t="shared" si="129"/>
        <v>0</v>
      </c>
      <c r="U434" s="161">
        <f t="shared" si="130"/>
        <v>0</v>
      </c>
      <c r="V434" s="162">
        <f t="shared" si="131"/>
        <v>1</v>
      </c>
      <c r="W434" s="162">
        <f t="shared" si="132"/>
        <v>0</v>
      </c>
      <c r="X434" s="162">
        <f t="shared" si="133"/>
        <v>0</v>
      </c>
      <c r="Y434" s="162">
        <f t="shared" si="134"/>
        <v>0</v>
      </c>
      <c r="Z434" s="162">
        <f t="shared" si="135"/>
        <v>0</v>
      </c>
      <c r="AA434" s="162">
        <f t="shared" si="136"/>
        <v>0</v>
      </c>
      <c r="AB434" s="162">
        <f t="shared" si="137"/>
        <v>1</v>
      </c>
      <c r="AC434" s="162">
        <f t="shared" si="138"/>
        <v>1</v>
      </c>
      <c r="AD434" s="162">
        <f t="shared" si="139"/>
        <v>0</v>
      </c>
      <c r="AE434" s="162">
        <f t="shared" si="140"/>
        <v>0</v>
      </c>
      <c r="AF434" s="163"/>
      <c r="AG434" s="161"/>
      <c r="AH434" s="161">
        <f t="shared" si="141"/>
        <v>3</v>
      </c>
      <c r="AI434" s="161">
        <f t="shared" si="142"/>
        <v>3</v>
      </c>
      <c r="AJ434" s="161" t="str">
        <f t="shared" si="143"/>
        <v>Correct</v>
      </c>
      <c r="AK434" s="124"/>
      <c r="AL434" s="164" t="str">
        <f>IFERROR(VLOOKUP(Table1[RespondentID],'All Data'!$A$3:$CO$999,87,FALSE),"unknown")</f>
        <v>Man</v>
      </c>
      <c r="AM434" s="124"/>
      <c r="AN434" s="120" t="str">
        <f>IFERROR(VLOOKUP(Table1[RespondentID],'All Data'!$A$3:$CO$999,89,FALSE),"unknown")</f>
        <v>Nassau</v>
      </c>
      <c r="AO434" s="120" t="str">
        <f>IFERROR(VLOOKUP(Table1[RespondentID],'All Data'!$A$3:$CO$999,90,FALSE),"unknown")</f>
        <v>Plainview, 11803</v>
      </c>
      <c r="AP434" s="120">
        <f>IFERROR(VLOOKUP(Table1[RespondentID],'All Data'!$A$3:$CO$999,91,FALSE),"unknown")</f>
        <v>0</v>
      </c>
      <c r="AQ434" s="120" t="str">
        <f>IFERROR(VLOOKUP(Table1[RespondentID],'All Data'!$A$3:$CO$999,92,FALSE),"unknown")</f>
        <v>Hispanic or Latino</v>
      </c>
      <c r="AR434" s="120" t="str">
        <f>IFERROR(VLOOKUP(Table1[RespondentID],'All Data'!$A$3:$CO$999,93,FALSE),"unknown")</f>
        <v>English</v>
      </c>
      <c r="AS434" s="120" t="str">
        <f>IFERROR(VLOOKUP(Table1[RespondentID],'All Data'!$A$3:$CW$999,94,FALSE),"unknown")</f>
        <v>$20,000 to $34,999</v>
      </c>
      <c r="AT434" s="120" t="str">
        <f>IFERROR(VLOOKUP(Table1[RespondentID],'All Data'!$A$3:$CW$999,95,FALSE),"unknown")</f>
        <v>Some college</v>
      </c>
      <c r="AU434" s="120" t="str">
        <f>IFERROR(VLOOKUP(Table1[RespondentID],'All Data'!$A$3:$CW$999,96,FALSE),"unknown")</f>
        <v>Employed for wages</v>
      </c>
      <c r="AV434" s="120" t="str">
        <f>IFERROR(VLOOKUP(Table1[RespondentID],'All Data'!$A$3:$CW$999,97,FALSE),"unknown")</f>
        <v>Yes</v>
      </c>
      <c r="AW434" s="120" t="str">
        <f>IFERROR(VLOOKUP(Table1[RespondentID],'All Data'!$A$3:$CW$999,98,FALSE),"unknown")</f>
        <v>Private/Commercial</v>
      </c>
      <c r="AX434" s="120" t="str">
        <f>IFERROR(VLOOKUP(Table1[RespondentID],'All Data'!$A$3:$CW$999,99,FALSE),"unknown")</f>
        <v>Yes</v>
      </c>
    </row>
    <row r="435" spans="1:50">
      <c r="A435" s="159">
        <v>114137567525</v>
      </c>
      <c r="B435" s="160"/>
      <c r="C435" s="124"/>
      <c r="D435" s="124"/>
      <c r="E435" s="124"/>
      <c r="F435" s="124"/>
      <c r="G435" s="124"/>
      <c r="H435" s="124"/>
      <c r="I435" s="124"/>
      <c r="J435" s="124"/>
      <c r="K435" s="124"/>
      <c r="L435" s="124"/>
      <c r="M435" s="124"/>
      <c r="N435" s="124"/>
      <c r="O435" s="124"/>
      <c r="P435" s="161">
        <f t="shared" si="126"/>
        <v>0</v>
      </c>
      <c r="Q435" s="161" t="e">
        <f t="shared" si="127"/>
        <v>#DIV/0!</v>
      </c>
      <c r="R435" s="161"/>
      <c r="S435" s="161">
        <f t="shared" si="128"/>
        <v>0</v>
      </c>
      <c r="T435" s="161">
        <f t="shared" si="129"/>
        <v>0</v>
      </c>
      <c r="U435" s="161">
        <f t="shared" si="130"/>
        <v>0</v>
      </c>
      <c r="V435" s="162">
        <f t="shared" si="131"/>
        <v>0</v>
      </c>
      <c r="W435" s="162">
        <f t="shared" si="132"/>
        <v>0</v>
      </c>
      <c r="X435" s="162">
        <f t="shared" si="133"/>
        <v>0</v>
      </c>
      <c r="Y435" s="162">
        <f t="shared" si="134"/>
        <v>0</v>
      </c>
      <c r="Z435" s="162">
        <f t="shared" si="135"/>
        <v>0</v>
      </c>
      <c r="AA435" s="162">
        <f t="shared" si="136"/>
        <v>0</v>
      </c>
      <c r="AB435" s="162">
        <f t="shared" si="137"/>
        <v>0</v>
      </c>
      <c r="AC435" s="162">
        <f t="shared" si="138"/>
        <v>0</v>
      </c>
      <c r="AD435" s="162">
        <f t="shared" si="139"/>
        <v>0</v>
      </c>
      <c r="AE435" s="162">
        <f t="shared" si="140"/>
        <v>0</v>
      </c>
      <c r="AF435" s="163"/>
      <c r="AG435" s="161"/>
      <c r="AH435" s="161">
        <f t="shared" si="141"/>
        <v>0</v>
      </c>
      <c r="AI435" s="161">
        <f t="shared" si="142"/>
        <v>0</v>
      </c>
      <c r="AJ435" s="161" t="str">
        <f t="shared" si="143"/>
        <v>Correct</v>
      </c>
      <c r="AK435" s="124"/>
      <c r="AL435" s="164">
        <f>IFERROR(VLOOKUP(Table1[RespondentID],'All Data'!$A$3:$CO$999,87,FALSE),"unknown")</f>
        <v>0</v>
      </c>
      <c r="AM435" s="124"/>
      <c r="AN435" s="120">
        <f>IFERROR(VLOOKUP(Table1[RespondentID],'All Data'!$A$3:$CO$999,89,FALSE),"unknown")</f>
        <v>0</v>
      </c>
      <c r="AO435" s="120" t="str">
        <f>IFERROR(VLOOKUP(Table1[RespondentID],'All Data'!$A$3:$CO$999,90,FALSE),"unknown")</f>
        <v>Atlantic Beach, 11509</v>
      </c>
      <c r="AP435" s="120">
        <f>IFERROR(VLOOKUP(Table1[RespondentID],'All Data'!$A$3:$CO$999,91,FALSE),"unknown")</f>
        <v>0</v>
      </c>
      <c r="AQ435" s="120">
        <f>IFERROR(VLOOKUP(Table1[RespondentID],'All Data'!$A$3:$CO$999,92,FALSE),"unknown")</f>
        <v>0</v>
      </c>
      <c r="AR435" s="120">
        <f>IFERROR(VLOOKUP(Table1[RespondentID],'All Data'!$A$3:$CO$999,93,FALSE),"unknown")</f>
        <v>0</v>
      </c>
      <c r="AS435" s="120">
        <f>IFERROR(VLOOKUP(Table1[RespondentID],'All Data'!$A$3:$CW$999,94,FALSE),"unknown")</f>
        <v>0</v>
      </c>
      <c r="AT435" s="120">
        <f>IFERROR(VLOOKUP(Table1[RespondentID],'All Data'!$A$3:$CW$999,95,FALSE),"unknown")</f>
        <v>0</v>
      </c>
      <c r="AU435" s="120">
        <f>IFERROR(VLOOKUP(Table1[RespondentID],'All Data'!$A$3:$CW$999,96,FALSE),"unknown")</f>
        <v>0</v>
      </c>
      <c r="AV435" s="120">
        <f>IFERROR(VLOOKUP(Table1[RespondentID],'All Data'!$A$3:$CW$999,97,FALSE),"unknown")</f>
        <v>0</v>
      </c>
      <c r="AW435" s="120">
        <f>IFERROR(VLOOKUP(Table1[RespondentID],'All Data'!$A$3:$CW$999,98,FALSE),"unknown")</f>
        <v>0</v>
      </c>
      <c r="AX435" s="120">
        <f>IFERROR(VLOOKUP(Table1[RespondentID],'All Data'!$A$3:$CW$999,99,FALSE),"unknown")</f>
        <v>0</v>
      </c>
    </row>
    <row r="436" spans="1:50">
      <c r="A436" s="159">
        <v>114131712001</v>
      </c>
      <c r="B436" s="160"/>
      <c r="C436" s="124" t="s">
        <v>17</v>
      </c>
      <c r="D436" s="124"/>
      <c r="E436" s="124"/>
      <c r="F436" s="124"/>
      <c r="G436" s="124" t="s">
        <v>21</v>
      </c>
      <c r="H436" s="124" t="s">
        <v>22</v>
      </c>
      <c r="I436" s="124"/>
      <c r="J436" s="124"/>
      <c r="K436" s="124" t="s">
        <v>25</v>
      </c>
      <c r="L436" s="124" t="s">
        <v>26</v>
      </c>
      <c r="M436" s="124"/>
      <c r="N436" s="124"/>
      <c r="O436" s="124"/>
      <c r="P436" s="161">
        <f t="shared" si="126"/>
        <v>5</v>
      </c>
      <c r="Q436" s="161">
        <f t="shared" si="127"/>
        <v>0.6</v>
      </c>
      <c r="R436" s="161"/>
      <c r="S436" s="161">
        <f t="shared" si="128"/>
        <v>0</v>
      </c>
      <c r="T436" s="161">
        <f t="shared" si="129"/>
        <v>0.6</v>
      </c>
      <c r="U436" s="161">
        <f t="shared" si="130"/>
        <v>0</v>
      </c>
      <c r="V436" s="162">
        <f t="shared" si="131"/>
        <v>0</v>
      </c>
      <c r="W436" s="162">
        <f t="shared" si="132"/>
        <v>0</v>
      </c>
      <c r="X436" s="162">
        <f t="shared" si="133"/>
        <v>0.6</v>
      </c>
      <c r="Y436" s="162">
        <f t="shared" si="134"/>
        <v>0.6</v>
      </c>
      <c r="Z436" s="162">
        <f t="shared" si="135"/>
        <v>0</v>
      </c>
      <c r="AA436" s="162">
        <f t="shared" si="136"/>
        <v>0</v>
      </c>
      <c r="AB436" s="162">
        <f t="shared" si="137"/>
        <v>0.6</v>
      </c>
      <c r="AC436" s="162">
        <f t="shared" si="138"/>
        <v>0.6</v>
      </c>
      <c r="AD436" s="162">
        <f t="shared" si="139"/>
        <v>0</v>
      </c>
      <c r="AE436" s="162">
        <f t="shared" si="140"/>
        <v>0</v>
      </c>
      <c r="AF436" s="163"/>
      <c r="AG436" s="161"/>
      <c r="AH436" s="161">
        <f t="shared" si="141"/>
        <v>3</v>
      </c>
      <c r="AI436" s="161">
        <f t="shared" si="142"/>
        <v>5</v>
      </c>
      <c r="AJ436" s="161" t="str">
        <f t="shared" si="143"/>
        <v>Correct</v>
      </c>
      <c r="AK436" s="124"/>
      <c r="AL436" s="164" t="str">
        <f>IFERROR(VLOOKUP(Table1[RespondentID],'All Data'!$A$3:$CO$999,87,FALSE),"unknown")</f>
        <v>Woman</v>
      </c>
      <c r="AM436" s="124"/>
      <c r="AN436" s="120" t="str">
        <f>IFERROR(VLOOKUP(Table1[RespondentID],'All Data'!$A$3:$CO$999,89,FALSE),"unknown")</f>
        <v>Nassau</v>
      </c>
      <c r="AO436" s="120" t="str">
        <f>IFERROR(VLOOKUP(Table1[RespondentID],'All Data'!$A$3:$CO$999,90,FALSE),"unknown")</f>
        <v>Valley Stream, 11580</v>
      </c>
      <c r="AP436" s="120">
        <f>IFERROR(VLOOKUP(Table1[RespondentID],'All Data'!$A$3:$CO$999,91,FALSE),"unknown")</f>
        <v>0</v>
      </c>
      <c r="AQ436" s="120">
        <f>IFERROR(VLOOKUP(Table1[RespondentID],'All Data'!$A$3:$CO$999,92,FALSE),"unknown")</f>
        <v>0</v>
      </c>
      <c r="AR436" s="120">
        <f>IFERROR(VLOOKUP(Table1[RespondentID],'All Data'!$A$3:$CO$999,93,FALSE),"unknown")</f>
        <v>0</v>
      </c>
      <c r="AS436" s="120">
        <f>IFERROR(VLOOKUP(Table1[RespondentID],'All Data'!$A$3:$CW$999,94,FALSE),"unknown")</f>
        <v>0</v>
      </c>
      <c r="AT436" s="120">
        <f>IFERROR(VLOOKUP(Table1[RespondentID],'All Data'!$A$3:$CW$999,95,FALSE),"unknown")</f>
        <v>0</v>
      </c>
      <c r="AU436" s="120">
        <f>IFERROR(VLOOKUP(Table1[RespondentID],'All Data'!$A$3:$CW$999,96,FALSE),"unknown")</f>
        <v>0</v>
      </c>
      <c r="AV436" s="120">
        <f>IFERROR(VLOOKUP(Table1[RespondentID],'All Data'!$A$3:$CW$999,97,FALSE),"unknown")</f>
        <v>0</v>
      </c>
      <c r="AW436" s="120">
        <f>IFERROR(VLOOKUP(Table1[RespondentID],'All Data'!$A$3:$CW$999,98,FALSE),"unknown")</f>
        <v>0</v>
      </c>
      <c r="AX436" s="120">
        <f>IFERROR(VLOOKUP(Table1[RespondentID],'All Data'!$A$3:$CW$999,99,FALSE),"unknown")</f>
        <v>0</v>
      </c>
    </row>
    <row r="437" spans="1:50">
      <c r="A437" s="159">
        <v>114119758093</v>
      </c>
      <c r="B437" s="160"/>
      <c r="C437" s="124" t="s">
        <v>17</v>
      </c>
      <c r="D437" s="124"/>
      <c r="E437" s="124"/>
      <c r="F437" s="124"/>
      <c r="G437" s="124"/>
      <c r="H437" s="124"/>
      <c r="I437" s="124"/>
      <c r="J437" s="124"/>
      <c r="K437" s="124"/>
      <c r="L437" s="124"/>
      <c r="M437" s="124" t="s">
        <v>27</v>
      </c>
      <c r="N437" s="124"/>
      <c r="O437" s="124"/>
      <c r="P437" s="161">
        <f t="shared" si="126"/>
        <v>2</v>
      </c>
      <c r="Q437" s="161">
        <f t="shared" si="127"/>
        <v>1.5</v>
      </c>
      <c r="R437" s="161"/>
      <c r="S437" s="161">
        <f t="shared" si="128"/>
        <v>0</v>
      </c>
      <c r="T437" s="161">
        <f t="shared" si="129"/>
        <v>1</v>
      </c>
      <c r="U437" s="161">
        <f t="shared" si="130"/>
        <v>0</v>
      </c>
      <c r="V437" s="162">
        <f t="shared" si="131"/>
        <v>0</v>
      </c>
      <c r="W437" s="162">
        <f t="shared" si="132"/>
        <v>0</v>
      </c>
      <c r="X437" s="162">
        <f t="shared" si="133"/>
        <v>0</v>
      </c>
      <c r="Y437" s="162">
        <f t="shared" si="134"/>
        <v>0</v>
      </c>
      <c r="Z437" s="162">
        <f t="shared" si="135"/>
        <v>0</v>
      </c>
      <c r="AA437" s="162">
        <f t="shared" si="136"/>
        <v>0</v>
      </c>
      <c r="AB437" s="162">
        <f t="shared" si="137"/>
        <v>0</v>
      </c>
      <c r="AC437" s="162">
        <f t="shared" si="138"/>
        <v>0</v>
      </c>
      <c r="AD437" s="162">
        <f t="shared" si="139"/>
        <v>1</v>
      </c>
      <c r="AE437" s="162">
        <f t="shared" si="140"/>
        <v>0</v>
      </c>
      <c r="AF437" s="163"/>
      <c r="AG437" s="161"/>
      <c r="AH437" s="161">
        <f t="shared" si="141"/>
        <v>2</v>
      </c>
      <c r="AI437" s="161">
        <f t="shared" si="142"/>
        <v>2</v>
      </c>
      <c r="AJ437" s="161" t="str">
        <f t="shared" si="143"/>
        <v>Correct</v>
      </c>
      <c r="AK437" s="124"/>
      <c r="AL437" s="164" t="str">
        <f>IFERROR(VLOOKUP(Table1[RespondentID],'All Data'!$A$3:$CO$999,87,FALSE),"unknown")</f>
        <v>Woman</v>
      </c>
      <c r="AM437" s="124"/>
      <c r="AN437" s="120" t="str">
        <f>IFERROR(VLOOKUP(Table1[RespondentID],'All Data'!$A$3:$CO$999,89,FALSE),"unknown")</f>
        <v>Suffolk</v>
      </c>
      <c r="AO437" s="120" t="str">
        <f>IFERROR(VLOOKUP(Table1[RespondentID],'All Data'!$A$3:$CO$999,90,FALSE),"unknown")</f>
        <v>West Islip, 11795</v>
      </c>
      <c r="AP437" s="120" t="str">
        <f>IFERROR(VLOOKUP(Table1[RespondentID],'All Data'!$A$3:$CO$999,91,FALSE),"unknown")</f>
        <v>White</v>
      </c>
      <c r="AQ437" s="120" t="str">
        <f>IFERROR(VLOOKUP(Table1[RespondentID],'All Data'!$A$3:$CO$999,92,FALSE),"unknown")</f>
        <v>Not Hispanic or Latino</v>
      </c>
      <c r="AR437" s="120" t="str">
        <f>IFERROR(VLOOKUP(Table1[RespondentID],'All Data'!$A$3:$CO$999,93,FALSE),"unknown")</f>
        <v>English</v>
      </c>
      <c r="AS437" s="120">
        <f>IFERROR(VLOOKUP(Table1[RespondentID],'All Data'!$A$3:$CW$999,94,FALSE),"unknown")</f>
        <v>0</v>
      </c>
      <c r="AT437" s="120" t="str">
        <f>IFERROR(VLOOKUP(Table1[RespondentID],'All Data'!$A$3:$CW$999,95,FALSE),"unknown")</f>
        <v>Some college</v>
      </c>
      <c r="AU437" s="120" t="str">
        <f>IFERROR(VLOOKUP(Table1[RespondentID],'All Data'!$A$3:$CW$999,96,FALSE),"unknown")</f>
        <v>Employed for wages</v>
      </c>
      <c r="AV437" s="120" t="str">
        <f>IFERROR(VLOOKUP(Table1[RespondentID],'All Data'!$A$3:$CW$999,97,FALSE),"unknown")</f>
        <v>Yes</v>
      </c>
      <c r="AW437" s="120" t="str">
        <f>IFERROR(VLOOKUP(Table1[RespondentID],'All Data'!$A$3:$CW$999,98,FALSE),"unknown")</f>
        <v>Private/Commercial</v>
      </c>
      <c r="AX437" s="120" t="str">
        <f>IFERROR(VLOOKUP(Table1[RespondentID],'All Data'!$A$3:$CW$999,99,FALSE),"unknown")</f>
        <v>Yes</v>
      </c>
    </row>
    <row r="438" spans="1:50">
      <c r="A438" s="159">
        <v>114117609524</v>
      </c>
      <c r="B438" s="160"/>
      <c r="C438" s="124"/>
      <c r="D438" s="124"/>
      <c r="E438" s="124"/>
      <c r="F438" s="124"/>
      <c r="G438" s="124" t="s">
        <v>21</v>
      </c>
      <c r="H438" s="124"/>
      <c r="I438" s="124"/>
      <c r="J438" s="124"/>
      <c r="K438" s="124"/>
      <c r="L438" s="124" t="s">
        <v>26</v>
      </c>
      <c r="M438" s="124" t="s">
        <v>27</v>
      </c>
      <c r="N438" s="124"/>
      <c r="O438" s="124"/>
      <c r="P438" s="161">
        <f t="shared" si="126"/>
        <v>3</v>
      </c>
      <c r="Q438" s="161">
        <f t="shared" si="127"/>
        <v>1</v>
      </c>
      <c r="R438" s="161"/>
      <c r="S438" s="161">
        <f t="shared" si="128"/>
        <v>0</v>
      </c>
      <c r="T438" s="161">
        <f t="shared" si="129"/>
        <v>0</v>
      </c>
      <c r="U438" s="161">
        <f t="shared" si="130"/>
        <v>0</v>
      </c>
      <c r="V438" s="162">
        <f t="shared" si="131"/>
        <v>0</v>
      </c>
      <c r="W438" s="162">
        <f t="shared" si="132"/>
        <v>0</v>
      </c>
      <c r="X438" s="162">
        <f t="shared" si="133"/>
        <v>1</v>
      </c>
      <c r="Y438" s="162">
        <f t="shared" si="134"/>
        <v>0</v>
      </c>
      <c r="Z438" s="162">
        <f t="shared" si="135"/>
        <v>0</v>
      </c>
      <c r="AA438" s="162">
        <f t="shared" si="136"/>
        <v>0</v>
      </c>
      <c r="AB438" s="162">
        <f t="shared" si="137"/>
        <v>0</v>
      </c>
      <c r="AC438" s="162">
        <f t="shared" si="138"/>
        <v>1</v>
      </c>
      <c r="AD438" s="162">
        <f t="shared" si="139"/>
        <v>1</v>
      </c>
      <c r="AE438" s="162">
        <f t="shared" si="140"/>
        <v>0</v>
      </c>
      <c r="AF438" s="163"/>
      <c r="AG438" s="161"/>
      <c r="AH438" s="161">
        <f t="shared" si="141"/>
        <v>3</v>
      </c>
      <c r="AI438" s="161">
        <f t="shared" si="142"/>
        <v>3</v>
      </c>
      <c r="AJ438" s="161" t="str">
        <f t="shared" si="143"/>
        <v>Correct</v>
      </c>
      <c r="AK438" s="124"/>
      <c r="AL438" s="164" t="str">
        <f>IFERROR(VLOOKUP(Table1[RespondentID],'All Data'!$A$3:$CO$999,87,FALSE),"unknown")</f>
        <v>Man</v>
      </c>
      <c r="AM438" s="124"/>
      <c r="AN438" s="120" t="str">
        <f>IFERROR(VLOOKUP(Table1[RespondentID],'All Data'!$A$3:$CO$999,89,FALSE),"unknown")</f>
        <v>Suffolk</v>
      </c>
      <c r="AO438" s="120" t="str">
        <f>IFERROR(VLOOKUP(Table1[RespondentID],'All Data'!$A$3:$CO$999,90,FALSE),"unknown")</f>
        <v>Babylon, 11704</v>
      </c>
      <c r="AP438" s="120" t="str">
        <f>IFERROR(VLOOKUP(Table1[RespondentID],'All Data'!$A$3:$CO$999,91,FALSE),"unknown")</f>
        <v>White</v>
      </c>
      <c r="AQ438" s="120" t="str">
        <f>IFERROR(VLOOKUP(Table1[RespondentID],'All Data'!$A$3:$CO$999,92,FALSE),"unknown")</f>
        <v>Hispanic or Latino</v>
      </c>
      <c r="AR438" s="120" t="str">
        <f>IFERROR(VLOOKUP(Table1[RespondentID],'All Data'!$A$3:$CO$999,93,FALSE),"unknown")</f>
        <v>English,Spanish</v>
      </c>
      <c r="AS438" s="120" t="str">
        <f>IFERROR(VLOOKUP(Table1[RespondentID],'All Data'!$A$3:$CW$999,94,FALSE),"unknown")</f>
        <v>$20,000 to $34,999</v>
      </c>
      <c r="AT438" s="120" t="str">
        <f>IFERROR(VLOOKUP(Table1[RespondentID],'All Data'!$A$3:$CW$999,95,FALSE),"unknown")</f>
        <v>Some college</v>
      </c>
      <c r="AU438" s="120" t="str">
        <f>IFERROR(VLOOKUP(Table1[RespondentID],'All Data'!$A$3:$CW$999,96,FALSE),"unknown")</f>
        <v>Retired</v>
      </c>
      <c r="AV438" s="120" t="str">
        <f>IFERROR(VLOOKUP(Table1[RespondentID],'All Data'!$A$3:$CW$999,97,FALSE),"unknown")</f>
        <v>Yes</v>
      </c>
      <c r="AW438" s="120" t="str">
        <f>IFERROR(VLOOKUP(Table1[RespondentID],'All Data'!$A$3:$CW$999,98,FALSE),"unknown")</f>
        <v>Medicare</v>
      </c>
      <c r="AX438" s="120" t="str">
        <f>IFERROR(VLOOKUP(Table1[RespondentID],'All Data'!$A$3:$CW$999,99,FALSE),"unknown")</f>
        <v>Yes</v>
      </c>
    </row>
    <row r="439" spans="1:50">
      <c r="A439" s="159">
        <v>114117487074</v>
      </c>
      <c r="B439" s="160"/>
      <c r="C439" s="124" t="s">
        <v>17</v>
      </c>
      <c r="D439" s="124" t="s">
        <v>18</v>
      </c>
      <c r="E439" s="124"/>
      <c r="F439" s="124"/>
      <c r="G439" s="124"/>
      <c r="H439" s="124"/>
      <c r="I439" s="124"/>
      <c r="J439" s="124" t="s">
        <v>24</v>
      </c>
      <c r="K439" s="124" t="s">
        <v>25</v>
      </c>
      <c r="L439" s="124"/>
      <c r="M439" s="124"/>
      <c r="N439" s="124"/>
      <c r="O439" s="124" t="s">
        <v>481</v>
      </c>
      <c r="P439" s="161">
        <f t="shared" si="126"/>
        <v>4</v>
      </c>
      <c r="Q439" s="161">
        <f t="shared" si="127"/>
        <v>0.75</v>
      </c>
      <c r="R439" s="161"/>
      <c r="S439" s="161">
        <f t="shared" si="128"/>
        <v>0</v>
      </c>
      <c r="T439" s="161">
        <f t="shared" si="129"/>
        <v>0.75</v>
      </c>
      <c r="U439" s="161">
        <f t="shared" si="130"/>
        <v>0.75</v>
      </c>
      <c r="V439" s="162">
        <f t="shared" si="131"/>
        <v>0</v>
      </c>
      <c r="W439" s="162">
        <f t="shared" si="132"/>
        <v>0</v>
      </c>
      <c r="X439" s="162">
        <f t="shared" si="133"/>
        <v>0</v>
      </c>
      <c r="Y439" s="162">
        <f t="shared" si="134"/>
        <v>0</v>
      </c>
      <c r="Z439" s="162">
        <f t="shared" si="135"/>
        <v>0</v>
      </c>
      <c r="AA439" s="162">
        <f t="shared" si="136"/>
        <v>0.75</v>
      </c>
      <c r="AB439" s="162">
        <f t="shared" si="137"/>
        <v>0.75</v>
      </c>
      <c r="AC439" s="162">
        <f t="shared" si="138"/>
        <v>0</v>
      </c>
      <c r="AD439" s="162">
        <f t="shared" si="139"/>
        <v>0</v>
      </c>
      <c r="AE439" s="162">
        <f t="shared" si="140"/>
        <v>0</v>
      </c>
      <c r="AF439" s="163"/>
      <c r="AG439" s="161"/>
      <c r="AH439" s="161">
        <f t="shared" si="141"/>
        <v>3</v>
      </c>
      <c r="AI439" s="161">
        <f t="shared" si="142"/>
        <v>4</v>
      </c>
      <c r="AJ439" s="161" t="str">
        <f t="shared" si="143"/>
        <v>Correct</v>
      </c>
      <c r="AK439" s="124"/>
      <c r="AL439" s="164" t="str">
        <f>IFERROR(VLOOKUP(Table1[RespondentID],'All Data'!$A$3:$CO$999,87,FALSE),"unknown")</f>
        <v>Man</v>
      </c>
      <c r="AM439" s="124"/>
      <c r="AN439" s="120" t="str">
        <f>IFERROR(VLOOKUP(Table1[RespondentID],'All Data'!$A$3:$CO$999,89,FALSE),"unknown")</f>
        <v>Suffolk</v>
      </c>
      <c r="AO439" s="120" t="str">
        <f>IFERROR(VLOOKUP(Table1[RespondentID],'All Data'!$A$3:$CO$999,90,FALSE),"unknown")</f>
        <v>North Babylon, 11703</v>
      </c>
      <c r="AP439" s="120" t="str">
        <f>IFERROR(VLOOKUP(Table1[RespondentID],'All Data'!$A$3:$CO$999,91,FALSE),"unknown")</f>
        <v>White</v>
      </c>
      <c r="AQ439" s="120" t="str">
        <f>IFERROR(VLOOKUP(Table1[RespondentID],'All Data'!$A$3:$CO$999,92,FALSE),"unknown")</f>
        <v>Not Hispanic or Latino</v>
      </c>
      <c r="AR439" s="120" t="str">
        <f>IFERROR(VLOOKUP(Table1[RespondentID],'All Data'!$A$3:$CO$999,93,FALSE),"unknown")</f>
        <v>English</v>
      </c>
      <c r="AS439" s="120" t="str">
        <f>IFERROR(VLOOKUP(Table1[RespondentID],'All Data'!$A$3:$CW$999,94,FALSE),"unknown")</f>
        <v>$50,000 to $74,999</v>
      </c>
      <c r="AT439" s="120" t="str">
        <f>IFERROR(VLOOKUP(Table1[RespondentID],'All Data'!$A$3:$CW$999,95,FALSE),"unknown")</f>
        <v>Some college</v>
      </c>
      <c r="AU439" s="120" t="str">
        <f>IFERROR(VLOOKUP(Table1[RespondentID],'All Data'!$A$3:$CW$999,96,FALSE),"unknown")</f>
        <v>Retired</v>
      </c>
      <c r="AV439" s="120" t="str">
        <f>IFERROR(VLOOKUP(Table1[RespondentID],'All Data'!$A$3:$CW$999,97,FALSE),"unknown")</f>
        <v>Yes</v>
      </c>
      <c r="AW439" s="120" t="str">
        <f>IFERROR(VLOOKUP(Table1[RespondentID],'All Data'!$A$3:$CW$999,98,FALSE),"unknown")</f>
        <v>Medicare,Private/Commercial</v>
      </c>
      <c r="AX439" s="120" t="str">
        <f>IFERROR(VLOOKUP(Table1[RespondentID],'All Data'!$A$3:$CW$999,99,FALSE),"unknown")</f>
        <v>Yes</v>
      </c>
    </row>
    <row r="440" spans="1:50">
      <c r="A440" s="159">
        <v>114112557543</v>
      </c>
      <c r="B440" s="160"/>
      <c r="C440" s="124"/>
      <c r="D440" s="124" t="s">
        <v>18</v>
      </c>
      <c r="E440" s="124"/>
      <c r="F440" s="124"/>
      <c r="G440" s="124"/>
      <c r="H440" s="124" t="s">
        <v>22</v>
      </c>
      <c r="I440" s="124"/>
      <c r="J440" s="124"/>
      <c r="K440" s="124" t="s">
        <v>25</v>
      </c>
      <c r="L440" s="124"/>
      <c r="M440" s="124"/>
      <c r="N440" s="124"/>
      <c r="O440" s="124"/>
      <c r="P440" s="161">
        <f t="shared" si="126"/>
        <v>3</v>
      </c>
      <c r="Q440" s="161">
        <f t="shared" si="127"/>
        <v>1</v>
      </c>
      <c r="R440" s="161"/>
      <c r="S440" s="161">
        <f t="shared" si="128"/>
        <v>0</v>
      </c>
      <c r="T440" s="161">
        <f t="shared" si="129"/>
        <v>0</v>
      </c>
      <c r="U440" s="161">
        <f t="shared" si="130"/>
        <v>1</v>
      </c>
      <c r="V440" s="162">
        <f t="shared" si="131"/>
        <v>0</v>
      </c>
      <c r="W440" s="162">
        <f t="shared" si="132"/>
        <v>0</v>
      </c>
      <c r="X440" s="162">
        <f t="shared" si="133"/>
        <v>0</v>
      </c>
      <c r="Y440" s="162">
        <f t="shared" si="134"/>
        <v>1</v>
      </c>
      <c r="Z440" s="162">
        <f t="shared" si="135"/>
        <v>0</v>
      </c>
      <c r="AA440" s="162">
        <f t="shared" si="136"/>
        <v>0</v>
      </c>
      <c r="AB440" s="162">
        <f t="shared" si="137"/>
        <v>1</v>
      </c>
      <c r="AC440" s="162">
        <f t="shared" si="138"/>
        <v>0</v>
      </c>
      <c r="AD440" s="162">
        <f t="shared" si="139"/>
        <v>0</v>
      </c>
      <c r="AE440" s="162">
        <f t="shared" si="140"/>
        <v>0</v>
      </c>
      <c r="AF440" s="163"/>
      <c r="AG440" s="161"/>
      <c r="AH440" s="161">
        <f t="shared" si="141"/>
        <v>3</v>
      </c>
      <c r="AI440" s="161">
        <f t="shared" si="142"/>
        <v>3</v>
      </c>
      <c r="AJ440" s="161" t="str">
        <f t="shared" si="143"/>
        <v>Correct</v>
      </c>
      <c r="AK440" s="124"/>
      <c r="AL440" s="164" t="str">
        <f>IFERROR(VLOOKUP(Table1[RespondentID],'All Data'!$A$3:$CO$999,87,FALSE),"unknown")</f>
        <v>Woman</v>
      </c>
      <c r="AM440" s="124"/>
      <c r="AN440" s="120" t="str">
        <f>IFERROR(VLOOKUP(Table1[RespondentID],'All Data'!$A$3:$CO$999,89,FALSE),"unknown")</f>
        <v>Suffolk</v>
      </c>
      <c r="AO440" s="120" t="str">
        <f>IFERROR(VLOOKUP(Table1[RespondentID],'All Data'!$A$3:$CO$999,90,FALSE),"unknown")</f>
        <v>West Islip, 11795</v>
      </c>
      <c r="AP440" s="120" t="str">
        <f>IFERROR(VLOOKUP(Table1[RespondentID],'All Data'!$A$3:$CO$999,91,FALSE),"unknown")</f>
        <v>White</v>
      </c>
      <c r="AQ440" s="120" t="str">
        <f>IFERROR(VLOOKUP(Table1[RespondentID],'All Data'!$A$3:$CO$999,92,FALSE),"unknown")</f>
        <v>Not Hispanic or Latino</v>
      </c>
      <c r="AR440" s="120" t="str">
        <f>IFERROR(VLOOKUP(Table1[RespondentID],'All Data'!$A$3:$CO$999,93,FALSE),"unknown")</f>
        <v>English</v>
      </c>
      <c r="AS440" s="120" t="str">
        <f>IFERROR(VLOOKUP(Table1[RespondentID],'All Data'!$A$3:$CW$999,94,FALSE),"unknown")</f>
        <v>Over $125,000</v>
      </c>
      <c r="AT440" s="120" t="str">
        <f>IFERROR(VLOOKUP(Table1[RespondentID],'All Data'!$A$3:$CW$999,95,FALSE),"unknown")</f>
        <v>College graduate</v>
      </c>
      <c r="AU440" s="120" t="str">
        <f>IFERROR(VLOOKUP(Table1[RespondentID],'All Data'!$A$3:$CW$999,96,FALSE),"unknown")</f>
        <v>Employed for wages</v>
      </c>
      <c r="AV440" s="120" t="str">
        <f>IFERROR(VLOOKUP(Table1[RespondentID],'All Data'!$A$3:$CW$999,97,FALSE),"unknown")</f>
        <v>Yes</v>
      </c>
      <c r="AW440" s="120" t="str">
        <f>IFERROR(VLOOKUP(Table1[RespondentID],'All Data'!$A$3:$CW$999,98,FALSE),"unknown")</f>
        <v>Private/Commercial</v>
      </c>
      <c r="AX440" s="120" t="str">
        <f>IFERROR(VLOOKUP(Table1[RespondentID],'All Data'!$A$3:$CW$999,99,FALSE),"unknown")</f>
        <v>Yes</v>
      </c>
    </row>
    <row r="441" spans="1:50">
      <c r="A441" s="159">
        <v>114112353426</v>
      </c>
      <c r="B441" s="160"/>
      <c r="C441" s="124" t="s">
        <v>17</v>
      </c>
      <c r="D441" s="124" t="s">
        <v>18</v>
      </c>
      <c r="E441" s="124"/>
      <c r="F441" s="124"/>
      <c r="G441" s="124"/>
      <c r="H441" s="124"/>
      <c r="I441" s="124"/>
      <c r="J441" s="124"/>
      <c r="K441" s="124"/>
      <c r="L441" s="124" t="s">
        <v>26</v>
      </c>
      <c r="M441" s="124"/>
      <c r="N441" s="124"/>
      <c r="O441" s="124"/>
      <c r="P441" s="161">
        <f t="shared" si="126"/>
        <v>3</v>
      </c>
      <c r="Q441" s="161">
        <f t="shared" si="127"/>
        <v>1</v>
      </c>
      <c r="R441" s="161"/>
      <c r="S441" s="161">
        <f t="shared" si="128"/>
        <v>0</v>
      </c>
      <c r="T441" s="161">
        <f t="shared" si="129"/>
        <v>1</v>
      </c>
      <c r="U441" s="161">
        <f t="shared" si="130"/>
        <v>1</v>
      </c>
      <c r="V441" s="162">
        <f t="shared" si="131"/>
        <v>0</v>
      </c>
      <c r="W441" s="162">
        <f t="shared" si="132"/>
        <v>0</v>
      </c>
      <c r="X441" s="162">
        <f t="shared" si="133"/>
        <v>0</v>
      </c>
      <c r="Y441" s="162">
        <f t="shared" si="134"/>
        <v>0</v>
      </c>
      <c r="Z441" s="162">
        <f t="shared" si="135"/>
        <v>0</v>
      </c>
      <c r="AA441" s="162">
        <f t="shared" si="136"/>
        <v>0</v>
      </c>
      <c r="AB441" s="162">
        <f t="shared" si="137"/>
        <v>0</v>
      </c>
      <c r="AC441" s="162">
        <f t="shared" si="138"/>
        <v>1</v>
      </c>
      <c r="AD441" s="162">
        <f t="shared" si="139"/>
        <v>0</v>
      </c>
      <c r="AE441" s="162">
        <f t="shared" si="140"/>
        <v>0</v>
      </c>
      <c r="AF441" s="163"/>
      <c r="AG441" s="161"/>
      <c r="AH441" s="161">
        <f t="shared" si="141"/>
        <v>3</v>
      </c>
      <c r="AI441" s="161">
        <f t="shared" si="142"/>
        <v>3</v>
      </c>
      <c r="AJ441" s="161" t="str">
        <f t="shared" si="143"/>
        <v>Correct</v>
      </c>
      <c r="AK441" s="124"/>
      <c r="AL441" s="164" t="str">
        <f>IFERROR(VLOOKUP(Table1[RespondentID],'All Data'!$A$3:$CO$999,87,FALSE),"unknown")</f>
        <v>Woman</v>
      </c>
      <c r="AM441" s="124"/>
      <c r="AN441" s="120" t="str">
        <f>IFERROR(VLOOKUP(Table1[RespondentID],'All Data'!$A$3:$CO$999,89,FALSE),"unknown")</f>
        <v>Suffolk</v>
      </c>
      <c r="AO441" s="120" t="str">
        <f>IFERROR(VLOOKUP(Table1[RespondentID],'All Data'!$A$3:$CO$999,90,FALSE),"unknown")</f>
        <v>Lindenhurst, 11757</v>
      </c>
      <c r="AP441" s="120" t="str">
        <f>IFERROR(VLOOKUP(Table1[RespondentID],'All Data'!$A$3:$CO$999,91,FALSE),"unknown")</f>
        <v>White</v>
      </c>
      <c r="AQ441" s="120" t="str">
        <f>IFERROR(VLOOKUP(Table1[RespondentID],'All Data'!$A$3:$CO$999,92,FALSE),"unknown")</f>
        <v>Not Hispanic or Latino</v>
      </c>
      <c r="AR441" s="120" t="str">
        <f>IFERROR(VLOOKUP(Table1[RespondentID],'All Data'!$A$3:$CO$999,93,FALSE),"unknown")</f>
        <v>English</v>
      </c>
      <c r="AS441" s="120">
        <f>IFERROR(VLOOKUP(Table1[RespondentID],'All Data'!$A$3:$CW$999,94,FALSE),"unknown")</f>
        <v>0</v>
      </c>
      <c r="AT441" s="120" t="str">
        <f>IFERROR(VLOOKUP(Table1[RespondentID],'All Data'!$A$3:$CW$999,95,FALSE),"unknown")</f>
        <v>College graduate</v>
      </c>
      <c r="AU441" s="120" t="str">
        <f>IFERROR(VLOOKUP(Table1[RespondentID],'All Data'!$A$3:$CW$999,96,FALSE),"unknown")</f>
        <v>Retired</v>
      </c>
      <c r="AV441" s="120">
        <f>IFERROR(VLOOKUP(Table1[RespondentID],'All Data'!$A$3:$CW$999,97,FALSE),"unknown")</f>
        <v>0</v>
      </c>
      <c r="AW441" s="120" t="str">
        <f>IFERROR(VLOOKUP(Table1[RespondentID],'All Data'!$A$3:$CW$999,98,FALSE),"unknown")</f>
        <v>Medicare</v>
      </c>
      <c r="AX441" s="120" t="str">
        <f>IFERROR(VLOOKUP(Table1[RespondentID],'All Data'!$A$3:$CW$999,99,FALSE),"unknown")</f>
        <v>Yes</v>
      </c>
    </row>
    <row r="442" spans="1:50">
      <c r="A442" s="159">
        <v>114112316241</v>
      </c>
      <c r="B442" s="160"/>
      <c r="C442" s="124" t="s">
        <v>17</v>
      </c>
      <c r="D442" s="124" t="s">
        <v>18</v>
      </c>
      <c r="E442" s="124"/>
      <c r="F442" s="124"/>
      <c r="G442" s="124"/>
      <c r="H442" s="124"/>
      <c r="I442" s="124"/>
      <c r="J442" s="124"/>
      <c r="K442" s="124"/>
      <c r="L442" s="124"/>
      <c r="M442" s="124" t="s">
        <v>27</v>
      </c>
      <c r="N442" s="124"/>
      <c r="O442" s="124"/>
      <c r="P442" s="161">
        <f t="shared" si="126"/>
        <v>3</v>
      </c>
      <c r="Q442" s="161">
        <f t="shared" si="127"/>
        <v>1</v>
      </c>
      <c r="R442" s="161"/>
      <c r="S442" s="161">
        <f t="shared" si="128"/>
        <v>0</v>
      </c>
      <c r="T442" s="161">
        <f t="shared" si="129"/>
        <v>1</v>
      </c>
      <c r="U442" s="161">
        <f t="shared" si="130"/>
        <v>1</v>
      </c>
      <c r="V442" s="162">
        <f t="shared" si="131"/>
        <v>0</v>
      </c>
      <c r="W442" s="162">
        <f t="shared" si="132"/>
        <v>0</v>
      </c>
      <c r="X442" s="162">
        <f t="shared" si="133"/>
        <v>0</v>
      </c>
      <c r="Y442" s="162">
        <f t="shared" si="134"/>
        <v>0</v>
      </c>
      <c r="Z442" s="162">
        <f t="shared" si="135"/>
        <v>0</v>
      </c>
      <c r="AA442" s="162">
        <f t="shared" si="136"/>
        <v>0</v>
      </c>
      <c r="AB442" s="162">
        <f t="shared" si="137"/>
        <v>0</v>
      </c>
      <c r="AC442" s="162">
        <f t="shared" si="138"/>
        <v>0</v>
      </c>
      <c r="AD442" s="162">
        <f t="shared" si="139"/>
        <v>1</v>
      </c>
      <c r="AE442" s="162">
        <f t="shared" si="140"/>
        <v>0</v>
      </c>
      <c r="AF442" s="163"/>
      <c r="AG442" s="161"/>
      <c r="AH442" s="161">
        <f t="shared" si="141"/>
        <v>3</v>
      </c>
      <c r="AI442" s="161">
        <f t="shared" si="142"/>
        <v>3</v>
      </c>
      <c r="AJ442" s="161" t="str">
        <f t="shared" si="143"/>
        <v>Correct</v>
      </c>
      <c r="AK442" s="124"/>
      <c r="AL442" s="164" t="str">
        <f>IFERROR(VLOOKUP(Table1[RespondentID],'All Data'!$A$3:$CO$999,87,FALSE),"unknown")</f>
        <v>Woman</v>
      </c>
      <c r="AM442" s="124"/>
      <c r="AN442" s="120" t="str">
        <f>IFERROR(VLOOKUP(Table1[RespondentID],'All Data'!$A$3:$CO$999,89,FALSE),"unknown")</f>
        <v>Suffolk</v>
      </c>
      <c r="AO442" s="120" t="str">
        <f>IFERROR(VLOOKUP(Table1[RespondentID],'All Data'!$A$3:$CO$999,90,FALSE),"unknown")</f>
        <v>Oakdale, 11769</v>
      </c>
      <c r="AP442" s="120" t="str">
        <f>IFERROR(VLOOKUP(Table1[RespondentID],'All Data'!$A$3:$CO$999,91,FALSE),"unknown")</f>
        <v>White</v>
      </c>
      <c r="AQ442" s="120" t="str">
        <f>IFERROR(VLOOKUP(Table1[RespondentID],'All Data'!$A$3:$CO$999,92,FALSE),"unknown")</f>
        <v>Not Hispanic or Latino</v>
      </c>
      <c r="AR442" s="120" t="str">
        <f>IFERROR(VLOOKUP(Table1[RespondentID],'All Data'!$A$3:$CO$999,93,FALSE),"unknown")</f>
        <v>English</v>
      </c>
      <c r="AS442" s="120" t="str">
        <f>IFERROR(VLOOKUP(Table1[RespondentID],'All Data'!$A$3:$CW$999,94,FALSE),"unknown")</f>
        <v>$20,000 to $34,999</v>
      </c>
      <c r="AT442" s="120" t="str">
        <f>IFERROR(VLOOKUP(Table1[RespondentID],'All Data'!$A$3:$CW$999,95,FALSE),"unknown")</f>
        <v>High school graduate</v>
      </c>
      <c r="AU442" s="120" t="str">
        <f>IFERROR(VLOOKUP(Table1[RespondentID],'All Data'!$A$3:$CW$999,96,FALSE),"unknown")</f>
        <v>Retired</v>
      </c>
      <c r="AV442" s="120" t="str">
        <f>IFERROR(VLOOKUP(Table1[RespondentID],'All Data'!$A$3:$CW$999,97,FALSE),"unknown")</f>
        <v>Yes</v>
      </c>
      <c r="AW442" s="120" t="str">
        <f>IFERROR(VLOOKUP(Table1[RespondentID],'All Data'!$A$3:$CW$999,98,FALSE),"unknown")</f>
        <v>Medicare,Private/Commercial</v>
      </c>
      <c r="AX442" s="120" t="str">
        <f>IFERROR(VLOOKUP(Table1[RespondentID],'All Data'!$A$3:$CW$999,99,FALSE),"unknown")</f>
        <v>Yes</v>
      </c>
    </row>
    <row r="443" spans="1:50">
      <c r="A443" s="159">
        <v>114112302057</v>
      </c>
      <c r="B443" s="160"/>
      <c r="C443" s="124" t="s">
        <v>17</v>
      </c>
      <c r="D443" s="124" t="s">
        <v>18</v>
      </c>
      <c r="E443" s="124"/>
      <c r="F443" s="124"/>
      <c r="G443" s="124"/>
      <c r="H443" s="124"/>
      <c r="I443" s="124"/>
      <c r="J443" s="124" t="s">
        <v>24</v>
      </c>
      <c r="K443" s="124"/>
      <c r="L443" s="124"/>
      <c r="M443" s="124"/>
      <c r="N443" s="124"/>
      <c r="O443" s="124"/>
      <c r="P443" s="161">
        <f t="shared" si="126"/>
        <v>3</v>
      </c>
      <c r="Q443" s="161">
        <f t="shared" si="127"/>
        <v>1</v>
      </c>
      <c r="R443" s="161"/>
      <c r="S443" s="161">
        <f t="shared" si="128"/>
        <v>0</v>
      </c>
      <c r="T443" s="161">
        <f t="shared" si="129"/>
        <v>1</v>
      </c>
      <c r="U443" s="161">
        <f t="shared" si="130"/>
        <v>1</v>
      </c>
      <c r="V443" s="162">
        <f t="shared" si="131"/>
        <v>0</v>
      </c>
      <c r="W443" s="162">
        <f t="shared" si="132"/>
        <v>0</v>
      </c>
      <c r="X443" s="162">
        <f t="shared" si="133"/>
        <v>0</v>
      </c>
      <c r="Y443" s="162">
        <f t="shared" si="134"/>
        <v>0</v>
      </c>
      <c r="Z443" s="162">
        <f t="shared" si="135"/>
        <v>0</v>
      </c>
      <c r="AA443" s="162">
        <f t="shared" si="136"/>
        <v>1</v>
      </c>
      <c r="AB443" s="162">
        <f t="shared" si="137"/>
        <v>0</v>
      </c>
      <c r="AC443" s="162">
        <f t="shared" si="138"/>
        <v>0</v>
      </c>
      <c r="AD443" s="162">
        <f t="shared" si="139"/>
        <v>0</v>
      </c>
      <c r="AE443" s="162">
        <f t="shared" si="140"/>
        <v>0</v>
      </c>
      <c r="AF443" s="163"/>
      <c r="AG443" s="161"/>
      <c r="AH443" s="161">
        <f t="shared" si="141"/>
        <v>3</v>
      </c>
      <c r="AI443" s="161">
        <f t="shared" si="142"/>
        <v>3</v>
      </c>
      <c r="AJ443" s="161" t="str">
        <f t="shared" si="143"/>
        <v>Correct</v>
      </c>
      <c r="AK443" s="124"/>
      <c r="AL443" s="164" t="str">
        <f>IFERROR(VLOOKUP(Table1[RespondentID],'All Data'!$A$3:$CO$999,87,FALSE),"unknown")</f>
        <v>Woman</v>
      </c>
      <c r="AM443" s="124"/>
      <c r="AN443" s="120" t="str">
        <f>IFERROR(VLOOKUP(Table1[RespondentID],'All Data'!$A$3:$CO$999,89,FALSE),"unknown")</f>
        <v>Suffolk</v>
      </c>
      <c r="AO443" s="120" t="str">
        <f>IFERROR(VLOOKUP(Table1[RespondentID],'All Data'!$A$3:$CO$999,90,FALSE),"unknown")</f>
        <v>Babylon, 11702</v>
      </c>
      <c r="AP443" s="120" t="str">
        <f>IFERROR(VLOOKUP(Table1[RespondentID],'All Data'!$A$3:$CO$999,91,FALSE),"unknown")</f>
        <v>White</v>
      </c>
      <c r="AQ443" s="120" t="str">
        <f>IFERROR(VLOOKUP(Table1[RespondentID],'All Data'!$A$3:$CO$999,92,FALSE),"unknown")</f>
        <v>Not Hispanic or Latino</v>
      </c>
      <c r="AR443" s="120" t="str">
        <f>IFERROR(VLOOKUP(Table1[RespondentID],'All Data'!$A$3:$CO$999,93,FALSE),"unknown")</f>
        <v>English</v>
      </c>
      <c r="AS443" s="120" t="str">
        <f>IFERROR(VLOOKUP(Table1[RespondentID],'All Data'!$A$3:$CW$999,94,FALSE),"unknown")</f>
        <v>$35,000 to $49,999</v>
      </c>
      <c r="AT443" s="120" t="str">
        <f>IFERROR(VLOOKUP(Table1[RespondentID],'All Data'!$A$3:$CW$999,95,FALSE),"unknown")</f>
        <v>Some college</v>
      </c>
      <c r="AU443" s="120" t="str">
        <f>IFERROR(VLOOKUP(Table1[RespondentID],'All Data'!$A$3:$CW$999,96,FALSE),"unknown")</f>
        <v>Retired</v>
      </c>
      <c r="AV443" s="120" t="str">
        <f>IFERROR(VLOOKUP(Table1[RespondentID],'All Data'!$A$3:$CW$999,97,FALSE),"unknown")</f>
        <v>Yes</v>
      </c>
      <c r="AW443" s="120" t="str">
        <f>IFERROR(VLOOKUP(Table1[RespondentID],'All Data'!$A$3:$CW$999,98,FALSE),"unknown")</f>
        <v>Medicare</v>
      </c>
      <c r="AX443" s="120" t="str">
        <f>IFERROR(VLOOKUP(Table1[RespondentID],'All Data'!$A$3:$CW$999,99,FALSE),"unknown")</f>
        <v>Yes</v>
      </c>
    </row>
    <row r="444" spans="1:50">
      <c r="A444" s="159">
        <v>114112230825</v>
      </c>
      <c r="B444" s="160"/>
      <c r="C444" s="124"/>
      <c r="D444" s="124"/>
      <c r="E444" s="124"/>
      <c r="F444" s="124"/>
      <c r="G444" s="124"/>
      <c r="H444" s="124" t="s">
        <v>22</v>
      </c>
      <c r="I444" s="124"/>
      <c r="J444" s="124"/>
      <c r="K444" s="124" t="s">
        <v>25</v>
      </c>
      <c r="L444" s="124" t="s">
        <v>26</v>
      </c>
      <c r="M444" s="124"/>
      <c r="N444" s="124"/>
      <c r="O444" s="124"/>
      <c r="P444" s="161">
        <f t="shared" si="126"/>
        <v>3</v>
      </c>
      <c r="Q444" s="161">
        <f t="shared" si="127"/>
        <v>1</v>
      </c>
      <c r="R444" s="161"/>
      <c r="S444" s="161">
        <f t="shared" si="128"/>
        <v>0</v>
      </c>
      <c r="T444" s="161">
        <f t="shared" si="129"/>
        <v>0</v>
      </c>
      <c r="U444" s="161">
        <f t="shared" si="130"/>
        <v>0</v>
      </c>
      <c r="V444" s="162">
        <f t="shared" si="131"/>
        <v>0</v>
      </c>
      <c r="W444" s="162">
        <f t="shared" si="132"/>
        <v>0</v>
      </c>
      <c r="X444" s="162">
        <f t="shared" si="133"/>
        <v>0</v>
      </c>
      <c r="Y444" s="162">
        <f t="shared" si="134"/>
        <v>1</v>
      </c>
      <c r="Z444" s="162">
        <f t="shared" si="135"/>
        <v>0</v>
      </c>
      <c r="AA444" s="162">
        <f t="shared" si="136"/>
        <v>0</v>
      </c>
      <c r="AB444" s="162">
        <f t="shared" si="137"/>
        <v>1</v>
      </c>
      <c r="AC444" s="162">
        <f t="shared" si="138"/>
        <v>1</v>
      </c>
      <c r="AD444" s="162">
        <f t="shared" si="139"/>
        <v>0</v>
      </c>
      <c r="AE444" s="162">
        <f t="shared" si="140"/>
        <v>0</v>
      </c>
      <c r="AF444" s="163"/>
      <c r="AG444" s="161"/>
      <c r="AH444" s="161">
        <f t="shared" si="141"/>
        <v>3</v>
      </c>
      <c r="AI444" s="161">
        <f t="shared" si="142"/>
        <v>3</v>
      </c>
      <c r="AJ444" s="161" t="str">
        <f t="shared" si="143"/>
        <v>Correct</v>
      </c>
      <c r="AK444" s="124"/>
      <c r="AL444" s="164" t="str">
        <f>IFERROR(VLOOKUP(Table1[RespondentID],'All Data'!$A$3:$CO$999,87,FALSE),"unknown")</f>
        <v>Woman</v>
      </c>
      <c r="AM444" s="124"/>
      <c r="AN444" s="120" t="str">
        <f>IFERROR(VLOOKUP(Table1[RespondentID],'All Data'!$A$3:$CO$999,89,FALSE),"unknown")</f>
        <v>Suffolk</v>
      </c>
      <c r="AO444" s="120" t="str">
        <f>IFERROR(VLOOKUP(Table1[RespondentID],'All Data'!$A$3:$CO$999,90,FALSE),"unknown")</f>
        <v>Babylon, 11702</v>
      </c>
      <c r="AP444" s="120" t="str">
        <f>IFERROR(VLOOKUP(Table1[RespondentID],'All Data'!$A$3:$CO$999,91,FALSE),"unknown")</f>
        <v>White</v>
      </c>
      <c r="AQ444" s="120" t="str">
        <f>IFERROR(VLOOKUP(Table1[RespondentID],'All Data'!$A$3:$CO$999,92,FALSE),"unknown")</f>
        <v>Not Hispanic or Latino</v>
      </c>
      <c r="AR444" s="120" t="str">
        <f>IFERROR(VLOOKUP(Table1[RespondentID],'All Data'!$A$3:$CO$999,93,FALSE),"unknown")</f>
        <v>English</v>
      </c>
      <c r="AS444" s="120" t="str">
        <f>IFERROR(VLOOKUP(Table1[RespondentID],'All Data'!$A$3:$CW$999,94,FALSE),"unknown")</f>
        <v>$75,000 to $125,000</v>
      </c>
      <c r="AT444" s="120" t="str">
        <f>IFERROR(VLOOKUP(Table1[RespondentID],'All Data'!$A$3:$CW$999,95,FALSE),"unknown")</f>
        <v>College graduate</v>
      </c>
      <c r="AU444" s="120" t="str">
        <f>IFERROR(VLOOKUP(Table1[RespondentID],'All Data'!$A$3:$CW$999,96,FALSE),"unknown")</f>
        <v>Employed for wages</v>
      </c>
      <c r="AV444" s="120" t="str">
        <f>IFERROR(VLOOKUP(Table1[RespondentID],'All Data'!$A$3:$CW$999,97,FALSE),"unknown")</f>
        <v>Yes</v>
      </c>
      <c r="AW444" s="120" t="str">
        <f>IFERROR(VLOOKUP(Table1[RespondentID],'All Data'!$A$3:$CW$999,98,FALSE),"unknown")</f>
        <v>Private/Commercial</v>
      </c>
      <c r="AX444" s="120" t="str">
        <f>IFERROR(VLOOKUP(Table1[RespondentID],'All Data'!$A$3:$CW$999,99,FALSE),"unknown")</f>
        <v>Yes</v>
      </c>
    </row>
    <row r="445" spans="1:50">
      <c r="A445" s="159">
        <v>114112163696</v>
      </c>
      <c r="B445" s="160"/>
      <c r="C445" s="124" t="s">
        <v>17</v>
      </c>
      <c r="D445" s="124" t="s">
        <v>18</v>
      </c>
      <c r="E445" s="124"/>
      <c r="F445" s="124"/>
      <c r="G445" s="124"/>
      <c r="H445" s="124"/>
      <c r="I445" s="124"/>
      <c r="J445" s="124" t="s">
        <v>24</v>
      </c>
      <c r="K445" s="124"/>
      <c r="L445" s="124"/>
      <c r="M445" s="124"/>
      <c r="N445" s="124"/>
      <c r="O445" s="124"/>
      <c r="P445" s="161">
        <f t="shared" si="126"/>
        <v>3</v>
      </c>
      <c r="Q445" s="161">
        <f t="shared" si="127"/>
        <v>1</v>
      </c>
      <c r="R445" s="161"/>
      <c r="S445" s="161">
        <f t="shared" si="128"/>
        <v>0</v>
      </c>
      <c r="T445" s="161">
        <f t="shared" si="129"/>
        <v>1</v>
      </c>
      <c r="U445" s="161">
        <f t="shared" si="130"/>
        <v>1</v>
      </c>
      <c r="V445" s="162">
        <f t="shared" si="131"/>
        <v>0</v>
      </c>
      <c r="W445" s="162">
        <f t="shared" si="132"/>
        <v>0</v>
      </c>
      <c r="X445" s="162">
        <f t="shared" si="133"/>
        <v>0</v>
      </c>
      <c r="Y445" s="162">
        <f t="shared" si="134"/>
        <v>0</v>
      </c>
      <c r="Z445" s="162">
        <f t="shared" si="135"/>
        <v>0</v>
      </c>
      <c r="AA445" s="162">
        <f t="shared" si="136"/>
        <v>1</v>
      </c>
      <c r="AB445" s="162">
        <f t="shared" si="137"/>
        <v>0</v>
      </c>
      <c r="AC445" s="162">
        <f t="shared" si="138"/>
        <v>0</v>
      </c>
      <c r="AD445" s="162">
        <f t="shared" si="139"/>
        <v>0</v>
      </c>
      <c r="AE445" s="162">
        <f t="shared" si="140"/>
        <v>0</v>
      </c>
      <c r="AF445" s="163"/>
      <c r="AG445" s="161"/>
      <c r="AH445" s="161">
        <f t="shared" si="141"/>
        <v>3</v>
      </c>
      <c r="AI445" s="161">
        <f t="shared" si="142"/>
        <v>3</v>
      </c>
      <c r="AJ445" s="161" t="str">
        <f t="shared" si="143"/>
        <v>Correct</v>
      </c>
      <c r="AK445" s="124"/>
      <c r="AL445" s="164" t="str">
        <f>IFERROR(VLOOKUP(Table1[RespondentID],'All Data'!$A$3:$CO$999,87,FALSE),"unknown")</f>
        <v>Woman</v>
      </c>
      <c r="AM445" s="124"/>
      <c r="AN445" s="120" t="str">
        <f>IFERROR(VLOOKUP(Table1[RespondentID],'All Data'!$A$3:$CO$999,89,FALSE),"unknown")</f>
        <v>Suffolk</v>
      </c>
      <c r="AO445" s="120" t="str">
        <f>IFERROR(VLOOKUP(Table1[RespondentID],'All Data'!$A$3:$CO$999,90,FALSE),"unknown")</f>
        <v>Babylon, 11702</v>
      </c>
      <c r="AP445" s="120" t="str">
        <f>IFERROR(VLOOKUP(Table1[RespondentID],'All Data'!$A$3:$CO$999,91,FALSE),"unknown")</f>
        <v>White</v>
      </c>
      <c r="AQ445" s="120" t="str">
        <f>IFERROR(VLOOKUP(Table1[RespondentID],'All Data'!$A$3:$CO$999,92,FALSE),"unknown")</f>
        <v>Not Hispanic or Latino</v>
      </c>
      <c r="AR445" s="120" t="str">
        <f>IFERROR(VLOOKUP(Table1[RespondentID],'All Data'!$A$3:$CO$999,93,FALSE),"unknown")</f>
        <v>English</v>
      </c>
      <c r="AS445" s="120" t="str">
        <f>IFERROR(VLOOKUP(Table1[RespondentID],'All Data'!$A$3:$CW$999,94,FALSE),"unknown")</f>
        <v>Over $125,000</v>
      </c>
      <c r="AT445" s="120" t="str">
        <f>IFERROR(VLOOKUP(Table1[RespondentID],'All Data'!$A$3:$CW$999,95,FALSE),"unknown")</f>
        <v>College graduate</v>
      </c>
      <c r="AU445" s="120" t="str">
        <f>IFERROR(VLOOKUP(Table1[RespondentID],'All Data'!$A$3:$CW$999,96,FALSE),"unknown")</f>
        <v>Retired</v>
      </c>
      <c r="AV445" s="120" t="str">
        <f>IFERROR(VLOOKUP(Table1[RespondentID],'All Data'!$A$3:$CW$999,97,FALSE),"unknown")</f>
        <v>Yes</v>
      </c>
      <c r="AW445" s="120" t="str">
        <f>IFERROR(VLOOKUP(Table1[RespondentID],'All Data'!$A$3:$CW$999,98,FALSE),"unknown")</f>
        <v>Medicare</v>
      </c>
      <c r="AX445" s="120" t="str">
        <f>IFERROR(VLOOKUP(Table1[RespondentID],'All Data'!$A$3:$CW$999,99,FALSE),"unknown")</f>
        <v>Yes</v>
      </c>
    </row>
    <row r="446" spans="1:50">
      <c r="A446" s="159">
        <v>114112120887</v>
      </c>
      <c r="B446" s="160" t="s">
        <v>16</v>
      </c>
      <c r="C446" s="124"/>
      <c r="D446" s="124"/>
      <c r="E446" s="124"/>
      <c r="F446" s="124"/>
      <c r="G446" s="124"/>
      <c r="H446" s="124"/>
      <c r="I446" s="124"/>
      <c r="J446" s="124"/>
      <c r="K446" s="124" t="s">
        <v>25</v>
      </c>
      <c r="L446" s="124"/>
      <c r="M446" s="124" t="s">
        <v>27</v>
      </c>
      <c r="N446" s="124"/>
      <c r="O446" s="124"/>
      <c r="P446" s="161">
        <f t="shared" si="126"/>
        <v>3</v>
      </c>
      <c r="Q446" s="161">
        <f t="shared" si="127"/>
        <v>1</v>
      </c>
      <c r="R446" s="161"/>
      <c r="S446" s="161">
        <f t="shared" si="128"/>
        <v>1</v>
      </c>
      <c r="T446" s="161">
        <f t="shared" si="129"/>
        <v>0</v>
      </c>
      <c r="U446" s="161">
        <f t="shared" si="130"/>
        <v>0</v>
      </c>
      <c r="V446" s="162">
        <f t="shared" si="131"/>
        <v>0</v>
      </c>
      <c r="W446" s="162">
        <f t="shared" si="132"/>
        <v>0</v>
      </c>
      <c r="X446" s="162">
        <f t="shared" si="133"/>
        <v>0</v>
      </c>
      <c r="Y446" s="162">
        <f t="shared" si="134"/>
        <v>0</v>
      </c>
      <c r="Z446" s="162">
        <f t="shared" si="135"/>
        <v>0</v>
      </c>
      <c r="AA446" s="162">
        <f t="shared" si="136"/>
        <v>0</v>
      </c>
      <c r="AB446" s="162">
        <f t="shared" si="137"/>
        <v>1</v>
      </c>
      <c r="AC446" s="162">
        <f t="shared" si="138"/>
        <v>0</v>
      </c>
      <c r="AD446" s="162">
        <f t="shared" si="139"/>
        <v>1</v>
      </c>
      <c r="AE446" s="162">
        <f t="shared" si="140"/>
        <v>0</v>
      </c>
      <c r="AF446" s="163"/>
      <c r="AG446" s="161"/>
      <c r="AH446" s="161">
        <f t="shared" si="141"/>
        <v>3</v>
      </c>
      <c r="AI446" s="161">
        <f t="shared" si="142"/>
        <v>3</v>
      </c>
      <c r="AJ446" s="161" t="str">
        <f t="shared" si="143"/>
        <v>Correct</v>
      </c>
      <c r="AK446" s="124"/>
      <c r="AL446" s="164" t="str">
        <f>IFERROR(VLOOKUP(Table1[RespondentID],'All Data'!$A$3:$CO$999,87,FALSE),"unknown")</f>
        <v>Woman</v>
      </c>
      <c r="AM446" s="124"/>
      <c r="AN446" s="120" t="str">
        <f>IFERROR(VLOOKUP(Table1[RespondentID],'All Data'!$A$3:$CO$999,89,FALSE),"unknown")</f>
        <v>Suffolk</v>
      </c>
      <c r="AO446" s="120" t="str">
        <f>IFERROR(VLOOKUP(Table1[RespondentID],'All Data'!$A$3:$CO$999,90,FALSE),"unknown")</f>
        <v>Patchogue, 11772</v>
      </c>
      <c r="AP446" s="120" t="str">
        <f>IFERROR(VLOOKUP(Table1[RespondentID],'All Data'!$A$3:$CO$999,91,FALSE),"unknown")</f>
        <v>White</v>
      </c>
      <c r="AQ446" s="120" t="str">
        <f>IFERROR(VLOOKUP(Table1[RespondentID],'All Data'!$A$3:$CO$999,92,FALSE),"unknown")</f>
        <v>Not Hispanic or Latino</v>
      </c>
      <c r="AR446" s="120" t="str">
        <f>IFERROR(VLOOKUP(Table1[RespondentID],'All Data'!$A$3:$CO$999,93,FALSE),"unknown")</f>
        <v>English</v>
      </c>
      <c r="AS446" s="120" t="str">
        <f>IFERROR(VLOOKUP(Table1[RespondentID],'All Data'!$A$3:$CW$999,94,FALSE),"unknown")</f>
        <v>$50,000 to $74,999</v>
      </c>
      <c r="AT446" s="120" t="str">
        <f>IFERROR(VLOOKUP(Table1[RespondentID],'All Data'!$A$3:$CW$999,95,FALSE),"unknown")</f>
        <v>Technical school</v>
      </c>
      <c r="AU446" s="120" t="str">
        <f>IFERROR(VLOOKUP(Table1[RespondentID],'All Data'!$A$3:$CW$999,96,FALSE),"unknown")</f>
        <v>Employed for wages</v>
      </c>
      <c r="AV446" s="120" t="str">
        <f>IFERROR(VLOOKUP(Table1[RespondentID],'All Data'!$A$3:$CW$999,97,FALSE),"unknown")</f>
        <v>Yes</v>
      </c>
      <c r="AW446" s="120" t="str">
        <f>IFERROR(VLOOKUP(Table1[RespondentID],'All Data'!$A$3:$CW$999,98,FALSE),"unknown")</f>
        <v>Private/Commercial</v>
      </c>
      <c r="AX446" s="120" t="str">
        <f>IFERROR(VLOOKUP(Table1[RespondentID],'All Data'!$A$3:$CW$999,99,FALSE),"unknown")</f>
        <v>Yes</v>
      </c>
    </row>
    <row r="447" spans="1:50">
      <c r="A447" s="159">
        <v>114112097119</v>
      </c>
      <c r="B447" s="160"/>
      <c r="C447" s="124"/>
      <c r="D447" s="124" t="s">
        <v>18</v>
      </c>
      <c r="E447" s="124"/>
      <c r="F447" s="124"/>
      <c r="G447" s="124"/>
      <c r="H447" s="124"/>
      <c r="I447" s="124" t="s">
        <v>23</v>
      </c>
      <c r="J447" s="124"/>
      <c r="K447" s="124"/>
      <c r="L447" s="124"/>
      <c r="M447" s="124"/>
      <c r="N447" s="124"/>
      <c r="O447" s="124" t="s">
        <v>482</v>
      </c>
      <c r="P447" s="161">
        <f t="shared" si="126"/>
        <v>2</v>
      </c>
      <c r="Q447" s="161">
        <f t="shared" si="127"/>
        <v>1.5</v>
      </c>
      <c r="R447" s="161"/>
      <c r="S447" s="161">
        <f t="shared" si="128"/>
        <v>0</v>
      </c>
      <c r="T447" s="161">
        <f t="shared" si="129"/>
        <v>0</v>
      </c>
      <c r="U447" s="161">
        <f t="shared" si="130"/>
        <v>1</v>
      </c>
      <c r="V447" s="162">
        <f t="shared" si="131"/>
        <v>0</v>
      </c>
      <c r="W447" s="162">
        <f t="shared" si="132"/>
        <v>0</v>
      </c>
      <c r="X447" s="162">
        <f t="shared" si="133"/>
        <v>0</v>
      </c>
      <c r="Y447" s="162">
        <f t="shared" si="134"/>
        <v>0</v>
      </c>
      <c r="Z447" s="162">
        <f t="shared" si="135"/>
        <v>1</v>
      </c>
      <c r="AA447" s="162">
        <f t="shared" si="136"/>
        <v>0</v>
      </c>
      <c r="AB447" s="162">
        <f t="shared" si="137"/>
        <v>0</v>
      </c>
      <c r="AC447" s="162">
        <f t="shared" si="138"/>
        <v>0</v>
      </c>
      <c r="AD447" s="162">
        <f t="shared" si="139"/>
        <v>0</v>
      </c>
      <c r="AE447" s="162">
        <f t="shared" si="140"/>
        <v>0</v>
      </c>
      <c r="AF447" s="163"/>
      <c r="AG447" s="161"/>
      <c r="AH447" s="161">
        <f t="shared" si="141"/>
        <v>2</v>
      </c>
      <c r="AI447" s="161">
        <f t="shared" si="142"/>
        <v>2</v>
      </c>
      <c r="AJ447" s="161" t="str">
        <f t="shared" si="143"/>
        <v>Correct</v>
      </c>
      <c r="AK447" s="124"/>
      <c r="AL447" s="164" t="str">
        <f>IFERROR(VLOOKUP(Table1[RespondentID],'All Data'!$A$3:$CO$999,87,FALSE),"unknown")</f>
        <v>Woman</v>
      </c>
      <c r="AM447" s="124"/>
      <c r="AN447" s="120" t="str">
        <f>IFERROR(VLOOKUP(Table1[RespondentID],'All Data'!$A$3:$CO$999,89,FALSE),"unknown")</f>
        <v>Suffolk</v>
      </c>
      <c r="AO447" s="120" t="str">
        <f>IFERROR(VLOOKUP(Table1[RespondentID],'All Data'!$A$3:$CO$999,90,FALSE),"unknown")</f>
        <v>West Islip, 11795</v>
      </c>
      <c r="AP447" s="120" t="str">
        <f>IFERROR(VLOOKUP(Table1[RespondentID],'All Data'!$A$3:$CO$999,91,FALSE),"unknown")</f>
        <v>White</v>
      </c>
      <c r="AQ447" s="120" t="str">
        <f>IFERROR(VLOOKUP(Table1[RespondentID],'All Data'!$A$3:$CO$999,92,FALSE),"unknown")</f>
        <v>Not Hispanic or Latino</v>
      </c>
      <c r="AR447" s="120" t="str">
        <f>IFERROR(VLOOKUP(Table1[RespondentID],'All Data'!$A$3:$CO$999,93,FALSE),"unknown")</f>
        <v>English</v>
      </c>
      <c r="AS447" s="120" t="str">
        <f>IFERROR(VLOOKUP(Table1[RespondentID],'All Data'!$A$3:$CW$999,94,FALSE),"unknown")</f>
        <v>$35,000 to $49,999</v>
      </c>
      <c r="AT447" s="120" t="str">
        <f>IFERROR(VLOOKUP(Table1[RespondentID],'All Data'!$A$3:$CW$999,95,FALSE),"unknown")</f>
        <v>High school graduate</v>
      </c>
      <c r="AU447" s="120" t="str">
        <f>IFERROR(VLOOKUP(Table1[RespondentID],'All Data'!$A$3:$CW$999,96,FALSE),"unknown")</f>
        <v>Retired</v>
      </c>
      <c r="AV447" s="120" t="str">
        <f>IFERROR(VLOOKUP(Table1[RespondentID],'All Data'!$A$3:$CW$999,97,FALSE),"unknown")</f>
        <v>Yes</v>
      </c>
      <c r="AW447" s="120" t="str">
        <f>IFERROR(VLOOKUP(Table1[RespondentID],'All Data'!$A$3:$CW$999,98,FALSE),"unknown")</f>
        <v>Private/Commercial</v>
      </c>
      <c r="AX447" s="120" t="str">
        <f>IFERROR(VLOOKUP(Table1[RespondentID],'All Data'!$A$3:$CW$999,99,FALSE),"unknown")</f>
        <v>Yes</v>
      </c>
    </row>
    <row r="448" spans="1:50">
      <c r="A448" s="159">
        <v>114112093865</v>
      </c>
      <c r="B448" s="160"/>
      <c r="C448" s="124" t="s">
        <v>17</v>
      </c>
      <c r="D448" s="124"/>
      <c r="E448" s="124"/>
      <c r="F448" s="124"/>
      <c r="G448" s="124"/>
      <c r="H448" s="124"/>
      <c r="I448" s="124"/>
      <c r="J448" s="124"/>
      <c r="K448" s="124" t="s">
        <v>25</v>
      </c>
      <c r="L448" s="124"/>
      <c r="M448" s="124"/>
      <c r="N448" s="124"/>
      <c r="O448" s="124"/>
      <c r="P448" s="161">
        <f t="shared" si="126"/>
        <v>2</v>
      </c>
      <c r="Q448" s="161">
        <f t="shared" si="127"/>
        <v>1.5</v>
      </c>
      <c r="R448" s="161"/>
      <c r="S448" s="161">
        <f t="shared" si="128"/>
        <v>0</v>
      </c>
      <c r="T448" s="161">
        <f t="shared" si="129"/>
        <v>1</v>
      </c>
      <c r="U448" s="161">
        <f t="shared" si="130"/>
        <v>0</v>
      </c>
      <c r="V448" s="162">
        <f t="shared" si="131"/>
        <v>0</v>
      </c>
      <c r="W448" s="162">
        <f t="shared" si="132"/>
        <v>0</v>
      </c>
      <c r="X448" s="162">
        <f t="shared" si="133"/>
        <v>0</v>
      </c>
      <c r="Y448" s="162">
        <f t="shared" si="134"/>
        <v>0</v>
      </c>
      <c r="Z448" s="162">
        <f t="shared" si="135"/>
        <v>0</v>
      </c>
      <c r="AA448" s="162">
        <f t="shared" si="136"/>
        <v>0</v>
      </c>
      <c r="AB448" s="162">
        <f t="shared" si="137"/>
        <v>1</v>
      </c>
      <c r="AC448" s="162">
        <f t="shared" si="138"/>
        <v>0</v>
      </c>
      <c r="AD448" s="162">
        <f t="shared" si="139"/>
        <v>0</v>
      </c>
      <c r="AE448" s="162">
        <f t="shared" si="140"/>
        <v>0</v>
      </c>
      <c r="AF448" s="163"/>
      <c r="AG448" s="161"/>
      <c r="AH448" s="161">
        <f t="shared" si="141"/>
        <v>2</v>
      </c>
      <c r="AI448" s="161">
        <f t="shared" si="142"/>
        <v>2</v>
      </c>
      <c r="AJ448" s="161" t="str">
        <f t="shared" si="143"/>
        <v>Correct</v>
      </c>
      <c r="AK448" s="124"/>
      <c r="AL448" s="164" t="str">
        <f>IFERROR(VLOOKUP(Table1[RespondentID],'All Data'!$A$3:$CO$999,87,FALSE),"unknown")</f>
        <v>Woman</v>
      </c>
      <c r="AM448" s="124"/>
      <c r="AN448" s="120" t="str">
        <f>IFERROR(VLOOKUP(Table1[RespondentID],'All Data'!$A$3:$CO$999,89,FALSE),"unknown")</f>
        <v>Suffolk</v>
      </c>
      <c r="AO448" s="120" t="str">
        <f>IFERROR(VLOOKUP(Table1[RespondentID],'All Data'!$A$3:$CO$999,90,FALSE),"unknown")</f>
        <v>Lindenhurst, 11757</v>
      </c>
      <c r="AP448" s="120" t="str">
        <f>IFERROR(VLOOKUP(Table1[RespondentID],'All Data'!$A$3:$CO$999,91,FALSE),"unknown")</f>
        <v>White</v>
      </c>
      <c r="AQ448" s="120" t="str">
        <f>IFERROR(VLOOKUP(Table1[RespondentID],'All Data'!$A$3:$CO$999,92,FALSE),"unknown")</f>
        <v>Not Hispanic or Latino</v>
      </c>
      <c r="AR448" s="120" t="str">
        <f>IFERROR(VLOOKUP(Table1[RespondentID],'All Data'!$A$3:$CO$999,93,FALSE),"unknown")</f>
        <v>English</v>
      </c>
      <c r="AS448" s="120" t="str">
        <f>IFERROR(VLOOKUP(Table1[RespondentID],'All Data'!$A$3:$CW$999,94,FALSE),"unknown")</f>
        <v>$50,000 to $74,999</v>
      </c>
      <c r="AT448" s="120" t="str">
        <f>IFERROR(VLOOKUP(Table1[RespondentID],'All Data'!$A$3:$CW$999,95,FALSE),"unknown")</f>
        <v>Some college</v>
      </c>
      <c r="AU448" s="120" t="str">
        <f>IFERROR(VLOOKUP(Table1[RespondentID],'All Data'!$A$3:$CW$999,96,FALSE),"unknown")</f>
        <v>Employed for wages</v>
      </c>
      <c r="AV448" s="120" t="str">
        <f>IFERROR(VLOOKUP(Table1[RespondentID],'All Data'!$A$3:$CW$999,97,FALSE),"unknown")</f>
        <v>No, but I did in the past</v>
      </c>
      <c r="AW448" s="120" t="str">
        <f>IFERROR(VLOOKUP(Table1[RespondentID],'All Data'!$A$3:$CW$999,98,FALSE),"unknown")</f>
        <v>No Insurance</v>
      </c>
      <c r="AX448" s="120" t="str">
        <f>IFERROR(VLOOKUP(Table1[RespondentID],'All Data'!$A$3:$CW$999,99,FALSE),"unknown")</f>
        <v>Yes</v>
      </c>
    </row>
    <row r="449" spans="1:50">
      <c r="A449" s="159">
        <v>114108705734</v>
      </c>
      <c r="B449" s="160"/>
      <c r="C449" s="124"/>
      <c r="D449" s="124" t="s">
        <v>18</v>
      </c>
      <c r="E449" s="124"/>
      <c r="F449" s="124"/>
      <c r="G449" s="124"/>
      <c r="H449" s="124"/>
      <c r="I449" s="124" t="s">
        <v>23</v>
      </c>
      <c r="J449" s="124" t="s">
        <v>24</v>
      </c>
      <c r="K449" s="124" t="s">
        <v>25</v>
      </c>
      <c r="L449" s="124"/>
      <c r="M449" s="124"/>
      <c r="N449" s="124" t="s">
        <v>28</v>
      </c>
      <c r="O449" s="124"/>
      <c r="P449" s="161">
        <f t="shared" si="126"/>
        <v>5</v>
      </c>
      <c r="Q449" s="161">
        <f t="shared" si="127"/>
        <v>0.6</v>
      </c>
      <c r="R449" s="161"/>
      <c r="S449" s="161">
        <f t="shared" si="128"/>
        <v>0</v>
      </c>
      <c r="T449" s="161">
        <f t="shared" si="129"/>
        <v>0</v>
      </c>
      <c r="U449" s="161">
        <f t="shared" si="130"/>
        <v>0.6</v>
      </c>
      <c r="V449" s="162">
        <f t="shared" si="131"/>
        <v>0</v>
      </c>
      <c r="W449" s="162">
        <f t="shared" si="132"/>
        <v>0</v>
      </c>
      <c r="X449" s="162">
        <f t="shared" si="133"/>
        <v>0</v>
      </c>
      <c r="Y449" s="162">
        <f t="shared" si="134"/>
        <v>0</v>
      </c>
      <c r="Z449" s="162">
        <f t="shared" si="135"/>
        <v>0.6</v>
      </c>
      <c r="AA449" s="162">
        <f t="shared" si="136"/>
        <v>0.6</v>
      </c>
      <c r="AB449" s="162">
        <f t="shared" si="137"/>
        <v>0.6</v>
      </c>
      <c r="AC449" s="162">
        <f t="shared" si="138"/>
        <v>0</v>
      </c>
      <c r="AD449" s="162">
        <f t="shared" si="139"/>
        <v>0</v>
      </c>
      <c r="AE449" s="162">
        <f t="shared" si="140"/>
        <v>0.6</v>
      </c>
      <c r="AF449" s="163"/>
      <c r="AG449" s="161"/>
      <c r="AH449" s="161">
        <f t="shared" si="141"/>
        <v>3</v>
      </c>
      <c r="AI449" s="161">
        <f t="shared" si="142"/>
        <v>5</v>
      </c>
      <c r="AJ449" s="161" t="str">
        <f t="shared" si="143"/>
        <v>Correct</v>
      </c>
      <c r="AK449" s="124"/>
      <c r="AL449" s="164">
        <f>IFERROR(VLOOKUP(Table1[RespondentID],'All Data'!$A$3:$CO$999,87,FALSE),"unknown")</f>
        <v>0</v>
      </c>
      <c r="AM449" s="124"/>
      <c r="AN449" s="120">
        <f>IFERROR(VLOOKUP(Table1[RespondentID],'All Data'!$A$3:$CO$999,89,FALSE),"unknown")</f>
        <v>0</v>
      </c>
      <c r="AO449" s="120">
        <f>IFERROR(VLOOKUP(Table1[RespondentID],'All Data'!$A$3:$CO$999,90,FALSE),"unknown")</f>
        <v>0</v>
      </c>
      <c r="AP449" s="120">
        <f>IFERROR(VLOOKUP(Table1[RespondentID],'All Data'!$A$3:$CO$999,91,FALSE),"unknown")</f>
        <v>0</v>
      </c>
      <c r="AQ449" s="120">
        <f>IFERROR(VLOOKUP(Table1[RespondentID],'All Data'!$A$3:$CO$999,92,FALSE),"unknown")</f>
        <v>0</v>
      </c>
      <c r="AR449" s="120">
        <f>IFERROR(VLOOKUP(Table1[RespondentID],'All Data'!$A$3:$CO$999,93,FALSE),"unknown")</f>
        <v>0</v>
      </c>
      <c r="AS449" s="120">
        <f>IFERROR(VLOOKUP(Table1[RespondentID],'All Data'!$A$3:$CW$999,94,FALSE),"unknown")</f>
        <v>0</v>
      </c>
      <c r="AT449" s="120">
        <f>IFERROR(VLOOKUP(Table1[RespondentID],'All Data'!$A$3:$CW$999,95,FALSE),"unknown")</f>
        <v>0</v>
      </c>
      <c r="AU449" s="120">
        <f>IFERROR(VLOOKUP(Table1[RespondentID],'All Data'!$A$3:$CW$999,96,FALSE),"unknown")</f>
        <v>0</v>
      </c>
      <c r="AV449" s="120">
        <f>IFERROR(VLOOKUP(Table1[RespondentID],'All Data'!$A$3:$CW$999,97,FALSE),"unknown")</f>
        <v>0</v>
      </c>
      <c r="AW449" s="120">
        <f>IFERROR(VLOOKUP(Table1[RespondentID],'All Data'!$A$3:$CW$999,98,FALSE),"unknown")</f>
        <v>0</v>
      </c>
      <c r="AX449" s="120">
        <f>IFERROR(VLOOKUP(Table1[RespondentID],'All Data'!$A$3:$CW$999,99,FALSE),"unknown")</f>
        <v>0</v>
      </c>
    </row>
    <row r="450" spans="1:50">
      <c r="A450" s="159">
        <v>18032059967</v>
      </c>
      <c r="B450" s="160"/>
      <c r="C450" s="124"/>
      <c r="D450" s="124"/>
      <c r="E450" s="124"/>
      <c r="F450" s="124"/>
      <c r="G450" s="124" t="s">
        <v>21</v>
      </c>
      <c r="H450" s="124"/>
      <c r="I450" s="124"/>
      <c r="J450" s="124" t="s">
        <v>24</v>
      </c>
      <c r="K450" s="124"/>
      <c r="L450" s="124"/>
      <c r="M450" s="124"/>
      <c r="N450" s="124"/>
      <c r="O450" s="124" t="s">
        <v>489</v>
      </c>
      <c r="P450" s="161">
        <f t="shared" si="126"/>
        <v>2</v>
      </c>
      <c r="Q450" s="161">
        <f t="shared" si="127"/>
        <v>1.5</v>
      </c>
      <c r="R450" s="161"/>
      <c r="S450" s="161">
        <f t="shared" si="128"/>
        <v>0</v>
      </c>
      <c r="T450" s="161">
        <f t="shared" si="129"/>
        <v>0</v>
      </c>
      <c r="U450" s="161">
        <f t="shared" si="130"/>
        <v>0</v>
      </c>
      <c r="V450" s="162">
        <f t="shared" si="131"/>
        <v>0</v>
      </c>
      <c r="W450" s="162">
        <f t="shared" si="132"/>
        <v>0</v>
      </c>
      <c r="X450" s="162">
        <f t="shared" si="133"/>
        <v>1</v>
      </c>
      <c r="Y450" s="162">
        <f t="shared" si="134"/>
        <v>0</v>
      </c>
      <c r="Z450" s="162">
        <f t="shared" si="135"/>
        <v>0</v>
      </c>
      <c r="AA450" s="162">
        <f t="shared" si="136"/>
        <v>1</v>
      </c>
      <c r="AB450" s="162">
        <f t="shared" si="137"/>
        <v>0</v>
      </c>
      <c r="AC450" s="162">
        <f t="shared" si="138"/>
        <v>0</v>
      </c>
      <c r="AD450" s="162">
        <f t="shared" si="139"/>
        <v>0</v>
      </c>
      <c r="AE450" s="162">
        <f t="shared" si="140"/>
        <v>0</v>
      </c>
      <c r="AF450" s="163"/>
      <c r="AG450" s="161"/>
      <c r="AH450" s="161">
        <f t="shared" si="141"/>
        <v>2</v>
      </c>
      <c r="AI450" s="161">
        <f t="shared" si="142"/>
        <v>2</v>
      </c>
      <c r="AJ450" s="161" t="str">
        <f t="shared" si="143"/>
        <v>Correct</v>
      </c>
      <c r="AK450" s="124"/>
      <c r="AL450" s="164" t="str">
        <f>IFERROR(VLOOKUP(Table1[RespondentID],'All Data'!$A$3:$CO$999,87,FALSE),"unknown")</f>
        <v>Man</v>
      </c>
      <c r="AM450" s="124"/>
      <c r="AN450" s="120" t="str">
        <f>IFERROR(VLOOKUP(Table1[RespondentID],'All Data'!$A$3:$CO$999,89,FALSE),"unknown")</f>
        <v>Nassau</v>
      </c>
      <c r="AO450" s="120" t="str">
        <f>IFERROR(VLOOKUP(Table1[RespondentID],'All Data'!$A$3:$CO$999,90,FALSE),"unknown")</f>
        <v>Hicksville, 11801</v>
      </c>
      <c r="AP450" s="120" t="str">
        <f>IFERROR(VLOOKUP(Table1[RespondentID],'All Data'!$A$3:$CO$999,91,FALSE),"unknown")</f>
        <v>White</v>
      </c>
      <c r="AQ450" s="120" t="str">
        <f>IFERROR(VLOOKUP(Table1[RespondentID],'All Data'!$A$3:$CO$999,92,FALSE),"unknown")</f>
        <v>Not Hispanic or Latino</v>
      </c>
      <c r="AR450" s="120" t="str">
        <f>IFERROR(VLOOKUP(Table1[RespondentID],'All Data'!$A$3:$CO$999,93,FALSE),"unknown")</f>
        <v>English</v>
      </c>
      <c r="AS450" s="120" t="str">
        <f>IFERROR(VLOOKUP(Table1[RespondentID],'All Data'!$A$3:$CW$999,94,FALSE),"unknown")</f>
        <v>$75,000 to $125,000</v>
      </c>
      <c r="AT450" s="120" t="str">
        <f>IFERROR(VLOOKUP(Table1[RespondentID],'All Data'!$A$3:$CW$999,95,FALSE),"unknown")</f>
        <v>Some college</v>
      </c>
      <c r="AU450" s="120" t="str">
        <f>IFERROR(VLOOKUP(Table1[RespondentID],'All Data'!$A$3:$CW$999,96,FALSE),"unknown")</f>
        <v>Retired</v>
      </c>
      <c r="AV450" s="120" t="str">
        <f>IFERROR(VLOOKUP(Table1[RespondentID],'All Data'!$A$3:$CW$999,97,FALSE),"unknown")</f>
        <v>Yes</v>
      </c>
      <c r="AW450" s="120" t="str">
        <f>IFERROR(VLOOKUP(Table1[RespondentID],'All Data'!$A$3:$CW$999,98,FALSE),"unknown")</f>
        <v>Medicare</v>
      </c>
      <c r="AX450" s="120" t="str">
        <f>IFERROR(VLOOKUP(Table1[RespondentID],'All Data'!$A$3:$CW$999,99,FALSE),"unknown")</f>
        <v>Yes</v>
      </c>
    </row>
    <row r="451" spans="1:50">
      <c r="A451" s="159">
        <v>18032014754</v>
      </c>
      <c r="B451" s="160"/>
      <c r="C451" s="124"/>
      <c r="D451" s="124"/>
      <c r="E451" s="124" t="s">
        <v>19</v>
      </c>
      <c r="F451" s="124"/>
      <c r="G451" s="124"/>
      <c r="H451" s="124"/>
      <c r="I451" s="124"/>
      <c r="J451" s="124"/>
      <c r="K451" s="124" t="s">
        <v>25</v>
      </c>
      <c r="L451" s="124"/>
      <c r="M451" s="124" t="s">
        <v>27</v>
      </c>
      <c r="N451" s="124"/>
      <c r="O451" s="124"/>
      <c r="P451" s="161">
        <f t="shared" si="126"/>
        <v>3</v>
      </c>
      <c r="Q451" s="161">
        <f t="shared" si="127"/>
        <v>1</v>
      </c>
      <c r="R451" s="161"/>
      <c r="S451" s="161">
        <f t="shared" si="128"/>
        <v>0</v>
      </c>
      <c r="T451" s="161">
        <f t="shared" si="129"/>
        <v>0</v>
      </c>
      <c r="U451" s="161">
        <f t="shared" si="130"/>
        <v>0</v>
      </c>
      <c r="V451" s="162">
        <f t="shared" si="131"/>
        <v>1</v>
      </c>
      <c r="W451" s="162">
        <f t="shared" si="132"/>
        <v>0</v>
      </c>
      <c r="X451" s="162">
        <f t="shared" si="133"/>
        <v>0</v>
      </c>
      <c r="Y451" s="162">
        <f t="shared" si="134"/>
        <v>0</v>
      </c>
      <c r="Z451" s="162">
        <f t="shared" si="135"/>
        <v>0</v>
      </c>
      <c r="AA451" s="162">
        <f t="shared" si="136"/>
        <v>0</v>
      </c>
      <c r="AB451" s="162">
        <f t="shared" si="137"/>
        <v>1</v>
      </c>
      <c r="AC451" s="162">
        <f t="shared" si="138"/>
        <v>0</v>
      </c>
      <c r="AD451" s="162">
        <f t="shared" si="139"/>
        <v>1</v>
      </c>
      <c r="AE451" s="162">
        <f t="shared" si="140"/>
        <v>0</v>
      </c>
      <c r="AF451" s="163"/>
      <c r="AG451" s="161"/>
      <c r="AH451" s="161">
        <f t="shared" si="141"/>
        <v>3</v>
      </c>
      <c r="AI451" s="161">
        <f t="shared" si="142"/>
        <v>3</v>
      </c>
      <c r="AJ451" s="161" t="str">
        <f t="shared" si="143"/>
        <v>Correct</v>
      </c>
      <c r="AK451" s="124"/>
      <c r="AL451" s="164" t="str">
        <f>IFERROR(VLOOKUP(Table1[RespondentID],'All Data'!$A$3:$CO$999,87,FALSE),"unknown")</f>
        <v>Woman</v>
      </c>
      <c r="AM451" s="124"/>
      <c r="AN451" s="120" t="str">
        <f>IFERROR(VLOOKUP(Table1[RespondentID],'All Data'!$A$3:$CO$999,89,FALSE),"unknown")</f>
        <v>Suffolk</v>
      </c>
      <c r="AO451" s="120" t="str">
        <f>IFERROR(VLOOKUP(Table1[RespondentID],'All Data'!$A$3:$CO$999,90,FALSE),"unknown")</f>
        <v>Melville, 11747</v>
      </c>
      <c r="AP451" s="120" t="str">
        <f>IFERROR(VLOOKUP(Table1[RespondentID],'All Data'!$A$3:$CO$999,91,FALSE),"unknown")</f>
        <v>White</v>
      </c>
      <c r="AQ451" s="120" t="str">
        <f>IFERROR(VLOOKUP(Table1[RespondentID],'All Data'!$A$3:$CO$999,92,FALSE),"unknown")</f>
        <v>Not Hispanic or Latino</v>
      </c>
      <c r="AR451" s="120" t="str">
        <f>IFERROR(VLOOKUP(Table1[RespondentID],'All Data'!$A$3:$CO$999,93,FALSE),"unknown")</f>
        <v>English</v>
      </c>
      <c r="AS451" s="120" t="str">
        <f>IFERROR(VLOOKUP(Table1[RespondentID],'All Data'!$A$3:$CW$999,94,FALSE),"unknown")</f>
        <v>$50,000 to $74,999</v>
      </c>
      <c r="AT451" s="120" t="str">
        <f>IFERROR(VLOOKUP(Table1[RespondentID],'All Data'!$A$3:$CW$999,95,FALSE),"unknown")</f>
        <v>Some high school</v>
      </c>
      <c r="AU451" s="120" t="str">
        <f>IFERROR(VLOOKUP(Table1[RespondentID],'All Data'!$A$3:$CW$999,96,FALSE),"unknown")</f>
        <v>Student</v>
      </c>
      <c r="AV451" s="120" t="str">
        <f>IFERROR(VLOOKUP(Table1[RespondentID],'All Data'!$A$3:$CW$999,97,FALSE),"unknown")</f>
        <v>Yes</v>
      </c>
      <c r="AW451" s="120" t="str">
        <f>IFERROR(VLOOKUP(Table1[RespondentID],'All Data'!$A$3:$CW$999,98,FALSE),"unknown")</f>
        <v>Private/Commercial</v>
      </c>
      <c r="AX451" s="120" t="str">
        <f>IFERROR(VLOOKUP(Table1[RespondentID],'All Data'!$A$3:$CW$999,99,FALSE),"unknown")</f>
        <v>Yes</v>
      </c>
    </row>
    <row r="452" spans="1:50">
      <c r="A452" s="159">
        <v>18031752968</v>
      </c>
      <c r="B452" s="160"/>
      <c r="C452" s="124"/>
      <c r="D452" s="124"/>
      <c r="E452" s="124" t="s">
        <v>19</v>
      </c>
      <c r="F452" s="124"/>
      <c r="G452" s="124"/>
      <c r="H452" s="124"/>
      <c r="I452" s="124"/>
      <c r="J452" s="124" t="s">
        <v>24</v>
      </c>
      <c r="K452" s="124"/>
      <c r="L452" s="124"/>
      <c r="M452" s="124"/>
      <c r="N452" s="124" t="s">
        <v>28</v>
      </c>
      <c r="O452" s="124"/>
      <c r="P452" s="161">
        <f t="shared" si="126"/>
        <v>3</v>
      </c>
      <c r="Q452" s="161">
        <f t="shared" si="127"/>
        <v>1</v>
      </c>
      <c r="R452" s="161"/>
      <c r="S452" s="161">
        <f t="shared" si="128"/>
        <v>0</v>
      </c>
      <c r="T452" s="161">
        <f t="shared" si="129"/>
        <v>0</v>
      </c>
      <c r="U452" s="161">
        <f t="shared" si="130"/>
        <v>0</v>
      </c>
      <c r="V452" s="162">
        <f t="shared" si="131"/>
        <v>1</v>
      </c>
      <c r="W452" s="162">
        <f t="shared" si="132"/>
        <v>0</v>
      </c>
      <c r="X452" s="162">
        <f t="shared" si="133"/>
        <v>0</v>
      </c>
      <c r="Y452" s="162">
        <f t="shared" si="134"/>
        <v>0</v>
      </c>
      <c r="Z452" s="162">
        <f t="shared" si="135"/>
        <v>0</v>
      </c>
      <c r="AA452" s="162">
        <f t="shared" si="136"/>
        <v>1</v>
      </c>
      <c r="AB452" s="162">
        <f t="shared" si="137"/>
        <v>0</v>
      </c>
      <c r="AC452" s="162">
        <f t="shared" si="138"/>
        <v>0</v>
      </c>
      <c r="AD452" s="162">
        <f t="shared" si="139"/>
        <v>0</v>
      </c>
      <c r="AE452" s="162">
        <f t="shared" si="140"/>
        <v>1</v>
      </c>
      <c r="AF452" s="163"/>
      <c r="AG452" s="161"/>
      <c r="AH452" s="161">
        <f t="shared" si="141"/>
        <v>3</v>
      </c>
      <c r="AI452" s="161">
        <f t="shared" si="142"/>
        <v>3</v>
      </c>
      <c r="AJ452" s="161" t="str">
        <f t="shared" si="143"/>
        <v>Correct</v>
      </c>
      <c r="AK452" s="124"/>
      <c r="AL452" s="164" t="str">
        <f>IFERROR(VLOOKUP(Table1[RespondentID],'All Data'!$A$3:$CO$999,87,FALSE),"unknown")</f>
        <v>Man</v>
      </c>
      <c r="AM452" s="124"/>
      <c r="AN452" s="120" t="str">
        <f>IFERROR(VLOOKUP(Table1[RespondentID],'All Data'!$A$3:$CO$999,89,FALSE),"unknown")</f>
        <v>Nassau</v>
      </c>
      <c r="AO452" s="120" t="str">
        <f>IFERROR(VLOOKUP(Table1[RespondentID],'All Data'!$A$3:$CO$999,90,FALSE),"unknown")</f>
        <v>Farmingdale, 11735</v>
      </c>
      <c r="AP452" s="120" t="str">
        <f>IFERROR(VLOOKUP(Table1[RespondentID],'All Data'!$A$3:$CO$999,91,FALSE),"unknown")</f>
        <v>White</v>
      </c>
      <c r="AQ452" s="120" t="str">
        <f>IFERROR(VLOOKUP(Table1[RespondentID],'All Data'!$A$3:$CO$999,92,FALSE),"unknown")</f>
        <v>Not Hispanic or Latino</v>
      </c>
      <c r="AR452" s="120" t="str">
        <f>IFERROR(VLOOKUP(Table1[RespondentID],'All Data'!$A$3:$CO$999,93,FALSE),"unknown")</f>
        <v>English</v>
      </c>
      <c r="AS452" s="120">
        <f>IFERROR(VLOOKUP(Table1[RespondentID],'All Data'!$A$3:$CW$999,94,FALSE),"unknown")</f>
        <v>0</v>
      </c>
      <c r="AT452" s="120" t="str">
        <f>IFERROR(VLOOKUP(Table1[RespondentID],'All Data'!$A$3:$CW$999,95,FALSE),"unknown")</f>
        <v>Graduate school</v>
      </c>
      <c r="AU452" s="120">
        <f>IFERROR(VLOOKUP(Table1[RespondentID],'All Data'!$A$3:$CW$999,96,FALSE),"unknown")</f>
        <v>0</v>
      </c>
      <c r="AV452" s="120">
        <f>IFERROR(VLOOKUP(Table1[RespondentID],'All Data'!$A$3:$CW$999,97,FALSE),"unknown")</f>
        <v>0</v>
      </c>
      <c r="AW452" s="120">
        <f>IFERROR(VLOOKUP(Table1[RespondentID],'All Data'!$A$3:$CW$999,98,FALSE),"unknown")</f>
        <v>0</v>
      </c>
      <c r="AX452" s="120">
        <f>IFERROR(VLOOKUP(Table1[RespondentID],'All Data'!$A$3:$CW$999,99,FALSE),"unknown")</f>
        <v>0</v>
      </c>
    </row>
    <row r="453" spans="1:50">
      <c r="A453" s="159">
        <v>18031752783</v>
      </c>
      <c r="B453" s="160"/>
      <c r="C453" s="124" t="s">
        <v>17</v>
      </c>
      <c r="D453" s="124" t="s">
        <v>18</v>
      </c>
      <c r="E453" s="124"/>
      <c r="F453" s="124"/>
      <c r="G453" s="124"/>
      <c r="H453" s="124"/>
      <c r="I453" s="124"/>
      <c r="J453" s="124"/>
      <c r="K453" s="124" t="s">
        <v>25</v>
      </c>
      <c r="L453" s="124" t="s">
        <v>26</v>
      </c>
      <c r="M453" s="124" t="s">
        <v>27</v>
      </c>
      <c r="N453" s="124" t="s">
        <v>28</v>
      </c>
      <c r="O453" s="124"/>
      <c r="P453" s="161">
        <f t="shared" si="126"/>
        <v>6</v>
      </c>
      <c r="Q453" s="161">
        <f t="shared" si="127"/>
        <v>0.5</v>
      </c>
      <c r="R453" s="161"/>
      <c r="S453" s="161">
        <f t="shared" si="128"/>
        <v>0</v>
      </c>
      <c r="T453" s="161">
        <f t="shared" si="129"/>
        <v>0.5</v>
      </c>
      <c r="U453" s="161">
        <f t="shared" si="130"/>
        <v>0.5</v>
      </c>
      <c r="V453" s="162">
        <f t="shared" si="131"/>
        <v>0</v>
      </c>
      <c r="W453" s="162">
        <f t="shared" si="132"/>
        <v>0</v>
      </c>
      <c r="X453" s="162">
        <f t="shared" si="133"/>
        <v>0</v>
      </c>
      <c r="Y453" s="162">
        <f t="shared" si="134"/>
        <v>0</v>
      </c>
      <c r="Z453" s="162">
        <f t="shared" si="135"/>
        <v>0</v>
      </c>
      <c r="AA453" s="162">
        <f t="shared" si="136"/>
        <v>0</v>
      </c>
      <c r="AB453" s="162">
        <f t="shared" si="137"/>
        <v>0.5</v>
      </c>
      <c r="AC453" s="162">
        <f t="shared" si="138"/>
        <v>0.5</v>
      </c>
      <c r="AD453" s="162">
        <f t="shared" si="139"/>
        <v>0.5</v>
      </c>
      <c r="AE453" s="162">
        <f t="shared" si="140"/>
        <v>0.5</v>
      </c>
      <c r="AF453" s="163"/>
      <c r="AG453" s="161"/>
      <c r="AH453" s="161">
        <f t="shared" si="141"/>
        <v>3</v>
      </c>
      <c r="AI453" s="161">
        <f t="shared" si="142"/>
        <v>6</v>
      </c>
      <c r="AJ453" s="161" t="str">
        <f t="shared" si="143"/>
        <v>Correct</v>
      </c>
      <c r="AK453" s="124"/>
      <c r="AL453" s="164" t="str">
        <f>IFERROR(VLOOKUP(Table1[RespondentID],'All Data'!$A$3:$CO$999,87,FALSE),"unknown")</f>
        <v>Man</v>
      </c>
      <c r="AM453" s="124"/>
      <c r="AN453" s="120" t="str">
        <f>IFERROR(VLOOKUP(Table1[RespondentID],'All Data'!$A$3:$CO$999,89,FALSE),"unknown")</f>
        <v>Nassau</v>
      </c>
      <c r="AO453" s="120" t="str">
        <f>IFERROR(VLOOKUP(Table1[RespondentID],'All Data'!$A$3:$CO$999,90,FALSE),"unknown")</f>
        <v>Farmingdale, 11735</v>
      </c>
      <c r="AP453" s="120" t="str">
        <f>IFERROR(VLOOKUP(Table1[RespondentID],'All Data'!$A$3:$CO$999,91,FALSE),"unknown")</f>
        <v>White</v>
      </c>
      <c r="AQ453" s="120">
        <f>IFERROR(VLOOKUP(Table1[RespondentID],'All Data'!$A$3:$CO$999,92,FALSE),"unknown")</f>
        <v>0</v>
      </c>
      <c r="AR453" s="120" t="str">
        <f>IFERROR(VLOOKUP(Table1[RespondentID],'All Data'!$A$3:$CO$999,93,FALSE),"unknown")</f>
        <v>English</v>
      </c>
      <c r="AS453" s="120" t="str">
        <f>IFERROR(VLOOKUP(Table1[RespondentID],'All Data'!$A$3:$CW$999,94,FALSE),"unknown")</f>
        <v>$20,000 to $34,999</v>
      </c>
      <c r="AT453" s="120" t="str">
        <f>IFERROR(VLOOKUP(Table1[RespondentID],'All Data'!$A$3:$CW$999,95,FALSE),"unknown")</f>
        <v>Graduate school</v>
      </c>
      <c r="AU453" s="120" t="str">
        <f>IFERROR(VLOOKUP(Table1[RespondentID],'All Data'!$A$3:$CW$999,96,FALSE),"unknown")</f>
        <v>Self-employed</v>
      </c>
      <c r="AV453" s="120" t="str">
        <f>IFERROR(VLOOKUP(Table1[RespondentID],'All Data'!$A$3:$CW$999,97,FALSE),"unknown")</f>
        <v>No</v>
      </c>
      <c r="AW453" s="120" t="str">
        <f>IFERROR(VLOOKUP(Table1[RespondentID],'All Data'!$A$3:$CW$999,98,FALSE),"unknown")</f>
        <v>No Insurance</v>
      </c>
      <c r="AX453" s="120" t="str">
        <f>IFERROR(VLOOKUP(Table1[RespondentID],'All Data'!$A$3:$CW$999,99,FALSE),"unknown")</f>
        <v>No</v>
      </c>
    </row>
    <row r="454" spans="1:50">
      <c r="A454" s="159">
        <v>18031752813</v>
      </c>
      <c r="B454" s="160"/>
      <c r="C454" s="124"/>
      <c r="D454" s="124"/>
      <c r="E454" s="124"/>
      <c r="F454" s="124"/>
      <c r="G454" s="124"/>
      <c r="H454" s="124"/>
      <c r="I454" s="124"/>
      <c r="J454" s="124"/>
      <c r="K454" s="124" t="s">
        <v>25</v>
      </c>
      <c r="L454" s="124" t="s">
        <v>26</v>
      </c>
      <c r="M454" s="124"/>
      <c r="N454" s="124" t="s">
        <v>28</v>
      </c>
      <c r="O454" s="124"/>
      <c r="P454" s="161">
        <f t="shared" si="126"/>
        <v>3</v>
      </c>
      <c r="Q454" s="161">
        <f t="shared" si="127"/>
        <v>1</v>
      </c>
      <c r="R454" s="161"/>
      <c r="S454" s="161">
        <f t="shared" si="128"/>
        <v>0</v>
      </c>
      <c r="T454" s="161">
        <f t="shared" si="129"/>
        <v>0</v>
      </c>
      <c r="U454" s="161">
        <f t="shared" si="130"/>
        <v>0</v>
      </c>
      <c r="V454" s="162">
        <f t="shared" si="131"/>
        <v>0</v>
      </c>
      <c r="W454" s="162">
        <f t="shared" si="132"/>
        <v>0</v>
      </c>
      <c r="X454" s="162">
        <f t="shared" si="133"/>
        <v>0</v>
      </c>
      <c r="Y454" s="162">
        <f t="shared" si="134"/>
        <v>0</v>
      </c>
      <c r="Z454" s="162">
        <f t="shared" si="135"/>
        <v>0</v>
      </c>
      <c r="AA454" s="162">
        <f t="shared" si="136"/>
        <v>0</v>
      </c>
      <c r="AB454" s="162">
        <f t="shared" si="137"/>
        <v>1</v>
      </c>
      <c r="AC454" s="162">
        <f t="shared" si="138"/>
        <v>1</v>
      </c>
      <c r="AD454" s="162">
        <f t="shared" si="139"/>
        <v>0</v>
      </c>
      <c r="AE454" s="162">
        <f t="shared" si="140"/>
        <v>1</v>
      </c>
      <c r="AF454" s="163"/>
      <c r="AG454" s="161"/>
      <c r="AH454" s="161">
        <f t="shared" si="141"/>
        <v>3</v>
      </c>
      <c r="AI454" s="161">
        <f t="shared" si="142"/>
        <v>3</v>
      </c>
      <c r="AJ454" s="161" t="str">
        <f t="shared" si="143"/>
        <v>Correct</v>
      </c>
      <c r="AK454" s="124"/>
      <c r="AL454" s="164" t="str">
        <f>IFERROR(VLOOKUP(Table1[RespondentID],'All Data'!$A$3:$CO$999,87,FALSE),"unknown")</f>
        <v>Man</v>
      </c>
      <c r="AM454" s="124"/>
      <c r="AN454" s="120" t="str">
        <f>IFERROR(VLOOKUP(Table1[RespondentID],'All Data'!$A$3:$CO$999,89,FALSE),"unknown")</f>
        <v>Suffolk</v>
      </c>
      <c r="AO454" s="120" t="str">
        <f>IFERROR(VLOOKUP(Table1[RespondentID],'All Data'!$A$3:$CO$999,90,FALSE),"unknown")</f>
        <v>Port Jefferson Station, 11776</v>
      </c>
      <c r="AP454" s="120" t="str">
        <f>IFERROR(VLOOKUP(Table1[RespondentID],'All Data'!$A$3:$CO$999,91,FALSE),"unknown")</f>
        <v>White</v>
      </c>
      <c r="AQ454" s="120" t="str">
        <f>IFERROR(VLOOKUP(Table1[RespondentID],'All Data'!$A$3:$CO$999,92,FALSE),"unknown")</f>
        <v>Not Hispanic or Latino</v>
      </c>
      <c r="AR454" s="120" t="str">
        <f>IFERROR(VLOOKUP(Table1[RespondentID],'All Data'!$A$3:$CO$999,93,FALSE),"unknown")</f>
        <v>English</v>
      </c>
      <c r="AS454" s="120" t="str">
        <f>IFERROR(VLOOKUP(Table1[RespondentID],'All Data'!$A$3:$CW$999,94,FALSE),"unknown")</f>
        <v>$75,000 to $125,000</v>
      </c>
      <c r="AT454" s="120" t="str">
        <f>IFERROR(VLOOKUP(Table1[RespondentID],'All Data'!$A$3:$CW$999,95,FALSE),"unknown")</f>
        <v>Graduate school</v>
      </c>
      <c r="AU454" s="120" t="str">
        <f>IFERROR(VLOOKUP(Table1[RespondentID],'All Data'!$A$3:$CW$999,96,FALSE),"unknown")</f>
        <v>Employed for wages</v>
      </c>
      <c r="AV454" s="120" t="str">
        <f>IFERROR(VLOOKUP(Table1[RespondentID],'All Data'!$A$3:$CW$999,97,FALSE),"unknown")</f>
        <v>Yes</v>
      </c>
      <c r="AW454" s="120" t="str">
        <f>IFERROR(VLOOKUP(Table1[RespondentID],'All Data'!$A$3:$CW$999,98,FALSE),"unknown")</f>
        <v>Private/Commercial</v>
      </c>
      <c r="AX454" s="120" t="str">
        <f>IFERROR(VLOOKUP(Table1[RespondentID],'All Data'!$A$3:$CW$999,99,FALSE),"unknown")</f>
        <v>Yes</v>
      </c>
    </row>
    <row r="455" spans="1:50">
      <c r="A455" s="159">
        <v>18031752705</v>
      </c>
      <c r="B455" s="160"/>
      <c r="C455" s="124"/>
      <c r="D455" s="124"/>
      <c r="E455" s="124"/>
      <c r="F455" s="124"/>
      <c r="G455" s="124"/>
      <c r="H455" s="124"/>
      <c r="I455" s="124"/>
      <c r="J455" s="124"/>
      <c r="K455" s="124" t="s">
        <v>25</v>
      </c>
      <c r="L455" s="124" t="s">
        <v>26</v>
      </c>
      <c r="M455" s="124" t="s">
        <v>27</v>
      </c>
      <c r="N455" s="124"/>
      <c r="O455" s="124"/>
      <c r="P455" s="161">
        <f t="shared" si="126"/>
        <v>3</v>
      </c>
      <c r="Q455" s="161">
        <f t="shared" si="127"/>
        <v>1</v>
      </c>
      <c r="R455" s="161"/>
      <c r="S455" s="161">
        <f t="shared" si="128"/>
        <v>0</v>
      </c>
      <c r="T455" s="161">
        <f t="shared" si="129"/>
        <v>0</v>
      </c>
      <c r="U455" s="161">
        <f t="shared" si="130"/>
        <v>0</v>
      </c>
      <c r="V455" s="162">
        <f t="shared" si="131"/>
        <v>0</v>
      </c>
      <c r="W455" s="162">
        <f t="shared" si="132"/>
        <v>0</v>
      </c>
      <c r="X455" s="162">
        <f t="shared" si="133"/>
        <v>0</v>
      </c>
      <c r="Y455" s="162">
        <f t="shared" si="134"/>
        <v>0</v>
      </c>
      <c r="Z455" s="162">
        <f t="shared" si="135"/>
        <v>0</v>
      </c>
      <c r="AA455" s="162">
        <f t="shared" si="136"/>
        <v>0</v>
      </c>
      <c r="AB455" s="162">
        <f t="shared" si="137"/>
        <v>1</v>
      </c>
      <c r="AC455" s="162">
        <f t="shared" si="138"/>
        <v>1</v>
      </c>
      <c r="AD455" s="162">
        <f t="shared" si="139"/>
        <v>1</v>
      </c>
      <c r="AE455" s="162">
        <f t="shared" si="140"/>
        <v>0</v>
      </c>
      <c r="AF455" s="163"/>
      <c r="AG455" s="161"/>
      <c r="AH455" s="161">
        <f t="shared" si="141"/>
        <v>3</v>
      </c>
      <c r="AI455" s="161">
        <f t="shared" si="142"/>
        <v>3</v>
      </c>
      <c r="AJ455" s="161" t="str">
        <f t="shared" si="143"/>
        <v>Correct</v>
      </c>
      <c r="AK455" s="124"/>
      <c r="AL455" s="164" t="str">
        <f>IFERROR(VLOOKUP(Table1[RespondentID],'All Data'!$A$3:$CO$999,87,FALSE),"unknown")</f>
        <v>Man</v>
      </c>
      <c r="AM455" s="124"/>
      <c r="AN455" s="120" t="str">
        <f>IFERROR(VLOOKUP(Table1[RespondentID],'All Data'!$A$3:$CO$999,89,FALSE),"unknown")</f>
        <v>Nassau</v>
      </c>
      <c r="AO455" s="120" t="str">
        <f>IFERROR(VLOOKUP(Table1[RespondentID],'All Data'!$A$3:$CO$999,90,FALSE),"unknown")</f>
        <v>Farmingdale, 11735</v>
      </c>
      <c r="AP455" s="120" t="str">
        <f>IFERROR(VLOOKUP(Table1[RespondentID],'All Data'!$A$3:$CO$999,91,FALSE),"unknown")</f>
        <v>White</v>
      </c>
      <c r="AQ455" s="120" t="str">
        <f>IFERROR(VLOOKUP(Table1[RespondentID],'All Data'!$A$3:$CO$999,92,FALSE),"unknown")</f>
        <v>Not Hispanic or Latino</v>
      </c>
      <c r="AR455" s="120" t="str">
        <f>IFERROR(VLOOKUP(Table1[RespondentID],'All Data'!$A$3:$CO$999,93,FALSE),"unknown")</f>
        <v>English</v>
      </c>
      <c r="AS455" s="120" t="str">
        <f>IFERROR(VLOOKUP(Table1[RespondentID],'All Data'!$A$3:$CW$999,94,FALSE),"unknown")</f>
        <v>$35,000 to $49,999</v>
      </c>
      <c r="AT455" s="120" t="str">
        <f>IFERROR(VLOOKUP(Table1[RespondentID],'All Data'!$A$3:$CW$999,95,FALSE),"unknown")</f>
        <v>Some college</v>
      </c>
      <c r="AU455" s="120" t="str">
        <f>IFERROR(VLOOKUP(Table1[RespondentID],'All Data'!$A$3:$CW$999,96,FALSE),"unknown")</f>
        <v>Retired</v>
      </c>
      <c r="AV455" s="120" t="str">
        <f>IFERROR(VLOOKUP(Table1[RespondentID],'All Data'!$A$3:$CW$999,97,FALSE),"unknown")</f>
        <v>Yes</v>
      </c>
      <c r="AW455" s="120" t="str">
        <f>IFERROR(VLOOKUP(Table1[RespondentID],'All Data'!$A$3:$CW$999,98,FALSE),"unknown")</f>
        <v>Medicare</v>
      </c>
      <c r="AX455" s="120" t="str">
        <f>IFERROR(VLOOKUP(Table1[RespondentID],'All Data'!$A$3:$CW$999,99,FALSE),"unknown")</f>
        <v>Yes</v>
      </c>
    </row>
    <row r="456" spans="1:50">
      <c r="A456" s="159">
        <v>18031752630</v>
      </c>
      <c r="B456" s="160"/>
      <c r="C456" s="124"/>
      <c r="D456" s="124"/>
      <c r="E456" s="124"/>
      <c r="F456" s="124"/>
      <c r="G456" s="124" t="s">
        <v>21</v>
      </c>
      <c r="H456" s="124"/>
      <c r="I456" s="124"/>
      <c r="J456" s="124"/>
      <c r="K456" s="124"/>
      <c r="L456" s="124"/>
      <c r="M456" s="124"/>
      <c r="N456" s="124"/>
      <c r="O456" s="124"/>
      <c r="P456" s="161">
        <f t="shared" si="126"/>
        <v>1</v>
      </c>
      <c r="Q456" s="161">
        <f t="shared" si="127"/>
        <v>3</v>
      </c>
      <c r="R456" s="161"/>
      <c r="S456" s="161">
        <f t="shared" si="128"/>
        <v>0</v>
      </c>
      <c r="T456" s="161">
        <f t="shared" si="129"/>
        <v>0</v>
      </c>
      <c r="U456" s="161">
        <f t="shared" si="130"/>
        <v>0</v>
      </c>
      <c r="V456" s="162">
        <f t="shared" si="131"/>
        <v>0</v>
      </c>
      <c r="W456" s="162">
        <f t="shared" si="132"/>
        <v>0</v>
      </c>
      <c r="X456" s="162">
        <f t="shared" si="133"/>
        <v>1</v>
      </c>
      <c r="Y456" s="162">
        <f t="shared" si="134"/>
        <v>0</v>
      </c>
      <c r="Z456" s="162">
        <f t="shared" si="135"/>
        <v>0</v>
      </c>
      <c r="AA456" s="162">
        <f t="shared" si="136"/>
        <v>0</v>
      </c>
      <c r="AB456" s="162">
        <f t="shared" si="137"/>
        <v>0</v>
      </c>
      <c r="AC456" s="162">
        <f t="shared" si="138"/>
        <v>0</v>
      </c>
      <c r="AD456" s="162">
        <f t="shared" si="139"/>
        <v>0</v>
      </c>
      <c r="AE456" s="162">
        <f t="shared" si="140"/>
        <v>0</v>
      </c>
      <c r="AF456" s="163"/>
      <c r="AG456" s="161"/>
      <c r="AH456" s="161">
        <f t="shared" si="141"/>
        <v>1</v>
      </c>
      <c r="AI456" s="161">
        <f t="shared" si="142"/>
        <v>1</v>
      </c>
      <c r="AJ456" s="161" t="str">
        <f t="shared" si="143"/>
        <v>Correct</v>
      </c>
      <c r="AK456" s="124"/>
      <c r="AL456" s="164" t="str">
        <f>IFERROR(VLOOKUP(Table1[RespondentID],'All Data'!$A$3:$CO$999,87,FALSE),"unknown")</f>
        <v>Man</v>
      </c>
      <c r="AM456" s="124"/>
      <c r="AN456" s="120" t="str">
        <f>IFERROR(VLOOKUP(Table1[RespondentID],'All Data'!$A$3:$CO$999,89,FALSE),"unknown")</f>
        <v>Nassau</v>
      </c>
      <c r="AO456" s="120" t="str">
        <f>IFERROR(VLOOKUP(Table1[RespondentID],'All Data'!$A$3:$CO$999,90,FALSE),"unknown")</f>
        <v>Farmingdale, 11735</v>
      </c>
      <c r="AP456" s="120" t="str">
        <f>IFERROR(VLOOKUP(Table1[RespondentID],'All Data'!$A$3:$CO$999,91,FALSE),"unknown")</f>
        <v>White</v>
      </c>
      <c r="AQ456" s="120" t="str">
        <f>IFERROR(VLOOKUP(Table1[RespondentID],'All Data'!$A$3:$CO$999,92,FALSE),"unknown")</f>
        <v>Not Hispanic or Latino</v>
      </c>
      <c r="AR456" s="120" t="str">
        <f>IFERROR(VLOOKUP(Table1[RespondentID],'All Data'!$A$3:$CO$999,93,FALSE),"unknown")</f>
        <v>English</v>
      </c>
      <c r="AS456" s="120" t="str">
        <f>IFERROR(VLOOKUP(Table1[RespondentID],'All Data'!$A$3:$CW$999,94,FALSE),"unknown")</f>
        <v>$50,000 to $74,999</v>
      </c>
      <c r="AT456" s="120" t="str">
        <f>IFERROR(VLOOKUP(Table1[RespondentID],'All Data'!$A$3:$CW$999,95,FALSE),"unknown")</f>
        <v>Some college</v>
      </c>
      <c r="AU456" s="120" t="str">
        <f>IFERROR(VLOOKUP(Table1[RespondentID],'All Data'!$A$3:$CW$999,96,FALSE),"unknown")</f>
        <v>Retired</v>
      </c>
      <c r="AV456" s="120" t="str">
        <f>IFERROR(VLOOKUP(Table1[RespondentID],'All Data'!$A$3:$CW$999,97,FALSE),"unknown")</f>
        <v>Yes</v>
      </c>
      <c r="AW456" s="120" t="str">
        <f>IFERROR(VLOOKUP(Table1[RespondentID],'All Data'!$A$3:$CW$999,98,FALSE),"unknown")</f>
        <v>Medicare</v>
      </c>
      <c r="AX456" s="120" t="str">
        <f>IFERROR(VLOOKUP(Table1[RespondentID],'All Data'!$A$3:$CW$999,99,FALSE),"unknown")</f>
        <v>Yes</v>
      </c>
    </row>
    <row r="457" spans="1:50">
      <c r="A457" s="159">
        <v>18031752588</v>
      </c>
      <c r="B457" s="160"/>
      <c r="C457" s="124"/>
      <c r="D457" s="124"/>
      <c r="E457" s="124"/>
      <c r="F457" s="124"/>
      <c r="G457" s="124"/>
      <c r="H457" s="124"/>
      <c r="I457" s="124"/>
      <c r="J457" s="124"/>
      <c r="K457" s="124"/>
      <c r="L457" s="124" t="s">
        <v>26</v>
      </c>
      <c r="M457" s="124" t="s">
        <v>27</v>
      </c>
      <c r="N457" s="124" t="s">
        <v>28</v>
      </c>
      <c r="O457" s="124"/>
      <c r="P457" s="161">
        <f t="shared" si="126"/>
        <v>3</v>
      </c>
      <c r="Q457" s="161">
        <f t="shared" si="127"/>
        <v>1</v>
      </c>
      <c r="R457" s="161"/>
      <c r="S457" s="161">
        <f t="shared" si="128"/>
        <v>0</v>
      </c>
      <c r="T457" s="161">
        <f t="shared" si="129"/>
        <v>0</v>
      </c>
      <c r="U457" s="161">
        <f t="shared" si="130"/>
        <v>0</v>
      </c>
      <c r="V457" s="162">
        <f t="shared" si="131"/>
        <v>0</v>
      </c>
      <c r="W457" s="162">
        <f t="shared" si="132"/>
        <v>0</v>
      </c>
      <c r="X457" s="162">
        <f t="shared" si="133"/>
        <v>0</v>
      </c>
      <c r="Y457" s="162">
        <f t="shared" si="134"/>
        <v>0</v>
      </c>
      <c r="Z457" s="162">
        <f t="shared" si="135"/>
        <v>0</v>
      </c>
      <c r="AA457" s="162">
        <f t="shared" si="136"/>
        <v>0</v>
      </c>
      <c r="AB457" s="162">
        <f t="shared" si="137"/>
        <v>0</v>
      </c>
      <c r="AC457" s="162">
        <f t="shared" si="138"/>
        <v>1</v>
      </c>
      <c r="AD457" s="162">
        <f t="shared" si="139"/>
        <v>1</v>
      </c>
      <c r="AE457" s="162">
        <f t="shared" si="140"/>
        <v>1</v>
      </c>
      <c r="AF457" s="163"/>
      <c r="AG457" s="161"/>
      <c r="AH457" s="161">
        <f t="shared" si="141"/>
        <v>3</v>
      </c>
      <c r="AI457" s="161">
        <f t="shared" si="142"/>
        <v>3</v>
      </c>
      <c r="AJ457" s="161" t="str">
        <f t="shared" si="143"/>
        <v>Correct</v>
      </c>
      <c r="AK457" s="124"/>
      <c r="AL457" s="164">
        <f>IFERROR(VLOOKUP(Table1[RespondentID],'All Data'!$A$3:$CO$999,87,FALSE),"unknown")</f>
        <v>0</v>
      </c>
      <c r="AM457" s="124"/>
      <c r="AN457" s="120">
        <f>IFERROR(VLOOKUP(Table1[RespondentID],'All Data'!$A$3:$CO$999,89,FALSE),"unknown")</f>
        <v>0</v>
      </c>
      <c r="AO457" s="120">
        <f>IFERROR(VLOOKUP(Table1[RespondentID],'All Data'!$A$3:$CO$999,90,FALSE),"unknown")</f>
        <v>0</v>
      </c>
      <c r="AP457" s="120">
        <f>IFERROR(VLOOKUP(Table1[RespondentID],'All Data'!$A$3:$CO$999,91,FALSE),"unknown")</f>
        <v>0</v>
      </c>
      <c r="AQ457" s="120">
        <f>IFERROR(VLOOKUP(Table1[RespondentID],'All Data'!$A$3:$CO$999,92,FALSE),"unknown")</f>
        <v>0</v>
      </c>
      <c r="AR457" s="120">
        <f>IFERROR(VLOOKUP(Table1[RespondentID],'All Data'!$A$3:$CO$999,93,FALSE),"unknown")</f>
        <v>0</v>
      </c>
      <c r="AS457" s="120">
        <f>IFERROR(VLOOKUP(Table1[RespondentID],'All Data'!$A$3:$CW$999,94,FALSE),"unknown")</f>
        <v>0</v>
      </c>
      <c r="AT457" s="120">
        <f>IFERROR(VLOOKUP(Table1[RespondentID],'All Data'!$A$3:$CW$999,95,FALSE),"unknown")</f>
        <v>0</v>
      </c>
      <c r="AU457" s="120">
        <f>IFERROR(VLOOKUP(Table1[RespondentID],'All Data'!$A$3:$CW$999,96,FALSE),"unknown")</f>
        <v>0</v>
      </c>
      <c r="AV457" s="120">
        <f>IFERROR(VLOOKUP(Table1[RespondentID],'All Data'!$A$3:$CW$999,97,FALSE),"unknown")</f>
        <v>0</v>
      </c>
      <c r="AW457" s="120">
        <f>IFERROR(VLOOKUP(Table1[RespondentID],'All Data'!$A$3:$CW$999,98,FALSE),"unknown")</f>
        <v>0</v>
      </c>
      <c r="AX457" s="120">
        <f>IFERROR(VLOOKUP(Table1[RespondentID],'All Data'!$A$3:$CW$999,99,FALSE),"unknown")</f>
        <v>0</v>
      </c>
    </row>
    <row r="458" spans="1:50">
      <c r="A458" s="159">
        <v>18031752510</v>
      </c>
      <c r="B458" s="160"/>
      <c r="C458" s="124"/>
      <c r="D458" s="124"/>
      <c r="E458" s="124" t="s">
        <v>19</v>
      </c>
      <c r="F458" s="124"/>
      <c r="G458" s="124"/>
      <c r="H458" s="124"/>
      <c r="I458" s="124"/>
      <c r="J458" s="124"/>
      <c r="K458" s="124" t="s">
        <v>25</v>
      </c>
      <c r="L458" s="124"/>
      <c r="M458" s="124"/>
      <c r="N458" s="124" t="s">
        <v>28</v>
      </c>
      <c r="O458" s="124"/>
      <c r="P458" s="161">
        <f t="shared" si="126"/>
        <v>3</v>
      </c>
      <c r="Q458" s="161">
        <f t="shared" si="127"/>
        <v>1</v>
      </c>
      <c r="R458" s="161"/>
      <c r="S458" s="161">
        <f t="shared" si="128"/>
        <v>0</v>
      </c>
      <c r="T458" s="161">
        <f t="shared" si="129"/>
        <v>0</v>
      </c>
      <c r="U458" s="161">
        <f t="shared" si="130"/>
        <v>0</v>
      </c>
      <c r="V458" s="162">
        <f t="shared" si="131"/>
        <v>1</v>
      </c>
      <c r="W458" s="162">
        <f t="shared" si="132"/>
        <v>0</v>
      </c>
      <c r="X458" s="162">
        <f t="shared" si="133"/>
        <v>0</v>
      </c>
      <c r="Y458" s="162">
        <f t="shared" si="134"/>
        <v>0</v>
      </c>
      <c r="Z458" s="162">
        <f t="shared" si="135"/>
        <v>0</v>
      </c>
      <c r="AA458" s="162">
        <f t="shared" si="136"/>
        <v>0</v>
      </c>
      <c r="AB458" s="162">
        <f t="shared" si="137"/>
        <v>1</v>
      </c>
      <c r="AC458" s="162">
        <f t="shared" si="138"/>
        <v>0</v>
      </c>
      <c r="AD458" s="162">
        <f t="shared" si="139"/>
        <v>0</v>
      </c>
      <c r="AE458" s="162">
        <f t="shared" si="140"/>
        <v>1</v>
      </c>
      <c r="AF458" s="163"/>
      <c r="AG458" s="161"/>
      <c r="AH458" s="161">
        <f t="shared" si="141"/>
        <v>3</v>
      </c>
      <c r="AI458" s="161">
        <f t="shared" si="142"/>
        <v>3</v>
      </c>
      <c r="AJ458" s="161" t="str">
        <f t="shared" si="143"/>
        <v>Correct</v>
      </c>
      <c r="AK458" s="124"/>
      <c r="AL458" s="164" t="str">
        <f>IFERROR(VLOOKUP(Table1[RespondentID],'All Data'!$A$3:$CO$999,87,FALSE),"unknown")</f>
        <v>Man</v>
      </c>
      <c r="AM458" s="124"/>
      <c r="AN458" s="120" t="str">
        <f>IFERROR(VLOOKUP(Table1[RespondentID],'All Data'!$A$3:$CO$999,89,FALSE),"unknown")</f>
        <v>Nassau</v>
      </c>
      <c r="AO458" s="120" t="str">
        <f>IFERROR(VLOOKUP(Table1[RespondentID],'All Data'!$A$3:$CO$999,90,FALSE),"unknown")</f>
        <v>Uniondale, 11553</v>
      </c>
      <c r="AP458" s="120">
        <f>IFERROR(VLOOKUP(Table1[RespondentID],'All Data'!$A$3:$CO$999,91,FALSE),"unknown")</f>
        <v>0</v>
      </c>
      <c r="AQ458" s="120" t="str">
        <f>IFERROR(VLOOKUP(Table1[RespondentID],'All Data'!$A$3:$CO$999,92,FALSE),"unknown")</f>
        <v>Hispanic or Latino</v>
      </c>
      <c r="AR458" s="120" t="str">
        <f>IFERROR(VLOOKUP(Table1[RespondentID],'All Data'!$A$3:$CO$999,93,FALSE),"unknown")</f>
        <v>English,Spanish</v>
      </c>
      <c r="AS458" s="120">
        <f>IFERROR(VLOOKUP(Table1[RespondentID],'All Data'!$A$3:$CW$999,94,FALSE),"unknown")</f>
        <v>0</v>
      </c>
      <c r="AT458" s="120" t="str">
        <f>IFERROR(VLOOKUP(Table1[RespondentID],'All Data'!$A$3:$CW$999,95,FALSE),"unknown")</f>
        <v>High school graduate</v>
      </c>
      <c r="AU458" s="120" t="str">
        <f>IFERROR(VLOOKUP(Table1[RespondentID],'All Data'!$A$3:$CW$999,96,FALSE),"unknown")</f>
        <v>Employed for wages</v>
      </c>
      <c r="AV458" s="120" t="str">
        <f>IFERROR(VLOOKUP(Table1[RespondentID],'All Data'!$A$3:$CW$999,97,FALSE),"unknown")</f>
        <v>Yes</v>
      </c>
      <c r="AW458" s="120">
        <f>IFERROR(VLOOKUP(Table1[RespondentID],'All Data'!$A$3:$CW$999,98,FALSE),"unknown")</f>
        <v>0</v>
      </c>
      <c r="AX458" s="120" t="str">
        <f>IFERROR(VLOOKUP(Table1[RespondentID],'All Data'!$A$3:$CW$999,99,FALSE),"unknown")</f>
        <v>Yes</v>
      </c>
    </row>
    <row r="459" spans="1:50">
      <c r="A459" s="159">
        <v>18031752417</v>
      </c>
      <c r="B459" s="160"/>
      <c r="C459" s="124"/>
      <c r="D459" s="124" t="s">
        <v>18</v>
      </c>
      <c r="E459" s="124"/>
      <c r="F459" s="124"/>
      <c r="G459" s="124"/>
      <c r="H459" s="124"/>
      <c r="I459" s="124"/>
      <c r="J459" s="124"/>
      <c r="K459" s="124"/>
      <c r="L459" s="124"/>
      <c r="M459" s="124"/>
      <c r="N459" s="124" t="s">
        <v>28</v>
      </c>
      <c r="O459" s="124" t="s">
        <v>490</v>
      </c>
      <c r="P459" s="161">
        <f t="shared" si="126"/>
        <v>2</v>
      </c>
      <c r="Q459" s="161">
        <f t="shared" si="127"/>
        <v>1.5</v>
      </c>
      <c r="R459" s="161"/>
      <c r="S459" s="161">
        <f t="shared" si="128"/>
        <v>0</v>
      </c>
      <c r="T459" s="161">
        <f t="shared" si="129"/>
        <v>0</v>
      </c>
      <c r="U459" s="161">
        <f t="shared" si="130"/>
        <v>1</v>
      </c>
      <c r="V459" s="162">
        <f t="shared" si="131"/>
        <v>0</v>
      </c>
      <c r="W459" s="162">
        <f t="shared" si="132"/>
        <v>0</v>
      </c>
      <c r="X459" s="162">
        <f t="shared" si="133"/>
        <v>0</v>
      </c>
      <c r="Y459" s="162">
        <f t="shared" si="134"/>
        <v>0</v>
      </c>
      <c r="Z459" s="162">
        <f t="shared" si="135"/>
        <v>0</v>
      </c>
      <c r="AA459" s="162">
        <f t="shared" si="136"/>
        <v>0</v>
      </c>
      <c r="AB459" s="162">
        <f t="shared" si="137"/>
        <v>0</v>
      </c>
      <c r="AC459" s="162">
        <f t="shared" si="138"/>
        <v>0</v>
      </c>
      <c r="AD459" s="162">
        <f t="shared" si="139"/>
        <v>0</v>
      </c>
      <c r="AE459" s="162">
        <f t="shared" si="140"/>
        <v>1</v>
      </c>
      <c r="AF459" s="163"/>
      <c r="AG459" s="161"/>
      <c r="AH459" s="161">
        <f t="shared" si="141"/>
        <v>2</v>
      </c>
      <c r="AI459" s="161">
        <f t="shared" si="142"/>
        <v>2</v>
      </c>
      <c r="AJ459" s="161" t="str">
        <f t="shared" si="143"/>
        <v>Correct</v>
      </c>
      <c r="AK459" s="124"/>
      <c r="AL459" s="164" t="str">
        <f>IFERROR(VLOOKUP(Table1[RespondentID],'All Data'!$A$3:$CO$999,87,FALSE),"unknown")</f>
        <v>Woman</v>
      </c>
      <c r="AM459" s="124"/>
      <c r="AN459" s="120">
        <f>IFERROR(VLOOKUP(Table1[RespondentID],'All Data'!$A$3:$CO$999,89,FALSE),"unknown")</f>
        <v>0</v>
      </c>
      <c r="AO459" s="120">
        <f>IFERROR(VLOOKUP(Table1[RespondentID],'All Data'!$A$3:$CO$999,90,FALSE),"unknown")</f>
        <v>0</v>
      </c>
      <c r="AP459" s="120">
        <f>IFERROR(VLOOKUP(Table1[RespondentID],'All Data'!$A$3:$CO$999,91,FALSE),"unknown")</f>
        <v>0</v>
      </c>
      <c r="AQ459" s="120">
        <f>IFERROR(VLOOKUP(Table1[RespondentID],'All Data'!$A$3:$CO$999,92,FALSE),"unknown")</f>
        <v>0</v>
      </c>
      <c r="AR459" s="120" t="str">
        <f>IFERROR(VLOOKUP(Table1[RespondentID],'All Data'!$A$3:$CO$999,93,FALSE),"unknown")</f>
        <v>Chinese</v>
      </c>
      <c r="AS459" s="120" t="str">
        <f>IFERROR(VLOOKUP(Table1[RespondentID],'All Data'!$A$3:$CW$999,94,FALSE),"unknown")</f>
        <v>$75,000 to $125,000</v>
      </c>
      <c r="AT459" s="120" t="str">
        <f>IFERROR(VLOOKUP(Table1[RespondentID],'All Data'!$A$3:$CW$999,95,FALSE),"unknown")</f>
        <v>College graduate</v>
      </c>
      <c r="AU459" s="120" t="str">
        <f>IFERROR(VLOOKUP(Table1[RespondentID],'All Data'!$A$3:$CW$999,96,FALSE),"unknown")</f>
        <v>Retired</v>
      </c>
      <c r="AV459" s="120" t="str">
        <f>IFERROR(VLOOKUP(Table1[RespondentID],'All Data'!$A$3:$CW$999,97,FALSE),"unknown")</f>
        <v>Yes</v>
      </c>
      <c r="AW459" s="120" t="str">
        <f>IFERROR(VLOOKUP(Table1[RespondentID],'All Data'!$A$3:$CW$999,98,FALSE),"unknown")</f>
        <v>Medicaid</v>
      </c>
      <c r="AX459" s="120" t="str">
        <f>IFERROR(VLOOKUP(Table1[RespondentID],'All Data'!$A$3:$CW$999,99,FALSE),"unknown")</f>
        <v>Yes</v>
      </c>
    </row>
    <row r="460" spans="1:50">
      <c r="A460" s="159">
        <v>18031752360</v>
      </c>
      <c r="B460" s="160"/>
      <c r="C460" s="124" t="s">
        <v>17</v>
      </c>
      <c r="D460" s="124"/>
      <c r="E460" s="124"/>
      <c r="F460" s="124"/>
      <c r="G460" s="124"/>
      <c r="H460" s="124"/>
      <c r="I460" s="124"/>
      <c r="J460" s="124"/>
      <c r="K460" s="124"/>
      <c r="L460" s="124"/>
      <c r="M460" s="124"/>
      <c r="N460" s="124"/>
      <c r="O460" s="124"/>
      <c r="P460" s="161">
        <f t="shared" si="126"/>
        <v>1</v>
      </c>
      <c r="Q460" s="161">
        <f t="shared" si="127"/>
        <v>3</v>
      </c>
      <c r="R460" s="161"/>
      <c r="S460" s="161">
        <f t="shared" si="128"/>
        <v>0</v>
      </c>
      <c r="T460" s="161">
        <f t="shared" si="129"/>
        <v>1</v>
      </c>
      <c r="U460" s="161">
        <f t="shared" si="130"/>
        <v>0</v>
      </c>
      <c r="V460" s="162">
        <f t="shared" si="131"/>
        <v>0</v>
      </c>
      <c r="W460" s="162">
        <f t="shared" si="132"/>
        <v>0</v>
      </c>
      <c r="X460" s="162">
        <f t="shared" si="133"/>
        <v>0</v>
      </c>
      <c r="Y460" s="162">
        <f t="shared" si="134"/>
        <v>0</v>
      </c>
      <c r="Z460" s="162">
        <f t="shared" si="135"/>
        <v>0</v>
      </c>
      <c r="AA460" s="162">
        <f t="shared" si="136"/>
        <v>0</v>
      </c>
      <c r="AB460" s="162">
        <f t="shared" si="137"/>
        <v>0</v>
      </c>
      <c r="AC460" s="162">
        <f t="shared" si="138"/>
        <v>0</v>
      </c>
      <c r="AD460" s="162">
        <f t="shared" si="139"/>
        <v>0</v>
      </c>
      <c r="AE460" s="162">
        <f t="shared" si="140"/>
        <v>0</v>
      </c>
      <c r="AF460" s="163"/>
      <c r="AG460" s="161"/>
      <c r="AH460" s="161">
        <f t="shared" si="141"/>
        <v>1</v>
      </c>
      <c r="AI460" s="161">
        <f t="shared" si="142"/>
        <v>1</v>
      </c>
      <c r="AJ460" s="161" t="str">
        <f t="shared" si="143"/>
        <v>Correct</v>
      </c>
      <c r="AK460" s="124"/>
      <c r="AL460" s="164" t="str">
        <f>IFERROR(VLOOKUP(Table1[RespondentID],'All Data'!$A$3:$CO$999,87,FALSE),"unknown")</f>
        <v>Man</v>
      </c>
      <c r="AM460" s="124"/>
      <c r="AN460" s="120" t="str">
        <f>IFERROR(VLOOKUP(Table1[RespondentID],'All Data'!$A$3:$CO$999,89,FALSE),"unknown")</f>
        <v>Nassau</v>
      </c>
      <c r="AO460" s="120" t="str">
        <f>IFERROR(VLOOKUP(Table1[RespondentID],'All Data'!$A$3:$CO$999,90,FALSE),"unknown")</f>
        <v>New Hyde Park, 11040</v>
      </c>
      <c r="AP460" s="120" t="str">
        <f>IFERROR(VLOOKUP(Table1[RespondentID],'All Data'!$A$3:$CO$999,91,FALSE),"unknown")</f>
        <v>White</v>
      </c>
      <c r="AQ460" s="120">
        <f>IFERROR(VLOOKUP(Table1[RespondentID],'All Data'!$A$3:$CO$999,92,FALSE),"unknown")</f>
        <v>0</v>
      </c>
      <c r="AR460" s="120" t="str">
        <f>IFERROR(VLOOKUP(Table1[RespondentID],'All Data'!$A$3:$CO$999,93,FALSE),"unknown")</f>
        <v>English</v>
      </c>
      <c r="AS460" s="120">
        <f>IFERROR(VLOOKUP(Table1[RespondentID],'All Data'!$A$3:$CW$999,94,FALSE),"unknown")</f>
        <v>0</v>
      </c>
      <c r="AT460" s="120" t="str">
        <f>IFERROR(VLOOKUP(Table1[RespondentID],'All Data'!$A$3:$CW$999,95,FALSE),"unknown")</f>
        <v>Some high school</v>
      </c>
      <c r="AU460" s="120" t="str">
        <f>IFERROR(VLOOKUP(Table1[RespondentID],'All Data'!$A$3:$CW$999,96,FALSE),"unknown")</f>
        <v>Retired</v>
      </c>
      <c r="AV460" s="120" t="str">
        <f>IFERROR(VLOOKUP(Table1[RespondentID],'All Data'!$A$3:$CW$999,97,FALSE),"unknown")</f>
        <v>Yes</v>
      </c>
      <c r="AW460" s="120" t="str">
        <f>IFERROR(VLOOKUP(Table1[RespondentID],'All Data'!$A$3:$CW$999,98,FALSE),"unknown")</f>
        <v>Medicare</v>
      </c>
      <c r="AX460" s="120" t="str">
        <f>IFERROR(VLOOKUP(Table1[RespondentID],'All Data'!$A$3:$CW$999,99,FALSE),"unknown")</f>
        <v>No</v>
      </c>
    </row>
    <row r="461" spans="1:50">
      <c r="A461" s="159">
        <v>18031752309</v>
      </c>
      <c r="B461" s="160"/>
      <c r="C461" s="124" t="s">
        <v>17</v>
      </c>
      <c r="D461" s="124" t="s">
        <v>18</v>
      </c>
      <c r="E461" s="124"/>
      <c r="F461" s="124"/>
      <c r="G461" s="124"/>
      <c r="H461" s="124"/>
      <c r="I461" s="124"/>
      <c r="J461" s="124"/>
      <c r="K461" s="124"/>
      <c r="L461" s="124"/>
      <c r="M461" s="124"/>
      <c r="N461" s="124"/>
      <c r="O461" s="124"/>
      <c r="P461" s="161">
        <f t="shared" si="126"/>
        <v>2</v>
      </c>
      <c r="Q461" s="161">
        <f t="shared" si="127"/>
        <v>1.5</v>
      </c>
      <c r="R461" s="161"/>
      <c r="S461" s="161">
        <f t="shared" si="128"/>
        <v>0</v>
      </c>
      <c r="T461" s="161">
        <f t="shared" si="129"/>
        <v>1</v>
      </c>
      <c r="U461" s="161">
        <f t="shared" si="130"/>
        <v>1</v>
      </c>
      <c r="V461" s="162">
        <f t="shared" si="131"/>
        <v>0</v>
      </c>
      <c r="W461" s="162">
        <f t="shared" si="132"/>
        <v>0</v>
      </c>
      <c r="X461" s="162">
        <f t="shared" si="133"/>
        <v>0</v>
      </c>
      <c r="Y461" s="162">
        <f t="shared" si="134"/>
        <v>0</v>
      </c>
      <c r="Z461" s="162">
        <f t="shared" si="135"/>
        <v>0</v>
      </c>
      <c r="AA461" s="162">
        <f t="shared" si="136"/>
        <v>0</v>
      </c>
      <c r="AB461" s="162">
        <f t="shared" si="137"/>
        <v>0</v>
      </c>
      <c r="AC461" s="162">
        <f t="shared" si="138"/>
        <v>0</v>
      </c>
      <c r="AD461" s="162">
        <f t="shared" si="139"/>
        <v>0</v>
      </c>
      <c r="AE461" s="162">
        <f t="shared" si="140"/>
        <v>0</v>
      </c>
      <c r="AF461" s="163"/>
      <c r="AG461" s="161"/>
      <c r="AH461" s="161">
        <f t="shared" si="141"/>
        <v>2</v>
      </c>
      <c r="AI461" s="161">
        <f t="shared" si="142"/>
        <v>2</v>
      </c>
      <c r="AJ461" s="161" t="str">
        <f t="shared" si="143"/>
        <v>Correct</v>
      </c>
      <c r="AK461" s="124"/>
      <c r="AL461" s="164" t="str">
        <f>IFERROR(VLOOKUP(Table1[RespondentID],'All Data'!$A$3:$CO$999,87,FALSE),"unknown")</f>
        <v>Woman</v>
      </c>
      <c r="AM461" s="124"/>
      <c r="AN461" s="120">
        <f>IFERROR(VLOOKUP(Table1[RespondentID],'All Data'!$A$3:$CO$999,89,FALSE),"unknown")</f>
        <v>0</v>
      </c>
      <c r="AO461" s="120">
        <f>IFERROR(VLOOKUP(Table1[RespondentID],'All Data'!$A$3:$CO$999,90,FALSE),"unknown")</f>
        <v>0</v>
      </c>
      <c r="AP461" s="120" t="str">
        <f>IFERROR(VLOOKUP(Table1[RespondentID],'All Data'!$A$3:$CO$999,91,FALSE),"unknown")</f>
        <v>White</v>
      </c>
      <c r="AQ461" s="120" t="str">
        <f>IFERROR(VLOOKUP(Table1[RespondentID],'All Data'!$A$3:$CO$999,92,FALSE),"unknown")</f>
        <v>Not Hispanic or Latino</v>
      </c>
      <c r="AR461" s="120" t="str">
        <f>IFERROR(VLOOKUP(Table1[RespondentID],'All Data'!$A$3:$CO$999,93,FALSE),"unknown")</f>
        <v>English</v>
      </c>
      <c r="AS461" s="120">
        <f>IFERROR(VLOOKUP(Table1[RespondentID],'All Data'!$A$3:$CW$999,94,FALSE),"unknown")</f>
        <v>0</v>
      </c>
      <c r="AT461" s="120" t="str">
        <f>IFERROR(VLOOKUP(Table1[RespondentID],'All Data'!$A$3:$CW$999,95,FALSE),"unknown")</f>
        <v>High school graduate</v>
      </c>
      <c r="AU461" s="120" t="str">
        <f>IFERROR(VLOOKUP(Table1[RespondentID],'All Data'!$A$3:$CW$999,96,FALSE),"unknown")</f>
        <v>Retired</v>
      </c>
      <c r="AV461" s="120" t="str">
        <f>IFERROR(VLOOKUP(Table1[RespondentID],'All Data'!$A$3:$CW$999,97,FALSE),"unknown")</f>
        <v>Yes</v>
      </c>
      <c r="AW461" s="120" t="str">
        <f>IFERROR(VLOOKUP(Table1[RespondentID],'All Data'!$A$3:$CW$999,98,FALSE),"unknown")</f>
        <v>Medicare</v>
      </c>
      <c r="AX461" s="120">
        <f>IFERROR(VLOOKUP(Table1[RespondentID],'All Data'!$A$3:$CW$999,99,FALSE),"unknown")</f>
        <v>0</v>
      </c>
    </row>
    <row r="462" spans="1:50">
      <c r="A462" s="159">
        <v>18031752239</v>
      </c>
      <c r="B462" s="160"/>
      <c r="C462" s="124" t="s">
        <v>17</v>
      </c>
      <c r="D462" s="124" t="s">
        <v>18</v>
      </c>
      <c r="E462" s="124"/>
      <c r="F462" s="124"/>
      <c r="G462" s="124"/>
      <c r="H462" s="124"/>
      <c r="I462" s="124"/>
      <c r="J462" s="124"/>
      <c r="K462" s="124"/>
      <c r="L462" s="124"/>
      <c r="M462" s="124"/>
      <c r="N462" s="124"/>
      <c r="O462" s="124" t="s">
        <v>490</v>
      </c>
      <c r="P462" s="161">
        <f t="shared" ref="P462:P493" si="144">COUNTA(B462:N462)</f>
        <v>2</v>
      </c>
      <c r="Q462" s="161">
        <f t="shared" ref="Q462:Q493" si="145">3/P462</f>
        <v>1.5</v>
      </c>
      <c r="R462" s="161"/>
      <c r="S462" s="161">
        <f t="shared" ref="S462:S493" si="146">IF($P462&lt;3,IF($B462=$B$1,1,0),IF($B462=$B$1,$Q462,0))</f>
        <v>0</v>
      </c>
      <c r="T462" s="161">
        <f t="shared" ref="T462:T493" si="147">IF($P462&lt;3,IF($C462=$C$1,1,0),IF($C462=$C$1,$Q462,0))</f>
        <v>1</v>
      </c>
      <c r="U462" s="161">
        <f t="shared" ref="U462:U493" si="148">IF($P462&lt;3,IF($D462=$D$1,1,0),IF($D462=$D$1,$Q462,0))</f>
        <v>1</v>
      </c>
      <c r="V462" s="162">
        <f t="shared" ref="V462:V493" si="149">IF($P462&lt;3,IF($E462=$E$1,1,0),IF($E462=$E$1,$Q462,0))</f>
        <v>0</v>
      </c>
      <c r="W462" s="162">
        <f t="shared" ref="W462:W493" si="150">IF($P462&lt;3,IF($F462=$F$1,1,0),IF($F462=$F$1,$Q462,0))</f>
        <v>0</v>
      </c>
      <c r="X462" s="162">
        <f t="shared" ref="X462:X493" si="151">IF($P462&lt;3,IF($G462=$G$1,1,0),IF($G462=$G$1,$Q462,0))</f>
        <v>0</v>
      </c>
      <c r="Y462" s="162">
        <f t="shared" ref="Y462:Y493" si="152">IF($P462&lt;3,IF($H462=$H$1,1,0),IF($H462=$H$1,$Q462,0))</f>
        <v>0</v>
      </c>
      <c r="Z462" s="162">
        <f t="shared" ref="Z462:Z493" si="153">IF($P462&lt;3,IF($I462=$I$1,1,0),IF($I462=$I$1,$Q462,0))</f>
        <v>0</v>
      </c>
      <c r="AA462" s="162">
        <f t="shared" ref="AA462:AA493" si="154">IF($P462&lt;3,IF($J462=$J$1,1,0),IF($J462=$J$1,$Q462,0))</f>
        <v>0</v>
      </c>
      <c r="AB462" s="162">
        <f t="shared" ref="AB462:AB493" si="155">IF($P462&lt;3,IF($K462=$K$1,1,0),IF($K462=$K$1,$Q462,0))</f>
        <v>0</v>
      </c>
      <c r="AC462" s="162">
        <f t="shared" ref="AC462:AC493" si="156">IF($P462&lt;3,IF($L462=$L$1,1,0),IF($L462=$L$1,$Q462,0))</f>
        <v>0</v>
      </c>
      <c r="AD462" s="162">
        <f t="shared" ref="AD462:AD493" si="157">IF($P462&lt;3,IF($M462=$M$1,1,0),IF($M462=$M$1,$Q462,0))</f>
        <v>0</v>
      </c>
      <c r="AE462" s="162">
        <f t="shared" ref="AE462:AE493" si="158">IF($P462&lt;3,IF($N462=$N$1,1,0),IF($N462=$N$1,$Q462,0))</f>
        <v>0</v>
      </c>
      <c r="AF462" s="163"/>
      <c r="AG462" s="161"/>
      <c r="AH462" s="161">
        <f t="shared" ref="AH462:AH493" si="159">SUM(S462:AE462)</f>
        <v>2</v>
      </c>
      <c r="AI462" s="161">
        <f t="shared" ref="AI462:AI493" si="160">P462</f>
        <v>2</v>
      </c>
      <c r="AJ462" s="161" t="str">
        <f t="shared" ref="AJ462:AJ493" si="161">IF(AH462=AI462,"Correct",IF(AH462=3,"Correct","Wrong"))</f>
        <v>Correct</v>
      </c>
      <c r="AK462" s="124"/>
      <c r="AL462" s="164" t="str">
        <f>IFERROR(VLOOKUP(Table1[RespondentID],'All Data'!$A$3:$CO$999,87,FALSE),"unknown")</f>
        <v>Woman</v>
      </c>
      <c r="AM462" s="124"/>
      <c r="AN462" s="120" t="str">
        <f>IFERROR(VLOOKUP(Table1[RespondentID],'All Data'!$A$3:$CO$999,89,FALSE),"unknown")</f>
        <v>Nassau</v>
      </c>
      <c r="AO462" s="120" t="str">
        <f>IFERROR(VLOOKUP(Table1[RespondentID],'All Data'!$A$3:$CO$999,90,FALSE),"unknown")</f>
        <v>Carle Place, 11514</v>
      </c>
      <c r="AP462" s="120" t="str">
        <f>IFERROR(VLOOKUP(Table1[RespondentID],'All Data'!$A$3:$CO$999,91,FALSE),"unknown")</f>
        <v>White</v>
      </c>
      <c r="AQ462" s="120" t="str">
        <f>IFERROR(VLOOKUP(Table1[RespondentID],'All Data'!$A$3:$CO$999,92,FALSE),"unknown")</f>
        <v>Not Hispanic or Latino</v>
      </c>
      <c r="AR462" s="120" t="str">
        <f>IFERROR(VLOOKUP(Table1[RespondentID],'All Data'!$A$3:$CO$999,93,FALSE),"unknown")</f>
        <v>English</v>
      </c>
      <c r="AS462" s="120">
        <f>IFERROR(VLOOKUP(Table1[RespondentID],'All Data'!$A$3:$CW$999,94,FALSE),"unknown")</f>
        <v>0</v>
      </c>
      <c r="AT462" s="120">
        <f>IFERROR(VLOOKUP(Table1[RespondentID],'All Data'!$A$3:$CW$999,95,FALSE),"unknown")</f>
        <v>0</v>
      </c>
      <c r="AU462" s="120" t="str">
        <f>IFERROR(VLOOKUP(Table1[RespondentID],'All Data'!$A$3:$CW$999,96,FALSE),"unknown")</f>
        <v>Retired</v>
      </c>
      <c r="AV462" s="120" t="str">
        <f>IFERROR(VLOOKUP(Table1[RespondentID],'All Data'!$A$3:$CW$999,97,FALSE),"unknown")</f>
        <v>Yes</v>
      </c>
      <c r="AW462" s="120" t="str">
        <f>IFERROR(VLOOKUP(Table1[RespondentID],'All Data'!$A$3:$CW$999,98,FALSE),"unknown")</f>
        <v>Medicare,Private/Commercial</v>
      </c>
      <c r="AX462" s="120" t="str">
        <f>IFERROR(VLOOKUP(Table1[RespondentID],'All Data'!$A$3:$CW$999,99,FALSE),"unknown")</f>
        <v>Yes</v>
      </c>
    </row>
    <row r="463" spans="1:50">
      <c r="A463" s="159">
        <v>18031752178</v>
      </c>
      <c r="B463" s="160"/>
      <c r="C463" s="124"/>
      <c r="D463" s="124"/>
      <c r="E463" s="124" t="s">
        <v>19</v>
      </c>
      <c r="F463" s="124"/>
      <c r="G463" s="124" t="s">
        <v>21</v>
      </c>
      <c r="H463" s="124"/>
      <c r="I463" s="124" t="s">
        <v>23</v>
      </c>
      <c r="J463" s="124"/>
      <c r="K463" s="124" t="s">
        <v>25</v>
      </c>
      <c r="L463" s="124"/>
      <c r="M463" s="124" t="s">
        <v>27</v>
      </c>
      <c r="N463" s="124" t="s">
        <v>28</v>
      </c>
      <c r="O463" s="124"/>
      <c r="P463" s="161">
        <f t="shared" si="144"/>
        <v>6</v>
      </c>
      <c r="Q463" s="161">
        <f t="shared" si="145"/>
        <v>0.5</v>
      </c>
      <c r="R463" s="161"/>
      <c r="S463" s="161">
        <f t="shared" si="146"/>
        <v>0</v>
      </c>
      <c r="T463" s="161">
        <f t="shared" si="147"/>
        <v>0</v>
      </c>
      <c r="U463" s="161">
        <f t="shared" si="148"/>
        <v>0</v>
      </c>
      <c r="V463" s="162">
        <f t="shared" si="149"/>
        <v>0.5</v>
      </c>
      <c r="W463" s="162">
        <f t="shared" si="150"/>
        <v>0</v>
      </c>
      <c r="X463" s="162">
        <f t="shared" si="151"/>
        <v>0.5</v>
      </c>
      <c r="Y463" s="162">
        <f t="shared" si="152"/>
        <v>0</v>
      </c>
      <c r="Z463" s="162">
        <f t="shared" si="153"/>
        <v>0.5</v>
      </c>
      <c r="AA463" s="162">
        <f t="shared" si="154"/>
        <v>0</v>
      </c>
      <c r="AB463" s="162">
        <f t="shared" si="155"/>
        <v>0.5</v>
      </c>
      <c r="AC463" s="162">
        <f t="shared" si="156"/>
        <v>0</v>
      </c>
      <c r="AD463" s="162">
        <f t="shared" si="157"/>
        <v>0.5</v>
      </c>
      <c r="AE463" s="162">
        <f t="shared" si="158"/>
        <v>0.5</v>
      </c>
      <c r="AF463" s="163"/>
      <c r="AG463" s="161"/>
      <c r="AH463" s="161">
        <f t="shared" si="159"/>
        <v>3</v>
      </c>
      <c r="AI463" s="161">
        <f t="shared" si="160"/>
        <v>6</v>
      </c>
      <c r="AJ463" s="161" t="str">
        <f t="shared" si="161"/>
        <v>Correct</v>
      </c>
      <c r="AK463" s="124"/>
      <c r="AL463" s="164" t="str">
        <f>IFERROR(VLOOKUP(Table1[RespondentID],'All Data'!$A$3:$CO$999,87,FALSE),"unknown")</f>
        <v>Woman</v>
      </c>
      <c r="AM463" s="124"/>
      <c r="AN463" s="120" t="str">
        <f>IFERROR(VLOOKUP(Table1[RespondentID],'All Data'!$A$3:$CO$999,89,FALSE),"unknown")</f>
        <v>Nassau</v>
      </c>
      <c r="AO463" s="120" t="str">
        <f>IFERROR(VLOOKUP(Table1[RespondentID],'All Data'!$A$3:$CO$999,90,FALSE),"unknown")</f>
        <v>New Cassel, 11590</v>
      </c>
      <c r="AP463" s="120" t="str">
        <f>IFERROR(VLOOKUP(Table1[RespondentID],'All Data'!$A$3:$CO$999,91,FALSE),"unknown")</f>
        <v>White</v>
      </c>
      <c r="AQ463" s="120" t="str">
        <f>IFERROR(VLOOKUP(Table1[RespondentID],'All Data'!$A$3:$CO$999,92,FALSE),"unknown")</f>
        <v>Not Hispanic or Latino</v>
      </c>
      <c r="AR463" s="120" t="str">
        <f>IFERROR(VLOOKUP(Table1[RespondentID],'All Data'!$A$3:$CO$999,93,FALSE),"unknown")</f>
        <v>English</v>
      </c>
      <c r="AS463" s="120" t="str">
        <f>IFERROR(VLOOKUP(Table1[RespondentID],'All Data'!$A$3:$CW$999,94,FALSE),"unknown")</f>
        <v>$75,000 to $125,000</v>
      </c>
      <c r="AT463" s="120" t="str">
        <f>IFERROR(VLOOKUP(Table1[RespondentID],'All Data'!$A$3:$CW$999,95,FALSE),"unknown")</f>
        <v>College graduate</v>
      </c>
      <c r="AU463" s="120" t="str">
        <f>IFERROR(VLOOKUP(Table1[RespondentID],'All Data'!$A$3:$CW$999,96,FALSE),"unknown")</f>
        <v>Retired</v>
      </c>
      <c r="AV463" s="120" t="str">
        <f>IFERROR(VLOOKUP(Table1[RespondentID],'All Data'!$A$3:$CW$999,97,FALSE),"unknown")</f>
        <v>Yes</v>
      </c>
      <c r="AW463" s="120" t="str">
        <f>IFERROR(VLOOKUP(Table1[RespondentID],'All Data'!$A$3:$CW$999,98,FALSE),"unknown")</f>
        <v>Medicare</v>
      </c>
      <c r="AX463" s="120" t="str">
        <f>IFERROR(VLOOKUP(Table1[RespondentID],'All Data'!$A$3:$CW$999,99,FALSE),"unknown")</f>
        <v>Yes</v>
      </c>
    </row>
    <row r="464" spans="1:50">
      <c r="A464" s="159">
        <v>18031752106</v>
      </c>
      <c r="B464" s="160"/>
      <c r="C464" s="124"/>
      <c r="D464" s="124"/>
      <c r="E464" s="124"/>
      <c r="F464" s="124"/>
      <c r="G464" s="124"/>
      <c r="H464" s="124"/>
      <c r="I464" s="124"/>
      <c r="J464" s="124"/>
      <c r="K464" s="124" t="s">
        <v>25</v>
      </c>
      <c r="L464" s="124" t="s">
        <v>26</v>
      </c>
      <c r="M464" s="124"/>
      <c r="N464" s="124" t="s">
        <v>28</v>
      </c>
      <c r="O464" s="124"/>
      <c r="P464" s="161">
        <f t="shared" si="144"/>
        <v>3</v>
      </c>
      <c r="Q464" s="161">
        <f t="shared" si="145"/>
        <v>1</v>
      </c>
      <c r="R464" s="161"/>
      <c r="S464" s="161">
        <f t="shared" si="146"/>
        <v>0</v>
      </c>
      <c r="T464" s="161">
        <f t="shared" si="147"/>
        <v>0</v>
      </c>
      <c r="U464" s="161">
        <f t="shared" si="148"/>
        <v>0</v>
      </c>
      <c r="V464" s="162">
        <f t="shared" si="149"/>
        <v>0</v>
      </c>
      <c r="W464" s="162">
        <f t="shared" si="150"/>
        <v>0</v>
      </c>
      <c r="X464" s="162">
        <f t="shared" si="151"/>
        <v>0</v>
      </c>
      <c r="Y464" s="162">
        <f t="shared" si="152"/>
        <v>0</v>
      </c>
      <c r="Z464" s="162">
        <f t="shared" si="153"/>
        <v>0</v>
      </c>
      <c r="AA464" s="162">
        <f t="shared" si="154"/>
        <v>0</v>
      </c>
      <c r="AB464" s="162">
        <f t="shared" si="155"/>
        <v>1</v>
      </c>
      <c r="AC464" s="162">
        <f t="shared" si="156"/>
        <v>1</v>
      </c>
      <c r="AD464" s="162">
        <f t="shared" si="157"/>
        <v>0</v>
      </c>
      <c r="AE464" s="162">
        <f t="shared" si="158"/>
        <v>1</v>
      </c>
      <c r="AF464" s="163"/>
      <c r="AG464" s="161"/>
      <c r="AH464" s="161">
        <f t="shared" si="159"/>
        <v>3</v>
      </c>
      <c r="AI464" s="161">
        <f t="shared" si="160"/>
        <v>3</v>
      </c>
      <c r="AJ464" s="161" t="str">
        <f t="shared" si="161"/>
        <v>Correct</v>
      </c>
      <c r="AK464" s="124"/>
      <c r="AL464" s="164" t="str">
        <f>IFERROR(VLOOKUP(Table1[RespondentID],'All Data'!$A$3:$CO$999,87,FALSE),"unknown")</f>
        <v>Man</v>
      </c>
      <c r="AM464" s="124"/>
      <c r="AN464" s="120" t="str">
        <f>IFERROR(VLOOKUP(Table1[RespondentID],'All Data'!$A$3:$CO$999,89,FALSE),"unknown")</f>
        <v>Nassau</v>
      </c>
      <c r="AO464" s="120" t="str">
        <f>IFERROR(VLOOKUP(Table1[RespondentID],'All Data'!$A$3:$CO$999,90,FALSE),"unknown")</f>
        <v>Westbury, 11590</v>
      </c>
      <c r="AP464" s="120" t="str">
        <f>IFERROR(VLOOKUP(Table1[RespondentID],'All Data'!$A$3:$CO$999,91,FALSE),"unknown")</f>
        <v>White</v>
      </c>
      <c r="AQ464" s="120">
        <f>IFERROR(VLOOKUP(Table1[RespondentID],'All Data'!$A$3:$CO$999,92,FALSE),"unknown")</f>
        <v>0</v>
      </c>
      <c r="AR464" s="120" t="str">
        <f>IFERROR(VLOOKUP(Table1[RespondentID],'All Data'!$A$3:$CO$999,93,FALSE),"unknown")</f>
        <v>English</v>
      </c>
      <c r="AS464" s="120" t="str">
        <f>IFERROR(VLOOKUP(Table1[RespondentID],'All Data'!$A$3:$CW$999,94,FALSE),"unknown")</f>
        <v>Over $125,000</v>
      </c>
      <c r="AT464" s="120" t="str">
        <f>IFERROR(VLOOKUP(Table1[RespondentID],'All Data'!$A$3:$CW$999,95,FALSE),"unknown")</f>
        <v>Graduate school</v>
      </c>
      <c r="AU464" s="120" t="str">
        <f>IFERROR(VLOOKUP(Table1[RespondentID],'All Data'!$A$3:$CW$999,96,FALSE),"unknown")</f>
        <v>Retired</v>
      </c>
      <c r="AV464" s="120" t="str">
        <f>IFERROR(VLOOKUP(Table1[RespondentID],'All Data'!$A$3:$CW$999,97,FALSE),"unknown")</f>
        <v>Yes</v>
      </c>
      <c r="AW464" s="120" t="str">
        <f>IFERROR(VLOOKUP(Table1[RespondentID],'All Data'!$A$3:$CW$999,98,FALSE),"unknown")</f>
        <v>Medicare,Private/Commercial</v>
      </c>
      <c r="AX464" s="120" t="str">
        <f>IFERROR(VLOOKUP(Table1[RespondentID],'All Data'!$A$3:$CW$999,99,FALSE),"unknown")</f>
        <v>Yes</v>
      </c>
    </row>
    <row r="465" spans="1:50">
      <c r="A465" s="159">
        <v>18031752041</v>
      </c>
      <c r="B465" s="160"/>
      <c r="C465" s="124" t="s">
        <v>17</v>
      </c>
      <c r="D465" s="124"/>
      <c r="E465" s="124"/>
      <c r="F465" s="124"/>
      <c r="G465" s="124"/>
      <c r="H465" s="124"/>
      <c r="I465" s="124"/>
      <c r="J465" s="124"/>
      <c r="K465" s="124"/>
      <c r="L465" s="124" t="s">
        <v>26</v>
      </c>
      <c r="M465" s="124" t="s">
        <v>27</v>
      </c>
      <c r="N465" s="124"/>
      <c r="O465" s="124"/>
      <c r="P465" s="161">
        <f t="shared" si="144"/>
        <v>3</v>
      </c>
      <c r="Q465" s="161">
        <f t="shared" si="145"/>
        <v>1</v>
      </c>
      <c r="R465" s="161"/>
      <c r="S465" s="161">
        <f t="shared" si="146"/>
        <v>0</v>
      </c>
      <c r="T465" s="161">
        <f t="shared" si="147"/>
        <v>1</v>
      </c>
      <c r="U465" s="161">
        <f t="shared" si="148"/>
        <v>0</v>
      </c>
      <c r="V465" s="162">
        <f t="shared" si="149"/>
        <v>0</v>
      </c>
      <c r="W465" s="162">
        <f t="shared" si="150"/>
        <v>0</v>
      </c>
      <c r="X465" s="162">
        <f t="shared" si="151"/>
        <v>0</v>
      </c>
      <c r="Y465" s="162">
        <f t="shared" si="152"/>
        <v>0</v>
      </c>
      <c r="Z465" s="162">
        <f t="shared" si="153"/>
        <v>0</v>
      </c>
      <c r="AA465" s="162">
        <f t="shared" si="154"/>
        <v>0</v>
      </c>
      <c r="AB465" s="162">
        <f t="shared" si="155"/>
        <v>0</v>
      </c>
      <c r="AC465" s="162">
        <f t="shared" si="156"/>
        <v>1</v>
      </c>
      <c r="AD465" s="162">
        <f t="shared" si="157"/>
        <v>1</v>
      </c>
      <c r="AE465" s="162">
        <f t="shared" si="158"/>
        <v>0</v>
      </c>
      <c r="AF465" s="163"/>
      <c r="AG465" s="161"/>
      <c r="AH465" s="161">
        <f t="shared" si="159"/>
        <v>3</v>
      </c>
      <c r="AI465" s="161">
        <f t="shared" si="160"/>
        <v>3</v>
      </c>
      <c r="AJ465" s="161" t="str">
        <f t="shared" si="161"/>
        <v>Correct</v>
      </c>
      <c r="AK465" s="124"/>
      <c r="AL465" s="164" t="str">
        <f>IFERROR(VLOOKUP(Table1[RespondentID],'All Data'!$A$3:$CO$999,87,FALSE),"unknown")</f>
        <v>Woman</v>
      </c>
      <c r="AM465" s="124"/>
      <c r="AN465" s="120" t="str">
        <f>IFERROR(VLOOKUP(Table1[RespondentID],'All Data'!$A$3:$CO$999,89,FALSE),"unknown")</f>
        <v>Nassau</v>
      </c>
      <c r="AO465" s="120" t="str">
        <f>IFERROR(VLOOKUP(Table1[RespondentID],'All Data'!$A$3:$CO$999,90,FALSE),"unknown")</f>
        <v>North Massapequa, 11758</v>
      </c>
      <c r="AP465" s="120" t="str">
        <f>IFERROR(VLOOKUP(Table1[RespondentID],'All Data'!$A$3:$CO$999,91,FALSE),"unknown")</f>
        <v>White</v>
      </c>
      <c r="AQ465" s="120" t="str">
        <f>IFERROR(VLOOKUP(Table1[RespondentID],'All Data'!$A$3:$CO$999,92,FALSE),"unknown")</f>
        <v>Not Hispanic or Latino</v>
      </c>
      <c r="AR465" s="120" t="str">
        <f>IFERROR(VLOOKUP(Table1[RespondentID],'All Data'!$A$3:$CO$999,93,FALSE),"unknown")</f>
        <v>English</v>
      </c>
      <c r="AS465" s="120">
        <f>IFERROR(VLOOKUP(Table1[RespondentID],'All Data'!$A$3:$CW$999,94,FALSE),"unknown")</f>
        <v>0</v>
      </c>
      <c r="AT465" s="120" t="str">
        <f>IFERROR(VLOOKUP(Table1[RespondentID],'All Data'!$A$3:$CW$999,95,FALSE),"unknown")</f>
        <v>College graduate</v>
      </c>
      <c r="AU465" s="120" t="str">
        <f>IFERROR(VLOOKUP(Table1[RespondentID],'All Data'!$A$3:$CW$999,96,FALSE),"unknown")</f>
        <v>Retired</v>
      </c>
      <c r="AV465" s="120" t="str">
        <f>IFERROR(VLOOKUP(Table1[RespondentID],'All Data'!$A$3:$CW$999,97,FALSE),"unknown")</f>
        <v>Yes</v>
      </c>
      <c r="AW465" s="120" t="str">
        <f>IFERROR(VLOOKUP(Table1[RespondentID],'All Data'!$A$3:$CW$999,98,FALSE),"unknown")</f>
        <v>Private/Commercial</v>
      </c>
      <c r="AX465" s="120" t="str">
        <f>IFERROR(VLOOKUP(Table1[RespondentID],'All Data'!$A$3:$CW$999,99,FALSE),"unknown")</f>
        <v>Yes</v>
      </c>
    </row>
    <row r="466" spans="1:50">
      <c r="A466" s="159">
        <v>18031751982</v>
      </c>
      <c r="B466" s="160"/>
      <c r="C466" s="124" t="s">
        <v>17</v>
      </c>
      <c r="D466" s="124" t="s">
        <v>18</v>
      </c>
      <c r="E466" s="124"/>
      <c r="F466" s="124"/>
      <c r="G466" s="124"/>
      <c r="H466" s="124"/>
      <c r="I466" s="124"/>
      <c r="J466" s="124" t="s">
        <v>24</v>
      </c>
      <c r="K466" s="124"/>
      <c r="L466" s="124"/>
      <c r="M466" s="124"/>
      <c r="N466" s="124"/>
      <c r="O466" s="124"/>
      <c r="P466" s="161">
        <f t="shared" si="144"/>
        <v>3</v>
      </c>
      <c r="Q466" s="161">
        <f t="shared" si="145"/>
        <v>1</v>
      </c>
      <c r="R466" s="161"/>
      <c r="S466" s="161">
        <f t="shared" si="146"/>
        <v>0</v>
      </c>
      <c r="T466" s="161">
        <f t="shared" si="147"/>
        <v>1</v>
      </c>
      <c r="U466" s="161">
        <f t="shared" si="148"/>
        <v>1</v>
      </c>
      <c r="V466" s="162">
        <f t="shared" si="149"/>
        <v>0</v>
      </c>
      <c r="W466" s="162">
        <f t="shared" si="150"/>
        <v>0</v>
      </c>
      <c r="X466" s="162">
        <f t="shared" si="151"/>
        <v>0</v>
      </c>
      <c r="Y466" s="162">
        <f t="shared" si="152"/>
        <v>0</v>
      </c>
      <c r="Z466" s="162">
        <f t="shared" si="153"/>
        <v>0</v>
      </c>
      <c r="AA466" s="162">
        <f t="shared" si="154"/>
        <v>1</v>
      </c>
      <c r="AB466" s="162">
        <f t="shared" si="155"/>
        <v>0</v>
      </c>
      <c r="AC466" s="162">
        <f t="shared" si="156"/>
        <v>0</v>
      </c>
      <c r="AD466" s="162">
        <f t="shared" si="157"/>
        <v>0</v>
      </c>
      <c r="AE466" s="162">
        <f t="shared" si="158"/>
        <v>0</v>
      </c>
      <c r="AF466" s="163"/>
      <c r="AG466" s="161"/>
      <c r="AH466" s="161">
        <f t="shared" si="159"/>
        <v>3</v>
      </c>
      <c r="AI466" s="161">
        <f t="shared" si="160"/>
        <v>3</v>
      </c>
      <c r="AJ466" s="161" t="str">
        <f t="shared" si="161"/>
        <v>Correct</v>
      </c>
      <c r="AK466" s="124"/>
      <c r="AL466" s="164" t="str">
        <f>IFERROR(VLOOKUP(Table1[RespondentID],'All Data'!$A$3:$CO$999,87,FALSE),"unknown")</f>
        <v>Woman</v>
      </c>
      <c r="AM466" s="124"/>
      <c r="AN466" s="120" t="str">
        <f>IFERROR(VLOOKUP(Table1[RespondentID],'All Data'!$A$3:$CO$999,89,FALSE),"unknown")</f>
        <v>Suffolk</v>
      </c>
      <c r="AO466" s="120" t="str">
        <f>IFERROR(VLOOKUP(Table1[RespondentID],'All Data'!$A$3:$CO$999,90,FALSE),"unknown")</f>
        <v>West Babylon, 11704</v>
      </c>
      <c r="AP466" s="120" t="str">
        <f>IFERROR(VLOOKUP(Table1[RespondentID],'All Data'!$A$3:$CO$999,91,FALSE),"unknown")</f>
        <v>White</v>
      </c>
      <c r="AQ466" s="120" t="str">
        <f>IFERROR(VLOOKUP(Table1[RespondentID],'All Data'!$A$3:$CO$999,92,FALSE),"unknown")</f>
        <v>Not Hispanic or Latino</v>
      </c>
      <c r="AR466" s="120" t="str">
        <f>IFERROR(VLOOKUP(Table1[RespondentID],'All Data'!$A$3:$CO$999,93,FALSE),"unknown")</f>
        <v>English</v>
      </c>
      <c r="AS466" s="120" t="str">
        <f>IFERROR(VLOOKUP(Table1[RespondentID],'All Data'!$A$3:$CW$999,94,FALSE),"unknown")</f>
        <v>Over $125,000</v>
      </c>
      <c r="AT466" s="120" t="str">
        <f>IFERROR(VLOOKUP(Table1[RespondentID],'All Data'!$A$3:$CW$999,95,FALSE),"unknown")</f>
        <v>Graduate school</v>
      </c>
      <c r="AU466" s="120" t="str">
        <f>IFERROR(VLOOKUP(Table1[RespondentID],'All Data'!$A$3:$CW$999,96,FALSE),"unknown")</f>
        <v>Employed for wages</v>
      </c>
      <c r="AV466" s="120" t="str">
        <f>IFERROR(VLOOKUP(Table1[RespondentID],'All Data'!$A$3:$CW$999,97,FALSE),"unknown")</f>
        <v>Yes</v>
      </c>
      <c r="AW466" s="120" t="str">
        <f>IFERROR(VLOOKUP(Table1[RespondentID],'All Data'!$A$3:$CW$999,98,FALSE),"unknown")</f>
        <v>Private/Commercial</v>
      </c>
      <c r="AX466" s="120" t="str">
        <f>IFERROR(VLOOKUP(Table1[RespondentID],'All Data'!$A$3:$CW$999,99,FALSE),"unknown")</f>
        <v>Yes</v>
      </c>
    </row>
    <row r="467" spans="1:50">
      <c r="A467" s="159">
        <v>18031751744</v>
      </c>
      <c r="B467" s="160"/>
      <c r="C467" s="124"/>
      <c r="D467" s="124" t="s">
        <v>18</v>
      </c>
      <c r="E467" s="124"/>
      <c r="F467" s="124"/>
      <c r="G467" s="124"/>
      <c r="H467" s="124"/>
      <c r="I467" s="124"/>
      <c r="J467" s="124" t="s">
        <v>24</v>
      </c>
      <c r="K467" s="124" t="s">
        <v>25</v>
      </c>
      <c r="L467" s="124" t="s">
        <v>26</v>
      </c>
      <c r="M467" s="124"/>
      <c r="N467" s="124"/>
      <c r="O467" s="124"/>
      <c r="P467" s="161">
        <f t="shared" si="144"/>
        <v>4</v>
      </c>
      <c r="Q467" s="161">
        <f t="shared" si="145"/>
        <v>0.75</v>
      </c>
      <c r="R467" s="161"/>
      <c r="S467" s="161">
        <f t="shared" si="146"/>
        <v>0</v>
      </c>
      <c r="T467" s="161">
        <f t="shared" si="147"/>
        <v>0</v>
      </c>
      <c r="U467" s="161">
        <f t="shared" si="148"/>
        <v>0.75</v>
      </c>
      <c r="V467" s="162">
        <f t="shared" si="149"/>
        <v>0</v>
      </c>
      <c r="W467" s="162">
        <f t="shared" si="150"/>
        <v>0</v>
      </c>
      <c r="X467" s="162">
        <f t="shared" si="151"/>
        <v>0</v>
      </c>
      <c r="Y467" s="162">
        <f t="shared" si="152"/>
        <v>0</v>
      </c>
      <c r="Z467" s="162">
        <f t="shared" si="153"/>
        <v>0</v>
      </c>
      <c r="AA467" s="162">
        <f t="shared" si="154"/>
        <v>0.75</v>
      </c>
      <c r="AB467" s="162">
        <f t="shared" si="155"/>
        <v>0.75</v>
      </c>
      <c r="AC467" s="162">
        <f t="shared" si="156"/>
        <v>0.75</v>
      </c>
      <c r="AD467" s="162">
        <f t="shared" si="157"/>
        <v>0</v>
      </c>
      <c r="AE467" s="162">
        <f t="shared" si="158"/>
        <v>0</v>
      </c>
      <c r="AF467" s="163"/>
      <c r="AG467" s="161"/>
      <c r="AH467" s="161">
        <f t="shared" si="159"/>
        <v>3</v>
      </c>
      <c r="AI467" s="161">
        <f t="shared" si="160"/>
        <v>4</v>
      </c>
      <c r="AJ467" s="161" t="str">
        <f t="shared" si="161"/>
        <v>Correct</v>
      </c>
      <c r="AK467" s="124"/>
      <c r="AL467" s="164" t="str">
        <f>IFERROR(VLOOKUP(Table1[RespondentID],'All Data'!$A$3:$CO$999,87,FALSE),"unknown")</f>
        <v>Man</v>
      </c>
      <c r="AM467" s="124"/>
      <c r="AN467" s="120" t="str">
        <f>IFERROR(VLOOKUP(Table1[RespondentID],'All Data'!$A$3:$CO$999,89,FALSE),"unknown")</f>
        <v>Suffolk</v>
      </c>
      <c r="AO467" s="120" t="str">
        <f>IFERROR(VLOOKUP(Table1[RespondentID],'All Data'!$A$3:$CO$999,90,FALSE),"unknown")</f>
        <v>Huntington Station, 11746</v>
      </c>
      <c r="AP467" s="120" t="str">
        <f>IFERROR(VLOOKUP(Table1[RespondentID],'All Data'!$A$3:$CO$999,91,FALSE),"unknown")</f>
        <v>Asian</v>
      </c>
      <c r="AQ467" s="120" t="str">
        <f>IFERROR(VLOOKUP(Table1[RespondentID],'All Data'!$A$3:$CO$999,92,FALSE),"unknown")</f>
        <v>Not Hispanic or Latino</v>
      </c>
      <c r="AR467" s="120" t="str">
        <f>IFERROR(VLOOKUP(Table1[RespondentID],'All Data'!$A$3:$CO$999,93,FALSE),"unknown")</f>
        <v>English</v>
      </c>
      <c r="AS467" s="120" t="str">
        <f>IFERROR(VLOOKUP(Table1[RespondentID],'All Data'!$A$3:$CW$999,94,FALSE),"unknown")</f>
        <v>Over $125,000</v>
      </c>
      <c r="AT467" s="120" t="str">
        <f>IFERROR(VLOOKUP(Table1[RespondentID],'All Data'!$A$3:$CW$999,95,FALSE),"unknown")</f>
        <v>Graduate school</v>
      </c>
      <c r="AU467" s="120" t="str">
        <f>IFERROR(VLOOKUP(Table1[RespondentID],'All Data'!$A$3:$CW$999,96,FALSE),"unknown")</f>
        <v>Self-employed</v>
      </c>
      <c r="AV467" s="120" t="str">
        <f>IFERROR(VLOOKUP(Table1[RespondentID],'All Data'!$A$3:$CW$999,97,FALSE),"unknown")</f>
        <v>Yes</v>
      </c>
      <c r="AW467" s="120" t="str">
        <f>IFERROR(VLOOKUP(Table1[RespondentID],'All Data'!$A$3:$CW$999,98,FALSE),"unknown")</f>
        <v>Private/Commercial</v>
      </c>
      <c r="AX467" s="120" t="str">
        <f>IFERROR(VLOOKUP(Table1[RespondentID],'All Data'!$A$3:$CW$999,99,FALSE),"unknown")</f>
        <v>Yes</v>
      </c>
    </row>
    <row r="468" spans="1:50">
      <c r="A468" s="159">
        <v>18031751661</v>
      </c>
      <c r="B468" s="160"/>
      <c r="C468" s="124" t="s">
        <v>17</v>
      </c>
      <c r="D468" s="124" t="s">
        <v>18</v>
      </c>
      <c r="E468" s="124"/>
      <c r="F468" s="124"/>
      <c r="G468" s="124"/>
      <c r="H468" s="124"/>
      <c r="I468" s="124"/>
      <c r="J468" s="124"/>
      <c r="K468" s="124"/>
      <c r="L468" s="124"/>
      <c r="M468" s="124" t="s">
        <v>27</v>
      </c>
      <c r="N468" s="124"/>
      <c r="O468" s="124"/>
      <c r="P468" s="161">
        <f t="shared" si="144"/>
        <v>3</v>
      </c>
      <c r="Q468" s="161">
        <f t="shared" si="145"/>
        <v>1</v>
      </c>
      <c r="R468" s="161"/>
      <c r="S468" s="161">
        <f t="shared" si="146"/>
        <v>0</v>
      </c>
      <c r="T468" s="161">
        <f t="shared" si="147"/>
        <v>1</v>
      </c>
      <c r="U468" s="161">
        <f t="shared" si="148"/>
        <v>1</v>
      </c>
      <c r="V468" s="162">
        <f t="shared" si="149"/>
        <v>0</v>
      </c>
      <c r="W468" s="162">
        <f t="shared" si="150"/>
        <v>0</v>
      </c>
      <c r="X468" s="162">
        <f t="shared" si="151"/>
        <v>0</v>
      </c>
      <c r="Y468" s="162">
        <f t="shared" si="152"/>
        <v>0</v>
      </c>
      <c r="Z468" s="162">
        <f t="shared" si="153"/>
        <v>0</v>
      </c>
      <c r="AA468" s="162">
        <f t="shared" si="154"/>
        <v>0</v>
      </c>
      <c r="AB468" s="162">
        <f t="shared" si="155"/>
        <v>0</v>
      </c>
      <c r="AC468" s="162">
        <f t="shared" si="156"/>
        <v>0</v>
      </c>
      <c r="AD468" s="162">
        <f t="shared" si="157"/>
        <v>1</v>
      </c>
      <c r="AE468" s="162">
        <f t="shared" si="158"/>
        <v>0</v>
      </c>
      <c r="AF468" s="163"/>
      <c r="AG468" s="161"/>
      <c r="AH468" s="161">
        <f t="shared" si="159"/>
        <v>3</v>
      </c>
      <c r="AI468" s="161">
        <f t="shared" si="160"/>
        <v>3</v>
      </c>
      <c r="AJ468" s="161" t="str">
        <f t="shared" si="161"/>
        <v>Correct</v>
      </c>
      <c r="AK468" s="124"/>
      <c r="AL468" s="164" t="str">
        <f>IFERROR(VLOOKUP(Table1[RespondentID],'All Data'!$A$3:$CO$999,87,FALSE),"unknown")</f>
        <v>Woman</v>
      </c>
      <c r="AM468" s="124"/>
      <c r="AN468" s="120" t="str">
        <f>IFERROR(VLOOKUP(Table1[RespondentID],'All Data'!$A$3:$CO$999,89,FALSE),"unknown")</f>
        <v>Nassau</v>
      </c>
      <c r="AO468" s="120" t="str">
        <f>IFERROR(VLOOKUP(Table1[RespondentID],'All Data'!$A$3:$CO$999,90,FALSE),"unknown")</f>
        <v>Bethpage, 11714</v>
      </c>
      <c r="AP468" s="120" t="str">
        <f>IFERROR(VLOOKUP(Table1[RespondentID],'All Data'!$A$3:$CO$999,91,FALSE),"unknown")</f>
        <v>White</v>
      </c>
      <c r="AQ468" s="120" t="str">
        <f>IFERROR(VLOOKUP(Table1[RespondentID],'All Data'!$A$3:$CO$999,92,FALSE),"unknown")</f>
        <v>Not Hispanic or Latino</v>
      </c>
      <c r="AR468" s="120" t="str">
        <f>IFERROR(VLOOKUP(Table1[RespondentID],'All Data'!$A$3:$CO$999,93,FALSE),"unknown")</f>
        <v>English</v>
      </c>
      <c r="AS468" s="120" t="str">
        <f>IFERROR(VLOOKUP(Table1[RespondentID],'All Data'!$A$3:$CW$999,94,FALSE),"unknown")</f>
        <v>$35,000 to $49,999</v>
      </c>
      <c r="AT468" s="120" t="str">
        <f>IFERROR(VLOOKUP(Table1[RespondentID],'All Data'!$A$3:$CW$999,95,FALSE),"unknown")</f>
        <v>High school graduate</v>
      </c>
      <c r="AU468" s="120" t="str">
        <f>IFERROR(VLOOKUP(Table1[RespondentID],'All Data'!$A$3:$CW$999,96,FALSE),"unknown")</f>
        <v>Retired</v>
      </c>
      <c r="AV468" s="120" t="str">
        <f>IFERROR(VLOOKUP(Table1[RespondentID],'All Data'!$A$3:$CW$999,97,FALSE),"unknown")</f>
        <v>Yes</v>
      </c>
      <c r="AW468" s="120" t="str">
        <f>IFERROR(VLOOKUP(Table1[RespondentID],'All Data'!$A$3:$CW$999,98,FALSE),"unknown")</f>
        <v>Medicare</v>
      </c>
      <c r="AX468" s="120" t="str">
        <f>IFERROR(VLOOKUP(Table1[RespondentID],'All Data'!$A$3:$CW$999,99,FALSE),"unknown")</f>
        <v>Yes</v>
      </c>
    </row>
    <row r="469" spans="1:50">
      <c r="A469" s="159">
        <v>18031751575</v>
      </c>
      <c r="B469" s="160"/>
      <c r="C469" s="124" t="s">
        <v>17</v>
      </c>
      <c r="D469" s="124" t="s">
        <v>18</v>
      </c>
      <c r="E469" s="124"/>
      <c r="F469" s="124"/>
      <c r="G469" s="124"/>
      <c r="H469" s="124"/>
      <c r="I469" s="124"/>
      <c r="J469" s="124" t="s">
        <v>24</v>
      </c>
      <c r="K469" s="124"/>
      <c r="L469" s="124"/>
      <c r="M469" s="124"/>
      <c r="N469" s="124"/>
      <c r="O469" s="124"/>
      <c r="P469" s="161">
        <f t="shared" si="144"/>
        <v>3</v>
      </c>
      <c r="Q469" s="161">
        <f t="shared" si="145"/>
        <v>1</v>
      </c>
      <c r="R469" s="161"/>
      <c r="S469" s="161">
        <f t="shared" si="146"/>
        <v>0</v>
      </c>
      <c r="T469" s="161">
        <f t="shared" si="147"/>
        <v>1</v>
      </c>
      <c r="U469" s="161">
        <f t="shared" si="148"/>
        <v>1</v>
      </c>
      <c r="V469" s="162">
        <f t="shared" si="149"/>
        <v>0</v>
      </c>
      <c r="W469" s="162">
        <f t="shared" si="150"/>
        <v>0</v>
      </c>
      <c r="X469" s="162">
        <f t="shared" si="151"/>
        <v>0</v>
      </c>
      <c r="Y469" s="162">
        <f t="shared" si="152"/>
        <v>0</v>
      </c>
      <c r="Z469" s="162">
        <f t="shared" si="153"/>
        <v>0</v>
      </c>
      <c r="AA469" s="162">
        <f t="shared" si="154"/>
        <v>1</v>
      </c>
      <c r="AB469" s="162">
        <f t="shared" si="155"/>
        <v>0</v>
      </c>
      <c r="AC469" s="162">
        <f t="shared" si="156"/>
        <v>0</v>
      </c>
      <c r="AD469" s="162">
        <f t="shared" si="157"/>
        <v>0</v>
      </c>
      <c r="AE469" s="162">
        <f t="shared" si="158"/>
        <v>0</v>
      </c>
      <c r="AF469" s="163"/>
      <c r="AG469" s="161"/>
      <c r="AH469" s="161">
        <f t="shared" si="159"/>
        <v>3</v>
      </c>
      <c r="AI469" s="161">
        <f t="shared" si="160"/>
        <v>3</v>
      </c>
      <c r="AJ469" s="161" t="str">
        <f t="shared" si="161"/>
        <v>Correct</v>
      </c>
      <c r="AK469" s="124"/>
      <c r="AL469" s="164" t="str">
        <f>IFERROR(VLOOKUP(Table1[RespondentID],'All Data'!$A$3:$CO$999,87,FALSE),"unknown")</f>
        <v>Man</v>
      </c>
      <c r="AM469" s="124"/>
      <c r="AN469" s="120" t="str">
        <f>IFERROR(VLOOKUP(Table1[RespondentID],'All Data'!$A$3:$CO$999,89,FALSE),"unknown")</f>
        <v>Nassau</v>
      </c>
      <c r="AO469" s="120" t="str">
        <f>IFERROR(VLOOKUP(Table1[RespondentID],'All Data'!$A$3:$CO$999,90,FALSE),"unknown")</f>
        <v>Bethpage, 11714</v>
      </c>
      <c r="AP469" s="120" t="str">
        <f>IFERROR(VLOOKUP(Table1[RespondentID],'All Data'!$A$3:$CO$999,91,FALSE),"unknown")</f>
        <v>White</v>
      </c>
      <c r="AQ469" s="120" t="str">
        <f>IFERROR(VLOOKUP(Table1[RespondentID],'All Data'!$A$3:$CO$999,92,FALSE),"unknown")</f>
        <v>Not Hispanic or Latino</v>
      </c>
      <c r="AR469" s="120" t="str">
        <f>IFERROR(VLOOKUP(Table1[RespondentID],'All Data'!$A$3:$CO$999,93,FALSE),"unknown")</f>
        <v>English</v>
      </c>
      <c r="AS469" s="120" t="str">
        <f>IFERROR(VLOOKUP(Table1[RespondentID],'All Data'!$A$3:$CW$999,94,FALSE),"unknown")</f>
        <v>$50,000 to $74,999</v>
      </c>
      <c r="AT469" s="120" t="str">
        <f>IFERROR(VLOOKUP(Table1[RespondentID],'All Data'!$A$3:$CW$999,95,FALSE),"unknown")</f>
        <v>Some high school</v>
      </c>
      <c r="AU469" s="120" t="str">
        <f>IFERROR(VLOOKUP(Table1[RespondentID],'All Data'!$A$3:$CW$999,96,FALSE),"unknown")</f>
        <v>Retired</v>
      </c>
      <c r="AV469" s="120" t="str">
        <f>IFERROR(VLOOKUP(Table1[RespondentID],'All Data'!$A$3:$CW$999,97,FALSE),"unknown")</f>
        <v>Yes</v>
      </c>
      <c r="AW469" s="120" t="str">
        <f>IFERROR(VLOOKUP(Table1[RespondentID],'All Data'!$A$3:$CW$999,98,FALSE),"unknown")</f>
        <v>Medicare</v>
      </c>
      <c r="AX469" s="120" t="str">
        <f>IFERROR(VLOOKUP(Table1[RespondentID],'All Data'!$A$3:$CW$999,99,FALSE),"unknown")</f>
        <v>Yes</v>
      </c>
    </row>
    <row r="470" spans="1:50">
      <c r="A470" s="159">
        <v>18031751500</v>
      </c>
      <c r="B470" s="160"/>
      <c r="C470" s="124"/>
      <c r="D470" s="124"/>
      <c r="E470" s="124" t="s">
        <v>19</v>
      </c>
      <c r="F470" s="124"/>
      <c r="G470" s="124"/>
      <c r="H470" s="124"/>
      <c r="I470" s="124"/>
      <c r="J470" s="124"/>
      <c r="K470" s="124"/>
      <c r="L470" s="124"/>
      <c r="M470" s="124"/>
      <c r="N470" s="124"/>
      <c r="O470" s="124"/>
      <c r="P470" s="161">
        <f t="shared" si="144"/>
        <v>1</v>
      </c>
      <c r="Q470" s="161">
        <f t="shared" si="145"/>
        <v>3</v>
      </c>
      <c r="R470" s="161"/>
      <c r="S470" s="161">
        <f t="shared" si="146"/>
        <v>0</v>
      </c>
      <c r="T470" s="161">
        <f t="shared" si="147"/>
        <v>0</v>
      </c>
      <c r="U470" s="161">
        <f t="shared" si="148"/>
        <v>0</v>
      </c>
      <c r="V470" s="162">
        <f t="shared" si="149"/>
        <v>1</v>
      </c>
      <c r="W470" s="162">
        <f t="shared" si="150"/>
        <v>0</v>
      </c>
      <c r="X470" s="162">
        <f t="shared" si="151"/>
        <v>0</v>
      </c>
      <c r="Y470" s="162">
        <f t="shared" si="152"/>
        <v>0</v>
      </c>
      <c r="Z470" s="162">
        <f t="shared" si="153"/>
        <v>0</v>
      </c>
      <c r="AA470" s="162">
        <f t="shared" si="154"/>
        <v>0</v>
      </c>
      <c r="AB470" s="162">
        <f t="shared" si="155"/>
        <v>0</v>
      </c>
      <c r="AC470" s="162">
        <f t="shared" si="156"/>
        <v>0</v>
      </c>
      <c r="AD470" s="162">
        <f t="shared" si="157"/>
        <v>0</v>
      </c>
      <c r="AE470" s="162">
        <f t="shared" si="158"/>
        <v>0</v>
      </c>
      <c r="AF470" s="163"/>
      <c r="AG470" s="161"/>
      <c r="AH470" s="161">
        <f t="shared" si="159"/>
        <v>1</v>
      </c>
      <c r="AI470" s="161">
        <f t="shared" si="160"/>
        <v>1</v>
      </c>
      <c r="AJ470" s="161" t="str">
        <f t="shared" si="161"/>
        <v>Correct</v>
      </c>
      <c r="AK470" s="124"/>
      <c r="AL470" s="164" t="str">
        <f>IFERROR(VLOOKUP(Table1[RespondentID],'All Data'!$A$3:$CO$999,87,FALSE),"unknown")</f>
        <v>Woman</v>
      </c>
      <c r="AM470" s="124"/>
      <c r="AN470" s="120" t="str">
        <f>IFERROR(VLOOKUP(Table1[RespondentID],'All Data'!$A$3:$CO$999,89,FALSE),"unknown")</f>
        <v>Suffolk</v>
      </c>
      <c r="AO470" s="120" t="str">
        <f>IFERROR(VLOOKUP(Table1[RespondentID],'All Data'!$A$3:$CO$999,90,FALSE),"unknown")</f>
        <v>Northport, 11768</v>
      </c>
      <c r="AP470" s="120" t="str">
        <f>IFERROR(VLOOKUP(Table1[RespondentID],'All Data'!$A$3:$CO$999,91,FALSE),"unknown")</f>
        <v>Black or African American</v>
      </c>
      <c r="AQ470" s="120">
        <f>IFERROR(VLOOKUP(Table1[RespondentID],'All Data'!$A$3:$CO$999,92,FALSE),"unknown")</f>
        <v>0</v>
      </c>
      <c r="AR470" s="120" t="str">
        <f>IFERROR(VLOOKUP(Table1[RespondentID],'All Data'!$A$3:$CO$999,93,FALSE),"unknown")</f>
        <v>English</v>
      </c>
      <c r="AS470" s="120" t="str">
        <f>IFERROR(VLOOKUP(Table1[RespondentID],'All Data'!$A$3:$CW$999,94,FALSE),"unknown")</f>
        <v>Over $125,000</v>
      </c>
      <c r="AT470" s="120" t="str">
        <f>IFERROR(VLOOKUP(Table1[RespondentID],'All Data'!$A$3:$CW$999,95,FALSE),"unknown")</f>
        <v>College graduate</v>
      </c>
      <c r="AU470" s="120" t="str">
        <f>IFERROR(VLOOKUP(Table1[RespondentID],'All Data'!$A$3:$CW$999,96,FALSE),"unknown")</f>
        <v>Employed for wages</v>
      </c>
      <c r="AV470" s="120" t="str">
        <f>IFERROR(VLOOKUP(Table1[RespondentID],'All Data'!$A$3:$CW$999,97,FALSE),"unknown")</f>
        <v>Yes</v>
      </c>
      <c r="AW470" s="120" t="str">
        <f>IFERROR(VLOOKUP(Table1[RespondentID],'All Data'!$A$3:$CW$999,98,FALSE),"unknown")</f>
        <v>Private/Commercial</v>
      </c>
      <c r="AX470" s="120" t="str">
        <f>IFERROR(VLOOKUP(Table1[RespondentID],'All Data'!$A$3:$CW$999,99,FALSE),"unknown")</f>
        <v>Yes</v>
      </c>
    </row>
    <row r="471" spans="1:50">
      <c r="A471" s="159">
        <v>18031751432</v>
      </c>
      <c r="B471" s="160"/>
      <c r="C471" s="124"/>
      <c r="D471" s="124" t="s">
        <v>18</v>
      </c>
      <c r="E471" s="124" t="s">
        <v>19</v>
      </c>
      <c r="F471" s="124"/>
      <c r="G471" s="124"/>
      <c r="H471" s="124"/>
      <c r="I471" s="124"/>
      <c r="J471" s="124"/>
      <c r="K471" s="124"/>
      <c r="L471" s="124" t="s">
        <v>26</v>
      </c>
      <c r="M471" s="124"/>
      <c r="N471" s="124"/>
      <c r="O471" s="124"/>
      <c r="P471" s="161">
        <f t="shared" si="144"/>
        <v>3</v>
      </c>
      <c r="Q471" s="161">
        <f t="shared" si="145"/>
        <v>1</v>
      </c>
      <c r="R471" s="161"/>
      <c r="S471" s="161">
        <f t="shared" si="146"/>
        <v>0</v>
      </c>
      <c r="T471" s="161">
        <f t="shared" si="147"/>
        <v>0</v>
      </c>
      <c r="U471" s="161">
        <f t="shared" si="148"/>
        <v>1</v>
      </c>
      <c r="V471" s="162">
        <f t="shared" si="149"/>
        <v>1</v>
      </c>
      <c r="W471" s="162">
        <f t="shared" si="150"/>
        <v>0</v>
      </c>
      <c r="X471" s="162">
        <f t="shared" si="151"/>
        <v>0</v>
      </c>
      <c r="Y471" s="162">
        <f t="shared" si="152"/>
        <v>0</v>
      </c>
      <c r="Z471" s="162">
        <f t="shared" si="153"/>
        <v>0</v>
      </c>
      <c r="AA471" s="162">
        <f t="shared" si="154"/>
        <v>0</v>
      </c>
      <c r="AB471" s="162">
        <f t="shared" si="155"/>
        <v>0</v>
      </c>
      <c r="AC471" s="162">
        <f t="shared" si="156"/>
        <v>1</v>
      </c>
      <c r="AD471" s="162">
        <f t="shared" si="157"/>
        <v>0</v>
      </c>
      <c r="AE471" s="162">
        <f t="shared" si="158"/>
        <v>0</v>
      </c>
      <c r="AF471" s="163"/>
      <c r="AG471" s="161"/>
      <c r="AH471" s="161">
        <f t="shared" si="159"/>
        <v>3</v>
      </c>
      <c r="AI471" s="161">
        <f t="shared" si="160"/>
        <v>3</v>
      </c>
      <c r="AJ471" s="161" t="str">
        <f t="shared" si="161"/>
        <v>Correct</v>
      </c>
      <c r="AK471" s="124"/>
      <c r="AL471" s="164" t="str">
        <f>IFERROR(VLOOKUP(Table1[RespondentID],'All Data'!$A$3:$CO$999,87,FALSE),"unknown")</f>
        <v>Woman</v>
      </c>
      <c r="AM471" s="124"/>
      <c r="AN471" s="120" t="str">
        <f>IFERROR(VLOOKUP(Table1[RespondentID],'All Data'!$A$3:$CO$999,89,FALSE),"unknown")</f>
        <v>Suffolk</v>
      </c>
      <c r="AO471" s="120" t="str">
        <f>IFERROR(VLOOKUP(Table1[RespondentID],'All Data'!$A$3:$CO$999,90,FALSE),"unknown")</f>
        <v>Amityville, 11701</v>
      </c>
      <c r="AP471" s="120" t="str">
        <f>IFERROR(VLOOKUP(Table1[RespondentID],'All Data'!$A$3:$CO$999,91,FALSE),"unknown")</f>
        <v>White</v>
      </c>
      <c r="AQ471" s="120" t="str">
        <f>IFERROR(VLOOKUP(Table1[RespondentID],'All Data'!$A$3:$CO$999,92,FALSE),"unknown")</f>
        <v>Not Hispanic or Latino</v>
      </c>
      <c r="AR471" s="120" t="str">
        <f>IFERROR(VLOOKUP(Table1[RespondentID],'All Data'!$A$3:$CO$999,93,FALSE),"unknown")</f>
        <v>English</v>
      </c>
      <c r="AS471" s="120" t="str">
        <f>IFERROR(VLOOKUP(Table1[RespondentID],'All Data'!$A$3:$CW$999,94,FALSE),"unknown")</f>
        <v>$35,000 to $49,999</v>
      </c>
      <c r="AT471" s="120" t="str">
        <f>IFERROR(VLOOKUP(Table1[RespondentID],'All Data'!$A$3:$CW$999,95,FALSE),"unknown")</f>
        <v>High school graduate</v>
      </c>
      <c r="AU471" s="120" t="str">
        <f>IFERROR(VLOOKUP(Table1[RespondentID],'All Data'!$A$3:$CW$999,96,FALSE),"unknown")</f>
        <v>Retired</v>
      </c>
      <c r="AV471" s="120" t="str">
        <f>IFERROR(VLOOKUP(Table1[RespondentID],'All Data'!$A$3:$CW$999,97,FALSE),"unknown")</f>
        <v>Yes</v>
      </c>
      <c r="AW471" s="120" t="str">
        <f>IFERROR(VLOOKUP(Table1[RespondentID],'All Data'!$A$3:$CW$999,98,FALSE),"unknown")</f>
        <v>Medicare,Private/Commercial</v>
      </c>
      <c r="AX471" s="120" t="str">
        <f>IFERROR(VLOOKUP(Table1[RespondentID],'All Data'!$A$3:$CW$999,99,FALSE),"unknown")</f>
        <v>Yes</v>
      </c>
    </row>
    <row r="472" spans="1:50">
      <c r="A472" s="159">
        <v>18031751329</v>
      </c>
      <c r="B472" s="160"/>
      <c r="C472" s="124"/>
      <c r="D472" s="124"/>
      <c r="E472" s="124"/>
      <c r="F472" s="124"/>
      <c r="G472" s="124"/>
      <c r="H472" s="124"/>
      <c r="I472" s="124"/>
      <c r="J472" s="124" t="s">
        <v>24</v>
      </c>
      <c r="K472" s="124" t="s">
        <v>25</v>
      </c>
      <c r="L472" s="124"/>
      <c r="M472" s="124" t="s">
        <v>27</v>
      </c>
      <c r="N472" s="124" t="s">
        <v>28</v>
      </c>
      <c r="O472" s="124"/>
      <c r="P472" s="161">
        <f t="shared" si="144"/>
        <v>4</v>
      </c>
      <c r="Q472" s="161">
        <f t="shared" si="145"/>
        <v>0.75</v>
      </c>
      <c r="R472" s="161"/>
      <c r="S472" s="161">
        <f t="shared" si="146"/>
        <v>0</v>
      </c>
      <c r="T472" s="161">
        <f t="shared" si="147"/>
        <v>0</v>
      </c>
      <c r="U472" s="161">
        <f t="shared" si="148"/>
        <v>0</v>
      </c>
      <c r="V472" s="162">
        <f t="shared" si="149"/>
        <v>0</v>
      </c>
      <c r="W472" s="162">
        <f t="shared" si="150"/>
        <v>0</v>
      </c>
      <c r="X472" s="162">
        <f t="shared" si="151"/>
        <v>0</v>
      </c>
      <c r="Y472" s="162">
        <f t="shared" si="152"/>
        <v>0</v>
      </c>
      <c r="Z472" s="162">
        <f t="shared" si="153"/>
        <v>0</v>
      </c>
      <c r="AA472" s="162">
        <f t="shared" si="154"/>
        <v>0.75</v>
      </c>
      <c r="AB472" s="162">
        <f t="shared" si="155"/>
        <v>0.75</v>
      </c>
      <c r="AC472" s="162">
        <f t="shared" si="156"/>
        <v>0</v>
      </c>
      <c r="AD472" s="162">
        <f t="shared" si="157"/>
        <v>0.75</v>
      </c>
      <c r="AE472" s="162">
        <f t="shared" si="158"/>
        <v>0.75</v>
      </c>
      <c r="AF472" s="163"/>
      <c r="AG472" s="161"/>
      <c r="AH472" s="161">
        <f t="shared" si="159"/>
        <v>3</v>
      </c>
      <c r="AI472" s="161">
        <f t="shared" si="160"/>
        <v>4</v>
      </c>
      <c r="AJ472" s="161" t="str">
        <f t="shared" si="161"/>
        <v>Correct</v>
      </c>
      <c r="AK472" s="124"/>
      <c r="AL472" s="164" t="str">
        <f>IFERROR(VLOOKUP(Table1[RespondentID],'All Data'!$A$3:$CO$999,87,FALSE),"unknown")</f>
        <v>Woman</v>
      </c>
      <c r="AM472" s="124"/>
      <c r="AN472" s="120" t="str">
        <f>IFERROR(VLOOKUP(Table1[RespondentID],'All Data'!$A$3:$CO$999,89,FALSE),"unknown")</f>
        <v>Nassau</v>
      </c>
      <c r="AO472" s="120" t="str">
        <f>IFERROR(VLOOKUP(Table1[RespondentID],'All Data'!$A$3:$CO$999,90,FALSE),"unknown")</f>
        <v>Plainview, 11803</v>
      </c>
      <c r="AP472" s="120" t="str">
        <f>IFERROR(VLOOKUP(Table1[RespondentID],'All Data'!$A$3:$CO$999,91,FALSE),"unknown")</f>
        <v>White</v>
      </c>
      <c r="AQ472" s="120" t="str">
        <f>IFERROR(VLOOKUP(Table1[RespondentID],'All Data'!$A$3:$CO$999,92,FALSE),"unknown")</f>
        <v>Not Hispanic or Latino</v>
      </c>
      <c r="AR472" s="120" t="str">
        <f>IFERROR(VLOOKUP(Table1[RespondentID],'All Data'!$A$3:$CO$999,93,FALSE),"unknown")</f>
        <v>English</v>
      </c>
      <c r="AS472" s="120" t="str">
        <f>IFERROR(VLOOKUP(Table1[RespondentID],'All Data'!$A$3:$CW$999,94,FALSE),"unknown")</f>
        <v>$20,000 to $34,999</v>
      </c>
      <c r="AT472" s="120">
        <f>IFERROR(VLOOKUP(Table1[RespondentID],'All Data'!$A$3:$CW$999,95,FALSE),"unknown")</f>
        <v>0</v>
      </c>
      <c r="AU472" s="120" t="str">
        <f>IFERROR(VLOOKUP(Table1[RespondentID],'All Data'!$A$3:$CW$999,96,FALSE),"unknown")</f>
        <v>Out of work, but not currently looking</v>
      </c>
      <c r="AV472" s="120" t="str">
        <f>IFERROR(VLOOKUP(Table1[RespondentID],'All Data'!$A$3:$CW$999,97,FALSE),"unknown")</f>
        <v>Yes</v>
      </c>
      <c r="AW472" s="120" t="str">
        <f>IFERROR(VLOOKUP(Table1[RespondentID],'All Data'!$A$3:$CW$999,98,FALSE),"unknown")</f>
        <v>Medicare</v>
      </c>
      <c r="AX472" s="120" t="str">
        <f>IFERROR(VLOOKUP(Table1[RespondentID],'All Data'!$A$3:$CW$999,99,FALSE),"unknown")</f>
        <v>Yes</v>
      </c>
    </row>
    <row r="473" spans="1:50">
      <c r="A473" s="159">
        <v>18031751209</v>
      </c>
      <c r="B473" s="160"/>
      <c r="C473" s="124" t="s">
        <v>17</v>
      </c>
      <c r="D473" s="124"/>
      <c r="E473" s="124"/>
      <c r="F473" s="124"/>
      <c r="G473" s="124"/>
      <c r="H473" s="124"/>
      <c r="I473" s="124"/>
      <c r="J473" s="124"/>
      <c r="K473" s="124"/>
      <c r="L473" s="124"/>
      <c r="M473" s="124"/>
      <c r="N473" s="124"/>
      <c r="O473" s="124"/>
      <c r="P473" s="161">
        <f t="shared" si="144"/>
        <v>1</v>
      </c>
      <c r="Q473" s="161">
        <f t="shared" si="145"/>
        <v>3</v>
      </c>
      <c r="R473" s="161"/>
      <c r="S473" s="161">
        <f t="shared" si="146"/>
        <v>0</v>
      </c>
      <c r="T473" s="161">
        <f t="shared" si="147"/>
        <v>1</v>
      </c>
      <c r="U473" s="161">
        <f t="shared" si="148"/>
        <v>0</v>
      </c>
      <c r="V473" s="162">
        <f t="shared" si="149"/>
        <v>0</v>
      </c>
      <c r="W473" s="162">
        <f t="shared" si="150"/>
        <v>0</v>
      </c>
      <c r="X473" s="162">
        <f t="shared" si="151"/>
        <v>0</v>
      </c>
      <c r="Y473" s="162">
        <f t="shared" si="152"/>
        <v>0</v>
      </c>
      <c r="Z473" s="162">
        <f t="shared" si="153"/>
        <v>0</v>
      </c>
      <c r="AA473" s="162">
        <f t="shared" si="154"/>
        <v>0</v>
      </c>
      <c r="AB473" s="162">
        <f t="shared" si="155"/>
        <v>0</v>
      </c>
      <c r="AC473" s="162">
        <f t="shared" si="156"/>
        <v>0</v>
      </c>
      <c r="AD473" s="162">
        <f t="shared" si="157"/>
        <v>0</v>
      </c>
      <c r="AE473" s="162">
        <f t="shared" si="158"/>
        <v>0</v>
      </c>
      <c r="AF473" s="163"/>
      <c r="AG473" s="161"/>
      <c r="AH473" s="161">
        <f t="shared" si="159"/>
        <v>1</v>
      </c>
      <c r="AI473" s="161">
        <f t="shared" si="160"/>
        <v>1</v>
      </c>
      <c r="AJ473" s="161" t="str">
        <f t="shared" si="161"/>
        <v>Correct</v>
      </c>
      <c r="AK473" s="124"/>
      <c r="AL473" s="164" t="str">
        <f>IFERROR(VLOOKUP(Table1[RespondentID],'All Data'!$A$3:$CO$999,87,FALSE),"unknown")</f>
        <v>Man</v>
      </c>
      <c r="AM473" s="124"/>
      <c r="AN473" s="120" t="str">
        <f>IFERROR(VLOOKUP(Table1[RespondentID],'All Data'!$A$3:$CO$999,89,FALSE),"unknown")</f>
        <v>Nassau</v>
      </c>
      <c r="AO473" s="120" t="str">
        <f>IFERROR(VLOOKUP(Table1[RespondentID],'All Data'!$A$3:$CO$999,90,FALSE),"unknown")</f>
        <v>Lido Beach, 11561</v>
      </c>
      <c r="AP473" s="120" t="str">
        <f>IFERROR(VLOOKUP(Table1[RespondentID],'All Data'!$A$3:$CO$999,91,FALSE),"unknown")</f>
        <v>White</v>
      </c>
      <c r="AQ473" s="120" t="str">
        <f>IFERROR(VLOOKUP(Table1[RespondentID],'All Data'!$A$3:$CO$999,92,FALSE),"unknown")</f>
        <v>Not Hispanic or Latino</v>
      </c>
      <c r="AR473" s="120" t="str">
        <f>IFERROR(VLOOKUP(Table1[RespondentID],'All Data'!$A$3:$CO$999,93,FALSE),"unknown")</f>
        <v>English</v>
      </c>
      <c r="AS473" s="120" t="str">
        <f>IFERROR(VLOOKUP(Table1[RespondentID],'All Data'!$A$3:$CW$999,94,FALSE),"unknown")</f>
        <v>$75,000 to $125,000</v>
      </c>
      <c r="AT473" s="120" t="str">
        <f>IFERROR(VLOOKUP(Table1[RespondentID],'All Data'!$A$3:$CW$999,95,FALSE),"unknown")</f>
        <v>Some high school</v>
      </c>
      <c r="AU473" s="120" t="str">
        <f>IFERROR(VLOOKUP(Table1[RespondentID],'All Data'!$A$3:$CW$999,96,FALSE),"unknown")</f>
        <v>Employed for wages</v>
      </c>
      <c r="AV473" s="120" t="str">
        <f>IFERROR(VLOOKUP(Table1[RespondentID],'All Data'!$A$3:$CW$999,97,FALSE),"unknown")</f>
        <v>Yes</v>
      </c>
      <c r="AW473" s="120" t="str">
        <f>IFERROR(VLOOKUP(Table1[RespondentID],'All Data'!$A$3:$CW$999,98,FALSE),"unknown")</f>
        <v>Medicare,Private/Commercial</v>
      </c>
      <c r="AX473" s="120" t="str">
        <f>IFERROR(VLOOKUP(Table1[RespondentID],'All Data'!$A$3:$CW$999,99,FALSE),"unknown")</f>
        <v>Yes</v>
      </c>
    </row>
    <row r="474" spans="1:50">
      <c r="A474" s="159">
        <v>18031751111</v>
      </c>
      <c r="B474" s="160"/>
      <c r="C474" s="124" t="s">
        <v>17</v>
      </c>
      <c r="D474" s="124"/>
      <c r="E474" s="124"/>
      <c r="F474" s="124"/>
      <c r="G474" s="124" t="s">
        <v>21</v>
      </c>
      <c r="H474" s="124"/>
      <c r="I474" s="124" t="s">
        <v>23</v>
      </c>
      <c r="J474" s="124"/>
      <c r="K474" s="124"/>
      <c r="L474" s="124"/>
      <c r="M474" s="124"/>
      <c r="N474" s="124"/>
      <c r="O474" s="124"/>
      <c r="P474" s="161">
        <f t="shared" si="144"/>
        <v>3</v>
      </c>
      <c r="Q474" s="161">
        <f t="shared" si="145"/>
        <v>1</v>
      </c>
      <c r="R474" s="161"/>
      <c r="S474" s="161">
        <f t="shared" si="146"/>
        <v>0</v>
      </c>
      <c r="T474" s="161">
        <f t="shared" si="147"/>
        <v>1</v>
      </c>
      <c r="U474" s="161">
        <f t="shared" si="148"/>
        <v>0</v>
      </c>
      <c r="V474" s="162">
        <f t="shared" si="149"/>
        <v>0</v>
      </c>
      <c r="W474" s="162">
        <f t="shared" si="150"/>
        <v>0</v>
      </c>
      <c r="X474" s="162">
        <f t="shared" si="151"/>
        <v>1</v>
      </c>
      <c r="Y474" s="162">
        <f t="shared" si="152"/>
        <v>0</v>
      </c>
      <c r="Z474" s="162">
        <f t="shared" si="153"/>
        <v>1</v>
      </c>
      <c r="AA474" s="162">
        <f t="shared" si="154"/>
        <v>0</v>
      </c>
      <c r="AB474" s="162">
        <f t="shared" si="155"/>
        <v>0</v>
      </c>
      <c r="AC474" s="162">
        <f t="shared" si="156"/>
        <v>0</v>
      </c>
      <c r="AD474" s="162">
        <f t="shared" si="157"/>
        <v>0</v>
      </c>
      <c r="AE474" s="162">
        <f t="shared" si="158"/>
        <v>0</v>
      </c>
      <c r="AF474" s="163"/>
      <c r="AG474" s="161"/>
      <c r="AH474" s="161">
        <f t="shared" si="159"/>
        <v>3</v>
      </c>
      <c r="AI474" s="161">
        <f t="shared" si="160"/>
        <v>3</v>
      </c>
      <c r="AJ474" s="161" t="str">
        <f t="shared" si="161"/>
        <v>Correct</v>
      </c>
      <c r="AK474" s="124"/>
      <c r="AL474" s="164" t="str">
        <f>IFERROR(VLOOKUP(Table1[RespondentID],'All Data'!$A$3:$CO$999,87,FALSE),"unknown")</f>
        <v>Woman</v>
      </c>
      <c r="AM474" s="124"/>
      <c r="AN474" s="120" t="str">
        <f>IFERROR(VLOOKUP(Table1[RespondentID],'All Data'!$A$3:$CO$999,89,FALSE),"unknown")</f>
        <v>Nassau</v>
      </c>
      <c r="AO474" s="120" t="str">
        <f>IFERROR(VLOOKUP(Table1[RespondentID],'All Data'!$A$3:$CO$999,90,FALSE),"unknown")</f>
        <v>Garden City, 11530</v>
      </c>
      <c r="AP474" s="120" t="str">
        <f>IFERROR(VLOOKUP(Table1[RespondentID],'All Data'!$A$3:$CO$999,91,FALSE),"unknown")</f>
        <v>White</v>
      </c>
      <c r="AQ474" s="120" t="str">
        <f>IFERROR(VLOOKUP(Table1[RespondentID],'All Data'!$A$3:$CO$999,92,FALSE),"unknown")</f>
        <v>Not Hispanic or Latino</v>
      </c>
      <c r="AR474" s="120" t="str">
        <f>IFERROR(VLOOKUP(Table1[RespondentID],'All Data'!$A$3:$CO$999,93,FALSE),"unknown")</f>
        <v>English</v>
      </c>
      <c r="AS474" s="120" t="str">
        <f>IFERROR(VLOOKUP(Table1[RespondentID],'All Data'!$A$3:$CW$999,94,FALSE),"unknown")</f>
        <v>$50,000 to $74,999</v>
      </c>
      <c r="AT474" s="120" t="str">
        <f>IFERROR(VLOOKUP(Table1[RespondentID],'All Data'!$A$3:$CW$999,95,FALSE),"unknown")</f>
        <v>Graduate school</v>
      </c>
      <c r="AU474" s="120" t="str">
        <f>IFERROR(VLOOKUP(Table1[RespondentID],'All Data'!$A$3:$CW$999,96,FALSE),"unknown")</f>
        <v>Employed for wages</v>
      </c>
      <c r="AV474" s="120" t="str">
        <f>IFERROR(VLOOKUP(Table1[RespondentID],'All Data'!$A$3:$CW$999,97,FALSE),"unknown")</f>
        <v>No</v>
      </c>
      <c r="AW474" s="120" t="str">
        <f>IFERROR(VLOOKUP(Table1[RespondentID],'All Data'!$A$3:$CW$999,98,FALSE),"unknown")</f>
        <v>No Insurance</v>
      </c>
      <c r="AX474" s="120" t="str">
        <f>IFERROR(VLOOKUP(Table1[RespondentID],'All Data'!$A$3:$CW$999,99,FALSE),"unknown")</f>
        <v>Yes</v>
      </c>
    </row>
    <row r="475" spans="1:50">
      <c r="A475" s="159">
        <v>18031750983</v>
      </c>
      <c r="B475" s="160"/>
      <c r="C475" s="124"/>
      <c r="D475" s="124" t="s">
        <v>18</v>
      </c>
      <c r="E475" s="124" t="s">
        <v>19</v>
      </c>
      <c r="F475" s="124"/>
      <c r="G475" s="124"/>
      <c r="H475" s="124"/>
      <c r="I475" s="124"/>
      <c r="J475" s="124" t="s">
        <v>24</v>
      </c>
      <c r="K475" s="124"/>
      <c r="L475" s="124"/>
      <c r="M475" s="124" t="s">
        <v>27</v>
      </c>
      <c r="N475" s="124"/>
      <c r="O475" s="124"/>
      <c r="P475" s="161">
        <f t="shared" si="144"/>
        <v>4</v>
      </c>
      <c r="Q475" s="161">
        <f t="shared" si="145"/>
        <v>0.75</v>
      </c>
      <c r="R475" s="161"/>
      <c r="S475" s="161">
        <f t="shared" si="146"/>
        <v>0</v>
      </c>
      <c r="T475" s="161">
        <f t="shared" si="147"/>
        <v>0</v>
      </c>
      <c r="U475" s="161">
        <f t="shared" si="148"/>
        <v>0.75</v>
      </c>
      <c r="V475" s="162">
        <f t="shared" si="149"/>
        <v>0.75</v>
      </c>
      <c r="W475" s="162">
        <f t="shared" si="150"/>
        <v>0</v>
      </c>
      <c r="X475" s="162">
        <f t="shared" si="151"/>
        <v>0</v>
      </c>
      <c r="Y475" s="162">
        <f t="shared" si="152"/>
        <v>0</v>
      </c>
      <c r="Z475" s="162">
        <f t="shared" si="153"/>
        <v>0</v>
      </c>
      <c r="AA475" s="162">
        <f t="shared" si="154"/>
        <v>0.75</v>
      </c>
      <c r="AB475" s="162">
        <f t="shared" si="155"/>
        <v>0</v>
      </c>
      <c r="AC475" s="162">
        <f t="shared" si="156"/>
        <v>0</v>
      </c>
      <c r="AD475" s="162">
        <f t="shared" si="157"/>
        <v>0.75</v>
      </c>
      <c r="AE475" s="162">
        <f t="shared" si="158"/>
        <v>0</v>
      </c>
      <c r="AF475" s="163"/>
      <c r="AG475" s="161"/>
      <c r="AH475" s="161">
        <f t="shared" si="159"/>
        <v>3</v>
      </c>
      <c r="AI475" s="161">
        <f t="shared" si="160"/>
        <v>4</v>
      </c>
      <c r="AJ475" s="161" t="str">
        <f t="shared" si="161"/>
        <v>Correct</v>
      </c>
      <c r="AK475" s="124"/>
      <c r="AL475" s="164" t="str">
        <f>IFERROR(VLOOKUP(Table1[RespondentID],'All Data'!$A$3:$CO$999,87,FALSE),"unknown")</f>
        <v>Man</v>
      </c>
      <c r="AM475" s="124"/>
      <c r="AN475" s="120" t="str">
        <f>IFERROR(VLOOKUP(Table1[RespondentID],'All Data'!$A$3:$CO$999,89,FALSE),"unknown")</f>
        <v>Nassau</v>
      </c>
      <c r="AO475" s="120" t="str">
        <f>IFERROR(VLOOKUP(Table1[RespondentID],'All Data'!$A$3:$CO$999,90,FALSE),"unknown")</f>
        <v>Woodbury, 11797</v>
      </c>
      <c r="AP475" s="120" t="str">
        <f>IFERROR(VLOOKUP(Table1[RespondentID],'All Data'!$A$3:$CO$999,91,FALSE),"unknown")</f>
        <v>White</v>
      </c>
      <c r="AQ475" s="120" t="str">
        <f>IFERROR(VLOOKUP(Table1[RespondentID],'All Data'!$A$3:$CO$999,92,FALSE),"unknown")</f>
        <v>Not Hispanic or Latino</v>
      </c>
      <c r="AR475" s="120" t="str">
        <f>IFERROR(VLOOKUP(Table1[RespondentID],'All Data'!$A$3:$CO$999,93,FALSE),"unknown")</f>
        <v>English</v>
      </c>
      <c r="AS475" s="120">
        <f>IFERROR(VLOOKUP(Table1[RespondentID],'All Data'!$A$3:$CW$999,94,FALSE),"unknown")</f>
        <v>0</v>
      </c>
      <c r="AT475" s="120" t="str">
        <f>IFERROR(VLOOKUP(Table1[RespondentID],'All Data'!$A$3:$CW$999,95,FALSE),"unknown")</f>
        <v>College graduate</v>
      </c>
      <c r="AU475" s="120" t="str">
        <f>IFERROR(VLOOKUP(Table1[RespondentID],'All Data'!$A$3:$CW$999,96,FALSE),"unknown")</f>
        <v>Employed for wages</v>
      </c>
      <c r="AV475" s="120" t="str">
        <f>IFERROR(VLOOKUP(Table1[RespondentID],'All Data'!$A$3:$CW$999,97,FALSE),"unknown")</f>
        <v>Yes</v>
      </c>
      <c r="AW475" s="120" t="str">
        <f>IFERROR(VLOOKUP(Table1[RespondentID],'All Data'!$A$3:$CW$999,98,FALSE),"unknown")</f>
        <v>Private/Commercial</v>
      </c>
      <c r="AX475" s="120" t="str">
        <f>IFERROR(VLOOKUP(Table1[RespondentID],'All Data'!$A$3:$CW$999,99,FALSE),"unknown")</f>
        <v>Yes</v>
      </c>
    </row>
    <row r="476" spans="1:50">
      <c r="A476" s="159">
        <v>18031750464</v>
      </c>
      <c r="B476" s="160"/>
      <c r="C476" s="124"/>
      <c r="D476" s="124"/>
      <c r="E476" s="124" t="s">
        <v>19</v>
      </c>
      <c r="F476" s="124"/>
      <c r="G476" s="124" t="s">
        <v>21</v>
      </c>
      <c r="H476" s="124"/>
      <c r="I476" s="124" t="s">
        <v>23</v>
      </c>
      <c r="J476" s="124"/>
      <c r="K476" s="124"/>
      <c r="L476" s="124"/>
      <c r="M476" s="124"/>
      <c r="N476" s="124"/>
      <c r="O476" s="124"/>
      <c r="P476" s="161">
        <f t="shared" si="144"/>
        <v>3</v>
      </c>
      <c r="Q476" s="161">
        <f t="shared" si="145"/>
        <v>1</v>
      </c>
      <c r="R476" s="161"/>
      <c r="S476" s="161">
        <f t="shared" si="146"/>
        <v>0</v>
      </c>
      <c r="T476" s="161">
        <f t="shared" si="147"/>
        <v>0</v>
      </c>
      <c r="U476" s="161">
        <f t="shared" si="148"/>
        <v>0</v>
      </c>
      <c r="V476" s="162">
        <f t="shared" si="149"/>
        <v>1</v>
      </c>
      <c r="W476" s="162">
        <f t="shared" si="150"/>
        <v>0</v>
      </c>
      <c r="X476" s="162">
        <f t="shared" si="151"/>
        <v>1</v>
      </c>
      <c r="Y476" s="162">
        <f t="shared" si="152"/>
        <v>0</v>
      </c>
      <c r="Z476" s="162">
        <f t="shared" si="153"/>
        <v>1</v>
      </c>
      <c r="AA476" s="162">
        <f t="shared" si="154"/>
        <v>0</v>
      </c>
      <c r="AB476" s="162">
        <f t="shared" si="155"/>
        <v>0</v>
      </c>
      <c r="AC476" s="162">
        <f t="shared" si="156"/>
        <v>0</v>
      </c>
      <c r="AD476" s="162">
        <f t="shared" si="157"/>
        <v>0</v>
      </c>
      <c r="AE476" s="162">
        <f t="shared" si="158"/>
        <v>0</v>
      </c>
      <c r="AF476" s="163"/>
      <c r="AG476" s="161"/>
      <c r="AH476" s="161">
        <f t="shared" si="159"/>
        <v>3</v>
      </c>
      <c r="AI476" s="161">
        <f t="shared" si="160"/>
        <v>3</v>
      </c>
      <c r="AJ476" s="161" t="str">
        <f t="shared" si="161"/>
        <v>Correct</v>
      </c>
      <c r="AK476" s="124"/>
      <c r="AL476" s="164" t="str">
        <f>IFERROR(VLOOKUP(Table1[RespondentID],'All Data'!$A$3:$CO$999,87,FALSE),"unknown")</f>
        <v>Woman</v>
      </c>
      <c r="AM476" s="124"/>
      <c r="AN476" s="120" t="str">
        <f>IFERROR(VLOOKUP(Table1[RespondentID],'All Data'!$A$3:$CO$999,89,FALSE),"unknown")</f>
        <v>Nassau</v>
      </c>
      <c r="AO476" s="120" t="str">
        <f>IFERROR(VLOOKUP(Table1[RespondentID],'All Data'!$A$3:$CO$999,90,FALSE),"unknown")</f>
        <v>Farmingdale, 11735</v>
      </c>
      <c r="AP476" s="120" t="str">
        <f>IFERROR(VLOOKUP(Table1[RespondentID],'All Data'!$A$3:$CO$999,91,FALSE),"unknown")</f>
        <v>White</v>
      </c>
      <c r="AQ476" s="120" t="str">
        <f>IFERROR(VLOOKUP(Table1[RespondentID],'All Data'!$A$3:$CO$999,92,FALSE),"unknown")</f>
        <v>Not Hispanic or Latino</v>
      </c>
      <c r="AR476" s="120" t="str">
        <f>IFERROR(VLOOKUP(Table1[RespondentID],'All Data'!$A$3:$CO$999,93,FALSE),"unknown")</f>
        <v>English</v>
      </c>
      <c r="AS476" s="120" t="str">
        <f>IFERROR(VLOOKUP(Table1[RespondentID],'All Data'!$A$3:$CW$999,94,FALSE),"unknown")</f>
        <v>$75,000 to $125,000</v>
      </c>
      <c r="AT476" s="120" t="str">
        <f>IFERROR(VLOOKUP(Table1[RespondentID],'All Data'!$A$3:$CW$999,95,FALSE),"unknown")</f>
        <v>Graduate school</v>
      </c>
      <c r="AU476" s="120" t="str">
        <f>IFERROR(VLOOKUP(Table1[RespondentID],'All Data'!$A$3:$CW$999,96,FALSE),"unknown")</f>
        <v>Self-employed</v>
      </c>
      <c r="AV476" s="120" t="str">
        <f>IFERROR(VLOOKUP(Table1[RespondentID],'All Data'!$A$3:$CW$999,97,FALSE),"unknown")</f>
        <v>Yes</v>
      </c>
      <c r="AW476" s="120" t="str">
        <f>IFERROR(VLOOKUP(Table1[RespondentID],'All Data'!$A$3:$CW$999,98,FALSE),"unknown")</f>
        <v>Medicare,Private/Commercial</v>
      </c>
      <c r="AX476" s="120" t="str">
        <f>IFERROR(VLOOKUP(Table1[RespondentID],'All Data'!$A$3:$CW$999,99,FALSE),"unknown")</f>
        <v>Yes</v>
      </c>
    </row>
    <row r="477" spans="1:50">
      <c r="A477" s="159">
        <v>18031749512</v>
      </c>
      <c r="B477" s="160"/>
      <c r="C477" s="124" t="s">
        <v>17</v>
      </c>
      <c r="D477" s="124" t="s">
        <v>18</v>
      </c>
      <c r="E477" s="124"/>
      <c r="F477" s="124"/>
      <c r="G477" s="124"/>
      <c r="H477" s="124"/>
      <c r="I477" s="124"/>
      <c r="J477" s="124"/>
      <c r="K477" s="124" t="s">
        <v>25</v>
      </c>
      <c r="L477" s="124"/>
      <c r="M477" s="124"/>
      <c r="N477" s="124"/>
      <c r="O477" s="124"/>
      <c r="P477" s="161">
        <f t="shared" si="144"/>
        <v>3</v>
      </c>
      <c r="Q477" s="161">
        <f t="shared" si="145"/>
        <v>1</v>
      </c>
      <c r="R477" s="161"/>
      <c r="S477" s="161">
        <f t="shared" si="146"/>
        <v>0</v>
      </c>
      <c r="T477" s="161">
        <f t="shared" si="147"/>
        <v>1</v>
      </c>
      <c r="U477" s="161">
        <f t="shared" si="148"/>
        <v>1</v>
      </c>
      <c r="V477" s="162">
        <f t="shared" si="149"/>
        <v>0</v>
      </c>
      <c r="W477" s="162">
        <f t="shared" si="150"/>
        <v>0</v>
      </c>
      <c r="X477" s="162">
        <f t="shared" si="151"/>
        <v>0</v>
      </c>
      <c r="Y477" s="162">
        <f t="shared" si="152"/>
        <v>0</v>
      </c>
      <c r="Z477" s="162">
        <f t="shared" si="153"/>
        <v>0</v>
      </c>
      <c r="AA477" s="162">
        <f t="shared" si="154"/>
        <v>0</v>
      </c>
      <c r="AB477" s="162">
        <f t="shared" si="155"/>
        <v>1</v>
      </c>
      <c r="AC477" s="162">
        <f t="shared" si="156"/>
        <v>0</v>
      </c>
      <c r="AD477" s="162">
        <f t="shared" si="157"/>
        <v>0</v>
      </c>
      <c r="AE477" s="162">
        <f t="shared" si="158"/>
        <v>0</v>
      </c>
      <c r="AF477" s="163"/>
      <c r="AG477" s="161"/>
      <c r="AH477" s="161">
        <f t="shared" si="159"/>
        <v>3</v>
      </c>
      <c r="AI477" s="161">
        <f t="shared" si="160"/>
        <v>3</v>
      </c>
      <c r="AJ477" s="161" t="str">
        <f t="shared" si="161"/>
        <v>Correct</v>
      </c>
      <c r="AK477" s="124"/>
      <c r="AL477" s="164" t="str">
        <f>IFERROR(VLOOKUP(Table1[RespondentID],'All Data'!$A$3:$CO$999,87,FALSE),"unknown")</f>
        <v>Woman</v>
      </c>
      <c r="AM477" s="124"/>
      <c r="AN477" s="120" t="str">
        <f>IFERROR(VLOOKUP(Table1[RespondentID],'All Data'!$A$3:$CO$999,89,FALSE),"unknown")</f>
        <v>Nassau</v>
      </c>
      <c r="AO477" s="120" t="str">
        <f>IFERROR(VLOOKUP(Table1[RespondentID],'All Data'!$A$3:$CO$999,90,FALSE),"unknown")</f>
        <v>Oceanside, 11572</v>
      </c>
      <c r="AP477" s="120" t="str">
        <f>IFERROR(VLOOKUP(Table1[RespondentID],'All Data'!$A$3:$CO$999,91,FALSE),"unknown")</f>
        <v>White</v>
      </c>
      <c r="AQ477" s="120" t="str">
        <f>IFERROR(VLOOKUP(Table1[RespondentID],'All Data'!$A$3:$CO$999,92,FALSE),"unknown")</f>
        <v>Not Hispanic or Latino</v>
      </c>
      <c r="AR477" s="120" t="str">
        <f>IFERROR(VLOOKUP(Table1[RespondentID],'All Data'!$A$3:$CO$999,93,FALSE),"unknown")</f>
        <v>English</v>
      </c>
      <c r="AS477" s="120" t="str">
        <f>IFERROR(VLOOKUP(Table1[RespondentID],'All Data'!$A$3:$CW$999,94,FALSE),"unknown")</f>
        <v>$75,000 to $125,000</v>
      </c>
      <c r="AT477" s="120" t="str">
        <f>IFERROR(VLOOKUP(Table1[RespondentID],'All Data'!$A$3:$CW$999,95,FALSE),"unknown")</f>
        <v>Graduate school</v>
      </c>
      <c r="AU477" s="120" t="str">
        <f>IFERROR(VLOOKUP(Table1[RespondentID],'All Data'!$A$3:$CW$999,96,FALSE),"unknown")</f>
        <v>Retired</v>
      </c>
      <c r="AV477" s="120" t="str">
        <f>IFERROR(VLOOKUP(Table1[RespondentID],'All Data'!$A$3:$CW$999,97,FALSE),"unknown")</f>
        <v>Yes</v>
      </c>
      <c r="AW477" s="120" t="str">
        <f>IFERROR(VLOOKUP(Table1[RespondentID],'All Data'!$A$3:$CW$999,98,FALSE),"unknown")</f>
        <v>Medicare,Private/Commercial</v>
      </c>
      <c r="AX477" s="120" t="str">
        <f>IFERROR(VLOOKUP(Table1[RespondentID],'All Data'!$A$3:$CW$999,99,FALSE),"unknown")</f>
        <v>Yes</v>
      </c>
    </row>
    <row r="478" spans="1:50">
      <c r="A478" s="159">
        <v>18031749227</v>
      </c>
      <c r="B478" s="160"/>
      <c r="C478" s="124" t="s">
        <v>17</v>
      </c>
      <c r="D478" s="124"/>
      <c r="E478" s="124"/>
      <c r="F478" s="124"/>
      <c r="G478" s="124"/>
      <c r="H478" s="124"/>
      <c r="I478" s="124"/>
      <c r="J478" s="124"/>
      <c r="K478" s="124"/>
      <c r="L478" s="124"/>
      <c r="M478" s="124"/>
      <c r="N478" s="124" t="s">
        <v>28</v>
      </c>
      <c r="O478" s="124"/>
      <c r="P478" s="161">
        <f t="shared" si="144"/>
        <v>2</v>
      </c>
      <c r="Q478" s="161">
        <f t="shared" si="145"/>
        <v>1.5</v>
      </c>
      <c r="R478" s="161"/>
      <c r="S478" s="161">
        <f t="shared" si="146"/>
        <v>0</v>
      </c>
      <c r="T478" s="161">
        <f t="shared" si="147"/>
        <v>1</v>
      </c>
      <c r="U478" s="161">
        <f t="shared" si="148"/>
        <v>0</v>
      </c>
      <c r="V478" s="162">
        <f t="shared" si="149"/>
        <v>0</v>
      </c>
      <c r="W478" s="162">
        <f t="shared" si="150"/>
        <v>0</v>
      </c>
      <c r="X478" s="162">
        <f t="shared" si="151"/>
        <v>0</v>
      </c>
      <c r="Y478" s="162">
        <f t="shared" si="152"/>
        <v>0</v>
      </c>
      <c r="Z478" s="162">
        <f t="shared" si="153"/>
        <v>0</v>
      </c>
      <c r="AA478" s="162">
        <f t="shared" si="154"/>
        <v>0</v>
      </c>
      <c r="AB478" s="162">
        <f t="shared" si="155"/>
        <v>0</v>
      </c>
      <c r="AC478" s="162">
        <f t="shared" si="156"/>
        <v>0</v>
      </c>
      <c r="AD478" s="162">
        <f t="shared" si="157"/>
        <v>0</v>
      </c>
      <c r="AE478" s="162">
        <f t="shared" si="158"/>
        <v>1</v>
      </c>
      <c r="AF478" s="163"/>
      <c r="AG478" s="161"/>
      <c r="AH478" s="161">
        <f t="shared" si="159"/>
        <v>2</v>
      </c>
      <c r="AI478" s="161">
        <f t="shared" si="160"/>
        <v>2</v>
      </c>
      <c r="AJ478" s="161" t="str">
        <f t="shared" si="161"/>
        <v>Correct</v>
      </c>
      <c r="AK478" s="124"/>
      <c r="AL478" s="164" t="str">
        <f>IFERROR(VLOOKUP(Table1[RespondentID],'All Data'!$A$3:$CO$999,87,FALSE),"unknown")</f>
        <v>Woman</v>
      </c>
      <c r="AM478" s="124"/>
      <c r="AN478" s="120" t="str">
        <f>IFERROR(VLOOKUP(Table1[RespondentID],'All Data'!$A$3:$CO$999,89,FALSE),"unknown")</f>
        <v>Nassau</v>
      </c>
      <c r="AO478" s="120" t="str">
        <f>IFERROR(VLOOKUP(Table1[RespondentID],'All Data'!$A$3:$CO$999,90,FALSE),"unknown")</f>
        <v>Oceanside, 11572</v>
      </c>
      <c r="AP478" s="120" t="str">
        <f>IFERROR(VLOOKUP(Table1[RespondentID],'All Data'!$A$3:$CO$999,91,FALSE),"unknown")</f>
        <v>White</v>
      </c>
      <c r="AQ478" s="120" t="str">
        <f>IFERROR(VLOOKUP(Table1[RespondentID],'All Data'!$A$3:$CO$999,92,FALSE),"unknown")</f>
        <v>Not Hispanic or Latino</v>
      </c>
      <c r="AR478" s="120" t="str">
        <f>IFERROR(VLOOKUP(Table1[RespondentID],'All Data'!$A$3:$CO$999,93,FALSE),"unknown")</f>
        <v>English</v>
      </c>
      <c r="AS478" s="120">
        <f>IFERROR(VLOOKUP(Table1[RespondentID],'All Data'!$A$3:$CW$999,94,FALSE),"unknown")</f>
        <v>0</v>
      </c>
      <c r="AT478" s="120" t="str">
        <f>IFERROR(VLOOKUP(Table1[RespondentID],'All Data'!$A$3:$CW$999,95,FALSE),"unknown")</f>
        <v>College graduate</v>
      </c>
      <c r="AU478" s="120" t="str">
        <f>IFERROR(VLOOKUP(Table1[RespondentID],'All Data'!$A$3:$CW$999,96,FALSE),"unknown")</f>
        <v>Out of work and looking for work</v>
      </c>
      <c r="AV478" s="120" t="str">
        <f>IFERROR(VLOOKUP(Table1[RespondentID],'All Data'!$A$3:$CW$999,97,FALSE),"unknown")</f>
        <v>Yes</v>
      </c>
      <c r="AW478" s="120" t="str">
        <f>IFERROR(VLOOKUP(Table1[RespondentID],'All Data'!$A$3:$CW$999,98,FALSE),"unknown")</f>
        <v>Private/Commercial</v>
      </c>
      <c r="AX478" s="120" t="str">
        <f>IFERROR(VLOOKUP(Table1[RespondentID],'All Data'!$A$3:$CW$999,99,FALSE),"unknown")</f>
        <v>Yes</v>
      </c>
    </row>
    <row r="479" spans="1:50">
      <c r="A479" s="159">
        <v>18031749129</v>
      </c>
      <c r="B479" s="160"/>
      <c r="C479" s="124"/>
      <c r="D479" s="124"/>
      <c r="E479" s="124"/>
      <c r="F479" s="124"/>
      <c r="G479" s="124"/>
      <c r="H479" s="124"/>
      <c r="I479" s="124"/>
      <c r="J479" s="124"/>
      <c r="K479" s="124"/>
      <c r="L479" s="124"/>
      <c r="M479" s="124"/>
      <c r="N479" s="124"/>
      <c r="O479" s="124" t="s">
        <v>491</v>
      </c>
      <c r="P479" s="161">
        <f t="shared" si="144"/>
        <v>0</v>
      </c>
      <c r="Q479" s="161" t="e">
        <f t="shared" si="145"/>
        <v>#DIV/0!</v>
      </c>
      <c r="R479" s="161"/>
      <c r="S479" s="161">
        <f t="shared" si="146"/>
        <v>0</v>
      </c>
      <c r="T479" s="161">
        <f t="shared" si="147"/>
        <v>0</v>
      </c>
      <c r="U479" s="161">
        <f t="shared" si="148"/>
        <v>0</v>
      </c>
      <c r="V479" s="162">
        <f t="shared" si="149"/>
        <v>0</v>
      </c>
      <c r="W479" s="162">
        <f t="shared" si="150"/>
        <v>0</v>
      </c>
      <c r="X479" s="162">
        <f t="shared" si="151"/>
        <v>0</v>
      </c>
      <c r="Y479" s="162">
        <f t="shared" si="152"/>
        <v>0</v>
      </c>
      <c r="Z479" s="162">
        <f t="shared" si="153"/>
        <v>0</v>
      </c>
      <c r="AA479" s="162">
        <f t="shared" si="154"/>
        <v>0</v>
      </c>
      <c r="AB479" s="162">
        <f t="shared" si="155"/>
        <v>0</v>
      </c>
      <c r="AC479" s="162">
        <f t="shared" si="156"/>
        <v>0</v>
      </c>
      <c r="AD479" s="162">
        <f t="shared" si="157"/>
        <v>0</v>
      </c>
      <c r="AE479" s="162">
        <f t="shared" si="158"/>
        <v>0</v>
      </c>
      <c r="AF479" s="163"/>
      <c r="AG479" s="161"/>
      <c r="AH479" s="161">
        <f t="shared" si="159"/>
        <v>0</v>
      </c>
      <c r="AI479" s="161">
        <f t="shared" si="160"/>
        <v>0</v>
      </c>
      <c r="AJ479" s="161" t="str">
        <f t="shared" si="161"/>
        <v>Correct</v>
      </c>
      <c r="AK479" s="124"/>
      <c r="AL479" s="164" t="str">
        <f>IFERROR(VLOOKUP(Table1[RespondentID],'All Data'!$A$3:$CO$999,87,FALSE),"unknown")</f>
        <v>Woman</v>
      </c>
      <c r="AM479" s="124"/>
      <c r="AN479" s="120" t="str">
        <f>IFERROR(VLOOKUP(Table1[RespondentID],'All Data'!$A$3:$CO$999,89,FALSE),"unknown")</f>
        <v>Suffolk</v>
      </c>
      <c r="AO479" s="120" t="str">
        <f>IFERROR(VLOOKUP(Table1[RespondentID],'All Data'!$A$3:$CO$999,90,FALSE),"unknown")</f>
        <v>East Northport, 11731</v>
      </c>
      <c r="AP479" s="120" t="str">
        <f>IFERROR(VLOOKUP(Table1[RespondentID],'All Data'!$A$3:$CO$999,91,FALSE),"unknown")</f>
        <v>White</v>
      </c>
      <c r="AQ479" s="120" t="str">
        <f>IFERROR(VLOOKUP(Table1[RespondentID],'All Data'!$A$3:$CO$999,92,FALSE),"unknown")</f>
        <v>Not Hispanic or Latino</v>
      </c>
      <c r="AR479" s="120" t="str">
        <f>IFERROR(VLOOKUP(Table1[RespondentID],'All Data'!$A$3:$CO$999,93,FALSE),"unknown")</f>
        <v>English</v>
      </c>
      <c r="AS479" s="120" t="str">
        <f>IFERROR(VLOOKUP(Table1[RespondentID],'All Data'!$A$3:$CW$999,94,FALSE),"unknown")</f>
        <v>$75,000 to $125,000</v>
      </c>
      <c r="AT479" s="120" t="str">
        <f>IFERROR(VLOOKUP(Table1[RespondentID],'All Data'!$A$3:$CW$999,95,FALSE),"unknown")</f>
        <v>Graduate school</v>
      </c>
      <c r="AU479" s="120" t="str">
        <f>IFERROR(VLOOKUP(Table1[RespondentID],'All Data'!$A$3:$CW$999,96,FALSE),"unknown")</f>
        <v>Retired</v>
      </c>
      <c r="AV479" s="120" t="str">
        <f>IFERROR(VLOOKUP(Table1[RespondentID],'All Data'!$A$3:$CW$999,97,FALSE),"unknown")</f>
        <v>Yes</v>
      </c>
      <c r="AW479" s="120" t="str">
        <f>IFERROR(VLOOKUP(Table1[RespondentID],'All Data'!$A$3:$CW$999,98,FALSE),"unknown")</f>
        <v>Medicare,Private/Commercial</v>
      </c>
      <c r="AX479" s="120" t="str">
        <f>IFERROR(VLOOKUP(Table1[RespondentID],'All Data'!$A$3:$CW$999,99,FALSE),"unknown")</f>
        <v>Yes</v>
      </c>
    </row>
    <row r="480" spans="1:50">
      <c r="A480" s="159">
        <v>18031748998</v>
      </c>
      <c r="B480" s="160"/>
      <c r="C480" s="124"/>
      <c r="D480" s="124"/>
      <c r="E480" s="124" t="s">
        <v>19</v>
      </c>
      <c r="F480" s="124"/>
      <c r="G480" s="124"/>
      <c r="H480" s="124"/>
      <c r="I480" s="124"/>
      <c r="J480" s="124"/>
      <c r="K480" s="124"/>
      <c r="L480" s="124" t="s">
        <v>26</v>
      </c>
      <c r="M480" s="124"/>
      <c r="N480" s="124"/>
      <c r="O480" s="124"/>
      <c r="P480" s="161">
        <f t="shared" si="144"/>
        <v>2</v>
      </c>
      <c r="Q480" s="161">
        <f t="shared" si="145"/>
        <v>1.5</v>
      </c>
      <c r="R480" s="161"/>
      <c r="S480" s="161">
        <f t="shared" si="146"/>
        <v>0</v>
      </c>
      <c r="T480" s="161">
        <f t="shared" si="147"/>
        <v>0</v>
      </c>
      <c r="U480" s="161">
        <f t="shared" si="148"/>
        <v>0</v>
      </c>
      <c r="V480" s="162">
        <f t="shared" si="149"/>
        <v>1</v>
      </c>
      <c r="W480" s="162">
        <f t="shared" si="150"/>
        <v>0</v>
      </c>
      <c r="X480" s="162">
        <f t="shared" si="151"/>
        <v>0</v>
      </c>
      <c r="Y480" s="162">
        <f t="shared" si="152"/>
        <v>0</v>
      </c>
      <c r="Z480" s="162">
        <f t="shared" si="153"/>
        <v>0</v>
      </c>
      <c r="AA480" s="162">
        <f t="shared" si="154"/>
        <v>0</v>
      </c>
      <c r="AB480" s="162">
        <f t="shared" si="155"/>
        <v>0</v>
      </c>
      <c r="AC480" s="162">
        <f t="shared" si="156"/>
        <v>1</v>
      </c>
      <c r="AD480" s="162">
        <f t="shared" si="157"/>
        <v>0</v>
      </c>
      <c r="AE480" s="162">
        <f t="shared" si="158"/>
        <v>0</v>
      </c>
      <c r="AF480" s="163"/>
      <c r="AG480" s="161"/>
      <c r="AH480" s="161">
        <f t="shared" si="159"/>
        <v>2</v>
      </c>
      <c r="AI480" s="161">
        <f t="shared" si="160"/>
        <v>2</v>
      </c>
      <c r="AJ480" s="161" t="str">
        <f t="shared" si="161"/>
        <v>Correct</v>
      </c>
      <c r="AK480" s="124"/>
      <c r="AL480" s="164" t="str">
        <f>IFERROR(VLOOKUP(Table1[RespondentID],'All Data'!$A$3:$CO$999,87,FALSE),"unknown")</f>
        <v>Woman</v>
      </c>
      <c r="AM480" s="124"/>
      <c r="AN480" s="120" t="str">
        <f>IFERROR(VLOOKUP(Table1[RespondentID],'All Data'!$A$3:$CO$999,89,FALSE),"unknown")</f>
        <v>Nassau</v>
      </c>
      <c r="AO480" s="120" t="str">
        <f>IFERROR(VLOOKUP(Table1[RespondentID],'All Data'!$A$3:$CO$999,90,FALSE),"unknown")</f>
        <v>Westbury, 11590</v>
      </c>
      <c r="AP480" s="120" t="str">
        <f>IFERROR(VLOOKUP(Table1[RespondentID],'All Data'!$A$3:$CO$999,91,FALSE),"unknown")</f>
        <v>Asian</v>
      </c>
      <c r="AQ480" s="120" t="str">
        <f>IFERROR(VLOOKUP(Table1[RespondentID],'All Data'!$A$3:$CO$999,92,FALSE),"unknown")</f>
        <v>Not Hispanic or Latino</v>
      </c>
      <c r="AR480" s="120" t="str">
        <f>IFERROR(VLOOKUP(Table1[RespondentID],'All Data'!$A$3:$CO$999,93,FALSE),"unknown")</f>
        <v>English</v>
      </c>
      <c r="AS480" s="120" t="str">
        <f>IFERROR(VLOOKUP(Table1[RespondentID],'All Data'!$A$3:$CW$999,94,FALSE),"unknown")</f>
        <v>$50,000 to $74,999</v>
      </c>
      <c r="AT480" s="120" t="str">
        <f>IFERROR(VLOOKUP(Table1[RespondentID],'All Data'!$A$3:$CW$999,95,FALSE),"unknown")</f>
        <v>Graduate school</v>
      </c>
      <c r="AU480" s="120" t="str">
        <f>IFERROR(VLOOKUP(Table1[RespondentID],'All Data'!$A$3:$CW$999,96,FALSE),"unknown")</f>
        <v>Employed for wages</v>
      </c>
      <c r="AV480" s="120" t="str">
        <f>IFERROR(VLOOKUP(Table1[RespondentID],'All Data'!$A$3:$CW$999,97,FALSE),"unknown")</f>
        <v>Yes</v>
      </c>
      <c r="AW480" s="120" t="str">
        <f>IFERROR(VLOOKUP(Table1[RespondentID],'All Data'!$A$3:$CW$999,98,FALSE),"unknown")</f>
        <v>Private/Commercial</v>
      </c>
      <c r="AX480" s="120">
        <f>IFERROR(VLOOKUP(Table1[RespondentID],'All Data'!$A$3:$CW$999,99,FALSE),"unknown")</f>
        <v>0</v>
      </c>
    </row>
    <row r="481" spans="1:50">
      <c r="A481" s="159">
        <v>18031748776</v>
      </c>
      <c r="B481" s="160"/>
      <c r="C481" s="124"/>
      <c r="D481" s="124"/>
      <c r="E481" s="124"/>
      <c r="F481" s="124"/>
      <c r="G481" s="124"/>
      <c r="H481" s="124"/>
      <c r="I481" s="124"/>
      <c r="J481" s="124"/>
      <c r="K481" s="124"/>
      <c r="L481" s="124"/>
      <c r="M481" s="124"/>
      <c r="N481" s="124" t="s">
        <v>28</v>
      </c>
      <c r="O481" s="124"/>
      <c r="P481" s="161">
        <f t="shared" si="144"/>
        <v>1</v>
      </c>
      <c r="Q481" s="161">
        <f t="shared" si="145"/>
        <v>3</v>
      </c>
      <c r="R481" s="161"/>
      <c r="S481" s="161">
        <f t="shared" si="146"/>
        <v>0</v>
      </c>
      <c r="T481" s="161">
        <f t="shared" si="147"/>
        <v>0</v>
      </c>
      <c r="U481" s="161">
        <f t="shared" si="148"/>
        <v>0</v>
      </c>
      <c r="V481" s="162">
        <f t="shared" si="149"/>
        <v>0</v>
      </c>
      <c r="W481" s="162">
        <f t="shared" si="150"/>
        <v>0</v>
      </c>
      <c r="X481" s="162">
        <f t="shared" si="151"/>
        <v>0</v>
      </c>
      <c r="Y481" s="162">
        <f t="shared" si="152"/>
        <v>0</v>
      </c>
      <c r="Z481" s="162">
        <f t="shared" si="153"/>
        <v>0</v>
      </c>
      <c r="AA481" s="162">
        <f t="shared" si="154"/>
        <v>0</v>
      </c>
      <c r="AB481" s="162">
        <f t="shared" si="155"/>
        <v>0</v>
      </c>
      <c r="AC481" s="162">
        <f t="shared" si="156"/>
        <v>0</v>
      </c>
      <c r="AD481" s="162">
        <f t="shared" si="157"/>
        <v>0</v>
      </c>
      <c r="AE481" s="162">
        <f t="shared" si="158"/>
        <v>1</v>
      </c>
      <c r="AF481" s="163"/>
      <c r="AG481" s="161"/>
      <c r="AH481" s="161">
        <f t="shared" si="159"/>
        <v>1</v>
      </c>
      <c r="AI481" s="161">
        <f t="shared" si="160"/>
        <v>1</v>
      </c>
      <c r="AJ481" s="161" t="str">
        <f t="shared" si="161"/>
        <v>Correct</v>
      </c>
      <c r="AK481" s="124"/>
      <c r="AL481" s="164" t="str">
        <f>IFERROR(VLOOKUP(Table1[RespondentID],'All Data'!$A$3:$CO$999,87,FALSE),"unknown")</f>
        <v>Woman</v>
      </c>
      <c r="AM481" s="124"/>
      <c r="AN481" s="120" t="str">
        <f>IFERROR(VLOOKUP(Table1[RespondentID],'All Data'!$A$3:$CO$999,89,FALSE),"unknown")</f>
        <v>Nassau</v>
      </c>
      <c r="AO481" s="120" t="str">
        <f>IFERROR(VLOOKUP(Table1[RespondentID],'All Data'!$A$3:$CO$999,90,FALSE),"unknown")</f>
        <v>Manhasset, 11030</v>
      </c>
      <c r="AP481" s="120" t="str">
        <f>IFERROR(VLOOKUP(Table1[RespondentID],'All Data'!$A$3:$CO$999,91,FALSE),"unknown")</f>
        <v>Two or more races</v>
      </c>
      <c r="AQ481" s="120" t="str">
        <f>IFERROR(VLOOKUP(Table1[RespondentID],'All Data'!$A$3:$CO$999,92,FALSE),"unknown")</f>
        <v>Not Hispanic or Latino</v>
      </c>
      <c r="AR481" s="120" t="str">
        <f>IFERROR(VLOOKUP(Table1[RespondentID],'All Data'!$A$3:$CO$999,93,FALSE),"unknown")</f>
        <v>English</v>
      </c>
      <c r="AS481" s="120" t="str">
        <f>IFERROR(VLOOKUP(Table1[RespondentID],'All Data'!$A$3:$CW$999,94,FALSE),"unknown")</f>
        <v>$20,000 to $34,999</v>
      </c>
      <c r="AT481" s="120" t="str">
        <f>IFERROR(VLOOKUP(Table1[RespondentID],'All Data'!$A$3:$CW$999,95,FALSE),"unknown")</f>
        <v>High school graduate</v>
      </c>
      <c r="AU481" s="120" t="str">
        <f>IFERROR(VLOOKUP(Table1[RespondentID],'All Data'!$A$3:$CW$999,96,FALSE),"unknown")</f>
        <v>Retired</v>
      </c>
      <c r="AV481" s="120" t="str">
        <f>IFERROR(VLOOKUP(Table1[RespondentID],'All Data'!$A$3:$CW$999,97,FALSE),"unknown")</f>
        <v>Yes</v>
      </c>
      <c r="AW481" s="120" t="str">
        <f>IFERROR(VLOOKUP(Table1[RespondentID],'All Data'!$A$3:$CW$999,98,FALSE),"unknown")</f>
        <v>Medicare</v>
      </c>
      <c r="AX481" s="120" t="str">
        <f>IFERROR(VLOOKUP(Table1[RespondentID],'All Data'!$A$3:$CW$999,99,FALSE),"unknown")</f>
        <v>Yes</v>
      </c>
    </row>
    <row r="482" spans="1:50">
      <c r="A482" s="159">
        <v>18031748295</v>
      </c>
      <c r="B482" s="160"/>
      <c r="C482" s="124"/>
      <c r="D482" s="124"/>
      <c r="E482" s="124"/>
      <c r="F482" s="124"/>
      <c r="G482" s="124"/>
      <c r="H482" s="124"/>
      <c r="I482" s="124"/>
      <c r="J482" s="124"/>
      <c r="K482" s="124"/>
      <c r="L482" s="124"/>
      <c r="M482" s="124"/>
      <c r="N482" s="124"/>
      <c r="O482" s="124" t="s">
        <v>492</v>
      </c>
      <c r="P482" s="161">
        <f t="shared" si="144"/>
        <v>0</v>
      </c>
      <c r="Q482" s="161" t="e">
        <f t="shared" si="145"/>
        <v>#DIV/0!</v>
      </c>
      <c r="R482" s="161"/>
      <c r="S482" s="161">
        <f t="shared" si="146"/>
        <v>0</v>
      </c>
      <c r="T482" s="161">
        <f t="shared" si="147"/>
        <v>0</v>
      </c>
      <c r="U482" s="161">
        <f t="shared" si="148"/>
        <v>0</v>
      </c>
      <c r="V482" s="162">
        <f t="shared" si="149"/>
        <v>0</v>
      </c>
      <c r="W482" s="162">
        <f t="shared" si="150"/>
        <v>0</v>
      </c>
      <c r="X482" s="162">
        <f t="shared" si="151"/>
        <v>0</v>
      </c>
      <c r="Y482" s="162">
        <f t="shared" si="152"/>
        <v>0</v>
      </c>
      <c r="Z482" s="162">
        <f t="shared" si="153"/>
        <v>0</v>
      </c>
      <c r="AA482" s="162">
        <f t="shared" si="154"/>
        <v>0</v>
      </c>
      <c r="AB482" s="162">
        <f t="shared" si="155"/>
        <v>0</v>
      </c>
      <c r="AC482" s="162">
        <f t="shared" si="156"/>
        <v>0</v>
      </c>
      <c r="AD482" s="162">
        <f t="shared" si="157"/>
        <v>0</v>
      </c>
      <c r="AE482" s="162">
        <f t="shared" si="158"/>
        <v>0</v>
      </c>
      <c r="AF482" s="163"/>
      <c r="AG482" s="161"/>
      <c r="AH482" s="161">
        <f t="shared" si="159"/>
        <v>0</v>
      </c>
      <c r="AI482" s="161">
        <f t="shared" si="160"/>
        <v>0</v>
      </c>
      <c r="AJ482" s="161" t="str">
        <f t="shared" si="161"/>
        <v>Correct</v>
      </c>
      <c r="AK482" s="124"/>
      <c r="AL482" s="164" t="str">
        <f>IFERROR(VLOOKUP(Table1[RespondentID],'All Data'!$A$3:$CO$999,87,FALSE),"unknown")</f>
        <v>Woman</v>
      </c>
      <c r="AM482" s="124"/>
      <c r="AN482" s="120" t="str">
        <f>IFERROR(VLOOKUP(Table1[RespondentID],'All Data'!$A$3:$CO$999,89,FALSE),"unknown")</f>
        <v>Queens</v>
      </c>
      <c r="AO482" s="120">
        <f>IFERROR(VLOOKUP(Table1[RespondentID],'All Data'!$A$3:$CO$999,90,FALSE),"unknown")</f>
        <v>0</v>
      </c>
      <c r="AP482" s="120" t="str">
        <f>IFERROR(VLOOKUP(Table1[RespondentID],'All Data'!$A$3:$CO$999,91,FALSE),"unknown")</f>
        <v>Black or African American</v>
      </c>
      <c r="AQ482" s="120" t="str">
        <f>IFERROR(VLOOKUP(Table1[RespondentID],'All Data'!$A$3:$CO$999,92,FALSE),"unknown")</f>
        <v>Not Hispanic or Latino</v>
      </c>
      <c r="AR482" s="120" t="str">
        <f>IFERROR(VLOOKUP(Table1[RespondentID],'All Data'!$A$3:$CO$999,93,FALSE),"unknown")</f>
        <v>English</v>
      </c>
      <c r="AS482" s="120" t="str">
        <f>IFERROR(VLOOKUP(Table1[RespondentID],'All Data'!$A$3:$CW$999,94,FALSE),"unknown")</f>
        <v>$50,000 to $74,999</v>
      </c>
      <c r="AT482" s="120" t="str">
        <f>IFERROR(VLOOKUP(Table1[RespondentID],'All Data'!$A$3:$CW$999,95,FALSE),"unknown")</f>
        <v>Some college</v>
      </c>
      <c r="AU482" s="120" t="str">
        <f>IFERROR(VLOOKUP(Table1[RespondentID],'All Data'!$A$3:$CW$999,96,FALSE),"unknown")</f>
        <v>Employed for wages</v>
      </c>
      <c r="AV482" s="120" t="str">
        <f>IFERROR(VLOOKUP(Table1[RespondentID],'All Data'!$A$3:$CW$999,97,FALSE),"unknown")</f>
        <v>Yes</v>
      </c>
      <c r="AW482" s="120" t="str">
        <f>IFERROR(VLOOKUP(Table1[RespondentID],'All Data'!$A$3:$CW$999,98,FALSE),"unknown")</f>
        <v>Medicare</v>
      </c>
      <c r="AX482" s="120" t="str">
        <f>IFERROR(VLOOKUP(Table1[RespondentID],'All Data'!$A$3:$CW$999,99,FALSE),"unknown")</f>
        <v>Yes</v>
      </c>
    </row>
    <row r="483" spans="1:50">
      <c r="A483" s="159">
        <v>18031748212</v>
      </c>
      <c r="B483" s="160"/>
      <c r="C483" s="124" t="s">
        <v>17</v>
      </c>
      <c r="D483" s="124"/>
      <c r="E483" s="124"/>
      <c r="F483" s="124"/>
      <c r="G483" s="124"/>
      <c r="H483" s="124"/>
      <c r="I483" s="124"/>
      <c r="J483" s="124"/>
      <c r="K483" s="124" t="s">
        <v>25</v>
      </c>
      <c r="L483" s="124"/>
      <c r="M483" s="124"/>
      <c r="N483" s="124"/>
      <c r="O483" s="124"/>
      <c r="P483" s="161">
        <f t="shared" si="144"/>
        <v>2</v>
      </c>
      <c r="Q483" s="161">
        <f t="shared" si="145"/>
        <v>1.5</v>
      </c>
      <c r="R483" s="161"/>
      <c r="S483" s="161">
        <f t="shared" si="146"/>
        <v>0</v>
      </c>
      <c r="T483" s="161">
        <f t="shared" si="147"/>
        <v>1</v>
      </c>
      <c r="U483" s="161">
        <f t="shared" si="148"/>
        <v>0</v>
      </c>
      <c r="V483" s="162">
        <f t="shared" si="149"/>
        <v>0</v>
      </c>
      <c r="W483" s="162">
        <f t="shared" si="150"/>
        <v>0</v>
      </c>
      <c r="X483" s="162">
        <f t="shared" si="151"/>
        <v>0</v>
      </c>
      <c r="Y483" s="162">
        <f t="shared" si="152"/>
        <v>0</v>
      </c>
      <c r="Z483" s="162">
        <f t="shared" si="153"/>
        <v>0</v>
      </c>
      <c r="AA483" s="162">
        <f t="shared" si="154"/>
        <v>0</v>
      </c>
      <c r="AB483" s="162">
        <f t="shared" si="155"/>
        <v>1</v>
      </c>
      <c r="AC483" s="162">
        <f t="shared" si="156"/>
        <v>0</v>
      </c>
      <c r="AD483" s="162">
        <f t="shared" si="157"/>
        <v>0</v>
      </c>
      <c r="AE483" s="162">
        <f t="shared" si="158"/>
        <v>0</v>
      </c>
      <c r="AF483" s="163"/>
      <c r="AG483" s="161"/>
      <c r="AH483" s="161">
        <f t="shared" si="159"/>
        <v>2</v>
      </c>
      <c r="AI483" s="161">
        <f t="shared" si="160"/>
        <v>2</v>
      </c>
      <c r="AJ483" s="161" t="str">
        <f t="shared" si="161"/>
        <v>Correct</v>
      </c>
      <c r="AK483" s="124"/>
      <c r="AL483" s="164" t="str">
        <f>IFERROR(VLOOKUP(Table1[RespondentID],'All Data'!$A$3:$CO$999,87,FALSE),"unknown")</f>
        <v>Woman</v>
      </c>
      <c r="AM483" s="124"/>
      <c r="AN483" s="120" t="str">
        <f>IFERROR(VLOOKUP(Table1[RespondentID],'All Data'!$A$3:$CO$999,89,FALSE),"unknown")</f>
        <v>Nassau</v>
      </c>
      <c r="AO483" s="120" t="str">
        <f>IFERROR(VLOOKUP(Table1[RespondentID],'All Data'!$A$3:$CO$999,90,FALSE),"unknown")</f>
        <v>New Hyde Park, 11040</v>
      </c>
      <c r="AP483" s="120" t="str">
        <f>IFERROR(VLOOKUP(Table1[RespondentID],'All Data'!$A$3:$CO$999,91,FALSE),"unknown")</f>
        <v>Asian</v>
      </c>
      <c r="AQ483" s="120" t="str">
        <f>IFERROR(VLOOKUP(Table1[RespondentID],'All Data'!$A$3:$CO$999,92,FALSE),"unknown")</f>
        <v>Not Hispanic or Latino</v>
      </c>
      <c r="AR483" s="120" t="str">
        <f>IFERROR(VLOOKUP(Table1[RespondentID],'All Data'!$A$3:$CO$999,93,FALSE),"unknown")</f>
        <v>English,Chinese</v>
      </c>
      <c r="AS483" s="120" t="str">
        <f>IFERROR(VLOOKUP(Table1[RespondentID],'All Data'!$A$3:$CW$999,94,FALSE),"unknown")</f>
        <v>Over $125,000</v>
      </c>
      <c r="AT483" s="120" t="str">
        <f>IFERROR(VLOOKUP(Table1[RespondentID],'All Data'!$A$3:$CW$999,95,FALSE),"unknown")</f>
        <v>College graduate</v>
      </c>
      <c r="AU483" s="120" t="str">
        <f>IFERROR(VLOOKUP(Table1[RespondentID],'All Data'!$A$3:$CW$999,96,FALSE),"unknown")</f>
        <v>Employed for wages</v>
      </c>
      <c r="AV483" s="120" t="str">
        <f>IFERROR(VLOOKUP(Table1[RespondentID],'All Data'!$A$3:$CW$999,97,FALSE),"unknown")</f>
        <v>Yes</v>
      </c>
      <c r="AW483" s="120" t="str">
        <f>IFERROR(VLOOKUP(Table1[RespondentID],'All Data'!$A$3:$CW$999,98,FALSE),"unknown")</f>
        <v>Private/Commercial</v>
      </c>
      <c r="AX483" s="120" t="str">
        <f>IFERROR(VLOOKUP(Table1[RespondentID],'All Data'!$A$3:$CW$999,99,FALSE),"unknown")</f>
        <v>Yes</v>
      </c>
    </row>
    <row r="484" spans="1:50">
      <c r="A484" s="159">
        <v>18031748123</v>
      </c>
      <c r="B484" s="160"/>
      <c r="C484" s="124"/>
      <c r="D484" s="124"/>
      <c r="E484" s="124"/>
      <c r="F484" s="124"/>
      <c r="G484" s="124"/>
      <c r="H484" s="124"/>
      <c r="I484" s="124"/>
      <c r="J484" s="124" t="s">
        <v>24</v>
      </c>
      <c r="K484" s="124"/>
      <c r="L484" s="124"/>
      <c r="M484" s="124"/>
      <c r="N484" s="124"/>
      <c r="O484" s="124"/>
      <c r="P484" s="161">
        <f t="shared" si="144"/>
        <v>1</v>
      </c>
      <c r="Q484" s="161">
        <f t="shared" si="145"/>
        <v>3</v>
      </c>
      <c r="R484" s="161"/>
      <c r="S484" s="161">
        <f t="shared" si="146"/>
        <v>0</v>
      </c>
      <c r="T484" s="161">
        <f t="shared" si="147"/>
        <v>0</v>
      </c>
      <c r="U484" s="161">
        <f t="shared" si="148"/>
        <v>0</v>
      </c>
      <c r="V484" s="162">
        <f t="shared" si="149"/>
        <v>0</v>
      </c>
      <c r="W484" s="162">
        <f t="shared" si="150"/>
        <v>0</v>
      </c>
      <c r="X484" s="162">
        <f t="shared" si="151"/>
        <v>0</v>
      </c>
      <c r="Y484" s="162">
        <f t="shared" si="152"/>
        <v>0</v>
      </c>
      <c r="Z484" s="162">
        <f t="shared" si="153"/>
        <v>0</v>
      </c>
      <c r="AA484" s="162">
        <f t="shared" si="154"/>
        <v>1</v>
      </c>
      <c r="AB484" s="162">
        <f t="shared" si="155"/>
        <v>0</v>
      </c>
      <c r="AC484" s="162">
        <f t="shared" si="156"/>
        <v>0</v>
      </c>
      <c r="AD484" s="162">
        <f t="shared" si="157"/>
        <v>0</v>
      </c>
      <c r="AE484" s="162">
        <f t="shared" si="158"/>
        <v>0</v>
      </c>
      <c r="AF484" s="163"/>
      <c r="AG484" s="161"/>
      <c r="AH484" s="161">
        <f t="shared" si="159"/>
        <v>1</v>
      </c>
      <c r="AI484" s="161">
        <f t="shared" si="160"/>
        <v>1</v>
      </c>
      <c r="AJ484" s="161" t="str">
        <f t="shared" si="161"/>
        <v>Correct</v>
      </c>
      <c r="AK484" s="124"/>
      <c r="AL484" s="164" t="str">
        <f>IFERROR(VLOOKUP(Table1[RespondentID],'All Data'!$A$3:$CO$999,87,FALSE),"unknown")</f>
        <v>Woman</v>
      </c>
      <c r="AM484" s="124"/>
      <c r="AN484" s="120" t="str">
        <f>IFERROR(VLOOKUP(Table1[RespondentID],'All Data'!$A$3:$CO$999,89,FALSE),"unknown")</f>
        <v>Nassau</v>
      </c>
      <c r="AO484" s="120" t="str">
        <f>IFERROR(VLOOKUP(Table1[RespondentID],'All Data'!$A$3:$CO$999,90,FALSE),"unknown")</f>
        <v>Manhasset, 11030</v>
      </c>
      <c r="AP484" s="120" t="str">
        <f>IFERROR(VLOOKUP(Table1[RespondentID],'All Data'!$A$3:$CO$999,91,FALSE),"unknown")</f>
        <v>Black or African American</v>
      </c>
      <c r="AQ484" s="120" t="str">
        <f>IFERROR(VLOOKUP(Table1[RespondentID],'All Data'!$A$3:$CO$999,92,FALSE),"unknown")</f>
        <v>Not Hispanic or Latino</v>
      </c>
      <c r="AR484" s="120" t="str">
        <f>IFERROR(VLOOKUP(Table1[RespondentID],'All Data'!$A$3:$CO$999,93,FALSE),"unknown")</f>
        <v>English</v>
      </c>
      <c r="AS484" s="120">
        <f>IFERROR(VLOOKUP(Table1[RespondentID],'All Data'!$A$3:$CW$999,94,FALSE),"unknown")</f>
        <v>0</v>
      </c>
      <c r="AT484" s="120" t="str">
        <f>IFERROR(VLOOKUP(Table1[RespondentID],'All Data'!$A$3:$CW$999,95,FALSE),"unknown")</f>
        <v>High school graduate</v>
      </c>
      <c r="AU484" s="120" t="str">
        <f>IFERROR(VLOOKUP(Table1[RespondentID],'All Data'!$A$3:$CW$999,96,FALSE),"unknown")</f>
        <v>Retired</v>
      </c>
      <c r="AV484" s="120" t="str">
        <f>IFERROR(VLOOKUP(Table1[RespondentID],'All Data'!$A$3:$CW$999,97,FALSE),"unknown")</f>
        <v>Yes</v>
      </c>
      <c r="AW484" s="120" t="str">
        <f>IFERROR(VLOOKUP(Table1[RespondentID],'All Data'!$A$3:$CW$999,98,FALSE),"unknown")</f>
        <v>Medicare</v>
      </c>
      <c r="AX484" s="120" t="str">
        <f>IFERROR(VLOOKUP(Table1[RespondentID],'All Data'!$A$3:$CW$999,99,FALSE),"unknown")</f>
        <v>No</v>
      </c>
    </row>
    <row r="485" spans="1:50">
      <c r="A485" s="159">
        <v>18031747963</v>
      </c>
      <c r="B485" s="160"/>
      <c r="C485" s="124"/>
      <c r="D485" s="124"/>
      <c r="E485" s="124"/>
      <c r="F485" s="124"/>
      <c r="G485" s="124"/>
      <c r="H485" s="124"/>
      <c r="I485" s="124"/>
      <c r="J485" s="124"/>
      <c r="K485" s="124"/>
      <c r="L485" s="124"/>
      <c r="M485" s="124"/>
      <c r="N485" s="124" t="s">
        <v>28</v>
      </c>
      <c r="O485" s="124"/>
      <c r="P485" s="161">
        <f t="shared" si="144"/>
        <v>1</v>
      </c>
      <c r="Q485" s="161">
        <f t="shared" si="145"/>
        <v>3</v>
      </c>
      <c r="R485" s="161"/>
      <c r="S485" s="161">
        <f t="shared" si="146"/>
        <v>0</v>
      </c>
      <c r="T485" s="161">
        <f t="shared" si="147"/>
        <v>0</v>
      </c>
      <c r="U485" s="161">
        <f t="shared" si="148"/>
        <v>0</v>
      </c>
      <c r="V485" s="162">
        <f t="shared" si="149"/>
        <v>0</v>
      </c>
      <c r="W485" s="162">
        <f t="shared" si="150"/>
        <v>0</v>
      </c>
      <c r="X485" s="162">
        <f t="shared" si="151"/>
        <v>0</v>
      </c>
      <c r="Y485" s="162">
        <f t="shared" si="152"/>
        <v>0</v>
      </c>
      <c r="Z485" s="162">
        <f t="shared" si="153"/>
        <v>0</v>
      </c>
      <c r="AA485" s="162">
        <f t="shared" si="154"/>
        <v>0</v>
      </c>
      <c r="AB485" s="162">
        <f t="shared" si="155"/>
        <v>0</v>
      </c>
      <c r="AC485" s="162">
        <f t="shared" si="156"/>
        <v>0</v>
      </c>
      <c r="AD485" s="162">
        <f t="shared" si="157"/>
        <v>0</v>
      </c>
      <c r="AE485" s="162">
        <f t="shared" si="158"/>
        <v>1</v>
      </c>
      <c r="AF485" s="163"/>
      <c r="AG485" s="161"/>
      <c r="AH485" s="161">
        <f t="shared" si="159"/>
        <v>1</v>
      </c>
      <c r="AI485" s="161">
        <f t="shared" si="160"/>
        <v>1</v>
      </c>
      <c r="AJ485" s="161" t="str">
        <f t="shared" si="161"/>
        <v>Correct</v>
      </c>
      <c r="AK485" s="124"/>
      <c r="AL485" s="164" t="str">
        <f>IFERROR(VLOOKUP(Table1[RespondentID],'All Data'!$A$3:$CO$999,87,FALSE),"unknown")</f>
        <v>Man</v>
      </c>
      <c r="AM485" s="124"/>
      <c r="AN485" s="120">
        <f>IFERROR(VLOOKUP(Table1[RespondentID],'All Data'!$A$3:$CO$999,89,FALSE),"unknown")</f>
        <v>0</v>
      </c>
      <c r="AO485" s="120">
        <f>IFERROR(VLOOKUP(Table1[RespondentID],'All Data'!$A$3:$CO$999,90,FALSE),"unknown")</f>
        <v>0</v>
      </c>
      <c r="AP485" s="120" t="str">
        <f>IFERROR(VLOOKUP(Table1[RespondentID],'All Data'!$A$3:$CO$999,91,FALSE),"unknown")</f>
        <v>White</v>
      </c>
      <c r="AQ485" s="120" t="str">
        <f>IFERROR(VLOOKUP(Table1[RespondentID],'All Data'!$A$3:$CO$999,92,FALSE),"unknown")</f>
        <v>Not Hispanic or Latino</v>
      </c>
      <c r="AR485" s="120" t="str">
        <f>IFERROR(VLOOKUP(Table1[RespondentID],'All Data'!$A$3:$CO$999,93,FALSE),"unknown")</f>
        <v>English</v>
      </c>
      <c r="AS485" s="120" t="str">
        <f>IFERROR(VLOOKUP(Table1[RespondentID],'All Data'!$A$3:$CW$999,94,FALSE),"unknown")</f>
        <v>$75,000 to $125,000</v>
      </c>
      <c r="AT485" s="120" t="str">
        <f>IFERROR(VLOOKUP(Table1[RespondentID],'All Data'!$A$3:$CW$999,95,FALSE),"unknown")</f>
        <v>College graduate</v>
      </c>
      <c r="AU485" s="120" t="str">
        <f>IFERROR(VLOOKUP(Table1[RespondentID],'All Data'!$A$3:$CW$999,96,FALSE),"unknown")</f>
        <v>Retired</v>
      </c>
      <c r="AV485" s="120" t="str">
        <f>IFERROR(VLOOKUP(Table1[RespondentID],'All Data'!$A$3:$CW$999,97,FALSE),"unknown")</f>
        <v>Yes</v>
      </c>
      <c r="AW485" s="120" t="str">
        <f>IFERROR(VLOOKUP(Table1[RespondentID],'All Data'!$A$3:$CW$999,98,FALSE),"unknown")</f>
        <v>Medicare</v>
      </c>
      <c r="AX485" s="120" t="str">
        <f>IFERROR(VLOOKUP(Table1[RespondentID],'All Data'!$A$3:$CW$999,99,FALSE),"unknown")</f>
        <v>Yes</v>
      </c>
    </row>
    <row r="486" spans="1:50">
      <c r="A486" s="159">
        <v>18031747878</v>
      </c>
      <c r="B486" s="160"/>
      <c r="C486" s="124"/>
      <c r="D486" s="124" t="s">
        <v>18</v>
      </c>
      <c r="E486" s="124" t="s">
        <v>19</v>
      </c>
      <c r="F486" s="124"/>
      <c r="G486" s="124" t="s">
        <v>21</v>
      </c>
      <c r="H486" s="124"/>
      <c r="I486" s="124"/>
      <c r="J486" s="124"/>
      <c r="K486" s="124"/>
      <c r="L486" s="124"/>
      <c r="M486" s="124"/>
      <c r="N486" s="124"/>
      <c r="O486" s="124"/>
      <c r="P486" s="161">
        <f t="shared" si="144"/>
        <v>3</v>
      </c>
      <c r="Q486" s="161">
        <f t="shared" si="145"/>
        <v>1</v>
      </c>
      <c r="R486" s="161"/>
      <c r="S486" s="161">
        <f t="shared" si="146"/>
        <v>0</v>
      </c>
      <c r="T486" s="161">
        <f t="shared" si="147"/>
        <v>0</v>
      </c>
      <c r="U486" s="161">
        <f t="shared" si="148"/>
        <v>1</v>
      </c>
      <c r="V486" s="162">
        <f t="shared" si="149"/>
        <v>1</v>
      </c>
      <c r="W486" s="162">
        <f t="shared" si="150"/>
        <v>0</v>
      </c>
      <c r="X486" s="162">
        <f t="shared" si="151"/>
        <v>1</v>
      </c>
      <c r="Y486" s="162">
        <f t="shared" si="152"/>
        <v>0</v>
      </c>
      <c r="Z486" s="162">
        <f t="shared" si="153"/>
        <v>0</v>
      </c>
      <c r="AA486" s="162">
        <f t="shared" si="154"/>
        <v>0</v>
      </c>
      <c r="AB486" s="162">
        <f t="shared" si="155"/>
        <v>0</v>
      </c>
      <c r="AC486" s="162">
        <f t="shared" si="156"/>
        <v>0</v>
      </c>
      <c r="AD486" s="162">
        <f t="shared" si="157"/>
        <v>0</v>
      </c>
      <c r="AE486" s="162">
        <f t="shared" si="158"/>
        <v>0</v>
      </c>
      <c r="AF486" s="163"/>
      <c r="AG486" s="161"/>
      <c r="AH486" s="161">
        <f t="shared" si="159"/>
        <v>3</v>
      </c>
      <c r="AI486" s="161">
        <f t="shared" si="160"/>
        <v>3</v>
      </c>
      <c r="AJ486" s="161" t="str">
        <f t="shared" si="161"/>
        <v>Correct</v>
      </c>
      <c r="AK486" s="124"/>
      <c r="AL486" s="164" t="str">
        <f>IFERROR(VLOOKUP(Table1[RespondentID],'All Data'!$A$3:$CO$999,87,FALSE),"unknown")</f>
        <v>Woman</v>
      </c>
      <c r="AM486" s="124"/>
      <c r="AN486" s="120" t="str">
        <f>IFERROR(VLOOKUP(Table1[RespondentID],'All Data'!$A$3:$CO$999,89,FALSE),"unknown")</f>
        <v>Nassau</v>
      </c>
      <c r="AO486" s="120" t="str">
        <f>IFERROR(VLOOKUP(Table1[RespondentID],'All Data'!$A$3:$CO$999,90,FALSE),"unknown")</f>
        <v>New Hyde Park, 11040</v>
      </c>
      <c r="AP486" s="120" t="str">
        <f>IFERROR(VLOOKUP(Table1[RespondentID],'All Data'!$A$3:$CO$999,91,FALSE),"unknown")</f>
        <v>White</v>
      </c>
      <c r="AQ486" s="120" t="str">
        <f>IFERROR(VLOOKUP(Table1[RespondentID],'All Data'!$A$3:$CO$999,92,FALSE),"unknown")</f>
        <v>Not Hispanic or Latino</v>
      </c>
      <c r="AR486" s="120" t="str">
        <f>IFERROR(VLOOKUP(Table1[RespondentID],'All Data'!$A$3:$CO$999,93,FALSE),"unknown")</f>
        <v>English</v>
      </c>
      <c r="AS486" s="120">
        <f>IFERROR(VLOOKUP(Table1[RespondentID],'All Data'!$A$3:$CW$999,94,FALSE),"unknown")</f>
        <v>0</v>
      </c>
      <c r="AT486" s="120" t="str">
        <f>IFERROR(VLOOKUP(Table1[RespondentID],'All Data'!$A$3:$CW$999,95,FALSE),"unknown")</f>
        <v>High school graduate</v>
      </c>
      <c r="AU486" s="120" t="str">
        <f>IFERROR(VLOOKUP(Table1[RespondentID],'All Data'!$A$3:$CW$999,96,FALSE),"unknown")</f>
        <v>Retired</v>
      </c>
      <c r="AV486" s="120" t="str">
        <f>IFERROR(VLOOKUP(Table1[RespondentID],'All Data'!$A$3:$CW$999,97,FALSE),"unknown")</f>
        <v>Yes</v>
      </c>
      <c r="AW486" s="120" t="str">
        <f>IFERROR(VLOOKUP(Table1[RespondentID],'All Data'!$A$3:$CW$999,98,FALSE),"unknown")</f>
        <v>Medicare</v>
      </c>
      <c r="AX486" s="120" t="str">
        <f>IFERROR(VLOOKUP(Table1[RespondentID],'All Data'!$A$3:$CW$999,99,FALSE),"unknown")</f>
        <v>No</v>
      </c>
    </row>
    <row r="487" spans="1:50">
      <c r="A487" s="159">
        <v>18031747796</v>
      </c>
      <c r="B487" s="160"/>
      <c r="C487" s="124"/>
      <c r="D487" s="124"/>
      <c r="E487" s="124"/>
      <c r="F487" s="124"/>
      <c r="G487" s="124"/>
      <c r="H487" s="124"/>
      <c r="I487" s="124"/>
      <c r="J487" s="124"/>
      <c r="K487" s="124"/>
      <c r="L487" s="124"/>
      <c r="M487" s="124" t="s">
        <v>27</v>
      </c>
      <c r="N487" s="124"/>
      <c r="O487" s="124" t="s">
        <v>493</v>
      </c>
      <c r="P487" s="161">
        <f t="shared" si="144"/>
        <v>1</v>
      </c>
      <c r="Q487" s="161">
        <f t="shared" si="145"/>
        <v>3</v>
      </c>
      <c r="R487" s="161"/>
      <c r="S487" s="161">
        <f t="shared" si="146"/>
        <v>0</v>
      </c>
      <c r="T487" s="161">
        <f t="shared" si="147"/>
        <v>0</v>
      </c>
      <c r="U487" s="161">
        <f t="shared" si="148"/>
        <v>0</v>
      </c>
      <c r="V487" s="162">
        <f t="shared" si="149"/>
        <v>0</v>
      </c>
      <c r="W487" s="162">
        <f t="shared" si="150"/>
        <v>0</v>
      </c>
      <c r="X487" s="162">
        <f t="shared" si="151"/>
        <v>0</v>
      </c>
      <c r="Y487" s="162">
        <f t="shared" si="152"/>
        <v>0</v>
      </c>
      <c r="Z487" s="162">
        <f t="shared" si="153"/>
        <v>0</v>
      </c>
      <c r="AA487" s="162">
        <f t="shared" si="154"/>
        <v>0</v>
      </c>
      <c r="AB487" s="162">
        <f t="shared" si="155"/>
        <v>0</v>
      </c>
      <c r="AC487" s="162">
        <f t="shared" si="156"/>
        <v>0</v>
      </c>
      <c r="AD487" s="162">
        <f t="shared" si="157"/>
        <v>1</v>
      </c>
      <c r="AE487" s="162">
        <f t="shared" si="158"/>
        <v>0</v>
      </c>
      <c r="AF487" s="163"/>
      <c r="AG487" s="161"/>
      <c r="AH487" s="161">
        <f t="shared" si="159"/>
        <v>1</v>
      </c>
      <c r="AI487" s="161">
        <f t="shared" si="160"/>
        <v>1</v>
      </c>
      <c r="AJ487" s="161" t="str">
        <f t="shared" si="161"/>
        <v>Correct</v>
      </c>
      <c r="AK487" s="124"/>
      <c r="AL487" s="164" t="str">
        <f>IFERROR(VLOOKUP(Table1[RespondentID],'All Data'!$A$3:$CO$999,87,FALSE),"unknown")</f>
        <v>Man</v>
      </c>
      <c r="AM487" s="124"/>
      <c r="AN487" s="120" t="str">
        <f>IFERROR(VLOOKUP(Table1[RespondentID],'All Data'!$A$3:$CO$999,89,FALSE),"unknown")</f>
        <v>Nassau</v>
      </c>
      <c r="AO487" s="120" t="str">
        <f>IFERROR(VLOOKUP(Table1[RespondentID],'All Data'!$A$3:$CO$999,90,FALSE),"unknown")</f>
        <v>Manhasset, 11030</v>
      </c>
      <c r="AP487" s="120" t="str">
        <f>IFERROR(VLOOKUP(Table1[RespondentID],'All Data'!$A$3:$CO$999,91,FALSE),"unknown")</f>
        <v>White</v>
      </c>
      <c r="AQ487" s="120" t="str">
        <f>IFERROR(VLOOKUP(Table1[RespondentID],'All Data'!$A$3:$CO$999,92,FALSE),"unknown")</f>
        <v>Not Hispanic or Latino</v>
      </c>
      <c r="AR487" s="120" t="str">
        <f>IFERROR(VLOOKUP(Table1[RespondentID],'All Data'!$A$3:$CO$999,93,FALSE),"unknown")</f>
        <v>English</v>
      </c>
      <c r="AS487" s="120" t="str">
        <f>IFERROR(VLOOKUP(Table1[RespondentID],'All Data'!$A$3:$CW$999,94,FALSE),"unknown")</f>
        <v>$0-$19,999</v>
      </c>
      <c r="AT487" s="120" t="str">
        <f>IFERROR(VLOOKUP(Table1[RespondentID],'All Data'!$A$3:$CW$999,95,FALSE),"unknown")</f>
        <v>Some college</v>
      </c>
      <c r="AU487" s="120" t="str">
        <f>IFERROR(VLOOKUP(Table1[RespondentID],'All Data'!$A$3:$CW$999,96,FALSE),"unknown")</f>
        <v>Out of work, but not currently looking</v>
      </c>
      <c r="AV487" s="120" t="str">
        <f>IFERROR(VLOOKUP(Table1[RespondentID],'All Data'!$A$3:$CW$999,97,FALSE),"unknown")</f>
        <v>Yes</v>
      </c>
      <c r="AW487" s="120" t="str">
        <f>IFERROR(VLOOKUP(Table1[RespondentID],'All Data'!$A$3:$CW$999,98,FALSE),"unknown")</f>
        <v>Medicaid</v>
      </c>
      <c r="AX487" s="120" t="str">
        <f>IFERROR(VLOOKUP(Table1[RespondentID],'All Data'!$A$3:$CW$999,99,FALSE),"unknown")</f>
        <v>No</v>
      </c>
    </row>
    <row r="488" spans="1:50">
      <c r="A488" s="159">
        <v>18031747661</v>
      </c>
      <c r="B488" s="160"/>
      <c r="C488" s="124" t="s">
        <v>17</v>
      </c>
      <c r="D488" s="124"/>
      <c r="E488" s="124"/>
      <c r="F488" s="124"/>
      <c r="G488" s="124"/>
      <c r="H488" s="124"/>
      <c r="I488" s="124"/>
      <c r="J488" s="124"/>
      <c r="K488" s="124"/>
      <c r="L488" s="124" t="s">
        <v>26</v>
      </c>
      <c r="M488" s="124" t="s">
        <v>27</v>
      </c>
      <c r="N488" s="124"/>
      <c r="O488" s="124"/>
      <c r="P488" s="161">
        <f t="shared" si="144"/>
        <v>3</v>
      </c>
      <c r="Q488" s="161">
        <f t="shared" si="145"/>
        <v>1</v>
      </c>
      <c r="R488" s="161"/>
      <c r="S488" s="161">
        <f t="shared" si="146"/>
        <v>0</v>
      </c>
      <c r="T488" s="161">
        <f t="shared" si="147"/>
        <v>1</v>
      </c>
      <c r="U488" s="161">
        <f t="shared" si="148"/>
        <v>0</v>
      </c>
      <c r="V488" s="162">
        <f t="shared" si="149"/>
        <v>0</v>
      </c>
      <c r="W488" s="162">
        <f t="shared" si="150"/>
        <v>0</v>
      </c>
      <c r="X488" s="162">
        <f t="shared" si="151"/>
        <v>0</v>
      </c>
      <c r="Y488" s="162">
        <f t="shared" si="152"/>
        <v>0</v>
      </c>
      <c r="Z488" s="162">
        <f t="shared" si="153"/>
        <v>0</v>
      </c>
      <c r="AA488" s="162">
        <f t="shared" si="154"/>
        <v>0</v>
      </c>
      <c r="AB488" s="162">
        <f t="shared" si="155"/>
        <v>0</v>
      </c>
      <c r="AC488" s="162">
        <f t="shared" si="156"/>
        <v>1</v>
      </c>
      <c r="AD488" s="162">
        <f t="shared" si="157"/>
        <v>1</v>
      </c>
      <c r="AE488" s="162">
        <f t="shared" si="158"/>
        <v>0</v>
      </c>
      <c r="AF488" s="163"/>
      <c r="AG488" s="161"/>
      <c r="AH488" s="161">
        <f t="shared" si="159"/>
        <v>3</v>
      </c>
      <c r="AI488" s="161">
        <f t="shared" si="160"/>
        <v>3</v>
      </c>
      <c r="AJ488" s="161" t="str">
        <f t="shared" si="161"/>
        <v>Correct</v>
      </c>
      <c r="AK488" s="124"/>
      <c r="AL488" s="164" t="str">
        <f>IFERROR(VLOOKUP(Table1[RespondentID],'All Data'!$A$3:$CO$999,87,FALSE),"unknown")</f>
        <v>Woman</v>
      </c>
      <c r="AM488" s="124"/>
      <c r="AN488" s="120" t="str">
        <f>IFERROR(VLOOKUP(Table1[RespondentID],'All Data'!$A$3:$CO$999,89,FALSE),"unknown")</f>
        <v>Nassau</v>
      </c>
      <c r="AO488" s="120" t="str">
        <f>IFERROR(VLOOKUP(Table1[RespondentID],'All Data'!$A$3:$CO$999,90,FALSE),"unknown")</f>
        <v>Franklin Square, 11010</v>
      </c>
      <c r="AP488" s="120" t="str">
        <f>IFERROR(VLOOKUP(Table1[RespondentID],'All Data'!$A$3:$CO$999,91,FALSE),"unknown")</f>
        <v>White</v>
      </c>
      <c r="AQ488" s="120">
        <f>IFERROR(VLOOKUP(Table1[RespondentID],'All Data'!$A$3:$CO$999,92,FALSE),"unknown")</f>
        <v>0</v>
      </c>
      <c r="AR488" s="120" t="str">
        <f>IFERROR(VLOOKUP(Table1[RespondentID],'All Data'!$A$3:$CO$999,93,FALSE),"unknown")</f>
        <v>English</v>
      </c>
      <c r="AS488" s="120" t="str">
        <f>IFERROR(VLOOKUP(Table1[RespondentID],'All Data'!$A$3:$CW$999,94,FALSE),"unknown")</f>
        <v>$75,000 to $125,000</v>
      </c>
      <c r="AT488" s="120" t="str">
        <f>IFERROR(VLOOKUP(Table1[RespondentID],'All Data'!$A$3:$CW$999,95,FALSE),"unknown")</f>
        <v>High school graduate</v>
      </c>
      <c r="AU488" s="120" t="str">
        <f>IFERROR(VLOOKUP(Table1[RespondentID],'All Data'!$A$3:$CW$999,96,FALSE),"unknown")</f>
        <v>Employed for wages</v>
      </c>
      <c r="AV488" s="120" t="str">
        <f>IFERROR(VLOOKUP(Table1[RespondentID],'All Data'!$A$3:$CW$999,97,FALSE),"unknown")</f>
        <v>Yes</v>
      </c>
      <c r="AW488" s="120" t="str">
        <f>IFERROR(VLOOKUP(Table1[RespondentID],'All Data'!$A$3:$CW$999,98,FALSE),"unknown")</f>
        <v>Private/Commercial</v>
      </c>
      <c r="AX488" s="120" t="str">
        <f>IFERROR(VLOOKUP(Table1[RespondentID],'All Data'!$A$3:$CW$999,99,FALSE),"unknown")</f>
        <v>Yes</v>
      </c>
    </row>
    <row r="489" spans="1:50">
      <c r="A489" s="159">
        <v>18031747461</v>
      </c>
      <c r="B489" s="160"/>
      <c r="C489" s="124" t="s">
        <v>17</v>
      </c>
      <c r="D489" s="124"/>
      <c r="E489" s="124"/>
      <c r="F489" s="124"/>
      <c r="G489" s="124"/>
      <c r="H489" s="124"/>
      <c r="I489" s="124"/>
      <c r="J489" s="124"/>
      <c r="K489" s="124"/>
      <c r="L489" s="124"/>
      <c r="M489" s="124" t="s">
        <v>27</v>
      </c>
      <c r="N489" s="124"/>
      <c r="O489" s="124"/>
      <c r="P489" s="161">
        <f t="shared" si="144"/>
        <v>2</v>
      </c>
      <c r="Q489" s="161">
        <f t="shared" si="145"/>
        <v>1.5</v>
      </c>
      <c r="R489" s="161"/>
      <c r="S489" s="161">
        <f t="shared" si="146"/>
        <v>0</v>
      </c>
      <c r="T489" s="161">
        <f t="shared" si="147"/>
        <v>1</v>
      </c>
      <c r="U489" s="161">
        <f t="shared" si="148"/>
        <v>0</v>
      </c>
      <c r="V489" s="162">
        <f t="shared" si="149"/>
        <v>0</v>
      </c>
      <c r="W489" s="162">
        <f t="shared" si="150"/>
        <v>0</v>
      </c>
      <c r="X489" s="162">
        <f t="shared" si="151"/>
        <v>0</v>
      </c>
      <c r="Y489" s="162">
        <f t="shared" si="152"/>
        <v>0</v>
      </c>
      <c r="Z489" s="162">
        <f t="shared" si="153"/>
        <v>0</v>
      </c>
      <c r="AA489" s="162">
        <f t="shared" si="154"/>
        <v>0</v>
      </c>
      <c r="AB489" s="162">
        <f t="shared" si="155"/>
        <v>0</v>
      </c>
      <c r="AC489" s="162">
        <f t="shared" si="156"/>
        <v>0</v>
      </c>
      <c r="AD489" s="162">
        <f t="shared" si="157"/>
        <v>1</v>
      </c>
      <c r="AE489" s="162">
        <f t="shared" si="158"/>
        <v>0</v>
      </c>
      <c r="AF489" s="163"/>
      <c r="AG489" s="161"/>
      <c r="AH489" s="161">
        <f t="shared" si="159"/>
        <v>2</v>
      </c>
      <c r="AI489" s="161">
        <f t="shared" si="160"/>
        <v>2</v>
      </c>
      <c r="AJ489" s="161" t="str">
        <f t="shared" si="161"/>
        <v>Correct</v>
      </c>
      <c r="AK489" s="124"/>
      <c r="AL489" s="164">
        <f>IFERROR(VLOOKUP(Table1[RespondentID],'All Data'!$A$3:$CO$999,87,FALSE),"unknown")</f>
        <v>0</v>
      </c>
      <c r="AM489" s="124"/>
      <c r="AN489" s="120" t="str">
        <f>IFERROR(VLOOKUP(Table1[RespondentID],'All Data'!$A$3:$CO$999,89,FALSE),"unknown")</f>
        <v>Suffolk</v>
      </c>
      <c r="AO489" s="120" t="str">
        <f>IFERROR(VLOOKUP(Table1[RespondentID],'All Data'!$A$3:$CO$999,90,FALSE),"unknown")</f>
        <v>Centerport, 11721</v>
      </c>
      <c r="AP489" s="120" t="str">
        <f>IFERROR(VLOOKUP(Table1[RespondentID],'All Data'!$A$3:$CO$999,91,FALSE),"unknown")</f>
        <v>White</v>
      </c>
      <c r="AQ489" s="120">
        <f>IFERROR(VLOOKUP(Table1[RespondentID],'All Data'!$A$3:$CO$999,92,FALSE),"unknown")</f>
        <v>0</v>
      </c>
      <c r="AR489" s="120" t="str">
        <f>IFERROR(VLOOKUP(Table1[RespondentID],'All Data'!$A$3:$CO$999,93,FALSE),"unknown")</f>
        <v>English</v>
      </c>
      <c r="AS489" s="120">
        <f>IFERROR(VLOOKUP(Table1[RespondentID],'All Data'!$A$3:$CW$999,94,FALSE),"unknown")</f>
        <v>0</v>
      </c>
      <c r="AT489" s="120" t="str">
        <f>IFERROR(VLOOKUP(Table1[RespondentID],'All Data'!$A$3:$CW$999,95,FALSE),"unknown")</f>
        <v>College graduate</v>
      </c>
      <c r="AU489" s="120" t="str">
        <f>IFERROR(VLOOKUP(Table1[RespondentID],'All Data'!$A$3:$CW$999,96,FALSE),"unknown")</f>
        <v>Out of work and looking for work</v>
      </c>
      <c r="AV489" s="120" t="str">
        <f>IFERROR(VLOOKUP(Table1[RespondentID],'All Data'!$A$3:$CW$999,97,FALSE),"unknown")</f>
        <v>Yes</v>
      </c>
      <c r="AW489" s="120">
        <f>IFERROR(VLOOKUP(Table1[RespondentID],'All Data'!$A$3:$CW$999,98,FALSE),"unknown")</f>
        <v>0</v>
      </c>
      <c r="AX489" s="120" t="str">
        <f>IFERROR(VLOOKUP(Table1[RespondentID],'All Data'!$A$3:$CW$999,99,FALSE),"unknown")</f>
        <v>Yes</v>
      </c>
    </row>
    <row r="490" spans="1:50">
      <c r="A490" s="159">
        <v>18031747331</v>
      </c>
      <c r="B490" s="160"/>
      <c r="C490" s="124"/>
      <c r="D490" s="124"/>
      <c r="E490" s="124"/>
      <c r="F490" s="124"/>
      <c r="G490" s="124"/>
      <c r="H490" s="124"/>
      <c r="I490" s="124"/>
      <c r="J490" s="124"/>
      <c r="K490" s="124"/>
      <c r="L490" s="124"/>
      <c r="M490" s="124"/>
      <c r="N490" s="124" t="s">
        <v>28</v>
      </c>
      <c r="O490" s="124" t="s">
        <v>490</v>
      </c>
      <c r="P490" s="161">
        <f t="shared" si="144"/>
        <v>1</v>
      </c>
      <c r="Q490" s="161">
        <f t="shared" si="145"/>
        <v>3</v>
      </c>
      <c r="R490" s="161"/>
      <c r="S490" s="161">
        <f t="shared" si="146"/>
        <v>0</v>
      </c>
      <c r="T490" s="161">
        <f t="shared" si="147"/>
        <v>0</v>
      </c>
      <c r="U490" s="161">
        <f t="shared" si="148"/>
        <v>0</v>
      </c>
      <c r="V490" s="162">
        <f t="shared" si="149"/>
        <v>0</v>
      </c>
      <c r="W490" s="162">
        <f t="shared" si="150"/>
        <v>0</v>
      </c>
      <c r="X490" s="162">
        <f t="shared" si="151"/>
        <v>0</v>
      </c>
      <c r="Y490" s="162">
        <f t="shared" si="152"/>
        <v>0</v>
      </c>
      <c r="Z490" s="162">
        <f t="shared" si="153"/>
        <v>0</v>
      </c>
      <c r="AA490" s="162">
        <f t="shared" si="154"/>
        <v>0</v>
      </c>
      <c r="AB490" s="162">
        <f t="shared" si="155"/>
        <v>0</v>
      </c>
      <c r="AC490" s="162">
        <f t="shared" si="156"/>
        <v>0</v>
      </c>
      <c r="AD490" s="162">
        <f t="shared" si="157"/>
        <v>0</v>
      </c>
      <c r="AE490" s="162">
        <f t="shared" si="158"/>
        <v>1</v>
      </c>
      <c r="AF490" s="163"/>
      <c r="AG490" s="161"/>
      <c r="AH490" s="161">
        <f t="shared" si="159"/>
        <v>1</v>
      </c>
      <c r="AI490" s="161">
        <f t="shared" si="160"/>
        <v>1</v>
      </c>
      <c r="AJ490" s="161" t="str">
        <f t="shared" si="161"/>
        <v>Correct</v>
      </c>
      <c r="AK490" s="124"/>
      <c r="AL490" s="164" t="str">
        <f>IFERROR(VLOOKUP(Table1[RespondentID],'All Data'!$A$3:$CO$999,87,FALSE),"unknown")</f>
        <v>Woman</v>
      </c>
      <c r="AM490" s="124"/>
      <c r="AN490" s="120" t="str">
        <f>IFERROR(VLOOKUP(Table1[RespondentID],'All Data'!$A$3:$CO$999,89,FALSE),"unknown")</f>
        <v>Nassau</v>
      </c>
      <c r="AO490" s="120" t="str">
        <f>IFERROR(VLOOKUP(Table1[RespondentID],'All Data'!$A$3:$CO$999,90,FALSE),"unknown")</f>
        <v>Bellerose Terrace, 11001</v>
      </c>
      <c r="AP490" s="120" t="str">
        <f>IFERROR(VLOOKUP(Table1[RespondentID],'All Data'!$A$3:$CO$999,91,FALSE),"unknown")</f>
        <v>White</v>
      </c>
      <c r="AQ490" s="120" t="str">
        <f>IFERROR(VLOOKUP(Table1[RespondentID],'All Data'!$A$3:$CO$999,92,FALSE),"unknown")</f>
        <v>Not Hispanic or Latino</v>
      </c>
      <c r="AR490" s="120" t="str">
        <f>IFERROR(VLOOKUP(Table1[RespondentID],'All Data'!$A$3:$CO$999,93,FALSE),"unknown")</f>
        <v>English</v>
      </c>
      <c r="AS490" s="120" t="str">
        <f>IFERROR(VLOOKUP(Table1[RespondentID],'All Data'!$A$3:$CW$999,94,FALSE),"unknown")</f>
        <v>$35,000 to $49,999</v>
      </c>
      <c r="AT490" s="120" t="str">
        <f>IFERROR(VLOOKUP(Table1[RespondentID],'All Data'!$A$3:$CW$999,95,FALSE),"unknown")</f>
        <v>Graduate school</v>
      </c>
      <c r="AU490" s="120" t="str">
        <f>IFERROR(VLOOKUP(Table1[RespondentID],'All Data'!$A$3:$CW$999,96,FALSE),"unknown")</f>
        <v>Retired</v>
      </c>
      <c r="AV490" s="120" t="str">
        <f>IFERROR(VLOOKUP(Table1[RespondentID],'All Data'!$A$3:$CW$999,97,FALSE),"unknown")</f>
        <v>Yes</v>
      </c>
      <c r="AW490" s="120" t="str">
        <f>IFERROR(VLOOKUP(Table1[RespondentID],'All Data'!$A$3:$CW$999,98,FALSE),"unknown")</f>
        <v>Medicare</v>
      </c>
      <c r="AX490" s="120" t="str">
        <f>IFERROR(VLOOKUP(Table1[RespondentID],'All Data'!$A$3:$CW$999,99,FALSE),"unknown")</f>
        <v>Yes</v>
      </c>
    </row>
    <row r="491" spans="1:50">
      <c r="A491" s="159">
        <v>18031747137</v>
      </c>
      <c r="B491" s="160"/>
      <c r="C491" s="124"/>
      <c r="D491" s="124"/>
      <c r="E491" s="124"/>
      <c r="F491" s="124"/>
      <c r="G491" s="124"/>
      <c r="H491" s="124"/>
      <c r="I491" s="124"/>
      <c r="J491" s="124"/>
      <c r="K491" s="124"/>
      <c r="L491" s="124" t="s">
        <v>26</v>
      </c>
      <c r="M491" s="124"/>
      <c r="N491" s="124"/>
      <c r="O491" s="124"/>
      <c r="P491" s="161">
        <f t="shared" si="144"/>
        <v>1</v>
      </c>
      <c r="Q491" s="161">
        <f t="shared" si="145"/>
        <v>3</v>
      </c>
      <c r="R491" s="161"/>
      <c r="S491" s="161">
        <f t="shared" si="146"/>
        <v>0</v>
      </c>
      <c r="T491" s="161">
        <f t="shared" si="147"/>
        <v>0</v>
      </c>
      <c r="U491" s="161">
        <f t="shared" si="148"/>
        <v>0</v>
      </c>
      <c r="V491" s="162">
        <f t="shared" si="149"/>
        <v>0</v>
      </c>
      <c r="W491" s="162">
        <f t="shared" si="150"/>
        <v>0</v>
      </c>
      <c r="X491" s="162">
        <f t="shared" si="151"/>
        <v>0</v>
      </c>
      <c r="Y491" s="162">
        <f t="shared" si="152"/>
        <v>0</v>
      </c>
      <c r="Z491" s="162">
        <f t="shared" si="153"/>
        <v>0</v>
      </c>
      <c r="AA491" s="162">
        <f t="shared" si="154"/>
        <v>0</v>
      </c>
      <c r="AB491" s="162">
        <f t="shared" si="155"/>
        <v>0</v>
      </c>
      <c r="AC491" s="162">
        <f t="shared" si="156"/>
        <v>1</v>
      </c>
      <c r="AD491" s="162">
        <f t="shared" si="157"/>
        <v>0</v>
      </c>
      <c r="AE491" s="162">
        <f t="shared" si="158"/>
        <v>0</v>
      </c>
      <c r="AF491" s="163"/>
      <c r="AG491" s="161"/>
      <c r="AH491" s="161">
        <f t="shared" si="159"/>
        <v>1</v>
      </c>
      <c r="AI491" s="161">
        <f t="shared" si="160"/>
        <v>1</v>
      </c>
      <c r="AJ491" s="161" t="str">
        <f t="shared" si="161"/>
        <v>Correct</v>
      </c>
      <c r="AK491" s="124"/>
      <c r="AL491" s="164" t="str">
        <f>IFERROR(VLOOKUP(Table1[RespondentID],'All Data'!$A$3:$CO$999,87,FALSE),"unknown")</f>
        <v>Man</v>
      </c>
      <c r="AM491" s="124"/>
      <c r="AN491" s="120" t="str">
        <f>IFERROR(VLOOKUP(Table1[RespondentID],'All Data'!$A$3:$CO$999,89,FALSE),"unknown")</f>
        <v>Nassau</v>
      </c>
      <c r="AO491" s="120" t="str">
        <f>IFERROR(VLOOKUP(Table1[RespondentID],'All Data'!$A$3:$CO$999,90,FALSE),"unknown")</f>
        <v>Floral Park, 11001</v>
      </c>
      <c r="AP491" s="120" t="str">
        <f>IFERROR(VLOOKUP(Table1[RespondentID],'All Data'!$A$3:$CO$999,91,FALSE),"unknown")</f>
        <v>White</v>
      </c>
      <c r="AQ491" s="120" t="str">
        <f>IFERROR(VLOOKUP(Table1[RespondentID],'All Data'!$A$3:$CO$999,92,FALSE),"unknown")</f>
        <v>Not Hispanic or Latino</v>
      </c>
      <c r="AR491" s="120" t="str">
        <f>IFERROR(VLOOKUP(Table1[RespondentID],'All Data'!$A$3:$CO$999,93,FALSE),"unknown")</f>
        <v>English</v>
      </c>
      <c r="AS491" s="120" t="str">
        <f>IFERROR(VLOOKUP(Table1[RespondentID],'All Data'!$A$3:$CW$999,94,FALSE),"unknown")</f>
        <v>$75,000 to $125,000</v>
      </c>
      <c r="AT491" s="120" t="str">
        <f>IFERROR(VLOOKUP(Table1[RespondentID],'All Data'!$A$3:$CW$999,95,FALSE),"unknown")</f>
        <v>High school graduate</v>
      </c>
      <c r="AU491" s="120" t="str">
        <f>IFERROR(VLOOKUP(Table1[RespondentID],'All Data'!$A$3:$CW$999,96,FALSE),"unknown")</f>
        <v>Retired</v>
      </c>
      <c r="AV491" s="120" t="str">
        <f>IFERROR(VLOOKUP(Table1[RespondentID],'All Data'!$A$3:$CW$999,97,FALSE),"unknown")</f>
        <v>Yes</v>
      </c>
      <c r="AW491" s="120" t="str">
        <f>IFERROR(VLOOKUP(Table1[RespondentID],'All Data'!$A$3:$CW$999,98,FALSE),"unknown")</f>
        <v>Private/Commercial</v>
      </c>
      <c r="AX491" s="120" t="str">
        <f>IFERROR(VLOOKUP(Table1[RespondentID],'All Data'!$A$3:$CW$999,99,FALSE),"unknown")</f>
        <v>Yes</v>
      </c>
    </row>
    <row r="492" spans="1:50">
      <c r="A492" s="159">
        <v>18031747033</v>
      </c>
      <c r="B492" s="160" t="s">
        <v>16</v>
      </c>
      <c r="C492" s="124" t="s">
        <v>17</v>
      </c>
      <c r="D492" s="124"/>
      <c r="E492" s="124"/>
      <c r="F492" s="124"/>
      <c r="G492" s="124"/>
      <c r="H492" s="124"/>
      <c r="I492" s="124"/>
      <c r="J492" s="124"/>
      <c r="K492" s="124"/>
      <c r="L492" s="124"/>
      <c r="M492" s="124"/>
      <c r="N492" s="124" t="s">
        <v>28</v>
      </c>
      <c r="O492" s="124"/>
      <c r="P492" s="161">
        <f t="shared" si="144"/>
        <v>3</v>
      </c>
      <c r="Q492" s="161">
        <f t="shared" si="145"/>
        <v>1</v>
      </c>
      <c r="R492" s="161"/>
      <c r="S492" s="161">
        <f t="shared" si="146"/>
        <v>1</v>
      </c>
      <c r="T492" s="161">
        <f t="shared" si="147"/>
        <v>1</v>
      </c>
      <c r="U492" s="161">
        <f t="shared" si="148"/>
        <v>0</v>
      </c>
      <c r="V492" s="162">
        <f t="shared" si="149"/>
        <v>0</v>
      </c>
      <c r="W492" s="162">
        <f t="shared" si="150"/>
        <v>0</v>
      </c>
      <c r="X492" s="162">
        <f t="shared" si="151"/>
        <v>0</v>
      </c>
      <c r="Y492" s="162">
        <f t="shared" si="152"/>
        <v>0</v>
      </c>
      <c r="Z492" s="162">
        <f t="shared" si="153"/>
        <v>0</v>
      </c>
      <c r="AA492" s="162">
        <f t="shared" si="154"/>
        <v>0</v>
      </c>
      <c r="AB492" s="162">
        <f t="shared" si="155"/>
        <v>0</v>
      </c>
      <c r="AC492" s="162">
        <f t="shared" si="156"/>
        <v>0</v>
      </c>
      <c r="AD492" s="162">
        <f t="shared" si="157"/>
        <v>0</v>
      </c>
      <c r="AE492" s="162">
        <f t="shared" si="158"/>
        <v>1</v>
      </c>
      <c r="AF492" s="163"/>
      <c r="AG492" s="161"/>
      <c r="AH492" s="161">
        <f t="shared" si="159"/>
        <v>3</v>
      </c>
      <c r="AI492" s="161">
        <f t="shared" si="160"/>
        <v>3</v>
      </c>
      <c r="AJ492" s="161" t="str">
        <f t="shared" si="161"/>
        <v>Correct</v>
      </c>
      <c r="AK492" s="124"/>
      <c r="AL492" s="164" t="str">
        <f>IFERROR(VLOOKUP(Table1[RespondentID],'All Data'!$A$3:$CO$999,87,FALSE),"unknown")</f>
        <v>Woman</v>
      </c>
      <c r="AM492" s="124"/>
      <c r="AN492" s="120" t="str">
        <f>IFERROR(VLOOKUP(Table1[RespondentID],'All Data'!$A$3:$CO$999,89,FALSE),"unknown")</f>
        <v>Nassau</v>
      </c>
      <c r="AO492" s="120" t="str">
        <f>IFERROR(VLOOKUP(Table1[RespondentID],'All Data'!$A$3:$CO$999,90,FALSE),"unknown")</f>
        <v>Floral Park, 11002</v>
      </c>
      <c r="AP492" s="120">
        <f>IFERROR(VLOOKUP(Table1[RespondentID],'All Data'!$A$3:$CO$999,91,FALSE),"unknown")</f>
        <v>0</v>
      </c>
      <c r="AQ492" s="120" t="str">
        <f>IFERROR(VLOOKUP(Table1[RespondentID],'All Data'!$A$3:$CO$999,92,FALSE),"unknown")</f>
        <v>Hispanic or Latino</v>
      </c>
      <c r="AR492" s="120" t="str">
        <f>IFERROR(VLOOKUP(Table1[RespondentID],'All Data'!$A$3:$CO$999,93,FALSE),"unknown")</f>
        <v>English,Spanish</v>
      </c>
      <c r="AS492" s="120" t="str">
        <f>IFERROR(VLOOKUP(Table1[RespondentID],'All Data'!$A$3:$CW$999,94,FALSE),"unknown")</f>
        <v>$75,000 to $125,000</v>
      </c>
      <c r="AT492" s="120" t="str">
        <f>IFERROR(VLOOKUP(Table1[RespondentID],'All Data'!$A$3:$CW$999,95,FALSE),"unknown")</f>
        <v>College graduate</v>
      </c>
      <c r="AU492" s="120" t="str">
        <f>IFERROR(VLOOKUP(Table1[RespondentID],'All Data'!$A$3:$CW$999,96,FALSE),"unknown")</f>
        <v>Employed for wages</v>
      </c>
      <c r="AV492" s="120" t="str">
        <f>IFERROR(VLOOKUP(Table1[RespondentID],'All Data'!$A$3:$CW$999,97,FALSE),"unknown")</f>
        <v>Yes</v>
      </c>
      <c r="AW492" s="120" t="str">
        <f>IFERROR(VLOOKUP(Table1[RespondentID],'All Data'!$A$3:$CW$999,98,FALSE),"unknown")</f>
        <v>Private/Commercial</v>
      </c>
      <c r="AX492" s="120" t="str">
        <f>IFERROR(VLOOKUP(Table1[RespondentID],'All Data'!$A$3:$CW$999,99,FALSE),"unknown")</f>
        <v>Yes</v>
      </c>
    </row>
    <row r="493" spans="1:50">
      <c r="A493" s="159">
        <v>18031743094</v>
      </c>
      <c r="B493" s="160"/>
      <c r="C493" s="124"/>
      <c r="D493" s="124"/>
      <c r="E493" s="124" t="s">
        <v>19</v>
      </c>
      <c r="F493" s="124"/>
      <c r="G493" s="124"/>
      <c r="H493" s="124"/>
      <c r="I493" s="124"/>
      <c r="J493" s="124"/>
      <c r="K493" s="124" t="s">
        <v>25</v>
      </c>
      <c r="L493" s="124" t="s">
        <v>26</v>
      </c>
      <c r="M493" s="124"/>
      <c r="N493" s="124"/>
      <c r="O493" s="124"/>
      <c r="P493" s="161">
        <f t="shared" si="144"/>
        <v>3</v>
      </c>
      <c r="Q493" s="161">
        <f t="shared" si="145"/>
        <v>1</v>
      </c>
      <c r="R493" s="161"/>
      <c r="S493" s="161">
        <f t="shared" si="146"/>
        <v>0</v>
      </c>
      <c r="T493" s="161">
        <f t="shared" si="147"/>
        <v>0</v>
      </c>
      <c r="U493" s="161">
        <f t="shared" si="148"/>
        <v>0</v>
      </c>
      <c r="V493" s="162">
        <f t="shared" si="149"/>
        <v>1</v>
      </c>
      <c r="W493" s="162">
        <f t="shared" si="150"/>
        <v>0</v>
      </c>
      <c r="X493" s="162">
        <f t="shared" si="151"/>
        <v>0</v>
      </c>
      <c r="Y493" s="162">
        <f t="shared" si="152"/>
        <v>0</v>
      </c>
      <c r="Z493" s="162">
        <f t="shared" si="153"/>
        <v>0</v>
      </c>
      <c r="AA493" s="162">
        <f t="shared" si="154"/>
        <v>0</v>
      </c>
      <c r="AB493" s="162">
        <f t="shared" si="155"/>
        <v>1</v>
      </c>
      <c r="AC493" s="162">
        <f t="shared" si="156"/>
        <v>1</v>
      </c>
      <c r="AD493" s="162">
        <f t="shared" si="157"/>
        <v>0</v>
      </c>
      <c r="AE493" s="162">
        <f t="shared" si="158"/>
        <v>0</v>
      </c>
      <c r="AF493" s="163"/>
      <c r="AG493" s="161"/>
      <c r="AH493" s="161">
        <f t="shared" si="159"/>
        <v>3</v>
      </c>
      <c r="AI493" s="161">
        <f t="shared" si="160"/>
        <v>3</v>
      </c>
      <c r="AJ493" s="161" t="str">
        <f t="shared" si="161"/>
        <v>Correct</v>
      </c>
      <c r="AK493" s="124"/>
      <c r="AL493" s="164" t="str">
        <f>IFERROR(VLOOKUP(Table1[RespondentID],'All Data'!$A$3:$CO$999,87,FALSE),"unknown")</f>
        <v>Man</v>
      </c>
      <c r="AM493" s="124"/>
      <c r="AN493" s="120" t="str">
        <f>IFERROR(VLOOKUP(Table1[RespondentID],'All Data'!$A$3:$CO$999,89,FALSE),"unknown")</f>
        <v>Suffolk</v>
      </c>
      <c r="AO493" s="120" t="str">
        <f>IFERROR(VLOOKUP(Table1[RespondentID],'All Data'!$A$3:$CO$999,90,FALSE),"unknown")</f>
        <v>Coram, 11727</v>
      </c>
      <c r="AP493" s="120" t="str">
        <f>IFERROR(VLOOKUP(Table1[RespondentID],'All Data'!$A$3:$CO$999,91,FALSE),"unknown")</f>
        <v>White</v>
      </c>
      <c r="AQ493" s="120" t="str">
        <f>IFERROR(VLOOKUP(Table1[RespondentID],'All Data'!$A$3:$CO$999,92,FALSE),"unknown")</f>
        <v>Not Hispanic or Latino</v>
      </c>
      <c r="AR493" s="120" t="str">
        <f>IFERROR(VLOOKUP(Table1[RespondentID],'All Data'!$A$3:$CO$999,93,FALSE),"unknown")</f>
        <v>English,Italian</v>
      </c>
      <c r="AS493" s="120" t="str">
        <f>IFERROR(VLOOKUP(Table1[RespondentID],'All Data'!$A$3:$CW$999,94,FALSE),"unknown")</f>
        <v>$50,000 to $74,999</v>
      </c>
      <c r="AT493" s="120" t="str">
        <f>IFERROR(VLOOKUP(Table1[RespondentID],'All Data'!$A$3:$CW$999,95,FALSE),"unknown")</f>
        <v>Doctorate</v>
      </c>
      <c r="AU493" s="120" t="str">
        <f>IFERROR(VLOOKUP(Table1[RespondentID],'All Data'!$A$3:$CW$999,96,FALSE),"unknown")</f>
        <v>Retired</v>
      </c>
      <c r="AV493" s="120" t="str">
        <f>IFERROR(VLOOKUP(Table1[RespondentID],'All Data'!$A$3:$CW$999,97,FALSE),"unknown")</f>
        <v>Yes</v>
      </c>
      <c r="AW493" s="120" t="str">
        <f>IFERROR(VLOOKUP(Table1[RespondentID],'All Data'!$A$3:$CW$999,98,FALSE),"unknown")</f>
        <v>Private/Commercial</v>
      </c>
      <c r="AX493" s="120" t="str">
        <f>IFERROR(VLOOKUP(Table1[RespondentID],'All Data'!$A$3:$CW$999,99,FALSE),"unknown")</f>
        <v>Yes</v>
      </c>
    </row>
    <row r="494" spans="1:50">
      <c r="A494" s="159">
        <v>18031732007</v>
      </c>
      <c r="B494" s="160"/>
      <c r="C494" s="124" t="s">
        <v>17</v>
      </c>
      <c r="D494" s="124"/>
      <c r="E494" s="124"/>
      <c r="F494" s="124"/>
      <c r="G494" s="124"/>
      <c r="H494" s="124"/>
      <c r="I494" s="124"/>
      <c r="J494" s="124"/>
      <c r="K494" s="124" t="s">
        <v>25</v>
      </c>
      <c r="L494" s="124" t="s">
        <v>26</v>
      </c>
      <c r="M494" s="124"/>
      <c r="N494" s="124" t="s">
        <v>28</v>
      </c>
      <c r="O494" s="124"/>
      <c r="P494" s="161">
        <f t="shared" ref="P494:P530" si="162">COUNTA(B494:N494)</f>
        <v>4</v>
      </c>
      <c r="Q494" s="161">
        <f t="shared" ref="Q494:Q525" si="163">3/P494</f>
        <v>0.75</v>
      </c>
      <c r="R494" s="161"/>
      <c r="S494" s="161">
        <f t="shared" ref="S494:S530" si="164">IF($P494&lt;3,IF($B494=$B$1,1,0),IF($B494=$B$1,$Q494,0))</f>
        <v>0</v>
      </c>
      <c r="T494" s="161">
        <f t="shared" ref="T494:T530" si="165">IF($P494&lt;3,IF($C494=$C$1,1,0),IF($C494=$C$1,$Q494,0))</f>
        <v>0.75</v>
      </c>
      <c r="U494" s="161">
        <f t="shared" ref="U494:U530" si="166">IF($P494&lt;3,IF($D494=$D$1,1,0),IF($D494=$D$1,$Q494,0))</f>
        <v>0</v>
      </c>
      <c r="V494" s="162">
        <f t="shared" ref="V494:V530" si="167">IF($P494&lt;3,IF($E494=$E$1,1,0),IF($E494=$E$1,$Q494,0))</f>
        <v>0</v>
      </c>
      <c r="W494" s="162">
        <f t="shared" ref="W494:W530" si="168">IF($P494&lt;3,IF($F494=$F$1,1,0),IF($F494=$F$1,$Q494,0))</f>
        <v>0</v>
      </c>
      <c r="X494" s="162">
        <f t="shared" ref="X494:X530" si="169">IF($P494&lt;3,IF($G494=$G$1,1,0),IF($G494=$G$1,$Q494,0))</f>
        <v>0</v>
      </c>
      <c r="Y494" s="162">
        <f t="shared" ref="Y494:Y530" si="170">IF($P494&lt;3,IF($H494=$H$1,1,0),IF($H494=$H$1,$Q494,0))</f>
        <v>0</v>
      </c>
      <c r="Z494" s="162">
        <f t="shared" ref="Z494:Z530" si="171">IF($P494&lt;3,IF($I494=$I$1,1,0),IF($I494=$I$1,$Q494,0))</f>
        <v>0</v>
      </c>
      <c r="AA494" s="162">
        <f t="shared" ref="AA494:AA530" si="172">IF($P494&lt;3,IF($J494=$J$1,1,0),IF($J494=$J$1,$Q494,0))</f>
        <v>0</v>
      </c>
      <c r="AB494" s="162">
        <f t="shared" ref="AB494:AB530" si="173">IF($P494&lt;3,IF($K494=$K$1,1,0),IF($K494=$K$1,$Q494,0))</f>
        <v>0.75</v>
      </c>
      <c r="AC494" s="162">
        <f t="shared" ref="AC494:AC530" si="174">IF($P494&lt;3,IF($L494=$L$1,1,0),IF($L494=$L$1,$Q494,0))</f>
        <v>0.75</v>
      </c>
      <c r="AD494" s="162">
        <f t="shared" ref="AD494:AD530" si="175">IF($P494&lt;3,IF($M494=$M$1,1,0),IF($M494=$M$1,$Q494,0))</f>
        <v>0</v>
      </c>
      <c r="AE494" s="162">
        <f t="shared" ref="AE494:AE530" si="176">IF($P494&lt;3,IF($N494=$N$1,1,0),IF($N494=$N$1,$Q494,0))</f>
        <v>0.75</v>
      </c>
      <c r="AF494" s="163"/>
      <c r="AG494" s="161"/>
      <c r="AH494" s="161">
        <f t="shared" ref="AH494:AH530" si="177">SUM(S494:AE494)</f>
        <v>3</v>
      </c>
      <c r="AI494" s="161">
        <f t="shared" ref="AI494:AI530" si="178">P494</f>
        <v>4</v>
      </c>
      <c r="AJ494" s="161" t="str">
        <f t="shared" ref="AJ494:AJ525" si="179">IF(AH494=AI494,"Correct",IF(AH494=3,"Correct","Wrong"))</f>
        <v>Correct</v>
      </c>
      <c r="AK494" s="124"/>
      <c r="AL494" s="164" t="str">
        <f>IFERROR(VLOOKUP(Table1[RespondentID],'All Data'!$A$3:$CO$999,87,FALSE),"unknown")</f>
        <v>Man</v>
      </c>
      <c r="AM494" s="124"/>
      <c r="AN494" s="120" t="str">
        <f>IFERROR(VLOOKUP(Table1[RespondentID],'All Data'!$A$3:$CO$999,89,FALSE),"unknown")</f>
        <v>Suffolk</v>
      </c>
      <c r="AO494" s="120" t="str">
        <f>IFERROR(VLOOKUP(Table1[RespondentID],'All Data'!$A$3:$CO$999,90,FALSE),"unknown")</f>
        <v>Northport, 11768</v>
      </c>
      <c r="AP494" s="120" t="str">
        <f>IFERROR(VLOOKUP(Table1[RespondentID],'All Data'!$A$3:$CO$999,91,FALSE),"unknown")</f>
        <v>White</v>
      </c>
      <c r="AQ494" s="120" t="str">
        <f>IFERROR(VLOOKUP(Table1[RespondentID],'All Data'!$A$3:$CO$999,92,FALSE),"unknown")</f>
        <v>Not Hispanic or Latino</v>
      </c>
      <c r="AR494" s="120" t="str">
        <f>IFERROR(VLOOKUP(Table1[RespondentID],'All Data'!$A$3:$CO$999,93,FALSE),"unknown")</f>
        <v>English</v>
      </c>
      <c r="AS494" s="120" t="str">
        <f>IFERROR(VLOOKUP(Table1[RespondentID],'All Data'!$A$3:$CW$999,94,FALSE),"unknown")</f>
        <v>$50,000 to $74,999</v>
      </c>
      <c r="AT494" s="120" t="str">
        <f>IFERROR(VLOOKUP(Table1[RespondentID],'All Data'!$A$3:$CW$999,95,FALSE),"unknown")</f>
        <v>Graduate school</v>
      </c>
      <c r="AU494" s="120" t="str">
        <f>IFERROR(VLOOKUP(Table1[RespondentID],'All Data'!$A$3:$CW$999,96,FALSE),"unknown")</f>
        <v>Employed for wages</v>
      </c>
      <c r="AV494" s="120" t="str">
        <f>IFERROR(VLOOKUP(Table1[RespondentID],'All Data'!$A$3:$CW$999,97,FALSE),"unknown")</f>
        <v>Yes</v>
      </c>
      <c r="AW494" s="120" t="str">
        <f>IFERROR(VLOOKUP(Table1[RespondentID],'All Data'!$A$3:$CW$999,98,FALSE),"unknown")</f>
        <v>Private/Commercial</v>
      </c>
      <c r="AX494" s="120" t="str">
        <f>IFERROR(VLOOKUP(Table1[RespondentID],'All Data'!$A$3:$CW$999,99,FALSE),"unknown")</f>
        <v>Yes</v>
      </c>
    </row>
    <row r="495" spans="1:50">
      <c r="A495" s="159">
        <v>18031555405</v>
      </c>
      <c r="B495" s="160"/>
      <c r="C495" s="124"/>
      <c r="D495" s="124"/>
      <c r="E495" s="124"/>
      <c r="F495" s="124"/>
      <c r="G495" s="124"/>
      <c r="H495" s="124"/>
      <c r="I495" s="124"/>
      <c r="J495" s="124"/>
      <c r="K495" s="124" t="s">
        <v>25</v>
      </c>
      <c r="L495" s="124" t="s">
        <v>26</v>
      </c>
      <c r="M495" s="124"/>
      <c r="N495" s="124" t="s">
        <v>28</v>
      </c>
      <c r="O495" s="124"/>
      <c r="P495" s="161">
        <f t="shared" si="162"/>
        <v>3</v>
      </c>
      <c r="Q495" s="161">
        <f t="shared" si="163"/>
        <v>1</v>
      </c>
      <c r="R495" s="161"/>
      <c r="S495" s="161">
        <f t="shared" si="164"/>
        <v>0</v>
      </c>
      <c r="T495" s="161">
        <f t="shared" si="165"/>
        <v>0</v>
      </c>
      <c r="U495" s="161">
        <f t="shared" si="166"/>
        <v>0</v>
      </c>
      <c r="V495" s="162">
        <f t="shared" si="167"/>
        <v>0</v>
      </c>
      <c r="W495" s="162">
        <f t="shared" si="168"/>
        <v>0</v>
      </c>
      <c r="X495" s="162">
        <f t="shared" si="169"/>
        <v>0</v>
      </c>
      <c r="Y495" s="162">
        <f t="shared" si="170"/>
        <v>0</v>
      </c>
      <c r="Z495" s="162">
        <f t="shared" si="171"/>
        <v>0</v>
      </c>
      <c r="AA495" s="162">
        <f t="shared" si="172"/>
        <v>0</v>
      </c>
      <c r="AB495" s="162">
        <f t="shared" si="173"/>
        <v>1</v>
      </c>
      <c r="AC495" s="162">
        <f t="shared" si="174"/>
        <v>1</v>
      </c>
      <c r="AD495" s="162">
        <f t="shared" si="175"/>
        <v>0</v>
      </c>
      <c r="AE495" s="162">
        <f t="shared" si="176"/>
        <v>1</v>
      </c>
      <c r="AF495" s="163"/>
      <c r="AG495" s="161"/>
      <c r="AH495" s="161">
        <f t="shared" si="177"/>
        <v>3</v>
      </c>
      <c r="AI495" s="161">
        <f t="shared" si="178"/>
        <v>3</v>
      </c>
      <c r="AJ495" s="161" t="str">
        <f t="shared" si="179"/>
        <v>Correct</v>
      </c>
      <c r="AK495" s="124"/>
      <c r="AL495" s="164" t="str">
        <f>IFERROR(VLOOKUP(Table1[RespondentID],'All Data'!$A$3:$CO$999,87,FALSE),"unknown")</f>
        <v>Woman</v>
      </c>
      <c r="AM495" s="124"/>
      <c r="AN495" s="120" t="str">
        <f>IFERROR(VLOOKUP(Table1[RespondentID],'All Data'!$A$3:$CO$999,89,FALSE),"unknown")</f>
        <v>Suffolk</v>
      </c>
      <c r="AO495" s="120" t="str">
        <f>IFERROR(VLOOKUP(Table1[RespondentID],'All Data'!$A$3:$CO$999,90,FALSE),"unknown")</f>
        <v>Port Jefferson Station, 11776</v>
      </c>
      <c r="AP495" s="120">
        <f>IFERROR(VLOOKUP(Table1[RespondentID],'All Data'!$A$3:$CO$999,91,FALSE),"unknown")</f>
        <v>0</v>
      </c>
      <c r="AQ495" s="120" t="str">
        <f>IFERROR(VLOOKUP(Table1[RespondentID],'All Data'!$A$3:$CO$999,92,FALSE),"unknown")</f>
        <v>Hispanic or Latino</v>
      </c>
      <c r="AR495" s="120" t="str">
        <f>IFERROR(VLOOKUP(Table1[RespondentID],'All Data'!$A$3:$CO$999,93,FALSE),"unknown")</f>
        <v>English,Spanish</v>
      </c>
      <c r="AS495" s="120" t="str">
        <f>IFERROR(VLOOKUP(Table1[RespondentID],'All Data'!$A$3:$CW$999,94,FALSE),"unknown")</f>
        <v>$0-$19,999</v>
      </c>
      <c r="AT495" s="120" t="str">
        <f>IFERROR(VLOOKUP(Table1[RespondentID],'All Data'!$A$3:$CW$999,95,FALSE),"unknown")</f>
        <v>Some high school</v>
      </c>
      <c r="AU495" s="120" t="str">
        <f>IFERROR(VLOOKUP(Table1[RespondentID],'All Data'!$A$3:$CW$999,96,FALSE),"unknown")</f>
        <v>Out of work and looking for work</v>
      </c>
      <c r="AV495" s="120" t="str">
        <f>IFERROR(VLOOKUP(Table1[RespondentID],'All Data'!$A$3:$CW$999,97,FALSE),"unknown")</f>
        <v>Yes</v>
      </c>
      <c r="AW495" s="120" t="str">
        <f>IFERROR(VLOOKUP(Table1[RespondentID],'All Data'!$A$3:$CW$999,98,FALSE),"unknown")</f>
        <v>Medicaid</v>
      </c>
      <c r="AX495" s="120" t="str">
        <f>IFERROR(VLOOKUP(Table1[RespondentID],'All Data'!$A$3:$CW$999,99,FALSE),"unknown")</f>
        <v>Yes</v>
      </c>
    </row>
    <row r="496" spans="1:50">
      <c r="A496" s="159">
        <v>18031341675</v>
      </c>
      <c r="B496" s="160"/>
      <c r="C496" s="124" t="s">
        <v>17</v>
      </c>
      <c r="D496" s="124" t="s">
        <v>18</v>
      </c>
      <c r="E496" s="124" t="s">
        <v>19</v>
      </c>
      <c r="F496" s="124"/>
      <c r="G496" s="124" t="s">
        <v>21</v>
      </c>
      <c r="H496" s="124"/>
      <c r="I496" s="124" t="s">
        <v>23</v>
      </c>
      <c r="J496" s="124"/>
      <c r="K496" s="124" t="s">
        <v>25</v>
      </c>
      <c r="L496" s="124"/>
      <c r="M496" s="124" t="s">
        <v>27</v>
      </c>
      <c r="N496" s="124" t="s">
        <v>28</v>
      </c>
      <c r="O496" s="124" t="s">
        <v>481</v>
      </c>
      <c r="P496" s="161">
        <f t="shared" si="162"/>
        <v>8</v>
      </c>
      <c r="Q496" s="161">
        <f t="shared" si="163"/>
        <v>0.375</v>
      </c>
      <c r="R496" s="161"/>
      <c r="S496" s="161">
        <f t="shared" si="164"/>
        <v>0</v>
      </c>
      <c r="T496" s="161">
        <f t="shared" si="165"/>
        <v>0.375</v>
      </c>
      <c r="U496" s="161">
        <f t="shared" si="166"/>
        <v>0.375</v>
      </c>
      <c r="V496" s="162">
        <f t="shared" si="167"/>
        <v>0.375</v>
      </c>
      <c r="W496" s="162">
        <f t="shared" si="168"/>
        <v>0</v>
      </c>
      <c r="X496" s="162">
        <f t="shared" si="169"/>
        <v>0.375</v>
      </c>
      <c r="Y496" s="162">
        <f t="shared" si="170"/>
        <v>0</v>
      </c>
      <c r="Z496" s="162">
        <f t="shared" si="171"/>
        <v>0.375</v>
      </c>
      <c r="AA496" s="162">
        <f t="shared" si="172"/>
        <v>0</v>
      </c>
      <c r="AB496" s="162">
        <f t="shared" si="173"/>
        <v>0.375</v>
      </c>
      <c r="AC496" s="162">
        <f t="shared" si="174"/>
        <v>0</v>
      </c>
      <c r="AD496" s="162">
        <f t="shared" si="175"/>
        <v>0.375</v>
      </c>
      <c r="AE496" s="162">
        <f t="shared" si="176"/>
        <v>0.375</v>
      </c>
      <c r="AF496" s="163"/>
      <c r="AG496" s="161"/>
      <c r="AH496" s="161">
        <f t="shared" si="177"/>
        <v>3</v>
      </c>
      <c r="AI496" s="161">
        <f t="shared" si="178"/>
        <v>8</v>
      </c>
      <c r="AJ496" s="161" t="str">
        <f t="shared" si="179"/>
        <v>Correct</v>
      </c>
      <c r="AK496" s="124"/>
      <c r="AL496" s="164" t="str">
        <f>IFERROR(VLOOKUP(Table1[RespondentID],'All Data'!$A$3:$CO$999,87,FALSE),"unknown")</f>
        <v>Woman</v>
      </c>
      <c r="AM496" s="124"/>
      <c r="AN496" s="120" t="str">
        <f>IFERROR(VLOOKUP(Table1[RespondentID],'All Data'!$A$3:$CO$999,89,FALSE),"unknown")</f>
        <v>Nassau</v>
      </c>
      <c r="AO496" s="120" t="str">
        <f>IFERROR(VLOOKUP(Table1[RespondentID],'All Data'!$A$3:$CO$999,90,FALSE),"unknown")</f>
        <v>Albertson, 11507</v>
      </c>
      <c r="AP496" s="120" t="str">
        <f>IFERROR(VLOOKUP(Table1[RespondentID],'All Data'!$A$3:$CO$999,91,FALSE),"unknown")</f>
        <v>White</v>
      </c>
      <c r="AQ496" s="120" t="str">
        <f>IFERROR(VLOOKUP(Table1[RespondentID],'All Data'!$A$3:$CO$999,92,FALSE),"unknown")</f>
        <v>Not Hispanic or Latino</v>
      </c>
      <c r="AR496" s="120" t="str">
        <f>IFERROR(VLOOKUP(Table1[RespondentID],'All Data'!$A$3:$CO$999,93,FALSE),"unknown")</f>
        <v>English</v>
      </c>
      <c r="AS496" s="120" t="str">
        <f>IFERROR(VLOOKUP(Table1[RespondentID],'All Data'!$A$3:$CW$999,94,FALSE),"unknown")</f>
        <v>$0-$19,999</v>
      </c>
      <c r="AT496" s="120" t="str">
        <f>IFERROR(VLOOKUP(Table1[RespondentID],'All Data'!$A$3:$CW$999,95,FALSE),"unknown")</f>
        <v>Doctorate</v>
      </c>
      <c r="AU496" s="120" t="str">
        <f>IFERROR(VLOOKUP(Table1[RespondentID],'All Data'!$A$3:$CW$999,96,FALSE),"unknown")</f>
        <v>Employed for wages</v>
      </c>
      <c r="AV496" s="120" t="str">
        <f>IFERROR(VLOOKUP(Table1[RespondentID],'All Data'!$A$3:$CW$999,97,FALSE),"unknown")</f>
        <v>Yes</v>
      </c>
      <c r="AW496" s="120" t="str">
        <f>IFERROR(VLOOKUP(Table1[RespondentID],'All Data'!$A$3:$CW$999,98,FALSE),"unknown")</f>
        <v>Medicaid,Private/Commercial</v>
      </c>
      <c r="AX496" s="120" t="str">
        <f>IFERROR(VLOOKUP(Table1[RespondentID],'All Data'!$A$3:$CW$999,99,FALSE),"unknown")</f>
        <v>Yes</v>
      </c>
    </row>
    <row r="497" spans="1:50">
      <c r="A497" s="159">
        <v>18029657257</v>
      </c>
      <c r="B497" s="160"/>
      <c r="C497" s="124"/>
      <c r="D497" s="124"/>
      <c r="E497" s="124"/>
      <c r="F497" s="124"/>
      <c r="G497" s="124"/>
      <c r="H497" s="124"/>
      <c r="I497" s="124"/>
      <c r="J497" s="124"/>
      <c r="K497" s="124"/>
      <c r="L497" s="124"/>
      <c r="M497" s="124"/>
      <c r="N497" s="124"/>
      <c r="O497" s="124"/>
      <c r="P497" s="161">
        <f t="shared" si="162"/>
        <v>0</v>
      </c>
      <c r="Q497" s="161" t="e">
        <f t="shared" si="163"/>
        <v>#DIV/0!</v>
      </c>
      <c r="R497" s="161"/>
      <c r="S497" s="161">
        <f t="shared" si="164"/>
        <v>0</v>
      </c>
      <c r="T497" s="161">
        <f t="shared" si="165"/>
        <v>0</v>
      </c>
      <c r="U497" s="161">
        <f t="shared" si="166"/>
        <v>0</v>
      </c>
      <c r="V497" s="162">
        <f t="shared" si="167"/>
        <v>0</v>
      </c>
      <c r="W497" s="162">
        <f t="shared" si="168"/>
        <v>0</v>
      </c>
      <c r="X497" s="162">
        <f t="shared" si="169"/>
        <v>0</v>
      </c>
      <c r="Y497" s="162">
        <f t="shared" si="170"/>
        <v>0</v>
      </c>
      <c r="Z497" s="162">
        <f t="shared" si="171"/>
        <v>0</v>
      </c>
      <c r="AA497" s="162">
        <f t="shared" si="172"/>
        <v>0</v>
      </c>
      <c r="AB497" s="162">
        <f t="shared" si="173"/>
        <v>0</v>
      </c>
      <c r="AC497" s="162">
        <f t="shared" si="174"/>
        <v>0</v>
      </c>
      <c r="AD497" s="162">
        <f t="shared" si="175"/>
        <v>0</v>
      </c>
      <c r="AE497" s="162">
        <f t="shared" si="176"/>
        <v>0</v>
      </c>
      <c r="AF497" s="163"/>
      <c r="AG497" s="161"/>
      <c r="AH497" s="161">
        <f t="shared" si="177"/>
        <v>0</v>
      </c>
      <c r="AI497" s="161">
        <f t="shared" si="178"/>
        <v>0</v>
      </c>
      <c r="AJ497" s="161" t="str">
        <f t="shared" si="179"/>
        <v>Correct</v>
      </c>
      <c r="AK497" s="124"/>
      <c r="AL497" s="164" t="str">
        <f>IFERROR(VLOOKUP(Table1[RespondentID],'All Data'!$A$3:$CO$999,87,FALSE),"unknown")</f>
        <v>Woman</v>
      </c>
      <c r="AM497" s="124"/>
      <c r="AN497" s="120" t="str">
        <f>IFERROR(VLOOKUP(Table1[RespondentID],'All Data'!$A$3:$CO$999,89,FALSE),"unknown")</f>
        <v>Nassau</v>
      </c>
      <c r="AO497" s="120" t="str">
        <f>IFERROR(VLOOKUP(Table1[RespondentID],'All Data'!$A$3:$CO$999,90,FALSE),"unknown")</f>
        <v>Woodsburgh, 11598</v>
      </c>
      <c r="AP497" s="120">
        <f>IFERROR(VLOOKUP(Table1[RespondentID],'All Data'!$A$3:$CO$999,91,FALSE),"unknown")</f>
        <v>0</v>
      </c>
      <c r="AQ497" s="120">
        <f>IFERROR(VLOOKUP(Table1[RespondentID],'All Data'!$A$3:$CO$999,92,FALSE),"unknown")</f>
        <v>0</v>
      </c>
      <c r="AR497" s="120">
        <f>IFERROR(VLOOKUP(Table1[RespondentID],'All Data'!$A$3:$CO$999,93,FALSE),"unknown")</f>
        <v>0</v>
      </c>
      <c r="AS497" s="120">
        <f>IFERROR(VLOOKUP(Table1[RespondentID],'All Data'!$A$3:$CW$999,94,FALSE),"unknown")</f>
        <v>0</v>
      </c>
      <c r="AT497" s="120">
        <f>IFERROR(VLOOKUP(Table1[RespondentID],'All Data'!$A$3:$CW$999,95,FALSE),"unknown")</f>
        <v>0</v>
      </c>
      <c r="AU497" s="120">
        <f>IFERROR(VLOOKUP(Table1[RespondentID],'All Data'!$A$3:$CW$999,96,FALSE),"unknown")</f>
        <v>0</v>
      </c>
      <c r="AV497" s="120">
        <f>IFERROR(VLOOKUP(Table1[RespondentID],'All Data'!$A$3:$CW$999,97,FALSE),"unknown")</f>
        <v>0</v>
      </c>
      <c r="AW497" s="120">
        <f>IFERROR(VLOOKUP(Table1[RespondentID],'All Data'!$A$3:$CW$999,98,FALSE),"unknown")</f>
        <v>0</v>
      </c>
      <c r="AX497" s="120">
        <f>IFERROR(VLOOKUP(Table1[RespondentID],'All Data'!$A$3:$CW$999,99,FALSE),"unknown")</f>
        <v>0</v>
      </c>
    </row>
    <row r="498" spans="1:50">
      <c r="A498" s="159">
        <v>18029332229</v>
      </c>
      <c r="B498" s="160"/>
      <c r="C498" s="124" t="s">
        <v>17</v>
      </c>
      <c r="D498" s="124"/>
      <c r="E498" s="124"/>
      <c r="F498" s="124"/>
      <c r="G498" s="124"/>
      <c r="H498" s="124"/>
      <c r="I498" s="124"/>
      <c r="J498" s="124"/>
      <c r="K498" s="124" t="s">
        <v>25</v>
      </c>
      <c r="L498" s="124" t="s">
        <v>26</v>
      </c>
      <c r="M498" s="124"/>
      <c r="N498" s="124"/>
      <c r="O498" s="124"/>
      <c r="P498" s="161">
        <f t="shared" si="162"/>
        <v>3</v>
      </c>
      <c r="Q498" s="161">
        <f t="shared" si="163"/>
        <v>1</v>
      </c>
      <c r="R498" s="161"/>
      <c r="S498" s="161">
        <f t="shared" si="164"/>
        <v>0</v>
      </c>
      <c r="T498" s="161">
        <f t="shared" si="165"/>
        <v>1</v>
      </c>
      <c r="U498" s="161">
        <f t="shared" si="166"/>
        <v>0</v>
      </c>
      <c r="V498" s="162">
        <f t="shared" si="167"/>
        <v>0</v>
      </c>
      <c r="W498" s="162">
        <f t="shared" si="168"/>
        <v>0</v>
      </c>
      <c r="X498" s="162">
        <f t="shared" si="169"/>
        <v>0</v>
      </c>
      <c r="Y498" s="162">
        <f t="shared" si="170"/>
        <v>0</v>
      </c>
      <c r="Z498" s="162">
        <f t="shared" si="171"/>
        <v>0</v>
      </c>
      <c r="AA498" s="162">
        <f t="shared" si="172"/>
        <v>0</v>
      </c>
      <c r="AB498" s="162">
        <f t="shared" si="173"/>
        <v>1</v>
      </c>
      <c r="AC498" s="162">
        <f t="shared" si="174"/>
        <v>1</v>
      </c>
      <c r="AD498" s="162">
        <f t="shared" si="175"/>
        <v>0</v>
      </c>
      <c r="AE498" s="162">
        <f t="shared" si="176"/>
        <v>0</v>
      </c>
      <c r="AF498" s="163"/>
      <c r="AG498" s="161"/>
      <c r="AH498" s="161">
        <f t="shared" si="177"/>
        <v>3</v>
      </c>
      <c r="AI498" s="161">
        <f t="shared" si="178"/>
        <v>3</v>
      </c>
      <c r="AJ498" s="161" t="str">
        <f t="shared" si="179"/>
        <v>Correct</v>
      </c>
      <c r="AK498" s="124"/>
      <c r="AL498" s="164" t="str">
        <f>IFERROR(VLOOKUP(Table1[RespondentID],'All Data'!$A$3:$CO$999,87,FALSE),"unknown")</f>
        <v>Man</v>
      </c>
      <c r="AM498" s="124"/>
      <c r="AN498" s="120" t="str">
        <f>IFERROR(VLOOKUP(Table1[RespondentID],'All Data'!$A$3:$CO$999,89,FALSE),"unknown")</f>
        <v>Nassau</v>
      </c>
      <c r="AO498" s="120" t="str">
        <f>IFERROR(VLOOKUP(Table1[RespondentID],'All Data'!$A$3:$CO$999,90,FALSE),"unknown")</f>
        <v>Bellmore, 11710</v>
      </c>
      <c r="AP498" s="120" t="str">
        <f>IFERROR(VLOOKUP(Table1[RespondentID],'All Data'!$A$3:$CO$999,91,FALSE),"unknown")</f>
        <v>Two or more races</v>
      </c>
      <c r="AQ498" s="120">
        <f>IFERROR(VLOOKUP(Table1[RespondentID],'All Data'!$A$3:$CO$999,92,FALSE),"unknown")</f>
        <v>0</v>
      </c>
      <c r="AR498" s="120" t="str">
        <f>IFERROR(VLOOKUP(Table1[RespondentID],'All Data'!$A$3:$CO$999,93,FALSE),"unknown")</f>
        <v>English</v>
      </c>
      <c r="AS498" s="120" t="str">
        <f>IFERROR(VLOOKUP(Table1[RespondentID],'All Data'!$A$3:$CW$999,94,FALSE),"unknown")</f>
        <v>Over $125,000</v>
      </c>
      <c r="AT498" s="120" t="str">
        <f>IFERROR(VLOOKUP(Table1[RespondentID],'All Data'!$A$3:$CW$999,95,FALSE),"unknown")</f>
        <v>College graduate</v>
      </c>
      <c r="AU498" s="120" t="str">
        <f>IFERROR(VLOOKUP(Table1[RespondentID],'All Data'!$A$3:$CW$999,96,FALSE),"unknown")</f>
        <v>Employed for wages</v>
      </c>
      <c r="AV498" s="120" t="str">
        <f>IFERROR(VLOOKUP(Table1[RespondentID],'All Data'!$A$3:$CW$999,97,FALSE),"unknown")</f>
        <v>Yes</v>
      </c>
      <c r="AW498" s="120" t="str">
        <f>IFERROR(VLOOKUP(Table1[RespondentID],'All Data'!$A$3:$CW$999,98,FALSE),"unknown")</f>
        <v>Private/Commercial</v>
      </c>
      <c r="AX498" s="120" t="str">
        <f>IFERROR(VLOOKUP(Table1[RespondentID],'All Data'!$A$3:$CW$999,99,FALSE),"unknown")</f>
        <v>Yes</v>
      </c>
    </row>
    <row r="499" spans="1:50">
      <c r="A499" s="159">
        <v>18028570366</v>
      </c>
      <c r="B499" s="160"/>
      <c r="C499" s="124" t="s">
        <v>17</v>
      </c>
      <c r="D499" s="124"/>
      <c r="E499" s="124"/>
      <c r="F499" s="124"/>
      <c r="G499" s="124" t="s">
        <v>21</v>
      </c>
      <c r="H499" s="124"/>
      <c r="I499" s="124"/>
      <c r="J499" s="124"/>
      <c r="K499" s="124"/>
      <c r="L499" s="124"/>
      <c r="M499" s="124" t="s">
        <v>27</v>
      </c>
      <c r="N499" s="124"/>
      <c r="O499" s="124"/>
      <c r="P499" s="161">
        <f t="shared" si="162"/>
        <v>3</v>
      </c>
      <c r="Q499" s="161">
        <f t="shared" si="163"/>
        <v>1</v>
      </c>
      <c r="R499" s="161"/>
      <c r="S499" s="161">
        <f t="shared" si="164"/>
        <v>0</v>
      </c>
      <c r="T499" s="161">
        <f t="shared" si="165"/>
        <v>1</v>
      </c>
      <c r="U499" s="161">
        <f t="shared" si="166"/>
        <v>0</v>
      </c>
      <c r="V499" s="162">
        <f t="shared" si="167"/>
        <v>0</v>
      </c>
      <c r="W499" s="162">
        <f t="shared" si="168"/>
        <v>0</v>
      </c>
      <c r="X499" s="162">
        <f t="shared" si="169"/>
        <v>1</v>
      </c>
      <c r="Y499" s="162">
        <f t="shared" si="170"/>
        <v>0</v>
      </c>
      <c r="Z499" s="162">
        <f t="shared" si="171"/>
        <v>0</v>
      </c>
      <c r="AA499" s="162">
        <f t="shared" si="172"/>
        <v>0</v>
      </c>
      <c r="AB499" s="162">
        <f t="shared" si="173"/>
        <v>0</v>
      </c>
      <c r="AC499" s="162">
        <f t="shared" si="174"/>
        <v>0</v>
      </c>
      <c r="AD499" s="162">
        <f t="shared" si="175"/>
        <v>1</v>
      </c>
      <c r="AE499" s="162">
        <f t="shared" si="176"/>
        <v>0</v>
      </c>
      <c r="AF499" s="163"/>
      <c r="AG499" s="161"/>
      <c r="AH499" s="161">
        <f t="shared" si="177"/>
        <v>3</v>
      </c>
      <c r="AI499" s="161">
        <f t="shared" si="178"/>
        <v>3</v>
      </c>
      <c r="AJ499" s="161" t="str">
        <f t="shared" si="179"/>
        <v>Correct</v>
      </c>
      <c r="AK499" s="124"/>
      <c r="AL499" s="164" t="str">
        <f>IFERROR(VLOOKUP(Table1[RespondentID],'All Data'!$A$3:$CO$999,87,FALSE),"unknown")</f>
        <v>Man</v>
      </c>
      <c r="AM499" s="124"/>
      <c r="AN499" s="120" t="str">
        <f>IFERROR(VLOOKUP(Table1[RespondentID],'All Data'!$A$3:$CO$999,89,FALSE),"unknown")</f>
        <v>Nassau</v>
      </c>
      <c r="AO499" s="120" t="str">
        <f>IFERROR(VLOOKUP(Table1[RespondentID],'All Data'!$A$3:$CO$999,90,FALSE),"unknown")</f>
        <v>Lawrence, 11559</v>
      </c>
      <c r="AP499" s="120" t="str">
        <f>IFERROR(VLOOKUP(Table1[RespondentID],'All Data'!$A$3:$CO$999,91,FALSE),"unknown")</f>
        <v>White</v>
      </c>
      <c r="AQ499" s="120" t="str">
        <f>IFERROR(VLOOKUP(Table1[RespondentID],'All Data'!$A$3:$CO$999,92,FALSE),"unknown")</f>
        <v>Not Hispanic or Latino</v>
      </c>
      <c r="AR499" s="120" t="str">
        <f>IFERROR(VLOOKUP(Table1[RespondentID],'All Data'!$A$3:$CO$999,93,FALSE),"unknown")</f>
        <v>English</v>
      </c>
      <c r="AS499" s="120">
        <f>IFERROR(VLOOKUP(Table1[RespondentID],'All Data'!$A$3:$CW$999,94,FALSE),"unknown")</f>
        <v>0</v>
      </c>
      <c r="AT499" s="120" t="str">
        <f>IFERROR(VLOOKUP(Table1[RespondentID],'All Data'!$A$3:$CW$999,95,FALSE),"unknown")</f>
        <v>Graduate school</v>
      </c>
      <c r="AU499" s="120" t="str">
        <f>IFERROR(VLOOKUP(Table1[RespondentID],'All Data'!$A$3:$CW$999,96,FALSE),"unknown")</f>
        <v>Self-employed</v>
      </c>
      <c r="AV499" s="120" t="str">
        <f>IFERROR(VLOOKUP(Table1[RespondentID],'All Data'!$A$3:$CW$999,97,FALSE),"unknown")</f>
        <v>Yes</v>
      </c>
      <c r="AW499" s="120" t="str">
        <f>IFERROR(VLOOKUP(Table1[RespondentID],'All Data'!$A$3:$CW$999,98,FALSE),"unknown")</f>
        <v>Medicare</v>
      </c>
      <c r="AX499" s="120">
        <f>IFERROR(VLOOKUP(Table1[RespondentID],'All Data'!$A$3:$CW$999,99,FALSE),"unknown")</f>
        <v>0</v>
      </c>
    </row>
    <row r="500" spans="1:50">
      <c r="A500" s="159">
        <v>18028478878</v>
      </c>
      <c r="B500" s="160"/>
      <c r="C500" s="124"/>
      <c r="D500" s="124"/>
      <c r="E500" s="124"/>
      <c r="F500" s="124"/>
      <c r="G500" s="124"/>
      <c r="H500" s="124"/>
      <c r="I500" s="124"/>
      <c r="J500" s="124"/>
      <c r="K500" s="124"/>
      <c r="L500" s="124"/>
      <c r="M500" s="124"/>
      <c r="N500" s="124"/>
      <c r="O500" s="124"/>
      <c r="P500" s="161">
        <f t="shared" si="162"/>
        <v>0</v>
      </c>
      <c r="Q500" s="161" t="e">
        <f t="shared" si="163"/>
        <v>#DIV/0!</v>
      </c>
      <c r="R500" s="161"/>
      <c r="S500" s="161">
        <f t="shared" si="164"/>
        <v>0</v>
      </c>
      <c r="T500" s="161">
        <f t="shared" si="165"/>
        <v>0</v>
      </c>
      <c r="U500" s="161">
        <f t="shared" si="166"/>
        <v>0</v>
      </c>
      <c r="V500" s="162">
        <f t="shared" si="167"/>
        <v>0</v>
      </c>
      <c r="W500" s="162">
        <f t="shared" si="168"/>
        <v>0</v>
      </c>
      <c r="X500" s="162">
        <f t="shared" si="169"/>
        <v>0</v>
      </c>
      <c r="Y500" s="162">
        <f t="shared" si="170"/>
        <v>0</v>
      </c>
      <c r="Z500" s="162">
        <f t="shared" si="171"/>
        <v>0</v>
      </c>
      <c r="AA500" s="162">
        <f t="shared" si="172"/>
        <v>0</v>
      </c>
      <c r="AB500" s="162">
        <f t="shared" si="173"/>
        <v>0</v>
      </c>
      <c r="AC500" s="162">
        <f t="shared" si="174"/>
        <v>0</v>
      </c>
      <c r="AD500" s="162">
        <f t="shared" si="175"/>
        <v>0</v>
      </c>
      <c r="AE500" s="162">
        <f t="shared" si="176"/>
        <v>0</v>
      </c>
      <c r="AF500" s="163"/>
      <c r="AG500" s="161"/>
      <c r="AH500" s="161">
        <f t="shared" si="177"/>
        <v>0</v>
      </c>
      <c r="AI500" s="161">
        <f t="shared" si="178"/>
        <v>0</v>
      </c>
      <c r="AJ500" s="161" t="str">
        <f t="shared" si="179"/>
        <v>Correct</v>
      </c>
      <c r="AK500" s="124"/>
      <c r="AL500" s="164">
        <f>IFERROR(VLOOKUP(Table1[RespondentID],'All Data'!$A$3:$CO$999,87,FALSE),"unknown")</f>
        <v>0</v>
      </c>
      <c r="AM500" s="124"/>
      <c r="AN500" s="120">
        <f>IFERROR(VLOOKUP(Table1[RespondentID],'All Data'!$A$3:$CO$999,89,FALSE),"unknown")</f>
        <v>0</v>
      </c>
      <c r="AO500" s="120" t="str">
        <f>IFERROR(VLOOKUP(Table1[RespondentID],'All Data'!$A$3:$CO$999,90,FALSE),"unknown")</f>
        <v>Atlantic Beach, 11509</v>
      </c>
      <c r="AP500" s="120">
        <f>IFERROR(VLOOKUP(Table1[RespondentID],'All Data'!$A$3:$CO$999,91,FALSE),"unknown")</f>
        <v>0</v>
      </c>
      <c r="AQ500" s="120">
        <f>IFERROR(VLOOKUP(Table1[RespondentID],'All Data'!$A$3:$CO$999,92,FALSE),"unknown")</f>
        <v>0</v>
      </c>
      <c r="AR500" s="120">
        <f>IFERROR(VLOOKUP(Table1[RespondentID],'All Data'!$A$3:$CO$999,93,FALSE),"unknown")</f>
        <v>0</v>
      </c>
      <c r="AS500" s="120">
        <f>IFERROR(VLOOKUP(Table1[RespondentID],'All Data'!$A$3:$CW$999,94,FALSE),"unknown")</f>
        <v>0</v>
      </c>
      <c r="AT500" s="120">
        <f>IFERROR(VLOOKUP(Table1[RespondentID],'All Data'!$A$3:$CW$999,95,FALSE),"unknown")</f>
        <v>0</v>
      </c>
      <c r="AU500" s="120">
        <f>IFERROR(VLOOKUP(Table1[RespondentID],'All Data'!$A$3:$CW$999,96,FALSE),"unknown")</f>
        <v>0</v>
      </c>
      <c r="AV500" s="120">
        <f>IFERROR(VLOOKUP(Table1[RespondentID],'All Data'!$A$3:$CW$999,97,FALSE),"unknown")</f>
        <v>0</v>
      </c>
      <c r="AW500" s="120">
        <f>IFERROR(VLOOKUP(Table1[RespondentID],'All Data'!$A$3:$CW$999,98,FALSE),"unknown")</f>
        <v>0</v>
      </c>
      <c r="AX500" s="120">
        <f>IFERROR(VLOOKUP(Table1[RespondentID],'All Data'!$A$3:$CW$999,99,FALSE),"unknown")</f>
        <v>0</v>
      </c>
    </row>
    <row r="501" spans="1:50">
      <c r="A501" s="159">
        <v>18027546776</v>
      </c>
      <c r="B501" s="160"/>
      <c r="C501" s="124" t="s">
        <v>17</v>
      </c>
      <c r="D501" s="124"/>
      <c r="E501" s="124"/>
      <c r="F501" s="124"/>
      <c r="G501" s="124"/>
      <c r="H501" s="124"/>
      <c r="I501" s="124"/>
      <c r="J501" s="124"/>
      <c r="K501" s="124"/>
      <c r="L501" s="124" t="s">
        <v>26</v>
      </c>
      <c r="M501" s="124" t="s">
        <v>27</v>
      </c>
      <c r="N501" s="124"/>
      <c r="O501" s="124"/>
      <c r="P501" s="161">
        <f t="shared" si="162"/>
        <v>3</v>
      </c>
      <c r="Q501" s="161">
        <f t="shared" si="163"/>
        <v>1</v>
      </c>
      <c r="R501" s="161"/>
      <c r="S501" s="161">
        <f t="shared" si="164"/>
        <v>0</v>
      </c>
      <c r="T501" s="161">
        <f t="shared" si="165"/>
        <v>1</v>
      </c>
      <c r="U501" s="161">
        <f t="shared" si="166"/>
        <v>0</v>
      </c>
      <c r="V501" s="162">
        <f t="shared" si="167"/>
        <v>0</v>
      </c>
      <c r="W501" s="162">
        <f t="shared" si="168"/>
        <v>0</v>
      </c>
      <c r="X501" s="162">
        <f t="shared" si="169"/>
        <v>0</v>
      </c>
      <c r="Y501" s="162">
        <f t="shared" si="170"/>
        <v>0</v>
      </c>
      <c r="Z501" s="162">
        <f t="shared" si="171"/>
        <v>0</v>
      </c>
      <c r="AA501" s="162">
        <f t="shared" si="172"/>
        <v>0</v>
      </c>
      <c r="AB501" s="162">
        <f t="shared" si="173"/>
        <v>0</v>
      </c>
      <c r="AC501" s="162">
        <f t="shared" si="174"/>
        <v>1</v>
      </c>
      <c r="AD501" s="162">
        <f t="shared" si="175"/>
        <v>1</v>
      </c>
      <c r="AE501" s="162">
        <f t="shared" si="176"/>
        <v>0</v>
      </c>
      <c r="AF501" s="163"/>
      <c r="AG501" s="161"/>
      <c r="AH501" s="161">
        <f t="shared" si="177"/>
        <v>3</v>
      </c>
      <c r="AI501" s="161">
        <f t="shared" si="178"/>
        <v>3</v>
      </c>
      <c r="AJ501" s="161" t="str">
        <f t="shared" si="179"/>
        <v>Correct</v>
      </c>
      <c r="AK501" s="124"/>
      <c r="AL501" s="164">
        <f>IFERROR(VLOOKUP(Table1[RespondentID],'All Data'!$A$3:$CO$999,87,FALSE),"unknown")</f>
        <v>0</v>
      </c>
      <c r="AM501" s="124"/>
      <c r="AN501" s="120" t="str">
        <f>IFERROR(VLOOKUP(Table1[RespondentID],'All Data'!$A$3:$CO$999,89,FALSE),"unknown")</f>
        <v>Nassau</v>
      </c>
      <c r="AO501" s="120" t="str">
        <f>IFERROR(VLOOKUP(Table1[RespondentID],'All Data'!$A$3:$CO$999,90,FALSE),"unknown")</f>
        <v>Massapequa, 11758</v>
      </c>
      <c r="AP501" s="120" t="str">
        <f>IFERROR(VLOOKUP(Table1[RespondentID],'All Data'!$A$3:$CO$999,91,FALSE),"unknown")</f>
        <v>White</v>
      </c>
      <c r="AQ501" s="120" t="str">
        <f>IFERROR(VLOOKUP(Table1[RespondentID],'All Data'!$A$3:$CO$999,92,FALSE),"unknown")</f>
        <v>Not Hispanic or Latino</v>
      </c>
      <c r="AR501" s="120" t="str">
        <f>IFERROR(VLOOKUP(Table1[RespondentID],'All Data'!$A$3:$CO$999,93,FALSE),"unknown")</f>
        <v>English</v>
      </c>
      <c r="AS501" s="120">
        <f>IFERROR(VLOOKUP(Table1[RespondentID],'All Data'!$A$3:$CW$999,94,FALSE),"unknown")</f>
        <v>0</v>
      </c>
      <c r="AT501" s="120" t="str">
        <f>IFERROR(VLOOKUP(Table1[RespondentID],'All Data'!$A$3:$CW$999,95,FALSE),"unknown")</f>
        <v>Graduate school</v>
      </c>
      <c r="AU501" s="120" t="str">
        <f>IFERROR(VLOOKUP(Table1[RespondentID],'All Data'!$A$3:$CW$999,96,FALSE),"unknown")</f>
        <v>Employed for wages</v>
      </c>
      <c r="AV501" s="120" t="str">
        <f>IFERROR(VLOOKUP(Table1[RespondentID],'All Data'!$A$3:$CW$999,97,FALSE),"unknown")</f>
        <v>Yes</v>
      </c>
      <c r="AW501" s="120" t="str">
        <f>IFERROR(VLOOKUP(Table1[RespondentID],'All Data'!$A$3:$CW$999,98,FALSE),"unknown")</f>
        <v>Private/Commercial</v>
      </c>
      <c r="AX501" s="120">
        <f>IFERROR(VLOOKUP(Table1[RespondentID],'All Data'!$A$3:$CW$999,99,FALSE),"unknown")</f>
        <v>0</v>
      </c>
    </row>
    <row r="502" spans="1:50">
      <c r="A502" s="159">
        <v>18027489857</v>
      </c>
      <c r="B502" s="160"/>
      <c r="C502" s="124"/>
      <c r="D502" s="124"/>
      <c r="E502" s="124" t="s">
        <v>19</v>
      </c>
      <c r="F502" s="124"/>
      <c r="G502" s="124"/>
      <c r="H502" s="124"/>
      <c r="I502" s="124"/>
      <c r="J502" s="124"/>
      <c r="K502" s="124"/>
      <c r="L502" s="124"/>
      <c r="M502" s="124" t="s">
        <v>27</v>
      </c>
      <c r="N502" s="124"/>
      <c r="O502" s="124" t="s">
        <v>494</v>
      </c>
      <c r="P502" s="161">
        <f t="shared" si="162"/>
        <v>2</v>
      </c>
      <c r="Q502" s="161">
        <f t="shared" si="163"/>
        <v>1.5</v>
      </c>
      <c r="R502" s="161"/>
      <c r="S502" s="161">
        <f t="shared" si="164"/>
        <v>0</v>
      </c>
      <c r="T502" s="161">
        <f t="shared" si="165"/>
        <v>0</v>
      </c>
      <c r="U502" s="161">
        <f t="shared" si="166"/>
        <v>0</v>
      </c>
      <c r="V502" s="162">
        <f t="shared" si="167"/>
        <v>1</v>
      </c>
      <c r="W502" s="162">
        <f t="shared" si="168"/>
        <v>0</v>
      </c>
      <c r="X502" s="162">
        <f t="shared" si="169"/>
        <v>0</v>
      </c>
      <c r="Y502" s="162">
        <f t="shared" si="170"/>
        <v>0</v>
      </c>
      <c r="Z502" s="162">
        <f t="shared" si="171"/>
        <v>0</v>
      </c>
      <c r="AA502" s="162">
        <f t="shared" si="172"/>
        <v>0</v>
      </c>
      <c r="AB502" s="162">
        <f t="shared" si="173"/>
        <v>0</v>
      </c>
      <c r="AC502" s="162">
        <f t="shared" si="174"/>
        <v>0</v>
      </c>
      <c r="AD502" s="162">
        <f t="shared" si="175"/>
        <v>1</v>
      </c>
      <c r="AE502" s="162">
        <f t="shared" si="176"/>
        <v>0</v>
      </c>
      <c r="AF502" s="163"/>
      <c r="AG502" s="161"/>
      <c r="AH502" s="161">
        <f t="shared" si="177"/>
        <v>2</v>
      </c>
      <c r="AI502" s="161">
        <f t="shared" si="178"/>
        <v>2</v>
      </c>
      <c r="AJ502" s="161" t="str">
        <f t="shared" si="179"/>
        <v>Correct</v>
      </c>
      <c r="AK502" s="124"/>
      <c r="AL502" s="164" t="str">
        <f>IFERROR(VLOOKUP(Table1[RespondentID],'All Data'!$A$3:$CO$999,87,FALSE),"unknown")</f>
        <v>Woman</v>
      </c>
      <c r="AM502" s="124"/>
      <c r="AN502" s="120" t="str">
        <f>IFERROR(VLOOKUP(Table1[RespondentID],'All Data'!$A$3:$CO$999,89,FALSE),"unknown")</f>
        <v>Nassau</v>
      </c>
      <c r="AO502" s="120" t="str">
        <f>IFERROR(VLOOKUP(Table1[RespondentID],'All Data'!$A$3:$CO$999,90,FALSE),"unknown")</f>
        <v>Massapequa Park, 11762</v>
      </c>
      <c r="AP502" s="120" t="str">
        <f>IFERROR(VLOOKUP(Table1[RespondentID],'All Data'!$A$3:$CO$999,91,FALSE),"unknown")</f>
        <v>White</v>
      </c>
      <c r="AQ502" s="120" t="str">
        <f>IFERROR(VLOOKUP(Table1[RespondentID],'All Data'!$A$3:$CO$999,92,FALSE),"unknown")</f>
        <v>Not Hispanic or Latino</v>
      </c>
      <c r="AR502" s="120">
        <f>IFERROR(VLOOKUP(Table1[RespondentID],'All Data'!$A$3:$CO$999,93,FALSE),"unknown")</f>
        <v>0</v>
      </c>
      <c r="AS502" s="120" t="str">
        <f>IFERROR(VLOOKUP(Table1[RespondentID],'All Data'!$A$3:$CW$999,94,FALSE),"unknown")</f>
        <v>$50,000 to $74,999</v>
      </c>
      <c r="AT502" s="120" t="str">
        <f>IFERROR(VLOOKUP(Table1[RespondentID],'All Data'!$A$3:$CW$999,95,FALSE),"unknown")</f>
        <v>College graduate</v>
      </c>
      <c r="AU502" s="120" t="str">
        <f>IFERROR(VLOOKUP(Table1[RespondentID],'All Data'!$A$3:$CW$999,96,FALSE),"unknown")</f>
        <v>Employed for wages</v>
      </c>
      <c r="AV502" s="120" t="str">
        <f>IFERROR(VLOOKUP(Table1[RespondentID],'All Data'!$A$3:$CW$999,97,FALSE),"unknown")</f>
        <v>Yes</v>
      </c>
      <c r="AW502" s="120" t="str">
        <f>IFERROR(VLOOKUP(Table1[RespondentID],'All Data'!$A$3:$CW$999,98,FALSE),"unknown")</f>
        <v>Private/Commercial</v>
      </c>
      <c r="AX502" s="120" t="str">
        <f>IFERROR(VLOOKUP(Table1[RespondentID],'All Data'!$A$3:$CW$999,99,FALSE),"unknown")</f>
        <v>Yes</v>
      </c>
    </row>
    <row r="503" spans="1:50">
      <c r="A503" s="159">
        <v>18027026943</v>
      </c>
      <c r="B503" s="160"/>
      <c r="C503" s="124"/>
      <c r="D503" s="124"/>
      <c r="E503" s="124"/>
      <c r="F503" s="124"/>
      <c r="G503" s="124"/>
      <c r="H503" s="124"/>
      <c r="I503" s="124" t="s">
        <v>23</v>
      </c>
      <c r="J503" s="124"/>
      <c r="K503" s="124"/>
      <c r="L503" s="124"/>
      <c r="M503" s="124"/>
      <c r="N503" s="124"/>
      <c r="O503" s="124"/>
      <c r="P503" s="161">
        <f t="shared" si="162"/>
        <v>1</v>
      </c>
      <c r="Q503" s="161">
        <f t="shared" si="163"/>
        <v>3</v>
      </c>
      <c r="R503" s="161"/>
      <c r="S503" s="161">
        <f t="shared" si="164"/>
        <v>0</v>
      </c>
      <c r="T503" s="161">
        <f t="shared" si="165"/>
        <v>0</v>
      </c>
      <c r="U503" s="161">
        <f t="shared" si="166"/>
        <v>0</v>
      </c>
      <c r="V503" s="162">
        <f t="shared" si="167"/>
        <v>0</v>
      </c>
      <c r="W503" s="162">
        <f t="shared" si="168"/>
        <v>0</v>
      </c>
      <c r="X503" s="162">
        <f t="shared" si="169"/>
        <v>0</v>
      </c>
      <c r="Y503" s="162">
        <f t="shared" si="170"/>
        <v>0</v>
      </c>
      <c r="Z503" s="162">
        <f t="shared" si="171"/>
        <v>1</v>
      </c>
      <c r="AA503" s="162">
        <f t="shared" si="172"/>
        <v>0</v>
      </c>
      <c r="AB503" s="162">
        <f t="shared" si="173"/>
        <v>0</v>
      </c>
      <c r="AC503" s="162">
        <f t="shared" si="174"/>
        <v>0</v>
      </c>
      <c r="AD503" s="162">
        <f t="shared" si="175"/>
        <v>0</v>
      </c>
      <c r="AE503" s="162">
        <f t="shared" si="176"/>
        <v>0</v>
      </c>
      <c r="AF503" s="163"/>
      <c r="AG503" s="161"/>
      <c r="AH503" s="161">
        <f t="shared" si="177"/>
        <v>1</v>
      </c>
      <c r="AI503" s="161">
        <f t="shared" si="178"/>
        <v>1</v>
      </c>
      <c r="AJ503" s="161" t="str">
        <f t="shared" si="179"/>
        <v>Correct</v>
      </c>
      <c r="AK503" s="124"/>
      <c r="AL503" s="164" t="str">
        <f>IFERROR(VLOOKUP(Table1[RespondentID],'All Data'!$A$3:$CO$999,87,FALSE),"unknown")</f>
        <v>Woman</v>
      </c>
      <c r="AM503" s="124"/>
      <c r="AN503" s="120" t="str">
        <f>IFERROR(VLOOKUP(Table1[RespondentID],'All Data'!$A$3:$CO$999,89,FALSE),"unknown")</f>
        <v>Nassau</v>
      </c>
      <c r="AO503" s="120" t="str">
        <f>IFERROR(VLOOKUP(Table1[RespondentID],'All Data'!$A$3:$CO$999,90,FALSE),"unknown")</f>
        <v>Wantagh, 11793</v>
      </c>
      <c r="AP503" s="120" t="str">
        <f>IFERROR(VLOOKUP(Table1[RespondentID],'All Data'!$A$3:$CO$999,91,FALSE),"unknown")</f>
        <v>White</v>
      </c>
      <c r="AQ503" s="120" t="str">
        <f>IFERROR(VLOOKUP(Table1[RespondentID],'All Data'!$A$3:$CO$999,92,FALSE),"unknown")</f>
        <v>Not Hispanic or Latino</v>
      </c>
      <c r="AR503" s="120" t="str">
        <f>IFERROR(VLOOKUP(Table1[RespondentID],'All Data'!$A$3:$CO$999,93,FALSE),"unknown")</f>
        <v>English</v>
      </c>
      <c r="AS503" s="120" t="str">
        <f>IFERROR(VLOOKUP(Table1[RespondentID],'All Data'!$A$3:$CW$999,94,FALSE),"unknown")</f>
        <v>$75,000 to $125,000</v>
      </c>
      <c r="AT503" s="120" t="str">
        <f>IFERROR(VLOOKUP(Table1[RespondentID],'All Data'!$A$3:$CW$999,95,FALSE),"unknown")</f>
        <v>Some college</v>
      </c>
      <c r="AU503" s="120" t="str">
        <f>IFERROR(VLOOKUP(Table1[RespondentID],'All Data'!$A$3:$CW$999,96,FALSE),"unknown")</f>
        <v>Out of work, but not currently looking</v>
      </c>
      <c r="AV503" s="120">
        <f>IFERROR(VLOOKUP(Table1[RespondentID],'All Data'!$A$3:$CW$999,97,FALSE),"unknown")</f>
        <v>0</v>
      </c>
      <c r="AW503" s="120" t="str">
        <f>IFERROR(VLOOKUP(Table1[RespondentID],'All Data'!$A$3:$CW$999,98,FALSE),"unknown")</f>
        <v>Medicaid</v>
      </c>
      <c r="AX503" s="120" t="str">
        <f>IFERROR(VLOOKUP(Table1[RespondentID],'All Data'!$A$3:$CW$999,99,FALSE),"unknown")</f>
        <v>Yes</v>
      </c>
    </row>
    <row r="504" spans="1:50">
      <c r="A504" s="159">
        <v>18026792737</v>
      </c>
      <c r="B504" s="160"/>
      <c r="C504" s="124"/>
      <c r="D504" s="124"/>
      <c r="E504" s="124"/>
      <c r="F504" s="124"/>
      <c r="G504" s="124" t="s">
        <v>21</v>
      </c>
      <c r="H504" s="124"/>
      <c r="I504" s="124"/>
      <c r="J504" s="124"/>
      <c r="K504" s="124" t="s">
        <v>25</v>
      </c>
      <c r="L504" s="124"/>
      <c r="M504" s="124"/>
      <c r="N504" s="124" t="s">
        <v>28</v>
      </c>
      <c r="O504" s="124"/>
      <c r="P504" s="161">
        <f t="shared" si="162"/>
        <v>3</v>
      </c>
      <c r="Q504" s="161">
        <f t="shared" si="163"/>
        <v>1</v>
      </c>
      <c r="R504" s="161"/>
      <c r="S504" s="161">
        <f t="shared" si="164"/>
        <v>0</v>
      </c>
      <c r="T504" s="161">
        <f t="shared" si="165"/>
        <v>0</v>
      </c>
      <c r="U504" s="161">
        <f t="shared" si="166"/>
        <v>0</v>
      </c>
      <c r="V504" s="162">
        <f t="shared" si="167"/>
        <v>0</v>
      </c>
      <c r="W504" s="162">
        <f t="shared" si="168"/>
        <v>0</v>
      </c>
      <c r="X504" s="162">
        <f t="shared" si="169"/>
        <v>1</v>
      </c>
      <c r="Y504" s="162">
        <f t="shared" si="170"/>
        <v>0</v>
      </c>
      <c r="Z504" s="162">
        <f t="shared" si="171"/>
        <v>0</v>
      </c>
      <c r="AA504" s="162">
        <f t="shared" si="172"/>
        <v>0</v>
      </c>
      <c r="AB504" s="162">
        <f t="shared" si="173"/>
        <v>1</v>
      </c>
      <c r="AC504" s="162">
        <f t="shared" si="174"/>
        <v>0</v>
      </c>
      <c r="AD504" s="162">
        <f t="shared" si="175"/>
        <v>0</v>
      </c>
      <c r="AE504" s="162">
        <f t="shared" si="176"/>
        <v>1</v>
      </c>
      <c r="AF504" s="163"/>
      <c r="AG504" s="161"/>
      <c r="AH504" s="161">
        <f t="shared" si="177"/>
        <v>3</v>
      </c>
      <c r="AI504" s="161">
        <f t="shared" si="178"/>
        <v>3</v>
      </c>
      <c r="AJ504" s="161" t="str">
        <f t="shared" si="179"/>
        <v>Correct</v>
      </c>
      <c r="AK504" s="124"/>
      <c r="AL504" s="164" t="str">
        <f>IFERROR(VLOOKUP(Table1[RespondentID],'All Data'!$A$3:$CO$999,87,FALSE),"unknown")</f>
        <v>Man</v>
      </c>
      <c r="AM504" s="124"/>
      <c r="AN504" s="120" t="str">
        <f>IFERROR(VLOOKUP(Table1[RespondentID],'All Data'!$A$3:$CO$999,89,FALSE),"unknown")</f>
        <v>Nassau</v>
      </c>
      <c r="AO504" s="120" t="str">
        <f>IFERROR(VLOOKUP(Table1[RespondentID],'All Data'!$A$3:$CO$999,90,FALSE),"unknown")</f>
        <v>Mineola, 11501</v>
      </c>
      <c r="AP504" s="120">
        <f>IFERROR(VLOOKUP(Table1[RespondentID],'All Data'!$A$3:$CO$999,91,FALSE),"unknown")</f>
        <v>0</v>
      </c>
      <c r="AQ504" s="120" t="str">
        <f>IFERROR(VLOOKUP(Table1[RespondentID],'All Data'!$A$3:$CO$999,92,FALSE),"unknown")</f>
        <v>Not Hispanic or Latino</v>
      </c>
      <c r="AR504" s="120">
        <f>IFERROR(VLOOKUP(Table1[RespondentID],'All Data'!$A$3:$CO$999,93,FALSE),"unknown")</f>
        <v>0</v>
      </c>
      <c r="AS504" s="120">
        <f>IFERROR(VLOOKUP(Table1[RespondentID],'All Data'!$A$3:$CW$999,94,FALSE),"unknown")</f>
        <v>0</v>
      </c>
      <c r="AT504" s="120">
        <f>IFERROR(VLOOKUP(Table1[RespondentID],'All Data'!$A$3:$CW$999,95,FALSE),"unknown")</f>
        <v>0</v>
      </c>
      <c r="AU504" s="120">
        <f>IFERROR(VLOOKUP(Table1[RespondentID],'All Data'!$A$3:$CW$999,96,FALSE),"unknown")</f>
        <v>0</v>
      </c>
      <c r="AV504" s="120">
        <f>IFERROR(VLOOKUP(Table1[RespondentID],'All Data'!$A$3:$CW$999,97,FALSE),"unknown")</f>
        <v>0</v>
      </c>
      <c r="AW504" s="120">
        <f>IFERROR(VLOOKUP(Table1[RespondentID],'All Data'!$A$3:$CW$999,98,FALSE),"unknown")</f>
        <v>0</v>
      </c>
      <c r="AX504" s="120">
        <f>IFERROR(VLOOKUP(Table1[RespondentID],'All Data'!$A$3:$CW$999,99,FALSE),"unknown")</f>
        <v>0</v>
      </c>
    </row>
    <row r="505" spans="1:50">
      <c r="A505" s="159">
        <v>18026792525</v>
      </c>
      <c r="B505" s="160"/>
      <c r="C505" s="124"/>
      <c r="D505" s="124" t="s">
        <v>18</v>
      </c>
      <c r="E505" s="124"/>
      <c r="F505" s="124"/>
      <c r="G505" s="124"/>
      <c r="H505" s="124"/>
      <c r="I505" s="124"/>
      <c r="J505" s="124"/>
      <c r="K505" s="124" t="s">
        <v>25</v>
      </c>
      <c r="L505" s="124" t="s">
        <v>26</v>
      </c>
      <c r="M505" s="124"/>
      <c r="N505" s="124"/>
      <c r="O505" s="124"/>
      <c r="P505" s="161">
        <f t="shared" si="162"/>
        <v>3</v>
      </c>
      <c r="Q505" s="161">
        <f t="shared" si="163"/>
        <v>1</v>
      </c>
      <c r="R505" s="161"/>
      <c r="S505" s="161">
        <f t="shared" si="164"/>
        <v>0</v>
      </c>
      <c r="T505" s="161">
        <f t="shared" si="165"/>
        <v>0</v>
      </c>
      <c r="U505" s="161">
        <f t="shared" si="166"/>
        <v>1</v>
      </c>
      <c r="V505" s="162">
        <f t="shared" si="167"/>
        <v>0</v>
      </c>
      <c r="W505" s="162">
        <f t="shared" si="168"/>
        <v>0</v>
      </c>
      <c r="X505" s="162">
        <f t="shared" si="169"/>
        <v>0</v>
      </c>
      <c r="Y505" s="162">
        <f t="shared" si="170"/>
        <v>0</v>
      </c>
      <c r="Z505" s="162">
        <f t="shared" si="171"/>
        <v>0</v>
      </c>
      <c r="AA505" s="162">
        <f t="shared" si="172"/>
        <v>0</v>
      </c>
      <c r="AB505" s="162">
        <f t="shared" si="173"/>
        <v>1</v>
      </c>
      <c r="AC505" s="162">
        <f t="shared" si="174"/>
        <v>1</v>
      </c>
      <c r="AD505" s="162">
        <f t="shared" si="175"/>
        <v>0</v>
      </c>
      <c r="AE505" s="162">
        <f t="shared" si="176"/>
        <v>0</v>
      </c>
      <c r="AF505" s="163"/>
      <c r="AG505" s="161"/>
      <c r="AH505" s="161">
        <f t="shared" si="177"/>
        <v>3</v>
      </c>
      <c r="AI505" s="161">
        <f t="shared" si="178"/>
        <v>3</v>
      </c>
      <c r="AJ505" s="161" t="str">
        <f t="shared" si="179"/>
        <v>Correct</v>
      </c>
      <c r="AK505" s="124"/>
      <c r="AL505" s="164" t="str">
        <f>IFERROR(VLOOKUP(Table1[RespondentID],'All Data'!$A$3:$CO$999,87,FALSE),"unknown")</f>
        <v>Woman</v>
      </c>
      <c r="AM505" s="124"/>
      <c r="AN505" s="120" t="str">
        <f>IFERROR(VLOOKUP(Table1[RespondentID],'All Data'!$A$3:$CO$999,89,FALSE),"unknown")</f>
        <v>Nassau</v>
      </c>
      <c r="AO505" s="120" t="str">
        <f>IFERROR(VLOOKUP(Table1[RespondentID],'All Data'!$A$3:$CO$999,90,FALSE),"unknown")</f>
        <v>Mineola, 11501</v>
      </c>
      <c r="AP505" s="120" t="str">
        <f>IFERROR(VLOOKUP(Table1[RespondentID],'All Data'!$A$3:$CO$999,91,FALSE),"unknown")</f>
        <v>White</v>
      </c>
      <c r="AQ505" s="120" t="str">
        <f>IFERROR(VLOOKUP(Table1[RespondentID],'All Data'!$A$3:$CO$999,92,FALSE),"unknown")</f>
        <v>Not Hispanic or Latino</v>
      </c>
      <c r="AR505" s="120" t="str">
        <f>IFERROR(VLOOKUP(Table1[RespondentID],'All Data'!$A$3:$CO$999,93,FALSE),"unknown")</f>
        <v>English</v>
      </c>
      <c r="AS505" s="120" t="str">
        <f>IFERROR(VLOOKUP(Table1[RespondentID],'All Data'!$A$3:$CW$999,94,FALSE),"unknown")</f>
        <v>$20,000 to $34,999</v>
      </c>
      <c r="AT505" s="120" t="str">
        <f>IFERROR(VLOOKUP(Table1[RespondentID],'All Data'!$A$3:$CW$999,95,FALSE),"unknown")</f>
        <v>Graduate school</v>
      </c>
      <c r="AU505" s="120" t="str">
        <f>IFERROR(VLOOKUP(Table1[RespondentID],'All Data'!$A$3:$CW$999,96,FALSE),"unknown")</f>
        <v>Retired</v>
      </c>
      <c r="AV505" s="120" t="str">
        <f>IFERROR(VLOOKUP(Table1[RespondentID],'All Data'!$A$3:$CW$999,97,FALSE),"unknown")</f>
        <v>No</v>
      </c>
      <c r="AW505" s="120" t="str">
        <f>IFERROR(VLOOKUP(Table1[RespondentID],'All Data'!$A$3:$CW$999,98,FALSE),"unknown")</f>
        <v>No Insurance</v>
      </c>
      <c r="AX505" s="120" t="str">
        <f>IFERROR(VLOOKUP(Table1[RespondentID],'All Data'!$A$3:$CW$999,99,FALSE),"unknown")</f>
        <v>Yes</v>
      </c>
    </row>
    <row r="506" spans="1:50">
      <c r="A506" s="159">
        <v>18026792379</v>
      </c>
      <c r="B506" s="160"/>
      <c r="C506" s="124"/>
      <c r="D506" s="124"/>
      <c r="E506" s="124"/>
      <c r="F506" s="124"/>
      <c r="G506" s="124"/>
      <c r="H506" s="124"/>
      <c r="I506" s="124" t="s">
        <v>23</v>
      </c>
      <c r="J506" s="124" t="s">
        <v>24</v>
      </c>
      <c r="K506" s="124"/>
      <c r="L506" s="124"/>
      <c r="M506" s="124"/>
      <c r="N506" s="124" t="s">
        <v>28</v>
      </c>
      <c r="O506" s="124"/>
      <c r="P506" s="161">
        <f t="shared" si="162"/>
        <v>3</v>
      </c>
      <c r="Q506" s="161">
        <f t="shared" si="163"/>
        <v>1</v>
      </c>
      <c r="R506" s="161"/>
      <c r="S506" s="161">
        <f t="shared" si="164"/>
        <v>0</v>
      </c>
      <c r="T506" s="161">
        <f t="shared" si="165"/>
        <v>0</v>
      </c>
      <c r="U506" s="161">
        <f t="shared" si="166"/>
        <v>0</v>
      </c>
      <c r="V506" s="162">
        <f t="shared" si="167"/>
        <v>0</v>
      </c>
      <c r="W506" s="162">
        <f t="shared" si="168"/>
        <v>0</v>
      </c>
      <c r="X506" s="162">
        <f t="shared" si="169"/>
        <v>0</v>
      </c>
      <c r="Y506" s="162">
        <f t="shared" si="170"/>
        <v>0</v>
      </c>
      <c r="Z506" s="162">
        <f t="shared" si="171"/>
        <v>1</v>
      </c>
      <c r="AA506" s="162">
        <f t="shared" si="172"/>
        <v>1</v>
      </c>
      <c r="AB506" s="162">
        <f t="shared" si="173"/>
        <v>0</v>
      </c>
      <c r="AC506" s="162">
        <f t="shared" si="174"/>
        <v>0</v>
      </c>
      <c r="AD506" s="162">
        <f t="shared" si="175"/>
        <v>0</v>
      </c>
      <c r="AE506" s="162">
        <f t="shared" si="176"/>
        <v>1</v>
      </c>
      <c r="AF506" s="163"/>
      <c r="AG506" s="161"/>
      <c r="AH506" s="161">
        <f t="shared" si="177"/>
        <v>3</v>
      </c>
      <c r="AI506" s="161">
        <f t="shared" si="178"/>
        <v>3</v>
      </c>
      <c r="AJ506" s="161" t="str">
        <f t="shared" si="179"/>
        <v>Correct</v>
      </c>
      <c r="AK506" s="124"/>
      <c r="AL506" s="164" t="str">
        <f>IFERROR(VLOOKUP(Table1[RespondentID],'All Data'!$A$3:$CO$999,87,FALSE),"unknown")</f>
        <v>Woman</v>
      </c>
      <c r="AM506" s="124"/>
      <c r="AN506" s="120" t="str">
        <f>IFERROR(VLOOKUP(Table1[RespondentID],'All Data'!$A$3:$CO$999,89,FALSE),"unknown")</f>
        <v>Nassau</v>
      </c>
      <c r="AO506" s="120" t="str">
        <f>IFERROR(VLOOKUP(Table1[RespondentID],'All Data'!$A$3:$CO$999,90,FALSE),"unknown")</f>
        <v>Mineola, 11501</v>
      </c>
      <c r="AP506" s="120" t="str">
        <f>IFERROR(VLOOKUP(Table1[RespondentID],'All Data'!$A$3:$CO$999,91,FALSE),"unknown")</f>
        <v>White</v>
      </c>
      <c r="AQ506" s="120" t="str">
        <f>IFERROR(VLOOKUP(Table1[RespondentID],'All Data'!$A$3:$CO$999,92,FALSE),"unknown")</f>
        <v>Not Hispanic or Latino</v>
      </c>
      <c r="AR506" s="120" t="str">
        <f>IFERROR(VLOOKUP(Table1[RespondentID],'All Data'!$A$3:$CO$999,93,FALSE),"unknown")</f>
        <v>English</v>
      </c>
      <c r="AS506" s="120" t="str">
        <f>IFERROR(VLOOKUP(Table1[RespondentID],'All Data'!$A$3:$CW$999,94,FALSE),"unknown")</f>
        <v>$20,000 to $34,999</v>
      </c>
      <c r="AT506" s="120" t="str">
        <f>IFERROR(VLOOKUP(Table1[RespondentID],'All Data'!$A$3:$CW$999,95,FALSE),"unknown")</f>
        <v>High school graduate</v>
      </c>
      <c r="AU506" s="120" t="str">
        <f>IFERROR(VLOOKUP(Table1[RespondentID],'All Data'!$A$3:$CW$999,96,FALSE),"unknown")</f>
        <v>Retired</v>
      </c>
      <c r="AV506" s="120" t="str">
        <f>IFERROR(VLOOKUP(Table1[RespondentID],'All Data'!$A$3:$CW$999,97,FALSE),"unknown")</f>
        <v>Yes</v>
      </c>
      <c r="AW506" s="120" t="str">
        <f>IFERROR(VLOOKUP(Table1[RespondentID],'All Data'!$A$3:$CW$999,98,FALSE),"unknown")</f>
        <v>Medicare</v>
      </c>
      <c r="AX506" s="120" t="str">
        <f>IFERROR(VLOOKUP(Table1[RespondentID],'All Data'!$A$3:$CW$999,99,FALSE),"unknown")</f>
        <v>No</v>
      </c>
    </row>
    <row r="507" spans="1:50">
      <c r="A507" s="159">
        <v>18026792254</v>
      </c>
      <c r="B507" s="160" t="s">
        <v>16</v>
      </c>
      <c r="C507" s="124" t="s">
        <v>17</v>
      </c>
      <c r="D507" s="124" t="s">
        <v>18</v>
      </c>
      <c r="E507" s="124" t="s">
        <v>19</v>
      </c>
      <c r="F507" s="124"/>
      <c r="G507" s="124"/>
      <c r="H507" s="124"/>
      <c r="I507" s="124" t="s">
        <v>23</v>
      </c>
      <c r="J507" s="124" t="s">
        <v>24</v>
      </c>
      <c r="K507" s="124"/>
      <c r="L507" s="124"/>
      <c r="M507" s="124"/>
      <c r="N507" s="124" t="s">
        <v>28</v>
      </c>
      <c r="O507" s="124"/>
      <c r="P507" s="161">
        <f t="shared" si="162"/>
        <v>7</v>
      </c>
      <c r="Q507" s="161">
        <f t="shared" si="163"/>
        <v>0.42857142857142855</v>
      </c>
      <c r="R507" s="161"/>
      <c r="S507" s="161">
        <f t="shared" si="164"/>
        <v>0.42857142857142855</v>
      </c>
      <c r="T507" s="161">
        <f t="shared" si="165"/>
        <v>0.42857142857142855</v>
      </c>
      <c r="U507" s="161">
        <f t="shared" si="166"/>
        <v>0.42857142857142855</v>
      </c>
      <c r="V507" s="162">
        <f t="shared" si="167"/>
        <v>0.42857142857142855</v>
      </c>
      <c r="W507" s="162">
        <f t="shared" si="168"/>
        <v>0</v>
      </c>
      <c r="X507" s="162">
        <f t="shared" si="169"/>
        <v>0</v>
      </c>
      <c r="Y507" s="162">
        <f t="shared" si="170"/>
        <v>0</v>
      </c>
      <c r="Z507" s="162">
        <f t="shared" si="171"/>
        <v>0.42857142857142855</v>
      </c>
      <c r="AA507" s="162">
        <f t="shared" si="172"/>
        <v>0.42857142857142855</v>
      </c>
      <c r="AB507" s="162">
        <f t="shared" si="173"/>
        <v>0</v>
      </c>
      <c r="AC507" s="162">
        <f t="shared" si="174"/>
        <v>0</v>
      </c>
      <c r="AD507" s="162">
        <f t="shared" si="175"/>
        <v>0</v>
      </c>
      <c r="AE507" s="162">
        <f t="shared" si="176"/>
        <v>0.42857142857142855</v>
      </c>
      <c r="AF507" s="163"/>
      <c r="AG507" s="161"/>
      <c r="AH507" s="161">
        <f t="shared" si="177"/>
        <v>2.9999999999999996</v>
      </c>
      <c r="AI507" s="161">
        <f t="shared" si="178"/>
        <v>7</v>
      </c>
      <c r="AJ507" s="161" t="str">
        <f t="shared" si="179"/>
        <v>Correct</v>
      </c>
      <c r="AK507" s="124"/>
      <c r="AL507" s="164" t="str">
        <f>IFERROR(VLOOKUP(Table1[RespondentID],'All Data'!$A$3:$CO$999,87,FALSE),"unknown")</f>
        <v>Woman</v>
      </c>
      <c r="AM507" s="124"/>
      <c r="AN507" s="120" t="str">
        <f>IFERROR(VLOOKUP(Table1[RespondentID],'All Data'!$A$3:$CO$999,89,FALSE),"unknown")</f>
        <v>Nassau</v>
      </c>
      <c r="AO507" s="120" t="str">
        <f>IFERROR(VLOOKUP(Table1[RespondentID],'All Data'!$A$3:$CO$999,90,FALSE),"unknown")</f>
        <v>Williston Park, 11596</v>
      </c>
      <c r="AP507" s="120" t="str">
        <f>IFERROR(VLOOKUP(Table1[RespondentID],'All Data'!$A$3:$CO$999,91,FALSE),"unknown")</f>
        <v>White</v>
      </c>
      <c r="AQ507" s="120" t="str">
        <f>IFERROR(VLOOKUP(Table1[RespondentID],'All Data'!$A$3:$CO$999,92,FALSE),"unknown")</f>
        <v>Not Hispanic or Latino</v>
      </c>
      <c r="AR507" s="120" t="str">
        <f>IFERROR(VLOOKUP(Table1[RespondentID],'All Data'!$A$3:$CO$999,93,FALSE),"unknown")</f>
        <v>English</v>
      </c>
      <c r="AS507" s="120" t="str">
        <f>IFERROR(VLOOKUP(Table1[RespondentID],'All Data'!$A$3:$CW$999,94,FALSE),"unknown")</f>
        <v>$75,000 to $125,000</v>
      </c>
      <c r="AT507" s="120" t="str">
        <f>IFERROR(VLOOKUP(Table1[RespondentID],'All Data'!$A$3:$CW$999,95,FALSE),"unknown")</f>
        <v>Graduate school</v>
      </c>
      <c r="AU507" s="120" t="str">
        <f>IFERROR(VLOOKUP(Table1[RespondentID],'All Data'!$A$3:$CW$999,96,FALSE),"unknown")</f>
        <v>Retired</v>
      </c>
      <c r="AV507" s="120" t="str">
        <f>IFERROR(VLOOKUP(Table1[RespondentID],'All Data'!$A$3:$CW$999,97,FALSE),"unknown")</f>
        <v>Yes</v>
      </c>
      <c r="AW507" s="120" t="str">
        <f>IFERROR(VLOOKUP(Table1[RespondentID],'All Data'!$A$3:$CW$999,98,FALSE),"unknown")</f>
        <v>Medicare,Private/Commercial</v>
      </c>
      <c r="AX507" s="120" t="str">
        <f>IFERROR(VLOOKUP(Table1[RespondentID],'All Data'!$A$3:$CW$999,99,FALSE),"unknown")</f>
        <v>Yes</v>
      </c>
    </row>
    <row r="508" spans="1:50">
      <c r="A508" s="159">
        <v>18026792090</v>
      </c>
      <c r="B508" s="160"/>
      <c r="C508" s="124"/>
      <c r="D508" s="124" t="s">
        <v>18</v>
      </c>
      <c r="E508" s="124" t="s">
        <v>19</v>
      </c>
      <c r="F508" s="124"/>
      <c r="G508" s="124"/>
      <c r="H508" s="124"/>
      <c r="I508" s="124"/>
      <c r="J508" s="124"/>
      <c r="K508" s="124"/>
      <c r="L508" s="124"/>
      <c r="M508" s="124"/>
      <c r="N508" s="124" t="s">
        <v>28</v>
      </c>
      <c r="O508" s="124"/>
      <c r="P508" s="161">
        <f t="shared" si="162"/>
        <v>3</v>
      </c>
      <c r="Q508" s="161">
        <f t="shared" si="163"/>
        <v>1</v>
      </c>
      <c r="R508" s="161"/>
      <c r="S508" s="161">
        <f t="shared" si="164"/>
        <v>0</v>
      </c>
      <c r="T508" s="161">
        <f t="shared" si="165"/>
        <v>0</v>
      </c>
      <c r="U508" s="161">
        <f t="shared" si="166"/>
        <v>1</v>
      </c>
      <c r="V508" s="162">
        <f t="shared" si="167"/>
        <v>1</v>
      </c>
      <c r="W508" s="162">
        <f t="shared" si="168"/>
        <v>0</v>
      </c>
      <c r="X508" s="162">
        <f t="shared" si="169"/>
        <v>0</v>
      </c>
      <c r="Y508" s="162">
        <f t="shared" si="170"/>
        <v>0</v>
      </c>
      <c r="Z508" s="162">
        <f t="shared" si="171"/>
        <v>0</v>
      </c>
      <c r="AA508" s="162">
        <f t="shared" si="172"/>
        <v>0</v>
      </c>
      <c r="AB508" s="162">
        <f t="shared" si="173"/>
        <v>0</v>
      </c>
      <c r="AC508" s="162">
        <f t="shared" si="174"/>
        <v>0</v>
      </c>
      <c r="AD508" s="162">
        <f t="shared" si="175"/>
        <v>0</v>
      </c>
      <c r="AE508" s="162">
        <f t="shared" si="176"/>
        <v>1</v>
      </c>
      <c r="AF508" s="163"/>
      <c r="AG508" s="161"/>
      <c r="AH508" s="161">
        <f t="shared" si="177"/>
        <v>3</v>
      </c>
      <c r="AI508" s="161">
        <f t="shared" si="178"/>
        <v>3</v>
      </c>
      <c r="AJ508" s="161" t="str">
        <f t="shared" si="179"/>
        <v>Correct</v>
      </c>
      <c r="AK508" s="124"/>
      <c r="AL508" s="164" t="str">
        <f>IFERROR(VLOOKUP(Table1[RespondentID],'All Data'!$A$3:$CO$999,87,FALSE),"unknown")</f>
        <v>Woman</v>
      </c>
      <c r="AM508" s="124"/>
      <c r="AN508" s="120" t="str">
        <f>IFERROR(VLOOKUP(Table1[RespondentID],'All Data'!$A$3:$CO$999,89,FALSE),"unknown")</f>
        <v>Nassau</v>
      </c>
      <c r="AO508" s="120" t="str">
        <f>IFERROR(VLOOKUP(Table1[RespondentID],'All Data'!$A$3:$CO$999,90,FALSE),"unknown")</f>
        <v>Williston Park, 11596</v>
      </c>
      <c r="AP508" s="120" t="str">
        <f>IFERROR(VLOOKUP(Table1[RespondentID],'All Data'!$A$3:$CO$999,91,FALSE),"unknown")</f>
        <v>White</v>
      </c>
      <c r="AQ508" s="120" t="str">
        <f>IFERROR(VLOOKUP(Table1[RespondentID],'All Data'!$A$3:$CO$999,92,FALSE),"unknown")</f>
        <v>Not Hispanic or Latino</v>
      </c>
      <c r="AR508" s="120">
        <f>IFERROR(VLOOKUP(Table1[RespondentID],'All Data'!$A$3:$CO$999,93,FALSE),"unknown")</f>
        <v>0</v>
      </c>
      <c r="AS508" s="120">
        <f>IFERROR(VLOOKUP(Table1[RespondentID],'All Data'!$A$3:$CW$999,94,FALSE),"unknown")</f>
        <v>0</v>
      </c>
      <c r="AT508" s="120" t="str">
        <f>IFERROR(VLOOKUP(Table1[RespondentID],'All Data'!$A$3:$CW$999,95,FALSE),"unknown")</f>
        <v>College graduate</v>
      </c>
      <c r="AU508" s="120" t="str">
        <f>IFERROR(VLOOKUP(Table1[RespondentID],'All Data'!$A$3:$CW$999,96,FALSE),"unknown")</f>
        <v>Retired</v>
      </c>
      <c r="AV508" s="120" t="str">
        <f>IFERROR(VLOOKUP(Table1[RespondentID],'All Data'!$A$3:$CW$999,97,FALSE),"unknown")</f>
        <v>Yes</v>
      </c>
      <c r="AW508" s="120" t="str">
        <f>IFERROR(VLOOKUP(Table1[RespondentID],'All Data'!$A$3:$CW$999,98,FALSE),"unknown")</f>
        <v>Medicare</v>
      </c>
      <c r="AX508" s="120" t="str">
        <f>IFERROR(VLOOKUP(Table1[RespondentID],'All Data'!$A$3:$CW$999,99,FALSE),"unknown")</f>
        <v>Yes</v>
      </c>
    </row>
    <row r="509" spans="1:50">
      <c r="A509" s="159">
        <v>18026791962</v>
      </c>
      <c r="B509" s="160"/>
      <c r="C509" s="124"/>
      <c r="D509" s="124" t="s">
        <v>18</v>
      </c>
      <c r="E509" s="124"/>
      <c r="F509" s="124"/>
      <c r="G509" s="124"/>
      <c r="H509" s="124"/>
      <c r="I509" s="124"/>
      <c r="J509" s="124" t="s">
        <v>24</v>
      </c>
      <c r="K509" s="124"/>
      <c r="L509" s="124"/>
      <c r="M509" s="124"/>
      <c r="N509" s="124" t="s">
        <v>28</v>
      </c>
      <c r="O509" s="124"/>
      <c r="P509" s="161">
        <f t="shared" si="162"/>
        <v>3</v>
      </c>
      <c r="Q509" s="161">
        <f t="shared" si="163"/>
        <v>1</v>
      </c>
      <c r="R509" s="161"/>
      <c r="S509" s="161">
        <f t="shared" si="164"/>
        <v>0</v>
      </c>
      <c r="T509" s="161">
        <f t="shared" si="165"/>
        <v>0</v>
      </c>
      <c r="U509" s="161">
        <f t="shared" si="166"/>
        <v>1</v>
      </c>
      <c r="V509" s="162">
        <f t="shared" si="167"/>
        <v>0</v>
      </c>
      <c r="W509" s="162">
        <f t="shared" si="168"/>
        <v>0</v>
      </c>
      <c r="X509" s="162">
        <f t="shared" si="169"/>
        <v>0</v>
      </c>
      <c r="Y509" s="162">
        <f t="shared" si="170"/>
        <v>0</v>
      </c>
      <c r="Z509" s="162">
        <f t="shared" si="171"/>
        <v>0</v>
      </c>
      <c r="AA509" s="162">
        <f t="shared" si="172"/>
        <v>1</v>
      </c>
      <c r="AB509" s="162">
        <f t="shared" si="173"/>
        <v>0</v>
      </c>
      <c r="AC509" s="162">
        <f t="shared" si="174"/>
        <v>0</v>
      </c>
      <c r="AD509" s="162">
        <f t="shared" si="175"/>
        <v>0</v>
      </c>
      <c r="AE509" s="162">
        <f t="shared" si="176"/>
        <v>1</v>
      </c>
      <c r="AF509" s="163"/>
      <c r="AG509" s="161"/>
      <c r="AH509" s="161">
        <f t="shared" si="177"/>
        <v>3</v>
      </c>
      <c r="AI509" s="161">
        <f t="shared" si="178"/>
        <v>3</v>
      </c>
      <c r="AJ509" s="161" t="str">
        <f t="shared" si="179"/>
        <v>Correct</v>
      </c>
      <c r="AK509" s="124"/>
      <c r="AL509" s="164" t="str">
        <f>IFERROR(VLOOKUP(Table1[RespondentID],'All Data'!$A$3:$CO$999,87,FALSE),"unknown")</f>
        <v>Woman</v>
      </c>
      <c r="AM509" s="124"/>
      <c r="AN509" s="120" t="str">
        <f>IFERROR(VLOOKUP(Table1[RespondentID],'All Data'!$A$3:$CO$999,89,FALSE),"unknown")</f>
        <v>Nassau</v>
      </c>
      <c r="AO509" s="120" t="str">
        <f>IFERROR(VLOOKUP(Table1[RespondentID],'All Data'!$A$3:$CO$999,90,FALSE),"unknown")</f>
        <v>Williston Park, 11596</v>
      </c>
      <c r="AP509" s="120" t="str">
        <f>IFERROR(VLOOKUP(Table1[RespondentID],'All Data'!$A$3:$CO$999,91,FALSE),"unknown")</f>
        <v>Asian</v>
      </c>
      <c r="AQ509" s="120" t="str">
        <f>IFERROR(VLOOKUP(Table1[RespondentID],'All Data'!$A$3:$CO$999,92,FALSE),"unknown")</f>
        <v>Not Hispanic or Latino</v>
      </c>
      <c r="AR509" s="120" t="str">
        <f>IFERROR(VLOOKUP(Table1[RespondentID],'All Data'!$A$3:$CO$999,93,FALSE),"unknown")</f>
        <v>English</v>
      </c>
      <c r="AS509" s="120">
        <f>IFERROR(VLOOKUP(Table1[RespondentID],'All Data'!$A$3:$CW$999,94,FALSE),"unknown")</f>
        <v>0</v>
      </c>
      <c r="AT509" s="120" t="str">
        <f>IFERROR(VLOOKUP(Table1[RespondentID],'All Data'!$A$3:$CW$999,95,FALSE),"unknown")</f>
        <v>College graduate</v>
      </c>
      <c r="AU509" s="120" t="str">
        <f>IFERROR(VLOOKUP(Table1[RespondentID],'All Data'!$A$3:$CW$999,96,FALSE),"unknown")</f>
        <v>Out of work, but not currently looking</v>
      </c>
      <c r="AV509" s="120" t="str">
        <f>IFERROR(VLOOKUP(Table1[RespondentID],'All Data'!$A$3:$CW$999,97,FALSE),"unknown")</f>
        <v>Yes</v>
      </c>
      <c r="AW509" s="120" t="str">
        <f>IFERROR(VLOOKUP(Table1[RespondentID],'All Data'!$A$3:$CW$999,98,FALSE),"unknown")</f>
        <v>Private/Commercial</v>
      </c>
      <c r="AX509" s="120" t="str">
        <f>IFERROR(VLOOKUP(Table1[RespondentID],'All Data'!$A$3:$CW$999,99,FALSE),"unknown")</f>
        <v>Yes</v>
      </c>
    </row>
    <row r="510" spans="1:50">
      <c r="A510" s="159">
        <v>18026791810</v>
      </c>
      <c r="B510" s="160"/>
      <c r="C510" s="124"/>
      <c r="D510" s="124"/>
      <c r="E510" s="124"/>
      <c r="F510" s="124"/>
      <c r="G510" s="124"/>
      <c r="H510" s="124"/>
      <c r="I510" s="124" t="s">
        <v>23</v>
      </c>
      <c r="J510" s="124"/>
      <c r="K510" s="124"/>
      <c r="L510" s="124"/>
      <c r="M510" s="124"/>
      <c r="N510" s="124"/>
      <c r="O510" s="124"/>
      <c r="P510" s="161">
        <f t="shared" si="162"/>
        <v>1</v>
      </c>
      <c r="Q510" s="161">
        <f t="shared" si="163"/>
        <v>3</v>
      </c>
      <c r="R510" s="161"/>
      <c r="S510" s="161">
        <f t="shared" si="164"/>
        <v>0</v>
      </c>
      <c r="T510" s="161">
        <f t="shared" si="165"/>
        <v>0</v>
      </c>
      <c r="U510" s="161">
        <f t="shared" si="166"/>
        <v>0</v>
      </c>
      <c r="V510" s="162">
        <f t="shared" si="167"/>
        <v>0</v>
      </c>
      <c r="W510" s="162">
        <f t="shared" si="168"/>
        <v>0</v>
      </c>
      <c r="X510" s="162">
        <f t="shared" si="169"/>
        <v>0</v>
      </c>
      <c r="Y510" s="162">
        <f t="shared" si="170"/>
        <v>0</v>
      </c>
      <c r="Z510" s="162">
        <f t="shared" si="171"/>
        <v>1</v>
      </c>
      <c r="AA510" s="162">
        <f t="shared" si="172"/>
        <v>0</v>
      </c>
      <c r="AB510" s="162">
        <f t="shared" si="173"/>
        <v>0</v>
      </c>
      <c r="AC510" s="162">
        <f t="shared" si="174"/>
        <v>0</v>
      </c>
      <c r="AD510" s="162">
        <f t="shared" si="175"/>
        <v>0</v>
      </c>
      <c r="AE510" s="162">
        <f t="shared" si="176"/>
        <v>0</v>
      </c>
      <c r="AF510" s="163"/>
      <c r="AG510" s="161"/>
      <c r="AH510" s="161">
        <f t="shared" si="177"/>
        <v>1</v>
      </c>
      <c r="AI510" s="161">
        <f t="shared" si="178"/>
        <v>1</v>
      </c>
      <c r="AJ510" s="161" t="str">
        <f t="shared" si="179"/>
        <v>Correct</v>
      </c>
      <c r="AK510" s="124"/>
      <c r="AL510" s="164" t="str">
        <f>IFERROR(VLOOKUP(Table1[RespondentID],'All Data'!$A$3:$CO$999,87,FALSE),"unknown")</f>
        <v>Woman</v>
      </c>
      <c r="AM510" s="124"/>
      <c r="AN510" s="120" t="str">
        <f>IFERROR(VLOOKUP(Table1[RespondentID],'All Data'!$A$3:$CO$999,89,FALSE),"unknown")</f>
        <v>Nassau</v>
      </c>
      <c r="AO510" s="120" t="str">
        <f>IFERROR(VLOOKUP(Table1[RespondentID],'All Data'!$A$3:$CO$999,90,FALSE),"unknown")</f>
        <v>Massapequa, 11758</v>
      </c>
      <c r="AP510" s="120" t="str">
        <f>IFERROR(VLOOKUP(Table1[RespondentID],'All Data'!$A$3:$CO$999,91,FALSE),"unknown")</f>
        <v>White</v>
      </c>
      <c r="AQ510" s="120">
        <f>IFERROR(VLOOKUP(Table1[RespondentID],'All Data'!$A$3:$CO$999,92,FALSE),"unknown")</f>
        <v>0</v>
      </c>
      <c r="AR510" s="120" t="str">
        <f>IFERROR(VLOOKUP(Table1[RespondentID],'All Data'!$A$3:$CO$999,93,FALSE),"unknown")</f>
        <v>English</v>
      </c>
      <c r="AS510" s="120" t="str">
        <f>IFERROR(VLOOKUP(Table1[RespondentID],'All Data'!$A$3:$CW$999,94,FALSE),"unknown")</f>
        <v>$20,000 to $34,999</v>
      </c>
      <c r="AT510" s="120" t="str">
        <f>IFERROR(VLOOKUP(Table1[RespondentID],'All Data'!$A$3:$CW$999,95,FALSE),"unknown")</f>
        <v>College graduate</v>
      </c>
      <c r="AU510" s="120" t="str">
        <f>IFERROR(VLOOKUP(Table1[RespondentID],'All Data'!$A$3:$CW$999,96,FALSE),"unknown")</f>
        <v>Retired</v>
      </c>
      <c r="AV510" s="120" t="str">
        <f>IFERROR(VLOOKUP(Table1[RespondentID],'All Data'!$A$3:$CW$999,97,FALSE),"unknown")</f>
        <v>Yes</v>
      </c>
      <c r="AW510" s="120" t="str">
        <f>IFERROR(VLOOKUP(Table1[RespondentID],'All Data'!$A$3:$CW$999,98,FALSE),"unknown")</f>
        <v>Medicare</v>
      </c>
      <c r="AX510" s="120" t="str">
        <f>IFERROR(VLOOKUP(Table1[RespondentID],'All Data'!$A$3:$CW$999,99,FALSE),"unknown")</f>
        <v>No</v>
      </c>
    </row>
    <row r="511" spans="1:50">
      <c r="A511" s="159">
        <v>18026791613</v>
      </c>
      <c r="B511" s="160"/>
      <c r="C511" s="124"/>
      <c r="D511" s="124"/>
      <c r="E511" s="124" t="s">
        <v>19</v>
      </c>
      <c r="F511" s="124"/>
      <c r="G511" s="124"/>
      <c r="H511" s="124"/>
      <c r="I511" s="124"/>
      <c r="J511" s="124"/>
      <c r="K511" s="124" t="s">
        <v>25</v>
      </c>
      <c r="L511" s="124" t="s">
        <v>26</v>
      </c>
      <c r="M511" s="124"/>
      <c r="N511" s="124"/>
      <c r="O511" s="124"/>
      <c r="P511" s="161">
        <f t="shared" si="162"/>
        <v>3</v>
      </c>
      <c r="Q511" s="161">
        <f t="shared" si="163"/>
        <v>1</v>
      </c>
      <c r="R511" s="161"/>
      <c r="S511" s="161">
        <f t="shared" si="164"/>
        <v>0</v>
      </c>
      <c r="T511" s="161">
        <f t="shared" si="165"/>
        <v>0</v>
      </c>
      <c r="U511" s="161">
        <f t="shared" si="166"/>
        <v>0</v>
      </c>
      <c r="V511" s="162">
        <f t="shared" si="167"/>
        <v>1</v>
      </c>
      <c r="W511" s="162">
        <f t="shared" si="168"/>
        <v>0</v>
      </c>
      <c r="X511" s="162">
        <f t="shared" si="169"/>
        <v>0</v>
      </c>
      <c r="Y511" s="162">
        <f t="shared" si="170"/>
        <v>0</v>
      </c>
      <c r="Z511" s="162">
        <f t="shared" si="171"/>
        <v>0</v>
      </c>
      <c r="AA511" s="162">
        <f t="shared" si="172"/>
        <v>0</v>
      </c>
      <c r="AB511" s="162">
        <f t="shared" si="173"/>
        <v>1</v>
      </c>
      <c r="AC511" s="162">
        <f t="shared" si="174"/>
        <v>1</v>
      </c>
      <c r="AD511" s="162">
        <f t="shared" si="175"/>
        <v>0</v>
      </c>
      <c r="AE511" s="162">
        <f t="shared" si="176"/>
        <v>0</v>
      </c>
      <c r="AF511" s="163"/>
      <c r="AG511" s="161"/>
      <c r="AH511" s="161">
        <f t="shared" si="177"/>
        <v>3</v>
      </c>
      <c r="AI511" s="161">
        <f t="shared" si="178"/>
        <v>3</v>
      </c>
      <c r="AJ511" s="161" t="str">
        <f t="shared" si="179"/>
        <v>Correct</v>
      </c>
      <c r="AK511" s="124"/>
      <c r="AL511" s="164" t="str">
        <f>IFERROR(VLOOKUP(Table1[RespondentID],'All Data'!$A$3:$CO$999,87,FALSE),"unknown")</f>
        <v>Man</v>
      </c>
      <c r="AM511" s="124"/>
      <c r="AN511" s="120" t="str">
        <f>IFERROR(VLOOKUP(Table1[RespondentID],'All Data'!$A$3:$CO$999,89,FALSE),"unknown")</f>
        <v>Nassau</v>
      </c>
      <c r="AO511" s="120" t="str">
        <f>IFERROR(VLOOKUP(Table1[RespondentID],'All Data'!$A$3:$CO$999,90,FALSE),"unknown")</f>
        <v>Farmingdale, 11735</v>
      </c>
      <c r="AP511" s="120" t="str">
        <f>IFERROR(VLOOKUP(Table1[RespondentID],'All Data'!$A$3:$CO$999,91,FALSE),"unknown")</f>
        <v>White</v>
      </c>
      <c r="AQ511" s="120">
        <f>IFERROR(VLOOKUP(Table1[RespondentID],'All Data'!$A$3:$CO$999,92,FALSE),"unknown")</f>
        <v>0</v>
      </c>
      <c r="AR511" s="120" t="str">
        <f>IFERROR(VLOOKUP(Table1[RespondentID],'All Data'!$A$3:$CO$999,93,FALSE),"unknown")</f>
        <v>English</v>
      </c>
      <c r="AS511" s="120">
        <f>IFERROR(VLOOKUP(Table1[RespondentID],'All Data'!$A$3:$CW$999,94,FALSE),"unknown")</f>
        <v>0</v>
      </c>
      <c r="AT511" s="120" t="str">
        <f>IFERROR(VLOOKUP(Table1[RespondentID],'All Data'!$A$3:$CW$999,95,FALSE),"unknown")</f>
        <v>Some college</v>
      </c>
      <c r="AU511" s="120" t="str">
        <f>IFERROR(VLOOKUP(Table1[RespondentID],'All Data'!$A$3:$CW$999,96,FALSE),"unknown")</f>
        <v>Retired</v>
      </c>
      <c r="AV511" s="120">
        <f>IFERROR(VLOOKUP(Table1[RespondentID],'All Data'!$A$3:$CW$999,97,FALSE),"unknown")</f>
        <v>0</v>
      </c>
      <c r="AW511" s="120" t="str">
        <f>IFERROR(VLOOKUP(Table1[RespondentID],'All Data'!$A$3:$CW$999,98,FALSE),"unknown")</f>
        <v>Medicare</v>
      </c>
      <c r="AX511" s="120">
        <f>IFERROR(VLOOKUP(Table1[RespondentID],'All Data'!$A$3:$CW$999,99,FALSE),"unknown")</f>
        <v>0</v>
      </c>
    </row>
    <row r="512" spans="1:50">
      <c r="A512" s="159">
        <v>18026791463</v>
      </c>
      <c r="B512" s="160"/>
      <c r="C512" s="124"/>
      <c r="D512" s="124" t="s">
        <v>18</v>
      </c>
      <c r="E512" s="124"/>
      <c r="F512" s="124"/>
      <c r="G512" s="124"/>
      <c r="H512" s="124"/>
      <c r="I512" s="124" t="s">
        <v>23</v>
      </c>
      <c r="J512" s="124"/>
      <c r="K512" s="124"/>
      <c r="L512" s="124"/>
      <c r="M512" s="124"/>
      <c r="N512" s="124" t="s">
        <v>28</v>
      </c>
      <c r="O512" s="124"/>
      <c r="P512" s="161">
        <f t="shared" si="162"/>
        <v>3</v>
      </c>
      <c r="Q512" s="161">
        <f t="shared" si="163"/>
        <v>1</v>
      </c>
      <c r="R512" s="161"/>
      <c r="S512" s="161">
        <f t="shared" si="164"/>
        <v>0</v>
      </c>
      <c r="T512" s="161">
        <f t="shared" si="165"/>
        <v>0</v>
      </c>
      <c r="U512" s="161">
        <f t="shared" si="166"/>
        <v>1</v>
      </c>
      <c r="V512" s="162">
        <f t="shared" si="167"/>
        <v>0</v>
      </c>
      <c r="W512" s="162">
        <f t="shared" si="168"/>
        <v>0</v>
      </c>
      <c r="X512" s="162">
        <f t="shared" si="169"/>
        <v>0</v>
      </c>
      <c r="Y512" s="162">
        <f t="shared" si="170"/>
        <v>0</v>
      </c>
      <c r="Z512" s="162">
        <f t="shared" si="171"/>
        <v>1</v>
      </c>
      <c r="AA512" s="162">
        <f t="shared" si="172"/>
        <v>0</v>
      </c>
      <c r="AB512" s="162">
        <f t="shared" si="173"/>
        <v>0</v>
      </c>
      <c r="AC512" s="162">
        <f t="shared" si="174"/>
        <v>0</v>
      </c>
      <c r="AD512" s="162">
        <f t="shared" si="175"/>
        <v>0</v>
      </c>
      <c r="AE512" s="162">
        <f t="shared" si="176"/>
        <v>1</v>
      </c>
      <c r="AF512" s="163"/>
      <c r="AG512" s="161"/>
      <c r="AH512" s="161">
        <f t="shared" si="177"/>
        <v>3</v>
      </c>
      <c r="AI512" s="161">
        <f t="shared" si="178"/>
        <v>3</v>
      </c>
      <c r="AJ512" s="161" t="str">
        <f t="shared" si="179"/>
        <v>Correct</v>
      </c>
      <c r="AK512" s="124"/>
      <c r="AL512" s="164" t="str">
        <f>IFERROR(VLOOKUP(Table1[RespondentID],'All Data'!$A$3:$CO$999,87,FALSE),"unknown")</f>
        <v>Woman</v>
      </c>
      <c r="AM512" s="124"/>
      <c r="AN512" s="120" t="str">
        <f>IFERROR(VLOOKUP(Table1[RespondentID],'All Data'!$A$3:$CO$999,89,FALSE),"unknown")</f>
        <v>Nassau</v>
      </c>
      <c r="AO512" s="120" t="str">
        <f>IFERROR(VLOOKUP(Table1[RespondentID],'All Data'!$A$3:$CO$999,90,FALSE),"unknown")</f>
        <v>Farmingdale, 11735</v>
      </c>
      <c r="AP512" s="120" t="str">
        <f>IFERROR(VLOOKUP(Table1[RespondentID],'All Data'!$A$3:$CO$999,91,FALSE),"unknown")</f>
        <v>White</v>
      </c>
      <c r="AQ512" s="120" t="str">
        <f>IFERROR(VLOOKUP(Table1[RespondentID],'All Data'!$A$3:$CO$999,92,FALSE),"unknown")</f>
        <v>Not Hispanic or Latino</v>
      </c>
      <c r="AR512" s="120" t="str">
        <f>IFERROR(VLOOKUP(Table1[RespondentID],'All Data'!$A$3:$CO$999,93,FALSE),"unknown")</f>
        <v>English</v>
      </c>
      <c r="AS512" s="120" t="str">
        <f>IFERROR(VLOOKUP(Table1[RespondentID],'All Data'!$A$3:$CW$999,94,FALSE),"unknown")</f>
        <v>$20,000 to $34,999</v>
      </c>
      <c r="AT512" s="120" t="str">
        <f>IFERROR(VLOOKUP(Table1[RespondentID],'All Data'!$A$3:$CW$999,95,FALSE),"unknown")</f>
        <v>Some college</v>
      </c>
      <c r="AU512" s="120" t="str">
        <f>IFERROR(VLOOKUP(Table1[RespondentID],'All Data'!$A$3:$CW$999,96,FALSE),"unknown")</f>
        <v>Retired</v>
      </c>
      <c r="AV512" s="120" t="str">
        <f>IFERROR(VLOOKUP(Table1[RespondentID],'All Data'!$A$3:$CW$999,97,FALSE),"unknown")</f>
        <v>Yes</v>
      </c>
      <c r="AW512" s="120" t="str">
        <f>IFERROR(VLOOKUP(Table1[RespondentID],'All Data'!$A$3:$CW$999,98,FALSE),"unknown")</f>
        <v>Medicare</v>
      </c>
      <c r="AX512" s="120">
        <f>IFERROR(VLOOKUP(Table1[RespondentID],'All Data'!$A$3:$CW$999,99,FALSE),"unknown")</f>
        <v>0</v>
      </c>
    </row>
    <row r="513" spans="1:50">
      <c r="A513" s="159">
        <v>18026791236</v>
      </c>
      <c r="B513" s="160"/>
      <c r="C513" s="124"/>
      <c r="D513" s="124"/>
      <c r="E513" s="124"/>
      <c r="F513" s="124"/>
      <c r="G513" s="124"/>
      <c r="H513" s="124"/>
      <c r="I513" s="124"/>
      <c r="J513" s="124"/>
      <c r="K513" s="124" t="s">
        <v>25</v>
      </c>
      <c r="L513" s="124" t="s">
        <v>26</v>
      </c>
      <c r="M513" s="124"/>
      <c r="N513" s="124"/>
      <c r="O513" s="124"/>
      <c r="P513" s="161">
        <f t="shared" si="162"/>
        <v>2</v>
      </c>
      <c r="Q513" s="161">
        <f t="shared" si="163"/>
        <v>1.5</v>
      </c>
      <c r="R513" s="161"/>
      <c r="S513" s="161">
        <f t="shared" si="164"/>
        <v>0</v>
      </c>
      <c r="T513" s="161">
        <f t="shared" si="165"/>
        <v>0</v>
      </c>
      <c r="U513" s="161">
        <f t="shared" si="166"/>
        <v>0</v>
      </c>
      <c r="V513" s="162">
        <f t="shared" si="167"/>
        <v>0</v>
      </c>
      <c r="W513" s="162">
        <f t="shared" si="168"/>
        <v>0</v>
      </c>
      <c r="X513" s="162">
        <f t="shared" si="169"/>
        <v>0</v>
      </c>
      <c r="Y513" s="162">
        <f t="shared" si="170"/>
        <v>0</v>
      </c>
      <c r="Z513" s="162">
        <f t="shared" si="171"/>
        <v>0</v>
      </c>
      <c r="AA513" s="162">
        <f t="shared" si="172"/>
        <v>0</v>
      </c>
      <c r="AB513" s="162">
        <f t="shared" si="173"/>
        <v>1</v>
      </c>
      <c r="AC513" s="162">
        <f t="shared" si="174"/>
        <v>1</v>
      </c>
      <c r="AD513" s="162">
        <f t="shared" si="175"/>
        <v>0</v>
      </c>
      <c r="AE513" s="162">
        <f t="shared" si="176"/>
        <v>0</v>
      </c>
      <c r="AF513" s="163"/>
      <c r="AG513" s="161"/>
      <c r="AH513" s="161">
        <f t="shared" si="177"/>
        <v>2</v>
      </c>
      <c r="AI513" s="161">
        <f t="shared" si="178"/>
        <v>2</v>
      </c>
      <c r="AJ513" s="161" t="str">
        <f t="shared" si="179"/>
        <v>Correct</v>
      </c>
      <c r="AK513" s="124"/>
      <c r="AL513" s="164" t="str">
        <f>IFERROR(VLOOKUP(Table1[RespondentID],'All Data'!$A$3:$CO$999,87,FALSE),"unknown")</f>
        <v>Man</v>
      </c>
      <c r="AM513" s="124"/>
      <c r="AN513" s="120" t="str">
        <f>IFERROR(VLOOKUP(Table1[RespondentID],'All Data'!$A$3:$CO$999,89,FALSE),"unknown")</f>
        <v>Nassau</v>
      </c>
      <c r="AO513" s="120" t="str">
        <f>IFERROR(VLOOKUP(Table1[RespondentID],'All Data'!$A$3:$CO$999,90,FALSE),"unknown")</f>
        <v>Massapequa, 11758</v>
      </c>
      <c r="AP513" s="120" t="str">
        <f>IFERROR(VLOOKUP(Table1[RespondentID],'All Data'!$A$3:$CO$999,91,FALSE),"unknown")</f>
        <v>White</v>
      </c>
      <c r="AQ513" s="120" t="str">
        <f>IFERROR(VLOOKUP(Table1[RespondentID],'All Data'!$A$3:$CO$999,92,FALSE),"unknown")</f>
        <v>Not Hispanic or Latino</v>
      </c>
      <c r="AR513" s="120" t="str">
        <f>IFERROR(VLOOKUP(Table1[RespondentID],'All Data'!$A$3:$CO$999,93,FALSE),"unknown")</f>
        <v>English</v>
      </c>
      <c r="AS513" s="120" t="str">
        <f>IFERROR(VLOOKUP(Table1[RespondentID],'All Data'!$A$3:$CW$999,94,FALSE),"unknown")</f>
        <v>$50,000 to $74,999</v>
      </c>
      <c r="AT513" s="120" t="str">
        <f>IFERROR(VLOOKUP(Table1[RespondentID],'All Data'!$A$3:$CW$999,95,FALSE),"unknown")</f>
        <v>Some college</v>
      </c>
      <c r="AU513" s="120" t="str">
        <f>IFERROR(VLOOKUP(Table1[RespondentID],'All Data'!$A$3:$CW$999,96,FALSE),"unknown")</f>
        <v>Retired</v>
      </c>
      <c r="AV513" s="120" t="str">
        <f>IFERROR(VLOOKUP(Table1[RespondentID],'All Data'!$A$3:$CW$999,97,FALSE),"unknown")</f>
        <v>Yes</v>
      </c>
      <c r="AW513" s="120" t="str">
        <f>IFERROR(VLOOKUP(Table1[RespondentID],'All Data'!$A$3:$CW$999,98,FALSE),"unknown")</f>
        <v>Medicare,Private/Commercial</v>
      </c>
      <c r="AX513" s="120">
        <f>IFERROR(VLOOKUP(Table1[RespondentID],'All Data'!$A$3:$CW$999,99,FALSE),"unknown")</f>
        <v>0</v>
      </c>
    </row>
    <row r="514" spans="1:50">
      <c r="A514" s="159">
        <v>18026547733</v>
      </c>
      <c r="B514" s="160"/>
      <c r="C514" s="124"/>
      <c r="D514" s="124"/>
      <c r="E514" s="124"/>
      <c r="F514" s="124"/>
      <c r="G514" s="124" t="s">
        <v>21</v>
      </c>
      <c r="H514" s="124"/>
      <c r="I514" s="124" t="s">
        <v>23</v>
      </c>
      <c r="J514" s="124"/>
      <c r="K514" s="124"/>
      <c r="L514" s="124"/>
      <c r="M514" s="124"/>
      <c r="N514" s="124" t="s">
        <v>28</v>
      </c>
      <c r="O514" s="124"/>
      <c r="P514" s="161">
        <f t="shared" si="162"/>
        <v>3</v>
      </c>
      <c r="Q514" s="161">
        <f t="shared" si="163"/>
        <v>1</v>
      </c>
      <c r="R514" s="161"/>
      <c r="S514" s="161">
        <f t="shared" si="164"/>
        <v>0</v>
      </c>
      <c r="T514" s="161">
        <f t="shared" si="165"/>
        <v>0</v>
      </c>
      <c r="U514" s="161">
        <f t="shared" si="166"/>
        <v>0</v>
      </c>
      <c r="V514" s="162">
        <f t="shared" si="167"/>
        <v>0</v>
      </c>
      <c r="W514" s="162">
        <f t="shared" si="168"/>
        <v>0</v>
      </c>
      <c r="X514" s="162">
        <f t="shared" si="169"/>
        <v>1</v>
      </c>
      <c r="Y514" s="162">
        <f t="shared" si="170"/>
        <v>0</v>
      </c>
      <c r="Z514" s="162">
        <f t="shared" si="171"/>
        <v>1</v>
      </c>
      <c r="AA514" s="162">
        <f t="shared" si="172"/>
        <v>0</v>
      </c>
      <c r="AB514" s="162">
        <f t="shared" si="173"/>
        <v>0</v>
      </c>
      <c r="AC514" s="162">
        <f t="shared" si="174"/>
        <v>0</v>
      </c>
      <c r="AD514" s="162">
        <f t="shared" si="175"/>
        <v>0</v>
      </c>
      <c r="AE514" s="162">
        <f t="shared" si="176"/>
        <v>1</v>
      </c>
      <c r="AF514" s="163"/>
      <c r="AG514" s="161"/>
      <c r="AH514" s="161">
        <f t="shared" si="177"/>
        <v>3</v>
      </c>
      <c r="AI514" s="161">
        <f t="shared" si="178"/>
        <v>3</v>
      </c>
      <c r="AJ514" s="161" t="str">
        <f t="shared" si="179"/>
        <v>Correct</v>
      </c>
      <c r="AK514" s="124"/>
      <c r="AL514" s="164" t="str">
        <f>IFERROR(VLOOKUP(Table1[RespondentID],'All Data'!$A$3:$CO$999,87,FALSE),"unknown")</f>
        <v>Woman</v>
      </c>
      <c r="AM514" s="124"/>
      <c r="AN514" s="120" t="str">
        <f>IFERROR(VLOOKUP(Table1[RespondentID],'All Data'!$A$3:$CO$999,89,FALSE),"unknown")</f>
        <v>Suffolk</v>
      </c>
      <c r="AO514" s="120" t="str">
        <f>IFERROR(VLOOKUP(Table1[RespondentID],'All Data'!$A$3:$CO$999,90,FALSE),"unknown")</f>
        <v>Lake Ronkonkoma, 11779</v>
      </c>
      <c r="AP514" s="120" t="str">
        <f>IFERROR(VLOOKUP(Table1[RespondentID],'All Data'!$A$3:$CO$999,91,FALSE),"unknown")</f>
        <v>White</v>
      </c>
      <c r="AQ514" s="120" t="str">
        <f>IFERROR(VLOOKUP(Table1[RespondentID],'All Data'!$A$3:$CO$999,92,FALSE),"unknown")</f>
        <v>Not Hispanic or Latino</v>
      </c>
      <c r="AR514" s="120" t="str">
        <f>IFERROR(VLOOKUP(Table1[RespondentID],'All Data'!$A$3:$CO$999,93,FALSE),"unknown")</f>
        <v>English</v>
      </c>
      <c r="AS514" s="120" t="str">
        <f>IFERROR(VLOOKUP(Table1[RespondentID],'All Data'!$A$3:$CW$999,94,FALSE),"unknown")</f>
        <v>Over $125,000</v>
      </c>
      <c r="AT514" s="120" t="str">
        <f>IFERROR(VLOOKUP(Table1[RespondentID],'All Data'!$A$3:$CW$999,95,FALSE),"unknown")</f>
        <v>College graduate</v>
      </c>
      <c r="AU514" s="120" t="str">
        <f>IFERROR(VLOOKUP(Table1[RespondentID],'All Data'!$A$3:$CW$999,96,FALSE),"unknown")</f>
        <v>Employed for wages</v>
      </c>
      <c r="AV514" s="120" t="str">
        <f>IFERROR(VLOOKUP(Table1[RespondentID],'All Data'!$A$3:$CW$999,97,FALSE),"unknown")</f>
        <v>Yes</v>
      </c>
      <c r="AW514" s="120" t="str">
        <f>IFERROR(VLOOKUP(Table1[RespondentID],'All Data'!$A$3:$CW$999,98,FALSE),"unknown")</f>
        <v>Private/Commercial</v>
      </c>
      <c r="AX514" s="120" t="str">
        <f>IFERROR(VLOOKUP(Table1[RespondentID],'All Data'!$A$3:$CW$999,99,FALSE),"unknown")</f>
        <v>Yes</v>
      </c>
    </row>
    <row r="515" spans="1:50">
      <c r="A515" s="159">
        <v>18026539753</v>
      </c>
      <c r="B515" s="160"/>
      <c r="C515" s="124"/>
      <c r="D515" s="124"/>
      <c r="E515" s="124"/>
      <c r="F515" s="124"/>
      <c r="G515" s="124"/>
      <c r="H515" s="124"/>
      <c r="I515" s="124"/>
      <c r="J515" s="124" t="s">
        <v>24</v>
      </c>
      <c r="K515" s="124" t="s">
        <v>25</v>
      </c>
      <c r="L515" s="124"/>
      <c r="M515" s="124"/>
      <c r="N515" s="124" t="s">
        <v>28</v>
      </c>
      <c r="O515" s="124"/>
      <c r="P515" s="161">
        <f t="shared" si="162"/>
        <v>3</v>
      </c>
      <c r="Q515" s="161">
        <f t="shared" si="163"/>
        <v>1</v>
      </c>
      <c r="R515" s="161"/>
      <c r="S515" s="161">
        <f t="shared" si="164"/>
        <v>0</v>
      </c>
      <c r="T515" s="161">
        <f t="shared" si="165"/>
        <v>0</v>
      </c>
      <c r="U515" s="161">
        <f t="shared" si="166"/>
        <v>0</v>
      </c>
      <c r="V515" s="162">
        <f t="shared" si="167"/>
        <v>0</v>
      </c>
      <c r="W515" s="162">
        <f t="shared" si="168"/>
        <v>0</v>
      </c>
      <c r="X515" s="162">
        <f t="shared" si="169"/>
        <v>0</v>
      </c>
      <c r="Y515" s="162">
        <f t="shared" si="170"/>
        <v>0</v>
      </c>
      <c r="Z515" s="162">
        <f t="shared" si="171"/>
        <v>0</v>
      </c>
      <c r="AA515" s="162">
        <f t="shared" si="172"/>
        <v>1</v>
      </c>
      <c r="AB515" s="162">
        <f t="shared" si="173"/>
        <v>1</v>
      </c>
      <c r="AC515" s="162">
        <f t="shared" si="174"/>
        <v>0</v>
      </c>
      <c r="AD515" s="162">
        <f t="shared" si="175"/>
        <v>0</v>
      </c>
      <c r="AE515" s="162">
        <f t="shared" si="176"/>
        <v>1</v>
      </c>
      <c r="AF515" s="163"/>
      <c r="AG515" s="161"/>
      <c r="AH515" s="161">
        <f t="shared" si="177"/>
        <v>3</v>
      </c>
      <c r="AI515" s="161">
        <f t="shared" si="178"/>
        <v>3</v>
      </c>
      <c r="AJ515" s="161" t="str">
        <f t="shared" si="179"/>
        <v>Correct</v>
      </c>
      <c r="AK515" s="124"/>
      <c r="AL515" s="164" t="str">
        <f>IFERROR(VLOOKUP(Table1[RespondentID],'All Data'!$A$3:$CO$999,87,FALSE),"unknown")</f>
        <v>Woman</v>
      </c>
      <c r="AM515" s="124"/>
      <c r="AN515" s="120" t="str">
        <f>IFERROR(VLOOKUP(Table1[RespondentID],'All Data'!$A$3:$CO$999,89,FALSE),"unknown")</f>
        <v>Suffolk</v>
      </c>
      <c r="AO515" s="120" t="str">
        <f>IFERROR(VLOOKUP(Table1[RespondentID],'All Data'!$A$3:$CO$999,90,FALSE),"unknown")</f>
        <v>East Islip, 11730</v>
      </c>
      <c r="AP515" s="120" t="str">
        <f>IFERROR(VLOOKUP(Table1[RespondentID],'All Data'!$A$3:$CO$999,91,FALSE),"unknown")</f>
        <v>White</v>
      </c>
      <c r="AQ515" s="120" t="str">
        <f>IFERROR(VLOOKUP(Table1[RespondentID],'All Data'!$A$3:$CO$999,92,FALSE),"unknown")</f>
        <v>Not Hispanic or Latino</v>
      </c>
      <c r="AR515" s="120" t="str">
        <f>IFERROR(VLOOKUP(Table1[RespondentID],'All Data'!$A$3:$CO$999,93,FALSE),"unknown")</f>
        <v>English</v>
      </c>
      <c r="AS515" s="120" t="str">
        <f>IFERROR(VLOOKUP(Table1[RespondentID],'All Data'!$A$3:$CW$999,94,FALSE),"unknown")</f>
        <v>$75,000 to $125,000</v>
      </c>
      <c r="AT515" s="120" t="str">
        <f>IFERROR(VLOOKUP(Table1[RespondentID],'All Data'!$A$3:$CW$999,95,FALSE),"unknown")</f>
        <v>College graduate</v>
      </c>
      <c r="AU515" s="120" t="str">
        <f>IFERROR(VLOOKUP(Table1[RespondentID],'All Data'!$A$3:$CW$999,96,FALSE),"unknown")</f>
        <v>Employed for wages</v>
      </c>
      <c r="AV515" s="120" t="str">
        <f>IFERROR(VLOOKUP(Table1[RespondentID],'All Data'!$A$3:$CW$999,97,FALSE),"unknown")</f>
        <v>Yes</v>
      </c>
      <c r="AW515" s="120" t="str">
        <f>IFERROR(VLOOKUP(Table1[RespondentID],'All Data'!$A$3:$CW$999,98,FALSE),"unknown")</f>
        <v>Private/Commercial</v>
      </c>
      <c r="AX515" s="120" t="str">
        <f>IFERROR(VLOOKUP(Table1[RespondentID],'All Data'!$A$3:$CW$999,99,FALSE),"unknown")</f>
        <v>Yes</v>
      </c>
    </row>
    <row r="516" spans="1:50">
      <c r="A516" s="159">
        <v>18026486994</v>
      </c>
      <c r="B516" s="160" t="s">
        <v>16</v>
      </c>
      <c r="C516" s="124"/>
      <c r="D516" s="124"/>
      <c r="E516" s="124"/>
      <c r="F516" s="124"/>
      <c r="G516" s="124" t="s">
        <v>21</v>
      </c>
      <c r="H516" s="124"/>
      <c r="I516" s="124"/>
      <c r="J516" s="124"/>
      <c r="K516" s="124"/>
      <c r="L516" s="124"/>
      <c r="M516" s="124"/>
      <c r="N516" s="124" t="s">
        <v>28</v>
      </c>
      <c r="O516" s="124"/>
      <c r="P516" s="161">
        <f t="shared" si="162"/>
        <v>3</v>
      </c>
      <c r="Q516" s="161">
        <f t="shared" si="163"/>
        <v>1</v>
      </c>
      <c r="R516" s="161"/>
      <c r="S516" s="161">
        <f t="shared" si="164"/>
        <v>1</v>
      </c>
      <c r="T516" s="161">
        <f t="shared" si="165"/>
        <v>0</v>
      </c>
      <c r="U516" s="161">
        <f t="shared" si="166"/>
        <v>0</v>
      </c>
      <c r="V516" s="162">
        <f t="shared" si="167"/>
        <v>0</v>
      </c>
      <c r="W516" s="162">
        <f t="shared" si="168"/>
        <v>0</v>
      </c>
      <c r="X516" s="162">
        <f t="shared" si="169"/>
        <v>1</v>
      </c>
      <c r="Y516" s="162">
        <f t="shared" si="170"/>
        <v>0</v>
      </c>
      <c r="Z516" s="162">
        <f t="shared" si="171"/>
        <v>0</v>
      </c>
      <c r="AA516" s="162">
        <f t="shared" si="172"/>
        <v>0</v>
      </c>
      <c r="AB516" s="162">
        <f t="shared" si="173"/>
        <v>0</v>
      </c>
      <c r="AC516" s="162">
        <f t="shared" si="174"/>
        <v>0</v>
      </c>
      <c r="AD516" s="162">
        <f t="shared" si="175"/>
        <v>0</v>
      </c>
      <c r="AE516" s="162">
        <f t="shared" si="176"/>
        <v>1</v>
      </c>
      <c r="AF516" s="163"/>
      <c r="AG516" s="161"/>
      <c r="AH516" s="161">
        <f t="shared" si="177"/>
        <v>3</v>
      </c>
      <c r="AI516" s="161">
        <f t="shared" si="178"/>
        <v>3</v>
      </c>
      <c r="AJ516" s="161" t="str">
        <f t="shared" si="179"/>
        <v>Correct</v>
      </c>
      <c r="AK516" s="124"/>
      <c r="AL516" s="164" t="str">
        <f>IFERROR(VLOOKUP(Table1[RespondentID],'All Data'!$A$3:$CO$999,87,FALSE),"unknown")</f>
        <v>Woman</v>
      </c>
      <c r="AM516" s="124"/>
      <c r="AN516" s="120" t="str">
        <f>IFERROR(VLOOKUP(Table1[RespondentID],'All Data'!$A$3:$CO$999,89,FALSE),"unknown")</f>
        <v>Nassau</v>
      </c>
      <c r="AO516" s="120" t="str">
        <f>IFERROR(VLOOKUP(Table1[RespondentID],'All Data'!$A$3:$CO$999,90,FALSE),"unknown")</f>
        <v>Westbury, 11590</v>
      </c>
      <c r="AP516" s="120" t="str">
        <f>IFERROR(VLOOKUP(Table1[RespondentID],'All Data'!$A$3:$CO$999,91,FALSE),"unknown")</f>
        <v>White</v>
      </c>
      <c r="AQ516" s="120" t="str">
        <f>IFERROR(VLOOKUP(Table1[RespondentID],'All Data'!$A$3:$CO$999,92,FALSE),"unknown")</f>
        <v>Not Hispanic or Latino</v>
      </c>
      <c r="AR516" s="120" t="str">
        <f>IFERROR(VLOOKUP(Table1[RespondentID],'All Data'!$A$3:$CO$999,93,FALSE),"unknown")</f>
        <v>English</v>
      </c>
      <c r="AS516" s="120" t="str">
        <f>IFERROR(VLOOKUP(Table1[RespondentID],'All Data'!$A$3:$CW$999,94,FALSE),"unknown")</f>
        <v>Over $125,000</v>
      </c>
      <c r="AT516" s="120" t="str">
        <f>IFERROR(VLOOKUP(Table1[RespondentID],'All Data'!$A$3:$CW$999,95,FALSE),"unknown")</f>
        <v>College graduate</v>
      </c>
      <c r="AU516" s="120" t="str">
        <f>IFERROR(VLOOKUP(Table1[RespondentID],'All Data'!$A$3:$CW$999,96,FALSE),"unknown")</f>
        <v>Retired</v>
      </c>
      <c r="AV516" s="120" t="str">
        <f>IFERROR(VLOOKUP(Table1[RespondentID],'All Data'!$A$3:$CW$999,97,FALSE),"unknown")</f>
        <v>Yes</v>
      </c>
      <c r="AW516" s="120" t="str">
        <f>IFERROR(VLOOKUP(Table1[RespondentID],'All Data'!$A$3:$CW$999,98,FALSE),"unknown")</f>
        <v>Private/Commercial</v>
      </c>
      <c r="AX516" s="120" t="str">
        <f>IFERROR(VLOOKUP(Table1[RespondentID],'All Data'!$A$3:$CW$999,99,FALSE),"unknown")</f>
        <v>Yes</v>
      </c>
    </row>
    <row r="517" spans="1:50">
      <c r="A517" s="159">
        <v>18026481858</v>
      </c>
      <c r="B517" s="160"/>
      <c r="C517" s="124"/>
      <c r="D517" s="124"/>
      <c r="E517" s="124"/>
      <c r="F517" s="124"/>
      <c r="G517" s="124" t="s">
        <v>21</v>
      </c>
      <c r="H517" s="124"/>
      <c r="I517" s="124"/>
      <c r="J517" s="124"/>
      <c r="K517" s="124" t="s">
        <v>25</v>
      </c>
      <c r="L517" s="124"/>
      <c r="M517" s="124" t="s">
        <v>27</v>
      </c>
      <c r="N517" s="124"/>
      <c r="O517" s="124"/>
      <c r="P517" s="161">
        <f t="shared" si="162"/>
        <v>3</v>
      </c>
      <c r="Q517" s="161">
        <f t="shared" si="163"/>
        <v>1</v>
      </c>
      <c r="R517" s="161"/>
      <c r="S517" s="161">
        <f t="shared" si="164"/>
        <v>0</v>
      </c>
      <c r="T517" s="161">
        <f t="shared" si="165"/>
        <v>0</v>
      </c>
      <c r="U517" s="161">
        <f t="shared" si="166"/>
        <v>0</v>
      </c>
      <c r="V517" s="162">
        <f t="shared" si="167"/>
        <v>0</v>
      </c>
      <c r="W517" s="162">
        <f t="shared" si="168"/>
        <v>0</v>
      </c>
      <c r="X517" s="162">
        <f t="shared" si="169"/>
        <v>1</v>
      </c>
      <c r="Y517" s="162">
        <f t="shared" si="170"/>
        <v>0</v>
      </c>
      <c r="Z517" s="162">
        <f t="shared" si="171"/>
        <v>0</v>
      </c>
      <c r="AA517" s="162">
        <f t="shared" si="172"/>
        <v>0</v>
      </c>
      <c r="AB517" s="162">
        <f t="shared" si="173"/>
        <v>1</v>
      </c>
      <c r="AC517" s="162">
        <f t="shared" si="174"/>
        <v>0</v>
      </c>
      <c r="AD517" s="162">
        <f t="shared" si="175"/>
        <v>1</v>
      </c>
      <c r="AE517" s="162">
        <f t="shared" si="176"/>
        <v>0</v>
      </c>
      <c r="AF517" s="163"/>
      <c r="AG517" s="161"/>
      <c r="AH517" s="161">
        <f t="shared" si="177"/>
        <v>3</v>
      </c>
      <c r="AI517" s="161">
        <f t="shared" si="178"/>
        <v>3</v>
      </c>
      <c r="AJ517" s="161" t="str">
        <f t="shared" si="179"/>
        <v>Correct</v>
      </c>
      <c r="AK517" s="124"/>
      <c r="AL517" s="164" t="str">
        <f>IFERROR(VLOOKUP(Table1[RespondentID],'All Data'!$A$3:$CO$999,87,FALSE),"unknown")</f>
        <v>Man</v>
      </c>
      <c r="AM517" s="124"/>
      <c r="AN517" s="120" t="str">
        <f>IFERROR(VLOOKUP(Table1[RespondentID],'All Data'!$A$3:$CO$999,89,FALSE),"unknown")</f>
        <v>Suffolk</v>
      </c>
      <c r="AO517" s="120" t="str">
        <f>IFERROR(VLOOKUP(Table1[RespondentID],'All Data'!$A$3:$CO$999,90,FALSE),"unknown")</f>
        <v>Stony Brook, 11790</v>
      </c>
      <c r="AP517" s="120" t="str">
        <f>IFERROR(VLOOKUP(Table1[RespondentID],'All Data'!$A$3:$CO$999,91,FALSE),"unknown")</f>
        <v>White</v>
      </c>
      <c r="AQ517" s="120" t="str">
        <f>IFERROR(VLOOKUP(Table1[RespondentID],'All Data'!$A$3:$CO$999,92,FALSE),"unknown")</f>
        <v>Not Hispanic or Latino</v>
      </c>
      <c r="AR517" s="120">
        <f>IFERROR(VLOOKUP(Table1[RespondentID],'All Data'!$A$3:$CO$999,93,FALSE),"unknown")</f>
        <v>0</v>
      </c>
      <c r="AS517" s="120" t="str">
        <f>IFERROR(VLOOKUP(Table1[RespondentID],'All Data'!$A$3:$CW$999,94,FALSE),"unknown")</f>
        <v>$20,000 to $34,999</v>
      </c>
      <c r="AT517" s="120" t="str">
        <f>IFERROR(VLOOKUP(Table1[RespondentID],'All Data'!$A$3:$CW$999,95,FALSE),"unknown")</f>
        <v>College graduate</v>
      </c>
      <c r="AU517" s="120" t="str">
        <f>IFERROR(VLOOKUP(Table1[RespondentID],'All Data'!$A$3:$CW$999,96,FALSE),"unknown")</f>
        <v>Out of work and looking for work</v>
      </c>
      <c r="AV517" s="120" t="str">
        <f>IFERROR(VLOOKUP(Table1[RespondentID],'All Data'!$A$3:$CW$999,97,FALSE),"unknown")</f>
        <v>Yes</v>
      </c>
      <c r="AW517" s="120" t="str">
        <f>IFERROR(VLOOKUP(Table1[RespondentID],'All Data'!$A$3:$CW$999,98,FALSE),"unknown")</f>
        <v>Medicaid,Medicare</v>
      </c>
      <c r="AX517" s="120" t="str">
        <f>IFERROR(VLOOKUP(Table1[RespondentID],'All Data'!$A$3:$CW$999,99,FALSE),"unknown")</f>
        <v>Yes</v>
      </c>
    </row>
    <row r="518" spans="1:50">
      <c r="A518" s="159">
        <v>18026458777</v>
      </c>
      <c r="B518" s="160"/>
      <c r="C518" s="124" t="s">
        <v>17</v>
      </c>
      <c r="D518" s="124"/>
      <c r="E518" s="124" t="s">
        <v>19</v>
      </c>
      <c r="F518" s="124"/>
      <c r="G518" s="124"/>
      <c r="H518" s="124"/>
      <c r="I518" s="124" t="s">
        <v>23</v>
      </c>
      <c r="J518" s="124"/>
      <c r="K518" s="124" t="s">
        <v>25</v>
      </c>
      <c r="L518" s="124" t="s">
        <v>26</v>
      </c>
      <c r="M518" s="124"/>
      <c r="N518" s="124"/>
      <c r="O518" s="124"/>
      <c r="P518" s="161">
        <f t="shared" si="162"/>
        <v>5</v>
      </c>
      <c r="Q518" s="161">
        <f t="shared" si="163"/>
        <v>0.6</v>
      </c>
      <c r="R518" s="161"/>
      <c r="S518" s="161">
        <f t="shared" si="164"/>
        <v>0</v>
      </c>
      <c r="T518" s="161">
        <f t="shared" si="165"/>
        <v>0.6</v>
      </c>
      <c r="U518" s="161">
        <f t="shared" si="166"/>
        <v>0</v>
      </c>
      <c r="V518" s="162">
        <f t="shared" si="167"/>
        <v>0.6</v>
      </c>
      <c r="W518" s="162">
        <f t="shared" si="168"/>
        <v>0</v>
      </c>
      <c r="X518" s="162">
        <f t="shared" si="169"/>
        <v>0</v>
      </c>
      <c r="Y518" s="162">
        <f t="shared" si="170"/>
        <v>0</v>
      </c>
      <c r="Z518" s="162">
        <f t="shared" si="171"/>
        <v>0.6</v>
      </c>
      <c r="AA518" s="162">
        <f t="shared" si="172"/>
        <v>0</v>
      </c>
      <c r="AB518" s="162">
        <f t="shared" si="173"/>
        <v>0.6</v>
      </c>
      <c r="AC518" s="162">
        <f t="shared" si="174"/>
        <v>0.6</v>
      </c>
      <c r="AD518" s="162">
        <f t="shared" si="175"/>
        <v>0</v>
      </c>
      <c r="AE518" s="162">
        <f t="shared" si="176"/>
        <v>0</v>
      </c>
      <c r="AF518" s="163"/>
      <c r="AG518" s="161"/>
      <c r="AH518" s="161">
        <f t="shared" si="177"/>
        <v>3</v>
      </c>
      <c r="AI518" s="161">
        <f t="shared" si="178"/>
        <v>5</v>
      </c>
      <c r="AJ518" s="161" t="str">
        <f t="shared" si="179"/>
        <v>Correct</v>
      </c>
      <c r="AK518" s="124"/>
      <c r="AL518" s="164" t="str">
        <f>IFERROR(VLOOKUP(Table1[RespondentID],'All Data'!$A$3:$CO$999,87,FALSE),"unknown")</f>
        <v>Woman</v>
      </c>
      <c r="AM518" s="124"/>
      <c r="AN518" s="120" t="str">
        <f>IFERROR(VLOOKUP(Table1[RespondentID],'All Data'!$A$3:$CO$999,89,FALSE),"unknown")</f>
        <v>Suffolk</v>
      </c>
      <c r="AO518" s="120" t="str">
        <f>IFERROR(VLOOKUP(Table1[RespondentID],'All Data'!$A$3:$CO$999,90,FALSE),"unknown")</f>
        <v>Port Jefferson Station, 11776</v>
      </c>
      <c r="AP518" s="120" t="str">
        <f>IFERROR(VLOOKUP(Table1[RespondentID],'All Data'!$A$3:$CO$999,91,FALSE),"unknown")</f>
        <v>White</v>
      </c>
      <c r="AQ518" s="120" t="str">
        <f>IFERROR(VLOOKUP(Table1[RespondentID],'All Data'!$A$3:$CO$999,92,FALSE),"unknown")</f>
        <v>Not Hispanic or Latino</v>
      </c>
      <c r="AR518" s="120" t="str">
        <f>IFERROR(VLOOKUP(Table1[RespondentID],'All Data'!$A$3:$CO$999,93,FALSE),"unknown")</f>
        <v>English</v>
      </c>
      <c r="AS518" s="120" t="str">
        <f>IFERROR(VLOOKUP(Table1[RespondentID],'All Data'!$A$3:$CW$999,94,FALSE),"unknown")</f>
        <v>Over $125,000</v>
      </c>
      <c r="AT518" s="120" t="str">
        <f>IFERROR(VLOOKUP(Table1[RespondentID],'All Data'!$A$3:$CW$999,95,FALSE),"unknown")</f>
        <v>Graduate school</v>
      </c>
      <c r="AU518" s="120" t="str">
        <f>IFERROR(VLOOKUP(Table1[RespondentID],'All Data'!$A$3:$CW$999,96,FALSE),"unknown")</f>
        <v>Employed for wages</v>
      </c>
      <c r="AV518" s="120" t="str">
        <f>IFERROR(VLOOKUP(Table1[RespondentID],'All Data'!$A$3:$CW$999,97,FALSE),"unknown")</f>
        <v>Yes</v>
      </c>
      <c r="AW518" s="120" t="str">
        <f>IFERROR(VLOOKUP(Table1[RespondentID],'All Data'!$A$3:$CW$999,98,FALSE),"unknown")</f>
        <v>Private/Commercial</v>
      </c>
      <c r="AX518" s="120" t="str">
        <f>IFERROR(VLOOKUP(Table1[RespondentID],'All Data'!$A$3:$CW$999,99,FALSE),"unknown")</f>
        <v>Yes</v>
      </c>
    </row>
    <row r="519" spans="1:50">
      <c r="A519" s="159">
        <v>18031750233</v>
      </c>
      <c r="B519" s="160"/>
      <c r="C519" s="124" t="s">
        <v>17</v>
      </c>
      <c r="D519" s="124"/>
      <c r="E519" s="124"/>
      <c r="F519" s="124"/>
      <c r="G519" s="124"/>
      <c r="H519" s="124"/>
      <c r="I519" s="124"/>
      <c r="J519" s="124" t="s">
        <v>24</v>
      </c>
      <c r="K519" s="124"/>
      <c r="L519" s="124"/>
      <c r="M519" s="124"/>
      <c r="N519" s="124" t="s">
        <v>28</v>
      </c>
      <c r="O519" s="124"/>
      <c r="P519" s="161">
        <f t="shared" si="162"/>
        <v>3</v>
      </c>
      <c r="Q519" s="161">
        <f t="shared" si="163"/>
        <v>1</v>
      </c>
      <c r="R519" s="161"/>
      <c r="S519" s="161">
        <f t="shared" si="164"/>
        <v>0</v>
      </c>
      <c r="T519" s="161">
        <f t="shared" si="165"/>
        <v>1</v>
      </c>
      <c r="U519" s="161">
        <f t="shared" si="166"/>
        <v>0</v>
      </c>
      <c r="V519" s="162">
        <f t="shared" si="167"/>
        <v>0</v>
      </c>
      <c r="W519" s="162">
        <f t="shared" si="168"/>
        <v>0</v>
      </c>
      <c r="X519" s="162">
        <f t="shared" si="169"/>
        <v>0</v>
      </c>
      <c r="Y519" s="162">
        <f t="shared" si="170"/>
        <v>0</v>
      </c>
      <c r="Z519" s="162">
        <f t="shared" si="171"/>
        <v>0</v>
      </c>
      <c r="AA519" s="162">
        <f t="shared" si="172"/>
        <v>1</v>
      </c>
      <c r="AB519" s="162">
        <f t="shared" si="173"/>
        <v>0</v>
      </c>
      <c r="AC519" s="162">
        <f t="shared" si="174"/>
        <v>0</v>
      </c>
      <c r="AD519" s="162">
        <f t="shared" si="175"/>
        <v>0</v>
      </c>
      <c r="AE519" s="162">
        <f t="shared" si="176"/>
        <v>1</v>
      </c>
      <c r="AF519" s="163"/>
      <c r="AG519" s="161"/>
      <c r="AH519" s="161">
        <f t="shared" si="177"/>
        <v>3</v>
      </c>
      <c r="AI519" s="161">
        <f t="shared" si="178"/>
        <v>3</v>
      </c>
      <c r="AJ519" s="161" t="str">
        <f t="shared" si="179"/>
        <v>Correct</v>
      </c>
      <c r="AK519" s="124"/>
      <c r="AL519" s="164" t="str">
        <f>IFERROR(VLOOKUP(Table1[RespondentID],'All Data'!$A$3:$CO$999,87,FALSE),"unknown")</f>
        <v>Woman</v>
      </c>
      <c r="AM519" s="124"/>
      <c r="AN519" s="120" t="str">
        <f>IFERROR(VLOOKUP(Table1[RespondentID],'All Data'!$A$3:$CO$999,89,FALSE),"unknown")</f>
        <v>Suffolk</v>
      </c>
      <c r="AO519" s="120" t="str">
        <f>IFERROR(VLOOKUP(Table1[RespondentID],'All Data'!$A$3:$CO$999,90,FALSE),"unknown")</f>
        <v>Huntington, 11743</v>
      </c>
      <c r="AP519" s="120">
        <f>IFERROR(VLOOKUP(Table1[RespondentID],'All Data'!$A$3:$CO$999,91,FALSE),"unknown")</f>
        <v>0</v>
      </c>
      <c r="AQ519" s="120" t="str">
        <f>IFERROR(VLOOKUP(Table1[RespondentID],'All Data'!$A$3:$CO$999,92,FALSE),"unknown")</f>
        <v>Hispanic or Latino</v>
      </c>
      <c r="AR519" s="120" t="str">
        <f>IFERROR(VLOOKUP(Table1[RespondentID],'All Data'!$A$3:$CO$999,93,FALSE),"unknown")</f>
        <v>Spanish</v>
      </c>
      <c r="AS519" s="120" t="str">
        <f>IFERROR(VLOOKUP(Table1[RespondentID],'All Data'!$A$3:$CW$999,94,FALSE),"unknown")</f>
        <v>$20,000 to $34,999</v>
      </c>
      <c r="AT519" s="120" t="str">
        <f>IFERROR(VLOOKUP(Table1[RespondentID],'All Data'!$A$3:$CW$999,95,FALSE),"unknown")</f>
        <v>K-8 grade</v>
      </c>
      <c r="AU519" s="120" t="str">
        <f>IFERROR(VLOOKUP(Table1[RespondentID],'All Data'!$A$3:$CW$999,96,FALSE),"unknown")</f>
        <v>Self-employed</v>
      </c>
      <c r="AV519" s="120" t="str">
        <f>IFERROR(VLOOKUP(Table1[RespondentID],'All Data'!$A$3:$CW$999,97,FALSE),"unknown")</f>
        <v>Yes</v>
      </c>
      <c r="AW519" s="120" t="str">
        <f>IFERROR(VLOOKUP(Table1[RespondentID],'All Data'!$A$3:$CW$999,98,FALSE),"unknown")</f>
        <v>Private/Commercial</v>
      </c>
      <c r="AX519" s="120" t="str">
        <f>IFERROR(VLOOKUP(Table1[RespondentID],'All Data'!$A$3:$CW$999,99,FALSE),"unknown")</f>
        <v>Yes</v>
      </c>
    </row>
    <row r="520" spans="1:50">
      <c r="A520" s="159">
        <v>18031750066</v>
      </c>
      <c r="B520" s="160" t="s">
        <v>16</v>
      </c>
      <c r="C520" s="124" t="s">
        <v>17</v>
      </c>
      <c r="D520" s="124" t="s">
        <v>18</v>
      </c>
      <c r="E520" s="124" t="s">
        <v>19</v>
      </c>
      <c r="F520" s="124" t="s">
        <v>20</v>
      </c>
      <c r="G520" s="124" t="s">
        <v>21</v>
      </c>
      <c r="H520" s="124" t="s">
        <v>22</v>
      </c>
      <c r="I520" s="124" t="s">
        <v>23</v>
      </c>
      <c r="J520" s="124" t="s">
        <v>24</v>
      </c>
      <c r="K520" s="124" t="s">
        <v>25</v>
      </c>
      <c r="L520" s="124" t="s">
        <v>26</v>
      </c>
      <c r="M520" s="124" t="s">
        <v>27</v>
      </c>
      <c r="N520" s="124" t="s">
        <v>28</v>
      </c>
      <c r="O520" s="124"/>
      <c r="P520" s="161">
        <f t="shared" si="162"/>
        <v>13</v>
      </c>
      <c r="Q520" s="161">
        <f t="shared" si="163"/>
        <v>0.23076923076923078</v>
      </c>
      <c r="R520" s="161"/>
      <c r="S520" s="161">
        <f t="shared" si="164"/>
        <v>0.23076923076923078</v>
      </c>
      <c r="T520" s="161">
        <f t="shared" si="165"/>
        <v>0.23076923076923078</v>
      </c>
      <c r="U520" s="161">
        <f t="shared" si="166"/>
        <v>0.23076923076923078</v>
      </c>
      <c r="V520" s="162">
        <f t="shared" si="167"/>
        <v>0.23076923076923078</v>
      </c>
      <c r="W520" s="162">
        <f t="shared" si="168"/>
        <v>0.23076923076923078</v>
      </c>
      <c r="X520" s="162">
        <f t="shared" si="169"/>
        <v>0.23076923076923078</v>
      </c>
      <c r="Y520" s="162">
        <f t="shared" si="170"/>
        <v>0.23076923076923078</v>
      </c>
      <c r="Z520" s="162">
        <f t="shared" si="171"/>
        <v>0.23076923076923078</v>
      </c>
      <c r="AA520" s="162">
        <f t="shared" si="172"/>
        <v>0.23076923076923078</v>
      </c>
      <c r="AB520" s="162">
        <f t="shared" si="173"/>
        <v>0.23076923076923078</v>
      </c>
      <c r="AC520" s="162">
        <f t="shared" si="174"/>
        <v>0.23076923076923078</v>
      </c>
      <c r="AD520" s="162">
        <f t="shared" si="175"/>
        <v>0.23076923076923078</v>
      </c>
      <c r="AE520" s="162">
        <f t="shared" si="176"/>
        <v>0.23076923076923078</v>
      </c>
      <c r="AF520" s="163"/>
      <c r="AG520" s="161"/>
      <c r="AH520" s="161">
        <f t="shared" si="177"/>
        <v>3.0000000000000004</v>
      </c>
      <c r="AI520" s="161">
        <f t="shared" si="178"/>
        <v>13</v>
      </c>
      <c r="AJ520" s="161" t="str">
        <f t="shared" si="179"/>
        <v>Correct</v>
      </c>
      <c r="AK520" s="124"/>
      <c r="AL520" s="164" t="str">
        <f>IFERROR(VLOOKUP(Table1[RespondentID],'All Data'!$A$3:$CO$999,87,FALSE),"unknown")</f>
        <v>Man</v>
      </c>
      <c r="AM520" s="124"/>
      <c r="AN520" s="120" t="str">
        <f>IFERROR(VLOOKUP(Table1[RespondentID],'All Data'!$A$3:$CO$999,89,FALSE),"unknown")</f>
        <v>Suffolk</v>
      </c>
      <c r="AO520" s="120" t="str">
        <f>IFERROR(VLOOKUP(Table1[RespondentID],'All Data'!$A$3:$CO$999,90,FALSE),"unknown")</f>
        <v>Huntington, 11743</v>
      </c>
      <c r="AP520" s="120" t="str">
        <f>IFERROR(VLOOKUP(Table1[RespondentID],'All Data'!$A$3:$CO$999,91,FALSE),"unknown")</f>
        <v>White</v>
      </c>
      <c r="AQ520" s="120" t="str">
        <f>IFERROR(VLOOKUP(Table1[RespondentID],'All Data'!$A$3:$CO$999,92,FALSE),"unknown")</f>
        <v>Hispanic or Latino</v>
      </c>
      <c r="AR520" s="120" t="str">
        <f>IFERROR(VLOOKUP(Table1[RespondentID],'All Data'!$A$3:$CO$999,93,FALSE),"unknown")</f>
        <v>Spanish</v>
      </c>
      <c r="AS520" s="120" t="str">
        <f>IFERROR(VLOOKUP(Table1[RespondentID],'All Data'!$A$3:$CW$999,94,FALSE),"unknown")</f>
        <v>$20,000 to $34,999</v>
      </c>
      <c r="AT520" s="120" t="str">
        <f>IFERROR(VLOOKUP(Table1[RespondentID],'All Data'!$A$3:$CW$999,95,FALSE),"unknown")</f>
        <v>Some high school</v>
      </c>
      <c r="AU520" s="120" t="str">
        <f>IFERROR(VLOOKUP(Table1[RespondentID],'All Data'!$A$3:$CW$999,96,FALSE),"unknown")</f>
        <v>Employed for wages</v>
      </c>
      <c r="AV520" s="120" t="str">
        <f>IFERROR(VLOOKUP(Table1[RespondentID],'All Data'!$A$3:$CW$999,97,FALSE),"unknown")</f>
        <v>No</v>
      </c>
      <c r="AW520" s="120" t="str">
        <f>IFERROR(VLOOKUP(Table1[RespondentID],'All Data'!$A$3:$CW$999,98,FALSE),"unknown")</f>
        <v>No Insurance</v>
      </c>
      <c r="AX520" s="120" t="str">
        <f>IFERROR(VLOOKUP(Table1[RespondentID],'All Data'!$A$3:$CW$999,99,FALSE),"unknown")</f>
        <v>Yes</v>
      </c>
    </row>
    <row r="521" spans="1:50">
      <c r="A521" s="159">
        <v>18031749313</v>
      </c>
      <c r="B521" s="160" t="s">
        <v>16</v>
      </c>
      <c r="C521" s="124"/>
      <c r="D521" s="124"/>
      <c r="E521" s="124"/>
      <c r="F521" s="124"/>
      <c r="G521" s="124"/>
      <c r="H521" s="124"/>
      <c r="I521" s="124"/>
      <c r="J521" s="124"/>
      <c r="K521" s="124"/>
      <c r="L521" s="124"/>
      <c r="M521" s="124"/>
      <c r="N521" s="124"/>
      <c r="O521" s="124"/>
      <c r="P521" s="161">
        <f t="shared" si="162"/>
        <v>1</v>
      </c>
      <c r="Q521" s="161">
        <f t="shared" si="163"/>
        <v>3</v>
      </c>
      <c r="R521" s="161"/>
      <c r="S521" s="161">
        <f t="shared" si="164"/>
        <v>1</v>
      </c>
      <c r="T521" s="161">
        <f t="shared" si="165"/>
        <v>0</v>
      </c>
      <c r="U521" s="161">
        <f t="shared" si="166"/>
        <v>0</v>
      </c>
      <c r="V521" s="162">
        <f t="shared" si="167"/>
        <v>0</v>
      </c>
      <c r="W521" s="162">
        <f t="shared" si="168"/>
        <v>0</v>
      </c>
      <c r="X521" s="162">
        <f t="shared" si="169"/>
        <v>0</v>
      </c>
      <c r="Y521" s="162">
        <f t="shared" si="170"/>
        <v>0</v>
      </c>
      <c r="Z521" s="162">
        <f t="shared" si="171"/>
        <v>0</v>
      </c>
      <c r="AA521" s="162">
        <f t="shared" si="172"/>
        <v>0</v>
      </c>
      <c r="AB521" s="162">
        <f t="shared" si="173"/>
        <v>0</v>
      </c>
      <c r="AC521" s="162">
        <f t="shared" si="174"/>
        <v>0</v>
      </c>
      <c r="AD521" s="162">
        <f t="shared" si="175"/>
        <v>0</v>
      </c>
      <c r="AE521" s="162">
        <f t="shared" si="176"/>
        <v>0</v>
      </c>
      <c r="AF521" s="163"/>
      <c r="AG521" s="161"/>
      <c r="AH521" s="161">
        <f t="shared" si="177"/>
        <v>1</v>
      </c>
      <c r="AI521" s="161">
        <f t="shared" si="178"/>
        <v>1</v>
      </c>
      <c r="AJ521" s="161" t="str">
        <f t="shared" si="179"/>
        <v>Correct</v>
      </c>
      <c r="AK521" s="124"/>
      <c r="AL521" s="164">
        <f>IFERROR(VLOOKUP(Table1[RespondentID],'All Data'!$A$3:$CO$999,87,FALSE),"unknown")</f>
        <v>0</v>
      </c>
      <c r="AM521" s="124"/>
      <c r="AN521" s="120">
        <f>IFERROR(VLOOKUP(Table1[RespondentID],'All Data'!$A$3:$CO$999,89,FALSE),"unknown")</f>
        <v>0</v>
      </c>
      <c r="AO521" s="120">
        <f>IFERROR(VLOOKUP(Table1[RespondentID],'All Data'!$A$3:$CO$999,90,FALSE),"unknown")</f>
        <v>0</v>
      </c>
      <c r="AP521" s="120">
        <f>IFERROR(VLOOKUP(Table1[RespondentID],'All Data'!$A$3:$CO$999,91,FALSE),"unknown")</f>
        <v>0</v>
      </c>
      <c r="AQ521" s="120" t="str">
        <f>IFERROR(VLOOKUP(Table1[RespondentID],'All Data'!$A$3:$CO$999,92,FALSE),"unknown")</f>
        <v>Hispanic or Latino</v>
      </c>
      <c r="AR521" s="120" t="str">
        <f>IFERROR(VLOOKUP(Table1[RespondentID],'All Data'!$A$3:$CO$999,93,FALSE),"unknown")</f>
        <v>Spanish</v>
      </c>
      <c r="AS521" s="120" t="str">
        <f>IFERROR(VLOOKUP(Table1[RespondentID],'All Data'!$A$3:$CW$999,94,FALSE),"unknown")</f>
        <v>$20,000 to $34,999</v>
      </c>
      <c r="AT521" s="120" t="str">
        <f>IFERROR(VLOOKUP(Table1[RespondentID],'All Data'!$A$3:$CW$999,95,FALSE),"unknown")</f>
        <v>Some high school</v>
      </c>
      <c r="AU521" s="120">
        <f>IFERROR(VLOOKUP(Table1[RespondentID],'All Data'!$A$3:$CW$999,96,FALSE),"unknown")</f>
        <v>0</v>
      </c>
      <c r="AV521" s="120" t="str">
        <f>IFERROR(VLOOKUP(Table1[RespondentID],'All Data'!$A$3:$CW$999,97,FALSE),"unknown")</f>
        <v>No</v>
      </c>
      <c r="AW521" s="120" t="str">
        <f>IFERROR(VLOOKUP(Table1[RespondentID],'All Data'!$A$3:$CW$999,98,FALSE),"unknown")</f>
        <v>No Insurance</v>
      </c>
      <c r="AX521" s="120" t="str">
        <f>IFERROR(VLOOKUP(Table1[RespondentID],'All Data'!$A$3:$CW$999,99,FALSE),"unknown")</f>
        <v>Yes</v>
      </c>
    </row>
    <row r="522" spans="1:50">
      <c r="A522" s="159">
        <v>18031746891</v>
      </c>
      <c r="B522" s="160"/>
      <c r="C522" s="124"/>
      <c r="D522" s="124" t="s">
        <v>18</v>
      </c>
      <c r="E522" s="124"/>
      <c r="F522" s="124"/>
      <c r="G522" s="124"/>
      <c r="H522" s="124"/>
      <c r="I522" s="124"/>
      <c r="J522" s="124" t="s">
        <v>24</v>
      </c>
      <c r="K522" s="124"/>
      <c r="L522" s="124"/>
      <c r="M522" s="124"/>
      <c r="N522" s="124" t="s">
        <v>28</v>
      </c>
      <c r="O522" s="124"/>
      <c r="P522" s="161">
        <f t="shared" si="162"/>
        <v>3</v>
      </c>
      <c r="Q522" s="161">
        <f t="shared" si="163"/>
        <v>1</v>
      </c>
      <c r="R522" s="161"/>
      <c r="S522" s="161">
        <f t="shared" si="164"/>
        <v>0</v>
      </c>
      <c r="T522" s="161">
        <f t="shared" si="165"/>
        <v>0</v>
      </c>
      <c r="U522" s="161">
        <f t="shared" si="166"/>
        <v>1</v>
      </c>
      <c r="V522" s="162">
        <f t="shared" si="167"/>
        <v>0</v>
      </c>
      <c r="W522" s="162">
        <f t="shared" si="168"/>
        <v>0</v>
      </c>
      <c r="X522" s="162">
        <f t="shared" si="169"/>
        <v>0</v>
      </c>
      <c r="Y522" s="162">
        <f t="shared" si="170"/>
        <v>0</v>
      </c>
      <c r="Z522" s="162">
        <f t="shared" si="171"/>
        <v>0</v>
      </c>
      <c r="AA522" s="162">
        <f t="shared" si="172"/>
        <v>1</v>
      </c>
      <c r="AB522" s="162">
        <f t="shared" si="173"/>
        <v>0</v>
      </c>
      <c r="AC522" s="162">
        <f t="shared" si="174"/>
        <v>0</v>
      </c>
      <c r="AD522" s="162">
        <f t="shared" si="175"/>
        <v>0</v>
      </c>
      <c r="AE522" s="162">
        <f t="shared" si="176"/>
        <v>1</v>
      </c>
      <c r="AF522" s="163"/>
      <c r="AG522" s="161"/>
      <c r="AH522" s="161">
        <f t="shared" si="177"/>
        <v>3</v>
      </c>
      <c r="AI522" s="161">
        <f t="shared" si="178"/>
        <v>3</v>
      </c>
      <c r="AJ522" s="161" t="str">
        <f t="shared" si="179"/>
        <v>Correct</v>
      </c>
      <c r="AK522" s="124"/>
      <c r="AL522" s="164" t="str">
        <f>IFERROR(VLOOKUP(Table1[RespondentID],'All Data'!$A$3:$CO$999,87,FALSE),"unknown")</f>
        <v>Woman</v>
      </c>
      <c r="AM522" s="124"/>
      <c r="AN522" s="120" t="str">
        <f>IFERROR(VLOOKUP(Table1[RespondentID],'All Data'!$A$3:$CO$999,89,FALSE),"unknown")</f>
        <v>Nassau</v>
      </c>
      <c r="AO522" s="120" t="str">
        <f>IFERROR(VLOOKUP(Table1[RespondentID],'All Data'!$A$3:$CO$999,90,FALSE),"unknown")</f>
        <v>Freeport, 11520</v>
      </c>
      <c r="AP522" s="120">
        <f>IFERROR(VLOOKUP(Table1[RespondentID],'All Data'!$A$3:$CO$999,91,FALSE),"unknown")</f>
        <v>0</v>
      </c>
      <c r="AQ522" s="120" t="str">
        <f>IFERROR(VLOOKUP(Table1[RespondentID],'All Data'!$A$3:$CO$999,92,FALSE),"unknown")</f>
        <v>Hispanic or Latino</v>
      </c>
      <c r="AR522" s="120" t="str">
        <f>IFERROR(VLOOKUP(Table1[RespondentID],'All Data'!$A$3:$CO$999,93,FALSE),"unknown")</f>
        <v>Spanish</v>
      </c>
      <c r="AS522" s="120">
        <f>IFERROR(VLOOKUP(Table1[RespondentID],'All Data'!$A$3:$CW$999,94,FALSE),"unknown")</f>
        <v>0</v>
      </c>
      <c r="AT522" s="120">
        <f>IFERROR(VLOOKUP(Table1[RespondentID],'All Data'!$A$3:$CW$999,95,FALSE),"unknown")</f>
        <v>0</v>
      </c>
      <c r="AU522" s="120" t="str">
        <f>IFERROR(VLOOKUP(Table1[RespondentID],'All Data'!$A$3:$CW$999,96,FALSE),"unknown")</f>
        <v>Retired</v>
      </c>
      <c r="AV522" s="120" t="str">
        <f>IFERROR(VLOOKUP(Table1[RespondentID],'All Data'!$A$3:$CW$999,97,FALSE),"unknown")</f>
        <v>Yes</v>
      </c>
      <c r="AW522" s="120" t="str">
        <f>IFERROR(VLOOKUP(Table1[RespondentID],'All Data'!$A$3:$CW$999,98,FALSE),"unknown")</f>
        <v>Medicaid,Medicare</v>
      </c>
      <c r="AX522" s="120" t="str">
        <f>IFERROR(VLOOKUP(Table1[RespondentID],'All Data'!$A$3:$CW$999,99,FALSE),"unknown")</f>
        <v>Yes</v>
      </c>
    </row>
    <row r="523" spans="1:50">
      <c r="A523" s="159">
        <v>18031746567</v>
      </c>
      <c r="B523" s="160"/>
      <c r="C523" s="124"/>
      <c r="D523" s="124" t="s">
        <v>18</v>
      </c>
      <c r="E523" s="124"/>
      <c r="F523" s="124"/>
      <c r="G523" s="124"/>
      <c r="H523" s="124"/>
      <c r="I523" s="124"/>
      <c r="J523" s="124" t="s">
        <v>24</v>
      </c>
      <c r="K523" s="124"/>
      <c r="L523" s="124"/>
      <c r="M523" s="124"/>
      <c r="N523" s="124" t="s">
        <v>28</v>
      </c>
      <c r="O523" s="124"/>
      <c r="P523" s="161">
        <f t="shared" si="162"/>
        <v>3</v>
      </c>
      <c r="Q523" s="161">
        <f t="shared" si="163"/>
        <v>1</v>
      </c>
      <c r="R523" s="161"/>
      <c r="S523" s="161">
        <f t="shared" si="164"/>
        <v>0</v>
      </c>
      <c r="T523" s="161">
        <f t="shared" si="165"/>
        <v>0</v>
      </c>
      <c r="U523" s="161">
        <f t="shared" si="166"/>
        <v>1</v>
      </c>
      <c r="V523" s="162">
        <f t="shared" si="167"/>
        <v>0</v>
      </c>
      <c r="W523" s="162">
        <f t="shared" si="168"/>
        <v>0</v>
      </c>
      <c r="X523" s="162">
        <f t="shared" si="169"/>
        <v>0</v>
      </c>
      <c r="Y523" s="162">
        <f t="shared" si="170"/>
        <v>0</v>
      </c>
      <c r="Z523" s="162">
        <f t="shared" si="171"/>
        <v>0</v>
      </c>
      <c r="AA523" s="162">
        <f t="shared" si="172"/>
        <v>1</v>
      </c>
      <c r="AB523" s="162">
        <f t="shared" si="173"/>
        <v>0</v>
      </c>
      <c r="AC523" s="162">
        <f t="shared" si="174"/>
        <v>0</v>
      </c>
      <c r="AD523" s="162">
        <f t="shared" si="175"/>
        <v>0</v>
      </c>
      <c r="AE523" s="162">
        <f t="shared" si="176"/>
        <v>1</v>
      </c>
      <c r="AF523" s="163"/>
      <c r="AG523" s="161"/>
      <c r="AH523" s="161">
        <f t="shared" si="177"/>
        <v>3</v>
      </c>
      <c r="AI523" s="161">
        <f t="shared" si="178"/>
        <v>3</v>
      </c>
      <c r="AJ523" s="161" t="str">
        <f t="shared" si="179"/>
        <v>Correct</v>
      </c>
      <c r="AK523" s="124"/>
      <c r="AL523" s="164" t="str">
        <f>IFERROR(VLOOKUP(Table1[RespondentID],'All Data'!$A$3:$CO$999,87,FALSE),"unknown")</f>
        <v>Woman</v>
      </c>
      <c r="AM523" s="124"/>
      <c r="AN523" s="120" t="str">
        <f>IFERROR(VLOOKUP(Table1[RespondentID],'All Data'!$A$3:$CO$999,89,FALSE),"unknown")</f>
        <v>Nassau</v>
      </c>
      <c r="AO523" s="120" t="str">
        <f>IFERROR(VLOOKUP(Table1[RespondentID],'All Data'!$A$3:$CO$999,90,FALSE),"unknown")</f>
        <v>Freeport, 11520</v>
      </c>
      <c r="AP523" s="120">
        <f>IFERROR(VLOOKUP(Table1[RespondentID],'All Data'!$A$3:$CO$999,91,FALSE),"unknown")</f>
        <v>0</v>
      </c>
      <c r="AQ523" s="120">
        <f>IFERROR(VLOOKUP(Table1[RespondentID],'All Data'!$A$3:$CO$999,92,FALSE),"unknown")</f>
        <v>0</v>
      </c>
      <c r="AR523" s="120">
        <f>IFERROR(VLOOKUP(Table1[RespondentID],'All Data'!$A$3:$CO$999,93,FALSE),"unknown")</f>
        <v>0</v>
      </c>
      <c r="AS523" s="120">
        <f>IFERROR(VLOOKUP(Table1[RespondentID],'All Data'!$A$3:$CW$999,94,FALSE),"unknown")</f>
        <v>0</v>
      </c>
      <c r="AT523" s="120">
        <f>IFERROR(VLOOKUP(Table1[RespondentID],'All Data'!$A$3:$CW$999,95,FALSE),"unknown")</f>
        <v>0</v>
      </c>
      <c r="AU523" s="120">
        <f>IFERROR(VLOOKUP(Table1[RespondentID],'All Data'!$A$3:$CW$999,96,FALSE),"unknown")</f>
        <v>0</v>
      </c>
      <c r="AV523" s="120">
        <f>IFERROR(VLOOKUP(Table1[RespondentID],'All Data'!$A$3:$CW$999,97,FALSE),"unknown")</f>
        <v>0</v>
      </c>
      <c r="AW523" s="120">
        <f>IFERROR(VLOOKUP(Table1[RespondentID],'All Data'!$A$3:$CW$999,98,FALSE),"unknown")</f>
        <v>0</v>
      </c>
      <c r="AX523" s="120">
        <f>IFERROR(VLOOKUP(Table1[RespondentID],'All Data'!$A$3:$CW$999,99,FALSE),"unknown")</f>
        <v>0</v>
      </c>
    </row>
    <row r="524" spans="1:50">
      <c r="A524" s="159">
        <v>18031743313</v>
      </c>
      <c r="B524" s="160"/>
      <c r="C524" s="124"/>
      <c r="D524" s="124" t="s">
        <v>18</v>
      </c>
      <c r="E524" s="124"/>
      <c r="F524" s="124"/>
      <c r="G524" s="124"/>
      <c r="H524" s="124"/>
      <c r="I524" s="124"/>
      <c r="J524" s="124" t="s">
        <v>24</v>
      </c>
      <c r="K524" s="124"/>
      <c r="L524" s="124"/>
      <c r="M524" s="124"/>
      <c r="N524" s="124" t="s">
        <v>28</v>
      </c>
      <c r="O524" s="124"/>
      <c r="P524" s="161">
        <f t="shared" si="162"/>
        <v>3</v>
      </c>
      <c r="Q524" s="161">
        <f t="shared" si="163"/>
        <v>1</v>
      </c>
      <c r="R524" s="161"/>
      <c r="S524" s="161">
        <f t="shared" si="164"/>
        <v>0</v>
      </c>
      <c r="T524" s="161">
        <f t="shared" si="165"/>
        <v>0</v>
      </c>
      <c r="U524" s="161">
        <f t="shared" si="166"/>
        <v>1</v>
      </c>
      <c r="V524" s="162">
        <f t="shared" si="167"/>
        <v>0</v>
      </c>
      <c r="W524" s="162">
        <f t="shared" si="168"/>
        <v>0</v>
      </c>
      <c r="X524" s="162">
        <f t="shared" si="169"/>
        <v>0</v>
      </c>
      <c r="Y524" s="162">
        <f t="shared" si="170"/>
        <v>0</v>
      </c>
      <c r="Z524" s="162">
        <f t="shared" si="171"/>
        <v>0</v>
      </c>
      <c r="AA524" s="162">
        <f t="shared" si="172"/>
        <v>1</v>
      </c>
      <c r="AB524" s="162">
        <f t="shared" si="173"/>
        <v>0</v>
      </c>
      <c r="AC524" s="162">
        <f t="shared" si="174"/>
        <v>0</v>
      </c>
      <c r="AD524" s="162">
        <f t="shared" si="175"/>
        <v>0</v>
      </c>
      <c r="AE524" s="162">
        <f t="shared" si="176"/>
        <v>1</v>
      </c>
      <c r="AF524" s="163"/>
      <c r="AG524" s="161"/>
      <c r="AH524" s="161">
        <f t="shared" si="177"/>
        <v>3</v>
      </c>
      <c r="AI524" s="161">
        <f t="shared" si="178"/>
        <v>3</v>
      </c>
      <c r="AJ524" s="161" t="str">
        <f t="shared" si="179"/>
        <v>Correct</v>
      </c>
      <c r="AK524" s="124"/>
      <c r="AL524" s="164" t="str">
        <f>IFERROR(VLOOKUP(Table1[RespondentID],'All Data'!$A$3:$CO$999,87,FALSE),"unknown")</f>
        <v>Woman</v>
      </c>
      <c r="AM524" s="124"/>
      <c r="AN524" s="120" t="str">
        <f>IFERROR(VLOOKUP(Table1[RespondentID],'All Data'!$A$3:$CO$999,89,FALSE),"unknown")</f>
        <v>Nassau</v>
      </c>
      <c r="AO524" s="120" t="str">
        <f>IFERROR(VLOOKUP(Table1[RespondentID],'All Data'!$A$3:$CO$999,90,FALSE),"unknown")</f>
        <v>Freeport, 11520</v>
      </c>
      <c r="AP524" s="120">
        <f>IFERROR(VLOOKUP(Table1[RespondentID],'All Data'!$A$3:$CO$999,91,FALSE),"unknown")</f>
        <v>0</v>
      </c>
      <c r="AQ524" s="120">
        <f>IFERROR(VLOOKUP(Table1[RespondentID],'All Data'!$A$3:$CO$999,92,FALSE),"unknown")</f>
        <v>0</v>
      </c>
      <c r="AR524" s="120">
        <f>IFERROR(VLOOKUP(Table1[RespondentID],'All Data'!$A$3:$CO$999,93,FALSE),"unknown")</f>
        <v>0</v>
      </c>
      <c r="AS524" s="120">
        <f>IFERROR(VLOOKUP(Table1[RespondentID],'All Data'!$A$3:$CW$999,94,FALSE),"unknown")</f>
        <v>0</v>
      </c>
      <c r="AT524" s="120">
        <f>IFERROR(VLOOKUP(Table1[RespondentID],'All Data'!$A$3:$CW$999,95,FALSE),"unknown")</f>
        <v>0</v>
      </c>
      <c r="AU524" s="120">
        <f>IFERROR(VLOOKUP(Table1[RespondentID],'All Data'!$A$3:$CW$999,96,FALSE),"unknown")</f>
        <v>0</v>
      </c>
      <c r="AV524" s="120">
        <f>IFERROR(VLOOKUP(Table1[RespondentID],'All Data'!$A$3:$CW$999,97,FALSE),"unknown")</f>
        <v>0</v>
      </c>
      <c r="AW524" s="120">
        <f>IFERROR(VLOOKUP(Table1[RespondentID],'All Data'!$A$3:$CW$999,98,FALSE),"unknown")</f>
        <v>0</v>
      </c>
      <c r="AX524" s="120">
        <f>IFERROR(VLOOKUP(Table1[RespondentID],'All Data'!$A$3:$CW$999,99,FALSE),"unknown")</f>
        <v>0</v>
      </c>
    </row>
    <row r="525" spans="1:50">
      <c r="A525" s="159">
        <v>18031103447</v>
      </c>
      <c r="B525" s="160"/>
      <c r="C525" s="124"/>
      <c r="D525" s="124"/>
      <c r="E525" s="124"/>
      <c r="F525" s="124" t="s">
        <v>20</v>
      </c>
      <c r="G525" s="124"/>
      <c r="H525" s="124"/>
      <c r="I525" s="124"/>
      <c r="J525" s="124"/>
      <c r="K525" s="124"/>
      <c r="L525" s="124"/>
      <c r="M525" s="124"/>
      <c r="N525" s="124"/>
      <c r="O525" s="124"/>
      <c r="P525" s="161">
        <f t="shared" si="162"/>
        <v>1</v>
      </c>
      <c r="Q525" s="161">
        <f t="shared" si="163"/>
        <v>3</v>
      </c>
      <c r="R525" s="161"/>
      <c r="S525" s="161">
        <f t="shared" si="164"/>
        <v>0</v>
      </c>
      <c r="T525" s="161">
        <f t="shared" si="165"/>
        <v>0</v>
      </c>
      <c r="U525" s="161">
        <f t="shared" si="166"/>
        <v>0</v>
      </c>
      <c r="V525" s="162">
        <f t="shared" si="167"/>
        <v>0</v>
      </c>
      <c r="W525" s="162">
        <f t="shared" si="168"/>
        <v>1</v>
      </c>
      <c r="X525" s="162">
        <f t="shared" si="169"/>
        <v>0</v>
      </c>
      <c r="Y525" s="162">
        <f t="shared" si="170"/>
        <v>0</v>
      </c>
      <c r="Z525" s="162">
        <f t="shared" si="171"/>
        <v>0</v>
      </c>
      <c r="AA525" s="162">
        <f t="shared" si="172"/>
        <v>0</v>
      </c>
      <c r="AB525" s="162">
        <f t="shared" si="173"/>
        <v>0</v>
      </c>
      <c r="AC525" s="162">
        <f t="shared" si="174"/>
        <v>0</v>
      </c>
      <c r="AD525" s="162">
        <f t="shared" si="175"/>
        <v>0</v>
      </c>
      <c r="AE525" s="162">
        <f t="shared" si="176"/>
        <v>0</v>
      </c>
      <c r="AF525" s="163"/>
      <c r="AG525" s="161"/>
      <c r="AH525" s="161">
        <f t="shared" si="177"/>
        <v>1</v>
      </c>
      <c r="AI525" s="161">
        <f t="shared" si="178"/>
        <v>1</v>
      </c>
      <c r="AJ525" s="161" t="str">
        <f t="shared" si="179"/>
        <v>Correct</v>
      </c>
      <c r="AK525" s="124"/>
      <c r="AL525" s="164">
        <f>IFERROR(VLOOKUP(Table1[RespondentID],'All Data'!$A$3:$CO$999,87,FALSE),"unknown")</f>
        <v>0</v>
      </c>
      <c r="AM525" s="124"/>
      <c r="AN525" s="120">
        <f>IFERROR(VLOOKUP(Table1[RespondentID],'All Data'!$A$3:$CO$999,89,FALSE),"unknown")</f>
        <v>0</v>
      </c>
      <c r="AO525" s="120">
        <f>IFERROR(VLOOKUP(Table1[RespondentID],'All Data'!$A$3:$CO$999,90,FALSE),"unknown")</f>
        <v>0</v>
      </c>
      <c r="AP525" s="120">
        <f>IFERROR(VLOOKUP(Table1[RespondentID],'All Data'!$A$3:$CO$999,91,FALSE),"unknown")</f>
        <v>0</v>
      </c>
      <c r="AQ525" s="120">
        <f>IFERROR(VLOOKUP(Table1[RespondentID],'All Data'!$A$3:$CO$999,92,FALSE),"unknown")</f>
        <v>0</v>
      </c>
      <c r="AR525" s="120">
        <f>IFERROR(VLOOKUP(Table1[RespondentID],'All Data'!$A$3:$CO$999,93,FALSE),"unknown")</f>
        <v>0</v>
      </c>
      <c r="AS525" s="120">
        <f>IFERROR(VLOOKUP(Table1[RespondentID],'All Data'!$A$3:$CW$999,94,FALSE),"unknown")</f>
        <v>0</v>
      </c>
      <c r="AT525" s="120">
        <f>IFERROR(VLOOKUP(Table1[RespondentID],'All Data'!$A$3:$CW$999,95,FALSE),"unknown")</f>
        <v>0</v>
      </c>
      <c r="AU525" s="120">
        <f>IFERROR(VLOOKUP(Table1[RespondentID],'All Data'!$A$3:$CW$999,96,FALSE),"unknown")</f>
        <v>0</v>
      </c>
      <c r="AV525" s="120">
        <f>IFERROR(VLOOKUP(Table1[RespondentID],'All Data'!$A$3:$CW$999,97,FALSE),"unknown")</f>
        <v>0</v>
      </c>
      <c r="AW525" s="120">
        <f>IFERROR(VLOOKUP(Table1[RespondentID],'All Data'!$A$3:$CW$999,98,FALSE),"unknown")</f>
        <v>0</v>
      </c>
      <c r="AX525" s="120">
        <f>IFERROR(VLOOKUP(Table1[RespondentID],'All Data'!$A$3:$CW$999,99,FALSE),"unknown")</f>
        <v>0</v>
      </c>
    </row>
    <row r="526" spans="1:50">
      <c r="A526" s="159">
        <v>18030570632</v>
      </c>
      <c r="B526" s="160"/>
      <c r="C526" s="124" t="s">
        <v>17</v>
      </c>
      <c r="D526" s="124" t="s">
        <v>18</v>
      </c>
      <c r="E526" s="124"/>
      <c r="F526" s="124"/>
      <c r="G526" s="124"/>
      <c r="H526" s="124"/>
      <c r="I526" s="124"/>
      <c r="J526" s="124" t="s">
        <v>24</v>
      </c>
      <c r="K526" s="124"/>
      <c r="L526" s="124"/>
      <c r="M526" s="124" t="s">
        <v>27</v>
      </c>
      <c r="N526" s="124"/>
      <c r="O526" s="124"/>
      <c r="P526" s="161">
        <f t="shared" si="162"/>
        <v>4</v>
      </c>
      <c r="Q526" s="161">
        <f t="shared" ref="Q526:Q530" si="180">3/P526</f>
        <v>0.75</v>
      </c>
      <c r="R526" s="161"/>
      <c r="S526" s="161">
        <f t="shared" si="164"/>
        <v>0</v>
      </c>
      <c r="T526" s="161">
        <f t="shared" si="165"/>
        <v>0.75</v>
      </c>
      <c r="U526" s="161">
        <f t="shared" si="166"/>
        <v>0.75</v>
      </c>
      <c r="V526" s="162">
        <f t="shared" si="167"/>
        <v>0</v>
      </c>
      <c r="W526" s="162">
        <f t="shared" si="168"/>
        <v>0</v>
      </c>
      <c r="X526" s="162">
        <f t="shared" si="169"/>
        <v>0</v>
      </c>
      <c r="Y526" s="162">
        <f t="shared" si="170"/>
        <v>0</v>
      </c>
      <c r="Z526" s="162">
        <f t="shared" si="171"/>
        <v>0</v>
      </c>
      <c r="AA526" s="162">
        <f t="shared" si="172"/>
        <v>0.75</v>
      </c>
      <c r="AB526" s="162">
        <f t="shared" si="173"/>
        <v>0</v>
      </c>
      <c r="AC526" s="162">
        <f t="shared" si="174"/>
        <v>0</v>
      </c>
      <c r="AD526" s="162">
        <f t="shared" si="175"/>
        <v>0.75</v>
      </c>
      <c r="AE526" s="162">
        <f t="shared" si="176"/>
        <v>0</v>
      </c>
      <c r="AF526" s="163"/>
      <c r="AG526" s="161"/>
      <c r="AH526" s="161">
        <f t="shared" si="177"/>
        <v>3</v>
      </c>
      <c r="AI526" s="161">
        <f t="shared" si="178"/>
        <v>4</v>
      </c>
      <c r="AJ526" s="161" t="str">
        <f t="shared" ref="AJ526:AJ530" si="181">IF(AH526=AI526,"Correct",IF(AH526=3,"Correct","Wrong"))</f>
        <v>Correct</v>
      </c>
      <c r="AK526" s="124"/>
      <c r="AL526" s="164" t="str">
        <f>IFERROR(VLOOKUP(Table1[RespondentID],'All Data'!$A$3:$CO$999,87,FALSE),"unknown")</f>
        <v>Man</v>
      </c>
      <c r="AM526" s="124"/>
      <c r="AN526" s="120">
        <f>IFERROR(VLOOKUP(Table1[RespondentID],'All Data'!$A$3:$CO$999,89,FALSE),"unknown")</f>
        <v>0</v>
      </c>
      <c r="AO526" s="120" t="str">
        <f>IFERROR(VLOOKUP(Table1[RespondentID],'All Data'!$A$3:$CO$999,90,FALSE),"unknown")</f>
        <v>Hempstead, 11549</v>
      </c>
      <c r="AP526" s="120" t="str">
        <f>IFERROR(VLOOKUP(Table1[RespondentID],'All Data'!$A$3:$CO$999,91,FALSE),"unknown")</f>
        <v>Black/African American</v>
      </c>
      <c r="AQ526" s="120">
        <f>IFERROR(VLOOKUP(Table1[RespondentID],'All Data'!$A$3:$CO$999,92,FALSE),"unknown")</f>
        <v>0</v>
      </c>
      <c r="AR526" s="120" t="str">
        <f>IFERROR(VLOOKUP(Table1[RespondentID],'All Data'!$A$3:$CO$999,93,FALSE),"unknown")</f>
        <v>Farsi,Polish</v>
      </c>
      <c r="AS526" s="120" t="str">
        <f>IFERROR(VLOOKUP(Table1[RespondentID],'All Data'!$A$3:$CW$999,94,FALSE),"unknown")</f>
        <v>$0-$19,999</v>
      </c>
      <c r="AT526" s="120" t="str">
        <f>IFERROR(VLOOKUP(Table1[RespondentID],'All Data'!$A$3:$CW$999,95,FALSE),"unknown")</f>
        <v>Graduate school</v>
      </c>
      <c r="AU526" s="120" t="str">
        <f>IFERROR(VLOOKUP(Table1[RespondentID],'All Data'!$A$3:$CW$999,96,FALSE),"unknown")</f>
        <v>Retired</v>
      </c>
      <c r="AV526" s="120" t="str">
        <f>IFERROR(VLOOKUP(Table1[RespondentID],'All Data'!$A$3:$CW$999,97,FALSE),"unknown")</f>
        <v>No, but I did in the past</v>
      </c>
      <c r="AW526" s="120">
        <f>IFERROR(VLOOKUP(Table1[RespondentID],'All Data'!$A$3:$CW$999,98,FALSE),"unknown")</f>
        <v>0</v>
      </c>
      <c r="AX526" s="120" t="str">
        <f>IFERROR(VLOOKUP(Table1[RespondentID],'All Data'!$A$3:$CW$999,99,FALSE),"unknown")</f>
        <v>Yes</v>
      </c>
    </row>
    <row r="527" spans="1:50">
      <c r="A527" s="159">
        <v>18030570608</v>
      </c>
      <c r="B527" s="160"/>
      <c r="C527" s="124" t="s">
        <v>17</v>
      </c>
      <c r="D527" s="124" t="s">
        <v>18</v>
      </c>
      <c r="E527" s="124"/>
      <c r="F527" s="124"/>
      <c r="G527" s="124"/>
      <c r="H527" s="124"/>
      <c r="I527" s="124"/>
      <c r="J527" s="124" t="s">
        <v>24</v>
      </c>
      <c r="K527" s="124"/>
      <c r="L527" s="124"/>
      <c r="M527" s="124"/>
      <c r="N527" s="124"/>
      <c r="O527" s="124"/>
      <c r="P527" s="161">
        <f t="shared" si="162"/>
        <v>3</v>
      </c>
      <c r="Q527" s="161">
        <f t="shared" si="180"/>
        <v>1</v>
      </c>
      <c r="R527" s="161"/>
      <c r="S527" s="161">
        <f t="shared" si="164"/>
        <v>0</v>
      </c>
      <c r="T527" s="161">
        <f t="shared" si="165"/>
        <v>1</v>
      </c>
      <c r="U527" s="161">
        <f t="shared" si="166"/>
        <v>1</v>
      </c>
      <c r="V527" s="162">
        <f t="shared" si="167"/>
        <v>0</v>
      </c>
      <c r="W527" s="162">
        <f t="shared" si="168"/>
        <v>0</v>
      </c>
      <c r="X527" s="162">
        <f t="shared" si="169"/>
        <v>0</v>
      </c>
      <c r="Y527" s="162">
        <f t="shared" si="170"/>
        <v>0</v>
      </c>
      <c r="Z527" s="162">
        <f t="shared" si="171"/>
        <v>0</v>
      </c>
      <c r="AA527" s="162">
        <f t="shared" si="172"/>
        <v>1</v>
      </c>
      <c r="AB527" s="162">
        <f t="shared" si="173"/>
        <v>0</v>
      </c>
      <c r="AC527" s="162">
        <f t="shared" si="174"/>
        <v>0</v>
      </c>
      <c r="AD527" s="162">
        <f t="shared" si="175"/>
        <v>0</v>
      </c>
      <c r="AE527" s="162">
        <f t="shared" si="176"/>
        <v>0</v>
      </c>
      <c r="AF527" s="163"/>
      <c r="AG527" s="161"/>
      <c r="AH527" s="161">
        <f t="shared" si="177"/>
        <v>3</v>
      </c>
      <c r="AI527" s="161">
        <f t="shared" si="178"/>
        <v>3</v>
      </c>
      <c r="AJ527" s="161" t="str">
        <f t="shared" si="181"/>
        <v>Correct</v>
      </c>
      <c r="AK527" s="124"/>
      <c r="AL527" s="164" t="str">
        <f>IFERROR(VLOOKUP(Table1[RespondentID],'All Data'!$A$3:$CO$999,87,FALSE),"unknown")</f>
        <v>Man</v>
      </c>
      <c r="AM527" s="124"/>
      <c r="AN527" s="120" t="str">
        <f>IFERROR(VLOOKUP(Table1[RespondentID],'All Data'!$A$3:$CO$999,89,FALSE),"unknown")</f>
        <v>Nassau</v>
      </c>
      <c r="AO527" s="120">
        <f>IFERROR(VLOOKUP(Table1[RespondentID],'All Data'!$A$3:$CO$999,90,FALSE),"unknown")</f>
        <v>0</v>
      </c>
      <c r="AP527" s="120">
        <f>IFERROR(VLOOKUP(Table1[RespondentID],'All Data'!$A$3:$CO$999,91,FALSE),"unknown")</f>
        <v>0</v>
      </c>
      <c r="AQ527" s="120">
        <f>IFERROR(VLOOKUP(Table1[RespondentID],'All Data'!$A$3:$CO$999,92,FALSE),"unknown")</f>
        <v>0</v>
      </c>
      <c r="AR527" s="120">
        <f>IFERROR(VLOOKUP(Table1[RespondentID],'All Data'!$A$3:$CO$999,93,FALSE),"unknown")</f>
        <v>0</v>
      </c>
      <c r="AS527" s="120">
        <f>IFERROR(VLOOKUP(Table1[RespondentID],'All Data'!$A$3:$CW$999,94,FALSE),"unknown")</f>
        <v>0</v>
      </c>
      <c r="AT527" s="120">
        <f>IFERROR(VLOOKUP(Table1[RespondentID],'All Data'!$A$3:$CW$999,95,FALSE),"unknown")</f>
        <v>0</v>
      </c>
      <c r="AU527" s="120">
        <f>IFERROR(VLOOKUP(Table1[RespondentID],'All Data'!$A$3:$CW$999,96,FALSE),"unknown")</f>
        <v>0</v>
      </c>
      <c r="AV527" s="120">
        <f>IFERROR(VLOOKUP(Table1[RespondentID],'All Data'!$A$3:$CW$999,97,FALSE),"unknown")</f>
        <v>0</v>
      </c>
      <c r="AW527" s="120">
        <f>IFERROR(VLOOKUP(Table1[RespondentID],'All Data'!$A$3:$CW$999,98,FALSE),"unknown")</f>
        <v>0</v>
      </c>
      <c r="AX527" s="120">
        <f>IFERROR(VLOOKUP(Table1[RespondentID],'All Data'!$A$3:$CW$999,99,FALSE),"unknown")</f>
        <v>0</v>
      </c>
    </row>
    <row r="528" spans="1:50">
      <c r="A528" s="159">
        <v>18030569067</v>
      </c>
      <c r="B528" s="160"/>
      <c r="C528" s="124"/>
      <c r="D528" s="124" t="s">
        <v>18</v>
      </c>
      <c r="E528" s="124"/>
      <c r="F528" s="124"/>
      <c r="G528" s="124"/>
      <c r="H528" s="124"/>
      <c r="I528" s="124"/>
      <c r="J528" s="124" t="s">
        <v>24</v>
      </c>
      <c r="K528" s="124"/>
      <c r="L528" s="124" t="s">
        <v>26</v>
      </c>
      <c r="M528" s="124"/>
      <c r="N528" s="124"/>
      <c r="O528" s="124"/>
      <c r="P528" s="161">
        <f t="shared" si="162"/>
        <v>3</v>
      </c>
      <c r="Q528" s="161">
        <f t="shared" si="180"/>
        <v>1</v>
      </c>
      <c r="R528" s="161"/>
      <c r="S528" s="161">
        <f t="shared" si="164"/>
        <v>0</v>
      </c>
      <c r="T528" s="161">
        <f t="shared" si="165"/>
        <v>0</v>
      </c>
      <c r="U528" s="161">
        <f t="shared" si="166"/>
        <v>1</v>
      </c>
      <c r="V528" s="162">
        <f t="shared" si="167"/>
        <v>0</v>
      </c>
      <c r="W528" s="162">
        <f t="shared" si="168"/>
        <v>0</v>
      </c>
      <c r="X528" s="162">
        <f t="shared" si="169"/>
        <v>0</v>
      </c>
      <c r="Y528" s="162">
        <f t="shared" si="170"/>
        <v>0</v>
      </c>
      <c r="Z528" s="162">
        <f t="shared" si="171"/>
        <v>0</v>
      </c>
      <c r="AA528" s="162">
        <f t="shared" si="172"/>
        <v>1</v>
      </c>
      <c r="AB528" s="162">
        <f t="shared" si="173"/>
        <v>0</v>
      </c>
      <c r="AC528" s="162">
        <f t="shared" si="174"/>
        <v>1</v>
      </c>
      <c r="AD528" s="162">
        <f t="shared" si="175"/>
        <v>0</v>
      </c>
      <c r="AE528" s="162">
        <f t="shared" si="176"/>
        <v>0</v>
      </c>
      <c r="AF528" s="163"/>
      <c r="AG528" s="161"/>
      <c r="AH528" s="161">
        <f t="shared" si="177"/>
        <v>3</v>
      </c>
      <c r="AI528" s="161">
        <f t="shared" si="178"/>
        <v>3</v>
      </c>
      <c r="AJ528" s="161" t="str">
        <f t="shared" si="181"/>
        <v>Correct</v>
      </c>
      <c r="AK528" s="124"/>
      <c r="AL528" s="164">
        <f>IFERROR(VLOOKUP(Table1[RespondentID],'All Data'!$A$3:$CO$999,87,FALSE),"unknown")</f>
        <v>0</v>
      </c>
      <c r="AM528" s="124"/>
      <c r="AN528" s="120">
        <f>IFERROR(VLOOKUP(Table1[RespondentID],'All Data'!$A$3:$CO$999,89,FALSE),"unknown")</f>
        <v>0</v>
      </c>
      <c r="AO528" s="120">
        <f>IFERROR(VLOOKUP(Table1[RespondentID],'All Data'!$A$3:$CO$999,90,FALSE),"unknown")</f>
        <v>0</v>
      </c>
      <c r="AP528" s="120">
        <f>IFERROR(VLOOKUP(Table1[RespondentID],'All Data'!$A$3:$CO$999,91,FALSE),"unknown")</f>
        <v>0</v>
      </c>
      <c r="AQ528" s="120">
        <f>IFERROR(VLOOKUP(Table1[RespondentID],'All Data'!$A$3:$CO$999,92,FALSE),"unknown")</f>
        <v>0</v>
      </c>
      <c r="AR528" s="120">
        <f>IFERROR(VLOOKUP(Table1[RespondentID],'All Data'!$A$3:$CO$999,93,FALSE),"unknown")</f>
        <v>0</v>
      </c>
      <c r="AS528" s="120">
        <f>IFERROR(VLOOKUP(Table1[RespondentID],'All Data'!$A$3:$CW$999,94,FALSE),"unknown")</f>
        <v>0</v>
      </c>
      <c r="AT528" s="120">
        <f>IFERROR(VLOOKUP(Table1[RespondentID],'All Data'!$A$3:$CW$999,95,FALSE),"unknown")</f>
        <v>0</v>
      </c>
      <c r="AU528" s="120">
        <f>IFERROR(VLOOKUP(Table1[RespondentID],'All Data'!$A$3:$CW$999,96,FALSE),"unknown")</f>
        <v>0</v>
      </c>
      <c r="AV528" s="120">
        <f>IFERROR(VLOOKUP(Table1[RespondentID],'All Data'!$A$3:$CW$999,97,FALSE),"unknown")</f>
        <v>0</v>
      </c>
      <c r="AW528" s="120">
        <f>IFERROR(VLOOKUP(Table1[RespondentID],'All Data'!$A$3:$CW$999,98,FALSE),"unknown")</f>
        <v>0</v>
      </c>
      <c r="AX528" s="120">
        <f>IFERROR(VLOOKUP(Table1[RespondentID],'All Data'!$A$3:$CW$999,99,FALSE),"unknown")</f>
        <v>0</v>
      </c>
    </row>
    <row r="529" spans="1:50">
      <c r="A529" s="159">
        <v>18030545755</v>
      </c>
      <c r="B529" s="160"/>
      <c r="C529" s="124"/>
      <c r="D529" s="124"/>
      <c r="E529" s="124"/>
      <c r="F529" s="124"/>
      <c r="G529" s="124"/>
      <c r="H529" s="124"/>
      <c r="I529" s="124"/>
      <c r="J529" s="124"/>
      <c r="K529" s="124"/>
      <c r="L529" s="124" t="s">
        <v>26</v>
      </c>
      <c r="M529" s="124"/>
      <c r="N529" s="124"/>
      <c r="O529" s="124"/>
      <c r="P529" s="161">
        <f t="shared" si="162"/>
        <v>1</v>
      </c>
      <c r="Q529" s="161">
        <f t="shared" si="180"/>
        <v>3</v>
      </c>
      <c r="R529" s="161"/>
      <c r="S529" s="161">
        <f t="shared" si="164"/>
        <v>0</v>
      </c>
      <c r="T529" s="161">
        <f t="shared" si="165"/>
        <v>0</v>
      </c>
      <c r="U529" s="161">
        <f t="shared" si="166"/>
        <v>0</v>
      </c>
      <c r="V529" s="162">
        <f t="shared" si="167"/>
        <v>0</v>
      </c>
      <c r="W529" s="162">
        <f t="shared" si="168"/>
        <v>0</v>
      </c>
      <c r="X529" s="162">
        <f t="shared" si="169"/>
        <v>0</v>
      </c>
      <c r="Y529" s="162">
        <f t="shared" si="170"/>
        <v>0</v>
      </c>
      <c r="Z529" s="162">
        <f t="shared" si="171"/>
        <v>0</v>
      </c>
      <c r="AA529" s="162">
        <f t="shared" si="172"/>
        <v>0</v>
      </c>
      <c r="AB529" s="162">
        <f t="shared" si="173"/>
        <v>0</v>
      </c>
      <c r="AC529" s="162">
        <f t="shared" si="174"/>
        <v>1</v>
      </c>
      <c r="AD529" s="162">
        <f t="shared" si="175"/>
        <v>0</v>
      </c>
      <c r="AE529" s="162">
        <f t="shared" si="176"/>
        <v>0</v>
      </c>
      <c r="AF529" s="163"/>
      <c r="AG529" s="161"/>
      <c r="AH529" s="161">
        <f t="shared" si="177"/>
        <v>1</v>
      </c>
      <c r="AI529" s="161">
        <f t="shared" si="178"/>
        <v>1</v>
      </c>
      <c r="AJ529" s="161" t="str">
        <f t="shared" si="181"/>
        <v>Correct</v>
      </c>
      <c r="AK529" s="124"/>
      <c r="AL529" s="164" t="str">
        <f>IFERROR(VLOOKUP(Table1[RespondentID],'All Data'!$A$3:$CO$999,87,FALSE),"unknown")</f>
        <v>Woman</v>
      </c>
      <c r="AM529" s="124"/>
      <c r="AN529" s="120" t="str">
        <f>IFERROR(VLOOKUP(Table1[RespondentID],'All Data'!$A$3:$CO$999,89,FALSE),"unknown")</f>
        <v>Nassau</v>
      </c>
      <c r="AO529" s="120">
        <f>IFERROR(VLOOKUP(Table1[RespondentID],'All Data'!$A$3:$CO$999,90,FALSE),"unknown")</f>
        <v>0</v>
      </c>
      <c r="AP529" s="120">
        <f>IFERROR(VLOOKUP(Table1[RespondentID],'All Data'!$A$3:$CO$999,91,FALSE),"unknown")</f>
        <v>0</v>
      </c>
      <c r="AQ529" s="120">
        <f>IFERROR(VLOOKUP(Table1[RespondentID],'All Data'!$A$3:$CO$999,92,FALSE),"unknown")</f>
        <v>0</v>
      </c>
      <c r="AR529" s="120">
        <f>IFERROR(VLOOKUP(Table1[RespondentID],'All Data'!$A$3:$CO$999,93,FALSE),"unknown")</f>
        <v>0</v>
      </c>
      <c r="AS529" s="120">
        <f>IFERROR(VLOOKUP(Table1[RespondentID],'All Data'!$A$3:$CW$999,94,FALSE),"unknown")</f>
        <v>0</v>
      </c>
      <c r="AT529" s="120">
        <f>IFERROR(VLOOKUP(Table1[RespondentID],'All Data'!$A$3:$CW$999,95,FALSE),"unknown")</f>
        <v>0</v>
      </c>
      <c r="AU529" s="120">
        <f>IFERROR(VLOOKUP(Table1[RespondentID],'All Data'!$A$3:$CW$999,96,FALSE),"unknown")</f>
        <v>0</v>
      </c>
      <c r="AV529" s="120">
        <f>IFERROR(VLOOKUP(Table1[RespondentID],'All Data'!$A$3:$CW$999,97,FALSE),"unknown")</f>
        <v>0</v>
      </c>
      <c r="AW529" s="120">
        <f>IFERROR(VLOOKUP(Table1[RespondentID],'All Data'!$A$3:$CW$999,98,FALSE),"unknown")</f>
        <v>0</v>
      </c>
      <c r="AX529" s="120">
        <f>IFERROR(VLOOKUP(Table1[RespondentID],'All Data'!$A$3:$CW$999,99,FALSE),"unknown")</f>
        <v>0</v>
      </c>
    </row>
    <row r="530" spans="1:50">
      <c r="A530" s="165">
        <v>18029414524</v>
      </c>
      <c r="B530" s="160"/>
      <c r="C530" s="130"/>
      <c r="D530" s="130"/>
      <c r="E530" s="130"/>
      <c r="F530" s="130"/>
      <c r="G530" s="130"/>
      <c r="H530" s="130"/>
      <c r="I530" s="130"/>
      <c r="J530" s="130"/>
      <c r="K530" s="130"/>
      <c r="L530" s="130"/>
      <c r="M530" s="130"/>
      <c r="N530" s="130"/>
      <c r="O530" s="130"/>
      <c r="P530" s="166">
        <f t="shared" si="162"/>
        <v>0</v>
      </c>
      <c r="Q530" s="166" t="e">
        <f t="shared" si="180"/>
        <v>#DIV/0!</v>
      </c>
      <c r="R530" s="166"/>
      <c r="S530" s="166">
        <f t="shared" si="164"/>
        <v>0</v>
      </c>
      <c r="T530" s="166">
        <f t="shared" si="165"/>
        <v>0</v>
      </c>
      <c r="U530" s="166">
        <f t="shared" si="166"/>
        <v>0</v>
      </c>
      <c r="V530" s="162">
        <f t="shared" si="167"/>
        <v>0</v>
      </c>
      <c r="W530" s="162">
        <f t="shared" si="168"/>
        <v>0</v>
      </c>
      <c r="X530" s="162">
        <f t="shared" si="169"/>
        <v>0</v>
      </c>
      <c r="Y530" s="162">
        <f t="shared" si="170"/>
        <v>0</v>
      </c>
      <c r="Z530" s="162">
        <f t="shared" si="171"/>
        <v>0</v>
      </c>
      <c r="AA530" s="162">
        <f t="shared" si="172"/>
        <v>0</v>
      </c>
      <c r="AB530" s="162">
        <f t="shared" si="173"/>
        <v>0</v>
      </c>
      <c r="AC530" s="162">
        <f t="shared" si="174"/>
        <v>0</v>
      </c>
      <c r="AD530" s="162">
        <f t="shared" si="175"/>
        <v>0</v>
      </c>
      <c r="AE530" s="162">
        <f t="shared" si="176"/>
        <v>0</v>
      </c>
      <c r="AF530" s="167"/>
      <c r="AG530" s="166"/>
      <c r="AH530" s="166">
        <f t="shared" si="177"/>
        <v>0</v>
      </c>
      <c r="AI530" s="166">
        <f t="shared" si="178"/>
        <v>0</v>
      </c>
      <c r="AJ530" s="166" t="str">
        <f t="shared" si="181"/>
        <v>Correct</v>
      </c>
      <c r="AK530" s="130"/>
      <c r="AL530" s="164">
        <f>IFERROR(VLOOKUP(Table1[RespondentID],'All Data'!$A$3:$CO$999,87,FALSE),"unknown")</f>
        <v>0</v>
      </c>
      <c r="AM530" s="130"/>
      <c r="AN530" s="120">
        <f>IFERROR(VLOOKUP(Table1[RespondentID],'All Data'!$A$3:$CO$999,89,FALSE),"unknown")</f>
        <v>0</v>
      </c>
      <c r="AO530" s="120" t="str">
        <f>IFERROR(VLOOKUP(Table1[RespondentID],'All Data'!$A$3:$CO$999,90,FALSE),"unknown")</f>
        <v>Floral Park, 11001</v>
      </c>
      <c r="AP530" s="120">
        <f>IFERROR(VLOOKUP(Table1[RespondentID],'All Data'!$A$3:$CO$999,91,FALSE),"unknown")</f>
        <v>0</v>
      </c>
      <c r="AQ530" s="120">
        <f>IFERROR(VLOOKUP(Table1[RespondentID],'All Data'!$A$3:$CO$999,92,FALSE),"unknown")</f>
        <v>0</v>
      </c>
      <c r="AR530" s="120">
        <f>IFERROR(VLOOKUP(Table1[RespondentID],'All Data'!$A$3:$CO$999,93,FALSE),"unknown")</f>
        <v>0</v>
      </c>
      <c r="AS530" s="120">
        <f>IFERROR(VLOOKUP(Table1[RespondentID],'All Data'!$A$3:$CW$999,94,FALSE),"unknown")</f>
        <v>0</v>
      </c>
      <c r="AT530" s="120">
        <f>IFERROR(VLOOKUP(Table1[RespondentID],'All Data'!$A$3:$CW$999,95,FALSE),"unknown")</f>
        <v>0</v>
      </c>
      <c r="AU530" s="120">
        <f>IFERROR(VLOOKUP(Table1[RespondentID],'All Data'!$A$3:$CW$999,96,FALSE),"unknown")</f>
        <v>0</v>
      </c>
      <c r="AV530" s="120">
        <f>IFERROR(VLOOKUP(Table1[RespondentID],'All Data'!$A$3:$CW$999,97,FALSE),"unknown")</f>
        <v>0</v>
      </c>
      <c r="AW530" s="120">
        <f>IFERROR(VLOOKUP(Table1[RespondentID],'All Data'!$A$3:$CW$999,98,FALSE),"unknown")</f>
        <v>0</v>
      </c>
      <c r="AX530" s="120">
        <f>IFERROR(VLOOKUP(Table1[RespondentID],'All Data'!$A$3:$CW$999,99,FALSE),"unknown")</f>
        <v>0</v>
      </c>
    </row>
  </sheetData>
  <conditionalFormatting sqref="AJ1 AJ430:AJ1048576">
    <cfRule type="containsText" dxfId="9" priority="5" stopIfTrue="1" operator="containsText" text="Wrong">
      <formula>NOT(ISERROR(SEARCH("Wrong",AJ1)))</formula>
    </cfRule>
    <cfRule type="containsText" dxfId="8" priority="6" stopIfTrue="1" operator="containsText" text="False">
      <formula>NOT(ISERROR(SEARCH("False",AJ1)))</formula>
    </cfRule>
  </conditionalFormatting>
  <conditionalFormatting sqref="AJ2:AJ428">
    <cfRule type="containsText" dxfId="7" priority="3" stopIfTrue="1" operator="containsText" text="Wrong">
      <formula>NOT(ISERROR(SEARCH("Wrong",AJ2)))</formula>
    </cfRule>
    <cfRule type="containsText" dxfId="6" priority="4" stopIfTrue="1" operator="containsText" text="False">
      <formula>NOT(ISERROR(SEARCH("False",AJ2)))</formula>
    </cfRule>
  </conditionalFormatting>
  <conditionalFormatting sqref="AJ429">
    <cfRule type="containsText" dxfId="5" priority="1" stopIfTrue="1" operator="containsText" text="Wrong">
      <formula>NOT(ISERROR(SEARCH("Wrong",AJ429)))</formula>
    </cfRule>
    <cfRule type="containsText" dxfId="4" priority="2" stopIfTrue="1" operator="containsText" text="False">
      <formula>NOT(ISERROR(SEARCH("False",AJ429)))</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30"/>
  <sheetViews>
    <sheetView workbookViewId="0"/>
  </sheetViews>
  <sheetFormatPr defaultRowHeight="14.5"/>
  <cols>
    <col min="1" max="1" width="11" style="5" customWidth="1"/>
    <col min="2" max="2" width="19.81640625" customWidth="1"/>
    <col min="3" max="3" width="7" customWidth="1"/>
    <col min="4" max="4" width="21.1796875" customWidth="1"/>
    <col min="5" max="5" width="6.54296875" customWidth="1"/>
    <col min="6" max="6" width="45.26953125" customWidth="1"/>
    <col min="7" max="7" width="27.7265625" customWidth="1"/>
    <col min="8" max="8" width="22.26953125" customWidth="1"/>
    <col min="9" max="9" width="26.26953125" customWidth="1"/>
    <col min="10" max="10" width="8.81640625" customWidth="1"/>
    <col min="11" max="11" width="31.54296875" customWidth="1"/>
    <col min="12" max="12" width="20.7265625" customWidth="1"/>
    <col min="13" max="13" width="21.54296875" customWidth="1"/>
    <col min="14" max="14" width="25" customWidth="1"/>
    <col min="15" max="15" width="11" customWidth="1"/>
    <col min="16" max="16" width="19.08984375" style="100" bestFit="1" customWidth="1"/>
    <col min="17" max="17" width="12" style="100" customWidth="1"/>
    <col min="18" max="18" width="11" style="100" customWidth="1"/>
    <col min="19" max="21" width="12" style="100" customWidth="1"/>
    <col min="22" max="22" width="12" style="110" customWidth="1"/>
    <col min="23" max="23" width="5" style="110" customWidth="1"/>
    <col min="24" max="31" width="12" style="110" customWidth="1"/>
    <col min="32" max="33" width="11" style="100" customWidth="1"/>
    <col min="34" max="34" width="2" style="100" customWidth="1"/>
    <col min="35" max="35" width="3" style="100" customWidth="1"/>
    <col min="36" max="36" width="7.453125" style="100" customWidth="1"/>
    <col min="37" max="37" width="11" customWidth="1"/>
    <col min="38" max="38" width="7.54296875" style="6" customWidth="1"/>
    <col min="39" max="39" width="3" style="5" customWidth="1"/>
    <col min="40" max="40" width="7.26953125" style="5" customWidth="1"/>
    <col min="41" max="41" width="26.7265625" style="5" customWidth="1"/>
    <col min="42" max="42" width="22.453125" style="5" customWidth="1"/>
    <col min="43" max="43" width="4" style="5" customWidth="1"/>
    <col min="44" max="44" width="88.7265625" style="5" customWidth="1"/>
    <col min="45" max="45" width="18.1796875" style="5" customWidth="1"/>
    <col min="46" max="46" width="19.7265625" style="5" customWidth="1"/>
    <col min="47" max="47" width="35.1796875" style="5" customWidth="1"/>
    <col min="48" max="48" width="22" style="5" customWidth="1"/>
    <col min="49" max="49" width="4" style="5" customWidth="1"/>
  </cols>
  <sheetData>
    <row r="1" spans="1:50" s="51" customFormat="1" ht="16">
      <c r="A1" s="85" t="s">
        <v>0</v>
      </c>
      <c r="B1" s="3" t="s">
        <v>16</v>
      </c>
      <c r="C1" s="3" t="s">
        <v>17</v>
      </c>
      <c r="D1" s="3" t="s">
        <v>18</v>
      </c>
      <c r="E1" s="3" t="s">
        <v>19</v>
      </c>
      <c r="F1" s="3" t="s">
        <v>20</v>
      </c>
      <c r="G1" s="3" t="s">
        <v>21</v>
      </c>
      <c r="H1" s="3" t="s">
        <v>22</v>
      </c>
      <c r="I1" s="3" t="s">
        <v>23</v>
      </c>
      <c r="J1" s="3" t="s">
        <v>24</v>
      </c>
      <c r="K1" s="3" t="s">
        <v>25</v>
      </c>
      <c r="L1" s="3" t="s">
        <v>26</v>
      </c>
      <c r="M1" s="3" t="s">
        <v>27</v>
      </c>
      <c r="N1" s="4" t="s">
        <v>28</v>
      </c>
      <c r="O1" s="3" t="s">
        <v>395</v>
      </c>
      <c r="P1" s="111" t="s">
        <v>189</v>
      </c>
      <c r="Q1" s="111" t="s">
        <v>190</v>
      </c>
      <c r="R1" s="111" t="s">
        <v>208</v>
      </c>
      <c r="S1" s="109" t="s">
        <v>191</v>
      </c>
      <c r="T1" s="109" t="s">
        <v>192</v>
      </c>
      <c r="U1" s="109" t="s">
        <v>193</v>
      </c>
      <c r="V1" s="112" t="s">
        <v>194</v>
      </c>
      <c r="W1" s="112" t="s">
        <v>195</v>
      </c>
      <c r="X1" s="112" t="s">
        <v>196</v>
      </c>
      <c r="Y1" s="112" t="s">
        <v>197</v>
      </c>
      <c r="Z1" s="112" t="s">
        <v>198</v>
      </c>
      <c r="AA1" s="112" t="s">
        <v>199</v>
      </c>
      <c r="AB1" s="112" t="s">
        <v>200</v>
      </c>
      <c r="AC1" s="112" t="s">
        <v>201</v>
      </c>
      <c r="AD1" s="112" t="s">
        <v>202</v>
      </c>
      <c r="AE1" s="112" t="s">
        <v>203</v>
      </c>
      <c r="AF1" s="111" t="s">
        <v>209</v>
      </c>
      <c r="AG1" s="111" t="s">
        <v>210</v>
      </c>
      <c r="AH1" s="108" t="s">
        <v>204</v>
      </c>
      <c r="AI1" s="108" t="s">
        <v>205</v>
      </c>
      <c r="AJ1" s="108" t="s">
        <v>206</v>
      </c>
      <c r="AK1" s="3" t="s">
        <v>211</v>
      </c>
      <c r="AL1" s="13" t="s">
        <v>6</v>
      </c>
      <c r="AM1" s="12" t="s">
        <v>7</v>
      </c>
      <c r="AN1" s="12" t="s">
        <v>8</v>
      </c>
      <c r="AO1" s="12" t="s">
        <v>188</v>
      </c>
      <c r="AP1" s="12" t="s">
        <v>9</v>
      </c>
      <c r="AQ1" s="12" t="s">
        <v>10</v>
      </c>
      <c r="AR1" s="12" t="s">
        <v>11</v>
      </c>
      <c r="AS1" s="12" t="s">
        <v>12</v>
      </c>
      <c r="AT1" s="12" t="s">
        <v>13</v>
      </c>
      <c r="AU1" s="12" t="s">
        <v>14</v>
      </c>
      <c r="AV1" s="12" t="s">
        <v>15</v>
      </c>
      <c r="AW1" s="12" t="s">
        <v>394</v>
      </c>
      <c r="AX1" s="12" t="s">
        <v>382</v>
      </c>
    </row>
    <row r="2" spans="1:50">
      <c r="A2" s="5">
        <v>18025536856</v>
      </c>
      <c r="B2" s="5"/>
      <c r="C2" s="5"/>
      <c r="D2" s="5"/>
      <c r="E2" s="5" t="s">
        <v>19</v>
      </c>
      <c r="F2" s="5"/>
      <c r="G2" s="5"/>
      <c r="H2" s="5"/>
      <c r="I2" s="5"/>
      <c r="J2" s="5"/>
      <c r="K2" s="5"/>
      <c r="L2" s="5"/>
      <c r="M2" s="5" t="s">
        <v>27</v>
      </c>
      <c r="N2" s="5"/>
      <c r="O2" s="7"/>
      <c r="P2" s="7">
        <f t="shared" ref="P2:P65" si="0">COUNTA(B2:N2)</f>
        <v>2</v>
      </c>
      <c r="Q2" s="8">
        <f t="shared" ref="Q2:Q65" si="1">3/P2</f>
        <v>1.5</v>
      </c>
      <c r="R2" s="7"/>
      <c r="S2" s="7">
        <f t="shared" ref="S2:S65" si="2">IF($P2&lt;3,IF($B2=$B$1,1,0),IF($B2=$B$1,$Q2,0))</f>
        <v>0</v>
      </c>
      <c r="T2" s="7">
        <f t="shared" ref="T2:T65" si="3">IF($P2&lt;3,IF($C2=$C$1,1,0),IF($C2=$C$1,$Q2,0))</f>
        <v>0</v>
      </c>
      <c r="U2" s="7">
        <f t="shared" ref="U2:U65" si="4">IF($P2&lt;3,IF($D2=$D$1,1,0),IF($D2=$D$1,$Q2,0))</f>
        <v>0</v>
      </c>
      <c r="V2" s="119">
        <f t="shared" ref="V2:V65" si="5">IF($P2&lt;3,IF($E2=$E$1,1,0),IF($E2=$E$1,$Q2,0))</f>
        <v>1</v>
      </c>
      <c r="W2" s="119">
        <f t="shared" ref="W2:W65" si="6">IF($P2&lt;3,IF($F2=$F$1,1,0),IF($F2=$F$1,$Q2,0))</f>
        <v>0</v>
      </c>
      <c r="X2" s="119">
        <f t="shared" ref="X2:X65" si="7">IF($P2&lt;3,IF($G2=$G$1,1,0),IF($G2=$G$1,$Q2,0))</f>
        <v>0</v>
      </c>
      <c r="Y2" s="119">
        <f t="shared" ref="Y2:Y65" si="8">IF($P2&lt;3,IF($H2=$H$1,1,0),IF($H2=$H$1,$Q2,0))</f>
        <v>0</v>
      </c>
      <c r="Z2" s="119">
        <f t="shared" ref="Z2:Z65" si="9">IF($P2&lt;3,IF($I2=$I$1,1,0),IF($I2=$I$1,$Q2,0))</f>
        <v>0</v>
      </c>
      <c r="AA2" s="119">
        <f t="shared" ref="AA2:AA65" si="10">IF($P2&lt;3,IF($J2=$J$1,1,0),IF($J2=$J$1,$Q2,0))</f>
        <v>0</v>
      </c>
      <c r="AB2" s="119">
        <f t="shared" ref="AB2:AB65" si="11">IF($P2&lt;3,IF($K2=$K$1,1,0),IF($K2=$K$1,$Q2,0))</f>
        <v>0</v>
      </c>
      <c r="AC2" s="119">
        <f t="shared" ref="AC2:AC65" si="12">IF($P2&lt;3,IF($L2=$L$1,1,0),IF($L2=$L$1,$Q2,0))</f>
        <v>0</v>
      </c>
      <c r="AD2" s="119">
        <f t="shared" ref="AD2:AD65" si="13">IF($P2&lt;3,IF($M2=$M$1,1,0),IF($M2=$M$1,$Q2,0))</f>
        <v>1</v>
      </c>
      <c r="AE2" s="119">
        <f t="shared" ref="AE2:AE65" si="14">IF($P2&lt;3,IF($N2=$N$1,1,0),IF($N2=$N$1,$Q2,0))</f>
        <v>0</v>
      </c>
      <c r="AF2" s="7"/>
      <c r="AG2" s="7"/>
      <c r="AH2" s="7">
        <f t="shared" ref="AH2:AH65" si="15">SUM(S2:AE2)</f>
        <v>2</v>
      </c>
      <c r="AI2" s="7">
        <f t="shared" ref="AI2:AI65" si="16">P2</f>
        <v>2</v>
      </c>
      <c r="AJ2" s="7" t="str">
        <f t="shared" ref="AJ2:AJ65" si="17">IF(AH2=AI2,"Correct",IF(AH2=3,"Correct","Wrong"))</f>
        <v>Correct</v>
      </c>
      <c r="AK2" s="7"/>
      <c r="AL2" s="120" t="str">
        <f>IFERROR(VLOOKUP(Table1[RespondentID],'All Data'!$A$3:$CO$999,87,FALSE),"unknown")</f>
        <v>Man</v>
      </c>
      <c r="AM2" s="120">
        <f>IFERROR(VLOOKUP(Table1[RespondentID],'All Data'!$A$3:$CO$999,88,FALSE),"unknown")</f>
        <v>41</v>
      </c>
      <c r="AN2" s="120" t="str">
        <f>IFERROR(VLOOKUP(Table1[RespondentID],'All Data'!$A$3:$CO$999,89,FALSE),"unknown")</f>
        <v>Suffolk</v>
      </c>
      <c r="AO2" s="120" t="str">
        <f>IFERROR(VLOOKUP(Table1[RespondentID],'All Data'!$A$3:$CO$999,90,FALSE),"unknown")</f>
        <v>Ridge, 11961</v>
      </c>
      <c r="AP2" s="120" t="str">
        <f>IFERROR(VLOOKUP(Table1[RespondentID],'All Data'!$A$3:$CO$999,91,FALSE),"unknown")</f>
        <v>Asian</v>
      </c>
      <c r="AQ2" s="120" t="str">
        <f>IFERROR(VLOOKUP(Table1[RespondentID],'All Data'!$A$3:$CO$999,92,FALSE),"unknown")</f>
        <v>Not Hispanic or Latino</v>
      </c>
      <c r="AR2" s="120">
        <f>IFERROR(VLOOKUP(Table1[RespondentID],'All Data'!$A$3:$CO$999,93,FALSE),"unknown")</f>
        <v>0</v>
      </c>
      <c r="AS2" s="120" t="str">
        <f>IFERROR(VLOOKUP(Table1[RespondentID],'All Data'!$A$3:$CW$999,94,FALSE),"unknown")</f>
        <v>$50,000 to $74,999</v>
      </c>
      <c r="AT2" s="120" t="str">
        <f>IFERROR(VLOOKUP(Table1[RespondentID],'All Data'!$A$3:$CW$999,95,FALSE),"unknown")</f>
        <v>Other (please specify)</v>
      </c>
      <c r="AU2" s="120" t="str">
        <f>IFERROR(VLOOKUP(Table1[RespondentID],'All Data'!$A$3:$CW$999,96,FALSE),"unknown")</f>
        <v>Self-employed</v>
      </c>
      <c r="AV2" s="120" t="str">
        <f>IFERROR(VLOOKUP(Table1[RespondentID],'All Data'!$A$3:$CW$999,97,FALSE),"unknown")</f>
        <v>Yes</v>
      </c>
      <c r="AW2" s="120" t="str">
        <f>IFERROR(VLOOKUP(Table1[RespondentID],'All Data'!$A$3:$CW$999,98,FALSE),"unknown")</f>
        <v>Medicare</v>
      </c>
      <c r="AX2" s="120">
        <f>IFERROR(VLOOKUP(Table1[RespondentID],'All Data'!$A$3:$CW$999,99,FALSE),"unknown")</f>
        <v>0</v>
      </c>
    </row>
    <row r="3" spans="1:50">
      <c r="A3" s="5">
        <v>18025536720</v>
      </c>
      <c r="B3" s="5" t="s">
        <v>16</v>
      </c>
      <c r="C3" s="5"/>
      <c r="D3" s="5"/>
      <c r="E3" s="5"/>
      <c r="F3" s="5"/>
      <c r="G3" s="5"/>
      <c r="H3" s="5"/>
      <c r="I3" s="5"/>
      <c r="J3" s="5"/>
      <c r="K3" s="5"/>
      <c r="L3" s="5"/>
      <c r="M3" s="5"/>
      <c r="N3" s="5"/>
      <c r="O3" s="7"/>
      <c r="P3" s="7">
        <f t="shared" si="0"/>
        <v>1</v>
      </c>
      <c r="Q3" s="9">
        <f t="shared" si="1"/>
        <v>3</v>
      </c>
      <c r="R3" s="7"/>
      <c r="S3" s="7">
        <f t="shared" si="2"/>
        <v>1</v>
      </c>
      <c r="T3" s="7">
        <f t="shared" si="3"/>
        <v>0</v>
      </c>
      <c r="U3" s="7">
        <f t="shared" si="4"/>
        <v>0</v>
      </c>
      <c r="V3" s="119">
        <f t="shared" si="5"/>
        <v>0</v>
      </c>
      <c r="W3" s="119">
        <f t="shared" si="6"/>
        <v>0</v>
      </c>
      <c r="X3" s="119">
        <f t="shared" si="7"/>
        <v>0</v>
      </c>
      <c r="Y3" s="119">
        <f t="shared" si="8"/>
        <v>0</v>
      </c>
      <c r="Z3" s="119">
        <f t="shared" si="9"/>
        <v>0</v>
      </c>
      <c r="AA3" s="119">
        <f t="shared" si="10"/>
        <v>0</v>
      </c>
      <c r="AB3" s="119">
        <f t="shared" si="11"/>
        <v>0</v>
      </c>
      <c r="AC3" s="119">
        <f t="shared" si="12"/>
        <v>0</v>
      </c>
      <c r="AD3" s="119">
        <f t="shared" si="13"/>
        <v>0</v>
      </c>
      <c r="AE3" s="119">
        <f t="shared" si="14"/>
        <v>0</v>
      </c>
      <c r="AF3" s="7"/>
      <c r="AG3" s="7"/>
      <c r="AH3" s="7">
        <f t="shared" si="15"/>
        <v>1</v>
      </c>
      <c r="AI3" s="7">
        <f t="shared" si="16"/>
        <v>1</v>
      </c>
      <c r="AJ3" s="7" t="str">
        <f t="shared" si="17"/>
        <v>Correct</v>
      </c>
      <c r="AK3" s="7"/>
      <c r="AL3" s="120" t="str">
        <f>IFERROR(VLOOKUP(Table1[RespondentID],'All Data'!$A$3:$CO$999,87,FALSE),"unknown")</f>
        <v>Woman</v>
      </c>
      <c r="AM3" s="120">
        <f>IFERROR(VLOOKUP(Table1[RespondentID],'All Data'!$A$3:$CO$999,88,FALSE),"unknown")</f>
        <v>45</v>
      </c>
      <c r="AN3" s="120" t="str">
        <f>IFERROR(VLOOKUP(Table1[RespondentID],'All Data'!$A$3:$CO$999,89,FALSE),"unknown")</f>
        <v>Suffolk</v>
      </c>
      <c r="AO3" s="120" t="str">
        <f>IFERROR(VLOOKUP(Table1[RespondentID],'All Data'!$A$3:$CO$999,90,FALSE),"unknown")</f>
        <v>Middle Island, 11953</v>
      </c>
      <c r="AP3" s="120" t="str">
        <f>IFERROR(VLOOKUP(Table1[RespondentID],'All Data'!$A$3:$CO$999,91,FALSE),"unknown")</f>
        <v>Other (please specify)</v>
      </c>
      <c r="AQ3" s="120" t="str">
        <f>IFERROR(VLOOKUP(Table1[RespondentID],'All Data'!$A$3:$CO$999,92,FALSE),"unknown")</f>
        <v>Not Hispanic or Latino</v>
      </c>
      <c r="AR3" s="120">
        <f>IFERROR(VLOOKUP(Table1[RespondentID],'All Data'!$A$3:$CO$999,93,FALSE),"unknown")</f>
        <v>0</v>
      </c>
      <c r="AS3" s="120" t="str">
        <f>IFERROR(VLOOKUP(Table1[RespondentID],'All Data'!$A$3:$CW$999,94,FALSE),"unknown")</f>
        <v>$20,000 to $34,999</v>
      </c>
      <c r="AT3" s="120" t="str">
        <f>IFERROR(VLOOKUP(Table1[RespondentID],'All Data'!$A$3:$CW$999,95,FALSE),"unknown")</f>
        <v>College graduate</v>
      </c>
      <c r="AU3" s="120" t="str">
        <f>IFERROR(VLOOKUP(Table1[RespondentID],'All Data'!$A$3:$CW$999,96,FALSE),"unknown")</f>
        <v>Self-employed</v>
      </c>
      <c r="AV3" s="120" t="str">
        <f>IFERROR(VLOOKUP(Table1[RespondentID],'All Data'!$A$3:$CW$999,97,FALSE),"unknown")</f>
        <v>Yes</v>
      </c>
      <c r="AW3" s="120" t="str">
        <f>IFERROR(VLOOKUP(Table1[RespondentID],'All Data'!$A$3:$CW$999,98,FALSE),"unknown")</f>
        <v>Medicare</v>
      </c>
      <c r="AX3" s="120">
        <f>IFERROR(VLOOKUP(Table1[RespondentID],'All Data'!$A$3:$CW$999,99,FALSE),"unknown")</f>
        <v>0</v>
      </c>
    </row>
    <row r="4" spans="1:50">
      <c r="A4" s="5">
        <v>18025536611</v>
      </c>
      <c r="B4" s="5"/>
      <c r="C4" s="5"/>
      <c r="D4" s="5"/>
      <c r="E4" s="5"/>
      <c r="F4" s="5"/>
      <c r="G4" s="5"/>
      <c r="H4" s="5"/>
      <c r="I4" s="5"/>
      <c r="J4" s="5"/>
      <c r="K4" s="5"/>
      <c r="L4" s="5"/>
      <c r="M4" s="5"/>
      <c r="N4" s="5"/>
      <c r="O4" s="7"/>
      <c r="P4" s="7">
        <f t="shared" si="0"/>
        <v>0</v>
      </c>
      <c r="Q4" s="8" t="e">
        <f t="shared" si="1"/>
        <v>#DIV/0!</v>
      </c>
      <c r="R4" s="7"/>
      <c r="S4" s="7">
        <f t="shared" si="2"/>
        <v>0</v>
      </c>
      <c r="T4" s="7">
        <f t="shared" si="3"/>
        <v>0</v>
      </c>
      <c r="U4" s="7">
        <f t="shared" si="4"/>
        <v>0</v>
      </c>
      <c r="V4" s="119">
        <f t="shared" si="5"/>
        <v>0</v>
      </c>
      <c r="W4" s="119">
        <f t="shared" si="6"/>
        <v>0</v>
      </c>
      <c r="X4" s="119">
        <f t="shared" si="7"/>
        <v>0</v>
      </c>
      <c r="Y4" s="119">
        <f t="shared" si="8"/>
        <v>0</v>
      </c>
      <c r="Z4" s="119">
        <f t="shared" si="9"/>
        <v>0</v>
      </c>
      <c r="AA4" s="119">
        <f t="shared" si="10"/>
        <v>0</v>
      </c>
      <c r="AB4" s="119">
        <f t="shared" si="11"/>
        <v>0</v>
      </c>
      <c r="AC4" s="119">
        <f t="shared" si="12"/>
        <v>0</v>
      </c>
      <c r="AD4" s="119">
        <f t="shared" si="13"/>
        <v>0</v>
      </c>
      <c r="AE4" s="119">
        <f t="shared" si="14"/>
        <v>0</v>
      </c>
      <c r="AF4" s="7"/>
      <c r="AG4" s="7"/>
      <c r="AH4" s="7">
        <f t="shared" si="15"/>
        <v>0</v>
      </c>
      <c r="AI4" s="7">
        <f t="shared" si="16"/>
        <v>0</v>
      </c>
      <c r="AJ4" s="7" t="str">
        <f t="shared" si="17"/>
        <v>Correct</v>
      </c>
      <c r="AK4" s="7"/>
      <c r="AL4" s="120" t="str">
        <f>IFERROR(VLOOKUP(Table1[RespondentID],'All Data'!$A$3:$CO$999,87,FALSE),"unknown")</f>
        <v>Woman</v>
      </c>
      <c r="AM4" s="120">
        <f>IFERROR(VLOOKUP(Table1[RespondentID],'All Data'!$A$3:$CO$999,88,FALSE),"unknown")</f>
        <v>41</v>
      </c>
      <c r="AN4" s="120" t="str">
        <f>IFERROR(VLOOKUP(Table1[RespondentID],'All Data'!$A$3:$CO$999,89,FALSE),"unknown")</f>
        <v>Suffolk</v>
      </c>
      <c r="AO4" s="120" t="str">
        <f>IFERROR(VLOOKUP(Table1[RespondentID],'All Data'!$A$3:$CO$999,90,FALSE),"unknown")</f>
        <v>Ridge, 11961</v>
      </c>
      <c r="AP4" s="120" t="str">
        <f>IFERROR(VLOOKUP(Table1[RespondentID],'All Data'!$A$3:$CO$999,91,FALSE),"unknown")</f>
        <v>Asian</v>
      </c>
      <c r="AQ4" s="120" t="str">
        <f>IFERROR(VLOOKUP(Table1[RespondentID],'All Data'!$A$3:$CO$999,92,FALSE),"unknown")</f>
        <v>Not Hispanic or Latino</v>
      </c>
      <c r="AR4" s="120">
        <f>IFERROR(VLOOKUP(Table1[RespondentID],'All Data'!$A$3:$CO$999,93,FALSE),"unknown")</f>
        <v>0</v>
      </c>
      <c r="AS4" s="120" t="str">
        <f>IFERROR(VLOOKUP(Table1[RespondentID],'All Data'!$A$3:$CW$999,94,FALSE),"unknown")</f>
        <v>$20,000 to $34,999</v>
      </c>
      <c r="AT4" s="120" t="str">
        <f>IFERROR(VLOOKUP(Table1[RespondentID],'All Data'!$A$3:$CW$999,95,FALSE),"unknown")</f>
        <v>Graduate school</v>
      </c>
      <c r="AU4" s="120" t="str">
        <f>IFERROR(VLOOKUP(Table1[RespondentID],'All Data'!$A$3:$CW$999,96,FALSE),"unknown")</f>
        <v>Self-employed</v>
      </c>
      <c r="AV4" s="120">
        <f>IFERROR(VLOOKUP(Table1[RespondentID],'All Data'!$A$3:$CW$999,97,FALSE),"unknown")</f>
        <v>0</v>
      </c>
      <c r="AW4" s="120" t="str">
        <f>IFERROR(VLOOKUP(Table1[RespondentID],'All Data'!$A$3:$CW$999,98,FALSE),"unknown")</f>
        <v>Private/Commercial</v>
      </c>
      <c r="AX4" s="120">
        <f>IFERROR(VLOOKUP(Table1[RespondentID],'All Data'!$A$3:$CW$999,99,FALSE),"unknown")</f>
        <v>0</v>
      </c>
    </row>
    <row r="5" spans="1:50">
      <c r="A5" s="5">
        <v>18025536366</v>
      </c>
      <c r="B5" s="5"/>
      <c r="C5" s="5"/>
      <c r="D5" s="5"/>
      <c r="E5" s="5"/>
      <c r="F5" s="5"/>
      <c r="G5" s="5"/>
      <c r="H5" s="5"/>
      <c r="I5" s="5"/>
      <c r="J5" s="5" t="s">
        <v>24</v>
      </c>
      <c r="K5" s="5"/>
      <c r="L5" s="5"/>
      <c r="M5" s="5"/>
      <c r="N5" s="5"/>
      <c r="O5" s="7"/>
      <c r="P5" s="7">
        <f t="shared" si="0"/>
        <v>1</v>
      </c>
      <c r="Q5" s="9">
        <f t="shared" si="1"/>
        <v>3</v>
      </c>
      <c r="R5" s="7"/>
      <c r="S5" s="7">
        <f t="shared" si="2"/>
        <v>0</v>
      </c>
      <c r="T5" s="7">
        <f t="shared" si="3"/>
        <v>0</v>
      </c>
      <c r="U5" s="7">
        <f t="shared" si="4"/>
        <v>0</v>
      </c>
      <c r="V5" s="119">
        <f t="shared" si="5"/>
        <v>0</v>
      </c>
      <c r="W5" s="119">
        <f t="shared" si="6"/>
        <v>0</v>
      </c>
      <c r="X5" s="119">
        <f t="shared" si="7"/>
        <v>0</v>
      </c>
      <c r="Y5" s="119">
        <f t="shared" si="8"/>
        <v>0</v>
      </c>
      <c r="Z5" s="119">
        <f t="shared" si="9"/>
        <v>0</v>
      </c>
      <c r="AA5" s="119">
        <f t="shared" si="10"/>
        <v>1</v>
      </c>
      <c r="AB5" s="119">
        <f t="shared" si="11"/>
        <v>0</v>
      </c>
      <c r="AC5" s="119">
        <f t="shared" si="12"/>
        <v>0</v>
      </c>
      <c r="AD5" s="119">
        <f t="shared" si="13"/>
        <v>0</v>
      </c>
      <c r="AE5" s="119">
        <f t="shared" si="14"/>
        <v>0</v>
      </c>
      <c r="AF5" s="7"/>
      <c r="AG5" s="7"/>
      <c r="AH5" s="7">
        <f t="shared" si="15"/>
        <v>1</v>
      </c>
      <c r="AI5" s="7">
        <f t="shared" si="16"/>
        <v>1</v>
      </c>
      <c r="AJ5" s="7" t="str">
        <f t="shared" si="17"/>
        <v>Correct</v>
      </c>
      <c r="AK5" s="7"/>
      <c r="AL5" s="120" t="str">
        <f>IFERROR(VLOOKUP(Table1[RespondentID],'All Data'!$A$3:$CO$999,87,FALSE),"unknown")</f>
        <v>Woman</v>
      </c>
      <c r="AM5" s="120">
        <f>IFERROR(VLOOKUP(Table1[RespondentID],'All Data'!$A$3:$CO$999,88,FALSE),"unknown")</f>
        <v>49</v>
      </c>
      <c r="AN5" s="120" t="str">
        <f>IFERROR(VLOOKUP(Table1[RespondentID],'All Data'!$A$3:$CO$999,89,FALSE),"unknown")</f>
        <v>Suffolk</v>
      </c>
      <c r="AO5" s="120" t="str">
        <f>IFERROR(VLOOKUP(Table1[RespondentID],'All Data'!$A$3:$CO$999,90,FALSE),"unknown")</f>
        <v>Middle Island, 11953</v>
      </c>
      <c r="AP5" s="120" t="str">
        <f>IFERROR(VLOOKUP(Table1[RespondentID],'All Data'!$A$3:$CO$999,91,FALSE),"unknown")</f>
        <v>White</v>
      </c>
      <c r="AQ5" s="120" t="str">
        <f>IFERROR(VLOOKUP(Table1[RespondentID],'All Data'!$A$3:$CO$999,92,FALSE),"unknown")</f>
        <v>Not Hispanic or Latino</v>
      </c>
      <c r="AR5" s="120" t="str">
        <f>IFERROR(VLOOKUP(Table1[RespondentID],'All Data'!$A$3:$CO$999,93,FALSE),"unknown")</f>
        <v>English</v>
      </c>
      <c r="AS5" s="120" t="str">
        <f>IFERROR(VLOOKUP(Table1[RespondentID],'All Data'!$A$3:$CW$999,94,FALSE),"unknown")</f>
        <v>$20,000 to $34,999</v>
      </c>
      <c r="AT5" s="120" t="str">
        <f>IFERROR(VLOOKUP(Table1[RespondentID],'All Data'!$A$3:$CW$999,95,FALSE),"unknown")</f>
        <v>College graduate</v>
      </c>
      <c r="AU5" s="120" t="str">
        <f>IFERROR(VLOOKUP(Table1[RespondentID],'All Data'!$A$3:$CW$999,96,FALSE),"unknown")</f>
        <v>Self-employed</v>
      </c>
      <c r="AV5" s="120" t="str">
        <f>IFERROR(VLOOKUP(Table1[RespondentID],'All Data'!$A$3:$CW$999,97,FALSE),"unknown")</f>
        <v>Yes</v>
      </c>
      <c r="AW5" s="120" t="str">
        <f>IFERROR(VLOOKUP(Table1[RespondentID],'All Data'!$A$3:$CW$999,98,FALSE),"unknown")</f>
        <v>Medicaid</v>
      </c>
      <c r="AX5" s="120">
        <f>IFERROR(VLOOKUP(Table1[RespondentID],'All Data'!$A$3:$CW$999,99,FALSE),"unknown")</f>
        <v>0</v>
      </c>
    </row>
    <row r="6" spans="1:50">
      <c r="A6" s="5">
        <v>18025536248</v>
      </c>
      <c r="B6" s="5"/>
      <c r="C6" s="5"/>
      <c r="D6" s="5"/>
      <c r="E6" s="5"/>
      <c r="F6" s="5"/>
      <c r="G6" s="5"/>
      <c r="H6" s="5"/>
      <c r="I6" s="5"/>
      <c r="J6" s="5" t="s">
        <v>24</v>
      </c>
      <c r="K6" s="5"/>
      <c r="L6" s="5"/>
      <c r="M6" s="5"/>
      <c r="N6" s="5"/>
      <c r="O6" s="7"/>
      <c r="P6" s="7">
        <f t="shared" si="0"/>
        <v>1</v>
      </c>
      <c r="Q6" s="8">
        <f t="shared" si="1"/>
        <v>3</v>
      </c>
      <c r="R6" s="7"/>
      <c r="S6" s="7">
        <f t="shared" si="2"/>
        <v>0</v>
      </c>
      <c r="T6" s="7">
        <f t="shared" si="3"/>
        <v>0</v>
      </c>
      <c r="U6" s="7">
        <f t="shared" si="4"/>
        <v>0</v>
      </c>
      <c r="V6" s="119">
        <f t="shared" si="5"/>
        <v>0</v>
      </c>
      <c r="W6" s="119">
        <f t="shared" si="6"/>
        <v>0</v>
      </c>
      <c r="X6" s="119">
        <f t="shared" si="7"/>
        <v>0</v>
      </c>
      <c r="Y6" s="119">
        <f t="shared" si="8"/>
        <v>0</v>
      </c>
      <c r="Z6" s="119">
        <f t="shared" si="9"/>
        <v>0</v>
      </c>
      <c r="AA6" s="119">
        <f t="shared" si="10"/>
        <v>1</v>
      </c>
      <c r="AB6" s="119">
        <f t="shared" si="11"/>
        <v>0</v>
      </c>
      <c r="AC6" s="119">
        <f t="shared" si="12"/>
        <v>0</v>
      </c>
      <c r="AD6" s="119">
        <f t="shared" si="13"/>
        <v>0</v>
      </c>
      <c r="AE6" s="119">
        <f t="shared" si="14"/>
        <v>0</v>
      </c>
      <c r="AF6" s="7"/>
      <c r="AG6" s="7"/>
      <c r="AH6" s="7">
        <f t="shared" si="15"/>
        <v>1</v>
      </c>
      <c r="AI6" s="7">
        <f t="shared" si="16"/>
        <v>1</v>
      </c>
      <c r="AJ6" s="7" t="str">
        <f t="shared" si="17"/>
        <v>Correct</v>
      </c>
      <c r="AK6" s="7"/>
      <c r="AL6" s="120" t="str">
        <f>IFERROR(VLOOKUP(Table1[RespondentID],'All Data'!$A$3:$CO$999,87,FALSE),"unknown")</f>
        <v>Man</v>
      </c>
      <c r="AM6" s="120">
        <f>IFERROR(VLOOKUP(Table1[RespondentID],'All Data'!$A$3:$CO$999,88,FALSE),"unknown")</f>
        <v>36</v>
      </c>
      <c r="AN6" s="120" t="str">
        <f>IFERROR(VLOOKUP(Table1[RespondentID],'All Data'!$A$3:$CO$999,89,FALSE),"unknown")</f>
        <v>Suffolk</v>
      </c>
      <c r="AO6" s="120" t="str">
        <f>IFERROR(VLOOKUP(Table1[RespondentID],'All Data'!$A$3:$CO$999,90,FALSE),"unknown")</f>
        <v>Middle Island, 11953</v>
      </c>
      <c r="AP6" s="120" t="str">
        <f>IFERROR(VLOOKUP(Table1[RespondentID],'All Data'!$A$3:$CO$999,91,FALSE),"unknown")</f>
        <v>Other (please specify)</v>
      </c>
      <c r="AQ6" s="120" t="str">
        <f>IFERROR(VLOOKUP(Table1[RespondentID],'All Data'!$A$3:$CO$999,92,FALSE),"unknown")</f>
        <v>Hispanic or Latino</v>
      </c>
      <c r="AR6" s="120" t="str">
        <f>IFERROR(VLOOKUP(Table1[RespondentID],'All Data'!$A$3:$CO$999,93,FALSE),"unknown")</f>
        <v>Spanish</v>
      </c>
      <c r="AS6" s="120" t="str">
        <f>IFERROR(VLOOKUP(Table1[RespondentID],'All Data'!$A$3:$CW$999,94,FALSE),"unknown")</f>
        <v>$0-$19,999</v>
      </c>
      <c r="AT6" s="120" t="str">
        <f>IFERROR(VLOOKUP(Table1[RespondentID],'All Data'!$A$3:$CW$999,95,FALSE),"unknown")</f>
        <v>Technical school</v>
      </c>
      <c r="AU6" s="120" t="str">
        <f>IFERROR(VLOOKUP(Table1[RespondentID],'All Data'!$A$3:$CW$999,96,FALSE),"unknown")</f>
        <v>Out of work and looking for work</v>
      </c>
      <c r="AV6" s="120" t="str">
        <f>IFERROR(VLOOKUP(Table1[RespondentID],'All Data'!$A$3:$CW$999,97,FALSE),"unknown")</f>
        <v>Yes</v>
      </c>
      <c r="AW6" s="120" t="str">
        <f>IFERROR(VLOOKUP(Table1[RespondentID],'All Data'!$A$3:$CW$999,98,FALSE),"unknown")</f>
        <v>Medicaid</v>
      </c>
      <c r="AX6" s="120">
        <f>IFERROR(VLOOKUP(Table1[RespondentID],'All Data'!$A$3:$CW$999,99,FALSE),"unknown")</f>
        <v>0</v>
      </c>
    </row>
    <row r="7" spans="1:50">
      <c r="A7" s="5">
        <v>18025536153</v>
      </c>
      <c r="B7" s="5"/>
      <c r="C7" s="5"/>
      <c r="D7" s="5"/>
      <c r="E7" s="5"/>
      <c r="F7" s="5"/>
      <c r="G7" s="5"/>
      <c r="H7" s="5"/>
      <c r="I7" s="5"/>
      <c r="J7" s="5"/>
      <c r="K7" s="5"/>
      <c r="L7" s="5"/>
      <c r="M7" s="5"/>
      <c r="N7" s="5"/>
      <c r="O7" s="7"/>
      <c r="P7" s="7">
        <f t="shared" si="0"/>
        <v>0</v>
      </c>
      <c r="Q7" s="9" t="e">
        <f t="shared" si="1"/>
        <v>#DIV/0!</v>
      </c>
      <c r="R7" s="7"/>
      <c r="S7" s="7">
        <f t="shared" si="2"/>
        <v>0</v>
      </c>
      <c r="T7" s="7">
        <f t="shared" si="3"/>
        <v>0</v>
      </c>
      <c r="U7" s="7">
        <f t="shared" si="4"/>
        <v>0</v>
      </c>
      <c r="V7" s="119">
        <f t="shared" si="5"/>
        <v>0</v>
      </c>
      <c r="W7" s="119">
        <f t="shared" si="6"/>
        <v>0</v>
      </c>
      <c r="X7" s="119">
        <f t="shared" si="7"/>
        <v>0</v>
      </c>
      <c r="Y7" s="119">
        <f t="shared" si="8"/>
        <v>0</v>
      </c>
      <c r="Z7" s="119">
        <f t="shared" si="9"/>
        <v>0</v>
      </c>
      <c r="AA7" s="119">
        <f t="shared" si="10"/>
        <v>0</v>
      </c>
      <c r="AB7" s="119">
        <f t="shared" si="11"/>
        <v>0</v>
      </c>
      <c r="AC7" s="119">
        <f t="shared" si="12"/>
        <v>0</v>
      </c>
      <c r="AD7" s="119">
        <f t="shared" si="13"/>
        <v>0</v>
      </c>
      <c r="AE7" s="119">
        <f t="shared" si="14"/>
        <v>0</v>
      </c>
      <c r="AF7" s="7"/>
      <c r="AG7" s="7"/>
      <c r="AH7" s="7">
        <f t="shared" si="15"/>
        <v>0</v>
      </c>
      <c r="AI7" s="7">
        <f t="shared" si="16"/>
        <v>0</v>
      </c>
      <c r="AJ7" s="7" t="str">
        <f t="shared" si="17"/>
        <v>Correct</v>
      </c>
      <c r="AK7" s="7"/>
      <c r="AL7" s="120" t="str">
        <f>IFERROR(VLOOKUP(Table1[RespondentID],'All Data'!$A$3:$CO$999,87,FALSE),"unknown")</f>
        <v>Woman</v>
      </c>
      <c r="AM7" s="120">
        <f>IFERROR(VLOOKUP(Table1[RespondentID],'All Data'!$A$3:$CO$999,88,FALSE),"unknown")</f>
        <v>34</v>
      </c>
      <c r="AN7" s="120" t="str">
        <f>IFERROR(VLOOKUP(Table1[RespondentID],'All Data'!$A$3:$CO$999,89,FALSE),"unknown")</f>
        <v>Suffolk</v>
      </c>
      <c r="AO7" s="120" t="str">
        <f>IFERROR(VLOOKUP(Table1[RespondentID],'All Data'!$A$3:$CO$999,90,FALSE),"unknown")</f>
        <v>Ridge, 11961</v>
      </c>
      <c r="AP7" s="120" t="str">
        <f>IFERROR(VLOOKUP(Table1[RespondentID],'All Data'!$A$3:$CO$999,91,FALSE),"unknown")</f>
        <v>Asian</v>
      </c>
      <c r="AQ7" s="120" t="str">
        <f>IFERROR(VLOOKUP(Table1[RespondentID],'All Data'!$A$3:$CO$999,92,FALSE),"unknown")</f>
        <v>Not Hispanic or Latino</v>
      </c>
      <c r="AR7" s="120">
        <f>IFERROR(VLOOKUP(Table1[RespondentID],'All Data'!$A$3:$CO$999,93,FALSE),"unknown")</f>
        <v>0</v>
      </c>
      <c r="AS7" s="120" t="str">
        <f>IFERROR(VLOOKUP(Table1[RespondentID],'All Data'!$A$3:$CW$999,94,FALSE),"unknown")</f>
        <v>$0-$19,999</v>
      </c>
      <c r="AT7" s="120" t="str">
        <f>IFERROR(VLOOKUP(Table1[RespondentID],'All Data'!$A$3:$CW$999,95,FALSE),"unknown")</f>
        <v>Graduate school</v>
      </c>
      <c r="AU7" s="120">
        <f>IFERROR(VLOOKUP(Table1[RespondentID],'All Data'!$A$3:$CW$999,96,FALSE),"unknown")</f>
        <v>0</v>
      </c>
      <c r="AV7" s="120" t="str">
        <f>IFERROR(VLOOKUP(Table1[RespondentID],'All Data'!$A$3:$CW$999,97,FALSE),"unknown")</f>
        <v>Yes</v>
      </c>
      <c r="AW7" s="120" t="str">
        <f>IFERROR(VLOOKUP(Table1[RespondentID],'All Data'!$A$3:$CW$999,98,FALSE),"unknown")</f>
        <v>Private/Commercial</v>
      </c>
      <c r="AX7" s="120">
        <f>IFERROR(VLOOKUP(Table1[RespondentID],'All Data'!$A$3:$CW$999,99,FALSE),"unknown")</f>
        <v>0</v>
      </c>
    </row>
    <row r="8" spans="1:50">
      <c r="A8" s="5">
        <v>18025536056</v>
      </c>
      <c r="B8" s="5"/>
      <c r="C8" s="5"/>
      <c r="D8" s="5"/>
      <c r="E8" s="5" t="s">
        <v>19</v>
      </c>
      <c r="F8" s="5"/>
      <c r="G8" s="5"/>
      <c r="H8" s="5"/>
      <c r="I8" s="5"/>
      <c r="J8" s="5"/>
      <c r="K8" s="5"/>
      <c r="L8" s="5"/>
      <c r="M8" s="5"/>
      <c r="N8" s="5"/>
      <c r="O8" s="7"/>
      <c r="P8" s="7">
        <f t="shared" si="0"/>
        <v>1</v>
      </c>
      <c r="Q8" s="8">
        <f t="shared" si="1"/>
        <v>3</v>
      </c>
      <c r="R8" s="7"/>
      <c r="S8" s="7">
        <f t="shared" si="2"/>
        <v>0</v>
      </c>
      <c r="T8" s="7">
        <f t="shared" si="3"/>
        <v>0</v>
      </c>
      <c r="U8" s="7">
        <f t="shared" si="4"/>
        <v>0</v>
      </c>
      <c r="V8" s="119">
        <f t="shared" si="5"/>
        <v>1</v>
      </c>
      <c r="W8" s="119">
        <f t="shared" si="6"/>
        <v>0</v>
      </c>
      <c r="X8" s="119">
        <f t="shared" si="7"/>
        <v>0</v>
      </c>
      <c r="Y8" s="119">
        <f t="shared" si="8"/>
        <v>0</v>
      </c>
      <c r="Z8" s="119">
        <f t="shared" si="9"/>
        <v>0</v>
      </c>
      <c r="AA8" s="119">
        <f t="shared" si="10"/>
        <v>0</v>
      </c>
      <c r="AB8" s="119">
        <f t="shared" si="11"/>
        <v>0</v>
      </c>
      <c r="AC8" s="119">
        <f t="shared" si="12"/>
        <v>0</v>
      </c>
      <c r="AD8" s="119">
        <f t="shared" si="13"/>
        <v>0</v>
      </c>
      <c r="AE8" s="119">
        <f t="shared" si="14"/>
        <v>0</v>
      </c>
      <c r="AF8" s="7"/>
      <c r="AG8" s="7"/>
      <c r="AH8" s="7">
        <f t="shared" si="15"/>
        <v>1</v>
      </c>
      <c r="AI8" s="7">
        <f t="shared" si="16"/>
        <v>1</v>
      </c>
      <c r="AJ8" s="7" t="str">
        <f t="shared" si="17"/>
        <v>Correct</v>
      </c>
      <c r="AK8" s="7"/>
      <c r="AL8" s="120" t="str">
        <f>IFERROR(VLOOKUP(Table1[RespondentID],'All Data'!$A$3:$CO$999,87,FALSE),"unknown")</f>
        <v>Man</v>
      </c>
      <c r="AM8" s="120">
        <f>IFERROR(VLOOKUP(Table1[RespondentID],'All Data'!$A$3:$CO$999,88,FALSE),"unknown")</f>
        <v>30</v>
      </c>
      <c r="AN8" s="120" t="str">
        <f>IFERROR(VLOOKUP(Table1[RespondentID],'All Data'!$A$3:$CO$999,89,FALSE),"unknown")</f>
        <v>Suffolk</v>
      </c>
      <c r="AO8" s="120" t="str">
        <f>IFERROR(VLOOKUP(Table1[RespondentID],'All Data'!$A$3:$CO$999,90,FALSE),"unknown")</f>
        <v>Ridge, 11961</v>
      </c>
      <c r="AP8" s="120" t="str">
        <f>IFERROR(VLOOKUP(Table1[RespondentID],'All Data'!$A$3:$CO$999,91,FALSE),"unknown")</f>
        <v>Two or more races</v>
      </c>
      <c r="AQ8" s="120" t="str">
        <f>IFERROR(VLOOKUP(Table1[RespondentID],'All Data'!$A$3:$CO$999,92,FALSE),"unknown")</f>
        <v>Not Hispanic or Latino</v>
      </c>
      <c r="AR8" s="120" t="str">
        <f>IFERROR(VLOOKUP(Table1[RespondentID],'All Data'!$A$3:$CO$999,93,FALSE),"unknown")</f>
        <v>English</v>
      </c>
      <c r="AS8" s="120" t="str">
        <f>IFERROR(VLOOKUP(Table1[RespondentID],'All Data'!$A$3:$CW$999,94,FALSE),"unknown")</f>
        <v>$50,000 to $74,999</v>
      </c>
      <c r="AT8" s="120" t="str">
        <f>IFERROR(VLOOKUP(Table1[RespondentID],'All Data'!$A$3:$CW$999,95,FALSE),"unknown")</f>
        <v>Some college</v>
      </c>
      <c r="AU8" s="120" t="str">
        <f>IFERROR(VLOOKUP(Table1[RespondentID],'All Data'!$A$3:$CW$999,96,FALSE),"unknown")</f>
        <v>Self-employed</v>
      </c>
      <c r="AV8" s="120" t="str">
        <f>IFERROR(VLOOKUP(Table1[RespondentID],'All Data'!$A$3:$CW$999,97,FALSE),"unknown")</f>
        <v>Yes</v>
      </c>
      <c r="AW8" s="120" t="str">
        <f>IFERROR(VLOOKUP(Table1[RespondentID],'All Data'!$A$3:$CW$999,98,FALSE),"unknown")</f>
        <v>Medicare</v>
      </c>
      <c r="AX8" s="120">
        <f>IFERROR(VLOOKUP(Table1[RespondentID],'All Data'!$A$3:$CW$999,99,FALSE),"unknown")</f>
        <v>0</v>
      </c>
    </row>
    <row r="9" spans="1:50">
      <c r="A9" s="5">
        <v>18025535944</v>
      </c>
      <c r="B9" s="5"/>
      <c r="C9" s="5"/>
      <c r="D9" s="5"/>
      <c r="E9" s="5"/>
      <c r="F9" s="5"/>
      <c r="G9" s="5"/>
      <c r="H9" s="5"/>
      <c r="I9" s="5"/>
      <c r="J9" s="5"/>
      <c r="K9" s="5"/>
      <c r="L9" s="5"/>
      <c r="M9" s="5"/>
      <c r="N9" s="5" t="s">
        <v>28</v>
      </c>
      <c r="O9" s="7"/>
      <c r="P9" s="7">
        <f t="shared" si="0"/>
        <v>1</v>
      </c>
      <c r="Q9" s="9">
        <f t="shared" si="1"/>
        <v>3</v>
      </c>
      <c r="R9" s="7"/>
      <c r="S9" s="7">
        <f t="shared" si="2"/>
        <v>0</v>
      </c>
      <c r="T9" s="7">
        <f t="shared" si="3"/>
        <v>0</v>
      </c>
      <c r="U9" s="7">
        <f t="shared" si="4"/>
        <v>0</v>
      </c>
      <c r="V9" s="119">
        <f t="shared" si="5"/>
        <v>0</v>
      </c>
      <c r="W9" s="119">
        <f t="shared" si="6"/>
        <v>0</v>
      </c>
      <c r="X9" s="119">
        <f t="shared" si="7"/>
        <v>0</v>
      </c>
      <c r="Y9" s="119">
        <f t="shared" si="8"/>
        <v>0</v>
      </c>
      <c r="Z9" s="119">
        <f t="shared" si="9"/>
        <v>0</v>
      </c>
      <c r="AA9" s="119">
        <f t="shared" si="10"/>
        <v>0</v>
      </c>
      <c r="AB9" s="119">
        <f t="shared" si="11"/>
        <v>0</v>
      </c>
      <c r="AC9" s="119">
        <f t="shared" si="12"/>
        <v>0</v>
      </c>
      <c r="AD9" s="119">
        <f t="shared" si="13"/>
        <v>0</v>
      </c>
      <c r="AE9" s="119">
        <f t="shared" si="14"/>
        <v>1</v>
      </c>
      <c r="AF9" s="7"/>
      <c r="AG9" s="7"/>
      <c r="AH9" s="7">
        <f t="shared" si="15"/>
        <v>1</v>
      </c>
      <c r="AI9" s="7">
        <f t="shared" si="16"/>
        <v>1</v>
      </c>
      <c r="AJ9" s="7" t="str">
        <f t="shared" si="17"/>
        <v>Correct</v>
      </c>
      <c r="AK9" s="7"/>
      <c r="AL9" s="120" t="str">
        <f>IFERROR(VLOOKUP(Table1[RespondentID],'All Data'!$A$3:$CO$999,87,FALSE),"unknown")</f>
        <v>Woman</v>
      </c>
      <c r="AM9" s="120">
        <f>IFERROR(VLOOKUP(Table1[RespondentID],'All Data'!$A$3:$CO$999,88,FALSE),"unknown")</f>
        <v>43</v>
      </c>
      <c r="AN9" s="120" t="str">
        <f>IFERROR(VLOOKUP(Table1[RespondentID],'All Data'!$A$3:$CO$999,89,FALSE),"unknown")</f>
        <v>Suffolk</v>
      </c>
      <c r="AO9" s="120" t="str">
        <f>IFERROR(VLOOKUP(Table1[RespondentID],'All Data'!$A$3:$CO$999,90,FALSE),"unknown")</f>
        <v>Ridge, 11961</v>
      </c>
      <c r="AP9" s="120" t="str">
        <f>IFERROR(VLOOKUP(Table1[RespondentID],'All Data'!$A$3:$CO$999,91,FALSE),"unknown")</f>
        <v>Asian</v>
      </c>
      <c r="AQ9" s="120" t="str">
        <f>IFERROR(VLOOKUP(Table1[RespondentID],'All Data'!$A$3:$CO$999,92,FALSE),"unknown")</f>
        <v>Not Hispanic or Latino</v>
      </c>
      <c r="AR9" s="120">
        <f>IFERROR(VLOOKUP(Table1[RespondentID],'All Data'!$A$3:$CO$999,93,FALSE),"unknown")</f>
        <v>0</v>
      </c>
      <c r="AS9" s="120" t="str">
        <f>IFERROR(VLOOKUP(Table1[RespondentID],'All Data'!$A$3:$CW$999,94,FALSE),"unknown")</f>
        <v>$75,000 to $125,000</v>
      </c>
      <c r="AT9" s="120" t="str">
        <f>IFERROR(VLOOKUP(Table1[RespondentID],'All Data'!$A$3:$CW$999,95,FALSE),"unknown")</f>
        <v>Other (please specify)</v>
      </c>
      <c r="AU9" s="120" t="str">
        <f>IFERROR(VLOOKUP(Table1[RespondentID],'All Data'!$A$3:$CW$999,96,FALSE),"unknown")</f>
        <v>Out of work and looking for work</v>
      </c>
      <c r="AV9" s="120" t="str">
        <f>IFERROR(VLOOKUP(Table1[RespondentID],'All Data'!$A$3:$CW$999,97,FALSE),"unknown")</f>
        <v>Yes</v>
      </c>
      <c r="AW9" s="120" t="str">
        <f>IFERROR(VLOOKUP(Table1[RespondentID],'All Data'!$A$3:$CW$999,98,FALSE),"unknown")</f>
        <v>Private/Commercial</v>
      </c>
      <c r="AX9" s="120">
        <f>IFERROR(VLOOKUP(Table1[RespondentID],'All Data'!$A$3:$CW$999,99,FALSE),"unknown")</f>
        <v>0</v>
      </c>
    </row>
    <row r="10" spans="1:50">
      <c r="A10" s="5">
        <v>18025535832</v>
      </c>
      <c r="B10" s="5"/>
      <c r="C10" s="5"/>
      <c r="D10" s="5"/>
      <c r="E10" s="5"/>
      <c r="F10" s="5"/>
      <c r="G10" s="5"/>
      <c r="H10" s="5"/>
      <c r="I10" s="5"/>
      <c r="J10" s="5"/>
      <c r="K10" s="5"/>
      <c r="L10" s="5"/>
      <c r="M10" s="5"/>
      <c r="N10" s="5"/>
      <c r="O10" s="7"/>
      <c r="P10" s="7">
        <f t="shared" si="0"/>
        <v>0</v>
      </c>
      <c r="Q10" s="8" t="e">
        <f t="shared" si="1"/>
        <v>#DIV/0!</v>
      </c>
      <c r="R10" s="7"/>
      <c r="S10" s="7">
        <f t="shared" si="2"/>
        <v>0</v>
      </c>
      <c r="T10" s="7">
        <f t="shared" si="3"/>
        <v>0</v>
      </c>
      <c r="U10" s="7">
        <f t="shared" si="4"/>
        <v>0</v>
      </c>
      <c r="V10" s="119">
        <f t="shared" si="5"/>
        <v>0</v>
      </c>
      <c r="W10" s="119">
        <f t="shared" si="6"/>
        <v>0</v>
      </c>
      <c r="X10" s="119">
        <f t="shared" si="7"/>
        <v>0</v>
      </c>
      <c r="Y10" s="119">
        <f t="shared" si="8"/>
        <v>0</v>
      </c>
      <c r="Z10" s="119">
        <f t="shared" si="9"/>
        <v>0</v>
      </c>
      <c r="AA10" s="119">
        <f t="shared" si="10"/>
        <v>0</v>
      </c>
      <c r="AB10" s="119">
        <f t="shared" si="11"/>
        <v>0</v>
      </c>
      <c r="AC10" s="119">
        <f t="shared" si="12"/>
        <v>0</v>
      </c>
      <c r="AD10" s="119">
        <f t="shared" si="13"/>
        <v>0</v>
      </c>
      <c r="AE10" s="119">
        <f t="shared" si="14"/>
        <v>0</v>
      </c>
      <c r="AF10" s="7"/>
      <c r="AG10" s="7"/>
      <c r="AH10" s="7">
        <f t="shared" si="15"/>
        <v>0</v>
      </c>
      <c r="AI10" s="7">
        <f t="shared" si="16"/>
        <v>0</v>
      </c>
      <c r="AJ10" s="7" t="str">
        <f t="shared" si="17"/>
        <v>Correct</v>
      </c>
      <c r="AK10" s="7"/>
      <c r="AL10" s="120" t="str">
        <f>IFERROR(VLOOKUP(Table1[RespondentID],'All Data'!$A$3:$CO$999,87,FALSE),"unknown")</f>
        <v>Woman</v>
      </c>
      <c r="AM10" s="120">
        <f>IFERROR(VLOOKUP(Table1[RespondentID],'All Data'!$A$3:$CO$999,88,FALSE),"unknown")</f>
        <v>20</v>
      </c>
      <c r="AN10" s="120" t="str">
        <f>IFERROR(VLOOKUP(Table1[RespondentID],'All Data'!$A$3:$CO$999,89,FALSE),"unknown")</f>
        <v>Suffolk</v>
      </c>
      <c r="AO10" s="120" t="str">
        <f>IFERROR(VLOOKUP(Table1[RespondentID],'All Data'!$A$3:$CO$999,90,FALSE),"unknown")</f>
        <v>Ridge, 11961</v>
      </c>
      <c r="AP10" s="120" t="str">
        <f>IFERROR(VLOOKUP(Table1[RespondentID],'All Data'!$A$3:$CO$999,91,FALSE),"unknown")</f>
        <v>Asian</v>
      </c>
      <c r="AQ10" s="120">
        <f>IFERROR(VLOOKUP(Table1[RespondentID],'All Data'!$A$3:$CO$999,92,FALSE),"unknown")</f>
        <v>0</v>
      </c>
      <c r="AR10" s="120">
        <f>IFERROR(VLOOKUP(Table1[RespondentID],'All Data'!$A$3:$CO$999,93,FALSE),"unknown")</f>
        <v>0</v>
      </c>
      <c r="AS10" s="120" t="str">
        <f>IFERROR(VLOOKUP(Table1[RespondentID],'All Data'!$A$3:$CW$999,94,FALSE),"unknown")</f>
        <v>$0-$19,999</v>
      </c>
      <c r="AT10" s="120" t="str">
        <f>IFERROR(VLOOKUP(Table1[RespondentID],'All Data'!$A$3:$CW$999,95,FALSE),"unknown")</f>
        <v>High school graduate</v>
      </c>
      <c r="AU10" s="120" t="str">
        <f>IFERROR(VLOOKUP(Table1[RespondentID],'All Data'!$A$3:$CW$999,96,FALSE),"unknown")</f>
        <v>Student</v>
      </c>
      <c r="AV10" s="120" t="str">
        <f>IFERROR(VLOOKUP(Table1[RespondentID],'All Data'!$A$3:$CW$999,97,FALSE),"unknown")</f>
        <v>Yes</v>
      </c>
      <c r="AW10" s="120" t="str">
        <f>IFERROR(VLOOKUP(Table1[RespondentID],'All Data'!$A$3:$CW$999,98,FALSE),"unknown")</f>
        <v>Medicare</v>
      </c>
      <c r="AX10" s="120">
        <f>IFERROR(VLOOKUP(Table1[RespondentID],'All Data'!$A$3:$CW$999,99,FALSE),"unknown")</f>
        <v>0</v>
      </c>
    </row>
    <row r="11" spans="1:50">
      <c r="A11" s="5">
        <v>18025535657</v>
      </c>
      <c r="B11" s="5"/>
      <c r="C11" s="5"/>
      <c r="D11" s="5"/>
      <c r="E11" s="5"/>
      <c r="F11" s="5"/>
      <c r="G11" s="5"/>
      <c r="H11" s="5"/>
      <c r="I11" s="5"/>
      <c r="J11" s="5"/>
      <c r="K11" s="5"/>
      <c r="L11" s="5"/>
      <c r="M11" s="5"/>
      <c r="N11" s="5"/>
      <c r="O11" s="7"/>
      <c r="P11" s="7">
        <f t="shared" si="0"/>
        <v>0</v>
      </c>
      <c r="Q11" s="9" t="e">
        <f t="shared" si="1"/>
        <v>#DIV/0!</v>
      </c>
      <c r="R11" s="7"/>
      <c r="S11" s="7">
        <f t="shared" si="2"/>
        <v>0</v>
      </c>
      <c r="T11" s="7">
        <f t="shared" si="3"/>
        <v>0</v>
      </c>
      <c r="U11" s="7">
        <f t="shared" si="4"/>
        <v>0</v>
      </c>
      <c r="V11" s="119">
        <f t="shared" si="5"/>
        <v>0</v>
      </c>
      <c r="W11" s="119">
        <f t="shared" si="6"/>
        <v>0</v>
      </c>
      <c r="X11" s="119">
        <f t="shared" si="7"/>
        <v>0</v>
      </c>
      <c r="Y11" s="119">
        <f t="shared" si="8"/>
        <v>0</v>
      </c>
      <c r="Z11" s="119">
        <f t="shared" si="9"/>
        <v>0</v>
      </c>
      <c r="AA11" s="119">
        <f t="shared" si="10"/>
        <v>0</v>
      </c>
      <c r="AB11" s="119">
        <f t="shared" si="11"/>
        <v>0</v>
      </c>
      <c r="AC11" s="119">
        <f t="shared" si="12"/>
        <v>0</v>
      </c>
      <c r="AD11" s="119">
        <f t="shared" si="13"/>
        <v>0</v>
      </c>
      <c r="AE11" s="119">
        <f t="shared" si="14"/>
        <v>0</v>
      </c>
      <c r="AF11" s="7"/>
      <c r="AG11" s="7"/>
      <c r="AH11" s="7">
        <f t="shared" si="15"/>
        <v>0</v>
      </c>
      <c r="AI11" s="7">
        <f t="shared" si="16"/>
        <v>0</v>
      </c>
      <c r="AJ11" s="7" t="str">
        <f t="shared" si="17"/>
        <v>Correct</v>
      </c>
      <c r="AK11" s="7"/>
      <c r="AL11" s="120">
        <f>IFERROR(VLOOKUP(Table1[RespondentID],'All Data'!$A$3:$CO$999,87,FALSE),"unknown")</f>
        <v>0</v>
      </c>
      <c r="AM11" s="120">
        <f>IFERROR(VLOOKUP(Table1[RespondentID],'All Data'!$A$3:$CO$999,88,FALSE),"unknown")</f>
        <v>17</v>
      </c>
      <c r="AN11" s="120" t="str">
        <f>IFERROR(VLOOKUP(Table1[RespondentID],'All Data'!$A$3:$CO$999,89,FALSE),"unknown")</f>
        <v>Suffolk</v>
      </c>
      <c r="AO11" s="120" t="str">
        <f>IFERROR(VLOOKUP(Table1[RespondentID],'All Data'!$A$3:$CO$999,90,FALSE),"unknown")</f>
        <v>Ridge, 11961</v>
      </c>
      <c r="AP11" s="120" t="str">
        <f>IFERROR(VLOOKUP(Table1[RespondentID],'All Data'!$A$3:$CO$999,91,FALSE),"unknown")</f>
        <v>Asian</v>
      </c>
      <c r="AQ11" s="120" t="str">
        <f>IFERROR(VLOOKUP(Table1[RespondentID],'All Data'!$A$3:$CO$999,92,FALSE),"unknown")</f>
        <v>Not Hispanic or Latino</v>
      </c>
      <c r="AR11" s="120">
        <f>IFERROR(VLOOKUP(Table1[RespondentID],'All Data'!$A$3:$CO$999,93,FALSE),"unknown")</f>
        <v>0</v>
      </c>
      <c r="AS11" s="120" t="str">
        <f>IFERROR(VLOOKUP(Table1[RespondentID],'All Data'!$A$3:$CW$999,94,FALSE),"unknown")</f>
        <v>$0-$19,999</v>
      </c>
      <c r="AT11" s="120" t="str">
        <f>IFERROR(VLOOKUP(Table1[RespondentID],'All Data'!$A$3:$CW$999,95,FALSE),"unknown")</f>
        <v>Some high school</v>
      </c>
      <c r="AU11" s="120" t="str">
        <f>IFERROR(VLOOKUP(Table1[RespondentID],'All Data'!$A$3:$CW$999,96,FALSE),"unknown")</f>
        <v>Out of work, but not currently looking</v>
      </c>
      <c r="AV11" s="120" t="str">
        <f>IFERROR(VLOOKUP(Table1[RespondentID],'All Data'!$A$3:$CW$999,97,FALSE),"unknown")</f>
        <v>Yes</v>
      </c>
      <c r="AW11" s="120" t="str">
        <f>IFERROR(VLOOKUP(Table1[RespondentID],'All Data'!$A$3:$CW$999,98,FALSE),"unknown")</f>
        <v>Medicare</v>
      </c>
      <c r="AX11" s="120">
        <f>IFERROR(VLOOKUP(Table1[RespondentID],'All Data'!$A$3:$CW$999,99,FALSE),"unknown")</f>
        <v>0</v>
      </c>
    </row>
    <row r="12" spans="1:50">
      <c r="A12" s="5">
        <v>18025535535</v>
      </c>
      <c r="B12" s="5"/>
      <c r="C12" s="5"/>
      <c r="D12" s="5"/>
      <c r="E12" s="5" t="s">
        <v>19</v>
      </c>
      <c r="F12" s="5"/>
      <c r="G12" s="5"/>
      <c r="H12" s="5"/>
      <c r="I12" s="5"/>
      <c r="J12" s="5"/>
      <c r="K12" s="5" t="s">
        <v>25</v>
      </c>
      <c r="L12" s="5" t="s">
        <v>26</v>
      </c>
      <c r="M12" s="5"/>
      <c r="N12" s="5"/>
      <c r="O12" s="7"/>
      <c r="P12" s="7">
        <f t="shared" si="0"/>
        <v>3</v>
      </c>
      <c r="Q12" s="8">
        <f t="shared" si="1"/>
        <v>1</v>
      </c>
      <c r="R12" s="7"/>
      <c r="S12" s="7">
        <f t="shared" si="2"/>
        <v>0</v>
      </c>
      <c r="T12" s="7">
        <f t="shared" si="3"/>
        <v>0</v>
      </c>
      <c r="U12" s="7">
        <f t="shared" si="4"/>
        <v>0</v>
      </c>
      <c r="V12" s="119">
        <f t="shared" si="5"/>
        <v>1</v>
      </c>
      <c r="W12" s="119">
        <f t="shared" si="6"/>
        <v>0</v>
      </c>
      <c r="X12" s="119">
        <f t="shared" si="7"/>
        <v>0</v>
      </c>
      <c r="Y12" s="119">
        <f t="shared" si="8"/>
        <v>0</v>
      </c>
      <c r="Z12" s="119">
        <f t="shared" si="9"/>
        <v>0</v>
      </c>
      <c r="AA12" s="119">
        <f t="shared" si="10"/>
        <v>0</v>
      </c>
      <c r="AB12" s="119">
        <f t="shared" si="11"/>
        <v>1</v>
      </c>
      <c r="AC12" s="119">
        <f t="shared" si="12"/>
        <v>1</v>
      </c>
      <c r="AD12" s="119">
        <f t="shared" si="13"/>
        <v>0</v>
      </c>
      <c r="AE12" s="119">
        <f t="shared" si="14"/>
        <v>0</v>
      </c>
      <c r="AF12" s="7"/>
      <c r="AG12" s="7"/>
      <c r="AH12" s="7">
        <f t="shared" si="15"/>
        <v>3</v>
      </c>
      <c r="AI12" s="7">
        <f t="shared" si="16"/>
        <v>3</v>
      </c>
      <c r="AJ12" s="7" t="str">
        <f t="shared" si="17"/>
        <v>Correct</v>
      </c>
      <c r="AK12" s="7"/>
      <c r="AL12" s="120" t="str">
        <f>IFERROR(VLOOKUP(Table1[RespondentID],'All Data'!$A$3:$CO$999,87,FALSE),"unknown")</f>
        <v>Woman</v>
      </c>
      <c r="AM12" s="120">
        <f>IFERROR(VLOOKUP(Table1[RespondentID],'All Data'!$A$3:$CO$999,88,FALSE),"unknown")</f>
        <v>38</v>
      </c>
      <c r="AN12" s="120" t="str">
        <f>IFERROR(VLOOKUP(Table1[RespondentID],'All Data'!$A$3:$CO$999,89,FALSE),"unknown")</f>
        <v>Suffolk</v>
      </c>
      <c r="AO12" s="120" t="str">
        <f>IFERROR(VLOOKUP(Table1[RespondentID],'All Data'!$A$3:$CO$999,90,FALSE),"unknown")</f>
        <v>Baiting Hollow, 11933</v>
      </c>
      <c r="AP12" s="120" t="str">
        <f>IFERROR(VLOOKUP(Table1[RespondentID],'All Data'!$A$3:$CO$999,91,FALSE),"unknown")</f>
        <v>White</v>
      </c>
      <c r="AQ12" s="120" t="str">
        <f>IFERROR(VLOOKUP(Table1[RespondentID],'All Data'!$A$3:$CO$999,92,FALSE),"unknown")</f>
        <v>Not Hispanic or Latino</v>
      </c>
      <c r="AR12" s="120" t="str">
        <f>IFERROR(VLOOKUP(Table1[RespondentID],'All Data'!$A$3:$CO$999,93,FALSE),"unknown")</f>
        <v>English</v>
      </c>
      <c r="AS12" s="120" t="str">
        <f>IFERROR(VLOOKUP(Table1[RespondentID],'All Data'!$A$3:$CW$999,94,FALSE),"unknown")</f>
        <v>Over $125,000</v>
      </c>
      <c r="AT12" s="120" t="str">
        <f>IFERROR(VLOOKUP(Table1[RespondentID],'All Data'!$A$3:$CW$999,95,FALSE),"unknown")</f>
        <v>Some college</v>
      </c>
      <c r="AU12" s="120" t="str">
        <f>IFERROR(VLOOKUP(Table1[RespondentID],'All Data'!$A$3:$CW$999,96,FALSE),"unknown")</f>
        <v>Employed for wages</v>
      </c>
      <c r="AV12" s="120" t="str">
        <f>IFERROR(VLOOKUP(Table1[RespondentID],'All Data'!$A$3:$CW$999,97,FALSE),"unknown")</f>
        <v>No</v>
      </c>
      <c r="AW12" s="120" t="str">
        <f>IFERROR(VLOOKUP(Table1[RespondentID],'All Data'!$A$3:$CW$999,98,FALSE),"unknown")</f>
        <v>Private/Commercial</v>
      </c>
      <c r="AX12" s="120">
        <f>IFERROR(VLOOKUP(Table1[RespondentID],'All Data'!$A$3:$CW$999,99,FALSE),"unknown")</f>
        <v>0</v>
      </c>
    </row>
    <row r="13" spans="1:50">
      <c r="A13" s="5">
        <v>18025535409</v>
      </c>
      <c r="B13" s="5" t="s">
        <v>16</v>
      </c>
      <c r="C13" s="5"/>
      <c r="D13" s="5"/>
      <c r="E13" s="5"/>
      <c r="F13" s="5"/>
      <c r="G13" s="5"/>
      <c r="H13" s="5"/>
      <c r="I13" s="5" t="s">
        <v>23</v>
      </c>
      <c r="J13" s="5"/>
      <c r="K13" s="5"/>
      <c r="L13" s="5"/>
      <c r="M13" s="5"/>
      <c r="N13" s="5" t="s">
        <v>28</v>
      </c>
      <c r="O13" s="7"/>
      <c r="P13" s="7">
        <f t="shared" si="0"/>
        <v>3</v>
      </c>
      <c r="Q13" s="9">
        <f t="shared" si="1"/>
        <v>1</v>
      </c>
      <c r="R13" s="7"/>
      <c r="S13" s="7">
        <f t="shared" si="2"/>
        <v>1</v>
      </c>
      <c r="T13" s="7">
        <f t="shared" si="3"/>
        <v>0</v>
      </c>
      <c r="U13" s="7">
        <f t="shared" si="4"/>
        <v>0</v>
      </c>
      <c r="V13" s="119">
        <f t="shared" si="5"/>
        <v>0</v>
      </c>
      <c r="W13" s="119">
        <f t="shared" si="6"/>
        <v>0</v>
      </c>
      <c r="X13" s="119">
        <f t="shared" si="7"/>
        <v>0</v>
      </c>
      <c r="Y13" s="119">
        <f t="shared" si="8"/>
        <v>0</v>
      </c>
      <c r="Z13" s="119">
        <f t="shared" si="9"/>
        <v>1</v>
      </c>
      <c r="AA13" s="119">
        <f t="shared" si="10"/>
        <v>0</v>
      </c>
      <c r="AB13" s="119">
        <f t="shared" si="11"/>
        <v>0</v>
      </c>
      <c r="AC13" s="119">
        <f t="shared" si="12"/>
        <v>0</v>
      </c>
      <c r="AD13" s="119">
        <f t="shared" si="13"/>
        <v>0</v>
      </c>
      <c r="AE13" s="119">
        <f t="shared" si="14"/>
        <v>1</v>
      </c>
      <c r="AF13" s="7"/>
      <c r="AG13" s="7"/>
      <c r="AH13" s="7">
        <f t="shared" si="15"/>
        <v>3</v>
      </c>
      <c r="AI13" s="7">
        <f t="shared" si="16"/>
        <v>3</v>
      </c>
      <c r="AJ13" s="7" t="str">
        <f t="shared" si="17"/>
        <v>Correct</v>
      </c>
      <c r="AK13" s="7"/>
      <c r="AL13" s="120" t="str">
        <f>IFERROR(VLOOKUP(Table1[RespondentID],'All Data'!$A$3:$CO$999,87,FALSE),"unknown")</f>
        <v>Woman</v>
      </c>
      <c r="AM13" s="120">
        <f>IFERROR(VLOOKUP(Table1[RespondentID],'All Data'!$A$3:$CO$999,88,FALSE),"unknown")</f>
        <v>51</v>
      </c>
      <c r="AN13" s="120" t="str">
        <f>IFERROR(VLOOKUP(Table1[RespondentID],'All Data'!$A$3:$CO$999,89,FALSE),"unknown")</f>
        <v>Suffolk</v>
      </c>
      <c r="AO13" s="120" t="str">
        <f>IFERROR(VLOOKUP(Table1[RespondentID],'All Data'!$A$3:$CO$999,90,FALSE),"unknown")</f>
        <v>Ridge, 11961</v>
      </c>
      <c r="AP13" s="120" t="str">
        <f>IFERROR(VLOOKUP(Table1[RespondentID],'All Data'!$A$3:$CO$999,91,FALSE),"unknown")</f>
        <v>White</v>
      </c>
      <c r="AQ13" s="120" t="str">
        <f>IFERROR(VLOOKUP(Table1[RespondentID],'All Data'!$A$3:$CO$999,92,FALSE),"unknown")</f>
        <v>Not Hispanic or Latino</v>
      </c>
      <c r="AR13" s="120" t="str">
        <f>IFERROR(VLOOKUP(Table1[RespondentID],'All Data'!$A$3:$CO$999,93,FALSE),"unknown")</f>
        <v>English</v>
      </c>
      <c r="AS13" s="120" t="str">
        <f>IFERROR(VLOOKUP(Table1[RespondentID],'All Data'!$A$3:$CW$999,94,FALSE),"unknown")</f>
        <v>Over $125,000</v>
      </c>
      <c r="AT13" s="120" t="str">
        <f>IFERROR(VLOOKUP(Table1[RespondentID],'All Data'!$A$3:$CW$999,95,FALSE),"unknown")</f>
        <v>High school graduate</v>
      </c>
      <c r="AU13" s="120" t="str">
        <f>IFERROR(VLOOKUP(Table1[RespondentID],'All Data'!$A$3:$CW$999,96,FALSE),"unknown")</f>
        <v>Employed for wages</v>
      </c>
      <c r="AV13" s="120" t="str">
        <f>IFERROR(VLOOKUP(Table1[RespondentID],'All Data'!$A$3:$CW$999,97,FALSE),"unknown")</f>
        <v>Yes</v>
      </c>
      <c r="AW13" s="120" t="str">
        <f>IFERROR(VLOOKUP(Table1[RespondentID],'All Data'!$A$3:$CW$999,98,FALSE),"unknown")</f>
        <v>Private/Commercial</v>
      </c>
      <c r="AX13" s="120">
        <f>IFERROR(VLOOKUP(Table1[RespondentID],'All Data'!$A$3:$CW$999,99,FALSE),"unknown")</f>
        <v>0</v>
      </c>
    </row>
    <row r="14" spans="1:50">
      <c r="A14" s="5">
        <v>18025535294</v>
      </c>
      <c r="B14" s="5"/>
      <c r="C14" s="5" t="s">
        <v>17</v>
      </c>
      <c r="D14" s="5"/>
      <c r="E14" s="5" t="s">
        <v>19</v>
      </c>
      <c r="F14" s="5"/>
      <c r="G14" s="5"/>
      <c r="H14" s="5"/>
      <c r="I14" s="5"/>
      <c r="J14" s="5"/>
      <c r="K14" s="5"/>
      <c r="L14" s="5"/>
      <c r="M14" s="5" t="s">
        <v>27</v>
      </c>
      <c r="N14" s="5"/>
      <c r="O14" s="7"/>
      <c r="P14" s="7">
        <f t="shared" si="0"/>
        <v>3</v>
      </c>
      <c r="Q14" s="8">
        <f t="shared" si="1"/>
        <v>1</v>
      </c>
      <c r="R14" s="7"/>
      <c r="S14" s="7">
        <f t="shared" si="2"/>
        <v>0</v>
      </c>
      <c r="T14" s="7">
        <f t="shared" si="3"/>
        <v>1</v>
      </c>
      <c r="U14" s="7">
        <f t="shared" si="4"/>
        <v>0</v>
      </c>
      <c r="V14" s="119">
        <f t="shared" si="5"/>
        <v>1</v>
      </c>
      <c r="W14" s="119">
        <f t="shared" si="6"/>
        <v>0</v>
      </c>
      <c r="X14" s="119">
        <f t="shared" si="7"/>
        <v>0</v>
      </c>
      <c r="Y14" s="119">
        <f t="shared" si="8"/>
        <v>0</v>
      </c>
      <c r="Z14" s="119">
        <f t="shared" si="9"/>
        <v>0</v>
      </c>
      <c r="AA14" s="119">
        <f t="shared" si="10"/>
        <v>0</v>
      </c>
      <c r="AB14" s="119">
        <f t="shared" si="11"/>
        <v>0</v>
      </c>
      <c r="AC14" s="119">
        <f t="shared" si="12"/>
        <v>0</v>
      </c>
      <c r="AD14" s="119">
        <f t="shared" si="13"/>
        <v>1</v>
      </c>
      <c r="AE14" s="119">
        <f t="shared" si="14"/>
        <v>0</v>
      </c>
      <c r="AF14" s="7"/>
      <c r="AG14" s="7"/>
      <c r="AH14" s="7">
        <f t="shared" si="15"/>
        <v>3</v>
      </c>
      <c r="AI14" s="7">
        <f t="shared" si="16"/>
        <v>3</v>
      </c>
      <c r="AJ14" s="7" t="str">
        <f t="shared" si="17"/>
        <v>Correct</v>
      </c>
      <c r="AK14" s="7"/>
      <c r="AL14" s="120" t="str">
        <f>IFERROR(VLOOKUP(Table1[RespondentID],'All Data'!$A$3:$CO$999,87,FALSE),"unknown")</f>
        <v>Woman</v>
      </c>
      <c r="AM14" s="120">
        <f>IFERROR(VLOOKUP(Table1[RespondentID],'All Data'!$A$3:$CO$999,88,FALSE),"unknown")</f>
        <v>59</v>
      </c>
      <c r="AN14" s="120" t="str">
        <f>IFERROR(VLOOKUP(Table1[RespondentID],'All Data'!$A$3:$CO$999,89,FALSE),"unknown")</f>
        <v>Suffolk</v>
      </c>
      <c r="AO14" s="120" t="str">
        <f>IFERROR(VLOOKUP(Table1[RespondentID],'All Data'!$A$3:$CO$999,90,FALSE),"unknown")</f>
        <v>Ridge, 11961</v>
      </c>
      <c r="AP14" s="120" t="str">
        <f>IFERROR(VLOOKUP(Table1[RespondentID],'All Data'!$A$3:$CO$999,91,FALSE),"unknown")</f>
        <v>White</v>
      </c>
      <c r="AQ14" s="120">
        <f>IFERROR(VLOOKUP(Table1[RespondentID],'All Data'!$A$3:$CO$999,92,FALSE),"unknown")</f>
        <v>0</v>
      </c>
      <c r="AR14" s="120" t="str">
        <f>IFERROR(VLOOKUP(Table1[RespondentID],'All Data'!$A$3:$CO$999,93,FALSE),"unknown")</f>
        <v>English</v>
      </c>
      <c r="AS14" s="120" t="str">
        <f>IFERROR(VLOOKUP(Table1[RespondentID],'All Data'!$A$3:$CW$999,94,FALSE),"unknown")</f>
        <v>$50,000 to $74,999</v>
      </c>
      <c r="AT14" s="120" t="str">
        <f>IFERROR(VLOOKUP(Table1[RespondentID],'All Data'!$A$3:$CW$999,95,FALSE),"unknown")</f>
        <v>High school graduate</v>
      </c>
      <c r="AU14" s="120" t="str">
        <f>IFERROR(VLOOKUP(Table1[RespondentID],'All Data'!$A$3:$CW$999,96,FALSE),"unknown")</f>
        <v>Retired</v>
      </c>
      <c r="AV14" s="120" t="str">
        <f>IFERROR(VLOOKUP(Table1[RespondentID],'All Data'!$A$3:$CW$999,97,FALSE),"unknown")</f>
        <v>Yes</v>
      </c>
      <c r="AW14" s="120" t="str">
        <f>IFERROR(VLOOKUP(Table1[RespondentID],'All Data'!$A$3:$CW$999,98,FALSE),"unknown")</f>
        <v>Medicare</v>
      </c>
      <c r="AX14" s="120">
        <f>IFERROR(VLOOKUP(Table1[RespondentID],'All Data'!$A$3:$CW$999,99,FALSE),"unknown")</f>
        <v>0</v>
      </c>
    </row>
    <row r="15" spans="1:50">
      <c r="A15" s="5">
        <v>18025535123</v>
      </c>
      <c r="B15" s="5"/>
      <c r="C15" s="5"/>
      <c r="D15" s="5"/>
      <c r="E15" s="5" t="s">
        <v>19</v>
      </c>
      <c r="F15" s="5"/>
      <c r="G15" s="5"/>
      <c r="H15" s="5"/>
      <c r="I15" s="5" t="s">
        <v>23</v>
      </c>
      <c r="J15" s="5"/>
      <c r="K15" s="5"/>
      <c r="L15" s="5"/>
      <c r="M15" s="5"/>
      <c r="N15" s="5"/>
      <c r="O15" s="7"/>
      <c r="P15" s="7">
        <f t="shared" si="0"/>
        <v>2</v>
      </c>
      <c r="Q15" s="9">
        <f t="shared" si="1"/>
        <v>1.5</v>
      </c>
      <c r="R15" s="7"/>
      <c r="S15" s="7">
        <f t="shared" si="2"/>
        <v>0</v>
      </c>
      <c r="T15" s="7">
        <f t="shared" si="3"/>
        <v>0</v>
      </c>
      <c r="U15" s="7">
        <f t="shared" si="4"/>
        <v>0</v>
      </c>
      <c r="V15" s="119">
        <f t="shared" si="5"/>
        <v>1</v>
      </c>
      <c r="W15" s="119">
        <f t="shared" si="6"/>
        <v>0</v>
      </c>
      <c r="X15" s="119">
        <f t="shared" si="7"/>
        <v>0</v>
      </c>
      <c r="Y15" s="119">
        <f t="shared" si="8"/>
        <v>0</v>
      </c>
      <c r="Z15" s="119">
        <f t="shared" si="9"/>
        <v>1</v>
      </c>
      <c r="AA15" s="119">
        <f t="shared" si="10"/>
        <v>0</v>
      </c>
      <c r="AB15" s="119">
        <f t="shared" si="11"/>
        <v>0</v>
      </c>
      <c r="AC15" s="119">
        <f t="shared" si="12"/>
        <v>0</v>
      </c>
      <c r="AD15" s="119">
        <f t="shared" si="13"/>
        <v>0</v>
      </c>
      <c r="AE15" s="119">
        <f t="shared" si="14"/>
        <v>0</v>
      </c>
      <c r="AF15" s="7"/>
      <c r="AG15" s="7"/>
      <c r="AH15" s="7">
        <f t="shared" si="15"/>
        <v>2</v>
      </c>
      <c r="AI15" s="7">
        <f t="shared" si="16"/>
        <v>2</v>
      </c>
      <c r="AJ15" s="7" t="str">
        <f t="shared" si="17"/>
        <v>Correct</v>
      </c>
      <c r="AK15" s="7"/>
      <c r="AL15" s="120" t="str">
        <f>IFERROR(VLOOKUP(Table1[RespondentID],'All Data'!$A$3:$CO$999,87,FALSE),"unknown")</f>
        <v>Woman</v>
      </c>
      <c r="AM15" s="120">
        <f>IFERROR(VLOOKUP(Table1[RespondentID],'All Data'!$A$3:$CO$999,88,FALSE),"unknown")</f>
        <v>24</v>
      </c>
      <c r="AN15" s="120" t="str">
        <f>IFERROR(VLOOKUP(Table1[RespondentID],'All Data'!$A$3:$CO$999,89,FALSE),"unknown")</f>
        <v>Suffolk</v>
      </c>
      <c r="AO15" s="120" t="str">
        <f>IFERROR(VLOOKUP(Table1[RespondentID],'All Data'!$A$3:$CO$999,90,FALSE),"unknown")</f>
        <v>Peconic, 11958</v>
      </c>
      <c r="AP15" s="120" t="str">
        <f>IFERROR(VLOOKUP(Table1[RespondentID],'All Data'!$A$3:$CO$999,91,FALSE),"unknown")</f>
        <v>Two or more races</v>
      </c>
      <c r="AQ15" s="120" t="str">
        <f>IFERROR(VLOOKUP(Table1[RespondentID],'All Data'!$A$3:$CO$999,92,FALSE),"unknown")</f>
        <v>Not Hispanic or Latino</v>
      </c>
      <c r="AR15" s="120" t="str">
        <f>IFERROR(VLOOKUP(Table1[RespondentID],'All Data'!$A$3:$CO$999,93,FALSE),"unknown")</f>
        <v>French Creole</v>
      </c>
      <c r="AS15" s="120" t="str">
        <f>IFERROR(VLOOKUP(Table1[RespondentID],'All Data'!$A$3:$CW$999,94,FALSE),"unknown")</f>
        <v>$75,000 to $125,000</v>
      </c>
      <c r="AT15" s="120" t="str">
        <f>IFERROR(VLOOKUP(Table1[RespondentID],'All Data'!$A$3:$CW$999,95,FALSE),"unknown")</f>
        <v>Doctorate</v>
      </c>
      <c r="AU15" s="120" t="str">
        <f>IFERROR(VLOOKUP(Table1[RespondentID],'All Data'!$A$3:$CW$999,96,FALSE),"unknown")</f>
        <v>Employed for wages</v>
      </c>
      <c r="AV15" s="120" t="str">
        <f>IFERROR(VLOOKUP(Table1[RespondentID],'All Data'!$A$3:$CW$999,97,FALSE),"unknown")</f>
        <v>Yes</v>
      </c>
      <c r="AW15" s="120">
        <f>IFERROR(VLOOKUP(Table1[RespondentID],'All Data'!$A$3:$CW$999,98,FALSE),"unknown")</f>
        <v>0</v>
      </c>
      <c r="AX15" s="120">
        <f>IFERROR(VLOOKUP(Table1[RespondentID],'All Data'!$A$3:$CW$999,99,FALSE),"unknown")</f>
        <v>0</v>
      </c>
    </row>
    <row r="16" spans="1:50">
      <c r="A16" s="5">
        <v>18025534952</v>
      </c>
      <c r="B16" s="5"/>
      <c r="C16" s="5"/>
      <c r="D16" s="5"/>
      <c r="E16" s="5" t="s">
        <v>19</v>
      </c>
      <c r="F16" s="5"/>
      <c r="G16" s="5"/>
      <c r="H16" s="5"/>
      <c r="I16" s="5" t="s">
        <v>23</v>
      </c>
      <c r="J16" s="5"/>
      <c r="K16" s="5"/>
      <c r="L16" s="5"/>
      <c r="M16" s="5"/>
      <c r="N16" s="5"/>
      <c r="O16" s="7"/>
      <c r="P16" s="7">
        <f t="shared" si="0"/>
        <v>2</v>
      </c>
      <c r="Q16" s="8">
        <f t="shared" si="1"/>
        <v>1.5</v>
      </c>
      <c r="R16" s="7"/>
      <c r="S16" s="7">
        <f t="shared" si="2"/>
        <v>0</v>
      </c>
      <c r="T16" s="7">
        <f t="shared" si="3"/>
        <v>0</v>
      </c>
      <c r="U16" s="7">
        <f t="shared" si="4"/>
        <v>0</v>
      </c>
      <c r="V16" s="119">
        <f t="shared" si="5"/>
        <v>1</v>
      </c>
      <c r="W16" s="119">
        <f t="shared" si="6"/>
        <v>0</v>
      </c>
      <c r="X16" s="119">
        <f t="shared" si="7"/>
        <v>0</v>
      </c>
      <c r="Y16" s="119">
        <f t="shared" si="8"/>
        <v>0</v>
      </c>
      <c r="Z16" s="119">
        <f t="shared" si="9"/>
        <v>1</v>
      </c>
      <c r="AA16" s="119">
        <f t="shared" si="10"/>
        <v>0</v>
      </c>
      <c r="AB16" s="119">
        <f t="shared" si="11"/>
        <v>0</v>
      </c>
      <c r="AC16" s="119">
        <f t="shared" si="12"/>
        <v>0</v>
      </c>
      <c r="AD16" s="119">
        <f t="shared" si="13"/>
        <v>0</v>
      </c>
      <c r="AE16" s="119">
        <f t="shared" si="14"/>
        <v>0</v>
      </c>
      <c r="AF16" s="7"/>
      <c r="AG16" s="7"/>
      <c r="AH16" s="7">
        <f t="shared" si="15"/>
        <v>2</v>
      </c>
      <c r="AI16" s="7">
        <f t="shared" si="16"/>
        <v>2</v>
      </c>
      <c r="AJ16" s="7" t="str">
        <f t="shared" si="17"/>
        <v>Correct</v>
      </c>
      <c r="AK16" s="7"/>
      <c r="AL16" s="120" t="str">
        <f>IFERROR(VLOOKUP(Table1[RespondentID],'All Data'!$A$3:$CO$999,87,FALSE),"unknown")</f>
        <v>Woman</v>
      </c>
      <c r="AM16" s="120">
        <f>IFERROR(VLOOKUP(Table1[RespondentID],'All Data'!$A$3:$CO$999,88,FALSE),"unknown")</f>
        <v>31</v>
      </c>
      <c r="AN16" s="120" t="str">
        <f>IFERROR(VLOOKUP(Table1[RespondentID],'All Data'!$A$3:$CO$999,89,FALSE),"unknown")</f>
        <v>Suffolk</v>
      </c>
      <c r="AO16" s="120" t="str">
        <f>IFERROR(VLOOKUP(Table1[RespondentID],'All Data'!$A$3:$CO$999,90,FALSE),"unknown")</f>
        <v>Patchogue, 11772</v>
      </c>
      <c r="AP16" s="120" t="str">
        <f>IFERROR(VLOOKUP(Table1[RespondentID],'All Data'!$A$3:$CO$999,91,FALSE),"unknown")</f>
        <v>White</v>
      </c>
      <c r="AQ16" s="120">
        <f>IFERROR(VLOOKUP(Table1[RespondentID],'All Data'!$A$3:$CO$999,92,FALSE),"unknown")</f>
        <v>0</v>
      </c>
      <c r="AR16" s="120" t="str">
        <f>IFERROR(VLOOKUP(Table1[RespondentID],'All Data'!$A$3:$CO$999,93,FALSE),"unknown")</f>
        <v>English</v>
      </c>
      <c r="AS16" s="120" t="str">
        <f>IFERROR(VLOOKUP(Table1[RespondentID],'All Data'!$A$3:$CW$999,94,FALSE),"unknown")</f>
        <v>Over $125,000</v>
      </c>
      <c r="AT16" s="120" t="str">
        <f>IFERROR(VLOOKUP(Table1[RespondentID],'All Data'!$A$3:$CW$999,95,FALSE),"unknown")</f>
        <v>College graduate</v>
      </c>
      <c r="AU16" s="120" t="str">
        <f>IFERROR(VLOOKUP(Table1[RespondentID],'All Data'!$A$3:$CW$999,96,FALSE),"unknown")</f>
        <v>Employed for wages</v>
      </c>
      <c r="AV16" s="120" t="str">
        <f>IFERROR(VLOOKUP(Table1[RespondentID],'All Data'!$A$3:$CW$999,97,FALSE),"unknown")</f>
        <v>Yes</v>
      </c>
      <c r="AW16" s="120" t="str">
        <f>IFERROR(VLOOKUP(Table1[RespondentID],'All Data'!$A$3:$CW$999,98,FALSE),"unknown")</f>
        <v>Private/Commercial</v>
      </c>
      <c r="AX16" s="120">
        <f>IFERROR(VLOOKUP(Table1[RespondentID],'All Data'!$A$3:$CW$999,99,FALSE),"unknown")</f>
        <v>0</v>
      </c>
    </row>
    <row r="17" spans="1:50">
      <c r="A17" s="5">
        <v>18025534839</v>
      </c>
      <c r="B17" s="5"/>
      <c r="C17" s="5"/>
      <c r="D17" s="5"/>
      <c r="E17" s="5" t="s">
        <v>19</v>
      </c>
      <c r="F17" s="5"/>
      <c r="G17" s="5"/>
      <c r="H17" s="5"/>
      <c r="I17" s="5"/>
      <c r="J17" s="5"/>
      <c r="K17" s="5" t="s">
        <v>25</v>
      </c>
      <c r="L17" s="5"/>
      <c r="M17" s="5"/>
      <c r="N17" s="5" t="s">
        <v>28</v>
      </c>
      <c r="O17" s="7"/>
      <c r="P17" s="7">
        <f t="shared" si="0"/>
        <v>3</v>
      </c>
      <c r="Q17" s="9">
        <f t="shared" si="1"/>
        <v>1</v>
      </c>
      <c r="R17" s="7"/>
      <c r="S17" s="7">
        <f t="shared" si="2"/>
        <v>0</v>
      </c>
      <c r="T17" s="7">
        <f t="shared" si="3"/>
        <v>0</v>
      </c>
      <c r="U17" s="7">
        <f t="shared" si="4"/>
        <v>0</v>
      </c>
      <c r="V17" s="119">
        <f t="shared" si="5"/>
        <v>1</v>
      </c>
      <c r="W17" s="119">
        <f t="shared" si="6"/>
        <v>0</v>
      </c>
      <c r="X17" s="119">
        <f t="shared" si="7"/>
        <v>0</v>
      </c>
      <c r="Y17" s="119">
        <f t="shared" si="8"/>
        <v>0</v>
      </c>
      <c r="Z17" s="119">
        <f t="shared" si="9"/>
        <v>0</v>
      </c>
      <c r="AA17" s="119">
        <f t="shared" si="10"/>
        <v>0</v>
      </c>
      <c r="AB17" s="119">
        <f t="shared" si="11"/>
        <v>1</v>
      </c>
      <c r="AC17" s="119">
        <f t="shared" si="12"/>
        <v>0</v>
      </c>
      <c r="AD17" s="119">
        <f t="shared" si="13"/>
        <v>0</v>
      </c>
      <c r="AE17" s="119">
        <f t="shared" si="14"/>
        <v>1</v>
      </c>
      <c r="AF17" s="7"/>
      <c r="AG17" s="7"/>
      <c r="AH17" s="7">
        <f t="shared" si="15"/>
        <v>3</v>
      </c>
      <c r="AI17" s="7">
        <f t="shared" si="16"/>
        <v>3</v>
      </c>
      <c r="AJ17" s="7" t="str">
        <f t="shared" si="17"/>
        <v>Correct</v>
      </c>
      <c r="AK17" s="7"/>
      <c r="AL17" s="120" t="str">
        <f>IFERROR(VLOOKUP(Table1[RespondentID],'All Data'!$A$3:$CO$999,87,FALSE),"unknown")</f>
        <v>Woman</v>
      </c>
      <c r="AM17" s="120">
        <f>IFERROR(VLOOKUP(Table1[RespondentID],'All Data'!$A$3:$CO$999,88,FALSE),"unknown")</f>
        <v>57</v>
      </c>
      <c r="AN17" s="120" t="str">
        <f>IFERROR(VLOOKUP(Table1[RespondentID],'All Data'!$A$3:$CO$999,89,FALSE),"unknown")</f>
        <v>Suffolk</v>
      </c>
      <c r="AO17" s="120" t="str">
        <f>IFERROR(VLOOKUP(Table1[RespondentID],'All Data'!$A$3:$CO$999,90,FALSE),"unknown")</f>
        <v>Ronkonkoma, 11779</v>
      </c>
      <c r="AP17" s="120" t="str">
        <f>IFERROR(VLOOKUP(Table1[RespondentID],'All Data'!$A$3:$CO$999,91,FALSE),"unknown")</f>
        <v>White</v>
      </c>
      <c r="AQ17" s="120" t="str">
        <f>IFERROR(VLOOKUP(Table1[RespondentID],'All Data'!$A$3:$CO$999,92,FALSE),"unknown")</f>
        <v>Not Hispanic or Latino</v>
      </c>
      <c r="AR17" s="120" t="str">
        <f>IFERROR(VLOOKUP(Table1[RespondentID],'All Data'!$A$3:$CO$999,93,FALSE),"unknown")</f>
        <v>English</v>
      </c>
      <c r="AS17" s="120" t="str">
        <f>IFERROR(VLOOKUP(Table1[RespondentID],'All Data'!$A$3:$CW$999,94,FALSE),"unknown")</f>
        <v>Over $125,000</v>
      </c>
      <c r="AT17" s="120" t="str">
        <f>IFERROR(VLOOKUP(Table1[RespondentID],'All Data'!$A$3:$CW$999,95,FALSE),"unknown")</f>
        <v>Technical school</v>
      </c>
      <c r="AU17" s="120" t="str">
        <f>IFERROR(VLOOKUP(Table1[RespondentID],'All Data'!$A$3:$CW$999,96,FALSE),"unknown")</f>
        <v>Employed for wages</v>
      </c>
      <c r="AV17" s="120" t="str">
        <f>IFERROR(VLOOKUP(Table1[RespondentID],'All Data'!$A$3:$CW$999,97,FALSE),"unknown")</f>
        <v>Yes</v>
      </c>
      <c r="AW17" s="120" t="str">
        <f>IFERROR(VLOOKUP(Table1[RespondentID],'All Data'!$A$3:$CW$999,98,FALSE),"unknown")</f>
        <v>Private/Commercial</v>
      </c>
      <c r="AX17" s="120">
        <f>IFERROR(VLOOKUP(Table1[RespondentID],'All Data'!$A$3:$CW$999,99,FALSE),"unknown")</f>
        <v>0</v>
      </c>
    </row>
    <row r="18" spans="1:50">
      <c r="A18" s="5">
        <v>18025534704</v>
      </c>
      <c r="B18" s="5"/>
      <c r="C18" s="5" t="s">
        <v>17</v>
      </c>
      <c r="D18" s="5"/>
      <c r="E18" s="5"/>
      <c r="F18" s="5"/>
      <c r="G18" s="5"/>
      <c r="H18" s="5"/>
      <c r="I18" s="5"/>
      <c r="J18" s="5"/>
      <c r="K18" s="5"/>
      <c r="L18" s="5"/>
      <c r="M18" s="5"/>
      <c r="N18" s="5"/>
      <c r="O18" s="7"/>
      <c r="P18" s="7">
        <f t="shared" si="0"/>
        <v>1</v>
      </c>
      <c r="Q18" s="8">
        <f t="shared" si="1"/>
        <v>3</v>
      </c>
      <c r="R18" s="7"/>
      <c r="S18" s="7">
        <f t="shared" si="2"/>
        <v>0</v>
      </c>
      <c r="T18" s="7">
        <f t="shared" si="3"/>
        <v>1</v>
      </c>
      <c r="U18" s="7">
        <f t="shared" si="4"/>
        <v>0</v>
      </c>
      <c r="V18" s="119">
        <f t="shared" si="5"/>
        <v>0</v>
      </c>
      <c r="W18" s="119">
        <f t="shared" si="6"/>
        <v>0</v>
      </c>
      <c r="X18" s="119">
        <f t="shared" si="7"/>
        <v>0</v>
      </c>
      <c r="Y18" s="119">
        <f t="shared" si="8"/>
        <v>0</v>
      </c>
      <c r="Z18" s="119">
        <f t="shared" si="9"/>
        <v>0</v>
      </c>
      <c r="AA18" s="119">
        <f t="shared" si="10"/>
        <v>0</v>
      </c>
      <c r="AB18" s="119">
        <f t="shared" si="11"/>
        <v>0</v>
      </c>
      <c r="AC18" s="119">
        <f t="shared" si="12"/>
        <v>0</v>
      </c>
      <c r="AD18" s="119">
        <f t="shared" si="13"/>
        <v>0</v>
      </c>
      <c r="AE18" s="119">
        <f t="shared" si="14"/>
        <v>0</v>
      </c>
      <c r="AF18" s="7"/>
      <c r="AG18" s="7"/>
      <c r="AH18" s="7">
        <f t="shared" si="15"/>
        <v>1</v>
      </c>
      <c r="AI18" s="7">
        <f t="shared" si="16"/>
        <v>1</v>
      </c>
      <c r="AJ18" s="7" t="str">
        <f t="shared" si="17"/>
        <v>Correct</v>
      </c>
      <c r="AK18" s="7"/>
      <c r="AL18" s="120" t="str">
        <f>IFERROR(VLOOKUP(Table1[RespondentID],'All Data'!$A$3:$CO$999,87,FALSE),"unknown")</f>
        <v>Man</v>
      </c>
      <c r="AM18" s="120">
        <f>IFERROR(VLOOKUP(Table1[RespondentID],'All Data'!$A$3:$CO$999,88,FALSE),"unknown")</f>
        <v>48</v>
      </c>
      <c r="AN18" s="120" t="str">
        <f>IFERROR(VLOOKUP(Table1[RespondentID],'All Data'!$A$3:$CO$999,89,FALSE),"unknown")</f>
        <v>Suffolk</v>
      </c>
      <c r="AO18" s="120" t="str">
        <f>IFERROR(VLOOKUP(Table1[RespondentID],'All Data'!$A$3:$CO$999,90,FALSE),"unknown")</f>
        <v>Ridge, 11961</v>
      </c>
      <c r="AP18" s="120" t="str">
        <f>IFERROR(VLOOKUP(Table1[RespondentID],'All Data'!$A$3:$CO$999,91,FALSE),"unknown")</f>
        <v>White</v>
      </c>
      <c r="AQ18" s="120" t="str">
        <f>IFERROR(VLOOKUP(Table1[RespondentID],'All Data'!$A$3:$CO$999,92,FALSE),"unknown")</f>
        <v>Not Hispanic or Latino</v>
      </c>
      <c r="AR18" s="120" t="str">
        <f>IFERROR(VLOOKUP(Table1[RespondentID],'All Data'!$A$3:$CO$999,93,FALSE),"unknown")</f>
        <v>English</v>
      </c>
      <c r="AS18" s="120" t="str">
        <f>IFERROR(VLOOKUP(Table1[RespondentID],'All Data'!$A$3:$CW$999,94,FALSE),"unknown")</f>
        <v>Over $125,000</v>
      </c>
      <c r="AT18" s="120" t="str">
        <f>IFERROR(VLOOKUP(Table1[RespondentID],'All Data'!$A$3:$CW$999,95,FALSE),"unknown")</f>
        <v>High school graduate</v>
      </c>
      <c r="AU18" s="120" t="str">
        <f>IFERROR(VLOOKUP(Table1[RespondentID],'All Data'!$A$3:$CW$999,96,FALSE),"unknown")</f>
        <v>Retired</v>
      </c>
      <c r="AV18" s="120" t="str">
        <f>IFERROR(VLOOKUP(Table1[RespondentID],'All Data'!$A$3:$CW$999,97,FALSE),"unknown")</f>
        <v>Yes</v>
      </c>
      <c r="AW18" s="120" t="str">
        <f>IFERROR(VLOOKUP(Table1[RespondentID],'All Data'!$A$3:$CW$999,98,FALSE),"unknown")</f>
        <v>Private/Commercial</v>
      </c>
      <c r="AX18" s="120">
        <f>IFERROR(VLOOKUP(Table1[RespondentID],'All Data'!$A$3:$CW$999,99,FALSE),"unknown")</f>
        <v>0</v>
      </c>
    </row>
    <row r="19" spans="1:50">
      <c r="A19" s="5">
        <v>18025534585</v>
      </c>
      <c r="B19" s="5"/>
      <c r="C19" s="5"/>
      <c r="D19" s="5"/>
      <c r="E19" s="5"/>
      <c r="F19" s="5"/>
      <c r="G19" s="5"/>
      <c r="H19" s="5"/>
      <c r="I19" s="5" t="s">
        <v>23</v>
      </c>
      <c r="J19" s="5" t="s">
        <v>24</v>
      </c>
      <c r="K19" s="5" t="s">
        <v>25</v>
      </c>
      <c r="L19" s="5"/>
      <c r="M19" s="5"/>
      <c r="N19" s="5"/>
      <c r="O19" s="7"/>
      <c r="P19" s="7">
        <f t="shared" si="0"/>
        <v>3</v>
      </c>
      <c r="Q19" s="9">
        <f t="shared" si="1"/>
        <v>1</v>
      </c>
      <c r="R19" s="7"/>
      <c r="S19" s="7">
        <f t="shared" si="2"/>
        <v>0</v>
      </c>
      <c r="T19" s="7">
        <f t="shared" si="3"/>
        <v>0</v>
      </c>
      <c r="U19" s="7">
        <f t="shared" si="4"/>
        <v>0</v>
      </c>
      <c r="V19" s="119">
        <f t="shared" si="5"/>
        <v>0</v>
      </c>
      <c r="W19" s="119">
        <f t="shared" si="6"/>
        <v>0</v>
      </c>
      <c r="X19" s="119">
        <f t="shared" si="7"/>
        <v>0</v>
      </c>
      <c r="Y19" s="119">
        <f t="shared" si="8"/>
        <v>0</v>
      </c>
      <c r="Z19" s="119">
        <f t="shared" si="9"/>
        <v>1</v>
      </c>
      <c r="AA19" s="119">
        <f t="shared" si="10"/>
        <v>1</v>
      </c>
      <c r="AB19" s="119">
        <f t="shared" si="11"/>
        <v>1</v>
      </c>
      <c r="AC19" s="119">
        <f t="shared" si="12"/>
        <v>0</v>
      </c>
      <c r="AD19" s="119">
        <f t="shared" si="13"/>
        <v>0</v>
      </c>
      <c r="AE19" s="119">
        <f t="shared" si="14"/>
        <v>0</v>
      </c>
      <c r="AF19" s="7"/>
      <c r="AG19" s="7"/>
      <c r="AH19" s="7">
        <f t="shared" si="15"/>
        <v>3</v>
      </c>
      <c r="AI19" s="7">
        <f t="shared" si="16"/>
        <v>3</v>
      </c>
      <c r="AJ19" s="7" t="str">
        <f t="shared" si="17"/>
        <v>Correct</v>
      </c>
      <c r="AK19" s="7"/>
      <c r="AL19" s="120" t="str">
        <f>IFERROR(VLOOKUP(Table1[RespondentID],'All Data'!$A$3:$CO$999,87,FALSE),"unknown")</f>
        <v>Woman</v>
      </c>
      <c r="AM19" s="120">
        <f>IFERROR(VLOOKUP(Table1[RespondentID],'All Data'!$A$3:$CO$999,88,FALSE),"unknown")</f>
        <v>84</v>
      </c>
      <c r="AN19" s="120" t="str">
        <f>IFERROR(VLOOKUP(Table1[RespondentID],'All Data'!$A$3:$CO$999,89,FALSE),"unknown")</f>
        <v>Suffolk</v>
      </c>
      <c r="AO19" s="120" t="str">
        <f>IFERROR(VLOOKUP(Table1[RespondentID],'All Data'!$A$3:$CO$999,90,FALSE),"unknown")</f>
        <v>Selden, 11784</v>
      </c>
      <c r="AP19" s="120">
        <f>IFERROR(VLOOKUP(Table1[RespondentID],'All Data'!$A$3:$CO$999,91,FALSE),"unknown")</f>
        <v>0</v>
      </c>
      <c r="AQ19" s="120">
        <f>IFERROR(VLOOKUP(Table1[RespondentID],'All Data'!$A$3:$CO$999,92,FALSE),"unknown")</f>
        <v>0</v>
      </c>
      <c r="AR19" s="120" t="str">
        <f>IFERROR(VLOOKUP(Table1[RespondentID],'All Data'!$A$3:$CO$999,93,FALSE),"unknown")</f>
        <v>English</v>
      </c>
      <c r="AS19" s="120" t="str">
        <f>IFERROR(VLOOKUP(Table1[RespondentID],'All Data'!$A$3:$CW$999,94,FALSE),"unknown")</f>
        <v>$0-$19,999</v>
      </c>
      <c r="AT19" s="120" t="str">
        <f>IFERROR(VLOOKUP(Table1[RespondentID],'All Data'!$A$3:$CW$999,95,FALSE),"unknown")</f>
        <v>Technical school</v>
      </c>
      <c r="AU19" s="120" t="str">
        <f>IFERROR(VLOOKUP(Table1[RespondentID],'All Data'!$A$3:$CW$999,96,FALSE),"unknown")</f>
        <v>Retired</v>
      </c>
      <c r="AV19" s="120" t="str">
        <f>IFERROR(VLOOKUP(Table1[RespondentID],'All Data'!$A$3:$CW$999,97,FALSE),"unknown")</f>
        <v>Yes</v>
      </c>
      <c r="AW19" s="120" t="str">
        <f>IFERROR(VLOOKUP(Table1[RespondentID],'All Data'!$A$3:$CW$999,98,FALSE),"unknown")</f>
        <v>Medicare</v>
      </c>
      <c r="AX19" s="120">
        <f>IFERROR(VLOOKUP(Table1[RespondentID],'All Data'!$A$3:$CW$999,99,FALSE),"unknown")</f>
        <v>0</v>
      </c>
    </row>
    <row r="20" spans="1:50">
      <c r="A20" s="5">
        <v>18025500754</v>
      </c>
      <c r="B20" s="5"/>
      <c r="C20" s="5" t="s">
        <v>17</v>
      </c>
      <c r="D20" s="5"/>
      <c r="E20" s="5"/>
      <c r="F20" s="5"/>
      <c r="G20" s="5"/>
      <c r="H20" s="5"/>
      <c r="I20" s="5"/>
      <c r="J20" s="5"/>
      <c r="K20" s="5"/>
      <c r="L20" s="5"/>
      <c r="M20" s="5"/>
      <c r="N20" s="5"/>
      <c r="O20" s="7"/>
      <c r="P20" s="7">
        <f t="shared" si="0"/>
        <v>1</v>
      </c>
      <c r="Q20" s="8">
        <f t="shared" si="1"/>
        <v>3</v>
      </c>
      <c r="R20" s="7"/>
      <c r="S20" s="7">
        <f t="shared" si="2"/>
        <v>0</v>
      </c>
      <c r="T20" s="7">
        <f t="shared" si="3"/>
        <v>1</v>
      </c>
      <c r="U20" s="7">
        <f t="shared" si="4"/>
        <v>0</v>
      </c>
      <c r="V20" s="119">
        <f t="shared" si="5"/>
        <v>0</v>
      </c>
      <c r="W20" s="119">
        <f t="shared" si="6"/>
        <v>0</v>
      </c>
      <c r="X20" s="119">
        <f t="shared" si="7"/>
        <v>0</v>
      </c>
      <c r="Y20" s="119">
        <f t="shared" si="8"/>
        <v>0</v>
      </c>
      <c r="Z20" s="119">
        <f t="shared" si="9"/>
        <v>0</v>
      </c>
      <c r="AA20" s="119">
        <f t="shared" si="10"/>
        <v>0</v>
      </c>
      <c r="AB20" s="119">
        <f t="shared" si="11"/>
        <v>0</v>
      </c>
      <c r="AC20" s="119">
        <f t="shared" si="12"/>
        <v>0</v>
      </c>
      <c r="AD20" s="119">
        <f t="shared" si="13"/>
        <v>0</v>
      </c>
      <c r="AE20" s="119">
        <f t="shared" si="14"/>
        <v>0</v>
      </c>
      <c r="AF20" s="7"/>
      <c r="AG20" s="7"/>
      <c r="AH20" s="7">
        <f t="shared" si="15"/>
        <v>1</v>
      </c>
      <c r="AI20" s="7">
        <f t="shared" si="16"/>
        <v>1</v>
      </c>
      <c r="AJ20" s="7" t="str">
        <f t="shared" si="17"/>
        <v>Correct</v>
      </c>
      <c r="AK20" s="7"/>
      <c r="AL20" s="120">
        <f>IFERROR(VLOOKUP(Table1[RespondentID],'All Data'!$A$3:$CO$999,87,FALSE),"unknown")</f>
        <v>0</v>
      </c>
      <c r="AM20" s="120">
        <f>IFERROR(VLOOKUP(Table1[RespondentID],'All Data'!$A$3:$CO$999,88,FALSE),"unknown")</f>
        <v>0</v>
      </c>
      <c r="AN20" s="120">
        <f>IFERROR(VLOOKUP(Table1[RespondentID],'All Data'!$A$3:$CO$999,89,FALSE),"unknown")</f>
        <v>0</v>
      </c>
      <c r="AO20" s="120">
        <f>IFERROR(VLOOKUP(Table1[RespondentID],'All Data'!$A$3:$CO$999,90,FALSE),"unknown")</f>
        <v>0</v>
      </c>
      <c r="AP20" s="120">
        <f>IFERROR(VLOOKUP(Table1[RespondentID],'All Data'!$A$3:$CO$999,91,FALSE),"unknown")</f>
        <v>0</v>
      </c>
      <c r="AQ20" s="120">
        <f>IFERROR(VLOOKUP(Table1[RespondentID],'All Data'!$A$3:$CO$999,92,FALSE),"unknown")</f>
        <v>0</v>
      </c>
      <c r="AR20" s="120">
        <f>IFERROR(VLOOKUP(Table1[RespondentID],'All Data'!$A$3:$CO$999,93,FALSE),"unknown")</f>
        <v>0</v>
      </c>
      <c r="AS20" s="120">
        <f>IFERROR(VLOOKUP(Table1[RespondentID],'All Data'!$A$3:$CW$999,94,FALSE),"unknown")</f>
        <v>0</v>
      </c>
      <c r="AT20" s="120">
        <f>IFERROR(VLOOKUP(Table1[RespondentID],'All Data'!$A$3:$CW$999,95,FALSE),"unknown")</f>
        <v>0</v>
      </c>
      <c r="AU20" s="120">
        <f>IFERROR(VLOOKUP(Table1[RespondentID],'All Data'!$A$3:$CW$999,96,FALSE),"unknown")</f>
        <v>0</v>
      </c>
      <c r="AV20" s="120">
        <f>IFERROR(VLOOKUP(Table1[RespondentID],'All Data'!$A$3:$CW$999,97,FALSE),"unknown")</f>
        <v>0</v>
      </c>
      <c r="AW20" s="120">
        <f>IFERROR(VLOOKUP(Table1[RespondentID],'All Data'!$A$3:$CW$999,98,FALSE),"unknown")</f>
        <v>0</v>
      </c>
      <c r="AX20" s="120">
        <f>IFERROR(VLOOKUP(Table1[RespondentID],'All Data'!$A$3:$CW$999,99,FALSE),"unknown")</f>
        <v>0</v>
      </c>
    </row>
    <row r="21" spans="1:50">
      <c r="A21" s="5">
        <v>18025435174</v>
      </c>
      <c r="B21" s="5"/>
      <c r="C21" s="5"/>
      <c r="D21" s="5"/>
      <c r="E21" s="5"/>
      <c r="F21" s="5"/>
      <c r="G21" s="5"/>
      <c r="H21" s="5"/>
      <c r="I21" s="5"/>
      <c r="J21" s="5"/>
      <c r="K21" s="5"/>
      <c r="L21" s="5"/>
      <c r="M21" s="5"/>
      <c r="N21" s="5"/>
      <c r="O21" s="7"/>
      <c r="P21" s="7">
        <f t="shared" si="0"/>
        <v>0</v>
      </c>
      <c r="Q21" s="9" t="e">
        <f t="shared" si="1"/>
        <v>#DIV/0!</v>
      </c>
      <c r="R21" s="7"/>
      <c r="S21" s="7">
        <f t="shared" si="2"/>
        <v>0</v>
      </c>
      <c r="T21" s="7">
        <f t="shared" si="3"/>
        <v>0</v>
      </c>
      <c r="U21" s="7">
        <f t="shared" si="4"/>
        <v>0</v>
      </c>
      <c r="V21" s="119">
        <f t="shared" si="5"/>
        <v>0</v>
      </c>
      <c r="W21" s="119">
        <f t="shared" si="6"/>
        <v>0</v>
      </c>
      <c r="X21" s="119">
        <f t="shared" si="7"/>
        <v>0</v>
      </c>
      <c r="Y21" s="119">
        <f t="shared" si="8"/>
        <v>0</v>
      </c>
      <c r="Z21" s="119">
        <f t="shared" si="9"/>
        <v>0</v>
      </c>
      <c r="AA21" s="119">
        <f t="shared" si="10"/>
        <v>0</v>
      </c>
      <c r="AB21" s="119">
        <f t="shared" si="11"/>
        <v>0</v>
      </c>
      <c r="AC21" s="119">
        <f t="shared" si="12"/>
        <v>0</v>
      </c>
      <c r="AD21" s="119">
        <f t="shared" si="13"/>
        <v>0</v>
      </c>
      <c r="AE21" s="119">
        <f t="shared" si="14"/>
        <v>0</v>
      </c>
      <c r="AF21" s="7"/>
      <c r="AG21" s="7"/>
      <c r="AH21" s="7">
        <f t="shared" si="15"/>
        <v>0</v>
      </c>
      <c r="AI21" s="7">
        <f t="shared" si="16"/>
        <v>0</v>
      </c>
      <c r="AJ21" s="7" t="str">
        <f t="shared" si="17"/>
        <v>Correct</v>
      </c>
      <c r="AK21" s="7"/>
      <c r="AL21" s="120">
        <f>IFERROR(VLOOKUP(Table1[RespondentID],'All Data'!$A$3:$CO$999,87,FALSE),"unknown")</f>
        <v>0</v>
      </c>
      <c r="AM21" s="120">
        <f>IFERROR(VLOOKUP(Table1[RespondentID],'All Data'!$A$3:$CO$999,88,FALSE),"unknown")</f>
        <v>0</v>
      </c>
      <c r="AN21" s="120">
        <f>IFERROR(VLOOKUP(Table1[RespondentID],'All Data'!$A$3:$CO$999,89,FALSE),"unknown")</f>
        <v>0</v>
      </c>
      <c r="AO21" s="120" t="str">
        <f>IFERROR(VLOOKUP(Table1[RespondentID],'All Data'!$A$3:$CO$999,90,FALSE),"unknown")</f>
        <v>Albertson, 11507</v>
      </c>
      <c r="AP21" s="120">
        <f>IFERROR(VLOOKUP(Table1[RespondentID],'All Data'!$A$3:$CO$999,91,FALSE),"unknown")</f>
        <v>0</v>
      </c>
      <c r="AQ21" s="120">
        <f>IFERROR(VLOOKUP(Table1[RespondentID],'All Data'!$A$3:$CO$999,92,FALSE),"unknown")</f>
        <v>0</v>
      </c>
      <c r="AR21" s="120">
        <f>IFERROR(VLOOKUP(Table1[RespondentID],'All Data'!$A$3:$CO$999,93,FALSE),"unknown")</f>
        <v>0</v>
      </c>
      <c r="AS21" s="120">
        <f>IFERROR(VLOOKUP(Table1[RespondentID],'All Data'!$A$3:$CW$999,94,FALSE),"unknown")</f>
        <v>0</v>
      </c>
      <c r="AT21" s="120">
        <f>IFERROR(VLOOKUP(Table1[RespondentID],'All Data'!$A$3:$CW$999,95,FALSE),"unknown")</f>
        <v>0</v>
      </c>
      <c r="AU21" s="120">
        <f>IFERROR(VLOOKUP(Table1[RespondentID],'All Data'!$A$3:$CW$999,96,FALSE),"unknown")</f>
        <v>0</v>
      </c>
      <c r="AV21" s="120">
        <f>IFERROR(VLOOKUP(Table1[RespondentID],'All Data'!$A$3:$CW$999,97,FALSE),"unknown")</f>
        <v>0</v>
      </c>
      <c r="AW21" s="120">
        <f>IFERROR(VLOOKUP(Table1[RespondentID],'All Data'!$A$3:$CW$999,98,FALSE),"unknown")</f>
        <v>0</v>
      </c>
      <c r="AX21" s="120">
        <f>IFERROR(VLOOKUP(Table1[RespondentID],'All Data'!$A$3:$CW$999,99,FALSE),"unknown")</f>
        <v>0</v>
      </c>
    </row>
    <row r="22" spans="1:50">
      <c r="A22" s="5">
        <v>18025209840</v>
      </c>
      <c r="B22" s="5"/>
      <c r="C22" s="5"/>
      <c r="D22" s="5"/>
      <c r="E22" s="5"/>
      <c r="F22" s="5"/>
      <c r="G22" s="5"/>
      <c r="H22" s="5"/>
      <c r="I22" s="5"/>
      <c r="J22" s="5"/>
      <c r="K22" s="5"/>
      <c r="L22" s="5"/>
      <c r="M22" s="5"/>
      <c r="N22" s="5" t="s">
        <v>28</v>
      </c>
      <c r="O22" s="7"/>
      <c r="P22" s="7">
        <f t="shared" si="0"/>
        <v>1</v>
      </c>
      <c r="Q22" s="8">
        <f t="shared" si="1"/>
        <v>3</v>
      </c>
      <c r="R22" s="7"/>
      <c r="S22" s="7">
        <f t="shared" si="2"/>
        <v>0</v>
      </c>
      <c r="T22" s="7">
        <f t="shared" si="3"/>
        <v>0</v>
      </c>
      <c r="U22" s="7">
        <f t="shared" si="4"/>
        <v>0</v>
      </c>
      <c r="V22" s="119">
        <f t="shared" si="5"/>
        <v>0</v>
      </c>
      <c r="W22" s="119">
        <f t="shared" si="6"/>
        <v>0</v>
      </c>
      <c r="X22" s="119">
        <f t="shared" si="7"/>
        <v>0</v>
      </c>
      <c r="Y22" s="119">
        <f t="shared" si="8"/>
        <v>0</v>
      </c>
      <c r="Z22" s="119">
        <f t="shared" si="9"/>
        <v>0</v>
      </c>
      <c r="AA22" s="119">
        <f t="shared" si="10"/>
        <v>0</v>
      </c>
      <c r="AB22" s="119">
        <f t="shared" si="11"/>
        <v>0</v>
      </c>
      <c r="AC22" s="119">
        <f t="shared" si="12"/>
        <v>0</v>
      </c>
      <c r="AD22" s="119">
        <f t="shared" si="13"/>
        <v>0</v>
      </c>
      <c r="AE22" s="119">
        <f t="shared" si="14"/>
        <v>1</v>
      </c>
      <c r="AF22" s="7"/>
      <c r="AG22" s="7"/>
      <c r="AH22" s="7">
        <f t="shared" si="15"/>
        <v>1</v>
      </c>
      <c r="AI22" s="7">
        <f t="shared" si="16"/>
        <v>1</v>
      </c>
      <c r="AJ22" s="7" t="str">
        <f t="shared" si="17"/>
        <v>Correct</v>
      </c>
      <c r="AK22" s="7"/>
      <c r="AL22" s="120" t="str">
        <f>IFERROR(VLOOKUP(Table1[RespondentID],'All Data'!$A$3:$CO$999,87,FALSE),"unknown")</f>
        <v>Woman</v>
      </c>
      <c r="AM22" s="120">
        <f>IFERROR(VLOOKUP(Table1[RespondentID],'All Data'!$A$3:$CO$999,88,FALSE),"unknown")</f>
        <v>60</v>
      </c>
      <c r="AN22" s="120" t="str">
        <f>IFERROR(VLOOKUP(Table1[RespondentID],'All Data'!$A$3:$CO$999,89,FALSE),"unknown")</f>
        <v>Nassau</v>
      </c>
      <c r="AO22" s="120" t="str">
        <f>IFERROR(VLOOKUP(Table1[RespondentID],'All Data'!$A$3:$CO$999,90,FALSE),"unknown")</f>
        <v>Seaford, 11783</v>
      </c>
      <c r="AP22" s="120" t="str">
        <f>IFERROR(VLOOKUP(Table1[RespondentID],'All Data'!$A$3:$CO$999,91,FALSE),"unknown")</f>
        <v>White</v>
      </c>
      <c r="AQ22" s="120" t="str">
        <f>IFERROR(VLOOKUP(Table1[RespondentID],'All Data'!$A$3:$CO$999,92,FALSE),"unknown")</f>
        <v>Not Hispanic or Latino</v>
      </c>
      <c r="AR22" s="120" t="str">
        <f>IFERROR(VLOOKUP(Table1[RespondentID],'All Data'!$A$3:$CO$999,93,FALSE),"unknown")</f>
        <v>English</v>
      </c>
      <c r="AS22" s="120" t="str">
        <f>IFERROR(VLOOKUP(Table1[RespondentID],'All Data'!$A$3:$CW$999,94,FALSE),"unknown")</f>
        <v>$35,000 to $49,999</v>
      </c>
      <c r="AT22" s="120" t="str">
        <f>IFERROR(VLOOKUP(Table1[RespondentID],'All Data'!$A$3:$CW$999,95,FALSE),"unknown")</f>
        <v>Doctorate</v>
      </c>
      <c r="AU22" s="120" t="str">
        <f>IFERROR(VLOOKUP(Table1[RespondentID],'All Data'!$A$3:$CW$999,96,FALSE),"unknown")</f>
        <v>Out of work and looking for work</v>
      </c>
      <c r="AV22" s="120" t="str">
        <f>IFERROR(VLOOKUP(Table1[RespondentID],'All Data'!$A$3:$CW$999,97,FALSE),"unknown")</f>
        <v>Yes</v>
      </c>
      <c r="AW22" s="120" t="str">
        <f>IFERROR(VLOOKUP(Table1[RespondentID],'All Data'!$A$3:$CW$999,98,FALSE),"unknown")</f>
        <v>Private/Commercial</v>
      </c>
      <c r="AX22" s="120" t="str">
        <f>IFERROR(VLOOKUP(Table1[RespondentID],'All Data'!$A$3:$CW$999,99,FALSE),"unknown")</f>
        <v>Yes</v>
      </c>
    </row>
    <row r="23" spans="1:50">
      <c r="A23" s="5">
        <v>18025186517</v>
      </c>
      <c r="B23" s="5"/>
      <c r="C23" s="5"/>
      <c r="D23" s="5"/>
      <c r="E23" s="5"/>
      <c r="F23" s="5"/>
      <c r="G23" s="5" t="s">
        <v>21</v>
      </c>
      <c r="H23" s="5" t="s">
        <v>22</v>
      </c>
      <c r="I23" s="5"/>
      <c r="J23" s="5"/>
      <c r="K23" s="5" t="s">
        <v>25</v>
      </c>
      <c r="L23" s="5"/>
      <c r="M23" s="5"/>
      <c r="N23" s="5"/>
      <c r="O23" s="7"/>
      <c r="P23" s="7">
        <f t="shared" si="0"/>
        <v>3</v>
      </c>
      <c r="Q23" s="9">
        <f t="shared" si="1"/>
        <v>1</v>
      </c>
      <c r="R23" s="7"/>
      <c r="S23" s="7">
        <f t="shared" si="2"/>
        <v>0</v>
      </c>
      <c r="T23" s="7">
        <f t="shared" si="3"/>
        <v>0</v>
      </c>
      <c r="U23" s="7">
        <f t="shared" si="4"/>
        <v>0</v>
      </c>
      <c r="V23" s="119">
        <f t="shared" si="5"/>
        <v>0</v>
      </c>
      <c r="W23" s="119">
        <f t="shared" si="6"/>
        <v>0</v>
      </c>
      <c r="X23" s="119">
        <f t="shared" si="7"/>
        <v>1</v>
      </c>
      <c r="Y23" s="119">
        <f t="shared" si="8"/>
        <v>1</v>
      </c>
      <c r="Z23" s="119">
        <f t="shared" si="9"/>
        <v>0</v>
      </c>
      <c r="AA23" s="119">
        <f t="shared" si="10"/>
        <v>0</v>
      </c>
      <c r="AB23" s="119">
        <f t="shared" si="11"/>
        <v>1</v>
      </c>
      <c r="AC23" s="119">
        <f t="shared" si="12"/>
        <v>0</v>
      </c>
      <c r="AD23" s="119">
        <f t="shared" si="13"/>
        <v>0</v>
      </c>
      <c r="AE23" s="119">
        <f t="shared" si="14"/>
        <v>0</v>
      </c>
      <c r="AF23" s="7"/>
      <c r="AG23" s="7"/>
      <c r="AH23" s="7">
        <f t="shared" si="15"/>
        <v>3</v>
      </c>
      <c r="AI23" s="7">
        <f t="shared" si="16"/>
        <v>3</v>
      </c>
      <c r="AJ23" s="7" t="str">
        <f t="shared" si="17"/>
        <v>Correct</v>
      </c>
      <c r="AK23" s="7"/>
      <c r="AL23" s="120" t="str">
        <f>IFERROR(VLOOKUP(Table1[RespondentID],'All Data'!$A$3:$CO$999,87,FALSE),"unknown")</f>
        <v>Woman</v>
      </c>
      <c r="AM23" s="120">
        <f>IFERROR(VLOOKUP(Table1[RespondentID],'All Data'!$A$3:$CO$999,88,FALSE),"unknown")</f>
        <v>21</v>
      </c>
      <c r="AN23" s="120" t="str">
        <f>IFERROR(VLOOKUP(Table1[RespondentID],'All Data'!$A$3:$CO$999,89,FALSE),"unknown")</f>
        <v>Suffolk</v>
      </c>
      <c r="AO23" s="120" t="str">
        <f>IFERROR(VLOOKUP(Table1[RespondentID],'All Data'!$A$3:$CO$999,90,FALSE),"unknown")</f>
        <v>Centerport, 11721</v>
      </c>
      <c r="AP23" s="120" t="str">
        <f>IFERROR(VLOOKUP(Table1[RespondentID],'All Data'!$A$3:$CO$999,91,FALSE),"unknown")</f>
        <v>White</v>
      </c>
      <c r="AQ23" s="120" t="str">
        <f>IFERROR(VLOOKUP(Table1[RespondentID],'All Data'!$A$3:$CO$999,92,FALSE),"unknown")</f>
        <v>Not Hispanic or Latino</v>
      </c>
      <c r="AR23" s="120" t="str">
        <f>IFERROR(VLOOKUP(Table1[RespondentID],'All Data'!$A$3:$CO$999,93,FALSE),"unknown")</f>
        <v>English</v>
      </c>
      <c r="AS23" s="120" t="str">
        <f>IFERROR(VLOOKUP(Table1[RespondentID],'All Data'!$A$3:$CW$999,94,FALSE),"unknown")</f>
        <v>$75,000 to $125,000</v>
      </c>
      <c r="AT23" s="120" t="str">
        <f>IFERROR(VLOOKUP(Table1[RespondentID],'All Data'!$A$3:$CW$999,95,FALSE),"unknown")</f>
        <v>Some college</v>
      </c>
      <c r="AU23" s="120" t="str">
        <f>IFERROR(VLOOKUP(Table1[RespondentID],'All Data'!$A$3:$CW$999,96,FALSE),"unknown")</f>
        <v>Employed for wages</v>
      </c>
      <c r="AV23" s="120" t="str">
        <f>IFERROR(VLOOKUP(Table1[RespondentID],'All Data'!$A$3:$CW$999,97,FALSE),"unknown")</f>
        <v>Yes</v>
      </c>
      <c r="AW23" s="120">
        <f>IFERROR(VLOOKUP(Table1[RespondentID],'All Data'!$A$3:$CW$999,98,FALSE),"unknown")</f>
        <v>0</v>
      </c>
      <c r="AX23" s="120">
        <f>IFERROR(VLOOKUP(Table1[RespondentID],'All Data'!$A$3:$CW$999,99,FALSE),"unknown")</f>
        <v>0</v>
      </c>
    </row>
    <row r="24" spans="1:50">
      <c r="A24" s="5">
        <v>18025186406</v>
      </c>
      <c r="B24" s="5"/>
      <c r="C24" s="5" t="s">
        <v>17</v>
      </c>
      <c r="D24" s="5" t="s">
        <v>18</v>
      </c>
      <c r="E24" s="5"/>
      <c r="F24" s="5"/>
      <c r="G24" s="5"/>
      <c r="H24" s="5"/>
      <c r="I24" s="5"/>
      <c r="J24" s="5" t="s">
        <v>24</v>
      </c>
      <c r="K24" s="5"/>
      <c r="L24" s="5"/>
      <c r="M24" s="5"/>
      <c r="N24" s="5"/>
      <c r="O24" s="7"/>
      <c r="P24" s="7">
        <f t="shared" si="0"/>
        <v>3</v>
      </c>
      <c r="Q24" s="8">
        <f t="shared" si="1"/>
        <v>1</v>
      </c>
      <c r="R24" s="7"/>
      <c r="S24" s="7">
        <f t="shared" si="2"/>
        <v>0</v>
      </c>
      <c r="T24" s="7">
        <f t="shared" si="3"/>
        <v>1</v>
      </c>
      <c r="U24" s="7">
        <f t="shared" si="4"/>
        <v>1</v>
      </c>
      <c r="V24" s="119">
        <f t="shared" si="5"/>
        <v>0</v>
      </c>
      <c r="W24" s="119">
        <f t="shared" si="6"/>
        <v>0</v>
      </c>
      <c r="X24" s="119">
        <f t="shared" si="7"/>
        <v>0</v>
      </c>
      <c r="Y24" s="119">
        <f t="shared" si="8"/>
        <v>0</v>
      </c>
      <c r="Z24" s="119">
        <f t="shared" si="9"/>
        <v>0</v>
      </c>
      <c r="AA24" s="119">
        <f t="shared" si="10"/>
        <v>1</v>
      </c>
      <c r="AB24" s="119">
        <f t="shared" si="11"/>
        <v>0</v>
      </c>
      <c r="AC24" s="119">
        <f t="shared" si="12"/>
        <v>0</v>
      </c>
      <c r="AD24" s="119">
        <f t="shared" si="13"/>
        <v>0</v>
      </c>
      <c r="AE24" s="119">
        <f t="shared" si="14"/>
        <v>0</v>
      </c>
      <c r="AF24" s="7"/>
      <c r="AG24" s="7"/>
      <c r="AH24" s="7">
        <f t="shared" si="15"/>
        <v>3</v>
      </c>
      <c r="AI24" s="7">
        <f t="shared" si="16"/>
        <v>3</v>
      </c>
      <c r="AJ24" s="7" t="str">
        <f t="shared" si="17"/>
        <v>Correct</v>
      </c>
      <c r="AK24" s="7"/>
      <c r="AL24" s="120" t="str">
        <f>IFERROR(VLOOKUP(Table1[RespondentID],'All Data'!$A$3:$CO$999,87,FALSE),"unknown")</f>
        <v>Man</v>
      </c>
      <c r="AM24" s="120">
        <f>IFERROR(VLOOKUP(Table1[RespondentID],'All Data'!$A$3:$CO$999,88,FALSE),"unknown")</f>
        <v>56</v>
      </c>
      <c r="AN24" s="120" t="str">
        <f>IFERROR(VLOOKUP(Table1[RespondentID],'All Data'!$A$3:$CO$999,89,FALSE),"unknown")</f>
        <v>Suffolk</v>
      </c>
      <c r="AO24" s="120" t="str">
        <f>IFERROR(VLOOKUP(Table1[RespondentID],'All Data'!$A$3:$CO$999,90,FALSE),"unknown")</f>
        <v>Smithtown, 11787</v>
      </c>
      <c r="AP24" s="120" t="str">
        <f>IFERROR(VLOOKUP(Table1[RespondentID],'All Data'!$A$3:$CO$999,91,FALSE),"unknown")</f>
        <v>White</v>
      </c>
      <c r="AQ24" s="120" t="str">
        <f>IFERROR(VLOOKUP(Table1[RespondentID],'All Data'!$A$3:$CO$999,92,FALSE),"unknown")</f>
        <v>Not Hispanic or Latino</v>
      </c>
      <c r="AR24" s="120" t="str">
        <f>IFERROR(VLOOKUP(Table1[RespondentID],'All Data'!$A$3:$CO$999,93,FALSE),"unknown")</f>
        <v>English</v>
      </c>
      <c r="AS24" s="120" t="str">
        <f>IFERROR(VLOOKUP(Table1[RespondentID],'All Data'!$A$3:$CW$999,94,FALSE),"unknown")</f>
        <v>Over $125,000</v>
      </c>
      <c r="AT24" s="120" t="str">
        <f>IFERROR(VLOOKUP(Table1[RespondentID],'All Data'!$A$3:$CW$999,95,FALSE),"unknown")</f>
        <v>Doctorate</v>
      </c>
      <c r="AU24" s="120" t="str">
        <f>IFERROR(VLOOKUP(Table1[RespondentID],'All Data'!$A$3:$CW$999,96,FALSE),"unknown")</f>
        <v>Employed for wages</v>
      </c>
      <c r="AV24" s="120" t="str">
        <f>IFERROR(VLOOKUP(Table1[RespondentID],'All Data'!$A$3:$CW$999,97,FALSE),"unknown")</f>
        <v>Yes</v>
      </c>
      <c r="AW24" s="120">
        <f>IFERROR(VLOOKUP(Table1[RespondentID],'All Data'!$A$3:$CW$999,98,FALSE),"unknown")</f>
        <v>0</v>
      </c>
      <c r="AX24" s="120">
        <f>IFERROR(VLOOKUP(Table1[RespondentID],'All Data'!$A$3:$CW$999,99,FALSE),"unknown")</f>
        <v>0</v>
      </c>
    </row>
    <row r="25" spans="1:50">
      <c r="A25" s="5">
        <v>18025186288</v>
      </c>
      <c r="B25" s="5"/>
      <c r="C25" s="5" t="s">
        <v>17</v>
      </c>
      <c r="D25" s="5"/>
      <c r="E25" s="5" t="s">
        <v>19</v>
      </c>
      <c r="F25" s="5"/>
      <c r="G25" s="5"/>
      <c r="H25" s="5"/>
      <c r="I25" s="5"/>
      <c r="J25" s="5"/>
      <c r="K25" s="5" t="s">
        <v>25</v>
      </c>
      <c r="L25" s="5"/>
      <c r="M25" s="5"/>
      <c r="N25" s="5"/>
      <c r="O25" s="7"/>
      <c r="P25" s="7">
        <f t="shared" si="0"/>
        <v>3</v>
      </c>
      <c r="Q25" s="9">
        <f t="shared" si="1"/>
        <v>1</v>
      </c>
      <c r="R25" s="7"/>
      <c r="S25" s="7">
        <f t="shared" si="2"/>
        <v>0</v>
      </c>
      <c r="T25" s="7">
        <f t="shared" si="3"/>
        <v>1</v>
      </c>
      <c r="U25" s="7">
        <f t="shared" si="4"/>
        <v>0</v>
      </c>
      <c r="V25" s="119">
        <f t="shared" si="5"/>
        <v>1</v>
      </c>
      <c r="W25" s="119">
        <f t="shared" si="6"/>
        <v>0</v>
      </c>
      <c r="X25" s="119">
        <f t="shared" si="7"/>
        <v>0</v>
      </c>
      <c r="Y25" s="119">
        <f t="shared" si="8"/>
        <v>0</v>
      </c>
      <c r="Z25" s="119">
        <f t="shared" si="9"/>
        <v>0</v>
      </c>
      <c r="AA25" s="119">
        <f t="shared" si="10"/>
        <v>0</v>
      </c>
      <c r="AB25" s="119">
        <f t="shared" si="11"/>
        <v>1</v>
      </c>
      <c r="AC25" s="119">
        <f t="shared" si="12"/>
        <v>0</v>
      </c>
      <c r="AD25" s="119">
        <f t="shared" si="13"/>
        <v>0</v>
      </c>
      <c r="AE25" s="119">
        <f t="shared" si="14"/>
        <v>0</v>
      </c>
      <c r="AF25" s="7"/>
      <c r="AG25" s="7"/>
      <c r="AH25" s="7">
        <f t="shared" si="15"/>
        <v>3</v>
      </c>
      <c r="AI25" s="7">
        <f t="shared" si="16"/>
        <v>3</v>
      </c>
      <c r="AJ25" s="7" t="str">
        <f t="shared" si="17"/>
        <v>Correct</v>
      </c>
      <c r="AK25" s="7"/>
      <c r="AL25" s="120" t="str">
        <f>IFERROR(VLOOKUP(Table1[RespondentID],'All Data'!$A$3:$CO$999,87,FALSE),"unknown")</f>
        <v>Woman</v>
      </c>
      <c r="AM25" s="120">
        <f>IFERROR(VLOOKUP(Table1[RespondentID],'All Data'!$A$3:$CO$999,88,FALSE),"unknown")</f>
        <v>78</v>
      </c>
      <c r="AN25" s="120" t="str">
        <f>IFERROR(VLOOKUP(Table1[RespondentID],'All Data'!$A$3:$CO$999,89,FALSE),"unknown")</f>
        <v>Suffolk</v>
      </c>
      <c r="AO25" s="120" t="str">
        <f>IFERROR(VLOOKUP(Table1[RespondentID],'All Data'!$A$3:$CO$999,90,FALSE),"unknown")</f>
        <v>Smithtown, 11787</v>
      </c>
      <c r="AP25" s="120" t="str">
        <f>IFERROR(VLOOKUP(Table1[RespondentID],'All Data'!$A$3:$CO$999,91,FALSE),"unknown")</f>
        <v>White</v>
      </c>
      <c r="AQ25" s="120" t="str">
        <f>IFERROR(VLOOKUP(Table1[RespondentID],'All Data'!$A$3:$CO$999,92,FALSE),"unknown")</f>
        <v>Not Hispanic or Latino</v>
      </c>
      <c r="AR25" s="120" t="str">
        <f>IFERROR(VLOOKUP(Table1[RespondentID],'All Data'!$A$3:$CO$999,93,FALSE),"unknown")</f>
        <v>English</v>
      </c>
      <c r="AS25" s="120" t="str">
        <f>IFERROR(VLOOKUP(Table1[RespondentID],'All Data'!$A$3:$CW$999,94,FALSE),"unknown")</f>
        <v>$35,000 to $49,999</v>
      </c>
      <c r="AT25" s="120" t="str">
        <f>IFERROR(VLOOKUP(Table1[RespondentID],'All Data'!$A$3:$CW$999,95,FALSE),"unknown")</f>
        <v>Some college</v>
      </c>
      <c r="AU25" s="120" t="str">
        <f>IFERROR(VLOOKUP(Table1[RespondentID],'All Data'!$A$3:$CW$999,96,FALSE),"unknown")</f>
        <v>Retired</v>
      </c>
      <c r="AV25" s="120" t="str">
        <f>IFERROR(VLOOKUP(Table1[RespondentID],'All Data'!$A$3:$CW$999,97,FALSE),"unknown")</f>
        <v>Yes</v>
      </c>
      <c r="AW25" s="120">
        <f>IFERROR(VLOOKUP(Table1[RespondentID],'All Data'!$A$3:$CW$999,98,FALSE),"unknown")</f>
        <v>0</v>
      </c>
      <c r="AX25" s="120">
        <f>IFERROR(VLOOKUP(Table1[RespondentID],'All Data'!$A$3:$CW$999,99,FALSE),"unknown")</f>
        <v>0</v>
      </c>
    </row>
    <row r="26" spans="1:50">
      <c r="A26" s="5">
        <v>18025186085</v>
      </c>
      <c r="B26" s="5"/>
      <c r="C26" s="5"/>
      <c r="D26" s="5"/>
      <c r="E26" s="5"/>
      <c r="F26" s="5" t="s">
        <v>20</v>
      </c>
      <c r="G26" s="5" t="s">
        <v>21</v>
      </c>
      <c r="H26" s="5" t="s">
        <v>22</v>
      </c>
      <c r="I26" s="5"/>
      <c r="J26" s="5"/>
      <c r="K26" s="5"/>
      <c r="L26" s="5"/>
      <c r="M26" s="5"/>
      <c r="N26" s="5"/>
      <c r="O26" s="7"/>
      <c r="P26" s="7">
        <f t="shared" si="0"/>
        <v>3</v>
      </c>
      <c r="Q26" s="8">
        <f t="shared" si="1"/>
        <v>1</v>
      </c>
      <c r="R26" s="7"/>
      <c r="S26" s="7">
        <f t="shared" si="2"/>
        <v>0</v>
      </c>
      <c r="T26" s="7">
        <f t="shared" si="3"/>
        <v>0</v>
      </c>
      <c r="U26" s="7">
        <f t="shared" si="4"/>
        <v>0</v>
      </c>
      <c r="V26" s="119">
        <f t="shared" si="5"/>
        <v>0</v>
      </c>
      <c r="W26" s="119">
        <f t="shared" si="6"/>
        <v>1</v>
      </c>
      <c r="X26" s="119">
        <f t="shared" si="7"/>
        <v>1</v>
      </c>
      <c r="Y26" s="119">
        <f t="shared" si="8"/>
        <v>1</v>
      </c>
      <c r="Z26" s="119">
        <f t="shared" si="9"/>
        <v>0</v>
      </c>
      <c r="AA26" s="119">
        <f t="shared" si="10"/>
        <v>0</v>
      </c>
      <c r="AB26" s="119">
        <f t="shared" si="11"/>
        <v>0</v>
      </c>
      <c r="AC26" s="119">
        <f t="shared" si="12"/>
        <v>0</v>
      </c>
      <c r="AD26" s="119">
        <f t="shared" si="13"/>
        <v>0</v>
      </c>
      <c r="AE26" s="119">
        <f t="shared" si="14"/>
        <v>0</v>
      </c>
      <c r="AF26" s="7"/>
      <c r="AG26" s="7"/>
      <c r="AH26" s="7">
        <f t="shared" si="15"/>
        <v>3</v>
      </c>
      <c r="AI26" s="7">
        <f t="shared" si="16"/>
        <v>3</v>
      </c>
      <c r="AJ26" s="7" t="str">
        <f t="shared" si="17"/>
        <v>Correct</v>
      </c>
      <c r="AK26" s="7"/>
      <c r="AL26" s="120" t="str">
        <f>IFERROR(VLOOKUP(Table1[RespondentID],'All Data'!$A$3:$CO$999,87,FALSE),"unknown")</f>
        <v>Man</v>
      </c>
      <c r="AM26" s="120">
        <f>IFERROR(VLOOKUP(Table1[RespondentID],'All Data'!$A$3:$CO$999,88,FALSE),"unknown")</f>
        <v>56</v>
      </c>
      <c r="AN26" s="120" t="str">
        <f>IFERROR(VLOOKUP(Table1[RespondentID],'All Data'!$A$3:$CO$999,89,FALSE),"unknown")</f>
        <v>Suffolk</v>
      </c>
      <c r="AO26" s="120" t="str">
        <f>IFERROR(VLOOKUP(Table1[RespondentID],'All Data'!$A$3:$CO$999,90,FALSE),"unknown")</f>
        <v>Centerport, 11721</v>
      </c>
      <c r="AP26" s="120" t="str">
        <f>IFERROR(VLOOKUP(Table1[RespondentID],'All Data'!$A$3:$CO$999,91,FALSE),"unknown")</f>
        <v>White</v>
      </c>
      <c r="AQ26" s="120" t="str">
        <f>IFERROR(VLOOKUP(Table1[RespondentID],'All Data'!$A$3:$CO$999,92,FALSE),"unknown")</f>
        <v>Not Hispanic or Latino</v>
      </c>
      <c r="AR26" s="120" t="str">
        <f>IFERROR(VLOOKUP(Table1[RespondentID],'All Data'!$A$3:$CO$999,93,FALSE),"unknown")</f>
        <v>English</v>
      </c>
      <c r="AS26" s="120" t="str">
        <f>IFERROR(VLOOKUP(Table1[RespondentID],'All Data'!$A$3:$CW$999,94,FALSE),"unknown")</f>
        <v>$75,000 to $125,000</v>
      </c>
      <c r="AT26" s="120" t="str">
        <f>IFERROR(VLOOKUP(Table1[RespondentID],'All Data'!$A$3:$CW$999,95,FALSE),"unknown")</f>
        <v>Doctorate</v>
      </c>
      <c r="AU26" s="120" t="str">
        <f>IFERROR(VLOOKUP(Table1[RespondentID],'All Data'!$A$3:$CW$999,96,FALSE),"unknown")</f>
        <v>Employed for wages</v>
      </c>
      <c r="AV26" s="120" t="str">
        <f>IFERROR(VLOOKUP(Table1[RespondentID],'All Data'!$A$3:$CW$999,97,FALSE),"unknown")</f>
        <v>Yes</v>
      </c>
      <c r="AW26" s="120">
        <f>IFERROR(VLOOKUP(Table1[RespondentID],'All Data'!$A$3:$CW$999,98,FALSE),"unknown")</f>
        <v>0</v>
      </c>
      <c r="AX26" s="120">
        <f>IFERROR(VLOOKUP(Table1[RespondentID],'All Data'!$A$3:$CW$999,99,FALSE),"unknown")</f>
        <v>0</v>
      </c>
    </row>
    <row r="27" spans="1:50">
      <c r="A27" s="5">
        <v>18025185956</v>
      </c>
      <c r="B27" s="5"/>
      <c r="C27" s="5" t="s">
        <v>17</v>
      </c>
      <c r="D27" s="5"/>
      <c r="E27" s="5"/>
      <c r="F27" s="5"/>
      <c r="G27" s="5"/>
      <c r="H27" s="5"/>
      <c r="I27" s="5"/>
      <c r="J27" s="5"/>
      <c r="K27" s="5" t="s">
        <v>25</v>
      </c>
      <c r="L27" s="5"/>
      <c r="M27" s="5"/>
      <c r="N27" s="5"/>
      <c r="O27" s="7"/>
      <c r="P27" s="7">
        <f t="shared" si="0"/>
        <v>2</v>
      </c>
      <c r="Q27" s="9">
        <f t="shared" si="1"/>
        <v>1.5</v>
      </c>
      <c r="R27" s="7"/>
      <c r="S27" s="7">
        <f t="shared" si="2"/>
        <v>0</v>
      </c>
      <c r="T27" s="7">
        <f t="shared" si="3"/>
        <v>1</v>
      </c>
      <c r="U27" s="7">
        <f t="shared" si="4"/>
        <v>0</v>
      </c>
      <c r="V27" s="119">
        <f t="shared" si="5"/>
        <v>0</v>
      </c>
      <c r="W27" s="119">
        <f t="shared" si="6"/>
        <v>0</v>
      </c>
      <c r="X27" s="119">
        <f t="shared" si="7"/>
        <v>0</v>
      </c>
      <c r="Y27" s="119">
        <f t="shared" si="8"/>
        <v>0</v>
      </c>
      <c r="Z27" s="119">
        <f t="shared" si="9"/>
        <v>0</v>
      </c>
      <c r="AA27" s="119">
        <f t="shared" si="10"/>
        <v>0</v>
      </c>
      <c r="AB27" s="119">
        <f t="shared" si="11"/>
        <v>1</v>
      </c>
      <c r="AC27" s="119">
        <f t="shared" si="12"/>
        <v>0</v>
      </c>
      <c r="AD27" s="119">
        <f t="shared" si="13"/>
        <v>0</v>
      </c>
      <c r="AE27" s="119">
        <f t="shared" si="14"/>
        <v>0</v>
      </c>
      <c r="AF27" s="7"/>
      <c r="AG27" s="7"/>
      <c r="AH27" s="7">
        <f t="shared" si="15"/>
        <v>2</v>
      </c>
      <c r="AI27" s="7">
        <f t="shared" si="16"/>
        <v>2</v>
      </c>
      <c r="AJ27" s="7" t="str">
        <f t="shared" si="17"/>
        <v>Correct</v>
      </c>
      <c r="AK27" s="7"/>
      <c r="AL27" s="120" t="str">
        <f>IFERROR(VLOOKUP(Table1[RespondentID],'All Data'!$A$3:$CO$999,87,FALSE),"unknown")</f>
        <v>Man</v>
      </c>
      <c r="AM27" s="120">
        <f>IFERROR(VLOOKUP(Table1[RespondentID],'All Data'!$A$3:$CO$999,88,FALSE),"unknown")</f>
        <v>19</v>
      </c>
      <c r="AN27" s="120" t="str">
        <f>IFERROR(VLOOKUP(Table1[RespondentID],'All Data'!$A$3:$CO$999,89,FALSE),"unknown")</f>
        <v>Suffolk</v>
      </c>
      <c r="AO27" s="120" t="str">
        <f>IFERROR(VLOOKUP(Table1[RespondentID],'All Data'!$A$3:$CO$999,90,FALSE),"unknown")</f>
        <v>Centerport, 11721</v>
      </c>
      <c r="AP27" s="120" t="str">
        <f>IFERROR(VLOOKUP(Table1[RespondentID],'All Data'!$A$3:$CO$999,91,FALSE),"unknown")</f>
        <v>White</v>
      </c>
      <c r="AQ27" s="120" t="str">
        <f>IFERROR(VLOOKUP(Table1[RespondentID],'All Data'!$A$3:$CO$999,92,FALSE),"unknown")</f>
        <v>Not Hispanic or Latino</v>
      </c>
      <c r="AR27" s="120" t="str">
        <f>IFERROR(VLOOKUP(Table1[RespondentID],'All Data'!$A$3:$CO$999,93,FALSE),"unknown")</f>
        <v>English</v>
      </c>
      <c r="AS27" s="120" t="str">
        <f>IFERROR(VLOOKUP(Table1[RespondentID],'All Data'!$A$3:$CW$999,94,FALSE),"unknown")</f>
        <v>Over $125,000</v>
      </c>
      <c r="AT27" s="120" t="str">
        <f>IFERROR(VLOOKUP(Table1[RespondentID],'All Data'!$A$3:$CW$999,95,FALSE),"unknown")</f>
        <v>Some college</v>
      </c>
      <c r="AU27" s="120" t="str">
        <f>IFERROR(VLOOKUP(Table1[RespondentID],'All Data'!$A$3:$CW$999,96,FALSE),"unknown")</f>
        <v>Student</v>
      </c>
      <c r="AV27" s="120" t="str">
        <f>IFERROR(VLOOKUP(Table1[RespondentID],'All Data'!$A$3:$CW$999,97,FALSE),"unknown")</f>
        <v>Yes</v>
      </c>
      <c r="AW27" s="120">
        <f>IFERROR(VLOOKUP(Table1[RespondentID],'All Data'!$A$3:$CW$999,98,FALSE),"unknown")</f>
        <v>0</v>
      </c>
      <c r="AX27" s="120">
        <f>IFERROR(VLOOKUP(Table1[RespondentID],'All Data'!$A$3:$CW$999,99,FALSE),"unknown")</f>
        <v>0</v>
      </c>
    </row>
    <row r="28" spans="1:50">
      <c r="A28" s="5">
        <v>18025185799</v>
      </c>
      <c r="B28" s="5"/>
      <c r="C28" s="5"/>
      <c r="D28" s="5"/>
      <c r="E28" s="5" t="s">
        <v>19</v>
      </c>
      <c r="F28" s="5"/>
      <c r="G28" s="5"/>
      <c r="H28" s="5"/>
      <c r="I28" s="5"/>
      <c r="J28" s="5"/>
      <c r="K28" s="5"/>
      <c r="L28" s="5" t="s">
        <v>26</v>
      </c>
      <c r="M28" s="5" t="s">
        <v>27</v>
      </c>
      <c r="N28" s="5"/>
      <c r="O28" s="7"/>
      <c r="P28" s="7">
        <f t="shared" si="0"/>
        <v>3</v>
      </c>
      <c r="Q28" s="8">
        <f t="shared" si="1"/>
        <v>1</v>
      </c>
      <c r="R28" s="7"/>
      <c r="S28" s="7">
        <f t="shared" si="2"/>
        <v>0</v>
      </c>
      <c r="T28" s="7">
        <f t="shared" si="3"/>
        <v>0</v>
      </c>
      <c r="U28" s="7">
        <f t="shared" si="4"/>
        <v>0</v>
      </c>
      <c r="V28" s="119">
        <f t="shared" si="5"/>
        <v>1</v>
      </c>
      <c r="W28" s="119">
        <f t="shared" si="6"/>
        <v>0</v>
      </c>
      <c r="X28" s="119">
        <f t="shared" si="7"/>
        <v>0</v>
      </c>
      <c r="Y28" s="119">
        <f t="shared" si="8"/>
        <v>0</v>
      </c>
      <c r="Z28" s="119">
        <f t="shared" si="9"/>
        <v>0</v>
      </c>
      <c r="AA28" s="119">
        <f t="shared" si="10"/>
        <v>0</v>
      </c>
      <c r="AB28" s="119">
        <f t="shared" si="11"/>
        <v>0</v>
      </c>
      <c r="AC28" s="119">
        <f t="shared" si="12"/>
        <v>1</v>
      </c>
      <c r="AD28" s="119">
        <f t="shared" si="13"/>
        <v>1</v>
      </c>
      <c r="AE28" s="119">
        <f t="shared" si="14"/>
        <v>0</v>
      </c>
      <c r="AF28" s="7"/>
      <c r="AG28" s="7"/>
      <c r="AH28" s="7">
        <f t="shared" si="15"/>
        <v>3</v>
      </c>
      <c r="AI28" s="7">
        <f t="shared" si="16"/>
        <v>3</v>
      </c>
      <c r="AJ28" s="7" t="str">
        <f t="shared" si="17"/>
        <v>Correct</v>
      </c>
      <c r="AK28" s="7"/>
      <c r="AL28" s="120" t="str">
        <f>IFERROR(VLOOKUP(Table1[RespondentID],'All Data'!$A$3:$CO$999,87,FALSE),"unknown")</f>
        <v>Woman</v>
      </c>
      <c r="AM28" s="120">
        <f>IFERROR(VLOOKUP(Table1[RespondentID],'All Data'!$A$3:$CO$999,88,FALSE),"unknown")</f>
        <v>26</v>
      </c>
      <c r="AN28" s="120" t="str">
        <f>IFERROR(VLOOKUP(Table1[RespondentID],'All Data'!$A$3:$CO$999,89,FALSE),"unknown")</f>
        <v>Suffolk</v>
      </c>
      <c r="AO28" s="120" t="str">
        <f>IFERROR(VLOOKUP(Table1[RespondentID],'All Data'!$A$3:$CO$999,90,FALSE),"unknown")</f>
        <v>Greenlawn, 11740</v>
      </c>
      <c r="AP28" s="120" t="str">
        <f>IFERROR(VLOOKUP(Table1[RespondentID],'All Data'!$A$3:$CO$999,91,FALSE),"unknown")</f>
        <v>Black or African American</v>
      </c>
      <c r="AQ28" s="120" t="str">
        <f>IFERROR(VLOOKUP(Table1[RespondentID],'All Data'!$A$3:$CO$999,92,FALSE),"unknown")</f>
        <v>Not Hispanic or Latino</v>
      </c>
      <c r="AR28" s="120" t="str">
        <f>IFERROR(VLOOKUP(Table1[RespondentID],'All Data'!$A$3:$CO$999,93,FALSE),"unknown")</f>
        <v>English, Haitian Creole</v>
      </c>
      <c r="AS28" s="120" t="str">
        <f>IFERROR(VLOOKUP(Table1[RespondentID],'All Data'!$A$3:$CW$999,94,FALSE),"unknown")</f>
        <v>$50,000 to $74,999</v>
      </c>
      <c r="AT28" s="120" t="str">
        <f>IFERROR(VLOOKUP(Table1[RespondentID],'All Data'!$A$3:$CW$999,95,FALSE),"unknown")</f>
        <v>College graduate</v>
      </c>
      <c r="AU28" s="120" t="str">
        <f>IFERROR(VLOOKUP(Table1[RespondentID],'All Data'!$A$3:$CW$999,96,FALSE),"unknown")</f>
        <v>Self-employed</v>
      </c>
      <c r="AV28" s="120" t="str">
        <f>IFERROR(VLOOKUP(Table1[RespondentID],'All Data'!$A$3:$CW$999,97,FALSE),"unknown")</f>
        <v>Yes</v>
      </c>
      <c r="AW28" s="120">
        <f>IFERROR(VLOOKUP(Table1[RespondentID],'All Data'!$A$3:$CW$999,98,FALSE),"unknown")</f>
        <v>0</v>
      </c>
      <c r="AX28" s="120">
        <f>IFERROR(VLOOKUP(Table1[RespondentID],'All Data'!$A$3:$CW$999,99,FALSE),"unknown")</f>
        <v>0</v>
      </c>
    </row>
    <row r="29" spans="1:50">
      <c r="A29" s="5">
        <v>18025185651</v>
      </c>
      <c r="B29" s="5"/>
      <c r="C29" s="5" t="s">
        <v>17</v>
      </c>
      <c r="D29" s="5"/>
      <c r="E29" s="5"/>
      <c r="F29" s="5"/>
      <c r="G29" s="5"/>
      <c r="H29" s="5"/>
      <c r="I29" s="5"/>
      <c r="J29" s="5"/>
      <c r="K29" s="5" t="s">
        <v>25</v>
      </c>
      <c r="L29" s="5"/>
      <c r="M29" s="5"/>
      <c r="N29" s="5"/>
      <c r="O29" s="7"/>
      <c r="P29" s="7">
        <f t="shared" si="0"/>
        <v>2</v>
      </c>
      <c r="Q29" s="9">
        <f t="shared" si="1"/>
        <v>1.5</v>
      </c>
      <c r="R29" s="7"/>
      <c r="S29" s="7">
        <f t="shared" si="2"/>
        <v>0</v>
      </c>
      <c r="T29" s="7">
        <f t="shared" si="3"/>
        <v>1</v>
      </c>
      <c r="U29" s="7">
        <f t="shared" si="4"/>
        <v>0</v>
      </c>
      <c r="V29" s="119">
        <f t="shared" si="5"/>
        <v>0</v>
      </c>
      <c r="W29" s="119">
        <f t="shared" si="6"/>
        <v>0</v>
      </c>
      <c r="X29" s="119">
        <f t="shared" si="7"/>
        <v>0</v>
      </c>
      <c r="Y29" s="119">
        <f t="shared" si="8"/>
        <v>0</v>
      </c>
      <c r="Z29" s="119">
        <f t="shared" si="9"/>
        <v>0</v>
      </c>
      <c r="AA29" s="119">
        <f t="shared" si="10"/>
        <v>0</v>
      </c>
      <c r="AB29" s="119">
        <f t="shared" si="11"/>
        <v>1</v>
      </c>
      <c r="AC29" s="119">
        <f t="shared" si="12"/>
        <v>0</v>
      </c>
      <c r="AD29" s="119">
        <f t="shared" si="13"/>
        <v>0</v>
      </c>
      <c r="AE29" s="119">
        <f t="shared" si="14"/>
        <v>0</v>
      </c>
      <c r="AF29" s="7"/>
      <c r="AG29" s="7"/>
      <c r="AH29" s="7">
        <f t="shared" si="15"/>
        <v>2</v>
      </c>
      <c r="AI29" s="7">
        <f t="shared" si="16"/>
        <v>2</v>
      </c>
      <c r="AJ29" s="7" t="str">
        <f t="shared" si="17"/>
        <v>Correct</v>
      </c>
      <c r="AK29" s="7"/>
      <c r="AL29" s="120" t="str">
        <f>IFERROR(VLOOKUP(Table1[RespondentID],'All Data'!$A$3:$CO$999,87,FALSE),"unknown")</f>
        <v>Woman</v>
      </c>
      <c r="AM29" s="120">
        <f>IFERROR(VLOOKUP(Table1[RespondentID],'All Data'!$A$3:$CO$999,88,FALSE),"unknown")</f>
        <v>17</v>
      </c>
      <c r="AN29" s="120" t="str">
        <f>IFERROR(VLOOKUP(Table1[RespondentID],'All Data'!$A$3:$CO$999,89,FALSE),"unknown")</f>
        <v>Suffolk</v>
      </c>
      <c r="AO29" s="120" t="str">
        <f>IFERROR(VLOOKUP(Table1[RespondentID],'All Data'!$A$3:$CO$999,90,FALSE),"unknown")</f>
        <v>Centerport, 11721</v>
      </c>
      <c r="AP29" s="120" t="str">
        <f>IFERROR(VLOOKUP(Table1[RespondentID],'All Data'!$A$3:$CO$999,91,FALSE),"unknown")</f>
        <v>White</v>
      </c>
      <c r="AQ29" s="120" t="str">
        <f>IFERROR(VLOOKUP(Table1[RespondentID],'All Data'!$A$3:$CO$999,92,FALSE),"unknown")</f>
        <v>Not Hispanic or Latino</v>
      </c>
      <c r="AR29" s="120" t="str">
        <f>IFERROR(VLOOKUP(Table1[RespondentID],'All Data'!$A$3:$CO$999,93,FALSE),"unknown")</f>
        <v>English</v>
      </c>
      <c r="AS29" s="120" t="str">
        <f>IFERROR(VLOOKUP(Table1[RespondentID],'All Data'!$A$3:$CW$999,94,FALSE),"unknown")</f>
        <v>Over $125,000</v>
      </c>
      <c r="AT29" s="120" t="str">
        <f>IFERROR(VLOOKUP(Table1[RespondentID],'All Data'!$A$3:$CW$999,95,FALSE),"unknown")</f>
        <v>Some high school</v>
      </c>
      <c r="AU29" s="120" t="str">
        <f>IFERROR(VLOOKUP(Table1[RespondentID],'All Data'!$A$3:$CW$999,96,FALSE),"unknown")</f>
        <v>Student</v>
      </c>
      <c r="AV29" s="120" t="str">
        <f>IFERROR(VLOOKUP(Table1[RespondentID],'All Data'!$A$3:$CW$999,97,FALSE),"unknown")</f>
        <v>Yes</v>
      </c>
      <c r="AW29" s="120">
        <f>IFERROR(VLOOKUP(Table1[RespondentID],'All Data'!$A$3:$CW$999,98,FALSE),"unknown")</f>
        <v>0</v>
      </c>
      <c r="AX29" s="120">
        <f>IFERROR(VLOOKUP(Table1[RespondentID],'All Data'!$A$3:$CW$999,99,FALSE),"unknown")</f>
        <v>0</v>
      </c>
    </row>
    <row r="30" spans="1:50">
      <c r="A30" s="5">
        <v>18025185458</v>
      </c>
      <c r="B30" s="5"/>
      <c r="C30" s="5"/>
      <c r="D30" s="5"/>
      <c r="E30" s="5"/>
      <c r="F30" s="5"/>
      <c r="G30" s="5"/>
      <c r="H30" s="5" t="s">
        <v>22</v>
      </c>
      <c r="I30" s="5" t="s">
        <v>23</v>
      </c>
      <c r="J30" s="5"/>
      <c r="K30" s="5"/>
      <c r="L30" s="5"/>
      <c r="M30" s="5"/>
      <c r="N30" s="5" t="s">
        <v>28</v>
      </c>
      <c r="O30" s="7"/>
      <c r="P30" s="7">
        <f t="shared" si="0"/>
        <v>3</v>
      </c>
      <c r="Q30" s="8">
        <f t="shared" si="1"/>
        <v>1</v>
      </c>
      <c r="R30" s="7"/>
      <c r="S30" s="7">
        <f t="shared" si="2"/>
        <v>0</v>
      </c>
      <c r="T30" s="7">
        <f t="shared" si="3"/>
        <v>0</v>
      </c>
      <c r="U30" s="7">
        <f t="shared" si="4"/>
        <v>0</v>
      </c>
      <c r="V30" s="119">
        <f t="shared" si="5"/>
        <v>0</v>
      </c>
      <c r="W30" s="119">
        <f t="shared" si="6"/>
        <v>0</v>
      </c>
      <c r="X30" s="119">
        <f t="shared" si="7"/>
        <v>0</v>
      </c>
      <c r="Y30" s="119">
        <f t="shared" si="8"/>
        <v>1</v>
      </c>
      <c r="Z30" s="119">
        <f t="shared" si="9"/>
        <v>1</v>
      </c>
      <c r="AA30" s="119">
        <f t="shared" si="10"/>
        <v>0</v>
      </c>
      <c r="AB30" s="119">
        <f t="shared" si="11"/>
        <v>0</v>
      </c>
      <c r="AC30" s="119">
        <f t="shared" si="12"/>
        <v>0</v>
      </c>
      <c r="AD30" s="119">
        <f t="shared" si="13"/>
        <v>0</v>
      </c>
      <c r="AE30" s="119">
        <f t="shared" si="14"/>
        <v>1</v>
      </c>
      <c r="AF30" s="7"/>
      <c r="AG30" s="7"/>
      <c r="AH30" s="7">
        <f t="shared" si="15"/>
        <v>3</v>
      </c>
      <c r="AI30" s="7">
        <f t="shared" si="16"/>
        <v>3</v>
      </c>
      <c r="AJ30" s="7" t="str">
        <f t="shared" si="17"/>
        <v>Correct</v>
      </c>
      <c r="AK30" s="7"/>
      <c r="AL30" s="120" t="str">
        <f>IFERROR(VLOOKUP(Table1[RespondentID],'All Data'!$A$3:$CO$999,87,FALSE),"unknown")</f>
        <v>Man</v>
      </c>
      <c r="AM30" s="120">
        <f>IFERROR(VLOOKUP(Table1[RespondentID],'All Data'!$A$3:$CO$999,88,FALSE),"unknown")</f>
        <v>38</v>
      </c>
      <c r="AN30" s="120" t="str">
        <f>IFERROR(VLOOKUP(Table1[RespondentID],'All Data'!$A$3:$CO$999,89,FALSE),"unknown")</f>
        <v>Suffolk</v>
      </c>
      <c r="AO30" s="120" t="str">
        <f>IFERROR(VLOOKUP(Table1[RespondentID],'All Data'!$A$3:$CO$999,90,FALSE),"unknown")</f>
        <v>Cold Spring Harbor, 11724</v>
      </c>
      <c r="AP30" s="120" t="str">
        <f>IFERROR(VLOOKUP(Table1[RespondentID],'All Data'!$A$3:$CO$999,91,FALSE),"unknown")</f>
        <v>White</v>
      </c>
      <c r="AQ30" s="120" t="str">
        <f>IFERROR(VLOOKUP(Table1[RespondentID],'All Data'!$A$3:$CO$999,92,FALSE),"unknown")</f>
        <v>Not Hispanic or Latino</v>
      </c>
      <c r="AR30" s="120" t="str">
        <f>IFERROR(VLOOKUP(Table1[RespondentID],'All Data'!$A$3:$CO$999,93,FALSE),"unknown")</f>
        <v>English</v>
      </c>
      <c r="AS30" s="120" t="str">
        <f>IFERROR(VLOOKUP(Table1[RespondentID],'All Data'!$A$3:$CW$999,94,FALSE),"unknown")</f>
        <v>$35,000 to $49,999</v>
      </c>
      <c r="AT30" s="120" t="str">
        <f>IFERROR(VLOOKUP(Table1[RespondentID],'All Data'!$A$3:$CW$999,95,FALSE),"unknown")</f>
        <v>College graduate</v>
      </c>
      <c r="AU30" s="120" t="str">
        <f>IFERROR(VLOOKUP(Table1[RespondentID],'All Data'!$A$3:$CW$999,96,FALSE),"unknown")</f>
        <v>Employed for wages</v>
      </c>
      <c r="AV30" s="120" t="str">
        <f>IFERROR(VLOOKUP(Table1[RespondentID],'All Data'!$A$3:$CW$999,97,FALSE),"unknown")</f>
        <v>Yes</v>
      </c>
      <c r="AW30" s="120">
        <f>IFERROR(VLOOKUP(Table1[RespondentID],'All Data'!$A$3:$CW$999,98,FALSE),"unknown")</f>
        <v>0</v>
      </c>
      <c r="AX30" s="120">
        <f>IFERROR(VLOOKUP(Table1[RespondentID],'All Data'!$A$3:$CW$999,99,FALSE),"unknown")</f>
        <v>0</v>
      </c>
    </row>
    <row r="31" spans="1:50">
      <c r="A31" s="5">
        <v>18025185352</v>
      </c>
      <c r="B31" s="5"/>
      <c r="C31" s="5" t="s">
        <v>17</v>
      </c>
      <c r="D31" s="5" t="s">
        <v>18</v>
      </c>
      <c r="E31" s="5"/>
      <c r="F31" s="5"/>
      <c r="G31" s="5"/>
      <c r="H31" s="5"/>
      <c r="I31" s="5"/>
      <c r="J31" s="5"/>
      <c r="K31" s="5"/>
      <c r="L31" s="5"/>
      <c r="M31" s="5" t="s">
        <v>27</v>
      </c>
      <c r="N31" s="5"/>
      <c r="O31" s="7"/>
      <c r="P31" s="7">
        <f t="shared" si="0"/>
        <v>3</v>
      </c>
      <c r="Q31" s="9">
        <f t="shared" si="1"/>
        <v>1</v>
      </c>
      <c r="R31" s="7"/>
      <c r="S31" s="7">
        <f t="shared" si="2"/>
        <v>0</v>
      </c>
      <c r="T31" s="7">
        <f t="shared" si="3"/>
        <v>1</v>
      </c>
      <c r="U31" s="7">
        <f t="shared" si="4"/>
        <v>1</v>
      </c>
      <c r="V31" s="119">
        <f t="shared" si="5"/>
        <v>0</v>
      </c>
      <c r="W31" s="119">
        <f t="shared" si="6"/>
        <v>0</v>
      </c>
      <c r="X31" s="119">
        <f t="shared" si="7"/>
        <v>0</v>
      </c>
      <c r="Y31" s="119">
        <f t="shared" si="8"/>
        <v>0</v>
      </c>
      <c r="Z31" s="119">
        <f t="shared" si="9"/>
        <v>0</v>
      </c>
      <c r="AA31" s="119">
        <f t="shared" si="10"/>
        <v>0</v>
      </c>
      <c r="AB31" s="119">
        <f t="shared" si="11"/>
        <v>0</v>
      </c>
      <c r="AC31" s="119">
        <f t="shared" si="12"/>
        <v>0</v>
      </c>
      <c r="AD31" s="119">
        <f t="shared" si="13"/>
        <v>1</v>
      </c>
      <c r="AE31" s="119">
        <f t="shared" si="14"/>
        <v>0</v>
      </c>
      <c r="AF31" s="7"/>
      <c r="AG31" s="7"/>
      <c r="AH31" s="7">
        <f t="shared" si="15"/>
        <v>3</v>
      </c>
      <c r="AI31" s="7">
        <f t="shared" si="16"/>
        <v>3</v>
      </c>
      <c r="AJ31" s="7" t="str">
        <f t="shared" si="17"/>
        <v>Correct</v>
      </c>
      <c r="AK31" s="7"/>
      <c r="AL31" s="120" t="str">
        <f>IFERROR(VLOOKUP(Table1[RespondentID],'All Data'!$A$3:$CO$999,87,FALSE),"unknown")</f>
        <v>Man</v>
      </c>
      <c r="AM31" s="120">
        <f>IFERROR(VLOOKUP(Table1[RespondentID],'All Data'!$A$3:$CO$999,88,FALSE),"unknown")</f>
        <v>53</v>
      </c>
      <c r="AN31" s="120" t="str">
        <f>IFERROR(VLOOKUP(Table1[RespondentID],'All Data'!$A$3:$CO$999,89,FALSE),"unknown")</f>
        <v>Suffolk</v>
      </c>
      <c r="AO31" s="120" t="str">
        <f>IFERROR(VLOOKUP(Table1[RespondentID],'All Data'!$A$3:$CO$999,90,FALSE),"unknown")</f>
        <v>Saint James, 11780</v>
      </c>
      <c r="AP31" s="120" t="str">
        <f>IFERROR(VLOOKUP(Table1[RespondentID],'All Data'!$A$3:$CO$999,91,FALSE),"unknown")</f>
        <v>White</v>
      </c>
      <c r="AQ31" s="120" t="str">
        <f>IFERROR(VLOOKUP(Table1[RespondentID],'All Data'!$A$3:$CO$999,92,FALSE),"unknown")</f>
        <v>Not Hispanic or Latino</v>
      </c>
      <c r="AR31" s="120" t="str">
        <f>IFERROR(VLOOKUP(Table1[RespondentID],'All Data'!$A$3:$CO$999,93,FALSE),"unknown")</f>
        <v>English</v>
      </c>
      <c r="AS31" s="120" t="str">
        <f>IFERROR(VLOOKUP(Table1[RespondentID],'All Data'!$A$3:$CW$999,94,FALSE),"unknown")</f>
        <v>Over $125,000</v>
      </c>
      <c r="AT31" s="120" t="str">
        <f>IFERROR(VLOOKUP(Table1[RespondentID],'All Data'!$A$3:$CW$999,95,FALSE),"unknown")</f>
        <v>College graduate</v>
      </c>
      <c r="AU31" s="120" t="str">
        <f>IFERROR(VLOOKUP(Table1[RespondentID],'All Data'!$A$3:$CW$999,96,FALSE),"unknown")</f>
        <v>Employed for wages</v>
      </c>
      <c r="AV31" s="120" t="str">
        <f>IFERROR(VLOOKUP(Table1[RespondentID],'All Data'!$A$3:$CW$999,97,FALSE),"unknown")</f>
        <v>Yes</v>
      </c>
      <c r="AW31" s="120">
        <f>IFERROR(VLOOKUP(Table1[RespondentID],'All Data'!$A$3:$CW$999,98,FALSE),"unknown")</f>
        <v>0</v>
      </c>
      <c r="AX31" s="120">
        <f>IFERROR(VLOOKUP(Table1[RespondentID],'All Data'!$A$3:$CW$999,99,FALSE),"unknown")</f>
        <v>0</v>
      </c>
    </row>
    <row r="32" spans="1:50">
      <c r="A32" s="5">
        <v>18025185219</v>
      </c>
      <c r="B32" s="5"/>
      <c r="C32" s="5"/>
      <c r="D32" s="5" t="s">
        <v>18</v>
      </c>
      <c r="E32" s="5"/>
      <c r="F32" s="5"/>
      <c r="G32" s="5"/>
      <c r="H32" s="5"/>
      <c r="I32" s="5"/>
      <c r="J32" s="5"/>
      <c r="K32" s="5" t="s">
        <v>25</v>
      </c>
      <c r="L32" s="5"/>
      <c r="M32" s="5"/>
      <c r="N32" s="5" t="s">
        <v>28</v>
      </c>
      <c r="O32" s="7"/>
      <c r="P32" s="7">
        <f t="shared" si="0"/>
        <v>3</v>
      </c>
      <c r="Q32" s="8">
        <f t="shared" si="1"/>
        <v>1</v>
      </c>
      <c r="R32" s="7"/>
      <c r="S32" s="7">
        <f t="shared" si="2"/>
        <v>0</v>
      </c>
      <c r="T32" s="7">
        <f t="shared" si="3"/>
        <v>0</v>
      </c>
      <c r="U32" s="7">
        <f t="shared" si="4"/>
        <v>1</v>
      </c>
      <c r="V32" s="119">
        <f t="shared" si="5"/>
        <v>0</v>
      </c>
      <c r="W32" s="119">
        <f t="shared" si="6"/>
        <v>0</v>
      </c>
      <c r="X32" s="119">
        <f t="shared" si="7"/>
        <v>0</v>
      </c>
      <c r="Y32" s="119">
        <f t="shared" si="8"/>
        <v>0</v>
      </c>
      <c r="Z32" s="119">
        <f t="shared" si="9"/>
        <v>0</v>
      </c>
      <c r="AA32" s="119">
        <f t="shared" si="10"/>
        <v>0</v>
      </c>
      <c r="AB32" s="119">
        <f t="shared" si="11"/>
        <v>1</v>
      </c>
      <c r="AC32" s="119">
        <f t="shared" si="12"/>
        <v>0</v>
      </c>
      <c r="AD32" s="119">
        <f t="shared" si="13"/>
        <v>0</v>
      </c>
      <c r="AE32" s="119">
        <f t="shared" si="14"/>
        <v>1</v>
      </c>
      <c r="AF32" s="7"/>
      <c r="AG32" s="7"/>
      <c r="AH32" s="7">
        <f t="shared" si="15"/>
        <v>3</v>
      </c>
      <c r="AI32" s="7">
        <f t="shared" si="16"/>
        <v>3</v>
      </c>
      <c r="AJ32" s="7" t="str">
        <f t="shared" si="17"/>
        <v>Correct</v>
      </c>
      <c r="AK32" s="7"/>
      <c r="AL32" s="120" t="str">
        <f>IFERROR(VLOOKUP(Table1[RespondentID],'All Data'!$A$3:$CO$999,87,FALSE),"unknown")</f>
        <v>Man</v>
      </c>
      <c r="AM32" s="120">
        <f>IFERROR(VLOOKUP(Table1[RespondentID],'All Data'!$A$3:$CO$999,88,FALSE),"unknown")</f>
        <v>40</v>
      </c>
      <c r="AN32" s="120" t="str">
        <f>IFERROR(VLOOKUP(Table1[RespondentID],'All Data'!$A$3:$CO$999,89,FALSE),"unknown")</f>
        <v>Suffolk</v>
      </c>
      <c r="AO32" s="120" t="str">
        <f>IFERROR(VLOOKUP(Table1[RespondentID],'All Data'!$A$3:$CO$999,90,FALSE),"unknown")</f>
        <v>Kings Park, 11754</v>
      </c>
      <c r="AP32" s="120" t="str">
        <f>IFERROR(VLOOKUP(Table1[RespondentID],'All Data'!$A$3:$CO$999,91,FALSE),"unknown")</f>
        <v>White</v>
      </c>
      <c r="AQ32" s="120" t="str">
        <f>IFERROR(VLOOKUP(Table1[RespondentID],'All Data'!$A$3:$CO$999,92,FALSE),"unknown")</f>
        <v>Hispanic or Latino</v>
      </c>
      <c r="AR32" s="120" t="str">
        <f>IFERROR(VLOOKUP(Table1[RespondentID],'All Data'!$A$3:$CO$999,93,FALSE),"unknown")</f>
        <v>English</v>
      </c>
      <c r="AS32" s="120" t="str">
        <f>IFERROR(VLOOKUP(Table1[RespondentID],'All Data'!$A$3:$CW$999,94,FALSE),"unknown")</f>
        <v>Over $125,000</v>
      </c>
      <c r="AT32" s="120" t="str">
        <f>IFERROR(VLOOKUP(Table1[RespondentID],'All Data'!$A$3:$CW$999,95,FALSE),"unknown")</f>
        <v>Graduate school</v>
      </c>
      <c r="AU32" s="120" t="str">
        <f>IFERROR(VLOOKUP(Table1[RespondentID],'All Data'!$A$3:$CW$999,96,FALSE),"unknown")</f>
        <v>Employed for wages</v>
      </c>
      <c r="AV32" s="120" t="str">
        <f>IFERROR(VLOOKUP(Table1[RespondentID],'All Data'!$A$3:$CW$999,97,FALSE),"unknown")</f>
        <v>Yes</v>
      </c>
      <c r="AW32" s="120">
        <f>IFERROR(VLOOKUP(Table1[RespondentID],'All Data'!$A$3:$CW$999,98,FALSE),"unknown")</f>
        <v>0</v>
      </c>
      <c r="AX32" s="120">
        <f>IFERROR(VLOOKUP(Table1[RespondentID],'All Data'!$A$3:$CW$999,99,FALSE),"unknown")</f>
        <v>0</v>
      </c>
    </row>
    <row r="33" spans="1:50">
      <c r="A33" s="5">
        <v>18025185091</v>
      </c>
      <c r="B33" s="5"/>
      <c r="C33" s="5"/>
      <c r="D33" s="5" t="s">
        <v>18</v>
      </c>
      <c r="E33" s="5"/>
      <c r="F33" s="5"/>
      <c r="G33" s="5"/>
      <c r="H33" s="5"/>
      <c r="I33" s="5"/>
      <c r="J33" s="5"/>
      <c r="K33" s="5"/>
      <c r="L33" s="5"/>
      <c r="M33" s="5"/>
      <c r="N33" s="5" t="s">
        <v>28</v>
      </c>
      <c r="O33" s="7"/>
      <c r="P33" s="7">
        <f t="shared" si="0"/>
        <v>2</v>
      </c>
      <c r="Q33" s="9">
        <f t="shared" si="1"/>
        <v>1.5</v>
      </c>
      <c r="R33" s="7"/>
      <c r="S33" s="7">
        <f t="shared" si="2"/>
        <v>0</v>
      </c>
      <c r="T33" s="7">
        <f t="shared" si="3"/>
        <v>0</v>
      </c>
      <c r="U33" s="7">
        <f t="shared" si="4"/>
        <v>1</v>
      </c>
      <c r="V33" s="119">
        <f t="shared" si="5"/>
        <v>0</v>
      </c>
      <c r="W33" s="119">
        <f t="shared" si="6"/>
        <v>0</v>
      </c>
      <c r="X33" s="119">
        <f t="shared" si="7"/>
        <v>0</v>
      </c>
      <c r="Y33" s="119">
        <f t="shared" si="8"/>
        <v>0</v>
      </c>
      <c r="Z33" s="119">
        <f t="shared" si="9"/>
        <v>0</v>
      </c>
      <c r="AA33" s="119">
        <f t="shared" si="10"/>
        <v>0</v>
      </c>
      <c r="AB33" s="119">
        <f t="shared" si="11"/>
        <v>0</v>
      </c>
      <c r="AC33" s="119">
        <f t="shared" si="12"/>
        <v>0</v>
      </c>
      <c r="AD33" s="119">
        <f t="shared" si="13"/>
        <v>0</v>
      </c>
      <c r="AE33" s="119">
        <f t="shared" si="14"/>
        <v>1</v>
      </c>
      <c r="AF33" s="7"/>
      <c r="AG33" s="7"/>
      <c r="AH33" s="7">
        <f t="shared" si="15"/>
        <v>2</v>
      </c>
      <c r="AI33" s="7">
        <f t="shared" si="16"/>
        <v>2</v>
      </c>
      <c r="AJ33" s="7" t="str">
        <f t="shared" si="17"/>
        <v>Correct</v>
      </c>
      <c r="AK33" s="7"/>
      <c r="AL33" s="120" t="str">
        <f>IFERROR(VLOOKUP(Table1[RespondentID],'All Data'!$A$3:$CO$999,87,FALSE),"unknown")</f>
        <v>Woman</v>
      </c>
      <c r="AM33" s="120">
        <f>IFERROR(VLOOKUP(Table1[RespondentID],'All Data'!$A$3:$CO$999,88,FALSE),"unknown")</f>
        <v>25</v>
      </c>
      <c r="AN33" s="120" t="str">
        <f>IFERROR(VLOOKUP(Table1[RespondentID],'All Data'!$A$3:$CO$999,89,FALSE),"unknown")</f>
        <v>Suffolk</v>
      </c>
      <c r="AO33" s="120" t="str">
        <f>IFERROR(VLOOKUP(Table1[RespondentID],'All Data'!$A$3:$CO$999,90,FALSE),"unknown")</f>
        <v>Smithtown, 11787</v>
      </c>
      <c r="AP33" s="120" t="str">
        <f>IFERROR(VLOOKUP(Table1[RespondentID],'All Data'!$A$3:$CO$999,91,FALSE),"unknown")</f>
        <v>White</v>
      </c>
      <c r="AQ33" s="120" t="str">
        <f>IFERROR(VLOOKUP(Table1[RespondentID],'All Data'!$A$3:$CO$999,92,FALSE),"unknown")</f>
        <v>Not Hispanic or Latino</v>
      </c>
      <c r="AR33" s="120" t="str">
        <f>IFERROR(VLOOKUP(Table1[RespondentID],'All Data'!$A$3:$CO$999,93,FALSE),"unknown")</f>
        <v>English</v>
      </c>
      <c r="AS33" s="120" t="str">
        <f>IFERROR(VLOOKUP(Table1[RespondentID],'All Data'!$A$3:$CW$999,94,FALSE),"unknown")</f>
        <v>Over $125,000</v>
      </c>
      <c r="AT33" s="120" t="str">
        <f>IFERROR(VLOOKUP(Table1[RespondentID],'All Data'!$A$3:$CW$999,95,FALSE),"unknown")</f>
        <v>Graduate school</v>
      </c>
      <c r="AU33" s="120" t="str">
        <f>IFERROR(VLOOKUP(Table1[RespondentID],'All Data'!$A$3:$CW$999,96,FALSE),"unknown")</f>
        <v>Employed for wages</v>
      </c>
      <c r="AV33" s="120" t="str">
        <f>IFERROR(VLOOKUP(Table1[RespondentID],'All Data'!$A$3:$CW$999,97,FALSE),"unknown")</f>
        <v>Yes</v>
      </c>
      <c r="AW33" s="120">
        <f>IFERROR(VLOOKUP(Table1[RespondentID],'All Data'!$A$3:$CW$999,98,FALSE),"unknown")</f>
        <v>0</v>
      </c>
      <c r="AX33" s="120">
        <f>IFERROR(VLOOKUP(Table1[RespondentID],'All Data'!$A$3:$CW$999,99,FALSE),"unknown")</f>
        <v>0</v>
      </c>
    </row>
    <row r="34" spans="1:50">
      <c r="A34" s="5">
        <v>18025184990</v>
      </c>
      <c r="B34" s="5"/>
      <c r="C34" s="5"/>
      <c r="D34" s="5"/>
      <c r="E34" s="5"/>
      <c r="F34" s="5"/>
      <c r="G34" s="5"/>
      <c r="H34" s="5"/>
      <c r="I34" s="5" t="s">
        <v>23</v>
      </c>
      <c r="J34" s="5" t="s">
        <v>24</v>
      </c>
      <c r="K34" s="5"/>
      <c r="L34" s="5"/>
      <c r="M34" s="5"/>
      <c r="N34" s="5"/>
      <c r="O34" s="7"/>
      <c r="P34" s="7">
        <f t="shared" si="0"/>
        <v>2</v>
      </c>
      <c r="Q34" s="8">
        <f t="shared" si="1"/>
        <v>1.5</v>
      </c>
      <c r="R34" s="7"/>
      <c r="S34" s="7">
        <f t="shared" si="2"/>
        <v>0</v>
      </c>
      <c r="T34" s="7">
        <f t="shared" si="3"/>
        <v>0</v>
      </c>
      <c r="U34" s="7">
        <f t="shared" si="4"/>
        <v>0</v>
      </c>
      <c r="V34" s="119">
        <f t="shared" si="5"/>
        <v>0</v>
      </c>
      <c r="W34" s="119">
        <f t="shared" si="6"/>
        <v>0</v>
      </c>
      <c r="X34" s="119">
        <f t="shared" si="7"/>
        <v>0</v>
      </c>
      <c r="Y34" s="119">
        <f t="shared" si="8"/>
        <v>0</v>
      </c>
      <c r="Z34" s="119">
        <f t="shared" si="9"/>
        <v>1</v>
      </c>
      <c r="AA34" s="119">
        <f t="shared" si="10"/>
        <v>1</v>
      </c>
      <c r="AB34" s="119">
        <f t="shared" si="11"/>
        <v>0</v>
      </c>
      <c r="AC34" s="119">
        <f t="shared" si="12"/>
        <v>0</v>
      </c>
      <c r="AD34" s="119">
        <f t="shared" si="13"/>
        <v>0</v>
      </c>
      <c r="AE34" s="119">
        <f t="shared" si="14"/>
        <v>0</v>
      </c>
      <c r="AF34" s="7"/>
      <c r="AG34" s="7"/>
      <c r="AH34" s="7">
        <f t="shared" si="15"/>
        <v>2</v>
      </c>
      <c r="AI34" s="7">
        <f t="shared" si="16"/>
        <v>2</v>
      </c>
      <c r="AJ34" s="7" t="str">
        <f t="shared" si="17"/>
        <v>Correct</v>
      </c>
      <c r="AK34" s="7"/>
      <c r="AL34" s="120" t="str">
        <f>IFERROR(VLOOKUP(Table1[RespondentID],'All Data'!$A$3:$CO$999,87,FALSE),"unknown")</f>
        <v>Woman</v>
      </c>
      <c r="AM34" s="120">
        <f>IFERROR(VLOOKUP(Table1[RespondentID],'All Data'!$A$3:$CO$999,88,FALSE),"unknown")</f>
        <v>26</v>
      </c>
      <c r="AN34" s="120" t="str">
        <f>IFERROR(VLOOKUP(Table1[RespondentID],'All Data'!$A$3:$CO$999,89,FALSE),"unknown")</f>
        <v>Suffolk</v>
      </c>
      <c r="AO34" s="120" t="str">
        <f>IFERROR(VLOOKUP(Table1[RespondentID],'All Data'!$A$3:$CO$999,90,FALSE),"unknown")</f>
        <v>Saint James, 11780</v>
      </c>
      <c r="AP34" s="120" t="str">
        <f>IFERROR(VLOOKUP(Table1[RespondentID],'All Data'!$A$3:$CO$999,91,FALSE),"unknown")</f>
        <v>White</v>
      </c>
      <c r="AQ34" s="120" t="str">
        <f>IFERROR(VLOOKUP(Table1[RespondentID],'All Data'!$A$3:$CO$999,92,FALSE),"unknown")</f>
        <v>Not Hispanic or Latino</v>
      </c>
      <c r="AR34" s="120" t="str">
        <f>IFERROR(VLOOKUP(Table1[RespondentID],'All Data'!$A$3:$CO$999,93,FALSE),"unknown")</f>
        <v>English</v>
      </c>
      <c r="AS34" s="120" t="str">
        <f>IFERROR(VLOOKUP(Table1[RespondentID],'All Data'!$A$3:$CW$999,94,FALSE),"unknown")</f>
        <v>$75,000 to $125,000</v>
      </c>
      <c r="AT34" s="120" t="str">
        <f>IFERROR(VLOOKUP(Table1[RespondentID],'All Data'!$A$3:$CW$999,95,FALSE),"unknown")</f>
        <v>College graduate</v>
      </c>
      <c r="AU34" s="120" t="str">
        <f>IFERROR(VLOOKUP(Table1[RespondentID],'All Data'!$A$3:$CW$999,96,FALSE),"unknown")</f>
        <v>Employed for wages</v>
      </c>
      <c r="AV34" s="120" t="str">
        <f>IFERROR(VLOOKUP(Table1[RespondentID],'All Data'!$A$3:$CW$999,97,FALSE),"unknown")</f>
        <v>Yes</v>
      </c>
      <c r="AW34" s="120">
        <f>IFERROR(VLOOKUP(Table1[RespondentID],'All Data'!$A$3:$CW$999,98,FALSE),"unknown")</f>
        <v>0</v>
      </c>
      <c r="AX34" s="120">
        <f>IFERROR(VLOOKUP(Table1[RespondentID],'All Data'!$A$3:$CW$999,99,FALSE),"unknown")</f>
        <v>0</v>
      </c>
    </row>
    <row r="35" spans="1:50">
      <c r="A35" s="5">
        <v>18025184829</v>
      </c>
      <c r="B35" s="5"/>
      <c r="C35" s="5"/>
      <c r="D35" s="5" t="s">
        <v>18</v>
      </c>
      <c r="E35" s="5"/>
      <c r="F35" s="5"/>
      <c r="G35" s="5"/>
      <c r="H35" s="5"/>
      <c r="I35" s="5" t="s">
        <v>23</v>
      </c>
      <c r="J35" s="5"/>
      <c r="K35" s="5"/>
      <c r="L35" s="5"/>
      <c r="M35" s="5" t="s">
        <v>27</v>
      </c>
      <c r="N35" s="5"/>
      <c r="O35" s="7"/>
      <c r="P35" s="7">
        <f t="shared" si="0"/>
        <v>3</v>
      </c>
      <c r="Q35" s="9">
        <f t="shared" si="1"/>
        <v>1</v>
      </c>
      <c r="R35" s="7"/>
      <c r="S35" s="7">
        <f t="shared" si="2"/>
        <v>0</v>
      </c>
      <c r="T35" s="7">
        <f t="shared" si="3"/>
        <v>0</v>
      </c>
      <c r="U35" s="7">
        <f t="shared" si="4"/>
        <v>1</v>
      </c>
      <c r="V35" s="119">
        <f t="shared" si="5"/>
        <v>0</v>
      </c>
      <c r="W35" s="119">
        <f t="shared" si="6"/>
        <v>0</v>
      </c>
      <c r="X35" s="119">
        <f t="shared" si="7"/>
        <v>0</v>
      </c>
      <c r="Y35" s="119">
        <f t="shared" si="8"/>
        <v>0</v>
      </c>
      <c r="Z35" s="119">
        <f t="shared" si="9"/>
        <v>1</v>
      </c>
      <c r="AA35" s="119">
        <f t="shared" si="10"/>
        <v>0</v>
      </c>
      <c r="AB35" s="119">
        <f t="shared" si="11"/>
        <v>0</v>
      </c>
      <c r="AC35" s="119">
        <f t="shared" si="12"/>
        <v>0</v>
      </c>
      <c r="AD35" s="119">
        <f t="shared" si="13"/>
        <v>1</v>
      </c>
      <c r="AE35" s="119">
        <f t="shared" si="14"/>
        <v>0</v>
      </c>
      <c r="AF35" s="7"/>
      <c r="AG35" s="7"/>
      <c r="AH35" s="7">
        <f t="shared" si="15"/>
        <v>3</v>
      </c>
      <c r="AI35" s="7">
        <f t="shared" si="16"/>
        <v>3</v>
      </c>
      <c r="AJ35" s="7" t="str">
        <f t="shared" si="17"/>
        <v>Correct</v>
      </c>
      <c r="AK35" s="7"/>
      <c r="AL35" s="120" t="str">
        <f>IFERROR(VLOOKUP(Table1[RespondentID],'All Data'!$A$3:$CO$999,87,FALSE),"unknown")</f>
        <v>Woman</v>
      </c>
      <c r="AM35" s="120">
        <f>IFERROR(VLOOKUP(Table1[RespondentID],'All Data'!$A$3:$CO$999,88,FALSE),"unknown")</f>
        <v>48</v>
      </c>
      <c r="AN35" s="120" t="str">
        <f>IFERROR(VLOOKUP(Table1[RespondentID],'All Data'!$A$3:$CO$999,89,FALSE),"unknown")</f>
        <v>Suffolk</v>
      </c>
      <c r="AO35" s="120" t="str">
        <f>IFERROR(VLOOKUP(Table1[RespondentID],'All Data'!$A$3:$CO$999,90,FALSE),"unknown")</f>
        <v>Smithtown, 11787</v>
      </c>
      <c r="AP35" s="120" t="str">
        <f>IFERROR(VLOOKUP(Table1[RespondentID],'All Data'!$A$3:$CO$999,91,FALSE),"unknown")</f>
        <v>White</v>
      </c>
      <c r="AQ35" s="120" t="str">
        <f>IFERROR(VLOOKUP(Table1[RespondentID],'All Data'!$A$3:$CO$999,92,FALSE),"unknown")</f>
        <v>Not Hispanic or Latino</v>
      </c>
      <c r="AR35" s="120" t="str">
        <f>IFERROR(VLOOKUP(Table1[RespondentID],'All Data'!$A$3:$CO$999,93,FALSE),"unknown")</f>
        <v>English, Italian</v>
      </c>
      <c r="AS35" s="120" t="str">
        <f>IFERROR(VLOOKUP(Table1[RespondentID],'All Data'!$A$3:$CW$999,94,FALSE),"unknown")</f>
        <v>Over $125,000</v>
      </c>
      <c r="AT35" s="120" t="str">
        <f>IFERROR(VLOOKUP(Table1[RespondentID],'All Data'!$A$3:$CW$999,95,FALSE),"unknown")</f>
        <v>Graduate school</v>
      </c>
      <c r="AU35" s="120" t="str">
        <f>IFERROR(VLOOKUP(Table1[RespondentID],'All Data'!$A$3:$CW$999,96,FALSE),"unknown")</f>
        <v>Employed for wages</v>
      </c>
      <c r="AV35" s="120" t="str">
        <f>IFERROR(VLOOKUP(Table1[RespondentID],'All Data'!$A$3:$CW$999,97,FALSE),"unknown")</f>
        <v>Yes</v>
      </c>
      <c r="AW35" s="120">
        <f>IFERROR(VLOOKUP(Table1[RespondentID],'All Data'!$A$3:$CW$999,98,FALSE),"unknown")</f>
        <v>0</v>
      </c>
      <c r="AX35" s="120">
        <f>IFERROR(VLOOKUP(Table1[RespondentID],'All Data'!$A$3:$CW$999,99,FALSE),"unknown")</f>
        <v>0</v>
      </c>
    </row>
    <row r="36" spans="1:50">
      <c r="A36" s="5">
        <v>18025184660</v>
      </c>
      <c r="B36" s="5" t="s">
        <v>16</v>
      </c>
      <c r="C36" s="5" t="s">
        <v>17</v>
      </c>
      <c r="D36" s="5"/>
      <c r="E36" s="5"/>
      <c r="F36" s="5"/>
      <c r="G36" s="5"/>
      <c r="H36" s="5"/>
      <c r="I36" s="5"/>
      <c r="J36" s="5" t="s">
        <v>24</v>
      </c>
      <c r="K36" s="5"/>
      <c r="L36" s="5"/>
      <c r="M36" s="5"/>
      <c r="N36" s="5"/>
      <c r="O36" s="7"/>
      <c r="P36" s="7">
        <f t="shared" si="0"/>
        <v>3</v>
      </c>
      <c r="Q36" s="8">
        <f t="shared" si="1"/>
        <v>1</v>
      </c>
      <c r="R36" s="7"/>
      <c r="S36" s="7">
        <f t="shared" si="2"/>
        <v>1</v>
      </c>
      <c r="T36" s="7">
        <f t="shared" si="3"/>
        <v>1</v>
      </c>
      <c r="U36" s="7">
        <f t="shared" si="4"/>
        <v>0</v>
      </c>
      <c r="V36" s="119">
        <f t="shared" si="5"/>
        <v>0</v>
      </c>
      <c r="W36" s="119">
        <f t="shared" si="6"/>
        <v>0</v>
      </c>
      <c r="X36" s="119">
        <f t="shared" si="7"/>
        <v>0</v>
      </c>
      <c r="Y36" s="119">
        <f t="shared" si="8"/>
        <v>0</v>
      </c>
      <c r="Z36" s="119">
        <f t="shared" si="9"/>
        <v>0</v>
      </c>
      <c r="AA36" s="119">
        <f t="shared" si="10"/>
        <v>1</v>
      </c>
      <c r="AB36" s="119">
        <f t="shared" si="11"/>
        <v>0</v>
      </c>
      <c r="AC36" s="119">
        <f t="shared" si="12"/>
        <v>0</v>
      </c>
      <c r="AD36" s="119">
        <f t="shared" si="13"/>
        <v>0</v>
      </c>
      <c r="AE36" s="119">
        <f t="shared" si="14"/>
        <v>0</v>
      </c>
      <c r="AF36" s="7"/>
      <c r="AG36" s="7"/>
      <c r="AH36" s="7">
        <f t="shared" si="15"/>
        <v>3</v>
      </c>
      <c r="AI36" s="7">
        <f t="shared" si="16"/>
        <v>3</v>
      </c>
      <c r="AJ36" s="7" t="str">
        <f t="shared" si="17"/>
        <v>Correct</v>
      </c>
      <c r="AK36" s="7"/>
      <c r="AL36" s="120" t="str">
        <f>IFERROR(VLOOKUP(Table1[RespondentID],'All Data'!$A$3:$CO$999,87,FALSE),"unknown")</f>
        <v>Man</v>
      </c>
      <c r="AM36" s="120">
        <f>IFERROR(VLOOKUP(Table1[RespondentID],'All Data'!$A$3:$CO$999,88,FALSE),"unknown")</f>
        <v>47</v>
      </c>
      <c r="AN36" s="120" t="str">
        <f>IFERROR(VLOOKUP(Table1[RespondentID],'All Data'!$A$3:$CO$999,89,FALSE),"unknown")</f>
        <v>Suffolk</v>
      </c>
      <c r="AO36" s="120" t="str">
        <f>IFERROR(VLOOKUP(Table1[RespondentID],'All Data'!$A$3:$CO$999,90,FALSE),"unknown")</f>
        <v>Saint James, 11780</v>
      </c>
      <c r="AP36" s="120" t="str">
        <f>IFERROR(VLOOKUP(Table1[RespondentID],'All Data'!$A$3:$CO$999,91,FALSE),"unknown")</f>
        <v>White</v>
      </c>
      <c r="AQ36" s="120" t="str">
        <f>IFERROR(VLOOKUP(Table1[RespondentID],'All Data'!$A$3:$CO$999,92,FALSE),"unknown")</f>
        <v>Not Hispanic or Latino</v>
      </c>
      <c r="AR36" s="120" t="str">
        <f>IFERROR(VLOOKUP(Table1[RespondentID],'All Data'!$A$3:$CO$999,93,FALSE),"unknown")</f>
        <v>English</v>
      </c>
      <c r="AS36" s="120" t="str">
        <f>IFERROR(VLOOKUP(Table1[RespondentID],'All Data'!$A$3:$CW$999,94,FALSE),"unknown")</f>
        <v>Over $125,000</v>
      </c>
      <c r="AT36" s="120" t="str">
        <f>IFERROR(VLOOKUP(Table1[RespondentID],'All Data'!$A$3:$CW$999,95,FALSE),"unknown")</f>
        <v>Graduate school</v>
      </c>
      <c r="AU36" s="120" t="str">
        <f>IFERROR(VLOOKUP(Table1[RespondentID],'All Data'!$A$3:$CW$999,96,FALSE),"unknown")</f>
        <v>Employed for wages</v>
      </c>
      <c r="AV36" s="120" t="str">
        <f>IFERROR(VLOOKUP(Table1[RespondentID],'All Data'!$A$3:$CW$999,97,FALSE),"unknown")</f>
        <v>Yes</v>
      </c>
      <c r="AW36" s="120">
        <f>IFERROR(VLOOKUP(Table1[RespondentID],'All Data'!$A$3:$CW$999,98,FALSE),"unknown")</f>
        <v>0</v>
      </c>
      <c r="AX36" s="120">
        <f>IFERROR(VLOOKUP(Table1[RespondentID],'All Data'!$A$3:$CW$999,99,FALSE),"unknown")</f>
        <v>0</v>
      </c>
    </row>
    <row r="37" spans="1:50">
      <c r="A37" s="5">
        <v>18025184519</v>
      </c>
      <c r="B37" s="5" t="s">
        <v>16</v>
      </c>
      <c r="C37" s="5"/>
      <c r="D37" s="5"/>
      <c r="E37" s="5"/>
      <c r="F37" s="5"/>
      <c r="G37" s="5"/>
      <c r="H37" s="5"/>
      <c r="I37" s="5"/>
      <c r="J37" s="5"/>
      <c r="K37" s="5"/>
      <c r="L37" s="5"/>
      <c r="M37" s="5"/>
      <c r="N37" s="5"/>
      <c r="O37" s="7"/>
      <c r="P37" s="7">
        <f t="shared" si="0"/>
        <v>1</v>
      </c>
      <c r="Q37" s="9">
        <f t="shared" si="1"/>
        <v>3</v>
      </c>
      <c r="R37" s="7"/>
      <c r="S37" s="7">
        <f t="shared" si="2"/>
        <v>1</v>
      </c>
      <c r="T37" s="7">
        <f t="shared" si="3"/>
        <v>0</v>
      </c>
      <c r="U37" s="7">
        <f t="shared" si="4"/>
        <v>0</v>
      </c>
      <c r="V37" s="119">
        <f t="shared" si="5"/>
        <v>0</v>
      </c>
      <c r="W37" s="119">
        <f t="shared" si="6"/>
        <v>0</v>
      </c>
      <c r="X37" s="119">
        <f t="shared" si="7"/>
        <v>0</v>
      </c>
      <c r="Y37" s="119">
        <f t="shared" si="8"/>
        <v>0</v>
      </c>
      <c r="Z37" s="119">
        <f t="shared" si="9"/>
        <v>0</v>
      </c>
      <c r="AA37" s="119">
        <f t="shared" si="10"/>
        <v>0</v>
      </c>
      <c r="AB37" s="119">
        <f t="shared" si="11"/>
        <v>0</v>
      </c>
      <c r="AC37" s="119">
        <f t="shared" si="12"/>
        <v>0</v>
      </c>
      <c r="AD37" s="119">
        <f t="shared" si="13"/>
        <v>0</v>
      </c>
      <c r="AE37" s="119">
        <f t="shared" si="14"/>
        <v>0</v>
      </c>
      <c r="AF37" s="7"/>
      <c r="AG37" s="7"/>
      <c r="AH37" s="7">
        <f t="shared" si="15"/>
        <v>1</v>
      </c>
      <c r="AI37" s="7">
        <f t="shared" si="16"/>
        <v>1</v>
      </c>
      <c r="AJ37" s="7" t="str">
        <f t="shared" si="17"/>
        <v>Correct</v>
      </c>
      <c r="AK37" s="7"/>
      <c r="AL37" s="120" t="str">
        <f>IFERROR(VLOOKUP(Table1[RespondentID],'All Data'!$A$3:$CO$999,87,FALSE),"unknown")</f>
        <v>Woman</v>
      </c>
      <c r="AM37" s="120">
        <f>IFERROR(VLOOKUP(Table1[RespondentID],'All Data'!$A$3:$CO$999,88,FALSE),"unknown")</f>
        <v>39</v>
      </c>
      <c r="AN37" s="120" t="str">
        <f>IFERROR(VLOOKUP(Table1[RespondentID],'All Data'!$A$3:$CO$999,89,FALSE),"unknown")</f>
        <v>Suffolk</v>
      </c>
      <c r="AO37" s="120" t="str">
        <f>IFERROR(VLOOKUP(Table1[RespondentID],'All Data'!$A$3:$CO$999,90,FALSE),"unknown")</f>
        <v>Nesconset, 11767</v>
      </c>
      <c r="AP37" s="120" t="str">
        <f>IFERROR(VLOOKUP(Table1[RespondentID],'All Data'!$A$3:$CO$999,91,FALSE),"unknown")</f>
        <v>White</v>
      </c>
      <c r="AQ37" s="120" t="str">
        <f>IFERROR(VLOOKUP(Table1[RespondentID],'All Data'!$A$3:$CO$999,92,FALSE),"unknown")</f>
        <v>Not Hispanic or Latino</v>
      </c>
      <c r="AR37" s="120" t="str">
        <f>IFERROR(VLOOKUP(Table1[RespondentID],'All Data'!$A$3:$CO$999,93,FALSE),"unknown")</f>
        <v>English</v>
      </c>
      <c r="AS37" s="120" t="str">
        <f>IFERROR(VLOOKUP(Table1[RespondentID],'All Data'!$A$3:$CW$999,94,FALSE),"unknown")</f>
        <v>Over $125,000</v>
      </c>
      <c r="AT37" s="120" t="str">
        <f>IFERROR(VLOOKUP(Table1[RespondentID],'All Data'!$A$3:$CW$999,95,FALSE),"unknown")</f>
        <v>Graduate school</v>
      </c>
      <c r="AU37" s="120" t="str">
        <f>IFERROR(VLOOKUP(Table1[RespondentID],'All Data'!$A$3:$CW$999,96,FALSE),"unknown")</f>
        <v>Employed for wages</v>
      </c>
      <c r="AV37" s="120" t="str">
        <f>IFERROR(VLOOKUP(Table1[RespondentID],'All Data'!$A$3:$CW$999,97,FALSE),"unknown")</f>
        <v>Yes</v>
      </c>
      <c r="AW37" s="120">
        <f>IFERROR(VLOOKUP(Table1[RespondentID],'All Data'!$A$3:$CW$999,98,FALSE),"unknown")</f>
        <v>0</v>
      </c>
      <c r="AX37" s="120">
        <f>IFERROR(VLOOKUP(Table1[RespondentID],'All Data'!$A$3:$CW$999,99,FALSE),"unknown")</f>
        <v>0</v>
      </c>
    </row>
    <row r="38" spans="1:50">
      <c r="A38" s="5">
        <v>18025184369</v>
      </c>
      <c r="B38" s="5"/>
      <c r="C38" s="5" t="s">
        <v>17</v>
      </c>
      <c r="D38" s="5"/>
      <c r="E38" s="5"/>
      <c r="F38" s="5"/>
      <c r="G38" s="5"/>
      <c r="H38" s="5"/>
      <c r="I38" s="5"/>
      <c r="J38" s="5"/>
      <c r="K38" s="5" t="s">
        <v>25</v>
      </c>
      <c r="L38" s="5" t="s">
        <v>26</v>
      </c>
      <c r="M38" s="5"/>
      <c r="N38" s="5"/>
      <c r="O38" s="7"/>
      <c r="P38" s="7">
        <f t="shared" si="0"/>
        <v>3</v>
      </c>
      <c r="Q38" s="8">
        <f t="shared" si="1"/>
        <v>1</v>
      </c>
      <c r="R38" s="7"/>
      <c r="S38" s="7">
        <f t="shared" si="2"/>
        <v>0</v>
      </c>
      <c r="T38" s="7">
        <f t="shared" si="3"/>
        <v>1</v>
      </c>
      <c r="U38" s="7">
        <f t="shared" si="4"/>
        <v>0</v>
      </c>
      <c r="V38" s="119">
        <f t="shared" si="5"/>
        <v>0</v>
      </c>
      <c r="W38" s="119">
        <f t="shared" si="6"/>
        <v>0</v>
      </c>
      <c r="X38" s="119">
        <f t="shared" si="7"/>
        <v>0</v>
      </c>
      <c r="Y38" s="119">
        <f t="shared" si="8"/>
        <v>0</v>
      </c>
      <c r="Z38" s="119">
        <f t="shared" si="9"/>
        <v>0</v>
      </c>
      <c r="AA38" s="119">
        <f t="shared" si="10"/>
        <v>0</v>
      </c>
      <c r="AB38" s="119">
        <f t="shared" si="11"/>
        <v>1</v>
      </c>
      <c r="AC38" s="119">
        <f t="shared" si="12"/>
        <v>1</v>
      </c>
      <c r="AD38" s="119">
        <f t="shared" si="13"/>
        <v>0</v>
      </c>
      <c r="AE38" s="119">
        <f t="shared" si="14"/>
        <v>0</v>
      </c>
      <c r="AF38" s="7"/>
      <c r="AG38" s="7"/>
      <c r="AH38" s="7">
        <f t="shared" si="15"/>
        <v>3</v>
      </c>
      <c r="AI38" s="7">
        <f t="shared" si="16"/>
        <v>3</v>
      </c>
      <c r="AJ38" s="7" t="str">
        <f t="shared" si="17"/>
        <v>Correct</v>
      </c>
      <c r="AK38" s="7"/>
      <c r="AL38" s="120" t="str">
        <f>IFERROR(VLOOKUP(Table1[RespondentID],'All Data'!$A$3:$CO$999,87,FALSE),"unknown")</f>
        <v>Woman</v>
      </c>
      <c r="AM38" s="120">
        <f>IFERROR(VLOOKUP(Table1[RespondentID],'All Data'!$A$3:$CO$999,88,FALSE),"unknown")</f>
        <v>52</v>
      </c>
      <c r="AN38" s="120" t="str">
        <f>IFERROR(VLOOKUP(Table1[RespondentID],'All Data'!$A$3:$CO$999,89,FALSE),"unknown")</f>
        <v>Suffolk</v>
      </c>
      <c r="AO38" s="120" t="str">
        <f>IFERROR(VLOOKUP(Table1[RespondentID],'All Data'!$A$3:$CO$999,90,FALSE),"unknown")</f>
        <v>Smithtown, 11787</v>
      </c>
      <c r="AP38" s="120" t="str">
        <f>IFERROR(VLOOKUP(Table1[RespondentID],'All Data'!$A$3:$CO$999,91,FALSE),"unknown")</f>
        <v>White</v>
      </c>
      <c r="AQ38" s="120" t="str">
        <f>IFERROR(VLOOKUP(Table1[RespondentID],'All Data'!$A$3:$CO$999,92,FALSE),"unknown")</f>
        <v>Hispanic or Latino</v>
      </c>
      <c r="AR38" s="120" t="str">
        <f>IFERROR(VLOOKUP(Table1[RespondentID],'All Data'!$A$3:$CO$999,93,FALSE),"unknown")</f>
        <v>English, Spanish</v>
      </c>
      <c r="AS38" s="120" t="str">
        <f>IFERROR(VLOOKUP(Table1[RespondentID],'All Data'!$A$3:$CW$999,94,FALSE),"unknown")</f>
        <v>$75,000 to $125,000</v>
      </c>
      <c r="AT38" s="120" t="str">
        <f>IFERROR(VLOOKUP(Table1[RespondentID],'All Data'!$A$3:$CW$999,95,FALSE),"unknown")</f>
        <v>Graduate school</v>
      </c>
      <c r="AU38" s="120" t="str">
        <f>IFERROR(VLOOKUP(Table1[RespondentID],'All Data'!$A$3:$CW$999,96,FALSE),"unknown")</f>
        <v>Employed for wages</v>
      </c>
      <c r="AV38" s="120" t="str">
        <f>IFERROR(VLOOKUP(Table1[RespondentID],'All Data'!$A$3:$CW$999,97,FALSE),"unknown")</f>
        <v>Yes</v>
      </c>
      <c r="AW38" s="120">
        <f>IFERROR(VLOOKUP(Table1[RespondentID],'All Data'!$A$3:$CW$999,98,FALSE),"unknown")</f>
        <v>0</v>
      </c>
      <c r="AX38" s="120">
        <f>IFERROR(VLOOKUP(Table1[RespondentID],'All Data'!$A$3:$CW$999,99,FALSE),"unknown")</f>
        <v>0</v>
      </c>
    </row>
    <row r="39" spans="1:50">
      <c r="A39" s="5">
        <v>18025184067</v>
      </c>
      <c r="B39" s="5"/>
      <c r="C39" s="5"/>
      <c r="D39" s="5"/>
      <c r="E39" s="5"/>
      <c r="F39" s="5"/>
      <c r="G39" s="5"/>
      <c r="H39" s="5"/>
      <c r="I39" s="5"/>
      <c r="J39" s="5"/>
      <c r="K39" s="5"/>
      <c r="L39" s="5"/>
      <c r="M39" s="5"/>
      <c r="N39" s="5"/>
      <c r="O39" s="7"/>
      <c r="P39" s="7">
        <f t="shared" si="0"/>
        <v>0</v>
      </c>
      <c r="Q39" s="9" t="e">
        <f t="shared" si="1"/>
        <v>#DIV/0!</v>
      </c>
      <c r="R39" s="7"/>
      <c r="S39" s="7">
        <f t="shared" si="2"/>
        <v>0</v>
      </c>
      <c r="T39" s="7">
        <f t="shared" si="3"/>
        <v>0</v>
      </c>
      <c r="U39" s="7">
        <f t="shared" si="4"/>
        <v>0</v>
      </c>
      <c r="V39" s="119">
        <f t="shared" si="5"/>
        <v>0</v>
      </c>
      <c r="W39" s="119">
        <f t="shared" si="6"/>
        <v>0</v>
      </c>
      <c r="X39" s="119">
        <f t="shared" si="7"/>
        <v>0</v>
      </c>
      <c r="Y39" s="119">
        <f t="shared" si="8"/>
        <v>0</v>
      </c>
      <c r="Z39" s="119">
        <f t="shared" si="9"/>
        <v>0</v>
      </c>
      <c r="AA39" s="119">
        <f t="shared" si="10"/>
        <v>0</v>
      </c>
      <c r="AB39" s="119">
        <f t="shared" si="11"/>
        <v>0</v>
      </c>
      <c r="AC39" s="119">
        <f t="shared" si="12"/>
        <v>0</v>
      </c>
      <c r="AD39" s="119">
        <f t="shared" si="13"/>
        <v>0</v>
      </c>
      <c r="AE39" s="119">
        <f t="shared" si="14"/>
        <v>0</v>
      </c>
      <c r="AF39" s="7"/>
      <c r="AG39" s="7"/>
      <c r="AH39" s="7">
        <f t="shared" si="15"/>
        <v>0</v>
      </c>
      <c r="AI39" s="7">
        <f t="shared" si="16"/>
        <v>0</v>
      </c>
      <c r="AJ39" s="7" t="str">
        <f t="shared" si="17"/>
        <v>Correct</v>
      </c>
      <c r="AK39" s="7"/>
      <c r="AL39" s="120" t="str">
        <f>IFERROR(VLOOKUP(Table1[RespondentID],'All Data'!$A$3:$CO$999,87,FALSE),"unknown")</f>
        <v>Woman</v>
      </c>
      <c r="AM39" s="120">
        <f>IFERROR(VLOOKUP(Table1[RespondentID],'All Data'!$A$3:$CO$999,88,FALSE),"unknown")</f>
        <v>40</v>
      </c>
      <c r="AN39" s="120" t="str">
        <f>IFERROR(VLOOKUP(Table1[RespondentID],'All Data'!$A$3:$CO$999,89,FALSE),"unknown")</f>
        <v>Suffolk</v>
      </c>
      <c r="AO39" s="120" t="str">
        <f>IFERROR(VLOOKUP(Table1[RespondentID],'All Data'!$A$3:$CO$999,90,FALSE),"unknown")</f>
        <v>Baiting Hollow, 11933</v>
      </c>
      <c r="AP39" s="120" t="str">
        <f>IFERROR(VLOOKUP(Table1[RespondentID],'All Data'!$A$3:$CO$999,91,FALSE),"unknown")</f>
        <v>White</v>
      </c>
      <c r="AQ39" s="120" t="str">
        <f>IFERROR(VLOOKUP(Table1[RespondentID],'All Data'!$A$3:$CO$999,92,FALSE),"unknown")</f>
        <v>Not Hispanic or Latino</v>
      </c>
      <c r="AR39" s="120" t="str">
        <f>IFERROR(VLOOKUP(Table1[RespondentID],'All Data'!$A$3:$CO$999,93,FALSE),"unknown")</f>
        <v>English</v>
      </c>
      <c r="AS39" s="120" t="str">
        <f>IFERROR(VLOOKUP(Table1[RespondentID],'All Data'!$A$3:$CW$999,94,FALSE),"unknown")</f>
        <v>Over $125,000</v>
      </c>
      <c r="AT39" s="120" t="str">
        <f>IFERROR(VLOOKUP(Table1[RespondentID],'All Data'!$A$3:$CW$999,95,FALSE),"unknown")</f>
        <v>Other (please specify)</v>
      </c>
      <c r="AU39" s="120" t="str">
        <f>IFERROR(VLOOKUP(Table1[RespondentID],'All Data'!$A$3:$CW$999,96,FALSE),"unknown")</f>
        <v>Employed for wages</v>
      </c>
      <c r="AV39" s="120" t="str">
        <f>IFERROR(VLOOKUP(Table1[RespondentID],'All Data'!$A$3:$CW$999,97,FALSE),"unknown")</f>
        <v>Yes</v>
      </c>
      <c r="AW39" s="120">
        <f>IFERROR(VLOOKUP(Table1[RespondentID],'All Data'!$A$3:$CW$999,98,FALSE),"unknown")</f>
        <v>0</v>
      </c>
      <c r="AX39" s="120">
        <f>IFERROR(VLOOKUP(Table1[RespondentID],'All Data'!$A$3:$CW$999,99,FALSE),"unknown")</f>
        <v>0</v>
      </c>
    </row>
    <row r="40" spans="1:50">
      <c r="A40" s="5">
        <v>18025183911</v>
      </c>
      <c r="B40" s="5" t="s">
        <v>16</v>
      </c>
      <c r="C40" s="5" t="s">
        <v>17</v>
      </c>
      <c r="D40" s="5"/>
      <c r="E40" s="5"/>
      <c r="F40" s="5"/>
      <c r="G40" s="5" t="s">
        <v>21</v>
      </c>
      <c r="H40" s="5"/>
      <c r="I40" s="5"/>
      <c r="J40" s="5"/>
      <c r="K40" s="5"/>
      <c r="L40" s="5"/>
      <c r="M40" s="5"/>
      <c r="N40" s="5"/>
      <c r="O40" s="7"/>
      <c r="P40" s="7">
        <f t="shared" si="0"/>
        <v>3</v>
      </c>
      <c r="Q40" s="8">
        <f t="shared" si="1"/>
        <v>1</v>
      </c>
      <c r="R40" s="7"/>
      <c r="S40" s="7">
        <f t="shared" si="2"/>
        <v>1</v>
      </c>
      <c r="T40" s="7">
        <f t="shared" si="3"/>
        <v>1</v>
      </c>
      <c r="U40" s="7">
        <f t="shared" si="4"/>
        <v>0</v>
      </c>
      <c r="V40" s="119">
        <f t="shared" si="5"/>
        <v>0</v>
      </c>
      <c r="W40" s="119">
        <f t="shared" si="6"/>
        <v>0</v>
      </c>
      <c r="X40" s="119">
        <f t="shared" si="7"/>
        <v>1</v>
      </c>
      <c r="Y40" s="119">
        <f t="shared" si="8"/>
        <v>0</v>
      </c>
      <c r="Z40" s="119">
        <f t="shared" si="9"/>
        <v>0</v>
      </c>
      <c r="AA40" s="119">
        <f t="shared" si="10"/>
        <v>0</v>
      </c>
      <c r="AB40" s="119">
        <f t="shared" si="11"/>
        <v>0</v>
      </c>
      <c r="AC40" s="119">
        <f t="shared" si="12"/>
        <v>0</v>
      </c>
      <c r="AD40" s="119">
        <f t="shared" si="13"/>
        <v>0</v>
      </c>
      <c r="AE40" s="119">
        <f t="shared" si="14"/>
        <v>0</v>
      </c>
      <c r="AF40" s="7"/>
      <c r="AG40" s="7"/>
      <c r="AH40" s="7">
        <f t="shared" si="15"/>
        <v>3</v>
      </c>
      <c r="AI40" s="7">
        <f t="shared" si="16"/>
        <v>3</v>
      </c>
      <c r="AJ40" s="7" t="str">
        <f t="shared" si="17"/>
        <v>Correct</v>
      </c>
      <c r="AK40" s="7"/>
      <c r="AL40" s="120" t="str">
        <f>IFERROR(VLOOKUP(Table1[RespondentID],'All Data'!$A$3:$CO$999,87,FALSE),"unknown")</f>
        <v>Man</v>
      </c>
      <c r="AM40" s="120">
        <f>IFERROR(VLOOKUP(Table1[RespondentID],'All Data'!$A$3:$CO$999,88,FALSE),"unknown")</f>
        <v>46</v>
      </c>
      <c r="AN40" s="120" t="str">
        <f>IFERROR(VLOOKUP(Table1[RespondentID],'All Data'!$A$3:$CO$999,89,FALSE),"unknown")</f>
        <v>Suffolk</v>
      </c>
      <c r="AO40" s="120" t="str">
        <f>IFERROR(VLOOKUP(Table1[RespondentID],'All Data'!$A$3:$CO$999,90,FALSE),"unknown")</f>
        <v>Smithtown, 11787</v>
      </c>
      <c r="AP40" s="120" t="str">
        <f>IFERROR(VLOOKUP(Table1[RespondentID],'All Data'!$A$3:$CO$999,91,FALSE),"unknown")</f>
        <v>White</v>
      </c>
      <c r="AQ40" s="120" t="str">
        <f>IFERROR(VLOOKUP(Table1[RespondentID],'All Data'!$A$3:$CO$999,92,FALSE),"unknown")</f>
        <v>Not Hispanic or Latino</v>
      </c>
      <c r="AR40" s="120" t="str">
        <f>IFERROR(VLOOKUP(Table1[RespondentID],'All Data'!$A$3:$CO$999,93,FALSE),"unknown")</f>
        <v>English</v>
      </c>
      <c r="AS40" s="120" t="str">
        <f>IFERROR(VLOOKUP(Table1[RespondentID],'All Data'!$A$3:$CW$999,94,FALSE),"unknown")</f>
        <v>$75,000 to $125,000</v>
      </c>
      <c r="AT40" s="120" t="str">
        <f>IFERROR(VLOOKUP(Table1[RespondentID],'All Data'!$A$3:$CW$999,95,FALSE),"unknown")</f>
        <v>College graduate</v>
      </c>
      <c r="AU40" s="120" t="str">
        <f>IFERROR(VLOOKUP(Table1[RespondentID],'All Data'!$A$3:$CW$999,96,FALSE),"unknown")</f>
        <v>Employed for wages</v>
      </c>
      <c r="AV40" s="120" t="str">
        <f>IFERROR(VLOOKUP(Table1[RespondentID],'All Data'!$A$3:$CW$999,97,FALSE),"unknown")</f>
        <v>Yes</v>
      </c>
      <c r="AW40" s="120">
        <f>IFERROR(VLOOKUP(Table1[RespondentID],'All Data'!$A$3:$CW$999,98,FALSE),"unknown")</f>
        <v>0</v>
      </c>
      <c r="AX40" s="120">
        <f>IFERROR(VLOOKUP(Table1[RespondentID],'All Data'!$A$3:$CW$999,99,FALSE),"unknown")</f>
        <v>0</v>
      </c>
    </row>
    <row r="41" spans="1:50">
      <c r="A41" s="5">
        <v>18025183737</v>
      </c>
      <c r="B41" s="5"/>
      <c r="C41" s="5"/>
      <c r="D41" s="5"/>
      <c r="E41" s="5" t="s">
        <v>19</v>
      </c>
      <c r="F41" s="5"/>
      <c r="G41" s="5" t="s">
        <v>21</v>
      </c>
      <c r="H41" s="5"/>
      <c r="I41" s="5"/>
      <c r="J41" s="5"/>
      <c r="K41" s="5" t="s">
        <v>25</v>
      </c>
      <c r="L41" s="5"/>
      <c r="M41" s="5"/>
      <c r="N41" s="5"/>
      <c r="O41" s="7"/>
      <c r="P41" s="7">
        <f t="shared" si="0"/>
        <v>3</v>
      </c>
      <c r="Q41" s="9">
        <f t="shared" si="1"/>
        <v>1</v>
      </c>
      <c r="R41" s="7"/>
      <c r="S41" s="7">
        <f t="shared" si="2"/>
        <v>0</v>
      </c>
      <c r="T41" s="7">
        <f t="shared" si="3"/>
        <v>0</v>
      </c>
      <c r="U41" s="7">
        <f t="shared" si="4"/>
        <v>0</v>
      </c>
      <c r="V41" s="119">
        <f t="shared" si="5"/>
        <v>1</v>
      </c>
      <c r="W41" s="119">
        <f t="shared" si="6"/>
        <v>0</v>
      </c>
      <c r="X41" s="119">
        <f t="shared" si="7"/>
        <v>1</v>
      </c>
      <c r="Y41" s="119">
        <f t="shared" si="8"/>
        <v>0</v>
      </c>
      <c r="Z41" s="119">
        <f t="shared" si="9"/>
        <v>0</v>
      </c>
      <c r="AA41" s="119">
        <f t="shared" si="10"/>
        <v>0</v>
      </c>
      <c r="AB41" s="119">
        <f t="shared" si="11"/>
        <v>1</v>
      </c>
      <c r="AC41" s="119">
        <f t="shared" si="12"/>
        <v>0</v>
      </c>
      <c r="AD41" s="119">
        <f t="shared" si="13"/>
        <v>0</v>
      </c>
      <c r="AE41" s="119">
        <f t="shared" si="14"/>
        <v>0</v>
      </c>
      <c r="AF41" s="7"/>
      <c r="AG41" s="7"/>
      <c r="AH41" s="7">
        <f t="shared" si="15"/>
        <v>3</v>
      </c>
      <c r="AI41" s="7">
        <f t="shared" si="16"/>
        <v>3</v>
      </c>
      <c r="AJ41" s="7" t="str">
        <f t="shared" si="17"/>
        <v>Correct</v>
      </c>
      <c r="AK41" s="7"/>
      <c r="AL41" s="120" t="str">
        <f>IFERROR(VLOOKUP(Table1[RespondentID],'All Data'!$A$3:$CO$999,87,FALSE),"unknown")</f>
        <v>Woman</v>
      </c>
      <c r="AM41" s="120">
        <f>IFERROR(VLOOKUP(Table1[RespondentID],'All Data'!$A$3:$CO$999,88,FALSE),"unknown")</f>
        <v>39</v>
      </c>
      <c r="AN41" s="120" t="str">
        <f>IFERROR(VLOOKUP(Table1[RespondentID],'All Data'!$A$3:$CO$999,89,FALSE),"unknown")</f>
        <v>Suffolk</v>
      </c>
      <c r="AO41" s="120" t="str">
        <f>IFERROR(VLOOKUP(Table1[RespondentID],'All Data'!$A$3:$CO$999,90,FALSE),"unknown")</f>
        <v>Ronkonkoma, 11779</v>
      </c>
      <c r="AP41" s="120" t="str">
        <f>IFERROR(VLOOKUP(Table1[RespondentID],'All Data'!$A$3:$CO$999,91,FALSE),"unknown")</f>
        <v>Two or more races</v>
      </c>
      <c r="AQ41" s="120" t="str">
        <f>IFERROR(VLOOKUP(Table1[RespondentID],'All Data'!$A$3:$CO$999,92,FALSE),"unknown")</f>
        <v>Hispanic or Latino</v>
      </c>
      <c r="AR41" s="120" t="str">
        <f>IFERROR(VLOOKUP(Table1[RespondentID],'All Data'!$A$3:$CO$999,93,FALSE),"unknown")</f>
        <v>English, Spanish</v>
      </c>
      <c r="AS41" s="120" t="str">
        <f>IFERROR(VLOOKUP(Table1[RespondentID],'All Data'!$A$3:$CW$999,94,FALSE),"unknown")</f>
        <v>$50,000 to $74,999</v>
      </c>
      <c r="AT41" s="120" t="str">
        <f>IFERROR(VLOOKUP(Table1[RespondentID],'All Data'!$A$3:$CW$999,95,FALSE),"unknown")</f>
        <v>Technical school</v>
      </c>
      <c r="AU41" s="120" t="str">
        <f>IFERROR(VLOOKUP(Table1[RespondentID],'All Data'!$A$3:$CW$999,96,FALSE),"unknown")</f>
        <v>Employed for wages</v>
      </c>
      <c r="AV41" s="120" t="str">
        <f>IFERROR(VLOOKUP(Table1[RespondentID],'All Data'!$A$3:$CW$999,97,FALSE),"unknown")</f>
        <v>Yes</v>
      </c>
      <c r="AW41" s="120">
        <f>IFERROR(VLOOKUP(Table1[RespondentID],'All Data'!$A$3:$CW$999,98,FALSE),"unknown")</f>
        <v>0</v>
      </c>
      <c r="AX41" s="120">
        <f>IFERROR(VLOOKUP(Table1[RespondentID],'All Data'!$A$3:$CW$999,99,FALSE),"unknown")</f>
        <v>0</v>
      </c>
    </row>
    <row r="42" spans="1:50">
      <c r="A42" s="5">
        <v>18025183581</v>
      </c>
      <c r="B42" s="5"/>
      <c r="C42" s="5" t="s">
        <v>17</v>
      </c>
      <c r="D42" s="5" t="s">
        <v>18</v>
      </c>
      <c r="E42" s="5"/>
      <c r="F42" s="5"/>
      <c r="G42" s="5"/>
      <c r="H42" s="5"/>
      <c r="I42" s="5"/>
      <c r="J42" s="5" t="s">
        <v>24</v>
      </c>
      <c r="K42" s="5"/>
      <c r="L42" s="5"/>
      <c r="M42" s="5"/>
      <c r="N42" s="5"/>
      <c r="O42" s="7"/>
      <c r="P42" s="7">
        <f t="shared" si="0"/>
        <v>3</v>
      </c>
      <c r="Q42" s="8">
        <f t="shared" si="1"/>
        <v>1</v>
      </c>
      <c r="R42" s="7"/>
      <c r="S42" s="7">
        <f t="shared" si="2"/>
        <v>0</v>
      </c>
      <c r="T42" s="7">
        <f t="shared" si="3"/>
        <v>1</v>
      </c>
      <c r="U42" s="7">
        <f t="shared" si="4"/>
        <v>1</v>
      </c>
      <c r="V42" s="119">
        <f t="shared" si="5"/>
        <v>0</v>
      </c>
      <c r="W42" s="119">
        <f t="shared" si="6"/>
        <v>0</v>
      </c>
      <c r="X42" s="119">
        <f t="shared" si="7"/>
        <v>0</v>
      </c>
      <c r="Y42" s="119">
        <f t="shared" si="8"/>
        <v>0</v>
      </c>
      <c r="Z42" s="119">
        <f t="shared" si="9"/>
        <v>0</v>
      </c>
      <c r="AA42" s="119">
        <f t="shared" si="10"/>
        <v>1</v>
      </c>
      <c r="AB42" s="119">
        <f t="shared" si="11"/>
        <v>0</v>
      </c>
      <c r="AC42" s="119">
        <f t="shared" si="12"/>
        <v>0</v>
      </c>
      <c r="AD42" s="119">
        <f t="shared" si="13"/>
        <v>0</v>
      </c>
      <c r="AE42" s="119">
        <f t="shared" si="14"/>
        <v>0</v>
      </c>
      <c r="AF42" s="7"/>
      <c r="AG42" s="7"/>
      <c r="AH42" s="7">
        <f t="shared" si="15"/>
        <v>3</v>
      </c>
      <c r="AI42" s="7">
        <f t="shared" si="16"/>
        <v>3</v>
      </c>
      <c r="AJ42" s="7" t="str">
        <f t="shared" si="17"/>
        <v>Correct</v>
      </c>
      <c r="AK42" s="7"/>
      <c r="AL42" s="120" t="str">
        <f>IFERROR(VLOOKUP(Table1[RespondentID],'All Data'!$A$3:$CO$999,87,FALSE),"unknown")</f>
        <v>Man</v>
      </c>
      <c r="AM42" s="120">
        <f>IFERROR(VLOOKUP(Table1[RespondentID],'All Data'!$A$3:$CO$999,88,FALSE),"unknown")</f>
        <v>56</v>
      </c>
      <c r="AN42" s="120" t="str">
        <f>IFERROR(VLOOKUP(Table1[RespondentID],'All Data'!$A$3:$CO$999,89,FALSE),"unknown")</f>
        <v>Suffolk</v>
      </c>
      <c r="AO42" s="120" t="str">
        <f>IFERROR(VLOOKUP(Table1[RespondentID],'All Data'!$A$3:$CO$999,90,FALSE),"unknown")</f>
        <v>Smithtown, 11787</v>
      </c>
      <c r="AP42" s="120" t="str">
        <f>IFERROR(VLOOKUP(Table1[RespondentID],'All Data'!$A$3:$CO$999,91,FALSE),"unknown")</f>
        <v>White</v>
      </c>
      <c r="AQ42" s="120" t="str">
        <f>IFERROR(VLOOKUP(Table1[RespondentID],'All Data'!$A$3:$CO$999,92,FALSE),"unknown")</f>
        <v>Not Hispanic or Latino</v>
      </c>
      <c r="AR42" s="120" t="str">
        <f>IFERROR(VLOOKUP(Table1[RespondentID],'All Data'!$A$3:$CO$999,93,FALSE),"unknown")</f>
        <v>English</v>
      </c>
      <c r="AS42" s="120" t="str">
        <f>IFERROR(VLOOKUP(Table1[RespondentID],'All Data'!$A$3:$CW$999,94,FALSE),"unknown")</f>
        <v>Over $125,000</v>
      </c>
      <c r="AT42" s="120" t="str">
        <f>IFERROR(VLOOKUP(Table1[RespondentID],'All Data'!$A$3:$CW$999,95,FALSE),"unknown")</f>
        <v>Doctorate</v>
      </c>
      <c r="AU42" s="120" t="str">
        <f>IFERROR(VLOOKUP(Table1[RespondentID],'All Data'!$A$3:$CW$999,96,FALSE),"unknown")</f>
        <v>Employed for wages</v>
      </c>
      <c r="AV42" s="120" t="str">
        <f>IFERROR(VLOOKUP(Table1[RespondentID],'All Data'!$A$3:$CW$999,97,FALSE),"unknown")</f>
        <v>Yes</v>
      </c>
      <c r="AW42" s="120">
        <f>IFERROR(VLOOKUP(Table1[RespondentID],'All Data'!$A$3:$CW$999,98,FALSE),"unknown")</f>
        <v>0</v>
      </c>
      <c r="AX42" s="120">
        <f>IFERROR(VLOOKUP(Table1[RespondentID],'All Data'!$A$3:$CW$999,99,FALSE),"unknown")</f>
        <v>0</v>
      </c>
    </row>
    <row r="43" spans="1:50">
      <c r="A43" s="5">
        <v>18025183430</v>
      </c>
      <c r="B43" s="5"/>
      <c r="C43" s="5"/>
      <c r="D43" s="5"/>
      <c r="E43" s="5" t="s">
        <v>19</v>
      </c>
      <c r="F43" s="5" t="s">
        <v>20</v>
      </c>
      <c r="G43" s="5"/>
      <c r="H43" s="5"/>
      <c r="I43" s="5"/>
      <c r="J43" s="5"/>
      <c r="K43" s="5"/>
      <c r="L43" s="5" t="s">
        <v>26</v>
      </c>
      <c r="M43" s="5"/>
      <c r="N43" s="5"/>
      <c r="O43" s="7"/>
      <c r="P43" s="7">
        <f t="shared" si="0"/>
        <v>3</v>
      </c>
      <c r="Q43" s="9">
        <f t="shared" si="1"/>
        <v>1</v>
      </c>
      <c r="R43" s="7"/>
      <c r="S43" s="7">
        <f t="shared" si="2"/>
        <v>0</v>
      </c>
      <c r="T43" s="7">
        <f t="shared" si="3"/>
        <v>0</v>
      </c>
      <c r="U43" s="7">
        <f t="shared" si="4"/>
        <v>0</v>
      </c>
      <c r="V43" s="119">
        <f t="shared" si="5"/>
        <v>1</v>
      </c>
      <c r="W43" s="119">
        <f t="shared" si="6"/>
        <v>1</v>
      </c>
      <c r="X43" s="119">
        <f t="shared" si="7"/>
        <v>0</v>
      </c>
      <c r="Y43" s="119">
        <f t="shared" si="8"/>
        <v>0</v>
      </c>
      <c r="Z43" s="119">
        <f t="shared" si="9"/>
        <v>0</v>
      </c>
      <c r="AA43" s="119">
        <f t="shared" si="10"/>
        <v>0</v>
      </c>
      <c r="AB43" s="119">
        <f t="shared" si="11"/>
        <v>0</v>
      </c>
      <c r="AC43" s="119">
        <f t="shared" si="12"/>
        <v>1</v>
      </c>
      <c r="AD43" s="119">
        <f t="shared" si="13"/>
        <v>0</v>
      </c>
      <c r="AE43" s="119">
        <f t="shared" si="14"/>
        <v>0</v>
      </c>
      <c r="AF43" s="7"/>
      <c r="AG43" s="7"/>
      <c r="AH43" s="7">
        <f t="shared" si="15"/>
        <v>3</v>
      </c>
      <c r="AI43" s="7">
        <f t="shared" si="16"/>
        <v>3</v>
      </c>
      <c r="AJ43" s="7" t="str">
        <f t="shared" si="17"/>
        <v>Correct</v>
      </c>
      <c r="AK43" s="7"/>
      <c r="AL43" s="120" t="str">
        <f>IFERROR(VLOOKUP(Table1[RespondentID],'All Data'!$A$3:$CO$999,87,FALSE),"unknown")</f>
        <v>Woman</v>
      </c>
      <c r="AM43" s="120">
        <f>IFERROR(VLOOKUP(Table1[RespondentID],'All Data'!$A$3:$CO$999,88,FALSE),"unknown")</f>
        <v>22</v>
      </c>
      <c r="AN43" s="120" t="str">
        <f>IFERROR(VLOOKUP(Table1[RespondentID],'All Data'!$A$3:$CO$999,89,FALSE),"unknown")</f>
        <v>Suffolk</v>
      </c>
      <c r="AO43" s="120" t="str">
        <f>IFERROR(VLOOKUP(Table1[RespondentID],'All Data'!$A$3:$CO$999,90,FALSE),"unknown")</f>
        <v>Brentwood, 11717</v>
      </c>
      <c r="AP43" s="120" t="str">
        <f>IFERROR(VLOOKUP(Table1[RespondentID],'All Data'!$A$3:$CO$999,91,FALSE),"unknown")</f>
        <v>Two or more races</v>
      </c>
      <c r="AQ43" s="120">
        <f>IFERROR(VLOOKUP(Table1[RespondentID],'All Data'!$A$3:$CO$999,92,FALSE),"unknown")</f>
        <v>0</v>
      </c>
      <c r="AR43" s="120" t="str">
        <f>IFERROR(VLOOKUP(Table1[RespondentID],'All Data'!$A$3:$CO$999,93,FALSE),"unknown")</f>
        <v>English</v>
      </c>
      <c r="AS43" s="120" t="str">
        <f>IFERROR(VLOOKUP(Table1[RespondentID],'All Data'!$A$3:$CW$999,94,FALSE),"unknown")</f>
        <v>$35,000 to $49,999</v>
      </c>
      <c r="AT43" s="120" t="str">
        <f>IFERROR(VLOOKUP(Table1[RespondentID],'All Data'!$A$3:$CW$999,95,FALSE),"unknown")</f>
        <v>College graduate</v>
      </c>
      <c r="AU43" s="120" t="str">
        <f>IFERROR(VLOOKUP(Table1[RespondentID],'All Data'!$A$3:$CW$999,96,FALSE),"unknown")</f>
        <v>Employed for wages</v>
      </c>
      <c r="AV43" s="120" t="str">
        <f>IFERROR(VLOOKUP(Table1[RespondentID],'All Data'!$A$3:$CW$999,97,FALSE),"unknown")</f>
        <v>Yes</v>
      </c>
      <c r="AW43" s="120" t="str">
        <f>IFERROR(VLOOKUP(Table1[RespondentID],'All Data'!$A$3:$CW$999,98,FALSE),"unknown")</f>
        <v>Private/Commercial</v>
      </c>
      <c r="AX43" s="120">
        <f>IFERROR(VLOOKUP(Table1[RespondentID],'All Data'!$A$3:$CW$999,99,FALSE),"unknown")</f>
        <v>0</v>
      </c>
    </row>
    <row r="44" spans="1:50">
      <c r="A44" s="5">
        <v>18025183271</v>
      </c>
      <c r="B44" s="5" t="s">
        <v>16</v>
      </c>
      <c r="C44" s="5"/>
      <c r="D44" s="5"/>
      <c r="E44" s="5"/>
      <c r="F44" s="5"/>
      <c r="G44" s="5"/>
      <c r="H44" s="5"/>
      <c r="I44" s="5" t="s">
        <v>23</v>
      </c>
      <c r="J44" s="5"/>
      <c r="K44" s="5"/>
      <c r="L44" s="5"/>
      <c r="M44" s="5"/>
      <c r="N44" s="5"/>
      <c r="O44" s="7"/>
      <c r="P44" s="7">
        <f t="shared" si="0"/>
        <v>2</v>
      </c>
      <c r="Q44" s="8">
        <f t="shared" si="1"/>
        <v>1.5</v>
      </c>
      <c r="R44" s="7"/>
      <c r="S44" s="7">
        <f t="shared" si="2"/>
        <v>1</v>
      </c>
      <c r="T44" s="7">
        <f t="shared" si="3"/>
        <v>0</v>
      </c>
      <c r="U44" s="7">
        <f t="shared" si="4"/>
        <v>0</v>
      </c>
      <c r="V44" s="119">
        <f t="shared" si="5"/>
        <v>0</v>
      </c>
      <c r="W44" s="119">
        <f t="shared" si="6"/>
        <v>0</v>
      </c>
      <c r="X44" s="119">
        <f t="shared" si="7"/>
        <v>0</v>
      </c>
      <c r="Y44" s="119">
        <f t="shared" si="8"/>
        <v>0</v>
      </c>
      <c r="Z44" s="119">
        <f t="shared" si="9"/>
        <v>1</v>
      </c>
      <c r="AA44" s="119">
        <f t="shared" si="10"/>
        <v>0</v>
      </c>
      <c r="AB44" s="119">
        <f t="shared" si="11"/>
        <v>0</v>
      </c>
      <c r="AC44" s="119">
        <f t="shared" si="12"/>
        <v>0</v>
      </c>
      <c r="AD44" s="119">
        <f t="shared" si="13"/>
        <v>0</v>
      </c>
      <c r="AE44" s="119">
        <f t="shared" si="14"/>
        <v>0</v>
      </c>
      <c r="AF44" s="7"/>
      <c r="AG44" s="7"/>
      <c r="AH44" s="7">
        <f t="shared" si="15"/>
        <v>2</v>
      </c>
      <c r="AI44" s="7">
        <f t="shared" si="16"/>
        <v>2</v>
      </c>
      <c r="AJ44" s="7" t="str">
        <f t="shared" si="17"/>
        <v>Correct</v>
      </c>
      <c r="AK44" s="7"/>
      <c r="AL44" s="120" t="str">
        <f>IFERROR(VLOOKUP(Table1[RespondentID],'All Data'!$A$3:$CO$999,87,FALSE),"unknown")</f>
        <v>Woman</v>
      </c>
      <c r="AM44" s="120">
        <f>IFERROR(VLOOKUP(Table1[RespondentID],'All Data'!$A$3:$CO$999,88,FALSE),"unknown")</f>
        <v>28</v>
      </c>
      <c r="AN44" s="120" t="str">
        <f>IFERROR(VLOOKUP(Table1[RespondentID],'All Data'!$A$3:$CO$999,89,FALSE),"unknown")</f>
        <v>Suffolk</v>
      </c>
      <c r="AO44" s="120" t="str">
        <f>IFERROR(VLOOKUP(Table1[RespondentID],'All Data'!$A$3:$CO$999,90,FALSE),"unknown")</f>
        <v>Hauppauge, 11788</v>
      </c>
      <c r="AP44" s="120" t="str">
        <f>IFERROR(VLOOKUP(Table1[RespondentID],'All Data'!$A$3:$CO$999,91,FALSE),"unknown")</f>
        <v>White</v>
      </c>
      <c r="AQ44" s="120">
        <f>IFERROR(VLOOKUP(Table1[RespondentID],'All Data'!$A$3:$CO$999,92,FALSE),"unknown")</f>
        <v>0</v>
      </c>
      <c r="AR44" s="120" t="str">
        <f>IFERROR(VLOOKUP(Table1[RespondentID],'All Data'!$A$3:$CO$999,93,FALSE),"unknown")</f>
        <v>English</v>
      </c>
      <c r="AS44" s="120" t="str">
        <f>IFERROR(VLOOKUP(Table1[RespondentID],'All Data'!$A$3:$CW$999,94,FALSE),"unknown")</f>
        <v>$50,000 to $74,999</v>
      </c>
      <c r="AT44" s="120" t="str">
        <f>IFERROR(VLOOKUP(Table1[RespondentID],'All Data'!$A$3:$CW$999,95,FALSE),"unknown")</f>
        <v>College graduate</v>
      </c>
      <c r="AU44" s="120" t="str">
        <f>IFERROR(VLOOKUP(Table1[RespondentID],'All Data'!$A$3:$CW$999,96,FALSE),"unknown")</f>
        <v>Self-employed</v>
      </c>
      <c r="AV44" s="120" t="str">
        <f>IFERROR(VLOOKUP(Table1[RespondentID],'All Data'!$A$3:$CW$999,97,FALSE),"unknown")</f>
        <v>Yes</v>
      </c>
      <c r="AW44" s="120" t="str">
        <f>IFERROR(VLOOKUP(Table1[RespondentID],'All Data'!$A$3:$CW$999,98,FALSE),"unknown")</f>
        <v>Private/Commercial</v>
      </c>
      <c r="AX44" s="120">
        <f>IFERROR(VLOOKUP(Table1[RespondentID],'All Data'!$A$3:$CW$999,99,FALSE),"unknown")</f>
        <v>0</v>
      </c>
    </row>
    <row r="45" spans="1:50">
      <c r="A45" s="5">
        <v>18025183125</v>
      </c>
      <c r="B45" s="5"/>
      <c r="C45" s="5"/>
      <c r="D45" s="5"/>
      <c r="E45" s="5"/>
      <c r="F45" s="5"/>
      <c r="G45" s="5"/>
      <c r="H45" s="5"/>
      <c r="I45" s="5"/>
      <c r="J45" s="5"/>
      <c r="K45" s="5" t="s">
        <v>25</v>
      </c>
      <c r="L45" s="5"/>
      <c r="M45" s="5"/>
      <c r="N45" s="5"/>
      <c r="O45" s="7"/>
      <c r="P45" s="7">
        <f t="shared" si="0"/>
        <v>1</v>
      </c>
      <c r="Q45" s="9">
        <f t="shared" si="1"/>
        <v>3</v>
      </c>
      <c r="R45" s="7"/>
      <c r="S45" s="7">
        <f t="shared" si="2"/>
        <v>0</v>
      </c>
      <c r="T45" s="7">
        <f t="shared" si="3"/>
        <v>0</v>
      </c>
      <c r="U45" s="7">
        <f t="shared" si="4"/>
        <v>0</v>
      </c>
      <c r="V45" s="119">
        <f t="shared" si="5"/>
        <v>0</v>
      </c>
      <c r="W45" s="119">
        <f t="shared" si="6"/>
        <v>0</v>
      </c>
      <c r="X45" s="119">
        <f t="shared" si="7"/>
        <v>0</v>
      </c>
      <c r="Y45" s="119">
        <f t="shared" si="8"/>
        <v>0</v>
      </c>
      <c r="Z45" s="119">
        <f t="shared" si="9"/>
        <v>0</v>
      </c>
      <c r="AA45" s="119">
        <f t="shared" si="10"/>
        <v>0</v>
      </c>
      <c r="AB45" s="119">
        <f t="shared" si="11"/>
        <v>1</v>
      </c>
      <c r="AC45" s="119">
        <f t="shared" si="12"/>
        <v>0</v>
      </c>
      <c r="AD45" s="119">
        <f t="shared" si="13"/>
        <v>0</v>
      </c>
      <c r="AE45" s="119">
        <f t="shared" si="14"/>
        <v>0</v>
      </c>
      <c r="AF45" s="7"/>
      <c r="AG45" s="7"/>
      <c r="AH45" s="7">
        <f t="shared" si="15"/>
        <v>1</v>
      </c>
      <c r="AI45" s="7">
        <f t="shared" si="16"/>
        <v>1</v>
      </c>
      <c r="AJ45" s="7" t="str">
        <f t="shared" si="17"/>
        <v>Correct</v>
      </c>
      <c r="AK45" s="7"/>
      <c r="AL45" s="120" t="str">
        <f>IFERROR(VLOOKUP(Table1[RespondentID],'All Data'!$A$3:$CO$999,87,FALSE),"unknown")</f>
        <v>Man</v>
      </c>
      <c r="AM45" s="120">
        <f>IFERROR(VLOOKUP(Table1[RespondentID],'All Data'!$A$3:$CO$999,88,FALSE),"unknown")</f>
        <v>28</v>
      </c>
      <c r="AN45" s="120" t="str">
        <f>IFERROR(VLOOKUP(Table1[RespondentID],'All Data'!$A$3:$CO$999,89,FALSE),"unknown")</f>
        <v>Suffolk</v>
      </c>
      <c r="AO45" s="120" t="str">
        <f>IFERROR(VLOOKUP(Table1[RespondentID],'All Data'!$A$3:$CO$999,90,FALSE),"unknown")</f>
        <v>Greenlawn, 11740</v>
      </c>
      <c r="AP45" s="120" t="str">
        <f>IFERROR(VLOOKUP(Table1[RespondentID],'All Data'!$A$3:$CO$999,91,FALSE),"unknown")</f>
        <v>White</v>
      </c>
      <c r="AQ45" s="120" t="str">
        <f>IFERROR(VLOOKUP(Table1[RespondentID],'All Data'!$A$3:$CO$999,92,FALSE),"unknown")</f>
        <v>Not Hispanic or Latino</v>
      </c>
      <c r="AR45" s="120" t="str">
        <f>IFERROR(VLOOKUP(Table1[RespondentID],'All Data'!$A$3:$CO$999,93,FALSE),"unknown")</f>
        <v>English</v>
      </c>
      <c r="AS45" s="120" t="str">
        <f>IFERROR(VLOOKUP(Table1[RespondentID],'All Data'!$A$3:$CW$999,94,FALSE),"unknown")</f>
        <v>$75,000 to $125,000</v>
      </c>
      <c r="AT45" s="120" t="str">
        <f>IFERROR(VLOOKUP(Table1[RespondentID],'All Data'!$A$3:$CW$999,95,FALSE),"unknown")</f>
        <v>Some college</v>
      </c>
      <c r="AU45" s="120" t="str">
        <f>IFERROR(VLOOKUP(Table1[RespondentID],'All Data'!$A$3:$CW$999,96,FALSE),"unknown")</f>
        <v>Out of work and looking for work</v>
      </c>
      <c r="AV45" s="120">
        <f>IFERROR(VLOOKUP(Table1[RespondentID],'All Data'!$A$3:$CW$999,97,FALSE),"unknown")</f>
        <v>0</v>
      </c>
      <c r="AW45" s="120">
        <f>IFERROR(VLOOKUP(Table1[RespondentID],'All Data'!$A$3:$CW$999,98,FALSE),"unknown")</f>
        <v>0</v>
      </c>
      <c r="AX45" s="120">
        <f>IFERROR(VLOOKUP(Table1[RespondentID],'All Data'!$A$3:$CW$999,99,FALSE),"unknown")</f>
        <v>0</v>
      </c>
    </row>
    <row r="46" spans="1:50">
      <c r="A46" s="5">
        <v>18025182993</v>
      </c>
      <c r="B46" s="5"/>
      <c r="C46" s="5"/>
      <c r="D46" s="5" t="s">
        <v>18</v>
      </c>
      <c r="E46" s="5"/>
      <c r="F46" s="5"/>
      <c r="G46" s="5"/>
      <c r="H46" s="5"/>
      <c r="I46" s="5"/>
      <c r="J46" s="5"/>
      <c r="K46" s="5" t="s">
        <v>25</v>
      </c>
      <c r="L46" s="5"/>
      <c r="M46" s="5"/>
      <c r="N46" s="5"/>
      <c r="O46" s="7"/>
      <c r="P46" s="7">
        <f t="shared" si="0"/>
        <v>2</v>
      </c>
      <c r="Q46" s="8">
        <f t="shared" si="1"/>
        <v>1.5</v>
      </c>
      <c r="R46" s="7"/>
      <c r="S46" s="7">
        <f t="shared" si="2"/>
        <v>0</v>
      </c>
      <c r="T46" s="7">
        <f t="shared" si="3"/>
        <v>0</v>
      </c>
      <c r="U46" s="7">
        <f t="shared" si="4"/>
        <v>1</v>
      </c>
      <c r="V46" s="119">
        <f t="shared" si="5"/>
        <v>0</v>
      </c>
      <c r="W46" s="119">
        <f t="shared" si="6"/>
        <v>0</v>
      </c>
      <c r="X46" s="119">
        <f t="shared" si="7"/>
        <v>0</v>
      </c>
      <c r="Y46" s="119">
        <f t="shared" si="8"/>
        <v>0</v>
      </c>
      <c r="Z46" s="119">
        <f t="shared" si="9"/>
        <v>0</v>
      </c>
      <c r="AA46" s="119">
        <f t="shared" si="10"/>
        <v>0</v>
      </c>
      <c r="AB46" s="119">
        <f t="shared" si="11"/>
        <v>1</v>
      </c>
      <c r="AC46" s="119">
        <f t="shared" si="12"/>
        <v>0</v>
      </c>
      <c r="AD46" s="119">
        <f t="shared" si="13"/>
        <v>0</v>
      </c>
      <c r="AE46" s="119">
        <f t="shared" si="14"/>
        <v>0</v>
      </c>
      <c r="AF46" s="7"/>
      <c r="AG46" s="7"/>
      <c r="AH46" s="7">
        <f t="shared" si="15"/>
        <v>2</v>
      </c>
      <c r="AI46" s="7">
        <f t="shared" si="16"/>
        <v>2</v>
      </c>
      <c r="AJ46" s="7" t="str">
        <f t="shared" si="17"/>
        <v>Correct</v>
      </c>
      <c r="AK46" s="7"/>
      <c r="AL46" s="120" t="str">
        <f>IFERROR(VLOOKUP(Table1[RespondentID],'All Data'!$A$3:$CO$999,87,FALSE),"unknown")</f>
        <v>Man</v>
      </c>
      <c r="AM46" s="120">
        <f>IFERROR(VLOOKUP(Table1[RespondentID],'All Data'!$A$3:$CO$999,88,FALSE),"unknown")</f>
        <v>60</v>
      </c>
      <c r="AN46" s="120" t="str">
        <f>IFERROR(VLOOKUP(Table1[RespondentID],'All Data'!$A$3:$CO$999,89,FALSE),"unknown")</f>
        <v>Suffolk</v>
      </c>
      <c r="AO46" s="120" t="str">
        <f>IFERROR(VLOOKUP(Table1[RespondentID],'All Data'!$A$3:$CO$999,90,FALSE),"unknown")</f>
        <v>Greenlawn, 11740</v>
      </c>
      <c r="AP46" s="120" t="str">
        <f>IFERROR(VLOOKUP(Table1[RespondentID],'All Data'!$A$3:$CO$999,91,FALSE),"unknown")</f>
        <v>Two or more races</v>
      </c>
      <c r="AQ46" s="120" t="str">
        <f>IFERROR(VLOOKUP(Table1[RespondentID],'All Data'!$A$3:$CO$999,92,FALSE),"unknown")</f>
        <v>Hispanic or Latino</v>
      </c>
      <c r="AR46" s="120" t="str">
        <f>IFERROR(VLOOKUP(Table1[RespondentID],'All Data'!$A$3:$CO$999,93,FALSE),"unknown")</f>
        <v>English</v>
      </c>
      <c r="AS46" s="120" t="str">
        <f>IFERROR(VLOOKUP(Table1[RespondentID],'All Data'!$A$3:$CW$999,94,FALSE),"unknown")</f>
        <v>Over $125,000</v>
      </c>
      <c r="AT46" s="120" t="str">
        <f>IFERROR(VLOOKUP(Table1[RespondentID],'All Data'!$A$3:$CW$999,95,FALSE),"unknown")</f>
        <v>Graduate school</v>
      </c>
      <c r="AU46" s="120" t="str">
        <f>IFERROR(VLOOKUP(Table1[RespondentID],'All Data'!$A$3:$CW$999,96,FALSE),"unknown")</f>
        <v>Retired</v>
      </c>
      <c r="AV46" s="120" t="str">
        <f>IFERROR(VLOOKUP(Table1[RespondentID],'All Data'!$A$3:$CW$999,97,FALSE),"unknown")</f>
        <v>Yes</v>
      </c>
      <c r="AW46" s="120" t="str">
        <f>IFERROR(VLOOKUP(Table1[RespondentID],'All Data'!$A$3:$CW$999,98,FALSE),"unknown")</f>
        <v>Private/Commercial</v>
      </c>
      <c r="AX46" s="120">
        <f>IFERROR(VLOOKUP(Table1[RespondentID],'All Data'!$A$3:$CW$999,99,FALSE),"unknown")</f>
        <v>0</v>
      </c>
    </row>
    <row r="47" spans="1:50">
      <c r="A47" s="5">
        <v>18025182885</v>
      </c>
      <c r="B47" s="5"/>
      <c r="C47" s="5"/>
      <c r="D47" s="5" t="s">
        <v>18</v>
      </c>
      <c r="E47" s="5" t="s">
        <v>19</v>
      </c>
      <c r="F47" s="5"/>
      <c r="G47" s="5"/>
      <c r="H47" s="5"/>
      <c r="I47" s="5" t="s">
        <v>23</v>
      </c>
      <c r="J47" s="5"/>
      <c r="K47" s="5"/>
      <c r="L47" s="5"/>
      <c r="M47" s="5"/>
      <c r="N47" s="5"/>
      <c r="O47" s="7"/>
      <c r="P47" s="7">
        <f t="shared" si="0"/>
        <v>3</v>
      </c>
      <c r="Q47" s="9">
        <f t="shared" si="1"/>
        <v>1</v>
      </c>
      <c r="R47" s="7"/>
      <c r="S47" s="7">
        <f t="shared" si="2"/>
        <v>0</v>
      </c>
      <c r="T47" s="7">
        <f t="shared" si="3"/>
        <v>0</v>
      </c>
      <c r="U47" s="7">
        <f t="shared" si="4"/>
        <v>1</v>
      </c>
      <c r="V47" s="119">
        <f t="shared" si="5"/>
        <v>1</v>
      </c>
      <c r="W47" s="119">
        <f t="shared" si="6"/>
        <v>0</v>
      </c>
      <c r="X47" s="119">
        <f t="shared" si="7"/>
        <v>0</v>
      </c>
      <c r="Y47" s="119">
        <f t="shared" si="8"/>
        <v>0</v>
      </c>
      <c r="Z47" s="119">
        <f t="shared" si="9"/>
        <v>1</v>
      </c>
      <c r="AA47" s="119">
        <f t="shared" si="10"/>
        <v>0</v>
      </c>
      <c r="AB47" s="119">
        <f t="shared" si="11"/>
        <v>0</v>
      </c>
      <c r="AC47" s="119">
        <f t="shared" si="12"/>
        <v>0</v>
      </c>
      <c r="AD47" s="119">
        <f t="shared" si="13"/>
        <v>0</v>
      </c>
      <c r="AE47" s="119">
        <f t="shared" si="14"/>
        <v>0</v>
      </c>
      <c r="AF47" s="7"/>
      <c r="AG47" s="7"/>
      <c r="AH47" s="7">
        <f t="shared" si="15"/>
        <v>3</v>
      </c>
      <c r="AI47" s="7">
        <f t="shared" si="16"/>
        <v>3</v>
      </c>
      <c r="AJ47" s="7" t="str">
        <f t="shared" si="17"/>
        <v>Correct</v>
      </c>
      <c r="AK47" s="7"/>
      <c r="AL47" s="120">
        <f>IFERROR(VLOOKUP(Table1[RespondentID],'All Data'!$A$3:$CO$999,87,FALSE),"unknown")</f>
        <v>0</v>
      </c>
      <c r="AM47" s="120">
        <f>IFERROR(VLOOKUP(Table1[RespondentID],'All Data'!$A$3:$CO$999,88,FALSE),"unknown")</f>
        <v>55</v>
      </c>
      <c r="AN47" s="120" t="str">
        <f>IFERROR(VLOOKUP(Table1[RespondentID],'All Data'!$A$3:$CO$999,89,FALSE),"unknown")</f>
        <v>Suffolk</v>
      </c>
      <c r="AO47" s="120" t="str">
        <f>IFERROR(VLOOKUP(Table1[RespondentID],'All Data'!$A$3:$CO$999,90,FALSE),"unknown")</f>
        <v>Greenlawn, 11740</v>
      </c>
      <c r="AP47" s="120" t="str">
        <f>IFERROR(VLOOKUP(Table1[RespondentID],'All Data'!$A$3:$CO$999,91,FALSE),"unknown")</f>
        <v>White</v>
      </c>
      <c r="AQ47" s="120" t="str">
        <f>IFERROR(VLOOKUP(Table1[RespondentID],'All Data'!$A$3:$CO$999,92,FALSE),"unknown")</f>
        <v>Not Hispanic or Latino</v>
      </c>
      <c r="AR47" s="120" t="str">
        <f>IFERROR(VLOOKUP(Table1[RespondentID],'All Data'!$A$3:$CO$999,93,FALSE),"unknown")</f>
        <v>English</v>
      </c>
      <c r="AS47" s="120" t="str">
        <f>IFERROR(VLOOKUP(Table1[RespondentID],'All Data'!$A$3:$CW$999,94,FALSE),"unknown")</f>
        <v>Over $125,000</v>
      </c>
      <c r="AT47" s="120" t="str">
        <f>IFERROR(VLOOKUP(Table1[RespondentID],'All Data'!$A$3:$CW$999,95,FALSE),"unknown")</f>
        <v>College graduate</v>
      </c>
      <c r="AU47" s="120" t="str">
        <f>IFERROR(VLOOKUP(Table1[RespondentID],'All Data'!$A$3:$CW$999,96,FALSE),"unknown")</f>
        <v>Employed for wages</v>
      </c>
      <c r="AV47" s="120" t="str">
        <f>IFERROR(VLOOKUP(Table1[RespondentID],'All Data'!$A$3:$CW$999,97,FALSE),"unknown")</f>
        <v>Yes</v>
      </c>
      <c r="AW47" s="120">
        <f>IFERROR(VLOOKUP(Table1[RespondentID],'All Data'!$A$3:$CW$999,98,FALSE),"unknown")</f>
        <v>0</v>
      </c>
      <c r="AX47" s="120">
        <f>IFERROR(VLOOKUP(Table1[RespondentID],'All Data'!$A$3:$CW$999,99,FALSE),"unknown")</f>
        <v>0</v>
      </c>
    </row>
    <row r="48" spans="1:50">
      <c r="A48" s="5">
        <v>18025182704</v>
      </c>
      <c r="B48" s="5" t="s">
        <v>16</v>
      </c>
      <c r="C48" s="5"/>
      <c r="D48" s="5"/>
      <c r="E48" s="5"/>
      <c r="F48" s="5" t="s">
        <v>20</v>
      </c>
      <c r="G48" s="5"/>
      <c r="H48" s="5"/>
      <c r="I48" s="5" t="s">
        <v>23</v>
      </c>
      <c r="J48" s="5"/>
      <c r="K48" s="5" t="s">
        <v>25</v>
      </c>
      <c r="L48" s="5" t="s">
        <v>26</v>
      </c>
      <c r="M48" s="5" t="s">
        <v>27</v>
      </c>
      <c r="N48" s="5"/>
      <c r="O48" s="7"/>
      <c r="P48" s="7">
        <f t="shared" si="0"/>
        <v>6</v>
      </c>
      <c r="Q48" s="8">
        <f t="shared" si="1"/>
        <v>0.5</v>
      </c>
      <c r="R48" s="7"/>
      <c r="S48" s="7">
        <f t="shared" si="2"/>
        <v>0.5</v>
      </c>
      <c r="T48" s="7">
        <f t="shared" si="3"/>
        <v>0</v>
      </c>
      <c r="U48" s="7">
        <f t="shared" si="4"/>
        <v>0</v>
      </c>
      <c r="V48" s="119">
        <f t="shared" si="5"/>
        <v>0</v>
      </c>
      <c r="W48" s="119">
        <f t="shared" si="6"/>
        <v>0.5</v>
      </c>
      <c r="X48" s="119">
        <f t="shared" si="7"/>
        <v>0</v>
      </c>
      <c r="Y48" s="119">
        <f t="shared" si="8"/>
        <v>0</v>
      </c>
      <c r="Z48" s="119">
        <f t="shared" si="9"/>
        <v>0.5</v>
      </c>
      <c r="AA48" s="119">
        <f t="shared" si="10"/>
        <v>0</v>
      </c>
      <c r="AB48" s="119">
        <f t="shared" si="11"/>
        <v>0.5</v>
      </c>
      <c r="AC48" s="119">
        <f t="shared" si="12"/>
        <v>0.5</v>
      </c>
      <c r="AD48" s="119">
        <f t="shared" si="13"/>
        <v>0.5</v>
      </c>
      <c r="AE48" s="119">
        <f t="shared" si="14"/>
        <v>0</v>
      </c>
      <c r="AF48" s="7"/>
      <c r="AG48" s="7"/>
      <c r="AH48" s="7">
        <f t="shared" si="15"/>
        <v>3</v>
      </c>
      <c r="AI48" s="7">
        <f t="shared" si="16"/>
        <v>6</v>
      </c>
      <c r="AJ48" s="7" t="str">
        <f t="shared" si="17"/>
        <v>Correct</v>
      </c>
      <c r="AK48" s="7"/>
      <c r="AL48" s="120" t="str">
        <f>IFERROR(VLOOKUP(Table1[RespondentID],'All Data'!$A$3:$CO$999,87,FALSE),"unknown")</f>
        <v>Man</v>
      </c>
      <c r="AM48" s="120">
        <f>IFERROR(VLOOKUP(Table1[RespondentID],'All Data'!$A$3:$CO$999,88,FALSE),"unknown")</f>
        <v>19</v>
      </c>
      <c r="AN48" s="120" t="str">
        <f>IFERROR(VLOOKUP(Table1[RespondentID],'All Data'!$A$3:$CO$999,89,FALSE),"unknown")</f>
        <v>Nassau</v>
      </c>
      <c r="AO48" s="120" t="str">
        <f>IFERROR(VLOOKUP(Table1[RespondentID],'All Data'!$A$3:$CO$999,90,FALSE),"unknown")</f>
        <v>Hicksville, 11801</v>
      </c>
      <c r="AP48" s="120" t="str">
        <f>IFERROR(VLOOKUP(Table1[RespondentID],'All Data'!$A$3:$CO$999,91,FALSE),"unknown")</f>
        <v>White</v>
      </c>
      <c r="AQ48" s="120">
        <f>IFERROR(VLOOKUP(Table1[RespondentID],'All Data'!$A$3:$CO$999,92,FALSE),"unknown")</f>
        <v>0</v>
      </c>
      <c r="AR48" s="120" t="str">
        <f>IFERROR(VLOOKUP(Table1[RespondentID],'All Data'!$A$3:$CO$999,93,FALSE),"unknown")</f>
        <v>English</v>
      </c>
      <c r="AS48" s="120" t="str">
        <f>IFERROR(VLOOKUP(Table1[RespondentID],'All Data'!$A$3:$CW$999,94,FALSE),"unknown")</f>
        <v>$35,000 to $49,999</v>
      </c>
      <c r="AT48" s="120" t="str">
        <f>IFERROR(VLOOKUP(Table1[RespondentID],'All Data'!$A$3:$CW$999,95,FALSE),"unknown")</f>
        <v>Some college</v>
      </c>
      <c r="AU48" s="120" t="str">
        <f>IFERROR(VLOOKUP(Table1[RespondentID],'All Data'!$A$3:$CW$999,96,FALSE),"unknown")</f>
        <v>Student</v>
      </c>
      <c r="AV48" s="120" t="str">
        <f>IFERROR(VLOOKUP(Table1[RespondentID],'All Data'!$A$3:$CW$999,97,FALSE),"unknown")</f>
        <v>Yes</v>
      </c>
      <c r="AW48" s="120" t="str">
        <f>IFERROR(VLOOKUP(Table1[RespondentID],'All Data'!$A$3:$CW$999,98,FALSE),"unknown")</f>
        <v>Private/Commercial</v>
      </c>
      <c r="AX48" s="120">
        <f>IFERROR(VLOOKUP(Table1[RespondentID],'All Data'!$A$3:$CW$999,99,FALSE),"unknown")</f>
        <v>0</v>
      </c>
    </row>
    <row r="49" spans="1:50">
      <c r="A49" s="5">
        <v>18025182523</v>
      </c>
      <c r="B49" s="5"/>
      <c r="C49" s="5" t="s">
        <v>17</v>
      </c>
      <c r="D49" s="5"/>
      <c r="E49" s="5"/>
      <c r="F49" s="5"/>
      <c r="G49" s="5"/>
      <c r="H49" s="5"/>
      <c r="I49" s="5"/>
      <c r="J49" s="5" t="s">
        <v>24</v>
      </c>
      <c r="K49" s="5"/>
      <c r="L49" s="5"/>
      <c r="M49" s="5"/>
      <c r="N49" s="5"/>
      <c r="O49" s="7"/>
      <c r="P49" s="7">
        <f t="shared" si="0"/>
        <v>2</v>
      </c>
      <c r="Q49" s="9">
        <f t="shared" si="1"/>
        <v>1.5</v>
      </c>
      <c r="R49" s="7"/>
      <c r="S49" s="7">
        <f t="shared" si="2"/>
        <v>0</v>
      </c>
      <c r="T49" s="7">
        <f t="shared" si="3"/>
        <v>1</v>
      </c>
      <c r="U49" s="7">
        <f t="shared" si="4"/>
        <v>0</v>
      </c>
      <c r="V49" s="119">
        <f t="shared" si="5"/>
        <v>0</v>
      </c>
      <c r="W49" s="119">
        <f t="shared" si="6"/>
        <v>0</v>
      </c>
      <c r="X49" s="119">
        <f t="shared" si="7"/>
        <v>0</v>
      </c>
      <c r="Y49" s="119">
        <f t="shared" si="8"/>
        <v>0</v>
      </c>
      <c r="Z49" s="119">
        <f t="shared" si="9"/>
        <v>0</v>
      </c>
      <c r="AA49" s="119">
        <f t="shared" si="10"/>
        <v>1</v>
      </c>
      <c r="AB49" s="119">
        <f t="shared" si="11"/>
        <v>0</v>
      </c>
      <c r="AC49" s="119">
        <f t="shared" si="12"/>
        <v>0</v>
      </c>
      <c r="AD49" s="119">
        <f t="shared" si="13"/>
        <v>0</v>
      </c>
      <c r="AE49" s="119">
        <f t="shared" si="14"/>
        <v>0</v>
      </c>
      <c r="AF49" s="7"/>
      <c r="AG49" s="7"/>
      <c r="AH49" s="7">
        <f t="shared" si="15"/>
        <v>2</v>
      </c>
      <c r="AI49" s="7">
        <f t="shared" si="16"/>
        <v>2</v>
      </c>
      <c r="AJ49" s="7" t="str">
        <f t="shared" si="17"/>
        <v>Correct</v>
      </c>
      <c r="AK49" s="7"/>
      <c r="AL49" s="120">
        <f>IFERROR(VLOOKUP(Table1[RespondentID],'All Data'!$A$3:$CO$999,87,FALSE),"unknown")</f>
        <v>0</v>
      </c>
      <c r="AM49" s="120">
        <f>IFERROR(VLOOKUP(Table1[RespondentID],'All Data'!$A$3:$CO$999,88,FALSE),"unknown")</f>
        <v>65</v>
      </c>
      <c r="AN49" s="120" t="str">
        <f>IFERROR(VLOOKUP(Table1[RespondentID],'All Data'!$A$3:$CO$999,89,FALSE),"unknown")</f>
        <v>Nassau</v>
      </c>
      <c r="AO49" s="120" t="str">
        <f>IFERROR(VLOOKUP(Table1[RespondentID],'All Data'!$A$3:$CO$999,90,FALSE),"unknown")</f>
        <v>Floral Park, 11001</v>
      </c>
      <c r="AP49" s="120" t="str">
        <f>IFERROR(VLOOKUP(Table1[RespondentID],'All Data'!$A$3:$CO$999,91,FALSE),"unknown")</f>
        <v>White</v>
      </c>
      <c r="AQ49" s="120">
        <f>IFERROR(VLOOKUP(Table1[RespondentID],'All Data'!$A$3:$CO$999,92,FALSE),"unknown")</f>
        <v>0</v>
      </c>
      <c r="AR49" s="120" t="str">
        <f>IFERROR(VLOOKUP(Table1[RespondentID],'All Data'!$A$3:$CO$999,93,FALSE),"unknown")</f>
        <v>English</v>
      </c>
      <c r="AS49" s="120" t="str">
        <f>IFERROR(VLOOKUP(Table1[RespondentID],'All Data'!$A$3:$CW$999,94,FALSE),"unknown")</f>
        <v>$50,000 to $74,999</v>
      </c>
      <c r="AT49" s="120" t="str">
        <f>IFERROR(VLOOKUP(Table1[RespondentID],'All Data'!$A$3:$CW$999,95,FALSE),"unknown")</f>
        <v>College graduate</v>
      </c>
      <c r="AU49" s="120" t="str">
        <f>IFERROR(VLOOKUP(Table1[RespondentID],'All Data'!$A$3:$CW$999,96,FALSE),"unknown")</f>
        <v>Retired</v>
      </c>
      <c r="AV49" s="120" t="str">
        <f>IFERROR(VLOOKUP(Table1[RespondentID],'All Data'!$A$3:$CW$999,97,FALSE),"unknown")</f>
        <v>Yes</v>
      </c>
      <c r="AW49" s="120" t="str">
        <f>IFERROR(VLOOKUP(Table1[RespondentID],'All Data'!$A$3:$CW$999,98,FALSE),"unknown")</f>
        <v>Private/Commercial</v>
      </c>
      <c r="AX49" s="120">
        <f>IFERROR(VLOOKUP(Table1[RespondentID],'All Data'!$A$3:$CW$999,99,FALSE),"unknown")</f>
        <v>0</v>
      </c>
    </row>
    <row r="50" spans="1:50">
      <c r="A50" s="5">
        <v>18025182362</v>
      </c>
      <c r="B50" s="5"/>
      <c r="C50" s="5"/>
      <c r="D50" s="5"/>
      <c r="E50" s="5"/>
      <c r="F50" s="5"/>
      <c r="G50" s="5"/>
      <c r="H50" s="5"/>
      <c r="I50" s="5"/>
      <c r="J50" s="5"/>
      <c r="K50" s="5" t="s">
        <v>25</v>
      </c>
      <c r="L50" s="5"/>
      <c r="M50" s="5"/>
      <c r="N50" s="5"/>
      <c r="O50" s="7"/>
      <c r="P50" s="7">
        <f t="shared" si="0"/>
        <v>1</v>
      </c>
      <c r="Q50" s="8">
        <f t="shared" si="1"/>
        <v>3</v>
      </c>
      <c r="R50" s="7"/>
      <c r="S50" s="7">
        <f t="shared" si="2"/>
        <v>0</v>
      </c>
      <c r="T50" s="7">
        <f t="shared" si="3"/>
        <v>0</v>
      </c>
      <c r="U50" s="7">
        <f t="shared" si="4"/>
        <v>0</v>
      </c>
      <c r="V50" s="119">
        <f t="shared" si="5"/>
        <v>0</v>
      </c>
      <c r="W50" s="119">
        <f t="shared" si="6"/>
        <v>0</v>
      </c>
      <c r="X50" s="119">
        <f t="shared" si="7"/>
        <v>0</v>
      </c>
      <c r="Y50" s="119">
        <f t="shared" si="8"/>
        <v>0</v>
      </c>
      <c r="Z50" s="119">
        <f t="shared" si="9"/>
        <v>0</v>
      </c>
      <c r="AA50" s="119">
        <f t="shared" si="10"/>
        <v>0</v>
      </c>
      <c r="AB50" s="119">
        <f t="shared" si="11"/>
        <v>1</v>
      </c>
      <c r="AC50" s="119">
        <f t="shared" si="12"/>
        <v>0</v>
      </c>
      <c r="AD50" s="119">
        <f t="shared" si="13"/>
        <v>0</v>
      </c>
      <c r="AE50" s="119">
        <f t="shared" si="14"/>
        <v>0</v>
      </c>
      <c r="AF50" s="7"/>
      <c r="AG50" s="7"/>
      <c r="AH50" s="7">
        <f t="shared" si="15"/>
        <v>1</v>
      </c>
      <c r="AI50" s="7">
        <f t="shared" si="16"/>
        <v>1</v>
      </c>
      <c r="AJ50" s="7" t="str">
        <f t="shared" si="17"/>
        <v>Correct</v>
      </c>
      <c r="AK50" s="7"/>
      <c r="AL50" s="120" t="str">
        <f>IFERROR(VLOOKUP(Table1[RespondentID],'All Data'!$A$3:$CO$999,87,FALSE),"unknown")</f>
        <v>Man</v>
      </c>
      <c r="AM50" s="120">
        <f>IFERROR(VLOOKUP(Table1[RespondentID],'All Data'!$A$3:$CO$999,88,FALSE),"unknown")</f>
        <v>30</v>
      </c>
      <c r="AN50" s="120" t="str">
        <f>IFERROR(VLOOKUP(Table1[RespondentID],'All Data'!$A$3:$CO$999,89,FALSE),"unknown")</f>
        <v>Suffolk</v>
      </c>
      <c r="AO50" s="120" t="str">
        <f>IFERROR(VLOOKUP(Table1[RespondentID],'All Data'!$A$3:$CO$999,90,FALSE),"unknown")</f>
        <v>Huntington, 11743</v>
      </c>
      <c r="AP50" s="120">
        <f>IFERROR(VLOOKUP(Table1[RespondentID],'All Data'!$A$3:$CO$999,91,FALSE),"unknown")</f>
        <v>0</v>
      </c>
      <c r="AQ50" s="120">
        <f>IFERROR(VLOOKUP(Table1[RespondentID],'All Data'!$A$3:$CO$999,92,FALSE),"unknown")</f>
        <v>0</v>
      </c>
      <c r="AR50" s="120" t="str">
        <f>IFERROR(VLOOKUP(Table1[RespondentID],'All Data'!$A$3:$CO$999,93,FALSE),"unknown")</f>
        <v>Spanish</v>
      </c>
      <c r="AS50" s="120" t="str">
        <f>IFERROR(VLOOKUP(Table1[RespondentID],'All Data'!$A$3:$CW$999,94,FALSE),"unknown")</f>
        <v>$35,000 to $49,999</v>
      </c>
      <c r="AT50" s="120" t="str">
        <f>IFERROR(VLOOKUP(Table1[RespondentID],'All Data'!$A$3:$CW$999,95,FALSE),"unknown")</f>
        <v>Some college</v>
      </c>
      <c r="AU50" s="120" t="str">
        <f>IFERROR(VLOOKUP(Table1[RespondentID],'All Data'!$A$3:$CW$999,96,FALSE),"unknown")</f>
        <v>Out of work and looking for work</v>
      </c>
      <c r="AV50" s="120" t="str">
        <f>IFERROR(VLOOKUP(Table1[RespondentID],'All Data'!$A$3:$CW$999,97,FALSE),"unknown")</f>
        <v>No</v>
      </c>
      <c r="AW50" s="120">
        <f>IFERROR(VLOOKUP(Table1[RespondentID],'All Data'!$A$3:$CW$999,98,FALSE),"unknown")</f>
        <v>0</v>
      </c>
      <c r="AX50" s="120">
        <f>IFERROR(VLOOKUP(Table1[RespondentID],'All Data'!$A$3:$CW$999,99,FALSE),"unknown")</f>
        <v>0</v>
      </c>
    </row>
    <row r="51" spans="1:50">
      <c r="A51" s="5">
        <v>18025182185</v>
      </c>
      <c r="B51" s="5" t="s">
        <v>16</v>
      </c>
      <c r="C51" s="5"/>
      <c r="D51" s="5"/>
      <c r="E51" s="5"/>
      <c r="F51" s="5"/>
      <c r="G51" s="5"/>
      <c r="H51" s="5" t="s">
        <v>22</v>
      </c>
      <c r="I51" s="5"/>
      <c r="J51" s="5" t="s">
        <v>24</v>
      </c>
      <c r="K51" s="5"/>
      <c r="L51" s="5"/>
      <c r="M51" s="5"/>
      <c r="N51" s="5"/>
      <c r="O51" s="7"/>
      <c r="P51" s="7">
        <f t="shared" si="0"/>
        <v>3</v>
      </c>
      <c r="Q51" s="9">
        <f t="shared" si="1"/>
        <v>1</v>
      </c>
      <c r="R51" s="7"/>
      <c r="S51" s="7">
        <f t="shared" si="2"/>
        <v>1</v>
      </c>
      <c r="T51" s="7">
        <f t="shared" si="3"/>
        <v>0</v>
      </c>
      <c r="U51" s="7">
        <f t="shared" si="4"/>
        <v>0</v>
      </c>
      <c r="V51" s="119">
        <f t="shared" si="5"/>
        <v>0</v>
      </c>
      <c r="W51" s="119">
        <f t="shared" si="6"/>
        <v>0</v>
      </c>
      <c r="X51" s="119">
        <f t="shared" si="7"/>
        <v>0</v>
      </c>
      <c r="Y51" s="119">
        <f t="shared" si="8"/>
        <v>1</v>
      </c>
      <c r="Z51" s="119">
        <f t="shared" si="9"/>
        <v>0</v>
      </c>
      <c r="AA51" s="119">
        <f t="shared" si="10"/>
        <v>1</v>
      </c>
      <c r="AB51" s="119">
        <f t="shared" si="11"/>
        <v>0</v>
      </c>
      <c r="AC51" s="119">
        <f t="shared" si="12"/>
        <v>0</v>
      </c>
      <c r="AD51" s="119">
        <f t="shared" si="13"/>
        <v>0</v>
      </c>
      <c r="AE51" s="119">
        <f t="shared" si="14"/>
        <v>0</v>
      </c>
      <c r="AF51" s="7"/>
      <c r="AG51" s="7"/>
      <c r="AH51" s="7">
        <f t="shared" si="15"/>
        <v>3</v>
      </c>
      <c r="AI51" s="7">
        <f t="shared" si="16"/>
        <v>3</v>
      </c>
      <c r="AJ51" s="7" t="str">
        <f t="shared" si="17"/>
        <v>Correct</v>
      </c>
      <c r="AK51" s="7"/>
      <c r="AL51" s="120" t="str">
        <f>IFERROR(VLOOKUP(Table1[RespondentID],'All Data'!$A$3:$CO$999,87,FALSE),"unknown")</f>
        <v>Woman</v>
      </c>
      <c r="AM51" s="120">
        <f>IFERROR(VLOOKUP(Table1[RespondentID],'All Data'!$A$3:$CO$999,88,FALSE),"unknown")</f>
        <v>37</v>
      </c>
      <c r="AN51" s="120" t="str">
        <f>IFERROR(VLOOKUP(Table1[RespondentID],'All Data'!$A$3:$CO$999,89,FALSE),"unknown")</f>
        <v>Suffolk</v>
      </c>
      <c r="AO51" s="120" t="str">
        <f>IFERROR(VLOOKUP(Table1[RespondentID],'All Data'!$A$3:$CO$999,90,FALSE),"unknown")</f>
        <v>Huntington, 11743</v>
      </c>
      <c r="AP51" s="120">
        <f>IFERROR(VLOOKUP(Table1[RespondentID],'All Data'!$A$3:$CO$999,91,FALSE),"unknown")</f>
        <v>0</v>
      </c>
      <c r="AQ51" s="120">
        <f>IFERROR(VLOOKUP(Table1[RespondentID],'All Data'!$A$3:$CO$999,92,FALSE),"unknown")</f>
        <v>0</v>
      </c>
      <c r="AR51" s="120" t="str">
        <f>IFERROR(VLOOKUP(Table1[RespondentID],'All Data'!$A$3:$CO$999,93,FALSE),"unknown")</f>
        <v>English, Spanish</v>
      </c>
      <c r="AS51" s="120">
        <f>IFERROR(VLOOKUP(Table1[RespondentID],'All Data'!$A$3:$CW$999,94,FALSE),"unknown")</f>
        <v>0</v>
      </c>
      <c r="AT51" s="120" t="str">
        <f>IFERROR(VLOOKUP(Table1[RespondentID],'All Data'!$A$3:$CW$999,95,FALSE),"unknown")</f>
        <v>Graduate school</v>
      </c>
      <c r="AU51" s="120" t="str">
        <f>IFERROR(VLOOKUP(Table1[RespondentID],'All Data'!$A$3:$CW$999,96,FALSE),"unknown")</f>
        <v>Employed for wages</v>
      </c>
      <c r="AV51" s="120" t="str">
        <f>IFERROR(VLOOKUP(Table1[RespondentID],'All Data'!$A$3:$CW$999,97,FALSE),"unknown")</f>
        <v>Yes</v>
      </c>
      <c r="AW51" s="120" t="str">
        <f>IFERROR(VLOOKUP(Table1[RespondentID],'All Data'!$A$3:$CW$999,98,FALSE),"unknown")</f>
        <v>Private/Commercial</v>
      </c>
      <c r="AX51" s="120">
        <f>IFERROR(VLOOKUP(Table1[RespondentID],'All Data'!$A$3:$CW$999,99,FALSE),"unknown")</f>
        <v>0</v>
      </c>
    </row>
    <row r="52" spans="1:50">
      <c r="A52" s="5">
        <v>18025182059</v>
      </c>
      <c r="B52" s="5"/>
      <c r="C52" s="5" t="s">
        <v>17</v>
      </c>
      <c r="D52" s="5"/>
      <c r="E52" s="5"/>
      <c r="F52" s="5"/>
      <c r="G52" s="5"/>
      <c r="H52" s="5"/>
      <c r="I52" s="5"/>
      <c r="J52" s="5"/>
      <c r="K52" s="5"/>
      <c r="L52" s="5"/>
      <c r="M52" s="5" t="s">
        <v>27</v>
      </c>
      <c r="N52" s="5"/>
      <c r="O52" s="7"/>
      <c r="P52" s="7">
        <f t="shared" si="0"/>
        <v>2</v>
      </c>
      <c r="Q52" s="8">
        <f t="shared" si="1"/>
        <v>1.5</v>
      </c>
      <c r="R52" s="7"/>
      <c r="S52" s="7">
        <f t="shared" si="2"/>
        <v>0</v>
      </c>
      <c r="T52" s="7">
        <f t="shared" si="3"/>
        <v>1</v>
      </c>
      <c r="U52" s="7">
        <f t="shared" si="4"/>
        <v>0</v>
      </c>
      <c r="V52" s="119">
        <f t="shared" si="5"/>
        <v>0</v>
      </c>
      <c r="W52" s="119">
        <f t="shared" si="6"/>
        <v>0</v>
      </c>
      <c r="X52" s="119">
        <f t="shared" si="7"/>
        <v>0</v>
      </c>
      <c r="Y52" s="119">
        <f t="shared" si="8"/>
        <v>0</v>
      </c>
      <c r="Z52" s="119">
        <f t="shared" si="9"/>
        <v>0</v>
      </c>
      <c r="AA52" s="119">
        <f t="shared" si="10"/>
        <v>0</v>
      </c>
      <c r="AB52" s="119">
        <f t="shared" si="11"/>
        <v>0</v>
      </c>
      <c r="AC52" s="119">
        <f t="shared" si="12"/>
        <v>0</v>
      </c>
      <c r="AD52" s="119">
        <f t="shared" si="13"/>
        <v>1</v>
      </c>
      <c r="AE52" s="119">
        <f t="shared" si="14"/>
        <v>0</v>
      </c>
      <c r="AF52" s="7"/>
      <c r="AG52" s="7"/>
      <c r="AH52" s="7">
        <f t="shared" si="15"/>
        <v>2</v>
      </c>
      <c r="AI52" s="7">
        <f t="shared" si="16"/>
        <v>2</v>
      </c>
      <c r="AJ52" s="7" t="str">
        <f t="shared" si="17"/>
        <v>Correct</v>
      </c>
      <c r="AK52" s="7"/>
      <c r="AL52" s="120" t="str">
        <f>IFERROR(VLOOKUP(Table1[RespondentID],'All Data'!$A$3:$CO$999,87,FALSE),"unknown")</f>
        <v>Man</v>
      </c>
      <c r="AM52" s="120">
        <f>IFERROR(VLOOKUP(Table1[RespondentID],'All Data'!$A$3:$CO$999,88,FALSE),"unknown")</f>
        <v>58</v>
      </c>
      <c r="AN52" s="120" t="str">
        <f>IFERROR(VLOOKUP(Table1[RespondentID],'All Data'!$A$3:$CO$999,89,FALSE),"unknown")</f>
        <v>Suffolk</v>
      </c>
      <c r="AO52" s="120" t="str">
        <f>IFERROR(VLOOKUP(Table1[RespondentID],'All Data'!$A$3:$CO$999,90,FALSE),"unknown")</f>
        <v>Centerport, 11721</v>
      </c>
      <c r="AP52" s="120" t="str">
        <f>IFERROR(VLOOKUP(Table1[RespondentID],'All Data'!$A$3:$CO$999,91,FALSE),"unknown")</f>
        <v>White</v>
      </c>
      <c r="AQ52" s="120" t="str">
        <f>IFERROR(VLOOKUP(Table1[RespondentID],'All Data'!$A$3:$CO$999,92,FALSE),"unknown")</f>
        <v>Not Hispanic or Latino</v>
      </c>
      <c r="AR52" s="120" t="str">
        <f>IFERROR(VLOOKUP(Table1[RespondentID],'All Data'!$A$3:$CO$999,93,FALSE),"unknown")</f>
        <v>English</v>
      </c>
      <c r="AS52" s="120" t="str">
        <f>IFERROR(VLOOKUP(Table1[RespondentID],'All Data'!$A$3:$CW$999,94,FALSE),"unknown")</f>
        <v>Over $125,000</v>
      </c>
      <c r="AT52" s="120" t="str">
        <f>IFERROR(VLOOKUP(Table1[RespondentID],'All Data'!$A$3:$CW$999,95,FALSE),"unknown")</f>
        <v>Doctorate</v>
      </c>
      <c r="AU52" s="120" t="str">
        <f>IFERROR(VLOOKUP(Table1[RespondentID],'All Data'!$A$3:$CW$999,96,FALSE),"unknown")</f>
        <v>Self-employed</v>
      </c>
      <c r="AV52" s="120" t="str">
        <f>IFERROR(VLOOKUP(Table1[RespondentID],'All Data'!$A$3:$CW$999,97,FALSE),"unknown")</f>
        <v>Yes</v>
      </c>
      <c r="AW52" s="120">
        <f>IFERROR(VLOOKUP(Table1[RespondentID],'All Data'!$A$3:$CW$999,98,FALSE),"unknown")</f>
        <v>0</v>
      </c>
      <c r="AX52" s="120">
        <f>IFERROR(VLOOKUP(Table1[RespondentID],'All Data'!$A$3:$CW$999,99,FALSE),"unknown")</f>
        <v>0</v>
      </c>
    </row>
    <row r="53" spans="1:50">
      <c r="A53" s="5">
        <v>18025181795</v>
      </c>
      <c r="B53" s="5"/>
      <c r="C53" s="5" t="s">
        <v>17</v>
      </c>
      <c r="D53" s="5"/>
      <c r="E53" s="5"/>
      <c r="F53" s="5"/>
      <c r="G53" s="5"/>
      <c r="H53" s="5"/>
      <c r="I53" s="5"/>
      <c r="J53" s="5"/>
      <c r="K53" s="5"/>
      <c r="L53" s="5"/>
      <c r="M53" s="5" t="s">
        <v>27</v>
      </c>
      <c r="N53" s="5"/>
      <c r="O53" s="7"/>
      <c r="P53" s="7">
        <f t="shared" si="0"/>
        <v>2</v>
      </c>
      <c r="Q53" s="9">
        <f t="shared" si="1"/>
        <v>1.5</v>
      </c>
      <c r="R53" s="7"/>
      <c r="S53" s="7">
        <f t="shared" si="2"/>
        <v>0</v>
      </c>
      <c r="T53" s="7">
        <f t="shared" si="3"/>
        <v>1</v>
      </c>
      <c r="U53" s="7">
        <f t="shared" si="4"/>
        <v>0</v>
      </c>
      <c r="V53" s="119">
        <f t="shared" si="5"/>
        <v>0</v>
      </c>
      <c r="W53" s="119">
        <f t="shared" si="6"/>
        <v>0</v>
      </c>
      <c r="X53" s="119">
        <f t="shared" si="7"/>
        <v>0</v>
      </c>
      <c r="Y53" s="119">
        <f t="shared" si="8"/>
        <v>0</v>
      </c>
      <c r="Z53" s="119">
        <f t="shared" si="9"/>
        <v>0</v>
      </c>
      <c r="AA53" s="119">
        <f t="shared" si="10"/>
        <v>0</v>
      </c>
      <c r="AB53" s="119">
        <f t="shared" si="11"/>
        <v>0</v>
      </c>
      <c r="AC53" s="119">
        <f t="shared" si="12"/>
        <v>0</v>
      </c>
      <c r="AD53" s="119">
        <f t="shared" si="13"/>
        <v>1</v>
      </c>
      <c r="AE53" s="119">
        <f t="shared" si="14"/>
        <v>0</v>
      </c>
      <c r="AF53" s="7"/>
      <c r="AG53" s="7"/>
      <c r="AH53" s="7">
        <f t="shared" si="15"/>
        <v>2</v>
      </c>
      <c r="AI53" s="7">
        <f t="shared" si="16"/>
        <v>2</v>
      </c>
      <c r="AJ53" s="7" t="str">
        <f t="shared" si="17"/>
        <v>Correct</v>
      </c>
      <c r="AK53" s="7"/>
      <c r="AL53" s="120" t="str">
        <f>IFERROR(VLOOKUP(Table1[RespondentID],'All Data'!$A$3:$CO$999,87,FALSE),"unknown")</f>
        <v>Man</v>
      </c>
      <c r="AM53" s="120">
        <f>IFERROR(VLOOKUP(Table1[RespondentID],'All Data'!$A$3:$CO$999,88,FALSE),"unknown")</f>
        <v>58</v>
      </c>
      <c r="AN53" s="120" t="str">
        <f>IFERROR(VLOOKUP(Table1[RespondentID],'All Data'!$A$3:$CO$999,89,FALSE),"unknown")</f>
        <v>Suffolk</v>
      </c>
      <c r="AO53" s="120" t="str">
        <f>IFERROR(VLOOKUP(Table1[RespondentID],'All Data'!$A$3:$CO$999,90,FALSE),"unknown")</f>
        <v>Centerport, 11721</v>
      </c>
      <c r="AP53" s="120" t="str">
        <f>IFERROR(VLOOKUP(Table1[RespondentID],'All Data'!$A$3:$CO$999,91,FALSE),"unknown")</f>
        <v>White</v>
      </c>
      <c r="AQ53" s="120" t="str">
        <f>IFERROR(VLOOKUP(Table1[RespondentID],'All Data'!$A$3:$CO$999,92,FALSE),"unknown")</f>
        <v>Not Hispanic or Latino</v>
      </c>
      <c r="AR53" s="120" t="str">
        <f>IFERROR(VLOOKUP(Table1[RespondentID],'All Data'!$A$3:$CO$999,93,FALSE),"unknown")</f>
        <v>English</v>
      </c>
      <c r="AS53" s="120" t="str">
        <f>IFERROR(VLOOKUP(Table1[RespondentID],'All Data'!$A$3:$CW$999,94,FALSE),"unknown")</f>
        <v>Over $125,000</v>
      </c>
      <c r="AT53" s="120" t="str">
        <f>IFERROR(VLOOKUP(Table1[RespondentID],'All Data'!$A$3:$CW$999,95,FALSE),"unknown")</f>
        <v>Doctorate</v>
      </c>
      <c r="AU53" s="120" t="str">
        <f>IFERROR(VLOOKUP(Table1[RespondentID],'All Data'!$A$3:$CW$999,96,FALSE),"unknown")</f>
        <v>Employed for wages</v>
      </c>
      <c r="AV53" s="120" t="str">
        <f>IFERROR(VLOOKUP(Table1[RespondentID],'All Data'!$A$3:$CW$999,97,FALSE),"unknown")</f>
        <v>Yes</v>
      </c>
      <c r="AW53" s="120">
        <f>IFERROR(VLOOKUP(Table1[RespondentID],'All Data'!$A$3:$CW$999,98,FALSE),"unknown")</f>
        <v>0</v>
      </c>
      <c r="AX53" s="120">
        <f>IFERROR(VLOOKUP(Table1[RespondentID],'All Data'!$A$3:$CW$999,99,FALSE),"unknown")</f>
        <v>0</v>
      </c>
    </row>
    <row r="54" spans="1:50">
      <c r="A54" s="5">
        <v>18025181633</v>
      </c>
      <c r="B54" s="5" t="s">
        <v>16</v>
      </c>
      <c r="C54" s="5"/>
      <c r="D54" s="5"/>
      <c r="E54" s="5" t="s">
        <v>19</v>
      </c>
      <c r="F54" s="5"/>
      <c r="G54" s="5"/>
      <c r="H54" s="5"/>
      <c r="I54" s="5"/>
      <c r="J54" s="5"/>
      <c r="K54" s="5" t="s">
        <v>25</v>
      </c>
      <c r="L54" s="5"/>
      <c r="M54" s="5"/>
      <c r="N54" s="5"/>
      <c r="O54" s="7"/>
      <c r="P54" s="7">
        <f t="shared" si="0"/>
        <v>3</v>
      </c>
      <c r="Q54" s="8">
        <f t="shared" si="1"/>
        <v>1</v>
      </c>
      <c r="R54" s="7"/>
      <c r="S54" s="7">
        <f t="shared" si="2"/>
        <v>1</v>
      </c>
      <c r="T54" s="7">
        <f t="shared" si="3"/>
        <v>0</v>
      </c>
      <c r="U54" s="7">
        <f t="shared" si="4"/>
        <v>0</v>
      </c>
      <c r="V54" s="119">
        <f t="shared" si="5"/>
        <v>1</v>
      </c>
      <c r="W54" s="119">
        <f t="shared" si="6"/>
        <v>0</v>
      </c>
      <c r="X54" s="119">
        <f t="shared" si="7"/>
        <v>0</v>
      </c>
      <c r="Y54" s="119">
        <f t="shared" si="8"/>
        <v>0</v>
      </c>
      <c r="Z54" s="119">
        <f t="shared" si="9"/>
        <v>0</v>
      </c>
      <c r="AA54" s="119">
        <f t="shared" si="10"/>
        <v>0</v>
      </c>
      <c r="AB54" s="119">
        <f t="shared" si="11"/>
        <v>1</v>
      </c>
      <c r="AC54" s="119">
        <f t="shared" si="12"/>
        <v>0</v>
      </c>
      <c r="AD54" s="119">
        <f t="shared" si="13"/>
        <v>0</v>
      </c>
      <c r="AE54" s="119">
        <f t="shared" si="14"/>
        <v>0</v>
      </c>
      <c r="AF54" s="7"/>
      <c r="AG54" s="7"/>
      <c r="AH54" s="7">
        <f t="shared" si="15"/>
        <v>3</v>
      </c>
      <c r="AI54" s="7">
        <f t="shared" si="16"/>
        <v>3</v>
      </c>
      <c r="AJ54" s="7" t="str">
        <f t="shared" si="17"/>
        <v>Correct</v>
      </c>
      <c r="AK54" s="7"/>
      <c r="AL54" s="120" t="str">
        <f>IFERROR(VLOOKUP(Table1[RespondentID],'All Data'!$A$3:$CO$999,87,FALSE),"unknown")</f>
        <v>Man</v>
      </c>
      <c r="AM54" s="120">
        <f>IFERROR(VLOOKUP(Table1[RespondentID],'All Data'!$A$3:$CO$999,88,FALSE),"unknown")</f>
        <v>26</v>
      </c>
      <c r="AN54" s="120" t="str">
        <f>IFERROR(VLOOKUP(Table1[RespondentID],'All Data'!$A$3:$CO$999,89,FALSE),"unknown")</f>
        <v>Queens</v>
      </c>
      <c r="AO54" s="120">
        <f>IFERROR(VLOOKUP(Table1[RespondentID],'All Data'!$A$3:$CO$999,90,FALSE),"unknown")</f>
        <v>11231</v>
      </c>
      <c r="AP54" s="120" t="str">
        <f>IFERROR(VLOOKUP(Table1[RespondentID],'All Data'!$A$3:$CO$999,91,FALSE),"unknown")</f>
        <v>White</v>
      </c>
      <c r="AQ54" s="120" t="str">
        <f>IFERROR(VLOOKUP(Table1[RespondentID],'All Data'!$A$3:$CO$999,92,FALSE),"unknown")</f>
        <v>Hispanic or Latino</v>
      </c>
      <c r="AR54" s="120" t="str">
        <f>IFERROR(VLOOKUP(Table1[RespondentID],'All Data'!$A$3:$CO$999,93,FALSE),"unknown")</f>
        <v>English</v>
      </c>
      <c r="AS54" s="120" t="str">
        <f>IFERROR(VLOOKUP(Table1[RespondentID],'All Data'!$A$3:$CW$999,94,FALSE),"unknown")</f>
        <v>$75,000 to $125,000</v>
      </c>
      <c r="AT54" s="120" t="str">
        <f>IFERROR(VLOOKUP(Table1[RespondentID],'All Data'!$A$3:$CW$999,95,FALSE),"unknown")</f>
        <v>College graduate</v>
      </c>
      <c r="AU54" s="120" t="str">
        <f>IFERROR(VLOOKUP(Table1[RespondentID],'All Data'!$A$3:$CW$999,96,FALSE),"unknown")</f>
        <v>Employed for wages</v>
      </c>
      <c r="AV54" s="120" t="str">
        <f>IFERROR(VLOOKUP(Table1[RespondentID],'All Data'!$A$3:$CW$999,97,FALSE),"unknown")</f>
        <v>Yes</v>
      </c>
      <c r="AW54" s="120" t="str">
        <f>IFERROR(VLOOKUP(Table1[RespondentID],'All Data'!$A$3:$CW$999,98,FALSE),"unknown")</f>
        <v>Private/Commercial</v>
      </c>
      <c r="AX54" s="120">
        <f>IFERROR(VLOOKUP(Table1[RespondentID],'All Data'!$A$3:$CW$999,99,FALSE),"unknown")</f>
        <v>0</v>
      </c>
    </row>
    <row r="55" spans="1:50">
      <c r="A55" s="5">
        <v>18025180780</v>
      </c>
      <c r="B55" s="5"/>
      <c r="C55" s="5"/>
      <c r="D55" s="5" t="s">
        <v>18</v>
      </c>
      <c r="E55" s="5"/>
      <c r="F55" s="5"/>
      <c r="G55" s="5"/>
      <c r="H55" s="5"/>
      <c r="I55" s="5"/>
      <c r="J55" s="5"/>
      <c r="K55" s="5"/>
      <c r="L55" s="5"/>
      <c r="M55" s="5"/>
      <c r="N55" s="5" t="s">
        <v>28</v>
      </c>
      <c r="O55" s="7"/>
      <c r="P55" s="7">
        <f t="shared" si="0"/>
        <v>2</v>
      </c>
      <c r="Q55" s="9">
        <f t="shared" si="1"/>
        <v>1.5</v>
      </c>
      <c r="R55" s="7"/>
      <c r="S55" s="7">
        <f t="shared" si="2"/>
        <v>0</v>
      </c>
      <c r="T55" s="7">
        <f t="shared" si="3"/>
        <v>0</v>
      </c>
      <c r="U55" s="7">
        <f t="shared" si="4"/>
        <v>1</v>
      </c>
      <c r="V55" s="119">
        <f t="shared" si="5"/>
        <v>0</v>
      </c>
      <c r="W55" s="119">
        <f t="shared" si="6"/>
        <v>0</v>
      </c>
      <c r="X55" s="119">
        <f t="shared" si="7"/>
        <v>0</v>
      </c>
      <c r="Y55" s="119">
        <f t="shared" si="8"/>
        <v>0</v>
      </c>
      <c r="Z55" s="119">
        <f t="shared" si="9"/>
        <v>0</v>
      </c>
      <c r="AA55" s="119">
        <f t="shared" si="10"/>
        <v>0</v>
      </c>
      <c r="AB55" s="119">
        <f t="shared" si="11"/>
        <v>0</v>
      </c>
      <c r="AC55" s="119">
        <f t="shared" si="12"/>
        <v>0</v>
      </c>
      <c r="AD55" s="119">
        <f t="shared" si="13"/>
        <v>0</v>
      </c>
      <c r="AE55" s="119">
        <f t="shared" si="14"/>
        <v>1</v>
      </c>
      <c r="AF55" s="7"/>
      <c r="AG55" s="7"/>
      <c r="AH55" s="7">
        <f t="shared" si="15"/>
        <v>2</v>
      </c>
      <c r="AI55" s="7">
        <f t="shared" si="16"/>
        <v>2</v>
      </c>
      <c r="AJ55" s="7" t="str">
        <f t="shared" si="17"/>
        <v>Correct</v>
      </c>
      <c r="AK55" s="7"/>
      <c r="AL55" s="120" t="str">
        <f>IFERROR(VLOOKUP(Table1[RespondentID],'All Data'!$A$3:$CO$999,87,FALSE),"unknown")</f>
        <v>Man</v>
      </c>
      <c r="AM55" s="120">
        <f>IFERROR(VLOOKUP(Table1[RespondentID],'All Data'!$A$3:$CO$999,88,FALSE),"unknown")</f>
        <v>42</v>
      </c>
      <c r="AN55" s="120" t="str">
        <f>IFERROR(VLOOKUP(Table1[RespondentID],'All Data'!$A$3:$CO$999,89,FALSE),"unknown")</f>
        <v>Nassau</v>
      </c>
      <c r="AO55" s="120" t="str">
        <f>IFERROR(VLOOKUP(Table1[RespondentID],'All Data'!$A$3:$CO$999,90,FALSE),"unknown")</f>
        <v>Jericho, 11753</v>
      </c>
      <c r="AP55" s="120" t="str">
        <f>IFERROR(VLOOKUP(Table1[RespondentID],'All Data'!$A$3:$CO$999,91,FALSE),"unknown")</f>
        <v>Asian</v>
      </c>
      <c r="AQ55" s="120" t="str">
        <f>IFERROR(VLOOKUP(Table1[RespondentID],'All Data'!$A$3:$CO$999,92,FALSE),"unknown")</f>
        <v>Not Hispanic or Latino</v>
      </c>
      <c r="AR55" s="120" t="str">
        <f>IFERROR(VLOOKUP(Table1[RespondentID],'All Data'!$A$3:$CO$999,93,FALSE),"unknown")</f>
        <v>English, Hindi</v>
      </c>
      <c r="AS55" s="120" t="str">
        <f>IFERROR(VLOOKUP(Table1[RespondentID],'All Data'!$A$3:$CW$999,94,FALSE),"unknown")</f>
        <v>$50,000 to $74,999</v>
      </c>
      <c r="AT55" s="120" t="str">
        <f>IFERROR(VLOOKUP(Table1[RespondentID],'All Data'!$A$3:$CW$999,95,FALSE),"unknown")</f>
        <v>High school graduate</v>
      </c>
      <c r="AU55" s="120" t="str">
        <f>IFERROR(VLOOKUP(Table1[RespondentID],'All Data'!$A$3:$CW$999,96,FALSE),"unknown")</f>
        <v>Self-employed</v>
      </c>
      <c r="AV55" s="120" t="str">
        <f>IFERROR(VLOOKUP(Table1[RespondentID],'All Data'!$A$3:$CW$999,97,FALSE),"unknown")</f>
        <v>Yes</v>
      </c>
      <c r="AW55" s="120">
        <f>IFERROR(VLOOKUP(Table1[RespondentID],'All Data'!$A$3:$CW$999,98,FALSE),"unknown")</f>
        <v>0</v>
      </c>
      <c r="AX55" s="120">
        <f>IFERROR(VLOOKUP(Table1[RespondentID],'All Data'!$A$3:$CW$999,99,FALSE),"unknown")</f>
        <v>0</v>
      </c>
    </row>
    <row r="56" spans="1:50">
      <c r="A56" s="5">
        <v>18025180610</v>
      </c>
      <c r="B56" s="5"/>
      <c r="C56" s="5"/>
      <c r="D56" s="5"/>
      <c r="E56" s="5" t="s">
        <v>19</v>
      </c>
      <c r="F56" s="5"/>
      <c r="G56" s="5"/>
      <c r="H56" s="5" t="s">
        <v>22</v>
      </c>
      <c r="I56" s="5"/>
      <c r="J56" s="5"/>
      <c r="K56" s="5" t="s">
        <v>25</v>
      </c>
      <c r="L56" s="5"/>
      <c r="M56" s="5"/>
      <c r="N56" s="5"/>
      <c r="O56" s="7"/>
      <c r="P56" s="7">
        <f t="shared" si="0"/>
        <v>3</v>
      </c>
      <c r="Q56" s="8">
        <f t="shared" si="1"/>
        <v>1</v>
      </c>
      <c r="R56" s="7"/>
      <c r="S56" s="7">
        <f t="shared" si="2"/>
        <v>0</v>
      </c>
      <c r="T56" s="7">
        <f t="shared" si="3"/>
        <v>0</v>
      </c>
      <c r="U56" s="7">
        <f t="shared" si="4"/>
        <v>0</v>
      </c>
      <c r="V56" s="119">
        <f t="shared" si="5"/>
        <v>1</v>
      </c>
      <c r="W56" s="119">
        <f t="shared" si="6"/>
        <v>0</v>
      </c>
      <c r="X56" s="119">
        <f t="shared" si="7"/>
        <v>0</v>
      </c>
      <c r="Y56" s="119">
        <f t="shared" si="8"/>
        <v>1</v>
      </c>
      <c r="Z56" s="119">
        <f t="shared" si="9"/>
        <v>0</v>
      </c>
      <c r="AA56" s="119">
        <f t="shared" si="10"/>
        <v>0</v>
      </c>
      <c r="AB56" s="119">
        <f t="shared" si="11"/>
        <v>1</v>
      </c>
      <c r="AC56" s="119">
        <f t="shared" si="12"/>
        <v>0</v>
      </c>
      <c r="AD56" s="119">
        <f t="shared" si="13"/>
        <v>0</v>
      </c>
      <c r="AE56" s="119">
        <f t="shared" si="14"/>
        <v>0</v>
      </c>
      <c r="AF56" s="7"/>
      <c r="AG56" s="7"/>
      <c r="AH56" s="7">
        <f t="shared" si="15"/>
        <v>3</v>
      </c>
      <c r="AI56" s="7">
        <f t="shared" si="16"/>
        <v>3</v>
      </c>
      <c r="AJ56" s="7" t="str">
        <f t="shared" si="17"/>
        <v>Correct</v>
      </c>
      <c r="AK56" s="7"/>
      <c r="AL56" s="120" t="str">
        <f>IFERROR(VLOOKUP(Table1[RespondentID],'All Data'!$A$3:$CO$999,87,FALSE),"unknown")</f>
        <v>Woman</v>
      </c>
      <c r="AM56" s="120">
        <f>IFERROR(VLOOKUP(Table1[RespondentID],'All Data'!$A$3:$CO$999,88,FALSE),"unknown")</f>
        <v>44</v>
      </c>
      <c r="AN56" s="120" t="str">
        <f>IFERROR(VLOOKUP(Table1[RespondentID],'All Data'!$A$3:$CO$999,89,FALSE),"unknown")</f>
        <v>Suffolk</v>
      </c>
      <c r="AO56" s="120" t="str">
        <f>IFERROR(VLOOKUP(Table1[RespondentID],'All Data'!$A$3:$CO$999,90,FALSE),"unknown")</f>
        <v>Huntington, 11743</v>
      </c>
      <c r="AP56" s="120" t="str">
        <f>IFERROR(VLOOKUP(Table1[RespondentID],'All Data'!$A$3:$CO$999,91,FALSE),"unknown")</f>
        <v>Asian</v>
      </c>
      <c r="AQ56" s="120" t="str">
        <f>IFERROR(VLOOKUP(Table1[RespondentID],'All Data'!$A$3:$CO$999,92,FALSE),"unknown")</f>
        <v>Not Hispanic or Latino</v>
      </c>
      <c r="AR56" s="120" t="str">
        <f>IFERROR(VLOOKUP(Table1[RespondentID],'All Data'!$A$3:$CO$999,93,FALSE),"unknown")</f>
        <v>Hindi</v>
      </c>
      <c r="AS56" s="120" t="str">
        <f>IFERROR(VLOOKUP(Table1[RespondentID],'All Data'!$A$3:$CW$999,94,FALSE),"unknown")</f>
        <v>$50,000 to $74,999</v>
      </c>
      <c r="AT56" s="120" t="str">
        <f>IFERROR(VLOOKUP(Table1[RespondentID],'All Data'!$A$3:$CW$999,95,FALSE),"unknown")</f>
        <v>College graduate</v>
      </c>
      <c r="AU56" s="120" t="str">
        <f>IFERROR(VLOOKUP(Table1[RespondentID],'All Data'!$A$3:$CW$999,96,FALSE),"unknown")</f>
        <v>Employed for wages</v>
      </c>
      <c r="AV56" s="120" t="str">
        <f>IFERROR(VLOOKUP(Table1[RespondentID],'All Data'!$A$3:$CW$999,97,FALSE),"unknown")</f>
        <v>Yes</v>
      </c>
      <c r="AW56" s="120">
        <f>IFERROR(VLOOKUP(Table1[RespondentID],'All Data'!$A$3:$CW$999,98,FALSE),"unknown")</f>
        <v>0</v>
      </c>
      <c r="AX56" s="120">
        <f>IFERROR(VLOOKUP(Table1[RespondentID],'All Data'!$A$3:$CW$999,99,FALSE),"unknown")</f>
        <v>0</v>
      </c>
    </row>
    <row r="57" spans="1:50">
      <c r="A57" s="5">
        <v>18025180456</v>
      </c>
      <c r="B57" s="5"/>
      <c r="C57" s="5"/>
      <c r="D57" s="5" t="s">
        <v>18</v>
      </c>
      <c r="E57" s="5"/>
      <c r="F57" s="5"/>
      <c r="G57" s="5"/>
      <c r="H57" s="5"/>
      <c r="I57" s="5"/>
      <c r="J57" s="5" t="s">
        <v>24</v>
      </c>
      <c r="K57" s="5"/>
      <c r="L57" s="5" t="s">
        <v>26</v>
      </c>
      <c r="M57" s="5"/>
      <c r="N57" s="5"/>
      <c r="O57" s="7"/>
      <c r="P57" s="7">
        <f t="shared" si="0"/>
        <v>3</v>
      </c>
      <c r="Q57" s="9">
        <f t="shared" si="1"/>
        <v>1</v>
      </c>
      <c r="R57" s="7"/>
      <c r="S57" s="7">
        <f t="shared" si="2"/>
        <v>0</v>
      </c>
      <c r="T57" s="7">
        <f t="shared" si="3"/>
        <v>0</v>
      </c>
      <c r="U57" s="7">
        <f t="shared" si="4"/>
        <v>1</v>
      </c>
      <c r="V57" s="119">
        <f t="shared" si="5"/>
        <v>0</v>
      </c>
      <c r="W57" s="119">
        <f t="shared" si="6"/>
        <v>0</v>
      </c>
      <c r="X57" s="119">
        <f t="shared" si="7"/>
        <v>0</v>
      </c>
      <c r="Y57" s="119">
        <f t="shared" si="8"/>
        <v>0</v>
      </c>
      <c r="Z57" s="119">
        <f t="shared" si="9"/>
        <v>0</v>
      </c>
      <c r="AA57" s="119">
        <f t="shared" si="10"/>
        <v>1</v>
      </c>
      <c r="AB57" s="119">
        <f t="shared" si="11"/>
        <v>0</v>
      </c>
      <c r="AC57" s="119">
        <f t="shared" si="12"/>
        <v>1</v>
      </c>
      <c r="AD57" s="119">
        <f t="shared" si="13"/>
        <v>0</v>
      </c>
      <c r="AE57" s="119">
        <f t="shared" si="14"/>
        <v>0</v>
      </c>
      <c r="AF57" s="7"/>
      <c r="AG57" s="7"/>
      <c r="AH57" s="7">
        <f t="shared" si="15"/>
        <v>3</v>
      </c>
      <c r="AI57" s="7">
        <f t="shared" si="16"/>
        <v>3</v>
      </c>
      <c r="AJ57" s="7" t="str">
        <f t="shared" si="17"/>
        <v>Correct</v>
      </c>
      <c r="AK57" s="7"/>
      <c r="AL57" s="120" t="str">
        <f>IFERROR(VLOOKUP(Table1[RespondentID],'All Data'!$A$3:$CO$999,87,FALSE),"unknown")</f>
        <v>Man</v>
      </c>
      <c r="AM57" s="120">
        <f>IFERROR(VLOOKUP(Table1[RespondentID],'All Data'!$A$3:$CO$999,88,FALSE),"unknown")</f>
        <v>65</v>
      </c>
      <c r="AN57" s="120" t="str">
        <f>IFERROR(VLOOKUP(Table1[RespondentID],'All Data'!$A$3:$CO$999,89,FALSE),"unknown")</f>
        <v>Suffolk</v>
      </c>
      <c r="AO57" s="120" t="str">
        <f>IFERROR(VLOOKUP(Table1[RespondentID],'All Data'!$A$3:$CO$999,90,FALSE),"unknown")</f>
        <v>Huntington, 11743</v>
      </c>
      <c r="AP57" s="120" t="str">
        <f>IFERROR(VLOOKUP(Table1[RespondentID],'All Data'!$A$3:$CO$999,91,FALSE),"unknown")</f>
        <v>Asian</v>
      </c>
      <c r="AQ57" s="120" t="str">
        <f>IFERROR(VLOOKUP(Table1[RespondentID],'All Data'!$A$3:$CO$999,92,FALSE),"unknown")</f>
        <v>Not Hispanic or Latino</v>
      </c>
      <c r="AR57" s="120" t="str">
        <f>IFERROR(VLOOKUP(Table1[RespondentID],'All Data'!$A$3:$CO$999,93,FALSE),"unknown")</f>
        <v>Hindi</v>
      </c>
      <c r="AS57" s="120" t="str">
        <f>IFERROR(VLOOKUP(Table1[RespondentID],'All Data'!$A$3:$CW$999,94,FALSE),"unknown")</f>
        <v>$50,000 to $74,999</v>
      </c>
      <c r="AT57" s="120" t="str">
        <f>IFERROR(VLOOKUP(Table1[RespondentID],'All Data'!$A$3:$CW$999,95,FALSE),"unknown")</f>
        <v>Some high school</v>
      </c>
      <c r="AU57" s="120" t="str">
        <f>IFERROR(VLOOKUP(Table1[RespondentID],'All Data'!$A$3:$CW$999,96,FALSE),"unknown")</f>
        <v>Self-employed</v>
      </c>
      <c r="AV57" s="120" t="str">
        <f>IFERROR(VLOOKUP(Table1[RespondentID],'All Data'!$A$3:$CW$999,97,FALSE),"unknown")</f>
        <v>Yes</v>
      </c>
      <c r="AW57" s="120">
        <f>IFERROR(VLOOKUP(Table1[RespondentID],'All Data'!$A$3:$CW$999,98,FALSE),"unknown")</f>
        <v>0</v>
      </c>
      <c r="AX57" s="120">
        <f>IFERROR(VLOOKUP(Table1[RespondentID],'All Data'!$A$3:$CW$999,99,FALSE),"unknown")</f>
        <v>0</v>
      </c>
    </row>
    <row r="58" spans="1:50">
      <c r="A58" s="5">
        <v>18025180354</v>
      </c>
      <c r="B58" s="5" t="s">
        <v>16</v>
      </c>
      <c r="C58" s="5"/>
      <c r="D58" s="5"/>
      <c r="E58" s="5"/>
      <c r="F58" s="5"/>
      <c r="G58" s="5"/>
      <c r="H58" s="5" t="s">
        <v>22</v>
      </c>
      <c r="I58" s="5"/>
      <c r="J58" s="5"/>
      <c r="K58" s="5" t="s">
        <v>25</v>
      </c>
      <c r="L58" s="5"/>
      <c r="M58" s="5"/>
      <c r="N58" s="5"/>
      <c r="O58" s="7"/>
      <c r="P58" s="7">
        <f t="shared" si="0"/>
        <v>3</v>
      </c>
      <c r="Q58" s="8">
        <f t="shared" si="1"/>
        <v>1</v>
      </c>
      <c r="R58" s="7"/>
      <c r="S58" s="7">
        <f t="shared" si="2"/>
        <v>1</v>
      </c>
      <c r="T58" s="7">
        <f t="shared" si="3"/>
        <v>0</v>
      </c>
      <c r="U58" s="7">
        <f t="shared" si="4"/>
        <v>0</v>
      </c>
      <c r="V58" s="119">
        <f t="shared" si="5"/>
        <v>0</v>
      </c>
      <c r="W58" s="119">
        <f t="shared" si="6"/>
        <v>0</v>
      </c>
      <c r="X58" s="119">
        <f t="shared" si="7"/>
        <v>0</v>
      </c>
      <c r="Y58" s="119">
        <f t="shared" si="8"/>
        <v>1</v>
      </c>
      <c r="Z58" s="119">
        <f t="shared" si="9"/>
        <v>0</v>
      </c>
      <c r="AA58" s="119">
        <f t="shared" si="10"/>
        <v>0</v>
      </c>
      <c r="AB58" s="119">
        <f t="shared" si="11"/>
        <v>1</v>
      </c>
      <c r="AC58" s="119">
        <f t="shared" si="12"/>
        <v>0</v>
      </c>
      <c r="AD58" s="119">
        <f t="shared" si="13"/>
        <v>0</v>
      </c>
      <c r="AE58" s="119">
        <f t="shared" si="14"/>
        <v>0</v>
      </c>
      <c r="AF58" s="7"/>
      <c r="AG58" s="7"/>
      <c r="AH58" s="7">
        <f t="shared" si="15"/>
        <v>3</v>
      </c>
      <c r="AI58" s="7">
        <f t="shared" si="16"/>
        <v>3</v>
      </c>
      <c r="AJ58" s="7" t="str">
        <f t="shared" si="17"/>
        <v>Correct</v>
      </c>
      <c r="AK58" s="7"/>
      <c r="AL58" s="120" t="str">
        <f>IFERROR(VLOOKUP(Table1[RespondentID],'All Data'!$A$3:$CO$999,87,FALSE),"unknown")</f>
        <v>Man</v>
      </c>
      <c r="AM58" s="120">
        <f>IFERROR(VLOOKUP(Table1[RespondentID],'All Data'!$A$3:$CO$999,88,FALSE),"unknown")</f>
        <v>18</v>
      </c>
      <c r="AN58" s="120" t="str">
        <f>IFERROR(VLOOKUP(Table1[RespondentID],'All Data'!$A$3:$CO$999,89,FALSE),"unknown")</f>
        <v>Suffolk</v>
      </c>
      <c r="AO58" s="120" t="str">
        <f>IFERROR(VLOOKUP(Table1[RespondentID],'All Data'!$A$3:$CO$999,90,FALSE),"unknown")</f>
        <v>Huntington, 11743</v>
      </c>
      <c r="AP58" s="120" t="str">
        <f>IFERROR(VLOOKUP(Table1[RespondentID],'All Data'!$A$3:$CO$999,91,FALSE),"unknown")</f>
        <v>White</v>
      </c>
      <c r="AQ58" s="120" t="str">
        <f>IFERROR(VLOOKUP(Table1[RespondentID],'All Data'!$A$3:$CO$999,92,FALSE),"unknown")</f>
        <v>Not Hispanic or Latino</v>
      </c>
      <c r="AR58" s="120" t="str">
        <f>IFERROR(VLOOKUP(Table1[RespondentID],'All Data'!$A$3:$CO$999,93,FALSE),"unknown")</f>
        <v>English</v>
      </c>
      <c r="AS58" s="120" t="str">
        <f>IFERROR(VLOOKUP(Table1[RespondentID],'All Data'!$A$3:$CW$999,94,FALSE),"unknown")</f>
        <v>$75,000 to $125,000</v>
      </c>
      <c r="AT58" s="120" t="str">
        <f>IFERROR(VLOOKUP(Table1[RespondentID],'All Data'!$A$3:$CW$999,95,FALSE),"unknown")</f>
        <v>High school graduate</v>
      </c>
      <c r="AU58" s="120" t="str">
        <f>IFERROR(VLOOKUP(Table1[RespondentID],'All Data'!$A$3:$CW$999,96,FALSE),"unknown")</f>
        <v>Employed for wages</v>
      </c>
      <c r="AV58" s="120" t="str">
        <f>IFERROR(VLOOKUP(Table1[RespondentID],'All Data'!$A$3:$CW$999,97,FALSE),"unknown")</f>
        <v>Yes</v>
      </c>
      <c r="AW58" s="120">
        <f>IFERROR(VLOOKUP(Table1[RespondentID],'All Data'!$A$3:$CW$999,98,FALSE),"unknown")</f>
        <v>0</v>
      </c>
      <c r="AX58" s="120">
        <f>IFERROR(VLOOKUP(Table1[RespondentID],'All Data'!$A$3:$CW$999,99,FALSE),"unknown")</f>
        <v>0</v>
      </c>
    </row>
    <row r="59" spans="1:50">
      <c r="A59" s="5">
        <v>18025180228</v>
      </c>
      <c r="B59" s="5"/>
      <c r="C59" s="5"/>
      <c r="D59" s="5"/>
      <c r="E59" s="5" t="s">
        <v>19</v>
      </c>
      <c r="F59" s="5"/>
      <c r="G59" s="5"/>
      <c r="H59" s="5"/>
      <c r="I59" s="5" t="s">
        <v>23</v>
      </c>
      <c r="J59" s="5"/>
      <c r="K59" s="5" t="s">
        <v>25</v>
      </c>
      <c r="L59" s="5"/>
      <c r="M59" s="5"/>
      <c r="N59" s="5"/>
      <c r="O59" s="7"/>
      <c r="P59" s="7">
        <f t="shared" si="0"/>
        <v>3</v>
      </c>
      <c r="Q59" s="9">
        <f t="shared" si="1"/>
        <v>1</v>
      </c>
      <c r="R59" s="7"/>
      <c r="S59" s="7">
        <f t="shared" si="2"/>
        <v>0</v>
      </c>
      <c r="T59" s="7">
        <f t="shared" si="3"/>
        <v>0</v>
      </c>
      <c r="U59" s="7">
        <f t="shared" si="4"/>
        <v>0</v>
      </c>
      <c r="V59" s="119">
        <f t="shared" si="5"/>
        <v>1</v>
      </c>
      <c r="W59" s="119">
        <f t="shared" si="6"/>
        <v>0</v>
      </c>
      <c r="X59" s="119">
        <f t="shared" si="7"/>
        <v>0</v>
      </c>
      <c r="Y59" s="119">
        <f t="shared" si="8"/>
        <v>0</v>
      </c>
      <c r="Z59" s="119">
        <f t="shared" si="9"/>
        <v>1</v>
      </c>
      <c r="AA59" s="119">
        <f t="shared" si="10"/>
        <v>0</v>
      </c>
      <c r="AB59" s="119">
        <f t="shared" si="11"/>
        <v>1</v>
      </c>
      <c r="AC59" s="119">
        <f t="shared" si="12"/>
        <v>0</v>
      </c>
      <c r="AD59" s="119">
        <f t="shared" si="13"/>
        <v>0</v>
      </c>
      <c r="AE59" s="119">
        <f t="shared" si="14"/>
        <v>0</v>
      </c>
      <c r="AF59" s="7"/>
      <c r="AG59" s="7"/>
      <c r="AH59" s="7">
        <f t="shared" si="15"/>
        <v>3</v>
      </c>
      <c r="AI59" s="7">
        <f t="shared" si="16"/>
        <v>3</v>
      </c>
      <c r="AJ59" s="7" t="str">
        <f t="shared" si="17"/>
        <v>Correct</v>
      </c>
      <c r="AK59" s="7"/>
      <c r="AL59" s="120" t="str">
        <f>IFERROR(VLOOKUP(Table1[RespondentID],'All Data'!$A$3:$CO$999,87,FALSE),"unknown")</f>
        <v>Woman</v>
      </c>
      <c r="AM59" s="120">
        <f>IFERROR(VLOOKUP(Table1[RespondentID],'All Data'!$A$3:$CO$999,88,FALSE),"unknown")</f>
        <v>18</v>
      </c>
      <c r="AN59" s="120" t="str">
        <f>IFERROR(VLOOKUP(Table1[RespondentID],'All Data'!$A$3:$CO$999,89,FALSE),"unknown")</f>
        <v>Suffolk</v>
      </c>
      <c r="AO59" s="120" t="str">
        <f>IFERROR(VLOOKUP(Table1[RespondentID],'All Data'!$A$3:$CO$999,90,FALSE),"unknown")</f>
        <v>Centerport, 11721</v>
      </c>
      <c r="AP59" s="120" t="str">
        <f>IFERROR(VLOOKUP(Table1[RespondentID],'All Data'!$A$3:$CO$999,91,FALSE),"unknown")</f>
        <v>White</v>
      </c>
      <c r="AQ59" s="120" t="str">
        <f>IFERROR(VLOOKUP(Table1[RespondentID],'All Data'!$A$3:$CO$999,92,FALSE),"unknown")</f>
        <v>Not Hispanic or Latino</v>
      </c>
      <c r="AR59" s="120" t="str">
        <f>IFERROR(VLOOKUP(Table1[RespondentID],'All Data'!$A$3:$CO$999,93,FALSE),"unknown")</f>
        <v>English</v>
      </c>
      <c r="AS59" s="120" t="str">
        <f>IFERROR(VLOOKUP(Table1[RespondentID],'All Data'!$A$3:$CW$999,94,FALSE),"unknown")</f>
        <v>$75,000 to $125,000</v>
      </c>
      <c r="AT59" s="120" t="str">
        <f>IFERROR(VLOOKUP(Table1[RespondentID],'All Data'!$A$3:$CW$999,95,FALSE),"unknown")</f>
        <v>High school graduate</v>
      </c>
      <c r="AU59" s="120" t="str">
        <f>IFERROR(VLOOKUP(Table1[RespondentID],'All Data'!$A$3:$CW$999,96,FALSE),"unknown")</f>
        <v>Student</v>
      </c>
      <c r="AV59" s="120" t="str">
        <f>IFERROR(VLOOKUP(Table1[RespondentID],'All Data'!$A$3:$CW$999,97,FALSE),"unknown")</f>
        <v>Yes</v>
      </c>
      <c r="AW59" s="120">
        <f>IFERROR(VLOOKUP(Table1[RespondentID],'All Data'!$A$3:$CW$999,98,FALSE),"unknown")</f>
        <v>0</v>
      </c>
      <c r="AX59" s="120">
        <f>IFERROR(VLOOKUP(Table1[RespondentID],'All Data'!$A$3:$CW$999,99,FALSE),"unknown")</f>
        <v>0</v>
      </c>
    </row>
    <row r="60" spans="1:50">
      <c r="A60" s="5">
        <v>18025180094</v>
      </c>
      <c r="B60" s="5"/>
      <c r="C60" s="5" t="s">
        <v>17</v>
      </c>
      <c r="D60" s="5"/>
      <c r="E60" s="5"/>
      <c r="F60" s="5"/>
      <c r="G60" s="5"/>
      <c r="H60" s="5"/>
      <c r="I60" s="5" t="s">
        <v>23</v>
      </c>
      <c r="J60" s="5"/>
      <c r="K60" s="5"/>
      <c r="L60" s="5"/>
      <c r="M60" s="5"/>
      <c r="N60" s="5"/>
      <c r="O60" s="7"/>
      <c r="P60" s="7">
        <f t="shared" si="0"/>
        <v>2</v>
      </c>
      <c r="Q60" s="8">
        <f t="shared" si="1"/>
        <v>1.5</v>
      </c>
      <c r="R60" s="7"/>
      <c r="S60" s="7">
        <f t="shared" si="2"/>
        <v>0</v>
      </c>
      <c r="T60" s="7">
        <f t="shared" si="3"/>
        <v>1</v>
      </c>
      <c r="U60" s="7">
        <f t="shared" si="4"/>
        <v>0</v>
      </c>
      <c r="V60" s="119">
        <f t="shared" si="5"/>
        <v>0</v>
      </c>
      <c r="W60" s="119">
        <f t="shared" si="6"/>
        <v>0</v>
      </c>
      <c r="X60" s="119">
        <f t="shared" si="7"/>
        <v>0</v>
      </c>
      <c r="Y60" s="119">
        <f t="shared" si="8"/>
        <v>0</v>
      </c>
      <c r="Z60" s="119">
        <f t="shared" si="9"/>
        <v>1</v>
      </c>
      <c r="AA60" s="119">
        <f t="shared" si="10"/>
        <v>0</v>
      </c>
      <c r="AB60" s="119">
        <f t="shared" si="11"/>
        <v>0</v>
      </c>
      <c r="AC60" s="119">
        <f t="shared" si="12"/>
        <v>0</v>
      </c>
      <c r="AD60" s="119">
        <f t="shared" si="13"/>
        <v>0</v>
      </c>
      <c r="AE60" s="119">
        <f t="shared" si="14"/>
        <v>0</v>
      </c>
      <c r="AF60" s="7"/>
      <c r="AG60" s="7"/>
      <c r="AH60" s="7">
        <f t="shared" si="15"/>
        <v>2</v>
      </c>
      <c r="AI60" s="7">
        <f t="shared" si="16"/>
        <v>2</v>
      </c>
      <c r="AJ60" s="7" t="str">
        <f t="shared" si="17"/>
        <v>Correct</v>
      </c>
      <c r="AK60" s="7"/>
      <c r="AL60" s="120" t="str">
        <f>IFERROR(VLOOKUP(Table1[RespondentID],'All Data'!$A$3:$CO$999,87,FALSE),"unknown")</f>
        <v>Woman</v>
      </c>
      <c r="AM60" s="120">
        <f>IFERROR(VLOOKUP(Table1[RespondentID],'All Data'!$A$3:$CO$999,88,FALSE),"unknown")</f>
        <v>46</v>
      </c>
      <c r="AN60" s="120" t="str">
        <f>IFERROR(VLOOKUP(Table1[RespondentID],'All Data'!$A$3:$CO$999,89,FALSE),"unknown")</f>
        <v>Suffolk</v>
      </c>
      <c r="AO60" s="120" t="str">
        <f>IFERROR(VLOOKUP(Table1[RespondentID],'All Data'!$A$3:$CO$999,90,FALSE),"unknown")</f>
        <v>Brightwaters, 11718</v>
      </c>
      <c r="AP60" s="120" t="str">
        <f>IFERROR(VLOOKUP(Table1[RespondentID],'All Data'!$A$3:$CO$999,91,FALSE),"unknown")</f>
        <v>White</v>
      </c>
      <c r="AQ60" s="120" t="str">
        <f>IFERROR(VLOOKUP(Table1[RespondentID],'All Data'!$A$3:$CO$999,92,FALSE),"unknown")</f>
        <v>Not Hispanic or Latino</v>
      </c>
      <c r="AR60" s="120" t="str">
        <f>IFERROR(VLOOKUP(Table1[RespondentID],'All Data'!$A$3:$CO$999,93,FALSE),"unknown")</f>
        <v>English</v>
      </c>
      <c r="AS60" s="120" t="str">
        <f>IFERROR(VLOOKUP(Table1[RespondentID],'All Data'!$A$3:$CW$999,94,FALSE),"unknown")</f>
        <v>$75,000 to $125,000</v>
      </c>
      <c r="AT60" s="120" t="str">
        <f>IFERROR(VLOOKUP(Table1[RespondentID],'All Data'!$A$3:$CW$999,95,FALSE),"unknown")</f>
        <v>Graduate school</v>
      </c>
      <c r="AU60" s="120" t="str">
        <f>IFERROR(VLOOKUP(Table1[RespondentID],'All Data'!$A$3:$CW$999,96,FALSE),"unknown")</f>
        <v>Employed for wages</v>
      </c>
      <c r="AV60" s="120" t="str">
        <f>IFERROR(VLOOKUP(Table1[RespondentID],'All Data'!$A$3:$CW$999,97,FALSE),"unknown")</f>
        <v>Yes</v>
      </c>
      <c r="AW60" s="120">
        <f>IFERROR(VLOOKUP(Table1[RespondentID],'All Data'!$A$3:$CW$999,98,FALSE),"unknown")</f>
        <v>0</v>
      </c>
      <c r="AX60" s="120">
        <f>IFERROR(VLOOKUP(Table1[RespondentID],'All Data'!$A$3:$CW$999,99,FALSE),"unknown")</f>
        <v>0</v>
      </c>
    </row>
    <row r="61" spans="1:50">
      <c r="A61" s="5">
        <v>18025179894</v>
      </c>
      <c r="B61" s="5" t="s">
        <v>16</v>
      </c>
      <c r="C61" s="5"/>
      <c r="D61" s="5"/>
      <c r="E61" s="5" t="s">
        <v>19</v>
      </c>
      <c r="F61" s="5"/>
      <c r="G61" s="5"/>
      <c r="H61" s="5"/>
      <c r="I61" s="5"/>
      <c r="J61" s="5"/>
      <c r="K61" s="5" t="s">
        <v>25</v>
      </c>
      <c r="L61" s="5"/>
      <c r="M61" s="5" t="s">
        <v>27</v>
      </c>
      <c r="N61" s="5"/>
      <c r="O61" s="7"/>
      <c r="P61" s="7">
        <f t="shared" si="0"/>
        <v>4</v>
      </c>
      <c r="Q61" s="9">
        <f t="shared" si="1"/>
        <v>0.75</v>
      </c>
      <c r="R61" s="7"/>
      <c r="S61" s="7">
        <f t="shared" si="2"/>
        <v>0.75</v>
      </c>
      <c r="T61" s="7">
        <f t="shared" si="3"/>
        <v>0</v>
      </c>
      <c r="U61" s="7">
        <f t="shared" si="4"/>
        <v>0</v>
      </c>
      <c r="V61" s="119">
        <f t="shared" si="5"/>
        <v>0.75</v>
      </c>
      <c r="W61" s="119">
        <f t="shared" si="6"/>
        <v>0</v>
      </c>
      <c r="X61" s="119">
        <f t="shared" si="7"/>
        <v>0</v>
      </c>
      <c r="Y61" s="119">
        <f t="shared" si="8"/>
        <v>0</v>
      </c>
      <c r="Z61" s="119">
        <f t="shared" si="9"/>
        <v>0</v>
      </c>
      <c r="AA61" s="119">
        <f t="shared" si="10"/>
        <v>0</v>
      </c>
      <c r="AB61" s="119">
        <f t="shared" si="11"/>
        <v>0.75</v>
      </c>
      <c r="AC61" s="119">
        <f t="shared" si="12"/>
        <v>0</v>
      </c>
      <c r="AD61" s="119">
        <f t="shared" si="13"/>
        <v>0.75</v>
      </c>
      <c r="AE61" s="119">
        <f t="shared" si="14"/>
        <v>0</v>
      </c>
      <c r="AF61" s="7"/>
      <c r="AG61" s="7"/>
      <c r="AH61" s="7">
        <f t="shared" si="15"/>
        <v>3</v>
      </c>
      <c r="AI61" s="7">
        <f t="shared" si="16"/>
        <v>4</v>
      </c>
      <c r="AJ61" s="7" t="str">
        <f t="shared" si="17"/>
        <v>Correct</v>
      </c>
      <c r="AK61" s="7"/>
      <c r="AL61" s="120" t="str">
        <f>IFERROR(VLOOKUP(Table1[RespondentID],'All Data'!$A$3:$CO$999,87,FALSE),"unknown")</f>
        <v>Man</v>
      </c>
      <c r="AM61" s="120">
        <f>IFERROR(VLOOKUP(Table1[RespondentID],'All Data'!$A$3:$CO$999,88,FALSE),"unknown")</f>
        <v>18</v>
      </c>
      <c r="AN61" s="120" t="str">
        <f>IFERROR(VLOOKUP(Table1[RespondentID],'All Data'!$A$3:$CO$999,89,FALSE),"unknown")</f>
        <v>Suffolk</v>
      </c>
      <c r="AO61" s="120" t="str">
        <f>IFERROR(VLOOKUP(Table1[RespondentID],'All Data'!$A$3:$CO$999,90,FALSE),"unknown")</f>
        <v>Centerport, 11721</v>
      </c>
      <c r="AP61" s="120" t="str">
        <f>IFERROR(VLOOKUP(Table1[RespondentID],'All Data'!$A$3:$CO$999,91,FALSE),"unknown")</f>
        <v>White</v>
      </c>
      <c r="AQ61" s="120" t="str">
        <f>IFERROR(VLOOKUP(Table1[RespondentID],'All Data'!$A$3:$CO$999,92,FALSE),"unknown")</f>
        <v>Not Hispanic or Latino</v>
      </c>
      <c r="AR61" s="120" t="str">
        <f>IFERROR(VLOOKUP(Table1[RespondentID],'All Data'!$A$3:$CO$999,93,FALSE),"unknown")</f>
        <v>English</v>
      </c>
      <c r="AS61" s="120" t="str">
        <f>IFERROR(VLOOKUP(Table1[RespondentID],'All Data'!$A$3:$CW$999,94,FALSE),"unknown")</f>
        <v>Over $125,000</v>
      </c>
      <c r="AT61" s="120" t="str">
        <f>IFERROR(VLOOKUP(Table1[RespondentID],'All Data'!$A$3:$CW$999,95,FALSE),"unknown")</f>
        <v>High school graduate</v>
      </c>
      <c r="AU61" s="120" t="str">
        <f>IFERROR(VLOOKUP(Table1[RespondentID],'All Data'!$A$3:$CW$999,96,FALSE),"unknown")</f>
        <v>Student</v>
      </c>
      <c r="AV61" s="120" t="str">
        <f>IFERROR(VLOOKUP(Table1[RespondentID],'All Data'!$A$3:$CW$999,97,FALSE),"unknown")</f>
        <v>Yes</v>
      </c>
      <c r="AW61" s="120">
        <f>IFERROR(VLOOKUP(Table1[RespondentID],'All Data'!$A$3:$CW$999,98,FALSE),"unknown")</f>
        <v>0</v>
      </c>
      <c r="AX61" s="120">
        <f>IFERROR(VLOOKUP(Table1[RespondentID],'All Data'!$A$3:$CW$999,99,FALSE),"unknown")</f>
        <v>0</v>
      </c>
    </row>
    <row r="62" spans="1:50">
      <c r="A62" s="5">
        <v>18025179745</v>
      </c>
      <c r="B62" s="5" t="s">
        <v>16</v>
      </c>
      <c r="C62" s="5"/>
      <c r="D62" s="5" t="s">
        <v>18</v>
      </c>
      <c r="E62" s="5"/>
      <c r="F62" s="5"/>
      <c r="G62" s="5"/>
      <c r="H62" s="5"/>
      <c r="I62" s="5" t="s">
        <v>23</v>
      </c>
      <c r="J62" s="5"/>
      <c r="K62" s="5"/>
      <c r="L62" s="5"/>
      <c r="M62" s="5"/>
      <c r="N62" s="5"/>
      <c r="O62" s="7"/>
      <c r="P62" s="7">
        <f t="shared" si="0"/>
        <v>3</v>
      </c>
      <c r="Q62" s="8">
        <f t="shared" si="1"/>
        <v>1</v>
      </c>
      <c r="R62" s="7"/>
      <c r="S62" s="7">
        <f t="shared" si="2"/>
        <v>1</v>
      </c>
      <c r="T62" s="7">
        <f t="shared" si="3"/>
        <v>0</v>
      </c>
      <c r="U62" s="7">
        <f t="shared" si="4"/>
        <v>1</v>
      </c>
      <c r="V62" s="119">
        <f t="shared" si="5"/>
        <v>0</v>
      </c>
      <c r="W62" s="119">
        <f t="shared" si="6"/>
        <v>0</v>
      </c>
      <c r="X62" s="119">
        <f t="shared" si="7"/>
        <v>0</v>
      </c>
      <c r="Y62" s="119">
        <f t="shared" si="8"/>
        <v>0</v>
      </c>
      <c r="Z62" s="119">
        <f t="shared" si="9"/>
        <v>1</v>
      </c>
      <c r="AA62" s="119">
        <f t="shared" si="10"/>
        <v>0</v>
      </c>
      <c r="AB62" s="119">
        <f t="shared" si="11"/>
        <v>0</v>
      </c>
      <c r="AC62" s="119">
        <f t="shared" si="12"/>
        <v>0</v>
      </c>
      <c r="AD62" s="119">
        <f t="shared" si="13"/>
        <v>0</v>
      </c>
      <c r="AE62" s="119">
        <f t="shared" si="14"/>
        <v>0</v>
      </c>
      <c r="AF62" s="7"/>
      <c r="AG62" s="7"/>
      <c r="AH62" s="7">
        <f t="shared" si="15"/>
        <v>3</v>
      </c>
      <c r="AI62" s="7">
        <f t="shared" si="16"/>
        <v>3</v>
      </c>
      <c r="AJ62" s="7" t="str">
        <f t="shared" si="17"/>
        <v>Correct</v>
      </c>
      <c r="AK62" s="7"/>
      <c r="AL62" s="120" t="str">
        <f>IFERROR(VLOOKUP(Table1[RespondentID],'All Data'!$A$3:$CO$999,87,FALSE),"unknown")</f>
        <v>Man</v>
      </c>
      <c r="AM62" s="120">
        <f>IFERROR(VLOOKUP(Table1[RespondentID],'All Data'!$A$3:$CO$999,88,FALSE),"unknown")</f>
        <v>39</v>
      </c>
      <c r="AN62" s="120" t="str">
        <f>IFERROR(VLOOKUP(Table1[RespondentID],'All Data'!$A$3:$CO$999,89,FALSE),"unknown")</f>
        <v>Suffolk</v>
      </c>
      <c r="AO62" s="120" t="str">
        <f>IFERROR(VLOOKUP(Table1[RespondentID],'All Data'!$A$3:$CO$999,90,FALSE),"unknown")</f>
        <v>Northport, 11768</v>
      </c>
      <c r="AP62" s="120" t="str">
        <f>IFERROR(VLOOKUP(Table1[RespondentID],'All Data'!$A$3:$CO$999,91,FALSE),"unknown")</f>
        <v>White</v>
      </c>
      <c r="AQ62" s="120" t="str">
        <f>IFERROR(VLOOKUP(Table1[RespondentID],'All Data'!$A$3:$CO$999,92,FALSE),"unknown")</f>
        <v>Not Hispanic or Latino</v>
      </c>
      <c r="AR62" s="120" t="str">
        <f>IFERROR(VLOOKUP(Table1[RespondentID],'All Data'!$A$3:$CO$999,93,FALSE),"unknown")</f>
        <v>English</v>
      </c>
      <c r="AS62" s="120" t="str">
        <f>IFERROR(VLOOKUP(Table1[RespondentID],'All Data'!$A$3:$CW$999,94,FALSE),"unknown")</f>
        <v>Over $125,000</v>
      </c>
      <c r="AT62" s="120" t="str">
        <f>IFERROR(VLOOKUP(Table1[RespondentID],'All Data'!$A$3:$CW$999,95,FALSE),"unknown")</f>
        <v>Graduate school</v>
      </c>
      <c r="AU62" s="120" t="str">
        <f>IFERROR(VLOOKUP(Table1[RespondentID],'All Data'!$A$3:$CW$999,96,FALSE),"unknown")</f>
        <v>Employed for wages</v>
      </c>
      <c r="AV62" s="120" t="str">
        <f>IFERROR(VLOOKUP(Table1[RespondentID],'All Data'!$A$3:$CW$999,97,FALSE),"unknown")</f>
        <v>Yes</v>
      </c>
      <c r="AW62" s="120">
        <f>IFERROR(VLOOKUP(Table1[RespondentID],'All Data'!$A$3:$CW$999,98,FALSE),"unknown")</f>
        <v>0</v>
      </c>
      <c r="AX62" s="120">
        <f>IFERROR(VLOOKUP(Table1[RespondentID],'All Data'!$A$3:$CW$999,99,FALSE),"unknown")</f>
        <v>0</v>
      </c>
    </row>
    <row r="63" spans="1:50">
      <c r="A63" s="5">
        <v>18025179616</v>
      </c>
      <c r="B63" s="5"/>
      <c r="C63" s="5"/>
      <c r="D63" s="5"/>
      <c r="E63" s="5" t="s">
        <v>19</v>
      </c>
      <c r="F63" s="5"/>
      <c r="G63" s="5"/>
      <c r="H63" s="5" t="s">
        <v>22</v>
      </c>
      <c r="I63" s="5" t="s">
        <v>23</v>
      </c>
      <c r="J63" s="5"/>
      <c r="K63" s="5"/>
      <c r="L63" s="5"/>
      <c r="M63" s="5"/>
      <c r="N63" s="5"/>
      <c r="O63" s="7"/>
      <c r="P63" s="7">
        <f t="shared" si="0"/>
        <v>3</v>
      </c>
      <c r="Q63" s="9">
        <f t="shared" si="1"/>
        <v>1</v>
      </c>
      <c r="R63" s="7"/>
      <c r="S63" s="7">
        <f t="shared" si="2"/>
        <v>0</v>
      </c>
      <c r="T63" s="7">
        <f t="shared" si="3"/>
        <v>0</v>
      </c>
      <c r="U63" s="7">
        <f t="shared" si="4"/>
        <v>0</v>
      </c>
      <c r="V63" s="119">
        <f t="shared" si="5"/>
        <v>1</v>
      </c>
      <c r="W63" s="119">
        <f t="shared" si="6"/>
        <v>0</v>
      </c>
      <c r="X63" s="119">
        <f t="shared" si="7"/>
        <v>0</v>
      </c>
      <c r="Y63" s="119">
        <f t="shared" si="8"/>
        <v>1</v>
      </c>
      <c r="Z63" s="119">
        <f t="shared" si="9"/>
        <v>1</v>
      </c>
      <c r="AA63" s="119">
        <f t="shared" si="10"/>
        <v>0</v>
      </c>
      <c r="AB63" s="119">
        <f t="shared" si="11"/>
        <v>0</v>
      </c>
      <c r="AC63" s="119">
        <f t="shared" si="12"/>
        <v>0</v>
      </c>
      <c r="AD63" s="119">
        <f t="shared" si="13"/>
        <v>0</v>
      </c>
      <c r="AE63" s="119">
        <f t="shared" si="14"/>
        <v>0</v>
      </c>
      <c r="AF63" s="7"/>
      <c r="AG63" s="7"/>
      <c r="AH63" s="7">
        <f t="shared" si="15"/>
        <v>3</v>
      </c>
      <c r="AI63" s="7">
        <f t="shared" si="16"/>
        <v>3</v>
      </c>
      <c r="AJ63" s="7" t="str">
        <f t="shared" si="17"/>
        <v>Correct</v>
      </c>
      <c r="AK63" s="7"/>
      <c r="AL63" s="120" t="str">
        <f>IFERROR(VLOOKUP(Table1[RespondentID],'All Data'!$A$3:$CO$999,87,FALSE),"unknown")</f>
        <v>Woman</v>
      </c>
      <c r="AM63" s="120">
        <f>IFERROR(VLOOKUP(Table1[RespondentID],'All Data'!$A$3:$CO$999,88,FALSE),"unknown")</f>
        <v>40</v>
      </c>
      <c r="AN63" s="120" t="str">
        <f>IFERROR(VLOOKUP(Table1[RespondentID],'All Data'!$A$3:$CO$999,89,FALSE),"unknown")</f>
        <v>Suffolk</v>
      </c>
      <c r="AO63" s="120" t="str">
        <f>IFERROR(VLOOKUP(Table1[RespondentID],'All Data'!$A$3:$CO$999,90,FALSE),"unknown")</f>
        <v>South Huntington, 11746</v>
      </c>
      <c r="AP63" s="120" t="str">
        <f>IFERROR(VLOOKUP(Table1[RespondentID],'All Data'!$A$3:$CO$999,91,FALSE),"unknown")</f>
        <v>Asian</v>
      </c>
      <c r="AQ63" s="120" t="str">
        <f>IFERROR(VLOOKUP(Table1[RespondentID],'All Data'!$A$3:$CO$999,92,FALSE),"unknown")</f>
        <v>Not Hispanic or Latino</v>
      </c>
      <c r="AR63" s="120" t="str">
        <f>IFERROR(VLOOKUP(Table1[RespondentID],'All Data'!$A$3:$CO$999,93,FALSE),"unknown")</f>
        <v>English, Hindi</v>
      </c>
      <c r="AS63" s="120" t="str">
        <f>IFERROR(VLOOKUP(Table1[RespondentID],'All Data'!$A$3:$CW$999,94,FALSE),"unknown")</f>
        <v>$75,000 to $125,000</v>
      </c>
      <c r="AT63" s="120" t="str">
        <f>IFERROR(VLOOKUP(Table1[RespondentID],'All Data'!$A$3:$CW$999,95,FALSE),"unknown")</f>
        <v>College graduate</v>
      </c>
      <c r="AU63" s="120" t="str">
        <f>IFERROR(VLOOKUP(Table1[RespondentID],'All Data'!$A$3:$CW$999,96,FALSE),"unknown")</f>
        <v>Employed for wages</v>
      </c>
      <c r="AV63" s="120" t="str">
        <f>IFERROR(VLOOKUP(Table1[RespondentID],'All Data'!$A$3:$CW$999,97,FALSE),"unknown")</f>
        <v>Yes</v>
      </c>
      <c r="AW63" s="120">
        <f>IFERROR(VLOOKUP(Table1[RespondentID],'All Data'!$A$3:$CW$999,98,FALSE),"unknown")</f>
        <v>0</v>
      </c>
      <c r="AX63" s="120">
        <f>IFERROR(VLOOKUP(Table1[RespondentID],'All Data'!$A$3:$CW$999,99,FALSE),"unknown")</f>
        <v>0</v>
      </c>
    </row>
    <row r="64" spans="1:50">
      <c r="A64" s="5">
        <v>18025179232</v>
      </c>
      <c r="B64" s="5"/>
      <c r="C64" s="5"/>
      <c r="D64" s="5"/>
      <c r="E64" s="5"/>
      <c r="F64" s="5"/>
      <c r="G64" s="5"/>
      <c r="H64" s="5"/>
      <c r="I64" s="5"/>
      <c r="J64" s="5"/>
      <c r="K64" s="5" t="s">
        <v>25</v>
      </c>
      <c r="L64" s="5"/>
      <c r="M64" s="5"/>
      <c r="N64" s="5"/>
      <c r="O64" s="7"/>
      <c r="P64" s="7">
        <f t="shared" si="0"/>
        <v>1</v>
      </c>
      <c r="Q64" s="8">
        <f t="shared" si="1"/>
        <v>3</v>
      </c>
      <c r="R64" s="7"/>
      <c r="S64" s="7">
        <f t="shared" si="2"/>
        <v>0</v>
      </c>
      <c r="T64" s="7">
        <f t="shared" si="3"/>
        <v>0</v>
      </c>
      <c r="U64" s="7">
        <f t="shared" si="4"/>
        <v>0</v>
      </c>
      <c r="V64" s="119">
        <f t="shared" si="5"/>
        <v>0</v>
      </c>
      <c r="W64" s="119">
        <f t="shared" si="6"/>
        <v>0</v>
      </c>
      <c r="X64" s="119">
        <f t="shared" si="7"/>
        <v>0</v>
      </c>
      <c r="Y64" s="119">
        <f t="shared" si="8"/>
        <v>0</v>
      </c>
      <c r="Z64" s="119">
        <f t="shared" si="9"/>
        <v>0</v>
      </c>
      <c r="AA64" s="119">
        <f t="shared" si="10"/>
        <v>0</v>
      </c>
      <c r="AB64" s="119">
        <f t="shared" si="11"/>
        <v>1</v>
      </c>
      <c r="AC64" s="119">
        <f t="shared" si="12"/>
        <v>0</v>
      </c>
      <c r="AD64" s="119">
        <f t="shared" si="13"/>
        <v>0</v>
      </c>
      <c r="AE64" s="119">
        <f t="shared" si="14"/>
        <v>0</v>
      </c>
      <c r="AF64" s="7"/>
      <c r="AG64" s="7"/>
      <c r="AH64" s="7">
        <f t="shared" si="15"/>
        <v>1</v>
      </c>
      <c r="AI64" s="7">
        <f t="shared" si="16"/>
        <v>1</v>
      </c>
      <c r="AJ64" s="7" t="str">
        <f t="shared" si="17"/>
        <v>Correct</v>
      </c>
      <c r="AK64" s="7"/>
      <c r="AL64" s="120" t="str">
        <f>IFERROR(VLOOKUP(Table1[RespondentID],'All Data'!$A$3:$CO$999,87,FALSE),"unknown")</f>
        <v>Woman</v>
      </c>
      <c r="AM64" s="120">
        <f>IFERROR(VLOOKUP(Table1[RespondentID],'All Data'!$A$3:$CO$999,88,FALSE),"unknown")</f>
        <v>44</v>
      </c>
      <c r="AN64" s="120" t="str">
        <f>IFERROR(VLOOKUP(Table1[RespondentID],'All Data'!$A$3:$CO$999,89,FALSE),"unknown")</f>
        <v>Suffolk</v>
      </c>
      <c r="AO64" s="120" t="str">
        <f>IFERROR(VLOOKUP(Table1[RespondentID],'All Data'!$A$3:$CO$999,90,FALSE),"unknown")</f>
        <v>Deer Park, 11729</v>
      </c>
      <c r="AP64" s="120" t="str">
        <f>IFERROR(VLOOKUP(Table1[RespondentID],'All Data'!$A$3:$CO$999,91,FALSE),"unknown")</f>
        <v>Asian</v>
      </c>
      <c r="AQ64" s="120" t="str">
        <f>IFERROR(VLOOKUP(Table1[RespondentID],'All Data'!$A$3:$CO$999,92,FALSE),"unknown")</f>
        <v>Not Hispanic or Latino</v>
      </c>
      <c r="AR64" s="120" t="str">
        <f>IFERROR(VLOOKUP(Table1[RespondentID],'All Data'!$A$3:$CO$999,93,FALSE),"unknown")</f>
        <v>English, Farsi</v>
      </c>
      <c r="AS64" s="120" t="str">
        <f>IFERROR(VLOOKUP(Table1[RespondentID],'All Data'!$A$3:$CW$999,94,FALSE),"unknown")</f>
        <v>$75,000 to $125,000</v>
      </c>
      <c r="AT64" s="120" t="str">
        <f>IFERROR(VLOOKUP(Table1[RespondentID],'All Data'!$A$3:$CW$999,95,FALSE),"unknown")</f>
        <v>College graduate</v>
      </c>
      <c r="AU64" s="120" t="str">
        <f>IFERROR(VLOOKUP(Table1[RespondentID],'All Data'!$A$3:$CW$999,96,FALSE),"unknown")</f>
        <v>Self-employed</v>
      </c>
      <c r="AV64" s="120" t="str">
        <f>IFERROR(VLOOKUP(Table1[RespondentID],'All Data'!$A$3:$CW$999,97,FALSE),"unknown")</f>
        <v>Yes</v>
      </c>
      <c r="AW64" s="120">
        <f>IFERROR(VLOOKUP(Table1[RespondentID],'All Data'!$A$3:$CW$999,98,FALSE),"unknown")</f>
        <v>0</v>
      </c>
      <c r="AX64" s="120">
        <f>IFERROR(VLOOKUP(Table1[RespondentID],'All Data'!$A$3:$CW$999,99,FALSE),"unknown")</f>
        <v>0</v>
      </c>
    </row>
    <row r="65" spans="1:50">
      <c r="A65" s="5">
        <v>18025179113</v>
      </c>
      <c r="B65" s="5"/>
      <c r="C65" s="5"/>
      <c r="D65" s="5" t="s">
        <v>18</v>
      </c>
      <c r="E65" s="5"/>
      <c r="F65" s="5"/>
      <c r="G65" s="5"/>
      <c r="H65" s="5"/>
      <c r="I65" s="5"/>
      <c r="J65" s="5"/>
      <c r="K65" s="5" t="s">
        <v>25</v>
      </c>
      <c r="L65" s="5"/>
      <c r="M65" s="5"/>
      <c r="N65" s="5"/>
      <c r="O65" s="7"/>
      <c r="P65" s="7">
        <f t="shared" si="0"/>
        <v>2</v>
      </c>
      <c r="Q65" s="9">
        <f t="shared" si="1"/>
        <v>1.5</v>
      </c>
      <c r="R65" s="7"/>
      <c r="S65" s="7">
        <f t="shared" si="2"/>
        <v>0</v>
      </c>
      <c r="T65" s="7">
        <f t="shared" si="3"/>
        <v>0</v>
      </c>
      <c r="U65" s="7">
        <f t="shared" si="4"/>
        <v>1</v>
      </c>
      <c r="V65" s="119">
        <f t="shared" si="5"/>
        <v>0</v>
      </c>
      <c r="W65" s="119">
        <f t="shared" si="6"/>
        <v>0</v>
      </c>
      <c r="X65" s="119">
        <f t="shared" si="7"/>
        <v>0</v>
      </c>
      <c r="Y65" s="119">
        <f t="shared" si="8"/>
        <v>0</v>
      </c>
      <c r="Z65" s="119">
        <f t="shared" si="9"/>
        <v>0</v>
      </c>
      <c r="AA65" s="119">
        <f t="shared" si="10"/>
        <v>0</v>
      </c>
      <c r="AB65" s="119">
        <f t="shared" si="11"/>
        <v>1</v>
      </c>
      <c r="AC65" s="119">
        <f t="shared" si="12"/>
        <v>0</v>
      </c>
      <c r="AD65" s="119">
        <f t="shared" si="13"/>
        <v>0</v>
      </c>
      <c r="AE65" s="119">
        <f t="shared" si="14"/>
        <v>0</v>
      </c>
      <c r="AF65" s="7"/>
      <c r="AG65" s="7"/>
      <c r="AH65" s="7">
        <f t="shared" si="15"/>
        <v>2</v>
      </c>
      <c r="AI65" s="7">
        <f t="shared" si="16"/>
        <v>2</v>
      </c>
      <c r="AJ65" s="7" t="str">
        <f t="shared" si="17"/>
        <v>Correct</v>
      </c>
      <c r="AK65" s="7"/>
      <c r="AL65" s="120" t="str">
        <f>IFERROR(VLOOKUP(Table1[RespondentID],'All Data'!$A$3:$CO$999,87,FALSE),"unknown")</f>
        <v>Woman</v>
      </c>
      <c r="AM65" s="120">
        <f>IFERROR(VLOOKUP(Table1[RespondentID],'All Data'!$A$3:$CO$999,88,FALSE),"unknown")</f>
        <v>53</v>
      </c>
      <c r="AN65" s="120" t="str">
        <f>IFERROR(VLOOKUP(Table1[RespondentID],'All Data'!$A$3:$CO$999,89,FALSE),"unknown")</f>
        <v>Suffolk</v>
      </c>
      <c r="AO65" s="120" t="str">
        <f>IFERROR(VLOOKUP(Table1[RespondentID],'All Data'!$A$3:$CO$999,90,FALSE),"unknown")</f>
        <v>Kings Park, 11754</v>
      </c>
      <c r="AP65" s="120" t="str">
        <f>IFERROR(VLOOKUP(Table1[RespondentID],'All Data'!$A$3:$CO$999,91,FALSE),"unknown")</f>
        <v>Asian</v>
      </c>
      <c r="AQ65" s="120" t="str">
        <f>IFERROR(VLOOKUP(Table1[RespondentID],'All Data'!$A$3:$CO$999,92,FALSE),"unknown")</f>
        <v>Not Hispanic or Latino</v>
      </c>
      <c r="AR65" s="120" t="str">
        <f>IFERROR(VLOOKUP(Table1[RespondentID],'All Data'!$A$3:$CO$999,93,FALSE),"unknown")</f>
        <v>English</v>
      </c>
      <c r="AS65" s="120" t="str">
        <f>IFERROR(VLOOKUP(Table1[RespondentID],'All Data'!$A$3:$CW$999,94,FALSE),"unknown")</f>
        <v>$75,000 to $125,000</v>
      </c>
      <c r="AT65" s="120" t="str">
        <f>IFERROR(VLOOKUP(Table1[RespondentID],'All Data'!$A$3:$CW$999,95,FALSE),"unknown")</f>
        <v>High school graduate</v>
      </c>
      <c r="AU65" s="120" t="str">
        <f>IFERROR(VLOOKUP(Table1[RespondentID],'All Data'!$A$3:$CW$999,96,FALSE),"unknown")</f>
        <v>Out of work, but not currently looking</v>
      </c>
      <c r="AV65" s="120" t="str">
        <f>IFERROR(VLOOKUP(Table1[RespondentID],'All Data'!$A$3:$CW$999,97,FALSE),"unknown")</f>
        <v>Yes</v>
      </c>
      <c r="AW65" s="120">
        <f>IFERROR(VLOOKUP(Table1[RespondentID],'All Data'!$A$3:$CW$999,98,FALSE),"unknown")</f>
        <v>0</v>
      </c>
      <c r="AX65" s="120">
        <f>IFERROR(VLOOKUP(Table1[RespondentID],'All Data'!$A$3:$CW$999,99,FALSE),"unknown")</f>
        <v>0</v>
      </c>
    </row>
    <row r="66" spans="1:50">
      <c r="A66" s="5">
        <v>18025179000</v>
      </c>
      <c r="B66" s="5"/>
      <c r="C66" s="5"/>
      <c r="D66" s="5"/>
      <c r="E66" s="5"/>
      <c r="F66" s="5" t="s">
        <v>20</v>
      </c>
      <c r="G66" s="5" t="s">
        <v>21</v>
      </c>
      <c r="H66" s="5"/>
      <c r="I66" s="5"/>
      <c r="J66" s="5"/>
      <c r="K66" s="5" t="s">
        <v>25</v>
      </c>
      <c r="L66" s="5"/>
      <c r="M66" s="5"/>
      <c r="N66" s="5"/>
      <c r="O66" s="7"/>
      <c r="P66" s="7">
        <f t="shared" ref="P66:P129" si="18">COUNTA(B66:N66)</f>
        <v>3</v>
      </c>
      <c r="Q66" s="8">
        <f t="shared" ref="Q66:Q129" si="19">3/P66</f>
        <v>1</v>
      </c>
      <c r="R66" s="7"/>
      <c r="S66" s="7">
        <f t="shared" ref="S66:S129" si="20">IF($P66&lt;3,IF($B66=$B$1,1,0),IF($B66=$B$1,$Q66,0))</f>
        <v>0</v>
      </c>
      <c r="T66" s="7">
        <f t="shared" ref="T66:T129" si="21">IF($P66&lt;3,IF($C66=$C$1,1,0),IF($C66=$C$1,$Q66,0))</f>
        <v>0</v>
      </c>
      <c r="U66" s="7">
        <f t="shared" ref="U66:U129" si="22">IF($P66&lt;3,IF($D66=$D$1,1,0),IF($D66=$D$1,$Q66,0))</f>
        <v>0</v>
      </c>
      <c r="V66" s="119">
        <f t="shared" ref="V66:V129" si="23">IF($P66&lt;3,IF($E66=$E$1,1,0),IF($E66=$E$1,$Q66,0))</f>
        <v>0</v>
      </c>
      <c r="W66" s="119">
        <f t="shared" ref="W66:W129" si="24">IF($P66&lt;3,IF($F66=$F$1,1,0),IF($F66=$F$1,$Q66,0))</f>
        <v>1</v>
      </c>
      <c r="X66" s="119">
        <f t="shared" ref="X66:X129" si="25">IF($P66&lt;3,IF($G66=$G$1,1,0),IF($G66=$G$1,$Q66,0))</f>
        <v>1</v>
      </c>
      <c r="Y66" s="119">
        <f t="shared" ref="Y66:Y129" si="26">IF($P66&lt;3,IF($H66=$H$1,1,0),IF($H66=$H$1,$Q66,0))</f>
        <v>0</v>
      </c>
      <c r="Z66" s="119">
        <f t="shared" ref="Z66:Z129" si="27">IF($P66&lt;3,IF($I66=$I$1,1,0),IF($I66=$I$1,$Q66,0))</f>
        <v>0</v>
      </c>
      <c r="AA66" s="119">
        <f t="shared" ref="AA66:AA129" si="28">IF($P66&lt;3,IF($J66=$J$1,1,0),IF($J66=$J$1,$Q66,0))</f>
        <v>0</v>
      </c>
      <c r="AB66" s="119">
        <f t="shared" ref="AB66:AB129" si="29">IF($P66&lt;3,IF($K66=$K$1,1,0),IF($K66=$K$1,$Q66,0))</f>
        <v>1</v>
      </c>
      <c r="AC66" s="119">
        <f t="shared" ref="AC66:AC129" si="30">IF($P66&lt;3,IF($L66=$L$1,1,0),IF($L66=$L$1,$Q66,0))</f>
        <v>0</v>
      </c>
      <c r="AD66" s="119">
        <f t="shared" ref="AD66:AD129" si="31">IF($P66&lt;3,IF($M66=$M$1,1,0),IF($M66=$M$1,$Q66,0))</f>
        <v>0</v>
      </c>
      <c r="AE66" s="119">
        <f t="shared" ref="AE66:AE129" si="32">IF($P66&lt;3,IF($N66=$N$1,1,0),IF($N66=$N$1,$Q66,0))</f>
        <v>0</v>
      </c>
      <c r="AF66" s="7"/>
      <c r="AG66" s="7"/>
      <c r="AH66" s="7">
        <f t="shared" ref="AH66:AH129" si="33">SUM(S66:AE66)</f>
        <v>3</v>
      </c>
      <c r="AI66" s="7">
        <f t="shared" ref="AI66:AI129" si="34">P66</f>
        <v>3</v>
      </c>
      <c r="AJ66" s="7" t="str">
        <f t="shared" ref="AJ66:AJ129" si="35">IF(AH66=AI66,"Correct",IF(AH66=3,"Correct","Wrong"))</f>
        <v>Correct</v>
      </c>
      <c r="AK66" s="7"/>
      <c r="AL66" s="120" t="str">
        <f>IFERROR(VLOOKUP(Table1[RespondentID],'All Data'!$A$3:$CO$999,87,FALSE),"unknown")</f>
        <v>Man</v>
      </c>
      <c r="AM66" s="120">
        <f>IFERROR(VLOOKUP(Table1[RespondentID],'All Data'!$A$3:$CO$999,88,FALSE),"unknown")</f>
        <v>0</v>
      </c>
      <c r="AN66" s="120" t="str">
        <f>IFERROR(VLOOKUP(Table1[RespondentID],'All Data'!$A$3:$CO$999,89,FALSE),"unknown")</f>
        <v>Suffolk</v>
      </c>
      <c r="AO66" s="120" t="str">
        <f>IFERROR(VLOOKUP(Table1[RespondentID],'All Data'!$A$3:$CO$999,90,FALSE),"unknown")</f>
        <v>East Northport, 11731</v>
      </c>
      <c r="AP66" s="120" t="str">
        <f>IFERROR(VLOOKUP(Table1[RespondentID],'All Data'!$A$3:$CO$999,91,FALSE),"unknown")</f>
        <v>Asian</v>
      </c>
      <c r="AQ66" s="120" t="str">
        <f>IFERROR(VLOOKUP(Table1[RespondentID],'All Data'!$A$3:$CO$999,92,FALSE),"unknown")</f>
        <v>Not Hispanic or Latino</v>
      </c>
      <c r="AR66" s="120" t="str">
        <f>IFERROR(VLOOKUP(Table1[RespondentID],'All Data'!$A$3:$CO$999,93,FALSE),"unknown")</f>
        <v>English</v>
      </c>
      <c r="AS66" s="120">
        <f>IFERROR(VLOOKUP(Table1[RespondentID],'All Data'!$A$3:$CW$999,94,FALSE),"unknown")</f>
        <v>0</v>
      </c>
      <c r="AT66" s="120" t="str">
        <f>IFERROR(VLOOKUP(Table1[RespondentID],'All Data'!$A$3:$CW$999,95,FALSE),"unknown")</f>
        <v>College graduate</v>
      </c>
      <c r="AU66" s="120" t="str">
        <f>IFERROR(VLOOKUP(Table1[RespondentID],'All Data'!$A$3:$CW$999,96,FALSE),"unknown")</f>
        <v>Self-employed</v>
      </c>
      <c r="AV66" s="120" t="str">
        <f>IFERROR(VLOOKUP(Table1[RespondentID],'All Data'!$A$3:$CW$999,97,FALSE),"unknown")</f>
        <v>Yes</v>
      </c>
      <c r="AW66" s="120">
        <f>IFERROR(VLOOKUP(Table1[RespondentID],'All Data'!$A$3:$CW$999,98,FALSE),"unknown")</f>
        <v>0</v>
      </c>
      <c r="AX66" s="120">
        <f>IFERROR(VLOOKUP(Table1[RespondentID],'All Data'!$A$3:$CW$999,99,FALSE),"unknown")</f>
        <v>0</v>
      </c>
    </row>
    <row r="67" spans="1:50">
      <c r="A67" s="5">
        <v>18025178810</v>
      </c>
      <c r="B67" s="5"/>
      <c r="C67" s="5"/>
      <c r="D67" s="5"/>
      <c r="E67" s="5"/>
      <c r="F67" s="5"/>
      <c r="G67" s="5"/>
      <c r="H67" s="5"/>
      <c r="I67" s="5" t="s">
        <v>23</v>
      </c>
      <c r="J67" s="5"/>
      <c r="K67" s="5"/>
      <c r="L67" s="5"/>
      <c r="M67" s="5"/>
      <c r="N67" s="5"/>
      <c r="O67" s="7"/>
      <c r="P67" s="7">
        <f t="shared" si="18"/>
        <v>1</v>
      </c>
      <c r="Q67" s="9">
        <f t="shared" si="19"/>
        <v>3</v>
      </c>
      <c r="R67" s="7"/>
      <c r="S67" s="7">
        <f t="shared" si="20"/>
        <v>0</v>
      </c>
      <c r="T67" s="7">
        <f t="shared" si="21"/>
        <v>0</v>
      </c>
      <c r="U67" s="7">
        <f t="shared" si="22"/>
        <v>0</v>
      </c>
      <c r="V67" s="119">
        <f t="shared" si="23"/>
        <v>0</v>
      </c>
      <c r="W67" s="119">
        <f t="shared" si="24"/>
        <v>0</v>
      </c>
      <c r="X67" s="119">
        <f t="shared" si="25"/>
        <v>0</v>
      </c>
      <c r="Y67" s="119">
        <f t="shared" si="26"/>
        <v>0</v>
      </c>
      <c r="Z67" s="119">
        <f t="shared" si="27"/>
        <v>1</v>
      </c>
      <c r="AA67" s="119">
        <f t="shared" si="28"/>
        <v>0</v>
      </c>
      <c r="AB67" s="119">
        <f t="shared" si="29"/>
        <v>0</v>
      </c>
      <c r="AC67" s="119">
        <f t="shared" si="30"/>
        <v>0</v>
      </c>
      <c r="AD67" s="119">
        <f t="shared" si="31"/>
        <v>0</v>
      </c>
      <c r="AE67" s="119">
        <f t="shared" si="32"/>
        <v>0</v>
      </c>
      <c r="AF67" s="7"/>
      <c r="AG67" s="7"/>
      <c r="AH67" s="7">
        <f t="shared" si="33"/>
        <v>1</v>
      </c>
      <c r="AI67" s="7">
        <f t="shared" si="34"/>
        <v>1</v>
      </c>
      <c r="AJ67" s="7" t="str">
        <f t="shared" si="35"/>
        <v>Correct</v>
      </c>
      <c r="AK67" s="7"/>
      <c r="AL67" s="120" t="str">
        <f>IFERROR(VLOOKUP(Table1[RespondentID],'All Data'!$A$3:$CO$999,87,FALSE),"unknown")</f>
        <v>Woman</v>
      </c>
      <c r="AM67" s="120">
        <f>IFERROR(VLOOKUP(Table1[RespondentID],'All Data'!$A$3:$CO$999,88,FALSE),"unknown")</f>
        <v>32</v>
      </c>
      <c r="AN67" s="120" t="str">
        <f>IFERROR(VLOOKUP(Table1[RespondentID],'All Data'!$A$3:$CO$999,89,FALSE),"unknown")</f>
        <v>Suffolk</v>
      </c>
      <c r="AO67" s="120" t="str">
        <f>IFERROR(VLOOKUP(Table1[RespondentID],'All Data'!$A$3:$CO$999,90,FALSE),"unknown")</f>
        <v>Kings Park, 11754</v>
      </c>
      <c r="AP67" s="120" t="str">
        <f>IFERROR(VLOOKUP(Table1[RespondentID],'All Data'!$A$3:$CO$999,91,FALSE),"unknown")</f>
        <v>Two or more races</v>
      </c>
      <c r="AQ67" s="120" t="str">
        <f>IFERROR(VLOOKUP(Table1[RespondentID],'All Data'!$A$3:$CO$999,92,FALSE),"unknown")</f>
        <v>Hispanic or Latino</v>
      </c>
      <c r="AR67" s="120" t="str">
        <f>IFERROR(VLOOKUP(Table1[RespondentID],'All Data'!$A$3:$CO$999,93,FALSE),"unknown")</f>
        <v>English, Spanish</v>
      </c>
      <c r="AS67" s="120" t="str">
        <f>IFERROR(VLOOKUP(Table1[RespondentID],'All Data'!$A$3:$CW$999,94,FALSE),"unknown")</f>
        <v>Over $125,000</v>
      </c>
      <c r="AT67" s="120" t="str">
        <f>IFERROR(VLOOKUP(Table1[RespondentID],'All Data'!$A$3:$CW$999,95,FALSE),"unknown")</f>
        <v>Doctorate</v>
      </c>
      <c r="AU67" s="120" t="str">
        <f>IFERROR(VLOOKUP(Table1[RespondentID],'All Data'!$A$3:$CW$999,96,FALSE),"unknown")</f>
        <v>Out of work, but not currently looking</v>
      </c>
      <c r="AV67" s="120" t="str">
        <f>IFERROR(VLOOKUP(Table1[RespondentID],'All Data'!$A$3:$CW$999,97,FALSE),"unknown")</f>
        <v>Yes</v>
      </c>
      <c r="AW67" s="120">
        <f>IFERROR(VLOOKUP(Table1[RespondentID],'All Data'!$A$3:$CW$999,98,FALSE),"unknown")</f>
        <v>0</v>
      </c>
      <c r="AX67" s="120">
        <f>IFERROR(VLOOKUP(Table1[RespondentID],'All Data'!$A$3:$CW$999,99,FALSE),"unknown")</f>
        <v>0</v>
      </c>
    </row>
    <row r="68" spans="1:50">
      <c r="A68" s="5">
        <v>18025178531</v>
      </c>
      <c r="B68" s="5"/>
      <c r="C68" s="5"/>
      <c r="D68" s="5"/>
      <c r="E68" s="5"/>
      <c r="F68" s="5"/>
      <c r="G68" s="5"/>
      <c r="H68" s="5"/>
      <c r="I68" s="5"/>
      <c r="J68" s="5"/>
      <c r="K68" s="5" t="s">
        <v>25</v>
      </c>
      <c r="L68" s="5"/>
      <c r="M68" s="5"/>
      <c r="N68" s="5"/>
      <c r="O68" s="7"/>
      <c r="P68" s="7">
        <f t="shared" si="18"/>
        <v>1</v>
      </c>
      <c r="Q68" s="8">
        <f t="shared" si="19"/>
        <v>3</v>
      </c>
      <c r="R68" s="7"/>
      <c r="S68" s="7">
        <f t="shared" si="20"/>
        <v>0</v>
      </c>
      <c r="T68" s="7">
        <f t="shared" si="21"/>
        <v>0</v>
      </c>
      <c r="U68" s="7">
        <f t="shared" si="22"/>
        <v>0</v>
      </c>
      <c r="V68" s="119">
        <f t="shared" si="23"/>
        <v>0</v>
      </c>
      <c r="W68" s="119">
        <f t="shared" si="24"/>
        <v>0</v>
      </c>
      <c r="X68" s="119">
        <f t="shared" si="25"/>
        <v>0</v>
      </c>
      <c r="Y68" s="119">
        <f t="shared" si="26"/>
        <v>0</v>
      </c>
      <c r="Z68" s="119">
        <f t="shared" si="27"/>
        <v>0</v>
      </c>
      <c r="AA68" s="119">
        <f t="shared" si="28"/>
        <v>0</v>
      </c>
      <c r="AB68" s="119">
        <f t="shared" si="29"/>
        <v>1</v>
      </c>
      <c r="AC68" s="119">
        <f t="shared" si="30"/>
        <v>0</v>
      </c>
      <c r="AD68" s="119">
        <f t="shared" si="31"/>
        <v>0</v>
      </c>
      <c r="AE68" s="119">
        <f t="shared" si="32"/>
        <v>0</v>
      </c>
      <c r="AF68" s="7"/>
      <c r="AG68" s="7"/>
      <c r="AH68" s="7">
        <f t="shared" si="33"/>
        <v>1</v>
      </c>
      <c r="AI68" s="7">
        <f t="shared" si="34"/>
        <v>1</v>
      </c>
      <c r="AJ68" s="7" t="str">
        <f t="shared" si="35"/>
        <v>Correct</v>
      </c>
      <c r="AK68" s="7"/>
      <c r="AL68" s="120" t="str">
        <f>IFERROR(VLOOKUP(Table1[RespondentID],'All Data'!$A$3:$CO$999,87,FALSE),"unknown")</f>
        <v>Man</v>
      </c>
      <c r="AM68" s="120">
        <f>IFERROR(VLOOKUP(Table1[RespondentID],'All Data'!$A$3:$CO$999,88,FALSE),"unknown")</f>
        <v>39</v>
      </c>
      <c r="AN68" s="120" t="str">
        <f>IFERROR(VLOOKUP(Table1[RespondentID],'All Data'!$A$3:$CO$999,89,FALSE),"unknown")</f>
        <v>Suffolk</v>
      </c>
      <c r="AO68" s="120" t="str">
        <f>IFERROR(VLOOKUP(Table1[RespondentID],'All Data'!$A$3:$CO$999,90,FALSE),"unknown")</f>
        <v>Commack, 11725</v>
      </c>
      <c r="AP68" s="120" t="str">
        <f>IFERROR(VLOOKUP(Table1[RespondentID],'All Data'!$A$3:$CO$999,91,FALSE),"unknown")</f>
        <v>White</v>
      </c>
      <c r="AQ68" s="120">
        <f>IFERROR(VLOOKUP(Table1[RespondentID],'All Data'!$A$3:$CO$999,92,FALSE),"unknown")</f>
        <v>0</v>
      </c>
      <c r="AR68" s="120" t="str">
        <f>IFERROR(VLOOKUP(Table1[RespondentID],'All Data'!$A$3:$CO$999,93,FALSE),"unknown")</f>
        <v>English</v>
      </c>
      <c r="AS68" s="120" t="str">
        <f>IFERROR(VLOOKUP(Table1[RespondentID],'All Data'!$A$3:$CW$999,94,FALSE),"unknown")</f>
        <v>$75,000 to $125,000</v>
      </c>
      <c r="AT68" s="120" t="str">
        <f>IFERROR(VLOOKUP(Table1[RespondentID],'All Data'!$A$3:$CW$999,95,FALSE),"unknown")</f>
        <v>College graduate</v>
      </c>
      <c r="AU68" s="120" t="str">
        <f>IFERROR(VLOOKUP(Table1[RespondentID],'All Data'!$A$3:$CW$999,96,FALSE),"unknown")</f>
        <v>Employed for wages</v>
      </c>
      <c r="AV68" s="120" t="str">
        <f>IFERROR(VLOOKUP(Table1[RespondentID],'All Data'!$A$3:$CW$999,97,FALSE),"unknown")</f>
        <v>Yes</v>
      </c>
      <c r="AW68" s="120">
        <f>IFERROR(VLOOKUP(Table1[RespondentID],'All Data'!$A$3:$CW$999,98,FALSE),"unknown")</f>
        <v>0</v>
      </c>
      <c r="AX68" s="120">
        <f>IFERROR(VLOOKUP(Table1[RespondentID],'All Data'!$A$3:$CW$999,99,FALSE),"unknown")</f>
        <v>0</v>
      </c>
    </row>
    <row r="69" spans="1:50">
      <c r="A69" s="5">
        <v>18025178424</v>
      </c>
      <c r="B69" s="5"/>
      <c r="C69" s="5" t="s">
        <v>17</v>
      </c>
      <c r="D69" s="5" t="s">
        <v>18</v>
      </c>
      <c r="E69" s="5"/>
      <c r="F69" s="5"/>
      <c r="G69" s="5"/>
      <c r="H69" s="5"/>
      <c r="I69" s="5" t="s">
        <v>23</v>
      </c>
      <c r="J69" s="5"/>
      <c r="K69" s="5"/>
      <c r="L69" s="5"/>
      <c r="M69" s="5"/>
      <c r="N69" s="5"/>
      <c r="O69" s="7"/>
      <c r="P69" s="7">
        <f t="shared" si="18"/>
        <v>3</v>
      </c>
      <c r="Q69" s="9">
        <f t="shared" si="19"/>
        <v>1</v>
      </c>
      <c r="R69" s="7"/>
      <c r="S69" s="7">
        <f t="shared" si="20"/>
        <v>0</v>
      </c>
      <c r="T69" s="7">
        <f t="shared" si="21"/>
        <v>1</v>
      </c>
      <c r="U69" s="7">
        <f t="shared" si="22"/>
        <v>1</v>
      </c>
      <c r="V69" s="119">
        <f t="shared" si="23"/>
        <v>0</v>
      </c>
      <c r="W69" s="119">
        <f t="shared" si="24"/>
        <v>0</v>
      </c>
      <c r="X69" s="119">
        <f t="shared" si="25"/>
        <v>0</v>
      </c>
      <c r="Y69" s="119">
        <f t="shared" si="26"/>
        <v>0</v>
      </c>
      <c r="Z69" s="119">
        <f t="shared" si="27"/>
        <v>1</v>
      </c>
      <c r="AA69" s="119">
        <f t="shared" si="28"/>
        <v>0</v>
      </c>
      <c r="AB69" s="119">
        <f t="shared" si="29"/>
        <v>0</v>
      </c>
      <c r="AC69" s="119">
        <f t="shared" si="30"/>
        <v>0</v>
      </c>
      <c r="AD69" s="119">
        <f t="shared" si="31"/>
        <v>0</v>
      </c>
      <c r="AE69" s="119">
        <f t="shared" si="32"/>
        <v>0</v>
      </c>
      <c r="AF69" s="7"/>
      <c r="AG69" s="7"/>
      <c r="AH69" s="7">
        <f t="shared" si="33"/>
        <v>3</v>
      </c>
      <c r="AI69" s="7">
        <f t="shared" si="34"/>
        <v>3</v>
      </c>
      <c r="AJ69" s="7" t="str">
        <f t="shared" si="35"/>
        <v>Correct</v>
      </c>
      <c r="AK69" s="7"/>
      <c r="AL69" s="120" t="str">
        <f>IFERROR(VLOOKUP(Table1[RespondentID],'All Data'!$A$3:$CO$999,87,FALSE),"unknown")</f>
        <v>Woman</v>
      </c>
      <c r="AM69" s="120">
        <f>IFERROR(VLOOKUP(Table1[RespondentID],'All Data'!$A$3:$CO$999,88,FALSE),"unknown")</f>
        <v>59</v>
      </c>
      <c r="AN69" s="120" t="str">
        <f>IFERROR(VLOOKUP(Table1[RespondentID],'All Data'!$A$3:$CO$999,89,FALSE),"unknown")</f>
        <v>Suffolk</v>
      </c>
      <c r="AO69" s="120" t="str">
        <f>IFERROR(VLOOKUP(Table1[RespondentID],'All Data'!$A$3:$CO$999,90,FALSE),"unknown")</f>
        <v>Saint James, 11780</v>
      </c>
      <c r="AP69" s="120" t="str">
        <f>IFERROR(VLOOKUP(Table1[RespondentID],'All Data'!$A$3:$CO$999,91,FALSE),"unknown")</f>
        <v>White</v>
      </c>
      <c r="AQ69" s="120" t="str">
        <f>IFERROR(VLOOKUP(Table1[RespondentID],'All Data'!$A$3:$CO$999,92,FALSE),"unknown")</f>
        <v>Not Hispanic or Latino</v>
      </c>
      <c r="AR69" s="120" t="str">
        <f>IFERROR(VLOOKUP(Table1[RespondentID],'All Data'!$A$3:$CO$999,93,FALSE),"unknown")</f>
        <v>English</v>
      </c>
      <c r="AS69" s="120" t="str">
        <f>IFERROR(VLOOKUP(Table1[RespondentID],'All Data'!$A$3:$CW$999,94,FALSE),"unknown")</f>
        <v>Over $125,000</v>
      </c>
      <c r="AT69" s="120" t="str">
        <f>IFERROR(VLOOKUP(Table1[RespondentID],'All Data'!$A$3:$CW$999,95,FALSE),"unknown")</f>
        <v>College graduate</v>
      </c>
      <c r="AU69" s="120" t="str">
        <f>IFERROR(VLOOKUP(Table1[RespondentID],'All Data'!$A$3:$CW$999,96,FALSE),"unknown")</f>
        <v>Employed for wages</v>
      </c>
      <c r="AV69" s="120" t="str">
        <f>IFERROR(VLOOKUP(Table1[RespondentID],'All Data'!$A$3:$CW$999,97,FALSE),"unknown")</f>
        <v>Yes</v>
      </c>
      <c r="AW69" s="120" t="str">
        <f>IFERROR(VLOOKUP(Table1[RespondentID],'All Data'!$A$3:$CW$999,98,FALSE),"unknown")</f>
        <v>Private/Commercial</v>
      </c>
      <c r="AX69" s="120">
        <f>IFERROR(VLOOKUP(Table1[RespondentID],'All Data'!$A$3:$CW$999,99,FALSE),"unknown")</f>
        <v>0</v>
      </c>
    </row>
    <row r="70" spans="1:50">
      <c r="A70" s="5">
        <v>18025178298</v>
      </c>
      <c r="B70" s="5"/>
      <c r="C70" s="5"/>
      <c r="D70" s="5"/>
      <c r="E70" s="5"/>
      <c r="F70" s="5"/>
      <c r="G70" s="5"/>
      <c r="H70" s="5"/>
      <c r="I70" s="5" t="s">
        <v>23</v>
      </c>
      <c r="J70" s="5"/>
      <c r="K70" s="5"/>
      <c r="L70" s="5"/>
      <c r="M70" s="5"/>
      <c r="N70" s="5"/>
      <c r="O70" s="7"/>
      <c r="P70" s="7">
        <f t="shared" si="18"/>
        <v>1</v>
      </c>
      <c r="Q70" s="8">
        <f t="shared" si="19"/>
        <v>3</v>
      </c>
      <c r="R70" s="7"/>
      <c r="S70" s="7">
        <f t="shared" si="20"/>
        <v>0</v>
      </c>
      <c r="T70" s="7">
        <f t="shared" si="21"/>
        <v>0</v>
      </c>
      <c r="U70" s="7">
        <f t="shared" si="22"/>
        <v>0</v>
      </c>
      <c r="V70" s="119">
        <f t="shared" si="23"/>
        <v>0</v>
      </c>
      <c r="W70" s="119">
        <f t="shared" si="24"/>
        <v>0</v>
      </c>
      <c r="X70" s="119">
        <f t="shared" si="25"/>
        <v>0</v>
      </c>
      <c r="Y70" s="119">
        <f t="shared" si="26"/>
        <v>0</v>
      </c>
      <c r="Z70" s="119">
        <f t="shared" si="27"/>
        <v>1</v>
      </c>
      <c r="AA70" s="119">
        <f t="shared" si="28"/>
        <v>0</v>
      </c>
      <c r="AB70" s="119">
        <f t="shared" si="29"/>
        <v>0</v>
      </c>
      <c r="AC70" s="119">
        <f t="shared" si="30"/>
        <v>0</v>
      </c>
      <c r="AD70" s="119">
        <f t="shared" si="31"/>
        <v>0</v>
      </c>
      <c r="AE70" s="119">
        <f t="shared" si="32"/>
        <v>0</v>
      </c>
      <c r="AF70" s="7"/>
      <c r="AG70" s="7"/>
      <c r="AH70" s="7">
        <f t="shared" si="33"/>
        <v>1</v>
      </c>
      <c r="AI70" s="7">
        <f t="shared" si="34"/>
        <v>1</v>
      </c>
      <c r="AJ70" s="7" t="str">
        <f t="shared" si="35"/>
        <v>Correct</v>
      </c>
      <c r="AK70" s="7"/>
      <c r="AL70" s="120" t="str">
        <f>IFERROR(VLOOKUP(Table1[RespondentID],'All Data'!$A$3:$CO$999,87,FALSE),"unknown")</f>
        <v>Woman</v>
      </c>
      <c r="AM70" s="120">
        <f>IFERROR(VLOOKUP(Table1[RespondentID],'All Data'!$A$3:$CO$999,88,FALSE),"unknown")</f>
        <v>42</v>
      </c>
      <c r="AN70" s="120" t="str">
        <f>IFERROR(VLOOKUP(Table1[RespondentID],'All Data'!$A$3:$CO$999,89,FALSE),"unknown")</f>
        <v>Suffolk</v>
      </c>
      <c r="AO70" s="120" t="str">
        <f>IFERROR(VLOOKUP(Table1[RespondentID],'All Data'!$A$3:$CO$999,90,FALSE),"unknown")</f>
        <v>Commack, 11725</v>
      </c>
      <c r="AP70" s="120" t="str">
        <f>IFERROR(VLOOKUP(Table1[RespondentID],'All Data'!$A$3:$CO$999,91,FALSE),"unknown")</f>
        <v>Asian</v>
      </c>
      <c r="AQ70" s="120">
        <f>IFERROR(VLOOKUP(Table1[RespondentID],'All Data'!$A$3:$CO$999,92,FALSE),"unknown")</f>
        <v>0</v>
      </c>
      <c r="AR70" s="120">
        <f>IFERROR(VLOOKUP(Table1[RespondentID],'All Data'!$A$3:$CO$999,93,FALSE),"unknown")</f>
        <v>0</v>
      </c>
      <c r="AS70" s="120" t="str">
        <f>IFERROR(VLOOKUP(Table1[RespondentID],'All Data'!$A$3:$CW$999,94,FALSE),"unknown")</f>
        <v>Over $125,000</v>
      </c>
      <c r="AT70" s="120" t="str">
        <f>IFERROR(VLOOKUP(Table1[RespondentID],'All Data'!$A$3:$CW$999,95,FALSE),"unknown")</f>
        <v>Graduate school</v>
      </c>
      <c r="AU70" s="120" t="str">
        <f>IFERROR(VLOOKUP(Table1[RespondentID],'All Data'!$A$3:$CW$999,96,FALSE),"unknown")</f>
        <v>Out of work, but not currently looking</v>
      </c>
      <c r="AV70" s="120" t="str">
        <f>IFERROR(VLOOKUP(Table1[RespondentID],'All Data'!$A$3:$CW$999,97,FALSE),"unknown")</f>
        <v>Yes</v>
      </c>
      <c r="AW70" s="120">
        <f>IFERROR(VLOOKUP(Table1[RespondentID],'All Data'!$A$3:$CW$999,98,FALSE),"unknown")</f>
        <v>0</v>
      </c>
      <c r="AX70" s="120">
        <f>IFERROR(VLOOKUP(Table1[RespondentID],'All Data'!$A$3:$CW$999,99,FALSE),"unknown")</f>
        <v>0</v>
      </c>
    </row>
    <row r="71" spans="1:50">
      <c r="A71" s="5">
        <v>18025178212</v>
      </c>
      <c r="B71" s="5"/>
      <c r="C71" s="5"/>
      <c r="D71" s="5"/>
      <c r="E71" s="5"/>
      <c r="F71" s="5"/>
      <c r="G71" s="5" t="s">
        <v>21</v>
      </c>
      <c r="H71" s="5"/>
      <c r="I71" s="5" t="s">
        <v>23</v>
      </c>
      <c r="J71" s="5"/>
      <c r="K71" s="5"/>
      <c r="L71" s="5"/>
      <c r="M71" s="5"/>
      <c r="N71" s="5"/>
      <c r="O71" s="7"/>
      <c r="P71" s="7">
        <f t="shared" si="18"/>
        <v>2</v>
      </c>
      <c r="Q71" s="9">
        <f t="shared" si="19"/>
        <v>1.5</v>
      </c>
      <c r="R71" s="7"/>
      <c r="S71" s="7">
        <f t="shared" si="20"/>
        <v>0</v>
      </c>
      <c r="T71" s="7">
        <f t="shared" si="21"/>
        <v>0</v>
      </c>
      <c r="U71" s="7">
        <f t="shared" si="22"/>
        <v>0</v>
      </c>
      <c r="V71" s="119">
        <f t="shared" si="23"/>
        <v>0</v>
      </c>
      <c r="W71" s="119">
        <f t="shared" si="24"/>
        <v>0</v>
      </c>
      <c r="X71" s="119">
        <f t="shared" si="25"/>
        <v>1</v>
      </c>
      <c r="Y71" s="119">
        <f t="shared" si="26"/>
        <v>0</v>
      </c>
      <c r="Z71" s="119">
        <f t="shared" si="27"/>
        <v>1</v>
      </c>
      <c r="AA71" s="119">
        <f t="shared" si="28"/>
        <v>0</v>
      </c>
      <c r="AB71" s="119">
        <f t="shared" si="29"/>
        <v>0</v>
      </c>
      <c r="AC71" s="119">
        <f t="shared" si="30"/>
        <v>0</v>
      </c>
      <c r="AD71" s="119">
        <f t="shared" si="31"/>
        <v>0</v>
      </c>
      <c r="AE71" s="119">
        <f t="shared" si="32"/>
        <v>0</v>
      </c>
      <c r="AF71" s="7"/>
      <c r="AG71" s="7"/>
      <c r="AH71" s="7">
        <f t="shared" si="33"/>
        <v>2</v>
      </c>
      <c r="AI71" s="7">
        <f t="shared" si="34"/>
        <v>2</v>
      </c>
      <c r="AJ71" s="7" t="str">
        <f t="shared" si="35"/>
        <v>Correct</v>
      </c>
      <c r="AK71" s="7"/>
      <c r="AL71" s="120" t="str">
        <f>IFERROR(VLOOKUP(Table1[RespondentID],'All Data'!$A$3:$CO$999,87,FALSE),"unknown")</f>
        <v>Woman</v>
      </c>
      <c r="AM71" s="120">
        <f>IFERROR(VLOOKUP(Table1[RespondentID],'All Data'!$A$3:$CO$999,88,FALSE),"unknown")</f>
        <v>46</v>
      </c>
      <c r="AN71" s="120" t="str">
        <f>IFERROR(VLOOKUP(Table1[RespondentID],'All Data'!$A$3:$CO$999,89,FALSE),"unknown")</f>
        <v>Suffolk</v>
      </c>
      <c r="AO71" s="120" t="str">
        <f>IFERROR(VLOOKUP(Table1[RespondentID],'All Data'!$A$3:$CO$999,90,FALSE),"unknown")</f>
        <v>East Northport, 11731</v>
      </c>
      <c r="AP71" s="120" t="str">
        <f>IFERROR(VLOOKUP(Table1[RespondentID],'All Data'!$A$3:$CO$999,91,FALSE),"unknown")</f>
        <v>Asian</v>
      </c>
      <c r="AQ71" s="120" t="str">
        <f>IFERROR(VLOOKUP(Table1[RespondentID],'All Data'!$A$3:$CO$999,92,FALSE),"unknown")</f>
        <v>Not Hispanic or Latino</v>
      </c>
      <c r="AR71" s="120">
        <f>IFERROR(VLOOKUP(Table1[RespondentID],'All Data'!$A$3:$CO$999,93,FALSE),"unknown")</f>
        <v>0</v>
      </c>
      <c r="AS71" s="120" t="str">
        <f>IFERROR(VLOOKUP(Table1[RespondentID],'All Data'!$A$3:$CW$999,94,FALSE),"unknown")</f>
        <v>$75,000 to $125,000</v>
      </c>
      <c r="AT71" s="120" t="str">
        <f>IFERROR(VLOOKUP(Table1[RespondentID],'All Data'!$A$3:$CW$999,95,FALSE),"unknown")</f>
        <v>Graduate school</v>
      </c>
      <c r="AU71" s="120" t="str">
        <f>IFERROR(VLOOKUP(Table1[RespondentID],'All Data'!$A$3:$CW$999,96,FALSE),"unknown")</f>
        <v>Out of work, but not currently looking</v>
      </c>
      <c r="AV71" s="120" t="str">
        <f>IFERROR(VLOOKUP(Table1[RespondentID],'All Data'!$A$3:$CW$999,97,FALSE),"unknown")</f>
        <v>Yes</v>
      </c>
      <c r="AW71" s="120">
        <f>IFERROR(VLOOKUP(Table1[RespondentID],'All Data'!$A$3:$CW$999,98,FALSE),"unknown")</f>
        <v>0</v>
      </c>
      <c r="AX71" s="120">
        <f>IFERROR(VLOOKUP(Table1[RespondentID],'All Data'!$A$3:$CW$999,99,FALSE),"unknown")</f>
        <v>0</v>
      </c>
    </row>
    <row r="72" spans="1:50">
      <c r="A72" s="5">
        <v>18025178011</v>
      </c>
      <c r="B72" s="5"/>
      <c r="C72" s="5"/>
      <c r="D72" s="5" t="s">
        <v>18</v>
      </c>
      <c r="E72" s="5" t="s">
        <v>19</v>
      </c>
      <c r="F72" s="5"/>
      <c r="G72" s="5"/>
      <c r="H72" s="5"/>
      <c r="I72" s="5"/>
      <c r="J72" s="5"/>
      <c r="K72" s="5"/>
      <c r="L72" s="5"/>
      <c r="M72" s="5" t="s">
        <v>27</v>
      </c>
      <c r="N72" s="5"/>
      <c r="O72" s="7"/>
      <c r="P72" s="7">
        <f t="shared" si="18"/>
        <v>3</v>
      </c>
      <c r="Q72" s="8">
        <f t="shared" si="19"/>
        <v>1</v>
      </c>
      <c r="R72" s="7"/>
      <c r="S72" s="7">
        <f t="shared" si="20"/>
        <v>0</v>
      </c>
      <c r="T72" s="7">
        <f t="shared" si="21"/>
        <v>0</v>
      </c>
      <c r="U72" s="7">
        <f t="shared" si="22"/>
        <v>1</v>
      </c>
      <c r="V72" s="119">
        <f t="shared" si="23"/>
        <v>1</v>
      </c>
      <c r="W72" s="119">
        <f t="shared" si="24"/>
        <v>0</v>
      </c>
      <c r="X72" s="119">
        <f t="shared" si="25"/>
        <v>0</v>
      </c>
      <c r="Y72" s="119">
        <f t="shared" si="26"/>
        <v>0</v>
      </c>
      <c r="Z72" s="119">
        <f t="shared" si="27"/>
        <v>0</v>
      </c>
      <c r="AA72" s="119">
        <f t="shared" si="28"/>
        <v>0</v>
      </c>
      <c r="AB72" s="119">
        <f t="shared" si="29"/>
        <v>0</v>
      </c>
      <c r="AC72" s="119">
        <f t="shared" si="30"/>
        <v>0</v>
      </c>
      <c r="AD72" s="119">
        <f t="shared" si="31"/>
        <v>1</v>
      </c>
      <c r="AE72" s="119">
        <f t="shared" si="32"/>
        <v>0</v>
      </c>
      <c r="AF72" s="7"/>
      <c r="AG72" s="7"/>
      <c r="AH72" s="7">
        <f t="shared" si="33"/>
        <v>3</v>
      </c>
      <c r="AI72" s="7">
        <f t="shared" si="34"/>
        <v>3</v>
      </c>
      <c r="AJ72" s="7" t="str">
        <f t="shared" si="35"/>
        <v>Correct</v>
      </c>
      <c r="AK72" s="7"/>
      <c r="AL72" s="120" t="str">
        <f>IFERROR(VLOOKUP(Table1[RespondentID],'All Data'!$A$3:$CO$999,87,FALSE),"unknown")</f>
        <v>Man</v>
      </c>
      <c r="AM72" s="120">
        <f>IFERROR(VLOOKUP(Table1[RespondentID],'All Data'!$A$3:$CO$999,88,FALSE),"unknown")</f>
        <v>52</v>
      </c>
      <c r="AN72" s="120" t="str">
        <f>IFERROR(VLOOKUP(Table1[RespondentID],'All Data'!$A$3:$CO$999,89,FALSE),"unknown")</f>
        <v>Suffolk</v>
      </c>
      <c r="AO72" s="120" t="str">
        <f>IFERROR(VLOOKUP(Table1[RespondentID],'All Data'!$A$3:$CO$999,90,FALSE),"unknown")</f>
        <v>East Northport, 11731</v>
      </c>
      <c r="AP72" s="120" t="str">
        <f>IFERROR(VLOOKUP(Table1[RespondentID],'All Data'!$A$3:$CO$999,91,FALSE),"unknown")</f>
        <v>Asian</v>
      </c>
      <c r="AQ72" s="120" t="str">
        <f>IFERROR(VLOOKUP(Table1[RespondentID],'All Data'!$A$3:$CO$999,92,FALSE),"unknown")</f>
        <v>Not Hispanic or Latino</v>
      </c>
      <c r="AR72" s="120">
        <f>IFERROR(VLOOKUP(Table1[RespondentID],'All Data'!$A$3:$CO$999,93,FALSE),"unknown")</f>
        <v>0</v>
      </c>
      <c r="AS72" s="120" t="str">
        <f>IFERROR(VLOOKUP(Table1[RespondentID],'All Data'!$A$3:$CW$999,94,FALSE),"unknown")</f>
        <v>Over $125,000</v>
      </c>
      <c r="AT72" s="120" t="str">
        <f>IFERROR(VLOOKUP(Table1[RespondentID],'All Data'!$A$3:$CW$999,95,FALSE),"unknown")</f>
        <v>College graduate</v>
      </c>
      <c r="AU72" s="120" t="str">
        <f>IFERROR(VLOOKUP(Table1[RespondentID],'All Data'!$A$3:$CW$999,96,FALSE),"unknown")</f>
        <v>Self-employed</v>
      </c>
      <c r="AV72" s="120" t="str">
        <f>IFERROR(VLOOKUP(Table1[RespondentID],'All Data'!$A$3:$CW$999,97,FALSE),"unknown")</f>
        <v>Yes</v>
      </c>
      <c r="AW72" s="120">
        <f>IFERROR(VLOOKUP(Table1[RespondentID],'All Data'!$A$3:$CW$999,98,FALSE),"unknown")</f>
        <v>0</v>
      </c>
      <c r="AX72" s="120">
        <f>IFERROR(VLOOKUP(Table1[RespondentID],'All Data'!$A$3:$CW$999,99,FALSE),"unknown")</f>
        <v>0</v>
      </c>
    </row>
    <row r="73" spans="1:50">
      <c r="A73" s="5">
        <v>18025177820</v>
      </c>
      <c r="B73" s="5"/>
      <c r="C73" s="5"/>
      <c r="D73" s="5"/>
      <c r="E73" s="5"/>
      <c r="F73" s="5"/>
      <c r="G73" s="5"/>
      <c r="H73" s="5"/>
      <c r="I73" s="5" t="s">
        <v>23</v>
      </c>
      <c r="J73" s="5"/>
      <c r="K73" s="5" t="s">
        <v>25</v>
      </c>
      <c r="L73" s="5"/>
      <c r="M73" s="5"/>
      <c r="N73" s="5"/>
      <c r="O73" s="7"/>
      <c r="P73" s="7">
        <f t="shared" si="18"/>
        <v>2</v>
      </c>
      <c r="Q73" s="9">
        <f t="shared" si="19"/>
        <v>1.5</v>
      </c>
      <c r="R73" s="7"/>
      <c r="S73" s="7">
        <f t="shared" si="20"/>
        <v>0</v>
      </c>
      <c r="T73" s="7">
        <f t="shared" si="21"/>
        <v>0</v>
      </c>
      <c r="U73" s="7">
        <f t="shared" si="22"/>
        <v>0</v>
      </c>
      <c r="V73" s="119">
        <f t="shared" si="23"/>
        <v>0</v>
      </c>
      <c r="W73" s="119">
        <f t="shared" si="24"/>
        <v>0</v>
      </c>
      <c r="X73" s="119">
        <f t="shared" si="25"/>
        <v>0</v>
      </c>
      <c r="Y73" s="119">
        <f t="shared" si="26"/>
        <v>0</v>
      </c>
      <c r="Z73" s="119">
        <f t="shared" si="27"/>
        <v>1</v>
      </c>
      <c r="AA73" s="119">
        <f t="shared" si="28"/>
        <v>0</v>
      </c>
      <c r="AB73" s="119">
        <f t="shared" si="29"/>
        <v>1</v>
      </c>
      <c r="AC73" s="119">
        <f t="shared" si="30"/>
        <v>0</v>
      </c>
      <c r="AD73" s="119">
        <f t="shared" si="31"/>
        <v>0</v>
      </c>
      <c r="AE73" s="119">
        <f t="shared" si="32"/>
        <v>0</v>
      </c>
      <c r="AF73" s="7"/>
      <c r="AG73" s="7"/>
      <c r="AH73" s="7">
        <f t="shared" si="33"/>
        <v>2</v>
      </c>
      <c r="AI73" s="7">
        <f t="shared" si="34"/>
        <v>2</v>
      </c>
      <c r="AJ73" s="7" t="str">
        <f t="shared" si="35"/>
        <v>Correct</v>
      </c>
      <c r="AK73" s="7"/>
      <c r="AL73" s="120" t="str">
        <f>IFERROR(VLOOKUP(Table1[RespondentID],'All Data'!$A$3:$CO$999,87,FALSE),"unknown")</f>
        <v>Woman</v>
      </c>
      <c r="AM73" s="120">
        <f>IFERROR(VLOOKUP(Table1[RespondentID],'All Data'!$A$3:$CO$999,88,FALSE),"unknown")</f>
        <v>18</v>
      </c>
      <c r="AN73" s="120" t="str">
        <f>IFERROR(VLOOKUP(Table1[RespondentID],'All Data'!$A$3:$CO$999,89,FALSE),"unknown")</f>
        <v>Suffolk</v>
      </c>
      <c r="AO73" s="120" t="str">
        <f>IFERROR(VLOOKUP(Table1[RespondentID],'All Data'!$A$3:$CO$999,90,FALSE),"unknown")</f>
        <v>East Northport, 11731</v>
      </c>
      <c r="AP73" s="120" t="str">
        <f>IFERROR(VLOOKUP(Table1[RespondentID],'All Data'!$A$3:$CO$999,91,FALSE),"unknown")</f>
        <v>Asian</v>
      </c>
      <c r="AQ73" s="120" t="str">
        <f>IFERROR(VLOOKUP(Table1[RespondentID],'All Data'!$A$3:$CO$999,92,FALSE),"unknown")</f>
        <v>Not Hispanic or Latino</v>
      </c>
      <c r="AR73" s="120">
        <f>IFERROR(VLOOKUP(Table1[RespondentID],'All Data'!$A$3:$CO$999,93,FALSE),"unknown")</f>
        <v>0</v>
      </c>
      <c r="AS73" s="120" t="str">
        <f>IFERROR(VLOOKUP(Table1[RespondentID],'All Data'!$A$3:$CW$999,94,FALSE),"unknown")</f>
        <v>Over $125,000</v>
      </c>
      <c r="AT73" s="120" t="str">
        <f>IFERROR(VLOOKUP(Table1[RespondentID],'All Data'!$A$3:$CW$999,95,FALSE),"unknown")</f>
        <v>Some high school</v>
      </c>
      <c r="AU73" s="120" t="str">
        <f>IFERROR(VLOOKUP(Table1[RespondentID],'All Data'!$A$3:$CW$999,96,FALSE),"unknown")</f>
        <v>Student</v>
      </c>
      <c r="AV73" s="120" t="str">
        <f>IFERROR(VLOOKUP(Table1[RespondentID],'All Data'!$A$3:$CW$999,97,FALSE),"unknown")</f>
        <v>Yes</v>
      </c>
      <c r="AW73" s="120">
        <f>IFERROR(VLOOKUP(Table1[RespondentID],'All Data'!$A$3:$CW$999,98,FALSE),"unknown")</f>
        <v>0</v>
      </c>
      <c r="AX73" s="120">
        <f>IFERROR(VLOOKUP(Table1[RespondentID],'All Data'!$A$3:$CW$999,99,FALSE),"unknown")</f>
        <v>0</v>
      </c>
    </row>
    <row r="74" spans="1:50">
      <c r="A74" s="5">
        <v>18025177600</v>
      </c>
      <c r="B74" s="5"/>
      <c r="C74" s="5"/>
      <c r="D74" s="5"/>
      <c r="E74" s="5"/>
      <c r="F74" s="5"/>
      <c r="G74" s="5"/>
      <c r="H74" s="5"/>
      <c r="I74" s="5"/>
      <c r="J74" s="5"/>
      <c r="K74" s="5"/>
      <c r="L74" s="5"/>
      <c r="M74" s="5"/>
      <c r="N74" s="5"/>
      <c r="O74" s="7"/>
      <c r="P74" s="7">
        <f t="shared" si="18"/>
        <v>0</v>
      </c>
      <c r="Q74" s="8" t="e">
        <f t="shared" si="19"/>
        <v>#DIV/0!</v>
      </c>
      <c r="R74" s="7"/>
      <c r="S74" s="7">
        <f t="shared" si="20"/>
        <v>0</v>
      </c>
      <c r="T74" s="7">
        <f t="shared" si="21"/>
        <v>0</v>
      </c>
      <c r="U74" s="7">
        <f t="shared" si="22"/>
        <v>0</v>
      </c>
      <c r="V74" s="119">
        <f t="shared" si="23"/>
        <v>0</v>
      </c>
      <c r="W74" s="119">
        <f t="shared" si="24"/>
        <v>0</v>
      </c>
      <c r="X74" s="119">
        <f t="shared" si="25"/>
        <v>0</v>
      </c>
      <c r="Y74" s="119">
        <f t="shared" si="26"/>
        <v>0</v>
      </c>
      <c r="Z74" s="119">
        <f t="shared" si="27"/>
        <v>0</v>
      </c>
      <c r="AA74" s="119">
        <f t="shared" si="28"/>
        <v>0</v>
      </c>
      <c r="AB74" s="119">
        <f t="shared" si="29"/>
        <v>0</v>
      </c>
      <c r="AC74" s="119">
        <f t="shared" si="30"/>
        <v>0</v>
      </c>
      <c r="AD74" s="119">
        <f t="shared" si="31"/>
        <v>0</v>
      </c>
      <c r="AE74" s="119">
        <f t="shared" si="32"/>
        <v>0</v>
      </c>
      <c r="AF74" s="7"/>
      <c r="AG74" s="7"/>
      <c r="AH74" s="7">
        <f t="shared" si="33"/>
        <v>0</v>
      </c>
      <c r="AI74" s="7">
        <f t="shared" si="34"/>
        <v>0</v>
      </c>
      <c r="AJ74" s="7" t="str">
        <f t="shared" si="35"/>
        <v>Correct</v>
      </c>
      <c r="AK74" s="7"/>
      <c r="AL74" s="120" t="str">
        <f>IFERROR(VLOOKUP(Table1[RespondentID],'All Data'!$A$3:$CO$999,87,FALSE),"unknown")</f>
        <v>Woman</v>
      </c>
      <c r="AM74" s="120">
        <f>IFERROR(VLOOKUP(Table1[RespondentID],'All Data'!$A$3:$CO$999,88,FALSE),"unknown")</f>
        <v>62</v>
      </c>
      <c r="AN74" s="120" t="str">
        <f>IFERROR(VLOOKUP(Table1[RespondentID],'All Data'!$A$3:$CO$999,89,FALSE),"unknown")</f>
        <v>Suffolk</v>
      </c>
      <c r="AO74" s="120" t="str">
        <f>IFERROR(VLOOKUP(Table1[RespondentID],'All Data'!$A$3:$CO$999,90,FALSE),"unknown")</f>
        <v>Kings Park, 11754</v>
      </c>
      <c r="AP74" s="120" t="str">
        <f>IFERROR(VLOOKUP(Table1[RespondentID],'All Data'!$A$3:$CO$999,91,FALSE),"unknown")</f>
        <v>White</v>
      </c>
      <c r="AQ74" s="120" t="str">
        <f>IFERROR(VLOOKUP(Table1[RespondentID],'All Data'!$A$3:$CO$999,92,FALSE),"unknown")</f>
        <v>Not Hispanic or Latino</v>
      </c>
      <c r="AR74" s="120">
        <f>IFERROR(VLOOKUP(Table1[RespondentID],'All Data'!$A$3:$CO$999,93,FALSE),"unknown")</f>
        <v>0</v>
      </c>
      <c r="AS74" s="120" t="str">
        <f>IFERROR(VLOOKUP(Table1[RespondentID],'All Data'!$A$3:$CW$999,94,FALSE),"unknown")</f>
        <v>Over $125,000</v>
      </c>
      <c r="AT74" s="120" t="str">
        <f>IFERROR(VLOOKUP(Table1[RespondentID],'All Data'!$A$3:$CW$999,95,FALSE),"unknown")</f>
        <v>Some college</v>
      </c>
      <c r="AU74" s="120" t="str">
        <f>IFERROR(VLOOKUP(Table1[RespondentID],'All Data'!$A$3:$CW$999,96,FALSE),"unknown")</f>
        <v>Self-employed</v>
      </c>
      <c r="AV74" s="120" t="str">
        <f>IFERROR(VLOOKUP(Table1[RespondentID],'All Data'!$A$3:$CW$999,97,FALSE),"unknown")</f>
        <v>Yes</v>
      </c>
      <c r="AW74" s="120" t="str">
        <f>IFERROR(VLOOKUP(Table1[RespondentID],'All Data'!$A$3:$CW$999,98,FALSE),"unknown")</f>
        <v>Private/Commercial</v>
      </c>
      <c r="AX74" s="120">
        <f>IFERROR(VLOOKUP(Table1[RespondentID],'All Data'!$A$3:$CW$999,99,FALSE),"unknown")</f>
        <v>0</v>
      </c>
    </row>
    <row r="75" spans="1:50">
      <c r="A75" s="5">
        <v>18025177479</v>
      </c>
      <c r="B75" s="5" t="s">
        <v>16</v>
      </c>
      <c r="C75" s="5"/>
      <c r="D75" s="5"/>
      <c r="E75" s="5"/>
      <c r="F75" s="5"/>
      <c r="G75" s="5"/>
      <c r="H75" s="5"/>
      <c r="I75" s="5"/>
      <c r="J75" s="5"/>
      <c r="K75" s="5"/>
      <c r="L75" s="5"/>
      <c r="M75" s="5"/>
      <c r="N75" s="5" t="s">
        <v>28</v>
      </c>
      <c r="O75" s="7"/>
      <c r="P75" s="7">
        <f t="shared" si="18"/>
        <v>2</v>
      </c>
      <c r="Q75" s="9">
        <f t="shared" si="19"/>
        <v>1.5</v>
      </c>
      <c r="R75" s="7"/>
      <c r="S75" s="7">
        <f t="shared" si="20"/>
        <v>1</v>
      </c>
      <c r="T75" s="7">
        <f t="shared" si="21"/>
        <v>0</v>
      </c>
      <c r="U75" s="7">
        <f t="shared" si="22"/>
        <v>0</v>
      </c>
      <c r="V75" s="119">
        <f t="shared" si="23"/>
        <v>0</v>
      </c>
      <c r="W75" s="119">
        <f t="shared" si="24"/>
        <v>0</v>
      </c>
      <c r="X75" s="119">
        <f t="shared" si="25"/>
        <v>0</v>
      </c>
      <c r="Y75" s="119">
        <f t="shared" si="26"/>
        <v>0</v>
      </c>
      <c r="Z75" s="119">
        <f t="shared" si="27"/>
        <v>0</v>
      </c>
      <c r="AA75" s="119">
        <f t="shared" si="28"/>
        <v>0</v>
      </c>
      <c r="AB75" s="119">
        <f t="shared" si="29"/>
        <v>0</v>
      </c>
      <c r="AC75" s="119">
        <f t="shared" si="30"/>
        <v>0</v>
      </c>
      <c r="AD75" s="119">
        <f t="shared" si="31"/>
        <v>0</v>
      </c>
      <c r="AE75" s="119">
        <f t="shared" si="32"/>
        <v>1</v>
      </c>
      <c r="AF75" s="7"/>
      <c r="AG75" s="7"/>
      <c r="AH75" s="7">
        <f t="shared" si="33"/>
        <v>2</v>
      </c>
      <c r="AI75" s="7">
        <f t="shared" si="34"/>
        <v>2</v>
      </c>
      <c r="AJ75" s="7" t="str">
        <f t="shared" si="35"/>
        <v>Correct</v>
      </c>
      <c r="AK75" s="7"/>
      <c r="AL75" s="120" t="str">
        <f>IFERROR(VLOOKUP(Table1[RespondentID],'All Data'!$A$3:$CO$999,87,FALSE),"unknown")</f>
        <v>Man</v>
      </c>
      <c r="AM75" s="120">
        <f>IFERROR(VLOOKUP(Table1[RespondentID],'All Data'!$A$3:$CO$999,88,FALSE),"unknown")</f>
        <v>64</v>
      </c>
      <c r="AN75" s="120" t="str">
        <f>IFERROR(VLOOKUP(Table1[RespondentID],'All Data'!$A$3:$CO$999,89,FALSE),"unknown")</f>
        <v>Suffolk</v>
      </c>
      <c r="AO75" s="120" t="str">
        <f>IFERROR(VLOOKUP(Table1[RespondentID],'All Data'!$A$3:$CO$999,90,FALSE),"unknown")</f>
        <v>Farmingville, 11738</v>
      </c>
      <c r="AP75" s="120" t="str">
        <f>IFERROR(VLOOKUP(Table1[RespondentID],'All Data'!$A$3:$CO$999,91,FALSE),"unknown")</f>
        <v>White</v>
      </c>
      <c r="AQ75" s="120" t="str">
        <f>IFERROR(VLOOKUP(Table1[RespondentID],'All Data'!$A$3:$CO$999,92,FALSE),"unknown")</f>
        <v>Not Hispanic or Latino</v>
      </c>
      <c r="AR75" s="120" t="str">
        <f>IFERROR(VLOOKUP(Table1[RespondentID],'All Data'!$A$3:$CO$999,93,FALSE),"unknown")</f>
        <v>English</v>
      </c>
      <c r="AS75" s="120" t="str">
        <f>IFERROR(VLOOKUP(Table1[RespondentID],'All Data'!$A$3:$CW$999,94,FALSE),"unknown")</f>
        <v>$75,000 to $125,000</v>
      </c>
      <c r="AT75" s="120" t="str">
        <f>IFERROR(VLOOKUP(Table1[RespondentID],'All Data'!$A$3:$CW$999,95,FALSE),"unknown")</f>
        <v>Graduate school</v>
      </c>
      <c r="AU75" s="120" t="str">
        <f>IFERROR(VLOOKUP(Table1[RespondentID],'All Data'!$A$3:$CW$999,96,FALSE),"unknown")</f>
        <v>Retired</v>
      </c>
      <c r="AV75" s="120" t="str">
        <f>IFERROR(VLOOKUP(Table1[RespondentID],'All Data'!$A$3:$CW$999,97,FALSE),"unknown")</f>
        <v>Yes</v>
      </c>
      <c r="AW75" s="120" t="str">
        <f>IFERROR(VLOOKUP(Table1[RespondentID],'All Data'!$A$3:$CW$999,98,FALSE),"unknown")</f>
        <v>Medicare</v>
      </c>
      <c r="AX75" s="120">
        <f>IFERROR(VLOOKUP(Table1[RespondentID],'All Data'!$A$3:$CW$999,99,FALSE),"unknown")</f>
        <v>0</v>
      </c>
    </row>
    <row r="76" spans="1:50">
      <c r="A76" s="5">
        <v>18025177067</v>
      </c>
      <c r="B76" s="5"/>
      <c r="C76" s="5"/>
      <c r="D76" s="5"/>
      <c r="E76" s="5"/>
      <c r="F76" s="5"/>
      <c r="G76" s="5"/>
      <c r="H76" s="5"/>
      <c r="I76" s="5"/>
      <c r="J76" s="5"/>
      <c r="K76" s="5"/>
      <c r="L76" s="5"/>
      <c r="M76" s="5"/>
      <c r="N76" s="5" t="s">
        <v>28</v>
      </c>
      <c r="O76" s="7"/>
      <c r="P76" s="7">
        <f t="shared" si="18"/>
        <v>1</v>
      </c>
      <c r="Q76" s="8">
        <f t="shared" si="19"/>
        <v>3</v>
      </c>
      <c r="R76" s="7"/>
      <c r="S76" s="7">
        <f t="shared" si="20"/>
        <v>0</v>
      </c>
      <c r="T76" s="7">
        <f t="shared" si="21"/>
        <v>0</v>
      </c>
      <c r="U76" s="7">
        <f t="shared" si="22"/>
        <v>0</v>
      </c>
      <c r="V76" s="119">
        <f t="shared" si="23"/>
        <v>0</v>
      </c>
      <c r="W76" s="119">
        <f t="shared" si="24"/>
        <v>0</v>
      </c>
      <c r="X76" s="119">
        <f t="shared" si="25"/>
        <v>0</v>
      </c>
      <c r="Y76" s="119">
        <f t="shared" si="26"/>
        <v>0</v>
      </c>
      <c r="Z76" s="119">
        <f t="shared" si="27"/>
        <v>0</v>
      </c>
      <c r="AA76" s="119">
        <f t="shared" si="28"/>
        <v>0</v>
      </c>
      <c r="AB76" s="119">
        <f t="shared" si="29"/>
        <v>0</v>
      </c>
      <c r="AC76" s="119">
        <f t="shared" si="30"/>
        <v>0</v>
      </c>
      <c r="AD76" s="119">
        <f t="shared" si="31"/>
        <v>0</v>
      </c>
      <c r="AE76" s="119">
        <f t="shared" si="32"/>
        <v>1</v>
      </c>
      <c r="AF76" s="7"/>
      <c r="AG76" s="7"/>
      <c r="AH76" s="7">
        <f t="shared" si="33"/>
        <v>1</v>
      </c>
      <c r="AI76" s="7">
        <f t="shared" si="34"/>
        <v>1</v>
      </c>
      <c r="AJ76" s="7" t="str">
        <f t="shared" si="35"/>
        <v>Correct</v>
      </c>
      <c r="AK76" s="7"/>
      <c r="AL76" s="120" t="str">
        <f>IFERROR(VLOOKUP(Table1[RespondentID],'All Data'!$A$3:$CO$999,87,FALSE),"unknown")</f>
        <v>Man</v>
      </c>
      <c r="AM76" s="120">
        <f>IFERROR(VLOOKUP(Table1[RespondentID],'All Data'!$A$3:$CO$999,88,FALSE),"unknown")</f>
        <v>36</v>
      </c>
      <c r="AN76" s="120" t="str">
        <f>IFERROR(VLOOKUP(Table1[RespondentID],'All Data'!$A$3:$CO$999,89,FALSE),"unknown")</f>
        <v>Suffolk</v>
      </c>
      <c r="AO76" s="120" t="str">
        <f>IFERROR(VLOOKUP(Table1[RespondentID],'All Data'!$A$3:$CO$999,90,FALSE),"unknown")</f>
        <v>Wading River, 11792</v>
      </c>
      <c r="AP76" s="120" t="str">
        <f>IFERROR(VLOOKUP(Table1[RespondentID],'All Data'!$A$3:$CO$999,91,FALSE),"unknown")</f>
        <v>Two or more races</v>
      </c>
      <c r="AQ76" s="120" t="str">
        <f>IFERROR(VLOOKUP(Table1[RespondentID],'All Data'!$A$3:$CO$999,92,FALSE),"unknown")</f>
        <v>Hispanic or Latino</v>
      </c>
      <c r="AR76" s="120" t="str">
        <f>IFERROR(VLOOKUP(Table1[RespondentID],'All Data'!$A$3:$CO$999,93,FALSE),"unknown")</f>
        <v>English</v>
      </c>
      <c r="AS76" s="120" t="str">
        <f>IFERROR(VLOOKUP(Table1[RespondentID],'All Data'!$A$3:$CW$999,94,FALSE),"unknown")</f>
        <v>$50,000 to $74,999</v>
      </c>
      <c r="AT76" s="120" t="str">
        <f>IFERROR(VLOOKUP(Table1[RespondentID],'All Data'!$A$3:$CW$999,95,FALSE),"unknown")</f>
        <v>College graduate</v>
      </c>
      <c r="AU76" s="120" t="str">
        <f>IFERROR(VLOOKUP(Table1[RespondentID],'All Data'!$A$3:$CW$999,96,FALSE),"unknown")</f>
        <v>Self-employed</v>
      </c>
      <c r="AV76" s="120" t="str">
        <f>IFERROR(VLOOKUP(Table1[RespondentID],'All Data'!$A$3:$CW$999,97,FALSE),"unknown")</f>
        <v>Yes</v>
      </c>
      <c r="AW76" s="120" t="str">
        <f>IFERROR(VLOOKUP(Table1[RespondentID],'All Data'!$A$3:$CW$999,98,FALSE),"unknown")</f>
        <v>Private/Commercial</v>
      </c>
      <c r="AX76" s="120">
        <f>IFERROR(VLOOKUP(Table1[RespondentID],'All Data'!$A$3:$CW$999,99,FALSE),"unknown")</f>
        <v>0</v>
      </c>
    </row>
    <row r="77" spans="1:50">
      <c r="A77" s="5">
        <v>18024285770</v>
      </c>
      <c r="B77" s="5"/>
      <c r="C77" s="5"/>
      <c r="D77" s="5"/>
      <c r="E77" s="5"/>
      <c r="F77" s="5"/>
      <c r="G77" s="5"/>
      <c r="H77" s="5"/>
      <c r="I77" s="5"/>
      <c r="J77" s="5"/>
      <c r="K77" s="5" t="s">
        <v>25</v>
      </c>
      <c r="L77" s="5"/>
      <c r="M77" s="5"/>
      <c r="N77" s="5"/>
      <c r="O77" s="7"/>
      <c r="P77" s="7">
        <f t="shared" si="18"/>
        <v>1</v>
      </c>
      <c r="Q77" s="9">
        <f t="shared" si="19"/>
        <v>3</v>
      </c>
      <c r="R77" s="7"/>
      <c r="S77" s="7">
        <f t="shared" si="20"/>
        <v>0</v>
      </c>
      <c r="T77" s="7">
        <f t="shared" si="21"/>
        <v>0</v>
      </c>
      <c r="U77" s="7">
        <f t="shared" si="22"/>
        <v>0</v>
      </c>
      <c r="V77" s="119">
        <f t="shared" si="23"/>
        <v>0</v>
      </c>
      <c r="W77" s="119">
        <f t="shared" si="24"/>
        <v>0</v>
      </c>
      <c r="X77" s="119">
        <f t="shared" si="25"/>
        <v>0</v>
      </c>
      <c r="Y77" s="119">
        <f t="shared" si="26"/>
        <v>0</v>
      </c>
      <c r="Z77" s="119">
        <f t="shared" si="27"/>
        <v>0</v>
      </c>
      <c r="AA77" s="119">
        <f t="shared" si="28"/>
        <v>0</v>
      </c>
      <c r="AB77" s="119">
        <f t="shared" si="29"/>
        <v>1</v>
      </c>
      <c r="AC77" s="119">
        <f t="shared" si="30"/>
        <v>0</v>
      </c>
      <c r="AD77" s="119">
        <f t="shared" si="31"/>
        <v>0</v>
      </c>
      <c r="AE77" s="119">
        <f t="shared" si="32"/>
        <v>0</v>
      </c>
      <c r="AF77" s="7"/>
      <c r="AG77" s="7"/>
      <c r="AH77" s="7">
        <f t="shared" si="33"/>
        <v>1</v>
      </c>
      <c r="AI77" s="7">
        <f t="shared" si="34"/>
        <v>1</v>
      </c>
      <c r="AJ77" s="7" t="str">
        <f t="shared" si="35"/>
        <v>Correct</v>
      </c>
      <c r="AK77" s="7"/>
      <c r="AL77" s="120" t="str">
        <f>IFERROR(VLOOKUP(Table1[RespondentID],'All Data'!$A$3:$CO$999,87,FALSE),"unknown")</f>
        <v>Man</v>
      </c>
      <c r="AM77" s="120">
        <f>IFERROR(VLOOKUP(Table1[RespondentID],'All Data'!$A$3:$CO$999,88,FALSE),"unknown")</f>
        <v>0</v>
      </c>
      <c r="AN77" s="120" t="str">
        <f>IFERROR(VLOOKUP(Table1[RespondentID],'All Data'!$A$3:$CO$999,89,FALSE),"unknown")</f>
        <v>Suffolk</v>
      </c>
      <c r="AO77" s="120" t="str">
        <f>IFERROR(VLOOKUP(Table1[RespondentID],'All Data'!$A$3:$CO$999,90,FALSE),"unknown")</f>
        <v>Smithtown, 11787</v>
      </c>
      <c r="AP77" s="120" t="str">
        <f>IFERROR(VLOOKUP(Table1[RespondentID],'All Data'!$A$3:$CO$999,91,FALSE),"unknown")</f>
        <v>White</v>
      </c>
      <c r="AQ77" s="120" t="str">
        <f>IFERROR(VLOOKUP(Table1[RespondentID],'All Data'!$A$3:$CO$999,92,FALSE),"unknown")</f>
        <v>Not Hispanic or Latino</v>
      </c>
      <c r="AR77" s="120" t="str">
        <f>IFERROR(VLOOKUP(Table1[RespondentID],'All Data'!$A$3:$CO$999,93,FALSE),"unknown")</f>
        <v>English</v>
      </c>
      <c r="AS77" s="120" t="str">
        <f>IFERROR(VLOOKUP(Table1[RespondentID],'All Data'!$A$3:$CW$999,94,FALSE),"unknown")</f>
        <v>$0-$19,999</v>
      </c>
      <c r="AT77" s="120" t="str">
        <f>IFERROR(VLOOKUP(Table1[RespondentID],'All Data'!$A$3:$CW$999,95,FALSE),"unknown")</f>
        <v>High school graduate</v>
      </c>
      <c r="AU77" s="120" t="str">
        <f>IFERROR(VLOOKUP(Table1[RespondentID],'All Data'!$A$3:$CW$999,96,FALSE),"unknown")</f>
        <v>Out of work, but not currently looking</v>
      </c>
      <c r="AV77" s="120" t="str">
        <f>IFERROR(VLOOKUP(Table1[RespondentID],'All Data'!$A$3:$CW$999,97,FALSE),"unknown")</f>
        <v>Yes</v>
      </c>
      <c r="AW77" s="120" t="str">
        <f>IFERROR(VLOOKUP(Table1[RespondentID],'All Data'!$A$3:$CW$999,98,FALSE),"unknown")</f>
        <v>Medicaid</v>
      </c>
      <c r="AX77" s="120" t="str">
        <f>IFERROR(VLOOKUP(Table1[RespondentID],'All Data'!$A$3:$CW$999,99,FALSE),"unknown")</f>
        <v>Yes</v>
      </c>
    </row>
    <row r="78" spans="1:50">
      <c r="A78" s="5">
        <v>18024204548</v>
      </c>
      <c r="B78" s="5"/>
      <c r="C78" s="5"/>
      <c r="D78" s="5"/>
      <c r="E78" s="5"/>
      <c r="F78" s="5"/>
      <c r="G78" s="5"/>
      <c r="H78" s="5"/>
      <c r="I78" s="5"/>
      <c r="J78" s="5"/>
      <c r="K78" s="5"/>
      <c r="L78" s="5"/>
      <c r="M78" s="5"/>
      <c r="N78" s="5"/>
      <c r="O78" s="7"/>
      <c r="P78" s="7">
        <f t="shared" si="18"/>
        <v>0</v>
      </c>
      <c r="Q78" s="8" t="e">
        <f t="shared" si="19"/>
        <v>#DIV/0!</v>
      </c>
      <c r="R78" s="7"/>
      <c r="S78" s="7">
        <f t="shared" si="20"/>
        <v>0</v>
      </c>
      <c r="T78" s="7">
        <f t="shared" si="21"/>
        <v>0</v>
      </c>
      <c r="U78" s="7">
        <f t="shared" si="22"/>
        <v>0</v>
      </c>
      <c r="V78" s="119">
        <f t="shared" si="23"/>
        <v>0</v>
      </c>
      <c r="W78" s="119">
        <f t="shared" si="24"/>
        <v>0</v>
      </c>
      <c r="X78" s="119">
        <f t="shared" si="25"/>
        <v>0</v>
      </c>
      <c r="Y78" s="119">
        <f t="shared" si="26"/>
        <v>0</v>
      </c>
      <c r="Z78" s="119">
        <f t="shared" si="27"/>
        <v>0</v>
      </c>
      <c r="AA78" s="119">
        <f t="shared" si="28"/>
        <v>0</v>
      </c>
      <c r="AB78" s="119">
        <f t="shared" si="29"/>
        <v>0</v>
      </c>
      <c r="AC78" s="119">
        <f t="shared" si="30"/>
        <v>0</v>
      </c>
      <c r="AD78" s="119">
        <f t="shared" si="31"/>
        <v>0</v>
      </c>
      <c r="AE78" s="119">
        <f t="shared" si="32"/>
        <v>0</v>
      </c>
      <c r="AF78" s="7"/>
      <c r="AG78" s="7"/>
      <c r="AH78" s="7">
        <f t="shared" si="33"/>
        <v>0</v>
      </c>
      <c r="AI78" s="7">
        <f t="shared" si="34"/>
        <v>0</v>
      </c>
      <c r="AJ78" s="7" t="str">
        <f t="shared" si="35"/>
        <v>Correct</v>
      </c>
      <c r="AK78" s="7"/>
      <c r="AL78" s="120">
        <f>IFERROR(VLOOKUP(Table1[RespondentID],'All Data'!$A$3:$CO$999,87,FALSE),"unknown")</f>
        <v>0</v>
      </c>
      <c r="AM78" s="120">
        <f>IFERROR(VLOOKUP(Table1[RespondentID],'All Data'!$A$3:$CO$999,88,FALSE),"unknown")</f>
        <v>0</v>
      </c>
      <c r="AN78" s="120">
        <f>IFERROR(VLOOKUP(Table1[RespondentID],'All Data'!$A$3:$CO$999,89,FALSE),"unknown")</f>
        <v>0</v>
      </c>
      <c r="AO78" s="120" t="str">
        <f>IFERROR(VLOOKUP(Table1[RespondentID],'All Data'!$A$3:$CO$999,90,FALSE),"unknown")</f>
        <v>Allenwood, 11021</v>
      </c>
      <c r="AP78" s="120">
        <f>IFERROR(VLOOKUP(Table1[RespondentID],'All Data'!$A$3:$CO$999,91,FALSE),"unknown")</f>
        <v>0</v>
      </c>
      <c r="AQ78" s="120">
        <f>IFERROR(VLOOKUP(Table1[RespondentID],'All Data'!$A$3:$CO$999,92,FALSE),"unknown")</f>
        <v>0</v>
      </c>
      <c r="AR78" s="120">
        <f>IFERROR(VLOOKUP(Table1[RespondentID],'All Data'!$A$3:$CO$999,93,FALSE),"unknown")</f>
        <v>0</v>
      </c>
      <c r="AS78" s="120">
        <f>IFERROR(VLOOKUP(Table1[RespondentID],'All Data'!$A$3:$CW$999,94,FALSE),"unknown")</f>
        <v>0</v>
      </c>
      <c r="AT78" s="120">
        <f>IFERROR(VLOOKUP(Table1[RespondentID],'All Data'!$A$3:$CW$999,95,FALSE),"unknown")</f>
        <v>0</v>
      </c>
      <c r="AU78" s="120">
        <f>IFERROR(VLOOKUP(Table1[RespondentID],'All Data'!$A$3:$CW$999,96,FALSE),"unknown")</f>
        <v>0</v>
      </c>
      <c r="AV78" s="120">
        <f>IFERROR(VLOOKUP(Table1[RespondentID],'All Data'!$A$3:$CW$999,97,FALSE),"unknown")</f>
        <v>0</v>
      </c>
      <c r="AW78" s="120">
        <f>IFERROR(VLOOKUP(Table1[RespondentID],'All Data'!$A$3:$CW$999,98,FALSE),"unknown")</f>
        <v>0</v>
      </c>
      <c r="AX78" s="120">
        <f>IFERROR(VLOOKUP(Table1[RespondentID],'All Data'!$A$3:$CW$999,99,FALSE),"unknown")</f>
        <v>0</v>
      </c>
    </row>
    <row r="79" spans="1:50">
      <c r="A79" s="5">
        <v>18024007695</v>
      </c>
      <c r="B79" s="5"/>
      <c r="C79" s="5"/>
      <c r="D79" s="5"/>
      <c r="E79" s="5"/>
      <c r="F79" s="5"/>
      <c r="G79" s="5"/>
      <c r="H79" s="5"/>
      <c r="I79" s="5"/>
      <c r="J79" s="5"/>
      <c r="K79" s="5"/>
      <c r="L79" s="5"/>
      <c r="M79" s="5"/>
      <c r="N79" s="5"/>
      <c r="O79" s="7"/>
      <c r="P79" s="7">
        <f t="shared" si="18"/>
        <v>0</v>
      </c>
      <c r="Q79" s="9" t="e">
        <f t="shared" si="19"/>
        <v>#DIV/0!</v>
      </c>
      <c r="R79" s="7"/>
      <c r="S79" s="7">
        <f t="shared" si="20"/>
        <v>0</v>
      </c>
      <c r="T79" s="7">
        <f t="shared" si="21"/>
        <v>0</v>
      </c>
      <c r="U79" s="7">
        <f t="shared" si="22"/>
        <v>0</v>
      </c>
      <c r="V79" s="119">
        <f t="shared" si="23"/>
        <v>0</v>
      </c>
      <c r="W79" s="119">
        <f t="shared" si="24"/>
        <v>0</v>
      </c>
      <c r="X79" s="119">
        <f t="shared" si="25"/>
        <v>0</v>
      </c>
      <c r="Y79" s="119">
        <f t="shared" si="26"/>
        <v>0</v>
      </c>
      <c r="Z79" s="119">
        <f t="shared" si="27"/>
        <v>0</v>
      </c>
      <c r="AA79" s="119">
        <f t="shared" si="28"/>
        <v>0</v>
      </c>
      <c r="AB79" s="119">
        <f t="shared" si="29"/>
        <v>0</v>
      </c>
      <c r="AC79" s="119">
        <f t="shared" si="30"/>
        <v>0</v>
      </c>
      <c r="AD79" s="119">
        <f t="shared" si="31"/>
        <v>0</v>
      </c>
      <c r="AE79" s="119">
        <f t="shared" si="32"/>
        <v>0</v>
      </c>
      <c r="AF79" s="7"/>
      <c r="AG79" s="7"/>
      <c r="AH79" s="7">
        <f t="shared" si="33"/>
        <v>0</v>
      </c>
      <c r="AI79" s="7">
        <f t="shared" si="34"/>
        <v>0</v>
      </c>
      <c r="AJ79" s="7" t="str">
        <f t="shared" si="35"/>
        <v>Correct</v>
      </c>
      <c r="AK79" s="7"/>
      <c r="AL79" s="120">
        <f>IFERROR(VLOOKUP(Table1[RespondentID],'All Data'!$A$3:$CO$999,87,FALSE),"unknown")</f>
        <v>0</v>
      </c>
      <c r="AM79" s="120">
        <f>IFERROR(VLOOKUP(Table1[RespondentID],'All Data'!$A$3:$CO$999,88,FALSE),"unknown")</f>
        <v>0</v>
      </c>
      <c r="AN79" s="120">
        <f>IFERROR(VLOOKUP(Table1[RespondentID],'All Data'!$A$3:$CO$999,89,FALSE),"unknown")</f>
        <v>0</v>
      </c>
      <c r="AO79" s="120" t="str">
        <f>IFERROR(VLOOKUP(Table1[RespondentID],'All Data'!$A$3:$CO$999,90,FALSE),"unknown")</f>
        <v>Albertson, 11507</v>
      </c>
      <c r="AP79" s="120">
        <f>IFERROR(VLOOKUP(Table1[RespondentID],'All Data'!$A$3:$CO$999,91,FALSE),"unknown")</f>
        <v>0</v>
      </c>
      <c r="AQ79" s="120">
        <f>IFERROR(VLOOKUP(Table1[RespondentID],'All Data'!$A$3:$CO$999,92,FALSE),"unknown")</f>
        <v>0</v>
      </c>
      <c r="AR79" s="120">
        <f>IFERROR(VLOOKUP(Table1[RespondentID],'All Data'!$A$3:$CO$999,93,FALSE),"unknown")</f>
        <v>0</v>
      </c>
      <c r="AS79" s="120">
        <f>IFERROR(VLOOKUP(Table1[RespondentID],'All Data'!$A$3:$CW$999,94,FALSE),"unknown")</f>
        <v>0</v>
      </c>
      <c r="AT79" s="120">
        <f>IFERROR(VLOOKUP(Table1[RespondentID],'All Data'!$A$3:$CW$999,95,FALSE),"unknown")</f>
        <v>0</v>
      </c>
      <c r="AU79" s="120">
        <f>IFERROR(VLOOKUP(Table1[RespondentID],'All Data'!$A$3:$CW$999,96,FALSE),"unknown")</f>
        <v>0</v>
      </c>
      <c r="AV79" s="120">
        <f>IFERROR(VLOOKUP(Table1[RespondentID],'All Data'!$A$3:$CW$999,97,FALSE),"unknown")</f>
        <v>0</v>
      </c>
      <c r="AW79" s="120">
        <f>IFERROR(VLOOKUP(Table1[RespondentID],'All Data'!$A$3:$CW$999,98,FALSE),"unknown")</f>
        <v>0</v>
      </c>
      <c r="AX79" s="120">
        <f>IFERROR(VLOOKUP(Table1[RespondentID],'All Data'!$A$3:$CW$999,99,FALSE),"unknown")</f>
        <v>0</v>
      </c>
    </row>
    <row r="80" spans="1:50">
      <c r="A80" s="5">
        <v>18023492246</v>
      </c>
      <c r="B80" s="5"/>
      <c r="C80" s="5"/>
      <c r="D80" s="5"/>
      <c r="E80" s="5"/>
      <c r="F80" s="5"/>
      <c r="G80" s="5"/>
      <c r="H80" s="5"/>
      <c r="I80" s="5"/>
      <c r="J80" s="5" t="s">
        <v>24</v>
      </c>
      <c r="K80" s="5"/>
      <c r="L80" s="5"/>
      <c r="M80" s="5"/>
      <c r="N80" s="5"/>
      <c r="O80" s="7"/>
      <c r="P80" s="7">
        <f t="shared" si="18"/>
        <v>1</v>
      </c>
      <c r="Q80" s="8">
        <f t="shared" si="19"/>
        <v>3</v>
      </c>
      <c r="R80" s="7"/>
      <c r="S80" s="7">
        <f t="shared" si="20"/>
        <v>0</v>
      </c>
      <c r="T80" s="7">
        <f t="shared" si="21"/>
        <v>0</v>
      </c>
      <c r="U80" s="7">
        <f t="shared" si="22"/>
        <v>0</v>
      </c>
      <c r="V80" s="119">
        <f t="shared" si="23"/>
        <v>0</v>
      </c>
      <c r="W80" s="119">
        <f t="shared" si="24"/>
        <v>0</v>
      </c>
      <c r="X80" s="119">
        <f t="shared" si="25"/>
        <v>0</v>
      </c>
      <c r="Y80" s="119">
        <f t="shared" si="26"/>
        <v>0</v>
      </c>
      <c r="Z80" s="119">
        <f t="shared" si="27"/>
        <v>0</v>
      </c>
      <c r="AA80" s="119">
        <f t="shared" si="28"/>
        <v>1</v>
      </c>
      <c r="AB80" s="119">
        <f t="shared" si="29"/>
        <v>0</v>
      </c>
      <c r="AC80" s="119">
        <f t="shared" si="30"/>
        <v>0</v>
      </c>
      <c r="AD80" s="119">
        <f t="shared" si="31"/>
        <v>0</v>
      </c>
      <c r="AE80" s="119">
        <f t="shared" si="32"/>
        <v>0</v>
      </c>
      <c r="AF80" s="7"/>
      <c r="AG80" s="7"/>
      <c r="AH80" s="7">
        <f t="shared" si="33"/>
        <v>1</v>
      </c>
      <c r="AI80" s="7">
        <f t="shared" si="34"/>
        <v>1</v>
      </c>
      <c r="AJ80" s="7" t="str">
        <f t="shared" si="35"/>
        <v>Correct</v>
      </c>
      <c r="AK80" s="7"/>
      <c r="AL80" s="120">
        <f>IFERROR(VLOOKUP(Table1[RespondentID],'All Data'!$A$3:$CO$999,87,FALSE),"unknown")</f>
        <v>0</v>
      </c>
      <c r="AM80" s="120">
        <f>IFERROR(VLOOKUP(Table1[RespondentID],'All Data'!$A$3:$CO$999,88,FALSE),"unknown")</f>
        <v>0</v>
      </c>
      <c r="AN80" s="120">
        <f>IFERROR(VLOOKUP(Table1[RespondentID],'All Data'!$A$3:$CO$999,89,FALSE),"unknown")</f>
        <v>0</v>
      </c>
      <c r="AO80" s="120">
        <f>IFERROR(VLOOKUP(Table1[RespondentID],'All Data'!$A$3:$CO$999,90,FALSE),"unknown")</f>
        <v>0</v>
      </c>
      <c r="AP80" s="120">
        <f>IFERROR(VLOOKUP(Table1[RespondentID],'All Data'!$A$3:$CO$999,91,FALSE),"unknown")</f>
        <v>0</v>
      </c>
      <c r="AQ80" s="120">
        <f>IFERROR(VLOOKUP(Table1[RespondentID],'All Data'!$A$3:$CO$999,92,FALSE),"unknown")</f>
        <v>0</v>
      </c>
      <c r="AR80" s="120">
        <f>IFERROR(VLOOKUP(Table1[RespondentID],'All Data'!$A$3:$CO$999,93,FALSE),"unknown")</f>
        <v>0</v>
      </c>
      <c r="AS80" s="120">
        <f>IFERROR(VLOOKUP(Table1[RespondentID],'All Data'!$A$3:$CW$999,94,FALSE),"unknown")</f>
        <v>0</v>
      </c>
      <c r="AT80" s="120">
        <f>IFERROR(VLOOKUP(Table1[RespondentID],'All Data'!$A$3:$CW$999,95,FALSE),"unknown")</f>
        <v>0</v>
      </c>
      <c r="AU80" s="120">
        <f>IFERROR(VLOOKUP(Table1[RespondentID],'All Data'!$A$3:$CW$999,96,FALSE),"unknown")</f>
        <v>0</v>
      </c>
      <c r="AV80" s="120">
        <f>IFERROR(VLOOKUP(Table1[RespondentID],'All Data'!$A$3:$CW$999,97,FALSE),"unknown")</f>
        <v>0</v>
      </c>
      <c r="AW80" s="120">
        <f>IFERROR(VLOOKUP(Table1[RespondentID],'All Data'!$A$3:$CW$999,98,FALSE),"unknown")</f>
        <v>0</v>
      </c>
      <c r="AX80" s="120">
        <f>IFERROR(VLOOKUP(Table1[RespondentID],'All Data'!$A$3:$CW$999,99,FALSE),"unknown")</f>
        <v>0</v>
      </c>
    </row>
    <row r="81" spans="1:50">
      <c r="A81" s="5">
        <v>18023288956</v>
      </c>
      <c r="B81" s="5"/>
      <c r="C81" s="5"/>
      <c r="D81" s="5"/>
      <c r="E81" s="5"/>
      <c r="F81" s="5"/>
      <c r="G81" s="5" t="s">
        <v>21</v>
      </c>
      <c r="H81" s="5"/>
      <c r="I81" s="5"/>
      <c r="J81" s="5" t="s">
        <v>24</v>
      </c>
      <c r="K81" s="5" t="s">
        <v>25</v>
      </c>
      <c r="L81" s="5"/>
      <c r="M81" s="5"/>
      <c r="N81" s="5"/>
      <c r="O81" s="7"/>
      <c r="P81" s="7">
        <f t="shared" si="18"/>
        <v>3</v>
      </c>
      <c r="Q81" s="9">
        <f t="shared" si="19"/>
        <v>1</v>
      </c>
      <c r="R81" s="7"/>
      <c r="S81" s="7">
        <f t="shared" si="20"/>
        <v>0</v>
      </c>
      <c r="T81" s="7">
        <f t="shared" si="21"/>
        <v>0</v>
      </c>
      <c r="U81" s="7">
        <f t="shared" si="22"/>
        <v>0</v>
      </c>
      <c r="V81" s="119">
        <f t="shared" si="23"/>
        <v>0</v>
      </c>
      <c r="W81" s="119">
        <f t="shared" si="24"/>
        <v>0</v>
      </c>
      <c r="X81" s="119">
        <f t="shared" si="25"/>
        <v>1</v>
      </c>
      <c r="Y81" s="119">
        <f t="shared" si="26"/>
        <v>0</v>
      </c>
      <c r="Z81" s="119">
        <f t="shared" si="27"/>
        <v>0</v>
      </c>
      <c r="AA81" s="119">
        <f t="shared" si="28"/>
        <v>1</v>
      </c>
      <c r="AB81" s="119">
        <f t="shared" si="29"/>
        <v>1</v>
      </c>
      <c r="AC81" s="119">
        <f t="shared" si="30"/>
        <v>0</v>
      </c>
      <c r="AD81" s="119">
        <f t="shared" si="31"/>
        <v>0</v>
      </c>
      <c r="AE81" s="119">
        <f t="shared" si="32"/>
        <v>0</v>
      </c>
      <c r="AF81" s="7"/>
      <c r="AG81" s="7"/>
      <c r="AH81" s="7">
        <f t="shared" si="33"/>
        <v>3</v>
      </c>
      <c r="AI81" s="7">
        <f t="shared" si="34"/>
        <v>3</v>
      </c>
      <c r="AJ81" s="7" t="str">
        <f t="shared" si="35"/>
        <v>Correct</v>
      </c>
      <c r="AK81" s="7"/>
      <c r="AL81" s="120" t="str">
        <f>IFERROR(VLOOKUP(Table1[RespondentID],'All Data'!$A$3:$CO$999,87,FALSE),"unknown")</f>
        <v>Woman</v>
      </c>
      <c r="AM81" s="120">
        <f>IFERROR(VLOOKUP(Table1[RespondentID],'All Data'!$A$3:$CO$999,88,FALSE),"unknown")</f>
        <v>33</v>
      </c>
      <c r="AN81" s="120" t="str">
        <f>IFERROR(VLOOKUP(Table1[RespondentID],'All Data'!$A$3:$CO$999,89,FALSE),"unknown")</f>
        <v>Suffolk</v>
      </c>
      <c r="AO81" s="120" t="str">
        <f>IFERROR(VLOOKUP(Table1[RespondentID],'All Data'!$A$3:$CO$999,90,FALSE),"unknown")</f>
        <v>Deer Park, 11729</v>
      </c>
      <c r="AP81" s="120" t="str">
        <f>IFERROR(VLOOKUP(Table1[RespondentID],'All Data'!$A$3:$CO$999,91,FALSE),"unknown")</f>
        <v>Asian</v>
      </c>
      <c r="AQ81" s="120">
        <f>IFERROR(VLOOKUP(Table1[RespondentID],'All Data'!$A$3:$CO$999,92,FALSE),"unknown")</f>
        <v>0</v>
      </c>
      <c r="AR81" s="120" t="str">
        <f>IFERROR(VLOOKUP(Table1[RespondentID],'All Data'!$A$3:$CO$999,93,FALSE),"unknown")</f>
        <v>English</v>
      </c>
      <c r="AS81" s="120" t="str">
        <f>IFERROR(VLOOKUP(Table1[RespondentID],'All Data'!$A$3:$CW$999,94,FALSE),"unknown")</f>
        <v>$50,000 to $74,999</v>
      </c>
      <c r="AT81" s="120" t="str">
        <f>IFERROR(VLOOKUP(Table1[RespondentID],'All Data'!$A$3:$CW$999,95,FALSE),"unknown")</f>
        <v>Some college</v>
      </c>
      <c r="AU81" s="120" t="str">
        <f>IFERROR(VLOOKUP(Table1[RespondentID],'All Data'!$A$3:$CW$999,96,FALSE),"unknown")</f>
        <v>Employed for wages</v>
      </c>
      <c r="AV81" s="120" t="str">
        <f>IFERROR(VLOOKUP(Table1[RespondentID],'All Data'!$A$3:$CW$999,97,FALSE),"unknown")</f>
        <v>Yes</v>
      </c>
      <c r="AW81" s="120">
        <f>IFERROR(VLOOKUP(Table1[RespondentID],'All Data'!$A$3:$CW$999,98,FALSE),"unknown")</f>
        <v>0</v>
      </c>
      <c r="AX81" s="120">
        <f>IFERROR(VLOOKUP(Table1[RespondentID],'All Data'!$A$3:$CW$999,99,FALSE),"unknown")</f>
        <v>0</v>
      </c>
    </row>
    <row r="82" spans="1:50">
      <c r="A82" s="5">
        <v>18023288812</v>
      </c>
      <c r="B82" s="5"/>
      <c r="C82" s="5"/>
      <c r="D82" s="5"/>
      <c r="E82" s="5"/>
      <c r="F82" s="5"/>
      <c r="G82" s="5"/>
      <c r="H82" s="5"/>
      <c r="I82" s="5"/>
      <c r="J82" s="5"/>
      <c r="K82" s="5" t="s">
        <v>25</v>
      </c>
      <c r="L82" s="5"/>
      <c r="M82" s="5"/>
      <c r="N82" s="5"/>
      <c r="O82" s="7"/>
      <c r="P82" s="7">
        <f t="shared" si="18"/>
        <v>1</v>
      </c>
      <c r="Q82" s="8">
        <f t="shared" si="19"/>
        <v>3</v>
      </c>
      <c r="R82" s="7"/>
      <c r="S82" s="7">
        <f t="shared" si="20"/>
        <v>0</v>
      </c>
      <c r="T82" s="7">
        <f t="shared" si="21"/>
        <v>0</v>
      </c>
      <c r="U82" s="7">
        <f t="shared" si="22"/>
        <v>0</v>
      </c>
      <c r="V82" s="119">
        <f t="shared" si="23"/>
        <v>0</v>
      </c>
      <c r="W82" s="119">
        <f t="shared" si="24"/>
        <v>0</v>
      </c>
      <c r="X82" s="119">
        <f t="shared" si="25"/>
        <v>0</v>
      </c>
      <c r="Y82" s="119">
        <f t="shared" si="26"/>
        <v>0</v>
      </c>
      <c r="Z82" s="119">
        <f t="shared" si="27"/>
        <v>0</v>
      </c>
      <c r="AA82" s="119">
        <f t="shared" si="28"/>
        <v>0</v>
      </c>
      <c r="AB82" s="119">
        <f t="shared" si="29"/>
        <v>1</v>
      </c>
      <c r="AC82" s="119">
        <f t="shared" si="30"/>
        <v>0</v>
      </c>
      <c r="AD82" s="119">
        <f t="shared" si="31"/>
        <v>0</v>
      </c>
      <c r="AE82" s="119">
        <f t="shared" si="32"/>
        <v>0</v>
      </c>
      <c r="AF82" s="7"/>
      <c r="AG82" s="7"/>
      <c r="AH82" s="7">
        <f t="shared" si="33"/>
        <v>1</v>
      </c>
      <c r="AI82" s="7">
        <f t="shared" si="34"/>
        <v>1</v>
      </c>
      <c r="AJ82" s="7" t="str">
        <f t="shared" si="35"/>
        <v>Correct</v>
      </c>
      <c r="AK82" s="7"/>
      <c r="AL82" s="120" t="str">
        <f>IFERROR(VLOOKUP(Table1[RespondentID],'All Data'!$A$3:$CO$999,87,FALSE),"unknown")</f>
        <v>Man</v>
      </c>
      <c r="AM82" s="120">
        <f>IFERROR(VLOOKUP(Table1[RespondentID],'All Data'!$A$3:$CO$999,88,FALSE),"unknown")</f>
        <v>18</v>
      </c>
      <c r="AN82" s="120" t="str">
        <f>IFERROR(VLOOKUP(Table1[RespondentID],'All Data'!$A$3:$CO$999,89,FALSE),"unknown")</f>
        <v>Suffolk</v>
      </c>
      <c r="AO82" s="120" t="str">
        <f>IFERROR(VLOOKUP(Table1[RespondentID],'All Data'!$A$3:$CO$999,90,FALSE),"unknown")</f>
        <v>Huntington Station, 11746</v>
      </c>
      <c r="AP82" s="120" t="str">
        <f>IFERROR(VLOOKUP(Table1[RespondentID],'All Data'!$A$3:$CO$999,91,FALSE),"unknown")</f>
        <v>White</v>
      </c>
      <c r="AQ82" s="120" t="str">
        <f>IFERROR(VLOOKUP(Table1[RespondentID],'All Data'!$A$3:$CO$999,92,FALSE),"unknown")</f>
        <v>Hispanic or Latino</v>
      </c>
      <c r="AR82" s="120" t="str">
        <f>IFERROR(VLOOKUP(Table1[RespondentID],'All Data'!$A$3:$CO$999,93,FALSE),"unknown")</f>
        <v>English</v>
      </c>
      <c r="AS82" s="120" t="str">
        <f>IFERROR(VLOOKUP(Table1[RespondentID],'All Data'!$A$3:$CW$999,94,FALSE),"unknown")</f>
        <v>Over $125,000</v>
      </c>
      <c r="AT82" s="120" t="str">
        <f>IFERROR(VLOOKUP(Table1[RespondentID],'All Data'!$A$3:$CW$999,95,FALSE),"unknown")</f>
        <v>High school graduate</v>
      </c>
      <c r="AU82" s="120" t="str">
        <f>IFERROR(VLOOKUP(Table1[RespondentID],'All Data'!$A$3:$CW$999,96,FALSE),"unknown")</f>
        <v>Out of work, but not currently looking</v>
      </c>
      <c r="AV82" s="120" t="str">
        <f>IFERROR(VLOOKUP(Table1[RespondentID],'All Data'!$A$3:$CW$999,97,FALSE),"unknown")</f>
        <v>Yes</v>
      </c>
      <c r="AW82" s="120" t="str">
        <f>IFERROR(VLOOKUP(Table1[RespondentID],'All Data'!$A$3:$CW$999,98,FALSE),"unknown")</f>
        <v>Medicaid</v>
      </c>
      <c r="AX82" s="120">
        <f>IFERROR(VLOOKUP(Table1[RespondentID],'All Data'!$A$3:$CW$999,99,FALSE),"unknown")</f>
        <v>0</v>
      </c>
    </row>
    <row r="83" spans="1:50">
      <c r="A83" s="5">
        <v>18023288714</v>
      </c>
      <c r="B83" s="5"/>
      <c r="C83" s="5"/>
      <c r="D83" s="5"/>
      <c r="E83" s="5"/>
      <c r="F83" s="5"/>
      <c r="G83" s="5"/>
      <c r="H83" s="5"/>
      <c r="I83" s="5"/>
      <c r="J83" s="5"/>
      <c r="K83" s="5"/>
      <c r="L83" s="5"/>
      <c r="M83" s="5"/>
      <c r="N83" s="5" t="s">
        <v>28</v>
      </c>
      <c r="O83" s="7"/>
      <c r="P83" s="7">
        <f t="shared" si="18"/>
        <v>1</v>
      </c>
      <c r="Q83" s="9">
        <f t="shared" si="19"/>
        <v>3</v>
      </c>
      <c r="R83" s="7"/>
      <c r="S83" s="7">
        <f t="shared" si="20"/>
        <v>0</v>
      </c>
      <c r="T83" s="7">
        <f t="shared" si="21"/>
        <v>0</v>
      </c>
      <c r="U83" s="7">
        <f t="shared" si="22"/>
        <v>0</v>
      </c>
      <c r="V83" s="119">
        <f t="shared" si="23"/>
        <v>0</v>
      </c>
      <c r="W83" s="119">
        <f t="shared" si="24"/>
        <v>0</v>
      </c>
      <c r="X83" s="119">
        <f t="shared" si="25"/>
        <v>0</v>
      </c>
      <c r="Y83" s="119">
        <f t="shared" si="26"/>
        <v>0</v>
      </c>
      <c r="Z83" s="119">
        <f t="shared" si="27"/>
        <v>0</v>
      </c>
      <c r="AA83" s="119">
        <f t="shared" si="28"/>
        <v>0</v>
      </c>
      <c r="AB83" s="119">
        <f t="shared" si="29"/>
        <v>0</v>
      </c>
      <c r="AC83" s="119">
        <f t="shared" si="30"/>
        <v>0</v>
      </c>
      <c r="AD83" s="119">
        <f t="shared" si="31"/>
        <v>0</v>
      </c>
      <c r="AE83" s="119">
        <f t="shared" si="32"/>
        <v>1</v>
      </c>
      <c r="AF83" s="7"/>
      <c r="AG83" s="7"/>
      <c r="AH83" s="7">
        <f t="shared" si="33"/>
        <v>1</v>
      </c>
      <c r="AI83" s="7">
        <f t="shared" si="34"/>
        <v>1</v>
      </c>
      <c r="AJ83" s="7" t="str">
        <f t="shared" si="35"/>
        <v>Correct</v>
      </c>
      <c r="AK83" s="7"/>
      <c r="AL83" s="120" t="str">
        <f>IFERROR(VLOOKUP(Table1[RespondentID],'All Data'!$A$3:$CO$999,87,FALSE),"unknown")</f>
        <v>Woman</v>
      </c>
      <c r="AM83" s="120">
        <f>IFERROR(VLOOKUP(Table1[RespondentID],'All Data'!$A$3:$CO$999,88,FALSE),"unknown")</f>
        <v>53</v>
      </c>
      <c r="AN83" s="120" t="str">
        <f>IFERROR(VLOOKUP(Table1[RespondentID],'All Data'!$A$3:$CO$999,89,FALSE),"unknown")</f>
        <v>Suffolk</v>
      </c>
      <c r="AO83" s="120" t="str">
        <f>IFERROR(VLOOKUP(Table1[RespondentID],'All Data'!$A$3:$CO$999,90,FALSE),"unknown")</f>
        <v>Huntington Station, 11746</v>
      </c>
      <c r="AP83" s="120" t="str">
        <f>IFERROR(VLOOKUP(Table1[RespondentID],'All Data'!$A$3:$CO$999,91,FALSE),"unknown")</f>
        <v>White</v>
      </c>
      <c r="AQ83" s="120" t="str">
        <f>IFERROR(VLOOKUP(Table1[RespondentID],'All Data'!$A$3:$CO$999,92,FALSE),"unknown")</f>
        <v>Hispanic or Latino</v>
      </c>
      <c r="AR83" s="120" t="str">
        <f>IFERROR(VLOOKUP(Table1[RespondentID],'All Data'!$A$3:$CO$999,93,FALSE),"unknown")</f>
        <v>English</v>
      </c>
      <c r="AS83" s="120" t="str">
        <f>IFERROR(VLOOKUP(Table1[RespondentID],'All Data'!$A$3:$CW$999,94,FALSE),"unknown")</f>
        <v>Over $125,000</v>
      </c>
      <c r="AT83" s="120" t="str">
        <f>IFERROR(VLOOKUP(Table1[RespondentID],'All Data'!$A$3:$CW$999,95,FALSE),"unknown")</f>
        <v>College graduate</v>
      </c>
      <c r="AU83" s="120" t="str">
        <f>IFERROR(VLOOKUP(Table1[RespondentID],'All Data'!$A$3:$CW$999,96,FALSE),"unknown")</f>
        <v>Employed for wages</v>
      </c>
      <c r="AV83" s="120" t="str">
        <f>IFERROR(VLOOKUP(Table1[RespondentID],'All Data'!$A$3:$CW$999,97,FALSE),"unknown")</f>
        <v>Yes</v>
      </c>
      <c r="AW83" s="120" t="str">
        <f>IFERROR(VLOOKUP(Table1[RespondentID],'All Data'!$A$3:$CW$999,98,FALSE),"unknown")</f>
        <v>Private/Commercial</v>
      </c>
      <c r="AX83" s="120">
        <f>IFERROR(VLOOKUP(Table1[RespondentID],'All Data'!$A$3:$CW$999,99,FALSE),"unknown")</f>
        <v>0</v>
      </c>
    </row>
    <row r="84" spans="1:50">
      <c r="A84" s="5">
        <v>18023288631</v>
      </c>
      <c r="B84" s="5" t="s">
        <v>16</v>
      </c>
      <c r="C84" s="5"/>
      <c r="D84" s="5"/>
      <c r="E84" s="5"/>
      <c r="F84" s="5"/>
      <c r="G84" s="5"/>
      <c r="H84" s="5"/>
      <c r="I84" s="5" t="s">
        <v>23</v>
      </c>
      <c r="J84" s="5"/>
      <c r="K84" s="5" t="s">
        <v>25</v>
      </c>
      <c r="L84" s="5"/>
      <c r="M84" s="5"/>
      <c r="N84" s="5"/>
      <c r="O84" s="7"/>
      <c r="P84" s="7">
        <f t="shared" si="18"/>
        <v>3</v>
      </c>
      <c r="Q84" s="8">
        <f t="shared" si="19"/>
        <v>1</v>
      </c>
      <c r="R84" s="7"/>
      <c r="S84" s="7">
        <f t="shared" si="20"/>
        <v>1</v>
      </c>
      <c r="T84" s="7">
        <f t="shared" si="21"/>
        <v>0</v>
      </c>
      <c r="U84" s="7">
        <f t="shared" si="22"/>
        <v>0</v>
      </c>
      <c r="V84" s="119">
        <f t="shared" si="23"/>
        <v>0</v>
      </c>
      <c r="W84" s="119">
        <f t="shared" si="24"/>
        <v>0</v>
      </c>
      <c r="X84" s="119">
        <f t="shared" si="25"/>
        <v>0</v>
      </c>
      <c r="Y84" s="119">
        <f t="shared" si="26"/>
        <v>0</v>
      </c>
      <c r="Z84" s="119">
        <f t="shared" si="27"/>
        <v>1</v>
      </c>
      <c r="AA84" s="119">
        <f t="shared" si="28"/>
        <v>0</v>
      </c>
      <c r="AB84" s="119">
        <f t="shared" si="29"/>
        <v>1</v>
      </c>
      <c r="AC84" s="119">
        <f t="shared" si="30"/>
        <v>0</v>
      </c>
      <c r="AD84" s="119">
        <f t="shared" si="31"/>
        <v>0</v>
      </c>
      <c r="AE84" s="119">
        <f t="shared" si="32"/>
        <v>0</v>
      </c>
      <c r="AF84" s="7"/>
      <c r="AG84" s="7"/>
      <c r="AH84" s="7">
        <f t="shared" si="33"/>
        <v>3</v>
      </c>
      <c r="AI84" s="7">
        <f t="shared" si="34"/>
        <v>3</v>
      </c>
      <c r="AJ84" s="7" t="str">
        <f t="shared" si="35"/>
        <v>Correct</v>
      </c>
      <c r="AK84" s="7"/>
      <c r="AL84" s="120" t="str">
        <f>IFERROR(VLOOKUP(Table1[RespondentID],'All Data'!$A$3:$CO$999,87,FALSE),"unknown")</f>
        <v>Man</v>
      </c>
      <c r="AM84" s="120">
        <f>IFERROR(VLOOKUP(Table1[RespondentID],'All Data'!$A$3:$CO$999,88,FALSE),"unknown")</f>
        <v>49</v>
      </c>
      <c r="AN84" s="120" t="str">
        <f>IFERROR(VLOOKUP(Table1[RespondentID],'All Data'!$A$3:$CO$999,89,FALSE),"unknown")</f>
        <v>Suffolk</v>
      </c>
      <c r="AO84" s="120" t="str">
        <f>IFERROR(VLOOKUP(Table1[RespondentID],'All Data'!$A$3:$CO$999,90,FALSE),"unknown")</f>
        <v>Kings Park, 11754</v>
      </c>
      <c r="AP84" s="120" t="str">
        <f>IFERROR(VLOOKUP(Table1[RespondentID],'All Data'!$A$3:$CO$999,91,FALSE),"unknown")</f>
        <v>White</v>
      </c>
      <c r="AQ84" s="120" t="str">
        <f>IFERROR(VLOOKUP(Table1[RespondentID],'All Data'!$A$3:$CO$999,92,FALSE),"unknown")</f>
        <v>Hispanic or Latino</v>
      </c>
      <c r="AR84" s="120" t="str">
        <f>IFERROR(VLOOKUP(Table1[RespondentID],'All Data'!$A$3:$CO$999,93,FALSE),"unknown")</f>
        <v>English</v>
      </c>
      <c r="AS84" s="120" t="str">
        <f>IFERROR(VLOOKUP(Table1[RespondentID],'All Data'!$A$3:$CW$999,94,FALSE),"unknown")</f>
        <v>Over $125,000</v>
      </c>
      <c r="AT84" s="120" t="str">
        <f>IFERROR(VLOOKUP(Table1[RespondentID],'All Data'!$A$3:$CW$999,95,FALSE),"unknown")</f>
        <v>Graduate school</v>
      </c>
      <c r="AU84" s="120" t="str">
        <f>IFERROR(VLOOKUP(Table1[RespondentID],'All Data'!$A$3:$CW$999,96,FALSE),"unknown")</f>
        <v>Employed for wages</v>
      </c>
      <c r="AV84" s="120" t="str">
        <f>IFERROR(VLOOKUP(Table1[RespondentID],'All Data'!$A$3:$CW$999,97,FALSE),"unknown")</f>
        <v>Yes</v>
      </c>
      <c r="AW84" s="120" t="str">
        <f>IFERROR(VLOOKUP(Table1[RespondentID],'All Data'!$A$3:$CW$999,98,FALSE),"unknown")</f>
        <v>Private/Commercial</v>
      </c>
      <c r="AX84" s="120">
        <f>IFERROR(VLOOKUP(Table1[RespondentID],'All Data'!$A$3:$CW$999,99,FALSE),"unknown")</f>
        <v>0</v>
      </c>
    </row>
    <row r="85" spans="1:50">
      <c r="A85" s="5">
        <v>18023288504</v>
      </c>
      <c r="B85" s="5"/>
      <c r="C85" s="5"/>
      <c r="D85" s="5"/>
      <c r="E85" s="5"/>
      <c r="F85" s="5"/>
      <c r="G85" s="5"/>
      <c r="H85" s="5"/>
      <c r="I85" s="5" t="s">
        <v>23</v>
      </c>
      <c r="J85" s="5"/>
      <c r="K85" s="5"/>
      <c r="L85" s="5"/>
      <c r="M85" s="5"/>
      <c r="N85" s="5" t="s">
        <v>28</v>
      </c>
      <c r="O85" s="7"/>
      <c r="P85" s="7">
        <f t="shared" si="18"/>
        <v>2</v>
      </c>
      <c r="Q85" s="9">
        <f t="shared" si="19"/>
        <v>1.5</v>
      </c>
      <c r="R85" s="7"/>
      <c r="S85" s="7">
        <f t="shared" si="20"/>
        <v>0</v>
      </c>
      <c r="T85" s="7">
        <f t="shared" si="21"/>
        <v>0</v>
      </c>
      <c r="U85" s="7">
        <f t="shared" si="22"/>
        <v>0</v>
      </c>
      <c r="V85" s="119">
        <f t="shared" si="23"/>
        <v>0</v>
      </c>
      <c r="W85" s="119">
        <f t="shared" si="24"/>
        <v>0</v>
      </c>
      <c r="X85" s="119">
        <f t="shared" si="25"/>
        <v>0</v>
      </c>
      <c r="Y85" s="119">
        <f t="shared" si="26"/>
        <v>0</v>
      </c>
      <c r="Z85" s="119">
        <f t="shared" si="27"/>
        <v>1</v>
      </c>
      <c r="AA85" s="119">
        <f t="shared" si="28"/>
        <v>0</v>
      </c>
      <c r="AB85" s="119">
        <f t="shared" si="29"/>
        <v>0</v>
      </c>
      <c r="AC85" s="119">
        <f t="shared" si="30"/>
        <v>0</v>
      </c>
      <c r="AD85" s="119">
        <f t="shared" si="31"/>
        <v>0</v>
      </c>
      <c r="AE85" s="119">
        <f t="shared" si="32"/>
        <v>1</v>
      </c>
      <c r="AF85" s="7"/>
      <c r="AG85" s="7"/>
      <c r="AH85" s="7">
        <f t="shared" si="33"/>
        <v>2</v>
      </c>
      <c r="AI85" s="7">
        <f t="shared" si="34"/>
        <v>2</v>
      </c>
      <c r="AJ85" s="7" t="str">
        <f t="shared" si="35"/>
        <v>Correct</v>
      </c>
      <c r="AK85" s="7"/>
      <c r="AL85" s="120" t="str">
        <f>IFERROR(VLOOKUP(Table1[RespondentID],'All Data'!$A$3:$CO$999,87,FALSE),"unknown")</f>
        <v>Man</v>
      </c>
      <c r="AM85" s="120">
        <f>IFERROR(VLOOKUP(Table1[RespondentID],'All Data'!$A$3:$CO$999,88,FALSE),"unknown")</f>
        <v>59</v>
      </c>
      <c r="AN85" s="120" t="str">
        <f>IFERROR(VLOOKUP(Table1[RespondentID],'All Data'!$A$3:$CO$999,89,FALSE),"unknown")</f>
        <v>Suffolk</v>
      </c>
      <c r="AO85" s="120" t="str">
        <f>IFERROR(VLOOKUP(Table1[RespondentID],'All Data'!$A$3:$CO$999,90,FALSE),"unknown")</f>
        <v>Deer Park, 11729</v>
      </c>
      <c r="AP85" s="120" t="str">
        <f>IFERROR(VLOOKUP(Table1[RespondentID],'All Data'!$A$3:$CO$999,91,FALSE),"unknown")</f>
        <v>White</v>
      </c>
      <c r="AQ85" s="120" t="str">
        <f>IFERROR(VLOOKUP(Table1[RespondentID],'All Data'!$A$3:$CO$999,92,FALSE),"unknown")</f>
        <v>Hispanic or Latino</v>
      </c>
      <c r="AR85" s="120" t="str">
        <f>IFERROR(VLOOKUP(Table1[RespondentID],'All Data'!$A$3:$CO$999,93,FALSE),"unknown")</f>
        <v>English</v>
      </c>
      <c r="AS85" s="120" t="str">
        <f>IFERROR(VLOOKUP(Table1[RespondentID],'All Data'!$A$3:$CW$999,94,FALSE),"unknown")</f>
        <v>Over $125,000</v>
      </c>
      <c r="AT85" s="120" t="str">
        <f>IFERROR(VLOOKUP(Table1[RespondentID],'All Data'!$A$3:$CW$999,95,FALSE),"unknown")</f>
        <v>Graduate school</v>
      </c>
      <c r="AU85" s="120" t="str">
        <f>IFERROR(VLOOKUP(Table1[RespondentID],'All Data'!$A$3:$CW$999,96,FALSE),"unknown")</f>
        <v>Employed for wages</v>
      </c>
      <c r="AV85" s="120" t="str">
        <f>IFERROR(VLOOKUP(Table1[RespondentID],'All Data'!$A$3:$CW$999,97,FALSE),"unknown")</f>
        <v>Yes</v>
      </c>
      <c r="AW85" s="120" t="str">
        <f>IFERROR(VLOOKUP(Table1[RespondentID],'All Data'!$A$3:$CW$999,98,FALSE),"unknown")</f>
        <v>Private/Commercial</v>
      </c>
      <c r="AX85" s="120">
        <f>IFERROR(VLOOKUP(Table1[RespondentID],'All Data'!$A$3:$CW$999,99,FALSE),"unknown")</f>
        <v>0</v>
      </c>
    </row>
    <row r="86" spans="1:50">
      <c r="A86" s="5">
        <v>18023288405</v>
      </c>
      <c r="B86" s="5"/>
      <c r="C86" s="5"/>
      <c r="D86" s="5"/>
      <c r="E86" s="5"/>
      <c r="F86" s="5"/>
      <c r="G86" s="5"/>
      <c r="H86" s="5"/>
      <c r="I86" s="5" t="s">
        <v>23</v>
      </c>
      <c r="J86" s="5"/>
      <c r="K86" s="5"/>
      <c r="L86" s="5"/>
      <c r="M86" s="5"/>
      <c r="N86" s="5"/>
      <c r="O86" s="7"/>
      <c r="P86" s="7">
        <f t="shared" si="18"/>
        <v>1</v>
      </c>
      <c r="Q86" s="8">
        <f t="shared" si="19"/>
        <v>3</v>
      </c>
      <c r="R86" s="7"/>
      <c r="S86" s="7">
        <f t="shared" si="20"/>
        <v>0</v>
      </c>
      <c r="T86" s="7">
        <f t="shared" si="21"/>
        <v>0</v>
      </c>
      <c r="U86" s="7">
        <f t="shared" si="22"/>
        <v>0</v>
      </c>
      <c r="V86" s="119">
        <f t="shared" si="23"/>
        <v>0</v>
      </c>
      <c r="W86" s="119">
        <f t="shared" si="24"/>
        <v>0</v>
      </c>
      <c r="X86" s="119">
        <f t="shared" si="25"/>
        <v>0</v>
      </c>
      <c r="Y86" s="119">
        <f t="shared" si="26"/>
        <v>0</v>
      </c>
      <c r="Z86" s="119">
        <f t="shared" si="27"/>
        <v>1</v>
      </c>
      <c r="AA86" s="119">
        <f t="shared" si="28"/>
        <v>0</v>
      </c>
      <c r="AB86" s="119">
        <f t="shared" si="29"/>
        <v>0</v>
      </c>
      <c r="AC86" s="119">
        <f t="shared" si="30"/>
        <v>0</v>
      </c>
      <c r="AD86" s="119">
        <f t="shared" si="31"/>
        <v>0</v>
      </c>
      <c r="AE86" s="119">
        <f t="shared" si="32"/>
        <v>0</v>
      </c>
      <c r="AF86" s="7"/>
      <c r="AG86" s="7"/>
      <c r="AH86" s="7">
        <f t="shared" si="33"/>
        <v>1</v>
      </c>
      <c r="AI86" s="7">
        <f t="shared" si="34"/>
        <v>1</v>
      </c>
      <c r="AJ86" s="7" t="str">
        <f t="shared" si="35"/>
        <v>Correct</v>
      </c>
      <c r="AK86" s="7"/>
      <c r="AL86" s="120" t="str">
        <f>IFERROR(VLOOKUP(Table1[RespondentID],'All Data'!$A$3:$CO$999,87,FALSE),"unknown")</f>
        <v>Man</v>
      </c>
      <c r="AM86" s="120">
        <f>IFERROR(VLOOKUP(Table1[RespondentID],'All Data'!$A$3:$CO$999,88,FALSE),"unknown")</f>
        <v>57</v>
      </c>
      <c r="AN86" s="120" t="str">
        <f>IFERROR(VLOOKUP(Table1[RespondentID],'All Data'!$A$3:$CO$999,89,FALSE),"unknown")</f>
        <v>Suffolk</v>
      </c>
      <c r="AO86" s="120" t="str">
        <f>IFERROR(VLOOKUP(Table1[RespondentID],'All Data'!$A$3:$CO$999,90,FALSE),"unknown")</f>
        <v>Kings Park, 11754</v>
      </c>
      <c r="AP86" s="120" t="str">
        <f>IFERROR(VLOOKUP(Table1[RespondentID],'All Data'!$A$3:$CO$999,91,FALSE),"unknown")</f>
        <v>White</v>
      </c>
      <c r="AQ86" s="120" t="str">
        <f>IFERROR(VLOOKUP(Table1[RespondentID],'All Data'!$A$3:$CO$999,92,FALSE),"unknown")</f>
        <v>Hispanic or Latino</v>
      </c>
      <c r="AR86" s="120" t="str">
        <f>IFERROR(VLOOKUP(Table1[RespondentID],'All Data'!$A$3:$CO$999,93,FALSE),"unknown")</f>
        <v>English</v>
      </c>
      <c r="AS86" s="120" t="str">
        <f>IFERROR(VLOOKUP(Table1[RespondentID],'All Data'!$A$3:$CW$999,94,FALSE),"unknown")</f>
        <v>Over $125,000</v>
      </c>
      <c r="AT86" s="120" t="str">
        <f>IFERROR(VLOOKUP(Table1[RespondentID],'All Data'!$A$3:$CW$999,95,FALSE),"unknown")</f>
        <v>Graduate school</v>
      </c>
      <c r="AU86" s="120" t="str">
        <f>IFERROR(VLOOKUP(Table1[RespondentID],'All Data'!$A$3:$CW$999,96,FALSE),"unknown")</f>
        <v>Employed for wages</v>
      </c>
      <c r="AV86" s="120" t="str">
        <f>IFERROR(VLOOKUP(Table1[RespondentID],'All Data'!$A$3:$CW$999,97,FALSE),"unknown")</f>
        <v>Yes</v>
      </c>
      <c r="AW86" s="120" t="str">
        <f>IFERROR(VLOOKUP(Table1[RespondentID],'All Data'!$A$3:$CW$999,98,FALSE),"unknown")</f>
        <v>Private/Commercial</v>
      </c>
      <c r="AX86" s="120">
        <f>IFERROR(VLOOKUP(Table1[RespondentID],'All Data'!$A$3:$CW$999,99,FALSE),"unknown")</f>
        <v>0</v>
      </c>
    </row>
    <row r="87" spans="1:50">
      <c r="A87" s="5">
        <v>18023288287</v>
      </c>
      <c r="B87" s="5"/>
      <c r="C87" s="5" t="s">
        <v>17</v>
      </c>
      <c r="D87" s="5"/>
      <c r="E87" s="5"/>
      <c r="F87" s="5"/>
      <c r="G87" s="5"/>
      <c r="H87" s="5"/>
      <c r="I87" s="5" t="s">
        <v>23</v>
      </c>
      <c r="J87" s="5"/>
      <c r="K87" s="5"/>
      <c r="L87" s="5"/>
      <c r="M87" s="5" t="s">
        <v>27</v>
      </c>
      <c r="N87" s="5"/>
      <c r="O87" s="7"/>
      <c r="P87" s="7">
        <f t="shared" si="18"/>
        <v>3</v>
      </c>
      <c r="Q87" s="9">
        <f t="shared" si="19"/>
        <v>1</v>
      </c>
      <c r="R87" s="7"/>
      <c r="S87" s="7">
        <f t="shared" si="20"/>
        <v>0</v>
      </c>
      <c r="T87" s="7">
        <f t="shared" si="21"/>
        <v>1</v>
      </c>
      <c r="U87" s="7">
        <f t="shared" si="22"/>
        <v>0</v>
      </c>
      <c r="V87" s="119">
        <f t="shared" si="23"/>
        <v>0</v>
      </c>
      <c r="W87" s="119">
        <f t="shared" si="24"/>
        <v>0</v>
      </c>
      <c r="X87" s="119">
        <f t="shared" si="25"/>
        <v>0</v>
      </c>
      <c r="Y87" s="119">
        <f t="shared" si="26"/>
        <v>0</v>
      </c>
      <c r="Z87" s="119">
        <f t="shared" si="27"/>
        <v>1</v>
      </c>
      <c r="AA87" s="119">
        <f t="shared" si="28"/>
        <v>0</v>
      </c>
      <c r="AB87" s="119">
        <f t="shared" si="29"/>
        <v>0</v>
      </c>
      <c r="AC87" s="119">
        <f t="shared" si="30"/>
        <v>0</v>
      </c>
      <c r="AD87" s="119">
        <f t="shared" si="31"/>
        <v>1</v>
      </c>
      <c r="AE87" s="119">
        <f t="shared" si="32"/>
        <v>0</v>
      </c>
      <c r="AF87" s="7"/>
      <c r="AG87" s="7"/>
      <c r="AH87" s="7">
        <f t="shared" si="33"/>
        <v>3</v>
      </c>
      <c r="AI87" s="7">
        <f t="shared" si="34"/>
        <v>3</v>
      </c>
      <c r="AJ87" s="7" t="str">
        <f t="shared" si="35"/>
        <v>Correct</v>
      </c>
      <c r="AK87" s="7"/>
      <c r="AL87" s="120" t="str">
        <f>IFERROR(VLOOKUP(Table1[RespondentID],'All Data'!$A$3:$CO$999,87,FALSE),"unknown")</f>
        <v>Man</v>
      </c>
      <c r="AM87" s="120">
        <f>IFERROR(VLOOKUP(Table1[RespondentID],'All Data'!$A$3:$CO$999,88,FALSE),"unknown")</f>
        <v>50</v>
      </c>
      <c r="AN87" s="120" t="str">
        <f>IFERROR(VLOOKUP(Table1[RespondentID],'All Data'!$A$3:$CO$999,89,FALSE),"unknown")</f>
        <v>Suffolk</v>
      </c>
      <c r="AO87" s="120" t="str">
        <f>IFERROR(VLOOKUP(Table1[RespondentID],'All Data'!$A$3:$CO$999,90,FALSE),"unknown")</f>
        <v>Melville, 11747</v>
      </c>
      <c r="AP87" s="120" t="str">
        <f>IFERROR(VLOOKUP(Table1[RespondentID],'All Data'!$A$3:$CO$999,91,FALSE),"unknown")</f>
        <v>White</v>
      </c>
      <c r="AQ87" s="120" t="str">
        <f>IFERROR(VLOOKUP(Table1[RespondentID],'All Data'!$A$3:$CO$999,92,FALSE),"unknown")</f>
        <v>Not Hispanic or Latino</v>
      </c>
      <c r="AR87" s="120" t="str">
        <f>IFERROR(VLOOKUP(Table1[RespondentID],'All Data'!$A$3:$CO$999,93,FALSE),"unknown")</f>
        <v>English, Spanish</v>
      </c>
      <c r="AS87" s="120" t="str">
        <f>IFERROR(VLOOKUP(Table1[RespondentID],'All Data'!$A$3:$CW$999,94,FALSE),"unknown")</f>
        <v>Over $125,000</v>
      </c>
      <c r="AT87" s="120" t="str">
        <f>IFERROR(VLOOKUP(Table1[RespondentID],'All Data'!$A$3:$CW$999,95,FALSE),"unknown")</f>
        <v>Graduate school</v>
      </c>
      <c r="AU87" s="120" t="str">
        <f>IFERROR(VLOOKUP(Table1[RespondentID],'All Data'!$A$3:$CW$999,96,FALSE),"unknown")</f>
        <v>Employed for wages</v>
      </c>
      <c r="AV87" s="120" t="str">
        <f>IFERROR(VLOOKUP(Table1[RespondentID],'All Data'!$A$3:$CW$999,97,FALSE),"unknown")</f>
        <v>Yes</v>
      </c>
      <c r="AW87" s="120" t="str">
        <f>IFERROR(VLOOKUP(Table1[RespondentID],'All Data'!$A$3:$CW$999,98,FALSE),"unknown")</f>
        <v>Private/Commercial</v>
      </c>
      <c r="AX87" s="120">
        <f>IFERROR(VLOOKUP(Table1[RespondentID],'All Data'!$A$3:$CW$999,99,FALSE),"unknown")</f>
        <v>0</v>
      </c>
    </row>
    <row r="88" spans="1:50">
      <c r="A88" s="5">
        <v>18023288205</v>
      </c>
      <c r="B88" s="5"/>
      <c r="C88" s="5"/>
      <c r="D88" s="5"/>
      <c r="E88" s="5"/>
      <c r="F88" s="5"/>
      <c r="G88" s="5"/>
      <c r="H88" s="5"/>
      <c r="I88" s="5"/>
      <c r="J88" s="5" t="s">
        <v>24</v>
      </c>
      <c r="K88" s="5" t="s">
        <v>25</v>
      </c>
      <c r="L88" s="5"/>
      <c r="M88" s="5"/>
      <c r="N88" s="5" t="s">
        <v>28</v>
      </c>
      <c r="O88" s="7"/>
      <c r="P88" s="7">
        <f t="shared" si="18"/>
        <v>3</v>
      </c>
      <c r="Q88" s="8">
        <f t="shared" si="19"/>
        <v>1</v>
      </c>
      <c r="R88" s="7"/>
      <c r="S88" s="7">
        <f t="shared" si="20"/>
        <v>0</v>
      </c>
      <c r="T88" s="7">
        <f t="shared" si="21"/>
        <v>0</v>
      </c>
      <c r="U88" s="7">
        <f t="shared" si="22"/>
        <v>0</v>
      </c>
      <c r="V88" s="119">
        <f t="shared" si="23"/>
        <v>0</v>
      </c>
      <c r="W88" s="119">
        <f t="shared" si="24"/>
        <v>0</v>
      </c>
      <c r="X88" s="119">
        <f t="shared" si="25"/>
        <v>0</v>
      </c>
      <c r="Y88" s="119">
        <f t="shared" si="26"/>
        <v>0</v>
      </c>
      <c r="Z88" s="119">
        <f t="shared" si="27"/>
        <v>0</v>
      </c>
      <c r="AA88" s="119">
        <f t="shared" si="28"/>
        <v>1</v>
      </c>
      <c r="AB88" s="119">
        <f t="shared" si="29"/>
        <v>1</v>
      </c>
      <c r="AC88" s="119">
        <f t="shared" si="30"/>
        <v>0</v>
      </c>
      <c r="AD88" s="119">
        <f t="shared" si="31"/>
        <v>0</v>
      </c>
      <c r="AE88" s="119">
        <f t="shared" si="32"/>
        <v>1</v>
      </c>
      <c r="AF88" s="7"/>
      <c r="AG88" s="7"/>
      <c r="AH88" s="7">
        <f t="shared" si="33"/>
        <v>3</v>
      </c>
      <c r="AI88" s="7">
        <f t="shared" si="34"/>
        <v>3</v>
      </c>
      <c r="AJ88" s="7" t="str">
        <f t="shared" si="35"/>
        <v>Correct</v>
      </c>
      <c r="AK88" s="7"/>
      <c r="AL88" s="120" t="str">
        <f>IFERROR(VLOOKUP(Table1[RespondentID],'All Data'!$A$3:$CO$999,87,FALSE),"unknown")</f>
        <v>Man</v>
      </c>
      <c r="AM88" s="120">
        <f>IFERROR(VLOOKUP(Table1[RespondentID],'All Data'!$A$3:$CO$999,88,FALSE),"unknown")</f>
        <v>52</v>
      </c>
      <c r="AN88" s="120" t="str">
        <f>IFERROR(VLOOKUP(Table1[RespondentID],'All Data'!$A$3:$CO$999,89,FALSE),"unknown")</f>
        <v>Suffolk</v>
      </c>
      <c r="AO88" s="120" t="str">
        <f>IFERROR(VLOOKUP(Table1[RespondentID],'All Data'!$A$3:$CO$999,90,FALSE),"unknown")</f>
        <v>Huntington Station, 11746</v>
      </c>
      <c r="AP88" s="120" t="str">
        <f>IFERROR(VLOOKUP(Table1[RespondentID],'All Data'!$A$3:$CO$999,91,FALSE),"unknown")</f>
        <v>White</v>
      </c>
      <c r="AQ88" s="120" t="str">
        <f>IFERROR(VLOOKUP(Table1[RespondentID],'All Data'!$A$3:$CO$999,92,FALSE),"unknown")</f>
        <v>Hispanic or Latino</v>
      </c>
      <c r="AR88" s="120" t="str">
        <f>IFERROR(VLOOKUP(Table1[RespondentID],'All Data'!$A$3:$CO$999,93,FALSE),"unknown")</f>
        <v>English</v>
      </c>
      <c r="AS88" s="120" t="str">
        <f>IFERROR(VLOOKUP(Table1[RespondentID],'All Data'!$A$3:$CW$999,94,FALSE),"unknown")</f>
        <v>Over $125,000</v>
      </c>
      <c r="AT88" s="120" t="str">
        <f>IFERROR(VLOOKUP(Table1[RespondentID],'All Data'!$A$3:$CW$999,95,FALSE),"unknown")</f>
        <v>Graduate school</v>
      </c>
      <c r="AU88" s="120" t="str">
        <f>IFERROR(VLOOKUP(Table1[RespondentID],'All Data'!$A$3:$CW$999,96,FALSE),"unknown")</f>
        <v>Employed for wages</v>
      </c>
      <c r="AV88" s="120" t="str">
        <f>IFERROR(VLOOKUP(Table1[RespondentID],'All Data'!$A$3:$CW$999,97,FALSE),"unknown")</f>
        <v>Yes</v>
      </c>
      <c r="AW88" s="120" t="str">
        <f>IFERROR(VLOOKUP(Table1[RespondentID],'All Data'!$A$3:$CW$999,98,FALSE),"unknown")</f>
        <v>Private/Commercial</v>
      </c>
      <c r="AX88" s="120">
        <f>IFERROR(VLOOKUP(Table1[RespondentID],'All Data'!$A$3:$CW$999,99,FALSE),"unknown")</f>
        <v>0</v>
      </c>
    </row>
    <row r="89" spans="1:50">
      <c r="A89" s="5">
        <v>18023288112</v>
      </c>
      <c r="B89" s="5"/>
      <c r="C89" s="5"/>
      <c r="D89" s="5"/>
      <c r="E89" s="5"/>
      <c r="F89" s="5"/>
      <c r="G89" s="5" t="s">
        <v>21</v>
      </c>
      <c r="H89" s="5" t="s">
        <v>22</v>
      </c>
      <c r="I89" s="5"/>
      <c r="J89" s="5"/>
      <c r="K89" s="5" t="s">
        <v>25</v>
      </c>
      <c r="L89" s="5"/>
      <c r="M89" s="5"/>
      <c r="N89" s="5"/>
      <c r="O89" s="7"/>
      <c r="P89" s="7">
        <f t="shared" si="18"/>
        <v>3</v>
      </c>
      <c r="Q89" s="9">
        <f t="shared" si="19"/>
        <v>1</v>
      </c>
      <c r="R89" s="7"/>
      <c r="S89" s="7">
        <f t="shared" si="20"/>
        <v>0</v>
      </c>
      <c r="T89" s="7">
        <f t="shared" si="21"/>
        <v>0</v>
      </c>
      <c r="U89" s="7">
        <f t="shared" si="22"/>
        <v>0</v>
      </c>
      <c r="V89" s="119">
        <f t="shared" si="23"/>
        <v>0</v>
      </c>
      <c r="W89" s="119">
        <f t="shared" si="24"/>
        <v>0</v>
      </c>
      <c r="X89" s="119">
        <f t="shared" si="25"/>
        <v>1</v>
      </c>
      <c r="Y89" s="119">
        <f t="shared" si="26"/>
        <v>1</v>
      </c>
      <c r="Z89" s="119">
        <f t="shared" si="27"/>
        <v>0</v>
      </c>
      <c r="AA89" s="119">
        <f t="shared" si="28"/>
        <v>0</v>
      </c>
      <c r="AB89" s="119">
        <f t="shared" si="29"/>
        <v>1</v>
      </c>
      <c r="AC89" s="119">
        <f t="shared" si="30"/>
        <v>0</v>
      </c>
      <c r="AD89" s="119">
        <f t="shared" si="31"/>
        <v>0</v>
      </c>
      <c r="AE89" s="119">
        <f t="shared" si="32"/>
        <v>0</v>
      </c>
      <c r="AF89" s="7"/>
      <c r="AG89" s="7"/>
      <c r="AH89" s="7">
        <f t="shared" si="33"/>
        <v>3</v>
      </c>
      <c r="AI89" s="7">
        <f t="shared" si="34"/>
        <v>3</v>
      </c>
      <c r="AJ89" s="7" t="str">
        <f t="shared" si="35"/>
        <v>Correct</v>
      </c>
      <c r="AK89" s="7"/>
      <c r="AL89" s="120" t="str">
        <f>IFERROR(VLOOKUP(Table1[RespondentID],'All Data'!$A$3:$CO$999,87,FALSE),"unknown")</f>
        <v>Man</v>
      </c>
      <c r="AM89" s="120">
        <f>IFERROR(VLOOKUP(Table1[RespondentID],'All Data'!$A$3:$CO$999,88,FALSE),"unknown")</f>
        <v>48</v>
      </c>
      <c r="AN89" s="120" t="str">
        <f>IFERROR(VLOOKUP(Table1[RespondentID],'All Data'!$A$3:$CO$999,89,FALSE),"unknown")</f>
        <v>Suffolk</v>
      </c>
      <c r="AO89" s="120" t="str">
        <f>IFERROR(VLOOKUP(Table1[RespondentID],'All Data'!$A$3:$CO$999,90,FALSE),"unknown")</f>
        <v>East Northport, 11731</v>
      </c>
      <c r="AP89" s="120" t="str">
        <f>IFERROR(VLOOKUP(Table1[RespondentID],'All Data'!$A$3:$CO$999,91,FALSE),"unknown")</f>
        <v>White</v>
      </c>
      <c r="AQ89" s="120" t="str">
        <f>IFERROR(VLOOKUP(Table1[RespondentID],'All Data'!$A$3:$CO$999,92,FALSE),"unknown")</f>
        <v>Hispanic or Latino</v>
      </c>
      <c r="AR89" s="120" t="str">
        <f>IFERROR(VLOOKUP(Table1[RespondentID],'All Data'!$A$3:$CO$999,93,FALSE),"unknown")</f>
        <v>English</v>
      </c>
      <c r="AS89" s="120" t="str">
        <f>IFERROR(VLOOKUP(Table1[RespondentID],'All Data'!$A$3:$CW$999,94,FALSE),"unknown")</f>
        <v>Over $125,000</v>
      </c>
      <c r="AT89" s="120" t="str">
        <f>IFERROR(VLOOKUP(Table1[RespondentID],'All Data'!$A$3:$CW$999,95,FALSE),"unknown")</f>
        <v>Graduate school</v>
      </c>
      <c r="AU89" s="120" t="str">
        <f>IFERROR(VLOOKUP(Table1[RespondentID],'All Data'!$A$3:$CW$999,96,FALSE),"unknown")</f>
        <v>Employed for wages</v>
      </c>
      <c r="AV89" s="120">
        <f>IFERROR(VLOOKUP(Table1[RespondentID],'All Data'!$A$3:$CW$999,97,FALSE),"unknown")</f>
        <v>0</v>
      </c>
      <c r="AW89" s="120" t="str">
        <f>IFERROR(VLOOKUP(Table1[RespondentID],'All Data'!$A$3:$CW$999,98,FALSE),"unknown")</f>
        <v>Private/Commercial</v>
      </c>
      <c r="AX89" s="120">
        <f>IFERROR(VLOOKUP(Table1[RespondentID],'All Data'!$A$3:$CW$999,99,FALSE),"unknown")</f>
        <v>0</v>
      </c>
    </row>
    <row r="90" spans="1:50">
      <c r="A90" s="5">
        <v>18023288040</v>
      </c>
      <c r="B90" s="5"/>
      <c r="C90" s="5"/>
      <c r="D90" s="5"/>
      <c r="E90" s="5" t="s">
        <v>19</v>
      </c>
      <c r="F90" s="5"/>
      <c r="G90" s="5"/>
      <c r="H90" s="5"/>
      <c r="I90" s="5"/>
      <c r="J90" s="5"/>
      <c r="K90" s="5" t="s">
        <v>25</v>
      </c>
      <c r="L90" s="5"/>
      <c r="M90" s="5"/>
      <c r="N90" s="5" t="s">
        <v>28</v>
      </c>
      <c r="O90" s="7"/>
      <c r="P90" s="7">
        <f t="shared" si="18"/>
        <v>3</v>
      </c>
      <c r="Q90" s="8">
        <f t="shared" si="19"/>
        <v>1</v>
      </c>
      <c r="R90" s="7"/>
      <c r="S90" s="7">
        <f t="shared" si="20"/>
        <v>0</v>
      </c>
      <c r="T90" s="7">
        <f t="shared" si="21"/>
        <v>0</v>
      </c>
      <c r="U90" s="7">
        <f t="shared" si="22"/>
        <v>0</v>
      </c>
      <c r="V90" s="119">
        <f t="shared" si="23"/>
        <v>1</v>
      </c>
      <c r="W90" s="119">
        <f t="shared" si="24"/>
        <v>0</v>
      </c>
      <c r="X90" s="119">
        <f t="shared" si="25"/>
        <v>0</v>
      </c>
      <c r="Y90" s="119">
        <f t="shared" si="26"/>
        <v>0</v>
      </c>
      <c r="Z90" s="119">
        <f t="shared" si="27"/>
        <v>0</v>
      </c>
      <c r="AA90" s="119">
        <f t="shared" si="28"/>
        <v>0</v>
      </c>
      <c r="AB90" s="119">
        <f t="shared" si="29"/>
        <v>1</v>
      </c>
      <c r="AC90" s="119">
        <f t="shared" si="30"/>
        <v>0</v>
      </c>
      <c r="AD90" s="119">
        <f t="shared" si="31"/>
        <v>0</v>
      </c>
      <c r="AE90" s="119">
        <f t="shared" si="32"/>
        <v>1</v>
      </c>
      <c r="AF90" s="7"/>
      <c r="AG90" s="7"/>
      <c r="AH90" s="7">
        <f t="shared" si="33"/>
        <v>3</v>
      </c>
      <c r="AI90" s="7">
        <f t="shared" si="34"/>
        <v>3</v>
      </c>
      <c r="AJ90" s="7" t="str">
        <f t="shared" si="35"/>
        <v>Correct</v>
      </c>
      <c r="AK90" s="7"/>
      <c r="AL90" s="120" t="str">
        <f>IFERROR(VLOOKUP(Table1[RespondentID],'All Data'!$A$3:$CO$999,87,FALSE),"unknown")</f>
        <v>Man</v>
      </c>
      <c r="AM90" s="120">
        <f>IFERROR(VLOOKUP(Table1[RespondentID],'All Data'!$A$3:$CO$999,88,FALSE),"unknown")</f>
        <v>49</v>
      </c>
      <c r="AN90" s="120" t="str">
        <f>IFERROR(VLOOKUP(Table1[RespondentID],'All Data'!$A$3:$CO$999,89,FALSE),"unknown")</f>
        <v>Suffolk</v>
      </c>
      <c r="AO90" s="120" t="str">
        <f>IFERROR(VLOOKUP(Table1[RespondentID],'All Data'!$A$3:$CO$999,90,FALSE),"unknown")</f>
        <v>Smithtown, 11787</v>
      </c>
      <c r="AP90" s="120" t="str">
        <f>IFERROR(VLOOKUP(Table1[RespondentID],'All Data'!$A$3:$CO$999,91,FALSE),"unknown")</f>
        <v>White</v>
      </c>
      <c r="AQ90" s="120" t="str">
        <f>IFERROR(VLOOKUP(Table1[RespondentID],'All Data'!$A$3:$CO$999,92,FALSE),"unknown")</f>
        <v>Hispanic or Latino</v>
      </c>
      <c r="AR90" s="120" t="str">
        <f>IFERROR(VLOOKUP(Table1[RespondentID],'All Data'!$A$3:$CO$999,93,FALSE),"unknown")</f>
        <v>English</v>
      </c>
      <c r="AS90" s="120" t="str">
        <f>IFERROR(VLOOKUP(Table1[RespondentID],'All Data'!$A$3:$CW$999,94,FALSE),"unknown")</f>
        <v>Over $125,000</v>
      </c>
      <c r="AT90" s="120" t="str">
        <f>IFERROR(VLOOKUP(Table1[RespondentID],'All Data'!$A$3:$CW$999,95,FALSE),"unknown")</f>
        <v>Graduate school</v>
      </c>
      <c r="AU90" s="120" t="str">
        <f>IFERROR(VLOOKUP(Table1[RespondentID],'All Data'!$A$3:$CW$999,96,FALSE),"unknown")</f>
        <v>Employed for wages</v>
      </c>
      <c r="AV90" s="120">
        <f>IFERROR(VLOOKUP(Table1[RespondentID],'All Data'!$A$3:$CW$999,97,FALSE),"unknown")</f>
        <v>0</v>
      </c>
      <c r="AW90" s="120" t="str">
        <f>IFERROR(VLOOKUP(Table1[RespondentID],'All Data'!$A$3:$CW$999,98,FALSE),"unknown")</f>
        <v>Private/Commercial</v>
      </c>
      <c r="AX90" s="120">
        <f>IFERROR(VLOOKUP(Table1[RespondentID],'All Data'!$A$3:$CW$999,99,FALSE),"unknown")</f>
        <v>0</v>
      </c>
    </row>
    <row r="91" spans="1:50">
      <c r="A91" s="5">
        <v>18023287912</v>
      </c>
      <c r="B91" s="5"/>
      <c r="C91" s="5"/>
      <c r="D91" s="5"/>
      <c r="E91" s="5"/>
      <c r="F91" s="5"/>
      <c r="G91" s="5"/>
      <c r="H91" s="5"/>
      <c r="I91" s="5"/>
      <c r="J91" s="5"/>
      <c r="K91" s="5" t="s">
        <v>25</v>
      </c>
      <c r="L91" s="5"/>
      <c r="M91" s="5"/>
      <c r="N91" s="5" t="s">
        <v>28</v>
      </c>
      <c r="O91" s="7"/>
      <c r="P91" s="7">
        <f t="shared" si="18"/>
        <v>2</v>
      </c>
      <c r="Q91" s="9">
        <f t="shared" si="19"/>
        <v>1.5</v>
      </c>
      <c r="R91" s="7"/>
      <c r="S91" s="7">
        <f t="shared" si="20"/>
        <v>0</v>
      </c>
      <c r="T91" s="7">
        <f t="shared" si="21"/>
        <v>0</v>
      </c>
      <c r="U91" s="7">
        <f t="shared" si="22"/>
        <v>0</v>
      </c>
      <c r="V91" s="119">
        <f t="shared" si="23"/>
        <v>0</v>
      </c>
      <c r="W91" s="119">
        <f t="shared" si="24"/>
        <v>0</v>
      </c>
      <c r="X91" s="119">
        <f t="shared" si="25"/>
        <v>0</v>
      </c>
      <c r="Y91" s="119">
        <f t="shared" si="26"/>
        <v>0</v>
      </c>
      <c r="Z91" s="119">
        <f t="shared" si="27"/>
        <v>0</v>
      </c>
      <c r="AA91" s="119">
        <f t="shared" si="28"/>
        <v>0</v>
      </c>
      <c r="AB91" s="119">
        <f t="shared" si="29"/>
        <v>1</v>
      </c>
      <c r="AC91" s="119">
        <f t="shared" si="30"/>
        <v>0</v>
      </c>
      <c r="AD91" s="119">
        <f t="shared" si="31"/>
        <v>0</v>
      </c>
      <c r="AE91" s="119">
        <f t="shared" si="32"/>
        <v>1</v>
      </c>
      <c r="AF91" s="7"/>
      <c r="AG91" s="7"/>
      <c r="AH91" s="7">
        <f t="shared" si="33"/>
        <v>2</v>
      </c>
      <c r="AI91" s="7">
        <f t="shared" si="34"/>
        <v>2</v>
      </c>
      <c r="AJ91" s="7" t="str">
        <f t="shared" si="35"/>
        <v>Correct</v>
      </c>
      <c r="AK91" s="7"/>
      <c r="AL91" s="120" t="str">
        <f>IFERROR(VLOOKUP(Table1[RespondentID],'All Data'!$A$3:$CO$999,87,FALSE),"unknown")</f>
        <v>Man</v>
      </c>
      <c r="AM91" s="120">
        <f>IFERROR(VLOOKUP(Table1[RespondentID],'All Data'!$A$3:$CO$999,88,FALSE),"unknown")</f>
        <v>47</v>
      </c>
      <c r="AN91" s="120" t="str">
        <f>IFERROR(VLOOKUP(Table1[RespondentID],'All Data'!$A$3:$CO$999,89,FALSE),"unknown")</f>
        <v>Suffolk</v>
      </c>
      <c r="AO91" s="120" t="str">
        <f>IFERROR(VLOOKUP(Table1[RespondentID],'All Data'!$A$3:$CO$999,90,FALSE),"unknown")</f>
        <v>Stony Brook, 11790</v>
      </c>
      <c r="AP91" s="120" t="str">
        <f>IFERROR(VLOOKUP(Table1[RespondentID],'All Data'!$A$3:$CO$999,91,FALSE),"unknown")</f>
        <v>White</v>
      </c>
      <c r="AQ91" s="120" t="str">
        <f>IFERROR(VLOOKUP(Table1[RespondentID],'All Data'!$A$3:$CO$999,92,FALSE),"unknown")</f>
        <v>Hispanic or Latino</v>
      </c>
      <c r="AR91" s="120" t="str">
        <f>IFERROR(VLOOKUP(Table1[RespondentID],'All Data'!$A$3:$CO$999,93,FALSE),"unknown")</f>
        <v>English</v>
      </c>
      <c r="AS91" s="120" t="str">
        <f>IFERROR(VLOOKUP(Table1[RespondentID],'All Data'!$A$3:$CW$999,94,FALSE),"unknown")</f>
        <v>Over $125,000</v>
      </c>
      <c r="AT91" s="120" t="str">
        <f>IFERROR(VLOOKUP(Table1[RespondentID],'All Data'!$A$3:$CW$999,95,FALSE),"unknown")</f>
        <v>Graduate school</v>
      </c>
      <c r="AU91" s="120" t="str">
        <f>IFERROR(VLOOKUP(Table1[RespondentID],'All Data'!$A$3:$CW$999,96,FALSE),"unknown")</f>
        <v>Employed for wages</v>
      </c>
      <c r="AV91" s="120" t="str">
        <f>IFERROR(VLOOKUP(Table1[RespondentID],'All Data'!$A$3:$CW$999,97,FALSE),"unknown")</f>
        <v>Yes</v>
      </c>
      <c r="AW91" s="120" t="str">
        <f>IFERROR(VLOOKUP(Table1[RespondentID],'All Data'!$A$3:$CW$999,98,FALSE),"unknown")</f>
        <v>Private/Commercial</v>
      </c>
      <c r="AX91" s="120">
        <f>IFERROR(VLOOKUP(Table1[RespondentID],'All Data'!$A$3:$CW$999,99,FALSE),"unknown")</f>
        <v>0</v>
      </c>
    </row>
    <row r="92" spans="1:50">
      <c r="A92" s="5">
        <v>18023287497</v>
      </c>
      <c r="B92" s="5" t="s">
        <v>16</v>
      </c>
      <c r="C92" s="5" t="s">
        <v>17</v>
      </c>
      <c r="D92" s="5" t="s">
        <v>18</v>
      </c>
      <c r="E92" s="5"/>
      <c r="F92" s="5"/>
      <c r="G92" s="5"/>
      <c r="H92" s="5"/>
      <c r="I92" s="5"/>
      <c r="J92" s="5"/>
      <c r="K92" s="5"/>
      <c r="L92" s="5"/>
      <c r="M92" s="5"/>
      <c r="N92" s="5"/>
      <c r="O92" s="7"/>
      <c r="P92" s="7">
        <f t="shared" si="18"/>
        <v>3</v>
      </c>
      <c r="Q92" s="8">
        <f t="shared" si="19"/>
        <v>1</v>
      </c>
      <c r="R92" s="7"/>
      <c r="S92" s="7">
        <f t="shared" si="20"/>
        <v>1</v>
      </c>
      <c r="T92" s="7">
        <f t="shared" si="21"/>
        <v>1</v>
      </c>
      <c r="U92" s="7">
        <f t="shared" si="22"/>
        <v>1</v>
      </c>
      <c r="V92" s="119">
        <f t="shared" si="23"/>
        <v>0</v>
      </c>
      <c r="W92" s="119">
        <f t="shared" si="24"/>
        <v>0</v>
      </c>
      <c r="X92" s="119">
        <f t="shared" si="25"/>
        <v>0</v>
      </c>
      <c r="Y92" s="119">
        <f t="shared" si="26"/>
        <v>0</v>
      </c>
      <c r="Z92" s="119">
        <f t="shared" si="27"/>
        <v>0</v>
      </c>
      <c r="AA92" s="119">
        <f t="shared" si="28"/>
        <v>0</v>
      </c>
      <c r="AB92" s="119">
        <f t="shared" si="29"/>
        <v>0</v>
      </c>
      <c r="AC92" s="119">
        <f t="shared" si="30"/>
        <v>0</v>
      </c>
      <c r="AD92" s="119">
        <f t="shared" si="31"/>
        <v>0</v>
      </c>
      <c r="AE92" s="119">
        <f t="shared" si="32"/>
        <v>0</v>
      </c>
      <c r="AF92" s="7"/>
      <c r="AG92" s="7"/>
      <c r="AH92" s="7">
        <f t="shared" si="33"/>
        <v>3</v>
      </c>
      <c r="AI92" s="7">
        <f t="shared" si="34"/>
        <v>3</v>
      </c>
      <c r="AJ92" s="7" t="str">
        <f t="shared" si="35"/>
        <v>Correct</v>
      </c>
      <c r="AK92" s="7"/>
      <c r="AL92" s="120" t="str">
        <f>IFERROR(VLOOKUP(Table1[RespondentID],'All Data'!$A$3:$CO$999,87,FALSE),"unknown")</f>
        <v>Woman</v>
      </c>
      <c r="AM92" s="120">
        <f>IFERROR(VLOOKUP(Table1[RespondentID],'All Data'!$A$3:$CO$999,88,FALSE),"unknown")</f>
        <v>52</v>
      </c>
      <c r="AN92" s="120" t="str">
        <f>IFERROR(VLOOKUP(Table1[RespondentID],'All Data'!$A$3:$CO$999,89,FALSE),"unknown")</f>
        <v>Suffolk</v>
      </c>
      <c r="AO92" s="120" t="str">
        <f>IFERROR(VLOOKUP(Table1[RespondentID],'All Data'!$A$3:$CO$999,90,FALSE),"unknown")</f>
        <v>Smithtown, 11787</v>
      </c>
      <c r="AP92" s="120" t="str">
        <f>IFERROR(VLOOKUP(Table1[RespondentID],'All Data'!$A$3:$CO$999,91,FALSE),"unknown")</f>
        <v>White</v>
      </c>
      <c r="AQ92" s="120" t="str">
        <f>IFERROR(VLOOKUP(Table1[RespondentID],'All Data'!$A$3:$CO$999,92,FALSE),"unknown")</f>
        <v>Hispanic or Latino</v>
      </c>
      <c r="AR92" s="120" t="str">
        <f>IFERROR(VLOOKUP(Table1[RespondentID],'All Data'!$A$3:$CO$999,93,FALSE),"unknown")</f>
        <v>English</v>
      </c>
      <c r="AS92" s="120" t="str">
        <f>IFERROR(VLOOKUP(Table1[RespondentID],'All Data'!$A$3:$CW$999,94,FALSE),"unknown")</f>
        <v>Over $125,000</v>
      </c>
      <c r="AT92" s="120" t="str">
        <f>IFERROR(VLOOKUP(Table1[RespondentID],'All Data'!$A$3:$CW$999,95,FALSE),"unknown")</f>
        <v>College graduate</v>
      </c>
      <c r="AU92" s="120" t="str">
        <f>IFERROR(VLOOKUP(Table1[RespondentID],'All Data'!$A$3:$CW$999,96,FALSE),"unknown")</f>
        <v>Employed for wages</v>
      </c>
      <c r="AV92" s="120">
        <f>IFERROR(VLOOKUP(Table1[RespondentID],'All Data'!$A$3:$CW$999,97,FALSE),"unknown")</f>
        <v>0</v>
      </c>
      <c r="AW92" s="120">
        <f>IFERROR(VLOOKUP(Table1[RespondentID],'All Data'!$A$3:$CW$999,98,FALSE),"unknown")</f>
        <v>0</v>
      </c>
      <c r="AX92" s="120">
        <f>IFERROR(VLOOKUP(Table1[RespondentID],'All Data'!$A$3:$CW$999,99,FALSE),"unknown")</f>
        <v>0</v>
      </c>
    </row>
    <row r="93" spans="1:50">
      <c r="A93" s="5">
        <v>18023287370</v>
      </c>
      <c r="B93" s="5"/>
      <c r="C93" s="5"/>
      <c r="D93" s="5"/>
      <c r="E93" s="5"/>
      <c r="F93" s="5"/>
      <c r="G93" s="5"/>
      <c r="H93" s="5"/>
      <c r="I93" s="5" t="s">
        <v>23</v>
      </c>
      <c r="J93" s="5"/>
      <c r="K93" s="5"/>
      <c r="L93" s="5"/>
      <c r="M93" s="5"/>
      <c r="N93" s="5"/>
      <c r="O93" s="7"/>
      <c r="P93" s="7">
        <f t="shared" si="18"/>
        <v>1</v>
      </c>
      <c r="Q93" s="9">
        <f t="shared" si="19"/>
        <v>3</v>
      </c>
      <c r="R93" s="7"/>
      <c r="S93" s="7">
        <f t="shared" si="20"/>
        <v>0</v>
      </c>
      <c r="T93" s="7">
        <f t="shared" si="21"/>
        <v>0</v>
      </c>
      <c r="U93" s="7">
        <f t="shared" si="22"/>
        <v>0</v>
      </c>
      <c r="V93" s="119">
        <f t="shared" si="23"/>
        <v>0</v>
      </c>
      <c r="W93" s="119">
        <f t="shared" si="24"/>
        <v>0</v>
      </c>
      <c r="X93" s="119">
        <f t="shared" si="25"/>
        <v>0</v>
      </c>
      <c r="Y93" s="119">
        <f t="shared" si="26"/>
        <v>0</v>
      </c>
      <c r="Z93" s="119">
        <f t="shared" si="27"/>
        <v>1</v>
      </c>
      <c r="AA93" s="119">
        <f t="shared" si="28"/>
        <v>0</v>
      </c>
      <c r="AB93" s="119">
        <f t="shared" si="29"/>
        <v>0</v>
      </c>
      <c r="AC93" s="119">
        <f t="shared" si="30"/>
        <v>0</v>
      </c>
      <c r="AD93" s="119">
        <f t="shared" si="31"/>
        <v>0</v>
      </c>
      <c r="AE93" s="119">
        <f t="shared" si="32"/>
        <v>0</v>
      </c>
      <c r="AF93" s="7"/>
      <c r="AG93" s="7"/>
      <c r="AH93" s="7">
        <f t="shared" si="33"/>
        <v>1</v>
      </c>
      <c r="AI93" s="7">
        <f t="shared" si="34"/>
        <v>1</v>
      </c>
      <c r="AJ93" s="7" t="str">
        <f t="shared" si="35"/>
        <v>Correct</v>
      </c>
      <c r="AK93" s="7"/>
      <c r="AL93" s="120" t="str">
        <f>IFERROR(VLOOKUP(Table1[RespondentID],'All Data'!$A$3:$CO$999,87,FALSE),"unknown")</f>
        <v>Man</v>
      </c>
      <c r="AM93" s="120">
        <f>IFERROR(VLOOKUP(Table1[RespondentID],'All Data'!$A$3:$CO$999,88,FALSE),"unknown")</f>
        <v>23</v>
      </c>
      <c r="AN93" s="120" t="str">
        <f>IFERROR(VLOOKUP(Table1[RespondentID],'All Data'!$A$3:$CO$999,89,FALSE),"unknown")</f>
        <v>Suffolk</v>
      </c>
      <c r="AO93" s="120" t="str">
        <f>IFERROR(VLOOKUP(Table1[RespondentID],'All Data'!$A$3:$CO$999,90,FALSE),"unknown")</f>
        <v>Central Islip, 11722</v>
      </c>
      <c r="AP93" s="120">
        <f>IFERROR(VLOOKUP(Table1[RespondentID],'All Data'!$A$3:$CO$999,91,FALSE),"unknown")</f>
        <v>0</v>
      </c>
      <c r="AQ93" s="120" t="str">
        <f>IFERROR(VLOOKUP(Table1[RespondentID],'All Data'!$A$3:$CO$999,92,FALSE),"unknown")</f>
        <v>Not Hispanic or Latino</v>
      </c>
      <c r="AR93" s="120" t="str">
        <f>IFERROR(VLOOKUP(Table1[RespondentID],'All Data'!$A$3:$CO$999,93,FALSE),"unknown")</f>
        <v>Spanish</v>
      </c>
      <c r="AS93" s="120" t="str">
        <f>IFERROR(VLOOKUP(Table1[RespondentID],'All Data'!$A$3:$CW$999,94,FALSE),"unknown")</f>
        <v>$20,000 to $34,999</v>
      </c>
      <c r="AT93" s="120" t="str">
        <f>IFERROR(VLOOKUP(Table1[RespondentID],'All Data'!$A$3:$CW$999,95,FALSE),"unknown")</f>
        <v>Some college</v>
      </c>
      <c r="AU93" s="120" t="str">
        <f>IFERROR(VLOOKUP(Table1[RespondentID],'All Data'!$A$3:$CW$999,96,FALSE),"unknown")</f>
        <v>Employed for wages</v>
      </c>
      <c r="AV93" s="120" t="str">
        <f>IFERROR(VLOOKUP(Table1[RespondentID],'All Data'!$A$3:$CW$999,97,FALSE),"unknown")</f>
        <v>Yes</v>
      </c>
      <c r="AW93" s="120">
        <f>IFERROR(VLOOKUP(Table1[RespondentID],'All Data'!$A$3:$CW$999,98,FALSE),"unknown")</f>
        <v>0</v>
      </c>
      <c r="AX93" s="120">
        <f>IFERROR(VLOOKUP(Table1[RespondentID],'All Data'!$A$3:$CW$999,99,FALSE),"unknown")</f>
        <v>0</v>
      </c>
    </row>
    <row r="94" spans="1:50">
      <c r="A94" s="5">
        <v>18023287265</v>
      </c>
      <c r="B94" s="5"/>
      <c r="C94" s="5" t="s">
        <v>17</v>
      </c>
      <c r="D94" s="5"/>
      <c r="E94" s="5" t="s">
        <v>19</v>
      </c>
      <c r="F94" s="5"/>
      <c r="G94" s="5"/>
      <c r="H94" s="5"/>
      <c r="I94" s="5"/>
      <c r="J94" s="5" t="s">
        <v>24</v>
      </c>
      <c r="K94" s="5"/>
      <c r="L94" s="5"/>
      <c r="M94" s="5"/>
      <c r="N94" s="5"/>
      <c r="O94" s="7"/>
      <c r="P94" s="7">
        <f t="shared" si="18"/>
        <v>3</v>
      </c>
      <c r="Q94" s="8">
        <f t="shared" si="19"/>
        <v>1</v>
      </c>
      <c r="R94" s="7"/>
      <c r="S94" s="7">
        <f t="shared" si="20"/>
        <v>0</v>
      </c>
      <c r="T94" s="7">
        <f t="shared" si="21"/>
        <v>1</v>
      </c>
      <c r="U94" s="7">
        <f t="shared" si="22"/>
        <v>0</v>
      </c>
      <c r="V94" s="119">
        <f t="shared" si="23"/>
        <v>1</v>
      </c>
      <c r="W94" s="119">
        <f t="shared" si="24"/>
        <v>0</v>
      </c>
      <c r="X94" s="119">
        <f t="shared" si="25"/>
        <v>0</v>
      </c>
      <c r="Y94" s="119">
        <f t="shared" si="26"/>
        <v>0</v>
      </c>
      <c r="Z94" s="119">
        <f t="shared" si="27"/>
        <v>0</v>
      </c>
      <c r="AA94" s="119">
        <f t="shared" si="28"/>
        <v>1</v>
      </c>
      <c r="AB94" s="119">
        <f t="shared" si="29"/>
        <v>0</v>
      </c>
      <c r="AC94" s="119">
        <f t="shared" si="30"/>
        <v>0</v>
      </c>
      <c r="AD94" s="119">
        <f t="shared" si="31"/>
        <v>0</v>
      </c>
      <c r="AE94" s="119">
        <f t="shared" si="32"/>
        <v>0</v>
      </c>
      <c r="AF94" s="7"/>
      <c r="AG94" s="7"/>
      <c r="AH94" s="7">
        <f t="shared" si="33"/>
        <v>3</v>
      </c>
      <c r="AI94" s="7">
        <f t="shared" si="34"/>
        <v>3</v>
      </c>
      <c r="AJ94" s="7" t="str">
        <f t="shared" si="35"/>
        <v>Correct</v>
      </c>
      <c r="AK94" s="7"/>
      <c r="AL94" s="120" t="str">
        <f>IFERROR(VLOOKUP(Table1[RespondentID],'All Data'!$A$3:$CO$999,87,FALSE),"unknown")</f>
        <v>Woman</v>
      </c>
      <c r="AM94" s="120">
        <f>IFERROR(VLOOKUP(Table1[RespondentID],'All Data'!$A$3:$CO$999,88,FALSE),"unknown")</f>
        <v>33</v>
      </c>
      <c r="AN94" s="120" t="str">
        <f>IFERROR(VLOOKUP(Table1[RespondentID],'All Data'!$A$3:$CO$999,89,FALSE),"unknown")</f>
        <v>Suffolk</v>
      </c>
      <c r="AO94" s="120" t="str">
        <f>IFERROR(VLOOKUP(Table1[RespondentID],'All Data'!$A$3:$CO$999,90,FALSE),"unknown")</f>
        <v>North Babylon, 11703</v>
      </c>
      <c r="AP94" s="120" t="str">
        <f>IFERROR(VLOOKUP(Table1[RespondentID],'All Data'!$A$3:$CO$999,91,FALSE),"unknown")</f>
        <v>White</v>
      </c>
      <c r="AQ94" s="120" t="str">
        <f>IFERROR(VLOOKUP(Table1[RespondentID],'All Data'!$A$3:$CO$999,92,FALSE),"unknown")</f>
        <v>Not Hispanic or Latino</v>
      </c>
      <c r="AR94" s="120" t="str">
        <f>IFERROR(VLOOKUP(Table1[RespondentID],'All Data'!$A$3:$CO$999,93,FALSE),"unknown")</f>
        <v>English</v>
      </c>
      <c r="AS94" s="120" t="str">
        <f>IFERROR(VLOOKUP(Table1[RespondentID],'All Data'!$A$3:$CW$999,94,FALSE),"unknown")</f>
        <v>Over $125,000</v>
      </c>
      <c r="AT94" s="120" t="str">
        <f>IFERROR(VLOOKUP(Table1[RespondentID],'All Data'!$A$3:$CW$999,95,FALSE),"unknown")</f>
        <v>College graduate</v>
      </c>
      <c r="AU94" s="120" t="str">
        <f>IFERROR(VLOOKUP(Table1[RespondentID],'All Data'!$A$3:$CW$999,96,FALSE),"unknown")</f>
        <v>Employed for wages</v>
      </c>
      <c r="AV94" s="120" t="str">
        <f>IFERROR(VLOOKUP(Table1[RespondentID],'All Data'!$A$3:$CW$999,97,FALSE),"unknown")</f>
        <v>Yes</v>
      </c>
      <c r="AW94" s="120">
        <f>IFERROR(VLOOKUP(Table1[RespondentID],'All Data'!$A$3:$CW$999,98,FALSE),"unknown")</f>
        <v>0</v>
      </c>
      <c r="AX94" s="120">
        <f>IFERROR(VLOOKUP(Table1[RespondentID],'All Data'!$A$3:$CW$999,99,FALSE),"unknown")</f>
        <v>0</v>
      </c>
    </row>
    <row r="95" spans="1:50">
      <c r="A95" s="5">
        <v>18023287153</v>
      </c>
      <c r="B95" s="5"/>
      <c r="C95" s="5"/>
      <c r="D95" s="5" t="s">
        <v>18</v>
      </c>
      <c r="E95" s="5"/>
      <c r="F95" s="5"/>
      <c r="G95" s="5"/>
      <c r="H95" s="5"/>
      <c r="I95" s="5"/>
      <c r="J95" s="5"/>
      <c r="K95" s="5"/>
      <c r="L95" s="5"/>
      <c r="M95" s="5"/>
      <c r="N95" s="5" t="s">
        <v>28</v>
      </c>
      <c r="O95" s="7"/>
      <c r="P95" s="7">
        <f t="shared" si="18"/>
        <v>2</v>
      </c>
      <c r="Q95" s="9">
        <f t="shared" si="19"/>
        <v>1.5</v>
      </c>
      <c r="R95" s="7"/>
      <c r="S95" s="7">
        <f t="shared" si="20"/>
        <v>0</v>
      </c>
      <c r="T95" s="7">
        <f t="shared" si="21"/>
        <v>0</v>
      </c>
      <c r="U95" s="7">
        <f t="shared" si="22"/>
        <v>1</v>
      </c>
      <c r="V95" s="119">
        <f t="shared" si="23"/>
        <v>0</v>
      </c>
      <c r="W95" s="119">
        <f t="shared" si="24"/>
        <v>0</v>
      </c>
      <c r="X95" s="119">
        <f t="shared" si="25"/>
        <v>0</v>
      </c>
      <c r="Y95" s="119">
        <f t="shared" si="26"/>
        <v>0</v>
      </c>
      <c r="Z95" s="119">
        <f t="shared" si="27"/>
        <v>0</v>
      </c>
      <c r="AA95" s="119">
        <f t="shared" si="28"/>
        <v>0</v>
      </c>
      <c r="AB95" s="119">
        <f t="shared" si="29"/>
        <v>0</v>
      </c>
      <c r="AC95" s="119">
        <f t="shared" si="30"/>
        <v>0</v>
      </c>
      <c r="AD95" s="119">
        <f t="shared" si="31"/>
        <v>0</v>
      </c>
      <c r="AE95" s="119">
        <f t="shared" si="32"/>
        <v>1</v>
      </c>
      <c r="AF95" s="7"/>
      <c r="AG95" s="7"/>
      <c r="AH95" s="7">
        <f t="shared" si="33"/>
        <v>2</v>
      </c>
      <c r="AI95" s="7">
        <f t="shared" si="34"/>
        <v>2</v>
      </c>
      <c r="AJ95" s="7" t="str">
        <f t="shared" si="35"/>
        <v>Correct</v>
      </c>
      <c r="AK95" s="7"/>
      <c r="AL95" s="120" t="str">
        <f>IFERROR(VLOOKUP(Table1[RespondentID],'All Data'!$A$3:$CO$999,87,FALSE),"unknown")</f>
        <v>Woman</v>
      </c>
      <c r="AM95" s="120">
        <f>IFERROR(VLOOKUP(Table1[RespondentID],'All Data'!$A$3:$CO$999,88,FALSE),"unknown")</f>
        <v>60</v>
      </c>
      <c r="AN95" s="120" t="str">
        <f>IFERROR(VLOOKUP(Table1[RespondentID],'All Data'!$A$3:$CO$999,89,FALSE),"unknown")</f>
        <v>Suffolk</v>
      </c>
      <c r="AO95" s="120" t="str">
        <f>IFERROR(VLOOKUP(Table1[RespondentID],'All Data'!$A$3:$CO$999,90,FALSE),"unknown")</f>
        <v>Smithtown, 11787</v>
      </c>
      <c r="AP95" s="120" t="str">
        <f>IFERROR(VLOOKUP(Table1[RespondentID],'All Data'!$A$3:$CO$999,91,FALSE),"unknown")</f>
        <v>White</v>
      </c>
      <c r="AQ95" s="120" t="str">
        <f>IFERROR(VLOOKUP(Table1[RespondentID],'All Data'!$A$3:$CO$999,92,FALSE),"unknown")</f>
        <v>Hispanic or Latino</v>
      </c>
      <c r="AR95" s="120" t="str">
        <f>IFERROR(VLOOKUP(Table1[RespondentID],'All Data'!$A$3:$CO$999,93,FALSE),"unknown")</f>
        <v>English</v>
      </c>
      <c r="AS95" s="120" t="str">
        <f>IFERROR(VLOOKUP(Table1[RespondentID],'All Data'!$A$3:$CW$999,94,FALSE),"unknown")</f>
        <v>$75,000 to $125,000</v>
      </c>
      <c r="AT95" s="120" t="str">
        <f>IFERROR(VLOOKUP(Table1[RespondentID],'All Data'!$A$3:$CW$999,95,FALSE),"unknown")</f>
        <v>College graduate</v>
      </c>
      <c r="AU95" s="120" t="str">
        <f>IFERROR(VLOOKUP(Table1[RespondentID],'All Data'!$A$3:$CW$999,96,FALSE),"unknown")</f>
        <v>Employed for wages</v>
      </c>
      <c r="AV95" s="120" t="str">
        <f>IFERROR(VLOOKUP(Table1[RespondentID],'All Data'!$A$3:$CW$999,97,FALSE),"unknown")</f>
        <v>Yes</v>
      </c>
      <c r="AW95" s="120">
        <f>IFERROR(VLOOKUP(Table1[RespondentID],'All Data'!$A$3:$CW$999,98,FALSE),"unknown")</f>
        <v>0</v>
      </c>
      <c r="AX95" s="120">
        <f>IFERROR(VLOOKUP(Table1[RespondentID],'All Data'!$A$3:$CW$999,99,FALSE),"unknown")</f>
        <v>0</v>
      </c>
    </row>
    <row r="96" spans="1:50">
      <c r="A96" s="5">
        <v>18023287064</v>
      </c>
      <c r="B96" s="5"/>
      <c r="C96" s="5"/>
      <c r="D96" s="5" t="s">
        <v>18</v>
      </c>
      <c r="E96" s="5"/>
      <c r="F96" s="5"/>
      <c r="G96" s="5"/>
      <c r="H96" s="5"/>
      <c r="I96" s="5"/>
      <c r="J96" s="5"/>
      <c r="K96" s="5"/>
      <c r="L96" s="5"/>
      <c r="M96" s="5"/>
      <c r="N96" s="5"/>
      <c r="O96" s="7"/>
      <c r="P96" s="7">
        <f t="shared" si="18"/>
        <v>1</v>
      </c>
      <c r="Q96" s="8">
        <f t="shared" si="19"/>
        <v>3</v>
      </c>
      <c r="R96" s="7"/>
      <c r="S96" s="7">
        <f t="shared" si="20"/>
        <v>0</v>
      </c>
      <c r="T96" s="7">
        <f t="shared" si="21"/>
        <v>0</v>
      </c>
      <c r="U96" s="7">
        <f t="shared" si="22"/>
        <v>1</v>
      </c>
      <c r="V96" s="119">
        <f t="shared" si="23"/>
        <v>0</v>
      </c>
      <c r="W96" s="119">
        <f t="shared" si="24"/>
        <v>0</v>
      </c>
      <c r="X96" s="119">
        <f t="shared" si="25"/>
        <v>0</v>
      </c>
      <c r="Y96" s="119">
        <f t="shared" si="26"/>
        <v>0</v>
      </c>
      <c r="Z96" s="119">
        <f t="shared" si="27"/>
        <v>0</v>
      </c>
      <c r="AA96" s="119">
        <f t="shared" si="28"/>
        <v>0</v>
      </c>
      <c r="AB96" s="119">
        <f t="shared" si="29"/>
        <v>0</v>
      </c>
      <c r="AC96" s="119">
        <f t="shared" si="30"/>
        <v>0</v>
      </c>
      <c r="AD96" s="119">
        <f t="shared" si="31"/>
        <v>0</v>
      </c>
      <c r="AE96" s="119">
        <f t="shared" si="32"/>
        <v>0</v>
      </c>
      <c r="AF96" s="7"/>
      <c r="AG96" s="7"/>
      <c r="AH96" s="7">
        <f t="shared" si="33"/>
        <v>1</v>
      </c>
      <c r="AI96" s="7">
        <f t="shared" si="34"/>
        <v>1</v>
      </c>
      <c r="AJ96" s="7" t="str">
        <f t="shared" si="35"/>
        <v>Correct</v>
      </c>
      <c r="AK96" s="7"/>
      <c r="AL96" s="120" t="str">
        <f>IFERROR(VLOOKUP(Table1[RespondentID],'All Data'!$A$3:$CO$999,87,FALSE),"unknown")</f>
        <v>Man</v>
      </c>
      <c r="AM96" s="120">
        <f>IFERROR(VLOOKUP(Table1[RespondentID],'All Data'!$A$3:$CO$999,88,FALSE),"unknown")</f>
        <v>60</v>
      </c>
      <c r="AN96" s="120" t="str">
        <f>IFERROR(VLOOKUP(Table1[RespondentID],'All Data'!$A$3:$CO$999,89,FALSE),"unknown")</f>
        <v>Suffolk</v>
      </c>
      <c r="AO96" s="120" t="str">
        <f>IFERROR(VLOOKUP(Table1[RespondentID],'All Data'!$A$3:$CO$999,90,FALSE),"unknown")</f>
        <v>Holtsville, 11742</v>
      </c>
      <c r="AP96" s="120" t="str">
        <f>IFERROR(VLOOKUP(Table1[RespondentID],'All Data'!$A$3:$CO$999,91,FALSE),"unknown")</f>
        <v>White</v>
      </c>
      <c r="AQ96" s="120" t="str">
        <f>IFERROR(VLOOKUP(Table1[RespondentID],'All Data'!$A$3:$CO$999,92,FALSE),"unknown")</f>
        <v>Hispanic or Latino</v>
      </c>
      <c r="AR96" s="120" t="str">
        <f>IFERROR(VLOOKUP(Table1[RespondentID],'All Data'!$A$3:$CO$999,93,FALSE),"unknown")</f>
        <v>English</v>
      </c>
      <c r="AS96" s="120" t="str">
        <f>IFERROR(VLOOKUP(Table1[RespondentID],'All Data'!$A$3:$CW$999,94,FALSE),"unknown")</f>
        <v>$75,000 to $125,000</v>
      </c>
      <c r="AT96" s="120" t="str">
        <f>IFERROR(VLOOKUP(Table1[RespondentID],'All Data'!$A$3:$CW$999,95,FALSE),"unknown")</f>
        <v>Technical school</v>
      </c>
      <c r="AU96" s="120" t="str">
        <f>IFERROR(VLOOKUP(Table1[RespondentID],'All Data'!$A$3:$CW$999,96,FALSE),"unknown")</f>
        <v>Employed for wages</v>
      </c>
      <c r="AV96" s="120" t="str">
        <f>IFERROR(VLOOKUP(Table1[RespondentID],'All Data'!$A$3:$CW$999,97,FALSE),"unknown")</f>
        <v>Yes</v>
      </c>
      <c r="AW96" s="120">
        <f>IFERROR(VLOOKUP(Table1[RespondentID],'All Data'!$A$3:$CW$999,98,FALSE),"unknown")</f>
        <v>0</v>
      </c>
      <c r="AX96" s="120">
        <f>IFERROR(VLOOKUP(Table1[RespondentID],'All Data'!$A$3:$CW$999,99,FALSE),"unknown")</f>
        <v>0</v>
      </c>
    </row>
    <row r="97" spans="1:50">
      <c r="A97" s="5">
        <v>18023286963</v>
      </c>
      <c r="B97" s="5"/>
      <c r="C97" s="5"/>
      <c r="D97" s="5"/>
      <c r="E97" s="5" t="s">
        <v>19</v>
      </c>
      <c r="F97" s="5"/>
      <c r="G97" s="5"/>
      <c r="H97" s="5"/>
      <c r="I97" s="5" t="s">
        <v>23</v>
      </c>
      <c r="J97" s="5"/>
      <c r="K97" s="5"/>
      <c r="L97" s="5"/>
      <c r="M97" s="5"/>
      <c r="N97" s="5"/>
      <c r="O97" s="7"/>
      <c r="P97" s="7">
        <f t="shared" si="18"/>
        <v>2</v>
      </c>
      <c r="Q97" s="9">
        <f t="shared" si="19"/>
        <v>1.5</v>
      </c>
      <c r="R97" s="7"/>
      <c r="S97" s="7">
        <f t="shared" si="20"/>
        <v>0</v>
      </c>
      <c r="T97" s="7">
        <f t="shared" si="21"/>
        <v>0</v>
      </c>
      <c r="U97" s="7">
        <f t="shared" si="22"/>
        <v>0</v>
      </c>
      <c r="V97" s="119">
        <f t="shared" si="23"/>
        <v>1</v>
      </c>
      <c r="W97" s="119">
        <f t="shared" si="24"/>
        <v>0</v>
      </c>
      <c r="X97" s="119">
        <f t="shared" si="25"/>
        <v>0</v>
      </c>
      <c r="Y97" s="119">
        <f t="shared" si="26"/>
        <v>0</v>
      </c>
      <c r="Z97" s="119">
        <f t="shared" si="27"/>
        <v>1</v>
      </c>
      <c r="AA97" s="119">
        <f t="shared" si="28"/>
        <v>0</v>
      </c>
      <c r="AB97" s="119">
        <f t="shared" si="29"/>
        <v>0</v>
      </c>
      <c r="AC97" s="119">
        <f t="shared" si="30"/>
        <v>0</v>
      </c>
      <c r="AD97" s="119">
        <f t="shared" si="31"/>
        <v>0</v>
      </c>
      <c r="AE97" s="119">
        <f t="shared" si="32"/>
        <v>0</v>
      </c>
      <c r="AF97" s="7"/>
      <c r="AG97" s="7"/>
      <c r="AH97" s="7">
        <f t="shared" si="33"/>
        <v>2</v>
      </c>
      <c r="AI97" s="7">
        <f t="shared" si="34"/>
        <v>2</v>
      </c>
      <c r="AJ97" s="7" t="str">
        <f t="shared" si="35"/>
        <v>Correct</v>
      </c>
      <c r="AK97" s="7"/>
      <c r="AL97" s="120" t="str">
        <f>IFERROR(VLOOKUP(Table1[RespondentID],'All Data'!$A$3:$CO$999,87,FALSE),"unknown")</f>
        <v>Man</v>
      </c>
      <c r="AM97" s="120">
        <f>IFERROR(VLOOKUP(Table1[RespondentID],'All Data'!$A$3:$CO$999,88,FALSE),"unknown")</f>
        <v>50</v>
      </c>
      <c r="AN97" s="120" t="str">
        <f>IFERROR(VLOOKUP(Table1[RespondentID],'All Data'!$A$3:$CO$999,89,FALSE),"unknown")</f>
        <v>Suffolk</v>
      </c>
      <c r="AO97" s="120" t="str">
        <f>IFERROR(VLOOKUP(Table1[RespondentID],'All Data'!$A$3:$CO$999,90,FALSE),"unknown")</f>
        <v>Smithtown, 11787</v>
      </c>
      <c r="AP97" s="120" t="str">
        <f>IFERROR(VLOOKUP(Table1[RespondentID],'All Data'!$A$3:$CO$999,91,FALSE),"unknown")</f>
        <v>White</v>
      </c>
      <c r="AQ97" s="120" t="str">
        <f>IFERROR(VLOOKUP(Table1[RespondentID],'All Data'!$A$3:$CO$999,92,FALSE),"unknown")</f>
        <v>Hispanic or Latino</v>
      </c>
      <c r="AR97" s="120" t="str">
        <f>IFERROR(VLOOKUP(Table1[RespondentID],'All Data'!$A$3:$CO$999,93,FALSE),"unknown")</f>
        <v>English</v>
      </c>
      <c r="AS97" s="120" t="str">
        <f>IFERROR(VLOOKUP(Table1[RespondentID],'All Data'!$A$3:$CW$999,94,FALSE),"unknown")</f>
        <v>Over $125,000</v>
      </c>
      <c r="AT97" s="120" t="str">
        <f>IFERROR(VLOOKUP(Table1[RespondentID],'All Data'!$A$3:$CW$999,95,FALSE),"unknown")</f>
        <v>Some college</v>
      </c>
      <c r="AU97" s="120" t="str">
        <f>IFERROR(VLOOKUP(Table1[RespondentID],'All Data'!$A$3:$CW$999,96,FALSE),"unknown")</f>
        <v>Employed for wages</v>
      </c>
      <c r="AV97" s="120" t="str">
        <f>IFERROR(VLOOKUP(Table1[RespondentID],'All Data'!$A$3:$CW$999,97,FALSE),"unknown")</f>
        <v>Yes</v>
      </c>
      <c r="AW97" s="120">
        <f>IFERROR(VLOOKUP(Table1[RespondentID],'All Data'!$A$3:$CW$999,98,FALSE),"unknown")</f>
        <v>0</v>
      </c>
      <c r="AX97" s="120">
        <f>IFERROR(VLOOKUP(Table1[RespondentID],'All Data'!$A$3:$CW$999,99,FALSE),"unknown")</f>
        <v>0</v>
      </c>
    </row>
    <row r="98" spans="1:50">
      <c r="A98" s="5">
        <v>18023286873</v>
      </c>
      <c r="B98" s="5"/>
      <c r="C98" s="5"/>
      <c r="D98" s="5"/>
      <c r="E98" s="5"/>
      <c r="F98" s="5"/>
      <c r="G98" s="5"/>
      <c r="H98" s="5"/>
      <c r="I98" s="5"/>
      <c r="J98" s="5"/>
      <c r="K98" s="5" t="s">
        <v>25</v>
      </c>
      <c r="L98" s="5"/>
      <c r="M98" s="5"/>
      <c r="N98" s="5"/>
      <c r="O98" s="7"/>
      <c r="P98" s="7">
        <f t="shared" si="18"/>
        <v>1</v>
      </c>
      <c r="Q98" s="8">
        <f t="shared" si="19"/>
        <v>3</v>
      </c>
      <c r="R98" s="7"/>
      <c r="S98" s="7">
        <f t="shared" si="20"/>
        <v>0</v>
      </c>
      <c r="T98" s="7">
        <f t="shared" si="21"/>
        <v>0</v>
      </c>
      <c r="U98" s="7">
        <f t="shared" si="22"/>
        <v>0</v>
      </c>
      <c r="V98" s="119">
        <f t="shared" si="23"/>
        <v>0</v>
      </c>
      <c r="W98" s="119">
        <f t="shared" si="24"/>
        <v>0</v>
      </c>
      <c r="X98" s="119">
        <f t="shared" si="25"/>
        <v>0</v>
      </c>
      <c r="Y98" s="119">
        <f t="shared" si="26"/>
        <v>0</v>
      </c>
      <c r="Z98" s="119">
        <f t="shared" si="27"/>
        <v>0</v>
      </c>
      <c r="AA98" s="119">
        <f t="shared" si="28"/>
        <v>0</v>
      </c>
      <c r="AB98" s="119">
        <f t="shared" si="29"/>
        <v>1</v>
      </c>
      <c r="AC98" s="119">
        <f t="shared" si="30"/>
        <v>0</v>
      </c>
      <c r="AD98" s="119">
        <f t="shared" si="31"/>
        <v>0</v>
      </c>
      <c r="AE98" s="119">
        <f t="shared" si="32"/>
        <v>0</v>
      </c>
      <c r="AF98" s="7"/>
      <c r="AG98" s="7"/>
      <c r="AH98" s="7">
        <f t="shared" si="33"/>
        <v>1</v>
      </c>
      <c r="AI98" s="7">
        <f t="shared" si="34"/>
        <v>1</v>
      </c>
      <c r="AJ98" s="7" t="str">
        <f t="shared" si="35"/>
        <v>Correct</v>
      </c>
      <c r="AK98" s="7"/>
      <c r="AL98" s="120" t="str">
        <f>IFERROR(VLOOKUP(Table1[RespondentID],'All Data'!$A$3:$CO$999,87,FALSE),"unknown")</f>
        <v>Man</v>
      </c>
      <c r="AM98" s="120">
        <f>IFERROR(VLOOKUP(Table1[RespondentID],'All Data'!$A$3:$CO$999,88,FALSE),"unknown")</f>
        <v>34</v>
      </c>
      <c r="AN98" s="120" t="str">
        <f>IFERROR(VLOOKUP(Table1[RespondentID],'All Data'!$A$3:$CO$999,89,FALSE),"unknown")</f>
        <v>Suffolk</v>
      </c>
      <c r="AO98" s="120" t="str">
        <f>IFERROR(VLOOKUP(Table1[RespondentID],'All Data'!$A$3:$CO$999,90,FALSE),"unknown")</f>
        <v>Rocky Point, 11778</v>
      </c>
      <c r="AP98" s="120" t="str">
        <f>IFERROR(VLOOKUP(Table1[RespondentID],'All Data'!$A$3:$CO$999,91,FALSE),"unknown")</f>
        <v>White</v>
      </c>
      <c r="AQ98" s="120" t="str">
        <f>IFERROR(VLOOKUP(Table1[RespondentID],'All Data'!$A$3:$CO$999,92,FALSE),"unknown")</f>
        <v>Hispanic or Latino</v>
      </c>
      <c r="AR98" s="120" t="str">
        <f>IFERROR(VLOOKUP(Table1[RespondentID],'All Data'!$A$3:$CO$999,93,FALSE),"unknown")</f>
        <v>English</v>
      </c>
      <c r="AS98" s="120" t="str">
        <f>IFERROR(VLOOKUP(Table1[RespondentID],'All Data'!$A$3:$CW$999,94,FALSE),"unknown")</f>
        <v>$50,000 to $74,999</v>
      </c>
      <c r="AT98" s="120" t="str">
        <f>IFERROR(VLOOKUP(Table1[RespondentID],'All Data'!$A$3:$CW$999,95,FALSE),"unknown")</f>
        <v>College graduate</v>
      </c>
      <c r="AU98" s="120" t="str">
        <f>IFERROR(VLOOKUP(Table1[RespondentID],'All Data'!$A$3:$CW$999,96,FALSE),"unknown")</f>
        <v>Employed for wages</v>
      </c>
      <c r="AV98" s="120" t="str">
        <f>IFERROR(VLOOKUP(Table1[RespondentID],'All Data'!$A$3:$CW$999,97,FALSE),"unknown")</f>
        <v>Yes</v>
      </c>
      <c r="AW98" s="120">
        <f>IFERROR(VLOOKUP(Table1[RespondentID],'All Data'!$A$3:$CW$999,98,FALSE),"unknown")</f>
        <v>0</v>
      </c>
      <c r="AX98" s="120">
        <f>IFERROR(VLOOKUP(Table1[RespondentID],'All Data'!$A$3:$CW$999,99,FALSE),"unknown")</f>
        <v>0</v>
      </c>
    </row>
    <row r="99" spans="1:50">
      <c r="A99" s="5">
        <v>18023000376</v>
      </c>
      <c r="B99" s="5"/>
      <c r="C99" s="5"/>
      <c r="D99" s="5"/>
      <c r="E99" s="5"/>
      <c r="F99" s="5"/>
      <c r="G99" s="5" t="s">
        <v>21</v>
      </c>
      <c r="H99" s="5"/>
      <c r="I99" s="5"/>
      <c r="J99" s="5"/>
      <c r="K99" s="5" t="s">
        <v>25</v>
      </c>
      <c r="L99" s="5"/>
      <c r="M99" s="5"/>
      <c r="N99" s="5" t="s">
        <v>28</v>
      </c>
      <c r="O99" s="7"/>
      <c r="P99" s="7">
        <f t="shared" si="18"/>
        <v>3</v>
      </c>
      <c r="Q99" s="9">
        <f t="shared" si="19"/>
        <v>1</v>
      </c>
      <c r="R99" s="7"/>
      <c r="S99" s="7">
        <f t="shared" si="20"/>
        <v>0</v>
      </c>
      <c r="T99" s="7">
        <f t="shared" si="21"/>
        <v>0</v>
      </c>
      <c r="U99" s="7">
        <f t="shared" si="22"/>
        <v>0</v>
      </c>
      <c r="V99" s="119">
        <f t="shared" si="23"/>
        <v>0</v>
      </c>
      <c r="W99" s="119">
        <f t="shared" si="24"/>
        <v>0</v>
      </c>
      <c r="X99" s="119">
        <f t="shared" si="25"/>
        <v>1</v>
      </c>
      <c r="Y99" s="119">
        <f t="shared" si="26"/>
        <v>0</v>
      </c>
      <c r="Z99" s="119">
        <f t="shared" si="27"/>
        <v>0</v>
      </c>
      <c r="AA99" s="119">
        <f t="shared" si="28"/>
        <v>0</v>
      </c>
      <c r="AB99" s="119">
        <f t="shared" si="29"/>
        <v>1</v>
      </c>
      <c r="AC99" s="119">
        <f t="shared" si="30"/>
        <v>0</v>
      </c>
      <c r="AD99" s="119">
        <f t="shared" si="31"/>
        <v>0</v>
      </c>
      <c r="AE99" s="119">
        <f t="shared" si="32"/>
        <v>1</v>
      </c>
      <c r="AF99" s="7"/>
      <c r="AG99" s="7"/>
      <c r="AH99" s="7">
        <f t="shared" si="33"/>
        <v>3</v>
      </c>
      <c r="AI99" s="7">
        <f t="shared" si="34"/>
        <v>3</v>
      </c>
      <c r="AJ99" s="7" t="str">
        <f t="shared" si="35"/>
        <v>Correct</v>
      </c>
      <c r="AK99" s="7"/>
      <c r="AL99" s="120" t="str">
        <f>IFERROR(VLOOKUP(Table1[RespondentID],'All Data'!$A$3:$CO$999,87,FALSE),"unknown")</f>
        <v>Man</v>
      </c>
      <c r="AM99" s="120">
        <f>IFERROR(VLOOKUP(Table1[RespondentID],'All Data'!$A$3:$CO$999,88,FALSE),"unknown")</f>
        <v>30</v>
      </c>
      <c r="AN99" s="120" t="str">
        <f>IFERROR(VLOOKUP(Table1[RespondentID],'All Data'!$A$3:$CO$999,89,FALSE),"unknown")</f>
        <v>Suffolk</v>
      </c>
      <c r="AO99" s="120" t="str">
        <f>IFERROR(VLOOKUP(Table1[RespondentID],'All Data'!$A$3:$CO$999,90,FALSE),"unknown")</f>
        <v>Miller Place, 11764</v>
      </c>
      <c r="AP99" s="120" t="str">
        <f>IFERROR(VLOOKUP(Table1[RespondentID],'All Data'!$A$3:$CO$999,91,FALSE),"unknown")</f>
        <v>White</v>
      </c>
      <c r="AQ99" s="120" t="str">
        <f>IFERROR(VLOOKUP(Table1[RespondentID],'All Data'!$A$3:$CO$999,92,FALSE),"unknown")</f>
        <v>Hispanic or Latino</v>
      </c>
      <c r="AR99" s="120" t="str">
        <f>IFERROR(VLOOKUP(Table1[RespondentID],'All Data'!$A$3:$CO$999,93,FALSE),"unknown")</f>
        <v>English</v>
      </c>
      <c r="AS99" s="120" t="str">
        <f>IFERROR(VLOOKUP(Table1[RespondentID],'All Data'!$A$3:$CW$999,94,FALSE),"unknown")</f>
        <v>$75,000 to $125,000</v>
      </c>
      <c r="AT99" s="120" t="str">
        <f>IFERROR(VLOOKUP(Table1[RespondentID],'All Data'!$A$3:$CW$999,95,FALSE),"unknown")</f>
        <v>College graduate</v>
      </c>
      <c r="AU99" s="120" t="str">
        <f>IFERROR(VLOOKUP(Table1[RespondentID],'All Data'!$A$3:$CW$999,96,FALSE),"unknown")</f>
        <v>Employed for wages</v>
      </c>
      <c r="AV99" s="120" t="str">
        <f>IFERROR(VLOOKUP(Table1[RespondentID],'All Data'!$A$3:$CW$999,97,FALSE),"unknown")</f>
        <v>Yes</v>
      </c>
      <c r="AW99" s="120" t="str">
        <f>IFERROR(VLOOKUP(Table1[RespondentID],'All Data'!$A$3:$CW$999,98,FALSE),"unknown")</f>
        <v>Private/Commercial</v>
      </c>
      <c r="AX99" s="120" t="str">
        <f>IFERROR(VLOOKUP(Table1[RespondentID],'All Data'!$A$3:$CW$999,99,FALSE),"unknown")</f>
        <v>Yes</v>
      </c>
    </row>
    <row r="100" spans="1:50">
      <c r="A100" s="5">
        <v>18022999885</v>
      </c>
      <c r="B100" s="5"/>
      <c r="C100" s="5"/>
      <c r="D100" s="5"/>
      <c r="E100" s="5"/>
      <c r="F100" s="5"/>
      <c r="G100" s="5"/>
      <c r="H100" s="5"/>
      <c r="I100" s="5" t="s">
        <v>23</v>
      </c>
      <c r="J100" s="5"/>
      <c r="K100" s="5" t="s">
        <v>25</v>
      </c>
      <c r="L100" s="5"/>
      <c r="M100" s="5"/>
      <c r="N100" s="5"/>
      <c r="O100" s="7"/>
      <c r="P100" s="7">
        <f t="shared" si="18"/>
        <v>2</v>
      </c>
      <c r="Q100" s="8">
        <f t="shared" si="19"/>
        <v>1.5</v>
      </c>
      <c r="R100" s="7"/>
      <c r="S100" s="7">
        <f t="shared" si="20"/>
        <v>0</v>
      </c>
      <c r="T100" s="7">
        <f t="shared" si="21"/>
        <v>0</v>
      </c>
      <c r="U100" s="7">
        <f t="shared" si="22"/>
        <v>0</v>
      </c>
      <c r="V100" s="119">
        <f t="shared" si="23"/>
        <v>0</v>
      </c>
      <c r="W100" s="119">
        <f t="shared" si="24"/>
        <v>0</v>
      </c>
      <c r="X100" s="119">
        <f t="shared" si="25"/>
        <v>0</v>
      </c>
      <c r="Y100" s="119">
        <f t="shared" si="26"/>
        <v>0</v>
      </c>
      <c r="Z100" s="119">
        <f t="shared" si="27"/>
        <v>1</v>
      </c>
      <c r="AA100" s="119">
        <f t="shared" si="28"/>
        <v>0</v>
      </c>
      <c r="AB100" s="119">
        <f t="shared" si="29"/>
        <v>1</v>
      </c>
      <c r="AC100" s="119">
        <f t="shared" si="30"/>
        <v>0</v>
      </c>
      <c r="AD100" s="119">
        <f t="shared" si="31"/>
        <v>0</v>
      </c>
      <c r="AE100" s="119">
        <f t="shared" si="32"/>
        <v>0</v>
      </c>
      <c r="AF100" s="7"/>
      <c r="AG100" s="7"/>
      <c r="AH100" s="7">
        <f t="shared" si="33"/>
        <v>2</v>
      </c>
      <c r="AI100" s="7">
        <f t="shared" si="34"/>
        <v>2</v>
      </c>
      <c r="AJ100" s="7" t="str">
        <f t="shared" si="35"/>
        <v>Correct</v>
      </c>
      <c r="AK100" s="7"/>
      <c r="AL100" s="120" t="str">
        <f>IFERROR(VLOOKUP(Table1[RespondentID],'All Data'!$A$3:$CO$999,87,FALSE),"unknown")</f>
        <v>Man</v>
      </c>
      <c r="AM100" s="120">
        <f>IFERROR(VLOOKUP(Table1[RespondentID],'All Data'!$A$3:$CO$999,88,FALSE),"unknown")</f>
        <v>24</v>
      </c>
      <c r="AN100" s="120" t="str">
        <f>IFERROR(VLOOKUP(Table1[RespondentID],'All Data'!$A$3:$CO$999,89,FALSE),"unknown")</f>
        <v>Suffolk</v>
      </c>
      <c r="AO100" s="120" t="str">
        <f>IFERROR(VLOOKUP(Table1[RespondentID],'All Data'!$A$3:$CO$999,90,FALSE),"unknown")</f>
        <v>Coram, 11727</v>
      </c>
      <c r="AP100" s="120" t="str">
        <f>IFERROR(VLOOKUP(Table1[RespondentID],'All Data'!$A$3:$CO$999,91,FALSE),"unknown")</f>
        <v>White</v>
      </c>
      <c r="AQ100" s="120" t="str">
        <f>IFERROR(VLOOKUP(Table1[RespondentID],'All Data'!$A$3:$CO$999,92,FALSE),"unknown")</f>
        <v>Hispanic or Latino</v>
      </c>
      <c r="AR100" s="120" t="str">
        <f>IFERROR(VLOOKUP(Table1[RespondentID],'All Data'!$A$3:$CO$999,93,FALSE),"unknown")</f>
        <v>English</v>
      </c>
      <c r="AS100" s="120" t="str">
        <f>IFERROR(VLOOKUP(Table1[RespondentID],'All Data'!$A$3:$CW$999,94,FALSE),"unknown")</f>
        <v>$75,000 to $125,000</v>
      </c>
      <c r="AT100" s="120" t="str">
        <f>IFERROR(VLOOKUP(Table1[RespondentID],'All Data'!$A$3:$CW$999,95,FALSE),"unknown")</f>
        <v>College graduate</v>
      </c>
      <c r="AU100" s="120" t="str">
        <f>IFERROR(VLOOKUP(Table1[RespondentID],'All Data'!$A$3:$CW$999,96,FALSE),"unknown")</f>
        <v>Employed for wages</v>
      </c>
      <c r="AV100" s="120" t="str">
        <f>IFERROR(VLOOKUP(Table1[RespondentID],'All Data'!$A$3:$CW$999,97,FALSE),"unknown")</f>
        <v>Yes</v>
      </c>
      <c r="AW100" s="120" t="str">
        <f>IFERROR(VLOOKUP(Table1[RespondentID],'All Data'!$A$3:$CW$999,98,FALSE),"unknown")</f>
        <v>Private/Commercial</v>
      </c>
      <c r="AX100" s="120" t="str">
        <f>IFERROR(VLOOKUP(Table1[RespondentID],'All Data'!$A$3:$CW$999,99,FALSE),"unknown")</f>
        <v>Yes</v>
      </c>
    </row>
    <row r="101" spans="1:50">
      <c r="A101" s="5">
        <v>18022879421</v>
      </c>
      <c r="B101" s="5"/>
      <c r="C101" s="5" t="s">
        <v>17</v>
      </c>
      <c r="D101" s="5" t="s">
        <v>18</v>
      </c>
      <c r="E101" s="5" t="s">
        <v>19</v>
      </c>
      <c r="F101" s="5"/>
      <c r="G101" s="5"/>
      <c r="H101" s="5"/>
      <c r="I101" s="5"/>
      <c r="J101" s="5"/>
      <c r="K101" s="5"/>
      <c r="L101" s="5"/>
      <c r="M101" s="5"/>
      <c r="N101" s="5"/>
      <c r="O101" s="7"/>
      <c r="P101" s="7">
        <f t="shared" si="18"/>
        <v>3</v>
      </c>
      <c r="Q101" s="9">
        <f t="shared" si="19"/>
        <v>1</v>
      </c>
      <c r="R101" s="7"/>
      <c r="S101" s="7">
        <f t="shared" si="20"/>
        <v>0</v>
      </c>
      <c r="T101" s="7">
        <f t="shared" si="21"/>
        <v>1</v>
      </c>
      <c r="U101" s="7">
        <f t="shared" si="22"/>
        <v>1</v>
      </c>
      <c r="V101" s="119">
        <f t="shared" si="23"/>
        <v>1</v>
      </c>
      <c r="W101" s="119">
        <f t="shared" si="24"/>
        <v>0</v>
      </c>
      <c r="X101" s="119">
        <f t="shared" si="25"/>
        <v>0</v>
      </c>
      <c r="Y101" s="119">
        <f t="shared" si="26"/>
        <v>0</v>
      </c>
      <c r="Z101" s="119">
        <f t="shared" si="27"/>
        <v>0</v>
      </c>
      <c r="AA101" s="119">
        <f t="shared" si="28"/>
        <v>0</v>
      </c>
      <c r="AB101" s="119">
        <f t="shared" si="29"/>
        <v>0</v>
      </c>
      <c r="AC101" s="119">
        <f t="shared" si="30"/>
        <v>0</v>
      </c>
      <c r="AD101" s="119">
        <f t="shared" si="31"/>
        <v>0</v>
      </c>
      <c r="AE101" s="119">
        <f t="shared" si="32"/>
        <v>0</v>
      </c>
      <c r="AF101" s="7"/>
      <c r="AG101" s="7"/>
      <c r="AH101" s="7">
        <f t="shared" si="33"/>
        <v>3</v>
      </c>
      <c r="AI101" s="7">
        <f t="shared" si="34"/>
        <v>3</v>
      </c>
      <c r="AJ101" s="7" t="str">
        <f t="shared" si="35"/>
        <v>Correct</v>
      </c>
      <c r="AK101" s="7"/>
      <c r="AL101" s="120" t="str">
        <f>IFERROR(VLOOKUP(Table1[RespondentID],'All Data'!$A$3:$CO$999,87,FALSE),"unknown")</f>
        <v>Man</v>
      </c>
      <c r="AM101" s="120">
        <f>IFERROR(VLOOKUP(Table1[RespondentID],'All Data'!$A$3:$CO$999,88,FALSE),"unknown")</f>
        <v>52</v>
      </c>
      <c r="AN101" s="120" t="str">
        <f>IFERROR(VLOOKUP(Table1[RespondentID],'All Data'!$A$3:$CO$999,89,FALSE),"unknown")</f>
        <v>Suffolk</v>
      </c>
      <c r="AO101" s="120" t="str">
        <f>IFERROR(VLOOKUP(Table1[RespondentID],'All Data'!$A$3:$CO$999,90,FALSE),"unknown")</f>
        <v>Smithtown, 11787</v>
      </c>
      <c r="AP101" s="120" t="str">
        <f>IFERROR(VLOOKUP(Table1[RespondentID],'All Data'!$A$3:$CO$999,91,FALSE),"unknown")</f>
        <v>White</v>
      </c>
      <c r="AQ101" s="120" t="str">
        <f>IFERROR(VLOOKUP(Table1[RespondentID],'All Data'!$A$3:$CO$999,92,FALSE),"unknown")</f>
        <v>Hispanic or Latino</v>
      </c>
      <c r="AR101" s="120" t="str">
        <f>IFERROR(VLOOKUP(Table1[RespondentID],'All Data'!$A$3:$CO$999,93,FALSE),"unknown")</f>
        <v>English</v>
      </c>
      <c r="AS101" s="120" t="str">
        <f>IFERROR(VLOOKUP(Table1[RespondentID],'All Data'!$A$3:$CW$999,94,FALSE),"unknown")</f>
        <v>Over $125,000</v>
      </c>
      <c r="AT101" s="120" t="str">
        <f>IFERROR(VLOOKUP(Table1[RespondentID],'All Data'!$A$3:$CW$999,95,FALSE),"unknown")</f>
        <v>College graduate</v>
      </c>
      <c r="AU101" s="120" t="str">
        <f>IFERROR(VLOOKUP(Table1[RespondentID],'All Data'!$A$3:$CW$999,96,FALSE),"unknown")</f>
        <v>Employed for wages</v>
      </c>
      <c r="AV101" s="120" t="str">
        <f>IFERROR(VLOOKUP(Table1[RespondentID],'All Data'!$A$3:$CW$999,97,FALSE),"unknown")</f>
        <v>Yes</v>
      </c>
      <c r="AW101" s="120">
        <f>IFERROR(VLOOKUP(Table1[RespondentID],'All Data'!$A$3:$CW$999,98,FALSE),"unknown")</f>
        <v>0</v>
      </c>
      <c r="AX101" s="120">
        <f>IFERROR(VLOOKUP(Table1[RespondentID],'All Data'!$A$3:$CW$999,99,FALSE),"unknown")</f>
        <v>0</v>
      </c>
    </row>
    <row r="102" spans="1:50">
      <c r="A102" s="5">
        <v>18022879253</v>
      </c>
      <c r="B102" s="5"/>
      <c r="C102" s="5" t="s">
        <v>17</v>
      </c>
      <c r="D102" s="5" t="s">
        <v>18</v>
      </c>
      <c r="E102" s="5"/>
      <c r="F102" s="5"/>
      <c r="G102" s="5"/>
      <c r="H102" s="5"/>
      <c r="I102" s="5"/>
      <c r="J102" s="5"/>
      <c r="K102" s="5" t="s">
        <v>25</v>
      </c>
      <c r="L102" s="5"/>
      <c r="M102" s="5"/>
      <c r="N102" s="5"/>
      <c r="O102" s="7"/>
      <c r="P102" s="7">
        <f t="shared" si="18"/>
        <v>3</v>
      </c>
      <c r="Q102" s="8">
        <f t="shared" si="19"/>
        <v>1</v>
      </c>
      <c r="R102" s="7"/>
      <c r="S102" s="7">
        <f t="shared" si="20"/>
        <v>0</v>
      </c>
      <c r="T102" s="7">
        <f t="shared" si="21"/>
        <v>1</v>
      </c>
      <c r="U102" s="7">
        <f t="shared" si="22"/>
        <v>1</v>
      </c>
      <c r="V102" s="119">
        <f t="shared" si="23"/>
        <v>0</v>
      </c>
      <c r="W102" s="119">
        <f t="shared" si="24"/>
        <v>0</v>
      </c>
      <c r="X102" s="119">
        <f t="shared" si="25"/>
        <v>0</v>
      </c>
      <c r="Y102" s="119">
        <f t="shared" si="26"/>
        <v>0</v>
      </c>
      <c r="Z102" s="119">
        <f t="shared" si="27"/>
        <v>0</v>
      </c>
      <c r="AA102" s="119">
        <f t="shared" si="28"/>
        <v>0</v>
      </c>
      <c r="AB102" s="119">
        <f t="shared" si="29"/>
        <v>1</v>
      </c>
      <c r="AC102" s="119">
        <f t="shared" si="30"/>
        <v>0</v>
      </c>
      <c r="AD102" s="119">
        <f t="shared" si="31"/>
        <v>0</v>
      </c>
      <c r="AE102" s="119">
        <f t="shared" si="32"/>
        <v>0</v>
      </c>
      <c r="AF102" s="7"/>
      <c r="AG102" s="7"/>
      <c r="AH102" s="7">
        <f t="shared" si="33"/>
        <v>3</v>
      </c>
      <c r="AI102" s="7">
        <f t="shared" si="34"/>
        <v>3</v>
      </c>
      <c r="AJ102" s="7" t="str">
        <f t="shared" si="35"/>
        <v>Correct</v>
      </c>
      <c r="AK102" s="7"/>
      <c r="AL102" s="120" t="str">
        <f>IFERROR(VLOOKUP(Table1[RespondentID],'All Data'!$A$3:$CO$999,87,FALSE),"unknown")</f>
        <v>Woman</v>
      </c>
      <c r="AM102" s="120">
        <f>IFERROR(VLOOKUP(Table1[RespondentID],'All Data'!$A$3:$CO$999,88,FALSE),"unknown")</f>
        <v>60</v>
      </c>
      <c r="AN102" s="120" t="str">
        <f>IFERROR(VLOOKUP(Table1[RespondentID],'All Data'!$A$3:$CO$999,89,FALSE),"unknown")</f>
        <v>Suffolk</v>
      </c>
      <c r="AO102" s="120" t="str">
        <f>IFERROR(VLOOKUP(Table1[RespondentID],'All Data'!$A$3:$CO$999,90,FALSE),"unknown")</f>
        <v>Lake Ronkonkoma, 11779</v>
      </c>
      <c r="AP102" s="120" t="str">
        <f>IFERROR(VLOOKUP(Table1[RespondentID],'All Data'!$A$3:$CO$999,91,FALSE),"unknown")</f>
        <v>White</v>
      </c>
      <c r="AQ102" s="120" t="str">
        <f>IFERROR(VLOOKUP(Table1[RespondentID],'All Data'!$A$3:$CO$999,92,FALSE),"unknown")</f>
        <v>Hispanic or Latino</v>
      </c>
      <c r="AR102" s="120" t="str">
        <f>IFERROR(VLOOKUP(Table1[RespondentID],'All Data'!$A$3:$CO$999,93,FALSE),"unknown")</f>
        <v>English, Italian</v>
      </c>
      <c r="AS102" s="120" t="str">
        <f>IFERROR(VLOOKUP(Table1[RespondentID],'All Data'!$A$3:$CW$999,94,FALSE),"unknown")</f>
        <v>$50,000 to $74,999</v>
      </c>
      <c r="AT102" s="120" t="str">
        <f>IFERROR(VLOOKUP(Table1[RespondentID],'All Data'!$A$3:$CW$999,95,FALSE),"unknown")</f>
        <v>Some college</v>
      </c>
      <c r="AU102" s="120" t="str">
        <f>IFERROR(VLOOKUP(Table1[RespondentID],'All Data'!$A$3:$CW$999,96,FALSE),"unknown")</f>
        <v>Employed for wages</v>
      </c>
      <c r="AV102" s="120" t="str">
        <f>IFERROR(VLOOKUP(Table1[RespondentID],'All Data'!$A$3:$CW$999,97,FALSE),"unknown")</f>
        <v>No</v>
      </c>
      <c r="AW102" s="120">
        <f>IFERROR(VLOOKUP(Table1[RespondentID],'All Data'!$A$3:$CW$999,98,FALSE),"unknown")</f>
        <v>0</v>
      </c>
      <c r="AX102" s="120">
        <f>IFERROR(VLOOKUP(Table1[RespondentID],'All Data'!$A$3:$CW$999,99,FALSE),"unknown")</f>
        <v>0</v>
      </c>
    </row>
    <row r="103" spans="1:50">
      <c r="A103" s="5">
        <v>18022879053</v>
      </c>
      <c r="B103" s="5"/>
      <c r="C103" s="5" t="s">
        <v>17</v>
      </c>
      <c r="D103" s="5" t="s">
        <v>18</v>
      </c>
      <c r="E103" s="5"/>
      <c r="F103" s="5"/>
      <c r="G103" s="5"/>
      <c r="H103" s="5"/>
      <c r="I103" s="5"/>
      <c r="J103" s="5" t="s">
        <v>24</v>
      </c>
      <c r="K103" s="5"/>
      <c r="L103" s="5"/>
      <c r="M103" s="5"/>
      <c r="N103" s="5"/>
      <c r="O103" s="7"/>
      <c r="P103" s="7">
        <f t="shared" si="18"/>
        <v>3</v>
      </c>
      <c r="Q103" s="9">
        <f t="shared" si="19"/>
        <v>1</v>
      </c>
      <c r="R103" s="7"/>
      <c r="S103" s="7">
        <f t="shared" si="20"/>
        <v>0</v>
      </c>
      <c r="T103" s="7">
        <f t="shared" si="21"/>
        <v>1</v>
      </c>
      <c r="U103" s="7">
        <f t="shared" si="22"/>
        <v>1</v>
      </c>
      <c r="V103" s="119">
        <f t="shared" si="23"/>
        <v>0</v>
      </c>
      <c r="W103" s="119">
        <f t="shared" si="24"/>
        <v>0</v>
      </c>
      <c r="X103" s="119">
        <f t="shared" si="25"/>
        <v>0</v>
      </c>
      <c r="Y103" s="119">
        <f t="shared" si="26"/>
        <v>0</v>
      </c>
      <c r="Z103" s="119">
        <f t="shared" si="27"/>
        <v>0</v>
      </c>
      <c r="AA103" s="119">
        <f t="shared" si="28"/>
        <v>1</v>
      </c>
      <c r="AB103" s="119">
        <f t="shared" si="29"/>
        <v>0</v>
      </c>
      <c r="AC103" s="119">
        <f t="shared" si="30"/>
        <v>0</v>
      </c>
      <c r="AD103" s="119">
        <f t="shared" si="31"/>
        <v>0</v>
      </c>
      <c r="AE103" s="119">
        <f t="shared" si="32"/>
        <v>0</v>
      </c>
      <c r="AF103" s="7"/>
      <c r="AG103" s="7"/>
      <c r="AH103" s="7">
        <f t="shared" si="33"/>
        <v>3</v>
      </c>
      <c r="AI103" s="7">
        <f t="shared" si="34"/>
        <v>3</v>
      </c>
      <c r="AJ103" s="7" t="str">
        <f t="shared" si="35"/>
        <v>Correct</v>
      </c>
      <c r="AK103" s="7"/>
      <c r="AL103" s="120" t="str">
        <f>IFERROR(VLOOKUP(Table1[RespondentID],'All Data'!$A$3:$CO$999,87,FALSE),"unknown")</f>
        <v>Man</v>
      </c>
      <c r="AM103" s="120">
        <f>IFERROR(VLOOKUP(Table1[RespondentID],'All Data'!$A$3:$CO$999,88,FALSE),"unknown")</f>
        <v>54</v>
      </c>
      <c r="AN103" s="120" t="str">
        <f>IFERROR(VLOOKUP(Table1[RespondentID],'All Data'!$A$3:$CO$999,89,FALSE),"unknown")</f>
        <v>Suffolk</v>
      </c>
      <c r="AO103" s="120" t="str">
        <f>IFERROR(VLOOKUP(Table1[RespondentID],'All Data'!$A$3:$CO$999,90,FALSE),"unknown")</f>
        <v>Ronkonkoma, 11779</v>
      </c>
      <c r="AP103" s="120" t="str">
        <f>IFERROR(VLOOKUP(Table1[RespondentID],'All Data'!$A$3:$CO$999,91,FALSE),"unknown")</f>
        <v>White</v>
      </c>
      <c r="AQ103" s="120" t="str">
        <f>IFERROR(VLOOKUP(Table1[RespondentID],'All Data'!$A$3:$CO$999,92,FALSE),"unknown")</f>
        <v>Hispanic or Latino</v>
      </c>
      <c r="AR103" s="120" t="str">
        <f>IFERROR(VLOOKUP(Table1[RespondentID],'All Data'!$A$3:$CO$999,93,FALSE),"unknown")</f>
        <v>English</v>
      </c>
      <c r="AS103" s="120" t="str">
        <f>IFERROR(VLOOKUP(Table1[RespondentID],'All Data'!$A$3:$CW$999,94,FALSE),"unknown")</f>
        <v>$50,000 to $74,999</v>
      </c>
      <c r="AT103" s="120" t="str">
        <f>IFERROR(VLOOKUP(Table1[RespondentID],'All Data'!$A$3:$CW$999,95,FALSE),"unknown")</f>
        <v>High school graduate</v>
      </c>
      <c r="AU103" s="120" t="str">
        <f>IFERROR(VLOOKUP(Table1[RespondentID],'All Data'!$A$3:$CW$999,96,FALSE),"unknown")</f>
        <v>Employed for wages</v>
      </c>
      <c r="AV103" s="120" t="str">
        <f>IFERROR(VLOOKUP(Table1[RespondentID],'All Data'!$A$3:$CW$999,97,FALSE),"unknown")</f>
        <v>Yes</v>
      </c>
      <c r="AW103" s="120">
        <f>IFERROR(VLOOKUP(Table1[RespondentID],'All Data'!$A$3:$CW$999,98,FALSE),"unknown")</f>
        <v>0</v>
      </c>
      <c r="AX103" s="120">
        <f>IFERROR(VLOOKUP(Table1[RespondentID],'All Data'!$A$3:$CW$999,99,FALSE),"unknown")</f>
        <v>0</v>
      </c>
    </row>
    <row r="104" spans="1:50">
      <c r="A104" s="5">
        <v>18022878819</v>
      </c>
      <c r="B104" s="5"/>
      <c r="C104" s="5"/>
      <c r="D104" s="5"/>
      <c r="E104" s="5"/>
      <c r="F104" s="5"/>
      <c r="G104" s="5"/>
      <c r="H104" s="5"/>
      <c r="I104" s="5"/>
      <c r="J104" s="5"/>
      <c r="K104" s="5"/>
      <c r="L104" s="5"/>
      <c r="M104" s="5"/>
      <c r="N104" s="5" t="s">
        <v>28</v>
      </c>
      <c r="O104" s="7"/>
      <c r="P104" s="7">
        <f t="shared" si="18"/>
        <v>1</v>
      </c>
      <c r="Q104" s="8">
        <f t="shared" si="19"/>
        <v>3</v>
      </c>
      <c r="R104" s="7"/>
      <c r="S104" s="7">
        <f t="shared" si="20"/>
        <v>0</v>
      </c>
      <c r="T104" s="7">
        <f t="shared" si="21"/>
        <v>0</v>
      </c>
      <c r="U104" s="7">
        <f t="shared" si="22"/>
        <v>0</v>
      </c>
      <c r="V104" s="119">
        <f t="shared" si="23"/>
        <v>0</v>
      </c>
      <c r="W104" s="119">
        <f t="shared" si="24"/>
        <v>0</v>
      </c>
      <c r="X104" s="119">
        <f t="shared" si="25"/>
        <v>0</v>
      </c>
      <c r="Y104" s="119">
        <f t="shared" si="26"/>
        <v>0</v>
      </c>
      <c r="Z104" s="119">
        <f t="shared" si="27"/>
        <v>0</v>
      </c>
      <c r="AA104" s="119">
        <f t="shared" si="28"/>
        <v>0</v>
      </c>
      <c r="AB104" s="119">
        <f t="shared" si="29"/>
        <v>0</v>
      </c>
      <c r="AC104" s="119">
        <f t="shared" si="30"/>
        <v>0</v>
      </c>
      <c r="AD104" s="119">
        <f t="shared" si="31"/>
        <v>0</v>
      </c>
      <c r="AE104" s="119">
        <f t="shared" si="32"/>
        <v>1</v>
      </c>
      <c r="AF104" s="7"/>
      <c r="AG104" s="7"/>
      <c r="AH104" s="7">
        <f t="shared" si="33"/>
        <v>1</v>
      </c>
      <c r="AI104" s="7">
        <f t="shared" si="34"/>
        <v>1</v>
      </c>
      <c r="AJ104" s="7" t="str">
        <f t="shared" si="35"/>
        <v>Correct</v>
      </c>
      <c r="AK104" s="7"/>
      <c r="AL104" s="120" t="str">
        <f>IFERROR(VLOOKUP(Table1[RespondentID],'All Data'!$A$3:$CO$999,87,FALSE),"unknown")</f>
        <v>Woman</v>
      </c>
      <c r="AM104" s="120">
        <f>IFERROR(VLOOKUP(Table1[RespondentID],'All Data'!$A$3:$CO$999,88,FALSE),"unknown")</f>
        <v>25</v>
      </c>
      <c r="AN104" s="120" t="str">
        <f>IFERROR(VLOOKUP(Table1[RespondentID],'All Data'!$A$3:$CO$999,89,FALSE),"unknown")</f>
        <v>Suffolk</v>
      </c>
      <c r="AO104" s="120" t="str">
        <f>IFERROR(VLOOKUP(Table1[RespondentID],'All Data'!$A$3:$CO$999,90,FALSE),"unknown")</f>
        <v>Mastic, 11950</v>
      </c>
      <c r="AP104" s="120" t="str">
        <f>IFERROR(VLOOKUP(Table1[RespondentID],'All Data'!$A$3:$CO$999,91,FALSE),"unknown")</f>
        <v>White</v>
      </c>
      <c r="AQ104" s="120" t="str">
        <f>IFERROR(VLOOKUP(Table1[RespondentID],'All Data'!$A$3:$CO$999,92,FALSE),"unknown")</f>
        <v>Hispanic or Latino</v>
      </c>
      <c r="AR104" s="120" t="str">
        <f>IFERROR(VLOOKUP(Table1[RespondentID],'All Data'!$A$3:$CO$999,93,FALSE),"unknown")</f>
        <v>English</v>
      </c>
      <c r="AS104" s="120" t="str">
        <f>IFERROR(VLOOKUP(Table1[RespondentID],'All Data'!$A$3:$CW$999,94,FALSE),"unknown")</f>
        <v>$75,000 to $125,000</v>
      </c>
      <c r="AT104" s="120" t="str">
        <f>IFERROR(VLOOKUP(Table1[RespondentID],'All Data'!$A$3:$CW$999,95,FALSE),"unknown")</f>
        <v>College graduate</v>
      </c>
      <c r="AU104" s="120" t="str">
        <f>IFERROR(VLOOKUP(Table1[RespondentID],'All Data'!$A$3:$CW$999,96,FALSE),"unknown")</f>
        <v>Employed for wages</v>
      </c>
      <c r="AV104" s="120" t="str">
        <f>IFERROR(VLOOKUP(Table1[RespondentID],'All Data'!$A$3:$CW$999,97,FALSE),"unknown")</f>
        <v>Yes</v>
      </c>
      <c r="AW104" s="120">
        <f>IFERROR(VLOOKUP(Table1[RespondentID],'All Data'!$A$3:$CW$999,98,FALSE),"unknown")</f>
        <v>0</v>
      </c>
      <c r="AX104" s="120">
        <f>IFERROR(VLOOKUP(Table1[RespondentID],'All Data'!$A$3:$CW$999,99,FALSE),"unknown")</f>
        <v>0</v>
      </c>
    </row>
    <row r="105" spans="1:50">
      <c r="A105" s="5">
        <v>18022878706</v>
      </c>
      <c r="B105" s="5"/>
      <c r="C105" s="5"/>
      <c r="D105" s="5"/>
      <c r="E105" s="5" t="s">
        <v>19</v>
      </c>
      <c r="F105" s="5"/>
      <c r="G105" s="5"/>
      <c r="H105" s="5" t="s">
        <v>22</v>
      </c>
      <c r="I105" s="5"/>
      <c r="J105" s="5"/>
      <c r="K105" s="5"/>
      <c r="L105" s="5"/>
      <c r="M105" s="5"/>
      <c r="N105" s="5"/>
      <c r="O105" s="7"/>
      <c r="P105" s="7">
        <f t="shared" si="18"/>
        <v>2</v>
      </c>
      <c r="Q105" s="9">
        <f t="shared" si="19"/>
        <v>1.5</v>
      </c>
      <c r="R105" s="7"/>
      <c r="S105" s="7">
        <f t="shared" si="20"/>
        <v>0</v>
      </c>
      <c r="T105" s="7">
        <f t="shared" si="21"/>
        <v>0</v>
      </c>
      <c r="U105" s="7">
        <f t="shared" si="22"/>
        <v>0</v>
      </c>
      <c r="V105" s="119">
        <f t="shared" si="23"/>
        <v>1</v>
      </c>
      <c r="W105" s="119">
        <f t="shared" si="24"/>
        <v>0</v>
      </c>
      <c r="X105" s="119">
        <f t="shared" si="25"/>
        <v>0</v>
      </c>
      <c r="Y105" s="119">
        <f t="shared" si="26"/>
        <v>1</v>
      </c>
      <c r="Z105" s="119">
        <f t="shared" si="27"/>
        <v>0</v>
      </c>
      <c r="AA105" s="119">
        <f t="shared" si="28"/>
        <v>0</v>
      </c>
      <c r="AB105" s="119">
        <f t="shared" si="29"/>
        <v>0</v>
      </c>
      <c r="AC105" s="119">
        <f t="shared" si="30"/>
        <v>0</v>
      </c>
      <c r="AD105" s="119">
        <f t="shared" si="31"/>
        <v>0</v>
      </c>
      <c r="AE105" s="119">
        <f t="shared" si="32"/>
        <v>0</v>
      </c>
      <c r="AF105" s="7"/>
      <c r="AG105" s="7"/>
      <c r="AH105" s="7">
        <f t="shared" si="33"/>
        <v>2</v>
      </c>
      <c r="AI105" s="7">
        <f t="shared" si="34"/>
        <v>2</v>
      </c>
      <c r="AJ105" s="7" t="str">
        <f t="shared" si="35"/>
        <v>Correct</v>
      </c>
      <c r="AK105" s="7"/>
      <c r="AL105" s="120" t="str">
        <f>IFERROR(VLOOKUP(Table1[RespondentID],'All Data'!$A$3:$CO$999,87,FALSE),"unknown")</f>
        <v>Man</v>
      </c>
      <c r="AM105" s="120">
        <f>IFERROR(VLOOKUP(Table1[RespondentID],'All Data'!$A$3:$CO$999,88,FALSE),"unknown")</f>
        <v>32</v>
      </c>
      <c r="AN105" s="120" t="str">
        <f>IFERROR(VLOOKUP(Table1[RespondentID],'All Data'!$A$3:$CO$999,89,FALSE),"unknown")</f>
        <v>Suffolk</v>
      </c>
      <c r="AO105" s="120" t="str">
        <f>IFERROR(VLOOKUP(Table1[RespondentID],'All Data'!$A$3:$CO$999,90,FALSE),"unknown")</f>
        <v>Smithtown, 11787</v>
      </c>
      <c r="AP105" s="120" t="str">
        <f>IFERROR(VLOOKUP(Table1[RespondentID],'All Data'!$A$3:$CO$999,91,FALSE),"unknown")</f>
        <v>White</v>
      </c>
      <c r="AQ105" s="120" t="str">
        <f>IFERROR(VLOOKUP(Table1[RespondentID],'All Data'!$A$3:$CO$999,92,FALSE),"unknown")</f>
        <v>Hispanic or Latino</v>
      </c>
      <c r="AR105" s="120" t="str">
        <f>IFERROR(VLOOKUP(Table1[RespondentID],'All Data'!$A$3:$CO$999,93,FALSE),"unknown")</f>
        <v>English</v>
      </c>
      <c r="AS105" s="120" t="str">
        <f>IFERROR(VLOOKUP(Table1[RespondentID],'All Data'!$A$3:$CW$999,94,FALSE),"unknown")</f>
        <v>Over $125,000</v>
      </c>
      <c r="AT105" s="120" t="str">
        <f>IFERROR(VLOOKUP(Table1[RespondentID],'All Data'!$A$3:$CW$999,95,FALSE),"unknown")</f>
        <v>High school graduate</v>
      </c>
      <c r="AU105" s="120" t="str">
        <f>IFERROR(VLOOKUP(Table1[RespondentID],'All Data'!$A$3:$CW$999,96,FALSE),"unknown")</f>
        <v>Employed for wages</v>
      </c>
      <c r="AV105" s="120">
        <f>IFERROR(VLOOKUP(Table1[RespondentID],'All Data'!$A$3:$CW$999,97,FALSE),"unknown")</f>
        <v>0</v>
      </c>
      <c r="AW105" s="120">
        <f>IFERROR(VLOOKUP(Table1[RespondentID],'All Data'!$A$3:$CW$999,98,FALSE),"unknown")</f>
        <v>0</v>
      </c>
      <c r="AX105" s="120">
        <f>IFERROR(VLOOKUP(Table1[RespondentID],'All Data'!$A$3:$CW$999,99,FALSE),"unknown")</f>
        <v>0</v>
      </c>
    </row>
    <row r="106" spans="1:50">
      <c r="A106" s="5">
        <v>18022878547</v>
      </c>
      <c r="B106" s="5"/>
      <c r="C106" s="5"/>
      <c r="D106" s="5"/>
      <c r="E106" s="5"/>
      <c r="F106" s="5"/>
      <c r="G106" s="5"/>
      <c r="H106" s="5"/>
      <c r="I106" s="5"/>
      <c r="J106" s="5"/>
      <c r="K106" s="5" t="s">
        <v>25</v>
      </c>
      <c r="L106" s="5"/>
      <c r="M106" s="5"/>
      <c r="N106" s="5"/>
      <c r="O106" s="7"/>
      <c r="P106" s="7">
        <f t="shared" si="18"/>
        <v>1</v>
      </c>
      <c r="Q106" s="8">
        <f t="shared" si="19"/>
        <v>3</v>
      </c>
      <c r="R106" s="7"/>
      <c r="S106" s="7">
        <f t="shared" si="20"/>
        <v>0</v>
      </c>
      <c r="T106" s="7">
        <f t="shared" si="21"/>
        <v>0</v>
      </c>
      <c r="U106" s="7">
        <f t="shared" si="22"/>
        <v>0</v>
      </c>
      <c r="V106" s="119">
        <f t="shared" si="23"/>
        <v>0</v>
      </c>
      <c r="W106" s="119">
        <f t="shared" si="24"/>
        <v>0</v>
      </c>
      <c r="X106" s="119">
        <f t="shared" si="25"/>
        <v>0</v>
      </c>
      <c r="Y106" s="119">
        <f t="shared" si="26"/>
        <v>0</v>
      </c>
      <c r="Z106" s="119">
        <f t="shared" si="27"/>
        <v>0</v>
      </c>
      <c r="AA106" s="119">
        <f t="shared" si="28"/>
        <v>0</v>
      </c>
      <c r="AB106" s="119">
        <f t="shared" si="29"/>
        <v>1</v>
      </c>
      <c r="AC106" s="119">
        <f t="shared" si="30"/>
        <v>0</v>
      </c>
      <c r="AD106" s="119">
        <f t="shared" si="31"/>
        <v>0</v>
      </c>
      <c r="AE106" s="119">
        <f t="shared" si="32"/>
        <v>0</v>
      </c>
      <c r="AF106" s="7"/>
      <c r="AG106" s="7"/>
      <c r="AH106" s="7">
        <f t="shared" si="33"/>
        <v>1</v>
      </c>
      <c r="AI106" s="7">
        <f t="shared" si="34"/>
        <v>1</v>
      </c>
      <c r="AJ106" s="7" t="str">
        <f t="shared" si="35"/>
        <v>Correct</v>
      </c>
      <c r="AK106" s="7"/>
      <c r="AL106" s="120" t="str">
        <f>IFERROR(VLOOKUP(Table1[RespondentID],'All Data'!$A$3:$CO$999,87,FALSE),"unknown")</f>
        <v>Man</v>
      </c>
      <c r="AM106" s="120">
        <f>IFERROR(VLOOKUP(Table1[RespondentID],'All Data'!$A$3:$CO$999,88,FALSE),"unknown")</f>
        <v>50</v>
      </c>
      <c r="AN106" s="120" t="str">
        <f>IFERROR(VLOOKUP(Table1[RespondentID],'All Data'!$A$3:$CO$999,89,FALSE),"unknown")</f>
        <v>Suffolk</v>
      </c>
      <c r="AO106" s="120" t="str">
        <f>IFERROR(VLOOKUP(Table1[RespondentID],'All Data'!$A$3:$CO$999,90,FALSE),"unknown")</f>
        <v>Shirley, 11967</v>
      </c>
      <c r="AP106" s="120" t="str">
        <f>IFERROR(VLOOKUP(Table1[RespondentID],'All Data'!$A$3:$CO$999,91,FALSE),"unknown")</f>
        <v>White</v>
      </c>
      <c r="AQ106" s="120" t="str">
        <f>IFERROR(VLOOKUP(Table1[RespondentID],'All Data'!$A$3:$CO$999,92,FALSE),"unknown")</f>
        <v>Hispanic or Latino</v>
      </c>
      <c r="AR106" s="120" t="str">
        <f>IFERROR(VLOOKUP(Table1[RespondentID],'All Data'!$A$3:$CO$999,93,FALSE),"unknown")</f>
        <v>English</v>
      </c>
      <c r="AS106" s="120" t="str">
        <f>IFERROR(VLOOKUP(Table1[RespondentID],'All Data'!$A$3:$CW$999,94,FALSE),"unknown")</f>
        <v>$0-$19,999</v>
      </c>
      <c r="AT106" s="120" t="str">
        <f>IFERROR(VLOOKUP(Table1[RespondentID],'All Data'!$A$3:$CW$999,95,FALSE),"unknown")</f>
        <v>High school graduate</v>
      </c>
      <c r="AU106" s="120" t="str">
        <f>IFERROR(VLOOKUP(Table1[RespondentID],'All Data'!$A$3:$CW$999,96,FALSE),"unknown")</f>
        <v>Out of work, but not currently looking</v>
      </c>
      <c r="AV106" s="120" t="str">
        <f>IFERROR(VLOOKUP(Table1[RespondentID],'All Data'!$A$3:$CW$999,97,FALSE),"unknown")</f>
        <v>Yes</v>
      </c>
      <c r="AW106" s="120">
        <f>IFERROR(VLOOKUP(Table1[RespondentID],'All Data'!$A$3:$CW$999,98,FALSE),"unknown")</f>
        <v>0</v>
      </c>
      <c r="AX106" s="120">
        <f>IFERROR(VLOOKUP(Table1[RespondentID],'All Data'!$A$3:$CW$999,99,FALSE),"unknown")</f>
        <v>0</v>
      </c>
    </row>
    <row r="107" spans="1:50">
      <c r="A107" s="5">
        <v>18022878424</v>
      </c>
      <c r="B107" s="5"/>
      <c r="C107" s="5"/>
      <c r="D107" s="5"/>
      <c r="E107" s="5"/>
      <c r="F107" s="5"/>
      <c r="G107" s="5"/>
      <c r="H107" s="5"/>
      <c r="I107" s="5"/>
      <c r="J107" s="5"/>
      <c r="K107" s="5" t="s">
        <v>25</v>
      </c>
      <c r="L107" s="5"/>
      <c r="M107" s="5"/>
      <c r="N107" s="5"/>
      <c r="O107" s="7"/>
      <c r="P107" s="7">
        <f t="shared" si="18"/>
        <v>1</v>
      </c>
      <c r="Q107" s="9">
        <f t="shared" si="19"/>
        <v>3</v>
      </c>
      <c r="R107" s="7"/>
      <c r="S107" s="7">
        <f t="shared" si="20"/>
        <v>0</v>
      </c>
      <c r="T107" s="7">
        <f t="shared" si="21"/>
        <v>0</v>
      </c>
      <c r="U107" s="7">
        <f t="shared" si="22"/>
        <v>0</v>
      </c>
      <c r="V107" s="119">
        <f t="shared" si="23"/>
        <v>0</v>
      </c>
      <c r="W107" s="119">
        <f t="shared" si="24"/>
        <v>0</v>
      </c>
      <c r="X107" s="119">
        <f t="shared" si="25"/>
        <v>0</v>
      </c>
      <c r="Y107" s="119">
        <f t="shared" si="26"/>
        <v>0</v>
      </c>
      <c r="Z107" s="119">
        <f t="shared" si="27"/>
        <v>0</v>
      </c>
      <c r="AA107" s="119">
        <f t="shared" si="28"/>
        <v>0</v>
      </c>
      <c r="AB107" s="119">
        <f t="shared" si="29"/>
        <v>1</v>
      </c>
      <c r="AC107" s="119">
        <f t="shared" si="30"/>
        <v>0</v>
      </c>
      <c r="AD107" s="119">
        <f t="shared" si="31"/>
        <v>0</v>
      </c>
      <c r="AE107" s="119">
        <f t="shared" si="32"/>
        <v>0</v>
      </c>
      <c r="AF107" s="7"/>
      <c r="AG107" s="7"/>
      <c r="AH107" s="7">
        <f t="shared" si="33"/>
        <v>1</v>
      </c>
      <c r="AI107" s="7">
        <f t="shared" si="34"/>
        <v>1</v>
      </c>
      <c r="AJ107" s="7" t="str">
        <f t="shared" si="35"/>
        <v>Correct</v>
      </c>
      <c r="AK107" s="7"/>
      <c r="AL107" s="120" t="str">
        <f>IFERROR(VLOOKUP(Table1[RespondentID],'All Data'!$A$3:$CO$999,87,FALSE),"unknown")</f>
        <v>Man</v>
      </c>
      <c r="AM107" s="120">
        <f>IFERROR(VLOOKUP(Table1[RespondentID],'All Data'!$A$3:$CO$999,88,FALSE),"unknown")</f>
        <v>26</v>
      </c>
      <c r="AN107" s="120" t="str">
        <f>IFERROR(VLOOKUP(Table1[RespondentID],'All Data'!$A$3:$CO$999,89,FALSE),"unknown")</f>
        <v>Suffolk</v>
      </c>
      <c r="AO107" s="120" t="str">
        <f>IFERROR(VLOOKUP(Table1[RespondentID],'All Data'!$A$3:$CO$999,90,FALSE),"unknown")</f>
        <v>Moriches, 11955</v>
      </c>
      <c r="AP107" s="120" t="str">
        <f>IFERROR(VLOOKUP(Table1[RespondentID],'All Data'!$A$3:$CO$999,91,FALSE),"unknown")</f>
        <v>White</v>
      </c>
      <c r="AQ107" s="120" t="str">
        <f>IFERROR(VLOOKUP(Table1[RespondentID],'All Data'!$A$3:$CO$999,92,FALSE),"unknown")</f>
        <v>Hispanic or Latino</v>
      </c>
      <c r="AR107" s="120" t="str">
        <f>IFERROR(VLOOKUP(Table1[RespondentID],'All Data'!$A$3:$CO$999,93,FALSE),"unknown")</f>
        <v>English</v>
      </c>
      <c r="AS107" s="120" t="str">
        <f>IFERROR(VLOOKUP(Table1[RespondentID],'All Data'!$A$3:$CW$999,94,FALSE),"unknown")</f>
        <v>Over $125,000</v>
      </c>
      <c r="AT107" s="120" t="str">
        <f>IFERROR(VLOOKUP(Table1[RespondentID],'All Data'!$A$3:$CW$999,95,FALSE),"unknown")</f>
        <v>Technical school</v>
      </c>
      <c r="AU107" s="120" t="str">
        <f>IFERROR(VLOOKUP(Table1[RespondentID],'All Data'!$A$3:$CW$999,96,FALSE),"unknown")</f>
        <v>Employed for wages</v>
      </c>
      <c r="AV107" s="120" t="str">
        <f>IFERROR(VLOOKUP(Table1[RespondentID],'All Data'!$A$3:$CW$999,97,FALSE),"unknown")</f>
        <v>Yes</v>
      </c>
      <c r="AW107" s="120">
        <f>IFERROR(VLOOKUP(Table1[RespondentID],'All Data'!$A$3:$CW$999,98,FALSE),"unknown")</f>
        <v>0</v>
      </c>
      <c r="AX107" s="120">
        <f>IFERROR(VLOOKUP(Table1[RespondentID],'All Data'!$A$3:$CW$999,99,FALSE),"unknown")</f>
        <v>0</v>
      </c>
    </row>
    <row r="108" spans="1:50">
      <c r="A108" s="5">
        <v>18022878292</v>
      </c>
      <c r="B108" s="5"/>
      <c r="C108" s="5" t="s">
        <v>17</v>
      </c>
      <c r="D108" s="5"/>
      <c r="E108" s="5" t="s">
        <v>19</v>
      </c>
      <c r="F108" s="5"/>
      <c r="G108" s="5"/>
      <c r="H108" s="5"/>
      <c r="I108" s="5"/>
      <c r="J108" s="5"/>
      <c r="K108" s="5"/>
      <c r="L108" s="5"/>
      <c r="M108" s="5"/>
      <c r="N108" s="5"/>
      <c r="O108" s="7"/>
      <c r="P108" s="7">
        <f t="shared" si="18"/>
        <v>2</v>
      </c>
      <c r="Q108" s="8">
        <f t="shared" si="19"/>
        <v>1.5</v>
      </c>
      <c r="R108" s="7"/>
      <c r="S108" s="7">
        <f t="shared" si="20"/>
        <v>0</v>
      </c>
      <c r="T108" s="7">
        <f t="shared" si="21"/>
        <v>1</v>
      </c>
      <c r="U108" s="7">
        <f t="shared" si="22"/>
        <v>0</v>
      </c>
      <c r="V108" s="119">
        <f t="shared" si="23"/>
        <v>1</v>
      </c>
      <c r="W108" s="119">
        <f t="shared" si="24"/>
        <v>0</v>
      </c>
      <c r="X108" s="119">
        <f t="shared" si="25"/>
        <v>0</v>
      </c>
      <c r="Y108" s="119">
        <f t="shared" si="26"/>
        <v>0</v>
      </c>
      <c r="Z108" s="119">
        <f t="shared" si="27"/>
        <v>0</v>
      </c>
      <c r="AA108" s="119">
        <f t="shared" si="28"/>
        <v>0</v>
      </c>
      <c r="AB108" s="119">
        <f t="shared" si="29"/>
        <v>0</v>
      </c>
      <c r="AC108" s="119">
        <f t="shared" si="30"/>
        <v>0</v>
      </c>
      <c r="AD108" s="119">
        <f t="shared" si="31"/>
        <v>0</v>
      </c>
      <c r="AE108" s="119">
        <f t="shared" si="32"/>
        <v>0</v>
      </c>
      <c r="AF108" s="7"/>
      <c r="AG108" s="7"/>
      <c r="AH108" s="7">
        <f t="shared" si="33"/>
        <v>2</v>
      </c>
      <c r="AI108" s="7">
        <f t="shared" si="34"/>
        <v>2</v>
      </c>
      <c r="AJ108" s="7" t="str">
        <f t="shared" si="35"/>
        <v>Correct</v>
      </c>
      <c r="AK108" s="7"/>
      <c r="AL108" s="120" t="str">
        <f>IFERROR(VLOOKUP(Table1[RespondentID],'All Data'!$A$3:$CO$999,87,FALSE),"unknown")</f>
        <v>Man</v>
      </c>
      <c r="AM108" s="120">
        <f>IFERROR(VLOOKUP(Table1[RespondentID],'All Data'!$A$3:$CO$999,88,FALSE),"unknown")</f>
        <v>47</v>
      </c>
      <c r="AN108" s="120" t="str">
        <f>IFERROR(VLOOKUP(Table1[RespondentID],'All Data'!$A$3:$CO$999,89,FALSE),"unknown")</f>
        <v>Suffolk</v>
      </c>
      <c r="AO108" s="120" t="str">
        <f>IFERROR(VLOOKUP(Table1[RespondentID],'All Data'!$A$3:$CO$999,90,FALSE),"unknown")</f>
        <v>Smithtown, 11787</v>
      </c>
      <c r="AP108" s="120" t="str">
        <f>IFERROR(VLOOKUP(Table1[RespondentID],'All Data'!$A$3:$CO$999,91,FALSE),"unknown")</f>
        <v>White</v>
      </c>
      <c r="AQ108" s="120" t="str">
        <f>IFERROR(VLOOKUP(Table1[RespondentID],'All Data'!$A$3:$CO$999,92,FALSE),"unknown")</f>
        <v>Hispanic or Latino</v>
      </c>
      <c r="AR108" s="120" t="str">
        <f>IFERROR(VLOOKUP(Table1[RespondentID],'All Data'!$A$3:$CO$999,93,FALSE),"unknown")</f>
        <v>English</v>
      </c>
      <c r="AS108" s="120" t="str">
        <f>IFERROR(VLOOKUP(Table1[RespondentID],'All Data'!$A$3:$CW$999,94,FALSE),"unknown")</f>
        <v>Over $125,000</v>
      </c>
      <c r="AT108" s="120" t="str">
        <f>IFERROR(VLOOKUP(Table1[RespondentID],'All Data'!$A$3:$CW$999,95,FALSE),"unknown")</f>
        <v>Some college</v>
      </c>
      <c r="AU108" s="120" t="str">
        <f>IFERROR(VLOOKUP(Table1[RespondentID],'All Data'!$A$3:$CW$999,96,FALSE),"unknown")</f>
        <v>Employed for wages</v>
      </c>
      <c r="AV108" s="120" t="str">
        <f>IFERROR(VLOOKUP(Table1[RespondentID],'All Data'!$A$3:$CW$999,97,FALSE),"unknown")</f>
        <v>Yes</v>
      </c>
      <c r="AW108" s="120">
        <f>IFERROR(VLOOKUP(Table1[RespondentID],'All Data'!$A$3:$CW$999,98,FALSE),"unknown")</f>
        <v>0</v>
      </c>
      <c r="AX108" s="120">
        <f>IFERROR(VLOOKUP(Table1[RespondentID],'All Data'!$A$3:$CW$999,99,FALSE),"unknown")</f>
        <v>0</v>
      </c>
    </row>
    <row r="109" spans="1:50">
      <c r="A109" s="5">
        <v>18022878149</v>
      </c>
      <c r="B109" s="5"/>
      <c r="C109" s="5" t="s">
        <v>17</v>
      </c>
      <c r="D109" s="5"/>
      <c r="E109" s="5"/>
      <c r="F109" s="5"/>
      <c r="G109" s="5"/>
      <c r="H109" s="5"/>
      <c r="I109" s="5"/>
      <c r="J109" s="5"/>
      <c r="K109" s="5"/>
      <c r="L109" s="5"/>
      <c r="M109" s="5"/>
      <c r="N109" s="5"/>
      <c r="O109" s="7"/>
      <c r="P109" s="7">
        <f t="shared" si="18"/>
        <v>1</v>
      </c>
      <c r="Q109" s="9">
        <f t="shared" si="19"/>
        <v>3</v>
      </c>
      <c r="R109" s="7"/>
      <c r="S109" s="7">
        <f t="shared" si="20"/>
        <v>0</v>
      </c>
      <c r="T109" s="7">
        <f t="shared" si="21"/>
        <v>1</v>
      </c>
      <c r="U109" s="7">
        <f t="shared" si="22"/>
        <v>0</v>
      </c>
      <c r="V109" s="119">
        <f t="shared" si="23"/>
        <v>0</v>
      </c>
      <c r="W109" s="119">
        <f t="shared" si="24"/>
        <v>0</v>
      </c>
      <c r="X109" s="119">
        <f t="shared" si="25"/>
        <v>0</v>
      </c>
      <c r="Y109" s="119">
        <f t="shared" si="26"/>
        <v>0</v>
      </c>
      <c r="Z109" s="119">
        <f t="shared" si="27"/>
        <v>0</v>
      </c>
      <c r="AA109" s="119">
        <f t="shared" si="28"/>
        <v>0</v>
      </c>
      <c r="AB109" s="119">
        <f t="shared" si="29"/>
        <v>0</v>
      </c>
      <c r="AC109" s="119">
        <f t="shared" si="30"/>
        <v>0</v>
      </c>
      <c r="AD109" s="119">
        <f t="shared" si="31"/>
        <v>0</v>
      </c>
      <c r="AE109" s="119">
        <f t="shared" si="32"/>
        <v>0</v>
      </c>
      <c r="AF109" s="7"/>
      <c r="AG109" s="7"/>
      <c r="AH109" s="7">
        <f t="shared" si="33"/>
        <v>1</v>
      </c>
      <c r="AI109" s="7">
        <f t="shared" si="34"/>
        <v>1</v>
      </c>
      <c r="AJ109" s="7" t="str">
        <f t="shared" si="35"/>
        <v>Correct</v>
      </c>
      <c r="AK109" s="7"/>
      <c r="AL109" s="120" t="str">
        <f>IFERROR(VLOOKUP(Table1[RespondentID],'All Data'!$A$3:$CO$999,87,FALSE),"unknown")</f>
        <v>Woman</v>
      </c>
      <c r="AM109" s="120">
        <f>IFERROR(VLOOKUP(Table1[RespondentID],'All Data'!$A$3:$CO$999,88,FALSE),"unknown")</f>
        <v>49</v>
      </c>
      <c r="AN109" s="120" t="str">
        <f>IFERROR(VLOOKUP(Table1[RespondentID],'All Data'!$A$3:$CO$999,89,FALSE),"unknown")</f>
        <v>Suffolk</v>
      </c>
      <c r="AO109" s="120" t="str">
        <f>IFERROR(VLOOKUP(Table1[RespondentID],'All Data'!$A$3:$CO$999,90,FALSE),"unknown")</f>
        <v>Smithtown, 11787</v>
      </c>
      <c r="AP109" s="120" t="str">
        <f>IFERROR(VLOOKUP(Table1[RespondentID],'All Data'!$A$3:$CO$999,91,FALSE),"unknown")</f>
        <v>White</v>
      </c>
      <c r="AQ109" s="120">
        <f>IFERROR(VLOOKUP(Table1[RespondentID],'All Data'!$A$3:$CO$999,92,FALSE),"unknown")</f>
        <v>0</v>
      </c>
      <c r="AR109" s="120" t="str">
        <f>IFERROR(VLOOKUP(Table1[RespondentID],'All Data'!$A$3:$CO$999,93,FALSE),"unknown")</f>
        <v>English</v>
      </c>
      <c r="AS109" s="120" t="str">
        <f>IFERROR(VLOOKUP(Table1[RespondentID],'All Data'!$A$3:$CW$999,94,FALSE),"unknown")</f>
        <v>Over $125,000</v>
      </c>
      <c r="AT109" s="120" t="str">
        <f>IFERROR(VLOOKUP(Table1[RespondentID],'All Data'!$A$3:$CW$999,95,FALSE),"unknown")</f>
        <v>Technical school</v>
      </c>
      <c r="AU109" s="120" t="str">
        <f>IFERROR(VLOOKUP(Table1[RespondentID],'All Data'!$A$3:$CW$999,96,FALSE),"unknown")</f>
        <v>Self-employed</v>
      </c>
      <c r="AV109" s="120" t="str">
        <f>IFERROR(VLOOKUP(Table1[RespondentID],'All Data'!$A$3:$CW$999,97,FALSE),"unknown")</f>
        <v>Yes</v>
      </c>
      <c r="AW109" s="120">
        <f>IFERROR(VLOOKUP(Table1[RespondentID],'All Data'!$A$3:$CW$999,98,FALSE),"unknown")</f>
        <v>0</v>
      </c>
      <c r="AX109" s="120">
        <f>IFERROR(VLOOKUP(Table1[RespondentID],'All Data'!$A$3:$CW$999,99,FALSE),"unknown")</f>
        <v>0</v>
      </c>
    </row>
    <row r="110" spans="1:50">
      <c r="A110" s="5">
        <v>18022878031</v>
      </c>
      <c r="B110" s="5"/>
      <c r="C110" s="5"/>
      <c r="D110" s="5"/>
      <c r="E110" s="5"/>
      <c r="F110" s="5"/>
      <c r="G110" s="5"/>
      <c r="H110" s="5"/>
      <c r="I110" s="5" t="s">
        <v>23</v>
      </c>
      <c r="J110" s="5"/>
      <c r="K110" s="5"/>
      <c r="L110" s="5"/>
      <c r="M110" s="5"/>
      <c r="N110" s="5"/>
      <c r="O110" s="7"/>
      <c r="P110" s="7">
        <f t="shared" si="18"/>
        <v>1</v>
      </c>
      <c r="Q110" s="8">
        <f t="shared" si="19"/>
        <v>3</v>
      </c>
      <c r="R110" s="7"/>
      <c r="S110" s="7">
        <f t="shared" si="20"/>
        <v>0</v>
      </c>
      <c r="T110" s="7">
        <f t="shared" si="21"/>
        <v>0</v>
      </c>
      <c r="U110" s="7">
        <f t="shared" si="22"/>
        <v>0</v>
      </c>
      <c r="V110" s="119">
        <f t="shared" si="23"/>
        <v>0</v>
      </c>
      <c r="W110" s="119">
        <f t="shared" si="24"/>
        <v>0</v>
      </c>
      <c r="X110" s="119">
        <f t="shared" si="25"/>
        <v>0</v>
      </c>
      <c r="Y110" s="119">
        <f t="shared" si="26"/>
        <v>0</v>
      </c>
      <c r="Z110" s="119">
        <f t="shared" si="27"/>
        <v>1</v>
      </c>
      <c r="AA110" s="119">
        <f t="shared" si="28"/>
        <v>0</v>
      </c>
      <c r="AB110" s="119">
        <f t="shared" si="29"/>
        <v>0</v>
      </c>
      <c r="AC110" s="119">
        <f t="shared" si="30"/>
        <v>0</v>
      </c>
      <c r="AD110" s="119">
        <f t="shared" si="31"/>
        <v>0</v>
      </c>
      <c r="AE110" s="119">
        <f t="shared" si="32"/>
        <v>0</v>
      </c>
      <c r="AF110" s="7"/>
      <c r="AG110" s="7"/>
      <c r="AH110" s="7">
        <f t="shared" si="33"/>
        <v>1</v>
      </c>
      <c r="AI110" s="7">
        <f t="shared" si="34"/>
        <v>1</v>
      </c>
      <c r="AJ110" s="7" t="str">
        <f t="shared" si="35"/>
        <v>Correct</v>
      </c>
      <c r="AK110" s="7"/>
      <c r="AL110" s="120" t="str">
        <f>IFERROR(VLOOKUP(Table1[RespondentID],'All Data'!$A$3:$CO$999,87,FALSE),"unknown")</f>
        <v>Man</v>
      </c>
      <c r="AM110" s="120">
        <f>IFERROR(VLOOKUP(Table1[RespondentID],'All Data'!$A$3:$CO$999,88,FALSE),"unknown")</f>
        <v>23</v>
      </c>
      <c r="AN110" s="120" t="str">
        <f>IFERROR(VLOOKUP(Table1[RespondentID],'All Data'!$A$3:$CO$999,89,FALSE),"unknown")</f>
        <v>Suffolk</v>
      </c>
      <c r="AO110" s="120" t="str">
        <f>IFERROR(VLOOKUP(Table1[RespondentID],'All Data'!$A$3:$CO$999,90,FALSE),"unknown")</f>
        <v>Selden, 11784</v>
      </c>
      <c r="AP110" s="120" t="str">
        <f>IFERROR(VLOOKUP(Table1[RespondentID],'All Data'!$A$3:$CO$999,91,FALSE),"unknown")</f>
        <v>White</v>
      </c>
      <c r="AQ110" s="120" t="str">
        <f>IFERROR(VLOOKUP(Table1[RespondentID],'All Data'!$A$3:$CO$999,92,FALSE),"unknown")</f>
        <v>Hispanic or Latino</v>
      </c>
      <c r="AR110" s="120" t="str">
        <f>IFERROR(VLOOKUP(Table1[RespondentID],'All Data'!$A$3:$CO$999,93,FALSE),"unknown")</f>
        <v>English</v>
      </c>
      <c r="AS110" s="120" t="str">
        <f>IFERROR(VLOOKUP(Table1[RespondentID],'All Data'!$A$3:$CW$999,94,FALSE),"unknown")</f>
        <v>$35,000 to $49,999</v>
      </c>
      <c r="AT110" s="120" t="str">
        <f>IFERROR(VLOOKUP(Table1[RespondentID],'All Data'!$A$3:$CW$999,95,FALSE),"unknown")</f>
        <v>Some college</v>
      </c>
      <c r="AU110" s="120" t="str">
        <f>IFERROR(VLOOKUP(Table1[RespondentID],'All Data'!$A$3:$CW$999,96,FALSE),"unknown")</f>
        <v>Student</v>
      </c>
      <c r="AV110" s="120" t="str">
        <f>IFERROR(VLOOKUP(Table1[RespondentID],'All Data'!$A$3:$CW$999,97,FALSE),"unknown")</f>
        <v>Yes</v>
      </c>
      <c r="AW110" s="120">
        <f>IFERROR(VLOOKUP(Table1[RespondentID],'All Data'!$A$3:$CW$999,98,FALSE),"unknown")</f>
        <v>0</v>
      </c>
      <c r="AX110" s="120">
        <f>IFERROR(VLOOKUP(Table1[RespondentID],'All Data'!$A$3:$CW$999,99,FALSE),"unknown")</f>
        <v>0</v>
      </c>
    </row>
    <row r="111" spans="1:50">
      <c r="A111" s="5">
        <v>18022877886</v>
      </c>
      <c r="B111" s="5"/>
      <c r="C111" s="5"/>
      <c r="D111" s="5"/>
      <c r="E111" s="5"/>
      <c r="F111" s="5"/>
      <c r="G111" s="5"/>
      <c r="H111" s="5"/>
      <c r="I111" s="5" t="s">
        <v>23</v>
      </c>
      <c r="J111" s="5"/>
      <c r="K111" s="5" t="s">
        <v>25</v>
      </c>
      <c r="L111" s="5"/>
      <c r="M111" s="5"/>
      <c r="N111" s="5" t="s">
        <v>28</v>
      </c>
      <c r="O111" s="7"/>
      <c r="P111" s="7">
        <f t="shared" si="18"/>
        <v>3</v>
      </c>
      <c r="Q111" s="9">
        <f t="shared" si="19"/>
        <v>1</v>
      </c>
      <c r="R111" s="7"/>
      <c r="S111" s="7">
        <f t="shared" si="20"/>
        <v>0</v>
      </c>
      <c r="T111" s="7">
        <f t="shared" si="21"/>
        <v>0</v>
      </c>
      <c r="U111" s="7">
        <f t="shared" si="22"/>
        <v>0</v>
      </c>
      <c r="V111" s="119">
        <f t="shared" si="23"/>
        <v>0</v>
      </c>
      <c r="W111" s="119">
        <f t="shared" si="24"/>
        <v>0</v>
      </c>
      <c r="X111" s="119">
        <f t="shared" si="25"/>
        <v>0</v>
      </c>
      <c r="Y111" s="119">
        <f t="shared" si="26"/>
        <v>0</v>
      </c>
      <c r="Z111" s="119">
        <f t="shared" si="27"/>
        <v>1</v>
      </c>
      <c r="AA111" s="119">
        <f t="shared" si="28"/>
        <v>0</v>
      </c>
      <c r="AB111" s="119">
        <f t="shared" si="29"/>
        <v>1</v>
      </c>
      <c r="AC111" s="119">
        <f t="shared" si="30"/>
        <v>0</v>
      </c>
      <c r="AD111" s="119">
        <f t="shared" si="31"/>
        <v>0</v>
      </c>
      <c r="AE111" s="119">
        <f t="shared" si="32"/>
        <v>1</v>
      </c>
      <c r="AF111" s="7"/>
      <c r="AG111" s="7"/>
      <c r="AH111" s="7">
        <f t="shared" si="33"/>
        <v>3</v>
      </c>
      <c r="AI111" s="7">
        <f t="shared" si="34"/>
        <v>3</v>
      </c>
      <c r="AJ111" s="7" t="str">
        <f t="shared" si="35"/>
        <v>Correct</v>
      </c>
      <c r="AK111" s="7"/>
      <c r="AL111" s="120" t="str">
        <f>IFERROR(VLOOKUP(Table1[RespondentID],'All Data'!$A$3:$CO$999,87,FALSE),"unknown")</f>
        <v>Man</v>
      </c>
      <c r="AM111" s="120">
        <f>IFERROR(VLOOKUP(Table1[RespondentID],'All Data'!$A$3:$CO$999,88,FALSE),"unknown")</f>
        <v>18</v>
      </c>
      <c r="AN111" s="120" t="str">
        <f>IFERROR(VLOOKUP(Table1[RespondentID],'All Data'!$A$3:$CO$999,89,FALSE),"unknown")</f>
        <v>Suffolk</v>
      </c>
      <c r="AO111" s="120" t="str">
        <f>IFERROR(VLOOKUP(Table1[RespondentID],'All Data'!$A$3:$CO$999,90,FALSE),"unknown")</f>
        <v>Centereach, 11720</v>
      </c>
      <c r="AP111" s="120" t="str">
        <f>IFERROR(VLOOKUP(Table1[RespondentID],'All Data'!$A$3:$CO$999,91,FALSE),"unknown")</f>
        <v>White</v>
      </c>
      <c r="AQ111" s="120" t="str">
        <f>IFERROR(VLOOKUP(Table1[RespondentID],'All Data'!$A$3:$CO$999,92,FALSE),"unknown")</f>
        <v>Hispanic or Latino</v>
      </c>
      <c r="AR111" s="120" t="str">
        <f>IFERROR(VLOOKUP(Table1[RespondentID],'All Data'!$A$3:$CO$999,93,FALSE),"unknown")</f>
        <v>English</v>
      </c>
      <c r="AS111" s="120" t="str">
        <f>IFERROR(VLOOKUP(Table1[RespondentID],'All Data'!$A$3:$CW$999,94,FALSE),"unknown")</f>
        <v>$75,000 to $125,000</v>
      </c>
      <c r="AT111" s="120" t="str">
        <f>IFERROR(VLOOKUP(Table1[RespondentID],'All Data'!$A$3:$CW$999,95,FALSE),"unknown")</f>
        <v>College graduate</v>
      </c>
      <c r="AU111" s="120" t="str">
        <f>IFERROR(VLOOKUP(Table1[RespondentID],'All Data'!$A$3:$CW$999,96,FALSE),"unknown")</f>
        <v>Student</v>
      </c>
      <c r="AV111" s="120" t="str">
        <f>IFERROR(VLOOKUP(Table1[RespondentID],'All Data'!$A$3:$CW$999,97,FALSE),"unknown")</f>
        <v>Yes</v>
      </c>
      <c r="AW111" s="120">
        <f>IFERROR(VLOOKUP(Table1[RespondentID],'All Data'!$A$3:$CW$999,98,FALSE),"unknown")</f>
        <v>0</v>
      </c>
      <c r="AX111" s="120">
        <f>IFERROR(VLOOKUP(Table1[RespondentID],'All Data'!$A$3:$CW$999,99,FALSE),"unknown")</f>
        <v>0</v>
      </c>
    </row>
    <row r="112" spans="1:50">
      <c r="A112" s="5">
        <v>18022877779</v>
      </c>
      <c r="B112" s="5"/>
      <c r="C112" s="5"/>
      <c r="D112" s="5"/>
      <c r="E112" s="5"/>
      <c r="F112" s="5" t="s">
        <v>20</v>
      </c>
      <c r="G112" s="5"/>
      <c r="H112" s="5"/>
      <c r="I112" s="5"/>
      <c r="J112" s="5"/>
      <c r="K112" s="5" t="s">
        <v>25</v>
      </c>
      <c r="L112" s="5" t="s">
        <v>26</v>
      </c>
      <c r="M112" s="5"/>
      <c r="N112" s="5"/>
      <c r="O112" s="7"/>
      <c r="P112" s="7">
        <f t="shared" si="18"/>
        <v>3</v>
      </c>
      <c r="Q112" s="8">
        <f t="shared" si="19"/>
        <v>1</v>
      </c>
      <c r="R112" s="7"/>
      <c r="S112" s="7">
        <f t="shared" si="20"/>
        <v>0</v>
      </c>
      <c r="T112" s="7">
        <f t="shared" si="21"/>
        <v>0</v>
      </c>
      <c r="U112" s="7">
        <f t="shared" si="22"/>
        <v>0</v>
      </c>
      <c r="V112" s="119">
        <f t="shared" si="23"/>
        <v>0</v>
      </c>
      <c r="W112" s="119">
        <f t="shared" si="24"/>
        <v>1</v>
      </c>
      <c r="X112" s="119">
        <f t="shared" si="25"/>
        <v>0</v>
      </c>
      <c r="Y112" s="119">
        <f t="shared" si="26"/>
        <v>0</v>
      </c>
      <c r="Z112" s="119">
        <f t="shared" si="27"/>
        <v>0</v>
      </c>
      <c r="AA112" s="119">
        <f t="shared" si="28"/>
        <v>0</v>
      </c>
      <c r="AB112" s="119">
        <f t="shared" si="29"/>
        <v>1</v>
      </c>
      <c r="AC112" s="119">
        <f t="shared" si="30"/>
        <v>1</v>
      </c>
      <c r="AD112" s="119">
        <f t="shared" si="31"/>
        <v>0</v>
      </c>
      <c r="AE112" s="119">
        <f t="shared" si="32"/>
        <v>0</v>
      </c>
      <c r="AF112" s="7"/>
      <c r="AG112" s="7"/>
      <c r="AH112" s="7">
        <f t="shared" si="33"/>
        <v>3</v>
      </c>
      <c r="AI112" s="7">
        <f t="shared" si="34"/>
        <v>3</v>
      </c>
      <c r="AJ112" s="7" t="str">
        <f t="shared" si="35"/>
        <v>Correct</v>
      </c>
      <c r="AK112" s="7"/>
      <c r="AL112" s="120">
        <f>IFERROR(VLOOKUP(Table1[RespondentID],'All Data'!$A$3:$CO$999,87,FALSE),"unknown")</f>
        <v>0</v>
      </c>
      <c r="AM112" s="120">
        <f>IFERROR(VLOOKUP(Table1[RespondentID],'All Data'!$A$3:$CO$999,88,FALSE),"unknown")</f>
        <v>21</v>
      </c>
      <c r="AN112" s="120" t="str">
        <f>IFERROR(VLOOKUP(Table1[RespondentID],'All Data'!$A$3:$CO$999,89,FALSE),"unknown")</f>
        <v>Suffolk</v>
      </c>
      <c r="AO112" s="120" t="str">
        <f>IFERROR(VLOOKUP(Table1[RespondentID],'All Data'!$A$3:$CO$999,90,FALSE),"unknown")</f>
        <v>Saint James, 11780</v>
      </c>
      <c r="AP112" s="120" t="str">
        <f>IFERROR(VLOOKUP(Table1[RespondentID],'All Data'!$A$3:$CO$999,91,FALSE),"unknown")</f>
        <v>White</v>
      </c>
      <c r="AQ112" s="120">
        <f>IFERROR(VLOOKUP(Table1[RespondentID],'All Data'!$A$3:$CO$999,92,FALSE),"unknown")</f>
        <v>0</v>
      </c>
      <c r="AR112" s="120" t="str">
        <f>IFERROR(VLOOKUP(Table1[RespondentID],'All Data'!$A$3:$CO$999,93,FALSE),"unknown")</f>
        <v>English</v>
      </c>
      <c r="AS112" s="120" t="str">
        <f>IFERROR(VLOOKUP(Table1[RespondentID],'All Data'!$A$3:$CW$999,94,FALSE),"unknown")</f>
        <v>$75,000 to $125,000</v>
      </c>
      <c r="AT112" s="120" t="str">
        <f>IFERROR(VLOOKUP(Table1[RespondentID],'All Data'!$A$3:$CW$999,95,FALSE),"unknown")</f>
        <v>Technical school</v>
      </c>
      <c r="AU112" s="120" t="str">
        <f>IFERROR(VLOOKUP(Table1[RespondentID],'All Data'!$A$3:$CW$999,96,FALSE),"unknown")</f>
        <v>Employed for wages</v>
      </c>
      <c r="AV112" s="120" t="str">
        <f>IFERROR(VLOOKUP(Table1[RespondentID],'All Data'!$A$3:$CW$999,97,FALSE),"unknown")</f>
        <v>Yes</v>
      </c>
      <c r="AW112" s="120">
        <f>IFERROR(VLOOKUP(Table1[RespondentID],'All Data'!$A$3:$CW$999,98,FALSE),"unknown")</f>
        <v>0</v>
      </c>
      <c r="AX112" s="120">
        <f>IFERROR(VLOOKUP(Table1[RespondentID],'All Data'!$A$3:$CW$999,99,FALSE),"unknown")</f>
        <v>0</v>
      </c>
    </row>
    <row r="113" spans="1:50">
      <c r="A113" s="5">
        <v>18022877531</v>
      </c>
      <c r="B113" s="5"/>
      <c r="C113" s="5"/>
      <c r="D113" s="5"/>
      <c r="E113" s="5"/>
      <c r="F113" s="5"/>
      <c r="G113" s="5"/>
      <c r="H113" s="5"/>
      <c r="I113" s="5"/>
      <c r="J113" s="5"/>
      <c r="K113" s="5"/>
      <c r="L113" s="5" t="s">
        <v>26</v>
      </c>
      <c r="M113" s="5"/>
      <c r="N113" s="5"/>
      <c r="O113" s="7"/>
      <c r="P113" s="7">
        <f t="shared" si="18"/>
        <v>1</v>
      </c>
      <c r="Q113" s="9">
        <f t="shared" si="19"/>
        <v>3</v>
      </c>
      <c r="R113" s="7"/>
      <c r="S113" s="7">
        <f t="shared" si="20"/>
        <v>0</v>
      </c>
      <c r="T113" s="7">
        <f t="shared" si="21"/>
        <v>0</v>
      </c>
      <c r="U113" s="7">
        <f t="shared" si="22"/>
        <v>0</v>
      </c>
      <c r="V113" s="119">
        <f t="shared" si="23"/>
        <v>0</v>
      </c>
      <c r="W113" s="119">
        <f t="shared" si="24"/>
        <v>0</v>
      </c>
      <c r="X113" s="119">
        <f t="shared" si="25"/>
        <v>0</v>
      </c>
      <c r="Y113" s="119">
        <f t="shared" si="26"/>
        <v>0</v>
      </c>
      <c r="Z113" s="119">
        <f t="shared" si="27"/>
        <v>0</v>
      </c>
      <c r="AA113" s="119">
        <f t="shared" si="28"/>
        <v>0</v>
      </c>
      <c r="AB113" s="119">
        <f t="shared" si="29"/>
        <v>0</v>
      </c>
      <c r="AC113" s="119">
        <f t="shared" si="30"/>
        <v>1</v>
      </c>
      <c r="AD113" s="119">
        <f t="shared" si="31"/>
        <v>0</v>
      </c>
      <c r="AE113" s="119">
        <f t="shared" si="32"/>
        <v>0</v>
      </c>
      <c r="AF113" s="7"/>
      <c r="AG113" s="7"/>
      <c r="AH113" s="7">
        <f t="shared" si="33"/>
        <v>1</v>
      </c>
      <c r="AI113" s="7">
        <f t="shared" si="34"/>
        <v>1</v>
      </c>
      <c r="AJ113" s="7" t="str">
        <f t="shared" si="35"/>
        <v>Correct</v>
      </c>
      <c r="AK113" s="7"/>
      <c r="AL113" s="120" t="str">
        <f>IFERROR(VLOOKUP(Table1[RespondentID],'All Data'!$A$3:$CO$999,87,FALSE),"unknown")</f>
        <v>Man</v>
      </c>
      <c r="AM113" s="120">
        <f>IFERROR(VLOOKUP(Table1[RespondentID],'All Data'!$A$3:$CO$999,88,FALSE),"unknown")</f>
        <v>37</v>
      </c>
      <c r="AN113" s="120" t="str">
        <f>IFERROR(VLOOKUP(Table1[RespondentID],'All Data'!$A$3:$CO$999,89,FALSE),"unknown")</f>
        <v>Suffolk</v>
      </c>
      <c r="AO113" s="120" t="str">
        <f>IFERROR(VLOOKUP(Table1[RespondentID],'All Data'!$A$3:$CO$999,90,FALSE),"unknown")</f>
        <v>Smithtown, 11787</v>
      </c>
      <c r="AP113" s="120" t="str">
        <f>IFERROR(VLOOKUP(Table1[RespondentID],'All Data'!$A$3:$CO$999,91,FALSE),"unknown")</f>
        <v>White</v>
      </c>
      <c r="AQ113" s="120" t="str">
        <f>IFERROR(VLOOKUP(Table1[RespondentID],'All Data'!$A$3:$CO$999,92,FALSE),"unknown")</f>
        <v>Hispanic or Latino</v>
      </c>
      <c r="AR113" s="120" t="str">
        <f>IFERROR(VLOOKUP(Table1[RespondentID],'All Data'!$A$3:$CO$999,93,FALSE),"unknown")</f>
        <v>English</v>
      </c>
      <c r="AS113" s="120" t="str">
        <f>IFERROR(VLOOKUP(Table1[RespondentID],'All Data'!$A$3:$CW$999,94,FALSE),"unknown")</f>
        <v>$75,000 to $125,000</v>
      </c>
      <c r="AT113" s="120" t="str">
        <f>IFERROR(VLOOKUP(Table1[RespondentID],'All Data'!$A$3:$CW$999,95,FALSE),"unknown")</f>
        <v>High school graduate</v>
      </c>
      <c r="AU113" s="120" t="str">
        <f>IFERROR(VLOOKUP(Table1[RespondentID],'All Data'!$A$3:$CW$999,96,FALSE),"unknown")</f>
        <v>Self-employed</v>
      </c>
      <c r="AV113" s="120" t="str">
        <f>IFERROR(VLOOKUP(Table1[RespondentID],'All Data'!$A$3:$CW$999,97,FALSE),"unknown")</f>
        <v>No</v>
      </c>
      <c r="AW113" s="120">
        <f>IFERROR(VLOOKUP(Table1[RespondentID],'All Data'!$A$3:$CW$999,98,FALSE),"unknown")</f>
        <v>0</v>
      </c>
      <c r="AX113" s="120">
        <f>IFERROR(VLOOKUP(Table1[RespondentID],'All Data'!$A$3:$CW$999,99,FALSE),"unknown")</f>
        <v>0</v>
      </c>
    </row>
    <row r="114" spans="1:50">
      <c r="A114" s="5">
        <v>18022877402</v>
      </c>
      <c r="B114" s="5"/>
      <c r="C114" s="5" t="s">
        <v>17</v>
      </c>
      <c r="D114" s="5"/>
      <c r="E114" s="5"/>
      <c r="F114" s="5"/>
      <c r="G114" s="5"/>
      <c r="H114" s="5"/>
      <c r="I114" s="5"/>
      <c r="J114" s="5"/>
      <c r="K114" s="5"/>
      <c r="L114" s="5"/>
      <c r="M114" s="5"/>
      <c r="N114" s="5"/>
      <c r="O114" s="7"/>
      <c r="P114" s="7">
        <f t="shared" si="18"/>
        <v>1</v>
      </c>
      <c r="Q114" s="8">
        <f t="shared" si="19"/>
        <v>3</v>
      </c>
      <c r="R114" s="7"/>
      <c r="S114" s="7">
        <f t="shared" si="20"/>
        <v>0</v>
      </c>
      <c r="T114" s="7">
        <f t="shared" si="21"/>
        <v>1</v>
      </c>
      <c r="U114" s="7">
        <f t="shared" si="22"/>
        <v>0</v>
      </c>
      <c r="V114" s="119">
        <f t="shared" si="23"/>
        <v>0</v>
      </c>
      <c r="W114" s="119">
        <f t="shared" si="24"/>
        <v>0</v>
      </c>
      <c r="X114" s="119">
        <f t="shared" si="25"/>
        <v>0</v>
      </c>
      <c r="Y114" s="119">
        <f t="shared" si="26"/>
        <v>0</v>
      </c>
      <c r="Z114" s="119">
        <f t="shared" si="27"/>
        <v>0</v>
      </c>
      <c r="AA114" s="119">
        <f t="shared" si="28"/>
        <v>0</v>
      </c>
      <c r="AB114" s="119">
        <f t="shared" si="29"/>
        <v>0</v>
      </c>
      <c r="AC114" s="119">
        <f t="shared" si="30"/>
        <v>0</v>
      </c>
      <c r="AD114" s="119">
        <f t="shared" si="31"/>
        <v>0</v>
      </c>
      <c r="AE114" s="119">
        <f t="shared" si="32"/>
        <v>0</v>
      </c>
      <c r="AF114" s="7"/>
      <c r="AG114" s="7"/>
      <c r="AH114" s="7">
        <f t="shared" si="33"/>
        <v>1</v>
      </c>
      <c r="AI114" s="7">
        <f t="shared" si="34"/>
        <v>1</v>
      </c>
      <c r="AJ114" s="7" t="str">
        <f t="shared" si="35"/>
        <v>Correct</v>
      </c>
      <c r="AK114" s="7"/>
      <c r="AL114" s="120" t="str">
        <f>IFERROR(VLOOKUP(Table1[RespondentID],'All Data'!$A$3:$CO$999,87,FALSE),"unknown")</f>
        <v>Man</v>
      </c>
      <c r="AM114" s="120">
        <f>IFERROR(VLOOKUP(Table1[RespondentID],'All Data'!$A$3:$CO$999,88,FALSE),"unknown")</f>
        <v>32</v>
      </c>
      <c r="AN114" s="120" t="str">
        <f>IFERROR(VLOOKUP(Table1[RespondentID],'All Data'!$A$3:$CO$999,89,FALSE),"unknown")</f>
        <v>Suffolk</v>
      </c>
      <c r="AO114" s="120" t="str">
        <f>IFERROR(VLOOKUP(Table1[RespondentID],'All Data'!$A$3:$CO$999,90,FALSE),"unknown")</f>
        <v>Smithtown, 11787</v>
      </c>
      <c r="AP114" s="120" t="str">
        <f>IFERROR(VLOOKUP(Table1[RespondentID],'All Data'!$A$3:$CO$999,91,FALSE),"unknown")</f>
        <v>White</v>
      </c>
      <c r="AQ114" s="120" t="str">
        <f>IFERROR(VLOOKUP(Table1[RespondentID],'All Data'!$A$3:$CO$999,92,FALSE),"unknown")</f>
        <v>Hispanic or Latino</v>
      </c>
      <c r="AR114" s="120" t="str">
        <f>IFERROR(VLOOKUP(Table1[RespondentID],'All Data'!$A$3:$CO$999,93,FALSE),"unknown")</f>
        <v>English</v>
      </c>
      <c r="AS114" s="120" t="str">
        <f>IFERROR(VLOOKUP(Table1[RespondentID],'All Data'!$A$3:$CW$999,94,FALSE),"unknown")</f>
        <v>$35,000 to $49,999</v>
      </c>
      <c r="AT114" s="120">
        <f>IFERROR(VLOOKUP(Table1[RespondentID],'All Data'!$A$3:$CW$999,95,FALSE),"unknown")</f>
        <v>0</v>
      </c>
      <c r="AU114" s="120" t="str">
        <f>IFERROR(VLOOKUP(Table1[RespondentID],'All Data'!$A$3:$CW$999,96,FALSE),"unknown")</f>
        <v>Employed for wages</v>
      </c>
      <c r="AV114" s="120" t="str">
        <f>IFERROR(VLOOKUP(Table1[RespondentID],'All Data'!$A$3:$CW$999,97,FALSE),"unknown")</f>
        <v>No</v>
      </c>
      <c r="AW114" s="120">
        <f>IFERROR(VLOOKUP(Table1[RespondentID],'All Data'!$A$3:$CW$999,98,FALSE),"unknown")</f>
        <v>0</v>
      </c>
      <c r="AX114" s="120">
        <f>IFERROR(VLOOKUP(Table1[RespondentID],'All Data'!$A$3:$CW$999,99,FALSE),"unknown")</f>
        <v>0</v>
      </c>
    </row>
    <row r="115" spans="1:50">
      <c r="A115" s="5">
        <v>18022877220</v>
      </c>
      <c r="B115" s="5"/>
      <c r="C115" s="5" t="s">
        <v>17</v>
      </c>
      <c r="D115" s="5"/>
      <c r="E115" s="5"/>
      <c r="F115" s="5"/>
      <c r="G115" s="5"/>
      <c r="H115" s="5"/>
      <c r="I115" s="5"/>
      <c r="J115" s="5"/>
      <c r="K115" s="5"/>
      <c r="L115" s="5"/>
      <c r="M115" s="5"/>
      <c r="N115" s="5"/>
      <c r="O115" s="7"/>
      <c r="P115" s="7">
        <f t="shared" si="18"/>
        <v>1</v>
      </c>
      <c r="Q115" s="9">
        <f t="shared" si="19"/>
        <v>3</v>
      </c>
      <c r="R115" s="7"/>
      <c r="S115" s="7">
        <f t="shared" si="20"/>
        <v>0</v>
      </c>
      <c r="T115" s="7">
        <f t="shared" si="21"/>
        <v>1</v>
      </c>
      <c r="U115" s="7">
        <f t="shared" si="22"/>
        <v>0</v>
      </c>
      <c r="V115" s="119">
        <f t="shared" si="23"/>
        <v>0</v>
      </c>
      <c r="W115" s="119">
        <f t="shared" si="24"/>
        <v>0</v>
      </c>
      <c r="X115" s="119">
        <f t="shared" si="25"/>
        <v>0</v>
      </c>
      <c r="Y115" s="119">
        <f t="shared" si="26"/>
        <v>0</v>
      </c>
      <c r="Z115" s="119">
        <f t="shared" si="27"/>
        <v>0</v>
      </c>
      <c r="AA115" s="119">
        <f t="shared" si="28"/>
        <v>0</v>
      </c>
      <c r="AB115" s="119">
        <f t="shared" si="29"/>
        <v>0</v>
      </c>
      <c r="AC115" s="119">
        <f t="shared" si="30"/>
        <v>0</v>
      </c>
      <c r="AD115" s="119">
        <f t="shared" si="31"/>
        <v>0</v>
      </c>
      <c r="AE115" s="119">
        <f t="shared" si="32"/>
        <v>0</v>
      </c>
      <c r="AF115" s="7"/>
      <c r="AG115" s="7"/>
      <c r="AH115" s="7">
        <f t="shared" si="33"/>
        <v>1</v>
      </c>
      <c r="AI115" s="7">
        <f t="shared" si="34"/>
        <v>1</v>
      </c>
      <c r="AJ115" s="7" t="str">
        <f t="shared" si="35"/>
        <v>Correct</v>
      </c>
      <c r="AK115" s="7"/>
      <c r="AL115" s="120" t="str">
        <f>IFERROR(VLOOKUP(Table1[RespondentID],'All Data'!$A$3:$CO$999,87,FALSE),"unknown")</f>
        <v>Man</v>
      </c>
      <c r="AM115" s="120">
        <f>IFERROR(VLOOKUP(Table1[RespondentID],'All Data'!$A$3:$CO$999,88,FALSE),"unknown")</f>
        <v>63</v>
      </c>
      <c r="AN115" s="120" t="str">
        <f>IFERROR(VLOOKUP(Table1[RespondentID],'All Data'!$A$3:$CO$999,89,FALSE),"unknown")</f>
        <v>Suffolk</v>
      </c>
      <c r="AO115" s="120" t="str">
        <f>IFERROR(VLOOKUP(Table1[RespondentID],'All Data'!$A$3:$CO$999,90,FALSE),"unknown")</f>
        <v>Kings Park, 11754</v>
      </c>
      <c r="AP115" s="120" t="str">
        <f>IFERROR(VLOOKUP(Table1[RespondentID],'All Data'!$A$3:$CO$999,91,FALSE),"unknown")</f>
        <v>White</v>
      </c>
      <c r="AQ115" s="120" t="str">
        <f>IFERROR(VLOOKUP(Table1[RespondentID],'All Data'!$A$3:$CO$999,92,FALSE),"unknown")</f>
        <v>Hispanic or Latino</v>
      </c>
      <c r="AR115" s="120" t="str">
        <f>IFERROR(VLOOKUP(Table1[RespondentID],'All Data'!$A$3:$CO$999,93,FALSE),"unknown")</f>
        <v>English</v>
      </c>
      <c r="AS115" s="120" t="str">
        <f>IFERROR(VLOOKUP(Table1[RespondentID],'All Data'!$A$3:$CW$999,94,FALSE),"unknown")</f>
        <v>Over $125,000</v>
      </c>
      <c r="AT115" s="120" t="str">
        <f>IFERROR(VLOOKUP(Table1[RespondentID],'All Data'!$A$3:$CW$999,95,FALSE),"unknown")</f>
        <v>High school graduate</v>
      </c>
      <c r="AU115" s="120" t="str">
        <f>IFERROR(VLOOKUP(Table1[RespondentID],'All Data'!$A$3:$CW$999,96,FALSE),"unknown")</f>
        <v>Retired</v>
      </c>
      <c r="AV115" s="120" t="str">
        <f>IFERROR(VLOOKUP(Table1[RespondentID],'All Data'!$A$3:$CW$999,97,FALSE),"unknown")</f>
        <v>Yes</v>
      </c>
      <c r="AW115" s="120">
        <f>IFERROR(VLOOKUP(Table1[RespondentID],'All Data'!$A$3:$CW$999,98,FALSE),"unknown")</f>
        <v>0</v>
      </c>
      <c r="AX115" s="120">
        <f>IFERROR(VLOOKUP(Table1[RespondentID],'All Data'!$A$3:$CW$999,99,FALSE),"unknown")</f>
        <v>0</v>
      </c>
    </row>
    <row r="116" spans="1:50">
      <c r="A116" s="5">
        <v>18022760139</v>
      </c>
      <c r="B116" s="5"/>
      <c r="C116" s="5"/>
      <c r="D116" s="5"/>
      <c r="E116" s="5"/>
      <c r="F116" s="5"/>
      <c r="G116" s="5"/>
      <c r="H116" s="5"/>
      <c r="I116" s="5"/>
      <c r="J116" s="5" t="s">
        <v>24</v>
      </c>
      <c r="K116" s="5"/>
      <c r="L116" s="5"/>
      <c r="M116" s="5"/>
      <c r="N116" s="5" t="s">
        <v>28</v>
      </c>
      <c r="O116" s="7"/>
      <c r="P116" s="7">
        <f t="shared" si="18"/>
        <v>2</v>
      </c>
      <c r="Q116" s="8">
        <f t="shared" si="19"/>
        <v>1.5</v>
      </c>
      <c r="R116" s="7"/>
      <c r="S116" s="7">
        <f t="shared" si="20"/>
        <v>0</v>
      </c>
      <c r="T116" s="7">
        <f t="shared" si="21"/>
        <v>0</v>
      </c>
      <c r="U116" s="7">
        <f t="shared" si="22"/>
        <v>0</v>
      </c>
      <c r="V116" s="119">
        <f t="shared" si="23"/>
        <v>0</v>
      </c>
      <c r="W116" s="119">
        <f t="shared" si="24"/>
        <v>0</v>
      </c>
      <c r="X116" s="119">
        <f t="shared" si="25"/>
        <v>0</v>
      </c>
      <c r="Y116" s="119">
        <f t="shared" si="26"/>
        <v>0</v>
      </c>
      <c r="Z116" s="119">
        <f t="shared" si="27"/>
        <v>0</v>
      </c>
      <c r="AA116" s="119">
        <f t="shared" si="28"/>
        <v>1</v>
      </c>
      <c r="AB116" s="119">
        <f t="shared" si="29"/>
        <v>0</v>
      </c>
      <c r="AC116" s="119">
        <f t="shared" si="30"/>
        <v>0</v>
      </c>
      <c r="AD116" s="119">
        <f t="shared" si="31"/>
        <v>0</v>
      </c>
      <c r="AE116" s="119">
        <f t="shared" si="32"/>
        <v>1</v>
      </c>
      <c r="AF116" s="7"/>
      <c r="AG116" s="7"/>
      <c r="AH116" s="7">
        <f t="shared" si="33"/>
        <v>2</v>
      </c>
      <c r="AI116" s="7">
        <f t="shared" si="34"/>
        <v>2</v>
      </c>
      <c r="AJ116" s="7" t="str">
        <f t="shared" si="35"/>
        <v>Correct</v>
      </c>
      <c r="AK116" s="7"/>
      <c r="AL116" s="120" t="str">
        <f>IFERROR(VLOOKUP(Table1[RespondentID],'All Data'!$A$3:$CO$999,87,FALSE),"unknown")</f>
        <v>Man</v>
      </c>
      <c r="AM116" s="120">
        <f>IFERROR(VLOOKUP(Table1[RespondentID],'All Data'!$A$3:$CO$999,88,FALSE),"unknown")</f>
        <v>66</v>
      </c>
      <c r="AN116" s="120" t="str">
        <f>IFERROR(VLOOKUP(Table1[RespondentID],'All Data'!$A$3:$CO$999,89,FALSE),"unknown")</f>
        <v>Nassau</v>
      </c>
      <c r="AO116" s="120" t="str">
        <f>IFERROR(VLOOKUP(Table1[RespondentID],'All Data'!$A$3:$CO$999,90,FALSE),"unknown")</f>
        <v>Merrick, 11566</v>
      </c>
      <c r="AP116" s="120" t="str">
        <f>IFERROR(VLOOKUP(Table1[RespondentID],'All Data'!$A$3:$CO$999,91,FALSE),"unknown")</f>
        <v>White</v>
      </c>
      <c r="AQ116" s="120" t="str">
        <f>IFERROR(VLOOKUP(Table1[RespondentID],'All Data'!$A$3:$CO$999,92,FALSE),"unknown")</f>
        <v>Hispanic or Latino</v>
      </c>
      <c r="AR116" s="120" t="str">
        <f>IFERROR(VLOOKUP(Table1[RespondentID],'All Data'!$A$3:$CO$999,93,FALSE),"unknown")</f>
        <v>English</v>
      </c>
      <c r="AS116" s="120" t="str">
        <f>IFERROR(VLOOKUP(Table1[RespondentID],'All Data'!$A$3:$CW$999,94,FALSE),"unknown")</f>
        <v>Over $125,000</v>
      </c>
      <c r="AT116" s="120" t="str">
        <f>IFERROR(VLOOKUP(Table1[RespondentID],'All Data'!$A$3:$CW$999,95,FALSE),"unknown")</f>
        <v>Graduate school</v>
      </c>
      <c r="AU116" s="120" t="str">
        <f>IFERROR(VLOOKUP(Table1[RespondentID],'All Data'!$A$3:$CW$999,96,FALSE),"unknown")</f>
        <v>Employed for wages</v>
      </c>
      <c r="AV116" s="120" t="str">
        <f>IFERROR(VLOOKUP(Table1[RespondentID],'All Data'!$A$3:$CW$999,97,FALSE),"unknown")</f>
        <v>Yes</v>
      </c>
      <c r="AW116" s="120" t="str">
        <f>IFERROR(VLOOKUP(Table1[RespondentID],'All Data'!$A$3:$CW$999,98,FALSE),"unknown")</f>
        <v>Medicare, Private/Commercial</v>
      </c>
      <c r="AX116" s="120" t="str">
        <f>IFERROR(VLOOKUP(Table1[RespondentID],'All Data'!$A$3:$CW$999,99,FALSE),"unknown")</f>
        <v>Yes</v>
      </c>
    </row>
    <row r="117" spans="1:50">
      <c r="A117" s="5">
        <v>18022520402</v>
      </c>
      <c r="B117" s="5"/>
      <c r="C117" s="5" t="s">
        <v>17</v>
      </c>
      <c r="D117" s="5"/>
      <c r="E117" s="5"/>
      <c r="F117" s="5"/>
      <c r="G117" s="5"/>
      <c r="H117" s="5"/>
      <c r="I117" s="5"/>
      <c r="J117" s="5"/>
      <c r="K117" s="5"/>
      <c r="L117" s="5"/>
      <c r="M117" s="5"/>
      <c r="N117" s="5" t="s">
        <v>28</v>
      </c>
      <c r="O117" s="7"/>
      <c r="P117" s="7">
        <f t="shared" si="18"/>
        <v>2</v>
      </c>
      <c r="Q117" s="9">
        <f t="shared" si="19"/>
        <v>1.5</v>
      </c>
      <c r="R117" s="7"/>
      <c r="S117" s="7">
        <f t="shared" si="20"/>
        <v>0</v>
      </c>
      <c r="T117" s="7">
        <f t="shared" si="21"/>
        <v>1</v>
      </c>
      <c r="U117" s="7">
        <f t="shared" si="22"/>
        <v>0</v>
      </c>
      <c r="V117" s="119">
        <f t="shared" si="23"/>
        <v>0</v>
      </c>
      <c r="W117" s="119">
        <f t="shared" si="24"/>
        <v>0</v>
      </c>
      <c r="X117" s="119">
        <f t="shared" si="25"/>
        <v>0</v>
      </c>
      <c r="Y117" s="119">
        <f t="shared" si="26"/>
        <v>0</v>
      </c>
      <c r="Z117" s="119">
        <f t="shared" si="27"/>
        <v>0</v>
      </c>
      <c r="AA117" s="119">
        <f t="shared" si="28"/>
        <v>0</v>
      </c>
      <c r="AB117" s="119">
        <f t="shared" si="29"/>
        <v>0</v>
      </c>
      <c r="AC117" s="119">
        <f t="shared" si="30"/>
        <v>0</v>
      </c>
      <c r="AD117" s="119">
        <f t="shared" si="31"/>
        <v>0</v>
      </c>
      <c r="AE117" s="119">
        <f t="shared" si="32"/>
        <v>1</v>
      </c>
      <c r="AF117" s="7"/>
      <c r="AG117" s="7"/>
      <c r="AH117" s="7">
        <f t="shared" si="33"/>
        <v>2</v>
      </c>
      <c r="AI117" s="7">
        <f t="shared" si="34"/>
        <v>2</v>
      </c>
      <c r="AJ117" s="7" t="str">
        <f t="shared" si="35"/>
        <v>Correct</v>
      </c>
      <c r="AK117" s="7"/>
      <c r="AL117" s="120" t="str">
        <f>IFERROR(VLOOKUP(Table1[RespondentID],'All Data'!$A$3:$CO$999,87,FALSE),"unknown")</f>
        <v>Man</v>
      </c>
      <c r="AM117" s="120">
        <f>IFERROR(VLOOKUP(Table1[RespondentID],'All Data'!$A$3:$CO$999,88,FALSE),"unknown")</f>
        <v>55</v>
      </c>
      <c r="AN117" s="120" t="str">
        <f>IFERROR(VLOOKUP(Table1[RespondentID],'All Data'!$A$3:$CO$999,89,FALSE),"unknown")</f>
        <v>Suffolk</v>
      </c>
      <c r="AO117" s="120" t="str">
        <f>IFERROR(VLOOKUP(Table1[RespondentID],'All Data'!$A$3:$CO$999,90,FALSE),"unknown")</f>
        <v>East Northport, 11731</v>
      </c>
      <c r="AP117" s="120" t="str">
        <f>IFERROR(VLOOKUP(Table1[RespondentID],'All Data'!$A$3:$CO$999,91,FALSE),"unknown")</f>
        <v>White</v>
      </c>
      <c r="AQ117" s="120" t="str">
        <f>IFERROR(VLOOKUP(Table1[RespondentID],'All Data'!$A$3:$CO$999,92,FALSE),"unknown")</f>
        <v>Hispanic or Latino</v>
      </c>
      <c r="AR117" s="120" t="str">
        <f>IFERROR(VLOOKUP(Table1[RespondentID],'All Data'!$A$3:$CO$999,93,FALSE),"unknown")</f>
        <v>English</v>
      </c>
      <c r="AS117" s="120" t="str">
        <f>IFERROR(VLOOKUP(Table1[RespondentID],'All Data'!$A$3:$CW$999,94,FALSE),"unknown")</f>
        <v>Over $125,000</v>
      </c>
      <c r="AT117" s="120" t="str">
        <f>IFERROR(VLOOKUP(Table1[RespondentID],'All Data'!$A$3:$CW$999,95,FALSE),"unknown")</f>
        <v>College graduate</v>
      </c>
      <c r="AU117" s="120" t="str">
        <f>IFERROR(VLOOKUP(Table1[RespondentID],'All Data'!$A$3:$CW$999,96,FALSE),"unknown")</f>
        <v>Employed for wages</v>
      </c>
      <c r="AV117" s="120" t="str">
        <f>IFERROR(VLOOKUP(Table1[RespondentID],'All Data'!$A$3:$CW$999,97,FALSE),"unknown")</f>
        <v>Yes</v>
      </c>
      <c r="AW117" s="120">
        <f>IFERROR(VLOOKUP(Table1[RespondentID],'All Data'!$A$3:$CW$999,98,FALSE),"unknown")</f>
        <v>0</v>
      </c>
      <c r="AX117" s="120">
        <f>IFERROR(VLOOKUP(Table1[RespondentID],'All Data'!$A$3:$CW$999,99,FALSE),"unknown")</f>
        <v>0</v>
      </c>
    </row>
    <row r="118" spans="1:50">
      <c r="A118" s="5">
        <v>18022520259</v>
      </c>
      <c r="B118" s="5"/>
      <c r="C118" s="5"/>
      <c r="D118" s="5"/>
      <c r="E118" s="5"/>
      <c r="F118" s="5"/>
      <c r="G118" s="5"/>
      <c r="H118" s="5"/>
      <c r="I118" s="5"/>
      <c r="J118" s="5"/>
      <c r="K118" s="5" t="s">
        <v>25</v>
      </c>
      <c r="L118" s="5"/>
      <c r="M118" s="5"/>
      <c r="N118" s="5"/>
      <c r="O118" s="7"/>
      <c r="P118" s="7">
        <f t="shared" si="18"/>
        <v>1</v>
      </c>
      <c r="Q118" s="8">
        <f t="shared" si="19"/>
        <v>3</v>
      </c>
      <c r="R118" s="7"/>
      <c r="S118" s="7">
        <f t="shared" si="20"/>
        <v>0</v>
      </c>
      <c r="T118" s="7">
        <f t="shared" si="21"/>
        <v>0</v>
      </c>
      <c r="U118" s="7">
        <f t="shared" si="22"/>
        <v>0</v>
      </c>
      <c r="V118" s="119">
        <f t="shared" si="23"/>
        <v>0</v>
      </c>
      <c r="W118" s="119">
        <f t="shared" si="24"/>
        <v>0</v>
      </c>
      <c r="X118" s="119">
        <f t="shared" si="25"/>
        <v>0</v>
      </c>
      <c r="Y118" s="119">
        <f t="shared" si="26"/>
        <v>0</v>
      </c>
      <c r="Z118" s="119">
        <f t="shared" si="27"/>
        <v>0</v>
      </c>
      <c r="AA118" s="119">
        <f t="shared" si="28"/>
        <v>0</v>
      </c>
      <c r="AB118" s="119">
        <f t="shared" si="29"/>
        <v>1</v>
      </c>
      <c r="AC118" s="119">
        <f t="shared" si="30"/>
        <v>0</v>
      </c>
      <c r="AD118" s="119">
        <f t="shared" si="31"/>
        <v>0</v>
      </c>
      <c r="AE118" s="119">
        <f t="shared" si="32"/>
        <v>0</v>
      </c>
      <c r="AF118" s="7"/>
      <c r="AG118" s="7"/>
      <c r="AH118" s="7">
        <f t="shared" si="33"/>
        <v>1</v>
      </c>
      <c r="AI118" s="7">
        <f t="shared" si="34"/>
        <v>1</v>
      </c>
      <c r="AJ118" s="7" t="str">
        <f t="shared" si="35"/>
        <v>Correct</v>
      </c>
      <c r="AK118" s="7"/>
      <c r="AL118" s="120" t="str">
        <f>IFERROR(VLOOKUP(Table1[RespondentID],'All Data'!$A$3:$CO$999,87,FALSE),"unknown")</f>
        <v>Transgender</v>
      </c>
      <c r="AM118" s="120">
        <f>IFERROR(VLOOKUP(Table1[RespondentID],'All Data'!$A$3:$CO$999,88,FALSE),"unknown")</f>
        <v>52</v>
      </c>
      <c r="AN118" s="120" t="str">
        <f>IFERROR(VLOOKUP(Table1[RespondentID],'All Data'!$A$3:$CO$999,89,FALSE),"unknown")</f>
        <v>Suffolk</v>
      </c>
      <c r="AO118" s="120" t="str">
        <f>IFERROR(VLOOKUP(Table1[RespondentID],'All Data'!$A$3:$CO$999,90,FALSE),"unknown")</f>
        <v>Commack, 11725</v>
      </c>
      <c r="AP118" s="120" t="str">
        <f>IFERROR(VLOOKUP(Table1[RespondentID],'All Data'!$A$3:$CO$999,91,FALSE),"unknown")</f>
        <v>Asian</v>
      </c>
      <c r="AQ118" s="120" t="str">
        <f>IFERROR(VLOOKUP(Table1[RespondentID],'All Data'!$A$3:$CO$999,92,FALSE),"unknown")</f>
        <v>Hispanic or Latino</v>
      </c>
      <c r="AR118" s="120" t="str">
        <f>IFERROR(VLOOKUP(Table1[RespondentID],'All Data'!$A$3:$CO$999,93,FALSE),"unknown")</f>
        <v>English, Spanish, Farsi, Polish, Korean, Hindi</v>
      </c>
      <c r="AS118" s="120" t="str">
        <f>IFERROR(VLOOKUP(Table1[RespondentID],'All Data'!$A$3:$CW$999,94,FALSE),"unknown")</f>
        <v>Over $125,000</v>
      </c>
      <c r="AT118" s="120" t="str">
        <f>IFERROR(VLOOKUP(Table1[RespondentID],'All Data'!$A$3:$CW$999,95,FALSE),"unknown")</f>
        <v>Doctorate</v>
      </c>
      <c r="AU118" s="120" t="str">
        <f>IFERROR(VLOOKUP(Table1[RespondentID],'All Data'!$A$3:$CW$999,96,FALSE),"unknown")</f>
        <v>Self-employed</v>
      </c>
      <c r="AV118" s="120" t="str">
        <f>IFERROR(VLOOKUP(Table1[RespondentID],'All Data'!$A$3:$CW$999,97,FALSE),"unknown")</f>
        <v>Yes</v>
      </c>
      <c r="AW118" s="120">
        <f>IFERROR(VLOOKUP(Table1[RespondentID],'All Data'!$A$3:$CW$999,98,FALSE),"unknown")</f>
        <v>0</v>
      </c>
      <c r="AX118" s="120">
        <f>IFERROR(VLOOKUP(Table1[RespondentID],'All Data'!$A$3:$CW$999,99,FALSE),"unknown")</f>
        <v>0</v>
      </c>
    </row>
    <row r="119" spans="1:50">
      <c r="A119" s="5">
        <v>18022520086</v>
      </c>
      <c r="B119" s="5"/>
      <c r="C119" s="5"/>
      <c r="D119" s="5"/>
      <c r="E119" s="5"/>
      <c r="F119" s="5"/>
      <c r="G119" s="5"/>
      <c r="H119" s="5" t="s">
        <v>22</v>
      </c>
      <c r="I119" s="5" t="s">
        <v>23</v>
      </c>
      <c r="J119" s="5"/>
      <c r="K119" s="5" t="s">
        <v>25</v>
      </c>
      <c r="L119" s="5"/>
      <c r="M119" s="5"/>
      <c r="N119" s="5"/>
      <c r="O119" s="7"/>
      <c r="P119" s="7">
        <f t="shared" si="18"/>
        <v>3</v>
      </c>
      <c r="Q119" s="9">
        <f t="shared" si="19"/>
        <v>1</v>
      </c>
      <c r="R119" s="7"/>
      <c r="S119" s="7">
        <f t="shared" si="20"/>
        <v>0</v>
      </c>
      <c r="T119" s="7">
        <f t="shared" si="21"/>
        <v>0</v>
      </c>
      <c r="U119" s="7">
        <f t="shared" si="22"/>
        <v>0</v>
      </c>
      <c r="V119" s="119">
        <f t="shared" si="23"/>
        <v>0</v>
      </c>
      <c r="W119" s="119">
        <f t="shared" si="24"/>
        <v>0</v>
      </c>
      <c r="X119" s="119">
        <f t="shared" si="25"/>
        <v>0</v>
      </c>
      <c r="Y119" s="119">
        <f t="shared" si="26"/>
        <v>1</v>
      </c>
      <c r="Z119" s="119">
        <f t="shared" si="27"/>
        <v>1</v>
      </c>
      <c r="AA119" s="119">
        <f t="shared" si="28"/>
        <v>0</v>
      </c>
      <c r="AB119" s="119">
        <f t="shared" si="29"/>
        <v>1</v>
      </c>
      <c r="AC119" s="119">
        <f t="shared" si="30"/>
        <v>0</v>
      </c>
      <c r="AD119" s="119">
        <f t="shared" si="31"/>
        <v>0</v>
      </c>
      <c r="AE119" s="119">
        <f t="shared" si="32"/>
        <v>0</v>
      </c>
      <c r="AF119" s="7"/>
      <c r="AG119" s="7"/>
      <c r="AH119" s="7">
        <f t="shared" si="33"/>
        <v>3</v>
      </c>
      <c r="AI119" s="7">
        <f t="shared" si="34"/>
        <v>3</v>
      </c>
      <c r="AJ119" s="7" t="str">
        <f t="shared" si="35"/>
        <v>Correct</v>
      </c>
      <c r="AK119" s="7"/>
      <c r="AL119" s="120" t="str">
        <f>IFERROR(VLOOKUP(Table1[RespondentID],'All Data'!$A$3:$CO$999,87,FALSE),"unknown")</f>
        <v>Man</v>
      </c>
      <c r="AM119" s="120">
        <f>IFERROR(VLOOKUP(Table1[RespondentID],'All Data'!$A$3:$CO$999,88,FALSE),"unknown")</f>
        <v>29</v>
      </c>
      <c r="AN119" s="120" t="str">
        <f>IFERROR(VLOOKUP(Table1[RespondentID],'All Data'!$A$3:$CO$999,89,FALSE),"unknown")</f>
        <v>Suffolk</v>
      </c>
      <c r="AO119" s="120" t="str">
        <f>IFERROR(VLOOKUP(Table1[RespondentID],'All Data'!$A$3:$CO$999,90,FALSE),"unknown")</f>
        <v>Commack, 11725</v>
      </c>
      <c r="AP119" s="120" t="str">
        <f>IFERROR(VLOOKUP(Table1[RespondentID],'All Data'!$A$3:$CO$999,91,FALSE),"unknown")</f>
        <v>American Indian and Alaska Native</v>
      </c>
      <c r="AQ119" s="120" t="str">
        <f>IFERROR(VLOOKUP(Table1[RespondentID],'All Data'!$A$3:$CO$999,92,FALSE),"unknown")</f>
        <v>Hispanic or Latino</v>
      </c>
      <c r="AR119" s="120" t="str">
        <f>IFERROR(VLOOKUP(Table1[RespondentID],'All Data'!$A$3:$CO$999,93,FALSE),"unknown")</f>
        <v>English, Spanish, Hindi</v>
      </c>
      <c r="AS119" s="120" t="str">
        <f>IFERROR(VLOOKUP(Table1[RespondentID],'All Data'!$A$3:$CW$999,94,FALSE),"unknown")</f>
        <v>Over $125,000</v>
      </c>
      <c r="AT119" s="120" t="str">
        <f>IFERROR(VLOOKUP(Table1[RespondentID],'All Data'!$A$3:$CW$999,95,FALSE),"unknown")</f>
        <v>Graduate school</v>
      </c>
      <c r="AU119" s="120" t="str">
        <f>IFERROR(VLOOKUP(Table1[RespondentID],'All Data'!$A$3:$CW$999,96,FALSE),"unknown")</f>
        <v>Employed for wages</v>
      </c>
      <c r="AV119" s="120" t="str">
        <f>IFERROR(VLOOKUP(Table1[RespondentID],'All Data'!$A$3:$CW$999,97,FALSE),"unknown")</f>
        <v>Yes</v>
      </c>
      <c r="AW119" s="120">
        <f>IFERROR(VLOOKUP(Table1[RespondentID],'All Data'!$A$3:$CW$999,98,FALSE),"unknown")</f>
        <v>0</v>
      </c>
      <c r="AX119" s="120">
        <f>IFERROR(VLOOKUP(Table1[RespondentID],'All Data'!$A$3:$CW$999,99,FALSE),"unknown")</f>
        <v>0</v>
      </c>
    </row>
    <row r="120" spans="1:50">
      <c r="A120" s="5">
        <v>18022519957</v>
      </c>
      <c r="B120" s="5"/>
      <c r="C120" s="5" t="s">
        <v>17</v>
      </c>
      <c r="D120" s="5"/>
      <c r="E120" s="5"/>
      <c r="F120" s="5"/>
      <c r="G120" s="5"/>
      <c r="H120" s="5"/>
      <c r="I120" s="5" t="s">
        <v>23</v>
      </c>
      <c r="J120" s="5" t="s">
        <v>24</v>
      </c>
      <c r="K120" s="5"/>
      <c r="L120" s="5"/>
      <c r="M120" s="5"/>
      <c r="N120" s="5"/>
      <c r="O120" s="7"/>
      <c r="P120" s="7">
        <f t="shared" si="18"/>
        <v>3</v>
      </c>
      <c r="Q120" s="8">
        <f t="shared" si="19"/>
        <v>1</v>
      </c>
      <c r="R120" s="7"/>
      <c r="S120" s="7">
        <f t="shared" si="20"/>
        <v>0</v>
      </c>
      <c r="T120" s="7">
        <f t="shared" si="21"/>
        <v>1</v>
      </c>
      <c r="U120" s="7">
        <f t="shared" si="22"/>
        <v>0</v>
      </c>
      <c r="V120" s="119">
        <f t="shared" si="23"/>
        <v>0</v>
      </c>
      <c r="W120" s="119">
        <f t="shared" si="24"/>
        <v>0</v>
      </c>
      <c r="X120" s="119">
        <f t="shared" si="25"/>
        <v>0</v>
      </c>
      <c r="Y120" s="119">
        <f t="shared" si="26"/>
        <v>0</v>
      </c>
      <c r="Z120" s="119">
        <f t="shared" si="27"/>
        <v>1</v>
      </c>
      <c r="AA120" s="119">
        <f t="shared" si="28"/>
        <v>1</v>
      </c>
      <c r="AB120" s="119">
        <f t="shared" si="29"/>
        <v>0</v>
      </c>
      <c r="AC120" s="119">
        <f t="shared" si="30"/>
        <v>0</v>
      </c>
      <c r="AD120" s="119">
        <f t="shared" si="31"/>
        <v>0</v>
      </c>
      <c r="AE120" s="119">
        <f t="shared" si="32"/>
        <v>0</v>
      </c>
      <c r="AF120" s="7"/>
      <c r="AG120" s="7"/>
      <c r="AH120" s="7">
        <f t="shared" si="33"/>
        <v>3</v>
      </c>
      <c r="AI120" s="7">
        <f t="shared" si="34"/>
        <v>3</v>
      </c>
      <c r="AJ120" s="7" t="str">
        <f t="shared" si="35"/>
        <v>Correct</v>
      </c>
      <c r="AK120" s="7"/>
      <c r="AL120" s="120" t="str">
        <f>IFERROR(VLOOKUP(Table1[RespondentID],'All Data'!$A$3:$CO$999,87,FALSE),"unknown")</f>
        <v>Man</v>
      </c>
      <c r="AM120" s="120">
        <f>IFERROR(VLOOKUP(Table1[RespondentID],'All Data'!$A$3:$CO$999,88,FALSE),"unknown")</f>
        <v>18</v>
      </c>
      <c r="AN120" s="120" t="str">
        <f>IFERROR(VLOOKUP(Table1[RespondentID],'All Data'!$A$3:$CO$999,89,FALSE),"unknown")</f>
        <v>Suffolk</v>
      </c>
      <c r="AO120" s="120" t="str">
        <f>IFERROR(VLOOKUP(Table1[RespondentID],'All Data'!$A$3:$CO$999,90,FALSE),"unknown")</f>
        <v>Dix Hills, 11746</v>
      </c>
      <c r="AP120" s="120" t="str">
        <f>IFERROR(VLOOKUP(Table1[RespondentID],'All Data'!$A$3:$CO$999,91,FALSE),"unknown")</f>
        <v>White</v>
      </c>
      <c r="AQ120" s="120" t="str">
        <f>IFERROR(VLOOKUP(Table1[RespondentID],'All Data'!$A$3:$CO$999,92,FALSE),"unknown")</f>
        <v>Hispanic or Latino</v>
      </c>
      <c r="AR120" s="120" t="str">
        <f>IFERROR(VLOOKUP(Table1[RespondentID],'All Data'!$A$3:$CO$999,93,FALSE),"unknown")</f>
        <v>English</v>
      </c>
      <c r="AS120" s="120" t="str">
        <f>IFERROR(VLOOKUP(Table1[RespondentID],'All Data'!$A$3:$CW$999,94,FALSE),"unknown")</f>
        <v>$75,000 to $125,000</v>
      </c>
      <c r="AT120" s="120" t="str">
        <f>IFERROR(VLOOKUP(Table1[RespondentID],'All Data'!$A$3:$CW$999,95,FALSE),"unknown")</f>
        <v>High school graduate</v>
      </c>
      <c r="AU120" s="120" t="str">
        <f>IFERROR(VLOOKUP(Table1[RespondentID],'All Data'!$A$3:$CW$999,96,FALSE),"unknown")</f>
        <v>Student</v>
      </c>
      <c r="AV120" s="120" t="str">
        <f>IFERROR(VLOOKUP(Table1[RespondentID],'All Data'!$A$3:$CW$999,97,FALSE),"unknown")</f>
        <v>Yes</v>
      </c>
      <c r="AW120" s="120">
        <f>IFERROR(VLOOKUP(Table1[RespondentID],'All Data'!$A$3:$CW$999,98,FALSE),"unknown")</f>
        <v>0</v>
      </c>
      <c r="AX120" s="120">
        <f>IFERROR(VLOOKUP(Table1[RespondentID],'All Data'!$A$3:$CW$999,99,FALSE),"unknown")</f>
        <v>0</v>
      </c>
    </row>
    <row r="121" spans="1:50">
      <c r="A121" s="5">
        <v>18022519838</v>
      </c>
      <c r="B121" s="5"/>
      <c r="C121" s="5"/>
      <c r="D121" s="5"/>
      <c r="E121" s="5" t="s">
        <v>19</v>
      </c>
      <c r="F121" s="5"/>
      <c r="G121" s="5"/>
      <c r="H121" s="5" t="s">
        <v>22</v>
      </c>
      <c r="I121" s="5" t="s">
        <v>23</v>
      </c>
      <c r="J121" s="5"/>
      <c r="K121" s="5"/>
      <c r="L121" s="5"/>
      <c r="M121" s="5"/>
      <c r="N121" s="5"/>
      <c r="O121" s="7"/>
      <c r="P121" s="7">
        <f t="shared" si="18"/>
        <v>3</v>
      </c>
      <c r="Q121" s="9">
        <f t="shared" si="19"/>
        <v>1</v>
      </c>
      <c r="R121" s="7"/>
      <c r="S121" s="7">
        <f t="shared" si="20"/>
        <v>0</v>
      </c>
      <c r="T121" s="7">
        <f t="shared" si="21"/>
        <v>0</v>
      </c>
      <c r="U121" s="7">
        <f t="shared" si="22"/>
        <v>0</v>
      </c>
      <c r="V121" s="119">
        <f t="shared" si="23"/>
        <v>1</v>
      </c>
      <c r="W121" s="119">
        <f t="shared" si="24"/>
        <v>0</v>
      </c>
      <c r="X121" s="119">
        <f t="shared" si="25"/>
        <v>0</v>
      </c>
      <c r="Y121" s="119">
        <f t="shared" si="26"/>
        <v>1</v>
      </c>
      <c r="Z121" s="119">
        <f t="shared" si="27"/>
        <v>1</v>
      </c>
      <c r="AA121" s="119">
        <f t="shared" si="28"/>
        <v>0</v>
      </c>
      <c r="AB121" s="119">
        <f t="shared" si="29"/>
        <v>0</v>
      </c>
      <c r="AC121" s="119">
        <f t="shared" si="30"/>
        <v>0</v>
      </c>
      <c r="AD121" s="119">
        <f t="shared" si="31"/>
        <v>0</v>
      </c>
      <c r="AE121" s="119">
        <f t="shared" si="32"/>
        <v>0</v>
      </c>
      <c r="AF121" s="7"/>
      <c r="AG121" s="7"/>
      <c r="AH121" s="7">
        <f t="shared" si="33"/>
        <v>3</v>
      </c>
      <c r="AI121" s="7">
        <f t="shared" si="34"/>
        <v>3</v>
      </c>
      <c r="AJ121" s="7" t="str">
        <f t="shared" si="35"/>
        <v>Correct</v>
      </c>
      <c r="AK121" s="7"/>
      <c r="AL121" s="120" t="str">
        <f>IFERROR(VLOOKUP(Table1[RespondentID],'All Data'!$A$3:$CO$999,87,FALSE),"unknown")</f>
        <v>Man</v>
      </c>
      <c r="AM121" s="120">
        <f>IFERROR(VLOOKUP(Table1[RespondentID],'All Data'!$A$3:$CO$999,88,FALSE),"unknown")</f>
        <v>0</v>
      </c>
      <c r="AN121" s="120" t="str">
        <f>IFERROR(VLOOKUP(Table1[RespondentID],'All Data'!$A$3:$CO$999,89,FALSE),"unknown")</f>
        <v>Suffolk</v>
      </c>
      <c r="AO121" s="120" t="str">
        <f>IFERROR(VLOOKUP(Table1[RespondentID],'All Data'!$A$3:$CO$999,90,FALSE),"unknown")</f>
        <v>Commack, 11725</v>
      </c>
      <c r="AP121" s="120" t="str">
        <f>IFERROR(VLOOKUP(Table1[RespondentID],'All Data'!$A$3:$CO$999,91,FALSE),"unknown")</f>
        <v>White</v>
      </c>
      <c r="AQ121" s="120">
        <f>IFERROR(VLOOKUP(Table1[RespondentID],'All Data'!$A$3:$CO$999,92,FALSE),"unknown")</f>
        <v>0</v>
      </c>
      <c r="AR121" s="120" t="str">
        <f>IFERROR(VLOOKUP(Table1[RespondentID],'All Data'!$A$3:$CO$999,93,FALSE),"unknown")</f>
        <v>English</v>
      </c>
      <c r="AS121" s="120">
        <f>IFERROR(VLOOKUP(Table1[RespondentID],'All Data'!$A$3:$CW$999,94,FALSE),"unknown")</f>
        <v>0</v>
      </c>
      <c r="AT121" s="120" t="str">
        <f>IFERROR(VLOOKUP(Table1[RespondentID],'All Data'!$A$3:$CW$999,95,FALSE),"unknown")</f>
        <v>College graduate</v>
      </c>
      <c r="AU121" s="120" t="str">
        <f>IFERROR(VLOOKUP(Table1[RespondentID],'All Data'!$A$3:$CW$999,96,FALSE),"unknown")</f>
        <v>Employed for wages</v>
      </c>
      <c r="AV121" s="120" t="str">
        <f>IFERROR(VLOOKUP(Table1[RespondentID],'All Data'!$A$3:$CW$999,97,FALSE),"unknown")</f>
        <v>Yes</v>
      </c>
      <c r="AW121" s="120">
        <f>IFERROR(VLOOKUP(Table1[RespondentID],'All Data'!$A$3:$CW$999,98,FALSE),"unknown")</f>
        <v>0</v>
      </c>
      <c r="AX121" s="120">
        <f>IFERROR(VLOOKUP(Table1[RespondentID],'All Data'!$A$3:$CW$999,99,FALSE),"unknown")</f>
        <v>0</v>
      </c>
    </row>
    <row r="122" spans="1:50">
      <c r="A122" s="5">
        <v>18022519606</v>
      </c>
      <c r="B122" s="5"/>
      <c r="C122" s="5"/>
      <c r="D122" s="5"/>
      <c r="E122" s="5"/>
      <c r="F122" s="5"/>
      <c r="G122" s="5"/>
      <c r="H122" s="5"/>
      <c r="I122" s="5"/>
      <c r="J122" s="5"/>
      <c r="K122" s="5" t="s">
        <v>25</v>
      </c>
      <c r="L122" s="5"/>
      <c r="M122" s="5" t="s">
        <v>27</v>
      </c>
      <c r="N122" s="5" t="s">
        <v>28</v>
      </c>
      <c r="O122" s="7"/>
      <c r="P122" s="7">
        <f t="shared" si="18"/>
        <v>3</v>
      </c>
      <c r="Q122" s="8">
        <f t="shared" si="19"/>
        <v>1</v>
      </c>
      <c r="R122" s="7"/>
      <c r="S122" s="7">
        <f t="shared" si="20"/>
        <v>0</v>
      </c>
      <c r="T122" s="7">
        <f t="shared" si="21"/>
        <v>0</v>
      </c>
      <c r="U122" s="7">
        <f t="shared" si="22"/>
        <v>0</v>
      </c>
      <c r="V122" s="119">
        <f t="shared" si="23"/>
        <v>0</v>
      </c>
      <c r="W122" s="119">
        <f t="shared" si="24"/>
        <v>0</v>
      </c>
      <c r="X122" s="119">
        <f t="shared" si="25"/>
        <v>0</v>
      </c>
      <c r="Y122" s="119">
        <f t="shared" si="26"/>
        <v>0</v>
      </c>
      <c r="Z122" s="119">
        <f t="shared" si="27"/>
        <v>0</v>
      </c>
      <c r="AA122" s="119">
        <f t="shared" si="28"/>
        <v>0</v>
      </c>
      <c r="AB122" s="119">
        <f t="shared" si="29"/>
        <v>1</v>
      </c>
      <c r="AC122" s="119">
        <f t="shared" si="30"/>
        <v>0</v>
      </c>
      <c r="AD122" s="119">
        <f t="shared" si="31"/>
        <v>1</v>
      </c>
      <c r="AE122" s="119">
        <f t="shared" si="32"/>
        <v>1</v>
      </c>
      <c r="AF122" s="7"/>
      <c r="AG122" s="7"/>
      <c r="AH122" s="7">
        <f t="shared" si="33"/>
        <v>3</v>
      </c>
      <c r="AI122" s="7">
        <f t="shared" si="34"/>
        <v>3</v>
      </c>
      <c r="AJ122" s="7" t="str">
        <f t="shared" si="35"/>
        <v>Correct</v>
      </c>
      <c r="AK122" s="7"/>
      <c r="AL122" s="120" t="str">
        <f>IFERROR(VLOOKUP(Table1[RespondentID],'All Data'!$A$3:$CO$999,87,FALSE),"unknown")</f>
        <v>Woman</v>
      </c>
      <c r="AM122" s="120">
        <f>IFERROR(VLOOKUP(Table1[RespondentID],'All Data'!$A$3:$CO$999,88,FALSE),"unknown")</f>
        <v>32</v>
      </c>
      <c r="AN122" s="120" t="str">
        <f>IFERROR(VLOOKUP(Table1[RespondentID],'All Data'!$A$3:$CO$999,89,FALSE),"unknown")</f>
        <v>Suffolk</v>
      </c>
      <c r="AO122" s="120" t="str">
        <f>IFERROR(VLOOKUP(Table1[RespondentID],'All Data'!$A$3:$CO$999,90,FALSE),"unknown")</f>
        <v>West Islip, 11795</v>
      </c>
      <c r="AP122" s="120" t="str">
        <f>IFERROR(VLOOKUP(Table1[RespondentID],'All Data'!$A$3:$CO$999,91,FALSE),"unknown")</f>
        <v>White</v>
      </c>
      <c r="AQ122" s="120" t="str">
        <f>IFERROR(VLOOKUP(Table1[RespondentID],'All Data'!$A$3:$CO$999,92,FALSE),"unknown")</f>
        <v>Hispanic or Latino</v>
      </c>
      <c r="AR122" s="120" t="str">
        <f>IFERROR(VLOOKUP(Table1[RespondentID],'All Data'!$A$3:$CO$999,93,FALSE),"unknown")</f>
        <v>English</v>
      </c>
      <c r="AS122" s="120" t="str">
        <f>IFERROR(VLOOKUP(Table1[RespondentID],'All Data'!$A$3:$CW$999,94,FALSE),"unknown")</f>
        <v>$50,000 to $74,999</v>
      </c>
      <c r="AT122" s="120" t="str">
        <f>IFERROR(VLOOKUP(Table1[RespondentID],'All Data'!$A$3:$CW$999,95,FALSE),"unknown")</f>
        <v>Graduate school</v>
      </c>
      <c r="AU122" s="120" t="str">
        <f>IFERROR(VLOOKUP(Table1[RespondentID],'All Data'!$A$3:$CW$999,96,FALSE),"unknown")</f>
        <v>Employed for wages</v>
      </c>
      <c r="AV122" s="120" t="str">
        <f>IFERROR(VLOOKUP(Table1[RespondentID],'All Data'!$A$3:$CW$999,97,FALSE),"unknown")</f>
        <v>Yes</v>
      </c>
      <c r="AW122" s="120">
        <f>IFERROR(VLOOKUP(Table1[RespondentID],'All Data'!$A$3:$CW$999,98,FALSE),"unknown")</f>
        <v>0</v>
      </c>
      <c r="AX122" s="120">
        <f>IFERROR(VLOOKUP(Table1[RespondentID],'All Data'!$A$3:$CW$999,99,FALSE),"unknown")</f>
        <v>0</v>
      </c>
    </row>
    <row r="123" spans="1:50">
      <c r="A123" s="5">
        <v>18022519229</v>
      </c>
      <c r="B123" s="5"/>
      <c r="C123" s="5"/>
      <c r="D123" s="5" t="s">
        <v>18</v>
      </c>
      <c r="E123" s="5"/>
      <c r="F123" s="5"/>
      <c r="G123" s="5"/>
      <c r="H123" s="5"/>
      <c r="I123" s="5"/>
      <c r="J123" s="5"/>
      <c r="K123" s="5"/>
      <c r="L123" s="5"/>
      <c r="M123" s="5"/>
      <c r="N123" s="5"/>
      <c r="O123" s="7"/>
      <c r="P123" s="7">
        <f t="shared" si="18"/>
        <v>1</v>
      </c>
      <c r="Q123" s="9">
        <f t="shared" si="19"/>
        <v>3</v>
      </c>
      <c r="R123" s="7"/>
      <c r="S123" s="7">
        <f t="shared" si="20"/>
        <v>0</v>
      </c>
      <c r="T123" s="7">
        <f t="shared" si="21"/>
        <v>0</v>
      </c>
      <c r="U123" s="7">
        <f t="shared" si="22"/>
        <v>1</v>
      </c>
      <c r="V123" s="119">
        <f t="shared" si="23"/>
        <v>0</v>
      </c>
      <c r="W123" s="119">
        <f t="shared" si="24"/>
        <v>0</v>
      </c>
      <c r="X123" s="119">
        <f t="shared" si="25"/>
        <v>0</v>
      </c>
      <c r="Y123" s="119">
        <f t="shared" si="26"/>
        <v>0</v>
      </c>
      <c r="Z123" s="119">
        <f t="shared" si="27"/>
        <v>0</v>
      </c>
      <c r="AA123" s="119">
        <f t="shared" si="28"/>
        <v>0</v>
      </c>
      <c r="AB123" s="119">
        <f t="shared" si="29"/>
        <v>0</v>
      </c>
      <c r="AC123" s="119">
        <f t="shared" si="30"/>
        <v>0</v>
      </c>
      <c r="AD123" s="119">
        <f t="shared" si="31"/>
        <v>0</v>
      </c>
      <c r="AE123" s="119">
        <f t="shared" si="32"/>
        <v>0</v>
      </c>
      <c r="AF123" s="7"/>
      <c r="AG123" s="7"/>
      <c r="AH123" s="7">
        <f t="shared" si="33"/>
        <v>1</v>
      </c>
      <c r="AI123" s="7">
        <f t="shared" si="34"/>
        <v>1</v>
      </c>
      <c r="AJ123" s="7" t="str">
        <f t="shared" si="35"/>
        <v>Correct</v>
      </c>
      <c r="AK123" s="7"/>
      <c r="AL123" s="120" t="str">
        <f>IFERROR(VLOOKUP(Table1[RespondentID],'All Data'!$A$3:$CO$999,87,FALSE),"unknown")</f>
        <v>Man</v>
      </c>
      <c r="AM123" s="120">
        <f>IFERROR(VLOOKUP(Table1[RespondentID],'All Data'!$A$3:$CO$999,88,FALSE),"unknown")</f>
        <v>45</v>
      </c>
      <c r="AN123" s="120" t="str">
        <f>IFERROR(VLOOKUP(Table1[RespondentID],'All Data'!$A$3:$CO$999,89,FALSE),"unknown")</f>
        <v>Suffolk</v>
      </c>
      <c r="AO123" s="120" t="str">
        <f>IFERROR(VLOOKUP(Table1[RespondentID],'All Data'!$A$3:$CO$999,90,FALSE),"unknown")</f>
        <v>Commack, 11725</v>
      </c>
      <c r="AP123" s="120" t="str">
        <f>IFERROR(VLOOKUP(Table1[RespondentID],'All Data'!$A$3:$CO$999,91,FALSE),"unknown")</f>
        <v>White</v>
      </c>
      <c r="AQ123" s="120">
        <f>IFERROR(VLOOKUP(Table1[RespondentID],'All Data'!$A$3:$CO$999,92,FALSE),"unknown")</f>
        <v>0</v>
      </c>
      <c r="AR123" s="120" t="str">
        <f>IFERROR(VLOOKUP(Table1[RespondentID],'All Data'!$A$3:$CO$999,93,FALSE),"unknown")</f>
        <v>English</v>
      </c>
      <c r="AS123" s="120" t="str">
        <f>IFERROR(VLOOKUP(Table1[RespondentID],'All Data'!$A$3:$CW$999,94,FALSE),"unknown")</f>
        <v>$50,000 to $74,999</v>
      </c>
      <c r="AT123" s="120" t="str">
        <f>IFERROR(VLOOKUP(Table1[RespondentID],'All Data'!$A$3:$CW$999,95,FALSE),"unknown")</f>
        <v>Graduate school</v>
      </c>
      <c r="AU123" s="120" t="str">
        <f>IFERROR(VLOOKUP(Table1[RespondentID],'All Data'!$A$3:$CW$999,96,FALSE),"unknown")</f>
        <v>Employed for wages</v>
      </c>
      <c r="AV123" s="120" t="str">
        <f>IFERROR(VLOOKUP(Table1[RespondentID],'All Data'!$A$3:$CW$999,97,FALSE),"unknown")</f>
        <v>Yes</v>
      </c>
      <c r="AW123" s="120">
        <f>IFERROR(VLOOKUP(Table1[RespondentID],'All Data'!$A$3:$CW$999,98,FALSE),"unknown")</f>
        <v>0</v>
      </c>
      <c r="AX123" s="120">
        <f>IFERROR(VLOOKUP(Table1[RespondentID],'All Data'!$A$3:$CW$999,99,FALSE),"unknown")</f>
        <v>0</v>
      </c>
    </row>
    <row r="124" spans="1:50">
      <c r="A124" s="5">
        <v>18022519049</v>
      </c>
      <c r="B124" s="5"/>
      <c r="C124" s="5"/>
      <c r="D124" s="5"/>
      <c r="E124" s="5"/>
      <c r="F124" s="5"/>
      <c r="G124" s="5"/>
      <c r="H124" s="5"/>
      <c r="I124" s="5"/>
      <c r="J124" s="5"/>
      <c r="K124" s="5"/>
      <c r="L124" s="5"/>
      <c r="M124" s="5"/>
      <c r="N124" s="5"/>
      <c r="O124" s="7"/>
      <c r="P124" s="7">
        <f t="shared" si="18"/>
        <v>0</v>
      </c>
      <c r="Q124" s="8" t="e">
        <f t="shared" si="19"/>
        <v>#DIV/0!</v>
      </c>
      <c r="R124" s="7"/>
      <c r="S124" s="7">
        <f t="shared" si="20"/>
        <v>0</v>
      </c>
      <c r="T124" s="7">
        <f t="shared" si="21"/>
        <v>0</v>
      </c>
      <c r="U124" s="7">
        <f t="shared" si="22"/>
        <v>0</v>
      </c>
      <c r="V124" s="119">
        <f t="shared" si="23"/>
        <v>0</v>
      </c>
      <c r="W124" s="119">
        <f t="shared" si="24"/>
        <v>0</v>
      </c>
      <c r="X124" s="119">
        <f t="shared" si="25"/>
        <v>0</v>
      </c>
      <c r="Y124" s="119">
        <f t="shared" si="26"/>
        <v>0</v>
      </c>
      <c r="Z124" s="119">
        <f t="shared" si="27"/>
        <v>0</v>
      </c>
      <c r="AA124" s="119">
        <f t="shared" si="28"/>
        <v>0</v>
      </c>
      <c r="AB124" s="119">
        <f t="shared" si="29"/>
        <v>0</v>
      </c>
      <c r="AC124" s="119">
        <f t="shared" si="30"/>
        <v>0</v>
      </c>
      <c r="AD124" s="119">
        <f t="shared" si="31"/>
        <v>0</v>
      </c>
      <c r="AE124" s="119">
        <f t="shared" si="32"/>
        <v>0</v>
      </c>
      <c r="AF124" s="7"/>
      <c r="AG124" s="7"/>
      <c r="AH124" s="7">
        <f t="shared" si="33"/>
        <v>0</v>
      </c>
      <c r="AI124" s="7">
        <f t="shared" si="34"/>
        <v>0</v>
      </c>
      <c r="AJ124" s="7" t="str">
        <f t="shared" si="35"/>
        <v>Correct</v>
      </c>
      <c r="AK124" s="7"/>
      <c r="AL124" s="120" t="str">
        <f>IFERROR(VLOOKUP(Table1[RespondentID],'All Data'!$A$3:$CO$999,87,FALSE),"unknown")</f>
        <v>Man</v>
      </c>
      <c r="AM124" s="120">
        <f>IFERROR(VLOOKUP(Table1[RespondentID],'All Data'!$A$3:$CO$999,88,FALSE),"unknown")</f>
        <v>44</v>
      </c>
      <c r="AN124" s="120" t="str">
        <f>IFERROR(VLOOKUP(Table1[RespondentID],'All Data'!$A$3:$CO$999,89,FALSE),"unknown")</f>
        <v>Suffolk</v>
      </c>
      <c r="AO124" s="120" t="str">
        <f>IFERROR(VLOOKUP(Table1[RespondentID],'All Data'!$A$3:$CO$999,90,FALSE),"unknown")</f>
        <v>Commack, 11725</v>
      </c>
      <c r="AP124" s="120" t="str">
        <f>IFERROR(VLOOKUP(Table1[RespondentID],'All Data'!$A$3:$CO$999,91,FALSE),"unknown")</f>
        <v>White</v>
      </c>
      <c r="AQ124" s="120" t="str">
        <f>IFERROR(VLOOKUP(Table1[RespondentID],'All Data'!$A$3:$CO$999,92,FALSE),"unknown")</f>
        <v>Hispanic or Latino</v>
      </c>
      <c r="AR124" s="120" t="str">
        <f>IFERROR(VLOOKUP(Table1[RespondentID],'All Data'!$A$3:$CO$999,93,FALSE),"unknown")</f>
        <v>English</v>
      </c>
      <c r="AS124" s="120" t="str">
        <f>IFERROR(VLOOKUP(Table1[RespondentID],'All Data'!$A$3:$CW$999,94,FALSE),"unknown")</f>
        <v>Over $125,000</v>
      </c>
      <c r="AT124" s="120" t="str">
        <f>IFERROR(VLOOKUP(Table1[RespondentID],'All Data'!$A$3:$CW$999,95,FALSE),"unknown")</f>
        <v>Some college</v>
      </c>
      <c r="AU124" s="120">
        <f>IFERROR(VLOOKUP(Table1[RespondentID],'All Data'!$A$3:$CW$999,96,FALSE),"unknown")</f>
        <v>0</v>
      </c>
      <c r="AV124" s="120" t="str">
        <f>IFERROR(VLOOKUP(Table1[RespondentID],'All Data'!$A$3:$CW$999,97,FALSE),"unknown")</f>
        <v>Yes</v>
      </c>
      <c r="AW124" s="120">
        <f>IFERROR(VLOOKUP(Table1[RespondentID],'All Data'!$A$3:$CW$999,98,FALSE),"unknown")</f>
        <v>0</v>
      </c>
      <c r="AX124" s="120">
        <f>IFERROR(VLOOKUP(Table1[RespondentID],'All Data'!$A$3:$CW$999,99,FALSE),"unknown")</f>
        <v>0</v>
      </c>
    </row>
    <row r="125" spans="1:50">
      <c r="A125" s="5">
        <v>18022518816</v>
      </c>
      <c r="B125" s="5" t="s">
        <v>16</v>
      </c>
      <c r="C125" s="5"/>
      <c r="D125" s="5"/>
      <c r="E125" s="5"/>
      <c r="F125" s="5"/>
      <c r="G125" s="5"/>
      <c r="H125" s="5"/>
      <c r="I125" s="5"/>
      <c r="J125" s="5"/>
      <c r="K125" s="5" t="s">
        <v>25</v>
      </c>
      <c r="L125" s="5"/>
      <c r="M125" s="5"/>
      <c r="N125" s="5"/>
      <c r="O125" s="7"/>
      <c r="P125" s="7">
        <f t="shared" si="18"/>
        <v>2</v>
      </c>
      <c r="Q125" s="9">
        <f t="shared" si="19"/>
        <v>1.5</v>
      </c>
      <c r="R125" s="7"/>
      <c r="S125" s="7">
        <f t="shared" si="20"/>
        <v>1</v>
      </c>
      <c r="T125" s="7">
        <f t="shared" si="21"/>
        <v>0</v>
      </c>
      <c r="U125" s="7">
        <f t="shared" si="22"/>
        <v>0</v>
      </c>
      <c r="V125" s="119">
        <f t="shared" si="23"/>
        <v>0</v>
      </c>
      <c r="W125" s="119">
        <f t="shared" si="24"/>
        <v>0</v>
      </c>
      <c r="X125" s="119">
        <f t="shared" si="25"/>
        <v>0</v>
      </c>
      <c r="Y125" s="119">
        <f t="shared" si="26"/>
        <v>0</v>
      </c>
      <c r="Z125" s="119">
        <f t="shared" si="27"/>
        <v>0</v>
      </c>
      <c r="AA125" s="119">
        <f t="shared" si="28"/>
        <v>0</v>
      </c>
      <c r="AB125" s="119">
        <f t="shared" si="29"/>
        <v>1</v>
      </c>
      <c r="AC125" s="119">
        <f t="shared" si="30"/>
        <v>0</v>
      </c>
      <c r="AD125" s="119">
        <f t="shared" si="31"/>
        <v>0</v>
      </c>
      <c r="AE125" s="119">
        <f t="shared" si="32"/>
        <v>0</v>
      </c>
      <c r="AF125" s="7"/>
      <c r="AG125" s="7"/>
      <c r="AH125" s="7">
        <f t="shared" si="33"/>
        <v>2</v>
      </c>
      <c r="AI125" s="7">
        <f t="shared" si="34"/>
        <v>2</v>
      </c>
      <c r="AJ125" s="7" t="str">
        <f t="shared" si="35"/>
        <v>Correct</v>
      </c>
      <c r="AK125" s="7"/>
      <c r="AL125" s="120" t="str">
        <f>IFERROR(VLOOKUP(Table1[RespondentID],'All Data'!$A$3:$CO$999,87,FALSE),"unknown")</f>
        <v>Man</v>
      </c>
      <c r="AM125" s="120">
        <f>IFERROR(VLOOKUP(Table1[RespondentID],'All Data'!$A$3:$CO$999,88,FALSE),"unknown")</f>
        <v>18</v>
      </c>
      <c r="AN125" s="120" t="str">
        <f>IFERROR(VLOOKUP(Table1[RespondentID],'All Data'!$A$3:$CO$999,89,FALSE),"unknown")</f>
        <v>Suffolk</v>
      </c>
      <c r="AO125" s="120" t="str">
        <f>IFERROR(VLOOKUP(Table1[RespondentID],'All Data'!$A$3:$CO$999,90,FALSE),"unknown")</f>
        <v>Smithtown, 11787</v>
      </c>
      <c r="AP125" s="120" t="str">
        <f>IFERROR(VLOOKUP(Table1[RespondentID],'All Data'!$A$3:$CO$999,91,FALSE),"unknown")</f>
        <v>White</v>
      </c>
      <c r="AQ125" s="120">
        <f>IFERROR(VLOOKUP(Table1[RespondentID],'All Data'!$A$3:$CO$999,92,FALSE),"unknown")</f>
        <v>0</v>
      </c>
      <c r="AR125" s="120" t="str">
        <f>IFERROR(VLOOKUP(Table1[RespondentID],'All Data'!$A$3:$CO$999,93,FALSE),"unknown")</f>
        <v>English</v>
      </c>
      <c r="AS125" s="120" t="str">
        <f>IFERROR(VLOOKUP(Table1[RespondentID],'All Data'!$A$3:$CW$999,94,FALSE),"unknown")</f>
        <v>$75,000 to $125,000</v>
      </c>
      <c r="AT125" s="120" t="str">
        <f>IFERROR(VLOOKUP(Table1[RespondentID],'All Data'!$A$3:$CW$999,95,FALSE),"unknown")</f>
        <v>Some high school</v>
      </c>
      <c r="AU125" s="120">
        <f>IFERROR(VLOOKUP(Table1[RespondentID],'All Data'!$A$3:$CW$999,96,FALSE),"unknown")</f>
        <v>0</v>
      </c>
      <c r="AV125" s="120" t="str">
        <f>IFERROR(VLOOKUP(Table1[RespondentID],'All Data'!$A$3:$CW$999,97,FALSE),"unknown")</f>
        <v>Yes</v>
      </c>
      <c r="AW125" s="120">
        <f>IFERROR(VLOOKUP(Table1[RespondentID],'All Data'!$A$3:$CW$999,98,FALSE),"unknown")</f>
        <v>0</v>
      </c>
      <c r="AX125" s="120">
        <f>IFERROR(VLOOKUP(Table1[RespondentID],'All Data'!$A$3:$CW$999,99,FALSE),"unknown")</f>
        <v>0</v>
      </c>
    </row>
    <row r="126" spans="1:50">
      <c r="A126" s="5">
        <v>18022518632</v>
      </c>
      <c r="B126" s="5"/>
      <c r="C126" s="5"/>
      <c r="D126" s="5"/>
      <c r="E126" s="5"/>
      <c r="F126" s="5"/>
      <c r="G126" s="5"/>
      <c r="H126" s="5"/>
      <c r="I126" s="5"/>
      <c r="J126" s="5"/>
      <c r="K126" s="5" t="s">
        <v>25</v>
      </c>
      <c r="L126" s="5"/>
      <c r="M126" s="5"/>
      <c r="N126" s="5"/>
      <c r="O126" s="7"/>
      <c r="P126" s="7">
        <f t="shared" si="18"/>
        <v>1</v>
      </c>
      <c r="Q126" s="8">
        <f t="shared" si="19"/>
        <v>3</v>
      </c>
      <c r="R126" s="7"/>
      <c r="S126" s="7">
        <f t="shared" si="20"/>
        <v>0</v>
      </c>
      <c r="T126" s="7">
        <f t="shared" si="21"/>
        <v>0</v>
      </c>
      <c r="U126" s="7">
        <f t="shared" si="22"/>
        <v>0</v>
      </c>
      <c r="V126" s="119">
        <f t="shared" si="23"/>
        <v>0</v>
      </c>
      <c r="W126" s="119">
        <f t="shared" si="24"/>
        <v>0</v>
      </c>
      <c r="X126" s="119">
        <f t="shared" si="25"/>
        <v>0</v>
      </c>
      <c r="Y126" s="119">
        <f t="shared" si="26"/>
        <v>0</v>
      </c>
      <c r="Z126" s="119">
        <f t="shared" si="27"/>
        <v>0</v>
      </c>
      <c r="AA126" s="119">
        <f t="shared" si="28"/>
        <v>0</v>
      </c>
      <c r="AB126" s="119">
        <f t="shared" si="29"/>
        <v>1</v>
      </c>
      <c r="AC126" s="119">
        <f t="shared" si="30"/>
        <v>0</v>
      </c>
      <c r="AD126" s="119">
        <f t="shared" si="31"/>
        <v>0</v>
      </c>
      <c r="AE126" s="119">
        <f t="shared" si="32"/>
        <v>0</v>
      </c>
      <c r="AF126" s="7"/>
      <c r="AG126" s="7"/>
      <c r="AH126" s="7">
        <f t="shared" si="33"/>
        <v>1</v>
      </c>
      <c r="AI126" s="7">
        <f t="shared" si="34"/>
        <v>1</v>
      </c>
      <c r="AJ126" s="7" t="str">
        <f t="shared" si="35"/>
        <v>Correct</v>
      </c>
      <c r="AK126" s="7"/>
      <c r="AL126" s="120" t="str">
        <f>IFERROR(VLOOKUP(Table1[RespondentID],'All Data'!$A$3:$CO$999,87,FALSE),"unknown")</f>
        <v>Man</v>
      </c>
      <c r="AM126" s="120">
        <f>IFERROR(VLOOKUP(Table1[RespondentID],'All Data'!$A$3:$CO$999,88,FALSE),"unknown")</f>
        <v>18</v>
      </c>
      <c r="AN126" s="120" t="str">
        <f>IFERROR(VLOOKUP(Table1[RespondentID],'All Data'!$A$3:$CO$999,89,FALSE),"unknown")</f>
        <v>Suffolk</v>
      </c>
      <c r="AO126" s="120" t="str">
        <f>IFERROR(VLOOKUP(Table1[RespondentID],'All Data'!$A$3:$CO$999,90,FALSE),"unknown")</f>
        <v>East Northport, 11731</v>
      </c>
      <c r="AP126" s="120" t="str">
        <f>IFERROR(VLOOKUP(Table1[RespondentID],'All Data'!$A$3:$CO$999,91,FALSE),"unknown")</f>
        <v>White</v>
      </c>
      <c r="AQ126" s="120" t="str">
        <f>IFERROR(VLOOKUP(Table1[RespondentID],'All Data'!$A$3:$CO$999,92,FALSE),"unknown")</f>
        <v>Hispanic or Latino</v>
      </c>
      <c r="AR126" s="120" t="str">
        <f>IFERROR(VLOOKUP(Table1[RespondentID],'All Data'!$A$3:$CO$999,93,FALSE),"unknown")</f>
        <v>English</v>
      </c>
      <c r="AS126" s="120">
        <f>IFERROR(VLOOKUP(Table1[RespondentID],'All Data'!$A$3:$CW$999,94,FALSE),"unknown")</f>
        <v>0</v>
      </c>
      <c r="AT126" s="120" t="str">
        <f>IFERROR(VLOOKUP(Table1[RespondentID],'All Data'!$A$3:$CW$999,95,FALSE),"unknown")</f>
        <v>Some high school</v>
      </c>
      <c r="AU126" s="120" t="str">
        <f>IFERROR(VLOOKUP(Table1[RespondentID],'All Data'!$A$3:$CW$999,96,FALSE),"unknown")</f>
        <v>Student</v>
      </c>
      <c r="AV126" s="120" t="str">
        <f>IFERROR(VLOOKUP(Table1[RespondentID],'All Data'!$A$3:$CW$999,97,FALSE),"unknown")</f>
        <v>Yes</v>
      </c>
      <c r="AW126" s="120">
        <f>IFERROR(VLOOKUP(Table1[RespondentID],'All Data'!$A$3:$CW$999,98,FALSE),"unknown")</f>
        <v>0</v>
      </c>
      <c r="AX126" s="120">
        <f>IFERROR(VLOOKUP(Table1[RespondentID],'All Data'!$A$3:$CW$999,99,FALSE),"unknown")</f>
        <v>0</v>
      </c>
    </row>
    <row r="127" spans="1:50">
      <c r="A127" s="5">
        <v>18022518486</v>
      </c>
      <c r="B127" s="5"/>
      <c r="C127" s="5"/>
      <c r="D127" s="5"/>
      <c r="E127" s="5"/>
      <c r="F127" s="5"/>
      <c r="G127" s="5"/>
      <c r="H127" s="5"/>
      <c r="I127" s="5"/>
      <c r="J127" s="5"/>
      <c r="K127" s="5" t="s">
        <v>25</v>
      </c>
      <c r="L127" s="5"/>
      <c r="M127" s="5"/>
      <c r="N127" s="5" t="s">
        <v>28</v>
      </c>
      <c r="O127" s="7"/>
      <c r="P127" s="7">
        <f t="shared" si="18"/>
        <v>2</v>
      </c>
      <c r="Q127" s="9">
        <f t="shared" si="19"/>
        <v>1.5</v>
      </c>
      <c r="R127" s="7"/>
      <c r="S127" s="7">
        <f t="shared" si="20"/>
        <v>0</v>
      </c>
      <c r="T127" s="7">
        <f t="shared" si="21"/>
        <v>0</v>
      </c>
      <c r="U127" s="7">
        <f t="shared" si="22"/>
        <v>0</v>
      </c>
      <c r="V127" s="119">
        <f t="shared" si="23"/>
        <v>0</v>
      </c>
      <c r="W127" s="119">
        <f t="shared" si="24"/>
        <v>0</v>
      </c>
      <c r="X127" s="119">
        <f t="shared" si="25"/>
        <v>0</v>
      </c>
      <c r="Y127" s="119">
        <f t="shared" si="26"/>
        <v>0</v>
      </c>
      <c r="Z127" s="119">
        <f t="shared" si="27"/>
        <v>0</v>
      </c>
      <c r="AA127" s="119">
        <f t="shared" si="28"/>
        <v>0</v>
      </c>
      <c r="AB127" s="119">
        <f t="shared" si="29"/>
        <v>1</v>
      </c>
      <c r="AC127" s="119">
        <f t="shared" si="30"/>
        <v>0</v>
      </c>
      <c r="AD127" s="119">
        <f t="shared" si="31"/>
        <v>0</v>
      </c>
      <c r="AE127" s="119">
        <f t="shared" si="32"/>
        <v>1</v>
      </c>
      <c r="AF127" s="7"/>
      <c r="AG127" s="7"/>
      <c r="AH127" s="7">
        <f t="shared" si="33"/>
        <v>2</v>
      </c>
      <c r="AI127" s="7">
        <f t="shared" si="34"/>
        <v>2</v>
      </c>
      <c r="AJ127" s="7" t="str">
        <f t="shared" si="35"/>
        <v>Correct</v>
      </c>
      <c r="AK127" s="7"/>
      <c r="AL127" s="120" t="str">
        <f>IFERROR(VLOOKUP(Table1[RespondentID],'All Data'!$A$3:$CO$999,87,FALSE),"unknown")</f>
        <v>Man</v>
      </c>
      <c r="AM127" s="120">
        <f>IFERROR(VLOOKUP(Table1[RespondentID],'All Data'!$A$3:$CO$999,88,FALSE),"unknown")</f>
        <v>18</v>
      </c>
      <c r="AN127" s="120" t="str">
        <f>IFERROR(VLOOKUP(Table1[RespondentID],'All Data'!$A$3:$CO$999,89,FALSE),"unknown")</f>
        <v>Suffolk</v>
      </c>
      <c r="AO127" s="120" t="str">
        <f>IFERROR(VLOOKUP(Table1[RespondentID],'All Data'!$A$3:$CO$999,90,FALSE),"unknown")</f>
        <v>Commack, 11725</v>
      </c>
      <c r="AP127" s="120" t="str">
        <f>IFERROR(VLOOKUP(Table1[RespondentID],'All Data'!$A$3:$CO$999,91,FALSE),"unknown")</f>
        <v>White</v>
      </c>
      <c r="AQ127" s="120" t="str">
        <f>IFERROR(VLOOKUP(Table1[RespondentID],'All Data'!$A$3:$CO$999,92,FALSE),"unknown")</f>
        <v>Not Hispanic or Latino</v>
      </c>
      <c r="AR127" s="120" t="str">
        <f>IFERROR(VLOOKUP(Table1[RespondentID],'All Data'!$A$3:$CO$999,93,FALSE),"unknown")</f>
        <v>English, Spanish</v>
      </c>
      <c r="AS127" s="120">
        <f>IFERROR(VLOOKUP(Table1[RespondentID],'All Data'!$A$3:$CW$999,94,FALSE),"unknown")</f>
        <v>0</v>
      </c>
      <c r="AT127" s="120" t="str">
        <f>IFERROR(VLOOKUP(Table1[RespondentID],'All Data'!$A$3:$CW$999,95,FALSE),"unknown")</f>
        <v>Some high school</v>
      </c>
      <c r="AU127" s="120" t="str">
        <f>IFERROR(VLOOKUP(Table1[RespondentID],'All Data'!$A$3:$CW$999,96,FALSE),"unknown")</f>
        <v>Employed for wages</v>
      </c>
      <c r="AV127" s="120" t="str">
        <f>IFERROR(VLOOKUP(Table1[RespondentID],'All Data'!$A$3:$CW$999,97,FALSE),"unknown")</f>
        <v>Yes</v>
      </c>
      <c r="AW127" s="120">
        <f>IFERROR(VLOOKUP(Table1[RespondentID],'All Data'!$A$3:$CW$999,98,FALSE),"unknown")</f>
        <v>0</v>
      </c>
      <c r="AX127" s="120">
        <f>IFERROR(VLOOKUP(Table1[RespondentID],'All Data'!$A$3:$CW$999,99,FALSE),"unknown")</f>
        <v>0</v>
      </c>
    </row>
    <row r="128" spans="1:50">
      <c r="A128" s="5">
        <v>18022518320</v>
      </c>
      <c r="B128" s="5" t="s">
        <v>16</v>
      </c>
      <c r="C128" s="5"/>
      <c r="D128" s="5"/>
      <c r="E128" s="5"/>
      <c r="F128" s="5"/>
      <c r="G128" s="5"/>
      <c r="H128" s="5"/>
      <c r="I128" s="5"/>
      <c r="J128" s="5" t="s">
        <v>24</v>
      </c>
      <c r="K128" s="5" t="s">
        <v>25</v>
      </c>
      <c r="L128" s="5"/>
      <c r="M128" s="5"/>
      <c r="N128" s="5"/>
      <c r="O128" s="7"/>
      <c r="P128" s="7">
        <f t="shared" si="18"/>
        <v>3</v>
      </c>
      <c r="Q128" s="8">
        <f t="shared" si="19"/>
        <v>1</v>
      </c>
      <c r="R128" s="7"/>
      <c r="S128" s="7">
        <f t="shared" si="20"/>
        <v>1</v>
      </c>
      <c r="T128" s="7">
        <f t="shared" si="21"/>
        <v>0</v>
      </c>
      <c r="U128" s="7">
        <f t="shared" si="22"/>
        <v>0</v>
      </c>
      <c r="V128" s="119">
        <f t="shared" si="23"/>
        <v>0</v>
      </c>
      <c r="W128" s="119">
        <f t="shared" si="24"/>
        <v>0</v>
      </c>
      <c r="X128" s="119">
        <f t="shared" si="25"/>
        <v>0</v>
      </c>
      <c r="Y128" s="119">
        <f t="shared" si="26"/>
        <v>0</v>
      </c>
      <c r="Z128" s="119">
        <f t="shared" si="27"/>
        <v>0</v>
      </c>
      <c r="AA128" s="119">
        <f t="shared" si="28"/>
        <v>1</v>
      </c>
      <c r="AB128" s="119">
        <f t="shared" si="29"/>
        <v>1</v>
      </c>
      <c r="AC128" s="119">
        <f t="shared" si="30"/>
        <v>0</v>
      </c>
      <c r="AD128" s="119">
        <f t="shared" si="31"/>
        <v>0</v>
      </c>
      <c r="AE128" s="119">
        <f t="shared" si="32"/>
        <v>0</v>
      </c>
      <c r="AF128" s="7"/>
      <c r="AG128" s="7"/>
      <c r="AH128" s="7">
        <f t="shared" si="33"/>
        <v>3</v>
      </c>
      <c r="AI128" s="7">
        <f t="shared" si="34"/>
        <v>3</v>
      </c>
      <c r="AJ128" s="7" t="str">
        <f t="shared" si="35"/>
        <v>Correct</v>
      </c>
      <c r="AK128" s="7"/>
      <c r="AL128" s="120" t="str">
        <f>IFERROR(VLOOKUP(Table1[RespondentID],'All Data'!$A$3:$CO$999,87,FALSE),"unknown")</f>
        <v>Woman</v>
      </c>
      <c r="AM128" s="120">
        <f>IFERROR(VLOOKUP(Table1[RespondentID],'All Data'!$A$3:$CO$999,88,FALSE),"unknown")</f>
        <v>18</v>
      </c>
      <c r="AN128" s="120" t="str">
        <f>IFERROR(VLOOKUP(Table1[RespondentID],'All Data'!$A$3:$CO$999,89,FALSE),"unknown")</f>
        <v>Suffolk</v>
      </c>
      <c r="AO128" s="120" t="str">
        <f>IFERROR(VLOOKUP(Table1[RespondentID],'All Data'!$A$3:$CO$999,90,FALSE),"unknown")</f>
        <v>Commack, 11725</v>
      </c>
      <c r="AP128" s="120" t="str">
        <f>IFERROR(VLOOKUP(Table1[RespondentID],'All Data'!$A$3:$CO$999,91,FALSE),"unknown")</f>
        <v>White</v>
      </c>
      <c r="AQ128" s="120" t="str">
        <f>IFERROR(VLOOKUP(Table1[RespondentID],'All Data'!$A$3:$CO$999,92,FALSE),"unknown")</f>
        <v>Hispanic or Latino</v>
      </c>
      <c r="AR128" s="120" t="str">
        <f>IFERROR(VLOOKUP(Table1[RespondentID],'All Data'!$A$3:$CO$999,93,FALSE),"unknown")</f>
        <v>English</v>
      </c>
      <c r="AS128" s="120" t="str">
        <f>IFERROR(VLOOKUP(Table1[RespondentID],'All Data'!$A$3:$CW$999,94,FALSE),"unknown")</f>
        <v>$50,000 to $74,999</v>
      </c>
      <c r="AT128" s="120" t="str">
        <f>IFERROR(VLOOKUP(Table1[RespondentID],'All Data'!$A$3:$CW$999,95,FALSE),"unknown")</f>
        <v>Some high school</v>
      </c>
      <c r="AU128" s="120">
        <f>IFERROR(VLOOKUP(Table1[RespondentID],'All Data'!$A$3:$CW$999,96,FALSE),"unknown")</f>
        <v>0</v>
      </c>
      <c r="AV128" s="120" t="str">
        <f>IFERROR(VLOOKUP(Table1[RespondentID],'All Data'!$A$3:$CW$999,97,FALSE),"unknown")</f>
        <v>Yes</v>
      </c>
      <c r="AW128" s="120">
        <f>IFERROR(VLOOKUP(Table1[RespondentID],'All Data'!$A$3:$CW$999,98,FALSE),"unknown")</f>
        <v>0</v>
      </c>
      <c r="AX128" s="120">
        <f>IFERROR(VLOOKUP(Table1[RespondentID],'All Data'!$A$3:$CW$999,99,FALSE),"unknown")</f>
        <v>0</v>
      </c>
    </row>
    <row r="129" spans="1:50">
      <c r="A129" s="5">
        <v>18022518124</v>
      </c>
      <c r="B129" s="5"/>
      <c r="C129" s="5" t="s">
        <v>17</v>
      </c>
      <c r="D129" s="5"/>
      <c r="E129" s="5"/>
      <c r="F129" s="5"/>
      <c r="G129" s="5"/>
      <c r="H129" s="5"/>
      <c r="I129" s="5"/>
      <c r="J129" s="5"/>
      <c r="K129" s="5" t="s">
        <v>25</v>
      </c>
      <c r="L129" s="5" t="s">
        <v>26</v>
      </c>
      <c r="M129" s="5"/>
      <c r="N129" s="5"/>
      <c r="O129" s="7"/>
      <c r="P129" s="7">
        <f t="shared" si="18"/>
        <v>3</v>
      </c>
      <c r="Q129" s="9">
        <f t="shared" si="19"/>
        <v>1</v>
      </c>
      <c r="R129" s="7"/>
      <c r="S129" s="7">
        <f t="shared" si="20"/>
        <v>0</v>
      </c>
      <c r="T129" s="7">
        <f t="shared" si="21"/>
        <v>1</v>
      </c>
      <c r="U129" s="7">
        <f t="shared" si="22"/>
        <v>0</v>
      </c>
      <c r="V129" s="119">
        <f t="shared" si="23"/>
        <v>0</v>
      </c>
      <c r="W129" s="119">
        <f t="shared" si="24"/>
        <v>0</v>
      </c>
      <c r="X129" s="119">
        <f t="shared" si="25"/>
        <v>0</v>
      </c>
      <c r="Y129" s="119">
        <f t="shared" si="26"/>
        <v>0</v>
      </c>
      <c r="Z129" s="119">
        <f t="shared" si="27"/>
        <v>0</v>
      </c>
      <c r="AA129" s="119">
        <f t="shared" si="28"/>
        <v>0</v>
      </c>
      <c r="AB129" s="119">
        <f t="shared" si="29"/>
        <v>1</v>
      </c>
      <c r="AC129" s="119">
        <f t="shared" si="30"/>
        <v>1</v>
      </c>
      <c r="AD129" s="119">
        <f t="shared" si="31"/>
        <v>0</v>
      </c>
      <c r="AE129" s="119">
        <f t="shared" si="32"/>
        <v>0</v>
      </c>
      <c r="AF129" s="7"/>
      <c r="AG129" s="7"/>
      <c r="AH129" s="7">
        <f t="shared" si="33"/>
        <v>3</v>
      </c>
      <c r="AI129" s="7">
        <f t="shared" si="34"/>
        <v>3</v>
      </c>
      <c r="AJ129" s="7" t="str">
        <f t="shared" si="35"/>
        <v>Correct</v>
      </c>
      <c r="AK129" s="7"/>
      <c r="AL129" s="120" t="str">
        <f>IFERROR(VLOOKUP(Table1[RespondentID],'All Data'!$A$3:$CO$999,87,FALSE),"unknown")</f>
        <v>Woman</v>
      </c>
      <c r="AM129" s="120">
        <f>IFERROR(VLOOKUP(Table1[RespondentID],'All Data'!$A$3:$CO$999,88,FALSE),"unknown")</f>
        <v>42</v>
      </c>
      <c r="AN129" s="120" t="str">
        <f>IFERROR(VLOOKUP(Table1[RespondentID],'All Data'!$A$3:$CO$999,89,FALSE),"unknown")</f>
        <v>Nassau</v>
      </c>
      <c r="AO129" s="120" t="str">
        <f>IFERROR(VLOOKUP(Table1[RespondentID],'All Data'!$A$3:$CO$999,90,FALSE),"unknown")</f>
        <v>Westbury, 11590</v>
      </c>
      <c r="AP129" s="120" t="str">
        <f>IFERROR(VLOOKUP(Table1[RespondentID],'All Data'!$A$3:$CO$999,91,FALSE),"unknown")</f>
        <v>White</v>
      </c>
      <c r="AQ129" s="120">
        <f>IFERROR(VLOOKUP(Table1[RespondentID],'All Data'!$A$3:$CO$999,92,FALSE),"unknown")</f>
        <v>0</v>
      </c>
      <c r="AR129" s="120" t="str">
        <f>IFERROR(VLOOKUP(Table1[RespondentID],'All Data'!$A$3:$CO$999,93,FALSE),"unknown")</f>
        <v>English</v>
      </c>
      <c r="AS129" s="120" t="str">
        <f>IFERROR(VLOOKUP(Table1[RespondentID],'All Data'!$A$3:$CW$999,94,FALSE),"unknown")</f>
        <v>Over $125,000</v>
      </c>
      <c r="AT129" s="120" t="str">
        <f>IFERROR(VLOOKUP(Table1[RespondentID],'All Data'!$A$3:$CW$999,95,FALSE),"unknown")</f>
        <v>Doctorate</v>
      </c>
      <c r="AU129" s="120" t="str">
        <f>IFERROR(VLOOKUP(Table1[RespondentID],'All Data'!$A$3:$CW$999,96,FALSE),"unknown")</f>
        <v>Employed for wages</v>
      </c>
      <c r="AV129" s="120" t="str">
        <f>IFERROR(VLOOKUP(Table1[RespondentID],'All Data'!$A$3:$CW$999,97,FALSE),"unknown")</f>
        <v>Yes</v>
      </c>
      <c r="AW129" s="120">
        <f>IFERROR(VLOOKUP(Table1[RespondentID],'All Data'!$A$3:$CW$999,98,FALSE),"unknown")</f>
        <v>0</v>
      </c>
      <c r="AX129" s="120">
        <f>IFERROR(VLOOKUP(Table1[RespondentID],'All Data'!$A$3:$CW$999,99,FALSE),"unknown")</f>
        <v>0</v>
      </c>
    </row>
    <row r="130" spans="1:50">
      <c r="A130" s="5">
        <v>18022517936</v>
      </c>
      <c r="B130" s="5"/>
      <c r="C130" s="5" t="s">
        <v>17</v>
      </c>
      <c r="D130" s="5"/>
      <c r="E130" s="5"/>
      <c r="F130" s="5"/>
      <c r="G130" s="5"/>
      <c r="H130" s="5"/>
      <c r="I130" s="5" t="s">
        <v>23</v>
      </c>
      <c r="J130" s="5"/>
      <c r="K130" s="5" t="s">
        <v>25</v>
      </c>
      <c r="L130" s="5"/>
      <c r="M130" s="5"/>
      <c r="N130" s="5"/>
      <c r="O130" s="7"/>
      <c r="P130" s="7">
        <f t="shared" ref="P130:P193" si="36">COUNTA(B130:N130)</f>
        <v>3</v>
      </c>
      <c r="Q130" s="8">
        <f t="shared" ref="Q130:Q193" si="37">3/P130</f>
        <v>1</v>
      </c>
      <c r="R130" s="7"/>
      <c r="S130" s="7">
        <f t="shared" ref="S130:S193" si="38">IF($P130&lt;3,IF($B130=$B$1,1,0),IF($B130=$B$1,$Q130,0))</f>
        <v>0</v>
      </c>
      <c r="T130" s="7">
        <f t="shared" ref="T130:T193" si="39">IF($P130&lt;3,IF($C130=$C$1,1,0),IF($C130=$C$1,$Q130,0))</f>
        <v>1</v>
      </c>
      <c r="U130" s="7">
        <f t="shared" ref="U130:U193" si="40">IF($P130&lt;3,IF($D130=$D$1,1,0),IF($D130=$D$1,$Q130,0))</f>
        <v>0</v>
      </c>
      <c r="V130" s="119">
        <f t="shared" ref="V130:V193" si="41">IF($P130&lt;3,IF($E130=$E$1,1,0),IF($E130=$E$1,$Q130,0))</f>
        <v>0</v>
      </c>
      <c r="W130" s="119">
        <f t="shared" ref="W130:W193" si="42">IF($P130&lt;3,IF($F130=$F$1,1,0),IF($F130=$F$1,$Q130,0))</f>
        <v>0</v>
      </c>
      <c r="X130" s="119">
        <f t="shared" ref="X130:X193" si="43">IF($P130&lt;3,IF($G130=$G$1,1,0),IF($G130=$G$1,$Q130,0))</f>
        <v>0</v>
      </c>
      <c r="Y130" s="119">
        <f t="shared" ref="Y130:Y193" si="44">IF($P130&lt;3,IF($H130=$H$1,1,0),IF($H130=$H$1,$Q130,0))</f>
        <v>0</v>
      </c>
      <c r="Z130" s="119">
        <f t="shared" ref="Z130:Z193" si="45">IF($P130&lt;3,IF($I130=$I$1,1,0),IF($I130=$I$1,$Q130,0))</f>
        <v>1</v>
      </c>
      <c r="AA130" s="119">
        <f t="shared" ref="AA130:AA193" si="46">IF($P130&lt;3,IF($J130=$J$1,1,0),IF($J130=$J$1,$Q130,0))</f>
        <v>0</v>
      </c>
      <c r="AB130" s="119">
        <f t="shared" ref="AB130:AB193" si="47">IF($P130&lt;3,IF($K130=$K$1,1,0),IF($K130=$K$1,$Q130,0))</f>
        <v>1</v>
      </c>
      <c r="AC130" s="119">
        <f t="shared" ref="AC130:AC193" si="48">IF($P130&lt;3,IF($L130=$L$1,1,0),IF($L130=$L$1,$Q130,0))</f>
        <v>0</v>
      </c>
      <c r="AD130" s="119">
        <f t="shared" ref="AD130:AD193" si="49">IF($P130&lt;3,IF($M130=$M$1,1,0),IF($M130=$M$1,$Q130,0))</f>
        <v>0</v>
      </c>
      <c r="AE130" s="119">
        <f t="shared" ref="AE130:AE193" si="50">IF($P130&lt;3,IF($N130=$N$1,1,0),IF($N130=$N$1,$Q130,0))</f>
        <v>0</v>
      </c>
      <c r="AF130" s="7"/>
      <c r="AG130" s="7"/>
      <c r="AH130" s="7">
        <f t="shared" ref="AH130:AH193" si="51">SUM(S130:AE130)</f>
        <v>3</v>
      </c>
      <c r="AI130" s="7">
        <f t="shared" ref="AI130:AI193" si="52">P130</f>
        <v>3</v>
      </c>
      <c r="AJ130" s="7" t="str">
        <f t="shared" ref="AJ130:AJ193" si="53">IF(AH130=AI130,"Correct",IF(AH130=3,"Correct","Wrong"))</f>
        <v>Correct</v>
      </c>
      <c r="AK130" s="7"/>
      <c r="AL130" s="120" t="str">
        <f>IFERROR(VLOOKUP(Table1[RespondentID],'All Data'!$A$3:$CO$999,87,FALSE),"unknown")</f>
        <v>Man</v>
      </c>
      <c r="AM130" s="120">
        <f>IFERROR(VLOOKUP(Table1[RespondentID],'All Data'!$A$3:$CO$999,88,FALSE),"unknown")</f>
        <v>18</v>
      </c>
      <c r="AN130" s="120" t="str">
        <f>IFERROR(VLOOKUP(Table1[RespondentID],'All Data'!$A$3:$CO$999,89,FALSE),"unknown")</f>
        <v>Suffolk</v>
      </c>
      <c r="AO130" s="120" t="str">
        <f>IFERROR(VLOOKUP(Table1[RespondentID],'All Data'!$A$3:$CO$999,90,FALSE),"unknown")</f>
        <v>Dix Hills, 11746</v>
      </c>
      <c r="AP130" s="120" t="str">
        <f>IFERROR(VLOOKUP(Table1[RespondentID],'All Data'!$A$3:$CO$999,91,FALSE),"unknown")</f>
        <v>White</v>
      </c>
      <c r="AQ130" s="120" t="str">
        <f>IFERROR(VLOOKUP(Table1[RespondentID],'All Data'!$A$3:$CO$999,92,FALSE),"unknown")</f>
        <v>Hispanic or Latino</v>
      </c>
      <c r="AR130" s="120" t="str">
        <f>IFERROR(VLOOKUP(Table1[RespondentID],'All Data'!$A$3:$CO$999,93,FALSE),"unknown")</f>
        <v>English</v>
      </c>
      <c r="AS130" s="120" t="str">
        <f>IFERROR(VLOOKUP(Table1[RespondentID],'All Data'!$A$3:$CW$999,94,FALSE),"unknown")</f>
        <v>$75,000 to $125,000</v>
      </c>
      <c r="AT130" s="120" t="str">
        <f>IFERROR(VLOOKUP(Table1[RespondentID],'All Data'!$A$3:$CW$999,95,FALSE),"unknown")</f>
        <v>High school graduate</v>
      </c>
      <c r="AU130" s="120">
        <f>IFERROR(VLOOKUP(Table1[RespondentID],'All Data'!$A$3:$CW$999,96,FALSE),"unknown")</f>
        <v>0</v>
      </c>
      <c r="AV130" s="120" t="str">
        <f>IFERROR(VLOOKUP(Table1[RespondentID],'All Data'!$A$3:$CW$999,97,FALSE),"unknown")</f>
        <v>Yes</v>
      </c>
      <c r="AW130" s="120">
        <f>IFERROR(VLOOKUP(Table1[RespondentID],'All Data'!$A$3:$CW$999,98,FALSE),"unknown")</f>
        <v>0</v>
      </c>
      <c r="AX130" s="120">
        <f>IFERROR(VLOOKUP(Table1[RespondentID],'All Data'!$A$3:$CW$999,99,FALSE),"unknown")</f>
        <v>0</v>
      </c>
    </row>
    <row r="131" spans="1:50">
      <c r="A131" s="5">
        <v>18022517728</v>
      </c>
      <c r="B131" s="5"/>
      <c r="C131" s="5"/>
      <c r="D131" s="5" t="s">
        <v>18</v>
      </c>
      <c r="E131" s="5"/>
      <c r="F131" s="5"/>
      <c r="G131" s="5"/>
      <c r="H131" s="5"/>
      <c r="I131" s="5"/>
      <c r="J131" s="5"/>
      <c r="K131" s="5" t="s">
        <v>25</v>
      </c>
      <c r="L131" s="5"/>
      <c r="M131" s="5"/>
      <c r="N131" s="5" t="s">
        <v>28</v>
      </c>
      <c r="O131" s="7"/>
      <c r="P131" s="7">
        <f t="shared" si="36"/>
        <v>3</v>
      </c>
      <c r="Q131" s="9">
        <f t="shared" si="37"/>
        <v>1</v>
      </c>
      <c r="R131" s="7"/>
      <c r="S131" s="7">
        <f t="shared" si="38"/>
        <v>0</v>
      </c>
      <c r="T131" s="7">
        <f t="shared" si="39"/>
        <v>0</v>
      </c>
      <c r="U131" s="7">
        <f t="shared" si="40"/>
        <v>1</v>
      </c>
      <c r="V131" s="119">
        <f t="shared" si="41"/>
        <v>0</v>
      </c>
      <c r="W131" s="119">
        <f t="shared" si="42"/>
        <v>0</v>
      </c>
      <c r="X131" s="119">
        <f t="shared" si="43"/>
        <v>0</v>
      </c>
      <c r="Y131" s="119">
        <f t="shared" si="44"/>
        <v>0</v>
      </c>
      <c r="Z131" s="119">
        <f t="shared" si="45"/>
        <v>0</v>
      </c>
      <c r="AA131" s="119">
        <f t="shared" si="46"/>
        <v>0</v>
      </c>
      <c r="AB131" s="119">
        <f t="shared" si="47"/>
        <v>1</v>
      </c>
      <c r="AC131" s="119">
        <f t="shared" si="48"/>
        <v>0</v>
      </c>
      <c r="AD131" s="119">
        <f t="shared" si="49"/>
        <v>0</v>
      </c>
      <c r="AE131" s="119">
        <f t="shared" si="50"/>
        <v>1</v>
      </c>
      <c r="AF131" s="7"/>
      <c r="AG131" s="7"/>
      <c r="AH131" s="7">
        <f t="shared" si="51"/>
        <v>3</v>
      </c>
      <c r="AI131" s="7">
        <f t="shared" si="52"/>
        <v>3</v>
      </c>
      <c r="AJ131" s="7" t="str">
        <f t="shared" si="53"/>
        <v>Correct</v>
      </c>
      <c r="AK131" s="7"/>
      <c r="AL131" s="120" t="str">
        <f>IFERROR(VLOOKUP(Table1[RespondentID],'All Data'!$A$3:$CO$999,87,FALSE),"unknown")</f>
        <v>Man</v>
      </c>
      <c r="AM131" s="120">
        <f>IFERROR(VLOOKUP(Table1[RespondentID],'All Data'!$A$3:$CO$999,88,FALSE),"unknown")</f>
        <v>18</v>
      </c>
      <c r="AN131" s="120" t="str">
        <f>IFERROR(VLOOKUP(Table1[RespondentID],'All Data'!$A$3:$CO$999,89,FALSE),"unknown")</f>
        <v>Suffolk</v>
      </c>
      <c r="AO131" s="120" t="str">
        <f>IFERROR(VLOOKUP(Table1[RespondentID],'All Data'!$A$3:$CO$999,90,FALSE),"unknown")</f>
        <v>Commack, 11725</v>
      </c>
      <c r="AP131" s="120" t="str">
        <f>IFERROR(VLOOKUP(Table1[RespondentID],'All Data'!$A$3:$CO$999,91,FALSE),"unknown")</f>
        <v>White</v>
      </c>
      <c r="AQ131" s="120" t="str">
        <f>IFERROR(VLOOKUP(Table1[RespondentID],'All Data'!$A$3:$CO$999,92,FALSE),"unknown")</f>
        <v>Not Hispanic or Latino</v>
      </c>
      <c r="AR131" s="120" t="str">
        <f>IFERROR(VLOOKUP(Table1[RespondentID],'All Data'!$A$3:$CO$999,93,FALSE),"unknown")</f>
        <v>English</v>
      </c>
      <c r="AS131" s="120" t="str">
        <f>IFERROR(VLOOKUP(Table1[RespondentID],'All Data'!$A$3:$CW$999,94,FALSE),"unknown")</f>
        <v>$20,000 to $34,999</v>
      </c>
      <c r="AT131" s="120" t="str">
        <f>IFERROR(VLOOKUP(Table1[RespondentID],'All Data'!$A$3:$CW$999,95,FALSE),"unknown")</f>
        <v>High school graduate</v>
      </c>
      <c r="AU131" s="120" t="str">
        <f>IFERROR(VLOOKUP(Table1[RespondentID],'All Data'!$A$3:$CW$999,96,FALSE),"unknown")</f>
        <v>Student</v>
      </c>
      <c r="AV131" s="120" t="str">
        <f>IFERROR(VLOOKUP(Table1[RespondentID],'All Data'!$A$3:$CW$999,97,FALSE),"unknown")</f>
        <v>Yes</v>
      </c>
      <c r="AW131" s="120">
        <f>IFERROR(VLOOKUP(Table1[RespondentID],'All Data'!$A$3:$CW$999,98,FALSE),"unknown")</f>
        <v>0</v>
      </c>
      <c r="AX131" s="120">
        <f>IFERROR(VLOOKUP(Table1[RespondentID],'All Data'!$A$3:$CW$999,99,FALSE),"unknown")</f>
        <v>0</v>
      </c>
    </row>
    <row r="132" spans="1:50">
      <c r="A132" s="5">
        <v>18022517350</v>
      </c>
      <c r="B132" s="5"/>
      <c r="C132" s="5" t="s">
        <v>17</v>
      </c>
      <c r="D132" s="5" t="s">
        <v>18</v>
      </c>
      <c r="E132" s="5"/>
      <c r="F132" s="5"/>
      <c r="G132" s="5"/>
      <c r="H132" s="5"/>
      <c r="I132" s="5"/>
      <c r="J132" s="5" t="s">
        <v>24</v>
      </c>
      <c r="K132" s="5"/>
      <c r="L132" s="5"/>
      <c r="M132" s="5"/>
      <c r="N132" s="5"/>
      <c r="O132" s="7"/>
      <c r="P132" s="7">
        <f t="shared" si="36"/>
        <v>3</v>
      </c>
      <c r="Q132" s="8">
        <f t="shared" si="37"/>
        <v>1</v>
      </c>
      <c r="R132" s="7"/>
      <c r="S132" s="7">
        <f t="shared" si="38"/>
        <v>0</v>
      </c>
      <c r="T132" s="7">
        <f t="shared" si="39"/>
        <v>1</v>
      </c>
      <c r="U132" s="7">
        <f t="shared" si="40"/>
        <v>1</v>
      </c>
      <c r="V132" s="119">
        <f t="shared" si="41"/>
        <v>0</v>
      </c>
      <c r="W132" s="119">
        <f t="shared" si="42"/>
        <v>0</v>
      </c>
      <c r="X132" s="119">
        <f t="shared" si="43"/>
        <v>0</v>
      </c>
      <c r="Y132" s="119">
        <f t="shared" si="44"/>
        <v>0</v>
      </c>
      <c r="Z132" s="119">
        <f t="shared" si="45"/>
        <v>0</v>
      </c>
      <c r="AA132" s="119">
        <f t="shared" si="46"/>
        <v>1</v>
      </c>
      <c r="AB132" s="119">
        <f t="shared" si="47"/>
        <v>0</v>
      </c>
      <c r="AC132" s="119">
        <f t="shared" si="48"/>
        <v>0</v>
      </c>
      <c r="AD132" s="119">
        <f t="shared" si="49"/>
        <v>0</v>
      </c>
      <c r="AE132" s="119">
        <f t="shared" si="50"/>
        <v>0</v>
      </c>
      <c r="AF132" s="7"/>
      <c r="AG132" s="7"/>
      <c r="AH132" s="7">
        <f t="shared" si="51"/>
        <v>3</v>
      </c>
      <c r="AI132" s="7">
        <f t="shared" si="52"/>
        <v>3</v>
      </c>
      <c r="AJ132" s="7" t="str">
        <f t="shared" si="53"/>
        <v>Correct</v>
      </c>
      <c r="AK132" s="7"/>
      <c r="AL132" s="120" t="str">
        <f>IFERROR(VLOOKUP(Table1[RespondentID],'All Data'!$A$3:$CO$999,87,FALSE),"unknown")</f>
        <v>Man</v>
      </c>
      <c r="AM132" s="120">
        <f>IFERROR(VLOOKUP(Table1[RespondentID],'All Data'!$A$3:$CO$999,88,FALSE),"unknown")</f>
        <v>18</v>
      </c>
      <c r="AN132" s="120" t="str">
        <f>IFERROR(VLOOKUP(Table1[RespondentID],'All Data'!$A$3:$CO$999,89,FALSE),"unknown")</f>
        <v>Suffolk</v>
      </c>
      <c r="AO132" s="120" t="str">
        <f>IFERROR(VLOOKUP(Table1[RespondentID],'All Data'!$A$3:$CO$999,90,FALSE),"unknown")</f>
        <v>Commack, 11725</v>
      </c>
      <c r="AP132" s="120" t="str">
        <f>IFERROR(VLOOKUP(Table1[RespondentID],'All Data'!$A$3:$CO$999,91,FALSE),"unknown")</f>
        <v>White</v>
      </c>
      <c r="AQ132" s="120" t="str">
        <f>IFERROR(VLOOKUP(Table1[RespondentID],'All Data'!$A$3:$CO$999,92,FALSE),"unknown")</f>
        <v>Hispanic or Latino</v>
      </c>
      <c r="AR132" s="120" t="str">
        <f>IFERROR(VLOOKUP(Table1[RespondentID],'All Data'!$A$3:$CO$999,93,FALSE),"unknown")</f>
        <v>English</v>
      </c>
      <c r="AS132" s="120" t="str">
        <f>IFERROR(VLOOKUP(Table1[RespondentID],'All Data'!$A$3:$CW$999,94,FALSE),"unknown")</f>
        <v>Over $125,000</v>
      </c>
      <c r="AT132" s="120" t="str">
        <f>IFERROR(VLOOKUP(Table1[RespondentID],'All Data'!$A$3:$CW$999,95,FALSE),"unknown")</f>
        <v>High school graduate</v>
      </c>
      <c r="AU132" s="120" t="str">
        <f>IFERROR(VLOOKUP(Table1[RespondentID],'All Data'!$A$3:$CW$999,96,FALSE),"unknown")</f>
        <v>Student</v>
      </c>
      <c r="AV132" s="120" t="str">
        <f>IFERROR(VLOOKUP(Table1[RespondentID],'All Data'!$A$3:$CW$999,97,FALSE),"unknown")</f>
        <v>Yes</v>
      </c>
      <c r="AW132" s="120">
        <f>IFERROR(VLOOKUP(Table1[RespondentID],'All Data'!$A$3:$CW$999,98,FALSE),"unknown")</f>
        <v>0</v>
      </c>
      <c r="AX132" s="120">
        <f>IFERROR(VLOOKUP(Table1[RespondentID],'All Data'!$A$3:$CW$999,99,FALSE),"unknown")</f>
        <v>0</v>
      </c>
    </row>
    <row r="133" spans="1:50">
      <c r="A133" s="5">
        <v>18022517003</v>
      </c>
      <c r="B133" s="5"/>
      <c r="C133" s="5"/>
      <c r="D133" s="5"/>
      <c r="E133" s="5"/>
      <c r="F133" s="5"/>
      <c r="G133" s="5"/>
      <c r="H133" s="5"/>
      <c r="I133" s="5"/>
      <c r="J133" s="5"/>
      <c r="K133" s="5" t="s">
        <v>25</v>
      </c>
      <c r="L133" s="5"/>
      <c r="M133" s="5"/>
      <c r="N133" s="5"/>
      <c r="O133" s="7"/>
      <c r="P133" s="7">
        <f t="shared" si="36"/>
        <v>1</v>
      </c>
      <c r="Q133" s="9">
        <f t="shared" si="37"/>
        <v>3</v>
      </c>
      <c r="R133" s="7"/>
      <c r="S133" s="7">
        <f t="shared" si="38"/>
        <v>0</v>
      </c>
      <c r="T133" s="7">
        <f t="shared" si="39"/>
        <v>0</v>
      </c>
      <c r="U133" s="7">
        <f t="shared" si="40"/>
        <v>0</v>
      </c>
      <c r="V133" s="119">
        <f t="shared" si="41"/>
        <v>0</v>
      </c>
      <c r="W133" s="119">
        <f t="shared" si="42"/>
        <v>0</v>
      </c>
      <c r="X133" s="119">
        <f t="shared" si="43"/>
        <v>0</v>
      </c>
      <c r="Y133" s="119">
        <f t="shared" si="44"/>
        <v>0</v>
      </c>
      <c r="Z133" s="119">
        <f t="shared" si="45"/>
        <v>0</v>
      </c>
      <c r="AA133" s="119">
        <f t="shared" si="46"/>
        <v>0</v>
      </c>
      <c r="AB133" s="119">
        <f t="shared" si="47"/>
        <v>1</v>
      </c>
      <c r="AC133" s="119">
        <f t="shared" si="48"/>
        <v>0</v>
      </c>
      <c r="AD133" s="119">
        <f t="shared" si="49"/>
        <v>0</v>
      </c>
      <c r="AE133" s="119">
        <f t="shared" si="50"/>
        <v>0</v>
      </c>
      <c r="AF133" s="7"/>
      <c r="AG133" s="7"/>
      <c r="AH133" s="7">
        <f t="shared" si="51"/>
        <v>1</v>
      </c>
      <c r="AI133" s="7">
        <f t="shared" si="52"/>
        <v>1</v>
      </c>
      <c r="AJ133" s="7" t="str">
        <f t="shared" si="53"/>
        <v>Correct</v>
      </c>
      <c r="AK133" s="7"/>
      <c r="AL133" s="120" t="str">
        <f>IFERROR(VLOOKUP(Table1[RespondentID],'All Data'!$A$3:$CO$999,87,FALSE),"unknown")</f>
        <v>Woman</v>
      </c>
      <c r="AM133" s="120">
        <f>IFERROR(VLOOKUP(Table1[RespondentID],'All Data'!$A$3:$CO$999,88,FALSE),"unknown")</f>
        <v>52</v>
      </c>
      <c r="AN133" s="120" t="str">
        <f>IFERROR(VLOOKUP(Table1[RespondentID],'All Data'!$A$3:$CO$999,89,FALSE),"unknown")</f>
        <v>Suffolk</v>
      </c>
      <c r="AO133" s="120" t="str">
        <f>IFERROR(VLOOKUP(Table1[RespondentID],'All Data'!$A$3:$CO$999,90,FALSE),"unknown")</f>
        <v>Kings Park, 11754</v>
      </c>
      <c r="AP133" s="120" t="str">
        <f>IFERROR(VLOOKUP(Table1[RespondentID],'All Data'!$A$3:$CO$999,91,FALSE),"unknown")</f>
        <v>White</v>
      </c>
      <c r="AQ133" s="120" t="str">
        <f>IFERROR(VLOOKUP(Table1[RespondentID],'All Data'!$A$3:$CO$999,92,FALSE),"unknown")</f>
        <v>Hispanic or Latino</v>
      </c>
      <c r="AR133" s="120" t="str">
        <f>IFERROR(VLOOKUP(Table1[RespondentID],'All Data'!$A$3:$CO$999,93,FALSE),"unknown")</f>
        <v>English</v>
      </c>
      <c r="AS133" s="120" t="str">
        <f>IFERROR(VLOOKUP(Table1[RespondentID],'All Data'!$A$3:$CW$999,94,FALSE),"unknown")</f>
        <v>Over $125,000</v>
      </c>
      <c r="AT133" s="120" t="str">
        <f>IFERROR(VLOOKUP(Table1[RespondentID],'All Data'!$A$3:$CW$999,95,FALSE),"unknown")</f>
        <v>Graduate school</v>
      </c>
      <c r="AU133" s="120" t="str">
        <f>IFERROR(VLOOKUP(Table1[RespondentID],'All Data'!$A$3:$CW$999,96,FALSE),"unknown")</f>
        <v>Employed for wages</v>
      </c>
      <c r="AV133" s="120" t="str">
        <f>IFERROR(VLOOKUP(Table1[RespondentID],'All Data'!$A$3:$CW$999,97,FALSE),"unknown")</f>
        <v>Yes</v>
      </c>
      <c r="AW133" s="120" t="str">
        <f>IFERROR(VLOOKUP(Table1[RespondentID],'All Data'!$A$3:$CW$999,98,FALSE),"unknown")</f>
        <v>Private/Commercial</v>
      </c>
      <c r="AX133" s="120">
        <f>IFERROR(VLOOKUP(Table1[RespondentID],'All Data'!$A$3:$CW$999,99,FALSE),"unknown")</f>
        <v>0</v>
      </c>
    </row>
    <row r="134" spans="1:50">
      <c r="A134" s="5">
        <v>18022515327</v>
      </c>
      <c r="B134" s="5"/>
      <c r="C134" s="5" t="s">
        <v>17</v>
      </c>
      <c r="D134" s="5" t="s">
        <v>18</v>
      </c>
      <c r="E134" s="5"/>
      <c r="F134" s="5"/>
      <c r="G134" s="5"/>
      <c r="H134" s="5"/>
      <c r="I134" s="5"/>
      <c r="J134" s="5"/>
      <c r="K134" s="5" t="s">
        <v>25</v>
      </c>
      <c r="L134" s="5"/>
      <c r="M134" s="5"/>
      <c r="N134" s="5"/>
      <c r="O134" s="7"/>
      <c r="P134" s="7">
        <f t="shared" si="36"/>
        <v>3</v>
      </c>
      <c r="Q134" s="8">
        <f t="shared" si="37"/>
        <v>1</v>
      </c>
      <c r="R134" s="7"/>
      <c r="S134" s="7">
        <f t="shared" si="38"/>
        <v>0</v>
      </c>
      <c r="T134" s="7">
        <f t="shared" si="39"/>
        <v>1</v>
      </c>
      <c r="U134" s="7">
        <f t="shared" si="40"/>
        <v>1</v>
      </c>
      <c r="V134" s="119">
        <f t="shared" si="41"/>
        <v>0</v>
      </c>
      <c r="W134" s="119">
        <f t="shared" si="42"/>
        <v>0</v>
      </c>
      <c r="X134" s="119">
        <f t="shared" si="43"/>
        <v>0</v>
      </c>
      <c r="Y134" s="119">
        <f t="shared" si="44"/>
        <v>0</v>
      </c>
      <c r="Z134" s="119">
        <f t="shared" si="45"/>
        <v>0</v>
      </c>
      <c r="AA134" s="119">
        <f t="shared" si="46"/>
        <v>0</v>
      </c>
      <c r="AB134" s="119">
        <f t="shared" si="47"/>
        <v>1</v>
      </c>
      <c r="AC134" s="119">
        <f t="shared" si="48"/>
        <v>0</v>
      </c>
      <c r="AD134" s="119">
        <f t="shared" si="49"/>
        <v>0</v>
      </c>
      <c r="AE134" s="119">
        <f t="shared" si="50"/>
        <v>0</v>
      </c>
      <c r="AF134" s="7"/>
      <c r="AG134" s="7"/>
      <c r="AH134" s="7">
        <f t="shared" si="51"/>
        <v>3</v>
      </c>
      <c r="AI134" s="7">
        <f t="shared" si="52"/>
        <v>3</v>
      </c>
      <c r="AJ134" s="7" t="str">
        <f t="shared" si="53"/>
        <v>Correct</v>
      </c>
      <c r="AK134" s="7"/>
      <c r="AL134" s="120" t="str">
        <f>IFERROR(VLOOKUP(Table1[RespondentID],'All Data'!$A$3:$CO$999,87,FALSE),"unknown")</f>
        <v>Woman</v>
      </c>
      <c r="AM134" s="120">
        <f>IFERROR(VLOOKUP(Table1[RespondentID],'All Data'!$A$3:$CO$999,88,FALSE),"unknown")</f>
        <v>47</v>
      </c>
      <c r="AN134" s="120" t="str">
        <f>IFERROR(VLOOKUP(Table1[RespondentID],'All Data'!$A$3:$CO$999,89,FALSE),"unknown")</f>
        <v>Suffolk</v>
      </c>
      <c r="AO134" s="120" t="str">
        <f>IFERROR(VLOOKUP(Table1[RespondentID],'All Data'!$A$3:$CO$999,90,FALSE),"unknown")</f>
        <v>Smithtown, 11787</v>
      </c>
      <c r="AP134" s="120" t="str">
        <f>IFERROR(VLOOKUP(Table1[RespondentID],'All Data'!$A$3:$CO$999,91,FALSE),"unknown")</f>
        <v>American Indian and Alaska Native</v>
      </c>
      <c r="AQ134" s="120" t="str">
        <f>IFERROR(VLOOKUP(Table1[RespondentID],'All Data'!$A$3:$CO$999,92,FALSE),"unknown")</f>
        <v>Hispanic or Latino</v>
      </c>
      <c r="AR134" s="120" t="str">
        <f>IFERROR(VLOOKUP(Table1[RespondentID],'All Data'!$A$3:$CO$999,93,FALSE),"unknown")</f>
        <v>Korean</v>
      </c>
      <c r="AS134" s="120" t="str">
        <f>IFERROR(VLOOKUP(Table1[RespondentID],'All Data'!$A$3:$CW$999,94,FALSE),"unknown")</f>
        <v>$75,000 to $125,000</v>
      </c>
      <c r="AT134" s="120" t="str">
        <f>IFERROR(VLOOKUP(Table1[RespondentID],'All Data'!$A$3:$CW$999,95,FALSE),"unknown")</f>
        <v>College graduate</v>
      </c>
      <c r="AU134" s="120" t="str">
        <f>IFERROR(VLOOKUP(Table1[RespondentID],'All Data'!$A$3:$CW$999,96,FALSE),"unknown")</f>
        <v>Employed for wages</v>
      </c>
      <c r="AV134" s="120" t="str">
        <f>IFERROR(VLOOKUP(Table1[RespondentID],'All Data'!$A$3:$CW$999,97,FALSE),"unknown")</f>
        <v>Yes</v>
      </c>
      <c r="AW134" s="120" t="str">
        <f>IFERROR(VLOOKUP(Table1[RespondentID],'All Data'!$A$3:$CW$999,98,FALSE),"unknown")</f>
        <v>Private/Commercial</v>
      </c>
      <c r="AX134" s="120" t="str">
        <f>IFERROR(VLOOKUP(Table1[RespondentID],'All Data'!$A$3:$CW$999,99,FALSE),"unknown")</f>
        <v>Yes</v>
      </c>
    </row>
    <row r="135" spans="1:50">
      <c r="A135" s="5">
        <v>18022426389</v>
      </c>
      <c r="B135" s="5"/>
      <c r="C135" s="5"/>
      <c r="D135" s="5"/>
      <c r="E135" s="5"/>
      <c r="F135" s="5"/>
      <c r="G135" s="5"/>
      <c r="H135" s="5" t="s">
        <v>22</v>
      </c>
      <c r="I135" s="5" t="s">
        <v>23</v>
      </c>
      <c r="J135" s="5"/>
      <c r="K135" s="5" t="s">
        <v>25</v>
      </c>
      <c r="L135" s="5"/>
      <c r="M135" s="5"/>
      <c r="N135" s="5"/>
      <c r="O135" s="7"/>
      <c r="P135" s="7">
        <f t="shared" si="36"/>
        <v>3</v>
      </c>
      <c r="Q135" s="9">
        <f t="shared" si="37"/>
        <v>1</v>
      </c>
      <c r="R135" s="7"/>
      <c r="S135" s="7">
        <f t="shared" si="38"/>
        <v>0</v>
      </c>
      <c r="T135" s="7">
        <f t="shared" si="39"/>
        <v>0</v>
      </c>
      <c r="U135" s="7">
        <f t="shared" si="40"/>
        <v>0</v>
      </c>
      <c r="V135" s="119">
        <f t="shared" si="41"/>
        <v>0</v>
      </c>
      <c r="W135" s="119">
        <f t="shared" si="42"/>
        <v>0</v>
      </c>
      <c r="X135" s="119">
        <f t="shared" si="43"/>
        <v>0</v>
      </c>
      <c r="Y135" s="119">
        <f t="shared" si="44"/>
        <v>1</v>
      </c>
      <c r="Z135" s="119">
        <f t="shared" si="45"/>
        <v>1</v>
      </c>
      <c r="AA135" s="119">
        <f t="shared" si="46"/>
        <v>0</v>
      </c>
      <c r="AB135" s="119">
        <f t="shared" si="47"/>
        <v>1</v>
      </c>
      <c r="AC135" s="119">
        <f t="shared" si="48"/>
        <v>0</v>
      </c>
      <c r="AD135" s="119">
        <f t="shared" si="49"/>
        <v>0</v>
      </c>
      <c r="AE135" s="119">
        <f t="shared" si="50"/>
        <v>0</v>
      </c>
      <c r="AF135" s="7"/>
      <c r="AG135" s="7"/>
      <c r="AH135" s="7">
        <f t="shared" si="51"/>
        <v>3</v>
      </c>
      <c r="AI135" s="7">
        <f t="shared" si="52"/>
        <v>3</v>
      </c>
      <c r="AJ135" s="7" t="str">
        <f t="shared" si="53"/>
        <v>Correct</v>
      </c>
      <c r="AK135" s="7"/>
      <c r="AL135" s="120" t="str">
        <f>IFERROR(VLOOKUP(Table1[RespondentID],'All Data'!$A$3:$CO$999,87,FALSE),"unknown")</f>
        <v>Man</v>
      </c>
      <c r="AM135" s="120">
        <f>IFERROR(VLOOKUP(Table1[RespondentID],'All Data'!$A$3:$CO$999,88,FALSE),"unknown")</f>
        <v>48</v>
      </c>
      <c r="AN135" s="120" t="str">
        <f>IFERROR(VLOOKUP(Table1[RespondentID],'All Data'!$A$3:$CO$999,89,FALSE),"unknown")</f>
        <v>Suffolk</v>
      </c>
      <c r="AO135" s="120" t="str">
        <f>IFERROR(VLOOKUP(Table1[RespondentID],'All Data'!$A$3:$CO$999,90,FALSE),"unknown")</f>
        <v>Kings Park, 11754</v>
      </c>
      <c r="AP135" s="120" t="str">
        <f>IFERROR(VLOOKUP(Table1[RespondentID],'All Data'!$A$3:$CO$999,91,FALSE),"unknown")</f>
        <v>White</v>
      </c>
      <c r="AQ135" s="120" t="str">
        <f>IFERROR(VLOOKUP(Table1[RespondentID],'All Data'!$A$3:$CO$999,92,FALSE),"unknown")</f>
        <v>Hispanic or Latino</v>
      </c>
      <c r="AR135" s="120" t="str">
        <f>IFERROR(VLOOKUP(Table1[RespondentID],'All Data'!$A$3:$CO$999,93,FALSE),"unknown")</f>
        <v>English</v>
      </c>
      <c r="AS135" s="120" t="str">
        <f>IFERROR(VLOOKUP(Table1[RespondentID],'All Data'!$A$3:$CW$999,94,FALSE),"unknown")</f>
        <v>Over $125,000</v>
      </c>
      <c r="AT135" s="120" t="str">
        <f>IFERROR(VLOOKUP(Table1[RespondentID],'All Data'!$A$3:$CW$999,95,FALSE),"unknown")</f>
        <v>Other (please specify)</v>
      </c>
      <c r="AU135" s="120" t="str">
        <f>IFERROR(VLOOKUP(Table1[RespondentID],'All Data'!$A$3:$CW$999,96,FALSE),"unknown")</f>
        <v>Employed for wages</v>
      </c>
      <c r="AV135" s="120" t="str">
        <f>IFERROR(VLOOKUP(Table1[RespondentID],'All Data'!$A$3:$CW$999,97,FALSE),"unknown")</f>
        <v>Yes</v>
      </c>
      <c r="AW135" s="120" t="str">
        <f>IFERROR(VLOOKUP(Table1[RespondentID],'All Data'!$A$3:$CW$999,98,FALSE),"unknown")</f>
        <v>Private/Commercial</v>
      </c>
      <c r="AX135" s="120" t="str">
        <f>IFERROR(VLOOKUP(Table1[RespondentID],'All Data'!$A$3:$CW$999,99,FALSE),"unknown")</f>
        <v>Yes</v>
      </c>
    </row>
    <row r="136" spans="1:50">
      <c r="A136" s="5">
        <v>18022425382</v>
      </c>
      <c r="B136" s="5"/>
      <c r="C136" s="5"/>
      <c r="D136" s="5" t="s">
        <v>18</v>
      </c>
      <c r="E136" s="5"/>
      <c r="F136" s="5"/>
      <c r="G136" s="5"/>
      <c r="H136" s="5"/>
      <c r="I136" s="5"/>
      <c r="J136" s="5"/>
      <c r="K136" s="5"/>
      <c r="L136" s="5"/>
      <c r="M136" s="5"/>
      <c r="N136" s="5"/>
      <c r="O136" s="7"/>
      <c r="P136" s="7">
        <f t="shared" si="36"/>
        <v>1</v>
      </c>
      <c r="Q136" s="8">
        <f t="shared" si="37"/>
        <v>3</v>
      </c>
      <c r="R136" s="7"/>
      <c r="S136" s="7">
        <f t="shared" si="38"/>
        <v>0</v>
      </c>
      <c r="T136" s="7">
        <f t="shared" si="39"/>
        <v>0</v>
      </c>
      <c r="U136" s="7">
        <f t="shared" si="40"/>
        <v>1</v>
      </c>
      <c r="V136" s="119">
        <f t="shared" si="41"/>
        <v>0</v>
      </c>
      <c r="W136" s="119">
        <f t="shared" si="42"/>
        <v>0</v>
      </c>
      <c r="X136" s="119">
        <f t="shared" si="43"/>
        <v>0</v>
      </c>
      <c r="Y136" s="119">
        <f t="shared" si="44"/>
        <v>0</v>
      </c>
      <c r="Z136" s="119">
        <f t="shared" si="45"/>
        <v>0</v>
      </c>
      <c r="AA136" s="119">
        <f t="shared" si="46"/>
        <v>0</v>
      </c>
      <c r="AB136" s="119">
        <f t="shared" si="47"/>
        <v>0</v>
      </c>
      <c r="AC136" s="119">
        <f t="shared" si="48"/>
        <v>0</v>
      </c>
      <c r="AD136" s="119">
        <f t="shared" si="49"/>
        <v>0</v>
      </c>
      <c r="AE136" s="119">
        <f t="shared" si="50"/>
        <v>0</v>
      </c>
      <c r="AF136" s="7"/>
      <c r="AG136" s="7"/>
      <c r="AH136" s="7">
        <f t="shared" si="51"/>
        <v>1</v>
      </c>
      <c r="AI136" s="7">
        <f t="shared" si="52"/>
        <v>1</v>
      </c>
      <c r="AJ136" s="7" t="str">
        <f t="shared" si="53"/>
        <v>Correct</v>
      </c>
      <c r="AK136" s="7"/>
      <c r="AL136" s="120" t="str">
        <f>IFERROR(VLOOKUP(Table1[RespondentID],'All Data'!$A$3:$CO$999,87,FALSE),"unknown")</f>
        <v>Woman</v>
      </c>
      <c r="AM136" s="120">
        <f>IFERROR(VLOOKUP(Table1[RespondentID],'All Data'!$A$3:$CO$999,88,FALSE),"unknown")</f>
        <v>50</v>
      </c>
      <c r="AN136" s="120" t="str">
        <f>IFERROR(VLOOKUP(Table1[RespondentID],'All Data'!$A$3:$CO$999,89,FALSE),"unknown")</f>
        <v>Suffolk</v>
      </c>
      <c r="AO136" s="120" t="str">
        <f>IFERROR(VLOOKUP(Table1[RespondentID],'All Data'!$A$3:$CO$999,90,FALSE),"unknown")</f>
        <v>Hauppauge, 11788</v>
      </c>
      <c r="AP136" s="120" t="str">
        <f>IFERROR(VLOOKUP(Table1[RespondentID],'All Data'!$A$3:$CO$999,91,FALSE),"unknown")</f>
        <v>White</v>
      </c>
      <c r="AQ136" s="120" t="str">
        <f>IFERROR(VLOOKUP(Table1[RespondentID],'All Data'!$A$3:$CO$999,92,FALSE),"unknown")</f>
        <v>Hispanic or Latino</v>
      </c>
      <c r="AR136" s="120" t="str">
        <f>IFERROR(VLOOKUP(Table1[RespondentID],'All Data'!$A$3:$CO$999,93,FALSE),"unknown")</f>
        <v>English</v>
      </c>
      <c r="AS136" s="120" t="str">
        <f>IFERROR(VLOOKUP(Table1[RespondentID],'All Data'!$A$3:$CW$999,94,FALSE),"unknown")</f>
        <v>Over $125,000</v>
      </c>
      <c r="AT136" s="120" t="str">
        <f>IFERROR(VLOOKUP(Table1[RespondentID],'All Data'!$A$3:$CW$999,95,FALSE),"unknown")</f>
        <v>College graduate</v>
      </c>
      <c r="AU136" s="120" t="str">
        <f>IFERROR(VLOOKUP(Table1[RespondentID],'All Data'!$A$3:$CW$999,96,FALSE),"unknown")</f>
        <v>Employed for wages</v>
      </c>
      <c r="AV136" s="120" t="str">
        <f>IFERROR(VLOOKUP(Table1[RespondentID],'All Data'!$A$3:$CW$999,97,FALSE),"unknown")</f>
        <v>Yes</v>
      </c>
      <c r="AW136" s="120" t="str">
        <f>IFERROR(VLOOKUP(Table1[RespondentID],'All Data'!$A$3:$CW$999,98,FALSE),"unknown")</f>
        <v>Private/Commercial</v>
      </c>
      <c r="AX136" s="120" t="str">
        <f>IFERROR(VLOOKUP(Table1[RespondentID],'All Data'!$A$3:$CW$999,99,FALSE),"unknown")</f>
        <v>Yes</v>
      </c>
    </row>
    <row r="137" spans="1:50">
      <c r="A137" s="5">
        <v>18022420665</v>
      </c>
      <c r="B137" s="5"/>
      <c r="C137" s="5" t="s">
        <v>17</v>
      </c>
      <c r="D137" s="5"/>
      <c r="E137" s="5"/>
      <c r="F137" s="5"/>
      <c r="G137" s="5"/>
      <c r="H137" s="5"/>
      <c r="I137" s="5"/>
      <c r="J137" s="5" t="s">
        <v>24</v>
      </c>
      <c r="K137" s="5"/>
      <c r="L137" s="5" t="s">
        <v>26</v>
      </c>
      <c r="M137" s="5"/>
      <c r="N137" s="5"/>
      <c r="O137" s="7"/>
      <c r="P137" s="7">
        <f t="shared" si="36"/>
        <v>3</v>
      </c>
      <c r="Q137" s="9">
        <f t="shared" si="37"/>
        <v>1</v>
      </c>
      <c r="R137" s="7"/>
      <c r="S137" s="7">
        <f t="shared" si="38"/>
        <v>0</v>
      </c>
      <c r="T137" s="7">
        <f t="shared" si="39"/>
        <v>1</v>
      </c>
      <c r="U137" s="7">
        <f t="shared" si="40"/>
        <v>0</v>
      </c>
      <c r="V137" s="119">
        <f t="shared" si="41"/>
        <v>0</v>
      </c>
      <c r="W137" s="119">
        <f t="shared" si="42"/>
        <v>0</v>
      </c>
      <c r="X137" s="119">
        <f t="shared" si="43"/>
        <v>0</v>
      </c>
      <c r="Y137" s="119">
        <f t="shared" si="44"/>
        <v>0</v>
      </c>
      <c r="Z137" s="119">
        <f t="shared" si="45"/>
        <v>0</v>
      </c>
      <c r="AA137" s="119">
        <f t="shared" si="46"/>
        <v>1</v>
      </c>
      <c r="AB137" s="119">
        <f t="shared" si="47"/>
        <v>0</v>
      </c>
      <c r="AC137" s="119">
        <f t="shared" si="48"/>
        <v>1</v>
      </c>
      <c r="AD137" s="119">
        <f t="shared" si="49"/>
        <v>0</v>
      </c>
      <c r="AE137" s="119">
        <f t="shared" si="50"/>
        <v>0</v>
      </c>
      <c r="AF137" s="7"/>
      <c r="AG137" s="7"/>
      <c r="AH137" s="7">
        <f t="shared" si="51"/>
        <v>3</v>
      </c>
      <c r="AI137" s="7">
        <f t="shared" si="52"/>
        <v>3</v>
      </c>
      <c r="AJ137" s="7" t="str">
        <f t="shared" si="53"/>
        <v>Correct</v>
      </c>
      <c r="AK137" s="7"/>
      <c r="AL137" s="120" t="str">
        <f>IFERROR(VLOOKUP(Table1[RespondentID],'All Data'!$A$3:$CO$999,87,FALSE),"unknown")</f>
        <v>Man</v>
      </c>
      <c r="AM137" s="120">
        <f>IFERROR(VLOOKUP(Table1[RespondentID],'All Data'!$A$3:$CO$999,88,FALSE),"unknown")</f>
        <v>55</v>
      </c>
      <c r="AN137" s="120" t="str">
        <f>IFERROR(VLOOKUP(Table1[RespondentID],'All Data'!$A$3:$CO$999,89,FALSE),"unknown")</f>
        <v>Suffolk</v>
      </c>
      <c r="AO137" s="120" t="str">
        <f>IFERROR(VLOOKUP(Table1[RespondentID],'All Data'!$A$3:$CO$999,90,FALSE),"unknown")</f>
        <v>Commack, 11725</v>
      </c>
      <c r="AP137" s="120" t="str">
        <f>IFERROR(VLOOKUP(Table1[RespondentID],'All Data'!$A$3:$CO$999,91,FALSE),"unknown")</f>
        <v>White</v>
      </c>
      <c r="AQ137" s="120" t="str">
        <f>IFERROR(VLOOKUP(Table1[RespondentID],'All Data'!$A$3:$CO$999,92,FALSE),"unknown")</f>
        <v>Hispanic or Latino</v>
      </c>
      <c r="AR137" s="120" t="str">
        <f>IFERROR(VLOOKUP(Table1[RespondentID],'All Data'!$A$3:$CO$999,93,FALSE),"unknown")</f>
        <v>English</v>
      </c>
      <c r="AS137" s="120" t="str">
        <f>IFERROR(VLOOKUP(Table1[RespondentID],'All Data'!$A$3:$CW$999,94,FALSE),"unknown")</f>
        <v>$50,000 to $74,999</v>
      </c>
      <c r="AT137" s="120" t="str">
        <f>IFERROR(VLOOKUP(Table1[RespondentID],'All Data'!$A$3:$CW$999,95,FALSE),"unknown")</f>
        <v>College graduate</v>
      </c>
      <c r="AU137" s="120" t="str">
        <f>IFERROR(VLOOKUP(Table1[RespondentID],'All Data'!$A$3:$CW$999,96,FALSE),"unknown")</f>
        <v>Employed for wages</v>
      </c>
      <c r="AV137" s="120" t="str">
        <f>IFERROR(VLOOKUP(Table1[RespondentID],'All Data'!$A$3:$CW$999,97,FALSE),"unknown")</f>
        <v>Yes</v>
      </c>
      <c r="AW137" s="120" t="str">
        <f>IFERROR(VLOOKUP(Table1[RespondentID],'All Data'!$A$3:$CW$999,98,FALSE),"unknown")</f>
        <v>Private/Commercial</v>
      </c>
      <c r="AX137" s="120" t="str">
        <f>IFERROR(VLOOKUP(Table1[RespondentID],'All Data'!$A$3:$CW$999,99,FALSE),"unknown")</f>
        <v>Yes</v>
      </c>
    </row>
    <row r="138" spans="1:50">
      <c r="A138" s="5">
        <v>18022420608</v>
      </c>
      <c r="B138" s="5"/>
      <c r="C138" s="5"/>
      <c r="D138" s="5" t="s">
        <v>18</v>
      </c>
      <c r="E138" s="5"/>
      <c r="F138" s="5"/>
      <c r="G138" s="5"/>
      <c r="H138" s="5"/>
      <c r="I138" s="5" t="s">
        <v>23</v>
      </c>
      <c r="J138" s="5" t="s">
        <v>24</v>
      </c>
      <c r="K138" s="5"/>
      <c r="L138" s="5"/>
      <c r="M138" s="5"/>
      <c r="N138" s="5"/>
      <c r="O138" s="7"/>
      <c r="P138" s="7">
        <f t="shared" si="36"/>
        <v>3</v>
      </c>
      <c r="Q138" s="8">
        <f t="shared" si="37"/>
        <v>1</v>
      </c>
      <c r="R138" s="7"/>
      <c r="S138" s="7">
        <f t="shared" si="38"/>
        <v>0</v>
      </c>
      <c r="T138" s="7">
        <f t="shared" si="39"/>
        <v>0</v>
      </c>
      <c r="U138" s="7">
        <f t="shared" si="40"/>
        <v>1</v>
      </c>
      <c r="V138" s="119">
        <f t="shared" si="41"/>
        <v>0</v>
      </c>
      <c r="W138" s="119">
        <f t="shared" si="42"/>
        <v>0</v>
      </c>
      <c r="X138" s="119">
        <f t="shared" si="43"/>
        <v>0</v>
      </c>
      <c r="Y138" s="119">
        <f t="shared" si="44"/>
        <v>0</v>
      </c>
      <c r="Z138" s="119">
        <f t="shared" si="45"/>
        <v>1</v>
      </c>
      <c r="AA138" s="119">
        <f t="shared" si="46"/>
        <v>1</v>
      </c>
      <c r="AB138" s="119">
        <f t="shared" si="47"/>
        <v>0</v>
      </c>
      <c r="AC138" s="119">
        <f t="shared" si="48"/>
        <v>0</v>
      </c>
      <c r="AD138" s="119">
        <f t="shared" si="49"/>
        <v>0</v>
      </c>
      <c r="AE138" s="119">
        <f t="shared" si="50"/>
        <v>0</v>
      </c>
      <c r="AF138" s="7"/>
      <c r="AG138" s="7"/>
      <c r="AH138" s="7">
        <f t="shared" si="51"/>
        <v>3</v>
      </c>
      <c r="AI138" s="7">
        <f t="shared" si="52"/>
        <v>3</v>
      </c>
      <c r="AJ138" s="7" t="str">
        <f t="shared" si="53"/>
        <v>Correct</v>
      </c>
      <c r="AK138" s="7"/>
      <c r="AL138" s="120" t="str">
        <f>IFERROR(VLOOKUP(Table1[RespondentID],'All Data'!$A$3:$CO$999,87,FALSE),"unknown")</f>
        <v>Man</v>
      </c>
      <c r="AM138" s="120">
        <f>IFERROR(VLOOKUP(Table1[RespondentID],'All Data'!$A$3:$CO$999,88,FALSE),"unknown")</f>
        <v>81</v>
      </c>
      <c r="AN138" s="120" t="str">
        <f>IFERROR(VLOOKUP(Table1[RespondentID],'All Data'!$A$3:$CO$999,89,FALSE),"unknown")</f>
        <v>Suffolk</v>
      </c>
      <c r="AO138" s="120" t="str">
        <f>IFERROR(VLOOKUP(Table1[RespondentID],'All Data'!$A$3:$CO$999,90,FALSE),"unknown")</f>
        <v>Ridge, 11961</v>
      </c>
      <c r="AP138" s="120" t="str">
        <f>IFERROR(VLOOKUP(Table1[RespondentID],'All Data'!$A$3:$CO$999,91,FALSE),"unknown")</f>
        <v>White</v>
      </c>
      <c r="AQ138" s="120" t="str">
        <f>IFERROR(VLOOKUP(Table1[RespondentID],'All Data'!$A$3:$CO$999,92,FALSE),"unknown")</f>
        <v>Not Hispanic or Latino</v>
      </c>
      <c r="AR138" s="120" t="str">
        <f>IFERROR(VLOOKUP(Table1[RespondentID],'All Data'!$A$3:$CO$999,93,FALSE),"unknown")</f>
        <v>English, Spanish</v>
      </c>
      <c r="AS138" s="120" t="str">
        <f>IFERROR(VLOOKUP(Table1[RespondentID],'All Data'!$A$3:$CW$999,94,FALSE),"unknown")</f>
        <v>Over $125,000</v>
      </c>
      <c r="AT138" s="120" t="str">
        <f>IFERROR(VLOOKUP(Table1[RespondentID],'All Data'!$A$3:$CW$999,95,FALSE),"unknown")</f>
        <v>College graduate</v>
      </c>
      <c r="AU138" s="120" t="str">
        <f>IFERROR(VLOOKUP(Table1[RespondentID],'All Data'!$A$3:$CW$999,96,FALSE),"unknown")</f>
        <v>Retired</v>
      </c>
      <c r="AV138" s="120" t="str">
        <f>IFERROR(VLOOKUP(Table1[RespondentID],'All Data'!$A$3:$CW$999,97,FALSE),"unknown")</f>
        <v>Yes</v>
      </c>
      <c r="AW138" s="120" t="str">
        <f>IFERROR(VLOOKUP(Table1[RespondentID],'All Data'!$A$3:$CW$999,98,FALSE),"unknown")</f>
        <v>Medicare</v>
      </c>
      <c r="AX138" s="120" t="str">
        <f>IFERROR(VLOOKUP(Table1[RespondentID],'All Data'!$A$3:$CW$999,99,FALSE),"unknown")</f>
        <v>Yes</v>
      </c>
    </row>
    <row r="139" spans="1:50">
      <c r="A139" s="5">
        <v>18022392509</v>
      </c>
      <c r="B139" s="5"/>
      <c r="C139" s="5"/>
      <c r="D139" s="5" t="s">
        <v>18</v>
      </c>
      <c r="E139" s="5"/>
      <c r="F139" s="5"/>
      <c r="G139" s="5"/>
      <c r="H139" s="5"/>
      <c r="I139" s="5"/>
      <c r="J139" s="5" t="s">
        <v>24</v>
      </c>
      <c r="K139" s="5"/>
      <c r="L139" s="5"/>
      <c r="M139" s="5"/>
      <c r="N139" s="5" t="s">
        <v>28</v>
      </c>
      <c r="O139" s="7"/>
      <c r="P139" s="7">
        <f t="shared" si="36"/>
        <v>3</v>
      </c>
      <c r="Q139" s="9">
        <f t="shared" si="37"/>
        <v>1</v>
      </c>
      <c r="R139" s="7"/>
      <c r="S139" s="7">
        <f t="shared" si="38"/>
        <v>0</v>
      </c>
      <c r="T139" s="7">
        <f t="shared" si="39"/>
        <v>0</v>
      </c>
      <c r="U139" s="7">
        <f t="shared" si="40"/>
        <v>1</v>
      </c>
      <c r="V139" s="119">
        <f t="shared" si="41"/>
        <v>0</v>
      </c>
      <c r="W139" s="119">
        <f t="shared" si="42"/>
        <v>0</v>
      </c>
      <c r="X139" s="119">
        <f t="shared" si="43"/>
        <v>0</v>
      </c>
      <c r="Y139" s="119">
        <f t="shared" si="44"/>
        <v>0</v>
      </c>
      <c r="Z139" s="119">
        <f t="shared" si="45"/>
        <v>0</v>
      </c>
      <c r="AA139" s="119">
        <f t="shared" si="46"/>
        <v>1</v>
      </c>
      <c r="AB139" s="119">
        <f t="shared" si="47"/>
        <v>0</v>
      </c>
      <c r="AC139" s="119">
        <f t="shared" si="48"/>
        <v>0</v>
      </c>
      <c r="AD139" s="119">
        <f t="shared" si="49"/>
        <v>0</v>
      </c>
      <c r="AE139" s="119">
        <f t="shared" si="50"/>
        <v>1</v>
      </c>
      <c r="AF139" s="7"/>
      <c r="AG139" s="7"/>
      <c r="AH139" s="7">
        <f t="shared" si="51"/>
        <v>3</v>
      </c>
      <c r="AI139" s="7">
        <f t="shared" si="52"/>
        <v>3</v>
      </c>
      <c r="AJ139" s="7" t="str">
        <f t="shared" si="53"/>
        <v>Correct</v>
      </c>
      <c r="AK139" s="7"/>
      <c r="AL139" s="120" t="str">
        <f>IFERROR(VLOOKUP(Table1[RespondentID],'All Data'!$A$3:$CO$999,87,FALSE),"unknown")</f>
        <v>Woman</v>
      </c>
      <c r="AM139" s="120">
        <f>IFERROR(VLOOKUP(Table1[RespondentID],'All Data'!$A$3:$CO$999,88,FALSE),"unknown")</f>
        <v>64</v>
      </c>
      <c r="AN139" s="120" t="str">
        <f>IFERROR(VLOOKUP(Table1[RespondentID],'All Data'!$A$3:$CO$999,89,FALSE),"unknown")</f>
        <v>Suffolk</v>
      </c>
      <c r="AO139" s="120" t="str">
        <f>IFERROR(VLOOKUP(Table1[RespondentID],'All Data'!$A$3:$CO$999,90,FALSE),"unknown")</f>
        <v>West Sayville, 11796</v>
      </c>
      <c r="AP139" s="120" t="str">
        <f>IFERROR(VLOOKUP(Table1[RespondentID],'All Data'!$A$3:$CO$999,91,FALSE),"unknown")</f>
        <v>White</v>
      </c>
      <c r="AQ139" s="120" t="str">
        <f>IFERROR(VLOOKUP(Table1[RespondentID],'All Data'!$A$3:$CO$999,92,FALSE),"unknown")</f>
        <v>Hispanic or Latino</v>
      </c>
      <c r="AR139" s="120" t="str">
        <f>IFERROR(VLOOKUP(Table1[RespondentID],'All Data'!$A$3:$CO$999,93,FALSE),"unknown")</f>
        <v>English</v>
      </c>
      <c r="AS139" s="120" t="str">
        <f>IFERROR(VLOOKUP(Table1[RespondentID],'All Data'!$A$3:$CW$999,94,FALSE),"unknown")</f>
        <v>$75,000 to $125,000</v>
      </c>
      <c r="AT139" s="120" t="str">
        <f>IFERROR(VLOOKUP(Table1[RespondentID],'All Data'!$A$3:$CW$999,95,FALSE),"unknown")</f>
        <v>High school graduate</v>
      </c>
      <c r="AU139" s="120" t="str">
        <f>IFERROR(VLOOKUP(Table1[RespondentID],'All Data'!$A$3:$CW$999,96,FALSE),"unknown")</f>
        <v>Employed for wages</v>
      </c>
      <c r="AV139" s="120" t="str">
        <f>IFERROR(VLOOKUP(Table1[RespondentID],'All Data'!$A$3:$CW$999,97,FALSE),"unknown")</f>
        <v>Yes</v>
      </c>
      <c r="AW139" s="120" t="str">
        <f>IFERROR(VLOOKUP(Table1[RespondentID],'All Data'!$A$3:$CW$999,98,FALSE),"unknown")</f>
        <v>Private/Commercial</v>
      </c>
      <c r="AX139" s="120" t="str">
        <f>IFERROR(VLOOKUP(Table1[RespondentID],'All Data'!$A$3:$CW$999,99,FALSE),"unknown")</f>
        <v>Yes</v>
      </c>
    </row>
    <row r="140" spans="1:50">
      <c r="A140" s="5">
        <v>18022346650</v>
      </c>
      <c r="B140" s="5" t="s">
        <v>16</v>
      </c>
      <c r="C140" s="5"/>
      <c r="D140" s="5"/>
      <c r="E140" s="5"/>
      <c r="F140" s="5"/>
      <c r="G140" s="5"/>
      <c r="H140" s="5"/>
      <c r="I140" s="5"/>
      <c r="J140" s="5"/>
      <c r="K140" s="5"/>
      <c r="L140" s="5"/>
      <c r="M140" s="5"/>
      <c r="N140" s="5"/>
      <c r="O140" s="7"/>
      <c r="P140" s="7">
        <f t="shared" si="36"/>
        <v>1</v>
      </c>
      <c r="Q140" s="8">
        <f t="shared" si="37"/>
        <v>3</v>
      </c>
      <c r="R140" s="7"/>
      <c r="S140" s="7">
        <f t="shared" si="38"/>
        <v>1</v>
      </c>
      <c r="T140" s="7">
        <f t="shared" si="39"/>
        <v>0</v>
      </c>
      <c r="U140" s="7">
        <f t="shared" si="40"/>
        <v>0</v>
      </c>
      <c r="V140" s="119">
        <f t="shared" si="41"/>
        <v>0</v>
      </c>
      <c r="W140" s="119">
        <f t="shared" si="42"/>
        <v>0</v>
      </c>
      <c r="X140" s="119">
        <f t="shared" si="43"/>
        <v>0</v>
      </c>
      <c r="Y140" s="119">
        <f t="shared" si="44"/>
        <v>0</v>
      </c>
      <c r="Z140" s="119">
        <f t="shared" si="45"/>
        <v>0</v>
      </c>
      <c r="AA140" s="119">
        <f t="shared" si="46"/>
        <v>0</v>
      </c>
      <c r="AB140" s="119">
        <f t="shared" si="47"/>
        <v>0</v>
      </c>
      <c r="AC140" s="119">
        <f t="shared" si="48"/>
        <v>0</v>
      </c>
      <c r="AD140" s="119">
        <f t="shared" si="49"/>
        <v>0</v>
      </c>
      <c r="AE140" s="119">
        <f t="shared" si="50"/>
        <v>0</v>
      </c>
      <c r="AF140" s="7"/>
      <c r="AG140" s="7"/>
      <c r="AH140" s="7">
        <f t="shared" si="51"/>
        <v>1</v>
      </c>
      <c r="AI140" s="7">
        <f t="shared" si="52"/>
        <v>1</v>
      </c>
      <c r="AJ140" s="7" t="str">
        <f t="shared" si="53"/>
        <v>Correct</v>
      </c>
      <c r="AK140" s="7"/>
      <c r="AL140" s="120" t="str">
        <f>IFERROR(VLOOKUP(Table1[RespondentID],'All Data'!$A$3:$CO$999,87,FALSE),"unknown")</f>
        <v>Man</v>
      </c>
      <c r="AM140" s="120">
        <f>IFERROR(VLOOKUP(Table1[RespondentID],'All Data'!$A$3:$CO$999,88,FALSE),"unknown")</f>
        <v>37</v>
      </c>
      <c r="AN140" s="120" t="str">
        <f>IFERROR(VLOOKUP(Table1[RespondentID],'All Data'!$A$3:$CO$999,89,FALSE),"unknown")</f>
        <v>Suffolk</v>
      </c>
      <c r="AO140" s="120" t="str">
        <f>IFERROR(VLOOKUP(Table1[RespondentID],'All Data'!$A$3:$CO$999,90,FALSE),"unknown")</f>
        <v>Lake Grove, 11755</v>
      </c>
      <c r="AP140" s="120" t="str">
        <f>IFERROR(VLOOKUP(Table1[RespondentID],'All Data'!$A$3:$CO$999,91,FALSE),"unknown")</f>
        <v>Other (please specify)</v>
      </c>
      <c r="AQ140" s="120" t="str">
        <f>IFERROR(VLOOKUP(Table1[RespondentID],'All Data'!$A$3:$CO$999,92,FALSE),"unknown")</f>
        <v>Not Hispanic or Latino</v>
      </c>
      <c r="AR140" s="120" t="str">
        <f>IFERROR(VLOOKUP(Table1[RespondentID],'All Data'!$A$3:$CO$999,93,FALSE),"unknown")</f>
        <v>English, Spanish</v>
      </c>
      <c r="AS140" s="120" t="str">
        <f>IFERROR(VLOOKUP(Table1[RespondentID],'All Data'!$A$3:$CW$999,94,FALSE),"unknown")</f>
        <v>Over $125,000</v>
      </c>
      <c r="AT140" s="120">
        <f>IFERROR(VLOOKUP(Table1[RespondentID],'All Data'!$A$3:$CW$999,95,FALSE),"unknown")</f>
        <v>0</v>
      </c>
      <c r="AU140" s="120" t="str">
        <f>IFERROR(VLOOKUP(Table1[RespondentID],'All Data'!$A$3:$CW$999,96,FALSE),"unknown")</f>
        <v>Employed for wages</v>
      </c>
      <c r="AV140" s="120" t="str">
        <f>IFERROR(VLOOKUP(Table1[RespondentID],'All Data'!$A$3:$CW$999,97,FALSE),"unknown")</f>
        <v>Yes</v>
      </c>
      <c r="AW140" s="120" t="str">
        <f>IFERROR(VLOOKUP(Table1[RespondentID],'All Data'!$A$3:$CW$999,98,FALSE),"unknown")</f>
        <v>Private/Commercial</v>
      </c>
      <c r="AX140" s="120" t="str">
        <f>IFERROR(VLOOKUP(Table1[RespondentID],'All Data'!$A$3:$CW$999,99,FALSE),"unknown")</f>
        <v>Yes</v>
      </c>
    </row>
    <row r="141" spans="1:50">
      <c r="A141" s="5">
        <v>18022301049</v>
      </c>
      <c r="B141" s="5"/>
      <c r="C141" s="5"/>
      <c r="D141" s="5"/>
      <c r="E141" s="5" t="s">
        <v>19</v>
      </c>
      <c r="F141" s="5"/>
      <c r="G141" s="5"/>
      <c r="H141" s="5"/>
      <c r="I141" s="5" t="s">
        <v>23</v>
      </c>
      <c r="J141" s="5"/>
      <c r="K141" s="5" t="s">
        <v>25</v>
      </c>
      <c r="L141" s="5"/>
      <c r="M141" s="5"/>
      <c r="N141" s="5"/>
      <c r="O141" s="7"/>
      <c r="P141" s="7">
        <f t="shared" si="36"/>
        <v>3</v>
      </c>
      <c r="Q141" s="9">
        <f t="shared" si="37"/>
        <v>1</v>
      </c>
      <c r="R141" s="7"/>
      <c r="S141" s="7">
        <f t="shared" si="38"/>
        <v>0</v>
      </c>
      <c r="T141" s="7">
        <f t="shared" si="39"/>
        <v>0</v>
      </c>
      <c r="U141" s="7">
        <f t="shared" si="40"/>
        <v>0</v>
      </c>
      <c r="V141" s="119">
        <f t="shared" si="41"/>
        <v>1</v>
      </c>
      <c r="W141" s="119">
        <f t="shared" si="42"/>
        <v>0</v>
      </c>
      <c r="X141" s="119">
        <f t="shared" si="43"/>
        <v>0</v>
      </c>
      <c r="Y141" s="119">
        <f t="shared" si="44"/>
        <v>0</v>
      </c>
      <c r="Z141" s="119">
        <f t="shared" si="45"/>
        <v>1</v>
      </c>
      <c r="AA141" s="119">
        <f t="shared" si="46"/>
        <v>0</v>
      </c>
      <c r="AB141" s="119">
        <f t="shared" si="47"/>
        <v>1</v>
      </c>
      <c r="AC141" s="119">
        <f t="shared" si="48"/>
        <v>0</v>
      </c>
      <c r="AD141" s="119">
        <f t="shared" si="49"/>
        <v>0</v>
      </c>
      <c r="AE141" s="119">
        <f t="shared" si="50"/>
        <v>0</v>
      </c>
      <c r="AF141" s="7"/>
      <c r="AG141" s="7"/>
      <c r="AH141" s="7">
        <f t="shared" si="51"/>
        <v>3</v>
      </c>
      <c r="AI141" s="7">
        <f t="shared" si="52"/>
        <v>3</v>
      </c>
      <c r="AJ141" s="7" t="str">
        <f t="shared" si="53"/>
        <v>Correct</v>
      </c>
      <c r="AK141" s="7"/>
      <c r="AL141" s="120" t="str">
        <f>IFERROR(VLOOKUP(Table1[RespondentID],'All Data'!$A$3:$CO$999,87,FALSE),"unknown")</f>
        <v>Man</v>
      </c>
      <c r="AM141" s="120">
        <f>IFERROR(VLOOKUP(Table1[RespondentID],'All Data'!$A$3:$CO$999,88,FALSE),"unknown")</f>
        <v>16</v>
      </c>
      <c r="AN141" s="120" t="str">
        <f>IFERROR(VLOOKUP(Table1[RespondentID],'All Data'!$A$3:$CO$999,89,FALSE),"unknown")</f>
        <v>Suffolk</v>
      </c>
      <c r="AO141" s="120" t="str">
        <f>IFERROR(VLOOKUP(Table1[RespondentID],'All Data'!$A$3:$CO$999,90,FALSE),"unknown")</f>
        <v>Dix Hills, 11746</v>
      </c>
      <c r="AP141" s="120" t="str">
        <f>IFERROR(VLOOKUP(Table1[RespondentID],'All Data'!$A$3:$CO$999,91,FALSE),"unknown")</f>
        <v>White</v>
      </c>
      <c r="AQ141" s="120" t="str">
        <f>IFERROR(VLOOKUP(Table1[RespondentID],'All Data'!$A$3:$CO$999,92,FALSE),"unknown")</f>
        <v>Not Hispanic or Latino</v>
      </c>
      <c r="AR141" s="120" t="str">
        <f>IFERROR(VLOOKUP(Table1[RespondentID],'All Data'!$A$3:$CO$999,93,FALSE),"unknown")</f>
        <v>English</v>
      </c>
      <c r="AS141" s="120" t="str">
        <f>IFERROR(VLOOKUP(Table1[RespondentID],'All Data'!$A$3:$CW$999,94,FALSE),"unknown")</f>
        <v>Over $125,000</v>
      </c>
      <c r="AT141" s="120" t="str">
        <f>IFERROR(VLOOKUP(Table1[RespondentID],'All Data'!$A$3:$CW$999,95,FALSE),"unknown")</f>
        <v>Some high school</v>
      </c>
      <c r="AU141" s="120" t="str">
        <f>IFERROR(VLOOKUP(Table1[RespondentID],'All Data'!$A$3:$CW$999,96,FALSE),"unknown")</f>
        <v>Student</v>
      </c>
      <c r="AV141" s="120" t="str">
        <f>IFERROR(VLOOKUP(Table1[RespondentID],'All Data'!$A$3:$CW$999,97,FALSE),"unknown")</f>
        <v>Yes</v>
      </c>
      <c r="AW141" s="120" t="str">
        <f>IFERROR(VLOOKUP(Table1[RespondentID],'All Data'!$A$3:$CW$999,98,FALSE),"unknown")</f>
        <v>Medicaid</v>
      </c>
      <c r="AX141" s="120" t="str">
        <f>IFERROR(VLOOKUP(Table1[RespondentID],'All Data'!$A$3:$CW$999,99,FALSE),"unknown")</f>
        <v>Yes</v>
      </c>
    </row>
    <row r="142" spans="1:50">
      <c r="A142" s="5">
        <v>18022218440</v>
      </c>
      <c r="B142" s="5" t="s">
        <v>16</v>
      </c>
      <c r="C142" s="5"/>
      <c r="D142" s="5" t="s">
        <v>18</v>
      </c>
      <c r="E142" s="5"/>
      <c r="F142" s="5"/>
      <c r="G142" s="5"/>
      <c r="H142" s="5"/>
      <c r="I142" s="5"/>
      <c r="J142" s="5" t="s">
        <v>24</v>
      </c>
      <c r="K142" s="5"/>
      <c r="L142" s="5"/>
      <c r="M142" s="5"/>
      <c r="N142" s="5" t="s">
        <v>28</v>
      </c>
      <c r="O142" s="7"/>
      <c r="P142" s="7">
        <f t="shared" si="36"/>
        <v>4</v>
      </c>
      <c r="Q142" s="8">
        <f t="shared" si="37"/>
        <v>0.75</v>
      </c>
      <c r="R142" s="7"/>
      <c r="S142" s="7">
        <f t="shared" si="38"/>
        <v>0.75</v>
      </c>
      <c r="T142" s="7">
        <f t="shared" si="39"/>
        <v>0</v>
      </c>
      <c r="U142" s="7">
        <f t="shared" si="40"/>
        <v>0.75</v>
      </c>
      <c r="V142" s="119">
        <f t="shared" si="41"/>
        <v>0</v>
      </c>
      <c r="W142" s="119">
        <f t="shared" si="42"/>
        <v>0</v>
      </c>
      <c r="X142" s="119">
        <f t="shared" si="43"/>
        <v>0</v>
      </c>
      <c r="Y142" s="119">
        <f t="shared" si="44"/>
        <v>0</v>
      </c>
      <c r="Z142" s="119">
        <f t="shared" si="45"/>
        <v>0</v>
      </c>
      <c r="AA142" s="119">
        <f t="shared" si="46"/>
        <v>0.75</v>
      </c>
      <c r="AB142" s="119">
        <f t="shared" si="47"/>
        <v>0</v>
      </c>
      <c r="AC142" s="119">
        <f t="shared" si="48"/>
        <v>0</v>
      </c>
      <c r="AD142" s="119">
        <f t="shared" si="49"/>
        <v>0</v>
      </c>
      <c r="AE142" s="119">
        <f t="shared" si="50"/>
        <v>0.75</v>
      </c>
      <c r="AF142" s="7"/>
      <c r="AG142" s="7"/>
      <c r="AH142" s="7">
        <f t="shared" si="51"/>
        <v>3</v>
      </c>
      <c r="AI142" s="7">
        <f t="shared" si="52"/>
        <v>4</v>
      </c>
      <c r="AJ142" s="7" t="str">
        <f t="shared" si="53"/>
        <v>Correct</v>
      </c>
      <c r="AK142" s="7"/>
      <c r="AL142" s="120" t="str">
        <f>IFERROR(VLOOKUP(Table1[RespondentID],'All Data'!$A$3:$CO$999,87,FALSE),"unknown")</f>
        <v>Woman</v>
      </c>
      <c r="AM142" s="120">
        <f>IFERROR(VLOOKUP(Table1[RespondentID],'All Data'!$A$3:$CO$999,88,FALSE),"unknown")</f>
        <v>42</v>
      </c>
      <c r="AN142" s="120" t="str">
        <f>IFERROR(VLOOKUP(Table1[RespondentID],'All Data'!$A$3:$CO$999,89,FALSE),"unknown")</f>
        <v>Suffolk</v>
      </c>
      <c r="AO142" s="120" t="str">
        <f>IFERROR(VLOOKUP(Table1[RespondentID],'All Data'!$A$3:$CO$999,90,FALSE),"unknown")</f>
        <v>East Northport, 11731</v>
      </c>
      <c r="AP142" s="120" t="str">
        <f>IFERROR(VLOOKUP(Table1[RespondentID],'All Data'!$A$3:$CO$999,91,FALSE),"unknown")</f>
        <v>White</v>
      </c>
      <c r="AQ142" s="120" t="str">
        <f>IFERROR(VLOOKUP(Table1[RespondentID],'All Data'!$A$3:$CO$999,92,FALSE),"unknown")</f>
        <v>Hispanic or Latino</v>
      </c>
      <c r="AR142" s="120">
        <f>IFERROR(VLOOKUP(Table1[RespondentID],'All Data'!$A$3:$CO$999,93,FALSE),"unknown")</f>
        <v>0</v>
      </c>
      <c r="AS142" s="120" t="str">
        <f>IFERROR(VLOOKUP(Table1[RespondentID],'All Data'!$A$3:$CW$999,94,FALSE),"unknown")</f>
        <v>Over $125,000</v>
      </c>
      <c r="AT142" s="120" t="str">
        <f>IFERROR(VLOOKUP(Table1[RespondentID],'All Data'!$A$3:$CW$999,95,FALSE),"unknown")</f>
        <v>Graduate school</v>
      </c>
      <c r="AU142" s="120" t="str">
        <f>IFERROR(VLOOKUP(Table1[RespondentID],'All Data'!$A$3:$CW$999,96,FALSE),"unknown")</f>
        <v>Employed for wages</v>
      </c>
      <c r="AV142" s="120" t="str">
        <f>IFERROR(VLOOKUP(Table1[RespondentID],'All Data'!$A$3:$CW$999,97,FALSE),"unknown")</f>
        <v>Yes</v>
      </c>
      <c r="AW142" s="120" t="str">
        <f>IFERROR(VLOOKUP(Table1[RespondentID],'All Data'!$A$3:$CW$999,98,FALSE),"unknown")</f>
        <v>Private/Commercial</v>
      </c>
      <c r="AX142" s="120" t="str">
        <f>IFERROR(VLOOKUP(Table1[RespondentID],'All Data'!$A$3:$CW$999,99,FALSE),"unknown")</f>
        <v>Yes</v>
      </c>
    </row>
    <row r="143" spans="1:50">
      <c r="A143" s="5">
        <v>18022157625</v>
      </c>
      <c r="B143" s="5"/>
      <c r="C143" s="5"/>
      <c r="D143" s="5"/>
      <c r="E143" s="5" t="s">
        <v>19</v>
      </c>
      <c r="F143" s="5"/>
      <c r="G143" s="5"/>
      <c r="H143" s="5" t="s">
        <v>22</v>
      </c>
      <c r="I143" s="5"/>
      <c r="J143" s="5"/>
      <c r="K143" s="5" t="s">
        <v>25</v>
      </c>
      <c r="L143" s="5"/>
      <c r="M143" s="5"/>
      <c r="N143" s="5"/>
      <c r="O143" s="7"/>
      <c r="P143" s="7">
        <f t="shared" si="36"/>
        <v>3</v>
      </c>
      <c r="Q143" s="9">
        <f t="shared" si="37"/>
        <v>1</v>
      </c>
      <c r="R143" s="7"/>
      <c r="S143" s="7">
        <f t="shared" si="38"/>
        <v>0</v>
      </c>
      <c r="T143" s="7">
        <f t="shared" si="39"/>
        <v>0</v>
      </c>
      <c r="U143" s="7">
        <f t="shared" si="40"/>
        <v>0</v>
      </c>
      <c r="V143" s="119">
        <f t="shared" si="41"/>
        <v>1</v>
      </c>
      <c r="W143" s="119">
        <f t="shared" si="42"/>
        <v>0</v>
      </c>
      <c r="X143" s="119">
        <f t="shared" si="43"/>
        <v>0</v>
      </c>
      <c r="Y143" s="119">
        <f t="shared" si="44"/>
        <v>1</v>
      </c>
      <c r="Z143" s="119">
        <f t="shared" si="45"/>
        <v>0</v>
      </c>
      <c r="AA143" s="119">
        <f t="shared" si="46"/>
        <v>0</v>
      </c>
      <c r="AB143" s="119">
        <f t="shared" si="47"/>
        <v>1</v>
      </c>
      <c r="AC143" s="119">
        <f t="shared" si="48"/>
        <v>0</v>
      </c>
      <c r="AD143" s="119">
        <f t="shared" si="49"/>
        <v>0</v>
      </c>
      <c r="AE143" s="119">
        <f t="shared" si="50"/>
        <v>0</v>
      </c>
      <c r="AF143" s="7"/>
      <c r="AG143" s="7"/>
      <c r="AH143" s="7">
        <f t="shared" si="51"/>
        <v>3</v>
      </c>
      <c r="AI143" s="7">
        <f t="shared" si="52"/>
        <v>3</v>
      </c>
      <c r="AJ143" s="7" t="str">
        <f t="shared" si="53"/>
        <v>Correct</v>
      </c>
      <c r="AK143" s="7"/>
      <c r="AL143" s="120" t="str">
        <f>IFERROR(VLOOKUP(Table1[RespondentID],'All Data'!$A$3:$CO$999,87,FALSE),"unknown")</f>
        <v>Man</v>
      </c>
      <c r="AM143" s="120">
        <f>IFERROR(VLOOKUP(Table1[RespondentID],'All Data'!$A$3:$CO$999,88,FALSE),"unknown")</f>
        <v>20</v>
      </c>
      <c r="AN143" s="120" t="str">
        <f>IFERROR(VLOOKUP(Table1[RespondentID],'All Data'!$A$3:$CO$999,89,FALSE),"unknown")</f>
        <v>Suffolk</v>
      </c>
      <c r="AO143" s="120" t="str">
        <f>IFERROR(VLOOKUP(Table1[RespondentID],'All Data'!$A$3:$CO$999,90,FALSE),"unknown")</f>
        <v>Kings Park, 11754</v>
      </c>
      <c r="AP143" s="120" t="str">
        <f>IFERROR(VLOOKUP(Table1[RespondentID],'All Data'!$A$3:$CO$999,91,FALSE),"unknown")</f>
        <v>White</v>
      </c>
      <c r="AQ143" s="120" t="str">
        <f>IFERROR(VLOOKUP(Table1[RespondentID],'All Data'!$A$3:$CO$999,92,FALSE),"unknown")</f>
        <v>Hispanic or Latino</v>
      </c>
      <c r="AR143" s="120" t="str">
        <f>IFERROR(VLOOKUP(Table1[RespondentID],'All Data'!$A$3:$CO$999,93,FALSE),"unknown")</f>
        <v>English</v>
      </c>
      <c r="AS143" s="120" t="str">
        <f>IFERROR(VLOOKUP(Table1[RespondentID],'All Data'!$A$3:$CW$999,94,FALSE),"unknown")</f>
        <v>Over $125,000</v>
      </c>
      <c r="AT143" s="120" t="str">
        <f>IFERROR(VLOOKUP(Table1[RespondentID],'All Data'!$A$3:$CW$999,95,FALSE),"unknown")</f>
        <v>High school graduate</v>
      </c>
      <c r="AU143" s="120" t="str">
        <f>IFERROR(VLOOKUP(Table1[RespondentID],'All Data'!$A$3:$CW$999,96,FALSE),"unknown")</f>
        <v>Employed for wages</v>
      </c>
      <c r="AV143" s="120" t="str">
        <f>IFERROR(VLOOKUP(Table1[RespondentID],'All Data'!$A$3:$CW$999,97,FALSE),"unknown")</f>
        <v>Yes</v>
      </c>
      <c r="AW143" s="120" t="str">
        <f>IFERROR(VLOOKUP(Table1[RespondentID],'All Data'!$A$3:$CW$999,98,FALSE),"unknown")</f>
        <v>Medicare</v>
      </c>
      <c r="AX143" s="120">
        <f>IFERROR(VLOOKUP(Table1[RespondentID],'All Data'!$A$3:$CW$999,99,FALSE),"unknown")</f>
        <v>0</v>
      </c>
    </row>
    <row r="144" spans="1:50">
      <c r="A144" s="5">
        <v>18022157486</v>
      </c>
      <c r="B144" s="5"/>
      <c r="C144" s="5"/>
      <c r="D144" s="5"/>
      <c r="E144" s="5" t="s">
        <v>19</v>
      </c>
      <c r="F144" s="5"/>
      <c r="G144" s="5"/>
      <c r="H144" s="5"/>
      <c r="I144" s="5"/>
      <c r="J144" s="5" t="s">
        <v>24</v>
      </c>
      <c r="K144" s="5" t="s">
        <v>25</v>
      </c>
      <c r="L144" s="5"/>
      <c r="M144" s="5"/>
      <c r="N144" s="5"/>
      <c r="O144" s="7"/>
      <c r="P144" s="7">
        <f t="shared" si="36"/>
        <v>3</v>
      </c>
      <c r="Q144" s="8">
        <f t="shared" si="37"/>
        <v>1</v>
      </c>
      <c r="R144" s="7"/>
      <c r="S144" s="7">
        <f t="shared" si="38"/>
        <v>0</v>
      </c>
      <c r="T144" s="7">
        <f t="shared" si="39"/>
        <v>0</v>
      </c>
      <c r="U144" s="7">
        <f t="shared" si="40"/>
        <v>0</v>
      </c>
      <c r="V144" s="119">
        <f t="shared" si="41"/>
        <v>1</v>
      </c>
      <c r="W144" s="119">
        <f t="shared" si="42"/>
        <v>0</v>
      </c>
      <c r="X144" s="119">
        <f t="shared" si="43"/>
        <v>0</v>
      </c>
      <c r="Y144" s="119">
        <f t="shared" si="44"/>
        <v>0</v>
      </c>
      <c r="Z144" s="119">
        <f t="shared" si="45"/>
        <v>0</v>
      </c>
      <c r="AA144" s="119">
        <f t="shared" si="46"/>
        <v>1</v>
      </c>
      <c r="AB144" s="119">
        <f t="shared" si="47"/>
        <v>1</v>
      </c>
      <c r="AC144" s="119">
        <f t="shared" si="48"/>
        <v>0</v>
      </c>
      <c r="AD144" s="119">
        <f t="shared" si="49"/>
        <v>0</v>
      </c>
      <c r="AE144" s="119">
        <f t="shared" si="50"/>
        <v>0</v>
      </c>
      <c r="AF144" s="7"/>
      <c r="AG144" s="7"/>
      <c r="AH144" s="7">
        <f t="shared" si="51"/>
        <v>3</v>
      </c>
      <c r="AI144" s="7">
        <f t="shared" si="52"/>
        <v>3</v>
      </c>
      <c r="AJ144" s="7" t="str">
        <f t="shared" si="53"/>
        <v>Correct</v>
      </c>
      <c r="AK144" s="7"/>
      <c r="AL144" s="120" t="str">
        <f>IFERROR(VLOOKUP(Table1[RespondentID],'All Data'!$A$3:$CO$999,87,FALSE),"unknown")</f>
        <v>Woman</v>
      </c>
      <c r="AM144" s="120">
        <f>IFERROR(VLOOKUP(Table1[RespondentID],'All Data'!$A$3:$CO$999,88,FALSE),"unknown")</f>
        <v>18</v>
      </c>
      <c r="AN144" s="120" t="str">
        <f>IFERROR(VLOOKUP(Table1[RespondentID],'All Data'!$A$3:$CO$999,89,FALSE),"unknown")</f>
        <v>Suffolk</v>
      </c>
      <c r="AO144" s="120" t="str">
        <f>IFERROR(VLOOKUP(Table1[RespondentID],'All Data'!$A$3:$CO$999,90,FALSE),"unknown")</f>
        <v>Kings Park, 11754</v>
      </c>
      <c r="AP144" s="120" t="str">
        <f>IFERROR(VLOOKUP(Table1[RespondentID],'All Data'!$A$3:$CO$999,91,FALSE),"unknown")</f>
        <v>White</v>
      </c>
      <c r="AQ144" s="120">
        <f>IFERROR(VLOOKUP(Table1[RespondentID],'All Data'!$A$3:$CO$999,92,FALSE),"unknown")</f>
        <v>0</v>
      </c>
      <c r="AR144" s="120" t="str">
        <f>IFERROR(VLOOKUP(Table1[RespondentID],'All Data'!$A$3:$CO$999,93,FALSE),"unknown")</f>
        <v>English, Spanish</v>
      </c>
      <c r="AS144" s="120" t="str">
        <f>IFERROR(VLOOKUP(Table1[RespondentID],'All Data'!$A$3:$CW$999,94,FALSE),"unknown")</f>
        <v>$0-$19,999</v>
      </c>
      <c r="AT144" s="120" t="str">
        <f>IFERROR(VLOOKUP(Table1[RespondentID],'All Data'!$A$3:$CW$999,95,FALSE),"unknown")</f>
        <v>High school graduate</v>
      </c>
      <c r="AU144" s="120" t="str">
        <f>IFERROR(VLOOKUP(Table1[RespondentID],'All Data'!$A$3:$CW$999,96,FALSE),"unknown")</f>
        <v>Employed for wages</v>
      </c>
      <c r="AV144" s="120">
        <f>IFERROR(VLOOKUP(Table1[RespondentID],'All Data'!$A$3:$CW$999,97,FALSE),"unknown")</f>
        <v>0</v>
      </c>
      <c r="AW144" s="120" t="str">
        <f>IFERROR(VLOOKUP(Table1[RespondentID],'All Data'!$A$3:$CW$999,98,FALSE),"unknown")</f>
        <v>Private/Commercial</v>
      </c>
      <c r="AX144" s="120">
        <f>IFERROR(VLOOKUP(Table1[RespondentID],'All Data'!$A$3:$CW$999,99,FALSE),"unknown")</f>
        <v>0</v>
      </c>
    </row>
    <row r="145" spans="1:50">
      <c r="A145" s="5">
        <v>18022157371</v>
      </c>
      <c r="B145" s="5"/>
      <c r="C145" s="5"/>
      <c r="D145" s="5"/>
      <c r="E145" s="5"/>
      <c r="F145" s="5"/>
      <c r="G145" s="5"/>
      <c r="H145" s="5"/>
      <c r="I145" s="5"/>
      <c r="J145" s="5"/>
      <c r="K145" s="5" t="s">
        <v>25</v>
      </c>
      <c r="L145" s="5"/>
      <c r="M145" s="5" t="s">
        <v>27</v>
      </c>
      <c r="N145" s="5" t="s">
        <v>28</v>
      </c>
      <c r="O145" s="7"/>
      <c r="P145" s="7">
        <f t="shared" si="36"/>
        <v>3</v>
      </c>
      <c r="Q145" s="9">
        <f t="shared" si="37"/>
        <v>1</v>
      </c>
      <c r="R145" s="7"/>
      <c r="S145" s="7">
        <f t="shared" si="38"/>
        <v>0</v>
      </c>
      <c r="T145" s="7">
        <f t="shared" si="39"/>
        <v>0</v>
      </c>
      <c r="U145" s="7">
        <f t="shared" si="40"/>
        <v>0</v>
      </c>
      <c r="V145" s="119">
        <f t="shared" si="41"/>
        <v>0</v>
      </c>
      <c r="W145" s="119">
        <f t="shared" si="42"/>
        <v>0</v>
      </c>
      <c r="X145" s="119">
        <f t="shared" si="43"/>
        <v>0</v>
      </c>
      <c r="Y145" s="119">
        <f t="shared" si="44"/>
        <v>0</v>
      </c>
      <c r="Z145" s="119">
        <f t="shared" si="45"/>
        <v>0</v>
      </c>
      <c r="AA145" s="119">
        <f t="shared" si="46"/>
        <v>0</v>
      </c>
      <c r="AB145" s="119">
        <f t="shared" si="47"/>
        <v>1</v>
      </c>
      <c r="AC145" s="119">
        <f t="shared" si="48"/>
        <v>0</v>
      </c>
      <c r="AD145" s="119">
        <f t="shared" si="49"/>
        <v>1</v>
      </c>
      <c r="AE145" s="119">
        <f t="shared" si="50"/>
        <v>1</v>
      </c>
      <c r="AF145" s="7"/>
      <c r="AG145" s="7"/>
      <c r="AH145" s="7">
        <f t="shared" si="51"/>
        <v>3</v>
      </c>
      <c r="AI145" s="7">
        <f t="shared" si="52"/>
        <v>3</v>
      </c>
      <c r="AJ145" s="7" t="str">
        <f t="shared" si="53"/>
        <v>Correct</v>
      </c>
      <c r="AK145" s="7"/>
      <c r="AL145" s="120" t="str">
        <f>IFERROR(VLOOKUP(Table1[RespondentID],'All Data'!$A$3:$CO$999,87,FALSE),"unknown")</f>
        <v>Man</v>
      </c>
      <c r="AM145" s="120">
        <f>IFERROR(VLOOKUP(Table1[RespondentID],'All Data'!$A$3:$CO$999,88,FALSE),"unknown")</f>
        <v>42</v>
      </c>
      <c r="AN145" s="120" t="str">
        <f>IFERROR(VLOOKUP(Table1[RespondentID],'All Data'!$A$3:$CO$999,89,FALSE),"unknown")</f>
        <v>Suffolk</v>
      </c>
      <c r="AO145" s="120" t="str">
        <f>IFERROR(VLOOKUP(Table1[RespondentID],'All Data'!$A$3:$CO$999,90,FALSE),"unknown")</f>
        <v>Hauppauge, 11788</v>
      </c>
      <c r="AP145" s="120" t="str">
        <f>IFERROR(VLOOKUP(Table1[RespondentID],'All Data'!$A$3:$CO$999,91,FALSE),"unknown")</f>
        <v>White</v>
      </c>
      <c r="AQ145" s="120" t="str">
        <f>IFERROR(VLOOKUP(Table1[RespondentID],'All Data'!$A$3:$CO$999,92,FALSE),"unknown")</f>
        <v>Hispanic or Latino</v>
      </c>
      <c r="AR145" s="120" t="str">
        <f>IFERROR(VLOOKUP(Table1[RespondentID],'All Data'!$A$3:$CO$999,93,FALSE),"unknown")</f>
        <v>English</v>
      </c>
      <c r="AS145" s="120" t="str">
        <f>IFERROR(VLOOKUP(Table1[RespondentID],'All Data'!$A$3:$CW$999,94,FALSE),"unknown")</f>
        <v>Over $125,000</v>
      </c>
      <c r="AT145" s="120" t="str">
        <f>IFERROR(VLOOKUP(Table1[RespondentID],'All Data'!$A$3:$CW$999,95,FALSE),"unknown")</f>
        <v>Graduate school</v>
      </c>
      <c r="AU145" s="120" t="str">
        <f>IFERROR(VLOOKUP(Table1[RespondentID],'All Data'!$A$3:$CW$999,96,FALSE),"unknown")</f>
        <v>Employed for wages</v>
      </c>
      <c r="AV145" s="120" t="str">
        <f>IFERROR(VLOOKUP(Table1[RespondentID],'All Data'!$A$3:$CW$999,97,FALSE),"unknown")</f>
        <v>Yes</v>
      </c>
      <c r="AW145" s="120" t="str">
        <f>IFERROR(VLOOKUP(Table1[RespondentID],'All Data'!$A$3:$CW$999,98,FALSE),"unknown")</f>
        <v>Private/Commercial</v>
      </c>
      <c r="AX145" s="120">
        <f>IFERROR(VLOOKUP(Table1[RespondentID],'All Data'!$A$3:$CW$999,99,FALSE),"unknown")</f>
        <v>0</v>
      </c>
    </row>
    <row r="146" spans="1:50">
      <c r="A146" s="5">
        <v>18022157215</v>
      </c>
      <c r="B146" s="5" t="s">
        <v>16</v>
      </c>
      <c r="C146" s="5"/>
      <c r="D146" s="5"/>
      <c r="E146" s="5"/>
      <c r="F146" s="5"/>
      <c r="G146" s="5"/>
      <c r="H146" s="5"/>
      <c r="I146" s="5" t="s">
        <v>23</v>
      </c>
      <c r="J146" s="5"/>
      <c r="K146" s="5" t="s">
        <v>25</v>
      </c>
      <c r="L146" s="5"/>
      <c r="M146" s="5"/>
      <c r="N146" s="5"/>
      <c r="O146" s="7"/>
      <c r="P146" s="7">
        <f t="shared" si="36"/>
        <v>3</v>
      </c>
      <c r="Q146" s="8">
        <f t="shared" si="37"/>
        <v>1</v>
      </c>
      <c r="R146" s="7"/>
      <c r="S146" s="7">
        <f t="shared" si="38"/>
        <v>1</v>
      </c>
      <c r="T146" s="7">
        <f t="shared" si="39"/>
        <v>0</v>
      </c>
      <c r="U146" s="7">
        <f t="shared" si="40"/>
        <v>0</v>
      </c>
      <c r="V146" s="119">
        <f t="shared" si="41"/>
        <v>0</v>
      </c>
      <c r="W146" s="119">
        <f t="shared" si="42"/>
        <v>0</v>
      </c>
      <c r="X146" s="119">
        <f t="shared" si="43"/>
        <v>0</v>
      </c>
      <c r="Y146" s="119">
        <f t="shared" si="44"/>
        <v>0</v>
      </c>
      <c r="Z146" s="119">
        <f t="shared" si="45"/>
        <v>1</v>
      </c>
      <c r="AA146" s="119">
        <f t="shared" si="46"/>
        <v>0</v>
      </c>
      <c r="AB146" s="119">
        <f t="shared" si="47"/>
        <v>1</v>
      </c>
      <c r="AC146" s="119">
        <f t="shared" si="48"/>
        <v>0</v>
      </c>
      <c r="AD146" s="119">
        <f t="shared" si="49"/>
        <v>0</v>
      </c>
      <c r="AE146" s="119">
        <f t="shared" si="50"/>
        <v>0</v>
      </c>
      <c r="AF146" s="7"/>
      <c r="AG146" s="7"/>
      <c r="AH146" s="7">
        <f t="shared" si="51"/>
        <v>3</v>
      </c>
      <c r="AI146" s="7">
        <f t="shared" si="52"/>
        <v>3</v>
      </c>
      <c r="AJ146" s="7" t="str">
        <f t="shared" si="53"/>
        <v>Correct</v>
      </c>
      <c r="AK146" s="7"/>
      <c r="AL146" s="120" t="str">
        <f>IFERROR(VLOOKUP(Table1[RespondentID],'All Data'!$A$3:$CO$999,87,FALSE),"unknown")</f>
        <v>Man</v>
      </c>
      <c r="AM146" s="120">
        <f>IFERROR(VLOOKUP(Table1[RespondentID],'All Data'!$A$3:$CO$999,88,FALSE),"unknown")</f>
        <v>18</v>
      </c>
      <c r="AN146" s="120" t="str">
        <f>IFERROR(VLOOKUP(Table1[RespondentID],'All Data'!$A$3:$CO$999,89,FALSE),"unknown")</f>
        <v>Suffolk</v>
      </c>
      <c r="AO146" s="120" t="str">
        <f>IFERROR(VLOOKUP(Table1[RespondentID],'All Data'!$A$3:$CO$999,90,FALSE),"unknown")</f>
        <v>Kings Park, 11754</v>
      </c>
      <c r="AP146" s="120" t="str">
        <f>IFERROR(VLOOKUP(Table1[RespondentID],'All Data'!$A$3:$CO$999,91,FALSE),"unknown")</f>
        <v>White</v>
      </c>
      <c r="AQ146" s="120" t="str">
        <f>IFERROR(VLOOKUP(Table1[RespondentID],'All Data'!$A$3:$CO$999,92,FALSE),"unknown")</f>
        <v>Hispanic or Latino</v>
      </c>
      <c r="AR146" s="120" t="str">
        <f>IFERROR(VLOOKUP(Table1[RespondentID],'All Data'!$A$3:$CO$999,93,FALSE),"unknown")</f>
        <v>English</v>
      </c>
      <c r="AS146" s="120" t="str">
        <f>IFERROR(VLOOKUP(Table1[RespondentID],'All Data'!$A$3:$CW$999,94,FALSE),"unknown")</f>
        <v>Over $125,000</v>
      </c>
      <c r="AT146" s="120" t="str">
        <f>IFERROR(VLOOKUP(Table1[RespondentID],'All Data'!$A$3:$CW$999,95,FALSE),"unknown")</f>
        <v>High school graduate</v>
      </c>
      <c r="AU146" s="120" t="str">
        <f>IFERROR(VLOOKUP(Table1[RespondentID],'All Data'!$A$3:$CW$999,96,FALSE),"unknown")</f>
        <v>Student</v>
      </c>
      <c r="AV146" s="120">
        <f>IFERROR(VLOOKUP(Table1[RespondentID],'All Data'!$A$3:$CW$999,97,FALSE),"unknown")</f>
        <v>0</v>
      </c>
      <c r="AW146" s="120" t="str">
        <f>IFERROR(VLOOKUP(Table1[RespondentID],'All Data'!$A$3:$CW$999,98,FALSE),"unknown")</f>
        <v>Medicare</v>
      </c>
      <c r="AX146" s="120">
        <f>IFERROR(VLOOKUP(Table1[RespondentID],'All Data'!$A$3:$CW$999,99,FALSE),"unknown")</f>
        <v>0</v>
      </c>
    </row>
    <row r="147" spans="1:50">
      <c r="A147" s="5">
        <v>18022157058</v>
      </c>
      <c r="B147" s="5"/>
      <c r="C147" s="5"/>
      <c r="D147" s="5"/>
      <c r="E147" s="5"/>
      <c r="F147" s="5"/>
      <c r="G147" s="5"/>
      <c r="H147" s="5" t="s">
        <v>22</v>
      </c>
      <c r="I147" s="5"/>
      <c r="J147" s="5"/>
      <c r="K147" s="5" t="s">
        <v>25</v>
      </c>
      <c r="L147" s="5"/>
      <c r="M147" s="5"/>
      <c r="N147" s="5"/>
      <c r="O147" s="7"/>
      <c r="P147" s="7">
        <f t="shared" si="36"/>
        <v>2</v>
      </c>
      <c r="Q147" s="9">
        <f t="shared" si="37"/>
        <v>1.5</v>
      </c>
      <c r="R147" s="7"/>
      <c r="S147" s="7">
        <f t="shared" si="38"/>
        <v>0</v>
      </c>
      <c r="T147" s="7">
        <f t="shared" si="39"/>
        <v>0</v>
      </c>
      <c r="U147" s="7">
        <f t="shared" si="40"/>
        <v>0</v>
      </c>
      <c r="V147" s="119">
        <f t="shared" si="41"/>
        <v>0</v>
      </c>
      <c r="W147" s="119">
        <f t="shared" si="42"/>
        <v>0</v>
      </c>
      <c r="X147" s="119">
        <f t="shared" si="43"/>
        <v>0</v>
      </c>
      <c r="Y147" s="119">
        <f t="shared" si="44"/>
        <v>1</v>
      </c>
      <c r="Z147" s="119">
        <f t="shared" si="45"/>
        <v>0</v>
      </c>
      <c r="AA147" s="119">
        <f t="shared" si="46"/>
        <v>0</v>
      </c>
      <c r="AB147" s="119">
        <f t="shared" si="47"/>
        <v>1</v>
      </c>
      <c r="AC147" s="119">
        <f t="shared" si="48"/>
        <v>0</v>
      </c>
      <c r="AD147" s="119">
        <f t="shared" si="49"/>
        <v>0</v>
      </c>
      <c r="AE147" s="119">
        <f t="shared" si="50"/>
        <v>0</v>
      </c>
      <c r="AF147" s="7"/>
      <c r="AG147" s="7"/>
      <c r="AH147" s="7">
        <f t="shared" si="51"/>
        <v>2</v>
      </c>
      <c r="AI147" s="7">
        <f t="shared" si="52"/>
        <v>2</v>
      </c>
      <c r="AJ147" s="7" t="str">
        <f t="shared" si="53"/>
        <v>Correct</v>
      </c>
      <c r="AK147" s="7"/>
      <c r="AL147" s="120" t="str">
        <f>IFERROR(VLOOKUP(Table1[RespondentID],'All Data'!$A$3:$CO$999,87,FALSE),"unknown")</f>
        <v>Man</v>
      </c>
      <c r="AM147" s="120">
        <f>IFERROR(VLOOKUP(Table1[RespondentID],'All Data'!$A$3:$CO$999,88,FALSE),"unknown")</f>
        <v>18</v>
      </c>
      <c r="AN147" s="120" t="str">
        <f>IFERROR(VLOOKUP(Table1[RespondentID],'All Data'!$A$3:$CO$999,89,FALSE),"unknown")</f>
        <v>Suffolk</v>
      </c>
      <c r="AO147" s="120" t="str">
        <f>IFERROR(VLOOKUP(Table1[RespondentID],'All Data'!$A$3:$CO$999,90,FALSE),"unknown")</f>
        <v>Kings Park, 11754</v>
      </c>
      <c r="AP147" s="120" t="str">
        <f>IFERROR(VLOOKUP(Table1[RespondentID],'All Data'!$A$3:$CO$999,91,FALSE),"unknown")</f>
        <v>White</v>
      </c>
      <c r="AQ147" s="120" t="str">
        <f>IFERROR(VLOOKUP(Table1[RespondentID],'All Data'!$A$3:$CO$999,92,FALSE),"unknown")</f>
        <v>Hispanic or Latino</v>
      </c>
      <c r="AR147" s="120" t="str">
        <f>IFERROR(VLOOKUP(Table1[RespondentID],'All Data'!$A$3:$CO$999,93,FALSE),"unknown")</f>
        <v>English</v>
      </c>
      <c r="AS147" s="120" t="str">
        <f>IFERROR(VLOOKUP(Table1[RespondentID],'All Data'!$A$3:$CW$999,94,FALSE),"unknown")</f>
        <v>$75,000 to $125,000</v>
      </c>
      <c r="AT147" s="120" t="str">
        <f>IFERROR(VLOOKUP(Table1[RespondentID],'All Data'!$A$3:$CW$999,95,FALSE),"unknown")</f>
        <v>Some high school</v>
      </c>
      <c r="AU147" s="120" t="str">
        <f>IFERROR(VLOOKUP(Table1[RespondentID],'All Data'!$A$3:$CW$999,96,FALSE),"unknown")</f>
        <v>Self-employed</v>
      </c>
      <c r="AV147" s="120" t="str">
        <f>IFERROR(VLOOKUP(Table1[RespondentID],'All Data'!$A$3:$CW$999,97,FALSE),"unknown")</f>
        <v>Yes</v>
      </c>
      <c r="AW147" s="120">
        <f>IFERROR(VLOOKUP(Table1[RespondentID],'All Data'!$A$3:$CW$999,98,FALSE),"unknown")</f>
        <v>0</v>
      </c>
      <c r="AX147" s="120">
        <f>IFERROR(VLOOKUP(Table1[RespondentID],'All Data'!$A$3:$CW$999,99,FALSE),"unknown")</f>
        <v>0</v>
      </c>
    </row>
    <row r="148" spans="1:50">
      <c r="A148" s="5">
        <v>18022156869</v>
      </c>
      <c r="B148" s="5"/>
      <c r="C148" s="5"/>
      <c r="D148" s="5"/>
      <c r="E148" s="5"/>
      <c r="F148" s="5"/>
      <c r="G148" s="5"/>
      <c r="H148" s="5" t="s">
        <v>22</v>
      </c>
      <c r="I148" s="5" t="s">
        <v>23</v>
      </c>
      <c r="J148" s="5"/>
      <c r="K148" s="5" t="s">
        <v>25</v>
      </c>
      <c r="L148" s="5"/>
      <c r="M148" s="5"/>
      <c r="N148" s="5"/>
      <c r="O148" s="7"/>
      <c r="P148" s="7">
        <f t="shared" si="36"/>
        <v>3</v>
      </c>
      <c r="Q148" s="8">
        <f t="shared" si="37"/>
        <v>1</v>
      </c>
      <c r="R148" s="7"/>
      <c r="S148" s="7">
        <f t="shared" si="38"/>
        <v>0</v>
      </c>
      <c r="T148" s="7">
        <f t="shared" si="39"/>
        <v>0</v>
      </c>
      <c r="U148" s="7">
        <f t="shared" si="40"/>
        <v>0</v>
      </c>
      <c r="V148" s="119">
        <f t="shared" si="41"/>
        <v>0</v>
      </c>
      <c r="W148" s="119">
        <f t="shared" si="42"/>
        <v>0</v>
      </c>
      <c r="X148" s="119">
        <f t="shared" si="43"/>
        <v>0</v>
      </c>
      <c r="Y148" s="119">
        <f t="shared" si="44"/>
        <v>1</v>
      </c>
      <c r="Z148" s="119">
        <f t="shared" si="45"/>
        <v>1</v>
      </c>
      <c r="AA148" s="119">
        <f t="shared" si="46"/>
        <v>0</v>
      </c>
      <c r="AB148" s="119">
        <f t="shared" si="47"/>
        <v>1</v>
      </c>
      <c r="AC148" s="119">
        <f t="shared" si="48"/>
        <v>0</v>
      </c>
      <c r="AD148" s="119">
        <f t="shared" si="49"/>
        <v>0</v>
      </c>
      <c r="AE148" s="119">
        <f t="shared" si="50"/>
        <v>0</v>
      </c>
      <c r="AF148" s="7"/>
      <c r="AG148" s="7"/>
      <c r="AH148" s="7">
        <f t="shared" si="51"/>
        <v>3</v>
      </c>
      <c r="AI148" s="7">
        <f t="shared" si="52"/>
        <v>3</v>
      </c>
      <c r="AJ148" s="7" t="str">
        <f t="shared" si="53"/>
        <v>Correct</v>
      </c>
      <c r="AK148" s="7"/>
      <c r="AL148" s="120" t="str">
        <f>IFERROR(VLOOKUP(Table1[RespondentID],'All Data'!$A$3:$CO$999,87,FALSE),"unknown")</f>
        <v>Man</v>
      </c>
      <c r="AM148" s="120">
        <f>IFERROR(VLOOKUP(Table1[RespondentID],'All Data'!$A$3:$CO$999,88,FALSE),"unknown")</f>
        <v>18</v>
      </c>
      <c r="AN148" s="120" t="str">
        <f>IFERROR(VLOOKUP(Table1[RespondentID],'All Data'!$A$3:$CO$999,89,FALSE),"unknown")</f>
        <v>Suffolk</v>
      </c>
      <c r="AO148" s="120" t="str">
        <f>IFERROR(VLOOKUP(Table1[RespondentID],'All Data'!$A$3:$CO$999,90,FALSE),"unknown")</f>
        <v>Kings Park, 11754</v>
      </c>
      <c r="AP148" s="120" t="str">
        <f>IFERROR(VLOOKUP(Table1[RespondentID],'All Data'!$A$3:$CO$999,91,FALSE),"unknown")</f>
        <v>White</v>
      </c>
      <c r="AQ148" s="120" t="str">
        <f>IFERROR(VLOOKUP(Table1[RespondentID],'All Data'!$A$3:$CO$999,92,FALSE),"unknown")</f>
        <v>Hispanic or Latino</v>
      </c>
      <c r="AR148" s="120" t="str">
        <f>IFERROR(VLOOKUP(Table1[RespondentID],'All Data'!$A$3:$CO$999,93,FALSE),"unknown")</f>
        <v>English</v>
      </c>
      <c r="AS148" s="120" t="str">
        <f>IFERROR(VLOOKUP(Table1[RespondentID],'All Data'!$A$3:$CW$999,94,FALSE),"unknown")</f>
        <v>Over $125,000</v>
      </c>
      <c r="AT148" s="120" t="str">
        <f>IFERROR(VLOOKUP(Table1[RespondentID],'All Data'!$A$3:$CW$999,95,FALSE),"unknown")</f>
        <v>Other (please specify)</v>
      </c>
      <c r="AU148" s="120" t="str">
        <f>IFERROR(VLOOKUP(Table1[RespondentID],'All Data'!$A$3:$CW$999,96,FALSE),"unknown")</f>
        <v>Employed for wages</v>
      </c>
      <c r="AV148" s="120" t="str">
        <f>IFERROR(VLOOKUP(Table1[RespondentID],'All Data'!$A$3:$CW$999,97,FALSE),"unknown")</f>
        <v>Yes</v>
      </c>
      <c r="AW148" s="120" t="str">
        <f>IFERROR(VLOOKUP(Table1[RespondentID],'All Data'!$A$3:$CW$999,98,FALSE),"unknown")</f>
        <v>Medicare</v>
      </c>
      <c r="AX148" s="120">
        <f>IFERROR(VLOOKUP(Table1[RespondentID],'All Data'!$A$3:$CW$999,99,FALSE),"unknown")</f>
        <v>0</v>
      </c>
    </row>
    <row r="149" spans="1:50">
      <c r="A149" s="5">
        <v>18022156726</v>
      </c>
      <c r="B149" s="5"/>
      <c r="C149" s="5"/>
      <c r="D149" s="5"/>
      <c r="E149" s="5"/>
      <c r="F149" s="5"/>
      <c r="G149" s="5"/>
      <c r="H149" s="5"/>
      <c r="I149" s="5"/>
      <c r="J149" s="5" t="s">
        <v>24</v>
      </c>
      <c r="K149" s="5"/>
      <c r="L149" s="5"/>
      <c r="M149" s="5"/>
      <c r="N149" s="5"/>
      <c r="O149" s="7"/>
      <c r="P149" s="7">
        <f t="shared" si="36"/>
        <v>1</v>
      </c>
      <c r="Q149" s="9">
        <f t="shared" si="37"/>
        <v>3</v>
      </c>
      <c r="R149" s="7"/>
      <c r="S149" s="7">
        <f t="shared" si="38"/>
        <v>0</v>
      </c>
      <c r="T149" s="7">
        <f t="shared" si="39"/>
        <v>0</v>
      </c>
      <c r="U149" s="7">
        <f t="shared" si="40"/>
        <v>0</v>
      </c>
      <c r="V149" s="119">
        <f t="shared" si="41"/>
        <v>0</v>
      </c>
      <c r="W149" s="119">
        <f t="shared" si="42"/>
        <v>0</v>
      </c>
      <c r="X149" s="119">
        <f t="shared" si="43"/>
        <v>0</v>
      </c>
      <c r="Y149" s="119">
        <f t="shared" si="44"/>
        <v>0</v>
      </c>
      <c r="Z149" s="119">
        <f t="shared" si="45"/>
        <v>0</v>
      </c>
      <c r="AA149" s="119">
        <f t="shared" si="46"/>
        <v>1</v>
      </c>
      <c r="AB149" s="119">
        <f t="shared" si="47"/>
        <v>0</v>
      </c>
      <c r="AC149" s="119">
        <f t="shared" si="48"/>
        <v>0</v>
      </c>
      <c r="AD149" s="119">
        <f t="shared" si="49"/>
        <v>0</v>
      </c>
      <c r="AE149" s="119">
        <f t="shared" si="50"/>
        <v>0</v>
      </c>
      <c r="AF149" s="7"/>
      <c r="AG149" s="7"/>
      <c r="AH149" s="7">
        <f t="shared" si="51"/>
        <v>1</v>
      </c>
      <c r="AI149" s="7">
        <f t="shared" si="52"/>
        <v>1</v>
      </c>
      <c r="AJ149" s="7" t="str">
        <f t="shared" si="53"/>
        <v>Correct</v>
      </c>
      <c r="AK149" s="7"/>
      <c r="AL149" s="120" t="str">
        <f>IFERROR(VLOOKUP(Table1[RespondentID],'All Data'!$A$3:$CO$999,87,FALSE),"unknown")</f>
        <v>Man</v>
      </c>
      <c r="AM149" s="120">
        <f>IFERROR(VLOOKUP(Table1[RespondentID],'All Data'!$A$3:$CO$999,88,FALSE),"unknown")</f>
        <v>39</v>
      </c>
      <c r="AN149" s="120" t="str">
        <f>IFERROR(VLOOKUP(Table1[RespondentID],'All Data'!$A$3:$CO$999,89,FALSE),"unknown")</f>
        <v>Suffolk</v>
      </c>
      <c r="AO149" s="120" t="str">
        <f>IFERROR(VLOOKUP(Table1[RespondentID],'All Data'!$A$3:$CO$999,90,FALSE),"unknown")</f>
        <v>Medford, 11763</v>
      </c>
      <c r="AP149" s="120" t="str">
        <f>IFERROR(VLOOKUP(Table1[RespondentID],'All Data'!$A$3:$CO$999,91,FALSE),"unknown")</f>
        <v>White</v>
      </c>
      <c r="AQ149" s="120" t="str">
        <f>IFERROR(VLOOKUP(Table1[RespondentID],'All Data'!$A$3:$CO$999,92,FALSE),"unknown")</f>
        <v>Hispanic or Latino</v>
      </c>
      <c r="AR149" s="120" t="str">
        <f>IFERROR(VLOOKUP(Table1[RespondentID],'All Data'!$A$3:$CO$999,93,FALSE),"unknown")</f>
        <v>English</v>
      </c>
      <c r="AS149" s="120" t="str">
        <f>IFERROR(VLOOKUP(Table1[RespondentID],'All Data'!$A$3:$CW$999,94,FALSE),"unknown")</f>
        <v>Over $125,000</v>
      </c>
      <c r="AT149" s="120" t="str">
        <f>IFERROR(VLOOKUP(Table1[RespondentID],'All Data'!$A$3:$CW$999,95,FALSE),"unknown")</f>
        <v>Graduate school</v>
      </c>
      <c r="AU149" s="120" t="str">
        <f>IFERROR(VLOOKUP(Table1[RespondentID],'All Data'!$A$3:$CW$999,96,FALSE),"unknown")</f>
        <v>Employed for wages</v>
      </c>
      <c r="AV149" s="120" t="str">
        <f>IFERROR(VLOOKUP(Table1[RespondentID],'All Data'!$A$3:$CW$999,97,FALSE),"unknown")</f>
        <v>Yes</v>
      </c>
      <c r="AW149" s="120">
        <f>IFERROR(VLOOKUP(Table1[RespondentID],'All Data'!$A$3:$CW$999,98,FALSE),"unknown")</f>
        <v>0</v>
      </c>
      <c r="AX149" s="120">
        <f>IFERROR(VLOOKUP(Table1[RespondentID],'All Data'!$A$3:$CW$999,99,FALSE),"unknown")</f>
        <v>0</v>
      </c>
    </row>
    <row r="150" spans="1:50">
      <c r="A150" s="5">
        <v>18022156601</v>
      </c>
      <c r="B150" s="5"/>
      <c r="C150" s="5"/>
      <c r="D150" s="5"/>
      <c r="E150" s="5"/>
      <c r="F150" s="5"/>
      <c r="G150" s="5"/>
      <c r="H150" s="5"/>
      <c r="I150" s="5" t="s">
        <v>23</v>
      </c>
      <c r="J150" s="5"/>
      <c r="K150" s="5"/>
      <c r="L150" s="5"/>
      <c r="M150" s="5"/>
      <c r="N150" s="5"/>
      <c r="O150" s="7"/>
      <c r="P150" s="7">
        <f t="shared" si="36"/>
        <v>1</v>
      </c>
      <c r="Q150" s="8">
        <f t="shared" si="37"/>
        <v>3</v>
      </c>
      <c r="R150" s="7"/>
      <c r="S150" s="7">
        <f t="shared" si="38"/>
        <v>0</v>
      </c>
      <c r="T150" s="7">
        <f t="shared" si="39"/>
        <v>0</v>
      </c>
      <c r="U150" s="7">
        <f t="shared" si="40"/>
        <v>0</v>
      </c>
      <c r="V150" s="119">
        <f t="shared" si="41"/>
        <v>0</v>
      </c>
      <c r="W150" s="119">
        <f t="shared" si="42"/>
        <v>0</v>
      </c>
      <c r="X150" s="119">
        <f t="shared" si="43"/>
        <v>0</v>
      </c>
      <c r="Y150" s="119">
        <f t="shared" si="44"/>
        <v>0</v>
      </c>
      <c r="Z150" s="119">
        <f t="shared" si="45"/>
        <v>1</v>
      </c>
      <c r="AA150" s="119">
        <f t="shared" si="46"/>
        <v>0</v>
      </c>
      <c r="AB150" s="119">
        <f t="shared" si="47"/>
        <v>0</v>
      </c>
      <c r="AC150" s="119">
        <f t="shared" si="48"/>
        <v>0</v>
      </c>
      <c r="AD150" s="119">
        <f t="shared" si="49"/>
        <v>0</v>
      </c>
      <c r="AE150" s="119">
        <f t="shared" si="50"/>
        <v>0</v>
      </c>
      <c r="AF150" s="7"/>
      <c r="AG150" s="7"/>
      <c r="AH150" s="7">
        <f t="shared" si="51"/>
        <v>1</v>
      </c>
      <c r="AI150" s="7">
        <f t="shared" si="52"/>
        <v>1</v>
      </c>
      <c r="AJ150" s="7" t="str">
        <f t="shared" si="53"/>
        <v>Correct</v>
      </c>
      <c r="AK150" s="7"/>
      <c r="AL150" s="120" t="str">
        <f>IFERROR(VLOOKUP(Table1[RespondentID],'All Data'!$A$3:$CO$999,87,FALSE),"unknown")</f>
        <v>Man</v>
      </c>
      <c r="AM150" s="120">
        <f>IFERROR(VLOOKUP(Table1[RespondentID],'All Data'!$A$3:$CO$999,88,FALSE),"unknown")</f>
        <v>49</v>
      </c>
      <c r="AN150" s="120" t="str">
        <f>IFERROR(VLOOKUP(Table1[RespondentID],'All Data'!$A$3:$CO$999,89,FALSE),"unknown")</f>
        <v>Suffolk</v>
      </c>
      <c r="AO150" s="120" t="str">
        <f>IFERROR(VLOOKUP(Table1[RespondentID],'All Data'!$A$3:$CO$999,90,FALSE),"unknown")</f>
        <v>Kings Park, 11754</v>
      </c>
      <c r="AP150" s="120" t="str">
        <f>IFERROR(VLOOKUP(Table1[RespondentID],'All Data'!$A$3:$CO$999,91,FALSE),"unknown")</f>
        <v>White</v>
      </c>
      <c r="AQ150" s="120" t="str">
        <f>IFERROR(VLOOKUP(Table1[RespondentID],'All Data'!$A$3:$CO$999,92,FALSE),"unknown")</f>
        <v>Hispanic or Latino</v>
      </c>
      <c r="AR150" s="120" t="str">
        <f>IFERROR(VLOOKUP(Table1[RespondentID],'All Data'!$A$3:$CO$999,93,FALSE),"unknown")</f>
        <v>English</v>
      </c>
      <c r="AS150" s="120" t="str">
        <f>IFERROR(VLOOKUP(Table1[RespondentID],'All Data'!$A$3:$CW$999,94,FALSE),"unknown")</f>
        <v>Over $125,000</v>
      </c>
      <c r="AT150" s="120" t="str">
        <f>IFERROR(VLOOKUP(Table1[RespondentID],'All Data'!$A$3:$CW$999,95,FALSE),"unknown")</f>
        <v>High school graduate</v>
      </c>
      <c r="AU150" s="120" t="str">
        <f>IFERROR(VLOOKUP(Table1[RespondentID],'All Data'!$A$3:$CW$999,96,FALSE),"unknown")</f>
        <v>Out of work, but not currently looking</v>
      </c>
      <c r="AV150" s="120" t="str">
        <f>IFERROR(VLOOKUP(Table1[RespondentID],'All Data'!$A$3:$CW$999,97,FALSE),"unknown")</f>
        <v>Yes</v>
      </c>
      <c r="AW150" s="120" t="str">
        <f>IFERROR(VLOOKUP(Table1[RespondentID],'All Data'!$A$3:$CW$999,98,FALSE),"unknown")</f>
        <v>Private/Commercial</v>
      </c>
      <c r="AX150" s="120">
        <f>IFERROR(VLOOKUP(Table1[RespondentID],'All Data'!$A$3:$CW$999,99,FALSE),"unknown")</f>
        <v>0</v>
      </c>
    </row>
    <row r="151" spans="1:50">
      <c r="A151" s="5">
        <v>18022142040</v>
      </c>
      <c r="B151" s="5" t="s">
        <v>16</v>
      </c>
      <c r="C151" s="5"/>
      <c r="D151" s="5"/>
      <c r="E151" s="5"/>
      <c r="F151" s="5"/>
      <c r="G151" s="5"/>
      <c r="H151" s="5"/>
      <c r="I151" s="5"/>
      <c r="J151" s="5"/>
      <c r="K151" s="5"/>
      <c r="L151" s="5"/>
      <c r="M151" s="5"/>
      <c r="N151" s="5"/>
      <c r="O151" s="7"/>
      <c r="P151" s="7">
        <f t="shared" si="36"/>
        <v>1</v>
      </c>
      <c r="Q151" s="9">
        <f t="shared" si="37"/>
        <v>3</v>
      </c>
      <c r="R151" s="7"/>
      <c r="S151" s="7">
        <f t="shared" si="38"/>
        <v>1</v>
      </c>
      <c r="T151" s="7">
        <f t="shared" si="39"/>
        <v>0</v>
      </c>
      <c r="U151" s="7">
        <f t="shared" si="40"/>
        <v>0</v>
      </c>
      <c r="V151" s="119">
        <f t="shared" si="41"/>
        <v>0</v>
      </c>
      <c r="W151" s="119">
        <f t="shared" si="42"/>
        <v>0</v>
      </c>
      <c r="X151" s="119">
        <f t="shared" si="43"/>
        <v>0</v>
      </c>
      <c r="Y151" s="119">
        <f t="shared" si="44"/>
        <v>0</v>
      </c>
      <c r="Z151" s="119">
        <f t="shared" si="45"/>
        <v>0</v>
      </c>
      <c r="AA151" s="119">
        <f t="shared" si="46"/>
        <v>0</v>
      </c>
      <c r="AB151" s="119">
        <f t="shared" si="47"/>
        <v>0</v>
      </c>
      <c r="AC151" s="119">
        <f t="shared" si="48"/>
        <v>0</v>
      </c>
      <c r="AD151" s="119">
        <f t="shared" si="49"/>
        <v>0</v>
      </c>
      <c r="AE151" s="119">
        <f t="shared" si="50"/>
        <v>0</v>
      </c>
      <c r="AF151" s="7"/>
      <c r="AG151" s="7"/>
      <c r="AH151" s="7">
        <f t="shared" si="51"/>
        <v>1</v>
      </c>
      <c r="AI151" s="7">
        <f t="shared" si="52"/>
        <v>1</v>
      </c>
      <c r="AJ151" s="7" t="str">
        <f t="shared" si="53"/>
        <v>Correct</v>
      </c>
      <c r="AK151" s="7"/>
      <c r="AL151" s="120" t="str">
        <f>IFERROR(VLOOKUP(Table1[RespondentID],'All Data'!$A$3:$CO$999,87,FALSE),"unknown")</f>
        <v>Woman</v>
      </c>
      <c r="AM151" s="120">
        <f>IFERROR(VLOOKUP(Table1[RespondentID],'All Data'!$A$3:$CO$999,88,FALSE),"unknown")</f>
        <v>37</v>
      </c>
      <c r="AN151" s="120" t="str">
        <f>IFERROR(VLOOKUP(Table1[RespondentID],'All Data'!$A$3:$CO$999,89,FALSE),"unknown")</f>
        <v>Suffolk</v>
      </c>
      <c r="AO151" s="120" t="str">
        <f>IFERROR(VLOOKUP(Table1[RespondentID],'All Data'!$A$3:$CO$999,90,FALSE),"unknown")</f>
        <v>Miller Place, 11764</v>
      </c>
      <c r="AP151" s="120" t="str">
        <f>IFERROR(VLOOKUP(Table1[RespondentID],'All Data'!$A$3:$CO$999,91,FALSE),"unknown")</f>
        <v>White</v>
      </c>
      <c r="AQ151" s="120" t="str">
        <f>IFERROR(VLOOKUP(Table1[RespondentID],'All Data'!$A$3:$CO$999,92,FALSE),"unknown")</f>
        <v>Hispanic or Latino</v>
      </c>
      <c r="AR151" s="120" t="str">
        <f>IFERROR(VLOOKUP(Table1[RespondentID],'All Data'!$A$3:$CO$999,93,FALSE),"unknown")</f>
        <v>English</v>
      </c>
      <c r="AS151" s="120" t="str">
        <f>IFERROR(VLOOKUP(Table1[RespondentID],'All Data'!$A$3:$CW$999,94,FALSE),"unknown")</f>
        <v>Over $125,000</v>
      </c>
      <c r="AT151" s="120" t="str">
        <f>IFERROR(VLOOKUP(Table1[RespondentID],'All Data'!$A$3:$CW$999,95,FALSE),"unknown")</f>
        <v>Graduate school</v>
      </c>
      <c r="AU151" s="120" t="str">
        <f>IFERROR(VLOOKUP(Table1[RespondentID],'All Data'!$A$3:$CW$999,96,FALSE),"unknown")</f>
        <v>Employed for wages</v>
      </c>
      <c r="AV151" s="120" t="str">
        <f>IFERROR(VLOOKUP(Table1[RespondentID],'All Data'!$A$3:$CW$999,97,FALSE),"unknown")</f>
        <v>Yes</v>
      </c>
      <c r="AW151" s="120" t="str">
        <f>IFERROR(VLOOKUP(Table1[RespondentID],'All Data'!$A$3:$CW$999,98,FALSE),"unknown")</f>
        <v>Private/Commercial</v>
      </c>
      <c r="AX151" s="120" t="str">
        <f>IFERROR(VLOOKUP(Table1[RespondentID],'All Data'!$A$3:$CW$999,99,FALSE),"unknown")</f>
        <v>Yes</v>
      </c>
    </row>
    <row r="152" spans="1:50">
      <c r="A152" s="5">
        <v>18022097237</v>
      </c>
      <c r="B152" s="5"/>
      <c r="C152" s="5"/>
      <c r="D152" s="5"/>
      <c r="E152" s="5"/>
      <c r="F152" s="5"/>
      <c r="G152" s="5"/>
      <c r="H152" s="5" t="s">
        <v>22</v>
      </c>
      <c r="I152" s="5" t="s">
        <v>23</v>
      </c>
      <c r="J152" s="5"/>
      <c r="K152" s="5"/>
      <c r="L152" s="5"/>
      <c r="M152" s="5"/>
      <c r="N152" s="5"/>
      <c r="O152" s="7"/>
      <c r="P152" s="7">
        <f t="shared" si="36"/>
        <v>2</v>
      </c>
      <c r="Q152" s="8">
        <f t="shared" si="37"/>
        <v>1.5</v>
      </c>
      <c r="R152" s="7"/>
      <c r="S152" s="7">
        <f t="shared" si="38"/>
        <v>0</v>
      </c>
      <c r="T152" s="7">
        <f t="shared" si="39"/>
        <v>0</v>
      </c>
      <c r="U152" s="7">
        <f t="shared" si="40"/>
        <v>0</v>
      </c>
      <c r="V152" s="119">
        <f t="shared" si="41"/>
        <v>0</v>
      </c>
      <c r="W152" s="119">
        <f t="shared" si="42"/>
        <v>0</v>
      </c>
      <c r="X152" s="119">
        <f t="shared" si="43"/>
        <v>0</v>
      </c>
      <c r="Y152" s="119">
        <f t="shared" si="44"/>
        <v>1</v>
      </c>
      <c r="Z152" s="119">
        <f t="shared" si="45"/>
        <v>1</v>
      </c>
      <c r="AA152" s="119">
        <f t="shared" si="46"/>
        <v>0</v>
      </c>
      <c r="AB152" s="119">
        <f t="shared" si="47"/>
        <v>0</v>
      </c>
      <c r="AC152" s="119">
        <f t="shared" si="48"/>
        <v>0</v>
      </c>
      <c r="AD152" s="119">
        <f t="shared" si="49"/>
        <v>0</v>
      </c>
      <c r="AE152" s="119">
        <f t="shared" si="50"/>
        <v>0</v>
      </c>
      <c r="AF152" s="7"/>
      <c r="AG152" s="7"/>
      <c r="AH152" s="7">
        <f t="shared" si="51"/>
        <v>2</v>
      </c>
      <c r="AI152" s="7">
        <f t="shared" si="52"/>
        <v>2</v>
      </c>
      <c r="AJ152" s="7" t="str">
        <f t="shared" si="53"/>
        <v>Correct</v>
      </c>
      <c r="AK152" s="7"/>
      <c r="AL152" s="120" t="str">
        <f>IFERROR(VLOOKUP(Table1[RespondentID],'All Data'!$A$3:$CO$999,87,FALSE),"unknown")</f>
        <v>Man</v>
      </c>
      <c r="AM152" s="120">
        <f>IFERROR(VLOOKUP(Table1[RespondentID],'All Data'!$A$3:$CO$999,88,FALSE),"unknown")</f>
        <v>38</v>
      </c>
      <c r="AN152" s="120" t="str">
        <f>IFERROR(VLOOKUP(Table1[RespondentID],'All Data'!$A$3:$CO$999,89,FALSE),"unknown")</f>
        <v>Suffolk</v>
      </c>
      <c r="AO152" s="120" t="str">
        <f>IFERROR(VLOOKUP(Table1[RespondentID],'All Data'!$A$3:$CO$999,90,FALSE),"unknown")</f>
        <v>Saint James, 11780</v>
      </c>
      <c r="AP152" s="120" t="str">
        <f>IFERROR(VLOOKUP(Table1[RespondentID],'All Data'!$A$3:$CO$999,91,FALSE),"unknown")</f>
        <v>White</v>
      </c>
      <c r="AQ152" s="120" t="str">
        <f>IFERROR(VLOOKUP(Table1[RespondentID],'All Data'!$A$3:$CO$999,92,FALSE),"unknown")</f>
        <v>Hispanic or Latino</v>
      </c>
      <c r="AR152" s="120" t="str">
        <f>IFERROR(VLOOKUP(Table1[RespondentID],'All Data'!$A$3:$CO$999,93,FALSE),"unknown")</f>
        <v>English</v>
      </c>
      <c r="AS152" s="120" t="str">
        <f>IFERROR(VLOOKUP(Table1[RespondentID],'All Data'!$A$3:$CW$999,94,FALSE),"unknown")</f>
        <v>Over $125,000</v>
      </c>
      <c r="AT152" s="120" t="str">
        <f>IFERROR(VLOOKUP(Table1[RespondentID],'All Data'!$A$3:$CW$999,95,FALSE),"unknown")</f>
        <v>Graduate school</v>
      </c>
      <c r="AU152" s="120" t="str">
        <f>IFERROR(VLOOKUP(Table1[RespondentID],'All Data'!$A$3:$CW$999,96,FALSE),"unknown")</f>
        <v>Employed for wages</v>
      </c>
      <c r="AV152" s="120" t="str">
        <f>IFERROR(VLOOKUP(Table1[RespondentID],'All Data'!$A$3:$CW$999,97,FALSE),"unknown")</f>
        <v>Yes</v>
      </c>
      <c r="AW152" s="120" t="str">
        <f>IFERROR(VLOOKUP(Table1[RespondentID],'All Data'!$A$3:$CW$999,98,FALSE),"unknown")</f>
        <v>Private/Commercial</v>
      </c>
      <c r="AX152" s="120" t="str">
        <f>IFERROR(VLOOKUP(Table1[RespondentID],'All Data'!$A$3:$CW$999,99,FALSE),"unknown")</f>
        <v>Yes</v>
      </c>
    </row>
    <row r="153" spans="1:50">
      <c r="A153" s="5">
        <v>18022088692</v>
      </c>
      <c r="B153" s="5" t="s">
        <v>16</v>
      </c>
      <c r="C153" s="5"/>
      <c r="D153" s="5" t="s">
        <v>18</v>
      </c>
      <c r="E153" s="5"/>
      <c r="F153" s="5"/>
      <c r="G153" s="5"/>
      <c r="H153" s="5"/>
      <c r="I153" s="5"/>
      <c r="J153" s="5"/>
      <c r="K153" s="5"/>
      <c r="L153" s="5"/>
      <c r="M153" s="5"/>
      <c r="N153" s="5" t="s">
        <v>28</v>
      </c>
      <c r="O153" s="7"/>
      <c r="P153" s="7">
        <f t="shared" si="36"/>
        <v>3</v>
      </c>
      <c r="Q153" s="9">
        <f t="shared" si="37"/>
        <v>1</v>
      </c>
      <c r="R153" s="7"/>
      <c r="S153" s="7">
        <f t="shared" si="38"/>
        <v>1</v>
      </c>
      <c r="T153" s="7">
        <f t="shared" si="39"/>
        <v>0</v>
      </c>
      <c r="U153" s="7">
        <f t="shared" si="40"/>
        <v>1</v>
      </c>
      <c r="V153" s="119">
        <f t="shared" si="41"/>
        <v>0</v>
      </c>
      <c r="W153" s="119">
        <f t="shared" si="42"/>
        <v>0</v>
      </c>
      <c r="X153" s="119">
        <f t="shared" si="43"/>
        <v>0</v>
      </c>
      <c r="Y153" s="119">
        <f t="shared" si="44"/>
        <v>0</v>
      </c>
      <c r="Z153" s="119">
        <f t="shared" si="45"/>
        <v>0</v>
      </c>
      <c r="AA153" s="119">
        <f t="shared" si="46"/>
        <v>0</v>
      </c>
      <c r="AB153" s="119">
        <f t="shared" si="47"/>
        <v>0</v>
      </c>
      <c r="AC153" s="119">
        <f t="shared" si="48"/>
        <v>0</v>
      </c>
      <c r="AD153" s="119">
        <f t="shared" si="49"/>
        <v>0</v>
      </c>
      <c r="AE153" s="119">
        <f t="shared" si="50"/>
        <v>1</v>
      </c>
      <c r="AF153" s="7"/>
      <c r="AG153" s="7"/>
      <c r="AH153" s="7">
        <f t="shared" si="51"/>
        <v>3</v>
      </c>
      <c r="AI153" s="7">
        <f t="shared" si="52"/>
        <v>3</v>
      </c>
      <c r="AJ153" s="7" t="str">
        <f t="shared" si="53"/>
        <v>Correct</v>
      </c>
      <c r="AK153" s="7"/>
      <c r="AL153" s="120" t="str">
        <f>IFERROR(VLOOKUP(Table1[RespondentID],'All Data'!$A$3:$CO$999,87,FALSE),"unknown")</f>
        <v>Man</v>
      </c>
      <c r="AM153" s="120">
        <f>IFERROR(VLOOKUP(Table1[RespondentID],'All Data'!$A$3:$CO$999,88,FALSE),"unknown")</f>
        <v>50</v>
      </c>
      <c r="AN153" s="120" t="str">
        <f>IFERROR(VLOOKUP(Table1[RespondentID],'All Data'!$A$3:$CO$999,89,FALSE),"unknown")</f>
        <v>Suffolk</v>
      </c>
      <c r="AO153" s="120" t="str">
        <f>IFERROR(VLOOKUP(Table1[RespondentID],'All Data'!$A$3:$CO$999,90,FALSE),"unknown")</f>
        <v>Saint James, 11780</v>
      </c>
      <c r="AP153" s="120" t="str">
        <f>IFERROR(VLOOKUP(Table1[RespondentID],'All Data'!$A$3:$CO$999,91,FALSE),"unknown")</f>
        <v>White</v>
      </c>
      <c r="AQ153" s="120" t="str">
        <f>IFERROR(VLOOKUP(Table1[RespondentID],'All Data'!$A$3:$CO$999,92,FALSE),"unknown")</f>
        <v>Hispanic or Latino</v>
      </c>
      <c r="AR153" s="120" t="str">
        <f>IFERROR(VLOOKUP(Table1[RespondentID],'All Data'!$A$3:$CO$999,93,FALSE),"unknown")</f>
        <v>English</v>
      </c>
      <c r="AS153" s="120" t="str">
        <f>IFERROR(VLOOKUP(Table1[RespondentID],'All Data'!$A$3:$CW$999,94,FALSE),"unknown")</f>
        <v>Over $125,000</v>
      </c>
      <c r="AT153" s="120" t="str">
        <f>IFERROR(VLOOKUP(Table1[RespondentID],'All Data'!$A$3:$CW$999,95,FALSE),"unknown")</f>
        <v>Graduate school</v>
      </c>
      <c r="AU153" s="120" t="str">
        <f>IFERROR(VLOOKUP(Table1[RespondentID],'All Data'!$A$3:$CW$999,96,FALSE),"unknown")</f>
        <v>Employed for wages</v>
      </c>
      <c r="AV153" s="120" t="str">
        <f>IFERROR(VLOOKUP(Table1[RespondentID],'All Data'!$A$3:$CW$999,97,FALSE),"unknown")</f>
        <v>Yes</v>
      </c>
      <c r="AW153" s="120" t="str">
        <f>IFERROR(VLOOKUP(Table1[RespondentID],'All Data'!$A$3:$CW$999,98,FALSE),"unknown")</f>
        <v>Private/Commercial</v>
      </c>
      <c r="AX153" s="120" t="str">
        <f>IFERROR(VLOOKUP(Table1[RespondentID],'All Data'!$A$3:$CW$999,99,FALSE),"unknown")</f>
        <v>Yes</v>
      </c>
    </row>
    <row r="154" spans="1:50">
      <c r="A154" s="5">
        <v>18022063568</v>
      </c>
      <c r="B154" s="5"/>
      <c r="C154" s="5" t="s">
        <v>17</v>
      </c>
      <c r="D154" s="5"/>
      <c r="E154" s="5"/>
      <c r="F154" s="5"/>
      <c r="G154" s="5" t="s">
        <v>21</v>
      </c>
      <c r="H154" s="5"/>
      <c r="I154" s="5" t="s">
        <v>23</v>
      </c>
      <c r="J154" s="5"/>
      <c r="K154" s="5"/>
      <c r="L154" s="5"/>
      <c r="M154" s="5"/>
      <c r="N154" s="5"/>
      <c r="O154" s="7"/>
      <c r="P154" s="7">
        <f t="shared" si="36"/>
        <v>3</v>
      </c>
      <c r="Q154" s="8">
        <f t="shared" si="37"/>
        <v>1</v>
      </c>
      <c r="R154" s="7"/>
      <c r="S154" s="7">
        <f t="shared" si="38"/>
        <v>0</v>
      </c>
      <c r="T154" s="7">
        <f t="shared" si="39"/>
        <v>1</v>
      </c>
      <c r="U154" s="7">
        <f t="shared" si="40"/>
        <v>0</v>
      </c>
      <c r="V154" s="119">
        <f t="shared" si="41"/>
        <v>0</v>
      </c>
      <c r="W154" s="119">
        <f t="shared" si="42"/>
        <v>0</v>
      </c>
      <c r="X154" s="119">
        <f t="shared" si="43"/>
        <v>1</v>
      </c>
      <c r="Y154" s="119">
        <f t="shared" si="44"/>
        <v>0</v>
      </c>
      <c r="Z154" s="119">
        <f t="shared" si="45"/>
        <v>1</v>
      </c>
      <c r="AA154" s="119">
        <f t="shared" si="46"/>
        <v>0</v>
      </c>
      <c r="AB154" s="119">
        <f t="shared" si="47"/>
        <v>0</v>
      </c>
      <c r="AC154" s="119">
        <f t="shared" si="48"/>
        <v>0</v>
      </c>
      <c r="AD154" s="119">
        <f t="shared" si="49"/>
        <v>0</v>
      </c>
      <c r="AE154" s="119">
        <f t="shared" si="50"/>
        <v>0</v>
      </c>
      <c r="AF154" s="7"/>
      <c r="AG154" s="7"/>
      <c r="AH154" s="7">
        <f t="shared" si="51"/>
        <v>3</v>
      </c>
      <c r="AI154" s="7">
        <f t="shared" si="52"/>
        <v>3</v>
      </c>
      <c r="AJ154" s="7" t="str">
        <f t="shared" si="53"/>
        <v>Correct</v>
      </c>
      <c r="AK154" s="7"/>
      <c r="AL154" s="120" t="str">
        <f>IFERROR(VLOOKUP(Table1[RespondentID],'All Data'!$A$3:$CO$999,87,FALSE),"unknown")</f>
        <v>Man</v>
      </c>
      <c r="AM154" s="120">
        <f>IFERROR(VLOOKUP(Table1[RespondentID],'All Data'!$A$3:$CO$999,88,FALSE),"unknown")</f>
        <v>66</v>
      </c>
      <c r="AN154" s="120" t="str">
        <f>IFERROR(VLOOKUP(Table1[RespondentID],'All Data'!$A$3:$CO$999,89,FALSE),"unknown")</f>
        <v>Suffolk</v>
      </c>
      <c r="AO154" s="120" t="str">
        <f>IFERROR(VLOOKUP(Table1[RespondentID],'All Data'!$A$3:$CO$999,90,FALSE),"unknown")</f>
        <v>Islip Manor, 11751</v>
      </c>
      <c r="AP154" s="120" t="str">
        <f>IFERROR(VLOOKUP(Table1[RespondentID],'All Data'!$A$3:$CO$999,91,FALSE),"unknown")</f>
        <v>White</v>
      </c>
      <c r="AQ154" s="120" t="str">
        <f>IFERROR(VLOOKUP(Table1[RespondentID],'All Data'!$A$3:$CO$999,92,FALSE),"unknown")</f>
        <v>Hispanic or Latino</v>
      </c>
      <c r="AR154" s="120" t="str">
        <f>IFERROR(VLOOKUP(Table1[RespondentID],'All Data'!$A$3:$CO$999,93,FALSE),"unknown")</f>
        <v>English</v>
      </c>
      <c r="AS154" s="120" t="str">
        <f>IFERROR(VLOOKUP(Table1[RespondentID],'All Data'!$A$3:$CW$999,94,FALSE),"unknown")</f>
        <v>$75,000 to $125,000</v>
      </c>
      <c r="AT154" s="120" t="str">
        <f>IFERROR(VLOOKUP(Table1[RespondentID],'All Data'!$A$3:$CW$999,95,FALSE),"unknown")</f>
        <v>College graduate</v>
      </c>
      <c r="AU154" s="120" t="str">
        <f>IFERROR(VLOOKUP(Table1[RespondentID],'All Data'!$A$3:$CW$999,96,FALSE),"unknown")</f>
        <v>Retired</v>
      </c>
      <c r="AV154" s="120" t="str">
        <f>IFERROR(VLOOKUP(Table1[RespondentID],'All Data'!$A$3:$CW$999,97,FALSE),"unknown")</f>
        <v>Yes</v>
      </c>
      <c r="AW154" s="120" t="str">
        <f>IFERROR(VLOOKUP(Table1[RespondentID],'All Data'!$A$3:$CW$999,98,FALSE),"unknown")</f>
        <v>Medicare, Private/Commercial</v>
      </c>
      <c r="AX154" s="120" t="str">
        <f>IFERROR(VLOOKUP(Table1[RespondentID],'All Data'!$A$3:$CW$999,99,FALSE),"unknown")</f>
        <v>Yes</v>
      </c>
    </row>
    <row r="155" spans="1:50">
      <c r="A155" s="5">
        <v>18021911363</v>
      </c>
      <c r="B155" s="5"/>
      <c r="C155" s="5"/>
      <c r="D155" s="5"/>
      <c r="E155" s="5"/>
      <c r="F155" s="5"/>
      <c r="G155" s="5" t="s">
        <v>21</v>
      </c>
      <c r="H155" s="5"/>
      <c r="I155" s="5" t="s">
        <v>23</v>
      </c>
      <c r="J155" s="5"/>
      <c r="K155" s="5"/>
      <c r="L155" s="5"/>
      <c r="M155" s="5"/>
      <c r="N155" s="5" t="s">
        <v>28</v>
      </c>
      <c r="O155" s="7"/>
      <c r="P155" s="7">
        <f t="shared" si="36"/>
        <v>3</v>
      </c>
      <c r="Q155" s="9">
        <f t="shared" si="37"/>
        <v>1</v>
      </c>
      <c r="R155" s="7"/>
      <c r="S155" s="7">
        <f t="shared" si="38"/>
        <v>0</v>
      </c>
      <c r="T155" s="7">
        <f t="shared" si="39"/>
        <v>0</v>
      </c>
      <c r="U155" s="7">
        <f t="shared" si="40"/>
        <v>0</v>
      </c>
      <c r="V155" s="119">
        <f t="shared" si="41"/>
        <v>0</v>
      </c>
      <c r="W155" s="119">
        <f t="shared" si="42"/>
        <v>0</v>
      </c>
      <c r="X155" s="119">
        <f t="shared" si="43"/>
        <v>1</v>
      </c>
      <c r="Y155" s="119">
        <f t="shared" si="44"/>
        <v>0</v>
      </c>
      <c r="Z155" s="119">
        <f t="shared" si="45"/>
        <v>1</v>
      </c>
      <c r="AA155" s="119">
        <f t="shared" si="46"/>
        <v>0</v>
      </c>
      <c r="AB155" s="119">
        <f t="shared" si="47"/>
        <v>0</v>
      </c>
      <c r="AC155" s="119">
        <f t="shared" si="48"/>
        <v>0</v>
      </c>
      <c r="AD155" s="119">
        <f t="shared" si="49"/>
        <v>0</v>
      </c>
      <c r="AE155" s="119">
        <f t="shared" si="50"/>
        <v>1</v>
      </c>
      <c r="AF155" s="7"/>
      <c r="AG155" s="7"/>
      <c r="AH155" s="7">
        <f t="shared" si="51"/>
        <v>3</v>
      </c>
      <c r="AI155" s="7">
        <f t="shared" si="52"/>
        <v>3</v>
      </c>
      <c r="AJ155" s="7" t="str">
        <f t="shared" si="53"/>
        <v>Correct</v>
      </c>
      <c r="AK155" s="7"/>
      <c r="AL155" s="120" t="str">
        <f>IFERROR(VLOOKUP(Table1[RespondentID],'All Data'!$A$3:$CO$999,87,FALSE),"unknown")</f>
        <v>Man</v>
      </c>
      <c r="AM155" s="120">
        <f>IFERROR(VLOOKUP(Table1[RespondentID],'All Data'!$A$3:$CO$999,88,FALSE),"unknown")</f>
        <v>40</v>
      </c>
      <c r="AN155" s="120" t="str">
        <f>IFERROR(VLOOKUP(Table1[RespondentID],'All Data'!$A$3:$CO$999,89,FALSE),"unknown")</f>
        <v>Suffolk</v>
      </c>
      <c r="AO155" s="120" t="str">
        <f>IFERROR(VLOOKUP(Table1[RespondentID],'All Data'!$A$3:$CO$999,90,FALSE),"unknown")</f>
        <v>Deer Park, 11729</v>
      </c>
      <c r="AP155" s="120" t="str">
        <f>IFERROR(VLOOKUP(Table1[RespondentID],'All Data'!$A$3:$CO$999,91,FALSE),"unknown")</f>
        <v>White</v>
      </c>
      <c r="AQ155" s="120" t="str">
        <f>IFERROR(VLOOKUP(Table1[RespondentID],'All Data'!$A$3:$CO$999,92,FALSE),"unknown")</f>
        <v>Hispanic or Latino</v>
      </c>
      <c r="AR155" s="120" t="str">
        <f>IFERROR(VLOOKUP(Table1[RespondentID],'All Data'!$A$3:$CO$999,93,FALSE),"unknown")</f>
        <v>English</v>
      </c>
      <c r="AS155" s="120" t="str">
        <f>IFERROR(VLOOKUP(Table1[RespondentID],'All Data'!$A$3:$CW$999,94,FALSE),"unknown")</f>
        <v>$75,000 to $125,000</v>
      </c>
      <c r="AT155" s="120" t="str">
        <f>IFERROR(VLOOKUP(Table1[RespondentID],'All Data'!$A$3:$CW$999,95,FALSE),"unknown")</f>
        <v>Graduate school</v>
      </c>
      <c r="AU155" s="120" t="str">
        <f>IFERROR(VLOOKUP(Table1[RespondentID],'All Data'!$A$3:$CW$999,96,FALSE),"unknown")</f>
        <v>Employed for wages</v>
      </c>
      <c r="AV155" s="120" t="str">
        <f>IFERROR(VLOOKUP(Table1[RespondentID],'All Data'!$A$3:$CW$999,97,FALSE),"unknown")</f>
        <v>Yes</v>
      </c>
      <c r="AW155" s="120" t="str">
        <f>IFERROR(VLOOKUP(Table1[RespondentID],'All Data'!$A$3:$CW$999,98,FALSE),"unknown")</f>
        <v>Private/Commercial</v>
      </c>
      <c r="AX155" s="120" t="str">
        <f>IFERROR(VLOOKUP(Table1[RespondentID],'All Data'!$A$3:$CW$999,99,FALSE),"unknown")</f>
        <v>Yes</v>
      </c>
    </row>
    <row r="156" spans="1:50">
      <c r="A156" s="5">
        <v>18021903702</v>
      </c>
      <c r="B156" s="5"/>
      <c r="C156" s="5"/>
      <c r="D156" s="5"/>
      <c r="E156" s="5" t="s">
        <v>19</v>
      </c>
      <c r="F156" s="5"/>
      <c r="G156" s="5"/>
      <c r="H156" s="5"/>
      <c r="I156" s="5" t="s">
        <v>23</v>
      </c>
      <c r="J156" s="5"/>
      <c r="K156" s="5"/>
      <c r="L156" s="5"/>
      <c r="M156" s="5"/>
      <c r="N156" s="5" t="s">
        <v>28</v>
      </c>
      <c r="O156" s="7"/>
      <c r="P156" s="7">
        <f t="shared" si="36"/>
        <v>3</v>
      </c>
      <c r="Q156" s="8">
        <f t="shared" si="37"/>
        <v>1</v>
      </c>
      <c r="R156" s="7"/>
      <c r="S156" s="7">
        <f t="shared" si="38"/>
        <v>0</v>
      </c>
      <c r="T156" s="7">
        <f t="shared" si="39"/>
        <v>0</v>
      </c>
      <c r="U156" s="7">
        <f t="shared" si="40"/>
        <v>0</v>
      </c>
      <c r="V156" s="119">
        <f t="shared" si="41"/>
        <v>1</v>
      </c>
      <c r="W156" s="119">
        <f t="shared" si="42"/>
        <v>0</v>
      </c>
      <c r="X156" s="119">
        <f t="shared" si="43"/>
        <v>0</v>
      </c>
      <c r="Y156" s="119">
        <f t="shared" si="44"/>
        <v>0</v>
      </c>
      <c r="Z156" s="119">
        <f t="shared" si="45"/>
        <v>1</v>
      </c>
      <c r="AA156" s="119">
        <f t="shared" si="46"/>
        <v>0</v>
      </c>
      <c r="AB156" s="119">
        <f t="shared" si="47"/>
        <v>0</v>
      </c>
      <c r="AC156" s="119">
        <f t="shared" si="48"/>
        <v>0</v>
      </c>
      <c r="AD156" s="119">
        <f t="shared" si="49"/>
        <v>0</v>
      </c>
      <c r="AE156" s="119">
        <f t="shared" si="50"/>
        <v>1</v>
      </c>
      <c r="AF156" s="7"/>
      <c r="AG156" s="7"/>
      <c r="AH156" s="7">
        <f t="shared" si="51"/>
        <v>3</v>
      </c>
      <c r="AI156" s="7">
        <f t="shared" si="52"/>
        <v>3</v>
      </c>
      <c r="AJ156" s="7" t="str">
        <f t="shared" si="53"/>
        <v>Correct</v>
      </c>
      <c r="AK156" s="7"/>
      <c r="AL156" s="120" t="str">
        <f>IFERROR(VLOOKUP(Table1[RespondentID],'All Data'!$A$3:$CO$999,87,FALSE),"unknown")</f>
        <v>Man</v>
      </c>
      <c r="AM156" s="120">
        <f>IFERROR(VLOOKUP(Table1[RespondentID],'All Data'!$A$3:$CO$999,88,FALSE),"unknown")</f>
        <v>49</v>
      </c>
      <c r="AN156" s="120" t="str">
        <f>IFERROR(VLOOKUP(Table1[RespondentID],'All Data'!$A$3:$CO$999,89,FALSE),"unknown")</f>
        <v>Suffolk</v>
      </c>
      <c r="AO156" s="120" t="str">
        <f>IFERROR(VLOOKUP(Table1[RespondentID],'All Data'!$A$3:$CO$999,90,FALSE),"unknown")</f>
        <v>Copiague, 11726</v>
      </c>
      <c r="AP156" s="120" t="str">
        <f>IFERROR(VLOOKUP(Table1[RespondentID],'All Data'!$A$3:$CO$999,91,FALSE),"unknown")</f>
        <v>Other (please specify)</v>
      </c>
      <c r="AQ156" s="120" t="str">
        <f>IFERROR(VLOOKUP(Table1[RespondentID],'All Data'!$A$3:$CO$999,92,FALSE),"unknown")</f>
        <v>Not Hispanic or Latino</v>
      </c>
      <c r="AR156" s="120" t="str">
        <f>IFERROR(VLOOKUP(Table1[RespondentID],'All Data'!$A$3:$CO$999,93,FALSE),"unknown")</f>
        <v>English</v>
      </c>
      <c r="AS156" s="120" t="str">
        <f>IFERROR(VLOOKUP(Table1[RespondentID],'All Data'!$A$3:$CW$999,94,FALSE),"unknown")</f>
        <v>Over $125,000</v>
      </c>
      <c r="AT156" s="120" t="str">
        <f>IFERROR(VLOOKUP(Table1[RespondentID],'All Data'!$A$3:$CW$999,95,FALSE),"unknown")</f>
        <v>College graduate</v>
      </c>
      <c r="AU156" s="120" t="str">
        <f>IFERROR(VLOOKUP(Table1[RespondentID],'All Data'!$A$3:$CW$999,96,FALSE),"unknown")</f>
        <v>Employed for wages</v>
      </c>
      <c r="AV156" s="120" t="str">
        <f>IFERROR(VLOOKUP(Table1[RespondentID],'All Data'!$A$3:$CW$999,97,FALSE),"unknown")</f>
        <v>Yes</v>
      </c>
      <c r="AW156" s="120" t="str">
        <f>IFERROR(VLOOKUP(Table1[RespondentID],'All Data'!$A$3:$CW$999,98,FALSE),"unknown")</f>
        <v>Private/Commercial</v>
      </c>
      <c r="AX156" s="120" t="str">
        <f>IFERROR(VLOOKUP(Table1[RespondentID],'All Data'!$A$3:$CW$999,99,FALSE),"unknown")</f>
        <v>Yes</v>
      </c>
    </row>
    <row r="157" spans="1:50">
      <c r="A157" s="5">
        <v>18021801473</v>
      </c>
      <c r="B157" s="5"/>
      <c r="C157" s="5"/>
      <c r="D157" s="5"/>
      <c r="E157" s="5"/>
      <c r="F157" s="5"/>
      <c r="G157" s="5"/>
      <c r="H157" s="5"/>
      <c r="I157" s="5"/>
      <c r="J157" s="5" t="s">
        <v>24</v>
      </c>
      <c r="K157" s="5"/>
      <c r="L157" s="5"/>
      <c r="M157" s="5"/>
      <c r="N157" s="5"/>
      <c r="O157" s="7"/>
      <c r="P157" s="7">
        <f t="shared" si="36"/>
        <v>1</v>
      </c>
      <c r="Q157" s="9">
        <f t="shared" si="37"/>
        <v>3</v>
      </c>
      <c r="R157" s="7"/>
      <c r="S157" s="7">
        <f t="shared" si="38"/>
        <v>0</v>
      </c>
      <c r="T157" s="7">
        <f t="shared" si="39"/>
        <v>0</v>
      </c>
      <c r="U157" s="7">
        <f t="shared" si="40"/>
        <v>0</v>
      </c>
      <c r="V157" s="119">
        <f t="shared" si="41"/>
        <v>0</v>
      </c>
      <c r="W157" s="119">
        <f t="shared" si="42"/>
        <v>0</v>
      </c>
      <c r="X157" s="119">
        <f t="shared" si="43"/>
        <v>0</v>
      </c>
      <c r="Y157" s="119">
        <f t="shared" si="44"/>
        <v>0</v>
      </c>
      <c r="Z157" s="119">
        <f t="shared" si="45"/>
        <v>0</v>
      </c>
      <c r="AA157" s="119">
        <f t="shared" si="46"/>
        <v>1</v>
      </c>
      <c r="AB157" s="119">
        <f t="shared" si="47"/>
        <v>0</v>
      </c>
      <c r="AC157" s="119">
        <f t="shared" si="48"/>
        <v>0</v>
      </c>
      <c r="AD157" s="119">
        <f t="shared" si="49"/>
        <v>0</v>
      </c>
      <c r="AE157" s="119">
        <f t="shared" si="50"/>
        <v>0</v>
      </c>
      <c r="AF157" s="7"/>
      <c r="AG157" s="7"/>
      <c r="AH157" s="7">
        <f t="shared" si="51"/>
        <v>1</v>
      </c>
      <c r="AI157" s="7">
        <f t="shared" si="52"/>
        <v>1</v>
      </c>
      <c r="AJ157" s="7" t="str">
        <f t="shared" si="53"/>
        <v>Correct</v>
      </c>
      <c r="AK157" s="7"/>
      <c r="AL157" s="120" t="str">
        <f>IFERROR(VLOOKUP(Table1[RespondentID],'All Data'!$A$3:$CO$999,87,FALSE),"unknown")</f>
        <v>Man</v>
      </c>
      <c r="AM157" s="120">
        <f>IFERROR(VLOOKUP(Table1[RespondentID],'All Data'!$A$3:$CO$999,88,FALSE),"unknown")</f>
        <v>18</v>
      </c>
      <c r="AN157" s="120">
        <f>IFERROR(VLOOKUP(Table1[RespondentID],'All Data'!$A$3:$CO$999,89,FALSE),"unknown")</f>
        <v>0</v>
      </c>
      <c r="AO157" s="120">
        <f>IFERROR(VLOOKUP(Table1[RespondentID],'All Data'!$A$3:$CO$999,90,FALSE),"unknown")</f>
        <v>0</v>
      </c>
      <c r="AP157" s="120">
        <f>IFERROR(VLOOKUP(Table1[RespondentID],'All Data'!$A$3:$CO$999,91,FALSE),"unknown")</f>
        <v>0</v>
      </c>
      <c r="AQ157" s="120">
        <f>IFERROR(VLOOKUP(Table1[RespondentID],'All Data'!$A$3:$CO$999,92,FALSE),"unknown")</f>
        <v>0</v>
      </c>
      <c r="AR157" s="120">
        <f>IFERROR(VLOOKUP(Table1[RespondentID],'All Data'!$A$3:$CO$999,93,FALSE),"unknown")</f>
        <v>0</v>
      </c>
      <c r="AS157" s="120">
        <f>IFERROR(VLOOKUP(Table1[RespondentID],'All Data'!$A$3:$CW$999,94,FALSE),"unknown")</f>
        <v>0</v>
      </c>
      <c r="AT157" s="120">
        <f>IFERROR(VLOOKUP(Table1[RespondentID],'All Data'!$A$3:$CW$999,95,FALSE),"unknown")</f>
        <v>0</v>
      </c>
      <c r="AU157" s="120">
        <f>IFERROR(VLOOKUP(Table1[RespondentID],'All Data'!$A$3:$CW$999,96,FALSE),"unknown")</f>
        <v>0</v>
      </c>
      <c r="AV157" s="120">
        <f>IFERROR(VLOOKUP(Table1[RespondentID],'All Data'!$A$3:$CW$999,97,FALSE),"unknown")</f>
        <v>0</v>
      </c>
      <c r="AW157" s="120">
        <f>IFERROR(VLOOKUP(Table1[RespondentID],'All Data'!$A$3:$CW$999,98,FALSE),"unknown")</f>
        <v>0</v>
      </c>
      <c r="AX157" s="120">
        <f>IFERROR(VLOOKUP(Table1[RespondentID],'All Data'!$A$3:$CW$999,99,FALSE),"unknown")</f>
        <v>0</v>
      </c>
    </row>
    <row r="158" spans="1:50">
      <c r="A158" s="5">
        <v>18021801305</v>
      </c>
      <c r="B158" s="5"/>
      <c r="C158" s="5"/>
      <c r="D158" s="5"/>
      <c r="E158" s="5" t="s">
        <v>19</v>
      </c>
      <c r="F158" s="5"/>
      <c r="G158" s="5"/>
      <c r="H158" s="5"/>
      <c r="I158" s="5"/>
      <c r="J158" s="5"/>
      <c r="K158" s="5" t="s">
        <v>25</v>
      </c>
      <c r="L158" s="5"/>
      <c r="M158" s="5"/>
      <c r="N158" s="5"/>
      <c r="O158" s="7"/>
      <c r="P158" s="7">
        <f t="shared" si="36"/>
        <v>2</v>
      </c>
      <c r="Q158" s="8">
        <f t="shared" si="37"/>
        <v>1.5</v>
      </c>
      <c r="R158" s="7"/>
      <c r="S158" s="7">
        <f t="shared" si="38"/>
        <v>0</v>
      </c>
      <c r="T158" s="7">
        <f t="shared" si="39"/>
        <v>0</v>
      </c>
      <c r="U158" s="7">
        <f t="shared" si="40"/>
        <v>0</v>
      </c>
      <c r="V158" s="119">
        <f t="shared" si="41"/>
        <v>1</v>
      </c>
      <c r="W158" s="119">
        <f t="shared" si="42"/>
        <v>0</v>
      </c>
      <c r="X158" s="119">
        <f t="shared" si="43"/>
        <v>0</v>
      </c>
      <c r="Y158" s="119">
        <f t="shared" si="44"/>
        <v>0</v>
      </c>
      <c r="Z158" s="119">
        <f t="shared" si="45"/>
        <v>0</v>
      </c>
      <c r="AA158" s="119">
        <f t="shared" si="46"/>
        <v>0</v>
      </c>
      <c r="AB158" s="119">
        <f t="shared" si="47"/>
        <v>1</v>
      </c>
      <c r="AC158" s="119">
        <f t="shared" si="48"/>
        <v>0</v>
      </c>
      <c r="AD158" s="119">
        <f t="shared" si="49"/>
        <v>0</v>
      </c>
      <c r="AE158" s="119">
        <f t="shared" si="50"/>
        <v>0</v>
      </c>
      <c r="AF158" s="7"/>
      <c r="AG158" s="7"/>
      <c r="AH158" s="7">
        <f t="shared" si="51"/>
        <v>2</v>
      </c>
      <c r="AI158" s="7">
        <f t="shared" si="52"/>
        <v>2</v>
      </c>
      <c r="AJ158" s="7" t="str">
        <f t="shared" si="53"/>
        <v>Correct</v>
      </c>
      <c r="AK158" s="7"/>
      <c r="AL158" s="120" t="str">
        <f>IFERROR(VLOOKUP(Table1[RespondentID],'All Data'!$A$3:$CO$999,87,FALSE),"unknown")</f>
        <v>Woman</v>
      </c>
      <c r="AM158" s="120">
        <f>IFERROR(VLOOKUP(Table1[RespondentID],'All Data'!$A$3:$CO$999,88,FALSE),"unknown")</f>
        <v>18</v>
      </c>
      <c r="AN158" s="120" t="str">
        <f>IFERROR(VLOOKUP(Table1[RespondentID],'All Data'!$A$3:$CO$999,89,FALSE),"unknown")</f>
        <v>Suffolk</v>
      </c>
      <c r="AO158" s="120" t="str">
        <f>IFERROR(VLOOKUP(Table1[RespondentID],'All Data'!$A$3:$CO$999,90,FALSE),"unknown")</f>
        <v>Commack, 11725</v>
      </c>
      <c r="AP158" s="120" t="str">
        <f>IFERROR(VLOOKUP(Table1[RespondentID],'All Data'!$A$3:$CO$999,91,FALSE),"unknown")</f>
        <v>American Indian and Alaska Native</v>
      </c>
      <c r="AQ158" s="120" t="str">
        <f>IFERROR(VLOOKUP(Table1[RespondentID],'All Data'!$A$3:$CO$999,92,FALSE),"unknown")</f>
        <v>Hispanic or Latino</v>
      </c>
      <c r="AR158" s="120" t="str">
        <f>IFERROR(VLOOKUP(Table1[RespondentID],'All Data'!$A$3:$CO$999,93,FALSE),"unknown")</f>
        <v>English</v>
      </c>
      <c r="AS158" s="120" t="str">
        <f>IFERROR(VLOOKUP(Table1[RespondentID],'All Data'!$A$3:$CW$999,94,FALSE),"unknown")</f>
        <v>Over $125,000</v>
      </c>
      <c r="AT158" s="120" t="str">
        <f>IFERROR(VLOOKUP(Table1[RespondentID],'All Data'!$A$3:$CW$999,95,FALSE),"unknown")</f>
        <v>High school graduate</v>
      </c>
      <c r="AU158" s="120" t="str">
        <f>IFERROR(VLOOKUP(Table1[RespondentID],'All Data'!$A$3:$CW$999,96,FALSE),"unknown")</f>
        <v>Student</v>
      </c>
      <c r="AV158" s="120" t="str">
        <f>IFERROR(VLOOKUP(Table1[RespondentID],'All Data'!$A$3:$CW$999,97,FALSE),"unknown")</f>
        <v>Yes</v>
      </c>
      <c r="AW158" s="120">
        <f>IFERROR(VLOOKUP(Table1[RespondentID],'All Data'!$A$3:$CW$999,98,FALSE),"unknown")</f>
        <v>0</v>
      </c>
      <c r="AX158" s="120">
        <f>IFERROR(VLOOKUP(Table1[RespondentID],'All Data'!$A$3:$CW$999,99,FALSE),"unknown")</f>
        <v>0</v>
      </c>
    </row>
    <row r="159" spans="1:50">
      <c r="A159" s="5">
        <v>18021801172</v>
      </c>
      <c r="B159" s="5"/>
      <c r="C159" s="5"/>
      <c r="D159" s="5"/>
      <c r="E159" s="5"/>
      <c r="F159" s="5"/>
      <c r="G159" s="5"/>
      <c r="H159" s="5"/>
      <c r="I159" s="5"/>
      <c r="J159" s="5" t="s">
        <v>24</v>
      </c>
      <c r="K159" s="5"/>
      <c r="L159" s="5"/>
      <c r="M159" s="5" t="s">
        <v>27</v>
      </c>
      <c r="N159" s="5" t="s">
        <v>28</v>
      </c>
      <c r="O159" s="7"/>
      <c r="P159" s="7">
        <f t="shared" si="36"/>
        <v>3</v>
      </c>
      <c r="Q159" s="9">
        <f t="shared" si="37"/>
        <v>1</v>
      </c>
      <c r="R159" s="7"/>
      <c r="S159" s="7">
        <f t="shared" si="38"/>
        <v>0</v>
      </c>
      <c r="T159" s="7">
        <f t="shared" si="39"/>
        <v>0</v>
      </c>
      <c r="U159" s="7">
        <f t="shared" si="40"/>
        <v>0</v>
      </c>
      <c r="V159" s="119">
        <f t="shared" si="41"/>
        <v>0</v>
      </c>
      <c r="W159" s="119">
        <f t="shared" si="42"/>
        <v>0</v>
      </c>
      <c r="X159" s="119">
        <f t="shared" si="43"/>
        <v>0</v>
      </c>
      <c r="Y159" s="119">
        <f t="shared" si="44"/>
        <v>0</v>
      </c>
      <c r="Z159" s="119">
        <f t="shared" si="45"/>
        <v>0</v>
      </c>
      <c r="AA159" s="119">
        <f t="shared" si="46"/>
        <v>1</v>
      </c>
      <c r="AB159" s="119">
        <f t="shared" si="47"/>
        <v>0</v>
      </c>
      <c r="AC159" s="119">
        <f t="shared" si="48"/>
        <v>0</v>
      </c>
      <c r="AD159" s="119">
        <f t="shared" si="49"/>
        <v>1</v>
      </c>
      <c r="AE159" s="119">
        <f t="shared" si="50"/>
        <v>1</v>
      </c>
      <c r="AF159" s="7"/>
      <c r="AG159" s="7"/>
      <c r="AH159" s="7">
        <f t="shared" si="51"/>
        <v>3</v>
      </c>
      <c r="AI159" s="7">
        <f t="shared" si="52"/>
        <v>3</v>
      </c>
      <c r="AJ159" s="7" t="str">
        <f t="shared" si="53"/>
        <v>Correct</v>
      </c>
      <c r="AK159" s="7"/>
      <c r="AL159" s="120" t="str">
        <f>IFERROR(VLOOKUP(Table1[RespondentID],'All Data'!$A$3:$CO$999,87,FALSE),"unknown")</f>
        <v>Transgender</v>
      </c>
      <c r="AM159" s="120">
        <f>IFERROR(VLOOKUP(Table1[RespondentID],'All Data'!$A$3:$CO$999,88,FALSE),"unknown")</f>
        <v>27</v>
      </c>
      <c r="AN159" s="120" t="str">
        <f>IFERROR(VLOOKUP(Table1[RespondentID],'All Data'!$A$3:$CO$999,89,FALSE),"unknown")</f>
        <v>Suffolk</v>
      </c>
      <c r="AO159" s="120" t="str">
        <f>IFERROR(VLOOKUP(Table1[RespondentID],'All Data'!$A$3:$CO$999,90,FALSE),"unknown")</f>
        <v>Commack, 11725</v>
      </c>
      <c r="AP159" s="120" t="str">
        <f>IFERROR(VLOOKUP(Table1[RespondentID],'All Data'!$A$3:$CO$999,91,FALSE),"unknown")</f>
        <v>American Indian and Alaska Native</v>
      </c>
      <c r="AQ159" s="120" t="str">
        <f>IFERROR(VLOOKUP(Table1[RespondentID],'All Data'!$A$3:$CO$999,92,FALSE),"unknown")</f>
        <v>Not Hispanic or Latino</v>
      </c>
      <c r="AR159" s="120" t="str">
        <f>IFERROR(VLOOKUP(Table1[RespondentID],'All Data'!$A$3:$CO$999,93,FALSE),"unknown")</f>
        <v>English</v>
      </c>
      <c r="AS159" s="120" t="str">
        <f>IFERROR(VLOOKUP(Table1[RespondentID],'All Data'!$A$3:$CW$999,94,FALSE),"unknown")</f>
        <v>Over $125,000</v>
      </c>
      <c r="AT159" s="120" t="str">
        <f>IFERROR(VLOOKUP(Table1[RespondentID],'All Data'!$A$3:$CW$999,95,FALSE),"unknown")</f>
        <v>Some college</v>
      </c>
      <c r="AU159" s="120" t="str">
        <f>IFERROR(VLOOKUP(Table1[RespondentID],'All Data'!$A$3:$CW$999,96,FALSE),"unknown")</f>
        <v>Self-employed</v>
      </c>
      <c r="AV159" s="120" t="str">
        <f>IFERROR(VLOOKUP(Table1[RespondentID],'All Data'!$A$3:$CW$999,97,FALSE),"unknown")</f>
        <v>Yes</v>
      </c>
      <c r="AW159" s="120">
        <f>IFERROR(VLOOKUP(Table1[RespondentID],'All Data'!$A$3:$CW$999,98,FALSE),"unknown")</f>
        <v>0</v>
      </c>
      <c r="AX159" s="120">
        <f>IFERROR(VLOOKUP(Table1[RespondentID],'All Data'!$A$3:$CW$999,99,FALSE),"unknown")</f>
        <v>0</v>
      </c>
    </row>
    <row r="160" spans="1:50">
      <c r="A160" s="5">
        <v>18021800907</v>
      </c>
      <c r="B160" s="5"/>
      <c r="C160" s="5"/>
      <c r="D160" s="5"/>
      <c r="E160" s="5" t="s">
        <v>19</v>
      </c>
      <c r="F160" s="5"/>
      <c r="G160" s="5"/>
      <c r="H160" s="5"/>
      <c r="I160" s="5"/>
      <c r="J160" s="5"/>
      <c r="K160" s="5" t="s">
        <v>25</v>
      </c>
      <c r="L160" s="5"/>
      <c r="M160" s="5"/>
      <c r="N160" s="5"/>
      <c r="O160" s="7"/>
      <c r="P160" s="7">
        <f t="shared" si="36"/>
        <v>2</v>
      </c>
      <c r="Q160" s="8">
        <f t="shared" si="37"/>
        <v>1.5</v>
      </c>
      <c r="R160" s="7"/>
      <c r="S160" s="7">
        <f t="shared" si="38"/>
        <v>0</v>
      </c>
      <c r="T160" s="7">
        <f t="shared" si="39"/>
        <v>0</v>
      </c>
      <c r="U160" s="7">
        <f t="shared" si="40"/>
        <v>0</v>
      </c>
      <c r="V160" s="119">
        <f t="shared" si="41"/>
        <v>1</v>
      </c>
      <c r="W160" s="119">
        <f t="shared" si="42"/>
        <v>0</v>
      </c>
      <c r="X160" s="119">
        <f t="shared" si="43"/>
        <v>0</v>
      </c>
      <c r="Y160" s="119">
        <f t="shared" si="44"/>
        <v>0</v>
      </c>
      <c r="Z160" s="119">
        <f t="shared" si="45"/>
        <v>0</v>
      </c>
      <c r="AA160" s="119">
        <f t="shared" si="46"/>
        <v>0</v>
      </c>
      <c r="AB160" s="119">
        <f t="shared" si="47"/>
        <v>1</v>
      </c>
      <c r="AC160" s="119">
        <f t="shared" si="48"/>
        <v>0</v>
      </c>
      <c r="AD160" s="119">
        <f t="shared" si="49"/>
        <v>0</v>
      </c>
      <c r="AE160" s="119">
        <f t="shared" si="50"/>
        <v>0</v>
      </c>
      <c r="AF160" s="7"/>
      <c r="AG160" s="7"/>
      <c r="AH160" s="7">
        <f t="shared" si="51"/>
        <v>2</v>
      </c>
      <c r="AI160" s="7">
        <f t="shared" si="52"/>
        <v>2</v>
      </c>
      <c r="AJ160" s="7" t="str">
        <f t="shared" si="53"/>
        <v>Correct</v>
      </c>
      <c r="AK160" s="7"/>
      <c r="AL160" s="120" t="str">
        <f>IFERROR(VLOOKUP(Table1[RespondentID],'All Data'!$A$3:$CO$999,87,FALSE),"unknown")</f>
        <v>Man</v>
      </c>
      <c r="AM160" s="120">
        <f>IFERROR(VLOOKUP(Table1[RespondentID],'All Data'!$A$3:$CO$999,88,FALSE),"unknown")</f>
        <v>43</v>
      </c>
      <c r="AN160" s="120" t="str">
        <f>IFERROR(VLOOKUP(Table1[RespondentID],'All Data'!$A$3:$CO$999,89,FALSE),"unknown")</f>
        <v>Suffolk</v>
      </c>
      <c r="AO160" s="120" t="str">
        <f>IFERROR(VLOOKUP(Table1[RespondentID],'All Data'!$A$3:$CO$999,90,FALSE),"unknown")</f>
        <v>Commack, 11725</v>
      </c>
      <c r="AP160" s="120" t="str">
        <f>IFERROR(VLOOKUP(Table1[RespondentID],'All Data'!$A$3:$CO$999,91,FALSE),"unknown")</f>
        <v>American Indian and Alaska Native</v>
      </c>
      <c r="AQ160" s="120" t="str">
        <f>IFERROR(VLOOKUP(Table1[RespondentID],'All Data'!$A$3:$CO$999,92,FALSE),"unknown")</f>
        <v>Hispanic or Latino</v>
      </c>
      <c r="AR160" s="120" t="str">
        <f>IFERROR(VLOOKUP(Table1[RespondentID],'All Data'!$A$3:$CO$999,93,FALSE),"unknown")</f>
        <v>English, Hindi</v>
      </c>
      <c r="AS160" s="120" t="str">
        <f>IFERROR(VLOOKUP(Table1[RespondentID],'All Data'!$A$3:$CW$999,94,FALSE),"unknown")</f>
        <v>$50,000 to $74,999</v>
      </c>
      <c r="AT160" s="120" t="str">
        <f>IFERROR(VLOOKUP(Table1[RespondentID],'All Data'!$A$3:$CW$999,95,FALSE),"unknown")</f>
        <v>Some high school</v>
      </c>
      <c r="AU160" s="120" t="str">
        <f>IFERROR(VLOOKUP(Table1[RespondentID],'All Data'!$A$3:$CW$999,96,FALSE),"unknown")</f>
        <v>Employed for wages</v>
      </c>
      <c r="AV160" s="120" t="str">
        <f>IFERROR(VLOOKUP(Table1[RespondentID],'All Data'!$A$3:$CW$999,97,FALSE),"unknown")</f>
        <v>Yes</v>
      </c>
      <c r="AW160" s="120">
        <f>IFERROR(VLOOKUP(Table1[RespondentID],'All Data'!$A$3:$CW$999,98,FALSE),"unknown")</f>
        <v>0</v>
      </c>
      <c r="AX160" s="120">
        <f>IFERROR(VLOOKUP(Table1[RespondentID],'All Data'!$A$3:$CW$999,99,FALSE),"unknown")</f>
        <v>0</v>
      </c>
    </row>
    <row r="161" spans="1:50">
      <c r="A161" s="5">
        <v>18021800772</v>
      </c>
      <c r="B161" s="5"/>
      <c r="C161" s="5" t="s">
        <v>17</v>
      </c>
      <c r="D161" s="5" t="s">
        <v>18</v>
      </c>
      <c r="E161" s="5"/>
      <c r="F161" s="5"/>
      <c r="G161" s="5"/>
      <c r="H161" s="5"/>
      <c r="I161" s="5"/>
      <c r="J161" s="5" t="s">
        <v>24</v>
      </c>
      <c r="K161" s="5"/>
      <c r="L161" s="5"/>
      <c r="M161" s="5"/>
      <c r="N161" s="5"/>
      <c r="O161" s="7"/>
      <c r="P161" s="7">
        <f t="shared" si="36"/>
        <v>3</v>
      </c>
      <c r="Q161" s="9">
        <f t="shared" si="37"/>
        <v>1</v>
      </c>
      <c r="R161" s="7"/>
      <c r="S161" s="7">
        <f t="shared" si="38"/>
        <v>0</v>
      </c>
      <c r="T161" s="7">
        <f t="shared" si="39"/>
        <v>1</v>
      </c>
      <c r="U161" s="7">
        <f t="shared" si="40"/>
        <v>1</v>
      </c>
      <c r="V161" s="119">
        <f t="shared" si="41"/>
        <v>0</v>
      </c>
      <c r="W161" s="119">
        <f t="shared" si="42"/>
        <v>0</v>
      </c>
      <c r="X161" s="119">
        <f t="shared" si="43"/>
        <v>0</v>
      </c>
      <c r="Y161" s="119">
        <f t="shared" si="44"/>
        <v>0</v>
      </c>
      <c r="Z161" s="119">
        <f t="shared" si="45"/>
        <v>0</v>
      </c>
      <c r="AA161" s="119">
        <f t="shared" si="46"/>
        <v>1</v>
      </c>
      <c r="AB161" s="119">
        <f t="shared" si="47"/>
        <v>0</v>
      </c>
      <c r="AC161" s="119">
        <f t="shared" si="48"/>
        <v>0</v>
      </c>
      <c r="AD161" s="119">
        <f t="shared" si="49"/>
        <v>0</v>
      </c>
      <c r="AE161" s="119">
        <f t="shared" si="50"/>
        <v>0</v>
      </c>
      <c r="AF161" s="7"/>
      <c r="AG161" s="7"/>
      <c r="AH161" s="7">
        <f t="shared" si="51"/>
        <v>3</v>
      </c>
      <c r="AI161" s="7">
        <f t="shared" si="52"/>
        <v>3</v>
      </c>
      <c r="AJ161" s="7" t="str">
        <f t="shared" si="53"/>
        <v>Correct</v>
      </c>
      <c r="AK161" s="7"/>
      <c r="AL161" s="120" t="str">
        <f>IFERROR(VLOOKUP(Table1[RespondentID],'All Data'!$A$3:$CO$999,87,FALSE),"unknown")</f>
        <v>Woman</v>
      </c>
      <c r="AM161" s="120">
        <f>IFERROR(VLOOKUP(Table1[RespondentID],'All Data'!$A$3:$CO$999,88,FALSE),"unknown")</f>
        <v>42</v>
      </c>
      <c r="AN161" s="120" t="str">
        <f>IFERROR(VLOOKUP(Table1[RespondentID],'All Data'!$A$3:$CO$999,89,FALSE),"unknown")</f>
        <v>Nassau</v>
      </c>
      <c r="AO161" s="120" t="str">
        <f>IFERROR(VLOOKUP(Table1[RespondentID],'All Data'!$A$3:$CO$999,90,FALSE),"unknown")</f>
        <v>Westbury, 11590</v>
      </c>
      <c r="AP161" s="120" t="str">
        <f>IFERROR(VLOOKUP(Table1[RespondentID],'All Data'!$A$3:$CO$999,91,FALSE),"unknown")</f>
        <v>White</v>
      </c>
      <c r="AQ161" s="120" t="str">
        <f>IFERROR(VLOOKUP(Table1[RespondentID],'All Data'!$A$3:$CO$999,92,FALSE),"unknown")</f>
        <v>Hispanic or Latino</v>
      </c>
      <c r="AR161" s="120" t="str">
        <f>IFERROR(VLOOKUP(Table1[RespondentID],'All Data'!$A$3:$CO$999,93,FALSE),"unknown")</f>
        <v>English</v>
      </c>
      <c r="AS161" s="120" t="str">
        <f>IFERROR(VLOOKUP(Table1[RespondentID],'All Data'!$A$3:$CW$999,94,FALSE),"unknown")</f>
        <v>Over $125,000</v>
      </c>
      <c r="AT161" s="120" t="str">
        <f>IFERROR(VLOOKUP(Table1[RespondentID],'All Data'!$A$3:$CW$999,95,FALSE),"unknown")</f>
        <v>Doctorate</v>
      </c>
      <c r="AU161" s="120" t="str">
        <f>IFERROR(VLOOKUP(Table1[RespondentID],'All Data'!$A$3:$CW$999,96,FALSE),"unknown")</f>
        <v>Employed for wages</v>
      </c>
      <c r="AV161" s="120" t="str">
        <f>IFERROR(VLOOKUP(Table1[RespondentID],'All Data'!$A$3:$CW$999,97,FALSE),"unknown")</f>
        <v>Yes</v>
      </c>
      <c r="AW161" s="120">
        <f>IFERROR(VLOOKUP(Table1[RespondentID],'All Data'!$A$3:$CW$999,98,FALSE),"unknown")</f>
        <v>0</v>
      </c>
      <c r="AX161" s="120">
        <f>IFERROR(VLOOKUP(Table1[RespondentID],'All Data'!$A$3:$CW$999,99,FALSE),"unknown")</f>
        <v>0</v>
      </c>
    </row>
    <row r="162" spans="1:50">
      <c r="A162" s="5">
        <v>18021800631</v>
      </c>
      <c r="B162" s="5"/>
      <c r="C162" s="5" t="s">
        <v>17</v>
      </c>
      <c r="D162" s="5" t="s">
        <v>18</v>
      </c>
      <c r="E162" s="5"/>
      <c r="F162" s="5"/>
      <c r="G162" s="5"/>
      <c r="H162" s="5"/>
      <c r="I162" s="5"/>
      <c r="J162" s="5"/>
      <c r="K162" s="5" t="s">
        <v>25</v>
      </c>
      <c r="L162" s="5"/>
      <c r="M162" s="5"/>
      <c r="N162" s="5"/>
      <c r="O162" s="7"/>
      <c r="P162" s="7">
        <f t="shared" si="36"/>
        <v>3</v>
      </c>
      <c r="Q162" s="8">
        <f t="shared" si="37"/>
        <v>1</v>
      </c>
      <c r="R162" s="7"/>
      <c r="S162" s="7">
        <f t="shared" si="38"/>
        <v>0</v>
      </c>
      <c r="T162" s="7">
        <f t="shared" si="39"/>
        <v>1</v>
      </c>
      <c r="U162" s="7">
        <f t="shared" si="40"/>
        <v>1</v>
      </c>
      <c r="V162" s="119">
        <f t="shared" si="41"/>
        <v>0</v>
      </c>
      <c r="W162" s="119">
        <f t="shared" si="42"/>
        <v>0</v>
      </c>
      <c r="X162" s="119">
        <f t="shared" si="43"/>
        <v>0</v>
      </c>
      <c r="Y162" s="119">
        <f t="shared" si="44"/>
        <v>0</v>
      </c>
      <c r="Z162" s="119">
        <f t="shared" si="45"/>
        <v>0</v>
      </c>
      <c r="AA162" s="119">
        <f t="shared" si="46"/>
        <v>0</v>
      </c>
      <c r="AB162" s="119">
        <f t="shared" si="47"/>
        <v>1</v>
      </c>
      <c r="AC162" s="119">
        <f t="shared" si="48"/>
        <v>0</v>
      </c>
      <c r="AD162" s="119">
        <f t="shared" si="49"/>
        <v>0</v>
      </c>
      <c r="AE162" s="119">
        <f t="shared" si="50"/>
        <v>0</v>
      </c>
      <c r="AF162" s="7"/>
      <c r="AG162" s="7"/>
      <c r="AH162" s="7">
        <f t="shared" si="51"/>
        <v>3</v>
      </c>
      <c r="AI162" s="7">
        <f t="shared" si="52"/>
        <v>3</v>
      </c>
      <c r="AJ162" s="7" t="str">
        <f t="shared" si="53"/>
        <v>Correct</v>
      </c>
      <c r="AK162" s="7"/>
      <c r="AL162" s="120" t="str">
        <f>IFERROR(VLOOKUP(Table1[RespondentID],'All Data'!$A$3:$CO$999,87,FALSE),"unknown")</f>
        <v>Man</v>
      </c>
      <c r="AM162" s="120">
        <f>IFERROR(VLOOKUP(Table1[RespondentID],'All Data'!$A$3:$CO$999,88,FALSE),"unknown")</f>
        <v>54</v>
      </c>
      <c r="AN162" s="120" t="str">
        <f>IFERROR(VLOOKUP(Table1[RespondentID],'All Data'!$A$3:$CO$999,89,FALSE),"unknown")</f>
        <v>Nassau</v>
      </c>
      <c r="AO162" s="120" t="str">
        <f>IFERROR(VLOOKUP(Table1[RespondentID],'All Data'!$A$3:$CO$999,90,FALSE),"unknown")</f>
        <v>Bethpage, 11714</v>
      </c>
      <c r="AP162" s="120" t="str">
        <f>IFERROR(VLOOKUP(Table1[RespondentID],'All Data'!$A$3:$CO$999,91,FALSE),"unknown")</f>
        <v>White</v>
      </c>
      <c r="AQ162" s="120" t="str">
        <f>IFERROR(VLOOKUP(Table1[RespondentID],'All Data'!$A$3:$CO$999,92,FALSE),"unknown")</f>
        <v>Hispanic or Latino</v>
      </c>
      <c r="AR162" s="120" t="str">
        <f>IFERROR(VLOOKUP(Table1[RespondentID],'All Data'!$A$3:$CO$999,93,FALSE),"unknown")</f>
        <v>English</v>
      </c>
      <c r="AS162" s="120" t="str">
        <f>IFERROR(VLOOKUP(Table1[RespondentID],'All Data'!$A$3:$CW$999,94,FALSE),"unknown")</f>
        <v>Over $125,000</v>
      </c>
      <c r="AT162" s="120" t="str">
        <f>IFERROR(VLOOKUP(Table1[RespondentID],'All Data'!$A$3:$CW$999,95,FALSE),"unknown")</f>
        <v>Graduate school</v>
      </c>
      <c r="AU162" s="120" t="str">
        <f>IFERROR(VLOOKUP(Table1[RespondentID],'All Data'!$A$3:$CW$999,96,FALSE),"unknown")</f>
        <v>Employed for wages</v>
      </c>
      <c r="AV162" s="120" t="str">
        <f>IFERROR(VLOOKUP(Table1[RespondentID],'All Data'!$A$3:$CW$999,97,FALSE),"unknown")</f>
        <v>Yes</v>
      </c>
      <c r="AW162" s="120">
        <f>IFERROR(VLOOKUP(Table1[RespondentID],'All Data'!$A$3:$CW$999,98,FALSE),"unknown")</f>
        <v>0</v>
      </c>
      <c r="AX162" s="120">
        <f>IFERROR(VLOOKUP(Table1[RespondentID],'All Data'!$A$3:$CW$999,99,FALSE),"unknown")</f>
        <v>0</v>
      </c>
    </row>
    <row r="163" spans="1:50">
      <c r="A163" s="5">
        <v>18021800480</v>
      </c>
      <c r="B163" s="5"/>
      <c r="C163" s="5"/>
      <c r="D163" s="5"/>
      <c r="E163" s="5" t="s">
        <v>19</v>
      </c>
      <c r="F163" s="5"/>
      <c r="G163" s="5"/>
      <c r="H163" s="5"/>
      <c r="I163" s="5"/>
      <c r="J163" s="5"/>
      <c r="K163" s="5"/>
      <c r="L163" s="5"/>
      <c r="M163" s="5"/>
      <c r="N163" s="5"/>
      <c r="O163" s="7"/>
      <c r="P163" s="7">
        <f t="shared" si="36"/>
        <v>1</v>
      </c>
      <c r="Q163" s="9">
        <f t="shared" si="37"/>
        <v>3</v>
      </c>
      <c r="R163" s="7"/>
      <c r="S163" s="7">
        <f t="shared" si="38"/>
        <v>0</v>
      </c>
      <c r="T163" s="7">
        <f t="shared" si="39"/>
        <v>0</v>
      </c>
      <c r="U163" s="7">
        <f t="shared" si="40"/>
        <v>0</v>
      </c>
      <c r="V163" s="119">
        <f t="shared" si="41"/>
        <v>1</v>
      </c>
      <c r="W163" s="119">
        <f t="shared" si="42"/>
        <v>0</v>
      </c>
      <c r="X163" s="119">
        <f t="shared" si="43"/>
        <v>0</v>
      </c>
      <c r="Y163" s="119">
        <f t="shared" si="44"/>
        <v>0</v>
      </c>
      <c r="Z163" s="119">
        <f t="shared" si="45"/>
        <v>0</v>
      </c>
      <c r="AA163" s="119">
        <f t="shared" si="46"/>
        <v>0</v>
      </c>
      <c r="AB163" s="119">
        <f t="shared" si="47"/>
        <v>0</v>
      </c>
      <c r="AC163" s="119">
        <f t="shared" si="48"/>
        <v>0</v>
      </c>
      <c r="AD163" s="119">
        <f t="shared" si="49"/>
        <v>0</v>
      </c>
      <c r="AE163" s="119">
        <f t="shared" si="50"/>
        <v>0</v>
      </c>
      <c r="AF163" s="7"/>
      <c r="AG163" s="7"/>
      <c r="AH163" s="7">
        <f t="shared" si="51"/>
        <v>1</v>
      </c>
      <c r="AI163" s="7">
        <f t="shared" si="52"/>
        <v>1</v>
      </c>
      <c r="AJ163" s="7" t="str">
        <f t="shared" si="53"/>
        <v>Correct</v>
      </c>
      <c r="AK163" s="7"/>
      <c r="AL163" s="120" t="str">
        <f>IFERROR(VLOOKUP(Table1[RespondentID],'All Data'!$A$3:$CO$999,87,FALSE),"unknown")</f>
        <v>Woman</v>
      </c>
      <c r="AM163" s="120">
        <f>IFERROR(VLOOKUP(Table1[RespondentID],'All Data'!$A$3:$CO$999,88,FALSE),"unknown")</f>
        <v>18</v>
      </c>
      <c r="AN163" s="120" t="str">
        <f>IFERROR(VLOOKUP(Table1[RespondentID],'All Data'!$A$3:$CO$999,89,FALSE),"unknown")</f>
        <v>Suffolk</v>
      </c>
      <c r="AO163" s="120" t="str">
        <f>IFERROR(VLOOKUP(Table1[RespondentID],'All Data'!$A$3:$CO$999,90,FALSE),"unknown")</f>
        <v>Commack, 11725</v>
      </c>
      <c r="AP163" s="120" t="str">
        <f>IFERROR(VLOOKUP(Table1[RespondentID],'All Data'!$A$3:$CO$999,91,FALSE),"unknown")</f>
        <v>White</v>
      </c>
      <c r="AQ163" s="120" t="str">
        <f>IFERROR(VLOOKUP(Table1[RespondentID],'All Data'!$A$3:$CO$999,92,FALSE),"unknown")</f>
        <v>Hispanic or Latino</v>
      </c>
      <c r="AR163" s="120" t="str">
        <f>IFERROR(VLOOKUP(Table1[RespondentID],'All Data'!$A$3:$CO$999,93,FALSE),"unknown")</f>
        <v>English</v>
      </c>
      <c r="AS163" s="120" t="str">
        <f>IFERROR(VLOOKUP(Table1[RespondentID],'All Data'!$A$3:$CW$999,94,FALSE),"unknown")</f>
        <v>Over $125,000</v>
      </c>
      <c r="AT163" s="120" t="str">
        <f>IFERROR(VLOOKUP(Table1[RespondentID],'All Data'!$A$3:$CW$999,95,FALSE),"unknown")</f>
        <v>High school graduate</v>
      </c>
      <c r="AU163" s="120" t="str">
        <f>IFERROR(VLOOKUP(Table1[RespondentID],'All Data'!$A$3:$CW$999,96,FALSE),"unknown")</f>
        <v>Employed for wages</v>
      </c>
      <c r="AV163" s="120" t="str">
        <f>IFERROR(VLOOKUP(Table1[RespondentID],'All Data'!$A$3:$CW$999,97,FALSE),"unknown")</f>
        <v>Yes</v>
      </c>
      <c r="AW163" s="120">
        <f>IFERROR(VLOOKUP(Table1[RespondentID],'All Data'!$A$3:$CW$999,98,FALSE),"unknown")</f>
        <v>0</v>
      </c>
      <c r="AX163" s="120">
        <f>IFERROR(VLOOKUP(Table1[RespondentID],'All Data'!$A$3:$CW$999,99,FALSE),"unknown")</f>
        <v>0</v>
      </c>
    </row>
    <row r="164" spans="1:50">
      <c r="A164" s="5">
        <v>18021800333</v>
      </c>
      <c r="B164" s="5"/>
      <c r="C164" s="5"/>
      <c r="D164" s="5"/>
      <c r="E164" s="5"/>
      <c r="F164" s="5"/>
      <c r="G164" s="5"/>
      <c r="H164" s="5"/>
      <c r="I164" s="5"/>
      <c r="J164" s="5"/>
      <c r="K164" s="5" t="s">
        <v>25</v>
      </c>
      <c r="L164" s="5"/>
      <c r="M164" s="5"/>
      <c r="N164" s="5"/>
      <c r="O164" s="7"/>
      <c r="P164" s="7">
        <f t="shared" si="36"/>
        <v>1</v>
      </c>
      <c r="Q164" s="8">
        <f t="shared" si="37"/>
        <v>3</v>
      </c>
      <c r="R164" s="7"/>
      <c r="S164" s="7">
        <f t="shared" si="38"/>
        <v>0</v>
      </c>
      <c r="T164" s="7">
        <f t="shared" si="39"/>
        <v>0</v>
      </c>
      <c r="U164" s="7">
        <f t="shared" si="40"/>
        <v>0</v>
      </c>
      <c r="V164" s="119">
        <f t="shared" si="41"/>
        <v>0</v>
      </c>
      <c r="W164" s="119">
        <f t="shared" si="42"/>
        <v>0</v>
      </c>
      <c r="X164" s="119">
        <f t="shared" si="43"/>
        <v>0</v>
      </c>
      <c r="Y164" s="119">
        <f t="shared" si="44"/>
        <v>0</v>
      </c>
      <c r="Z164" s="119">
        <f t="shared" si="45"/>
        <v>0</v>
      </c>
      <c r="AA164" s="119">
        <f t="shared" si="46"/>
        <v>0</v>
      </c>
      <c r="AB164" s="119">
        <f t="shared" si="47"/>
        <v>1</v>
      </c>
      <c r="AC164" s="119">
        <f t="shared" si="48"/>
        <v>0</v>
      </c>
      <c r="AD164" s="119">
        <f t="shared" si="49"/>
        <v>0</v>
      </c>
      <c r="AE164" s="119">
        <f t="shared" si="50"/>
        <v>0</v>
      </c>
      <c r="AF164" s="7"/>
      <c r="AG164" s="7"/>
      <c r="AH164" s="7">
        <f t="shared" si="51"/>
        <v>1</v>
      </c>
      <c r="AI164" s="7">
        <f t="shared" si="52"/>
        <v>1</v>
      </c>
      <c r="AJ164" s="7" t="str">
        <f t="shared" si="53"/>
        <v>Correct</v>
      </c>
      <c r="AK164" s="7"/>
      <c r="AL164" s="120" t="str">
        <f>IFERROR(VLOOKUP(Table1[RespondentID],'All Data'!$A$3:$CO$999,87,FALSE),"unknown")</f>
        <v>Woman</v>
      </c>
      <c r="AM164" s="120">
        <f>IFERROR(VLOOKUP(Table1[RespondentID],'All Data'!$A$3:$CO$999,88,FALSE),"unknown")</f>
        <v>18</v>
      </c>
      <c r="AN164" s="120" t="str">
        <f>IFERROR(VLOOKUP(Table1[RespondentID],'All Data'!$A$3:$CO$999,89,FALSE),"unknown")</f>
        <v>Suffolk</v>
      </c>
      <c r="AO164" s="120" t="str">
        <f>IFERROR(VLOOKUP(Table1[RespondentID],'All Data'!$A$3:$CO$999,90,FALSE),"unknown")</f>
        <v>Dix Hills, 11746</v>
      </c>
      <c r="AP164" s="120" t="str">
        <f>IFERROR(VLOOKUP(Table1[RespondentID],'All Data'!$A$3:$CO$999,91,FALSE),"unknown")</f>
        <v>American Indian and Alaska Native</v>
      </c>
      <c r="AQ164" s="120" t="str">
        <f>IFERROR(VLOOKUP(Table1[RespondentID],'All Data'!$A$3:$CO$999,92,FALSE),"unknown")</f>
        <v>Hispanic or Latino</v>
      </c>
      <c r="AR164" s="120" t="str">
        <f>IFERROR(VLOOKUP(Table1[RespondentID],'All Data'!$A$3:$CO$999,93,FALSE),"unknown")</f>
        <v>English, Korean</v>
      </c>
      <c r="AS164" s="120" t="str">
        <f>IFERROR(VLOOKUP(Table1[RespondentID],'All Data'!$A$3:$CW$999,94,FALSE),"unknown")</f>
        <v>Over $125,000</v>
      </c>
      <c r="AT164" s="120" t="str">
        <f>IFERROR(VLOOKUP(Table1[RespondentID],'All Data'!$A$3:$CW$999,95,FALSE),"unknown")</f>
        <v>Some high school</v>
      </c>
      <c r="AU164" s="120" t="str">
        <f>IFERROR(VLOOKUP(Table1[RespondentID],'All Data'!$A$3:$CW$999,96,FALSE),"unknown")</f>
        <v>Self-employed</v>
      </c>
      <c r="AV164" s="120" t="str">
        <f>IFERROR(VLOOKUP(Table1[RespondentID],'All Data'!$A$3:$CW$999,97,FALSE),"unknown")</f>
        <v>Yes</v>
      </c>
      <c r="AW164" s="120">
        <f>IFERROR(VLOOKUP(Table1[RespondentID],'All Data'!$A$3:$CW$999,98,FALSE),"unknown")</f>
        <v>0</v>
      </c>
      <c r="AX164" s="120">
        <f>IFERROR(VLOOKUP(Table1[RespondentID],'All Data'!$A$3:$CW$999,99,FALSE),"unknown")</f>
        <v>0</v>
      </c>
    </row>
    <row r="165" spans="1:50">
      <c r="A165" s="5">
        <v>18021800200</v>
      </c>
      <c r="B165" s="5"/>
      <c r="C165" s="5"/>
      <c r="D165" s="5"/>
      <c r="E165" s="5"/>
      <c r="F165" s="5"/>
      <c r="G165" s="5"/>
      <c r="H165" s="5"/>
      <c r="I165" s="5"/>
      <c r="J165" s="5"/>
      <c r="K165" s="5" t="s">
        <v>25</v>
      </c>
      <c r="L165" s="5"/>
      <c r="M165" s="5"/>
      <c r="N165" s="5"/>
      <c r="O165" s="7"/>
      <c r="P165" s="7">
        <f t="shared" si="36"/>
        <v>1</v>
      </c>
      <c r="Q165" s="9">
        <f t="shared" si="37"/>
        <v>3</v>
      </c>
      <c r="R165" s="7"/>
      <c r="S165" s="7">
        <f t="shared" si="38"/>
        <v>0</v>
      </c>
      <c r="T165" s="7">
        <f t="shared" si="39"/>
        <v>0</v>
      </c>
      <c r="U165" s="7">
        <f t="shared" si="40"/>
        <v>0</v>
      </c>
      <c r="V165" s="119">
        <f t="shared" si="41"/>
        <v>0</v>
      </c>
      <c r="W165" s="119">
        <f t="shared" si="42"/>
        <v>0</v>
      </c>
      <c r="X165" s="119">
        <f t="shared" si="43"/>
        <v>0</v>
      </c>
      <c r="Y165" s="119">
        <f t="shared" si="44"/>
        <v>0</v>
      </c>
      <c r="Z165" s="119">
        <f t="shared" si="45"/>
        <v>0</v>
      </c>
      <c r="AA165" s="119">
        <f t="shared" si="46"/>
        <v>0</v>
      </c>
      <c r="AB165" s="119">
        <f t="shared" si="47"/>
        <v>1</v>
      </c>
      <c r="AC165" s="119">
        <f t="shared" si="48"/>
        <v>0</v>
      </c>
      <c r="AD165" s="119">
        <f t="shared" si="49"/>
        <v>0</v>
      </c>
      <c r="AE165" s="119">
        <f t="shared" si="50"/>
        <v>0</v>
      </c>
      <c r="AF165" s="7"/>
      <c r="AG165" s="7"/>
      <c r="AH165" s="7">
        <f t="shared" si="51"/>
        <v>1</v>
      </c>
      <c r="AI165" s="7">
        <f t="shared" si="52"/>
        <v>1</v>
      </c>
      <c r="AJ165" s="7" t="str">
        <f t="shared" si="53"/>
        <v>Correct</v>
      </c>
      <c r="AK165" s="7"/>
      <c r="AL165" s="120" t="str">
        <f>IFERROR(VLOOKUP(Table1[RespondentID],'All Data'!$A$3:$CO$999,87,FALSE),"unknown")</f>
        <v>Woman</v>
      </c>
      <c r="AM165" s="120">
        <f>IFERROR(VLOOKUP(Table1[RespondentID],'All Data'!$A$3:$CO$999,88,FALSE),"unknown")</f>
        <v>18</v>
      </c>
      <c r="AN165" s="120" t="str">
        <f>IFERROR(VLOOKUP(Table1[RespondentID],'All Data'!$A$3:$CO$999,89,FALSE),"unknown")</f>
        <v>Suffolk</v>
      </c>
      <c r="AO165" s="120" t="str">
        <f>IFERROR(VLOOKUP(Table1[RespondentID],'All Data'!$A$3:$CO$999,90,FALSE),"unknown")</f>
        <v>Commack, 11725</v>
      </c>
      <c r="AP165" s="120" t="str">
        <f>IFERROR(VLOOKUP(Table1[RespondentID],'All Data'!$A$3:$CO$999,91,FALSE),"unknown")</f>
        <v>American Indian and Alaska Native</v>
      </c>
      <c r="AQ165" s="120" t="str">
        <f>IFERROR(VLOOKUP(Table1[RespondentID],'All Data'!$A$3:$CO$999,92,FALSE),"unknown")</f>
        <v>Hispanic or Latino</v>
      </c>
      <c r="AR165" s="120" t="str">
        <f>IFERROR(VLOOKUP(Table1[RespondentID],'All Data'!$A$3:$CO$999,93,FALSE),"unknown")</f>
        <v>English, Korean</v>
      </c>
      <c r="AS165" s="120" t="str">
        <f>IFERROR(VLOOKUP(Table1[RespondentID],'All Data'!$A$3:$CW$999,94,FALSE),"unknown")</f>
        <v>$75,000 to $125,000</v>
      </c>
      <c r="AT165" s="120" t="str">
        <f>IFERROR(VLOOKUP(Table1[RespondentID],'All Data'!$A$3:$CW$999,95,FALSE),"unknown")</f>
        <v>Some high school</v>
      </c>
      <c r="AU165" s="120" t="str">
        <f>IFERROR(VLOOKUP(Table1[RespondentID],'All Data'!$A$3:$CW$999,96,FALSE),"unknown")</f>
        <v>Student</v>
      </c>
      <c r="AV165" s="120" t="str">
        <f>IFERROR(VLOOKUP(Table1[RespondentID],'All Data'!$A$3:$CW$999,97,FALSE),"unknown")</f>
        <v>Yes</v>
      </c>
      <c r="AW165" s="120">
        <f>IFERROR(VLOOKUP(Table1[RespondentID],'All Data'!$A$3:$CW$999,98,FALSE),"unknown")</f>
        <v>0</v>
      </c>
      <c r="AX165" s="120">
        <f>IFERROR(VLOOKUP(Table1[RespondentID],'All Data'!$A$3:$CW$999,99,FALSE),"unknown")</f>
        <v>0</v>
      </c>
    </row>
    <row r="166" spans="1:50">
      <c r="A166" s="5">
        <v>18021800054</v>
      </c>
      <c r="B166" s="5"/>
      <c r="C166" s="5"/>
      <c r="D166" s="5"/>
      <c r="E166" s="5"/>
      <c r="F166" s="5"/>
      <c r="G166" s="5"/>
      <c r="H166" s="5"/>
      <c r="I166" s="5"/>
      <c r="J166" s="5"/>
      <c r="K166" s="5" t="s">
        <v>25</v>
      </c>
      <c r="L166" s="5" t="s">
        <v>26</v>
      </c>
      <c r="M166" s="5" t="s">
        <v>27</v>
      </c>
      <c r="N166" s="5"/>
      <c r="O166" s="7"/>
      <c r="P166" s="7">
        <f t="shared" si="36"/>
        <v>3</v>
      </c>
      <c r="Q166" s="8">
        <f t="shared" si="37"/>
        <v>1</v>
      </c>
      <c r="R166" s="7"/>
      <c r="S166" s="7">
        <f t="shared" si="38"/>
        <v>0</v>
      </c>
      <c r="T166" s="7">
        <f t="shared" si="39"/>
        <v>0</v>
      </c>
      <c r="U166" s="7">
        <f t="shared" si="40"/>
        <v>0</v>
      </c>
      <c r="V166" s="119">
        <f t="shared" si="41"/>
        <v>0</v>
      </c>
      <c r="W166" s="119">
        <f t="shared" si="42"/>
        <v>0</v>
      </c>
      <c r="X166" s="119">
        <f t="shared" si="43"/>
        <v>0</v>
      </c>
      <c r="Y166" s="119">
        <f t="shared" si="44"/>
        <v>0</v>
      </c>
      <c r="Z166" s="119">
        <f t="shared" si="45"/>
        <v>0</v>
      </c>
      <c r="AA166" s="119">
        <f t="shared" si="46"/>
        <v>0</v>
      </c>
      <c r="AB166" s="119">
        <f t="shared" si="47"/>
        <v>1</v>
      </c>
      <c r="AC166" s="119">
        <f t="shared" si="48"/>
        <v>1</v>
      </c>
      <c r="AD166" s="119">
        <f t="shared" si="49"/>
        <v>1</v>
      </c>
      <c r="AE166" s="119">
        <f t="shared" si="50"/>
        <v>0</v>
      </c>
      <c r="AF166" s="7"/>
      <c r="AG166" s="7"/>
      <c r="AH166" s="7">
        <f t="shared" si="51"/>
        <v>3</v>
      </c>
      <c r="AI166" s="7">
        <f t="shared" si="52"/>
        <v>3</v>
      </c>
      <c r="AJ166" s="7" t="str">
        <f t="shared" si="53"/>
        <v>Correct</v>
      </c>
      <c r="AK166" s="7"/>
      <c r="AL166" s="120" t="str">
        <f>IFERROR(VLOOKUP(Table1[RespondentID],'All Data'!$A$3:$CO$999,87,FALSE),"unknown")</f>
        <v>Woman</v>
      </c>
      <c r="AM166" s="120">
        <f>IFERROR(VLOOKUP(Table1[RespondentID],'All Data'!$A$3:$CO$999,88,FALSE),"unknown")</f>
        <v>18</v>
      </c>
      <c r="AN166" s="120" t="str">
        <f>IFERROR(VLOOKUP(Table1[RespondentID],'All Data'!$A$3:$CO$999,89,FALSE),"unknown")</f>
        <v>Suffolk</v>
      </c>
      <c r="AO166" s="120" t="str">
        <f>IFERROR(VLOOKUP(Table1[RespondentID],'All Data'!$A$3:$CO$999,90,FALSE),"unknown")</f>
        <v>Commack, 11725</v>
      </c>
      <c r="AP166" s="120" t="str">
        <f>IFERROR(VLOOKUP(Table1[RespondentID],'All Data'!$A$3:$CO$999,91,FALSE),"unknown")</f>
        <v>White</v>
      </c>
      <c r="AQ166" s="120" t="str">
        <f>IFERROR(VLOOKUP(Table1[RespondentID],'All Data'!$A$3:$CO$999,92,FALSE),"unknown")</f>
        <v>Hispanic or Latino</v>
      </c>
      <c r="AR166" s="120" t="str">
        <f>IFERROR(VLOOKUP(Table1[RespondentID],'All Data'!$A$3:$CO$999,93,FALSE),"unknown")</f>
        <v>English</v>
      </c>
      <c r="AS166" s="120" t="str">
        <f>IFERROR(VLOOKUP(Table1[RespondentID],'All Data'!$A$3:$CW$999,94,FALSE),"unknown")</f>
        <v>Over $125,000</v>
      </c>
      <c r="AT166" s="120" t="str">
        <f>IFERROR(VLOOKUP(Table1[RespondentID],'All Data'!$A$3:$CW$999,95,FALSE),"unknown")</f>
        <v>High school graduate</v>
      </c>
      <c r="AU166" s="120" t="str">
        <f>IFERROR(VLOOKUP(Table1[RespondentID],'All Data'!$A$3:$CW$999,96,FALSE),"unknown")</f>
        <v>Employed for wages</v>
      </c>
      <c r="AV166" s="120" t="str">
        <f>IFERROR(VLOOKUP(Table1[RespondentID],'All Data'!$A$3:$CW$999,97,FALSE),"unknown")</f>
        <v>Yes</v>
      </c>
      <c r="AW166" s="120">
        <f>IFERROR(VLOOKUP(Table1[RespondentID],'All Data'!$A$3:$CW$999,98,FALSE),"unknown")</f>
        <v>0</v>
      </c>
      <c r="AX166" s="120">
        <f>IFERROR(VLOOKUP(Table1[RespondentID],'All Data'!$A$3:$CW$999,99,FALSE),"unknown")</f>
        <v>0</v>
      </c>
    </row>
    <row r="167" spans="1:50">
      <c r="A167" s="5">
        <v>18021799930</v>
      </c>
      <c r="B167" s="5"/>
      <c r="C167" s="5"/>
      <c r="D167" s="5"/>
      <c r="E167" s="5" t="s">
        <v>19</v>
      </c>
      <c r="F167" s="5"/>
      <c r="G167" s="5"/>
      <c r="H167" s="5"/>
      <c r="I167" s="5"/>
      <c r="J167" s="5"/>
      <c r="K167" s="5"/>
      <c r="L167" s="5"/>
      <c r="M167" s="5"/>
      <c r="N167" s="5"/>
      <c r="O167" s="7"/>
      <c r="P167" s="7">
        <f t="shared" si="36"/>
        <v>1</v>
      </c>
      <c r="Q167" s="9">
        <f t="shared" si="37"/>
        <v>3</v>
      </c>
      <c r="R167" s="7"/>
      <c r="S167" s="7">
        <f t="shared" si="38"/>
        <v>0</v>
      </c>
      <c r="T167" s="7">
        <f t="shared" si="39"/>
        <v>0</v>
      </c>
      <c r="U167" s="7">
        <f t="shared" si="40"/>
        <v>0</v>
      </c>
      <c r="V167" s="119">
        <f t="shared" si="41"/>
        <v>1</v>
      </c>
      <c r="W167" s="119">
        <f t="shared" si="42"/>
        <v>0</v>
      </c>
      <c r="X167" s="119">
        <f t="shared" si="43"/>
        <v>0</v>
      </c>
      <c r="Y167" s="119">
        <f t="shared" si="44"/>
        <v>0</v>
      </c>
      <c r="Z167" s="119">
        <f t="shared" si="45"/>
        <v>0</v>
      </c>
      <c r="AA167" s="119">
        <f t="shared" si="46"/>
        <v>0</v>
      </c>
      <c r="AB167" s="119">
        <f t="shared" si="47"/>
        <v>0</v>
      </c>
      <c r="AC167" s="119">
        <f t="shared" si="48"/>
        <v>0</v>
      </c>
      <c r="AD167" s="119">
        <f t="shared" si="49"/>
        <v>0</v>
      </c>
      <c r="AE167" s="119">
        <f t="shared" si="50"/>
        <v>0</v>
      </c>
      <c r="AF167" s="7"/>
      <c r="AG167" s="7"/>
      <c r="AH167" s="7">
        <f t="shared" si="51"/>
        <v>1</v>
      </c>
      <c r="AI167" s="7">
        <f t="shared" si="52"/>
        <v>1</v>
      </c>
      <c r="AJ167" s="7" t="str">
        <f t="shared" si="53"/>
        <v>Correct</v>
      </c>
      <c r="AK167" s="7"/>
      <c r="AL167" s="120" t="str">
        <f>IFERROR(VLOOKUP(Table1[RespondentID],'All Data'!$A$3:$CO$999,87,FALSE),"unknown")</f>
        <v>Woman</v>
      </c>
      <c r="AM167" s="120">
        <f>IFERROR(VLOOKUP(Table1[RespondentID],'All Data'!$A$3:$CO$999,88,FALSE),"unknown")</f>
        <v>18</v>
      </c>
      <c r="AN167" s="120" t="str">
        <f>IFERROR(VLOOKUP(Table1[RespondentID],'All Data'!$A$3:$CO$999,89,FALSE),"unknown")</f>
        <v>Suffolk</v>
      </c>
      <c r="AO167" s="120" t="str">
        <f>IFERROR(VLOOKUP(Table1[RespondentID],'All Data'!$A$3:$CO$999,90,FALSE),"unknown")</f>
        <v>Commack, 11725</v>
      </c>
      <c r="AP167" s="120" t="str">
        <f>IFERROR(VLOOKUP(Table1[RespondentID],'All Data'!$A$3:$CO$999,91,FALSE),"unknown")</f>
        <v>American Indian and Alaska Native</v>
      </c>
      <c r="AQ167" s="120" t="str">
        <f>IFERROR(VLOOKUP(Table1[RespondentID],'All Data'!$A$3:$CO$999,92,FALSE),"unknown")</f>
        <v>Hispanic or Latino</v>
      </c>
      <c r="AR167" s="120" t="str">
        <f>IFERROR(VLOOKUP(Table1[RespondentID],'All Data'!$A$3:$CO$999,93,FALSE),"unknown")</f>
        <v>English, Korean</v>
      </c>
      <c r="AS167" s="120" t="str">
        <f>IFERROR(VLOOKUP(Table1[RespondentID],'All Data'!$A$3:$CW$999,94,FALSE),"unknown")</f>
        <v>$20,000 to $34,999</v>
      </c>
      <c r="AT167" s="120" t="str">
        <f>IFERROR(VLOOKUP(Table1[RespondentID],'All Data'!$A$3:$CW$999,95,FALSE),"unknown")</f>
        <v>Some high school</v>
      </c>
      <c r="AU167" s="120" t="str">
        <f>IFERROR(VLOOKUP(Table1[RespondentID],'All Data'!$A$3:$CW$999,96,FALSE),"unknown")</f>
        <v>Employed for wages</v>
      </c>
      <c r="AV167" s="120" t="str">
        <f>IFERROR(VLOOKUP(Table1[RespondentID],'All Data'!$A$3:$CW$999,97,FALSE),"unknown")</f>
        <v>Yes</v>
      </c>
      <c r="AW167" s="120">
        <f>IFERROR(VLOOKUP(Table1[RespondentID],'All Data'!$A$3:$CW$999,98,FALSE),"unknown")</f>
        <v>0</v>
      </c>
      <c r="AX167" s="120">
        <f>IFERROR(VLOOKUP(Table1[RespondentID],'All Data'!$A$3:$CW$999,99,FALSE),"unknown")</f>
        <v>0</v>
      </c>
    </row>
    <row r="168" spans="1:50">
      <c r="A168" s="5">
        <v>18021799815</v>
      </c>
      <c r="B168" s="5"/>
      <c r="C168" s="5" t="s">
        <v>17</v>
      </c>
      <c r="D168" s="5" t="s">
        <v>18</v>
      </c>
      <c r="E168" s="5"/>
      <c r="F168" s="5"/>
      <c r="G168" s="5"/>
      <c r="H168" s="5" t="s">
        <v>22</v>
      </c>
      <c r="I168" s="5"/>
      <c r="J168" s="5"/>
      <c r="K168" s="5"/>
      <c r="L168" s="5"/>
      <c r="M168" s="5"/>
      <c r="N168" s="5"/>
      <c r="O168" s="7"/>
      <c r="P168" s="7">
        <f t="shared" si="36"/>
        <v>3</v>
      </c>
      <c r="Q168" s="8">
        <f t="shared" si="37"/>
        <v>1</v>
      </c>
      <c r="R168" s="7"/>
      <c r="S168" s="7">
        <f t="shared" si="38"/>
        <v>0</v>
      </c>
      <c r="T168" s="7">
        <f t="shared" si="39"/>
        <v>1</v>
      </c>
      <c r="U168" s="7">
        <f t="shared" si="40"/>
        <v>1</v>
      </c>
      <c r="V168" s="119">
        <f t="shared" si="41"/>
        <v>0</v>
      </c>
      <c r="W168" s="119">
        <f t="shared" si="42"/>
        <v>0</v>
      </c>
      <c r="X168" s="119">
        <f t="shared" si="43"/>
        <v>0</v>
      </c>
      <c r="Y168" s="119">
        <f t="shared" si="44"/>
        <v>1</v>
      </c>
      <c r="Z168" s="119">
        <f t="shared" si="45"/>
        <v>0</v>
      </c>
      <c r="AA168" s="119">
        <f t="shared" si="46"/>
        <v>0</v>
      </c>
      <c r="AB168" s="119">
        <f t="shared" si="47"/>
        <v>0</v>
      </c>
      <c r="AC168" s="119">
        <f t="shared" si="48"/>
        <v>0</v>
      </c>
      <c r="AD168" s="119">
        <f t="shared" si="49"/>
        <v>0</v>
      </c>
      <c r="AE168" s="119">
        <f t="shared" si="50"/>
        <v>0</v>
      </c>
      <c r="AF168" s="7"/>
      <c r="AG168" s="7"/>
      <c r="AH168" s="7">
        <f t="shared" si="51"/>
        <v>3</v>
      </c>
      <c r="AI168" s="7">
        <f t="shared" si="52"/>
        <v>3</v>
      </c>
      <c r="AJ168" s="7" t="str">
        <f t="shared" si="53"/>
        <v>Correct</v>
      </c>
      <c r="AK168" s="7"/>
      <c r="AL168" s="120" t="str">
        <f>IFERROR(VLOOKUP(Table1[RespondentID],'All Data'!$A$3:$CO$999,87,FALSE),"unknown")</f>
        <v>Woman</v>
      </c>
      <c r="AM168" s="120">
        <f>IFERROR(VLOOKUP(Table1[RespondentID],'All Data'!$A$3:$CO$999,88,FALSE),"unknown")</f>
        <v>18</v>
      </c>
      <c r="AN168" s="120" t="str">
        <f>IFERROR(VLOOKUP(Table1[RespondentID],'All Data'!$A$3:$CO$999,89,FALSE),"unknown")</f>
        <v>Suffolk</v>
      </c>
      <c r="AO168" s="120" t="str">
        <f>IFERROR(VLOOKUP(Table1[RespondentID],'All Data'!$A$3:$CO$999,90,FALSE),"unknown")</f>
        <v>Commack, 11725</v>
      </c>
      <c r="AP168" s="120" t="str">
        <f>IFERROR(VLOOKUP(Table1[RespondentID],'All Data'!$A$3:$CO$999,91,FALSE),"unknown")</f>
        <v>White</v>
      </c>
      <c r="AQ168" s="120" t="str">
        <f>IFERROR(VLOOKUP(Table1[RespondentID],'All Data'!$A$3:$CO$999,92,FALSE),"unknown")</f>
        <v>Hispanic or Latino</v>
      </c>
      <c r="AR168" s="120" t="str">
        <f>IFERROR(VLOOKUP(Table1[RespondentID],'All Data'!$A$3:$CO$999,93,FALSE),"unknown")</f>
        <v>English</v>
      </c>
      <c r="AS168" s="120" t="str">
        <f>IFERROR(VLOOKUP(Table1[RespondentID],'All Data'!$A$3:$CW$999,94,FALSE),"unknown")</f>
        <v>Over $125,000</v>
      </c>
      <c r="AT168" s="120" t="str">
        <f>IFERROR(VLOOKUP(Table1[RespondentID],'All Data'!$A$3:$CW$999,95,FALSE),"unknown")</f>
        <v>Some high school</v>
      </c>
      <c r="AU168" s="120" t="str">
        <f>IFERROR(VLOOKUP(Table1[RespondentID],'All Data'!$A$3:$CW$999,96,FALSE),"unknown")</f>
        <v>Employed for wages</v>
      </c>
      <c r="AV168" s="120" t="str">
        <f>IFERROR(VLOOKUP(Table1[RespondentID],'All Data'!$A$3:$CW$999,97,FALSE),"unknown")</f>
        <v>No</v>
      </c>
      <c r="AW168" s="120">
        <f>IFERROR(VLOOKUP(Table1[RespondentID],'All Data'!$A$3:$CW$999,98,FALSE),"unknown")</f>
        <v>0</v>
      </c>
      <c r="AX168" s="120">
        <f>IFERROR(VLOOKUP(Table1[RespondentID],'All Data'!$A$3:$CW$999,99,FALSE),"unknown")</f>
        <v>0</v>
      </c>
    </row>
    <row r="169" spans="1:50">
      <c r="A169" s="5">
        <v>18021799565</v>
      </c>
      <c r="B169" s="5"/>
      <c r="C169" s="5"/>
      <c r="D169" s="5" t="s">
        <v>18</v>
      </c>
      <c r="E169" s="5"/>
      <c r="F169" s="5"/>
      <c r="G169" s="5"/>
      <c r="H169" s="5"/>
      <c r="I169" s="5"/>
      <c r="J169" s="5"/>
      <c r="K169" s="5" t="s">
        <v>25</v>
      </c>
      <c r="L169" s="5" t="s">
        <v>26</v>
      </c>
      <c r="M169" s="5"/>
      <c r="N169" s="5"/>
      <c r="O169" s="7"/>
      <c r="P169" s="7">
        <f t="shared" si="36"/>
        <v>3</v>
      </c>
      <c r="Q169" s="9">
        <f t="shared" si="37"/>
        <v>1</v>
      </c>
      <c r="R169" s="7"/>
      <c r="S169" s="7">
        <f t="shared" si="38"/>
        <v>0</v>
      </c>
      <c r="T169" s="7">
        <f t="shared" si="39"/>
        <v>0</v>
      </c>
      <c r="U169" s="7">
        <f t="shared" si="40"/>
        <v>1</v>
      </c>
      <c r="V169" s="119">
        <f t="shared" si="41"/>
        <v>0</v>
      </c>
      <c r="W169" s="119">
        <f t="shared" si="42"/>
        <v>0</v>
      </c>
      <c r="X169" s="119">
        <f t="shared" si="43"/>
        <v>0</v>
      </c>
      <c r="Y169" s="119">
        <f t="shared" si="44"/>
        <v>0</v>
      </c>
      <c r="Z169" s="119">
        <f t="shared" si="45"/>
        <v>0</v>
      </c>
      <c r="AA169" s="119">
        <f t="shared" si="46"/>
        <v>0</v>
      </c>
      <c r="AB169" s="119">
        <f t="shared" si="47"/>
        <v>1</v>
      </c>
      <c r="AC169" s="119">
        <f t="shared" si="48"/>
        <v>1</v>
      </c>
      <c r="AD169" s="119">
        <f t="shared" si="49"/>
        <v>0</v>
      </c>
      <c r="AE169" s="119">
        <f t="shared" si="50"/>
        <v>0</v>
      </c>
      <c r="AF169" s="7"/>
      <c r="AG169" s="7"/>
      <c r="AH169" s="7">
        <f t="shared" si="51"/>
        <v>3</v>
      </c>
      <c r="AI169" s="7">
        <f t="shared" si="52"/>
        <v>3</v>
      </c>
      <c r="AJ169" s="7" t="str">
        <f t="shared" si="53"/>
        <v>Correct</v>
      </c>
      <c r="AK169" s="7"/>
      <c r="AL169" s="120" t="str">
        <f>IFERROR(VLOOKUP(Table1[RespondentID],'All Data'!$A$3:$CO$999,87,FALSE),"unknown")</f>
        <v>Woman</v>
      </c>
      <c r="AM169" s="120">
        <f>IFERROR(VLOOKUP(Table1[RespondentID],'All Data'!$A$3:$CO$999,88,FALSE),"unknown")</f>
        <v>43</v>
      </c>
      <c r="AN169" s="120" t="str">
        <f>IFERROR(VLOOKUP(Table1[RespondentID],'All Data'!$A$3:$CO$999,89,FALSE),"unknown")</f>
        <v>Suffolk</v>
      </c>
      <c r="AO169" s="120" t="str">
        <f>IFERROR(VLOOKUP(Table1[RespondentID],'All Data'!$A$3:$CO$999,90,FALSE),"unknown")</f>
        <v>Smithtown, 11787</v>
      </c>
      <c r="AP169" s="120" t="str">
        <f>IFERROR(VLOOKUP(Table1[RespondentID],'All Data'!$A$3:$CO$999,91,FALSE),"unknown")</f>
        <v>White</v>
      </c>
      <c r="AQ169" s="120" t="str">
        <f>IFERROR(VLOOKUP(Table1[RespondentID],'All Data'!$A$3:$CO$999,92,FALSE),"unknown")</f>
        <v>Hispanic or Latino</v>
      </c>
      <c r="AR169" s="120" t="str">
        <f>IFERROR(VLOOKUP(Table1[RespondentID],'All Data'!$A$3:$CO$999,93,FALSE),"unknown")</f>
        <v>English</v>
      </c>
      <c r="AS169" s="120" t="str">
        <f>IFERROR(VLOOKUP(Table1[RespondentID],'All Data'!$A$3:$CW$999,94,FALSE),"unknown")</f>
        <v>$75,000 to $125,000</v>
      </c>
      <c r="AT169" s="120" t="str">
        <f>IFERROR(VLOOKUP(Table1[RespondentID],'All Data'!$A$3:$CW$999,95,FALSE),"unknown")</f>
        <v>Doctorate</v>
      </c>
      <c r="AU169" s="120" t="str">
        <f>IFERROR(VLOOKUP(Table1[RespondentID],'All Data'!$A$3:$CW$999,96,FALSE),"unknown")</f>
        <v>Employed for wages</v>
      </c>
      <c r="AV169" s="120" t="str">
        <f>IFERROR(VLOOKUP(Table1[RespondentID],'All Data'!$A$3:$CW$999,97,FALSE),"unknown")</f>
        <v>Yes</v>
      </c>
      <c r="AW169" s="120">
        <f>IFERROR(VLOOKUP(Table1[RespondentID],'All Data'!$A$3:$CW$999,98,FALSE),"unknown")</f>
        <v>0</v>
      </c>
      <c r="AX169" s="120">
        <f>IFERROR(VLOOKUP(Table1[RespondentID],'All Data'!$A$3:$CW$999,99,FALSE),"unknown")</f>
        <v>0</v>
      </c>
    </row>
    <row r="170" spans="1:50">
      <c r="A170" s="5">
        <v>18021799358</v>
      </c>
      <c r="B170" s="5"/>
      <c r="C170" s="5"/>
      <c r="D170" s="5"/>
      <c r="E170" s="5"/>
      <c r="F170" s="5"/>
      <c r="G170" s="5"/>
      <c r="H170" s="5"/>
      <c r="I170" s="5"/>
      <c r="J170" s="5"/>
      <c r="K170" s="5" t="s">
        <v>25</v>
      </c>
      <c r="L170" s="5"/>
      <c r="M170" s="5"/>
      <c r="N170" s="5"/>
      <c r="O170" s="7"/>
      <c r="P170" s="7">
        <f t="shared" si="36"/>
        <v>1</v>
      </c>
      <c r="Q170" s="8">
        <f t="shared" si="37"/>
        <v>3</v>
      </c>
      <c r="R170" s="7"/>
      <c r="S170" s="7">
        <f t="shared" si="38"/>
        <v>0</v>
      </c>
      <c r="T170" s="7">
        <f t="shared" si="39"/>
        <v>0</v>
      </c>
      <c r="U170" s="7">
        <f t="shared" si="40"/>
        <v>0</v>
      </c>
      <c r="V170" s="119">
        <f t="shared" si="41"/>
        <v>0</v>
      </c>
      <c r="W170" s="119">
        <f t="shared" si="42"/>
        <v>0</v>
      </c>
      <c r="X170" s="119">
        <f t="shared" si="43"/>
        <v>0</v>
      </c>
      <c r="Y170" s="119">
        <f t="shared" si="44"/>
        <v>0</v>
      </c>
      <c r="Z170" s="119">
        <f t="shared" si="45"/>
        <v>0</v>
      </c>
      <c r="AA170" s="119">
        <f t="shared" si="46"/>
        <v>0</v>
      </c>
      <c r="AB170" s="119">
        <f t="shared" si="47"/>
        <v>1</v>
      </c>
      <c r="AC170" s="119">
        <f t="shared" si="48"/>
        <v>0</v>
      </c>
      <c r="AD170" s="119">
        <f t="shared" si="49"/>
        <v>0</v>
      </c>
      <c r="AE170" s="119">
        <f t="shared" si="50"/>
        <v>0</v>
      </c>
      <c r="AF170" s="7"/>
      <c r="AG170" s="7"/>
      <c r="AH170" s="7">
        <f t="shared" si="51"/>
        <v>1</v>
      </c>
      <c r="AI170" s="7">
        <f t="shared" si="52"/>
        <v>1</v>
      </c>
      <c r="AJ170" s="7" t="str">
        <f t="shared" si="53"/>
        <v>Correct</v>
      </c>
      <c r="AK170" s="7"/>
      <c r="AL170" s="120" t="str">
        <f>IFERROR(VLOOKUP(Table1[RespondentID],'All Data'!$A$3:$CO$999,87,FALSE),"unknown")</f>
        <v>Man</v>
      </c>
      <c r="AM170" s="120">
        <f>IFERROR(VLOOKUP(Table1[RespondentID],'All Data'!$A$3:$CO$999,88,FALSE),"unknown")</f>
        <v>29</v>
      </c>
      <c r="AN170" s="120" t="str">
        <f>IFERROR(VLOOKUP(Table1[RespondentID],'All Data'!$A$3:$CO$999,89,FALSE),"unknown")</f>
        <v>Suffolk</v>
      </c>
      <c r="AO170" s="120" t="str">
        <f>IFERROR(VLOOKUP(Table1[RespondentID],'All Data'!$A$3:$CO$999,90,FALSE),"unknown")</f>
        <v>Lake Grove, 11755</v>
      </c>
      <c r="AP170" s="120" t="str">
        <f>IFERROR(VLOOKUP(Table1[RespondentID],'All Data'!$A$3:$CO$999,91,FALSE),"unknown")</f>
        <v>Native Hawaiian and Other Pacific Islander</v>
      </c>
      <c r="AQ170" s="120">
        <f>IFERROR(VLOOKUP(Table1[RespondentID],'All Data'!$A$3:$CO$999,92,FALSE),"unknown")</f>
        <v>0</v>
      </c>
      <c r="AR170" s="120" t="str">
        <f>IFERROR(VLOOKUP(Table1[RespondentID],'All Data'!$A$3:$CO$999,93,FALSE),"unknown")</f>
        <v>Portuguese</v>
      </c>
      <c r="AS170" s="120">
        <f>IFERROR(VLOOKUP(Table1[RespondentID],'All Data'!$A$3:$CW$999,94,FALSE),"unknown")</f>
        <v>0</v>
      </c>
      <c r="AT170" s="120" t="str">
        <f>IFERROR(VLOOKUP(Table1[RespondentID],'All Data'!$A$3:$CW$999,95,FALSE),"unknown")</f>
        <v>Technical school</v>
      </c>
      <c r="AU170" s="120">
        <f>IFERROR(VLOOKUP(Table1[RespondentID],'All Data'!$A$3:$CW$999,96,FALSE),"unknown")</f>
        <v>0</v>
      </c>
      <c r="AV170" s="120" t="str">
        <f>IFERROR(VLOOKUP(Table1[RespondentID],'All Data'!$A$3:$CW$999,97,FALSE),"unknown")</f>
        <v>No, but I did in the past</v>
      </c>
      <c r="AW170" s="120">
        <f>IFERROR(VLOOKUP(Table1[RespondentID],'All Data'!$A$3:$CW$999,98,FALSE),"unknown")</f>
        <v>0</v>
      </c>
      <c r="AX170" s="120">
        <f>IFERROR(VLOOKUP(Table1[RespondentID],'All Data'!$A$3:$CW$999,99,FALSE),"unknown")</f>
        <v>0</v>
      </c>
    </row>
    <row r="171" spans="1:50">
      <c r="A171" s="5">
        <v>18021799148</v>
      </c>
      <c r="B171" s="5"/>
      <c r="C171" s="5"/>
      <c r="D171" s="5"/>
      <c r="E171" s="5"/>
      <c r="F171" s="5"/>
      <c r="G171" s="5" t="s">
        <v>21</v>
      </c>
      <c r="H171" s="5"/>
      <c r="I171" s="5"/>
      <c r="J171" s="5"/>
      <c r="K171" s="5"/>
      <c r="L171" s="5" t="s">
        <v>26</v>
      </c>
      <c r="M171" s="5"/>
      <c r="N171" s="5"/>
      <c r="O171" s="7"/>
      <c r="P171" s="7">
        <f t="shared" si="36"/>
        <v>2</v>
      </c>
      <c r="Q171" s="9">
        <f t="shared" si="37"/>
        <v>1.5</v>
      </c>
      <c r="R171" s="7"/>
      <c r="S171" s="7">
        <f t="shared" si="38"/>
        <v>0</v>
      </c>
      <c r="T171" s="7">
        <f t="shared" si="39"/>
        <v>0</v>
      </c>
      <c r="U171" s="7">
        <f t="shared" si="40"/>
        <v>0</v>
      </c>
      <c r="V171" s="119">
        <f t="shared" si="41"/>
        <v>0</v>
      </c>
      <c r="W171" s="119">
        <f t="shared" si="42"/>
        <v>0</v>
      </c>
      <c r="X171" s="119">
        <f t="shared" si="43"/>
        <v>1</v>
      </c>
      <c r="Y171" s="119">
        <f t="shared" si="44"/>
        <v>0</v>
      </c>
      <c r="Z171" s="119">
        <f t="shared" si="45"/>
        <v>0</v>
      </c>
      <c r="AA171" s="119">
        <f t="shared" si="46"/>
        <v>0</v>
      </c>
      <c r="AB171" s="119">
        <f t="shared" si="47"/>
        <v>0</v>
      </c>
      <c r="AC171" s="119">
        <f t="shared" si="48"/>
        <v>1</v>
      </c>
      <c r="AD171" s="119">
        <f t="shared" si="49"/>
        <v>0</v>
      </c>
      <c r="AE171" s="119">
        <f t="shared" si="50"/>
        <v>0</v>
      </c>
      <c r="AF171" s="7"/>
      <c r="AG171" s="7"/>
      <c r="AH171" s="7">
        <f t="shared" si="51"/>
        <v>2</v>
      </c>
      <c r="AI171" s="7">
        <f t="shared" si="52"/>
        <v>2</v>
      </c>
      <c r="AJ171" s="7" t="str">
        <f t="shared" si="53"/>
        <v>Correct</v>
      </c>
      <c r="AK171" s="7"/>
      <c r="AL171" s="120">
        <f>IFERROR(VLOOKUP(Table1[RespondentID],'All Data'!$A$3:$CO$999,87,FALSE),"unknown")</f>
        <v>0</v>
      </c>
      <c r="AM171" s="120">
        <f>IFERROR(VLOOKUP(Table1[RespondentID],'All Data'!$A$3:$CO$999,88,FALSE),"unknown")</f>
        <v>18</v>
      </c>
      <c r="AN171" s="120" t="str">
        <f>IFERROR(VLOOKUP(Table1[RespondentID],'All Data'!$A$3:$CO$999,89,FALSE),"unknown")</f>
        <v>Suffolk</v>
      </c>
      <c r="AO171" s="120" t="str">
        <f>IFERROR(VLOOKUP(Table1[RespondentID],'All Data'!$A$3:$CO$999,90,FALSE),"unknown")</f>
        <v>Kings Park, 11754</v>
      </c>
      <c r="AP171" s="120" t="str">
        <f>IFERROR(VLOOKUP(Table1[RespondentID],'All Data'!$A$3:$CO$999,91,FALSE),"unknown")</f>
        <v>American Indian and Alaska Native</v>
      </c>
      <c r="AQ171" s="120">
        <f>IFERROR(VLOOKUP(Table1[RespondentID],'All Data'!$A$3:$CO$999,92,FALSE),"unknown")</f>
        <v>0</v>
      </c>
      <c r="AR171" s="120" t="str">
        <f>IFERROR(VLOOKUP(Table1[RespondentID],'All Data'!$A$3:$CO$999,93,FALSE),"unknown")</f>
        <v>Polish, Korean</v>
      </c>
      <c r="AS171" s="120">
        <f>IFERROR(VLOOKUP(Table1[RespondentID],'All Data'!$A$3:$CW$999,94,FALSE),"unknown")</f>
        <v>0</v>
      </c>
      <c r="AT171" s="120" t="str">
        <f>IFERROR(VLOOKUP(Table1[RespondentID],'All Data'!$A$3:$CW$999,95,FALSE),"unknown")</f>
        <v>Some high school</v>
      </c>
      <c r="AU171" s="120">
        <f>IFERROR(VLOOKUP(Table1[RespondentID],'All Data'!$A$3:$CW$999,96,FALSE),"unknown")</f>
        <v>0</v>
      </c>
      <c r="AV171" s="120">
        <f>IFERROR(VLOOKUP(Table1[RespondentID],'All Data'!$A$3:$CW$999,97,FALSE),"unknown")</f>
        <v>0</v>
      </c>
      <c r="AW171" s="120">
        <f>IFERROR(VLOOKUP(Table1[RespondentID],'All Data'!$A$3:$CW$999,98,FALSE),"unknown")</f>
        <v>0</v>
      </c>
      <c r="AX171" s="120">
        <f>IFERROR(VLOOKUP(Table1[RespondentID],'All Data'!$A$3:$CW$999,99,FALSE),"unknown")</f>
        <v>0</v>
      </c>
    </row>
    <row r="172" spans="1:50">
      <c r="A172" s="5">
        <v>18021798948</v>
      </c>
      <c r="B172" s="5"/>
      <c r="C172" s="5"/>
      <c r="D172" s="5"/>
      <c r="E172" s="5"/>
      <c r="F172" s="5"/>
      <c r="G172" s="5"/>
      <c r="H172" s="5"/>
      <c r="I172" s="5"/>
      <c r="J172" s="5"/>
      <c r="K172" s="5" t="s">
        <v>25</v>
      </c>
      <c r="L172" s="5"/>
      <c r="M172" s="5"/>
      <c r="N172" s="5"/>
      <c r="O172" s="7"/>
      <c r="P172" s="7">
        <f t="shared" si="36"/>
        <v>1</v>
      </c>
      <c r="Q172" s="8">
        <f t="shared" si="37"/>
        <v>3</v>
      </c>
      <c r="R172" s="7"/>
      <c r="S172" s="7">
        <f t="shared" si="38"/>
        <v>0</v>
      </c>
      <c r="T172" s="7">
        <f t="shared" si="39"/>
        <v>0</v>
      </c>
      <c r="U172" s="7">
        <f t="shared" si="40"/>
        <v>0</v>
      </c>
      <c r="V172" s="119">
        <f t="shared" si="41"/>
        <v>0</v>
      </c>
      <c r="W172" s="119">
        <f t="shared" si="42"/>
        <v>0</v>
      </c>
      <c r="X172" s="119">
        <f t="shared" si="43"/>
        <v>0</v>
      </c>
      <c r="Y172" s="119">
        <f t="shared" si="44"/>
        <v>0</v>
      </c>
      <c r="Z172" s="119">
        <f t="shared" si="45"/>
        <v>0</v>
      </c>
      <c r="AA172" s="119">
        <f t="shared" si="46"/>
        <v>0</v>
      </c>
      <c r="AB172" s="119">
        <f t="shared" si="47"/>
        <v>1</v>
      </c>
      <c r="AC172" s="119">
        <f t="shared" si="48"/>
        <v>0</v>
      </c>
      <c r="AD172" s="119">
        <f t="shared" si="49"/>
        <v>0</v>
      </c>
      <c r="AE172" s="119">
        <f t="shared" si="50"/>
        <v>0</v>
      </c>
      <c r="AF172" s="7"/>
      <c r="AG172" s="7"/>
      <c r="AH172" s="7">
        <f t="shared" si="51"/>
        <v>1</v>
      </c>
      <c r="AI172" s="7">
        <f t="shared" si="52"/>
        <v>1</v>
      </c>
      <c r="AJ172" s="7" t="str">
        <f t="shared" si="53"/>
        <v>Correct</v>
      </c>
      <c r="AK172" s="7"/>
      <c r="AL172" s="120" t="str">
        <f>IFERROR(VLOOKUP(Table1[RespondentID],'All Data'!$A$3:$CO$999,87,FALSE),"unknown")</f>
        <v>Man</v>
      </c>
      <c r="AM172" s="120">
        <f>IFERROR(VLOOKUP(Table1[RespondentID],'All Data'!$A$3:$CO$999,88,FALSE),"unknown")</f>
        <v>29</v>
      </c>
      <c r="AN172" s="120" t="str">
        <f>IFERROR(VLOOKUP(Table1[RespondentID],'All Data'!$A$3:$CO$999,89,FALSE),"unknown")</f>
        <v>Suffolk</v>
      </c>
      <c r="AO172" s="120" t="str">
        <f>IFERROR(VLOOKUP(Table1[RespondentID],'All Data'!$A$3:$CO$999,90,FALSE),"unknown")</f>
        <v>Lake Grove, 11755</v>
      </c>
      <c r="AP172" s="120" t="str">
        <f>IFERROR(VLOOKUP(Table1[RespondentID],'All Data'!$A$3:$CO$999,91,FALSE),"unknown")</f>
        <v>Native Hawaiian and Other Pacific Islander</v>
      </c>
      <c r="AQ172" s="120">
        <f>IFERROR(VLOOKUP(Table1[RespondentID],'All Data'!$A$3:$CO$999,92,FALSE),"unknown")</f>
        <v>0</v>
      </c>
      <c r="AR172" s="120" t="str">
        <f>IFERROR(VLOOKUP(Table1[RespondentID],'All Data'!$A$3:$CO$999,93,FALSE),"unknown")</f>
        <v>Portuguese</v>
      </c>
      <c r="AS172" s="120">
        <f>IFERROR(VLOOKUP(Table1[RespondentID],'All Data'!$A$3:$CW$999,94,FALSE),"unknown")</f>
        <v>0</v>
      </c>
      <c r="AT172" s="120" t="str">
        <f>IFERROR(VLOOKUP(Table1[RespondentID],'All Data'!$A$3:$CW$999,95,FALSE),"unknown")</f>
        <v>Technical school</v>
      </c>
      <c r="AU172" s="120">
        <f>IFERROR(VLOOKUP(Table1[RespondentID],'All Data'!$A$3:$CW$999,96,FALSE),"unknown")</f>
        <v>0</v>
      </c>
      <c r="AV172" s="120" t="str">
        <f>IFERROR(VLOOKUP(Table1[RespondentID],'All Data'!$A$3:$CW$999,97,FALSE),"unknown")</f>
        <v>No, but I did in the past</v>
      </c>
      <c r="AW172" s="120">
        <f>IFERROR(VLOOKUP(Table1[RespondentID],'All Data'!$A$3:$CW$999,98,FALSE),"unknown")</f>
        <v>0</v>
      </c>
      <c r="AX172" s="120">
        <f>IFERROR(VLOOKUP(Table1[RespondentID],'All Data'!$A$3:$CW$999,99,FALSE),"unknown")</f>
        <v>0</v>
      </c>
    </row>
    <row r="173" spans="1:50">
      <c r="A173" s="5">
        <v>18021798764</v>
      </c>
      <c r="B173" s="5"/>
      <c r="C173" s="5"/>
      <c r="D173" s="5"/>
      <c r="E173" s="5"/>
      <c r="F173" s="5"/>
      <c r="G173" s="5"/>
      <c r="H173" s="5"/>
      <c r="I173" s="5"/>
      <c r="J173" s="5"/>
      <c r="K173" s="5" t="s">
        <v>25</v>
      </c>
      <c r="L173" s="5"/>
      <c r="M173" s="5"/>
      <c r="N173" s="5"/>
      <c r="O173" s="7"/>
      <c r="P173" s="7">
        <f t="shared" si="36"/>
        <v>1</v>
      </c>
      <c r="Q173" s="9">
        <f t="shared" si="37"/>
        <v>3</v>
      </c>
      <c r="R173" s="7"/>
      <c r="S173" s="7">
        <f t="shared" si="38"/>
        <v>0</v>
      </c>
      <c r="T173" s="7">
        <f t="shared" si="39"/>
        <v>0</v>
      </c>
      <c r="U173" s="7">
        <f t="shared" si="40"/>
        <v>0</v>
      </c>
      <c r="V173" s="119">
        <f t="shared" si="41"/>
        <v>0</v>
      </c>
      <c r="W173" s="119">
        <f t="shared" si="42"/>
        <v>0</v>
      </c>
      <c r="X173" s="119">
        <f t="shared" si="43"/>
        <v>0</v>
      </c>
      <c r="Y173" s="119">
        <f t="shared" si="44"/>
        <v>0</v>
      </c>
      <c r="Z173" s="119">
        <f t="shared" si="45"/>
        <v>0</v>
      </c>
      <c r="AA173" s="119">
        <f t="shared" si="46"/>
        <v>0</v>
      </c>
      <c r="AB173" s="119">
        <f t="shared" si="47"/>
        <v>1</v>
      </c>
      <c r="AC173" s="119">
        <f t="shared" si="48"/>
        <v>0</v>
      </c>
      <c r="AD173" s="119">
        <f t="shared" si="49"/>
        <v>0</v>
      </c>
      <c r="AE173" s="119">
        <f t="shared" si="50"/>
        <v>0</v>
      </c>
      <c r="AF173" s="7"/>
      <c r="AG173" s="7"/>
      <c r="AH173" s="7">
        <f t="shared" si="51"/>
        <v>1</v>
      </c>
      <c r="AI173" s="7">
        <f t="shared" si="52"/>
        <v>1</v>
      </c>
      <c r="AJ173" s="7" t="str">
        <f t="shared" si="53"/>
        <v>Correct</v>
      </c>
      <c r="AK173" s="7"/>
      <c r="AL173" s="120" t="str">
        <f>IFERROR(VLOOKUP(Table1[RespondentID],'All Data'!$A$3:$CO$999,87,FALSE),"unknown")</f>
        <v>Woman</v>
      </c>
      <c r="AM173" s="120">
        <f>IFERROR(VLOOKUP(Table1[RespondentID],'All Data'!$A$3:$CO$999,88,FALSE),"unknown")</f>
        <v>18</v>
      </c>
      <c r="AN173" s="120" t="str">
        <f>IFERROR(VLOOKUP(Table1[RespondentID],'All Data'!$A$3:$CO$999,89,FALSE),"unknown")</f>
        <v>Suffolk</v>
      </c>
      <c r="AO173" s="120" t="str">
        <f>IFERROR(VLOOKUP(Table1[RespondentID],'All Data'!$A$3:$CO$999,90,FALSE),"unknown")</f>
        <v>Lake Grove, 11755</v>
      </c>
      <c r="AP173" s="120" t="str">
        <f>IFERROR(VLOOKUP(Table1[RespondentID],'All Data'!$A$3:$CO$999,91,FALSE),"unknown")</f>
        <v>Black or African American</v>
      </c>
      <c r="AQ173" s="120">
        <f>IFERROR(VLOOKUP(Table1[RespondentID],'All Data'!$A$3:$CO$999,92,FALSE),"unknown")</f>
        <v>0</v>
      </c>
      <c r="AR173" s="120" t="str">
        <f>IFERROR(VLOOKUP(Table1[RespondentID],'All Data'!$A$3:$CO$999,93,FALSE),"unknown")</f>
        <v>Portuguese</v>
      </c>
      <c r="AS173" s="120" t="str">
        <f>IFERROR(VLOOKUP(Table1[RespondentID],'All Data'!$A$3:$CW$999,94,FALSE),"unknown")</f>
        <v>$50,000 to $74,999</v>
      </c>
      <c r="AT173" s="120" t="str">
        <f>IFERROR(VLOOKUP(Table1[RespondentID],'All Data'!$A$3:$CW$999,95,FALSE),"unknown")</f>
        <v>Some high school</v>
      </c>
      <c r="AU173" s="120">
        <f>IFERROR(VLOOKUP(Table1[RespondentID],'All Data'!$A$3:$CW$999,96,FALSE),"unknown")</f>
        <v>0</v>
      </c>
      <c r="AV173" s="120" t="str">
        <f>IFERROR(VLOOKUP(Table1[RespondentID],'All Data'!$A$3:$CW$999,97,FALSE),"unknown")</f>
        <v>No, but I did in the past</v>
      </c>
      <c r="AW173" s="120">
        <f>IFERROR(VLOOKUP(Table1[RespondentID],'All Data'!$A$3:$CW$999,98,FALSE),"unknown")</f>
        <v>0</v>
      </c>
      <c r="AX173" s="120">
        <f>IFERROR(VLOOKUP(Table1[RespondentID],'All Data'!$A$3:$CW$999,99,FALSE),"unknown")</f>
        <v>0</v>
      </c>
    </row>
    <row r="174" spans="1:50">
      <c r="A174" s="5">
        <v>18021798571</v>
      </c>
      <c r="B174" s="5"/>
      <c r="C174" s="5"/>
      <c r="D174" s="5"/>
      <c r="E174" s="5"/>
      <c r="F174" s="5"/>
      <c r="G174" s="5" t="s">
        <v>21</v>
      </c>
      <c r="H174" s="5"/>
      <c r="I174" s="5"/>
      <c r="J174" s="5"/>
      <c r="K174" s="5"/>
      <c r="L174" s="5"/>
      <c r="M174" s="5"/>
      <c r="N174" s="5"/>
      <c r="O174" s="7"/>
      <c r="P174" s="7">
        <f t="shared" si="36"/>
        <v>1</v>
      </c>
      <c r="Q174" s="8">
        <f t="shared" si="37"/>
        <v>3</v>
      </c>
      <c r="R174" s="7"/>
      <c r="S174" s="7">
        <f t="shared" si="38"/>
        <v>0</v>
      </c>
      <c r="T174" s="7">
        <f t="shared" si="39"/>
        <v>0</v>
      </c>
      <c r="U174" s="7">
        <f t="shared" si="40"/>
        <v>0</v>
      </c>
      <c r="V174" s="119">
        <f t="shared" si="41"/>
        <v>0</v>
      </c>
      <c r="W174" s="119">
        <f t="shared" si="42"/>
        <v>0</v>
      </c>
      <c r="X174" s="119">
        <f t="shared" si="43"/>
        <v>1</v>
      </c>
      <c r="Y174" s="119">
        <f t="shared" si="44"/>
        <v>0</v>
      </c>
      <c r="Z174" s="119">
        <f t="shared" si="45"/>
        <v>0</v>
      </c>
      <c r="AA174" s="119">
        <f t="shared" si="46"/>
        <v>0</v>
      </c>
      <c r="AB174" s="119">
        <f t="shared" si="47"/>
        <v>0</v>
      </c>
      <c r="AC174" s="119">
        <f t="shared" si="48"/>
        <v>0</v>
      </c>
      <c r="AD174" s="119">
        <f t="shared" si="49"/>
        <v>0</v>
      </c>
      <c r="AE174" s="119">
        <f t="shared" si="50"/>
        <v>0</v>
      </c>
      <c r="AF174" s="7"/>
      <c r="AG174" s="7"/>
      <c r="AH174" s="7">
        <f t="shared" si="51"/>
        <v>1</v>
      </c>
      <c r="AI174" s="7">
        <f t="shared" si="52"/>
        <v>1</v>
      </c>
      <c r="AJ174" s="7" t="str">
        <f t="shared" si="53"/>
        <v>Correct</v>
      </c>
      <c r="AK174" s="7"/>
      <c r="AL174" s="120" t="str">
        <f>IFERROR(VLOOKUP(Table1[RespondentID],'All Data'!$A$3:$CO$999,87,FALSE),"unknown")</f>
        <v>Man</v>
      </c>
      <c r="AM174" s="120">
        <f>IFERROR(VLOOKUP(Table1[RespondentID],'All Data'!$A$3:$CO$999,88,FALSE),"unknown")</f>
        <v>21</v>
      </c>
      <c r="AN174" s="120" t="str">
        <f>IFERROR(VLOOKUP(Table1[RespondentID],'All Data'!$A$3:$CO$999,89,FALSE),"unknown")</f>
        <v>Nassau</v>
      </c>
      <c r="AO174" s="120" t="str">
        <f>IFERROR(VLOOKUP(Table1[RespondentID],'All Data'!$A$3:$CO$999,90,FALSE),"unknown")</f>
        <v>Syosset, 11773</v>
      </c>
      <c r="AP174" s="120" t="str">
        <f>IFERROR(VLOOKUP(Table1[RespondentID],'All Data'!$A$3:$CO$999,91,FALSE),"unknown")</f>
        <v>White</v>
      </c>
      <c r="AQ174" s="120">
        <f>IFERROR(VLOOKUP(Table1[RespondentID],'All Data'!$A$3:$CO$999,92,FALSE),"unknown")</f>
        <v>0</v>
      </c>
      <c r="AR174" s="120" t="str">
        <f>IFERROR(VLOOKUP(Table1[RespondentID],'All Data'!$A$3:$CO$999,93,FALSE),"unknown")</f>
        <v>Korean</v>
      </c>
      <c r="AS174" s="120" t="str">
        <f>IFERROR(VLOOKUP(Table1[RespondentID],'All Data'!$A$3:$CW$999,94,FALSE),"unknown")</f>
        <v>$75,000 to $125,000</v>
      </c>
      <c r="AT174" s="120" t="str">
        <f>IFERROR(VLOOKUP(Table1[RespondentID],'All Data'!$A$3:$CW$999,95,FALSE),"unknown")</f>
        <v>Some high school</v>
      </c>
      <c r="AU174" s="120" t="str">
        <f>IFERROR(VLOOKUP(Table1[RespondentID],'All Data'!$A$3:$CW$999,96,FALSE),"unknown")</f>
        <v>Student</v>
      </c>
      <c r="AV174" s="120" t="str">
        <f>IFERROR(VLOOKUP(Table1[RespondentID],'All Data'!$A$3:$CW$999,97,FALSE),"unknown")</f>
        <v>No, but I did in the past</v>
      </c>
      <c r="AW174" s="120">
        <f>IFERROR(VLOOKUP(Table1[RespondentID],'All Data'!$A$3:$CW$999,98,FALSE),"unknown")</f>
        <v>0</v>
      </c>
      <c r="AX174" s="120">
        <f>IFERROR(VLOOKUP(Table1[RespondentID],'All Data'!$A$3:$CW$999,99,FALSE),"unknown")</f>
        <v>0</v>
      </c>
    </row>
    <row r="175" spans="1:50">
      <c r="A175" s="5">
        <v>18021798337</v>
      </c>
      <c r="B175" s="5"/>
      <c r="C175" s="5"/>
      <c r="D175" s="5"/>
      <c r="E175" s="5"/>
      <c r="F175" s="5"/>
      <c r="G175" s="5" t="s">
        <v>21</v>
      </c>
      <c r="H175" s="5"/>
      <c r="I175" s="5"/>
      <c r="J175" s="5"/>
      <c r="K175" s="5"/>
      <c r="L175" s="5"/>
      <c r="M175" s="5"/>
      <c r="N175" s="5"/>
      <c r="O175" s="7"/>
      <c r="P175" s="7">
        <f t="shared" si="36"/>
        <v>1</v>
      </c>
      <c r="Q175" s="9">
        <f t="shared" si="37"/>
        <v>3</v>
      </c>
      <c r="R175" s="7"/>
      <c r="S175" s="7">
        <f t="shared" si="38"/>
        <v>0</v>
      </c>
      <c r="T175" s="7">
        <f t="shared" si="39"/>
        <v>0</v>
      </c>
      <c r="U175" s="7">
        <f t="shared" si="40"/>
        <v>0</v>
      </c>
      <c r="V175" s="119">
        <f t="shared" si="41"/>
        <v>0</v>
      </c>
      <c r="W175" s="119">
        <f t="shared" si="42"/>
        <v>0</v>
      </c>
      <c r="X175" s="119">
        <f t="shared" si="43"/>
        <v>1</v>
      </c>
      <c r="Y175" s="119">
        <f t="shared" si="44"/>
        <v>0</v>
      </c>
      <c r="Z175" s="119">
        <f t="shared" si="45"/>
        <v>0</v>
      </c>
      <c r="AA175" s="119">
        <f t="shared" si="46"/>
        <v>0</v>
      </c>
      <c r="AB175" s="119">
        <f t="shared" si="47"/>
        <v>0</v>
      </c>
      <c r="AC175" s="119">
        <f t="shared" si="48"/>
        <v>0</v>
      </c>
      <c r="AD175" s="119">
        <f t="shared" si="49"/>
        <v>0</v>
      </c>
      <c r="AE175" s="119">
        <f t="shared" si="50"/>
        <v>0</v>
      </c>
      <c r="AF175" s="7"/>
      <c r="AG175" s="7"/>
      <c r="AH175" s="7">
        <f t="shared" si="51"/>
        <v>1</v>
      </c>
      <c r="AI175" s="7">
        <f t="shared" si="52"/>
        <v>1</v>
      </c>
      <c r="AJ175" s="7" t="str">
        <f t="shared" si="53"/>
        <v>Correct</v>
      </c>
      <c r="AK175" s="7"/>
      <c r="AL175" s="120" t="str">
        <f>IFERROR(VLOOKUP(Table1[RespondentID],'All Data'!$A$3:$CO$999,87,FALSE),"unknown")</f>
        <v>Woman</v>
      </c>
      <c r="AM175" s="120">
        <f>IFERROR(VLOOKUP(Table1[RespondentID],'All Data'!$A$3:$CO$999,88,FALSE),"unknown")</f>
        <v>17</v>
      </c>
      <c r="AN175" s="120" t="str">
        <f>IFERROR(VLOOKUP(Table1[RespondentID],'All Data'!$A$3:$CO$999,89,FALSE),"unknown")</f>
        <v>Nassau</v>
      </c>
      <c r="AO175" s="120" t="str">
        <f>IFERROR(VLOOKUP(Table1[RespondentID],'All Data'!$A$3:$CO$999,90,FALSE),"unknown")</f>
        <v>Syosset, 11791</v>
      </c>
      <c r="AP175" s="120" t="str">
        <f>IFERROR(VLOOKUP(Table1[RespondentID],'All Data'!$A$3:$CO$999,91,FALSE),"unknown")</f>
        <v>White</v>
      </c>
      <c r="AQ175" s="120">
        <f>IFERROR(VLOOKUP(Table1[RespondentID],'All Data'!$A$3:$CO$999,92,FALSE),"unknown")</f>
        <v>0</v>
      </c>
      <c r="AR175" s="120" t="str">
        <f>IFERROR(VLOOKUP(Table1[RespondentID],'All Data'!$A$3:$CO$999,93,FALSE),"unknown")</f>
        <v>Korean</v>
      </c>
      <c r="AS175" s="120" t="str">
        <f>IFERROR(VLOOKUP(Table1[RespondentID],'All Data'!$A$3:$CW$999,94,FALSE),"unknown")</f>
        <v>$75,000 to $125,000</v>
      </c>
      <c r="AT175" s="120" t="str">
        <f>IFERROR(VLOOKUP(Table1[RespondentID],'All Data'!$A$3:$CW$999,95,FALSE),"unknown")</f>
        <v>Some high school</v>
      </c>
      <c r="AU175" s="120" t="str">
        <f>IFERROR(VLOOKUP(Table1[RespondentID],'All Data'!$A$3:$CW$999,96,FALSE),"unknown")</f>
        <v>Student</v>
      </c>
      <c r="AV175" s="120" t="str">
        <f>IFERROR(VLOOKUP(Table1[RespondentID],'All Data'!$A$3:$CW$999,97,FALSE),"unknown")</f>
        <v>No, but I did in the past</v>
      </c>
      <c r="AW175" s="120">
        <f>IFERROR(VLOOKUP(Table1[RespondentID],'All Data'!$A$3:$CW$999,98,FALSE),"unknown")</f>
        <v>0</v>
      </c>
      <c r="AX175" s="120">
        <f>IFERROR(VLOOKUP(Table1[RespondentID],'All Data'!$A$3:$CW$999,99,FALSE),"unknown")</f>
        <v>0</v>
      </c>
    </row>
    <row r="176" spans="1:50">
      <c r="A176" s="5">
        <v>18021797894</v>
      </c>
      <c r="B176" s="5"/>
      <c r="C176" s="5"/>
      <c r="D176" s="5"/>
      <c r="E176" s="5"/>
      <c r="F176" s="5"/>
      <c r="G176" s="5"/>
      <c r="H176" s="5" t="s">
        <v>22</v>
      </c>
      <c r="I176" s="5"/>
      <c r="J176" s="5"/>
      <c r="K176" s="5"/>
      <c r="L176" s="5"/>
      <c r="M176" s="5"/>
      <c r="N176" s="5"/>
      <c r="O176" s="7"/>
      <c r="P176" s="7">
        <f t="shared" si="36"/>
        <v>1</v>
      </c>
      <c r="Q176" s="8">
        <f t="shared" si="37"/>
        <v>3</v>
      </c>
      <c r="R176" s="7"/>
      <c r="S176" s="7">
        <f t="shared" si="38"/>
        <v>0</v>
      </c>
      <c r="T176" s="7">
        <f t="shared" si="39"/>
        <v>0</v>
      </c>
      <c r="U176" s="7">
        <f t="shared" si="40"/>
        <v>0</v>
      </c>
      <c r="V176" s="119">
        <f t="shared" si="41"/>
        <v>0</v>
      </c>
      <c r="W176" s="119">
        <f t="shared" si="42"/>
        <v>0</v>
      </c>
      <c r="X176" s="119">
        <f t="shared" si="43"/>
        <v>0</v>
      </c>
      <c r="Y176" s="119">
        <f t="shared" si="44"/>
        <v>1</v>
      </c>
      <c r="Z176" s="119">
        <f t="shared" si="45"/>
        <v>0</v>
      </c>
      <c r="AA176" s="119">
        <f t="shared" si="46"/>
        <v>0</v>
      </c>
      <c r="AB176" s="119">
        <f t="shared" si="47"/>
        <v>0</v>
      </c>
      <c r="AC176" s="119">
        <f t="shared" si="48"/>
        <v>0</v>
      </c>
      <c r="AD176" s="119">
        <f t="shared" si="49"/>
        <v>0</v>
      </c>
      <c r="AE176" s="119">
        <f t="shared" si="50"/>
        <v>0</v>
      </c>
      <c r="AF176" s="7"/>
      <c r="AG176" s="7"/>
      <c r="AH176" s="7">
        <f t="shared" si="51"/>
        <v>1</v>
      </c>
      <c r="AI176" s="7">
        <f t="shared" si="52"/>
        <v>1</v>
      </c>
      <c r="AJ176" s="7" t="str">
        <f t="shared" si="53"/>
        <v>Correct</v>
      </c>
      <c r="AK176" s="7"/>
      <c r="AL176" s="120" t="str">
        <f>IFERROR(VLOOKUP(Table1[RespondentID],'All Data'!$A$3:$CO$999,87,FALSE),"unknown")</f>
        <v>Woman</v>
      </c>
      <c r="AM176" s="120">
        <f>IFERROR(VLOOKUP(Table1[RespondentID],'All Data'!$A$3:$CO$999,88,FALSE),"unknown")</f>
        <v>18</v>
      </c>
      <c r="AN176" s="120" t="str">
        <f>IFERROR(VLOOKUP(Table1[RespondentID],'All Data'!$A$3:$CO$999,89,FALSE),"unknown")</f>
        <v>Suffolk</v>
      </c>
      <c r="AO176" s="120" t="str">
        <f>IFERROR(VLOOKUP(Table1[RespondentID],'All Data'!$A$3:$CO$999,90,FALSE),"unknown")</f>
        <v>Commack, 11725</v>
      </c>
      <c r="AP176" s="120" t="str">
        <f>IFERROR(VLOOKUP(Table1[RespondentID],'All Data'!$A$3:$CO$999,91,FALSE),"unknown")</f>
        <v>Black or African American</v>
      </c>
      <c r="AQ176" s="120">
        <f>IFERROR(VLOOKUP(Table1[RespondentID],'All Data'!$A$3:$CO$999,92,FALSE),"unknown")</f>
        <v>0</v>
      </c>
      <c r="AR176" s="120" t="str">
        <f>IFERROR(VLOOKUP(Table1[RespondentID],'All Data'!$A$3:$CO$999,93,FALSE),"unknown")</f>
        <v>Korean</v>
      </c>
      <c r="AS176" s="120" t="str">
        <f>IFERROR(VLOOKUP(Table1[RespondentID],'All Data'!$A$3:$CW$999,94,FALSE),"unknown")</f>
        <v>$75,000 to $125,000</v>
      </c>
      <c r="AT176" s="120" t="str">
        <f>IFERROR(VLOOKUP(Table1[RespondentID],'All Data'!$A$3:$CW$999,95,FALSE),"unknown")</f>
        <v>Some high school</v>
      </c>
      <c r="AU176" s="120" t="str">
        <f>IFERROR(VLOOKUP(Table1[RespondentID],'All Data'!$A$3:$CW$999,96,FALSE),"unknown")</f>
        <v>Student</v>
      </c>
      <c r="AV176" s="120" t="str">
        <f>IFERROR(VLOOKUP(Table1[RespondentID],'All Data'!$A$3:$CW$999,97,FALSE),"unknown")</f>
        <v>No, but I did in the past</v>
      </c>
      <c r="AW176" s="120">
        <f>IFERROR(VLOOKUP(Table1[RespondentID],'All Data'!$A$3:$CW$999,98,FALSE),"unknown")</f>
        <v>0</v>
      </c>
      <c r="AX176" s="120">
        <f>IFERROR(VLOOKUP(Table1[RespondentID],'All Data'!$A$3:$CW$999,99,FALSE),"unknown")</f>
        <v>0</v>
      </c>
    </row>
    <row r="177" spans="1:50">
      <c r="A177" s="5">
        <v>18021797663</v>
      </c>
      <c r="B177" s="5"/>
      <c r="C177" s="5"/>
      <c r="D177" s="5"/>
      <c r="E177" s="5"/>
      <c r="F177" s="5"/>
      <c r="G177" s="5"/>
      <c r="H177" s="5"/>
      <c r="I177" s="5"/>
      <c r="J177" s="5"/>
      <c r="K177" s="5" t="s">
        <v>25</v>
      </c>
      <c r="L177" s="5"/>
      <c r="M177" s="5"/>
      <c r="N177" s="5"/>
      <c r="O177" s="7"/>
      <c r="P177" s="7">
        <f t="shared" si="36"/>
        <v>1</v>
      </c>
      <c r="Q177" s="9">
        <f t="shared" si="37"/>
        <v>3</v>
      </c>
      <c r="R177" s="7"/>
      <c r="S177" s="7">
        <f t="shared" si="38"/>
        <v>0</v>
      </c>
      <c r="T177" s="7">
        <f t="shared" si="39"/>
        <v>0</v>
      </c>
      <c r="U177" s="7">
        <f t="shared" si="40"/>
        <v>0</v>
      </c>
      <c r="V177" s="119">
        <f t="shared" si="41"/>
        <v>0</v>
      </c>
      <c r="W177" s="119">
        <f t="shared" si="42"/>
        <v>0</v>
      </c>
      <c r="X177" s="119">
        <f t="shared" si="43"/>
        <v>0</v>
      </c>
      <c r="Y177" s="119">
        <f t="shared" si="44"/>
        <v>0</v>
      </c>
      <c r="Z177" s="119">
        <f t="shared" si="45"/>
        <v>0</v>
      </c>
      <c r="AA177" s="119">
        <f t="shared" si="46"/>
        <v>0</v>
      </c>
      <c r="AB177" s="119">
        <f t="shared" si="47"/>
        <v>1</v>
      </c>
      <c r="AC177" s="119">
        <f t="shared" si="48"/>
        <v>0</v>
      </c>
      <c r="AD177" s="119">
        <f t="shared" si="49"/>
        <v>0</v>
      </c>
      <c r="AE177" s="119">
        <f t="shared" si="50"/>
        <v>0</v>
      </c>
      <c r="AF177" s="7"/>
      <c r="AG177" s="7"/>
      <c r="AH177" s="7">
        <f t="shared" si="51"/>
        <v>1</v>
      </c>
      <c r="AI177" s="7">
        <f t="shared" si="52"/>
        <v>1</v>
      </c>
      <c r="AJ177" s="7" t="str">
        <f t="shared" si="53"/>
        <v>Correct</v>
      </c>
      <c r="AK177" s="7"/>
      <c r="AL177" s="120" t="str">
        <f>IFERROR(VLOOKUP(Table1[RespondentID],'All Data'!$A$3:$CO$999,87,FALSE),"unknown")</f>
        <v>Man</v>
      </c>
      <c r="AM177" s="120">
        <f>IFERROR(VLOOKUP(Table1[RespondentID],'All Data'!$A$3:$CO$999,88,FALSE),"unknown")</f>
        <v>18</v>
      </c>
      <c r="AN177" s="120" t="str">
        <f>IFERROR(VLOOKUP(Table1[RespondentID],'All Data'!$A$3:$CO$999,89,FALSE),"unknown")</f>
        <v>Suffolk</v>
      </c>
      <c r="AO177" s="120" t="str">
        <f>IFERROR(VLOOKUP(Table1[RespondentID],'All Data'!$A$3:$CO$999,90,FALSE),"unknown")</f>
        <v>Commack, 11725</v>
      </c>
      <c r="AP177" s="120" t="str">
        <f>IFERROR(VLOOKUP(Table1[RespondentID],'All Data'!$A$3:$CO$999,91,FALSE),"unknown")</f>
        <v>White</v>
      </c>
      <c r="AQ177" s="120" t="str">
        <f>IFERROR(VLOOKUP(Table1[RespondentID],'All Data'!$A$3:$CO$999,92,FALSE),"unknown")</f>
        <v>Hispanic or Latino</v>
      </c>
      <c r="AR177" s="120" t="str">
        <f>IFERROR(VLOOKUP(Table1[RespondentID],'All Data'!$A$3:$CO$999,93,FALSE),"unknown")</f>
        <v>Chinese</v>
      </c>
      <c r="AS177" s="120">
        <f>IFERROR(VLOOKUP(Table1[RespondentID],'All Data'!$A$3:$CW$999,94,FALSE),"unknown")</f>
        <v>0</v>
      </c>
      <c r="AT177" s="120">
        <f>IFERROR(VLOOKUP(Table1[RespondentID],'All Data'!$A$3:$CW$999,95,FALSE),"unknown")</f>
        <v>0</v>
      </c>
      <c r="AU177" s="120" t="str">
        <f>IFERROR(VLOOKUP(Table1[RespondentID],'All Data'!$A$3:$CW$999,96,FALSE),"unknown")</f>
        <v>Student</v>
      </c>
      <c r="AV177" s="120">
        <f>IFERROR(VLOOKUP(Table1[RespondentID],'All Data'!$A$3:$CW$999,97,FALSE),"unknown")</f>
        <v>0</v>
      </c>
      <c r="AW177" s="120">
        <f>IFERROR(VLOOKUP(Table1[RespondentID],'All Data'!$A$3:$CW$999,98,FALSE),"unknown")</f>
        <v>0</v>
      </c>
      <c r="AX177" s="120">
        <f>IFERROR(VLOOKUP(Table1[RespondentID],'All Data'!$A$3:$CW$999,99,FALSE),"unknown")</f>
        <v>0</v>
      </c>
    </row>
    <row r="178" spans="1:50">
      <c r="A178" s="5">
        <v>18021797480</v>
      </c>
      <c r="B178" s="5"/>
      <c r="C178" s="5"/>
      <c r="D178" s="5"/>
      <c r="E178" s="5"/>
      <c r="F178" s="5"/>
      <c r="G178" s="5"/>
      <c r="H178" s="5"/>
      <c r="I178" s="5"/>
      <c r="J178" s="5"/>
      <c r="K178" s="5" t="s">
        <v>25</v>
      </c>
      <c r="L178" s="5" t="s">
        <v>26</v>
      </c>
      <c r="M178" s="5"/>
      <c r="N178" s="5"/>
      <c r="O178" s="7"/>
      <c r="P178" s="7">
        <f t="shared" si="36"/>
        <v>2</v>
      </c>
      <c r="Q178" s="8">
        <f t="shared" si="37"/>
        <v>1.5</v>
      </c>
      <c r="R178" s="7"/>
      <c r="S178" s="7">
        <f t="shared" si="38"/>
        <v>0</v>
      </c>
      <c r="T178" s="7">
        <f t="shared" si="39"/>
        <v>0</v>
      </c>
      <c r="U178" s="7">
        <f t="shared" si="40"/>
        <v>0</v>
      </c>
      <c r="V178" s="119">
        <f t="shared" si="41"/>
        <v>0</v>
      </c>
      <c r="W178" s="119">
        <f t="shared" si="42"/>
        <v>0</v>
      </c>
      <c r="X178" s="119">
        <f t="shared" si="43"/>
        <v>0</v>
      </c>
      <c r="Y178" s="119">
        <f t="shared" si="44"/>
        <v>0</v>
      </c>
      <c r="Z178" s="119">
        <f t="shared" si="45"/>
        <v>0</v>
      </c>
      <c r="AA178" s="119">
        <f t="shared" si="46"/>
        <v>0</v>
      </c>
      <c r="AB178" s="119">
        <f t="shared" si="47"/>
        <v>1</v>
      </c>
      <c r="AC178" s="119">
        <f t="shared" si="48"/>
        <v>1</v>
      </c>
      <c r="AD178" s="119">
        <f t="shared" si="49"/>
        <v>0</v>
      </c>
      <c r="AE178" s="119">
        <f t="shared" si="50"/>
        <v>0</v>
      </c>
      <c r="AF178" s="7"/>
      <c r="AG178" s="7"/>
      <c r="AH178" s="7">
        <f t="shared" si="51"/>
        <v>2</v>
      </c>
      <c r="AI178" s="7">
        <f t="shared" si="52"/>
        <v>2</v>
      </c>
      <c r="AJ178" s="7" t="str">
        <f t="shared" si="53"/>
        <v>Correct</v>
      </c>
      <c r="AK178" s="7"/>
      <c r="AL178" s="120" t="str">
        <f>IFERROR(VLOOKUP(Table1[RespondentID],'All Data'!$A$3:$CO$999,87,FALSE),"unknown")</f>
        <v>Woman</v>
      </c>
      <c r="AM178" s="120">
        <f>IFERROR(VLOOKUP(Table1[RespondentID],'All Data'!$A$3:$CO$999,88,FALSE),"unknown")</f>
        <v>61</v>
      </c>
      <c r="AN178" s="120" t="str">
        <f>IFERROR(VLOOKUP(Table1[RespondentID],'All Data'!$A$3:$CO$999,89,FALSE),"unknown")</f>
        <v>Suffolk</v>
      </c>
      <c r="AO178" s="120" t="str">
        <f>IFERROR(VLOOKUP(Table1[RespondentID],'All Data'!$A$3:$CO$999,90,FALSE),"unknown")</f>
        <v>East Northport, 11731</v>
      </c>
      <c r="AP178" s="120" t="str">
        <f>IFERROR(VLOOKUP(Table1[RespondentID],'All Data'!$A$3:$CO$999,91,FALSE),"unknown")</f>
        <v>American Indian and Alaska Native</v>
      </c>
      <c r="AQ178" s="120">
        <f>IFERROR(VLOOKUP(Table1[RespondentID],'All Data'!$A$3:$CO$999,92,FALSE),"unknown")</f>
        <v>0</v>
      </c>
      <c r="AR178" s="120" t="str">
        <f>IFERROR(VLOOKUP(Table1[RespondentID],'All Data'!$A$3:$CO$999,93,FALSE),"unknown")</f>
        <v>Korean</v>
      </c>
      <c r="AS178" s="120" t="str">
        <f>IFERROR(VLOOKUP(Table1[RespondentID],'All Data'!$A$3:$CW$999,94,FALSE),"unknown")</f>
        <v>$0-$19,999</v>
      </c>
      <c r="AT178" s="120" t="str">
        <f>IFERROR(VLOOKUP(Table1[RespondentID],'All Data'!$A$3:$CW$999,95,FALSE),"unknown")</f>
        <v>College graduate</v>
      </c>
      <c r="AU178" s="120" t="str">
        <f>IFERROR(VLOOKUP(Table1[RespondentID],'All Data'!$A$3:$CW$999,96,FALSE),"unknown")</f>
        <v>Employed for wages</v>
      </c>
      <c r="AV178" s="120" t="str">
        <f>IFERROR(VLOOKUP(Table1[RespondentID],'All Data'!$A$3:$CW$999,97,FALSE),"unknown")</f>
        <v>Yes</v>
      </c>
      <c r="AW178" s="120">
        <f>IFERROR(VLOOKUP(Table1[RespondentID],'All Data'!$A$3:$CW$999,98,FALSE),"unknown")</f>
        <v>0</v>
      </c>
      <c r="AX178" s="120">
        <f>IFERROR(VLOOKUP(Table1[RespondentID],'All Data'!$A$3:$CW$999,99,FALSE),"unknown")</f>
        <v>0</v>
      </c>
    </row>
    <row r="179" spans="1:50">
      <c r="A179" s="5">
        <v>18021796836</v>
      </c>
      <c r="B179" s="5"/>
      <c r="C179" s="5"/>
      <c r="D179" s="5"/>
      <c r="E179" s="5"/>
      <c r="F179" s="5"/>
      <c r="G179" s="5"/>
      <c r="H179" s="5"/>
      <c r="I179" s="5"/>
      <c r="J179" s="5"/>
      <c r="K179" s="5" t="s">
        <v>25</v>
      </c>
      <c r="L179" s="5" t="s">
        <v>26</v>
      </c>
      <c r="M179" s="5"/>
      <c r="N179" s="5"/>
      <c r="O179" s="7"/>
      <c r="P179" s="7">
        <f t="shared" si="36"/>
        <v>2</v>
      </c>
      <c r="Q179" s="9">
        <f t="shared" si="37"/>
        <v>1.5</v>
      </c>
      <c r="R179" s="7"/>
      <c r="S179" s="7">
        <f t="shared" si="38"/>
        <v>0</v>
      </c>
      <c r="T179" s="7">
        <f t="shared" si="39"/>
        <v>0</v>
      </c>
      <c r="U179" s="7">
        <f t="shared" si="40"/>
        <v>0</v>
      </c>
      <c r="V179" s="119">
        <f t="shared" si="41"/>
        <v>0</v>
      </c>
      <c r="W179" s="119">
        <f t="shared" si="42"/>
        <v>0</v>
      </c>
      <c r="X179" s="119">
        <f t="shared" si="43"/>
        <v>0</v>
      </c>
      <c r="Y179" s="119">
        <f t="shared" si="44"/>
        <v>0</v>
      </c>
      <c r="Z179" s="119">
        <f t="shared" si="45"/>
        <v>0</v>
      </c>
      <c r="AA179" s="119">
        <f t="shared" si="46"/>
        <v>0</v>
      </c>
      <c r="AB179" s="119">
        <f t="shared" si="47"/>
        <v>1</v>
      </c>
      <c r="AC179" s="119">
        <f t="shared" si="48"/>
        <v>1</v>
      </c>
      <c r="AD179" s="119">
        <f t="shared" si="49"/>
        <v>0</v>
      </c>
      <c r="AE179" s="119">
        <f t="shared" si="50"/>
        <v>0</v>
      </c>
      <c r="AF179" s="7"/>
      <c r="AG179" s="7"/>
      <c r="AH179" s="7">
        <f t="shared" si="51"/>
        <v>2</v>
      </c>
      <c r="AI179" s="7">
        <f t="shared" si="52"/>
        <v>2</v>
      </c>
      <c r="AJ179" s="7" t="str">
        <f t="shared" si="53"/>
        <v>Correct</v>
      </c>
      <c r="AK179" s="7"/>
      <c r="AL179" s="120" t="str">
        <f>IFERROR(VLOOKUP(Table1[RespondentID],'All Data'!$A$3:$CO$999,87,FALSE),"unknown")</f>
        <v>Man</v>
      </c>
      <c r="AM179" s="120">
        <f>IFERROR(VLOOKUP(Table1[RespondentID],'All Data'!$A$3:$CO$999,88,FALSE),"unknown")</f>
        <v>60</v>
      </c>
      <c r="AN179" s="120" t="str">
        <f>IFERROR(VLOOKUP(Table1[RespondentID],'All Data'!$A$3:$CO$999,89,FALSE),"unknown")</f>
        <v>Suffolk</v>
      </c>
      <c r="AO179" s="120" t="str">
        <f>IFERROR(VLOOKUP(Table1[RespondentID],'All Data'!$A$3:$CO$999,90,FALSE),"unknown")</f>
        <v>Commack, 11725</v>
      </c>
      <c r="AP179" s="120" t="str">
        <f>IFERROR(VLOOKUP(Table1[RespondentID],'All Data'!$A$3:$CO$999,91,FALSE),"unknown")</f>
        <v>American Indian and Alaska Native</v>
      </c>
      <c r="AQ179" s="120">
        <f>IFERROR(VLOOKUP(Table1[RespondentID],'All Data'!$A$3:$CO$999,92,FALSE),"unknown")</f>
        <v>0</v>
      </c>
      <c r="AR179" s="120" t="str">
        <f>IFERROR(VLOOKUP(Table1[RespondentID],'All Data'!$A$3:$CO$999,93,FALSE),"unknown")</f>
        <v>Korean</v>
      </c>
      <c r="AS179" s="120" t="str">
        <f>IFERROR(VLOOKUP(Table1[RespondentID],'All Data'!$A$3:$CW$999,94,FALSE),"unknown")</f>
        <v>$0-$19,999</v>
      </c>
      <c r="AT179" s="120" t="str">
        <f>IFERROR(VLOOKUP(Table1[RespondentID],'All Data'!$A$3:$CW$999,95,FALSE),"unknown")</f>
        <v>College graduate</v>
      </c>
      <c r="AU179" s="120" t="str">
        <f>IFERROR(VLOOKUP(Table1[RespondentID],'All Data'!$A$3:$CW$999,96,FALSE),"unknown")</f>
        <v>Employed for wages</v>
      </c>
      <c r="AV179" s="120" t="str">
        <f>IFERROR(VLOOKUP(Table1[RespondentID],'All Data'!$A$3:$CW$999,97,FALSE),"unknown")</f>
        <v>Yes</v>
      </c>
      <c r="AW179" s="120">
        <f>IFERROR(VLOOKUP(Table1[RespondentID],'All Data'!$A$3:$CW$999,98,FALSE),"unknown")</f>
        <v>0</v>
      </c>
      <c r="AX179" s="120">
        <f>IFERROR(VLOOKUP(Table1[RespondentID],'All Data'!$A$3:$CW$999,99,FALSE),"unknown")</f>
        <v>0</v>
      </c>
    </row>
    <row r="180" spans="1:50">
      <c r="A180" s="5">
        <v>18021796390</v>
      </c>
      <c r="B180" s="5"/>
      <c r="C180" s="5"/>
      <c r="D180" s="5"/>
      <c r="E180" s="5" t="s">
        <v>19</v>
      </c>
      <c r="F180" s="5"/>
      <c r="G180" s="5" t="s">
        <v>21</v>
      </c>
      <c r="H180" s="5"/>
      <c r="I180" s="5" t="s">
        <v>23</v>
      </c>
      <c r="J180" s="5"/>
      <c r="K180" s="5"/>
      <c r="L180" s="5"/>
      <c r="M180" s="5"/>
      <c r="N180" s="5"/>
      <c r="O180" s="7"/>
      <c r="P180" s="7">
        <f t="shared" si="36"/>
        <v>3</v>
      </c>
      <c r="Q180" s="8">
        <f t="shared" si="37"/>
        <v>1</v>
      </c>
      <c r="R180" s="7"/>
      <c r="S180" s="7">
        <f t="shared" si="38"/>
        <v>0</v>
      </c>
      <c r="T180" s="7">
        <f t="shared" si="39"/>
        <v>0</v>
      </c>
      <c r="U180" s="7">
        <f t="shared" si="40"/>
        <v>0</v>
      </c>
      <c r="V180" s="119">
        <f t="shared" si="41"/>
        <v>1</v>
      </c>
      <c r="W180" s="119">
        <f t="shared" si="42"/>
        <v>0</v>
      </c>
      <c r="X180" s="119">
        <f t="shared" si="43"/>
        <v>1</v>
      </c>
      <c r="Y180" s="119">
        <f t="shared" si="44"/>
        <v>0</v>
      </c>
      <c r="Z180" s="119">
        <f t="shared" si="45"/>
        <v>1</v>
      </c>
      <c r="AA180" s="119">
        <f t="shared" si="46"/>
        <v>0</v>
      </c>
      <c r="AB180" s="119">
        <f t="shared" si="47"/>
        <v>0</v>
      </c>
      <c r="AC180" s="119">
        <f t="shared" si="48"/>
        <v>0</v>
      </c>
      <c r="AD180" s="119">
        <f t="shared" si="49"/>
        <v>0</v>
      </c>
      <c r="AE180" s="119">
        <f t="shared" si="50"/>
        <v>0</v>
      </c>
      <c r="AF180" s="7"/>
      <c r="AG180" s="7"/>
      <c r="AH180" s="7">
        <f t="shared" si="51"/>
        <v>3</v>
      </c>
      <c r="AI180" s="7">
        <f t="shared" si="52"/>
        <v>3</v>
      </c>
      <c r="AJ180" s="7" t="str">
        <f t="shared" si="53"/>
        <v>Correct</v>
      </c>
      <c r="AK180" s="7"/>
      <c r="AL180" s="120" t="str">
        <f>IFERROR(VLOOKUP(Table1[RespondentID],'All Data'!$A$3:$CO$999,87,FALSE),"unknown")</f>
        <v>Man</v>
      </c>
      <c r="AM180" s="120">
        <f>IFERROR(VLOOKUP(Table1[RespondentID],'All Data'!$A$3:$CO$999,88,FALSE),"unknown")</f>
        <v>26</v>
      </c>
      <c r="AN180" s="120" t="str">
        <f>IFERROR(VLOOKUP(Table1[RespondentID],'All Data'!$A$3:$CO$999,89,FALSE),"unknown")</f>
        <v>Suffolk</v>
      </c>
      <c r="AO180" s="120" t="str">
        <f>IFERROR(VLOOKUP(Table1[RespondentID],'All Data'!$A$3:$CO$999,90,FALSE),"unknown")</f>
        <v>Port Jefferson Station, 11776</v>
      </c>
      <c r="AP180" s="120" t="str">
        <f>IFERROR(VLOOKUP(Table1[RespondentID],'All Data'!$A$3:$CO$999,91,FALSE),"unknown")</f>
        <v>White</v>
      </c>
      <c r="AQ180" s="120" t="str">
        <f>IFERROR(VLOOKUP(Table1[RespondentID],'All Data'!$A$3:$CO$999,92,FALSE),"unknown")</f>
        <v>Hispanic or Latino</v>
      </c>
      <c r="AR180" s="120" t="str">
        <f>IFERROR(VLOOKUP(Table1[RespondentID],'All Data'!$A$3:$CO$999,93,FALSE),"unknown")</f>
        <v>English</v>
      </c>
      <c r="AS180" s="120" t="str">
        <f>IFERROR(VLOOKUP(Table1[RespondentID],'All Data'!$A$3:$CW$999,94,FALSE),"unknown")</f>
        <v>Over $125,000</v>
      </c>
      <c r="AT180" s="120" t="str">
        <f>IFERROR(VLOOKUP(Table1[RespondentID],'All Data'!$A$3:$CW$999,95,FALSE),"unknown")</f>
        <v>Some college</v>
      </c>
      <c r="AU180" s="120" t="str">
        <f>IFERROR(VLOOKUP(Table1[RespondentID],'All Data'!$A$3:$CW$999,96,FALSE),"unknown")</f>
        <v>Out of work and looking for work</v>
      </c>
      <c r="AV180" s="120" t="str">
        <f>IFERROR(VLOOKUP(Table1[RespondentID],'All Data'!$A$3:$CW$999,97,FALSE),"unknown")</f>
        <v>Yes</v>
      </c>
      <c r="AW180" s="120">
        <f>IFERROR(VLOOKUP(Table1[RespondentID],'All Data'!$A$3:$CW$999,98,FALSE),"unknown")</f>
        <v>0</v>
      </c>
      <c r="AX180" s="120">
        <f>IFERROR(VLOOKUP(Table1[RespondentID],'All Data'!$A$3:$CW$999,99,FALSE),"unknown")</f>
        <v>0</v>
      </c>
    </row>
    <row r="181" spans="1:50">
      <c r="A181" s="5">
        <v>18021796214</v>
      </c>
      <c r="B181" s="5"/>
      <c r="C181" s="5"/>
      <c r="D181" s="5"/>
      <c r="E181" s="5" t="s">
        <v>19</v>
      </c>
      <c r="F181" s="5"/>
      <c r="G181" s="5"/>
      <c r="H181" s="5"/>
      <c r="I181" s="5"/>
      <c r="J181" s="5"/>
      <c r="K181" s="5"/>
      <c r="L181" s="5"/>
      <c r="M181" s="5" t="s">
        <v>27</v>
      </c>
      <c r="N181" s="5" t="s">
        <v>28</v>
      </c>
      <c r="O181" s="7"/>
      <c r="P181" s="7">
        <f t="shared" si="36"/>
        <v>3</v>
      </c>
      <c r="Q181" s="9">
        <f t="shared" si="37"/>
        <v>1</v>
      </c>
      <c r="R181" s="7"/>
      <c r="S181" s="7">
        <f t="shared" si="38"/>
        <v>0</v>
      </c>
      <c r="T181" s="7">
        <f t="shared" si="39"/>
        <v>0</v>
      </c>
      <c r="U181" s="7">
        <f t="shared" si="40"/>
        <v>0</v>
      </c>
      <c r="V181" s="119">
        <f t="shared" si="41"/>
        <v>1</v>
      </c>
      <c r="W181" s="119">
        <f t="shared" si="42"/>
        <v>0</v>
      </c>
      <c r="X181" s="119">
        <f t="shared" si="43"/>
        <v>0</v>
      </c>
      <c r="Y181" s="119">
        <f t="shared" si="44"/>
        <v>0</v>
      </c>
      <c r="Z181" s="119">
        <f t="shared" si="45"/>
        <v>0</v>
      </c>
      <c r="AA181" s="119">
        <f t="shared" si="46"/>
        <v>0</v>
      </c>
      <c r="AB181" s="119">
        <f t="shared" si="47"/>
        <v>0</v>
      </c>
      <c r="AC181" s="119">
        <f t="shared" si="48"/>
        <v>0</v>
      </c>
      <c r="AD181" s="119">
        <f t="shared" si="49"/>
        <v>1</v>
      </c>
      <c r="AE181" s="119">
        <f t="shared" si="50"/>
        <v>1</v>
      </c>
      <c r="AF181" s="7"/>
      <c r="AG181" s="7"/>
      <c r="AH181" s="7">
        <f t="shared" si="51"/>
        <v>3</v>
      </c>
      <c r="AI181" s="7">
        <f t="shared" si="52"/>
        <v>3</v>
      </c>
      <c r="AJ181" s="7" t="str">
        <f t="shared" si="53"/>
        <v>Correct</v>
      </c>
      <c r="AK181" s="7"/>
      <c r="AL181" s="120" t="str">
        <f>IFERROR(VLOOKUP(Table1[RespondentID],'All Data'!$A$3:$CO$999,87,FALSE),"unknown")</f>
        <v>Woman</v>
      </c>
      <c r="AM181" s="120">
        <f>IFERROR(VLOOKUP(Table1[RespondentID],'All Data'!$A$3:$CO$999,88,FALSE),"unknown")</f>
        <v>46</v>
      </c>
      <c r="AN181" s="120" t="str">
        <f>IFERROR(VLOOKUP(Table1[RespondentID],'All Data'!$A$3:$CO$999,89,FALSE),"unknown")</f>
        <v>Nassau</v>
      </c>
      <c r="AO181" s="120" t="str">
        <f>IFERROR(VLOOKUP(Table1[RespondentID],'All Data'!$A$3:$CO$999,90,FALSE),"unknown")</f>
        <v>Long Beach, 11561</v>
      </c>
      <c r="AP181" s="120" t="str">
        <f>IFERROR(VLOOKUP(Table1[RespondentID],'All Data'!$A$3:$CO$999,91,FALSE),"unknown")</f>
        <v>White</v>
      </c>
      <c r="AQ181" s="120" t="str">
        <f>IFERROR(VLOOKUP(Table1[RespondentID],'All Data'!$A$3:$CO$999,92,FALSE),"unknown")</f>
        <v>Hispanic or Latino</v>
      </c>
      <c r="AR181" s="120" t="str">
        <f>IFERROR(VLOOKUP(Table1[RespondentID],'All Data'!$A$3:$CO$999,93,FALSE),"unknown")</f>
        <v>English</v>
      </c>
      <c r="AS181" s="120" t="str">
        <f>IFERROR(VLOOKUP(Table1[RespondentID],'All Data'!$A$3:$CW$999,94,FALSE),"unknown")</f>
        <v>Over $125,000</v>
      </c>
      <c r="AT181" s="120" t="str">
        <f>IFERROR(VLOOKUP(Table1[RespondentID],'All Data'!$A$3:$CW$999,95,FALSE),"unknown")</f>
        <v>Graduate school</v>
      </c>
      <c r="AU181" s="120" t="str">
        <f>IFERROR(VLOOKUP(Table1[RespondentID],'All Data'!$A$3:$CW$999,96,FALSE),"unknown")</f>
        <v>Employed for wages</v>
      </c>
      <c r="AV181" s="120" t="str">
        <f>IFERROR(VLOOKUP(Table1[RespondentID],'All Data'!$A$3:$CW$999,97,FALSE),"unknown")</f>
        <v>Yes</v>
      </c>
      <c r="AW181" s="120">
        <f>IFERROR(VLOOKUP(Table1[RespondentID],'All Data'!$A$3:$CW$999,98,FALSE),"unknown")</f>
        <v>0</v>
      </c>
      <c r="AX181" s="120">
        <f>IFERROR(VLOOKUP(Table1[RespondentID],'All Data'!$A$3:$CW$999,99,FALSE),"unknown")</f>
        <v>0</v>
      </c>
    </row>
    <row r="182" spans="1:50">
      <c r="A182" s="5">
        <v>18021795979</v>
      </c>
      <c r="B182" s="5"/>
      <c r="C182" s="5" t="s">
        <v>17</v>
      </c>
      <c r="D182" s="5" t="s">
        <v>18</v>
      </c>
      <c r="E182" s="5"/>
      <c r="F182" s="5"/>
      <c r="G182" s="5" t="s">
        <v>21</v>
      </c>
      <c r="H182" s="5"/>
      <c r="I182" s="5"/>
      <c r="J182" s="5"/>
      <c r="K182" s="5"/>
      <c r="L182" s="5"/>
      <c r="M182" s="5"/>
      <c r="N182" s="5"/>
      <c r="O182" s="7"/>
      <c r="P182" s="7">
        <f t="shared" si="36"/>
        <v>3</v>
      </c>
      <c r="Q182" s="8">
        <f t="shared" si="37"/>
        <v>1</v>
      </c>
      <c r="R182" s="7"/>
      <c r="S182" s="7">
        <f t="shared" si="38"/>
        <v>0</v>
      </c>
      <c r="T182" s="7">
        <f t="shared" si="39"/>
        <v>1</v>
      </c>
      <c r="U182" s="7">
        <f t="shared" si="40"/>
        <v>1</v>
      </c>
      <c r="V182" s="119">
        <f t="shared" si="41"/>
        <v>0</v>
      </c>
      <c r="W182" s="119">
        <f t="shared" si="42"/>
        <v>0</v>
      </c>
      <c r="X182" s="119">
        <f t="shared" si="43"/>
        <v>1</v>
      </c>
      <c r="Y182" s="119">
        <f t="shared" si="44"/>
        <v>0</v>
      </c>
      <c r="Z182" s="119">
        <f t="shared" si="45"/>
        <v>0</v>
      </c>
      <c r="AA182" s="119">
        <f t="shared" si="46"/>
        <v>0</v>
      </c>
      <c r="AB182" s="119">
        <f t="shared" si="47"/>
        <v>0</v>
      </c>
      <c r="AC182" s="119">
        <f t="shared" si="48"/>
        <v>0</v>
      </c>
      <c r="AD182" s="119">
        <f t="shared" si="49"/>
        <v>0</v>
      </c>
      <c r="AE182" s="119">
        <f t="shared" si="50"/>
        <v>0</v>
      </c>
      <c r="AF182" s="7"/>
      <c r="AG182" s="7"/>
      <c r="AH182" s="7">
        <f t="shared" si="51"/>
        <v>3</v>
      </c>
      <c r="AI182" s="7">
        <f t="shared" si="52"/>
        <v>3</v>
      </c>
      <c r="AJ182" s="7" t="str">
        <f t="shared" si="53"/>
        <v>Correct</v>
      </c>
      <c r="AK182" s="7"/>
      <c r="AL182" s="120" t="str">
        <f>IFERROR(VLOOKUP(Table1[RespondentID],'All Data'!$A$3:$CO$999,87,FALSE),"unknown")</f>
        <v>Man</v>
      </c>
      <c r="AM182" s="120">
        <f>IFERROR(VLOOKUP(Table1[RespondentID],'All Data'!$A$3:$CO$999,88,FALSE),"unknown")</f>
        <v>34</v>
      </c>
      <c r="AN182" s="120" t="str">
        <f>IFERROR(VLOOKUP(Table1[RespondentID],'All Data'!$A$3:$CO$999,89,FALSE),"unknown")</f>
        <v>Suffolk</v>
      </c>
      <c r="AO182" s="120" t="str">
        <f>IFERROR(VLOOKUP(Table1[RespondentID],'All Data'!$A$3:$CO$999,90,FALSE),"unknown")</f>
        <v>Stony Brook, 11790</v>
      </c>
      <c r="AP182" s="120" t="str">
        <f>IFERROR(VLOOKUP(Table1[RespondentID],'All Data'!$A$3:$CO$999,91,FALSE),"unknown")</f>
        <v>White</v>
      </c>
      <c r="AQ182" s="120" t="str">
        <f>IFERROR(VLOOKUP(Table1[RespondentID],'All Data'!$A$3:$CO$999,92,FALSE),"unknown")</f>
        <v>Hispanic or Latino</v>
      </c>
      <c r="AR182" s="120" t="str">
        <f>IFERROR(VLOOKUP(Table1[RespondentID],'All Data'!$A$3:$CO$999,93,FALSE),"unknown")</f>
        <v>English</v>
      </c>
      <c r="AS182" s="120" t="str">
        <f>IFERROR(VLOOKUP(Table1[RespondentID],'All Data'!$A$3:$CW$999,94,FALSE),"unknown")</f>
        <v>$35,000 to $49,999</v>
      </c>
      <c r="AT182" s="120" t="str">
        <f>IFERROR(VLOOKUP(Table1[RespondentID],'All Data'!$A$3:$CW$999,95,FALSE),"unknown")</f>
        <v>Some college</v>
      </c>
      <c r="AU182" s="120" t="str">
        <f>IFERROR(VLOOKUP(Table1[RespondentID],'All Data'!$A$3:$CW$999,96,FALSE),"unknown")</f>
        <v>Employed for wages</v>
      </c>
      <c r="AV182" s="120" t="str">
        <f>IFERROR(VLOOKUP(Table1[RespondentID],'All Data'!$A$3:$CW$999,97,FALSE),"unknown")</f>
        <v>Yes</v>
      </c>
      <c r="AW182" s="120">
        <f>IFERROR(VLOOKUP(Table1[RespondentID],'All Data'!$A$3:$CW$999,98,FALSE),"unknown")</f>
        <v>0</v>
      </c>
      <c r="AX182" s="120">
        <f>IFERROR(VLOOKUP(Table1[RespondentID],'All Data'!$A$3:$CW$999,99,FALSE),"unknown")</f>
        <v>0</v>
      </c>
    </row>
    <row r="183" spans="1:50">
      <c r="A183" s="5">
        <v>18021795763</v>
      </c>
      <c r="B183" s="5"/>
      <c r="C183" s="5"/>
      <c r="D183" s="5"/>
      <c r="E183" s="5"/>
      <c r="F183" s="5"/>
      <c r="G183" s="5"/>
      <c r="H183" s="5"/>
      <c r="I183" s="5" t="s">
        <v>23</v>
      </c>
      <c r="J183" s="5"/>
      <c r="K183" s="5" t="s">
        <v>25</v>
      </c>
      <c r="L183" s="5"/>
      <c r="M183" s="5"/>
      <c r="N183" s="5"/>
      <c r="O183" s="7"/>
      <c r="P183" s="7">
        <f t="shared" si="36"/>
        <v>2</v>
      </c>
      <c r="Q183" s="9">
        <f t="shared" si="37"/>
        <v>1.5</v>
      </c>
      <c r="R183" s="7"/>
      <c r="S183" s="7">
        <f t="shared" si="38"/>
        <v>0</v>
      </c>
      <c r="T183" s="7">
        <f t="shared" si="39"/>
        <v>0</v>
      </c>
      <c r="U183" s="7">
        <f t="shared" si="40"/>
        <v>0</v>
      </c>
      <c r="V183" s="119">
        <f t="shared" si="41"/>
        <v>0</v>
      </c>
      <c r="W183" s="119">
        <f t="shared" si="42"/>
        <v>0</v>
      </c>
      <c r="X183" s="119">
        <f t="shared" si="43"/>
        <v>0</v>
      </c>
      <c r="Y183" s="119">
        <f t="shared" si="44"/>
        <v>0</v>
      </c>
      <c r="Z183" s="119">
        <f t="shared" si="45"/>
        <v>1</v>
      </c>
      <c r="AA183" s="119">
        <f t="shared" si="46"/>
        <v>0</v>
      </c>
      <c r="AB183" s="119">
        <f t="shared" si="47"/>
        <v>1</v>
      </c>
      <c r="AC183" s="119">
        <f t="shared" si="48"/>
        <v>0</v>
      </c>
      <c r="AD183" s="119">
        <f t="shared" si="49"/>
        <v>0</v>
      </c>
      <c r="AE183" s="119">
        <f t="shared" si="50"/>
        <v>0</v>
      </c>
      <c r="AF183" s="7"/>
      <c r="AG183" s="7"/>
      <c r="AH183" s="7">
        <f t="shared" si="51"/>
        <v>2</v>
      </c>
      <c r="AI183" s="7">
        <f t="shared" si="52"/>
        <v>2</v>
      </c>
      <c r="AJ183" s="7" t="str">
        <f t="shared" si="53"/>
        <v>Correct</v>
      </c>
      <c r="AK183" s="7"/>
      <c r="AL183" s="120" t="str">
        <f>IFERROR(VLOOKUP(Table1[RespondentID],'All Data'!$A$3:$CO$999,87,FALSE),"unknown")</f>
        <v>Man</v>
      </c>
      <c r="AM183" s="120">
        <f>IFERROR(VLOOKUP(Table1[RespondentID],'All Data'!$A$3:$CO$999,88,FALSE),"unknown")</f>
        <v>18</v>
      </c>
      <c r="AN183" s="120" t="str">
        <f>IFERROR(VLOOKUP(Table1[RespondentID],'All Data'!$A$3:$CO$999,89,FALSE),"unknown")</f>
        <v>Suffolk</v>
      </c>
      <c r="AO183" s="120" t="str">
        <f>IFERROR(VLOOKUP(Table1[RespondentID],'All Data'!$A$3:$CO$999,90,FALSE),"unknown")</f>
        <v>Commack, 11725</v>
      </c>
      <c r="AP183" s="120" t="str">
        <f>IFERROR(VLOOKUP(Table1[RespondentID],'All Data'!$A$3:$CO$999,91,FALSE),"unknown")</f>
        <v>White</v>
      </c>
      <c r="AQ183" s="120" t="str">
        <f>IFERROR(VLOOKUP(Table1[RespondentID],'All Data'!$A$3:$CO$999,92,FALSE),"unknown")</f>
        <v>Hispanic or Latino</v>
      </c>
      <c r="AR183" s="120" t="str">
        <f>IFERROR(VLOOKUP(Table1[RespondentID],'All Data'!$A$3:$CO$999,93,FALSE),"unknown")</f>
        <v>English</v>
      </c>
      <c r="AS183" s="120" t="str">
        <f>IFERROR(VLOOKUP(Table1[RespondentID],'All Data'!$A$3:$CW$999,94,FALSE),"unknown")</f>
        <v>$50,000 to $74,999</v>
      </c>
      <c r="AT183" s="120" t="str">
        <f>IFERROR(VLOOKUP(Table1[RespondentID],'All Data'!$A$3:$CW$999,95,FALSE),"unknown")</f>
        <v>High school graduate</v>
      </c>
      <c r="AU183" s="120" t="str">
        <f>IFERROR(VLOOKUP(Table1[RespondentID],'All Data'!$A$3:$CW$999,96,FALSE),"unknown")</f>
        <v>Student</v>
      </c>
      <c r="AV183" s="120" t="str">
        <f>IFERROR(VLOOKUP(Table1[RespondentID],'All Data'!$A$3:$CW$999,97,FALSE),"unknown")</f>
        <v>Yes</v>
      </c>
      <c r="AW183" s="120">
        <f>IFERROR(VLOOKUP(Table1[RespondentID],'All Data'!$A$3:$CW$999,98,FALSE),"unknown")</f>
        <v>0</v>
      </c>
      <c r="AX183" s="120">
        <f>IFERROR(VLOOKUP(Table1[RespondentID],'All Data'!$A$3:$CW$999,99,FALSE),"unknown")</f>
        <v>0</v>
      </c>
    </row>
    <row r="184" spans="1:50">
      <c r="A184" s="5">
        <v>18021795588</v>
      </c>
      <c r="B184" s="5"/>
      <c r="C184" s="5" t="s">
        <v>17</v>
      </c>
      <c r="D184" s="5"/>
      <c r="E184" s="5" t="s">
        <v>19</v>
      </c>
      <c r="F184" s="5"/>
      <c r="G184" s="5" t="s">
        <v>21</v>
      </c>
      <c r="H184" s="5"/>
      <c r="I184" s="5"/>
      <c r="J184" s="5"/>
      <c r="K184" s="5"/>
      <c r="L184" s="5"/>
      <c r="M184" s="5"/>
      <c r="N184" s="5"/>
      <c r="O184" s="7"/>
      <c r="P184" s="7">
        <f t="shared" si="36"/>
        <v>3</v>
      </c>
      <c r="Q184" s="8">
        <f t="shared" si="37"/>
        <v>1</v>
      </c>
      <c r="R184" s="7"/>
      <c r="S184" s="7">
        <f t="shared" si="38"/>
        <v>0</v>
      </c>
      <c r="T184" s="7">
        <f t="shared" si="39"/>
        <v>1</v>
      </c>
      <c r="U184" s="7">
        <f t="shared" si="40"/>
        <v>0</v>
      </c>
      <c r="V184" s="119">
        <f t="shared" si="41"/>
        <v>1</v>
      </c>
      <c r="W184" s="119">
        <f t="shared" si="42"/>
        <v>0</v>
      </c>
      <c r="X184" s="119">
        <f t="shared" si="43"/>
        <v>1</v>
      </c>
      <c r="Y184" s="119">
        <f t="shared" si="44"/>
        <v>0</v>
      </c>
      <c r="Z184" s="119">
        <f t="shared" si="45"/>
        <v>0</v>
      </c>
      <c r="AA184" s="119">
        <f t="shared" si="46"/>
        <v>0</v>
      </c>
      <c r="AB184" s="119">
        <f t="shared" si="47"/>
        <v>0</v>
      </c>
      <c r="AC184" s="119">
        <f t="shared" si="48"/>
        <v>0</v>
      </c>
      <c r="AD184" s="119">
        <f t="shared" si="49"/>
        <v>0</v>
      </c>
      <c r="AE184" s="119">
        <f t="shared" si="50"/>
        <v>0</v>
      </c>
      <c r="AF184" s="7"/>
      <c r="AG184" s="7"/>
      <c r="AH184" s="7">
        <f t="shared" si="51"/>
        <v>3</v>
      </c>
      <c r="AI184" s="7">
        <f t="shared" si="52"/>
        <v>3</v>
      </c>
      <c r="AJ184" s="7" t="str">
        <f t="shared" si="53"/>
        <v>Correct</v>
      </c>
      <c r="AK184" s="7"/>
      <c r="AL184" s="120" t="str">
        <f>IFERROR(VLOOKUP(Table1[RespondentID],'All Data'!$A$3:$CO$999,87,FALSE),"unknown")</f>
        <v>Woman</v>
      </c>
      <c r="AM184" s="120">
        <f>IFERROR(VLOOKUP(Table1[RespondentID],'All Data'!$A$3:$CO$999,88,FALSE),"unknown")</f>
        <v>64</v>
      </c>
      <c r="AN184" s="120" t="str">
        <f>IFERROR(VLOOKUP(Table1[RespondentID],'All Data'!$A$3:$CO$999,89,FALSE),"unknown")</f>
        <v>Suffolk</v>
      </c>
      <c r="AO184" s="120" t="str">
        <f>IFERROR(VLOOKUP(Table1[RespondentID],'All Data'!$A$3:$CO$999,90,FALSE),"unknown")</f>
        <v>Northport, 11768</v>
      </c>
      <c r="AP184" s="120" t="str">
        <f>IFERROR(VLOOKUP(Table1[RespondentID],'All Data'!$A$3:$CO$999,91,FALSE),"unknown")</f>
        <v>White</v>
      </c>
      <c r="AQ184" s="120" t="str">
        <f>IFERROR(VLOOKUP(Table1[RespondentID],'All Data'!$A$3:$CO$999,92,FALSE),"unknown")</f>
        <v>Hispanic or Latino</v>
      </c>
      <c r="AR184" s="120" t="str">
        <f>IFERROR(VLOOKUP(Table1[RespondentID],'All Data'!$A$3:$CO$999,93,FALSE),"unknown")</f>
        <v>English</v>
      </c>
      <c r="AS184" s="120" t="str">
        <f>IFERROR(VLOOKUP(Table1[RespondentID],'All Data'!$A$3:$CW$999,94,FALSE),"unknown")</f>
        <v>Over $125,000</v>
      </c>
      <c r="AT184" s="120" t="str">
        <f>IFERROR(VLOOKUP(Table1[RespondentID],'All Data'!$A$3:$CW$999,95,FALSE),"unknown")</f>
        <v>Graduate school</v>
      </c>
      <c r="AU184" s="120" t="str">
        <f>IFERROR(VLOOKUP(Table1[RespondentID],'All Data'!$A$3:$CW$999,96,FALSE),"unknown")</f>
        <v>Employed for wages</v>
      </c>
      <c r="AV184" s="120" t="str">
        <f>IFERROR(VLOOKUP(Table1[RespondentID],'All Data'!$A$3:$CW$999,97,FALSE),"unknown")</f>
        <v>Yes</v>
      </c>
      <c r="AW184" s="120">
        <f>IFERROR(VLOOKUP(Table1[RespondentID],'All Data'!$A$3:$CW$999,98,FALSE),"unknown")</f>
        <v>0</v>
      </c>
      <c r="AX184" s="120">
        <f>IFERROR(VLOOKUP(Table1[RespondentID],'All Data'!$A$3:$CW$999,99,FALSE),"unknown")</f>
        <v>0</v>
      </c>
    </row>
    <row r="185" spans="1:50">
      <c r="A185" s="5">
        <v>18021795380</v>
      </c>
      <c r="B185" s="5"/>
      <c r="C185" s="5"/>
      <c r="D185" s="5" t="s">
        <v>18</v>
      </c>
      <c r="E185" s="5" t="s">
        <v>19</v>
      </c>
      <c r="F185" s="5"/>
      <c r="G185" s="5"/>
      <c r="H185" s="5"/>
      <c r="I185" s="5"/>
      <c r="J185" s="5"/>
      <c r="K185" s="5"/>
      <c r="L185" s="5"/>
      <c r="M185" s="5"/>
      <c r="N185" s="5" t="s">
        <v>28</v>
      </c>
      <c r="O185" s="7"/>
      <c r="P185" s="7">
        <f t="shared" si="36"/>
        <v>3</v>
      </c>
      <c r="Q185" s="9">
        <f t="shared" si="37"/>
        <v>1</v>
      </c>
      <c r="R185" s="7"/>
      <c r="S185" s="7">
        <f t="shared" si="38"/>
        <v>0</v>
      </c>
      <c r="T185" s="7">
        <f t="shared" si="39"/>
        <v>0</v>
      </c>
      <c r="U185" s="7">
        <f t="shared" si="40"/>
        <v>1</v>
      </c>
      <c r="V185" s="119">
        <f t="shared" si="41"/>
        <v>1</v>
      </c>
      <c r="W185" s="119">
        <f t="shared" si="42"/>
        <v>0</v>
      </c>
      <c r="X185" s="119">
        <f t="shared" si="43"/>
        <v>0</v>
      </c>
      <c r="Y185" s="119">
        <f t="shared" si="44"/>
        <v>0</v>
      </c>
      <c r="Z185" s="119">
        <f t="shared" si="45"/>
        <v>0</v>
      </c>
      <c r="AA185" s="119">
        <f t="shared" si="46"/>
        <v>0</v>
      </c>
      <c r="AB185" s="119">
        <f t="shared" si="47"/>
        <v>0</v>
      </c>
      <c r="AC185" s="119">
        <f t="shared" si="48"/>
        <v>0</v>
      </c>
      <c r="AD185" s="119">
        <f t="shared" si="49"/>
        <v>0</v>
      </c>
      <c r="AE185" s="119">
        <f t="shared" si="50"/>
        <v>1</v>
      </c>
      <c r="AF185" s="7"/>
      <c r="AG185" s="7"/>
      <c r="AH185" s="7">
        <f t="shared" si="51"/>
        <v>3</v>
      </c>
      <c r="AI185" s="7">
        <f t="shared" si="52"/>
        <v>3</v>
      </c>
      <c r="AJ185" s="7" t="str">
        <f t="shared" si="53"/>
        <v>Correct</v>
      </c>
      <c r="AK185" s="7"/>
      <c r="AL185" s="120" t="str">
        <f>IFERROR(VLOOKUP(Table1[RespondentID],'All Data'!$A$3:$CO$999,87,FALSE),"unknown")</f>
        <v>Woman</v>
      </c>
      <c r="AM185" s="120">
        <f>IFERROR(VLOOKUP(Table1[RespondentID],'All Data'!$A$3:$CO$999,88,FALSE),"unknown")</f>
        <v>50</v>
      </c>
      <c r="AN185" s="120" t="str">
        <f>IFERROR(VLOOKUP(Table1[RespondentID],'All Data'!$A$3:$CO$999,89,FALSE),"unknown")</f>
        <v>Suffolk</v>
      </c>
      <c r="AO185" s="120" t="str">
        <f>IFERROR(VLOOKUP(Table1[RespondentID],'All Data'!$A$3:$CO$999,90,FALSE),"unknown")</f>
        <v>Dix Hills, 11746</v>
      </c>
      <c r="AP185" s="120" t="str">
        <f>IFERROR(VLOOKUP(Table1[RespondentID],'All Data'!$A$3:$CO$999,91,FALSE),"unknown")</f>
        <v>American Indian and Alaska Native</v>
      </c>
      <c r="AQ185" s="120" t="str">
        <f>IFERROR(VLOOKUP(Table1[RespondentID],'All Data'!$A$3:$CO$999,92,FALSE),"unknown")</f>
        <v>Hispanic or Latino</v>
      </c>
      <c r="AR185" s="120" t="str">
        <f>IFERROR(VLOOKUP(Table1[RespondentID],'All Data'!$A$3:$CO$999,93,FALSE),"unknown")</f>
        <v>English</v>
      </c>
      <c r="AS185" s="120" t="str">
        <f>IFERROR(VLOOKUP(Table1[RespondentID],'All Data'!$A$3:$CW$999,94,FALSE),"unknown")</f>
        <v>$50,000 to $74,999</v>
      </c>
      <c r="AT185" s="120" t="str">
        <f>IFERROR(VLOOKUP(Table1[RespondentID],'All Data'!$A$3:$CW$999,95,FALSE),"unknown")</f>
        <v>Some college</v>
      </c>
      <c r="AU185" s="120" t="str">
        <f>IFERROR(VLOOKUP(Table1[RespondentID],'All Data'!$A$3:$CW$999,96,FALSE),"unknown")</f>
        <v>Employed for wages</v>
      </c>
      <c r="AV185" s="120" t="str">
        <f>IFERROR(VLOOKUP(Table1[RespondentID],'All Data'!$A$3:$CW$999,97,FALSE),"unknown")</f>
        <v>Yes</v>
      </c>
      <c r="AW185" s="120">
        <f>IFERROR(VLOOKUP(Table1[RespondentID],'All Data'!$A$3:$CW$999,98,FALSE),"unknown")</f>
        <v>0</v>
      </c>
      <c r="AX185" s="120">
        <f>IFERROR(VLOOKUP(Table1[RespondentID],'All Data'!$A$3:$CW$999,99,FALSE),"unknown")</f>
        <v>0</v>
      </c>
    </row>
    <row r="186" spans="1:50">
      <c r="A186" s="5">
        <v>18021795224</v>
      </c>
      <c r="B186" s="5"/>
      <c r="C186" s="5"/>
      <c r="D186" s="5" t="s">
        <v>18</v>
      </c>
      <c r="E186" s="5"/>
      <c r="F186" s="5"/>
      <c r="G186" s="5"/>
      <c r="H186" s="5"/>
      <c r="I186" s="5" t="s">
        <v>23</v>
      </c>
      <c r="J186" s="5" t="s">
        <v>24</v>
      </c>
      <c r="K186" s="5"/>
      <c r="L186" s="5"/>
      <c r="M186" s="5"/>
      <c r="N186" s="5"/>
      <c r="O186" s="7"/>
      <c r="P186" s="7">
        <f t="shared" si="36"/>
        <v>3</v>
      </c>
      <c r="Q186" s="8">
        <f t="shared" si="37"/>
        <v>1</v>
      </c>
      <c r="R186" s="7"/>
      <c r="S186" s="7">
        <f t="shared" si="38"/>
        <v>0</v>
      </c>
      <c r="T186" s="7">
        <f t="shared" si="39"/>
        <v>0</v>
      </c>
      <c r="U186" s="7">
        <f t="shared" si="40"/>
        <v>1</v>
      </c>
      <c r="V186" s="119">
        <f t="shared" si="41"/>
        <v>0</v>
      </c>
      <c r="W186" s="119">
        <f t="shared" si="42"/>
        <v>0</v>
      </c>
      <c r="X186" s="119">
        <f t="shared" si="43"/>
        <v>0</v>
      </c>
      <c r="Y186" s="119">
        <f t="shared" si="44"/>
        <v>0</v>
      </c>
      <c r="Z186" s="119">
        <f t="shared" si="45"/>
        <v>1</v>
      </c>
      <c r="AA186" s="119">
        <f t="shared" si="46"/>
        <v>1</v>
      </c>
      <c r="AB186" s="119">
        <f t="shared" si="47"/>
        <v>0</v>
      </c>
      <c r="AC186" s="119">
        <f t="shared" si="48"/>
        <v>0</v>
      </c>
      <c r="AD186" s="119">
        <f t="shared" si="49"/>
        <v>0</v>
      </c>
      <c r="AE186" s="119">
        <f t="shared" si="50"/>
        <v>0</v>
      </c>
      <c r="AF186" s="7"/>
      <c r="AG186" s="7"/>
      <c r="AH186" s="7">
        <f t="shared" si="51"/>
        <v>3</v>
      </c>
      <c r="AI186" s="7">
        <f t="shared" si="52"/>
        <v>3</v>
      </c>
      <c r="AJ186" s="7" t="str">
        <f t="shared" si="53"/>
        <v>Correct</v>
      </c>
      <c r="AK186" s="7"/>
      <c r="AL186" s="120" t="str">
        <f>IFERROR(VLOOKUP(Table1[RespondentID],'All Data'!$A$3:$CO$999,87,FALSE),"unknown")</f>
        <v>Man</v>
      </c>
      <c r="AM186" s="120">
        <f>IFERROR(VLOOKUP(Table1[RespondentID],'All Data'!$A$3:$CO$999,88,FALSE),"unknown")</f>
        <v>86</v>
      </c>
      <c r="AN186" s="120" t="str">
        <f>IFERROR(VLOOKUP(Table1[RespondentID],'All Data'!$A$3:$CO$999,89,FALSE),"unknown")</f>
        <v>Suffolk</v>
      </c>
      <c r="AO186" s="120" t="str">
        <f>IFERROR(VLOOKUP(Table1[RespondentID],'All Data'!$A$3:$CO$999,90,FALSE),"unknown")</f>
        <v>Dix Hills, 11746</v>
      </c>
      <c r="AP186" s="120" t="str">
        <f>IFERROR(VLOOKUP(Table1[RespondentID],'All Data'!$A$3:$CO$999,91,FALSE),"unknown")</f>
        <v>American Indian and Alaska Native</v>
      </c>
      <c r="AQ186" s="120" t="str">
        <f>IFERROR(VLOOKUP(Table1[RespondentID],'All Data'!$A$3:$CO$999,92,FALSE),"unknown")</f>
        <v>Hispanic or Latino</v>
      </c>
      <c r="AR186" s="120" t="str">
        <f>IFERROR(VLOOKUP(Table1[RespondentID],'All Data'!$A$3:$CO$999,93,FALSE),"unknown")</f>
        <v>English</v>
      </c>
      <c r="AS186" s="120" t="str">
        <f>IFERROR(VLOOKUP(Table1[RespondentID],'All Data'!$A$3:$CW$999,94,FALSE),"unknown")</f>
        <v>$50,000 to $74,999</v>
      </c>
      <c r="AT186" s="120" t="str">
        <f>IFERROR(VLOOKUP(Table1[RespondentID],'All Data'!$A$3:$CW$999,95,FALSE),"unknown")</f>
        <v>Some high school</v>
      </c>
      <c r="AU186" s="120" t="str">
        <f>IFERROR(VLOOKUP(Table1[RespondentID],'All Data'!$A$3:$CW$999,96,FALSE),"unknown")</f>
        <v>Retired</v>
      </c>
      <c r="AV186" s="120" t="str">
        <f>IFERROR(VLOOKUP(Table1[RespondentID],'All Data'!$A$3:$CW$999,97,FALSE),"unknown")</f>
        <v>Yes</v>
      </c>
      <c r="AW186" s="120">
        <f>IFERROR(VLOOKUP(Table1[RespondentID],'All Data'!$A$3:$CW$999,98,FALSE),"unknown")</f>
        <v>0</v>
      </c>
      <c r="AX186" s="120">
        <f>IFERROR(VLOOKUP(Table1[RespondentID],'All Data'!$A$3:$CW$999,99,FALSE),"unknown")</f>
        <v>0</v>
      </c>
    </row>
    <row r="187" spans="1:50">
      <c r="A187" s="5">
        <v>18021795037</v>
      </c>
      <c r="B187" s="5"/>
      <c r="C187" s="5"/>
      <c r="D187" s="5"/>
      <c r="E187" s="5"/>
      <c r="F187" s="5"/>
      <c r="G187" s="5"/>
      <c r="H187" s="5"/>
      <c r="I187" s="5" t="s">
        <v>23</v>
      </c>
      <c r="J187" s="5"/>
      <c r="K187" s="5" t="s">
        <v>25</v>
      </c>
      <c r="L187" s="5"/>
      <c r="M187" s="5"/>
      <c r="N187" s="5" t="s">
        <v>28</v>
      </c>
      <c r="O187" s="7"/>
      <c r="P187" s="7">
        <f t="shared" si="36"/>
        <v>3</v>
      </c>
      <c r="Q187" s="9">
        <f t="shared" si="37"/>
        <v>1</v>
      </c>
      <c r="R187" s="7"/>
      <c r="S187" s="7">
        <f t="shared" si="38"/>
        <v>0</v>
      </c>
      <c r="T187" s="7">
        <f t="shared" si="39"/>
        <v>0</v>
      </c>
      <c r="U187" s="7">
        <f t="shared" si="40"/>
        <v>0</v>
      </c>
      <c r="V187" s="119">
        <f t="shared" si="41"/>
        <v>0</v>
      </c>
      <c r="W187" s="119">
        <f t="shared" si="42"/>
        <v>0</v>
      </c>
      <c r="X187" s="119">
        <f t="shared" si="43"/>
        <v>0</v>
      </c>
      <c r="Y187" s="119">
        <f t="shared" si="44"/>
        <v>0</v>
      </c>
      <c r="Z187" s="119">
        <f t="shared" si="45"/>
        <v>1</v>
      </c>
      <c r="AA187" s="119">
        <f t="shared" si="46"/>
        <v>0</v>
      </c>
      <c r="AB187" s="119">
        <f t="shared" si="47"/>
        <v>1</v>
      </c>
      <c r="AC187" s="119">
        <f t="shared" si="48"/>
        <v>0</v>
      </c>
      <c r="AD187" s="119">
        <f t="shared" si="49"/>
        <v>0</v>
      </c>
      <c r="AE187" s="119">
        <f t="shared" si="50"/>
        <v>1</v>
      </c>
      <c r="AF187" s="7"/>
      <c r="AG187" s="7"/>
      <c r="AH187" s="7">
        <f t="shared" si="51"/>
        <v>3</v>
      </c>
      <c r="AI187" s="7">
        <f t="shared" si="52"/>
        <v>3</v>
      </c>
      <c r="AJ187" s="7" t="str">
        <f t="shared" si="53"/>
        <v>Correct</v>
      </c>
      <c r="AK187" s="7"/>
      <c r="AL187" s="120" t="str">
        <f>IFERROR(VLOOKUP(Table1[RespondentID],'All Data'!$A$3:$CO$999,87,FALSE),"unknown")</f>
        <v>Man</v>
      </c>
      <c r="AM187" s="120">
        <f>IFERROR(VLOOKUP(Table1[RespondentID],'All Data'!$A$3:$CO$999,88,FALSE),"unknown")</f>
        <v>46</v>
      </c>
      <c r="AN187" s="120" t="str">
        <f>IFERROR(VLOOKUP(Table1[RespondentID],'All Data'!$A$3:$CO$999,89,FALSE),"unknown")</f>
        <v>Suffolk</v>
      </c>
      <c r="AO187" s="120" t="str">
        <f>IFERROR(VLOOKUP(Table1[RespondentID],'All Data'!$A$3:$CO$999,90,FALSE),"unknown")</f>
        <v>Dix Hills, 11746</v>
      </c>
      <c r="AP187" s="120" t="str">
        <f>IFERROR(VLOOKUP(Table1[RespondentID],'All Data'!$A$3:$CO$999,91,FALSE),"unknown")</f>
        <v>American Indian and Alaska Native</v>
      </c>
      <c r="AQ187" s="120" t="str">
        <f>IFERROR(VLOOKUP(Table1[RespondentID],'All Data'!$A$3:$CO$999,92,FALSE),"unknown")</f>
        <v>Hispanic or Latino</v>
      </c>
      <c r="AR187" s="120" t="str">
        <f>IFERROR(VLOOKUP(Table1[RespondentID],'All Data'!$A$3:$CO$999,93,FALSE),"unknown")</f>
        <v>English</v>
      </c>
      <c r="AS187" s="120" t="str">
        <f>IFERROR(VLOOKUP(Table1[RespondentID],'All Data'!$A$3:$CW$999,94,FALSE),"unknown")</f>
        <v>$50,000 to $74,999</v>
      </c>
      <c r="AT187" s="120" t="str">
        <f>IFERROR(VLOOKUP(Table1[RespondentID],'All Data'!$A$3:$CW$999,95,FALSE),"unknown")</f>
        <v>Some college</v>
      </c>
      <c r="AU187" s="120" t="str">
        <f>IFERROR(VLOOKUP(Table1[RespondentID],'All Data'!$A$3:$CW$999,96,FALSE),"unknown")</f>
        <v>Employed for wages</v>
      </c>
      <c r="AV187" s="120" t="str">
        <f>IFERROR(VLOOKUP(Table1[RespondentID],'All Data'!$A$3:$CW$999,97,FALSE),"unknown")</f>
        <v>Yes</v>
      </c>
      <c r="AW187" s="120">
        <f>IFERROR(VLOOKUP(Table1[RespondentID],'All Data'!$A$3:$CW$999,98,FALSE),"unknown")</f>
        <v>0</v>
      </c>
      <c r="AX187" s="120">
        <f>IFERROR(VLOOKUP(Table1[RespondentID],'All Data'!$A$3:$CW$999,99,FALSE),"unknown")</f>
        <v>0</v>
      </c>
    </row>
    <row r="188" spans="1:50">
      <c r="A188" s="5">
        <v>18021794841</v>
      </c>
      <c r="B188" s="5"/>
      <c r="C188" s="5"/>
      <c r="D188" s="5"/>
      <c r="E188" s="5"/>
      <c r="F188" s="5"/>
      <c r="G188" s="5"/>
      <c r="H188" s="5"/>
      <c r="I188" s="5"/>
      <c r="J188" s="5"/>
      <c r="K188" s="5" t="s">
        <v>25</v>
      </c>
      <c r="L188" s="5"/>
      <c r="M188" s="5"/>
      <c r="N188" s="5"/>
      <c r="O188" s="7"/>
      <c r="P188" s="7">
        <f t="shared" si="36"/>
        <v>1</v>
      </c>
      <c r="Q188" s="8">
        <f t="shared" si="37"/>
        <v>3</v>
      </c>
      <c r="R188" s="7"/>
      <c r="S188" s="7">
        <f t="shared" si="38"/>
        <v>0</v>
      </c>
      <c r="T188" s="7">
        <f t="shared" si="39"/>
        <v>0</v>
      </c>
      <c r="U188" s="7">
        <f t="shared" si="40"/>
        <v>0</v>
      </c>
      <c r="V188" s="119">
        <f t="shared" si="41"/>
        <v>0</v>
      </c>
      <c r="W188" s="119">
        <f t="shared" si="42"/>
        <v>0</v>
      </c>
      <c r="X188" s="119">
        <f t="shared" si="43"/>
        <v>0</v>
      </c>
      <c r="Y188" s="119">
        <f t="shared" si="44"/>
        <v>0</v>
      </c>
      <c r="Z188" s="119">
        <f t="shared" si="45"/>
        <v>0</v>
      </c>
      <c r="AA188" s="119">
        <f t="shared" si="46"/>
        <v>0</v>
      </c>
      <c r="AB188" s="119">
        <f t="shared" si="47"/>
        <v>1</v>
      </c>
      <c r="AC188" s="119">
        <f t="shared" si="48"/>
        <v>0</v>
      </c>
      <c r="AD188" s="119">
        <f t="shared" si="49"/>
        <v>0</v>
      </c>
      <c r="AE188" s="119">
        <f t="shared" si="50"/>
        <v>0</v>
      </c>
      <c r="AF188" s="7"/>
      <c r="AG188" s="7"/>
      <c r="AH188" s="7">
        <f t="shared" si="51"/>
        <v>1</v>
      </c>
      <c r="AI188" s="7">
        <f t="shared" si="52"/>
        <v>1</v>
      </c>
      <c r="AJ188" s="7" t="str">
        <f t="shared" si="53"/>
        <v>Correct</v>
      </c>
      <c r="AK188" s="7"/>
      <c r="AL188" s="120" t="str">
        <f>IFERROR(VLOOKUP(Table1[RespondentID],'All Data'!$A$3:$CO$999,87,FALSE),"unknown")</f>
        <v>Woman</v>
      </c>
      <c r="AM188" s="120">
        <f>IFERROR(VLOOKUP(Table1[RespondentID],'All Data'!$A$3:$CO$999,88,FALSE),"unknown")</f>
        <v>18</v>
      </c>
      <c r="AN188" s="120" t="str">
        <f>IFERROR(VLOOKUP(Table1[RespondentID],'All Data'!$A$3:$CO$999,89,FALSE),"unknown")</f>
        <v>Suffolk</v>
      </c>
      <c r="AO188" s="120" t="str">
        <f>IFERROR(VLOOKUP(Table1[RespondentID],'All Data'!$A$3:$CO$999,90,FALSE),"unknown")</f>
        <v>East Northport, 11731</v>
      </c>
      <c r="AP188" s="120" t="str">
        <f>IFERROR(VLOOKUP(Table1[RespondentID],'All Data'!$A$3:$CO$999,91,FALSE),"unknown")</f>
        <v>White</v>
      </c>
      <c r="AQ188" s="120" t="str">
        <f>IFERROR(VLOOKUP(Table1[RespondentID],'All Data'!$A$3:$CO$999,92,FALSE),"unknown")</f>
        <v>Hispanic or Latino</v>
      </c>
      <c r="AR188" s="120" t="str">
        <f>IFERROR(VLOOKUP(Table1[RespondentID],'All Data'!$A$3:$CO$999,93,FALSE),"unknown")</f>
        <v>English</v>
      </c>
      <c r="AS188" s="120" t="str">
        <f>IFERROR(VLOOKUP(Table1[RespondentID],'All Data'!$A$3:$CW$999,94,FALSE),"unknown")</f>
        <v>Over $125,000</v>
      </c>
      <c r="AT188" s="120" t="str">
        <f>IFERROR(VLOOKUP(Table1[RespondentID],'All Data'!$A$3:$CW$999,95,FALSE),"unknown")</f>
        <v>High school graduate</v>
      </c>
      <c r="AU188" s="120" t="str">
        <f>IFERROR(VLOOKUP(Table1[RespondentID],'All Data'!$A$3:$CW$999,96,FALSE),"unknown")</f>
        <v>Student</v>
      </c>
      <c r="AV188" s="120" t="str">
        <f>IFERROR(VLOOKUP(Table1[RespondentID],'All Data'!$A$3:$CW$999,97,FALSE),"unknown")</f>
        <v>Yes</v>
      </c>
      <c r="AW188" s="120">
        <f>IFERROR(VLOOKUP(Table1[RespondentID],'All Data'!$A$3:$CW$999,98,FALSE),"unknown")</f>
        <v>0</v>
      </c>
      <c r="AX188" s="120">
        <f>IFERROR(VLOOKUP(Table1[RespondentID],'All Data'!$A$3:$CW$999,99,FALSE),"unknown")</f>
        <v>0</v>
      </c>
    </row>
    <row r="189" spans="1:50">
      <c r="A189" s="5">
        <v>18021794694</v>
      </c>
      <c r="B189" s="5"/>
      <c r="C189" s="5"/>
      <c r="D189" s="5" t="s">
        <v>18</v>
      </c>
      <c r="E189" s="5" t="s">
        <v>19</v>
      </c>
      <c r="F189" s="5"/>
      <c r="G189" s="5"/>
      <c r="H189" s="5"/>
      <c r="I189" s="5"/>
      <c r="J189" s="5"/>
      <c r="K189" s="5" t="s">
        <v>25</v>
      </c>
      <c r="L189" s="5"/>
      <c r="M189" s="5"/>
      <c r="N189" s="5"/>
      <c r="O189" s="7"/>
      <c r="P189" s="7">
        <f t="shared" si="36"/>
        <v>3</v>
      </c>
      <c r="Q189" s="9">
        <f t="shared" si="37"/>
        <v>1</v>
      </c>
      <c r="R189" s="7"/>
      <c r="S189" s="7">
        <f t="shared" si="38"/>
        <v>0</v>
      </c>
      <c r="T189" s="7">
        <f t="shared" si="39"/>
        <v>0</v>
      </c>
      <c r="U189" s="7">
        <f t="shared" si="40"/>
        <v>1</v>
      </c>
      <c r="V189" s="119">
        <f t="shared" si="41"/>
        <v>1</v>
      </c>
      <c r="W189" s="119">
        <f t="shared" si="42"/>
        <v>0</v>
      </c>
      <c r="X189" s="119">
        <f t="shared" si="43"/>
        <v>0</v>
      </c>
      <c r="Y189" s="119">
        <f t="shared" si="44"/>
        <v>0</v>
      </c>
      <c r="Z189" s="119">
        <f t="shared" si="45"/>
        <v>0</v>
      </c>
      <c r="AA189" s="119">
        <f t="shared" si="46"/>
        <v>0</v>
      </c>
      <c r="AB189" s="119">
        <f t="shared" si="47"/>
        <v>1</v>
      </c>
      <c r="AC189" s="119">
        <f t="shared" si="48"/>
        <v>0</v>
      </c>
      <c r="AD189" s="119">
        <f t="shared" si="49"/>
        <v>0</v>
      </c>
      <c r="AE189" s="119">
        <f t="shared" si="50"/>
        <v>0</v>
      </c>
      <c r="AF189" s="7"/>
      <c r="AG189" s="7"/>
      <c r="AH189" s="7">
        <f t="shared" si="51"/>
        <v>3</v>
      </c>
      <c r="AI189" s="7">
        <f t="shared" si="52"/>
        <v>3</v>
      </c>
      <c r="AJ189" s="7" t="str">
        <f t="shared" si="53"/>
        <v>Correct</v>
      </c>
      <c r="AK189" s="7"/>
      <c r="AL189" s="120" t="str">
        <f>IFERROR(VLOOKUP(Table1[RespondentID],'All Data'!$A$3:$CO$999,87,FALSE),"unknown")</f>
        <v>Woman</v>
      </c>
      <c r="AM189" s="120">
        <f>IFERROR(VLOOKUP(Table1[RespondentID],'All Data'!$A$3:$CO$999,88,FALSE),"unknown")</f>
        <v>49</v>
      </c>
      <c r="AN189" s="120" t="str">
        <f>IFERROR(VLOOKUP(Table1[RespondentID],'All Data'!$A$3:$CO$999,89,FALSE),"unknown")</f>
        <v>Queens</v>
      </c>
      <c r="AO189" s="120">
        <f>IFERROR(VLOOKUP(Table1[RespondentID],'All Data'!$A$3:$CO$999,90,FALSE),"unknown")</f>
        <v>11372</v>
      </c>
      <c r="AP189" s="120">
        <f>IFERROR(VLOOKUP(Table1[RespondentID],'All Data'!$A$3:$CO$999,91,FALSE),"unknown")</f>
        <v>0</v>
      </c>
      <c r="AQ189" s="120" t="str">
        <f>IFERROR(VLOOKUP(Table1[RespondentID],'All Data'!$A$3:$CO$999,92,FALSE),"unknown")</f>
        <v>Not Hispanic or Latino</v>
      </c>
      <c r="AR189" s="120" t="str">
        <f>IFERROR(VLOOKUP(Table1[RespondentID],'All Data'!$A$3:$CO$999,93,FALSE),"unknown")</f>
        <v>English, Spanish</v>
      </c>
      <c r="AS189" s="120" t="str">
        <f>IFERROR(VLOOKUP(Table1[RespondentID],'All Data'!$A$3:$CW$999,94,FALSE),"unknown")</f>
        <v>$75,000 to $125,000</v>
      </c>
      <c r="AT189" s="120" t="str">
        <f>IFERROR(VLOOKUP(Table1[RespondentID],'All Data'!$A$3:$CW$999,95,FALSE),"unknown")</f>
        <v>College graduate</v>
      </c>
      <c r="AU189" s="120" t="str">
        <f>IFERROR(VLOOKUP(Table1[RespondentID],'All Data'!$A$3:$CW$999,96,FALSE),"unknown")</f>
        <v>Employed for wages</v>
      </c>
      <c r="AV189" s="120" t="str">
        <f>IFERROR(VLOOKUP(Table1[RespondentID],'All Data'!$A$3:$CW$999,97,FALSE),"unknown")</f>
        <v>Yes</v>
      </c>
      <c r="AW189" s="120">
        <f>IFERROR(VLOOKUP(Table1[RespondentID],'All Data'!$A$3:$CW$999,98,FALSE),"unknown")</f>
        <v>0</v>
      </c>
      <c r="AX189" s="120" t="str">
        <f>IFERROR(VLOOKUP(Table1[RespondentID],'All Data'!$A$3:$CW$999,99,FALSE),"unknown")</f>
        <v>Yes</v>
      </c>
    </row>
    <row r="190" spans="1:50">
      <c r="A190" s="5">
        <v>18021794399</v>
      </c>
      <c r="B190" s="5"/>
      <c r="C190" s="5"/>
      <c r="D190" s="5" t="s">
        <v>18</v>
      </c>
      <c r="E190" s="5"/>
      <c r="F190" s="5"/>
      <c r="G190" s="5"/>
      <c r="H190" s="5"/>
      <c r="I190" s="5"/>
      <c r="J190" s="5"/>
      <c r="K190" s="5" t="s">
        <v>25</v>
      </c>
      <c r="L190" s="5"/>
      <c r="M190" s="5"/>
      <c r="N190" s="5" t="s">
        <v>28</v>
      </c>
      <c r="O190" s="7"/>
      <c r="P190" s="7">
        <f t="shared" si="36"/>
        <v>3</v>
      </c>
      <c r="Q190" s="8">
        <f t="shared" si="37"/>
        <v>1</v>
      </c>
      <c r="R190" s="7"/>
      <c r="S190" s="7">
        <f t="shared" si="38"/>
        <v>0</v>
      </c>
      <c r="T190" s="7">
        <f t="shared" si="39"/>
        <v>0</v>
      </c>
      <c r="U190" s="7">
        <f t="shared" si="40"/>
        <v>1</v>
      </c>
      <c r="V190" s="119">
        <f t="shared" si="41"/>
        <v>0</v>
      </c>
      <c r="W190" s="119">
        <f t="shared" si="42"/>
        <v>0</v>
      </c>
      <c r="X190" s="119">
        <f t="shared" si="43"/>
        <v>0</v>
      </c>
      <c r="Y190" s="119">
        <f t="shared" si="44"/>
        <v>0</v>
      </c>
      <c r="Z190" s="119">
        <f t="shared" si="45"/>
        <v>0</v>
      </c>
      <c r="AA190" s="119">
        <f t="shared" si="46"/>
        <v>0</v>
      </c>
      <c r="AB190" s="119">
        <f t="shared" si="47"/>
        <v>1</v>
      </c>
      <c r="AC190" s="119">
        <f t="shared" si="48"/>
        <v>0</v>
      </c>
      <c r="AD190" s="119">
        <f t="shared" si="49"/>
        <v>0</v>
      </c>
      <c r="AE190" s="119">
        <f t="shared" si="50"/>
        <v>1</v>
      </c>
      <c r="AF190" s="7"/>
      <c r="AG190" s="7"/>
      <c r="AH190" s="7">
        <f t="shared" si="51"/>
        <v>3</v>
      </c>
      <c r="AI190" s="7">
        <f t="shared" si="52"/>
        <v>3</v>
      </c>
      <c r="AJ190" s="7" t="str">
        <f t="shared" si="53"/>
        <v>Correct</v>
      </c>
      <c r="AK190" s="7"/>
      <c r="AL190" s="120" t="str">
        <f>IFERROR(VLOOKUP(Table1[RespondentID],'All Data'!$A$3:$CO$999,87,FALSE),"unknown")</f>
        <v>Man</v>
      </c>
      <c r="AM190" s="120">
        <f>IFERROR(VLOOKUP(Table1[RespondentID],'All Data'!$A$3:$CO$999,88,FALSE),"unknown")</f>
        <v>61</v>
      </c>
      <c r="AN190" s="120" t="str">
        <f>IFERROR(VLOOKUP(Table1[RespondentID],'All Data'!$A$3:$CO$999,89,FALSE),"unknown")</f>
        <v>Queens</v>
      </c>
      <c r="AO190" s="120">
        <f>IFERROR(VLOOKUP(Table1[RespondentID],'All Data'!$A$3:$CO$999,90,FALSE),"unknown")</f>
        <v>11372</v>
      </c>
      <c r="AP190" s="120" t="str">
        <f>IFERROR(VLOOKUP(Table1[RespondentID],'All Data'!$A$3:$CO$999,91,FALSE),"unknown")</f>
        <v>American Indian and Alaska Native</v>
      </c>
      <c r="AQ190" s="120" t="str">
        <f>IFERROR(VLOOKUP(Table1[RespondentID],'All Data'!$A$3:$CO$999,92,FALSE),"unknown")</f>
        <v>Hispanic or Latino</v>
      </c>
      <c r="AR190" s="120" t="str">
        <f>IFERROR(VLOOKUP(Table1[RespondentID],'All Data'!$A$3:$CO$999,93,FALSE),"unknown")</f>
        <v>English, Spanish</v>
      </c>
      <c r="AS190" s="120" t="str">
        <f>IFERROR(VLOOKUP(Table1[RespondentID],'All Data'!$A$3:$CW$999,94,FALSE),"unknown")</f>
        <v>$75,000 to $125,000</v>
      </c>
      <c r="AT190" s="120" t="str">
        <f>IFERROR(VLOOKUP(Table1[RespondentID],'All Data'!$A$3:$CW$999,95,FALSE),"unknown")</f>
        <v>Some college</v>
      </c>
      <c r="AU190" s="120" t="str">
        <f>IFERROR(VLOOKUP(Table1[RespondentID],'All Data'!$A$3:$CW$999,96,FALSE),"unknown")</f>
        <v>Employed for wages</v>
      </c>
      <c r="AV190" s="120" t="str">
        <f>IFERROR(VLOOKUP(Table1[RespondentID],'All Data'!$A$3:$CW$999,97,FALSE),"unknown")</f>
        <v>Yes</v>
      </c>
      <c r="AW190" s="120">
        <f>IFERROR(VLOOKUP(Table1[RespondentID],'All Data'!$A$3:$CW$999,98,FALSE),"unknown")</f>
        <v>0</v>
      </c>
      <c r="AX190" s="120" t="str">
        <f>IFERROR(VLOOKUP(Table1[RespondentID],'All Data'!$A$3:$CW$999,99,FALSE),"unknown")</f>
        <v>Yes</v>
      </c>
    </row>
    <row r="191" spans="1:50">
      <c r="A191" s="5">
        <v>18021794261</v>
      </c>
      <c r="B191" s="5"/>
      <c r="C191" s="5"/>
      <c r="D191" s="5"/>
      <c r="E191" s="5"/>
      <c r="F191" s="5"/>
      <c r="G191" s="5"/>
      <c r="H191" s="5"/>
      <c r="I191" s="5" t="s">
        <v>23</v>
      </c>
      <c r="J191" s="5"/>
      <c r="K191" s="5"/>
      <c r="L191" s="5"/>
      <c r="M191" s="5"/>
      <c r="N191" s="5"/>
      <c r="O191" s="7"/>
      <c r="P191" s="7">
        <f t="shared" si="36"/>
        <v>1</v>
      </c>
      <c r="Q191" s="9">
        <f t="shared" si="37"/>
        <v>3</v>
      </c>
      <c r="R191" s="7"/>
      <c r="S191" s="7">
        <f t="shared" si="38"/>
        <v>0</v>
      </c>
      <c r="T191" s="7">
        <f t="shared" si="39"/>
        <v>0</v>
      </c>
      <c r="U191" s="7">
        <f t="shared" si="40"/>
        <v>0</v>
      </c>
      <c r="V191" s="119">
        <f t="shared" si="41"/>
        <v>0</v>
      </c>
      <c r="W191" s="119">
        <f t="shared" si="42"/>
        <v>0</v>
      </c>
      <c r="X191" s="119">
        <f t="shared" si="43"/>
        <v>0</v>
      </c>
      <c r="Y191" s="119">
        <f t="shared" si="44"/>
        <v>0</v>
      </c>
      <c r="Z191" s="119">
        <f t="shared" si="45"/>
        <v>1</v>
      </c>
      <c r="AA191" s="119">
        <f t="shared" si="46"/>
        <v>0</v>
      </c>
      <c r="AB191" s="119">
        <f t="shared" si="47"/>
        <v>0</v>
      </c>
      <c r="AC191" s="119">
        <f t="shared" si="48"/>
        <v>0</v>
      </c>
      <c r="AD191" s="119">
        <f t="shared" si="49"/>
        <v>0</v>
      </c>
      <c r="AE191" s="119">
        <f t="shared" si="50"/>
        <v>0</v>
      </c>
      <c r="AF191" s="7"/>
      <c r="AG191" s="7"/>
      <c r="AH191" s="7">
        <f t="shared" si="51"/>
        <v>1</v>
      </c>
      <c r="AI191" s="7">
        <f t="shared" si="52"/>
        <v>1</v>
      </c>
      <c r="AJ191" s="7" t="str">
        <f t="shared" si="53"/>
        <v>Correct</v>
      </c>
      <c r="AK191" s="7"/>
      <c r="AL191" s="120" t="str">
        <f>IFERROR(VLOOKUP(Table1[RespondentID],'All Data'!$A$3:$CO$999,87,FALSE),"unknown")</f>
        <v>Man</v>
      </c>
      <c r="AM191" s="120">
        <f>IFERROR(VLOOKUP(Table1[RespondentID],'All Data'!$A$3:$CO$999,88,FALSE),"unknown")</f>
        <v>44</v>
      </c>
      <c r="AN191" s="120" t="str">
        <f>IFERROR(VLOOKUP(Table1[RespondentID],'All Data'!$A$3:$CO$999,89,FALSE),"unknown")</f>
        <v>Suffolk</v>
      </c>
      <c r="AO191" s="120" t="str">
        <f>IFERROR(VLOOKUP(Table1[RespondentID],'All Data'!$A$3:$CO$999,90,FALSE),"unknown")</f>
        <v>Port Jefferson Station, 11776</v>
      </c>
      <c r="AP191" s="120" t="str">
        <f>IFERROR(VLOOKUP(Table1[RespondentID],'All Data'!$A$3:$CO$999,91,FALSE),"unknown")</f>
        <v>White</v>
      </c>
      <c r="AQ191" s="120" t="str">
        <f>IFERROR(VLOOKUP(Table1[RespondentID],'All Data'!$A$3:$CO$999,92,FALSE),"unknown")</f>
        <v>Hispanic or Latino</v>
      </c>
      <c r="AR191" s="120" t="str">
        <f>IFERROR(VLOOKUP(Table1[RespondentID],'All Data'!$A$3:$CO$999,93,FALSE),"unknown")</f>
        <v>English</v>
      </c>
      <c r="AS191" s="120" t="str">
        <f>IFERROR(VLOOKUP(Table1[RespondentID],'All Data'!$A$3:$CW$999,94,FALSE),"unknown")</f>
        <v>Over $125,000</v>
      </c>
      <c r="AT191" s="120" t="str">
        <f>IFERROR(VLOOKUP(Table1[RespondentID],'All Data'!$A$3:$CW$999,95,FALSE),"unknown")</f>
        <v>Graduate school</v>
      </c>
      <c r="AU191" s="120" t="str">
        <f>IFERROR(VLOOKUP(Table1[RespondentID],'All Data'!$A$3:$CW$999,96,FALSE),"unknown")</f>
        <v>Employed for wages</v>
      </c>
      <c r="AV191" s="120" t="str">
        <f>IFERROR(VLOOKUP(Table1[RespondentID],'All Data'!$A$3:$CW$999,97,FALSE),"unknown")</f>
        <v>Yes</v>
      </c>
      <c r="AW191" s="120">
        <f>IFERROR(VLOOKUP(Table1[RespondentID],'All Data'!$A$3:$CW$999,98,FALSE),"unknown")</f>
        <v>0</v>
      </c>
      <c r="AX191" s="120">
        <f>IFERROR(VLOOKUP(Table1[RespondentID],'All Data'!$A$3:$CW$999,99,FALSE),"unknown")</f>
        <v>0</v>
      </c>
    </row>
    <row r="192" spans="1:50">
      <c r="A192" s="5">
        <v>18021634437</v>
      </c>
      <c r="B192" s="5"/>
      <c r="C192" s="5"/>
      <c r="D192" s="5"/>
      <c r="E192" s="5" t="s">
        <v>19</v>
      </c>
      <c r="F192" s="5"/>
      <c r="G192" s="5" t="s">
        <v>21</v>
      </c>
      <c r="H192" s="5"/>
      <c r="I192" s="5"/>
      <c r="J192" s="5"/>
      <c r="K192" s="5"/>
      <c r="L192" s="5"/>
      <c r="M192" s="5"/>
      <c r="N192" s="5" t="s">
        <v>28</v>
      </c>
      <c r="O192" s="7"/>
      <c r="P192" s="7">
        <f t="shared" si="36"/>
        <v>3</v>
      </c>
      <c r="Q192" s="8">
        <f t="shared" si="37"/>
        <v>1</v>
      </c>
      <c r="R192" s="7"/>
      <c r="S192" s="7">
        <f t="shared" si="38"/>
        <v>0</v>
      </c>
      <c r="T192" s="7">
        <f t="shared" si="39"/>
        <v>0</v>
      </c>
      <c r="U192" s="7">
        <f t="shared" si="40"/>
        <v>0</v>
      </c>
      <c r="V192" s="119">
        <f t="shared" si="41"/>
        <v>1</v>
      </c>
      <c r="W192" s="119">
        <f t="shared" si="42"/>
        <v>0</v>
      </c>
      <c r="X192" s="119">
        <f t="shared" si="43"/>
        <v>1</v>
      </c>
      <c r="Y192" s="119">
        <f t="shared" si="44"/>
        <v>0</v>
      </c>
      <c r="Z192" s="119">
        <f t="shared" si="45"/>
        <v>0</v>
      </c>
      <c r="AA192" s="119">
        <f t="shared" si="46"/>
        <v>0</v>
      </c>
      <c r="AB192" s="119">
        <f t="shared" si="47"/>
        <v>0</v>
      </c>
      <c r="AC192" s="119">
        <f t="shared" si="48"/>
        <v>0</v>
      </c>
      <c r="AD192" s="119">
        <f t="shared" si="49"/>
        <v>0</v>
      </c>
      <c r="AE192" s="119">
        <f t="shared" si="50"/>
        <v>1</v>
      </c>
      <c r="AF192" s="7"/>
      <c r="AG192" s="7"/>
      <c r="AH192" s="7">
        <f t="shared" si="51"/>
        <v>3</v>
      </c>
      <c r="AI192" s="7">
        <f t="shared" si="52"/>
        <v>3</v>
      </c>
      <c r="AJ192" s="7" t="str">
        <f t="shared" si="53"/>
        <v>Correct</v>
      </c>
      <c r="AK192" s="7"/>
      <c r="AL192" s="120" t="str">
        <f>IFERROR(VLOOKUP(Table1[RespondentID],'All Data'!$A$3:$CO$999,87,FALSE),"unknown")</f>
        <v>Woman</v>
      </c>
      <c r="AM192" s="120">
        <f>IFERROR(VLOOKUP(Table1[RespondentID],'All Data'!$A$3:$CO$999,88,FALSE),"unknown")</f>
        <v>47</v>
      </c>
      <c r="AN192" s="120" t="str">
        <f>IFERROR(VLOOKUP(Table1[RespondentID],'All Data'!$A$3:$CO$999,89,FALSE),"unknown")</f>
        <v>Suffolk</v>
      </c>
      <c r="AO192" s="120" t="str">
        <f>IFERROR(VLOOKUP(Table1[RespondentID],'All Data'!$A$3:$CO$999,90,FALSE),"unknown")</f>
        <v>Miller Place, 11764</v>
      </c>
      <c r="AP192" s="120" t="str">
        <f>IFERROR(VLOOKUP(Table1[RespondentID],'All Data'!$A$3:$CO$999,91,FALSE),"unknown")</f>
        <v>White</v>
      </c>
      <c r="AQ192" s="120" t="str">
        <f>IFERROR(VLOOKUP(Table1[RespondentID],'All Data'!$A$3:$CO$999,92,FALSE),"unknown")</f>
        <v>Hispanic or Latino</v>
      </c>
      <c r="AR192" s="120" t="str">
        <f>IFERROR(VLOOKUP(Table1[RespondentID],'All Data'!$A$3:$CO$999,93,FALSE),"unknown")</f>
        <v>English, Spanish</v>
      </c>
      <c r="AS192" s="120" t="str">
        <f>IFERROR(VLOOKUP(Table1[RespondentID],'All Data'!$A$3:$CW$999,94,FALSE),"unknown")</f>
        <v>Over $125,000</v>
      </c>
      <c r="AT192" s="120" t="str">
        <f>IFERROR(VLOOKUP(Table1[RespondentID],'All Data'!$A$3:$CW$999,95,FALSE),"unknown")</f>
        <v>College graduate</v>
      </c>
      <c r="AU192" s="120" t="str">
        <f>IFERROR(VLOOKUP(Table1[RespondentID],'All Data'!$A$3:$CW$999,96,FALSE),"unknown")</f>
        <v>Employed for wages</v>
      </c>
      <c r="AV192" s="120" t="str">
        <f>IFERROR(VLOOKUP(Table1[RespondentID],'All Data'!$A$3:$CW$999,97,FALSE),"unknown")</f>
        <v>Yes</v>
      </c>
      <c r="AW192" s="120" t="str">
        <f>IFERROR(VLOOKUP(Table1[RespondentID],'All Data'!$A$3:$CW$999,98,FALSE),"unknown")</f>
        <v>Private/Commercial</v>
      </c>
      <c r="AX192" s="120" t="str">
        <f>IFERROR(VLOOKUP(Table1[RespondentID],'All Data'!$A$3:$CW$999,99,FALSE),"unknown")</f>
        <v>Yes</v>
      </c>
    </row>
    <row r="193" spans="1:50">
      <c r="A193" s="5">
        <v>18021525704</v>
      </c>
      <c r="B193" s="5" t="s">
        <v>16</v>
      </c>
      <c r="C193" s="5"/>
      <c r="D193" s="5"/>
      <c r="E193" s="5"/>
      <c r="F193" s="5"/>
      <c r="G193" s="5"/>
      <c r="H193" s="5" t="s">
        <v>22</v>
      </c>
      <c r="I193" s="5"/>
      <c r="J193" s="5" t="s">
        <v>24</v>
      </c>
      <c r="K193" s="5"/>
      <c r="L193" s="5"/>
      <c r="M193" s="5"/>
      <c r="N193" s="5"/>
      <c r="O193" s="7"/>
      <c r="P193" s="7">
        <f t="shared" si="36"/>
        <v>3</v>
      </c>
      <c r="Q193" s="9">
        <f t="shared" si="37"/>
        <v>1</v>
      </c>
      <c r="R193" s="7"/>
      <c r="S193" s="7">
        <f t="shared" si="38"/>
        <v>1</v>
      </c>
      <c r="T193" s="7">
        <f t="shared" si="39"/>
        <v>0</v>
      </c>
      <c r="U193" s="7">
        <f t="shared" si="40"/>
        <v>0</v>
      </c>
      <c r="V193" s="119">
        <f t="shared" si="41"/>
        <v>0</v>
      </c>
      <c r="W193" s="119">
        <f t="shared" si="42"/>
        <v>0</v>
      </c>
      <c r="X193" s="119">
        <f t="shared" si="43"/>
        <v>0</v>
      </c>
      <c r="Y193" s="119">
        <f t="shared" si="44"/>
        <v>1</v>
      </c>
      <c r="Z193" s="119">
        <f t="shared" si="45"/>
        <v>0</v>
      </c>
      <c r="AA193" s="119">
        <f t="shared" si="46"/>
        <v>1</v>
      </c>
      <c r="AB193" s="119">
        <f t="shared" si="47"/>
        <v>0</v>
      </c>
      <c r="AC193" s="119">
        <f t="shared" si="48"/>
        <v>0</v>
      </c>
      <c r="AD193" s="119">
        <f t="shared" si="49"/>
        <v>0</v>
      </c>
      <c r="AE193" s="119">
        <f t="shared" si="50"/>
        <v>0</v>
      </c>
      <c r="AF193" s="7"/>
      <c r="AG193" s="7"/>
      <c r="AH193" s="7">
        <f t="shared" si="51"/>
        <v>3</v>
      </c>
      <c r="AI193" s="7">
        <f t="shared" si="52"/>
        <v>3</v>
      </c>
      <c r="AJ193" s="7" t="str">
        <f t="shared" si="53"/>
        <v>Correct</v>
      </c>
      <c r="AK193" s="7"/>
      <c r="AL193" s="120" t="str">
        <f>IFERROR(VLOOKUP(Table1[RespondentID],'All Data'!$A$3:$CO$999,87,FALSE),"unknown")</f>
        <v>Man</v>
      </c>
      <c r="AM193" s="120">
        <f>IFERROR(VLOOKUP(Table1[RespondentID],'All Data'!$A$3:$CO$999,88,FALSE),"unknown")</f>
        <v>0</v>
      </c>
      <c r="AN193" s="120" t="str">
        <f>IFERROR(VLOOKUP(Table1[RespondentID],'All Data'!$A$3:$CO$999,89,FALSE),"unknown")</f>
        <v>Suffolk</v>
      </c>
      <c r="AO193" s="120" t="str">
        <f>IFERROR(VLOOKUP(Table1[RespondentID],'All Data'!$A$3:$CO$999,90,FALSE),"unknown")</f>
        <v>Amityville, 11708</v>
      </c>
      <c r="AP193" s="120" t="str">
        <f>IFERROR(VLOOKUP(Table1[RespondentID],'All Data'!$A$3:$CO$999,91,FALSE),"unknown")</f>
        <v>Native Hawaiian and Other Pacific Islander</v>
      </c>
      <c r="AQ193" s="120" t="str">
        <f>IFERROR(VLOOKUP(Table1[RespondentID],'All Data'!$A$3:$CO$999,92,FALSE),"unknown")</f>
        <v>Not Hispanic or Latino</v>
      </c>
      <c r="AR193" s="120" t="str">
        <f>IFERROR(VLOOKUP(Table1[RespondentID],'All Data'!$A$3:$CO$999,93,FALSE),"unknown")</f>
        <v>English</v>
      </c>
      <c r="AS193" s="120" t="str">
        <f>IFERROR(VLOOKUP(Table1[RespondentID],'All Data'!$A$3:$CW$999,94,FALSE),"unknown")</f>
        <v>$75,000 to $125,000</v>
      </c>
      <c r="AT193" s="120" t="str">
        <f>IFERROR(VLOOKUP(Table1[RespondentID],'All Data'!$A$3:$CW$999,95,FALSE),"unknown")</f>
        <v>High school graduate</v>
      </c>
      <c r="AU193" s="120" t="str">
        <f>IFERROR(VLOOKUP(Table1[RespondentID],'All Data'!$A$3:$CW$999,96,FALSE),"unknown")</f>
        <v>Self-employed</v>
      </c>
      <c r="AV193" s="120" t="str">
        <f>IFERROR(VLOOKUP(Table1[RespondentID],'All Data'!$A$3:$CW$999,97,FALSE),"unknown")</f>
        <v>Yes</v>
      </c>
      <c r="AW193" s="120" t="str">
        <f>IFERROR(VLOOKUP(Table1[RespondentID],'All Data'!$A$3:$CW$999,98,FALSE),"unknown")</f>
        <v>Medicaid</v>
      </c>
      <c r="AX193" s="120" t="str">
        <f>IFERROR(VLOOKUP(Table1[RespondentID],'All Data'!$A$3:$CW$999,99,FALSE),"unknown")</f>
        <v>Yes</v>
      </c>
    </row>
    <row r="194" spans="1:50">
      <c r="A194" s="5">
        <v>18021525431</v>
      </c>
      <c r="B194" s="5" t="s">
        <v>16</v>
      </c>
      <c r="C194" s="5" t="s">
        <v>17</v>
      </c>
      <c r="D194" s="5"/>
      <c r="E194" s="5"/>
      <c r="F194" s="5"/>
      <c r="G194" s="5"/>
      <c r="H194" s="5" t="s">
        <v>22</v>
      </c>
      <c r="I194" s="5"/>
      <c r="J194" s="5"/>
      <c r="K194" s="5"/>
      <c r="L194" s="5"/>
      <c r="M194" s="5"/>
      <c r="N194" s="5"/>
      <c r="O194" s="7"/>
      <c r="P194" s="7">
        <f t="shared" ref="P194:P257" si="54">COUNTA(B194:N194)</f>
        <v>3</v>
      </c>
      <c r="Q194" s="8">
        <f t="shared" ref="Q194:Q257" si="55">3/P194</f>
        <v>1</v>
      </c>
      <c r="R194" s="7"/>
      <c r="S194" s="7">
        <f t="shared" ref="S194:S257" si="56">IF($P194&lt;3,IF($B194=$B$1,1,0),IF($B194=$B$1,$Q194,0))</f>
        <v>1</v>
      </c>
      <c r="T194" s="7">
        <f t="shared" ref="T194:T257" si="57">IF($P194&lt;3,IF($C194=$C$1,1,0),IF($C194=$C$1,$Q194,0))</f>
        <v>1</v>
      </c>
      <c r="U194" s="7">
        <f t="shared" ref="U194:U257" si="58">IF($P194&lt;3,IF($D194=$D$1,1,0),IF($D194=$D$1,$Q194,0))</f>
        <v>0</v>
      </c>
      <c r="V194" s="119">
        <f t="shared" ref="V194:V257" si="59">IF($P194&lt;3,IF($E194=$E$1,1,0),IF($E194=$E$1,$Q194,0))</f>
        <v>0</v>
      </c>
      <c r="W194" s="119">
        <f t="shared" ref="W194:W257" si="60">IF($P194&lt;3,IF($F194=$F$1,1,0),IF($F194=$F$1,$Q194,0))</f>
        <v>0</v>
      </c>
      <c r="X194" s="119">
        <f t="shared" ref="X194:X257" si="61">IF($P194&lt;3,IF($G194=$G$1,1,0),IF($G194=$G$1,$Q194,0))</f>
        <v>0</v>
      </c>
      <c r="Y194" s="119">
        <f t="shared" ref="Y194:Y257" si="62">IF($P194&lt;3,IF($H194=$H$1,1,0),IF($H194=$H$1,$Q194,0))</f>
        <v>1</v>
      </c>
      <c r="Z194" s="119">
        <f t="shared" ref="Z194:Z257" si="63">IF($P194&lt;3,IF($I194=$I$1,1,0),IF($I194=$I$1,$Q194,0))</f>
        <v>0</v>
      </c>
      <c r="AA194" s="119">
        <f t="shared" ref="AA194:AA257" si="64">IF($P194&lt;3,IF($J194=$J$1,1,0),IF($J194=$J$1,$Q194,0))</f>
        <v>0</v>
      </c>
      <c r="AB194" s="119">
        <f t="shared" ref="AB194:AB257" si="65">IF($P194&lt;3,IF($K194=$K$1,1,0),IF($K194=$K$1,$Q194,0))</f>
        <v>0</v>
      </c>
      <c r="AC194" s="119">
        <f t="shared" ref="AC194:AC257" si="66">IF($P194&lt;3,IF($L194=$L$1,1,0),IF($L194=$L$1,$Q194,0))</f>
        <v>0</v>
      </c>
      <c r="AD194" s="119">
        <f t="shared" ref="AD194:AD257" si="67">IF($P194&lt;3,IF($M194=$M$1,1,0),IF($M194=$M$1,$Q194,0))</f>
        <v>0</v>
      </c>
      <c r="AE194" s="119">
        <f t="shared" ref="AE194:AE257" si="68">IF($P194&lt;3,IF($N194=$N$1,1,0),IF($N194=$N$1,$Q194,0))</f>
        <v>0</v>
      </c>
      <c r="AF194" s="7"/>
      <c r="AG194" s="7"/>
      <c r="AH194" s="7">
        <f t="shared" ref="AH194:AH257" si="69">SUM(S194:AE194)</f>
        <v>3</v>
      </c>
      <c r="AI194" s="7">
        <f t="shared" ref="AI194:AI257" si="70">P194</f>
        <v>3</v>
      </c>
      <c r="AJ194" s="7" t="str">
        <f t="shared" ref="AJ194:AJ257" si="71">IF(AH194=AI194,"Correct",IF(AH194=3,"Correct","Wrong"))</f>
        <v>Correct</v>
      </c>
      <c r="AK194" s="7"/>
      <c r="AL194" s="120" t="str">
        <f>IFERROR(VLOOKUP(Table1[RespondentID],'All Data'!$A$3:$CO$999,87,FALSE),"unknown")</f>
        <v>Man</v>
      </c>
      <c r="AM194" s="120">
        <f>IFERROR(VLOOKUP(Table1[RespondentID],'All Data'!$A$3:$CO$999,88,FALSE),"unknown")</f>
        <v>0</v>
      </c>
      <c r="AN194" s="120" t="str">
        <f>IFERROR(VLOOKUP(Table1[RespondentID],'All Data'!$A$3:$CO$999,89,FALSE),"unknown")</f>
        <v>Suffolk</v>
      </c>
      <c r="AO194" s="120" t="str">
        <f>IFERROR(VLOOKUP(Table1[RespondentID],'All Data'!$A$3:$CO$999,90,FALSE),"unknown")</f>
        <v>Amityville, 11701</v>
      </c>
      <c r="AP194" s="120" t="str">
        <f>IFERROR(VLOOKUP(Table1[RespondentID],'All Data'!$A$3:$CO$999,91,FALSE),"unknown")</f>
        <v>Black or African American</v>
      </c>
      <c r="AQ194" s="120" t="str">
        <f>IFERROR(VLOOKUP(Table1[RespondentID],'All Data'!$A$3:$CO$999,92,FALSE),"unknown")</f>
        <v>Not Hispanic or Latino</v>
      </c>
      <c r="AR194" s="120" t="str">
        <f>IFERROR(VLOOKUP(Table1[RespondentID],'All Data'!$A$3:$CO$999,93,FALSE),"unknown")</f>
        <v>Chinese</v>
      </c>
      <c r="AS194" s="120" t="str">
        <f>IFERROR(VLOOKUP(Table1[RespondentID],'All Data'!$A$3:$CW$999,94,FALSE),"unknown")</f>
        <v>$20,000 to $34,999</v>
      </c>
      <c r="AT194" s="120" t="str">
        <f>IFERROR(VLOOKUP(Table1[RespondentID],'All Data'!$A$3:$CW$999,95,FALSE),"unknown")</f>
        <v>Graduate school</v>
      </c>
      <c r="AU194" s="120" t="str">
        <f>IFERROR(VLOOKUP(Table1[RespondentID],'All Data'!$A$3:$CW$999,96,FALSE),"unknown")</f>
        <v>Employed for wages</v>
      </c>
      <c r="AV194" s="120" t="str">
        <f>IFERROR(VLOOKUP(Table1[RespondentID],'All Data'!$A$3:$CW$999,97,FALSE),"unknown")</f>
        <v>Yes</v>
      </c>
      <c r="AW194" s="120" t="str">
        <f>IFERROR(VLOOKUP(Table1[RespondentID],'All Data'!$A$3:$CW$999,98,FALSE),"unknown")</f>
        <v>Medicare</v>
      </c>
      <c r="AX194" s="120" t="str">
        <f>IFERROR(VLOOKUP(Table1[RespondentID],'All Data'!$A$3:$CW$999,99,FALSE),"unknown")</f>
        <v>No</v>
      </c>
    </row>
    <row r="195" spans="1:50">
      <c r="A195" s="5">
        <v>18021263997</v>
      </c>
      <c r="B195" s="5"/>
      <c r="C195" s="5"/>
      <c r="D195" s="5"/>
      <c r="E195" s="5"/>
      <c r="F195" s="5"/>
      <c r="G195" s="5"/>
      <c r="H195" s="5"/>
      <c r="I195" s="5" t="s">
        <v>23</v>
      </c>
      <c r="J195" s="5"/>
      <c r="K195" s="5"/>
      <c r="L195" s="5"/>
      <c r="M195" s="5"/>
      <c r="N195" s="5" t="s">
        <v>28</v>
      </c>
      <c r="O195" s="7"/>
      <c r="P195" s="7">
        <f t="shared" si="54"/>
        <v>2</v>
      </c>
      <c r="Q195" s="9">
        <f t="shared" si="55"/>
        <v>1.5</v>
      </c>
      <c r="R195" s="7"/>
      <c r="S195" s="7">
        <f t="shared" si="56"/>
        <v>0</v>
      </c>
      <c r="T195" s="7">
        <f t="shared" si="57"/>
        <v>0</v>
      </c>
      <c r="U195" s="7">
        <f t="shared" si="58"/>
        <v>0</v>
      </c>
      <c r="V195" s="119">
        <f t="shared" si="59"/>
        <v>0</v>
      </c>
      <c r="W195" s="119">
        <f t="shared" si="60"/>
        <v>0</v>
      </c>
      <c r="X195" s="119">
        <f t="shared" si="61"/>
        <v>0</v>
      </c>
      <c r="Y195" s="119">
        <f t="shared" si="62"/>
        <v>0</v>
      </c>
      <c r="Z195" s="119">
        <f t="shared" si="63"/>
        <v>1</v>
      </c>
      <c r="AA195" s="119">
        <f t="shared" si="64"/>
        <v>0</v>
      </c>
      <c r="AB195" s="119">
        <f t="shared" si="65"/>
        <v>0</v>
      </c>
      <c r="AC195" s="119">
        <f t="shared" si="66"/>
        <v>0</v>
      </c>
      <c r="AD195" s="119">
        <f t="shared" si="67"/>
        <v>0</v>
      </c>
      <c r="AE195" s="119">
        <f t="shared" si="68"/>
        <v>1</v>
      </c>
      <c r="AF195" s="7"/>
      <c r="AG195" s="7"/>
      <c r="AH195" s="7">
        <f t="shared" si="69"/>
        <v>2</v>
      </c>
      <c r="AI195" s="7">
        <f t="shared" si="70"/>
        <v>2</v>
      </c>
      <c r="AJ195" s="7" t="str">
        <f t="shared" si="71"/>
        <v>Correct</v>
      </c>
      <c r="AK195" s="7"/>
      <c r="AL195" s="120" t="str">
        <f>IFERROR(VLOOKUP(Table1[RespondentID],'All Data'!$A$3:$CO$999,87,FALSE),"unknown")</f>
        <v>Man</v>
      </c>
      <c r="AM195" s="120">
        <f>IFERROR(VLOOKUP(Table1[RespondentID],'All Data'!$A$3:$CO$999,88,FALSE),"unknown")</f>
        <v>52</v>
      </c>
      <c r="AN195" s="120" t="str">
        <f>IFERROR(VLOOKUP(Table1[RespondentID],'All Data'!$A$3:$CO$999,89,FALSE),"unknown")</f>
        <v>Suffolk</v>
      </c>
      <c r="AO195" s="120" t="str">
        <f>IFERROR(VLOOKUP(Table1[RespondentID],'All Data'!$A$3:$CO$999,90,FALSE),"unknown")</f>
        <v>Northport, 11768</v>
      </c>
      <c r="AP195" s="120" t="str">
        <f>IFERROR(VLOOKUP(Table1[RespondentID],'All Data'!$A$3:$CO$999,91,FALSE),"unknown")</f>
        <v>White</v>
      </c>
      <c r="AQ195" s="120" t="str">
        <f>IFERROR(VLOOKUP(Table1[RespondentID],'All Data'!$A$3:$CO$999,92,FALSE),"unknown")</f>
        <v>Hispanic or Latino</v>
      </c>
      <c r="AR195" s="120" t="str">
        <f>IFERROR(VLOOKUP(Table1[RespondentID],'All Data'!$A$3:$CO$999,93,FALSE),"unknown")</f>
        <v>English</v>
      </c>
      <c r="AS195" s="120" t="str">
        <f>IFERROR(VLOOKUP(Table1[RespondentID],'All Data'!$A$3:$CW$999,94,FALSE),"unknown")</f>
        <v>Over $125,000</v>
      </c>
      <c r="AT195" s="120" t="str">
        <f>IFERROR(VLOOKUP(Table1[RespondentID],'All Data'!$A$3:$CW$999,95,FALSE),"unknown")</f>
        <v>Graduate school</v>
      </c>
      <c r="AU195" s="120" t="str">
        <f>IFERROR(VLOOKUP(Table1[RespondentID],'All Data'!$A$3:$CW$999,96,FALSE),"unknown")</f>
        <v>Employed for wages</v>
      </c>
      <c r="AV195" s="120" t="str">
        <f>IFERROR(VLOOKUP(Table1[RespondentID],'All Data'!$A$3:$CW$999,97,FALSE),"unknown")</f>
        <v>Yes</v>
      </c>
      <c r="AW195" s="120" t="str">
        <f>IFERROR(VLOOKUP(Table1[RespondentID],'All Data'!$A$3:$CW$999,98,FALSE),"unknown")</f>
        <v>Private/Commercial</v>
      </c>
      <c r="AX195" s="120" t="str">
        <f>IFERROR(VLOOKUP(Table1[RespondentID],'All Data'!$A$3:$CW$999,99,FALSE),"unknown")</f>
        <v>Yes</v>
      </c>
    </row>
    <row r="196" spans="1:50">
      <c r="A196" s="5">
        <v>18021096939</v>
      </c>
      <c r="B196" s="5"/>
      <c r="C196" s="5" t="s">
        <v>17</v>
      </c>
      <c r="D196" s="5"/>
      <c r="E196" s="5"/>
      <c r="F196" s="5"/>
      <c r="G196" s="5"/>
      <c r="H196" s="5" t="s">
        <v>22</v>
      </c>
      <c r="I196" s="5"/>
      <c r="J196" s="5" t="s">
        <v>24</v>
      </c>
      <c r="K196" s="5"/>
      <c r="L196" s="5"/>
      <c r="M196" s="5"/>
      <c r="N196" s="5"/>
      <c r="O196" s="7"/>
      <c r="P196" s="7">
        <f t="shared" si="54"/>
        <v>3</v>
      </c>
      <c r="Q196" s="8">
        <f t="shared" si="55"/>
        <v>1</v>
      </c>
      <c r="R196" s="7"/>
      <c r="S196" s="7">
        <f t="shared" si="56"/>
        <v>0</v>
      </c>
      <c r="T196" s="7">
        <f t="shared" si="57"/>
        <v>1</v>
      </c>
      <c r="U196" s="7">
        <f t="shared" si="58"/>
        <v>0</v>
      </c>
      <c r="V196" s="119">
        <f t="shared" si="59"/>
        <v>0</v>
      </c>
      <c r="W196" s="119">
        <f t="shared" si="60"/>
        <v>0</v>
      </c>
      <c r="X196" s="119">
        <f t="shared" si="61"/>
        <v>0</v>
      </c>
      <c r="Y196" s="119">
        <f t="shared" si="62"/>
        <v>1</v>
      </c>
      <c r="Z196" s="119">
        <f t="shared" si="63"/>
        <v>0</v>
      </c>
      <c r="AA196" s="119">
        <f t="shared" si="64"/>
        <v>1</v>
      </c>
      <c r="AB196" s="119">
        <f t="shared" si="65"/>
        <v>0</v>
      </c>
      <c r="AC196" s="119">
        <f t="shared" si="66"/>
        <v>0</v>
      </c>
      <c r="AD196" s="119">
        <f t="shared" si="67"/>
        <v>0</v>
      </c>
      <c r="AE196" s="119">
        <f t="shared" si="68"/>
        <v>0</v>
      </c>
      <c r="AF196" s="7"/>
      <c r="AG196" s="7"/>
      <c r="AH196" s="7">
        <f t="shared" si="69"/>
        <v>3</v>
      </c>
      <c r="AI196" s="7">
        <f t="shared" si="70"/>
        <v>3</v>
      </c>
      <c r="AJ196" s="7" t="str">
        <f t="shared" si="71"/>
        <v>Correct</v>
      </c>
      <c r="AK196" s="7"/>
      <c r="AL196" s="120" t="str">
        <f>IFERROR(VLOOKUP(Table1[RespondentID],'All Data'!$A$3:$CO$999,87,FALSE),"unknown")</f>
        <v>Man</v>
      </c>
      <c r="AM196" s="120">
        <f>IFERROR(VLOOKUP(Table1[RespondentID],'All Data'!$A$3:$CO$999,88,FALSE),"unknown")</f>
        <v>16</v>
      </c>
      <c r="AN196" s="120" t="str">
        <f>IFERROR(VLOOKUP(Table1[RespondentID],'All Data'!$A$3:$CO$999,89,FALSE),"unknown")</f>
        <v>Suffolk</v>
      </c>
      <c r="AO196" s="120" t="str">
        <f>IFERROR(VLOOKUP(Table1[RespondentID],'All Data'!$A$3:$CO$999,90,FALSE),"unknown")</f>
        <v>Nesconset, 11767</v>
      </c>
      <c r="AP196" s="120" t="str">
        <f>IFERROR(VLOOKUP(Table1[RespondentID],'All Data'!$A$3:$CO$999,91,FALSE),"unknown")</f>
        <v>American Indian and Alaska Native</v>
      </c>
      <c r="AQ196" s="120" t="str">
        <f>IFERROR(VLOOKUP(Table1[RespondentID],'All Data'!$A$3:$CO$999,92,FALSE),"unknown")</f>
        <v>Hispanic or Latino</v>
      </c>
      <c r="AR196" s="120" t="str">
        <f>IFERROR(VLOOKUP(Table1[RespondentID],'All Data'!$A$3:$CO$999,93,FALSE),"unknown")</f>
        <v>English, Hindi</v>
      </c>
      <c r="AS196" s="120" t="str">
        <f>IFERROR(VLOOKUP(Table1[RespondentID],'All Data'!$A$3:$CW$999,94,FALSE),"unknown")</f>
        <v>$75,000 to $125,000</v>
      </c>
      <c r="AT196" s="120" t="str">
        <f>IFERROR(VLOOKUP(Table1[RespondentID],'All Data'!$A$3:$CW$999,95,FALSE),"unknown")</f>
        <v>Some high school</v>
      </c>
      <c r="AU196" s="120" t="str">
        <f>IFERROR(VLOOKUP(Table1[RespondentID],'All Data'!$A$3:$CW$999,96,FALSE),"unknown")</f>
        <v>Out of work, but not currently looking</v>
      </c>
      <c r="AV196" s="120" t="str">
        <f>IFERROR(VLOOKUP(Table1[RespondentID],'All Data'!$A$3:$CW$999,97,FALSE),"unknown")</f>
        <v>Yes</v>
      </c>
      <c r="AW196" s="120" t="str">
        <f>IFERROR(VLOOKUP(Table1[RespondentID],'All Data'!$A$3:$CW$999,98,FALSE),"unknown")</f>
        <v>Private/Commercial</v>
      </c>
      <c r="AX196" s="120" t="str">
        <f>IFERROR(VLOOKUP(Table1[RespondentID],'All Data'!$A$3:$CW$999,99,FALSE),"unknown")</f>
        <v>Yes</v>
      </c>
    </row>
    <row r="197" spans="1:50">
      <c r="A197" s="5">
        <v>18020847868</v>
      </c>
      <c r="B197" s="5"/>
      <c r="C197" s="5"/>
      <c r="D197" s="5" t="s">
        <v>18</v>
      </c>
      <c r="E197" s="5"/>
      <c r="F197" s="5" t="s">
        <v>20</v>
      </c>
      <c r="G197" s="5"/>
      <c r="H197" s="5"/>
      <c r="I197" s="5"/>
      <c r="J197" s="5"/>
      <c r="K197" s="5"/>
      <c r="L197" s="5"/>
      <c r="M197" s="5"/>
      <c r="N197" s="5"/>
      <c r="O197" s="7"/>
      <c r="P197" s="7">
        <f t="shared" si="54"/>
        <v>2</v>
      </c>
      <c r="Q197" s="9">
        <f t="shared" si="55"/>
        <v>1.5</v>
      </c>
      <c r="R197" s="7"/>
      <c r="S197" s="7">
        <f t="shared" si="56"/>
        <v>0</v>
      </c>
      <c r="T197" s="7">
        <f t="shared" si="57"/>
        <v>0</v>
      </c>
      <c r="U197" s="7">
        <f t="shared" si="58"/>
        <v>1</v>
      </c>
      <c r="V197" s="119">
        <f t="shared" si="59"/>
        <v>0</v>
      </c>
      <c r="W197" s="119">
        <f t="shared" si="60"/>
        <v>1</v>
      </c>
      <c r="X197" s="119">
        <f t="shared" si="61"/>
        <v>0</v>
      </c>
      <c r="Y197" s="119">
        <f t="shared" si="62"/>
        <v>0</v>
      </c>
      <c r="Z197" s="119">
        <f t="shared" si="63"/>
        <v>0</v>
      </c>
      <c r="AA197" s="119">
        <f t="shared" si="64"/>
        <v>0</v>
      </c>
      <c r="AB197" s="119">
        <f t="shared" si="65"/>
        <v>0</v>
      </c>
      <c r="AC197" s="119">
        <f t="shared" si="66"/>
        <v>0</v>
      </c>
      <c r="AD197" s="119">
        <f t="shared" si="67"/>
        <v>0</v>
      </c>
      <c r="AE197" s="119">
        <f t="shared" si="68"/>
        <v>0</v>
      </c>
      <c r="AF197" s="7"/>
      <c r="AG197" s="7"/>
      <c r="AH197" s="7">
        <f t="shared" si="69"/>
        <v>2</v>
      </c>
      <c r="AI197" s="7">
        <f t="shared" si="70"/>
        <v>2</v>
      </c>
      <c r="AJ197" s="7" t="str">
        <f t="shared" si="71"/>
        <v>Correct</v>
      </c>
      <c r="AK197" s="7"/>
      <c r="AL197" s="120" t="str">
        <f>IFERROR(VLOOKUP(Table1[RespondentID],'All Data'!$A$3:$CO$999,87,FALSE),"unknown")</f>
        <v>Man</v>
      </c>
      <c r="AM197" s="120">
        <f>IFERROR(VLOOKUP(Table1[RespondentID],'All Data'!$A$3:$CO$999,88,FALSE),"unknown")</f>
        <v>21</v>
      </c>
      <c r="AN197" s="120" t="str">
        <f>IFERROR(VLOOKUP(Table1[RespondentID],'All Data'!$A$3:$CO$999,89,FALSE),"unknown")</f>
        <v>Suffolk</v>
      </c>
      <c r="AO197" s="120" t="str">
        <f>IFERROR(VLOOKUP(Table1[RespondentID],'All Data'!$A$3:$CO$999,90,FALSE),"unknown")</f>
        <v>East Northport, 11731</v>
      </c>
      <c r="AP197" s="120" t="str">
        <f>IFERROR(VLOOKUP(Table1[RespondentID],'All Data'!$A$3:$CO$999,91,FALSE),"unknown")</f>
        <v>White</v>
      </c>
      <c r="AQ197" s="120" t="str">
        <f>IFERROR(VLOOKUP(Table1[RespondentID],'All Data'!$A$3:$CO$999,92,FALSE),"unknown")</f>
        <v>Hispanic or Latino</v>
      </c>
      <c r="AR197" s="120" t="str">
        <f>IFERROR(VLOOKUP(Table1[RespondentID],'All Data'!$A$3:$CO$999,93,FALSE),"unknown")</f>
        <v>English</v>
      </c>
      <c r="AS197" s="120" t="str">
        <f>IFERROR(VLOOKUP(Table1[RespondentID],'All Data'!$A$3:$CW$999,94,FALSE),"unknown")</f>
        <v>$50,000 to $74,999</v>
      </c>
      <c r="AT197" s="120" t="str">
        <f>IFERROR(VLOOKUP(Table1[RespondentID],'All Data'!$A$3:$CW$999,95,FALSE),"unknown")</f>
        <v>Some college</v>
      </c>
      <c r="AU197" s="120" t="str">
        <f>IFERROR(VLOOKUP(Table1[RespondentID],'All Data'!$A$3:$CW$999,96,FALSE),"unknown")</f>
        <v>Employed for wages</v>
      </c>
      <c r="AV197" s="120" t="str">
        <f>IFERROR(VLOOKUP(Table1[RespondentID],'All Data'!$A$3:$CW$999,97,FALSE),"unknown")</f>
        <v>Yes</v>
      </c>
      <c r="AW197" s="120" t="str">
        <f>IFERROR(VLOOKUP(Table1[RespondentID],'All Data'!$A$3:$CW$999,98,FALSE),"unknown")</f>
        <v>Medicaid, Medicare</v>
      </c>
      <c r="AX197" s="120" t="str">
        <f>IFERROR(VLOOKUP(Table1[RespondentID],'All Data'!$A$3:$CW$999,99,FALSE),"unknown")</f>
        <v>Yes</v>
      </c>
    </row>
    <row r="198" spans="1:50">
      <c r="A198" s="5">
        <v>18020259192</v>
      </c>
      <c r="B198" s="5"/>
      <c r="C198" s="5"/>
      <c r="D198" s="5"/>
      <c r="E198" s="5"/>
      <c r="F198" s="5"/>
      <c r="G198" s="5"/>
      <c r="H198" s="5" t="s">
        <v>22</v>
      </c>
      <c r="I198" s="5"/>
      <c r="J198" s="5"/>
      <c r="K198" s="5"/>
      <c r="L198" s="5"/>
      <c r="M198" s="5" t="s">
        <v>27</v>
      </c>
      <c r="N198" s="5" t="s">
        <v>28</v>
      </c>
      <c r="O198" s="7"/>
      <c r="P198" s="7">
        <f t="shared" si="54"/>
        <v>3</v>
      </c>
      <c r="Q198" s="8">
        <f t="shared" si="55"/>
        <v>1</v>
      </c>
      <c r="R198" s="7"/>
      <c r="S198" s="7">
        <f t="shared" si="56"/>
        <v>0</v>
      </c>
      <c r="T198" s="7">
        <f t="shared" si="57"/>
        <v>0</v>
      </c>
      <c r="U198" s="7">
        <f t="shared" si="58"/>
        <v>0</v>
      </c>
      <c r="V198" s="119">
        <f t="shared" si="59"/>
        <v>0</v>
      </c>
      <c r="W198" s="119">
        <f t="shared" si="60"/>
        <v>0</v>
      </c>
      <c r="X198" s="119">
        <f t="shared" si="61"/>
        <v>0</v>
      </c>
      <c r="Y198" s="119">
        <f t="shared" si="62"/>
        <v>1</v>
      </c>
      <c r="Z198" s="119">
        <f t="shared" si="63"/>
        <v>0</v>
      </c>
      <c r="AA198" s="119">
        <f t="shared" si="64"/>
        <v>0</v>
      </c>
      <c r="AB198" s="119">
        <f t="shared" si="65"/>
        <v>0</v>
      </c>
      <c r="AC198" s="119">
        <f t="shared" si="66"/>
        <v>0</v>
      </c>
      <c r="AD198" s="119">
        <f t="shared" si="67"/>
        <v>1</v>
      </c>
      <c r="AE198" s="119">
        <f t="shared" si="68"/>
        <v>1</v>
      </c>
      <c r="AF198" s="7"/>
      <c r="AG198" s="7"/>
      <c r="AH198" s="7">
        <f t="shared" si="69"/>
        <v>3</v>
      </c>
      <c r="AI198" s="7">
        <f t="shared" si="70"/>
        <v>3</v>
      </c>
      <c r="AJ198" s="7" t="str">
        <f t="shared" si="71"/>
        <v>Correct</v>
      </c>
      <c r="AK198" s="7"/>
      <c r="AL198" s="120" t="str">
        <f>IFERROR(VLOOKUP(Table1[RespondentID],'All Data'!$A$3:$CO$999,87,FALSE),"unknown")</f>
        <v>Man</v>
      </c>
      <c r="AM198" s="120">
        <f>IFERROR(VLOOKUP(Table1[RespondentID],'All Data'!$A$3:$CO$999,88,FALSE),"unknown")</f>
        <v>39</v>
      </c>
      <c r="AN198" s="120" t="str">
        <f>IFERROR(VLOOKUP(Table1[RespondentID],'All Data'!$A$3:$CO$999,89,FALSE),"unknown")</f>
        <v>Nassau</v>
      </c>
      <c r="AO198" s="120" t="str">
        <f>IFERROR(VLOOKUP(Table1[RespondentID],'All Data'!$A$3:$CO$999,90,FALSE),"unknown")</f>
        <v>Williston Park, 11596</v>
      </c>
      <c r="AP198" s="120" t="str">
        <f>IFERROR(VLOOKUP(Table1[RespondentID],'All Data'!$A$3:$CO$999,91,FALSE),"unknown")</f>
        <v>American Indian and Alaska Native</v>
      </c>
      <c r="AQ198" s="120" t="str">
        <f>IFERROR(VLOOKUP(Table1[RespondentID],'All Data'!$A$3:$CO$999,92,FALSE),"unknown")</f>
        <v>Hispanic or Latino</v>
      </c>
      <c r="AR198" s="120" t="str">
        <f>IFERROR(VLOOKUP(Table1[RespondentID],'All Data'!$A$3:$CO$999,93,FALSE),"unknown")</f>
        <v>English</v>
      </c>
      <c r="AS198" s="120" t="str">
        <f>IFERROR(VLOOKUP(Table1[RespondentID],'All Data'!$A$3:$CW$999,94,FALSE),"unknown")</f>
        <v>Over $125,000</v>
      </c>
      <c r="AT198" s="120" t="str">
        <f>IFERROR(VLOOKUP(Table1[RespondentID],'All Data'!$A$3:$CW$999,95,FALSE),"unknown")</f>
        <v>College graduate</v>
      </c>
      <c r="AU198" s="120" t="str">
        <f>IFERROR(VLOOKUP(Table1[RespondentID],'All Data'!$A$3:$CW$999,96,FALSE),"unknown")</f>
        <v>Employed for wages</v>
      </c>
      <c r="AV198" s="120" t="str">
        <f>IFERROR(VLOOKUP(Table1[RespondentID],'All Data'!$A$3:$CW$999,97,FALSE),"unknown")</f>
        <v>Yes</v>
      </c>
      <c r="AW198" s="120" t="str">
        <f>IFERROR(VLOOKUP(Table1[RespondentID],'All Data'!$A$3:$CW$999,98,FALSE),"unknown")</f>
        <v>Private/Commercial</v>
      </c>
      <c r="AX198" s="120" t="str">
        <f>IFERROR(VLOOKUP(Table1[RespondentID],'All Data'!$A$3:$CW$999,99,FALSE),"unknown")</f>
        <v>Yes</v>
      </c>
    </row>
    <row r="199" spans="1:50">
      <c r="A199" s="5">
        <v>18020253334</v>
      </c>
      <c r="B199" s="5"/>
      <c r="C199" s="5"/>
      <c r="D199" s="5" t="s">
        <v>18</v>
      </c>
      <c r="E199" s="5"/>
      <c r="F199" s="5"/>
      <c r="G199" s="5"/>
      <c r="H199" s="5"/>
      <c r="I199" s="5"/>
      <c r="J199" s="5" t="s">
        <v>24</v>
      </c>
      <c r="K199" s="5"/>
      <c r="L199" s="5"/>
      <c r="M199" s="5"/>
      <c r="N199" s="5" t="s">
        <v>28</v>
      </c>
      <c r="O199" s="7"/>
      <c r="P199" s="7">
        <f t="shared" si="54"/>
        <v>3</v>
      </c>
      <c r="Q199" s="9">
        <f t="shared" si="55"/>
        <v>1</v>
      </c>
      <c r="R199" s="7"/>
      <c r="S199" s="7">
        <f t="shared" si="56"/>
        <v>0</v>
      </c>
      <c r="T199" s="7">
        <f t="shared" si="57"/>
        <v>0</v>
      </c>
      <c r="U199" s="7">
        <f t="shared" si="58"/>
        <v>1</v>
      </c>
      <c r="V199" s="119">
        <f t="shared" si="59"/>
        <v>0</v>
      </c>
      <c r="W199" s="119">
        <f t="shared" si="60"/>
        <v>0</v>
      </c>
      <c r="X199" s="119">
        <f t="shared" si="61"/>
        <v>0</v>
      </c>
      <c r="Y199" s="119">
        <f t="shared" si="62"/>
        <v>0</v>
      </c>
      <c r="Z199" s="119">
        <f t="shared" si="63"/>
        <v>0</v>
      </c>
      <c r="AA199" s="119">
        <f t="shared" si="64"/>
        <v>1</v>
      </c>
      <c r="AB199" s="119">
        <f t="shared" si="65"/>
        <v>0</v>
      </c>
      <c r="AC199" s="119">
        <f t="shared" si="66"/>
        <v>0</v>
      </c>
      <c r="AD199" s="119">
        <f t="shared" si="67"/>
        <v>0</v>
      </c>
      <c r="AE199" s="119">
        <f t="shared" si="68"/>
        <v>1</v>
      </c>
      <c r="AF199" s="7"/>
      <c r="AG199" s="7"/>
      <c r="AH199" s="7">
        <f t="shared" si="69"/>
        <v>3</v>
      </c>
      <c r="AI199" s="7">
        <f t="shared" si="70"/>
        <v>3</v>
      </c>
      <c r="AJ199" s="7" t="str">
        <f t="shared" si="71"/>
        <v>Correct</v>
      </c>
      <c r="AK199" s="7"/>
      <c r="AL199" s="120" t="str">
        <f>IFERROR(VLOOKUP(Table1[RespondentID],'All Data'!$A$3:$CO$999,87,FALSE),"unknown")</f>
        <v>Woman</v>
      </c>
      <c r="AM199" s="120">
        <f>IFERROR(VLOOKUP(Table1[RespondentID],'All Data'!$A$3:$CO$999,88,FALSE),"unknown")</f>
        <v>40</v>
      </c>
      <c r="AN199" s="120" t="str">
        <f>IFERROR(VLOOKUP(Table1[RespondentID],'All Data'!$A$3:$CO$999,89,FALSE),"unknown")</f>
        <v>Nassau</v>
      </c>
      <c r="AO199" s="120" t="str">
        <f>IFERROR(VLOOKUP(Table1[RespondentID],'All Data'!$A$3:$CO$999,90,FALSE),"unknown")</f>
        <v>Herricks, 11040</v>
      </c>
      <c r="AP199" s="120" t="str">
        <f>IFERROR(VLOOKUP(Table1[RespondentID],'All Data'!$A$3:$CO$999,91,FALSE),"unknown")</f>
        <v>American Indian and Alaska Native</v>
      </c>
      <c r="AQ199" s="120" t="str">
        <f>IFERROR(VLOOKUP(Table1[RespondentID],'All Data'!$A$3:$CO$999,92,FALSE),"unknown")</f>
        <v>Hispanic or Latino</v>
      </c>
      <c r="AR199" s="120" t="str">
        <f>IFERROR(VLOOKUP(Table1[RespondentID],'All Data'!$A$3:$CO$999,93,FALSE),"unknown")</f>
        <v>English</v>
      </c>
      <c r="AS199" s="120" t="str">
        <f>IFERROR(VLOOKUP(Table1[RespondentID],'All Data'!$A$3:$CW$999,94,FALSE),"unknown")</f>
        <v>$75,000 to $125,000</v>
      </c>
      <c r="AT199" s="120" t="str">
        <f>IFERROR(VLOOKUP(Table1[RespondentID],'All Data'!$A$3:$CW$999,95,FALSE),"unknown")</f>
        <v>College graduate</v>
      </c>
      <c r="AU199" s="120" t="str">
        <f>IFERROR(VLOOKUP(Table1[RespondentID],'All Data'!$A$3:$CW$999,96,FALSE),"unknown")</f>
        <v>Employed for wages</v>
      </c>
      <c r="AV199" s="120" t="str">
        <f>IFERROR(VLOOKUP(Table1[RespondentID],'All Data'!$A$3:$CW$999,97,FALSE),"unknown")</f>
        <v>Yes</v>
      </c>
      <c r="AW199" s="120" t="str">
        <f>IFERROR(VLOOKUP(Table1[RespondentID],'All Data'!$A$3:$CW$999,98,FALSE),"unknown")</f>
        <v>Private/Commercial</v>
      </c>
      <c r="AX199" s="120" t="str">
        <f>IFERROR(VLOOKUP(Table1[RespondentID],'All Data'!$A$3:$CW$999,99,FALSE),"unknown")</f>
        <v>Yes</v>
      </c>
    </row>
    <row r="200" spans="1:50">
      <c r="A200" s="5">
        <v>18020047097</v>
      </c>
      <c r="B200" s="5"/>
      <c r="C200" s="5"/>
      <c r="D200" s="5"/>
      <c r="E200" s="5"/>
      <c r="F200" s="5"/>
      <c r="G200" s="5"/>
      <c r="H200" s="5"/>
      <c r="I200" s="5"/>
      <c r="J200" s="5"/>
      <c r="K200" s="5"/>
      <c r="L200" s="5"/>
      <c r="M200" s="5"/>
      <c r="N200" s="5"/>
      <c r="O200" s="7"/>
      <c r="P200" s="7">
        <f t="shared" si="54"/>
        <v>0</v>
      </c>
      <c r="Q200" s="8" t="e">
        <f t="shared" si="55"/>
        <v>#DIV/0!</v>
      </c>
      <c r="R200" s="7"/>
      <c r="S200" s="7">
        <f t="shared" si="56"/>
        <v>0</v>
      </c>
      <c r="T200" s="7">
        <f t="shared" si="57"/>
        <v>0</v>
      </c>
      <c r="U200" s="7">
        <f t="shared" si="58"/>
        <v>0</v>
      </c>
      <c r="V200" s="119">
        <f t="shared" si="59"/>
        <v>0</v>
      </c>
      <c r="W200" s="119">
        <f t="shared" si="60"/>
        <v>0</v>
      </c>
      <c r="X200" s="119">
        <f t="shared" si="61"/>
        <v>0</v>
      </c>
      <c r="Y200" s="119">
        <f t="shared" si="62"/>
        <v>0</v>
      </c>
      <c r="Z200" s="119">
        <f t="shared" si="63"/>
        <v>0</v>
      </c>
      <c r="AA200" s="119">
        <f t="shared" si="64"/>
        <v>0</v>
      </c>
      <c r="AB200" s="119">
        <f t="shared" si="65"/>
        <v>0</v>
      </c>
      <c r="AC200" s="119">
        <f t="shared" si="66"/>
        <v>0</v>
      </c>
      <c r="AD200" s="119">
        <f t="shared" si="67"/>
        <v>0</v>
      </c>
      <c r="AE200" s="119">
        <f t="shared" si="68"/>
        <v>0</v>
      </c>
      <c r="AF200" s="7"/>
      <c r="AG200" s="7"/>
      <c r="AH200" s="7">
        <f t="shared" si="69"/>
        <v>0</v>
      </c>
      <c r="AI200" s="7">
        <f t="shared" si="70"/>
        <v>0</v>
      </c>
      <c r="AJ200" s="7" t="str">
        <f t="shared" si="71"/>
        <v>Correct</v>
      </c>
      <c r="AK200" s="7"/>
      <c r="AL200" s="120">
        <f>IFERROR(VLOOKUP(Table1[RespondentID],'All Data'!$A$3:$CO$999,87,FALSE),"unknown")</f>
        <v>0</v>
      </c>
      <c r="AM200" s="120">
        <f>IFERROR(VLOOKUP(Table1[RespondentID],'All Data'!$A$3:$CO$999,88,FALSE),"unknown")</f>
        <v>0</v>
      </c>
      <c r="AN200" s="120">
        <f>IFERROR(VLOOKUP(Table1[RespondentID],'All Data'!$A$3:$CO$999,89,FALSE),"unknown")</f>
        <v>0</v>
      </c>
      <c r="AO200" s="120" t="str">
        <f>IFERROR(VLOOKUP(Table1[RespondentID],'All Data'!$A$3:$CO$999,90,FALSE),"unknown")</f>
        <v>Alden Manor, 11003</v>
      </c>
      <c r="AP200" s="120">
        <f>IFERROR(VLOOKUP(Table1[RespondentID],'All Data'!$A$3:$CO$999,91,FALSE),"unknown")</f>
        <v>0</v>
      </c>
      <c r="AQ200" s="120">
        <f>IFERROR(VLOOKUP(Table1[RespondentID],'All Data'!$A$3:$CO$999,92,FALSE),"unknown")</f>
        <v>0</v>
      </c>
      <c r="AR200" s="120">
        <f>IFERROR(VLOOKUP(Table1[RespondentID],'All Data'!$A$3:$CO$999,93,FALSE),"unknown")</f>
        <v>0</v>
      </c>
      <c r="AS200" s="120">
        <f>IFERROR(VLOOKUP(Table1[RespondentID],'All Data'!$A$3:$CW$999,94,FALSE),"unknown")</f>
        <v>0</v>
      </c>
      <c r="AT200" s="120">
        <f>IFERROR(VLOOKUP(Table1[RespondentID],'All Data'!$A$3:$CW$999,95,FALSE),"unknown")</f>
        <v>0</v>
      </c>
      <c r="AU200" s="120">
        <f>IFERROR(VLOOKUP(Table1[RespondentID],'All Data'!$A$3:$CW$999,96,FALSE),"unknown")</f>
        <v>0</v>
      </c>
      <c r="AV200" s="120">
        <f>IFERROR(VLOOKUP(Table1[RespondentID],'All Data'!$A$3:$CW$999,97,FALSE),"unknown")</f>
        <v>0</v>
      </c>
      <c r="AW200" s="120">
        <f>IFERROR(VLOOKUP(Table1[RespondentID],'All Data'!$A$3:$CW$999,98,FALSE),"unknown")</f>
        <v>0</v>
      </c>
      <c r="AX200" s="120">
        <f>IFERROR(VLOOKUP(Table1[RespondentID],'All Data'!$A$3:$CW$999,99,FALSE),"unknown")</f>
        <v>0</v>
      </c>
    </row>
    <row r="201" spans="1:50">
      <c r="A201" s="5">
        <v>18019933763</v>
      </c>
      <c r="B201" s="5"/>
      <c r="C201" s="5"/>
      <c r="D201" s="5"/>
      <c r="E201" s="5"/>
      <c r="F201" s="5" t="s">
        <v>20</v>
      </c>
      <c r="G201" s="5"/>
      <c r="H201" s="5"/>
      <c r="I201" s="5"/>
      <c r="J201" s="5"/>
      <c r="K201" s="5" t="s">
        <v>25</v>
      </c>
      <c r="L201" s="5"/>
      <c r="M201" s="5"/>
      <c r="N201" s="5" t="s">
        <v>28</v>
      </c>
      <c r="O201" s="7"/>
      <c r="P201" s="7">
        <f t="shared" si="54"/>
        <v>3</v>
      </c>
      <c r="Q201" s="9">
        <f t="shared" si="55"/>
        <v>1</v>
      </c>
      <c r="R201" s="7"/>
      <c r="S201" s="7">
        <f t="shared" si="56"/>
        <v>0</v>
      </c>
      <c r="T201" s="7">
        <f t="shared" si="57"/>
        <v>0</v>
      </c>
      <c r="U201" s="7">
        <f t="shared" si="58"/>
        <v>0</v>
      </c>
      <c r="V201" s="119">
        <f t="shared" si="59"/>
        <v>0</v>
      </c>
      <c r="W201" s="119">
        <f t="shared" si="60"/>
        <v>1</v>
      </c>
      <c r="X201" s="119">
        <f t="shared" si="61"/>
        <v>0</v>
      </c>
      <c r="Y201" s="119">
        <f t="shared" si="62"/>
        <v>0</v>
      </c>
      <c r="Z201" s="119">
        <f t="shared" si="63"/>
        <v>0</v>
      </c>
      <c r="AA201" s="119">
        <f t="shared" si="64"/>
        <v>0</v>
      </c>
      <c r="AB201" s="119">
        <f t="shared" si="65"/>
        <v>1</v>
      </c>
      <c r="AC201" s="119">
        <f t="shared" si="66"/>
        <v>0</v>
      </c>
      <c r="AD201" s="119">
        <f t="shared" si="67"/>
        <v>0</v>
      </c>
      <c r="AE201" s="119">
        <f t="shared" si="68"/>
        <v>1</v>
      </c>
      <c r="AF201" s="7"/>
      <c r="AG201" s="7"/>
      <c r="AH201" s="7">
        <f t="shared" si="69"/>
        <v>3</v>
      </c>
      <c r="AI201" s="7">
        <f t="shared" si="70"/>
        <v>3</v>
      </c>
      <c r="AJ201" s="7" t="str">
        <f t="shared" si="71"/>
        <v>Correct</v>
      </c>
      <c r="AK201" s="7"/>
      <c r="AL201" s="120" t="str">
        <f>IFERROR(VLOOKUP(Table1[RespondentID],'All Data'!$A$3:$CO$999,87,FALSE),"unknown")</f>
        <v>Woman</v>
      </c>
      <c r="AM201" s="120">
        <f>IFERROR(VLOOKUP(Table1[RespondentID],'All Data'!$A$3:$CO$999,88,FALSE),"unknown")</f>
        <v>24</v>
      </c>
      <c r="AN201" s="120" t="str">
        <f>IFERROR(VLOOKUP(Table1[RespondentID],'All Data'!$A$3:$CO$999,89,FALSE),"unknown")</f>
        <v>Suffolk</v>
      </c>
      <c r="AO201" s="120" t="str">
        <f>IFERROR(VLOOKUP(Table1[RespondentID],'All Data'!$A$3:$CO$999,90,FALSE),"unknown")</f>
        <v>Selden, 11784</v>
      </c>
      <c r="AP201" s="120" t="str">
        <f>IFERROR(VLOOKUP(Table1[RespondentID],'All Data'!$A$3:$CO$999,91,FALSE),"unknown")</f>
        <v>Native Hawaiian and Other Pacific Islander</v>
      </c>
      <c r="AQ201" s="120" t="str">
        <f>IFERROR(VLOOKUP(Table1[RespondentID],'All Data'!$A$3:$CO$999,92,FALSE),"unknown")</f>
        <v>Hispanic or Latino</v>
      </c>
      <c r="AR201" s="120" t="str">
        <f>IFERROR(VLOOKUP(Table1[RespondentID],'All Data'!$A$3:$CO$999,93,FALSE),"unknown")</f>
        <v>English</v>
      </c>
      <c r="AS201" s="120" t="str">
        <f>IFERROR(VLOOKUP(Table1[RespondentID],'All Data'!$A$3:$CW$999,94,FALSE),"unknown")</f>
        <v>$75,000 to $125,000</v>
      </c>
      <c r="AT201" s="120" t="str">
        <f>IFERROR(VLOOKUP(Table1[RespondentID],'All Data'!$A$3:$CW$999,95,FALSE),"unknown")</f>
        <v>College graduate</v>
      </c>
      <c r="AU201" s="120" t="str">
        <f>IFERROR(VLOOKUP(Table1[RespondentID],'All Data'!$A$3:$CW$999,96,FALSE),"unknown")</f>
        <v>Employed for wages</v>
      </c>
      <c r="AV201" s="120" t="str">
        <f>IFERROR(VLOOKUP(Table1[RespondentID],'All Data'!$A$3:$CW$999,97,FALSE),"unknown")</f>
        <v>Yes</v>
      </c>
      <c r="AW201" s="120" t="str">
        <f>IFERROR(VLOOKUP(Table1[RespondentID],'All Data'!$A$3:$CW$999,98,FALSE),"unknown")</f>
        <v>Medicare</v>
      </c>
      <c r="AX201" s="120" t="str">
        <f>IFERROR(VLOOKUP(Table1[RespondentID],'All Data'!$A$3:$CW$999,99,FALSE),"unknown")</f>
        <v>Yes</v>
      </c>
    </row>
    <row r="202" spans="1:50">
      <c r="A202" s="5">
        <v>18019511473</v>
      </c>
      <c r="B202" s="5"/>
      <c r="C202" s="5"/>
      <c r="D202" s="5"/>
      <c r="E202" s="5"/>
      <c r="F202" s="5" t="s">
        <v>20</v>
      </c>
      <c r="G202" s="5"/>
      <c r="H202" s="5"/>
      <c r="I202" s="5"/>
      <c r="J202" s="5"/>
      <c r="K202" s="5"/>
      <c r="L202" s="5"/>
      <c r="M202" s="5"/>
      <c r="N202" s="5"/>
      <c r="O202" s="7"/>
      <c r="P202" s="7">
        <f t="shared" si="54"/>
        <v>1</v>
      </c>
      <c r="Q202" s="8">
        <f t="shared" si="55"/>
        <v>3</v>
      </c>
      <c r="R202" s="7"/>
      <c r="S202" s="7">
        <f t="shared" si="56"/>
        <v>0</v>
      </c>
      <c r="T202" s="7">
        <f t="shared" si="57"/>
        <v>0</v>
      </c>
      <c r="U202" s="7">
        <f t="shared" si="58"/>
        <v>0</v>
      </c>
      <c r="V202" s="119">
        <f t="shared" si="59"/>
        <v>0</v>
      </c>
      <c r="W202" s="119">
        <f t="shared" si="60"/>
        <v>1</v>
      </c>
      <c r="X202" s="119">
        <f t="shared" si="61"/>
        <v>0</v>
      </c>
      <c r="Y202" s="119">
        <f t="shared" si="62"/>
        <v>0</v>
      </c>
      <c r="Z202" s="119">
        <f t="shared" si="63"/>
        <v>0</v>
      </c>
      <c r="AA202" s="119">
        <f t="shared" si="64"/>
        <v>0</v>
      </c>
      <c r="AB202" s="119">
        <f t="shared" si="65"/>
        <v>0</v>
      </c>
      <c r="AC202" s="119">
        <f t="shared" si="66"/>
        <v>0</v>
      </c>
      <c r="AD202" s="119">
        <f t="shared" si="67"/>
        <v>0</v>
      </c>
      <c r="AE202" s="119">
        <f t="shared" si="68"/>
        <v>0</v>
      </c>
      <c r="AF202" s="7"/>
      <c r="AG202" s="7"/>
      <c r="AH202" s="7">
        <f t="shared" si="69"/>
        <v>1</v>
      </c>
      <c r="AI202" s="7">
        <f t="shared" si="70"/>
        <v>1</v>
      </c>
      <c r="AJ202" s="7" t="str">
        <f t="shared" si="71"/>
        <v>Correct</v>
      </c>
      <c r="AK202" s="7"/>
      <c r="AL202" s="120" t="str">
        <f>IFERROR(VLOOKUP(Table1[RespondentID],'All Data'!$A$3:$CO$999,87,FALSE),"unknown")</f>
        <v>Man</v>
      </c>
      <c r="AM202" s="120">
        <f>IFERROR(VLOOKUP(Table1[RespondentID],'All Data'!$A$3:$CO$999,88,FALSE),"unknown")</f>
        <v>0</v>
      </c>
      <c r="AN202" s="120" t="str">
        <f>IFERROR(VLOOKUP(Table1[RespondentID],'All Data'!$A$3:$CO$999,89,FALSE),"unknown")</f>
        <v>Suffolk</v>
      </c>
      <c r="AO202" s="120" t="str">
        <f>IFERROR(VLOOKUP(Table1[RespondentID],'All Data'!$A$3:$CO$999,90,FALSE),"unknown")</f>
        <v>Smithtown, 11787</v>
      </c>
      <c r="AP202" s="120" t="str">
        <f>IFERROR(VLOOKUP(Table1[RespondentID],'All Data'!$A$3:$CO$999,91,FALSE),"unknown")</f>
        <v>White</v>
      </c>
      <c r="AQ202" s="120" t="str">
        <f>IFERROR(VLOOKUP(Table1[RespondentID],'All Data'!$A$3:$CO$999,92,FALSE),"unknown")</f>
        <v>Hispanic or Latino</v>
      </c>
      <c r="AR202" s="120" t="str">
        <f>IFERROR(VLOOKUP(Table1[RespondentID],'All Data'!$A$3:$CO$999,93,FALSE),"unknown")</f>
        <v>English</v>
      </c>
      <c r="AS202" s="120" t="str">
        <f>IFERROR(VLOOKUP(Table1[RespondentID],'All Data'!$A$3:$CW$999,94,FALSE),"unknown")</f>
        <v>Over $125,000</v>
      </c>
      <c r="AT202" s="120" t="str">
        <f>IFERROR(VLOOKUP(Table1[RespondentID],'All Data'!$A$3:$CW$999,95,FALSE),"unknown")</f>
        <v>Some college</v>
      </c>
      <c r="AU202" s="120" t="str">
        <f>IFERROR(VLOOKUP(Table1[RespondentID],'All Data'!$A$3:$CW$999,96,FALSE),"unknown")</f>
        <v>Employed for wages</v>
      </c>
      <c r="AV202" s="120" t="str">
        <f>IFERROR(VLOOKUP(Table1[RespondentID],'All Data'!$A$3:$CW$999,97,FALSE),"unknown")</f>
        <v>No</v>
      </c>
      <c r="AW202" s="120" t="str">
        <f>IFERROR(VLOOKUP(Table1[RespondentID],'All Data'!$A$3:$CW$999,98,FALSE),"unknown")</f>
        <v>No Insurance</v>
      </c>
      <c r="AX202" s="120" t="str">
        <f>IFERROR(VLOOKUP(Table1[RespondentID],'All Data'!$A$3:$CW$999,99,FALSE),"unknown")</f>
        <v>Yes</v>
      </c>
    </row>
    <row r="203" spans="1:50">
      <c r="A203" s="5">
        <v>18019480989</v>
      </c>
      <c r="B203" s="5"/>
      <c r="C203" s="5"/>
      <c r="D203" s="5"/>
      <c r="E203" s="5"/>
      <c r="F203" s="5"/>
      <c r="G203" s="5"/>
      <c r="H203" s="5"/>
      <c r="I203" s="5"/>
      <c r="J203" s="5"/>
      <c r="K203" s="5"/>
      <c r="L203" s="5"/>
      <c r="M203" s="5"/>
      <c r="N203" s="5" t="s">
        <v>28</v>
      </c>
      <c r="O203" s="7"/>
      <c r="P203" s="7">
        <f t="shared" si="54"/>
        <v>1</v>
      </c>
      <c r="Q203" s="9">
        <f t="shared" si="55"/>
        <v>3</v>
      </c>
      <c r="R203" s="7"/>
      <c r="S203" s="7">
        <f t="shared" si="56"/>
        <v>0</v>
      </c>
      <c r="T203" s="7">
        <f t="shared" si="57"/>
        <v>0</v>
      </c>
      <c r="U203" s="7">
        <f t="shared" si="58"/>
        <v>0</v>
      </c>
      <c r="V203" s="119">
        <f t="shared" si="59"/>
        <v>0</v>
      </c>
      <c r="W203" s="119">
        <f t="shared" si="60"/>
        <v>0</v>
      </c>
      <c r="X203" s="119">
        <f t="shared" si="61"/>
        <v>0</v>
      </c>
      <c r="Y203" s="119">
        <f t="shared" si="62"/>
        <v>0</v>
      </c>
      <c r="Z203" s="119">
        <f t="shared" si="63"/>
        <v>0</v>
      </c>
      <c r="AA203" s="119">
        <f t="shared" si="64"/>
        <v>0</v>
      </c>
      <c r="AB203" s="119">
        <f t="shared" si="65"/>
        <v>0</v>
      </c>
      <c r="AC203" s="119">
        <f t="shared" si="66"/>
        <v>0</v>
      </c>
      <c r="AD203" s="119">
        <f t="shared" si="67"/>
        <v>0</v>
      </c>
      <c r="AE203" s="119">
        <f t="shared" si="68"/>
        <v>1</v>
      </c>
      <c r="AF203" s="7"/>
      <c r="AG203" s="7"/>
      <c r="AH203" s="7">
        <f t="shared" si="69"/>
        <v>1</v>
      </c>
      <c r="AI203" s="7">
        <f t="shared" si="70"/>
        <v>1</v>
      </c>
      <c r="AJ203" s="7" t="str">
        <f t="shared" si="71"/>
        <v>Correct</v>
      </c>
      <c r="AK203" s="7"/>
      <c r="AL203" s="120" t="str">
        <f>IFERROR(VLOOKUP(Table1[RespondentID],'All Data'!$A$3:$CO$999,87,FALSE),"unknown")</f>
        <v>Man</v>
      </c>
      <c r="AM203" s="120">
        <f>IFERROR(VLOOKUP(Table1[RespondentID],'All Data'!$A$3:$CO$999,88,FALSE),"unknown")</f>
        <v>23</v>
      </c>
      <c r="AN203" s="120" t="str">
        <f>IFERROR(VLOOKUP(Table1[RespondentID],'All Data'!$A$3:$CO$999,89,FALSE),"unknown")</f>
        <v>Suffolk</v>
      </c>
      <c r="AO203" s="120" t="str">
        <f>IFERROR(VLOOKUP(Table1[RespondentID],'All Data'!$A$3:$CO$999,90,FALSE),"unknown")</f>
        <v>Saint James, 11780</v>
      </c>
      <c r="AP203" s="120" t="str">
        <f>IFERROR(VLOOKUP(Table1[RespondentID],'All Data'!$A$3:$CO$999,91,FALSE),"unknown")</f>
        <v>White</v>
      </c>
      <c r="AQ203" s="120" t="str">
        <f>IFERROR(VLOOKUP(Table1[RespondentID],'All Data'!$A$3:$CO$999,92,FALSE),"unknown")</f>
        <v>Hispanic or Latino</v>
      </c>
      <c r="AR203" s="120" t="str">
        <f>IFERROR(VLOOKUP(Table1[RespondentID],'All Data'!$A$3:$CO$999,93,FALSE),"unknown")</f>
        <v>English</v>
      </c>
      <c r="AS203" s="120" t="str">
        <f>IFERROR(VLOOKUP(Table1[RespondentID],'All Data'!$A$3:$CW$999,94,FALSE),"unknown")</f>
        <v>$0-$19,999</v>
      </c>
      <c r="AT203" s="120" t="str">
        <f>IFERROR(VLOOKUP(Table1[RespondentID],'All Data'!$A$3:$CW$999,95,FALSE),"unknown")</f>
        <v>Graduate school</v>
      </c>
      <c r="AU203" s="120" t="str">
        <f>IFERROR(VLOOKUP(Table1[RespondentID],'All Data'!$A$3:$CW$999,96,FALSE),"unknown")</f>
        <v>Employed for wages</v>
      </c>
      <c r="AV203" s="120" t="str">
        <f>IFERROR(VLOOKUP(Table1[RespondentID],'All Data'!$A$3:$CW$999,97,FALSE),"unknown")</f>
        <v>Yes</v>
      </c>
      <c r="AW203" s="120">
        <f>IFERROR(VLOOKUP(Table1[RespondentID],'All Data'!$A$3:$CW$999,98,FALSE),"unknown")</f>
        <v>0</v>
      </c>
      <c r="AX203" s="120">
        <f>IFERROR(VLOOKUP(Table1[RespondentID],'All Data'!$A$3:$CW$999,99,FALSE),"unknown")</f>
        <v>0</v>
      </c>
    </row>
    <row r="204" spans="1:50">
      <c r="A204" s="5">
        <v>18019480837</v>
      </c>
      <c r="B204" s="5"/>
      <c r="C204" s="5" t="s">
        <v>17</v>
      </c>
      <c r="D204" s="5"/>
      <c r="E204" s="5"/>
      <c r="F204" s="5"/>
      <c r="G204" s="5"/>
      <c r="H204" s="5"/>
      <c r="I204" s="5"/>
      <c r="J204" s="5"/>
      <c r="K204" s="5"/>
      <c r="L204" s="5"/>
      <c r="M204" s="5"/>
      <c r="N204" s="5"/>
      <c r="O204" s="7"/>
      <c r="P204" s="7">
        <f t="shared" si="54"/>
        <v>1</v>
      </c>
      <c r="Q204" s="8">
        <f t="shared" si="55"/>
        <v>3</v>
      </c>
      <c r="R204" s="7"/>
      <c r="S204" s="7">
        <f t="shared" si="56"/>
        <v>0</v>
      </c>
      <c r="T204" s="7">
        <f t="shared" si="57"/>
        <v>1</v>
      </c>
      <c r="U204" s="7">
        <f t="shared" si="58"/>
        <v>0</v>
      </c>
      <c r="V204" s="119">
        <f t="shared" si="59"/>
        <v>0</v>
      </c>
      <c r="W204" s="119">
        <f t="shared" si="60"/>
        <v>0</v>
      </c>
      <c r="X204" s="119">
        <f t="shared" si="61"/>
        <v>0</v>
      </c>
      <c r="Y204" s="119">
        <f t="shared" si="62"/>
        <v>0</v>
      </c>
      <c r="Z204" s="119">
        <f t="shared" si="63"/>
        <v>0</v>
      </c>
      <c r="AA204" s="119">
        <f t="shared" si="64"/>
        <v>0</v>
      </c>
      <c r="AB204" s="119">
        <f t="shared" si="65"/>
        <v>0</v>
      </c>
      <c r="AC204" s="119">
        <f t="shared" si="66"/>
        <v>0</v>
      </c>
      <c r="AD204" s="119">
        <f t="shared" si="67"/>
        <v>0</v>
      </c>
      <c r="AE204" s="119">
        <f t="shared" si="68"/>
        <v>0</v>
      </c>
      <c r="AF204" s="7"/>
      <c r="AG204" s="7"/>
      <c r="AH204" s="7">
        <f t="shared" si="69"/>
        <v>1</v>
      </c>
      <c r="AI204" s="7">
        <f t="shared" si="70"/>
        <v>1</v>
      </c>
      <c r="AJ204" s="7" t="str">
        <f t="shared" si="71"/>
        <v>Correct</v>
      </c>
      <c r="AK204" s="7"/>
      <c r="AL204" s="120" t="str">
        <f>IFERROR(VLOOKUP(Table1[RespondentID],'All Data'!$A$3:$CO$999,87,FALSE),"unknown")</f>
        <v>Woman</v>
      </c>
      <c r="AM204" s="120">
        <f>IFERROR(VLOOKUP(Table1[RespondentID],'All Data'!$A$3:$CO$999,88,FALSE),"unknown")</f>
        <v>49</v>
      </c>
      <c r="AN204" s="120" t="str">
        <f>IFERROR(VLOOKUP(Table1[RespondentID],'All Data'!$A$3:$CO$999,89,FALSE),"unknown")</f>
        <v>Suffolk</v>
      </c>
      <c r="AO204" s="120" t="str">
        <f>IFERROR(VLOOKUP(Table1[RespondentID],'All Data'!$A$3:$CO$999,90,FALSE),"unknown")</f>
        <v>Smithtown, 11787</v>
      </c>
      <c r="AP204" s="120" t="str">
        <f>IFERROR(VLOOKUP(Table1[RespondentID],'All Data'!$A$3:$CO$999,91,FALSE),"unknown")</f>
        <v>White</v>
      </c>
      <c r="AQ204" s="120" t="str">
        <f>IFERROR(VLOOKUP(Table1[RespondentID],'All Data'!$A$3:$CO$999,92,FALSE),"unknown")</f>
        <v>Hispanic or Latino</v>
      </c>
      <c r="AR204" s="120" t="str">
        <f>IFERROR(VLOOKUP(Table1[RespondentID],'All Data'!$A$3:$CO$999,93,FALSE),"unknown")</f>
        <v>English</v>
      </c>
      <c r="AS204" s="120" t="str">
        <f>IFERROR(VLOOKUP(Table1[RespondentID],'All Data'!$A$3:$CW$999,94,FALSE),"unknown")</f>
        <v>$50,000 to $74,999</v>
      </c>
      <c r="AT204" s="120" t="str">
        <f>IFERROR(VLOOKUP(Table1[RespondentID],'All Data'!$A$3:$CW$999,95,FALSE),"unknown")</f>
        <v>High school graduate</v>
      </c>
      <c r="AU204" s="120" t="str">
        <f>IFERROR(VLOOKUP(Table1[RespondentID],'All Data'!$A$3:$CW$999,96,FALSE),"unknown")</f>
        <v>Self-employed</v>
      </c>
      <c r="AV204" s="120" t="str">
        <f>IFERROR(VLOOKUP(Table1[RespondentID],'All Data'!$A$3:$CW$999,97,FALSE),"unknown")</f>
        <v>Yes</v>
      </c>
      <c r="AW204" s="120">
        <f>IFERROR(VLOOKUP(Table1[RespondentID],'All Data'!$A$3:$CW$999,98,FALSE),"unknown")</f>
        <v>0</v>
      </c>
      <c r="AX204" s="120">
        <f>IFERROR(VLOOKUP(Table1[RespondentID],'All Data'!$A$3:$CW$999,99,FALSE),"unknown")</f>
        <v>0</v>
      </c>
    </row>
    <row r="205" spans="1:50">
      <c r="A205" s="5">
        <v>18019480727</v>
      </c>
      <c r="B205" s="5"/>
      <c r="C205" s="5" t="s">
        <v>17</v>
      </c>
      <c r="D205" s="5"/>
      <c r="E205" s="5"/>
      <c r="F205" s="5"/>
      <c r="G205" s="5"/>
      <c r="H205" s="5" t="s">
        <v>22</v>
      </c>
      <c r="I205" s="5"/>
      <c r="J205" s="5"/>
      <c r="K205" s="5"/>
      <c r="L205" s="5"/>
      <c r="M205" s="5" t="s">
        <v>27</v>
      </c>
      <c r="N205" s="5"/>
      <c r="O205" s="7"/>
      <c r="P205" s="7">
        <f t="shared" si="54"/>
        <v>3</v>
      </c>
      <c r="Q205" s="9">
        <f t="shared" si="55"/>
        <v>1</v>
      </c>
      <c r="R205" s="7"/>
      <c r="S205" s="7">
        <f t="shared" si="56"/>
        <v>0</v>
      </c>
      <c r="T205" s="7">
        <f t="shared" si="57"/>
        <v>1</v>
      </c>
      <c r="U205" s="7">
        <f t="shared" si="58"/>
        <v>0</v>
      </c>
      <c r="V205" s="119">
        <f t="shared" si="59"/>
        <v>0</v>
      </c>
      <c r="W205" s="119">
        <f t="shared" si="60"/>
        <v>0</v>
      </c>
      <c r="X205" s="119">
        <f t="shared" si="61"/>
        <v>0</v>
      </c>
      <c r="Y205" s="119">
        <f t="shared" si="62"/>
        <v>1</v>
      </c>
      <c r="Z205" s="119">
        <f t="shared" si="63"/>
        <v>0</v>
      </c>
      <c r="AA205" s="119">
        <f t="shared" si="64"/>
        <v>0</v>
      </c>
      <c r="AB205" s="119">
        <f t="shared" si="65"/>
        <v>0</v>
      </c>
      <c r="AC205" s="119">
        <f t="shared" si="66"/>
        <v>0</v>
      </c>
      <c r="AD205" s="119">
        <f t="shared" si="67"/>
        <v>1</v>
      </c>
      <c r="AE205" s="119">
        <f t="shared" si="68"/>
        <v>0</v>
      </c>
      <c r="AF205" s="7"/>
      <c r="AG205" s="7"/>
      <c r="AH205" s="7">
        <f t="shared" si="69"/>
        <v>3</v>
      </c>
      <c r="AI205" s="7">
        <f t="shared" si="70"/>
        <v>3</v>
      </c>
      <c r="AJ205" s="7" t="str">
        <f t="shared" si="71"/>
        <v>Correct</v>
      </c>
      <c r="AK205" s="7"/>
      <c r="AL205" s="120" t="str">
        <f>IFERROR(VLOOKUP(Table1[RespondentID],'All Data'!$A$3:$CO$999,87,FALSE),"unknown")</f>
        <v>Man</v>
      </c>
      <c r="AM205" s="120">
        <f>IFERROR(VLOOKUP(Table1[RespondentID],'All Data'!$A$3:$CO$999,88,FALSE),"unknown")</f>
        <v>50</v>
      </c>
      <c r="AN205" s="120" t="str">
        <f>IFERROR(VLOOKUP(Table1[RespondentID],'All Data'!$A$3:$CO$999,89,FALSE),"unknown")</f>
        <v>Suffolk</v>
      </c>
      <c r="AO205" s="120" t="str">
        <f>IFERROR(VLOOKUP(Table1[RespondentID],'All Data'!$A$3:$CO$999,90,FALSE),"unknown")</f>
        <v>Saint James, 11780</v>
      </c>
      <c r="AP205" s="120" t="str">
        <f>IFERROR(VLOOKUP(Table1[RespondentID],'All Data'!$A$3:$CO$999,91,FALSE),"unknown")</f>
        <v>White</v>
      </c>
      <c r="AQ205" s="120" t="str">
        <f>IFERROR(VLOOKUP(Table1[RespondentID],'All Data'!$A$3:$CO$999,92,FALSE),"unknown")</f>
        <v>Hispanic or Latino</v>
      </c>
      <c r="AR205" s="120" t="str">
        <f>IFERROR(VLOOKUP(Table1[RespondentID],'All Data'!$A$3:$CO$999,93,FALSE),"unknown")</f>
        <v>English</v>
      </c>
      <c r="AS205" s="120" t="str">
        <f>IFERROR(VLOOKUP(Table1[RespondentID],'All Data'!$A$3:$CW$999,94,FALSE),"unknown")</f>
        <v>$50,000 to $74,999</v>
      </c>
      <c r="AT205" s="120" t="str">
        <f>IFERROR(VLOOKUP(Table1[RespondentID],'All Data'!$A$3:$CW$999,95,FALSE),"unknown")</f>
        <v>Some college</v>
      </c>
      <c r="AU205" s="120" t="str">
        <f>IFERROR(VLOOKUP(Table1[RespondentID],'All Data'!$A$3:$CW$999,96,FALSE),"unknown")</f>
        <v>Out of work, but not currently looking</v>
      </c>
      <c r="AV205" s="120" t="str">
        <f>IFERROR(VLOOKUP(Table1[RespondentID],'All Data'!$A$3:$CW$999,97,FALSE),"unknown")</f>
        <v>Yes</v>
      </c>
      <c r="AW205" s="120">
        <f>IFERROR(VLOOKUP(Table1[RespondentID],'All Data'!$A$3:$CW$999,98,FALSE),"unknown")</f>
        <v>0</v>
      </c>
      <c r="AX205" s="120">
        <f>IFERROR(VLOOKUP(Table1[RespondentID],'All Data'!$A$3:$CW$999,99,FALSE),"unknown")</f>
        <v>0</v>
      </c>
    </row>
    <row r="206" spans="1:50">
      <c r="A206" s="5">
        <v>18019480579</v>
      </c>
      <c r="B206" s="5" t="s">
        <v>16</v>
      </c>
      <c r="C206" s="5"/>
      <c r="D206" s="5"/>
      <c r="E206" s="5"/>
      <c r="F206" s="5"/>
      <c r="G206" s="5"/>
      <c r="H206" s="5"/>
      <c r="I206" s="5"/>
      <c r="J206" s="5"/>
      <c r="K206" s="5" t="s">
        <v>25</v>
      </c>
      <c r="L206" s="5"/>
      <c r="M206" s="5"/>
      <c r="N206" s="5"/>
      <c r="O206" s="7"/>
      <c r="P206" s="7">
        <f t="shared" si="54"/>
        <v>2</v>
      </c>
      <c r="Q206" s="8">
        <f t="shared" si="55"/>
        <v>1.5</v>
      </c>
      <c r="R206" s="7"/>
      <c r="S206" s="7">
        <f t="shared" si="56"/>
        <v>1</v>
      </c>
      <c r="T206" s="7">
        <f t="shared" si="57"/>
        <v>0</v>
      </c>
      <c r="U206" s="7">
        <f t="shared" si="58"/>
        <v>0</v>
      </c>
      <c r="V206" s="119">
        <f t="shared" si="59"/>
        <v>0</v>
      </c>
      <c r="W206" s="119">
        <f t="shared" si="60"/>
        <v>0</v>
      </c>
      <c r="X206" s="119">
        <f t="shared" si="61"/>
        <v>0</v>
      </c>
      <c r="Y206" s="119">
        <f t="shared" si="62"/>
        <v>0</v>
      </c>
      <c r="Z206" s="119">
        <f t="shared" si="63"/>
        <v>0</v>
      </c>
      <c r="AA206" s="119">
        <f t="shared" si="64"/>
        <v>0</v>
      </c>
      <c r="AB206" s="119">
        <f t="shared" si="65"/>
        <v>1</v>
      </c>
      <c r="AC206" s="119">
        <f t="shared" si="66"/>
        <v>0</v>
      </c>
      <c r="AD206" s="119">
        <f t="shared" si="67"/>
        <v>0</v>
      </c>
      <c r="AE206" s="119">
        <f t="shared" si="68"/>
        <v>0</v>
      </c>
      <c r="AF206" s="7"/>
      <c r="AG206" s="7"/>
      <c r="AH206" s="7">
        <f t="shared" si="69"/>
        <v>2</v>
      </c>
      <c r="AI206" s="7">
        <f t="shared" si="70"/>
        <v>2</v>
      </c>
      <c r="AJ206" s="7" t="str">
        <f t="shared" si="71"/>
        <v>Correct</v>
      </c>
      <c r="AK206" s="7"/>
      <c r="AL206" s="120" t="str">
        <f>IFERROR(VLOOKUP(Table1[RespondentID],'All Data'!$A$3:$CO$999,87,FALSE),"unknown")</f>
        <v>Man</v>
      </c>
      <c r="AM206" s="120">
        <f>IFERROR(VLOOKUP(Table1[RespondentID],'All Data'!$A$3:$CO$999,88,FALSE),"unknown")</f>
        <v>45</v>
      </c>
      <c r="AN206" s="120" t="str">
        <f>IFERROR(VLOOKUP(Table1[RespondentID],'All Data'!$A$3:$CO$999,89,FALSE),"unknown")</f>
        <v>Suffolk</v>
      </c>
      <c r="AO206" s="120" t="str">
        <f>IFERROR(VLOOKUP(Table1[RespondentID],'All Data'!$A$3:$CO$999,90,FALSE),"unknown")</f>
        <v>Saint James, 11780</v>
      </c>
      <c r="AP206" s="120" t="str">
        <f>IFERROR(VLOOKUP(Table1[RespondentID],'All Data'!$A$3:$CO$999,91,FALSE),"unknown")</f>
        <v>White</v>
      </c>
      <c r="AQ206" s="120" t="str">
        <f>IFERROR(VLOOKUP(Table1[RespondentID],'All Data'!$A$3:$CO$999,92,FALSE),"unknown")</f>
        <v>Hispanic or Latino</v>
      </c>
      <c r="AR206" s="120" t="str">
        <f>IFERROR(VLOOKUP(Table1[RespondentID],'All Data'!$A$3:$CO$999,93,FALSE),"unknown")</f>
        <v>English</v>
      </c>
      <c r="AS206" s="120" t="str">
        <f>IFERROR(VLOOKUP(Table1[RespondentID],'All Data'!$A$3:$CW$999,94,FALSE),"unknown")</f>
        <v>$20,000 to $34,999</v>
      </c>
      <c r="AT206" s="120" t="str">
        <f>IFERROR(VLOOKUP(Table1[RespondentID],'All Data'!$A$3:$CW$999,95,FALSE),"unknown")</f>
        <v>High school graduate</v>
      </c>
      <c r="AU206" s="120" t="str">
        <f>IFERROR(VLOOKUP(Table1[RespondentID],'All Data'!$A$3:$CW$999,96,FALSE),"unknown")</f>
        <v>Employed for wages</v>
      </c>
      <c r="AV206" s="120" t="str">
        <f>IFERROR(VLOOKUP(Table1[RespondentID],'All Data'!$A$3:$CW$999,97,FALSE),"unknown")</f>
        <v>Yes</v>
      </c>
      <c r="AW206" s="120">
        <f>IFERROR(VLOOKUP(Table1[RespondentID],'All Data'!$A$3:$CW$999,98,FALSE),"unknown")</f>
        <v>0</v>
      </c>
      <c r="AX206" s="120">
        <f>IFERROR(VLOOKUP(Table1[RespondentID],'All Data'!$A$3:$CW$999,99,FALSE),"unknown")</f>
        <v>0</v>
      </c>
    </row>
    <row r="207" spans="1:50">
      <c r="A207" s="5">
        <v>18019480437</v>
      </c>
      <c r="B207" s="5"/>
      <c r="C207" s="5"/>
      <c r="D207" s="5"/>
      <c r="E207" s="5"/>
      <c r="F207" s="5"/>
      <c r="G207" s="5"/>
      <c r="H207" s="5"/>
      <c r="I207" s="5"/>
      <c r="J207" s="5" t="s">
        <v>24</v>
      </c>
      <c r="K207" s="5"/>
      <c r="L207" s="5"/>
      <c r="M207" s="5"/>
      <c r="N207" s="5"/>
      <c r="O207" s="7"/>
      <c r="P207" s="7">
        <f t="shared" si="54"/>
        <v>1</v>
      </c>
      <c r="Q207" s="9">
        <f t="shared" si="55"/>
        <v>3</v>
      </c>
      <c r="R207" s="7"/>
      <c r="S207" s="7">
        <f t="shared" si="56"/>
        <v>0</v>
      </c>
      <c r="T207" s="7">
        <f t="shared" si="57"/>
        <v>0</v>
      </c>
      <c r="U207" s="7">
        <f t="shared" si="58"/>
        <v>0</v>
      </c>
      <c r="V207" s="119">
        <f t="shared" si="59"/>
        <v>0</v>
      </c>
      <c r="W207" s="119">
        <f t="shared" si="60"/>
        <v>0</v>
      </c>
      <c r="X207" s="119">
        <f t="shared" si="61"/>
        <v>0</v>
      </c>
      <c r="Y207" s="119">
        <f t="shared" si="62"/>
        <v>0</v>
      </c>
      <c r="Z207" s="119">
        <f t="shared" si="63"/>
        <v>0</v>
      </c>
      <c r="AA207" s="119">
        <f t="shared" si="64"/>
        <v>1</v>
      </c>
      <c r="AB207" s="119">
        <f t="shared" si="65"/>
        <v>0</v>
      </c>
      <c r="AC207" s="119">
        <f t="shared" si="66"/>
        <v>0</v>
      </c>
      <c r="AD207" s="119">
        <f t="shared" si="67"/>
        <v>0</v>
      </c>
      <c r="AE207" s="119">
        <f t="shared" si="68"/>
        <v>0</v>
      </c>
      <c r="AF207" s="7"/>
      <c r="AG207" s="7"/>
      <c r="AH207" s="7">
        <f t="shared" si="69"/>
        <v>1</v>
      </c>
      <c r="AI207" s="7">
        <f t="shared" si="70"/>
        <v>1</v>
      </c>
      <c r="AJ207" s="7" t="str">
        <f t="shared" si="71"/>
        <v>Correct</v>
      </c>
      <c r="AK207" s="7"/>
      <c r="AL207" s="120" t="str">
        <f>IFERROR(VLOOKUP(Table1[RespondentID],'All Data'!$A$3:$CO$999,87,FALSE),"unknown")</f>
        <v>Woman</v>
      </c>
      <c r="AM207" s="120">
        <f>IFERROR(VLOOKUP(Table1[RespondentID],'All Data'!$A$3:$CO$999,88,FALSE),"unknown")</f>
        <v>47</v>
      </c>
      <c r="AN207" s="120" t="str">
        <f>IFERROR(VLOOKUP(Table1[RespondentID],'All Data'!$A$3:$CO$999,89,FALSE),"unknown")</f>
        <v>Suffolk</v>
      </c>
      <c r="AO207" s="120" t="str">
        <f>IFERROR(VLOOKUP(Table1[RespondentID],'All Data'!$A$3:$CO$999,90,FALSE),"unknown")</f>
        <v>Saint James, 11780</v>
      </c>
      <c r="AP207" s="120" t="str">
        <f>IFERROR(VLOOKUP(Table1[RespondentID],'All Data'!$A$3:$CO$999,91,FALSE),"unknown")</f>
        <v>White</v>
      </c>
      <c r="AQ207" s="120" t="str">
        <f>IFERROR(VLOOKUP(Table1[RespondentID],'All Data'!$A$3:$CO$999,92,FALSE),"unknown")</f>
        <v>Hispanic or Latino</v>
      </c>
      <c r="AR207" s="120" t="str">
        <f>IFERROR(VLOOKUP(Table1[RespondentID],'All Data'!$A$3:$CO$999,93,FALSE),"unknown")</f>
        <v>English</v>
      </c>
      <c r="AS207" s="120" t="str">
        <f>IFERROR(VLOOKUP(Table1[RespondentID],'All Data'!$A$3:$CW$999,94,FALSE),"unknown")</f>
        <v>$75,000 to $125,000</v>
      </c>
      <c r="AT207" s="120" t="str">
        <f>IFERROR(VLOOKUP(Table1[RespondentID],'All Data'!$A$3:$CW$999,95,FALSE),"unknown")</f>
        <v>High school graduate</v>
      </c>
      <c r="AU207" s="120" t="str">
        <f>IFERROR(VLOOKUP(Table1[RespondentID],'All Data'!$A$3:$CW$999,96,FALSE),"unknown")</f>
        <v>Self-employed</v>
      </c>
      <c r="AV207" s="120" t="str">
        <f>IFERROR(VLOOKUP(Table1[RespondentID],'All Data'!$A$3:$CW$999,97,FALSE),"unknown")</f>
        <v>No</v>
      </c>
      <c r="AW207" s="120">
        <f>IFERROR(VLOOKUP(Table1[RespondentID],'All Data'!$A$3:$CW$999,98,FALSE),"unknown")</f>
        <v>0</v>
      </c>
      <c r="AX207" s="120">
        <f>IFERROR(VLOOKUP(Table1[RespondentID],'All Data'!$A$3:$CW$999,99,FALSE),"unknown")</f>
        <v>0</v>
      </c>
    </row>
    <row r="208" spans="1:50">
      <c r="A208" s="5">
        <v>18019480319</v>
      </c>
      <c r="B208" s="5"/>
      <c r="C208" s="5" t="s">
        <v>17</v>
      </c>
      <c r="D208" s="5" t="s">
        <v>18</v>
      </c>
      <c r="E208" s="5"/>
      <c r="F208" s="5"/>
      <c r="G208" s="5"/>
      <c r="H208" s="5"/>
      <c r="I208" s="5"/>
      <c r="J208" s="5" t="s">
        <v>24</v>
      </c>
      <c r="K208" s="5"/>
      <c r="L208" s="5"/>
      <c r="M208" s="5"/>
      <c r="N208" s="5"/>
      <c r="O208" s="7"/>
      <c r="P208" s="7">
        <f t="shared" si="54"/>
        <v>3</v>
      </c>
      <c r="Q208" s="8">
        <f t="shared" si="55"/>
        <v>1</v>
      </c>
      <c r="R208" s="7"/>
      <c r="S208" s="7">
        <f t="shared" si="56"/>
        <v>0</v>
      </c>
      <c r="T208" s="7">
        <f t="shared" si="57"/>
        <v>1</v>
      </c>
      <c r="U208" s="7">
        <f t="shared" si="58"/>
        <v>1</v>
      </c>
      <c r="V208" s="119">
        <f t="shared" si="59"/>
        <v>0</v>
      </c>
      <c r="W208" s="119">
        <f t="shared" si="60"/>
        <v>0</v>
      </c>
      <c r="X208" s="119">
        <f t="shared" si="61"/>
        <v>0</v>
      </c>
      <c r="Y208" s="119">
        <f t="shared" si="62"/>
        <v>0</v>
      </c>
      <c r="Z208" s="119">
        <f t="shared" si="63"/>
        <v>0</v>
      </c>
      <c r="AA208" s="119">
        <f t="shared" si="64"/>
        <v>1</v>
      </c>
      <c r="AB208" s="119">
        <f t="shared" si="65"/>
        <v>0</v>
      </c>
      <c r="AC208" s="119">
        <f t="shared" si="66"/>
        <v>0</v>
      </c>
      <c r="AD208" s="119">
        <f t="shared" si="67"/>
        <v>0</v>
      </c>
      <c r="AE208" s="119">
        <f t="shared" si="68"/>
        <v>0</v>
      </c>
      <c r="AF208" s="7"/>
      <c r="AG208" s="7"/>
      <c r="AH208" s="7">
        <f t="shared" si="69"/>
        <v>3</v>
      </c>
      <c r="AI208" s="7">
        <f t="shared" si="70"/>
        <v>3</v>
      </c>
      <c r="AJ208" s="7" t="str">
        <f t="shared" si="71"/>
        <v>Correct</v>
      </c>
      <c r="AK208" s="7"/>
      <c r="AL208" s="120" t="str">
        <f>IFERROR(VLOOKUP(Table1[RespondentID],'All Data'!$A$3:$CO$999,87,FALSE),"unknown")</f>
        <v>Woman</v>
      </c>
      <c r="AM208" s="120">
        <f>IFERROR(VLOOKUP(Table1[RespondentID],'All Data'!$A$3:$CO$999,88,FALSE),"unknown")</f>
        <v>65</v>
      </c>
      <c r="AN208" s="120" t="str">
        <f>IFERROR(VLOOKUP(Table1[RespondentID],'All Data'!$A$3:$CO$999,89,FALSE),"unknown")</f>
        <v>Suffolk</v>
      </c>
      <c r="AO208" s="120" t="str">
        <f>IFERROR(VLOOKUP(Table1[RespondentID],'All Data'!$A$3:$CO$999,90,FALSE),"unknown")</f>
        <v>Kings Park, 11754</v>
      </c>
      <c r="AP208" s="120" t="str">
        <f>IFERROR(VLOOKUP(Table1[RespondentID],'All Data'!$A$3:$CO$999,91,FALSE),"unknown")</f>
        <v>White</v>
      </c>
      <c r="AQ208" s="120" t="str">
        <f>IFERROR(VLOOKUP(Table1[RespondentID],'All Data'!$A$3:$CO$999,92,FALSE),"unknown")</f>
        <v>Hispanic or Latino</v>
      </c>
      <c r="AR208" s="120" t="str">
        <f>IFERROR(VLOOKUP(Table1[RespondentID],'All Data'!$A$3:$CO$999,93,FALSE),"unknown")</f>
        <v>English</v>
      </c>
      <c r="AS208" s="120">
        <f>IFERROR(VLOOKUP(Table1[RespondentID],'All Data'!$A$3:$CW$999,94,FALSE),"unknown")</f>
        <v>0</v>
      </c>
      <c r="AT208" s="120" t="str">
        <f>IFERROR(VLOOKUP(Table1[RespondentID],'All Data'!$A$3:$CW$999,95,FALSE),"unknown")</f>
        <v>High school graduate</v>
      </c>
      <c r="AU208" s="120" t="str">
        <f>IFERROR(VLOOKUP(Table1[RespondentID],'All Data'!$A$3:$CW$999,96,FALSE),"unknown")</f>
        <v>Retired</v>
      </c>
      <c r="AV208" s="120" t="str">
        <f>IFERROR(VLOOKUP(Table1[RespondentID],'All Data'!$A$3:$CW$999,97,FALSE),"unknown")</f>
        <v>Yes</v>
      </c>
      <c r="AW208" s="120">
        <f>IFERROR(VLOOKUP(Table1[RespondentID],'All Data'!$A$3:$CW$999,98,FALSE),"unknown")</f>
        <v>0</v>
      </c>
      <c r="AX208" s="120">
        <f>IFERROR(VLOOKUP(Table1[RespondentID],'All Data'!$A$3:$CW$999,99,FALSE),"unknown")</f>
        <v>0</v>
      </c>
    </row>
    <row r="209" spans="1:50">
      <c r="A209" s="5">
        <v>18019480185</v>
      </c>
      <c r="B209" s="5"/>
      <c r="C209" s="5"/>
      <c r="D209" s="5"/>
      <c r="E209" s="5"/>
      <c r="F209" s="5"/>
      <c r="G209" s="5"/>
      <c r="H209" s="5" t="s">
        <v>22</v>
      </c>
      <c r="I209" s="5"/>
      <c r="J209" s="5"/>
      <c r="K209" s="5" t="s">
        <v>25</v>
      </c>
      <c r="L209" s="5"/>
      <c r="M209" s="5"/>
      <c r="N209" s="5"/>
      <c r="O209" s="7"/>
      <c r="P209" s="7">
        <f t="shared" si="54"/>
        <v>2</v>
      </c>
      <c r="Q209" s="9">
        <f t="shared" si="55"/>
        <v>1.5</v>
      </c>
      <c r="R209" s="7"/>
      <c r="S209" s="7">
        <f t="shared" si="56"/>
        <v>0</v>
      </c>
      <c r="T209" s="7">
        <f t="shared" si="57"/>
        <v>0</v>
      </c>
      <c r="U209" s="7">
        <f t="shared" si="58"/>
        <v>0</v>
      </c>
      <c r="V209" s="119">
        <f t="shared" si="59"/>
        <v>0</v>
      </c>
      <c r="W209" s="119">
        <f t="shared" si="60"/>
        <v>0</v>
      </c>
      <c r="X209" s="119">
        <f t="shared" si="61"/>
        <v>0</v>
      </c>
      <c r="Y209" s="119">
        <f t="shared" si="62"/>
        <v>1</v>
      </c>
      <c r="Z209" s="119">
        <f t="shared" si="63"/>
        <v>0</v>
      </c>
      <c r="AA209" s="119">
        <f t="shared" si="64"/>
        <v>0</v>
      </c>
      <c r="AB209" s="119">
        <f t="shared" si="65"/>
        <v>1</v>
      </c>
      <c r="AC209" s="119">
        <f t="shared" si="66"/>
        <v>0</v>
      </c>
      <c r="AD209" s="119">
        <f t="shared" si="67"/>
        <v>0</v>
      </c>
      <c r="AE209" s="119">
        <f t="shared" si="68"/>
        <v>0</v>
      </c>
      <c r="AF209" s="7"/>
      <c r="AG209" s="7"/>
      <c r="AH209" s="7">
        <f t="shared" si="69"/>
        <v>2</v>
      </c>
      <c r="AI209" s="7">
        <f t="shared" si="70"/>
        <v>2</v>
      </c>
      <c r="AJ209" s="7" t="str">
        <f t="shared" si="71"/>
        <v>Correct</v>
      </c>
      <c r="AK209" s="7"/>
      <c r="AL209" s="120" t="str">
        <f>IFERROR(VLOOKUP(Table1[RespondentID],'All Data'!$A$3:$CO$999,87,FALSE),"unknown")</f>
        <v>Woman</v>
      </c>
      <c r="AM209" s="120">
        <f>IFERROR(VLOOKUP(Table1[RespondentID],'All Data'!$A$3:$CO$999,88,FALSE),"unknown")</f>
        <v>44</v>
      </c>
      <c r="AN209" s="120" t="str">
        <f>IFERROR(VLOOKUP(Table1[RespondentID],'All Data'!$A$3:$CO$999,89,FALSE),"unknown")</f>
        <v>Suffolk</v>
      </c>
      <c r="AO209" s="120" t="str">
        <f>IFERROR(VLOOKUP(Table1[RespondentID],'All Data'!$A$3:$CO$999,90,FALSE),"unknown")</f>
        <v>Nesconset, 11767</v>
      </c>
      <c r="AP209" s="120" t="str">
        <f>IFERROR(VLOOKUP(Table1[RespondentID],'All Data'!$A$3:$CO$999,91,FALSE),"unknown")</f>
        <v>White</v>
      </c>
      <c r="AQ209" s="120" t="str">
        <f>IFERROR(VLOOKUP(Table1[RespondentID],'All Data'!$A$3:$CO$999,92,FALSE),"unknown")</f>
        <v>Hispanic or Latino</v>
      </c>
      <c r="AR209" s="120" t="str">
        <f>IFERROR(VLOOKUP(Table1[RespondentID],'All Data'!$A$3:$CO$999,93,FALSE),"unknown")</f>
        <v>English</v>
      </c>
      <c r="AS209" s="120" t="str">
        <f>IFERROR(VLOOKUP(Table1[RespondentID],'All Data'!$A$3:$CW$999,94,FALSE),"unknown")</f>
        <v>Over $125,000</v>
      </c>
      <c r="AT209" s="120" t="str">
        <f>IFERROR(VLOOKUP(Table1[RespondentID],'All Data'!$A$3:$CW$999,95,FALSE),"unknown")</f>
        <v>College graduate</v>
      </c>
      <c r="AU209" s="120" t="str">
        <f>IFERROR(VLOOKUP(Table1[RespondentID],'All Data'!$A$3:$CW$999,96,FALSE),"unknown")</f>
        <v>Self-employed</v>
      </c>
      <c r="AV209" s="120" t="str">
        <f>IFERROR(VLOOKUP(Table1[RespondentID],'All Data'!$A$3:$CW$999,97,FALSE),"unknown")</f>
        <v>Yes</v>
      </c>
      <c r="AW209" s="120">
        <f>IFERROR(VLOOKUP(Table1[RespondentID],'All Data'!$A$3:$CW$999,98,FALSE),"unknown")</f>
        <v>0</v>
      </c>
      <c r="AX209" s="120">
        <f>IFERROR(VLOOKUP(Table1[RespondentID],'All Data'!$A$3:$CW$999,99,FALSE),"unknown")</f>
        <v>0</v>
      </c>
    </row>
    <row r="210" spans="1:50">
      <c r="A210" s="5">
        <v>18019479995</v>
      </c>
      <c r="B210" s="5"/>
      <c r="C210" s="5" t="s">
        <v>17</v>
      </c>
      <c r="D210" s="5"/>
      <c r="E210" s="5"/>
      <c r="F210" s="5"/>
      <c r="G210" s="5"/>
      <c r="H210" s="5" t="s">
        <v>22</v>
      </c>
      <c r="I210" s="5"/>
      <c r="J210" s="5"/>
      <c r="K210" s="5" t="s">
        <v>25</v>
      </c>
      <c r="L210" s="5"/>
      <c r="M210" s="5" t="s">
        <v>27</v>
      </c>
      <c r="N210" s="5"/>
      <c r="O210" s="7"/>
      <c r="P210" s="7">
        <f t="shared" si="54"/>
        <v>4</v>
      </c>
      <c r="Q210" s="8">
        <f t="shared" si="55"/>
        <v>0.75</v>
      </c>
      <c r="R210" s="7"/>
      <c r="S210" s="7">
        <f t="shared" si="56"/>
        <v>0</v>
      </c>
      <c r="T210" s="7">
        <f t="shared" si="57"/>
        <v>0.75</v>
      </c>
      <c r="U210" s="7">
        <f t="shared" si="58"/>
        <v>0</v>
      </c>
      <c r="V210" s="119">
        <f t="shared" si="59"/>
        <v>0</v>
      </c>
      <c r="W210" s="119">
        <f t="shared" si="60"/>
        <v>0</v>
      </c>
      <c r="X210" s="119">
        <f t="shared" si="61"/>
        <v>0</v>
      </c>
      <c r="Y210" s="119">
        <f t="shared" si="62"/>
        <v>0.75</v>
      </c>
      <c r="Z210" s="119">
        <f t="shared" si="63"/>
        <v>0</v>
      </c>
      <c r="AA210" s="119">
        <f t="shared" si="64"/>
        <v>0</v>
      </c>
      <c r="AB210" s="119">
        <f t="shared" si="65"/>
        <v>0.75</v>
      </c>
      <c r="AC210" s="119">
        <f t="shared" si="66"/>
        <v>0</v>
      </c>
      <c r="AD210" s="119">
        <f t="shared" si="67"/>
        <v>0.75</v>
      </c>
      <c r="AE210" s="119">
        <f t="shared" si="68"/>
        <v>0</v>
      </c>
      <c r="AF210" s="7"/>
      <c r="AG210" s="7"/>
      <c r="AH210" s="7">
        <f t="shared" si="69"/>
        <v>3</v>
      </c>
      <c r="AI210" s="7">
        <f t="shared" si="70"/>
        <v>4</v>
      </c>
      <c r="AJ210" s="7" t="str">
        <f t="shared" si="71"/>
        <v>Correct</v>
      </c>
      <c r="AK210" s="7"/>
      <c r="AL210" s="120" t="str">
        <f>IFERROR(VLOOKUP(Table1[RespondentID],'All Data'!$A$3:$CO$999,87,FALSE),"unknown")</f>
        <v>Man</v>
      </c>
      <c r="AM210" s="120">
        <f>IFERROR(VLOOKUP(Table1[RespondentID],'All Data'!$A$3:$CO$999,88,FALSE),"unknown")</f>
        <v>50</v>
      </c>
      <c r="AN210" s="120" t="str">
        <f>IFERROR(VLOOKUP(Table1[RespondentID],'All Data'!$A$3:$CO$999,89,FALSE),"unknown")</f>
        <v>Suffolk</v>
      </c>
      <c r="AO210" s="120" t="str">
        <f>IFERROR(VLOOKUP(Table1[RespondentID],'All Data'!$A$3:$CO$999,90,FALSE),"unknown")</f>
        <v>Huntington, 11743</v>
      </c>
      <c r="AP210" s="120" t="str">
        <f>IFERROR(VLOOKUP(Table1[RespondentID],'All Data'!$A$3:$CO$999,91,FALSE),"unknown")</f>
        <v>White</v>
      </c>
      <c r="AQ210" s="120" t="str">
        <f>IFERROR(VLOOKUP(Table1[RespondentID],'All Data'!$A$3:$CO$999,92,FALSE),"unknown")</f>
        <v>Hispanic or Latino</v>
      </c>
      <c r="AR210" s="120" t="str">
        <f>IFERROR(VLOOKUP(Table1[RespondentID],'All Data'!$A$3:$CO$999,93,FALSE),"unknown")</f>
        <v>English</v>
      </c>
      <c r="AS210" s="120" t="str">
        <f>IFERROR(VLOOKUP(Table1[RespondentID],'All Data'!$A$3:$CW$999,94,FALSE),"unknown")</f>
        <v>Over $125,000</v>
      </c>
      <c r="AT210" s="120" t="str">
        <f>IFERROR(VLOOKUP(Table1[RespondentID],'All Data'!$A$3:$CW$999,95,FALSE),"unknown")</f>
        <v>College graduate</v>
      </c>
      <c r="AU210" s="120" t="str">
        <f>IFERROR(VLOOKUP(Table1[RespondentID],'All Data'!$A$3:$CW$999,96,FALSE),"unknown")</f>
        <v>Employed for wages</v>
      </c>
      <c r="AV210" s="120" t="str">
        <f>IFERROR(VLOOKUP(Table1[RespondentID],'All Data'!$A$3:$CW$999,97,FALSE),"unknown")</f>
        <v>Yes</v>
      </c>
      <c r="AW210" s="120">
        <f>IFERROR(VLOOKUP(Table1[RespondentID],'All Data'!$A$3:$CW$999,98,FALSE),"unknown")</f>
        <v>0</v>
      </c>
      <c r="AX210" s="120">
        <f>IFERROR(VLOOKUP(Table1[RespondentID],'All Data'!$A$3:$CW$999,99,FALSE),"unknown")</f>
        <v>0</v>
      </c>
    </row>
    <row r="211" spans="1:50">
      <c r="A211" s="5">
        <v>18019479757</v>
      </c>
      <c r="B211" s="5"/>
      <c r="C211" s="5"/>
      <c r="D211" s="5"/>
      <c r="E211" s="5"/>
      <c r="F211" s="5" t="s">
        <v>20</v>
      </c>
      <c r="G211" s="5"/>
      <c r="H211" s="5"/>
      <c r="I211" s="5"/>
      <c r="J211" s="5" t="s">
        <v>24</v>
      </c>
      <c r="K211" s="5"/>
      <c r="L211" s="5"/>
      <c r="M211" s="5" t="s">
        <v>27</v>
      </c>
      <c r="N211" s="5"/>
      <c r="O211" s="7"/>
      <c r="P211" s="7">
        <f t="shared" si="54"/>
        <v>3</v>
      </c>
      <c r="Q211" s="9">
        <f t="shared" si="55"/>
        <v>1</v>
      </c>
      <c r="R211" s="7"/>
      <c r="S211" s="7">
        <f t="shared" si="56"/>
        <v>0</v>
      </c>
      <c r="T211" s="7">
        <f t="shared" si="57"/>
        <v>0</v>
      </c>
      <c r="U211" s="7">
        <f t="shared" si="58"/>
        <v>0</v>
      </c>
      <c r="V211" s="119">
        <f t="shared" si="59"/>
        <v>0</v>
      </c>
      <c r="W211" s="119">
        <f t="shared" si="60"/>
        <v>1</v>
      </c>
      <c r="X211" s="119">
        <f t="shared" si="61"/>
        <v>0</v>
      </c>
      <c r="Y211" s="119">
        <f t="shared" si="62"/>
        <v>0</v>
      </c>
      <c r="Z211" s="119">
        <f t="shared" si="63"/>
        <v>0</v>
      </c>
      <c r="AA211" s="119">
        <f t="shared" si="64"/>
        <v>1</v>
      </c>
      <c r="AB211" s="119">
        <f t="shared" si="65"/>
        <v>0</v>
      </c>
      <c r="AC211" s="119">
        <f t="shared" si="66"/>
        <v>0</v>
      </c>
      <c r="AD211" s="119">
        <f t="shared" si="67"/>
        <v>1</v>
      </c>
      <c r="AE211" s="119">
        <f t="shared" si="68"/>
        <v>0</v>
      </c>
      <c r="AF211" s="7"/>
      <c r="AG211" s="7"/>
      <c r="AH211" s="7">
        <f t="shared" si="69"/>
        <v>3</v>
      </c>
      <c r="AI211" s="7">
        <f t="shared" si="70"/>
        <v>3</v>
      </c>
      <c r="AJ211" s="7" t="str">
        <f t="shared" si="71"/>
        <v>Correct</v>
      </c>
      <c r="AK211" s="7"/>
      <c r="AL211" s="120" t="str">
        <f>IFERROR(VLOOKUP(Table1[RespondentID],'All Data'!$A$3:$CO$999,87,FALSE),"unknown")</f>
        <v>Woman</v>
      </c>
      <c r="AM211" s="120">
        <f>IFERROR(VLOOKUP(Table1[RespondentID],'All Data'!$A$3:$CO$999,88,FALSE),"unknown")</f>
        <v>22</v>
      </c>
      <c r="AN211" s="120" t="str">
        <f>IFERROR(VLOOKUP(Table1[RespondentID],'All Data'!$A$3:$CO$999,89,FALSE),"unknown")</f>
        <v>Nassau</v>
      </c>
      <c r="AO211" s="120" t="str">
        <f>IFERROR(VLOOKUP(Table1[RespondentID],'All Data'!$A$3:$CO$999,90,FALSE),"unknown")</f>
        <v>Garden City, 11531</v>
      </c>
      <c r="AP211" s="120">
        <f>IFERROR(VLOOKUP(Table1[RespondentID],'All Data'!$A$3:$CO$999,91,FALSE),"unknown")</f>
        <v>0</v>
      </c>
      <c r="AQ211" s="120">
        <f>IFERROR(VLOOKUP(Table1[RespondentID],'All Data'!$A$3:$CO$999,92,FALSE),"unknown")</f>
        <v>0</v>
      </c>
      <c r="AR211" s="120">
        <f>IFERROR(VLOOKUP(Table1[RespondentID],'All Data'!$A$3:$CO$999,93,FALSE),"unknown")</f>
        <v>0</v>
      </c>
      <c r="AS211" s="120">
        <f>IFERROR(VLOOKUP(Table1[RespondentID],'All Data'!$A$3:$CW$999,94,FALSE),"unknown")</f>
        <v>0</v>
      </c>
      <c r="AT211" s="120">
        <f>IFERROR(VLOOKUP(Table1[RespondentID],'All Data'!$A$3:$CW$999,95,FALSE),"unknown")</f>
        <v>0</v>
      </c>
      <c r="AU211" s="120">
        <f>IFERROR(VLOOKUP(Table1[RespondentID],'All Data'!$A$3:$CW$999,96,FALSE),"unknown")</f>
        <v>0</v>
      </c>
      <c r="AV211" s="120">
        <f>IFERROR(VLOOKUP(Table1[RespondentID],'All Data'!$A$3:$CW$999,97,FALSE),"unknown")</f>
        <v>0</v>
      </c>
      <c r="AW211" s="120">
        <f>IFERROR(VLOOKUP(Table1[RespondentID],'All Data'!$A$3:$CW$999,98,FALSE),"unknown")</f>
        <v>0</v>
      </c>
      <c r="AX211" s="120">
        <f>IFERROR(VLOOKUP(Table1[RespondentID],'All Data'!$A$3:$CW$999,99,FALSE),"unknown")</f>
        <v>0</v>
      </c>
    </row>
    <row r="212" spans="1:50">
      <c r="A212" s="5">
        <v>18019479597</v>
      </c>
      <c r="B212" s="5"/>
      <c r="C212" s="5" t="s">
        <v>17</v>
      </c>
      <c r="D212" s="5"/>
      <c r="E212" s="5" t="s">
        <v>19</v>
      </c>
      <c r="F212" s="5" t="s">
        <v>20</v>
      </c>
      <c r="G212" s="5"/>
      <c r="H212" s="5"/>
      <c r="I212" s="5"/>
      <c r="J212" s="5"/>
      <c r="K212" s="5"/>
      <c r="L212" s="5" t="s">
        <v>26</v>
      </c>
      <c r="M212" s="5"/>
      <c r="N212" s="5" t="s">
        <v>28</v>
      </c>
      <c r="O212" s="7"/>
      <c r="P212" s="7">
        <f t="shared" si="54"/>
        <v>5</v>
      </c>
      <c r="Q212" s="8">
        <f t="shared" si="55"/>
        <v>0.6</v>
      </c>
      <c r="R212" s="7"/>
      <c r="S212" s="7">
        <f t="shared" si="56"/>
        <v>0</v>
      </c>
      <c r="T212" s="7">
        <f t="shared" si="57"/>
        <v>0.6</v>
      </c>
      <c r="U212" s="7">
        <f t="shared" si="58"/>
        <v>0</v>
      </c>
      <c r="V212" s="119">
        <f t="shared" si="59"/>
        <v>0.6</v>
      </c>
      <c r="W212" s="119">
        <f t="shared" si="60"/>
        <v>0.6</v>
      </c>
      <c r="X212" s="119">
        <f t="shared" si="61"/>
        <v>0</v>
      </c>
      <c r="Y212" s="119">
        <f t="shared" si="62"/>
        <v>0</v>
      </c>
      <c r="Z212" s="119">
        <f t="shared" si="63"/>
        <v>0</v>
      </c>
      <c r="AA212" s="119">
        <f t="shared" si="64"/>
        <v>0</v>
      </c>
      <c r="AB212" s="119">
        <f t="shared" si="65"/>
        <v>0</v>
      </c>
      <c r="AC212" s="119">
        <f t="shared" si="66"/>
        <v>0.6</v>
      </c>
      <c r="AD212" s="119">
        <f t="shared" si="67"/>
        <v>0</v>
      </c>
      <c r="AE212" s="119">
        <f t="shared" si="68"/>
        <v>0.6</v>
      </c>
      <c r="AF212" s="7"/>
      <c r="AG212" s="7"/>
      <c r="AH212" s="7">
        <f t="shared" si="69"/>
        <v>3</v>
      </c>
      <c r="AI212" s="7">
        <f t="shared" si="70"/>
        <v>5</v>
      </c>
      <c r="AJ212" s="7" t="str">
        <f t="shared" si="71"/>
        <v>Correct</v>
      </c>
      <c r="AK212" s="7"/>
      <c r="AL212" s="120" t="str">
        <f>IFERROR(VLOOKUP(Table1[RespondentID],'All Data'!$A$3:$CO$999,87,FALSE),"unknown")</f>
        <v>Man</v>
      </c>
      <c r="AM212" s="120">
        <f>IFERROR(VLOOKUP(Table1[RespondentID],'All Data'!$A$3:$CO$999,88,FALSE),"unknown")</f>
        <v>19</v>
      </c>
      <c r="AN212" s="120" t="str">
        <f>IFERROR(VLOOKUP(Table1[RespondentID],'All Data'!$A$3:$CO$999,89,FALSE),"unknown")</f>
        <v>Suffolk</v>
      </c>
      <c r="AO212" s="120" t="str">
        <f>IFERROR(VLOOKUP(Table1[RespondentID],'All Data'!$A$3:$CO$999,90,FALSE),"unknown")</f>
        <v>Commack, 11725</v>
      </c>
      <c r="AP212" s="120" t="str">
        <f>IFERROR(VLOOKUP(Table1[RespondentID],'All Data'!$A$3:$CO$999,91,FALSE),"unknown")</f>
        <v>White</v>
      </c>
      <c r="AQ212" s="120" t="str">
        <f>IFERROR(VLOOKUP(Table1[RespondentID],'All Data'!$A$3:$CO$999,92,FALSE),"unknown")</f>
        <v>Hispanic or Latino</v>
      </c>
      <c r="AR212" s="120" t="str">
        <f>IFERROR(VLOOKUP(Table1[RespondentID],'All Data'!$A$3:$CO$999,93,FALSE),"unknown")</f>
        <v>English</v>
      </c>
      <c r="AS212" s="120" t="str">
        <f>IFERROR(VLOOKUP(Table1[RespondentID],'All Data'!$A$3:$CW$999,94,FALSE),"unknown")</f>
        <v>Over $125,000</v>
      </c>
      <c r="AT212" s="120" t="str">
        <f>IFERROR(VLOOKUP(Table1[RespondentID],'All Data'!$A$3:$CW$999,95,FALSE),"unknown")</f>
        <v>Some college</v>
      </c>
      <c r="AU212" s="120" t="str">
        <f>IFERROR(VLOOKUP(Table1[RespondentID],'All Data'!$A$3:$CW$999,96,FALSE),"unknown")</f>
        <v>Out of work and looking for work</v>
      </c>
      <c r="AV212" s="120" t="str">
        <f>IFERROR(VLOOKUP(Table1[RespondentID],'All Data'!$A$3:$CW$999,97,FALSE),"unknown")</f>
        <v>No</v>
      </c>
      <c r="AW212" s="120" t="str">
        <f>IFERROR(VLOOKUP(Table1[RespondentID],'All Data'!$A$3:$CW$999,98,FALSE),"unknown")</f>
        <v>No Insurance</v>
      </c>
      <c r="AX212" s="120" t="str">
        <f>IFERROR(VLOOKUP(Table1[RespondentID],'All Data'!$A$3:$CW$999,99,FALSE),"unknown")</f>
        <v>Yes</v>
      </c>
    </row>
    <row r="213" spans="1:50">
      <c r="A213" s="5">
        <v>18019479451</v>
      </c>
      <c r="B213" s="5"/>
      <c r="C213" s="5" t="s">
        <v>17</v>
      </c>
      <c r="D213" s="5"/>
      <c r="E213" s="5"/>
      <c r="F213" s="5"/>
      <c r="G213" s="5"/>
      <c r="H213" s="5"/>
      <c r="I213" s="5" t="s">
        <v>23</v>
      </c>
      <c r="J213" s="5"/>
      <c r="K213" s="5"/>
      <c r="L213" s="5"/>
      <c r="M213" s="5"/>
      <c r="N213" s="5" t="s">
        <v>28</v>
      </c>
      <c r="O213" s="7"/>
      <c r="P213" s="7">
        <f t="shared" si="54"/>
        <v>3</v>
      </c>
      <c r="Q213" s="9">
        <f t="shared" si="55"/>
        <v>1</v>
      </c>
      <c r="R213" s="7"/>
      <c r="S213" s="7">
        <f t="shared" si="56"/>
        <v>0</v>
      </c>
      <c r="T213" s="7">
        <f t="shared" si="57"/>
        <v>1</v>
      </c>
      <c r="U213" s="7">
        <f t="shared" si="58"/>
        <v>0</v>
      </c>
      <c r="V213" s="119">
        <f t="shared" si="59"/>
        <v>0</v>
      </c>
      <c r="W213" s="119">
        <f t="shared" si="60"/>
        <v>0</v>
      </c>
      <c r="X213" s="119">
        <f t="shared" si="61"/>
        <v>0</v>
      </c>
      <c r="Y213" s="119">
        <f t="shared" si="62"/>
        <v>0</v>
      </c>
      <c r="Z213" s="119">
        <f t="shared" si="63"/>
        <v>1</v>
      </c>
      <c r="AA213" s="119">
        <f t="shared" si="64"/>
        <v>0</v>
      </c>
      <c r="AB213" s="119">
        <f t="shared" si="65"/>
        <v>0</v>
      </c>
      <c r="AC213" s="119">
        <f t="shared" si="66"/>
        <v>0</v>
      </c>
      <c r="AD213" s="119">
        <f t="shared" si="67"/>
        <v>0</v>
      </c>
      <c r="AE213" s="119">
        <f t="shared" si="68"/>
        <v>1</v>
      </c>
      <c r="AF213" s="7"/>
      <c r="AG213" s="7"/>
      <c r="AH213" s="7">
        <f t="shared" si="69"/>
        <v>3</v>
      </c>
      <c r="AI213" s="7">
        <f t="shared" si="70"/>
        <v>3</v>
      </c>
      <c r="AJ213" s="7" t="str">
        <f t="shared" si="71"/>
        <v>Correct</v>
      </c>
      <c r="AK213" s="7"/>
      <c r="AL213" s="120" t="str">
        <f>IFERROR(VLOOKUP(Table1[RespondentID],'All Data'!$A$3:$CO$999,87,FALSE),"unknown")</f>
        <v>Man</v>
      </c>
      <c r="AM213" s="120">
        <f>IFERROR(VLOOKUP(Table1[RespondentID],'All Data'!$A$3:$CO$999,88,FALSE),"unknown")</f>
        <v>54</v>
      </c>
      <c r="AN213" s="120" t="str">
        <f>IFERROR(VLOOKUP(Table1[RespondentID],'All Data'!$A$3:$CO$999,89,FALSE),"unknown")</f>
        <v>Suffolk</v>
      </c>
      <c r="AO213" s="120" t="str">
        <f>IFERROR(VLOOKUP(Table1[RespondentID],'All Data'!$A$3:$CO$999,90,FALSE),"unknown")</f>
        <v>Commack, 11725</v>
      </c>
      <c r="AP213" s="120" t="str">
        <f>IFERROR(VLOOKUP(Table1[RespondentID],'All Data'!$A$3:$CO$999,91,FALSE),"unknown")</f>
        <v>White</v>
      </c>
      <c r="AQ213" s="120" t="str">
        <f>IFERROR(VLOOKUP(Table1[RespondentID],'All Data'!$A$3:$CO$999,92,FALSE),"unknown")</f>
        <v>Hispanic or Latino</v>
      </c>
      <c r="AR213" s="120" t="str">
        <f>IFERROR(VLOOKUP(Table1[RespondentID],'All Data'!$A$3:$CO$999,93,FALSE),"unknown")</f>
        <v>English</v>
      </c>
      <c r="AS213" s="120" t="str">
        <f>IFERROR(VLOOKUP(Table1[RespondentID],'All Data'!$A$3:$CW$999,94,FALSE),"unknown")</f>
        <v>Over $125,000</v>
      </c>
      <c r="AT213" s="120" t="str">
        <f>IFERROR(VLOOKUP(Table1[RespondentID],'All Data'!$A$3:$CW$999,95,FALSE),"unknown")</f>
        <v>Graduate school</v>
      </c>
      <c r="AU213" s="120" t="str">
        <f>IFERROR(VLOOKUP(Table1[RespondentID],'All Data'!$A$3:$CW$999,96,FALSE),"unknown")</f>
        <v>Retired</v>
      </c>
      <c r="AV213" s="120" t="str">
        <f>IFERROR(VLOOKUP(Table1[RespondentID],'All Data'!$A$3:$CW$999,97,FALSE),"unknown")</f>
        <v>Yes</v>
      </c>
      <c r="AW213" s="120" t="str">
        <f>IFERROR(VLOOKUP(Table1[RespondentID],'All Data'!$A$3:$CW$999,98,FALSE),"unknown")</f>
        <v>Medicare</v>
      </c>
      <c r="AX213" s="120" t="str">
        <f>IFERROR(VLOOKUP(Table1[RespondentID],'All Data'!$A$3:$CW$999,99,FALSE),"unknown")</f>
        <v>Yes</v>
      </c>
    </row>
    <row r="214" spans="1:50">
      <c r="A214" s="5">
        <v>18019479157</v>
      </c>
      <c r="B214" s="5"/>
      <c r="C214" s="5" t="s">
        <v>17</v>
      </c>
      <c r="D214" s="5"/>
      <c r="E214" s="5"/>
      <c r="F214" s="5"/>
      <c r="G214" s="5"/>
      <c r="H214" s="5"/>
      <c r="I214" s="5"/>
      <c r="J214" s="5" t="s">
        <v>24</v>
      </c>
      <c r="K214" s="5"/>
      <c r="L214" s="5" t="s">
        <v>26</v>
      </c>
      <c r="M214" s="5"/>
      <c r="N214" s="5"/>
      <c r="O214" s="7"/>
      <c r="P214" s="7">
        <f t="shared" si="54"/>
        <v>3</v>
      </c>
      <c r="Q214" s="8">
        <f t="shared" si="55"/>
        <v>1</v>
      </c>
      <c r="R214" s="7"/>
      <c r="S214" s="7">
        <f t="shared" si="56"/>
        <v>0</v>
      </c>
      <c r="T214" s="7">
        <f t="shared" si="57"/>
        <v>1</v>
      </c>
      <c r="U214" s="7">
        <f t="shared" si="58"/>
        <v>0</v>
      </c>
      <c r="V214" s="119">
        <f t="shared" si="59"/>
        <v>0</v>
      </c>
      <c r="W214" s="119">
        <f t="shared" si="60"/>
        <v>0</v>
      </c>
      <c r="X214" s="119">
        <f t="shared" si="61"/>
        <v>0</v>
      </c>
      <c r="Y214" s="119">
        <f t="shared" si="62"/>
        <v>0</v>
      </c>
      <c r="Z214" s="119">
        <f t="shared" si="63"/>
        <v>0</v>
      </c>
      <c r="AA214" s="119">
        <f t="shared" si="64"/>
        <v>1</v>
      </c>
      <c r="AB214" s="119">
        <f t="shared" si="65"/>
        <v>0</v>
      </c>
      <c r="AC214" s="119">
        <f t="shared" si="66"/>
        <v>1</v>
      </c>
      <c r="AD214" s="119">
        <f t="shared" si="67"/>
        <v>0</v>
      </c>
      <c r="AE214" s="119">
        <f t="shared" si="68"/>
        <v>0</v>
      </c>
      <c r="AF214" s="7"/>
      <c r="AG214" s="7"/>
      <c r="AH214" s="7">
        <f t="shared" si="69"/>
        <v>3</v>
      </c>
      <c r="AI214" s="7">
        <f t="shared" si="70"/>
        <v>3</v>
      </c>
      <c r="AJ214" s="7" t="str">
        <f t="shared" si="71"/>
        <v>Correct</v>
      </c>
      <c r="AK214" s="7"/>
      <c r="AL214" s="120" t="str">
        <f>IFERROR(VLOOKUP(Table1[RespondentID],'All Data'!$A$3:$CO$999,87,FALSE),"unknown")</f>
        <v>Woman</v>
      </c>
      <c r="AM214" s="120">
        <f>IFERROR(VLOOKUP(Table1[RespondentID],'All Data'!$A$3:$CO$999,88,FALSE),"unknown")</f>
        <v>50</v>
      </c>
      <c r="AN214" s="120" t="str">
        <f>IFERROR(VLOOKUP(Table1[RespondentID],'All Data'!$A$3:$CO$999,89,FALSE),"unknown")</f>
        <v>Suffolk</v>
      </c>
      <c r="AO214" s="120" t="str">
        <f>IFERROR(VLOOKUP(Table1[RespondentID],'All Data'!$A$3:$CO$999,90,FALSE),"unknown")</f>
        <v>Commack, 11725</v>
      </c>
      <c r="AP214" s="120" t="str">
        <f>IFERROR(VLOOKUP(Table1[RespondentID],'All Data'!$A$3:$CO$999,91,FALSE),"unknown")</f>
        <v>White</v>
      </c>
      <c r="AQ214" s="120" t="str">
        <f>IFERROR(VLOOKUP(Table1[RespondentID],'All Data'!$A$3:$CO$999,92,FALSE),"unknown")</f>
        <v>Hispanic or Latino</v>
      </c>
      <c r="AR214" s="120" t="str">
        <f>IFERROR(VLOOKUP(Table1[RespondentID],'All Data'!$A$3:$CO$999,93,FALSE),"unknown")</f>
        <v>English</v>
      </c>
      <c r="AS214" s="120" t="str">
        <f>IFERROR(VLOOKUP(Table1[RespondentID],'All Data'!$A$3:$CW$999,94,FALSE),"unknown")</f>
        <v>Over $125,000</v>
      </c>
      <c r="AT214" s="120" t="str">
        <f>IFERROR(VLOOKUP(Table1[RespondentID],'All Data'!$A$3:$CW$999,95,FALSE),"unknown")</f>
        <v>College graduate</v>
      </c>
      <c r="AU214" s="120" t="str">
        <f>IFERROR(VLOOKUP(Table1[RespondentID],'All Data'!$A$3:$CW$999,96,FALSE),"unknown")</f>
        <v>Employed for wages</v>
      </c>
      <c r="AV214" s="120" t="str">
        <f>IFERROR(VLOOKUP(Table1[RespondentID],'All Data'!$A$3:$CW$999,97,FALSE),"unknown")</f>
        <v>Yes</v>
      </c>
      <c r="AW214" s="120" t="str">
        <f>IFERROR(VLOOKUP(Table1[RespondentID],'All Data'!$A$3:$CW$999,98,FALSE),"unknown")</f>
        <v>Medicaid</v>
      </c>
      <c r="AX214" s="120" t="str">
        <f>IFERROR(VLOOKUP(Table1[RespondentID],'All Data'!$A$3:$CW$999,99,FALSE),"unknown")</f>
        <v>Yes</v>
      </c>
    </row>
    <row r="215" spans="1:50">
      <c r="A215" s="5">
        <v>18019478995</v>
      </c>
      <c r="B215" s="5"/>
      <c r="C215" s="5"/>
      <c r="D215" s="5" t="s">
        <v>18</v>
      </c>
      <c r="E215" s="5" t="s">
        <v>19</v>
      </c>
      <c r="F215" s="5"/>
      <c r="G215" s="5" t="s">
        <v>21</v>
      </c>
      <c r="H215" s="5"/>
      <c r="I215" s="5"/>
      <c r="J215" s="5"/>
      <c r="K215" s="5"/>
      <c r="L215" s="5"/>
      <c r="M215" s="5"/>
      <c r="N215" s="5"/>
      <c r="O215" s="7"/>
      <c r="P215" s="7">
        <f t="shared" si="54"/>
        <v>3</v>
      </c>
      <c r="Q215" s="9">
        <f t="shared" si="55"/>
        <v>1</v>
      </c>
      <c r="R215" s="7"/>
      <c r="S215" s="7">
        <f t="shared" si="56"/>
        <v>0</v>
      </c>
      <c r="T215" s="7">
        <f t="shared" si="57"/>
        <v>0</v>
      </c>
      <c r="U215" s="7">
        <f t="shared" si="58"/>
        <v>1</v>
      </c>
      <c r="V215" s="119">
        <f t="shared" si="59"/>
        <v>1</v>
      </c>
      <c r="W215" s="119">
        <f t="shared" si="60"/>
        <v>0</v>
      </c>
      <c r="X215" s="119">
        <f t="shared" si="61"/>
        <v>1</v>
      </c>
      <c r="Y215" s="119">
        <f t="shared" si="62"/>
        <v>0</v>
      </c>
      <c r="Z215" s="119">
        <f t="shared" si="63"/>
        <v>0</v>
      </c>
      <c r="AA215" s="119">
        <f t="shared" si="64"/>
        <v>0</v>
      </c>
      <c r="AB215" s="119">
        <f t="shared" si="65"/>
        <v>0</v>
      </c>
      <c r="AC215" s="119">
        <f t="shared" si="66"/>
        <v>0</v>
      </c>
      <c r="AD215" s="119">
        <f t="shared" si="67"/>
        <v>0</v>
      </c>
      <c r="AE215" s="119">
        <f t="shared" si="68"/>
        <v>0</v>
      </c>
      <c r="AF215" s="7"/>
      <c r="AG215" s="7"/>
      <c r="AH215" s="7">
        <f t="shared" si="69"/>
        <v>3</v>
      </c>
      <c r="AI215" s="7">
        <f t="shared" si="70"/>
        <v>3</v>
      </c>
      <c r="AJ215" s="7" t="str">
        <f t="shared" si="71"/>
        <v>Correct</v>
      </c>
      <c r="AK215" s="7"/>
      <c r="AL215" s="120" t="str">
        <f>IFERROR(VLOOKUP(Table1[RespondentID],'All Data'!$A$3:$CO$999,87,FALSE),"unknown")</f>
        <v>Man</v>
      </c>
      <c r="AM215" s="120">
        <f>IFERROR(VLOOKUP(Table1[RespondentID],'All Data'!$A$3:$CO$999,88,FALSE),"unknown")</f>
        <v>0</v>
      </c>
      <c r="AN215" s="120" t="str">
        <f>IFERROR(VLOOKUP(Table1[RespondentID],'All Data'!$A$3:$CO$999,89,FALSE),"unknown")</f>
        <v>Suffolk</v>
      </c>
      <c r="AO215" s="120" t="str">
        <f>IFERROR(VLOOKUP(Table1[RespondentID],'All Data'!$A$3:$CO$999,90,FALSE),"unknown")</f>
        <v>East Northport, 11731</v>
      </c>
      <c r="AP215" s="120" t="str">
        <f>IFERROR(VLOOKUP(Table1[RespondentID],'All Data'!$A$3:$CO$999,91,FALSE),"unknown")</f>
        <v>Asian</v>
      </c>
      <c r="AQ215" s="120" t="str">
        <f>IFERROR(VLOOKUP(Table1[RespondentID],'All Data'!$A$3:$CO$999,92,FALSE),"unknown")</f>
        <v>Not Hispanic or Latino</v>
      </c>
      <c r="AR215" s="120" t="str">
        <f>IFERROR(VLOOKUP(Table1[RespondentID],'All Data'!$A$3:$CO$999,93,FALSE),"unknown")</f>
        <v>English</v>
      </c>
      <c r="AS215" s="120" t="str">
        <f>IFERROR(VLOOKUP(Table1[RespondentID],'All Data'!$A$3:$CW$999,94,FALSE),"unknown")</f>
        <v>$50,000 to $74,999</v>
      </c>
      <c r="AT215" s="120" t="str">
        <f>IFERROR(VLOOKUP(Table1[RespondentID],'All Data'!$A$3:$CW$999,95,FALSE),"unknown")</f>
        <v>Some college</v>
      </c>
      <c r="AU215" s="120" t="str">
        <f>IFERROR(VLOOKUP(Table1[RespondentID],'All Data'!$A$3:$CW$999,96,FALSE),"unknown")</f>
        <v>Employed for wages</v>
      </c>
      <c r="AV215" s="120" t="str">
        <f>IFERROR(VLOOKUP(Table1[RespondentID],'All Data'!$A$3:$CW$999,97,FALSE),"unknown")</f>
        <v>No</v>
      </c>
      <c r="AW215" s="120" t="str">
        <f>IFERROR(VLOOKUP(Table1[RespondentID],'All Data'!$A$3:$CW$999,98,FALSE),"unknown")</f>
        <v>No Insurance</v>
      </c>
      <c r="AX215" s="120" t="str">
        <f>IFERROR(VLOOKUP(Table1[RespondentID],'All Data'!$A$3:$CW$999,99,FALSE),"unknown")</f>
        <v>Yes</v>
      </c>
    </row>
    <row r="216" spans="1:50">
      <c r="A216" s="5">
        <v>18019349230</v>
      </c>
      <c r="B216" s="5"/>
      <c r="C216" s="5"/>
      <c r="D216" s="5"/>
      <c r="E216" s="5"/>
      <c r="F216" s="5"/>
      <c r="G216" s="5"/>
      <c r="H216" s="5"/>
      <c r="I216" s="5" t="s">
        <v>23</v>
      </c>
      <c r="J216" s="5"/>
      <c r="K216" s="5" t="s">
        <v>25</v>
      </c>
      <c r="L216" s="5"/>
      <c r="M216" s="5"/>
      <c r="N216" s="5"/>
      <c r="O216" s="7"/>
      <c r="P216" s="7">
        <f t="shared" si="54"/>
        <v>2</v>
      </c>
      <c r="Q216" s="8">
        <f t="shared" si="55"/>
        <v>1.5</v>
      </c>
      <c r="R216" s="7"/>
      <c r="S216" s="7">
        <f t="shared" si="56"/>
        <v>0</v>
      </c>
      <c r="T216" s="7">
        <f t="shared" si="57"/>
        <v>0</v>
      </c>
      <c r="U216" s="7">
        <f t="shared" si="58"/>
        <v>0</v>
      </c>
      <c r="V216" s="119">
        <f t="shared" si="59"/>
        <v>0</v>
      </c>
      <c r="W216" s="119">
        <f t="shared" si="60"/>
        <v>0</v>
      </c>
      <c r="X216" s="119">
        <f t="shared" si="61"/>
        <v>0</v>
      </c>
      <c r="Y216" s="119">
        <f t="shared" si="62"/>
        <v>0</v>
      </c>
      <c r="Z216" s="119">
        <f t="shared" si="63"/>
        <v>1</v>
      </c>
      <c r="AA216" s="119">
        <f t="shared" si="64"/>
        <v>0</v>
      </c>
      <c r="AB216" s="119">
        <f t="shared" si="65"/>
        <v>1</v>
      </c>
      <c r="AC216" s="119">
        <f t="shared" si="66"/>
        <v>0</v>
      </c>
      <c r="AD216" s="119">
        <f t="shared" si="67"/>
        <v>0</v>
      </c>
      <c r="AE216" s="119">
        <f t="shared" si="68"/>
        <v>0</v>
      </c>
      <c r="AF216" s="7"/>
      <c r="AG216" s="7"/>
      <c r="AH216" s="7">
        <f t="shared" si="69"/>
        <v>2</v>
      </c>
      <c r="AI216" s="7">
        <f t="shared" si="70"/>
        <v>2</v>
      </c>
      <c r="AJ216" s="7" t="str">
        <f t="shared" si="71"/>
        <v>Correct</v>
      </c>
      <c r="AK216" s="7"/>
      <c r="AL216" s="120" t="str">
        <f>IFERROR(VLOOKUP(Table1[RespondentID],'All Data'!$A$3:$CO$999,87,FALSE),"unknown")</f>
        <v>Man</v>
      </c>
      <c r="AM216" s="120">
        <f>IFERROR(VLOOKUP(Table1[RespondentID],'All Data'!$A$3:$CO$999,88,FALSE),"unknown")</f>
        <v>16</v>
      </c>
      <c r="AN216" s="120" t="str">
        <f>IFERROR(VLOOKUP(Table1[RespondentID],'All Data'!$A$3:$CO$999,89,FALSE),"unknown")</f>
        <v>Suffolk</v>
      </c>
      <c r="AO216" s="120" t="str">
        <f>IFERROR(VLOOKUP(Table1[RespondentID],'All Data'!$A$3:$CO$999,90,FALSE),"unknown")</f>
        <v>Centerport, 11721</v>
      </c>
      <c r="AP216" s="120" t="str">
        <f>IFERROR(VLOOKUP(Table1[RespondentID],'All Data'!$A$3:$CO$999,91,FALSE),"unknown")</f>
        <v>Native Hawaiian and Other Pacific Islander</v>
      </c>
      <c r="AQ216" s="120" t="str">
        <f>IFERROR(VLOOKUP(Table1[RespondentID],'All Data'!$A$3:$CO$999,92,FALSE),"unknown")</f>
        <v>Hispanic or Latino</v>
      </c>
      <c r="AR216" s="120" t="str">
        <f>IFERROR(VLOOKUP(Table1[RespondentID],'All Data'!$A$3:$CO$999,93,FALSE),"unknown")</f>
        <v>Haitian Creole</v>
      </c>
      <c r="AS216" s="120" t="str">
        <f>IFERROR(VLOOKUP(Table1[RespondentID],'All Data'!$A$3:$CW$999,94,FALSE),"unknown")</f>
        <v>$35,000 to $49,999</v>
      </c>
      <c r="AT216" s="120" t="str">
        <f>IFERROR(VLOOKUP(Table1[RespondentID],'All Data'!$A$3:$CW$999,95,FALSE),"unknown")</f>
        <v>Some high school</v>
      </c>
      <c r="AU216" s="120" t="str">
        <f>IFERROR(VLOOKUP(Table1[RespondentID],'All Data'!$A$3:$CW$999,96,FALSE),"unknown")</f>
        <v>Student</v>
      </c>
      <c r="AV216" s="120">
        <f>IFERROR(VLOOKUP(Table1[RespondentID],'All Data'!$A$3:$CW$999,97,FALSE),"unknown")</f>
        <v>0</v>
      </c>
      <c r="AW216" s="120" t="str">
        <f>IFERROR(VLOOKUP(Table1[RespondentID],'All Data'!$A$3:$CW$999,98,FALSE),"unknown")</f>
        <v>Private/Commercial</v>
      </c>
      <c r="AX216" s="120" t="str">
        <f>IFERROR(VLOOKUP(Table1[RespondentID],'All Data'!$A$3:$CW$999,99,FALSE),"unknown")</f>
        <v>Yes</v>
      </c>
    </row>
    <row r="217" spans="1:50">
      <c r="A217" s="5">
        <v>18019193765</v>
      </c>
      <c r="B217" s="5"/>
      <c r="C217" s="5"/>
      <c r="D217" s="5"/>
      <c r="E217" s="5"/>
      <c r="F217" s="5"/>
      <c r="G217" s="5"/>
      <c r="H217" s="5"/>
      <c r="I217" s="5"/>
      <c r="J217" s="5"/>
      <c r="K217" s="5"/>
      <c r="L217" s="5"/>
      <c r="M217" s="5"/>
      <c r="N217" s="5"/>
      <c r="O217" s="7"/>
      <c r="P217" s="7">
        <f t="shared" si="54"/>
        <v>0</v>
      </c>
      <c r="Q217" s="9" t="e">
        <f t="shared" si="55"/>
        <v>#DIV/0!</v>
      </c>
      <c r="R217" s="7"/>
      <c r="S217" s="7">
        <f t="shared" si="56"/>
        <v>0</v>
      </c>
      <c r="T217" s="7">
        <f t="shared" si="57"/>
        <v>0</v>
      </c>
      <c r="U217" s="7">
        <f t="shared" si="58"/>
        <v>0</v>
      </c>
      <c r="V217" s="119">
        <f t="shared" si="59"/>
        <v>0</v>
      </c>
      <c r="W217" s="119">
        <f t="shared" si="60"/>
        <v>0</v>
      </c>
      <c r="X217" s="119">
        <f t="shared" si="61"/>
        <v>0</v>
      </c>
      <c r="Y217" s="119">
        <f t="shared" si="62"/>
        <v>0</v>
      </c>
      <c r="Z217" s="119">
        <f t="shared" si="63"/>
        <v>0</v>
      </c>
      <c r="AA217" s="119">
        <f t="shared" si="64"/>
        <v>0</v>
      </c>
      <c r="AB217" s="119">
        <f t="shared" si="65"/>
        <v>0</v>
      </c>
      <c r="AC217" s="119">
        <f t="shared" si="66"/>
        <v>0</v>
      </c>
      <c r="AD217" s="119">
        <f t="shared" si="67"/>
        <v>0</v>
      </c>
      <c r="AE217" s="119">
        <f t="shared" si="68"/>
        <v>0</v>
      </c>
      <c r="AF217" s="7"/>
      <c r="AG217" s="7"/>
      <c r="AH217" s="7">
        <f t="shared" si="69"/>
        <v>0</v>
      </c>
      <c r="AI217" s="7">
        <f t="shared" si="70"/>
        <v>0</v>
      </c>
      <c r="AJ217" s="7" t="str">
        <f t="shared" si="71"/>
        <v>Correct</v>
      </c>
      <c r="AK217" s="7"/>
      <c r="AL217" s="120">
        <f>IFERROR(VLOOKUP(Table1[RespondentID],'All Data'!$A$3:$CO$999,87,FALSE),"unknown")</f>
        <v>0</v>
      </c>
      <c r="AM217" s="120">
        <f>IFERROR(VLOOKUP(Table1[RespondentID],'All Data'!$A$3:$CO$999,88,FALSE),"unknown")</f>
        <v>0</v>
      </c>
      <c r="AN217" s="120">
        <f>IFERROR(VLOOKUP(Table1[RespondentID],'All Data'!$A$3:$CO$999,89,FALSE),"unknown")</f>
        <v>0</v>
      </c>
      <c r="AO217" s="120" t="str">
        <f>IFERROR(VLOOKUP(Table1[RespondentID],'All Data'!$A$3:$CO$999,90,FALSE),"unknown")</f>
        <v>Brookville, 11545</v>
      </c>
      <c r="AP217" s="120">
        <f>IFERROR(VLOOKUP(Table1[RespondentID],'All Data'!$A$3:$CO$999,91,FALSE),"unknown")</f>
        <v>0</v>
      </c>
      <c r="AQ217" s="120">
        <f>IFERROR(VLOOKUP(Table1[RespondentID],'All Data'!$A$3:$CO$999,92,FALSE),"unknown")</f>
        <v>0</v>
      </c>
      <c r="AR217" s="120">
        <f>IFERROR(VLOOKUP(Table1[RespondentID],'All Data'!$A$3:$CO$999,93,FALSE),"unknown")</f>
        <v>0</v>
      </c>
      <c r="AS217" s="120">
        <f>IFERROR(VLOOKUP(Table1[RespondentID],'All Data'!$A$3:$CW$999,94,FALSE),"unknown")</f>
        <v>0</v>
      </c>
      <c r="AT217" s="120">
        <f>IFERROR(VLOOKUP(Table1[RespondentID],'All Data'!$A$3:$CW$999,95,FALSE),"unknown")</f>
        <v>0</v>
      </c>
      <c r="AU217" s="120">
        <f>IFERROR(VLOOKUP(Table1[RespondentID],'All Data'!$A$3:$CW$999,96,FALSE),"unknown")</f>
        <v>0</v>
      </c>
      <c r="AV217" s="120">
        <f>IFERROR(VLOOKUP(Table1[RespondentID],'All Data'!$A$3:$CW$999,97,FALSE),"unknown")</f>
        <v>0</v>
      </c>
      <c r="AW217" s="120">
        <f>IFERROR(VLOOKUP(Table1[RespondentID],'All Data'!$A$3:$CW$999,98,FALSE),"unknown")</f>
        <v>0</v>
      </c>
      <c r="AX217" s="120">
        <f>IFERROR(VLOOKUP(Table1[RespondentID],'All Data'!$A$3:$CW$999,99,FALSE),"unknown")</f>
        <v>0</v>
      </c>
    </row>
    <row r="218" spans="1:50">
      <c r="A218" s="5">
        <v>18019104432</v>
      </c>
      <c r="B218" s="5" t="s">
        <v>16</v>
      </c>
      <c r="C218" s="5"/>
      <c r="D218" s="5"/>
      <c r="E218" s="5"/>
      <c r="F218" s="5" t="s">
        <v>20</v>
      </c>
      <c r="G218" s="5"/>
      <c r="H218" s="5"/>
      <c r="I218" s="5"/>
      <c r="J218" s="5"/>
      <c r="K218" s="5" t="s">
        <v>25</v>
      </c>
      <c r="L218" s="5"/>
      <c r="M218" s="5"/>
      <c r="N218" s="5"/>
      <c r="O218" s="7"/>
      <c r="P218" s="7">
        <f t="shared" si="54"/>
        <v>3</v>
      </c>
      <c r="Q218" s="8">
        <f t="shared" si="55"/>
        <v>1</v>
      </c>
      <c r="R218" s="7"/>
      <c r="S218" s="7">
        <f t="shared" si="56"/>
        <v>1</v>
      </c>
      <c r="T218" s="7">
        <f t="shared" si="57"/>
        <v>0</v>
      </c>
      <c r="U218" s="7">
        <f t="shared" si="58"/>
        <v>0</v>
      </c>
      <c r="V218" s="119">
        <f t="shared" si="59"/>
        <v>0</v>
      </c>
      <c r="W218" s="119">
        <f t="shared" si="60"/>
        <v>1</v>
      </c>
      <c r="X218" s="119">
        <f t="shared" si="61"/>
        <v>0</v>
      </c>
      <c r="Y218" s="119">
        <f t="shared" si="62"/>
        <v>0</v>
      </c>
      <c r="Z218" s="119">
        <f t="shared" si="63"/>
        <v>0</v>
      </c>
      <c r="AA218" s="119">
        <f t="shared" si="64"/>
        <v>0</v>
      </c>
      <c r="AB218" s="119">
        <f t="shared" si="65"/>
        <v>1</v>
      </c>
      <c r="AC218" s="119">
        <f t="shared" si="66"/>
        <v>0</v>
      </c>
      <c r="AD218" s="119">
        <f t="shared" si="67"/>
        <v>0</v>
      </c>
      <c r="AE218" s="119">
        <f t="shared" si="68"/>
        <v>0</v>
      </c>
      <c r="AF218" s="7"/>
      <c r="AG218" s="7"/>
      <c r="AH218" s="7">
        <f t="shared" si="69"/>
        <v>3</v>
      </c>
      <c r="AI218" s="7">
        <f t="shared" si="70"/>
        <v>3</v>
      </c>
      <c r="AJ218" s="7" t="str">
        <f t="shared" si="71"/>
        <v>Correct</v>
      </c>
      <c r="AK218" s="7"/>
      <c r="AL218" s="120" t="str">
        <f>IFERROR(VLOOKUP(Table1[RespondentID],'All Data'!$A$3:$CO$999,87,FALSE),"unknown")</f>
        <v>Woman</v>
      </c>
      <c r="AM218" s="120">
        <f>IFERROR(VLOOKUP(Table1[RespondentID],'All Data'!$A$3:$CO$999,88,FALSE),"unknown")</f>
        <v>23</v>
      </c>
      <c r="AN218" s="120" t="str">
        <f>IFERROR(VLOOKUP(Table1[RespondentID],'All Data'!$A$3:$CO$999,89,FALSE),"unknown")</f>
        <v>Suffolk</v>
      </c>
      <c r="AO218" s="120" t="str">
        <f>IFERROR(VLOOKUP(Table1[RespondentID],'All Data'!$A$3:$CO$999,90,FALSE),"unknown")</f>
        <v>Commack, 11725</v>
      </c>
      <c r="AP218" s="120" t="str">
        <f>IFERROR(VLOOKUP(Table1[RespondentID],'All Data'!$A$3:$CO$999,91,FALSE),"unknown")</f>
        <v>Native Hawaiian and Other Pacific Islander</v>
      </c>
      <c r="AQ218" s="120" t="str">
        <f>IFERROR(VLOOKUP(Table1[RespondentID],'All Data'!$A$3:$CO$999,92,FALSE),"unknown")</f>
        <v>Hispanic or Latino</v>
      </c>
      <c r="AR218" s="120" t="str">
        <f>IFERROR(VLOOKUP(Table1[RespondentID],'All Data'!$A$3:$CO$999,93,FALSE),"unknown")</f>
        <v>English, Italian</v>
      </c>
      <c r="AS218" s="120" t="str">
        <f>IFERROR(VLOOKUP(Table1[RespondentID],'All Data'!$A$3:$CW$999,94,FALSE),"unknown")</f>
        <v>$35,000 to $49,999</v>
      </c>
      <c r="AT218" s="120" t="str">
        <f>IFERROR(VLOOKUP(Table1[RespondentID],'All Data'!$A$3:$CW$999,95,FALSE),"unknown")</f>
        <v>High school graduate</v>
      </c>
      <c r="AU218" s="120" t="str">
        <f>IFERROR(VLOOKUP(Table1[RespondentID],'All Data'!$A$3:$CW$999,96,FALSE),"unknown")</f>
        <v>Employed for wages</v>
      </c>
      <c r="AV218" s="120" t="str">
        <f>IFERROR(VLOOKUP(Table1[RespondentID],'All Data'!$A$3:$CW$999,97,FALSE),"unknown")</f>
        <v>Yes</v>
      </c>
      <c r="AW218" s="120">
        <f>IFERROR(VLOOKUP(Table1[RespondentID],'All Data'!$A$3:$CW$999,98,FALSE),"unknown")</f>
        <v>0</v>
      </c>
      <c r="AX218" s="120">
        <f>IFERROR(VLOOKUP(Table1[RespondentID],'All Data'!$A$3:$CW$999,99,FALSE),"unknown")</f>
        <v>0</v>
      </c>
    </row>
    <row r="219" spans="1:50">
      <c r="A219" s="5">
        <v>18019104294</v>
      </c>
      <c r="B219" s="5"/>
      <c r="C219" s="5"/>
      <c r="D219" s="5"/>
      <c r="E219" s="5"/>
      <c r="F219" s="5"/>
      <c r="G219" s="5"/>
      <c r="H219" s="5"/>
      <c r="I219" s="5"/>
      <c r="J219" s="5"/>
      <c r="K219" s="5" t="s">
        <v>25</v>
      </c>
      <c r="L219" s="5"/>
      <c r="M219" s="5" t="s">
        <v>27</v>
      </c>
      <c r="N219" s="5" t="s">
        <v>28</v>
      </c>
      <c r="O219" s="7"/>
      <c r="P219" s="7">
        <f t="shared" si="54"/>
        <v>3</v>
      </c>
      <c r="Q219" s="9">
        <f t="shared" si="55"/>
        <v>1</v>
      </c>
      <c r="R219" s="7"/>
      <c r="S219" s="7">
        <f t="shared" si="56"/>
        <v>0</v>
      </c>
      <c r="T219" s="7">
        <f t="shared" si="57"/>
        <v>0</v>
      </c>
      <c r="U219" s="7">
        <f t="shared" si="58"/>
        <v>0</v>
      </c>
      <c r="V219" s="119">
        <f t="shared" si="59"/>
        <v>0</v>
      </c>
      <c r="W219" s="119">
        <f t="shared" si="60"/>
        <v>0</v>
      </c>
      <c r="X219" s="119">
        <f t="shared" si="61"/>
        <v>0</v>
      </c>
      <c r="Y219" s="119">
        <f t="shared" si="62"/>
        <v>0</v>
      </c>
      <c r="Z219" s="119">
        <f t="shared" si="63"/>
        <v>0</v>
      </c>
      <c r="AA219" s="119">
        <f t="shared" si="64"/>
        <v>0</v>
      </c>
      <c r="AB219" s="119">
        <f t="shared" si="65"/>
        <v>1</v>
      </c>
      <c r="AC219" s="119">
        <f t="shared" si="66"/>
        <v>0</v>
      </c>
      <c r="AD219" s="119">
        <f t="shared" si="67"/>
        <v>1</v>
      </c>
      <c r="AE219" s="119">
        <f t="shared" si="68"/>
        <v>1</v>
      </c>
      <c r="AF219" s="7"/>
      <c r="AG219" s="7"/>
      <c r="AH219" s="7">
        <f t="shared" si="69"/>
        <v>3</v>
      </c>
      <c r="AI219" s="7">
        <f t="shared" si="70"/>
        <v>3</v>
      </c>
      <c r="AJ219" s="7" t="str">
        <f t="shared" si="71"/>
        <v>Correct</v>
      </c>
      <c r="AK219" s="7"/>
      <c r="AL219" s="120" t="str">
        <f>IFERROR(VLOOKUP(Table1[RespondentID],'All Data'!$A$3:$CO$999,87,FALSE),"unknown")</f>
        <v>Woman</v>
      </c>
      <c r="AM219" s="120">
        <f>IFERROR(VLOOKUP(Table1[RespondentID],'All Data'!$A$3:$CO$999,88,FALSE),"unknown")</f>
        <v>15</v>
      </c>
      <c r="AN219" s="120" t="str">
        <f>IFERROR(VLOOKUP(Table1[RespondentID],'All Data'!$A$3:$CO$999,89,FALSE),"unknown")</f>
        <v>Suffolk</v>
      </c>
      <c r="AO219" s="120" t="str">
        <f>IFERROR(VLOOKUP(Table1[RespondentID],'All Data'!$A$3:$CO$999,90,FALSE),"unknown")</f>
        <v>Commack, 11725</v>
      </c>
      <c r="AP219" s="120" t="str">
        <f>IFERROR(VLOOKUP(Table1[RespondentID],'All Data'!$A$3:$CO$999,91,FALSE),"unknown")</f>
        <v>White</v>
      </c>
      <c r="AQ219" s="120" t="str">
        <f>IFERROR(VLOOKUP(Table1[RespondentID],'All Data'!$A$3:$CO$999,92,FALSE),"unknown")</f>
        <v>Hispanic or Latino</v>
      </c>
      <c r="AR219" s="120" t="str">
        <f>IFERROR(VLOOKUP(Table1[RespondentID],'All Data'!$A$3:$CO$999,93,FALSE),"unknown")</f>
        <v>English</v>
      </c>
      <c r="AS219" s="120" t="str">
        <f>IFERROR(VLOOKUP(Table1[RespondentID],'All Data'!$A$3:$CW$999,94,FALSE),"unknown")</f>
        <v>$20,000 to $34,999</v>
      </c>
      <c r="AT219" s="120" t="str">
        <f>IFERROR(VLOOKUP(Table1[RespondentID],'All Data'!$A$3:$CW$999,95,FALSE),"unknown")</f>
        <v>Some high school</v>
      </c>
      <c r="AU219" s="120" t="str">
        <f>IFERROR(VLOOKUP(Table1[RespondentID],'All Data'!$A$3:$CW$999,96,FALSE),"unknown")</f>
        <v>Student</v>
      </c>
      <c r="AV219" s="120" t="str">
        <f>IFERROR(VLOOKUP(Table1[RespondentID],'All Data'!$A$3:$CW$999,97,FALSE),"unknown")</f>
        <v>No</v>
      </c>
      <c r="AW219" s="120">
        <f>IFERROR(VLOOKUP(Table1[RespondentID],'All Data'!$A$3:$CW$999,98,FALSE),"unknown")</f>
        <v>0</v>
      </c>
      <c r="AX219" s="120">
        <f>IFERROR(VLOOKUP(Table1[RespondentID],'All Data'!$A$3:$CW$999,99,FALSE),"unknown")</f>
        <v>0</v>
      </c>
    </row>
    <row r="220" spans="1:50">
      <c r="A220" s="5">
        <v>18019104165</v>
      </c>
      <c r="B220" s="5"/>
      <c r="C220" s="5"/>
      <c r="D220" s="5"/>
      <c r="E220" s="5" t="s">
        <v>19</v>
      </c>
      <c r="F220" s="5"/>
      <c r="G220" s="5"/>
      <c r="H220" s="5"/>
      <c r="I220" s="5"/>
      <c r="J220" s="5"/>
      <c r="K220" s="5" t="s">
        <v>25</v>
      </c>
      <c r="L220" s="5"/>
      <c r="M220" s="5" t="s">
        <v>27</v>
      </c>
      <c r="N220" s="5"/>
      <c r="O220" s="7"/>
      <c r="P220" s="7">
        <f t="shared" si="54"/>
        <v>3</v>
      </c>
      <c r="Q220" s="8">
        <f t="shared" si="55"/>
        <v>1</v>
      </c>
      <c r="R220" s="7"/>
      <c r="S220" s="7">
        <f t="shared" si="56"/>
        <v>0</v>
      </c>
      <c r="T220" s="7">
        <f t="shared" si="57"/>
        <v>0</v>
      </c>
      <c r="U220" s="7">
        <f t="shared" si="58"/>
        <v>0</v>
      </c>
      <c r="V220" s="119">
        <f t="shared" si="59"/>
        <v>1</v>
      </c>
      <c r="W220" s="119">
        <f t="shared" si="60"/>
        <v>0</v>
      </c>
      <c r="X220" s="119">
        <f t="shared" si="61"/>
        <v>0</v>
      </c>
      <c r="Y220" s="119">
        <f t="shared" si="62"/>
        <v>0</v>
      </c>
      <c r="Z220" s="119">
        <f t="shared" si="63"/>
        <v>0</v>
      </c>
      <c r="AA220" s="119">
        <f t="shared" si="64"/>
        <v>0</v>
      </c>
      <c r="AB220" s="119">
        <f t="shared" si="65"/>
        <v>1</v>
      </c>
      <c r="AC220" s="119">
        <f t="shared" si="66"/>
        <v>0</v>
      </c>
      <c r="AD220" s="119">
        <f t="shared" si="67"/>
        <v>1</v>
      </c>
      <c r="AE220" s="119">
        <f t="shared" si="68"/>
        <v>0</v>
      </c>
      <c r="AF220" s="7"/>
      <c r="AG220" s="7"/>
      <c r="AH220" s="7">
        <f t="shared" si="69"/>
        <v>3</v>
      </c>
      <c r="AI220" s="7">
        <f t="shared" si="70"/>
        <v>3</v>
      </c>
      <c r="AJ220" s="7" t="str">
        <f t="shared" si="71"/>
        <v>Correct</v>
      </c>
      <c r="AK220" s="7"/>
      <c r="AL220" s="120" t="str">
        <f>IFERROR(VLOOKUP(Table1[RespondentID],'All Data'!$A$3:$CO$999,87,FALSE),"unknown")</f>
        <v>Man</v>
      </c>
      <c r="AM220" s="120">
        <f>IFERROR(VLOOKUP(Table1[RespondentID],'All Data'!$A$3:$CO$999,88,FALSE),"unknown")</f>
        <v>17</v>
      </c>
      <c r="AN220" s="120" t="str">
        <f>IFERROR(VLOOKUP(Table1[RespondentID],'All Data'!$A$3:$CO$999,89,FALSE),"unknown")</f>
        <v>Suffolk</v>
      </c>
      <c r="AO220" s="120" t="str">
        <f>IFERROR(VLOOKUP(Table1[RespondentID],'All Data'!$A$3:$CO$999,90,FALSE),"unknown")</f>
        <v>Commack, 11725</v>
      </c>
      <c r="AP220" s="120" t="str">
        <f>IFERROR(VLOOKUP(Table1[RespondentID],'All Data'!$A$3:$CO$999,91,FALSE),"unknown")</f>
        <v>American Indian and Alaska Native</v>
      </c>
      <c r="AQ220" s="120" t="str">
        <f>IFERROR(VLOOKUP(Table1[RespondentID],'All Data'!$A$3:$CO$999,92,FALSE),"unknown")</f>
        <v>Hispanic or Latino</v>
      </c>
      <c r="AR220" s="120" t="str">
        <f>IFERROR(VLOOKUP(Table1[RespondentID],'All Data'!$A$3:$CO$999,93,FALSE),"unknown")</f>
        <v>English, Korean</v>
      </c>
      <c r="AS220" s="120" t="str">
        <f>IFERROR(VLOOKUP(Table1[RespondentID],'All Data'!$A$3:$CW$999,94,FALSE),"unknown")</f>
        <v>$35,000 to $49,999</v>
      </c>
      <c r="AT220" s="120" t="str">
        <f>IFERROR(VLOOKUP(Table1[RespondentID],'All Data'!$A$3:$CW$999,95,FALSE),"unknown")</f>
        <v>Some high school</v>
      </c>
      <c r="AU220" s="120" t="str">
        <f>IFERROR(VLOOKUP(Table1[RespondentID],'All Data'!$A$3:$CW$999,96,FALSE),"unknown")</f>
        <v>Student</v>
      </c>
      <c r="AV220" s="120">
        <f>IFERROR(VLOOKUP(Table1[RespondentID],'All Data'!$A$3:$CW$999,97,FALSE),"unknown")</f>
        <v>0</v>
      </c>
      <c r="AW220" s="120">
        <f>IFERROR(VLOOKUP(Table1[RespondentID],'All Data'!$A$3:$CW$999,98,FALSE),"unknown")</f>
        <v>0</v>
      </c>
      <c r="AX220" s="120">
        <f>IFERROR(VLOOKUP(Table1[RespondentID],'All Data'!$A$3:$CW$999,99,FALSE),"unknown")</f>
        <v>0</v>
      </c>
    </row>
    <row r="221" spans="1:50">
      <c r="A221" s="5">
        <v>18019103935</v>
      </c>
      <c r="B221" s="5"/>
      <c r="C221" s="5"/>
      <c r="D221" s="5" t="s">
        <v>18</v>
      </c>
      <c r="E221" s="5"/>
      <c r="F221" s="5"/>
      <c r="G221" s="5" t="s">
        <v>21</v>
      </c>
      <c r="H221" s="5"/>
      <c r="I221" s="5"/>
      <c r="J221" s="5"/>
      <c r="K221" s="5"/>
      <c r="L221" s="5"/>
      <c r="M221" s="5"/>
      <c r="N221" s="5" t="s">
        <v>28</v>
      </c>
      <c r="O221" s="7"/>
      <c r="P221" s="7">
        <f t="shared" si="54"/>
        <v>3</v>
      </c>
      <c r="Q221" s="9">
        <f t="shared" si="55"/>
        <v>1</v>
      </c>
      <c r="R221" s="7"/>
      <c r="S221" s="7">
        <f t="shared" si="56"/>
        <v>0</v>
      </c>
      <c r="T221" s="7">
        <f t="shared" si="57"/>
        <v>0</v>
      </c>
      <c r="U221" s="7">
        <f t="shared" si="58"/>
        <v>1</v>
      </c>
      <c r="V221" s="119">
        <f t="shared" si="59"/>
        <v>0</v>
      </c>
      <c r="W221" s="119">
        <f t="shared" si="60"/>
        <v>0</v>
      </c>
      <c r="X221" s="119">
        <f t="shared" si="61"/>
        <v>1</v>
      </c>
      <c r="Y221" s="119">
        <f t="shared" si="62"/>
        <v>0</v>
      </c>
      <c r="Z221" s="119">
        <f t="shared" si="63"/>
        <v>0</v>
      </c>
      <c r="AA221" s="119">
        <f t="shared" si="64"/>
        <v>0</v>
      </c>
      <c r="AB221" s="119">
        <f t="shared" si="65"/>
        <v>0</v>
      </c>
      <c r="AC221" s="119">
        <f t="shared" si="66"/>
        <v>0</v>
      </c>
      <c r="AD221" s="119">
        <f t="shared" si="67"/>
        <v>0</v>
      </c>
      <c r="AE221" s="119">
        <f t="shared" si="68"/>
        <v>1</v>
      </c>
      <c r="AF221" s="7"/>
      <c r="AG221" s="7"/>
      <c r="AH221" s="7">
        <f t="shared" si="69"/>
        <v>3</v>
      </c>
      <c r="AI221" s="7">
        <f t="shared" si="70"/>
        <v>3</v>
      </c>
      <c r="AJ221" s="7" t="str">
        <f t="shared" si="71"/>
        <v>Correct</v>
      </c>
      <c r="AK221" s="7"/>
      <c r="AL221" s="120" t="str">
        <f>IFERROR(VLOOKUP(Table1[RespondentID],'All Data'!$A$3:$CO$999,87,FALSE),"unknown")</f>
        <v>Woman</v>
      </c>
      <c r="AM221" s="120">
        <f>IFERROR(VLOOKUP(Table1[RespondentID],'All Data'!$A$3:$CO$999,88,FALSE),"unknown")</f>
        <v>42</v>
      </c>
      <c r="AN221" s="120" t="str">
        <f>IFERROR(VLOOKUP(Table1[RespondentID],'All Data'!$A$3:$CO$999,89,FALSE),"unknown")</f>
        <v>Suffolk</v>
      </c>
      <c r="AO221" s="120" t="str">
        <f>IFERROR(VLOOKUP(Table1[RespondentID],'All Data'!$A$3:$CO$999,90,FALSE),"unknown")</f>
        <v>Commack, 11725</v>
      </c>
      <c r="AP221" s="120" t="str">
        <f>IFERROR(VLOOKUP(Table1[RespondentID],'All Data'!$A$3:$CO$999,91,FALSE),"unknown")</f>
        <v>Asian</v>
      </c>
      <c r="AQ221" s="120" t="str">
        <f>IFERROR(VLOOKUP(Table1[RespondentID],'All Data'!$A$3:$CO$999,92,FALSE),"unknown")</f>
        <v>Not Hispanic or Latino</v>
      </c>
      <c r="AR221" s="120" t="str">
        <f>IFERROR(VLOOKUP(Table1[RespondentID],'All Data'!$A$3:$CO$999,93,FALSE),"unknown")</f>
        <v>English, Portuguese, Spanish</v>
      </c>
      <c r="AS221" s="120" t="str">
        <f>IFERROR(VLOOKUP(Table1[RespondentID],'All Data'!$A$3:$CW$999,94,FALSE),"unknown")</f>
        <v>$20,000 to $34,999</v>
      </c>
      <c r="AT221" s="120" t="str">
        <f>IFERROR(VLOOKUP(Table1[RespondentID],'All Data'!$A$3:$CW$999,95,FALSE),"unknown")</f>
        <v>College graduate</v>
      </c>
      <c r="AU221" s="120" t="str">
        <f>IFERROR(VLOOKUP(Table1[RespondentID],'All Data'!$A$3:$CW$999,96,FALSE),"unknown")</f>
        <v>Employed for wages</v>
      </c>
      <c r="AV221" s="120" t="str">
        <f>IFERROR(VLOOKUP(Table1[RespondentID],'All Data'!$A$3:$CW$999,97,FALSE),"unknown")</f>
        <v>Yes</v>
      </c>
      <c r="AW221" s="120">
        <f>IFERROR(VLOOKUP(Table1[RespondentID],'All Data'!$A$3:$CW$999,98,FALSE),"unknown")</f>
        <v>0</v>
      </c>
      <c r="AX221" s="120">
        <f>IFERROR(VLOOKUP(Table1[RespondentID],'All Data'!$A$3:$CW$999,99,FALSE),"unknown")</f>
        <v>0</v>
      </c>
    </row>
    <row r="222" spans="1:50">
      <c r="A222" s="5">
        <v>18019103724</v>
      </c>
      <c r="B222" s="5"/>
      <c r="C222" s="5"/>
      <c r="D222" s="5"/>
      <c r="E222" s="5" t="s">
        <v>19</v>
      </c>
      <c r="F222" s="5"/>
      <c r="G222" s="5"/>
      <c r="H222" s="5"/>
      <c r="I222" s="5"/>
      <c r="J222" s="5"/>
      <c r="K222" s="5" t="s">
        <v>25</v>
      </c>
      <c r="L222" s="5"/>
      <c r="M222" s="5"/>
      <c r="N222" s="5" t="s">
        <v>28</v>
      </c>
      <c r="O222" s="7"/>
      <c r="P222" s="7">
        <f t="shared" si="54"/>
        <v>3</v>
      </c>
      <c r="Q222" s="8">
        <f t="shared" si="55"/>
        <v>1</v>
      </c>
      <c r="R222" s="7"/>
      <c r="S222" s="7">
        <f t="shared" si="56"/>
        <v>0</v>
      </c>
      <c r="T222" s="7">
        <f t="shared" si="57"/>
        <v>0</v>
      </c>
      <c r="U222" s="7">
        <f t="shared" si="58"/>
        <v>0</v>
      </c>
      <c r="V222" s="119">
        <f t="shared" si="59"/>
        <v>1</v>
      </c>
      <c r="W222" s="119">
        <f t="shared" si="60"/>
        <v>0</v>
      </c>
      <c r="X222" s="119">
        <f t="shared" si="61"/>
        <v>0</v>
      </c>
      <c r="Y222" s="119">
        <f t="shared" si="62"/>
        <v>0</v>
      </c>
      <c r="Z222" s="119">
        <f t="shared" si="63"/>
        <v>0</v>
      </c>
      <c r="AA222" s="119">
        <f t="shared" si="64"/>
        <v>0</v>
      </c>
      <c r="AB222" s="119">
        <f t="shared" si="65"/>
        <v>1</v>
      </c>
      <c r="AC222" s="119">
        <f t="shared" si="66"/>
        <v>0</v>
      </c>
      <c r="AD222" s="119">
        <f t="shared" si="67"/>
        <v>0</v>
      </c>
      <c r="AE222" s="119">
        <f t="shared" si="68"/>
        <v>1</v>
      </c>
      <c r="AF222" s="7"/>
      <c r="AG222" s="7"/>
      <c r="AH222" s="7">
        <f t="shared" si="69"/>
        <v>3</v>
      </c>
      <c r="AI222" s="7">
        <f t="shared" si="70"/>
        <v>3</v>
      </c>
      <c r="AJ222" s="7" t="str">
        <f t="shared" si="71"/>
        <v>Correct</v>
      </c>
      <c r="AK222" s="7"/>
      <c r="AL222" s="120" t="str">
        <f>IFERROR(VLOOKUP(Table1[RespondentID],'All Data'!$A$3:$CO$999,87,FALSE),"unknown")</f>
        <v>Man</v>
      </c>
      <c r="AM222" s="120">
        <f>IFERROR(VLOOKUP(Table1[RespondentID],'All Data'!$A$3:$CO$999,88,FALSE),"unknown")</f>
        <v>52</v>
      </c>
      <c r="AN222" s="120" t="str">
        <f>IFERROR(VLOOKUP(Table1[RespondentID],'All Data'!$A$3:$CO$999,89,FALSE),"unknown")</f>
        <v>Suffolk</v>
      </c>
      <c r="AO222" s="120" t="str">
        <f>IFERROR(VLOOKUP(Table1[RespondentID],'All Data'!$A$3:$CO$999,90,FALSE),"unknown")</f>
        <v>Commack, 11725</v>
      </c>
      <c r="AP222" s="120" t="str">
        <f>IFERROR(VLOOKUP(Table1[RespondentID],'All Data'!$A$3:$CO$999,91,FALSE),"unknown")</f>
        <v>Native Hawaiian and Other Pacific Islander</v>
      </c>
      <c r="AQ222" s="120" t="str">
        <f>IFERROR(VLOOKUP(Table1[RespondentID],'All Data'!$A$3:$CO$999,92,FALSE),"unknown")</f>
        <v>Hispanic or Latino</v>
      </c>
      <c r="AR222" s="120" t="str">
        <f>IFERROR(VLOOKUP(Table1[RespondentID],'All Data'!$A$3:$CO$999,93,FALSE),"unknown")</f>
        <v>English, Spanish</v>
      </c>
      <c r="AS222" s="120" t="str">
        <f>IFERROR(VLOOKUP(Table1[RespondentID],'All Data'!$A$3:$CW$999,94,FALSE),"unknown")</f>
        <v>$35,000 to $49,999</v>
      </c>
      <c r="AT222" s="120" t="str">
        <f>IFERROR(VLOOKUP(Table1[RespondentID],'All Data'!$A$3:$CW$999,95,FALSE),"unknown")</f>
        <v>Graduate school</v>
      </c>
      <c r="AU222" s="120" t="str">
        <f>IFERROR(VLOOKUP(Table1[RespondentID],'All Data'!$A$3:$CW$999,96,FALSE),"unknown")</f>
        <v>Employed for wages</v>
      </c>
      <c r="AV222" s="120" t="str">
        <f>IFERROR(VLOOKUP(Table1[RespondentID],'All Data'!$A$3:$CW$999,97,FALSE),"unknown")</f>
        <v>Yes</v>
      </c>
      <c r="AW222" s="120">
        <f>IFERROR(VLOOKUP(Table1[RespondentID],'All Data'!$A$3:$CW$999,98,FALSE),"unknown")</f>
        <v>0</v>
      </c>
      <c r="AX222" s="120">
        <f>IFERROR(VLOOKUP(Table1[RespondentID],'All Data'!$A$3:$CW$999,99,FALSE),"unknown")</f>
        <v>0</v>
      </c>
    </row>
    <row r="223" spans="1:50">
      <c r="A223" s="5">
        <v>18019103593</v>
      </c>
      <c r="B223" s="5"/>
      <c r="C223" s="5"/>
      <c r="D223" s="5"/>
      <c r="E223" s="5"/>
      <c r="F223" s="5"/>
      <c r="G223" s="5"/>
      <c r="H223" s="5" t="s">
        <v>22</v>
      </c>
      <c r="I223" s="5" t="s">
        <v>23</v>
      </c>
      <c r="J223" s="5"/>
      <c r="K223" s="5" t="s">
        <v>25</v>
      </c>
      <c r="L223" s="5"/>
      <c r="M223" s="5"/>
      <c r="N223" s="5"/>
      <c r="O223" s="7"/>
      <c r="P223" s="7">
        <f t="shared" si="54"/>
        <v>3</v>
      </c>
      <c r="Q223" s="9">
        <f t="shared" si="55"/>
        <v>1</v>
      </c>
      <c r="R223" s="7"/>
      <c r="S223" s="7">
        <f t="shared" si="56"/>
        <v>0</v>
      </c>
      <c r="T223" s="7">
        <f t="shared" si="57"/>
        <v>0</v>
      </c>
      <c r="U223" s="7">
        <f t="shared" si="58"/>
        <v>0</v>
      </c>
      <c r="V223" s="119">
        <f t="shared" si="59"/>
        <v>0</v>
      </c>
      <c r="W223" s="119">
        <f t="shared" si="60"/>
        <v>0</v>
      </c>
      <c r="X223" s="119">
        <f t="shared" si="61"/>
        <v>0</v>
      </c>
      <c r="Y223" s="119">
        <f t="shared" si="62"/>
        <v>1</v>
      </c>
      <c r="Z223" s="119">
        <f t="shared" si="63"/>
        <v>1</v>
      </c>
      <c r="AA223" s="119">
        <f t="shared" si="64"/>
        <v>0</v>
      </c>
      <c r="AB223" s="119">
        <f t="shared" si="65"/>
        <v>1</v>
      </c>
      <c r="AC223" s="119">
        <f t="shared" si="66"/>
        <v>0</v>
      </c>
      <c r="AD223" s="119">
        <f t="shared" si="67"/>
        <v>0</v>
      </c>
      <c r="AE223" s="119">
        <f t="shared" si="68"/>
        <v>0</v>
      </c>
      <c r="AF223" s="7"/>
      <c r="AG223" s="7"/>
      <c r="AH223" s="7">
        <f t="shared" si="69"/>
        <v>3</v>
      </c>
      <c r="AI223" s="7">
        <f t="shared" si="70"/>
        <v>3</v>
      </c>
      <c r="AJ223" s="7" t="str">
        <f t="shared" si="71"/>
        <v>Correct</v>
      </c>
      <c r="AK223" s="7"/>
      <c r="AL223" s="120" t="str">
        <f>IFERROR(VLOOKUP(Table1[RespondentID],'All Data'!$A$3:$CO$999,87,FALSE),"unknown")</f>
        <v>Woman</v>
      </c>
      <c r="AM223" s="120">
        <f>IFERROR(VLOOKUP(Table1[RespondentID],'All Data'!$A$3:$CO$999,88,FALSE),"unknown")</f>
        <v>85</v>
      </c>
      <c r="AN223" s="120" t="str">
        <f>IFERROR(VLOOKUP(Table1[RespondentID],'All Data'!$A$3:$CO$999,89,FALSE),"unknown")</f>
        <v>Suffolk</v>
      </c>
      <c r="AO223" s="120" t="str">
        <f>IFERROR(VLOOKUP(Table1[RespondentID],'All Data'!$A$3:$CO$999,90,FALSE),"unknown")</f>
        <v>Commack, 11725</v>
      </c>
      <c r="AP223" s="120" t="str">
        <f>IFERROR(VLOOKUP(Table1[RespondentID],'All Data'!$A$3:$CO$999,91,FALSE),"unknown")</f>
        <v>Black or African American</v>
      </c>
      <c r="AQ223" s="120" t="str">
        <f>IFERROR(VLOOKUP(Table1[RespondentID],'All Data'!$A$3:$CO$999,92,FALSE),"unknown")</f>
        <v>Hispanic or Latino</v>
      </c>
      <c r="AR223" s="120" t="str">
        <f>IFERROR(VLOOKUP(Table1[RespondentID],'All Data'!$A$3:$CO$999,93,FALSE),"unknown")</f>
        <v>English</v>
      </c>
      <c r="AS223" s="120" t="str">
        <f>IFERROR(VLOOKUP(Table1[RespondentID],'All Data'!$A$3:$CW$999,94,FALSE),"unknown")</f>
        <v>$50,000 to $74,999</v>
      </c>
      <c r="AT223" s="120" t="str">
        <f>IFERROR(VLOOKUP(Table1[RespondentID],'All Data'!$A$3:$CW$999,95,FALSE),"unknown")</f>
        <v>College graduate</v>
      </c>
      <c r="AU223" s="120" t="str">
        <f>IFERROR(VLOOKUP(Table1[RespondentID],'All Data'!$A$3:$CW$999,96,FALSE),"unknown")</f>
        <v>Retired</v>
      </c>
      <c r="AV223" s="120" t="str">
        <f>IFERROR(VLOOKUP(Table1[RespondentID],'All Data'!$A$3:$CW$999,97,FALSE),"unknown")</f>
        <v>Yes</v>
      </c>
      <c r="AW223" s="120">
        <f>IFERROR(VLOOKUP(Table1[RespondentID],'All Data'!$A$3:$CW$999,98,FALSE),"unknown")</f>
        <v>0</v>
      </c>
      <c r="AX223" s="120">
        <f>IFERROR(VLOOKUP(Table1[RespondentID],'All Data'!$A$3:$CW$999,99,FALSE),"unknown")</f>
        <v>0</v>
      </c>
    </row>
    <row r="224" spans="1:50">
      <c r="A224" s="5">
        <v>18019103458</v>
      </c>
      <c r="B224" s="5"/>
      <c r="C224" s="5"/>
      <c r="D224" s="5"/>
      <c r="E224" s="5"/>
      <c r="F224" s="5" t="s">
        <v>20</v>
      </c>
      <c r="G224" s="5"/>
      <c r="H224" s="5"/>
      <c r="I224" s="5"/>
      <c r="J224" s="5"/>
      <c r="K224" s="5" t="s">
        <v>25</v>
      </c>
      <c r="L224" s="5" t="s">
        <v>26</v>
      </c>
      <c r="M224" s="5"/>
      <c r="N224" s="5"/>
      <c r="O224" s="7"/>
      <c r="P224" s="7">
        <f t="shared" si="54"/>
        <v>3</v>
      </c>
      <c r="Q224" s="8">
        <f t="shared" si="55"/>
        <v>1</v>
      </c>
      <c r="R224" s="7"/>
      <c r="S224" s="7">
        <f t="shared" si="56"/>
        <v>0</v>
      </c>
      <c r="T224" s="7">
        <f t="shared" si="57"/>
        <v>0</v>
      </c>
      <c r="U224" s="7">
        <f t="shared" si="58"/>
        <v>0</v>
      </c>
      <c r="V224" s="119">
        <f t="shared" si="59"/>
        <v>0</v>
      </c>
      <c r="W224" s="119">
        <f t="shared" si="60"/>
        <v>1</v>
      </c>
      <c r="X224" s="119">
        <f t="shared" si="61"/>
        <v>0</v>
      </c>
      <c r="Y224" s="119">
        <f t="shared" si="62"/>
        <v>0</v>
      </c>
      <c r="Z224" s="119">
        <f t="shared" si="63"/>
        <v>0</v>
      </c>
      <c r="AA224" s="119">
        <f t="shared" si="64"/>
        <v>0</v>
      </c>
      <c r="AB224" s="119">
        <f t="shared" si="65"/>
        <v>1</v>
      </c>
      <c r="AC224" s="119">
        <f t="shared" si="66"/>
        <v>1</v>
      </c>
      <c r="AD224" s="119">
        <f t="shared" si="67"/>
        <v>0</v>
      </c>
      <c r="AE224" s="119">
        <f t="shared" si="68"/>
        <v>0</v>
      </c>
      <c r="AF224" s="7"/>
      <c r="AG224" s="7"/>
      <c r="AH224" s="7">
        <f t="shared" si="69"/>
        <v>3</v>
      </c>
      <c r="AI224" s="7">
        <f t="shared" si="70"/>
        <v>3</v>
      </c>
      <c r="AJ224" s="7" t="str">
        <f t="shared" si="71"/>
        <v>Correct</v>
      </c>
      <c r="AK224" s="7"/>
      <c r="AL224" s="120" t="str">
        <f>IFERROR(VLOOKUP(Table1[RespondentID],'All Data'!$A$3:$CO$999,87,FALSE),"unknown")</f>
        <v>Woman</v>
      </c>
      <c r="AM224" s="120">
        <f>IFERROR(VLOOKUP(Table1[RespondentID],'All Data'!$A$3:$CO$999,88,FALSE),"unknown")</f>
        <v>14</v>
      </c>
      <c r="AN224" s="120" t="str">
        <f>IFERROR(VLOOKUP(Table1[RespondentID],'All Data'!$A$3:$CO$999,89,FALSE),"unknown")</f>
        <v>Suffolk</v>
      </c>
      <c r="AO224" s="120" t="str">
        <f>IFERROR(VLOOKUP(Table1[RespondentID],'All Data'!$A$3:$CO$999,90,FALSE),"unknown")</f>
        <v>Smithtown, 11787</v>
      </c>
      <c r="AP224" s="120" t="str">
        <f>IFERROR(VLOOKUP(Table1[RespondentID],'All Data'!$A$3:$CO$999,91,FALSE),"unknown")</f>
        <v>Native Hawaiian and Other Pacific Islander</v>
      </c>
      <c r="AQ224" s="120" t="str">
        <f>IFERROR(VLOOKUP(Table1[RespondentID],'All Data'!$A$3:$CO$999,92,FALSE),"unknown")</f>
        <v>Hispanic or Latino</v>
      </c>
      <c r="AR224" s="120" t="str">
        <f>IFERROR(VLOOKUP(Table1[RespondentID],'All Data'!$A$3:$CO$999,93,FALSE),"unknown")</f>
        <v>English</v>
      </c>
      <c r="AS224" s="120" t="str">
        <f>IFERROR(VLOOKUP(Table1[RespondentID],'All Data'!$A$3:$CW$999,94,FALSE),"unknown")</f>
        <v>$20,000 to $34,999</v>
      </c>
      <c r="AT224" s="120" t="str">
        <f>IFERROR(VLOOKUP(Table1[RespondentID],'All Data'!$A$3:$CW$999,95,FALSE),"unknown")</f>
        <v>K-8 grade</v>
      </c>
      <c r="AU224" s="120" t="str">
        <f>IFERROR(VLOOKUP(Table1[RespondentID],'All Data'!$A$3:$CW$999,96,FALSE),"unknown")</f>
        <v>Student</v>
      </c>
      <c r="AV224" s="120" t="str">
        <f>IFERROR(VLOOKUP(Table1[RespondentID],'All Data'!$A$3:$CW$999,97,FALSE),"unknown")</f>
        <v>No</v>
      </c>
      <c r="AW224" s="120">
        <f>IFERROR(VLOOKUP(Table1[RespondentID],'All Data'!$A$3:$CW$999,98,FALSE),"unknown")</f>
        <v>0</v>
      </c>
      <c r="AX224" s="120">
        <f>IFERROR(VLOOKUP(Table1[RespondentID],'All Data'!$A$3:$CW$999,99,FALSE),"unknown")</f>
        <v>0</v>
      </c>
    </row>
    <row r="225" spans="1:50">
      <c r="A225" s="5">
        <v>18019103288</v>
      </c>
      <c r="B225" s="5"/>
      <c r="C225" s="5"/>
      <c r="D225" s="5"/>
      <c r="E225" s="5" t="s">
        <v>19</v>
      </c>
      <c r="F225" s="5"/>
      <c r="G225" s="5"/>
      <c r="H225" s="5"/>
      <c r="I225" s="5"/>
      <c r="J225" s="5" t="s">
        <v>24</v>
      </c>
      <c r="K225" s="5" t="s">
        <v>25</v>
      </c>
      <c r="L225" s="5"/>
      <c r="M225" s="5"/>
      <c r="N225" s="5"/>
      <c r="O225" s="7"/>
      <c r="P225" s="7">
        <f t="shared" si="54"/>
        <v>3</v>
      </c>
      <c r="Q225" s="9">
        <f t="shared" si="55"/>
        <v>1</v>
      </c>
      <c r="R225" s="7"/>
      <c r="S225" s="7">
        <f t="shared" si="56"/>
        <v>0</v>
      </c>
      <c r="T225" s="7">
        <f t="shared" si="57"/>
        <v>0</v>
      </c>
      <c r="U225" s="7">
        <f t="shared" si="58"/>
        <v>0</v>
      </c>
      <c r="V225" s="119">
        <f t="shared" si="59"/>
        <v>1</v>
      </c>
      <c r="W225" s="119">
        <f t="shared" si="60"/>
        <v>0</v>
      </c>
      <c r="X225" s="119">
        <f t="shared" si="61"/>
        <v>0</v>
      </c>
      <c r="Y225" s="119">
        <f t="shared" si="62"/>
        <v>0</v>
      </c>
      <c r="Z225" s="119">
        <f t="shared" si="63"/>
        <v>0</v>
      </c>
      <c r="AA225" s="119">
        <f t="shared" si="64"/>
        <v>1</v>
      </c>
      <c r="AB225" s="119">
        <f t="shared" si="65"/>
        <v>1</v>
      </c>
      <c r="AC225" s="119">
        <f t="shared" si="66"/>
        <v>0</v>
      </c>
      <c r="AD225" s="119">
        <f t="shared" si="67"/>
        <v>0</v>
      </c>
      <c r="AE225" s="119">
        <f t="shared" si="68"/>
        <v>0</v>
      </c>
      <c r="AF225" s="7"/>
      <c r="AG225" s="7"/>
      <c r="AH225" s="7">
        <f t="shared" si="69"/>
        <v>3</v>
      </c>
      <c r="AI225" s="7">
        <f t="shared" si="70"/>
        <v>3</v>
      </c>
      <c r="AJ225" s="7" t="str">
        <f t="shared" si="71"/>
        <v>Correct</v>
      </c>
      <c r="AK225" s="7"/>
      <c r="AL225" s="120" t="str">
        <f>IFERROR(VLOOKUP(Table1[RespondentID],'All Data'!$A$3:$CO$999,87,FALSE),"unknown")</f>
        <v>Man</v>
      </c>
      <c r="AM225" s="120">
        <f>IFERROR(VLOOKUP(Table1[RespondentID],'All Data'!$A$3:$CO$999,88,FALSE),"unknown")</f>
        <v>42</v>
      </c>
      <c r="AN225" s="120" t="str">
        <f>IFERROR(VLOOKUP(Table1[RespondentID],'All Data'!$A$3:$CO$999,89,FALSE),"unknown")</f>
        <v>Suffolk</v>
      </c>
      <c r="AO225" s="120" t="str">
        <f>IFERROR(VLOOKUP(Table1[RespondentID],'All Data'!$A$3:$CO$999,90,FALSE),"unknown")</f>
        <v>Smithtown, 11787</v>
      </c>
      <c r="AP225" s="120" t="str">
        <f>IFERROR(VLOOKUP(Table1[RespondentID],'All Data'!$A$3:$CO$999,91,FALSE),"unknown")</f>
        <v>Asian</v>
      </c>
      <c r="AQ225" s="120" t="str">
        <f>IFERROR(VLOOKUP(Table1[RespondentID],'All Data'!$A$3:$CO$999,92,FALSE),"unknown")</f>
        <v>Not Hispanic or Latino</v>
      </c>
      <c r="AR225" s="120" t="str">
        <f>IFERROR(VLOOKUP(Table1[RespondentID],'All Data'!$A$3:$CO$999,93,FALSE),"unknown")</f>
        <v>English, Spanish</v>
      </c>
      <c r="AS225" s="120" t="str">
        <f>IFERROR(VLOOKUP(Table1[RespondentID],'All Data'!$A$3:$CW$999,94,FALSE),"unknown")</f>
        <v>$35,000 to $49,999</v>
      </c>
      <c r="AT225" s="120" t="str">
        <f>IFERROR(VLOOKUP(Table1[RespondentID],'All Data'!$A$3:$CW$999,95,FALSE),"unknown")</f>
        <v>College graduate</v>
      </c>
      <c r="AU225" s="120" t="str">
        <f>IFERROR(VLOOKUP(Table1[RespondentID],'All Data'!$A$3:$CW$999,96,FALSE),"unknown")</f>
        <v>Employed for wages</v>
      </c>
      <c r="AV225" s="120" t="str">
        <f>IFERROR(VLOOKUP(Table1[RespondentID],'All Data'!$A$3:$CW$999,97,FALSE),"unknown")</f>
        <v>Yes</v>
      </c>
      <c r="AW225" s="120">
        <f>IFERROR(VLOOKUP(Table1[RespondentID],'All Data'!$A$3:$CW$999,98,FALSE),"unknown")</f>
        <v>0</v>
      </c>
      <c r="AX225" s="120">
        <f>IFERROR(VLOOKUP(Table1[RespondentID],'All Data'!$A$3:$CW$999,99,FALSE),"unknown")</f>
        <v>0</v>
      </c>
    </row>
    <row r="226" spans="1:50">
      <c r="A226" s="5">
        <v>18019103154</v>
      </c>
      <c r="B226" s="5"/>
      <c r="C226" s="5"/>
      <c r="D226" s="5"/>
      <c r="E226" s="5" t="s">
        <v>19</v>
      </c>
      <c r="F226" s="5" t="s">
        <v>20</v>
      </c>
      <c r="G226" s="5"/>
      <c r="H226" s="5"/>
      <c r="I226" s="5"/>
      <c r="J226" s="5"/>
      <c r="K226" s="5" t="s">
        <v>25</v>
      </c>
      <c r="L226" s="5"/>
      <c r="M226" s="5"/>
      <c r="N226" s="5"/>
      <c r="O226" s="7"/>
      <c r="P226" s="7">
        <f t="shared" si="54"/>
        <v>3</v>
      </c>
      <c r="Q226" s="8">
        <f t="shared" si="55"/>
        <v>1</v>
      </c>
      <c r="R226" s="7"/>
      <c r="S226" s="7">
        <f t="shared" si="56"/>
        <v>0</v>
      </c>
      <c r="T226" s="7">
        <f t="shared" si="57"/>
        <v>0</v>
      </c>
      <c r="U226" s="7">
        <f t="shared" si="58"/>
        <v>0</v>
      </c>
      <c r="V226" s="119">
        <f t="shared" si="59"/>
        <v>1</v>
      </c>
      <c r="W226" s="119">
        <f t="shared" si="60"/>
        <v>1</v>
      </c>
      <c r="X226" s="119">
        <f t="shared" si="61"/>
        <v>0</v>
      </c>
      <c r="Y226" s="119">
        <f t="shared" si="62"/>
        <v>0</v>
      </c>
      <c r="Z226" s="119">
        <f t="shared" si="63"/>
        <v>0</v>
      </c>
      <c r="AA226" s="119">
        <f t="shared" si="64"/>
        <v>0</v>
      </c>
      <c r="AB226" s="119">
        <f t="shared" si="65"/>
        <v>1</v>
      </c>
      <c r="AC226" s="119">
        <f t="shared" si="66"/>
        <v>0</v>
      </c>
      <c r="AD226" s="119">
        <f t="shared" si="67"/>
        <v>0</v>
      </c>
      <c r="AE226" s="119">
        <f t="shared" si="68"/>
        <v>0</v>
      </c>
      <c r="AF226" s="7"/>
      <c r="AG226" s="7"/>
      <c r="AH226" s="7">
        <f t="shared" si="69"/>
        <v>3</v>
      </c>
      <c r="AI226" s="7">
        <f t="shared" si="70"/>
        <v>3</v>
      </c>
      <c r="AJ226" s="7" t="str">
        <f t="shared" si="71"/>
        <v>Correct</v>
      </c>
      <c r="AK226" s="7"/>
      <c r="AL226" s="120" t="str">
        <f>IFERROR(VLOOKUP(Table1[RespondentID],'All Data'!$A$3:$CO$999,87,FALSE),"unknown")</f>
        <v>Woman</v>
      </c>
      <c r="AM226" s="120">
        <f>IFERROR(VLOOKUP(Table1[RespondentID],'All Data'!$A$3:$CO$999,88,FALSE),"unknown")</f>
        <v>48</v>
      </c>
      <c r="AN226" s="120" t="str">
        <f>IFERROR(VLOOKUP(Table1[RespondentID],'All Data'!$A$3:$CO$999,89,FALSE),"unknown")</f>
        <v>Suffolk</v>
      </c>
      <c r="AO226" s="120" t="str">
        <f>IFERROR(VLOOKUP(Table1[RespondentID],'All Data'!$A$3:$CO$999,90,FALSE),"unknown")</f>
        <v>Commack, 11725</v>
      </c>
      <c r="AP226" s="120" t="str">
        <f>IFERROR(VLOOKUP(Table1[RespondentID],'All Data'!$A$3:$CO$999,91,FALSE),"unknown")</f>
        <v>White</v>
      </c>
      <c r="AQ226" s="120" t="str">
        <f>IFERROR(VLOOKUP(Table1[RespondentID],'All Data'!$A$3:$CO$999,92,FALSE),"unknown")</f>
        <v>Hispanic or Latino</v>
      </c>
      <c r="AR226" s="120" t="str">
        <f>IFERROR(VLOOKUP(Table1[RespondentID],'All Data'!$A$3:$CO$999,93,FALSE),"unknown")</f>
        <v>English</v>
      </c>
      <c r="AS226" s="120" t="str">
        <f>IFERROR(VLOOKUP(Table1[RespondentID],'All Data'!$A$3:$CW$999,94,FALSE),"unknown")</f>
        <v>$20,000 to $34,999</v>
      </c>
      <c r="AT226" s="120" t="str">
        <f>IFERROR(VLOOKUP(Table1[RespondentID],'All Data'!$A$3:$CW$999,95,FALSE),"unknown")</f>
        <v>Graduate school</v>
      </c>
      <c r="AU226" s="120" t="str">
        <f>IFERROR(VLOOKUP(Table1[RespondentID],'All Data'!$A$3:$CW$999,96,FALSE),"unknown")</f>
        <v>Employed for wages</v>
      </c>
      <c r="AV226" s="120" t="str">
        <f>IFERROR(VLOOKUP(Table1[RespondentID],'All Data'!$A$3:$CW$999,97,FALSE),"unknown")</f>
        <v>Yes</v>
      </c>
      <c r="AW226" s="120">
        <f>IFERROR(VLOOKUP(Table1[RespondentID],'All Data'!$A$3:$CW$999,98,FALSE),"unknown")</f>
        <v>0</v>
      </c>
      <c r="AX226" s="120">
        <f>IFERROR(VLOOKUP(Table1[RespondentID],'All Data'!$A$3:$CW$999,99,FALSE),"unknown")</f>
        <v>0</v>
      </c>
    </row>
    <row r="227" spans="1:50">
      <c r="A227" s="5">
        <v>18019102990</v>
      </c>
      <c r="B227" s="5"/>
      <c r="C227" s="5"/>
      <c r="D227" s="5"/>
      <c r="E227" s="5"/>
      <c r="F227" s="5"/>
      <c r="G227" s="5"/>
      <c r="H227" s="5" t="s">
        <v>22</v>
      </c>
      <c r="I227" s="5"/>
      <c r="J227" s="5"/>
      <c r="K227" s="5" t="s">
        <v>25</v>
      </c>
      <c r="L227" s="5"/>
      <c r="M227" s="5" t="s">
        <v>27</v>
      </c>
      <c r="N227" s="5"/>
      <c r="O227" s="7"/>
      <c r="P227" s="7">
        <f t="shared" si="54"/>
        <v>3</v>
      </c>
      <c r="Q227" s="9">
        <f t="shared" si="55"/>
        <v>1</v>
      </c>
      <c r="R227" s="7"/>
      <c r="S227" s="7">
        <f t="shared" si="56"/>
        <v>0</v>
      </c>
      <c r="T227" s="7">
        <f t="shared" si="57"/>
        <v>0</v>
      </c>
      <c r="U227" s="7">
        <f t="shared" si="58"/>
        <v>0</v>
      </c>
      <c r="V227" s="119">
        <f t="shared" si="59"/>
        <v>0</v>
      </c>
      <c r="W227" s="119">
        <f t="shared" si="60"/>
        <v>0</v>
      </c>
      <c r="X227" s="119">
        <f t="shared" si="61"/>
        <v>0</v>
      </c>
      <c r="Y227" s="119">
        <f t="shared" si="62"/>
        <v>1</v>
      </c>
      <c r="Z227" s="119">
        <f t="shared" si="63"/>
        <v>0</v>
      </c>
      <c r="AA227" s="119">
        <f t="shared" si="64"/>
        <v>0</v>
      </c>
      <c r="AB227" s="119">
        <f t="shared" si="65"/>
        <v>1</v>
      </c>
      <c r="AC227" s="119">
        <f t="shared" si="66"/>
        <v>0</v>
      </c>
      <c r="AD227" s="119">
        <f t="shared" si="67"/>
        <v>1</v>
      </c>
      <c r="AE227" s="119">
        <f t="shared" si="68"/>
        <v>0</v>
      </c>
      <c r="AF227" s="7"/>
      <c r="AG227" s="7"/>
      <c r="AH227" s="7">
        <f t="shared" si="69"/>
        <v>3</v>
      </c>
      <c r="AI227" s="7">
        <f t="shared" si="70"/>
        <v>3</v>
      </c>
      <c r="AJ227" s="7" t="str">
        <f t="shared" si="71"/>
        <v>Correct</v>
      </c>
      <c r="AK227" s="7"/>
      <c r="AL227" s="120" t="str">
        <f>IFERROR(VLOOKUP(Table1[RespondentID],'All Data'!$A$3:$CO$999,87,FALSE),"unknown")</f>
        <v>Man</v>
      </c>
      <c r="AM227" s="120">
        <f>IFERROR(VLOOKUP(Table1[RespondentID],'All Data'!$A$3:$CO$999,88,FALSE),"unknown")</f>
        <v>24</v>
      </c>
      <c r="AN227" s="120" t="str">
        <f>IFERROR(VLOOKUP(Table1[RespondentID],'All Data'!$A$3:$CO$999,89,FALSE),"unknown")</f>
        <v>Suffolk</v>
      </c>
      <c r="AO227" s="120" t="str">
        <f>IFERROR(VLOOKUP(Table1[RespondentID],'All Data'!$A$3:$CO$999,90,FALSE),"unknown")</f>
        <v>Commack, 11725</v>
      </c>
      <c r="AP227" s="120" t="str">
        <f>IFERROR(VLOOKUP(Table1[RespondentID],'All Data'!$A$3:$CO$999,91,FALSE),"unknown")</f>
        <v>Black or African American</v>
      </c>
      <c r="AQ227" s="120" t="str">
        <f>IFERROR(VLOOKUP(Table1[RespondentID],'All Data'!$A$3:$CO$999,92,FALSE),"unknown")</f>
        <v>Hispanic or Latino</v>
      </c>
      <c r="AR227" s="120" t="str">
        <f>IFERROR(VLOOKUP(Table1[RespondentID],'All Data'!$A$3:$CO$999,93,FALSE),"unknown")</f>
        <v>Polish</v>
      </c>
      <c r="AS227" s="120" t="str">
        <f>IFERROR(VLOOKUP(Table1[RespondentID],'All Data'!$A$3:$CW$999,94,FALSE),"unknown")</f>
        <v>$35,000 to $49,999</v>
      </c>
      <c r="AT227" s="120" t="str">
        <f>IFERROR(VLOOKUP(Table1[RespondentID],'All Data'!$A$3:$CW$999,95,FALSE),"unknown")</f>
        <v>Some college</v>
      </c>
      <c r="AU227" s="120" t="str">
        <f>IFERROR(VLOOKUP(Table1[RespondentID],'All Data'!$A$3:$CW$999,96,FALSE),"unknown")</f>
        <v>Employed for wages</v>
      </c>
      <c r="AV227" s="120" t="str">
        <f>IFERROR(VLOOKUP(Table1[RespondentID],'All Data'!$A$3:$CW$999,97,FALSE),"unknown")</f>
        <v>Yes</v>
      </c>
      <c r="AW227" s="120">
        <f>IFERROR(VLOOKUP(Table1[RespondentID],'All Data'!$A$3:$CW$999,98,FALSE),"unknown")</f>
        <v>0</v>
      </c>
      <c r="AX227" s="120">
        <f>IFERROR(VLOOKUP(Table1[RespondentID],'All Data'!$A$3:$CW$999,99,FALSE),"unknown")</f>
        <v>0</v>
      </c>
    </row>
    <row r="228" spans="1:50">
      <c r="A228" s="5">
        <v>18019102832</v>
      </c>
      <c r="B228" s="5"/>
      <c r="C228" s="5" t="s">
        <v>17</v>
      </c>
      <c r="D228" s="5"/>
      <c r="E228" s="5"/>
      <c r="F228" s="5" t="s">
        <v>20</v>
      </c>
      <c r="G228" s="5"/>
      <c r="H228" s="5"/>
      <c r="I228" s="5"/>
      <c r="J228" s="5"/>
      <c r="K228" s="5" t="s">
        <v>25</v>
      </c>
      <c r="L228" s="5"/>
      <c r="M228" s="5"/>
      <c r="N228" s="5"/>
      <c r="O228" s="7"/>
      <c r="P228" s="7">
        <f t="shared" si="54"/>
        <v>3</v>
      </c>
      <c r="Q228" s="8">
        <f t="shared" si="55"/>
        <v>1</v>
      </c>
      <c r="R228" s="7"/>
      <c r="S228" s="7">
        <f t="shared" si="56"/>
        <v>0</v>
      </c>
      <c r="T228" s="7">
        <f t="shared" si="57"/>
        <v>1</v>
      </c>
      <c r="U228" s="7">
        <f t="shared" si="58"/>
        <v>0</v>
      </c>
      <c r="V228" s="119">
        <f t="shared" si="59"/>
        <v>0</v>
      </c>
      <c r="W228" s="119">
        <f t="shared" si="60"/>
        <v>1</v>
      </c>
      <c r="X228" s="119">
        <f t="shared" si="61"/>
        <v>0</v>
      </c>
      <c r="Y228" s="119">
        <f t="shared" si="62"/>
        <v>0</v>
      </c>
      <c r="Z228" s="119">
        <f t="shared" si="63"/>
        <v>0</v>
      </c>
      <c r="AA228" s="119">
        <f t="shared" si="64"/>
        <v>0</v>
      </c>
      <c r="AB228" s="119">
        <f t="shared" si="65"/>
        <v>1</v>
      </c>
      <c r="AC228" s="119">
        <f t="shared" si="66"/>
        <v>0</v>
      </c>
      <c r="AD228" s="119">
        <f t="shared" si="67"/>
        <v>0</v>
      </c>
      <c r="AE228" s="119">
        <f t="shared" si="68"/>
        <v>0</v>
      </c>
      <c r="AF228" s="7"/>
      <c r="AG228" s="7"/>
      <c r="AH228" s="7">
        <f t="shared" si="69"/>
        <v>3</v>
      </c>
      <c r="AI228" s="7">
        <f t="shared" si="70"/>
        <v>3</v>
      </c>
      <c r="AJ228" s="7" t="str">
        <f t="shared" si="71"/>
        <v>Correct</v>
      </c>
      <c r="AK228" s="7"/>
      <c r="AL228" s="120" t="str">
        <f>IFERROR(VLOOKUP(Table1[RespondentID],'All Data'!$A$3:$CO$999,87,FALSE),"unknown")</f>
        <v>Man</v>
      </c>
      <c r="AM228" s="120">
        <f>IFERROR(VLOOKUP(Table1[RespondentID],'All Data'!$A$3:$CO$999,88,FALSE),"unknown")</f>
        <v>19</v>
      </c>
      <c r="AN228" s="120" t="str">
        <f>IFERROR(VLOOKUP(Table1[RespondentID],'All Data'!$A$3:$CO$999,89,FALSE),"unknown")</f>
        <v>Suffolk</v>
      </c>
      <c r="AO228" s="120" t="str">
        <f>IFERROR(VLOOKUP(Table1[RespondentID],'All Data'!$A$3:$CO$999,90,FALSE),"unknown")</f>
        <v>Commack, 11725</v>
      </c>
      <c r="AP228" s="120" t="str">
        <f>IFERROR(VLOOKUP(Table1[RespondentID],'All Data'!$A$3:$CO$999,91,FALSE),"unknown")</f>
        <v>American Indian and Alaska Native</v>
      </c>
      <c r="AQ228" s="120" t="str">
        <f>IFERROR(VLOOKUP(Table1[RespondentID],'All Data'!$A$3:$CO$999,92,FALSE),"unknown")</f>
        <v>Hispanic or Latino</v>
      </c>
      <c r="AR228" s="120" t="str">
        <f>IFERROR(VLOOKUP(Table1[RespondentID],'All Data'!$A$3:$CO$999,93,FALSE),"unknown")</f>
        <v>English, Chinese</v>
      </c>
      <c r="AS228" s="120" t="str">
        <f>IFERROR(VLOOKUP(Table1[RespondentID],'All Data'!$A$3:$CW$999,94,FALSE),"unknown")</f>
        <v>$20,000 to $34,999</v>
      </c>
      <c r="AT228" s="120" t="str">
        <f>IFERROR(VLOOKUP(Table1[RespondentID],'All Data'!$A$3:$CW$999,95,FALSE),"unknown")</f>
        <v>High school graduate</v>
      </c>
      <c r="AU228" s="120" t="str">
        <f>IFERROR(VLOOKUP(Table1[RespondentID],'All Data'!$A$3:$CW$999,96,FALSE),"unknown")</f>
        <v>Student</v>
      </c>
      <c r="AV228" s="120" t="str">
        <f>IFERROR(VLOOKUP(Table1[RespondentID],'All Data'!$A$3:$CW$999,97,FALSE),"unknown")</f>
        <v>Yes</v>
      </c>
      <c r="AW228" s="120">
        <f>IFERROR(VLOOKUP(Table1[RespondentID],'All Data'!$A$3:$CW$999,98,FALSE),"unknown")</f>
        <v>0</v>
      </c>
      <c r="AX228" s="120">
        <f>IFERROR(VLOOKUP(Table1[RespondentID],'All Data'!$A$3:$CW$999,99,FALSE),"unknown")</f>
        <v>0</v>
      </c>
    </row>
    <row r="229" spans="1:50">
      <c r="A229" s="5">
        <v>18019102674</v>
      </c>
      <c r="B229" s="5"/>
      <c r="C229" s="5"/>
      <c r="D229" s="5"/>
      <c r="E229" s="5"/>
      <c r="F229" s="5"/>
      <c r="G229" s="5" t="s">
        <v>21</v>
      </c>
      <c r="H229" s="5" t="s">
        <v>22</v>
      </c>
      <c r="I229" s="5"/>
      <c r="J229" s="5"/>
      <c r="K229" s="5" t="s">
        <v>25</v>
      </c>
      <c r="L229" s="5"/>
      <c r="M229" s="5"/>
      <c r="N229" s="5"/>
      <c r="O229" s="7"/>
      <c r="P229" s="7">
        <f t="shared" si="54"/>
        <v>3</v>
      </c>
      <c r="Q229" s="9">
        <f t="shared" si="55"/>
        <v>1</v>
      </c>
      <c r="R229" s="7"/>
      <c r="S229" s="7">
        <f t="shared" si="56"/>
        <v>0</v>
      </c>
      <c r="T229" s="7">
        <f t="shared" si="57"/>
        <v>0</v>
      </c>
      <c r="U229" s="7">
        <f t="shared" si="58"/>
        <v>0</v>
      </c>
      <c r="V229" s="119">
        <f t="shared" si="59"/>
        <v>0</v>
      </c>
      <c r="W229" s="119">
        <f t="shared" si="60"/>
        <v>0</v>
      </c>
      <c r="X229" s="119">
        <f t="shared" si="61"/>
        <v>1</v>
      </c>
      <c r="Y229" s="119">
        <f t="shared" si="62"/>
        <v>1</v>
      </c>
      <c r="Z229" s="119">
        <f t="shared" si="63"/>
        <v>0</v>
      </c>
      <c r="AA229" s="119">
        <f t="shared" si="64"/>
        <v>0</v>
      </c>
      <c r="AB229" s="119">
        <f t="shared" si="65"/>
        <v>1</v>
      </c>
      <c r="AC229" s="119">
        <f t="shared" si="66"/>
        <v>0</v>
      </c>
      <c r="AD229" s="119">
        <f t="shared" si="67"/>
        <v>0</v>
      </c>
      <c r="AE229" s="119">
        <f t="shared" si="68"/>
        <v>0</v>
      </c>
      <c r="AF229" s="7"/>
      <c r="AG229" s="7"/>
      <c r="AH229" s="7">
        <f t="shared" si="69"/>
        <v>3</v>
      </c>
      <c r="AI229" s="7">
        <f t="shared" si="70"/>
        <v>3</v>
      </c>
      <c r="AJ229" s="7" t="str">
        <f t="shared" si="71"/>
        <v>Correct</v>
      </c>
      <c r="AK229" s="7"/>
      <c r="AL229" s="120" t="str">
        <f>IFERROR(VLOOKUP(Table1[RespondentID],'All Data'!$A$3:$CO$999,87,FALSE),"unknown")</f>
        <v>Woman</v>
      </c>
      <c r="AM229" s="120">
        <f>IFERROR(VLOOKUP(Table1[RespondentID],'All Data'!$A$3:$CO$999,88,FALSE),"unknown")</f>
        <v>72</v>
      </c>
      <c r="AN229" s="120" t="str">
        <f>IFERROR(VLOOKUP(Table1[RespondentID],'All Data'!$A$3:$CO$999,89,FALSE),"unknown")</f>
        <v>Suffolk</v>
      </c>
      <c r="AO229" s="120" t="str">
        <f>IFERROR(VLOOKUP(Table1[RespondentID],'All Data'!$A$3:$CO$999,90,FALSE),"unknown")</f>
        <v>Commack, 11725</v>
      </c>
      <c r="AP229" s="120" t="str">
        <f>IFERROR(VLOOKUP(Table1[RespondentID],'All Data'!$A$3:$CO$999,91,FALSE),"unknown")</f>
        <v>White</v>
      </c>
      <c r="AQ229" s="120" t="str">
        <f>IFERROR(VLOOKUP(Table1[RespondentID],'All Data'!$A$3:$CO$999,92,FALSE),"unknown")</f>
        <v>Hispanic or Latino</v>
      </c>
      <c r="AR229" s="120" t="str">
        <f>IFERROR(VLOOKUP(Table1[RespondentID],'All Data'!$A$3:$CO$999,93,FALSE),"unknown")</f>
        <v>English</v>
      </c>
      <c r="AS229" s="120" t="str">
        <f>IFERROR(VLOOKUP(Table1[RespondentID],'All Data'!$A$3:$CW$999,94,FALSE),"unknown")</f>
        <v>$75,000 to $125,000</v>
      </c>
      <c r="AT229" s="120" t="str">
        <f>IFERROR(VLOOKUP(Table1[RespondentID],'All Data'!$A$3:$CW$999,95,FALSE),"unknown")</f>
        <v>College graduate</v>
      </c>
      <c r="AU229" s="120" t="str">
        <f>IFERROR(VLOOKUP(Table1[RespondentID],'All Data'!$A$3:$CW$999,96,FALSE),"unknown")</f>
        <v>Retired</v>
      </c>
      <c r="AV229" s="120" t="str">
        <f>IFERROR(VLOOKUP(Table1[RespondentID],'All Data'!$A$3:$CW$999,97,FALSE),"unknown")</f>
        <v>Yes</v>
      </c>
      <c r="AW229" s="120">
        <f>IFERROR(VLOOKUP(Table1[RespondentID],'All Data'!$A$3:$CW$999,98,FALSE),"unknown")</f>
        <v>0</v>
      </c>
      <c r="AX229" s="120">
        <f>IFERROR(VLOOKUP(Table1[RespondentID],'All Data'!$A$3:$CW$999,99,FALSE),"unknown")</f>
        <v>0</v>
      </c>
    </row>
    <row r="230" spans="1:50">
      <c r="A230" s="5">
        <v>18019102453</v>
      </c>
      <c r="B230" s="5"/>
      <c r="C230" s="5"/>
      <c r="D230" s="5"/>
      <c r="E230" s="5"/>
      <c r="F230" s="5"/>
      <c r="G230" s="5"/>
      <c r="H230" s="5"/>
      <c r="I230" s="5"/>
      <c r="J230" s="5" t="s">
        <v>24</v>
      </c>
      <c r="K230" s="5" t="s">
        <v>25</v>
      </c>
      <c r="L230" s="5"/>
      <c r="M230" s="5" t="s">
        <v>27</v>
      </c>
      <c r="N230" s="5"/>
      <c r="O230" s="7"/>
      <c r="P230" s="7">
        <f t="shared" si="54"/>
        <v>3</v>
      </c>
      <c r="Q230" s="8">
        <f t="shared" si="55"/>
        <v>1</v>
      </c>
      <c r="R230" s="7"/>
      <c r="S230" s="7">
        <f t="shared" si="56"/>
        <v>0</v>
      </c>
      <c r="T230" s="7">
        <f t="shared" si="57"/>
        <v>0</v>
      </c>
      <c r="U230" s="7">
        <f t="shared" si="58"/>
        <v>0</v>
      </c>
      <c r="V230" s="119">
        <f t="shared" si="59"/>
        <v>0</v>
      </c>
      <c r="W230" s="119">
        <f t="shared" si="60"/>
        <v>0</v>
      </c>
      <c r="X230" s="119">
        <f t="shared" si="61"/>
        <v>0</v>
      </c>
      <c r="Y230" s="119">
        <f t="shared" si="62"/>
        <v>0</v>
      </c>
      <c r="Z230" s="119">
        <f t="shared" si="63"/>
        <v>0</v>
      </c>
      <c r="AA230" s="119">
        <f t="shared" si="64"/>
        <v>1</v>
      </c>
      <c r="AB230" s="119">
        <f t="shared" si="65"/>
        <v>1</v>
      </c>
      <c r="AC230" s="119">
        <f t="shared" si="66"/>
        <v>0</v>
      </c>
      <c r="AD230" s="119">
        <f t="shared" si="67"/>
        <v>1</v>
      </c>
      <c r="AE230" s="119">
        <f t="shared" si="68"/>
        <v>0</v>
      </c>
      <c r="AF230" s="7"/>
      <c r="AG230" s="7"/>
      <c r="AH230" s="7">
        <f t="shared" si="69"/>
        <v>3</v>
      </c>
      <c r="AI230" s="7">
        <f t="shared" si="70"/>
        <v>3</v>
      </c>
      <c r="AJ230" s="7" t="str">
        <f t="shared" si="71"/>
        <v>Correct</v>
      </c>
      <c r="AK230" s="7"/>
      <c r="AL230" s="120" t="str">
        <f>IFERROR(VLOOKUP(Table1[RespondentID],'All Data'!$A$3:$CO$999,87,FALSE),"unknown")</f>
        <v>Woman</v>
      </c>
      <c r="AM230" s="120">
        <f>IFERROR(VLOOKUP(Table1[RespondentID],'All Data'!$A$3:$CO$999,88,FALSE),"unknown")</f>
        <v>17</v>
      </c>
      <c r="AN230" s="120" t="str">
        <f>IFERROR(VLOOKUP(Table1[RespondentID],'All Data'!$A$3:$CO$999,89,FALSE),"unknown")</f>
        <v>Suffolk</v>
      </c>
      <c r="AO230" s="120" t="str">
        <f>IFERROR(VLOOKUP(Table1[RespondentID],'All Data'!$A$3:$CO$999,90,FALSE),"unknown")</f>
        <v>Commack, 11725</v>
      </c>
      <c r="AP230" s="120" t="str">
        <f>IFERROR(VLOOKUP(Table1[RespondentID],'All Data'!$A$3:$CO$999,91,FALSE),"unknown")</f>
        <v>White</v>
      </c>
      <c r="AQ230" s="120" t="str">
        <f>IFERROR(VLOOKUP(Table1[RespondentID],'All Data'!$A$3:$CO$999,92,FALSE),"unknown")</f>
        <v>Hispanic or Latino</v>
      </c>
      <c r="AR230" s="120" t="str">
        <f>IFERROR(VLOOKUP(Table1[RespondentID],'All Data'!$A$3:$CO$999,93,FALSE),"unknown")</f>
        <v>English, Italian</v>
      </c>
      <c r="AS230" s="120" t="str">
        <f>IFERROR(VLOOKUP(Table1[RespondentID],'All Data'!$A$3:$CW$999,94,FALSE),"unknown")</f>
        <v>$75,000 to $125,000</v>
      </c>
      <c r="AT230" s="120" t="str">
        <f>IFERROR(VLOOKUP(Table1[RespondentID],'All Data'!$A$3:$CW$999,95,FALSE),"unknown")</f>
        <v>Some high school</v>
      </c>
      <c r="AU230" s="120" t="str">
        <f>IFERROR(VLOOKUP(Table1[RespondentID],'All Data'!$A$3:$CW$999,96,FALSE),"unknown")</f>
        <v>Student</v>
      </c>
      <c r="AV230" s="120" t="str">
        <f>IFERROR(VLOOKUP(Table1[RespondentID],'All Data'!$A$3:$CW$999,97,FALSE),"unknown")</f>
        <v>Yes</v>
      </c>
      <c r="AW230" s="120">
        <f>IFERROR(VLOOKUP(Table1[RespondentID],'All Data'!$A$3:$CW$999,98,FALSE),"unknown")</f>
        <v>0</v>
      </c>
      <c r="AX230" s="120">
        <f>IFERROR(VLOOKUP(Table1[RespondentID],'All Data'!$A$3:$CW$999,99,FALSE),"unknown")</f>
        <v>0</v>
      </c>
    </row>
    <row r="231" spans="1:50">
      <c r="A231" s="5">
        <v>18019102258</v>
      </c>
      <c r="B231" s="5"/>
      <c r="C231" s="5"/>
      <c r="D231" s="5"/>
      <c r="E231" s="5"/>
      <c r="F231" s="5" t="s">
        <v>20</v>
      </c>
      <c r="G231" s="5"/>
      <c r="H231" s="5" t="s">
        <v>22</v>
      </c>
      <c r="I231" s="5"/>
      <c r="J231" s="5"/>
      <c r="K231" s="5"/>
      <c r="L231" s="5"/>
      <c r="M231" s="5" t="s">
        <v>27</v>
      </c>
      <c r="N231" s="5"/>
      <c r="O231" s="7"/>
      <c r="P231" s="7">
        <f t="shared" si="54"/>
        <v>3</v>
      </c>
      <c r="Q231" s="9">
        <f t="shared" si="55"/>
        <v>1</v>
      </c>
      <c r="R231" s="7"/>
      <c r="S231" s="7">
        <f t="shared" si="56"/>
        <v>0</v>
      </c>
      <c r="T231" s="7">
        <f t="shared" si="57"/>
        <v>0</v>
      </c>
      <c r="U231" s="7">
        <f t="shared" si="58"/>
        <v>0</v>
      </c>
      <c r="V231" s="119">
        <f t="shared" si="59"/>
        <v>0</v>
      </c>
      <c r="W231" s="119">
        <f t="shared" si="60"/>
        <v>1</v>
      </c>
      <c r="X231" s="119">
        <f t="shared" si="61"/>
        <v>0</v>
      </c>
      <c r="Y231" s="119">
        <f t="shared" si="62"/>
        <v>1</v>
      </c>
      <c r="Z231" s="119">
        <f t="shared" si="63"/>
        <v>0</v>
      </c>
      <c r="AA231" s="119">
        <f t="shared" si="64"/>
        <v>0</v>
      </c>
      <c r="AB231" s="119">
        <f t="shared" si="65"/>
        <v>0</v>
      </c>
      <c r="AC231" s="119">
        <f t="shared" si="66"/>
        <v>0</v>
      </c>
      <c r="AD231" s="119">
        <f t="shared" si="67"/>
        <v>1</v>
      </c>
      <c r="AE231" s="119">
        <f t="shared" si="68"/>
        <v>0</v>
      </c>
      <c r="AF231" s="7"/>
      <c r="AG231" s="7"/>
      <c r="AH231" s="7">
        <f t="shared" si="69"/>
        <v>3</v>
      </c>
      <c r="AI231" s="7">
        <f t="shared" si="70"/>
        <v>3</v>
      </c>
      <c r="AJ231" s="7" t="str">
        <f t="shared" si="71"/>
        <v>Correct</v>
      </c>
      <c r="AK231" s="7"/>
      <c r="AL231" s="120" t="str">
        <f>IFERROR(VLOOKUP(Table1[RespondentID],'All Data'!$A$3:$CO$999,87,FALSE),"unknown")</f>
        <v>Woman</v>
      </c>
      <c r="AM231" s="120">
        <f>IFERROR(VLOOKUP(Table1[RespondentID],'All Data'!$A$3:$CO$999,88,FALSE),"unknown")</f>
        <v>84</v>
      </c>
      <c r="AN231" s="120" t="str">
        <f>IFERROR(VLOOKUP(Table1[RespondentID],'All Data'!$A$3:$CO$999,89,FALSE),"unknown")</f>
        <v>Suffolk</v>
      </c>
      <c r="AO231" s="120" t="str">
        <f>IFERROR(VLOOKUP(Table1[RespondentID],'All Data'!$A$3:$CO$999,90,FALSE),"unknown")</f>
        <v>Smithtown, 11787</v>
      </c>
      <c r="AP231" s="120" t="str">
        <f>IFERROR(VLOOKUP(Table1[RespondentID],'All Data'!$A$3:$CO$999,91,FALSE),"unknown")</f>
        <v>Asian</v>
      </c>
      <c r="AQ231" s="120" t="str">
        <f>IFERROR(VLOOKUP(Table1[RespondentID],'All Data'!$A$3:$CO$999,92,FALSE),"unknown")</f>
        <v>Not Hispanic or Latino</v>
      </c>
      <c r="AR231" s="120" t="str">
        <f>IFERROR(VLOOKUP(Table1[RespondentID],'All Data'!$A$3:$CO$999,93,FALSE),"unknown")</f>
        <v>English, Spanish</v>
      </c>
      <c r="AS231" s="120" t="str">
        <f>IFERROR(VLOOKUP(Table1[RespondentID],'All Data'!$A$3:$CW$999,94,FALSE),"unknown")</f>
        <v>$75,000 to $125,000</v>
      </c>
      <c r="AT231" s="120" t="str">
        <f>IFERROR(VLOOKUP(Table1[RespondentID],'All Data'!$A$3:$CW$999,95,FALSE),"unknown")</f>
        <v>College graduate</v>
      </c>
      <c r="AU231" s="120" t="str">
        <f>IFERROR(VLOOKUP(Table1[RespondentID],'All Data'!$A$3:$CW$999,96,FALSE),"unknown")</f>
        <v>Retired</v>
      </c>
      <c r="AV231" s="120" t="str">
        <f>IFERROR(VLOOKUP(Table1[RespondentID],'All Data'!$A$3:$CW$999,97,FALSE),"unknown")</f>
        <v>Yes</v>
      </c>
      <c r="AW231" s="120">
        <f>IFERROR(VLOOKUP(Table1[RespondentID],'All Data'!$A$3:$CW$999,98,FALSE),"unknown")</f>
        <v>0</v>
      </c>
      <c r="AX231" s="120">
        <f>IFERROR(VLOOKUP(Table1[RespondentID],'All Data'!$A$3:$CW$999,99,FALSE),"unknown")</f>
        <v>0</v>
      </c>
    </row>
    <row r="232" spans="1:50">
      <c r="A232" s="5">
        <v>18019102072</v>
      </c>
      <c r="B232" s="5"/>
      <c r="C232" s="5"/>
      <c r="D232" s="5" t="s">
        <v>18</v>
      </c>
      <c r="E232" s="5"/>
      <c r="F232" s="5"/>
      <c r="G232" s="5"/>
      <c r="H232" s="5" t="s">
        <v>22</v>
      </c>
      <c r="I232" s="5"/>
      <c r="J232" s="5"/>
      <c r="K232" s="5"/>
      <c r="L232" s="5"/>
      <c r="M232" s="5" t="s">
        <v>27</v>
      </c>
      <c r="N232" s="5"/>
      <c r="O232" s="7"/>
      <c r="P232" s="7">
        <f t="shared" si="54"/>
        <v>3</v>
      </c>
      <c r="Q232" s="8">
        <f t="shared" si="55"/>
        <v>1</v>
      </c>
      <c r="R232" s="7"/>
      <c r="S232" s="7">
        <f t="shared" si="56"/>
        <v>0</v>
      </c>
      <c r="T232" s="7">
        <f t="shared" si="57"/>
        <v>0</v>
      </c>
      <c r="U232" s="7">
        <f t="shared" si="58"/>
        <v>1</v>
      </c>
      <c r="V232" s="119">
        <f t="shared" si="59"/>
        <v>0</v>
      </c>
      <c r="W232" s="119">
        <f t="shared" si="60"/>
        <v>0</v>
      </c>
      <c r="X232" s="119">
        <f t="shared" si="61"/>
        <v>0</v>
      </c>
      <c r="Y232" s="119">
        <f t="shared" si="62"/>
        <v>1</v>
      </c>
      <c r="Z232" s="119">
        <f t="shared" si="63"/>
        <v>0</v>
      </c>
      <c r="AA232" s="119">
        <f t="shared" si="64"/>
        <v>0</v>
      </c>
      <c r="AB232" s="119">
        <f t="shared" si="65"/>
        <v>0</v>
      </c>
      <c r="AC232" s="119">
        <f t="shared" si="66"/>
        <v>0</v>
      </c>
      <c r="AD232" s="119">
        <f t="shared" si="67"/>
        <v>1</v>
      </c>
      <c r="AE232" s="119">
        <f t="shared" si="68"/>
        <v>0</v>
      </c>
      <c r="AF232" s="7"/>
      <c r="AG232" s="7"/>
      <c r="AH232" s="7">
        <f t="shared" si="69"/>
        <v>3</v>
      </c>
      <c r="AI232" s="7">
        <f t="shared" si="70"/>
        <v>3</v>
      </c>
      <c r="AJ232" s="7" t="str">
        <f t="shared" si="71"/>
        <v>Correct</v>
      </c>
      <c r="AK232" s="7"/>
      <c r="AL232" s="120" t="str">
        <f>IFERROR(VLOOKUP(Table1[RespondentID],'All Data'!$A$3:$CO$999,87,FALSE),"unknown")</f>
        <v>Man</v>
      </c>
      <c r="AM232" s="120">
        <f>IFERROR(VLOOKUP(Table1[RespondentID],'All Data'!$A$3:$CO$999,88,FALSE),"unknown")</f>
        <v>92</v>
      </c>
      <c r="AN232" s="120" t="str">
        <f>IFERROR(VLOOKUP(Table1[RespondentID],'All Data'!$A$3:$CO$999,89,FALSE),"unknown")</f>
        <v>Suffolk</v>
      </c>
      <c r="AO232" s="120" t="str">
        <f>IFERROR(VLOOKUP(Table1[RespondentID],'All Data'!$A$3:$CO$999,90,FALSE),"unknown")</f>
        <v>Commack, 11725</v>
      </c>
      <c r="AP232" s="120" t="str">
        <f>IFERROR(VLOOKUP(Table1[RespondentID],'All Data'!$A$3:$CO$999,91,FALSE),"unknown")</f>
        <v>Asian</v>
      </c>
      <c r="AQ232" s="120" t="str">
        <f>IFERROR(VLOOKUP(Table1[RespondentID],'All Data'!$A$3:$CO$999,92,FALSE),"unknown")</f>
        <v>Not Hispanic or Latino</v>
      </c>
      <c r="AR232" s="120" t="str">
        <f>IFERROR(VLOOKUP(Table1[RespondentID],'All Data'!$A$3:$CO$999,93,FALSE),"unknown")</f>
        <v>English, Spanish, Italian</v>
      </c>
      <c r="AS232" s="120" t="str">
        <f>IFERROR(VLOOKUP(Table1[RespondentID],'All Data'!$A$3:$CW$999,94,FALSE),"unknown")</f>
        <v>$35,000 to $49,999</v>
      </c>
      <c r="AT232" s="120" t="str">
        <f>IFERROR(VLOOKUP(Table1[RespondentID],'All Data'!$A$3:$CW$999,95,FALSE),"unknown")</f>
        <v>Graduate school</v>
      </c>
      <c r="AU232" s="120" t="str">
        <f>IFERROR(VLOOKUP(Table1[RespondentID],'All Data'!$A$3:$CW$999,96,FALSE),"unknown")</f>
        <v>Retired</v>
      </c>
      <c r="AV232" s="120" t="str">
        <f>IFERROR(VLOOKUP(Table1[RespondentID],'All Data'!$A$3:$CW$999,97,FALSE),"unknown")</f>
        <v>Yes</v>
      </c>
      <c r="AW232" s="120">
        <f>IFERROR(VLOOKUP(Table1[RespondentID],'All Data'!$A$3:$CW$999,98,FALSE),"unknown")</f>
        <v>0</v>
      </c>
      <c r="AX232" s="120">
        <f>IFERROR(VLOOKUP(Table1[RespondentID],'All Data'!$A$3:$CW$999,99,FALSE),"unknown")</f>
        <v>0</v>
      </c>
    </row>
    <row r="233" spans="1:50">
      <c r="A233" s="5">
        <v>18019101896</v>
      </c>
      <c r="B233" s="5"/>
      <c r="C233" s="5"/>
      <c r="D233" s="5" t="s">
        <v>18</v>
      </c>
      <c r="E233" s="5"/>
      <c r="F233" s="5"/>
      <c r="G233" s="5" t="s">
        <v>21</v>
      </c>
      <c r="H233" s="5"/>
      <c r="I233" s="5"/>
      <c r="J233" s="5"/>
      <c r="K233" s="5" t="s">
        <v>25</v>
      </c>
      <c r="L233" s="5"/>
      <c r="M233" s="5"/>
      <c r="N233" s="5"/>
      <c r="O233" s="7"/>
      <c r="P233" s="7">
        <f t="shared" si="54"/>
        <v>3</v>
      </c>
      <c r="Q233" s="9">
        <f t="shared" si="55"/>
        <v>1</v>
      </c>
      <c r="R233" s="7"/>
      <c r="S233" s="7">
        <f t="shared" si="56"/>
        <v>0</v>
      </c>
      <c r="T233" s="7">
        <f t="shared" si="57"/>
        <v>0</v>
      </c>
      <c r="U233" s="7">
        <f t="shared" si="58"/>
        <v>1</v>
      </c>
      <c r="V233" s="119">
        <f t="shared" si="59"/>
        <v>0</v>
      </c>
      <c r="W233" s="119">
        <f t="shared" si="60"/>
        <v>0</v>
      </c>
      <c r="X233" s="119">
        <f t="shared" si="61"/>
        <v>1</v>
      </c>
      <c r="Y233" s="119">
        <f t="shared" si="62"/>
        <v>0</v>
      </c>
      <c r="Z233" s="119">
        <f t="shared" si="63"/>
        <v>0</v>
      </c>
      <c r="AA233" s="119">
        <f t="shared" si="64"/>
        <v>0</v>
      </c>
      <c r="AB233" s="119">
        <f t="shared" si="65"/>
        <v>1</v>
      </c>
      <c r="AC233" s="119">
        <f t="shared" si="66"/>
        <v>0</v>
      </c>
      <c r="AD233" s="119">
        <f t="shared" si="67"/>
        <v>0</v>
      </c>
      <c r="AE233" s="119">
        <f t="shared" si="68"/>
        <v>0</v>
      </c>
      <c r="AF233" s="7"/>
      <c r="AG233" s="7"/>
      <c r="AH233" s="7">
        <f t="shared" si="69"/>
        <v>3</v>
      </c>
      <c r="AI233" s="7">
        <f t="shared" si="70"/>
        <v>3</v>
      </c>
      <c r="AJ233" s="7" t="str">
        <f t="shared" si="71"/>
        <v>Correct</v>
      </c>
      <c r="AK233" s="7"/>
      <c r="AL233" s="120" t="str">
        <f>IFERROR(VLOOKUP(Table1[RespondentID],'All Data'!$A$3:$CO$999,87,FALSE),"unknown")</f>
        <v>Man</v>
      </c>
      <c r="AM233" s="120">
        <f>IFERROR(VLOOKUP(Table1[RespondentID],'All Data'!$A$3:$CO$999,88,FALSE),"unknown")</f>
        <v>63</v>
      </c>
      <c r="AN233" s="120" t="str">
        <f>IFERROR(VLOOKUP(Table1[RespondentID],'All Data'!$A$3:$CO$999,89,FALSE),"unknown")</f>
        <v>Suffolk</v>
      </c>
      <c r="AO233" s="120" t="str">
        <f>IFERROR(VLOOKUP(Table1[RespondentID],'All Data'!$A$3:$CO$999,90,FALSE),"unknown")</f>
        <v>Smithtown, 11787</v>
      </c>
      <c r="AP233" s="120" t="str">
        <f>IFERROR(VLOOKUP(Table1[RespondentID],'All Data'!$A$3:$CO$999,91,FALSE),"unknown")</f>
        <v>Native Hawaiian and Other Pacific Islander</v>
      </c>
      <c r="AQ233" s="120" t="str">
        <f>IFERROR(VLOOKUP(Table1[RespondentID],'All Data'!$A$3:$CO$999,92,FALSE),"unknown")</f>
        <v>Hispanic or Latino</v>
      </c>
      <c r="AR233" s="120" t="str">
        <f>IFERROR(VLOOKUP(Table1[RespondentID],'All Data'!$A$3:$CO$999,93,FALSE),"unknown")</f>
        <v>English</v>
      </c>
      <c r="AS233" s="120" t="str">
        <f>IFERROR(VLOOKUP(Table1[RespondentID],'All Data'!$A$3:$CW$999,94,FALSE),"unknown")</f>
        <v>$75,000 to $125,000</v>
      </c>
      <c r="AT233" s="120" t="str">
        <f>IFERROR(VLOOKUP(Table1[RespondentID],'All Data'!$A$3:$CW$999,95,FALSE),"unknown")</f>
        <v>College graduate</v>
      </c>
      <c r="AU233" s="120" t="str">
        <f>IFERROR(VLOOKUP(Table1[RespondentID],'All Data'!$A$3:$CW$999,96,FALSE),"unknown")</f>
        <v>Employed for wages</v>
      </c>
      <c r="AV233" s="120" t="str">
        <f>IFERROR(VLOOKUP(Table1[RespondentID],'All Data'!$A$3:$CW$999,97,FALSE),"unknown")</f>
        <v>Yes</v>
      </c>
      <c r="AW233" s="120">
        <f>IFERROR(VLOOKUP(Table1[RespondentID],'All Data'!$A$3:$CW$999,98,FALSE),"unknown")</f>
        <v>0</v>
      </c>
      <c r="AX233" s="120">
        <f>IFERROR(VLOOKUP(Table1[RespondentID],'All Data'!$A$3:$CW$999,99,FALSE),"unknown")</f>
        <v>0</v>
      </c>
    </row>
    <row r="234" spans="1:50">
      <c r="A234" s="5">
        <v>18019101753</v>
      </c>
      <c r="B234" s="5"/>
      <c r="C234" s="5"/>
      <c r="D234" s="5"/>
      <c r="E234" s="5" t="s">
        <v>19</v>
      </c>
      <c r="F234" s="5"/>
      <c r="G234" s="5"/>
      <c r="H234" s="5"/>
      <c r="I234" s="5"/>
      <c r="J234" s="5"/>
      <c r="K234" s="5" t="s">
        <v>25</v>
      </c>
      <c r="L234" s="5"/>
      <c r="M234" s="5"/>
      <c r="N234" s="5" t="s">
        <v>28</v>
      </c>
      <c r="O234" s="7"/>
      <c r="P234" s="7">
        <f t="shared" si="54"/>
        <v>3</v>
      </c>
      <c r="Q234" s="8">
        <f t="shared" si="55"/>
        <v>1</v>
      </c>
      <c r="R234" s="7"/>
      <c r="S234" s="7">
        <f t="shared" si="56"/>
        <v>0</v>
      </c>
      <c r="T234" s="7">
        <f t="shared" si="57"/>
        <v>0</v>
      </c>
      <c r="U234" s="7">
        <f t="shared" si="58"/>
        <v>0</v>
      </c>
      <c r="V234" s="119">
        <f t="shared" si="59"/>
        <v>1</v>
      </c>
      <c r="W234" s="119">
        <f t="shared" si="60"/>
        <v>0</v>
      </c>
      <c r="X234" s="119">
        <f t="shared" si="61"/>
        <v>0</v>
      </c>
      <c r="Y234" s="119">
        <f t="shared" si="62"/>
        <v>0</v>
      </c>
      <c r="Z234" s="119">
        <f t="shared" si="63"/>
        <v>0</v>
      </c>
      <c r="AA234" s="119">
        <f t="shared" si="64"/>
        <v>0</v>
      </c>
      <c r="AB234" s="119">
        <f t="shared" si="65"/>
        <v>1</v>
      </c>
      <c r="AC234" s="119">
        <f t="shared" si="66"/>
        <v>0</v>
      </c>
      <c r="AD234" s="119">
        <f t="shared" si="67"/>
        <v>0</v>
      </c>
      <c r="AE234" s="119">
        <f t="shared" si="68"/>
        <v>1</v>
      </c>
      <c r="AF234" s="7"/>
      <c r="AG234" s="7"/>
      <c r="AH234" s="7">
        <f t="shared" si="69"/>
        <v>3</v>
      </c>
      <c r="AI234" s="7">
        <f t="shared" si="70"/>
        <v>3</v>
      </c>
      <c r="AJ234" s="7" t="str">
        <f t="shared" si="71"/>
        <v>Correct</v>
      </c>
      <c r="AK234" s="7"/>
      <c r="AL234" s="120" t="str">
        <f>IFERROR(VLOOKUP(Table1[RespondentID],'All Data'!$A$3:$CO$999,87,FALSE),"unknown")</f>
        <v>Woman</v>
      </c>
      <c r="AM234" s="120">
        <f>IFERROR(VLOOKUP(Table1[RespondentID],'All Data'!$A$3:$CO$999,88,FALSE),"unknown")</f>
        <v>22</v>
      </c>
      <c r="AN234" s="120" t="str">
        <f>IFERROR(VLOOKUP(Table1[RespondentID],'All Data'!$A$3:$CO$999,89,FALSE),"unknown")</f>
        <v>Suffolk</v>
      </c>
      <c r="AO234" s="120" t="str">
        <f>IFERROR(VLOOKUP(Table1[RespondentID],'All Data'!$A$3:$CO$999,90,FALSE),"unknown")</f>
        <v>Commack, 11725</v>
      </c>
      <c r="AP234" s="120" t="str">
        <f>IFERROR(VLOOKUP(Table1[RespondentID],'All Data'!$A$3:$CO$999,91,FALSE),"unknown")</f>
        <v>Asian</v>
      </c>
      <c r="AQ234" s="120" t="str">
        <f>IFERROR(VLOOKUP(Table1[RespondentID],'All Data'!$A$3:$CO$999,92,FALSE),"unknown")</f>
        <v>Not Hispanic or Latino</v>
      </c>
      <c r="AR234" s="120" t="str">
        <f>IFERROR(VLOOKUP(Table1[RespondentID],'All Data'!$A$3:$CO$999,93,FALSE),"unknown")</f>
        <v>English, Spanish, Polish</v>
      </c>
      <c r="AS234" s="120">
        <f>IFERROR(VLOOKUP(Table1[RespondentID],'All Data'!$A$3:$CW$999,94,FALSE),"unknown")</f>
        <v>0</v>
      </c>
      <c r="AT234" s="120" t="str">
        <f>IFERROR(VLOOKUP(Table1[RespondentID],'All Data'!$A$3:$CW$999,95,FALSE),"unknown")</f>
        <v>Some college</v>
      </c>
      <c r="AU234" s="120" t="str">
        <f>IFERROR(VLOOKUP(Table1[RespondentID],'All Data'!$A$3:$CW$999,96,FALSE),"unknown")</f>
        <v>Student</v>
      </c>
      <c r="AV234" s="120" t="str">
        <f>IFERROR(VLOOKUP(Table1[RespondentID],'All Data'!$A$3:$CW$999,97,FALSE),"unknown")</f>
        <v>Yes</v>
      </c>
      <c r="AW234" s="120">
        <f>IFERROR(VLOOKUP(Table1[RespondentID],'All Data'!$A$3:$CW$999,98,FALSE),"unknown")</f>
        <v>0</v>
      </c>
      <c r="AX234" s="120">
        <f>IFERROR(VLOOKUP(Table1[RespondentID],'All Data'!$A$3:$CW$999,99,FALSE),"unknown")</f>
        <v>0</v>
      </c>
    </row>
    <row r="235" spans="1:50">
      <c r="A235" s="5">
        <v>18019101576</v>
      </c>
      <c r="B235" s="5"/>
      <c r="C235" s="5"/>
      <c r="D235" s="5" t="s">
        <v>18</v>
      </c>
      <c r="E235" s="5" t="s">
        <v>19</v>
      </c>
      <c r="F235" s="5"/>
      <c r="G235" s="5"/>
      <c r="H235" s="5"/>
      <c r="I235" s="5"/>
      <c r="J235" s="5"/>
      <c r="K235" s="5" t="s">
        <v>25</v>
      </c>
      <c r="L235" s="5"/>
      <c r="M235" s="5"/>
      <c r="N235" s="5"/>
      <c r="O235" s="7"/>
      <c r="P235" s="7">
        <f t="shared" si="54"/>
        <v>3</v>
      </c>
      <c r="Q235" s="9">
        <f t="shared" si="55"/>
        <v>1</v>
      </c>
      <c r="R235" s="7"/>
      <c r="S235" s="7">
        <f t="shared" si="56"/>
        <v>0</v>
      </c>
      <c r="T235" s="7">
        <f t="shared" si="57"/>
        <v>0</v>
      </c>
      <c r="U235" s="7">
        <f t="shared" si="58"/>
        <v>1</v>
      </c>
      <c r="V235" s="119">
        <f t="shared" si="59"/>
        <v>1</v>
      </c>
      <c r="W235" s="119">
        <f t="shared" si="60"/>
        <v>0</v>
      </c>
      <c r="X235" s="119">
        <f t="shared" si="61"/>
        <v>0</v>
      </c>
      <c r="Y235" s="119">
        <f t="shared" si="62"/>
        <v>0</v>
      </c>
      <c r="Z235" s="119">
        <f t="shared" si="63"/>
        <v>0</v>
      </c>
      <c r="AA235" s="119">
        <f t="shared" si="64"/>
        <v>0</v>
      </c>
      <c r="AB235" s="119">
        <f t="shared" si="65"/>
        <v>1</v>
      </c>
      <c r="AC235" s="119">
        <f t="shared" si="66"/>
        <v>0</v>
      </c>
      <c r="AD235" s="119">
        <f t="shared" si="67"/>
        <v>0</v>
      </c>
      <c r="AE235" s="119">
        <f t="shared" si="68"/>
        <v>0</v>
      </c>
      <c r="AF235" s="7"/>
      <c r="AG235" s="7"/>
      <c r="AH235" s="7">
        <f t="shared" si="69"/>
        <v>3</v>
      </c>
      <c r="AI235" s="7">
        <f t="shared" si="70"/>
        <v>3</v>
      </c>
      <c r="AJ235" s="7" t="str">
        <f t="shared" si="71"/>
        <v>Correct</v>
      </c>
      <c r="AK235" s="7"/>
      <c r="AL235" s="120">
        <f>IFERROR(VLOOKUP(Table1[RespondentID],'All Data'!$A$3:$CO$999,87,FALSE),"unknown")</f>
        <v>0</v>
      </c>
      <c r="AM235" s="120">
        <f>IFERROR(VLOOKUP(Table1[RespondentID],'All Data'!$A$3:$CO$999,88,FALSE),"unknown")</f>
        <v>0</v>
      </c>
      <c r="AN235" s="120">
        <f>IFERROR(VLOOKUP(Table1[RespondentID],'All Data'!$A$3:$CO$999,89,FALSE),"unknown")</f>
        <v>0</v>
      </c>
      <c r="AO235" s="120">
        <f>IFERROR(VLOOKUP(Table1[RespondentID],'All Data'!$A$3:$CO$999,90,FALSE),"unknown")</f>
        <v>0</v>
      </c>
      <c r="AP235" s="120">
        <f>IFERROR(VLOOKUP(Table1[RespondentID],'All Data'!$A$3:$CO$999,91,FALSE),"unknown")</f>
        <v>0</v>
      </c>
      <c r="AQ235" s="120">
        <f>IFERROR(VLOOKUP(Table1[RespondentID],'All Data'!$A$3:$CO$999,92,FALSE),"unknown")</f>
        <v>0</v>
      </c>
      <c r="AR235" s="120">
        <f>IFERROR(VLOOKUP(Table1[RespondentID],'All Data'!$A$3:$CO$999,93,FALSE),"unknown")</f>
        <v>0</v>
      </c>
      <c r="AS235" s="120">
        <f>IFERROR(VLOOKUP(Table1[RespondentID],'All Data'!$A$3:$CW$999,94,FALSE),"unknown")</f>
        <v>0</v>
      </c>
      <c r="AT235" s="120">
        <f>IFERROR(VLOOKUP(Table1[RespondentID],'All Data'!$A$3:$CW$999,95,FALSE),"unknown")</f>
        <v>0</v>
      </c>
      <c r="AU235" s="120">
        <f>IFERROR(VLOOKUP(Table1[RespondentID],'All Data'!$A$3:$CW$999,96,FALSE),"unknown")</f>
        <v>0</v>
      </c>
      <c r="AV235" s="120">
        <f>IFERROR(VLOOKUP(Table1[RespondentID],'All Data'!$A$3:$CW$999,97,FALSE),"unknown")</f>
        <v>0</v>
      </c>
      <c r="AW235" s="120">
        <f>IFERROR(VLOOKUP(Table1[RespondentID],'All Data'!$A$3:$CW$999,98,FALSE),"unknown")</f>
        <v>0</v>
      </c>
      <c r="AX235" s="120">
        <f>IFERROR(VLOOKUP(Table1[RespondentID],'All Data'!$A$3:$CW$999,99,FALSE),"unknown")</f>
        <v>0</v>
      </c>
    </row>
    <row r="236" spans="1:50">
      <c r="A236" s="5">
        <v>18019101345</v>
      </c>
      <c r="B236" s="5"/>
      <c r="C236" s="5"/>
      <c r="D236" s="5" t="s">
        <v>18</v>
      </c>
      <c r="E236" s="5"/>
      <c r="F236" s="5"/>
      <c r="G236" s="5"/>
      <c r="H236" s="5"/>
      <c r="I236" s="5"/>
      <c r="J236" s="5"/>
      <c r="K236" s="5" t="s">
        <v>25</v>
      </c>
      <c r="L236" s="5"/>
      <c r="M236" s="5"/>
      <c r="N236" s="5" t="s">
        <v>28</v>
      </c>
      <c r="O236" s="7"/>
      <c r="P236" s="7">
        <f t="shared" si="54"/>
        <v>3</v>
      </c>
      <c r="Q236" s="8">
        <f t="shared" si="55"/>
        <v>1</v>
      </c>
      <c r="R236" s="7"/>
      <c r="S236" s="7">
        <f t="shared" si="56"/>
        <v>0</v>
      </c>
      <c r="T236" s="7">
        <f t="shared" si="57"/>
        <v>0</v>
      </c>
      <c r="U236" s="7">
        <f t="shared" si="58"/>
        <v>1</v>
      </c>
      <c r="V236" s="119">
        <f t="shared" si="59"/>
        <v>0</v>
      </c>
      <c r="W236" s="119">
        <f t="shared" si="60"/>
        <v>0</v>
      </c>
      <c r="X236" s="119">
        <f t="shared" si="61"/>
        <v>0</v>
      </c>
      <c r="Y236" s="119">
        <f t="shared" si="62"/>
        <v>0</v>
      </c>
      <c r="Z236" s="119">
        <f t="shared" si="63"/>
        <v>0</v>
      </c>
      <c r="AA236" s="119">
        <f t="shared" si="64"/>
        <v>0</v>
      </c>
      <c r="AB236" s="119">
        <f t="shared" si="65"/>
        <v>1</v>
      </c>
      <c r="AC236" s="119">
        <f t="shared" si="66"/>
        <v>0</v>
      </c>
      <c r="AD236" s="119">
        <f t="shared" si="67"/>
        <v>0</v>
      </c>
      <c r="AE236" s="119">
        <f t="shared" si="68"/>
        <v>1</v>
      </c>
      <c r="AF236" s="7"/>
      <c r="AG236" s="7"/>
      <c r="AH236" s="7">
        <f t="shared" si="69"/>
        <v>3</v>
      </c>
      <c r="AI236" s="7">
        <f t="shared" si="70"/>
        <v>3</v>
      </c>
      <c r="AJ236" s="7" t="str">
        <f t="shared" si="71"/>
        <v>Correct</v>
      </c>
      <c r="AK236" s="7"/>
      <c r="AL236" s="120" t="str">
        <f>IFERROR(VLOOKUP(Table1[RespondentID],'All Data'!$A$3:$CO$999,87,FALSE),"unknown")</f>
        <v>Man</v>
      </c>
      <c r="AM236" s="120">
        <f>IFERROR(VLOOKUP(Table1[RespondentID],'All Data'!$A$3:$CO$999,88,FALSE),"unknown")</f>
        <v>82</v>
      </c>
      <c r="AN236" s="120" t="str">
        <f>IFERROR(VLOOKUP(Table1[RespondentID],'All Data'!$A$3:$CO$999,89,FALSE),"unknown")</f>
        <v>Suffolk</v>
      </c>
      <c r="AO236" s="120" t="str">
        <f>IFERROR(VLOOKUP(Table1[RespondentID],'All Data'!$A$3:$CO$999,90,FALSE),"unknown")</f>
        <v>Smithtown, 11787</v>
      </c>
      <c r="AP236" s="120" t="str">
        <f>IFERROR(VLOOKUP(Table1[RespondentID],'All Data'!$A$3:$CO$999,91,FALSE),"unknown")</f>
        <v>Black or African American</v>
      </c>
      <c r="AQ236" s="120" t="str">
        <f>IFERROR(VLOOKUP(Table1[RespondentID],'All Data'!$A$3:$CO$999,92,FALSE),"unknown")</f>
        <v>Hispanic or Latino</v>
      </c>
      <c r="AR236" s="120" t="str">
        <f>IFERROR(VLOOKUP(Table1[RespondentID],'All Data'!$A$3:$CO$999,93,FALSE),"unknown")</f>
        <v>English</v>
      </c>
      <c r="AS236" s="120" t="str">
        <f>IFERROR(VLOOKUP(Table1[RespondentID],'All Data'!$A$3:$CW$999,94,FALSE),"unknown")</f>
        <v>$75,000 to $125,000</v>
      </c>
      <c r="AT236" s="120" t="str">
        <f>IFERROR(VLOOKUP(Table1[RespondentID],'All Data'!$A$3:$CW$999,95,FALSE),"unknown")</f>
        <v>Graduate school</v>
      </c>
      <c r="AU236" s="120" t="str">
        <f>IFERROR(VLOOKUP(Table1[RespondentID],'All Data'!$A$3:$CW$999,96,FALSE),"unknown")</f>
        <v>Retired</v>
      </c>
      <c r="AV236" s="120" t="str">
        <f>IFERROR(VLOOKUP(Table1[RespondentID],'All Data'!$A$3:$CW$999,97,FALSE),"unknown")</f>
        <v>Yes</v>
      </c>
      <c r="AW236" s="120">
        <f>IFERROR(VLOOKUP(Table1[RespondentID],'All Data'!$A$3:$CW$999,98,FALSE),"unknown")</f>
        <v>0</v>
      </c>
      <c r="AX236" s="120">
        <f>IFERROR(VLOOKUP(Table1[RespondentID],'All Data'!$A$3:$CW$999,99,FALSE),"unknown")</f>
        <v>0</v>
      </c>
    </row>
    <row r="237" spans="1:50">
      <c r="A237" s="5">
        <v>18019101072</v>
      </c>
      <c r="B237" s="5"/>
      <c r="C237" s="5" t="s">
        <v>17</v>
      </c>
      <c r="D237" s="5" t="s">
        <v>18</v>
      </c>
      <c r="E237" s="5"/>
      <c r="F237" s="5"/>
      <c r="G237" s="5"/>
      <c r="H237" s="5" t="s">
        <v>22</v>
      </c>
      <c r="I237" s="5"/>
      <c r="J237" s="5"/>
      <c r="K237" s="5"/>
      <c r="L237" s="5"/>
      <c r="M237" s="5"/>
      <c r="N237" s="5"/>
      <c r="O237" s="7"/>
      <c r="P237" s="7">
        <f t="shared" si="54"/>
        <v>3</v>
      </c>
      <c r="Q237" s="9">
        <f t="shared" si="55"/>
        <v>1</v>
      </c>
      <c r="R237" s="7"/>
      <c r="S237" s="7">
        <f t="shared" si="56"/>
        <v>0</v>
      </c>
      <c r="T237" s="7">
        <f t="shared" si="57"/>
        <v>1</v>
      </c>
      <c r="U237" s="7">
        <f t="shared" si="58"/>
        <v>1</v>
      </c>
      <c r="V237" s="119">
        <f t="shared" si="59"/>
        <v>0</v>
      </c>
      <c r="W237" s="119">
        <f t="shared" si="60"/>
        <v>0</v>
      </c>
      <c r="X237" s="119">
        <f t="shared" si="61"/>
        <v>0</v>
      </c>
      <c r="Y237" s="119">
        <f t="shared" si="62"/>
        <v>1</v>
      </c>
      <c r="Z237" s="119">
        <f t="shared" si="63"/>
        <v>0</v>
      </c>
      <c r="AA237" s="119">
        <f t="shared" si="64"/>
        <v>0</v>
      </c>
      <c r="AB237" s="119">
        <f t="shared" si="65"/>
        <v>0</v>
      </c>
      <c r="AC237" s="119">
        <f t="shared" si="66"/>
        <v>0</v>
      </c>
      <c r="AD237" s="119">
        <f t="shared" si="67"/>
        <v>0</v>
      </c>
      <c r="AE237" s="119">
        <f t="shared" si="68"/>
        <v>0</v>
      </c>
      <c r="AF237" s="7"/>
      <c r="AG237" s="7"/>
      <c r="AH237" s="7">
        <f t="shared" si="69"/>
        <v>3</v>
      </c>
      <c r="AI237" s="7">
        <f t="shared" si="70"/>
        <v>3</v>
      </c>
      <c r="AJ237" s="7" t="str">
        <f t="shared" si="71"/>
        <v>Correct</v>
      </c>
      <c r="AK237" s="7"/>
      <c r="AL237" s="120" t="str">
        <f>IFERROR(VLOOKUP(Table1[RespondentID],'All Data'!$A$3:$CO$999,87,FALSE),"unknown")</f>
        <v>Man</v>
      </c>
      <c r="AM237" s="120">
        <f>IFERROR(VLOOKUP(Table1[RespondentID],'All Data'!$A$3:$CO$999,88,FALSE),"unknown")</f>
        <v>18</v>
      </c>
      <c r="AN237" s="120" t="str">
        <f>IFERROR(VLOOKUP(Table1[RespondentID],'All Data'!$A$3:$CO$999,89,FALSE),"unknown")</f>
        <v>Suffolk</v>
      </c>
      <c r="AO237" s="120" t="str">
        <f>IFERROR(VLOOKUP(Table1[RespondentID],'All Data'!$A$3:$CO$999,90,FALSE),"unknown")</f>
        <v>Smithtown, 11787</v>
      </c>
      <c r="AP237" s="120" t="str">
        <f>IFERROR(VLOOKUP(Table1[RespondentID],'All Data'!$A$3:$CO$999,91,FALSE),"unknown")</f>
        <v>White</v>
      </c>
      <c r="AQ237" s="120" t="str">
        <f>IFERROR(VLOOKUP(Table1[RespondentID],'All Data'!$A$3:$CO$999,92,FALSE),"unknown")</f>
        <v>Hispanic or Latino</v>
      </c>
      <c r="AR237" s="120" t="str">
        <f>IFERROR(VLOOKUP(Table1[RespondentID],'All Data'!$A$3:$CO$999,93,FALSE),"unknown")</f>
        <v>English</v>
      </c>
      <c r="AS237" s="120" t="str">
        <f>IFERROR(VLOOKUP(Table1[RespondentID],'All Data'!$A$3:$CW$999,94,FALSE),"unknown")</f>
        <v>$20,000 to $34,999</v>
      </c>
      <c r="AT237" s="120" t="str">
        <f>IFERROR(VLOOKUP(Table1[RespondentID],'All Data'!$A$3:$CW$999,95,FALSE),"unknown")</f>
        <v>Some college</v>
      </c>
      <c r="AU237" s="120" t="str">
        <f>IFERROR(VLOOKUP(Table1[RespondentID],'All Data'!$A$3:$CW$999,96,FALSE),"unknown")</f>
        <v>Student</v>
      </c>
      <c r="AV237" s="120" t="str">
        <f>IFERROR(VLOOKUP(Table1[RespondentID],'All Data'!$A$3:$CW$999,97,FALSE),"unknown")</f>
        <v>Yes</v>
      </c>
      <c r="AW237" s="120">
        <f>IFERROR(VLOOKUP(Table1[RespondentID],'All Data'!$A$3:$CW$999,98,FALSE),"unknown")</f>
        <v>0</v>
      </c>
      <c r="AX237" s="120">
        <f>IFERROR(VLOOKUP(Table1[RespondentID],'All Data'!$A$3:$CW$999,99,FALSE),"unknown")</f>
        <v>0</v>
      </c>
    </row>
    <row r="238" spans="1:50">
      <c r="A238" s="5">
        <v>18019100917</v>
      </c>
      <c r="B238" s="5"/>
      <c r="C238" s="5"/>
      <c r="D238" s="5"/>
      <c r="E238" s="5"/>
      <c r="F238" s="5"/>
      <c r="G238" s="5"/>
      <c r="H238" s="5"/>
      <c r="I238" s="5" t="s">
        <v>23</v>
      </c>
      <c r="J238" s="5"/>
      <c r="K238" s="5"/>
      <c r="L238" s="5" t="s">
        <v>26</v>
      </c>
      <c r="M238" s="5"/>
      <c r="N238" s="5" t="s">
        <v>28</v>
      </c>
      <c r="O238" s="7"/>
      <c r="P238" s="7">
        <f t="shared" si="54"/>
        <v>3</v>
      </c>
      <c r="Q238" s="8">
        <f t="shared" si="55"/>
        <v>1</v>
      </c>
      <c r="R238" s="7"/>
      <c r="S238" s="7">
        <f t="shared" si="56"/>
        <v>0</v>
      </c>
      <c r="T238" s="7">
        <f t="shared" si="57"/>
        <v>0</v>
      </c>
      <c r="U238" s="7">
        <f t="shared" si="58"/>
        <v>0</v>
      </c>
      <c r="V238" s="119">
        <f t="shared" si="59"/>
        <v>0</v>
      </c>
      <c r="W238" s="119">
        <f t="shared" si="60"/>
        <v>0</v>
      </c>
      <c r="X238" s="119">
        <f t="shared" si="61"/>
        <v>0</v>
      </c>
      <c r="Y238" s="119">
        <f t="shared" si="62"/>
        <v>0</v>
      </c>
      <c r="Z238" s="119">
        <f t="shared" si="63"/>
        <v>1</v>
      </c>
      <c r="AA238" s="119">
        <f t="shared" si="64"/>
        <v>0</v>
      </c>
      <c r="AB238" s="119">
        <f t="shared" si="65"/>
        <v>0</v>
      </c>
      <c r="AC238" s="119">
        <f t="shared" si="66"/>
        <v>1</v>
      </c>
      <c r="AD238" s="119">
        <f t="shared" si="67"/>
        <v>0</v>
      </c>
      <c r="AE238" s="119">
        <f t="shared" si="68"/>
        <v>1</v>
      </c>
      <c r="AF238" s="7"/>
      <c r="AG238" s="7"/>
      <c r="AH238" s="7">
        <f t="shared" si="69"/>
        <v>3</v>
      </c>
      <c r="AI238" s="7">
        <f t="shared" si="70"/>
        <v>3</v>
      </c>
      <c r="AJ238" s="7" t="str">
        <f t="shared" si="71"/>
        <v>Correct</v>
      </c>
      <c r="AK238" s="7"/>
      <c r="AL238" s="120" t="str">
        <f>IFERROR(VLOOKUP(Table1[RespondentID],'All Data'!$A$3:$CO$999,87,FALSE),"unknown")</f>
        <v>Woman</v>
      </c>
      <c r="AM238" s="120">
        <f>IFERROR(VLOOKUP(Table1[RespondentID],'All Data'!$A$3:$CO$999,88,FALSE),"unknown")</f>
        <v>34</v>
      </c>
      <c r="AN238" s="120" t="str">
        <f>IFERROR(VLOOKUP(Table1[RespondentID],'All Data'!$A$3:$CO$999,89,FALSE),"unknown")</f>
        <v>Suffolk</v>
      </c>
      <c r="AO238" s="120" t="str">
        <f>IFERROR(VLOOKUP(Table1[RespondentID],'All Data'!$A$3:$CO$999,90,FALSE),"unknown")</f>
        <v>Huntington, 11743</v>
      </c>
      <c r="AP238" s="120" t="str">
        <f>IFERROR(VLOOKUP(Table1[RespondentID],'All Data'!$A$3:$CO$999,91,FALSE),"unknown")</f>
        <v>Native Hawaiian and Other Pacific Islander</v>
      </c>
      <c r="AQ238" s="120" t="str">
        <f>IFERROR(VLOOKUP(Table1[RespondentID],'All Data'!$A$3:$CO$999,92,FALSE),"unknown")</f>
        <v>Hispanic or Latino</v>
      </c>
      <c r="AR238" s="120" t="str">
        <f>IFERROR(VLOOKUP(Table1[RespondentID],'All Data'!$A$3:$CO$999,93,FALSE),"unknown")</f>
        <v>English</v>
      </c>
      <c r="AS238" s="120" t="str">
        <f>IFERROR(VLOOKUP(Table1[RespondentID],'All Data'!$A$3:$CW$999,94,FALSE),"unknown")</f>
        <v>$20,000 to $34,999</v>
      </c>
      <c r="AT238" s="120" t="str">
        <f>IFERROR(VLOOKUP(Table1[RespondentID],'All Data'!$A$3:$CW$999,95,FALSE),"unknown")</f>
        <v>Technical school</v>
      </c>
      <c r="AU238" s="120" t="str">
        <f>IFERROR(VLOOKUP(Table1[RespondentID],'All Data'!$A$3:$CW$999,96,FALSE),"unknown")</f>
        <v>Out of work and looking for work</v>
      </c>
      <c r="AV238" s="120" t="str">
        <f>IFERROR(VLOOKUP(Table1[RespondentID],'All Data'!$A$3:$CW$999,97,FALSE),"unknown")</f>
        <v>No</v>
      </c>
      <c r="AW238" s="120">
        <f>IFERROR(VLOOKUP(Table1[RespondentID],'All Data'!$A$3:$CW$999,98,FALSE),"unknown")</f>
        <v>0</v>
      </c>
      <c r="AX238" s="120">
        <f>IFERROR(VLOOKUP(Table1[RespondentID],'All Data'!$A$3:$CW$999,99,FALSE),"unknown")</f>
        <v>0</v>
      </c>
    </row>
    <row r="239" spans="1:50">
      <c r="A239" s="5">
        <v>18019100690</v>
      </c>
      <c r="B239" s="5"/>
      <c r="C239" s="5"/>
      <c r="D239" s="5" t="s">
        <v>18</v>
      </c>
      <c r="E239" s="5"/>
      <c r="F239" s="5" t="s">
        <v>20</v>
      </c>
      <c r="G239" s="5"/>
      <c r="H239" s="5"/>
      <c r="I239" s="5"/>
      <c r="J239" s="5"/>
      <c r="K239" s="5" t="s">
        <v>25</v>
      </c>
      <c r="L239" s="5"/>
      <c r="M239" s="5"/>
      <c r="N239" s="5"/>
      <c r="O239" s="7"/>
      <c r="P239" s="7">
        <f t="shared" si="54"/>
        <v>3</v>
      </c>
      <c r="Q239" s="9">
        <f t="shared" si="55"/>
        <v>1</v>
      </c>
      <c r="R239" s="7"/>
      <c r="S239" s="7">
        <f t="shared" si="56"/>
        <v>0</v>
      </c>
      <c r="T239" s="7">
        <f t="shared" si="57"/>
        <v>0</v>
      </c>
      <c r="U239" s="7">
        <f t="shared" si="58"/>
        <v>1</v>
      </c>
      <c r="V239" s="119">
        <f t="shared" si="59"/>
        <v>0</v>
      </c>
      <c r="W239" s="119">
        <f t="shared" si="60"/>
        <v>1</v>
      </c>
      <c r="X239" s="119">
        <f t="shared" si="61"/>
        <v>0</v>
      </c>
      <c r="Y239" s="119">
        <f t="shared" si="62"/>
        <v>0</v>
      </c>
      <c r="Z239" s="119">
        <f t="shared" si="63"/>
        <v>0</v>
      </c>
      <c r="AA239" s="119">
        <f t="shared" si="64"/>
        <v>0</v>
      </c>
      <c r="AB239" s="119">
        <f t="shared" si="65"/>
        <v>1</v>
      </c>
      <c r="AC239" s="119">
        <f t="shared" si="66"/>
        <v>0</v>
      </c>
      <c r="AD239" s="119">
        <f t="shared" si="67"/>
        <v>0</v>
      </c>
      <c r="AE239" s="119">
        <f t="shared" si="68"/>
        <v>0</v>
      </c>
      <c r="AF239" s="7"/>
      <c r="AG239" s="7"/>
      <c r="AH239" s="7">
        <f t="shared" si="69"/>
        <v>3</v>
      </c>
      <c r="AI239" s="7">
        <f t="shared" si="70"/>
        <v>3</v>
      </c>
      <c r="AJ239" s="7" t="str">
        <f t="shared" si="71"/>
        <v>Correct</v>
      </c>
      <c r="AK239" s="7"/>
      <c r="AL239" s="120" t="str">
        <f>IFERROR(VLOOKUP(Table1[RespondentID],'All Data'!$A$3:$CO$999,87,FALSE),"unknown")</f>
        <v>Woman</v>
      </c>
      <c r="AM239" s="120">
        <f>IFERROR(VLOOKUP(Table1[RespondentID],'All Data'!$A$3:$CO$999,88,FALSE),"unknown")</f>
        <v>28</v>
      </c>
      <c r="AN239" s="120" t="str">
        <f>IFERROR(VLOOKUP(Table1[RespondentID],'All Data'!$A$3:$CO$999,89,FALSE),"unknown")</f>
        <v>Suffolk</v>
      </c>
      <c r="AO239" s="120" t="str">
        <f>IFERROR(VLOOKUP(Table1[RespondentID],'All Data'!$A$3:$CO$999,90,FALSE),"unknown")</f>
        <v>Greenlawn, 11740</v>
      </c>
      <c r="AP239" s="120" t="str">
        <f>IFERROR(VLOOKUP(Table1[RespondentID],'All Data'!$A$3:$CO$999,91,FALSE),"unknown")</f>
        <v>White</v>
      </c>
      <c r="AQ239" s="120" t="str">
        <f>IFERROR(VLOOKUP(Table1[RespondentID],'All Data'!$A$3:$CO$999,92,FALSE),"unknown")</f>
        <v>Hispanic or Latino</v>
      </c>
      <c r="AR239" s="120" t="str">
        <f>IFERROR(VLOOKUP(Table1[RespondentID],'All Data'!$A$3:$CO$999,93,FALSE),"unknown")</f>
        <v>English</v>
      </c>
      <c r="AS239" s="120" t="str">
        <f>IFERROR(VLOOKUP(Table1[RespondentID],'All Data'!$A$3:$CW$999,94,FALSE),"unknown")</f>
        <v>$50,000 to $74,999</v>
      </c>
      <c r="AT239" s="120" t="str">
        <f>IFERROR(VLOOKUP(Table1[RespondentID],'All Data'!$A$3:$CW$999,95,FALSE),"unknown")</f>
        <v>College graduate</v>
      </c>
      <c r="AU239" s="120" t="str">
        <f>IFERROR(VLOOKUP(Table1[RespondentID],'All Data'!$A$3:$CW$999,96,FALSE),"unknown")</f>
        <v>Employed for wages</v>
      </c>
      <c r="AV239" s="120" t="str">
        <f>IFERROR(VLOOKUP(Table1[RespondentID],'All Data'!$A$3:$CW$999,97,FALSE),"unknown")</f>
        <v>Yes</v>
      </c>
      <c r="AW239" s="120">
        <f>IFERROR(VLOOKUP(Table1[RespondentID],'All Data'!$A$3:$CW$999,98,FALSE),"unknown")</f>
        <v>0</v>
      </c>
      <c r="AX239" s="120">
        <f>IFERROR(VLOOKUP(Table1[RespondentID],'All Data'!$A$3:$CW$999,99,FALSE),"unknown")</f>
        <v>0</v>
      </c>
    </row>
    <row r="240" spans="1:50">
      <c r="A240" s="5">
        <v>18019098685</v>
      </c>
      <c r="B240" s="5"/>
      <c r="C240" s="5"/>
      <c r="D240" s="5"/>
      <c r="E240" s="5" t="s">
        <v>19</v>
      </c>
      <c r="F240" s="5"/>
      <c r="G240" s="5"/>
      <c r="H240" s="5"/>
      <c r="I240" s="5"/>
      <c r="J240" s="5" t="s">
        <v>24</v>
      </c>
      <c r="K240" s="5" t="s">
        <v>25</v>
      </c>
      <c r="L240" s="5"/>
      <c r="M240" s="5"/>
      <c r="N240" s="5"/>
      <c r="O240" s="7"/>
      <c r="P240" s="7">
        <f t="shared" si="54"/>
        <v>3</v>
      </c>
      <c r="Q240" s="8">
        <f t="shared" si="55"/>
        <v>1</v>
      </c>
      <c r="R240" s="7"/>
      <c r="S240" s="7">
        <f t="shared" si="56"/>
        <v>0</v>
      </c>
      <c r="T240" s="7">
        <f t="shared" si="57"/>
        <v>0</v>
      </c>
      <c r="U240" s="7">
        <f t="shared" si="58"/>
        <v>0</v>
      </c>
      <c r="V240" s="119">
        <f t="shared" si="59"/>
        <v>1</v>
      </c>
      <c r="W240" s="119">
        <f t="shared" si="60"/>
        <v>0</v>
      </c>
      <c r="X240" s="119">
        <f t="shared" si="61"/>
        <v>0</v>
      </c>
      <c r="Y240" s="119">
        <f t="shared" si="62"/>
        <v>0</v>
      </c>
      <c r="Z240" s="119">
        <f t="shared" si="63"/>
        <v>0</v>
      </c>
      <c r="AA240" s="119">
        <f t="shared" si="64"/>
        <v>1</v>
      </c>
      <c r="AB240" s="119">
        <f t="shared" si="65"/>
        <v>1</v>
      </c>
      <c r="AC240" s="119">
        <f t="shared" si="66"/>
        <v>0</v>
      </c>
      <c r="AD240" s="119">
        <f t="shared" si="67"/>
        <v>0</v>
      </c>
      <c r="AE240" s="119">
        <f t="shared" si="68"/>
        <v>0</v>
      </c>
      <c r="AF240" s="7"/>
      <c r="AG240" s="7"/>
      <c r="AH240" s="7">
        <f t="shared" si="69"/>
        <v>3</v>
      </c>
      <c r="AI240" s="7">
        <f t="shared" si="70"/>
        <v>3</v>
      </c>
      <c r="AJ240" s="7" t="str">
        <f t="shared" si="71"/>
        <v>Correct</v>
      </c>
      <c r="AK240" s="7"/>
      <c r="AL240" s="120" t="str">
        <f>IFERROR(VLOOKUP(Table1[RespondentID],'All Data'!$A$3:$CO$999,87,FALSE),"unknown")</f>
        <v>Man</v>
      </c>
      <c r="AM240" s="120">
        <f>IFERROR(VLOOKUP(Table1[RespondentID],'All Data'!$A$3:$CO$999,88,FALSE),"unknown")</f>
        <v>27</v>
      </c>
      <c r="AN240" s="120" t="str">
        <f>IFERROR(VLOOKUP(Table1[RespondentID],'All Data'!$A$3:$CO$999,89,FALSE),"unknown")</f>
        <v>Suffolk</v>
      </c>
      <c r="AO240" s="120" t="str">
        <f>IFERROR(VLOOKUP(Table1[RespondentID],'All Data'!$A$3:$CO$999,90,FALSE),"unknown")</f>
        <v>Centerport, 11721</v>
      </c>
      <c r="AP240" s="120" t="str">
        <f>IFERROR(VLOOKUP(Table1[RespondentID],'All Data'!$A$3:$CO$999,91,FALSE),"unknown")</f>
        <v>White</v>
      </c>
      <c r="AQ240" s="120">
        <f>IFERROR(VLOOKUP(Table1[RespondentID],'All Data'!$A$3:$CO$999,92,FALSE),"unknown")</f>
        <v>0</v>
      </c>
      <c r="AR240" s="120" t="str">
        <f>IFERROR(VLOOKUP(Table1[RespondentID],'All Data'!$A$3:$CO$999,93,FALSE),"unknown")</f>
        <v>English, Spanish</v>
      </c>
      <c r="AS240" s="120" t="str">
        <f>IFERROR(VLOOKUP(Table1[RespondentID],'All Data'!$A$3:$CW$999,94,FALSE),"unknown")</f>
        <v>$75,000 to $125,000</v>
      </c>
      <c r="AT240" s="120" t="str">
        <f>IFERROR(VLOOKUP(Table1[RespondentID],'All Data'!$A$3:$CW$999,95,FALSE),"unknown")</f>
        <v>College graduate</v>
      </c>
      <c r="AU240" s="120" t="str">
        <f>IFERROR(VLOOKUP(Table1[RespondentID],'All Data'!$A$3:$CW$999,96,FALSE),"unknown")</f>
        <v>Student</v>
      </c>
      <c r="AV240" s="120" t="str">
        <f>IFERROR(VLOOKUP(Table1[RespondentID],'All Data'!$A$3:$CW$999,97,FALSE),"unknown")</f>
        <v>Yes</v>
      </c>
      <c r="AW240" s="120">
        <f>IFERROR(VLOOKUP(Table1[RespondentID],'All Data'!$A$3:$CW$999,98,FALSE),"unknown")</f>
        <v>0</v>
      </c>
      <c r="AX240" s="120">
        <f>IFERROR(VLOOKUP(Table1[RespondentID],'All Data'!$A$3:$CW$999,99,FALSE),"unknown")</f>
        <v>0</v>
      </c>
    </row>
    <row r="241" spans="1:50">
      <c r="A241" s="5">
        <v>18019098565</v>
      </c>
      <c r="B241" s="5"/>
      <c r="C241" s="5" t="s">
        <v>17</v>
      </c>
      <c r="D241" s="5"/>
      <c r="E241" s="5" t="s">
        <v>19</v>
      </c>
      <c r="F241" s="5"/>
      <c r="G241" s="5"/>
      <c r="H241" s="5"/>
      <c r="I241" s="5"/>
      <c r="J241" s="5"/>
      <c r="K241" s="5" t="s">
        <v>25</v>
      </c>
      <c r="L241" s="5"/>
      <c r="M241" s="5"/>
      <c r="N241" s="5"/>
      <c r="O241" s="7"/>
      <c r="P241" s="7">
        <f t="shared" si="54"/>
        <v>3</v>
      </c>
      <c r="Q241" s="9">
        <f t="shared" si="55"/>
        <v>1</v>
      </c>
      <c r="R241" s="7"/>
      <c r="S241" s="7">
        <f t="shared" si="56"/>
        <v>0</v>
      </c>
      <c r="T241" s="7">
        <f t="shared" si="57"/>
        <v>1</v>
      </c>
      <c r="U241" s="7">
        <f t="shared" si="58"/>
        <v>0</v>
      </c>
      <c r="V241" s="119">
        <f t="shared" si="59"/>
        <v>1</v>
      </c>
      <c r="W241" s="119">
        <f t="shared" si="60"/>
        <v>0</v>
      </c>
      <c r="X241" s="119">
        <f t="shared" si="61"/>
        <v>0</v>
      </c>
      <c r="Y241" s="119">
        <f t="shared" si="62"/>
        <v>0</v>
      </c>
      <c r="Z241" s="119">
        <f t="shared" si="63"/>
        <v>0</v>
      </c>
      <c r="AA241" s="119">
        <f t="shared" si="64"/>
        <v>0</v>
      </c>
      <c r="AB241" s="119">
        <f t="shared" si="65"/>
        <v>1</v>
      </c>
      <c r="AC241" s="119">
        <f t="shared" si="66"/>
        <v>0</v>
      </c>
      <c r="AD241" s="119">
        <f t="shared" si="67"/>
        <v>0</v>
      </c>
      <c r="AE241" s="119">
        <f t="shared" si="68"/>
        <v>0</v>
      </c>
      <c r="AF241" s="7"/>
      <c r="AG241" s="7"/>
      <c r="AH241" s="7">
        <f t="shared" si="69"/>
        <v>3</v>
      </c>
      <c r="AI241" s="7">
        <f t="shared" si="70"/>
        <v>3</v>
      </c>
      <c r="AJ241" s="7" t="str">
        <f t="shared" si="71"/>
        <v>Correct</v>
      </c>
      <c r="AK241" s="7"/>
      <c r="AL241" s="120" t="str">
        <f>IFERROR(VLOOKUP(Table1[RespondentID],'All Data'!$A$3:$CO$999,87,FALSE),"unknown")</f>
        <v>Man</v>
      </c>
      <c r="AM241" s="120">
        <f>IFERROR(VLOOKUP(Table1[RespondentID],'All Data'!$A$3:$CO$999,88,FALSE),"unknown")</f>
        <v>22</v>
      </c>
      <c r="AN241" s="120" t="str">
        <f>IFERROR(VLOOKUP(Table1[RespondentID],'All Data'!$A$3:$CO$999,89,FALSE),"unknown")</f>
        <v>Suffolk</v>
      </c>
      <c r="AO241" s="120" t="str">
        <f>IFERROR(VLOOKUP(Table1[RespondentID],'All Data'!$A$3:$CO$999,90,FALSE),"unknown")</f>
        <v>Centerport, 11721</v>
      </c>
      <c r="AP241" s="120" t="str">
        <f>IFERROR(VLOOKUP(Table1[RespondentID],'All Data'!$A$3:$CO$999,91,FALSE),"unknown")</f>
        <v>White</v>
      </c>
      <c r="AQ241" s="120" t="str">
        <f>IFERROR(VLOOKUP(Table1[RespondentID],'All Data'!$A$3:$CO$999,92,FALSE),"unknown")</f>
        <v>Hispanic or Latino</v>
      </c>
      <c r="AR241" s="120" t="str">
        <f>IFERROR(VLOOKUP(Table1[RespondentID],'All Data'!$A$3:$CO$999,93,FALSE),"unknown")</f>
        <v>English, Polish</v>
      </c>
      <c r="AS241" s="120" t="str">
        <f>IFERROR(VLOOKUP(Table1[RespondentID],'All Data'!$A$3:$CW$999,94,FALSE),"unknown")</f>
        <v>$75,000 to $125,000</v>
      </c>
      <c r="AT241" s="120" t="str">
        <f>IFERROR(VLOOKUP(Table1[RespondentID],'All Data'!$A$3:$CW$999,95,FALSE),"unknown")</f>
        <v>Some college</v>
      </c>
      <c r="AU241" s="120" t="str">
        <f>IFERROR(VLOOKUP(Table1[RespondentID],'All Data'!$A$3:$CW$999,96,FALSE),"unknown")</f>
        <v>Student</v>
      </c>
      <c r="AV241" s="120" t="str">
        <f>IFERROR(VLOOKUP(Table1[RespondentID],'All Data'!$A$3:$CW$999,97,FALSE),"unknown")</f>
        <v>No</v>
      </c>
      <c r="AW241" s="120">
        <f>IFERROR(VLOOKUP(Table1[RespondentID],'All Data'!$A$3:$CW$999,98,FALSE),"unknown")</f>
        <v>0</v>
      </c>
      <c r="AX241" s="120">
        <f>IFERROR(VLOOKUP(Table1[RespondentID],'All Data'!$A$3:$CW$999,99,FALSE),"unknown")</f>
        <v>0</v>
      </c>
    </row>
    <row r="242" spans="1:50">
      <c r="A242" s="5">
        <v>18019098372</v>
      </c>
      <c r="B242" s="5"/>
      <c r="C242" s="5"/>
      <c r="D242" s="5"/>
      <c r="E242" s="5"/>
      <c r="F242" s="5"/>
      <c r="G242" s="5"/>
      <c r="H242" s="5"/>
      <c r="I242" s="5"/>
      <c r="J242" s="5"/>
      <c r="K242" s="5"/>
      <c r="L242" s="5"/>
      <c r="M242" s="5"/>
      <c r="N242" s="5"/>
      <c r="O242" s="7"/>
      <c r="P242" s="7">
        <f t="shared" si="54"/>
        <v>0</v>
      </c>
      <c r="Q242" s="8" t="e">
        <f t="shared" si="55"/>
        <v>#DIV/0!</v>
      </c>
      <c r="R242" s="7"/>
      <c r="S242" s="7">
        <f t="shared" si="56"/>
        <v>0</v>
      </c>
      <c r="T242" s="7">
        <f t="shared" si="57"/>
        <v>0</v>
      </c>
      <c r="U242" s="7">
        <f t="shared" si="58"/>
        <v>0</v>
      </c>
      <c r="V242" s="119">
        <f t="shared" si="59"/>
        <v>0</v>
      </c>
      <c r="W242" s="119">
        <f t="shared" si="60"/>
        <v>0</v>
      </c>
      <c r="X242" s="119">
        <f t="shared" si="61"/>
        <v>0</v>
      </c>
      <c r="Y242" s="119">
        <f t="shared" si="62"/>
        <v>0</v>
      </c>
      <c r="Z242" s="119">
        <f t="shared" si="63"/>
        <v>0</v>
      </c>
      <c r="AA242" s="119">
        <f t="shared" si="64"/>
        <v>0</v>
      </c>
      <c r="AB242" s="119">
        <f t="shared" si="65"/>
        <v>0</v>
      </c>
      <c r="AC242" s="119">
        <f t="shared" si="66"/>
        <v>0</v>
      </c>
      <c r="AD242" s="119">
        <f t="shared" si="67"/>
        <v>0</v>
      </c>
      <c r="AE242" s="119">
        <f t="shared" si="68"/>
        <v>0</v>
      </c>
      <c r="AF242" s="7"/>
      <c r="AG242" s="7"/>
      <c r="AH242" s="7">
        <f t="shared" si="69"/>
        <v>0</v>
      </c>
      <c r="AI242" s="7">
        <f t="shared" si="70"/>
        <v>0</v>
      </c>
      <c r="AJ242" s="7" t="str">
        <f t="shared" si="71"/>
        <v>Correct</v>
      </c>
      <c r="AK242" s="7"/>
      <c r="AL242" s="120" t="str">
        <f>IFERROR(VLOOKUP(Table1[RespondentID],'All Data'!$A$3:$CO$999,87,FALSE),"unknown")</f>
        <v>Man</v>
      </c>
      <c r="AM242" s="120">
        <f>IFERROR(VLOOKUP(Table1[RespondentID],'All Data'!$A$3:$CO$999,88,FALSE),"unknown")</f>
        <v>59</v>
      </c>
      <c r="AN242" s="120" t="str">
        <f>IFERROR(VLOOKUP(Table1[RespondentID],'All Data'!$A$3:$CO$999,89,FALSE),"unknown")</f>
        <v>Suffolk</v>
      </c>
      <c r="AO242" s="120" t="str">
        <f>IFERROR(VLOOKUP(Table1[RespondentID],'All Data'!$A$3:$CO$999,90,FALSE),"unknown")</f>
        <v>Setauket, 11733</v>
      </c>
      <c r="AP242" s="120" t="str">
        <f>IFERROR(VLOOKUP(Table1[RespondentID],'All Data'!$A$3:$CO$999,91,FALSE),"unknown")</f>
        <v>White</v>
      </c>
      <c r="AQ242" s="120">
        <f>IFERROR(VLOOKUP(Table1[RespondentID],'All Data'!$A$3:$CO$999,92,FALSE),"unknown")</f>
        <v>0</v>
      </c>
      <c r="AR242" s="120" t="str">
        <f>IFERROR(VLOOKUP(Table1[RespondentID],'All Data'!$A$3:$CO$999,93,FALSE),"unknown")</f>
        <v>English</v>
      </c>
      <c r="AS242" s="120">
        <f>IFERROR(VLOOKUP(Table1[RespondentID],'All Data'!$A$3:$CW$999,94,FALSE),"unknown")</f>
        <v>0</v>
      </c>
      <c r="AT242" s="120" t="str">
        <f>IFERROR(VLOOKUP(Table1[RespondentID],'All Data'!$A$3:$CW$999,95,FALSE),"unknown")</f>
        <v>Some college</v>
      </c>
      <c r="AU242" s="120" t="str">
        <f>IFERROR(VLOOKUP(Table1[RespondentID],'All Data'!$A$3:$CW$999,96,FALSE),"unknown")</f>
        <v>Retired</v>
      </c>
      <c r="AV242" s="120" t="str">
        <f>IFERROR(VLOOKUP(Table1[RespondentID],'All Data'!$A$3:$CW$999,97,FALSE),"unknown")</f>
        <v>Yes</v>
      </c>
      <c r="AW242" s="120">
        <f>IFERROR(VLOOKUP(Table1[RespondentID],'All Data'!$A$3:$CW$999,98,FALSE),"unknown")</f>
        <v>0</v>
      </c>
      <c r="AX242" s="120">
        <f>IFERROR(VLOOKUP(Table1[RespondentID],'All Data'!$A$3:$CW$999,99,FALSE),"unknown")</f>
        <v>0</v>
      </c>
    </row>
    <row r="243" spans="1:50">
      <c r="A243" s="5">
        <v>18019098190</v>
      </c>
      <c r="B243" s="5"/>
      <c r="C243" s="5"/>
      <c r="D243" s="5"/>
      <c r="E243" s="5"/>
      <c r="F243" s="5"/>
      <c r="G243" s="5"/>
      <c r="H243" s="5" t="s">
        <v>22</v>
      </c>
      <c r="I243" s="5"/>
      <c r="J243" s="5"/>
      <c r="K243" s="5" t="s">
        <v>25</v>
      </c>
      <c r="L243" s="5"/>
      <c r="M243" s="5"/>
      <c r="N243" s="5" t="s">
        <v>28</v>
      </c>
      <c r="O243" s="7"/>
      <c r="P243" s="7">
        <f t="shared" si="54"/>
        <v>3</v>
      </c>
      <c r="Q243" s="9">
        <f t="shared" si="55"/>
        <v>1</v>
      </c>
      <c r="R243" s="7"/>
      <c r="S243" s="7">
        <f t="shared" si="56"/>
        <v>0</v>
      </c>
      <c r="T243" s="7">
        <f t="shared" si="57"/>
        <v>0</v>
      </c>
      <c r="U243" s="7">
        <f t="shared" si="58"/>
        <v>0</v>
      </c>
      <c r="V243" s="119">
        <f t="shared" si="59"/>
        <v>0</v>
      </c>
      <c r="W243" s="119">
        <f t="shared" si="60"/>
        <v>0</v>
      </c>
      <c r="X243" s="119">
        <f t="shared" si="61"/>
        <v>0</v>
      </c>
      <c r="Y243" s="119">
        <f t="shared" si="62"/>
        <v>1</v>
      </c>
      <c r="Z243" s="119">
        <f t="shared" si="63"/>
        <v>0</v>
      </c>
      <c r="AA243" s="119">
        <f t="shared" si="64"/>
        <v>0</v>
      </c>
      <c r="AB243" s="119">
        <f t="shared" si="65"/>
        <v>1</v>
      </c>
      <c r="AC243" s="119">
        <f t="shared" si="66"/>
        <v>0</v>
      </c>
      <c r="AD243" s="119">
        <f t="shared" si="67"/>
        <v>0</v>
      </c>
      <c r="AE243" s="119">
        <f t="shared" si="68"/>
        <v>1</v>
      </c>
      <c r="AF243" s="7"/>
      <c r="AG243" s="7"/>
      <c r="AH243" s="7">
        <f t="shared" si="69"/>
        <v>3</v>
      </c>
      <c r="AI243" s="7">
        <f t="shared" si="70"/>
        <v>3</v>
      </c>
      <c r="AJ243" s="7" t="str">
        <f t="shared" si="71"/>
        <v>Correct</v>
      </c>
      <c r="AK243" s="7"/>
      <c r="AL243" s="120" t="str">
        <f>IFERROR(VLOOKUP(Table1[RespondentID],'All Data'!$A$3:$CO$999,87,FALSE),"unknown")</f>
        <v>Man</v>
      </c>
      <c r="AM243" s="120">
        <f>IFERROR(VLOOKUP(Table1[RespondentID],'All Data'!$A$3:$CO$999,88,FALSE),"unknown")</f>
        <v>40</v>
      </c>
      <c r="AN243" s="120" t="str">
        <f>IFERROR(VLOOKUP(Table1[RespondentID],'All Data'!$A$3:$CO$999,89,FALSE),"unknown")</f>
        <v>Suffolk</v>
      </c>
      <c r="AO243" s="120" t="str">
        <f>IFERROR(VLOOKUP(Table1[RespondentID],'All Data'!$A$3:$CO$999,90,FALSE),"unknown")</f>
        <v>Port Jefferson Station, 11776</v>
      </c>
      <c r="AP243" s="120" t="str">
        <f>IFERROR(VLOOKUP(Table1[RespondentID],'All Data'!$A$3:$CO$999,91,FALSE),"unknown")</f>
        <v>Other (please specify)</v>
      </c>
      <c r="AQ243" s="120" t="str">
        <f>IFERROR(VLOOKUP(Table1[RespondentID],'All Data'!$A$3:$CO$999,92,FALSE),"unknown")</f>
        <v>Hispanic or Latino</v>
      </c>
      <c r="AR243" s="120">
        <f>IFERROR(VLOOKUP(Table1[RespondentID],'All Data'!$A$3:$CO$999,93,FALSE),"unknown")</f>
        <v>0</v>
      </c>
      <c r="AS243" s="120" t="str">
        <f>IFERROR(VLOOKUP(Table1[RespondentID],'All Data'!$A$3:$CW$999,94,FALSE),"unknown")</f>
        <v>$75,000 to $125,000</v>
      </c>
      <c r="AT243" s="120" t="str">
        <f>IFERROR(VLOOKUP(Table1[RespondentID],'All Data'!$A$3:$CW$999,95,FALSE),"unknown")</f>
        <v>College graduate</v>
      </c>
      <c r="AU243" s="120" t="str">
        <f>IFERROR(VLOOKUP(Table1[RespondentID],'All Data'!$A$3:$CW$999,96,FALSE),"unknown")</f>
        <v>Employed for wages</v>
      </c>
      <c r="AV243" s="120" t="str">
        <f>IFERROR(VLOOKUP(Table1[RespondentID],'All Data'!$A$3:$CW$999,97,FALSE),"unknown")</f>
        <v>Yes</v>
      </c>
      <c r="AW243" s="120">
        <f>IFERROR(VLOOKUP(Table1[RespondentID],'All Data'!$A$3:$CW$999,98,FALSE),"unknown")</f>
        <v>0</v>
      </c>
      <c r="AX243" s="120">
        <f>IFERROR(VLOOKUP(Table1[RespondentID],'All Data'!$A$3:$CW$999,99,FALSE),"unknown")</f>
        <v>0</v>
      </c>
    </row>
    <row r="244" spans="1:50">
      <c r="A244" s="5">
        <v>18019097991</v>
      </c>
      <c r="B244" s="5"/>
      <c r="C244" s="5"/>
      <c r="D244" s="5" t="s">
        <v>18</v>
      </c>
      <c r="E244" s="5"/>
      <c r="F244" s="5"/>
      <c r="G244" s="5"/>
      <c r="H244" s="5"/>
      <c r="I244" s="5"/>
      <c r="J244" s="5"/>
      <c r="K244" s="5"/>
      <c r="L244" s="5"/>
      <c r="M244" s="5"/>
      <c r="N244" s="5" t="s">
        <v>28</v>
      </c>
      <c r="O244" s="7"/>
      <c r="P244" s="7">
        <f t="shared" si="54"/>
        <v>2</v>
      </c>
      <c r="Q244" s="8">
        <f t="shared" si="55"/>
        <v>1.5</v>
      </c>
      <c r="R244" s="7"/>
      <c r="S244" s="7">
        <f t="shared" si="56"/>
        <v>0</v>
      </c>
      <c r="T244" s="7">
        <f t="shared" si="57"/>
        <v>0</v>
      </c>
      <c r="U244" s="7">
        <f t="shared" si="58"/>
        <v>1</v>
      </c>
      <c r="V244" s="119">
        <f t="shared" si="59"/>
        <v>0</v>
      </c>
      <c r="W244" s="119">
        <f t="shared" si="60"/>
        <v>0</v>
      </c>
      <c r="X244" s="119">
        <f t="shared" si="61"/>
        <v>0</v>
      </c>
      <c r="Y244" s="119">
        <f t="shared" si="62"/>
        <v>0</v>
      </c>
      <c r="Z244" s="119">
        <f t="shared" si="63"/>
        <v>0</v>
      </c>
      <c r="AA244" s="119">
        <f t="shared" si="64"/>
        <v>0</v>
      </c>
      <c r="AB244" s="119">
        <f t="shared" si="65"/>
        <v>0</v>
      </c>
      <c r="AC244" s="119">
        <f t="shared" si="66"/>
        <v>0</v>
      </c>
      <c r="AD244" s="119">
        <f t="shared" si="67"/>
        <v>0</v>
      </c>
      <c r="AE244" s="119">
        <f t="shared" si="68"/>
        <v>1</v>
      </c>
      <c r="AF244" s="7"/>
      <c r="AG244" s="7"/>
      <c r="AH244" s="7">
        <f t="shared" si="69"/>
        <v>2</v>
      </c>
      <c r="AI244" s="7">
        <f t="shared" si="70"/>
        <v>2</v>
      </c>
      <c r="AJ244" s="7" t="str">
        <f t="shared" si="71"/>
        <v>Correct</v>
      </c>
      <c r="AK244" s="7"/>
      <c r="AL244" s="120" t="str">
        <f>IFERROR(VLOOKUP(Table1[RespondentID],'All Data'!$A$3:$CO$999,87,FALSE),"unknown")</f>
        <v>Woman</v>
      </c>
      <c r="AM244" s="120">
        <f>IFERROR(VLOOKUP(Table1[RespondentID],'All Data'!$A$3:$CO$999,88,FALSE),"unknown")</f>
        <v>47</v>
      </c>
      <c r="AN244" s="120" t="str">
        <f>IFERROR(VLOOKUP(Table1[RespondentID],'All Data'!$A$3:$CO$999,89,FALSE),"unknown")</f>
        <v>Suffolk</v>
      </c>
      <c r="AO244" s="120" t="str">
        <f>IFERROR(VLOOKUP(Table1[RespondentID],'All Data'!$A$3:$CO$999,90,FALSE),"unknown")</f>
        <v>North Babylon, 11703</v>
      </c>
      <c r="AP244" s="120" t="str">
        <f>IFERROR(VLOOKUP(Table1[RespondentID],'All Data'!$A$3:$CO$999,91,FALSE),"unknown")</f>
        <v>White</v>
      </c>
      <c r="AQ244" s="120" t="str">
        <f>IFERROR(VLOOKUP(Table1[RespondentID],'All Data'!$A$3:$CO$999,92,FALSE),"unknown")</f>
        <v>Hispanic or Latino</v>
      </c>
      <c r="AR244" s="120" t="str">
        <f>IFERROR(VLOOKUP(Table1[RespondentID],'All Data'!$A$3:$CO$999,93,FALSE),"unknown")</f>
        <v>English</v>
      </c>
      <c r="AS244" s="120" t="str">
        <f>IFERROR(VLOOKUP(Table1[RespondentID],'All Data'!$A$3:$CW$999,94,FALSE),"unknown")</f>
        <v>Over $125,000</v>
      </c>
      <c r="AT244" s="120" t="str">
        <f>IFERROR(VLOOKUP(Table1[RespondentID],'All Data'!$A$3:$CW$999,95,FALSE),"unknown")</f>
        <v>Graduate school</v>
      </c>
      <c r="AU244" s="120" t="str">
        <f>IFERROR(VLOOKUP(Table1[RespondentID],'All Data'!$A$3:$CW$999,96,FALSE),"unknown")</f>
        <v>Employed for wages</v>
      </c>
      <c r="AV244" s="120" t="str">
        <f>IFERROR(VLOOKUP(Table1[RespondentID],'All Data'!$A$3:$CW$999,97,FALSE),"unknown")</f>
        <v>Yes</v>
      </c>
      <c r="AW244" s="120">
        <f>IFERROR(VLOOKUP(Table1[RespondentID],'All Data'!$A$3:$CW$999,98,FALSE),"unknown")</f>
        <v>0</v>
      </c>
      <c r="AX244" s="120">
        <f>IFERROR(VLOOKUP(Table1[RespondentID],'All Data'!$A$3:$CW$999,99,FALSE),"unknown")</f>
        <v>0</v>
      </c>
    </row>
    <row r="245" spans="1:50">
      <c r="A245" s="5">
        <v>18019097887</v>
      </c>
      <c r="B245" s="5"/>
      <c r="C245" s="5"/>
      <c r="D245" s="5" t="s">
        <v>18</v>
      </c>
      <c r="E245" s="5"/>
      <c r="F245" s="5"/>
      <c r="G245" s="5"/>
      <c r="H245" s="5"/>
      <c r="I245" s="5"/>
      <c r="J245" s="5"/>
      <c r="K245" s="5"/>
      <c r="L245" s="5"/>
      <c r="M245" s="5"/>
      <c r="N245" s="5"/>
      <c r="O245" s="7"/>
      <c r="P245" s="7">
        <f t="shared" si="54"/>
        <v>1</v>
      </c>
      <c r="Q245" s="9">
        <f t="shared" si="55"/>
        <v>3</v>
      </c>
      <c r="R245" s="7"/>
      <c r="S245" s="7">
        <f t="shared" si="56"/>
        <v>0</v>
      </c>
      <c r="T245" s="7">
        <f t="shared" si="57"/>
        <v>0</v>
      </c>
      <c r="U245" s="7">
        <f t="shared" si="58"/>
        <v>1</v>
      </c>
      <c r="V245" s="119">
        <f t="shared" si="59"/>
        <v>0</v>
      </c>
      <c r="W245" s="119">
        <f t="shared" si="60"/>
        <v>0</v>
      </c>
      <c r="X245" s="119">
        <f t="shared" si="61"/>
        <v>0</v>
      </c>
      <c r="Y245" s="119">
        <f t="shared" si="62"/>
        <v>0</v>
      </c>
      <c r="Z245" s="119">
        <f t="shared" si="63"/>
        <v>0</v>
      </c>
      <c r="AA245" s="119">
        <f t="shared" si="64"/>
        <v>0</v>
      </c>
      <c r="AB245" s="119">
        <f t="shared" si="65"/>
        <v>0</v>
      </c>
      <c r="AC245" s="119">
        <f t="shared" si="66"/>
        <v>0</v>
      </c>
      <c r="AD245" s="119">
        <f t="shared" si="67"/>
        <v>0</v>
      </c>
      <c r="AE245" s="119">
        <f t="shared" si="68"/>
        <v>0</v>
      </c>
      <c r="AF245" s="7"/>
      <c r="AG245" s="7"/>
      <c r="AH245" s="7">
        <f t="shared" si="69"/>
        <v>1</v>
      </c>
      <c r="AI245" s="7">
        <f t="shared" si="70"/>
        <v>1</v>
      </c>
      <c r="AJ245" s="7" t="str">
        <f t="shared" si="71"/>
        <v>Correct</v>
      </c>
      <c r="AK245" s="7"/>
      <c r="AL245" s="120" t="str">
        <f>IFERROR(VLOOKUP(Table1[RespondentID],'All Data'!$A$3:$CO$999,87,FALSE),"unknown")</f>
        <v>Man</v>
      </c>
      <c r="AM245" s="120">
        <f>IFERROR(VLOOKUP(Table1[RespondentID],'All Data'!$A$3:$CO$999,88,FALSE),"unknown")</f>
        <v>40</v>
      </c>
      <c r="AN245" s="120" t="str">
        <f>IFERROR(VLOOKUP(Table1[RespondentID],'All Data'!$A$3:$CO$999,89,FALSE),"unknown")</f>
        <v>Suffolk</v>
      </c>
      <c r="AO245" s="120" t="str">
        <f>IFERROR(VLOOKUP(Table1[RespondentID],'All Data'!$A$3:$CO$999,90,FALSE),"unknown")</f>
        <v>Rocky Point, 11778</v>
      </c>
      <c r="AP245" s="120" t="str">
        <f>IFERROR(VLOOKUP(Table1[RespondentID],'All Data'!$A$3:$CO$999,91,FALSE),"unknown")</f>
        <v>White</v>
      </c>
      <c r="AQ245" s="120" t="str">
        <f>IFERROR(VLOOKUP(Table1[RespondentID],'All Data'!$A$3:$CO$999,92,FALSE),"unknown")</f>
        <v>Hispanic or Latino</v>
      </c>
      <c r="AR245" s="120" t="str">
        <f>IFERROR(VLOOKUP(Table1[RespondentID],'All Data'!$A$3:$CO$999,93,FALSE),"unknown")</f>
        <v>English</v>
      </c>
      <c r="AS245" s="120">
        <f>IFERROR(VLOOKUP(Table1[RespondentID],'All Data'!$A$3:$CW$999,94,FALSE),"unknown")</f>
        <v>0</v>
      </c>
      <c r="AT245" s="120" t="str">
        <f>IFERROR(VLOOKUP(Table1[RespondentID],'All Data'!$A$3:$CW$999,95,FALSE),"unknown")</f>
        <v>Graduate school</v>
      </c>
      <c r="AU245" s="120" t="str">
        <f>IFERROR(VLOOKUP(Table1[RespondentID],'All Data'!$A$3:$CW$999,96,FALSE),"unknown")</f>
        <v>Employed for wages</v>
      </c>
      <c r="AV245" s="120" t="str">
        <f>IFERROR(VLOOKUP(Table1[RespondentID],'All Data'!$A$3:$CW$999,97,FALSE),"unknown")</f>
        <v>Yes</v>
      </c>
      <c r="AW245" s="120">
        <f>IFERROR(VLOOKUP(Table1[RespondentID],'All Data'!$A$3:$CW$999,98,FALSE),"unknown")</f>
        <v>0</v>
      </c>
      <c r="AX245" s="120">
        <f>IFERROR(VLOOKUP(Table1[RespondentID],'All Data'!$A$3:$CW$999,99,FALSE),"unknown")</f>
        <v>0</v>
      </c>
    </row>
    <row r="246" spans="1:50">
      <c r="A246" s="5">
        <v>18019097745</v>
      </c>
      <c r="B246" s="5" t="s">
        <v>16</v>
      </c>
      <c r="C246" s="5"/>
      <c r="D246" s="5" t="s">
        <v>18</v>
      </c>
      <c r="E246" s="5"/>
      <c r="F246" s="5"/>
      <c r="G246" s="5"/>
      <c r="H246" s="5"/>
      <c r="I246" s="5"/>
      <c r="J246" s="5"/>
      <c r="K246" s="5"/>
      <c r="L246" s="5"/>
      <c r="M246" s="5"/>
      <c r="N246" s="5"/>
      <c r="O246" s="7"/>
      <c r="P246" s="7">
        <f t="shared" si="54"/>
        <v>2</v>
      </c>
      <c r="Q246" s="8">
        <f t="shared" si="55"/>
        <v>1.5</v>
      </c>
      <c r="R246" s="7"/>
      <c r="S246" s="7">
        <f t="shared" si="56"/>
        <v>1</v>
      </c>
      <c r="T246" s="7">
        <f t="shared" si="57"/>
        <v>0</v>
      </c>
      <c r="U246" s="7">
        <f t="shared" si="58"/>
        <v>1</v>
      </c>
      <c r="V246" s="119">
        <f t="shared" si="59"/>
        <v>0</v>
      </c>
      <c r="W246" s="119">
        <f t="shared" si="60"/>
        <v>0</v>
      </c>
      <c r="X246" s="119">
        <f t="shared" si="61"/>
        <v>0</v>
      </c>
      <c r="Y246" s="119">
        <f t="shared" si="62"/>
        <v>0</v>
      </c>
      <c r="Z246" s="119">
        <f t="shared" si="63"/>
        <v>0</v>
      </c>
      <c r="AA246" s="119">
        <f t="shared" si="64"/>
        <v>0</v>
      </c>
      <c r="AB246" s="119">
        <f t="shared" si="65"/>
        <v>0</v>
      </c>
      <c r="AC246" s="119">
        <f t="shared" si="66"/>
        <v>0</v>
      </c>
      <c r="AD246" s="119">
        <f t="shared" si="67"/>
        <v>0</v>
      </c>
      <c r="AE246" s="119">
        <f t="shared" si="68"/>
        <v>0</v>
      </c>
      <c r="AF246" s="7"/>
      <c r="AG246" s="7"/>
      <c r="AH246" s="7">
        <f t="shared" si="69"/>
        <v>2</v>
      </c>
      <c r="AI246" s="7">
        <f t="shared" si="70"/>
        <v>2</v>
      </c>
      <c r="AJ246" s="7" t="str">
        <f t="shared" si="71"/>
        <v>Correct</v>
      </c>
      <c r="AK246" s="7"/>
      <c r="AL246" s="120" t="str">
        <f>IFERROR(VLOOKUP(Table1[RespondentID],'All Data'!$A$3:$CO$999,87,FALSE),"unknown")</f>
        <v>Woman</v>
      </c>
      <c r="AM246" s="120">
        <f>IFERROR(VLOOKUP(Table1[RespondentID],'All Data'!$A$3:$CO$999,88,FALSE),"unknown")</f>
        <v>39</v>
      </c>
      <c r="AN246" s="120" t="str">
        <f>IFERROR(VLOOKUP(Table1[RespondentID],'All Data'!$A$3:$CO$999,89,FALSE),"unknown")</f>
        <v>Suffolk</v>
      </c>
      <c r="AO246" s="120" t="str">
        <f>IFERROR(VLOOKUP(Table1[RespondentID],'All Data'!$A$3:$CO$999,90,FALSE),"unknown")</f>
        <v>Smithtown, 11787</v>
      </c>
      <c r="AP246" s="120" t="str">
        <f>IFERROR(VLOOKUP(Table1[RespondentID],'All Data'!$A$3:$CO$999,91,FALSE),"unknown")</f>
        <v>White</v>
      </c>
      <c r="AQ246" s="120" t="str">
        <f>IFERROR(VLOOKUP(Table1[RespondentID],'All Data'!$A$3:$CO$999,92,FALSE),"unknown")</f>
        <v>Hispanic or Latino</v>
      </c>
      <c r="AR246" s="120" t="str">
        <f>IFERROR(VLOOKUP(Table1[RespondentID],'All Data'!$A$3:$CO$999,93,FALSE),"unknown")</f>
        <v>English</v>
      </c>
      <c r="AS246" s="120" t="str">
        <f>IFERROR(VLOOKUP(Table1[RespondentID],'All Data'!$A$3:$CW$999,94,FALSE),"unknown")</f>
        <v>Over $125,000</v>
      </c>
      <c r="AT246" s="120" t="str">
        <f>IFERROR(VLOOKUP(Table1[RespondentID],'All Data'!$A$3:$CW$999,95,FALSE),"unknown")</f>
        <v>Graduate school</v>
      </c>
      <c r="AU246" s="120" t="str">
        <f>IFERROR(VLOOKUP(Table1[RespondentID],'All Data'!$A$3:$CW$999,96,FALSE),"unknown")</f>
        <v>Employed for wages</v>
      </c>
      <c r="AV246" s="120" t="str">
        <f>IFERROR(VLOOKUP(Table1[RespondentID],'All Data'!$A$3:$CW$999,97,FALSE),"unknown")</f>
        <v>Yes</v>
      </c>
      <c r="AW246" s="120">
        <f>IFERROR(VLOOKUP(Table1[RespondentID],'All Data'!$A$3:$CW$999,98,FALSE),"unknown")</f>
        <v>0</v>
      </c>
      <c r="AX246" s="120">
        <f>IFERROR(VLOOKUP(Table1[RespondentID],'All Data'!$A$3:$CW$999,99,FALSE),"unknown")</f>
        <v>0</v>
      </c>
    </row>
    <row r="247" spans="1:50">
      <c r="A247" s="5">
        <v>18019097274</v>
      </c>
      <c r="B247" s="5"/>
      <c r="C247" s="5" t="s">
        <v>17</v>
      </c>
      <c r="D247" s="5"/>
      <c r="E247" s="5"/>
      <c r="F247" s="5"/>
      <c r="G247" s="5"/>
      <c r="H247" s="5" t="s">
        <v>22</v>
      </c>
      <c r="I247" s="5"/>
      <c r="J247" s="5"/>
      <c r="K247" s="5" t="s">
        <v>25</v>
      </c>
      <c r="L247" s="5"/>
      <c r="M247" s="5"/>
      <c r="N247" s="5"/>
      <c r="O247" s="7"/>
      <c r="P247" s="7">
        <f t="shared" si="54"/>
        <v>3</v>
      </c>
      <c r="Q247" s="9">
        <f t="shared" si="55"/>
        <v>1</v>
      </c>
      <c r="R247" s="7"/>
      <c r="S247" s="7">
        <f t="shared" si="56"/>
        <v>0</v>
      </c>
      <c r="T247" s="7">
        <f t="shared" si="57"/>
        <v>1</v>
      </c>
      <c r="U247" s="7">
        <f t="shared" si="58"/>
        <v>0</v>
      </c>
      <c r="V247" s="119">
        <f t="shared" si="59"/>
        <v>0</v>
      </c>
      <c r="W247" s="119">
        <f t="shared" si="60"/>
        <v>0</v>
      </c>
      <c r="X247" s="119">
        <f t="shared" si="61"/>
        <v>0</v>
      </c>
      <c r="Y247" s="119">
        <f t="shared" si="62"/>
        <v>1</v>
      </c>
      <c r="Z247" s="119">
        <f t="shared" si="63"/>
        <v>0</v>
      </c>
      <c r="AA247" s="119">
        <f t="shared" si="64"/>
        <v>0</v>
      </c>
      <c r="AB247" s="119">
        <f t="shared" si="65"/>
        <v>1</v>
      </c>
      <c r="AC247" s="119">
        <f t="shared" si="66"/>
        <v>0</v>
      </c>
      <c r="AD247" s="119">
        <f t="shared" si="67"/>
        <v>0</v>
      </c>
      <c r="AE247" s="119">
        <f t="shared" si="68"/>
        <v>0</v>
      </c>
      <c r="AF247" s="7"/>
      <c r="AG247" s="7"/>
      <c r="AH247" s="7">
        <f t="shared" si="69"/>
        <v>3</v>
      </c>
      <c r="AI247" s="7">
        <f t="shared" si="70"/>
        <v>3</v>
      </c>
      <c r="AJ247" s="7" t="str">
        <f t="shared" si="71"/>
        <v>Correct</v>
      </c>
      <c r="AK247" s="7"/>
      <c r="AL247" s="120" t="str">
        <f>IFERROR(VLOOKUP(Table1[RespondentID],'All Data'!$A$3:$CO$999,87,FALSE),"unknown")</f>
        <v>Man</v>
      </c>
      <c r="AM247" s="120">
        <f>IFERROR(VLOOKUP(Table1[RespondentID],'All Data'!$A$3:$CO$999,88,FALSE),"unknown")</f>
        <v>39</v>
      </c>
      <c r="AN247" s="120" t="str">
        <f>IFERROR(VLOOKUP(Table1[RespondentID],'All Data'!$A$3:$CO$999,89,FALSE),"unknown")</f>
        <v>Suffolk</v>
      </c>
      <c r="AO247" s="120" t="str">
        <f>IFERROR(VLOOKUP(Table1[RespondentID],'All Data'!$A$3:$CO$999,90,FALSE),"unknown")</f>
        <v>Coram, 11727</v>
      </c>
      <c r="AP247" s="120" t="str">
        <f>IFERROR(VLOOKUP(Table1[RespondentID],'All Data'!$A$3:$CO$999,91,FALSE),"unknown")</f>
        <v>White</v>
      </c>
      <c r="AQ247" s="120">
        <f>IFERROR(VLOOKUP(Table1[RespondentID],'All Data'!$A$3:$CO$999,92,FALSE),"unknown")</f>
        <v>0</v>
      </c>
      <c r="AR247" s="120" t="str">
        <f>IFERROR(VLOOKUP(Table1[RespondentID],'All Data'!$A$3:$CO$999,93,FALSE),"unknown")</f>
        <v>English</v>
      </c>
      <c r="AS247" s="120" t="str">
        <f>IFERROR(VLOOKUP(Table1[RespondentID],'All Data'!$A$3:$CW$999,94,FALSE),"unknown")</f>
        <v>Over $125,000</v>
      </c>
      <c r="AT247" s="120" t="str">
        <f>IFERROR(VLOOKUP(Table1[RespondentID],'All Data'!$A$3:$CW$999,95,FALSE),"unknown")</f>
        <v>College graduate</v>
      </c>
      <c r="AU247" s="120" t="str">
        <f>IFERROR(VLOOKUP(Table1[RespondentID],'All Data'!$A$3:$CW$999,96,FALSE),"unknown")</f>
        <v>Employed for wages</v>
      </c>
      <c r="AV247" s="120" t="str">
        <f>IFERROR(VLOOKUP(Table1[RespondentID],'All Data'!$A$3:$CW$999,97,FALSE),"unknown")</f>
        <v>Yes</v>
      </c>
      <c r="AW247" s="120">
        <f>IFERROR(VLOOKUP(Table1[RespondentID],'All Data'!$A$3:$CW$999,98,FALSE),"unknown")</f>
        <v>0</v>
      </c>
      <c r="AX247" s="120">
        <f>IFERROR(VLOOKUP(Table1[RespondentID],'All Data'!$A$3:$CW$999,99,FALSE),"unknown")</f>
        <v>0</v>
      </c>
    </row>
    <row r="248" spans="1:50">
      <c r="A248" s="5">
        <v>18019097132</v>
      </c>
      <c r="B248" s="5"/>
      <c r="C248" s="5" t="s">
        <v>17</v>
      </c>
      <c r="D248" s="5" t="s">
        <v>18</v>
      </c>
      <c r="E248" s="5"/>
      <c r="F248" s="5"/>
      <c r="G248" s="5"/>
      <c r="H248" s="5"/>
      <c r="I248" s="5"/>
      <c r="J248" s="5" t="s">
        <v>24</v>
      </c>
      <c r="K248" s="5"/>
      <c r="L248" s="5"/>
      <c r="M248" s="5"/>
      <c r="N248" s="5"/>
      <c r="O248" s="7"/>
      <c r="P248" s="7">
        <f t="shared" si="54"/>
        <v>3</v>
      </c>
      <c r="Q248" s="8">
        <f t="shared" si="55"/>
        <v>1</v>
      </c>
      <c r="R248" s="7"/>
      <c r="S248" s="7">
        <f t="shared" si="56"/>
        <v>0</v>
      </c>
      <c r="T248" s="7">
        <f t="shared" si="57"/>
        <v>1</v>
      </c>
      <c r="U248" s="7">
        <f t="shared" si="58"/>
        <v>1</v>
      </c>
      <c r="V248" s="119">
        <f t="shared" si="59"/>
        <v>0</v>
      </c>
      <c r="W248" s="119">
        <f t="shared" si="60"/>
        <v>0</v>
      </c>
      <c r="X248" s="119">
        <f t="shared" si="61"/>
        <v>0</v>
      </c>
      <c r="Y248" s="119">
        <f t="shared" si="62"/>
        <v>0</v>
      </c>
      <c r="Z248" s="119">
        <f t="shared" si="63"/>
        <v>0</v>
      </c>
      <c r="AA248" s="119">
        <f t="shared" si="64"/>
        <v>1</v>
      </c>
      <c r="AB248" s="119">
        <f t="shared" si="65"/>
        <v>0</v>
      </c>
      <c r="AC248" s="119">
        <f t="shared" si="66"/>
        <v>0</v>
      </c>
      <c r="AD248" s="119">
        <f t="shared" si="67"/>
        <v>0</v>
      </c>
      <c r="AE248" s="119">
        <f t="shared" si="68"/>
        <v>0</v>
      </c>
      <c r="AF248" s="7"/>
      <c r="AG248" s="7"/>
      <c r="AH248" s="7">
        <f t="shared" si="69"/>
        <v>3</v>
      </c>
      <c r="AI248" s="7">
        <f t="shared" si="70"/>
        <v>3</v>
      </c>
      <c r="AJ248" s="7" t="str">
        <f t="shared" si="71"/>
        <v>Correct</v>
      </c>
      <c r="AK248" s="7"/>
      <c r="AL248" s="120" t="str">
        <f>IFERROR(VLOOKUP(Table1[RespondentID],'All Data'!$A$3:$CO$999,87,FALSE),"unknown")</f>
        <v>Woman</v>
      </c>
      <c r="AM248" s="120">
        <f>IFERROR(VLOOKUP(Table1[RespondentID],'All Data'!$A$3:$CO$999,88,FALSE),"unknown")</f>
        <v>50</v>
      </c>
      <c r="AN248" s="120" t="str">
        <f>IFERROR(VLOOKUP(Table1[RespondentID],'All Data'!$A$3:$CO$999,89,FALSE),"unknown")</f>
        <v>Suffolk</v>
      </c>
      <c r="AO248" s="120" t="str">
        <f>IFERROR(VLOOKUP(Table1[RespondentID],'All Data'!$A$3:$CO$999,90,FALSE),"unknown")</f>
        <v>West Islip, 11795</v>
      </c>
      <c r="AP248" s="120" t="str">
        <f>IFERROR(VLOOKUP(Table1[RespondentID],'All Data'!$A$3:$CO$999,91,FALSE),"unknown")</f>
        <v>White</v>
      </c>
      <c r="AQ248" s="120">
        <f>IFERROR(VLOOKUP(Table1[RespondentID],'All Data'!$A$3:$CO$999,92,FALSE),"unknown")</f>
        <v>0</v>
      </c>
      <c r="AR248" s="120" t="str">
        <f>IFERROR(VLOOKUP(Table1[RespondentID],'All Data'!$A$3:$CO$999,93,FALSE),"unknown")</f>
        <v>English</v>
      </c>
      <c r="AS248" s="120" t="str">
        <f>IFERROR(VLOOKUP(Table1[RespondentID],'All Data'!$A$3:$CW$999,94,FALSE),"unknown")</f>
        <v>Over $125,000</v>
      </c>
      <c r="AT248" s="120" t="str">
        <f>IFERROR(VLOOKUP(Table1[RespondentID],'All Data'!$A$3:$CW$999,95,FALSE),"unknown")</f>
        <v>College graduate</v>
      </c>
      <c r="AU248" s="120" t="str">
        <f>IFERROR(VLOOKUP(Table1[RespondentID],'All Data'!$A$3:$CW$999,96,FALSE),"unknown")</f>
        <v>Employed for wages</v>
      </c>
      <c r="AV248" s="120" t="str">
        <f>IFERROR(VLOOKUP(Table1[RespondentID],'All Data'!$A$3:$CW$999,97,FALSE),"unknown")</f>
        <v>Yes</v>
      </c>
      <c r="AW248" s="120">
        <f>IFERROR(VLOOKUP(Table1[RespondentID],'All Data'!$A$3:$CW$999,98,FALSE),"unknown")</f>
        <v>0</v>
      </c>
      <c r="AX248" s="120">
        <f>IFERROR(VLOOKUP(Table1[RespondentID],'All Data'!$A$3:$CW$999,99,FALSE),"unknown")</f>
        <v>0</v>
      </c>
    </row>
    <row r="249" spans="1:50">
      <c r="A249" s="5">
        <v>18019096838</v>
      </c>
      <c r="B249" s="5" t="s">
        <v>16</v>
      </c>
      <c r="C249" s="5" t="s">
        <v>17</v>
      </c>
      <c r="D249" s="5" t="s">
        <v>18</v>
      </c>
      <c r="E249" s="5"/>
      <c r="F249" s="5"/>
      <c r="G249" s="5"/>
      <c r="H249" s="5"/>
      <c r="I249" s="5"/>
      <c r="J249" s="5" t="s">
        <v>24</v>
      </c>
      <c r="K249" s="5"/>
      <c r="L249" s="5"/>
      <c r="M249" s="5"/>
      <c r="N249" s="5"/>
      <c r="O249" s="7"/>
      <c r="P249" s="7">
        <f t="shared" si="54"/>
        <v>4</v>
      </c>
      <c r="Q249" s="9">
        <f t="shared" si="55"/>
        <v>0.75</v>
      </c>
      <c r="R249" s="7"/>
      <c r="S249" s="7">
        <f t="shared" si="56"/>
        <v>0.75</v>
      </c>
      <c r="T249" s="7">
        <f t="shared" si="57"/>
        <v>0.75</v>
      </c>
      <c r="U249" s="7">
        <f t="shared" si="58"/>
        <v>0.75</v>
      </c>
      <c r="V249" s="119">
        <f t="shared" si="59"/>
        <v>0</v>
      </c>
      <c r="W249" s="119">
        <f t="shared" si="60"/>
        <v>0</v>
      </c>
      <c r="X249" s="119">
        <f t="shared" si="61"/>
        <v>0</v>
      </c>
      <c r="Y249" s="119">
        <f t="shared" si="62"/>
        <v>0</v>
      </c>
      <c r="Z249" s="119">
        <f t="shared" si="63"/>
        <v>0</v>
      </c>
      <c r="AA249" s="119">
        <f t="shared" si="64"/>
        <v>0.75</v>
      </c>
      <c r="AB249" s="119">
        <f t="shared" si="65"/>
        <v>0</v>
      </c>
      <c r="AC249" s="119">
        <f t="shared" si="66"/>
        <v>0</v>
      </c>
      <c r="AD249" s="119">
        <f t="shared" si="67"/>
        <v>0</v>
      </c>
      <c r="AE249" s="119">
        <f t="shared" si="68"/>
        <v>0</v>
      </c>
      <c r="AF249" s="7"/>
      <c r="AG249" s="7"/>
      <c r="AH249" s="7">
        <f t="shared" si="69"/>
        <v>3</v>
      </c>
      <c r="AI249" s="7">
        <f t="shared" si="70"/>
        <v>4</v>
      </c>
      <c r="AJ249" s="7" t="str">
        <f t="shared" si="71"/>
        <v>Correct</v>
      </c>
      <c r="AK249" s="7"/>
      <c r="AL249" s="120" t="str">
        <f>IFERROR(VLOOKUP(Table1[RespondentID],'All Data'!$A$3:$CO$999,87,FALSE),"unknown")</f>
        <v>Man</v>
      </c>
      <c r="AM249" s="120">
        <f>IFERROR(VLOOKUP(Table1[RespondentID],'All Data'!$A$3:$CO$999,88,FALSE),"unknown")</f>
        <v>69</v>
      </c>
      <c r="AN249" s="120">
        <f>IFERROR(VLOOKUP(Table1[RespondentID],'All Data'!$A$3:$CO$999,89,FALSE),"unknown")</f>
        <v>0</v>
      </c>
      <c r="AO249" s="120">
        <f>IFERROR(VLOOKUP(Table1[RespondentID],'All Data'!$A$3:$CO$999,90,FALSE),"unknown")</f>
        <v>0</v>
      </c>
      <c r="AP249" s="120">
        <f>IFERROR(VLOOKUP(Table1[RespondentID],'All Data'!$A$3:$CO$999,91,FALSE),"unknown")</f>
        <v>0</v>
      </c>
      <c r="AQ249" s="120">
        <f>IFERROR(VLOOKUP(Table1[RespondentID],'All Data'!$A$3:$CO$999,92,FALSE),"unknown")</f>
        <v>0</v>
      </c>
      <c r="AR249" s="120">
        <f>IFERROR(VLOOKUP(Table1[RespondentID],'All Data'!$A$3:$CO$999,93,FALSE),"unknown")</f>
        <v>0</v>
      </c>
      <c r="AS249" s="120">
        <f>IFERROR(VLOOKUP(Table1[RespondentID],'All Data'!$A$3:$CW$999,94,FALSE),"unknown")</f>
        <v>0</v>
      </c>
      <c r="AT249" s="120">
        <f>IFERROR(VLOOKUP(Table1[RespondentID],'All Data'!$A$3:$CW$999,95,FALSE),"unknown")</f>
        <v>0</v>
      </c>
      <c r="AU249" s="120">
        <f>IFERROR(VLOOKUP(Table1[RespondentID],'All Data'!$A$3:$CW$999,96,FALSE),"unknown")</f>
        <v>0</v>
      </c>
      <c r="AV249" s="120">
        <f>IFERROR(VLOOKUP(Table1[RespondentID],'All Data'!$A$3:$CW$999,97,FALSE),"unknown")</f>
        <v>0</v>
      </c>
      <c r="AW249" s="120">
        <f>IFERROR(VLOOKUP(Table1[RespondentID],'All Data'!$A$3:$CW$999,98,FALSE),"unknown")</f>
        <v>0</v>
      </c>
      <c r="AX249" s="120">
        <f>IFERROR(VLOOKUP(Table1[RespondentID],'All Data'!$A$3:$CW$999,99,FALSE),"unknown")</f>
        <v>0</v>
      </c>
    </row>
    <row r="250" spans="1:50">
      <c r="A250" s="5">
        <v>18019096349</v>
      </c>
      <c r="B250" s="5" t="s">
        <v>16</v>
      </c>
      <c r="C250" s="5" t="s">
        <v>17</v>
      </c>
      <c r="D250" s="5" t="s">
        <v>18</v>
      </c>
      <c r="E250" s="5"/>
      <c r="F250" s="5"/>
      <c r="G250" s="5"/>
      <c r="H250" s="5"/>
      <c r="I250" s="5"/>
      <c r="J250" s="5" t="s">
        <v>24</v>
      </c>
      <c r="K250" s="5"/>
      <c r="L250" s="5"/>
      <c r="M250" s="5"/>
      <c r="N250" s="5"/>
      <c r="O250" s="7"/>
      <c r="P250" s="7">
        <f t="shared" si="54"/>
        <v>4</v>
      </c>
      <c r="Q250" s="8">
        <f t="shared" si="55"/>
        <v>0.75</v>
      </c>
      <c r="R250" s="7"/>
      <c r="S250" s="7">
        <f t="shared" si="56"/>
        <v>0.75</v>
      </c>
      <c r="T250" s="7">
        <f t="shared" si="57"/>
        <v>0.75</v>
      </c>
      <c r="U250" s="7">
        <f t="shared" si="58"/>
        <v>0.75</v>
      </c>
      <c r="V250" s="119">
        <f t="shared" si="59"/>
        <v>0</v>
      </c>
      <c r="W250" s="119">
        <f t="shared" si="60"/>
        <v>0</v>
      </c>
      <c r="X250" s="119">
        <f t="shared" si="61"/>
        <v>0</v>
      </c>
      <c r="Y250" s="119">
        <f t="shared" si="62"/>
        <v>0</v>
      </c>
      <c r="Z250" s="119">
        <f t="shared" si="63"/>
        <v>0</v>
      </c>
      <c r="AA250" s="119">
        <f t="shared" si="64"/>
        <v>0.75</v>
      </c>
      <c r="AB250" s="119">
        <f t="shared" si="65"/>
        <v>0</v>
      </c>
      <c r="AC250" s="119">
        <f t="shared" si="66"/>
        <v>0</v>
      </c>
      <c r="AD250" s="119">
        <f t="shared" si="67"/>
        <v>0</v>
      </c>
      <c r="AE250" s="119">
        <f t="shared" si="68"/>
        <v>0</v>
      </c>
      <c r="AF250" s="7"/>
      <c r="AG250" s="7"/>
      <c r="AH250" s="7">
        <f t="shared" si="69"/>
        <v>3</v>
      </c>
      <c r="AI250" s="7">
        <f t="shared" si="70"/>
        <v>4</v>
      </c>
      <c r="AJ250" s="7" t="str">
        <f t="shared" si="71"/>
        <v>Correct</v>
      </c>
      <c r="AK250" s="7"/>
      <c r="AL250" s="120" t="str">
        <f>IFERROR(VLOOKUP(Table1[RespondentID],'All Data'!$A$3:$CO$999,87,FALSE),"unknown")</f>
        <v>Woman</v>
      </c>
      <c r="AM250" s="120">
        <f>IFERROR(VLOOKUP(Table1[RespondentID],'All Data'!$A$3:$CO$999,88,FALSE),"unknown")</f>
        <v>58</v>
      </c>
      <c r="AN250" s="120" t="str">
        <f>IFERROR(VLOOKUP(Table1[RespondentID],'All Data'!$A$3:$CO$999,89,FALSE),"unknown")</f>
        <v>Suffolk</v>
      </c>
      <c r="AO250" s="120" t="str">
        <f>IFERROR(VLOOKUP(Table1[RespondentID],'All Data'!$A$3:$CO$999,90,FALSE),"unknown")</f>
        <v>West Babylon, 11704</v>
      </c>
      <c r="AP250" s="120" t="str">
        <f>IFERROR(VLOOKUP(Table1[RespondentID],'All Data'!$A$3:$CO$999,91,FALSE),"unknown")</f>
        <v>White</v>
      </c>
      <c r="AQ250" s="120">
        <f>IFERROR(VLOOKUP(Table1[RespondentID],'All Data'!$A$3:$CO$999,92,FALSE),"unknown")</f>
        <v>0</v>
      </c>
      <c r="AR250" s="120" t="str">
        <f>IFERROR(VLOOKUP(Table1[RespondentID],'All Data'!$A$3:$CO$999,93,FALSE),"unknown")</f>
        <v>English</v>
      </c>
      <c r="AS250" s="120" t="str">
        <f>IFERROR(VLOOKUP(Table1[RespondentID],'All Data'!$A$3:$CW$999,94,FALSE),"unknown")</f>
        <v>Over $125,000</v>
      </c>
      <c r="AT250" s="120" t="str">
        <f>IFERROR(VLOOKUP(Table1[RespondentID],'All Data'!$A$3:$CW$999,95,FALSE),"unknown")</f>
        <v>Some college</v>
      </c>
      <c r="AU250" s="120" t="str">
        <f>IFERROR(VLOOKUP(Table1[RespondentID],'All Data'!$A$3:$CW$999,96,FALSE),"unknown")</f>
        <v>Employed for wages</v>
      </c>
      <c r="AV250" s="120" t="str">
        <f>IFERROR(VLOOKUP(Table1[RespondentID],'All Data'!$A$3:$CW$999,97,FALSE),"unknown")</f>
        <v>Yes</v>
      </c>
      <c r="AW250" s="120">
        <f>IFERROR(VLOOKUP(Table1[RespondentID],'All Data'!$A$3:$CW$999,98,FALSE),"unknown")</f>
        <v>0</v>
      </c>
      <c r="AX250" s="120">
        <f>IFERROR(VLOOKUP(Table1[RespondentID],'All Data'!$A$3:$CW$999,99,FALSE),"unknown")</f>
        <v>0</v>
      </c>
    </row>
    <row r="251" spans="1:50">
      <c r="A251" s="5">
        <v>18019096113</v>
      </c>
      <c r="B251" s="5" t="s">
        <v>16</v>
      </c>
      <c r="C251" s="5" t="s">
        <v>17</v>
      </c>
      <c r="D251" s="5" t="s">
        <v>18</v>
      </c>
      <c r="E251" s="5"/>
      <c r="F251" s="5"/>
      <c r="G251" s="5" t="s">
        <v>21</v>
      </c>
      <c r="H251" s="5"/>
      <c r="I251" s="5"/>
      <c r="J251" s="5"/>
      <c r="K251" s="5" t="s">
        <v>25</v>
      </c>
      <c r="L251" s="5"/>
      <c r="M251" s="5"/>
      <c r="N251" s="5"/>
      <c r="O251" s="7"/>
      <c r="P251" s="7">
        <f t="shared" si="54"/>
        <v>5</v>
      </c>
      <c r="Q251" s="9">
        <f t="shared" si="55"/>
        <v>0.6</v>
      </c>
      <c r="R251" s="7"/>
      <c r="S251" s="7">
        <f t="shared" si="56"/>
        <v>0.6</v>
      </c>
      <c r="T251" s="7">
        <f t="shared" si="57"/>
        <v>0.6</v>
      </c>
      <c r="U251" s="7">
        <f t="shared" si="58"/>
        <v>0.6</v>
      </c>
      <c r="V251" s="119">
        <f t="shared" si="59"/>
        <v>0</v>
      </c>
      <c r="W251" s="119">
        <f t="shared" si="60"/>
        <v>0</v>
      </c>
      <c r="X251" s="119">
        <f t="shared" si="61"/>
        <v>0.6</v>
      </c>
      <c r="Y251" s="119">
        <f t="shared" si="62"/>
        <v>0</v>
      </c>
      <c r="Z251" s="119">
        <f t="shared" si="63"/>
        <v>0</v>
      </c>
      <c r="AA251" s="119">
        <f t="shared" si="64"/>
        <v>0</v>
      </c>
      <c r="AB251" s="119">
        <f t="shared" si="65"/>
        <v>0.6</v>
      </c>
      <c r="AC251" s="119">
        <f t="shared" si="66"/>
        <v>0</v>
      </c>
      <c r="AD251" s="119">
        <f t="shared" si="67"/>
        <v>0</v>
      </c>
      <c r="AE251" s="119">
        <f t="shared" si="68"/>
        <v>0</v>
      </c>
      <c r="AF251" s="7"/>
      <c r="AG251" s="7"/>
      <c r="AH251" s="7">
        <f t="shared" si="69"/>
        <v>3</v>
      </c>
      <c r="AI251" s="7">
        <f t="shared" si="70"/>
        <v>5</v>
      </c>
      <c r="AJ251" s="7" t="str">
        <f t="shared" si="71"/>
        <v>Correct</v>
      </c>
      <c r="AK251" s="7"/>
      <c r="AL251" s="120" t="str">
        <f>IFERROR(VLOOKUP(Table1[RespondentID],'All Data'!$A$3:$CO$999,87,FALSE),"unknown")</f>
        <v>Man</v>
      </c>
      <c r="AM251" s="120">
        <f>IFERROR(VLOOKUP(Table1[RespondentID],'All Data'!$A$3:$CO$999,88,FALSE),"unknown")</f>
        <v>56</v>
      </c>
      <c r="AN251" s="120" t="str">
        <f>IFERROR(VLOOKUP(Table1[RespondentID],'All Data'!$A$3:$CO$999,89,FALSE),"unknown")</f>
        <v>Suffolk</v>
      </c>
      <c r="AO251" s="120" t="str">
        <f>IFERROR(VLOOKUP(Table1[RespondentID],'All Data'!$A$3:$CO$999,90,FALSE),"unknown")</f>
        <v>West Babylon, 11704</v>
      </c>
      <c r="AP251" s="120" t="str">
        <f>IFERROR(VLOOKUP(Table1[RespondentID],'All Data'!$A$3:$CO$999,91,FALSE),"unknown")</f>
        <v>White</v>
      </c>
      <c r="AQ251" s="120" t="str">
        <f>IFERROR(VLOOKUP(Table1[RespondentID],'All Data'!$A$3:$CO$999,92,FALSE),"unknown")</f>
        <v>Hispanic or Latino</v>
      </c>
      <c r="AR251" s="120" t="str">
        <f>IFERROR(VLOOKUP(Table1[RespondentID],'All Data'!$A$3:$CO$999,93,FALSE),"unknown")</f>
        <v>English</v>
      </c>
      <c r="AS251" s="120" t="str">
        <f>IFERROR(VLOOKUP(Table1[RespondentID],'All Data'!$A$3:$CW$999,94,FALSE),"unknown")</f>
        <v>Over $125,000</v>
      </c>
      <c r="AT251" s="120" t="str">
        <f>IFERROR(VLOOKUP(Table1[RespondentID],'All Data'!$A$3:$CW$999,95,FALSE),"unknown")</f>
        <v>Some college</v>
      </c>
      <c r="AU251" s="120" t="str">
        <f>IFERROR(VLOOKUP(Table1[RespondentID],'All Data'!$A$3:$CW$999,96,FALSE),"unknown")</f>
        <v>Employed for wages</v>
      </c>
      <c r="AV251" s="120" t="str">
        <f>IFERROR(VLOOKUP(Table1[RespondentID],'All Data'!$A$3:$CW$999,97,FALSE),"unknown")</f>
        <v>Yes</v>
      </c>
      <c r="AW251" s="120">
        <f>IFERROR(VLOOKUP(Table1[RespondentID],'All Data'!$A$3:$CW$999,98,FALSE),"unknown")</f>
        <v>0</v>
      </c>
      <c r="AX251" s="120">
        <f>IFERROR(VLOOKUP(Table1[RespondentID],'All Data'!$A$3:$CW$999,99,FALSE),"unknown")</f>
        <v>0</v>
      </c>
    </row>
    <row r="252" spans="1:50">
      <c r="A252" s="5">
        <v>18019095931</v>
      </c>
      <c r="B252" s="5"/>
      <c r="C252" s="5" t="s">
        <v>17</v>
      </c>
      <c r="D252" s="5" t="s">
        <v>18</v>
      </c>
      <c r="E252" s="5"/>
      <c r="F252" s="5"/>
      <c r="G252" s="5"/>
      <c r="H252" s="5"/>
      <c r="I252" s="5"/>
      <c r="J252" s="5"/>
      <c r="K252" s="5"/>
      <c r="L252" s="5"/>
      <c r="M252" s="5"/>
      <c r="N252" s="5"/>
      <c r="O252" s="7"/>
      <c r="P252" s="7">
        <f t="shared" si="54"/>
        <v>2</v>
      </c>
      <c r="Q252" s="8">
        <f t="shared" si="55"/>
        <v>1.5</v>
      </c>
      <c r="R252" s="7"/>
      <c r="S252" s="7">
        <f t="shared" si="56"/>
        <v>0</v>
      </c>
      <c r="T252" s="7">
        <f t="shared" si="57"/>
        <v>1</v>
      </c>
      <c r="U252" s="7">
        <f t="shared" si="58"/>
        <v>1</v>
      </c>
      <c r="V252" s="119">
        <f t="shared" si="59"/>
        <v>0</v>
      </c>
      <c r="W252" s="119">
        <f t="shared" si="60"/>
        <v>0</v>
      </c>
      <c r="X252" s="119">
        <f t="shared" si="61"/>
        <v>0</v>
      </c>
      <c r="Y252" s="119">
        <f t="shared" si="62"/>
        <v>0</v>
      </c>
      <c r="Z252" s="119">
        <f t="shared" si="63"/>
        <v>0</v>
      </c>
      <c r="AA252" s="119">
        <f t="shared" si="64"/>
        <v>0</v>
      </c>
      <c r="AB252" s="119">
        <f t="shared" si="65"/>
        <v>0</v>
      </c>
      <c r="AC252" s="119">
        <f t="shared" si="66"/>
        <v>0</v>
      </c>
      <c r="AD252" s="119">
        <f t="shared" si="67"/>
        <v>0</v>
      </c>
      <c r="AE252" s="119">
        <f t="shared" si="68"/>
        <v>0</v>
      </c>
      <c r="AF252" s="7"/>
      <c r="AG252" s="7"/>
      <c r="AH252" s="7">
        <f t="shared" si="69"/>
        <v>2</v>
      </c>
      <c r="AI252" s="7">
        <f t="shared" si="70"/>
        <v>2</v>
      </c>
      <c r="AJ252" s="7" t="str">
        <f t="shared" si="71"/>
        <v>Correct</v>
      </c>
      <c r="AK252" s="7"/>
      <c r="AL252" s="120" t="str">
        <f>IFERROR(VLOOKUP(Table1[RespondentID],'All Data'!$A$3:$CO$999,87,FALSE),"unknown")</f>
        <v>Man</v>
      </c>
      <c r="AM252" s="120">
        <f>IFERROR(VLOOKUP(Table1[RespondentID],'All Data'!$A$3:$CO$999,88,FALSE),"unknown")</f>
        <v>43</v>
      </c>
      <c r="AN252" s="120" t="str">
        <f>IFERROR(VLOOKUP(Table1[RespondentID],'All Data'!$A$3:$CO$999,89,FALSE),"unknown")</f>
        <v>Suffolk</v>
      </c>
      <c r="AO252" s="120" t="str">
        <f>IFERROR(VLOOKUP(Table1[RespondentID],'All Data'!$A$3:$CO$999,90,FALSE),"unknown")</f>
        <v>Commack, 11725</v>
      </c>
      <c r="AP252" s="120" t="str">
        <f>IFERROR(VLOOKUP(Table1[RespondentID],'All Data'!$A$3:$CO$999,91,FALSE),"unknown")</f>
        <v>White</v>
      </c>
      <c r="AQ252" s="120" t="str">
        <f>IFERROR(VLOOKUP(Table1[RespondentID],'All Data'!$A$3:$CO$999,92,FALSE),"unknown")</f>
        <v>Hispanic or Latino</v>
      </c>
      <c r="AR252" s="120" t="str">
        <f>IFERROR(VLOOKUP(Table1[RespondentID],'All Data'!$A$3:$CO$999,93,FALSE),"unknown")</f>
        <v>English</v>
      </c>
      <c r="AS252" s="120" t="str">
        <f>IFERROR(VLOOKUP(Table1[RespondentID],'All Data'!$A$3:$CW$999,94,FALSE),"unknown")</f>
        <v>Over $125,000</v>
      </c>
      <c r="AT252" s="120" t="str">
        <f>IFERROR(VLOOKUP(Table1[RespondentID],'All Data'!$A$3:$CW$999,95,FALSE),"unknown")</f>
        <v>Graduate school</v>
      </c>
      <c r="AU252" s="120" t="str">
        <f>IFERROR(VLOOKUP(Table1[RespondentID],'All Data'!$A$3:$CW$999,96,FALSE),"unknown")</f>
        <v>Self-employed</v>
      </c>
      <c r="AV252" s="120" t="str">
        <f>IFERROR(VLOOKUP(Table1[RespondentID],'All Data'!$A$3:$CW$999,97,FALSE),"unknown")</f>
        <v>Yes</v>
      </c>
      <c r="AW252" s="120">
        <f>IFERROR(VLOOKUP(Table1[RespondentID],'All Data'!$A$3:$CW$999,98,FALSE),"unknown")</f>
        <v>0</v>
      </c>
      <c r="AX252" s="120">
        <f>IFERROR(VLOOKUP(Table1[RespondentID],'All Data'!$A$3:$CW$999,99,FALSE),"unknown")</f>
        <v>0</v>
      </c>
    </row>
    <row r="253" spans="1:50">
      <c r="A253" s="5">
        <v>18019095788</v>
      </c>
      <c r="B253" s="5"/>
      <c r="C253" s="5" t="s">
        <v>17</v>
      </c>
      <c r="D253" s="5" t="s">
        <v>18</v>
      </c>
      <c r="E253" s="5"/>
      <c r="F253" s="5"/>
      <c r="G253" s="5"/>
      <c r="H253" s="5"/>
      <c r="I253" s="5"/>
      <c r="J253" s="5" t="s">
        <v>24</v>
      </c>
      <c r="K253" s="5"/>
      <c r="L253" s="5"/>
      <c r="M253" s="5"/>
      <c r="N253" s="5"/>
      <c r="O253" s="7"/>
      <c r="P253" s="7">
        <f t="shared" si="54"/>
        <v>3</v>
      </c>
      <c r="Q253" s="9">
        <f t="shared" si="55"/>
        <v>1</v>
      </c>
      <c r="R253" s="7"/>
      <c r="S253" s="7">
        <f t="shared" si="56"/>
        <v>0</v>
      </c>
      <c r="T253" s="7">
        <f t="shared" si="57"/>
        <v>1</v>
      </c>
      <c r="U253" s="7">
        <f t="shared" si="58"/>
        <v>1</v>
      </c>
      <c r="V253" s="119">
        <f t="shared" si="59"/>
        <v>0</v>
      </c>
      <c r="W253" s="119">
        <f t="shared" si="60"/>
        <v>0</v>
      </c>
      <c r="X253" s="119">
        <f t="shared" si="61"/>
        <v>0</v>
      </c>
      <c r="Y253" s="119">
        <f t="shared" si="62"/>
        <v>0</v>
      </c>
      <c r="Z253" s="119">
        <f t="shared" si="63"/>
        <v>0</v>
      </c>
      <c r="AA253" s="119">
        <f t="shared" si="64"/>
        <v>1</v>
      </c>
      <c r="AB253" s="119">
        <f t="shared" si="65"/>
        <v>0</v>
      </c>
      <c r="AC253" s="119">
        <f t="shared" si="66"/>
        <v>0</v>
      </c>
      <c r="AD253" s="119">
        <f t="shared" si="67"/>
        <v>0</v>
      </c>
      <c r="AE253" s="119">
        <f t="shared" si="68"/>
        <v>0</v>
      </c>
      <c r="AF253" s="7"/>
      <c r="AG253" s="7"/>
      <c r="AH253" s="7">
        <f t="shared" si="69"/>
        <v>3</v>
      </c>
      <c r="AI253" s="7">
        <f t="shared" si="70"/>
        <v>3</v>
      </c>
      <c r="AJ253" s="7" t="str">
        <f t="shared" si="71"/>
        <v>Correct</v>
      </c>
      <c r="AK253" s="7"/>
      <c r="AL253" s="120" t="str">
        <f>IFERROR(VLOOKUP(Table1[RespondentID],'All Data'!$A$3:$CO$999,87,FALSE),"unknown")</f>
        <v>Woman</v>
      </c>
      <c r="AM253" s="120">
        <f>IFERROR(VLOOKUP(Table1[RespondentID],'All Data'!$A$3:$CO$999,88,FALSE),"unknown")</f>
        <v>48</v>
      </c>
      <c r="AN253" s="120" t="str">
        <f>IFERROR(VLOOKUP(Table1[RespondentID],'All Data'!$A$3:$CO$999,89,FALSE),"unknown")</f>
        <v>Suffolk</v>
      </c>
      <c r="AO253" s="120" t="str">
        <f>IFERROR(VLOOKUP(Table1[RespondentID],'All Data'!$A$3:$CO$999,90,FALSE),"unknown")</f>
        <v>Commack, 11725</v>
      </c>
      <c r="AP253" s="120" t="str">
        <f>IFERROR(VLOOKUP(Table1[RespondentID],'All Data'!$A$3:$CO$999,91,FALSE),"unknown")</f>
        <v>White</v>
      </c>
      <c r="AQ253" s="120" t="str">
        <f>IFERROR(VLOOKUP(Table1[RespondentID],'All Data'!$A$3:$CO$999,92,FALSE),"unknown")</f>
        <v>Hispanic or Latino</v>
      </c>
      <c r="AR253" s="120" t="str">
        <f>IFERROR(VLOOKUP(Table1[RespondentID],'All Data'!$A$3:$CO$999,93,FALSE),"unknown")</f>
        <v>English</v>
      </c>
      <c r="AS253" s="120" t="str">
        <f>IFERROR(VLOOKUP(Table1[RespondentID],'All Data'!$A$3:$CW$999,94,FALSE),"unknown")</f>
        <v>Over $125,000</v>
      </c>
      <c r="AT253" s="120" t="str">
        <f>IFERROR(VLOOKUP(Table1[RespondentID],'All Data'!$A$3:$CW$999,95,FALSE),"unknown")</f>
        <v>Some college</v>
      </c>
      <c r="AU253" s="120" t="str">
        <f>IFERROR(VLOOKUP(Table1[RespondentID],'All Data'!$A$3:$CW$999,96,FALSE),"unknown")</f>
        <v>Employed for wages</v>
      </c>
      <c r="AV253" s="120" t="str">
        <f>IFERROR(VLOOKUP(Table1[RespondentID],'All Data'!$A$3:$CW$999,97,FALSE),"unknown")</f>
        <v>Yes</v>
      </c>
      <c r="AW253" s="120">
        <f>IFERROR(VLOOKUP(Table1[RespondentID],'All Data'!$A$3:$CW$999,98,FALSE),"unknown")</f>
        <v>0</v>
      </c>
      <c r="AX253" s="120">
        <f>IFERROR(VLOOKUP(Table1[RespondentID],'All Data'!$A$3:$CW$999,99,FALSE),"unknown")</f>
        <v>0</v>
      </c>
    </row>
    <row r="254" spans="1:50">
      <c r="A254" s="5">
        <v>18019095658</v>
      </c>
      <c r="B254" s="5" t="s">
        <v>16</v>
      </c>
      <c r="C254" s="5" t="s">
        <v>17</v>
      </c>
      <c r="D254" s="5" t="s">
        <v>18</v>
      </c>
      <c r="E254" s="5"/>
      <c r="F254" s="5"/>
      <c r="G254" s="5"/>
      <c r="H254" s="5"/>
      <c r="I254" s="5"/>
      <c r="J254" s="5"/>
      <c r="K254" s="5"/>
      <c r="L254" s="5"/>
      <c r="M254" s="5"/>
      <c r="N254" s="5"/>
      <c r="O254" s="7"/>
      <c r="P254" s="7">
        <f t="shared" si="54"/>
        <v>3</v>
      </c>
      <c r="Q254" s="8">
        <f t="shared" si="55"/>
        <v>1</v>
      </c>
      <c r="R254" s="7"/>
      <c r="S254" s="7">
        <f t="shared" si="56"/>
        <v>1</v>
      </c>
      <c r="T254" s="7">
        <f t="shared" si="57"/>
        <v>1</v>
      </c>
      <c r="U254" s="7">
        <f t="shared" si="58"/>
        <v>1</v>
      </c>
      <c r="V254" s="119">
        <f t="shared" si="59"/>
        <v>0</v>
      </c>
      <c r="W254" s="119">
        <f t="shared" si="60"/>
        <v>0</v>
      </c>
      <c r="X254" s="119">
        <f t="shared" si="61"/>
        <v>0</v>
      </c>
      <c r="Y254" s="119">
        <f t="shared" si="62"/>
        <v>0</v>
      </c>
      <c r="Z254" s="119">
        <f t="shared" si="63"/>
        <v>0</v>
      </c>
      <c r="AA254" s="119">
        <f t="shared" si="64"/>
        <v>0</v>
      </c>
      <c r="AB254" s="119">
        <f t="shared" si="65"/>
        <v>0</v>
      </c>
      <c r="AC254" s="119">
        <f t="shared" si="66"/>
        <v>0</v>
      </c>
      <c r="AD254" s="119">
        <f t="shared" si="67"/>
        <v>0</v>
      </c>
      <c r="AE254" s="119">
        <f t="shared" si="68"/>
        <v>0</v>
      </c>
      <c r="AF254" s="7"/>
      <c r="AG254" s="7"/>
      <c r="AH254" s="7">
        <f t="shared" si="69"/>
        <v>3</v>
      </c>
      <c r="AI254" s="7">
        <f t="shared" si="70"/>
        <v>3</v>
      </c>
      <c r="AJ254" s="7" t="str">
        <f t="shared" si="71"/>
        <v>Correct</v>
      </c>
      <c r="AK254" s="7"/>
      <c r="AL254" s="120" t="str">
        <f>IFERROR(VLOOKUP(Table1[RespondentID],'All Data'!$A$3:$CO$999,87,FALSE),"unknown")</f>
        <v>Man</v>
      </c>
      <c r="AM254" s="120">
        <f>IFERROR(VLOOKUP(Table1[RespondentID],'All Data'!$A$3:$CO$999,88,FALSE),"unknown")</f>
        <v>49</v>
      </c>
      <c r="AN254" s="120" t="str">
        <f>IFERROR(VLOOKUP(Table1[RespondentID],'All Data'!$A$3:$CO$999,89,FALSE),"unknown")</f>
        <v>Suffolk</v>
      </c>
      <c r="AO254" s="120" t="str">
        <f>IFERROR(VLOOKUP(Table1[RespondentID],'All Data'!$A$3:$CO$999,90,FALSE),"unknown")</f>
        <v>West Islip, 11795</v>
      </c>
      <c r="AP254" s="120" t="str">
        <f>IFERROR(VLOOKUP(Table1[RespondentID],'All Data'!$A$3:$CO$999,91,FALSE),"unknown")</f>
        <v>White</v>
      </c>
      <c r="AQ254" s="120" t="str">
        <f>IFERROR(VLOOKUP(Table1[RespondentID],'All Data'!$A$3:$CO$999,92,FALSE),"unknown")</f>
        <v>Hispanic or Latino</v>
      </c>
      <c r="AR254" s="120" t="str">
        <f>IFERROR(VLOOKUP(Table1[RespondentID],'All Data'!$A$3:$CO$999,93,FALSE),"unknown")</f>
        <v>English</v>
      </c>
      <c r="AS254" s="120" t="str">
        <f>IFERROR(VLOOKUP(Table1[RespondentID],'All Data'!$A$3:$CW$999,94,FALSE),"unknown")</f>
        <v>Over $125,000</v>
      </c>
      <c r="AT254" s="120" t="str">
        <f>IFERROR(VLOOKUP(Table1[RespondentID],'All Data'!$A$3:$CW$999,95,FALSE),"unknown")</f>
        <v>College graduate</v>
      </c>
      <c r="AU254" s="120" t="str">
        <f>IFERROR(VLOOKUP(Table1[RespondentID],'All Data'!$A$3:$CW$999,96,FALSE),"unknown")</f>
        <v>Employed for wages</v>
      </c>
      <c r="AV254" s="120" t="str">
        <f>IFERROR(VLOOKUP(Table1[RespondentID],'All Data'!$A$3:$CW$999,97,FALSE),"unknown")</f>
        <v>Yes</v>
      </c>
      <c r="AW254" s="120">
        <f>IFERROR(VLOOKUP(Table1[RespondentID],'All Data'!$A$3:$CW$999,98,FALSE),"unknown")</f>
        <v>0</v>
      </c>
      <c r="AX254" s="120">
        <f>IFERROR(VLOOKUP(Table1[RespondentID],'All Data'!$A$3:$CW$999,99,FALSE),"unknown")</f>
        <v>0</v>
      </c>
    </row>
    <row r="255" spans="1:50">
      <c r="A255" s="5">
        <v>18019095504</v>
      </c>
      <c r="B255" s="5"/>
      <c r="C255" s="5" t="s">
        <v>17</v>
      </c>
      <c r="D255" s="5" t="s">
        <v>18</v>
      </c>
      <c r="E255" s="5" t="s">
        <v>19</v>
      </c>
      <c r="F255" s="5"/>
      <c r="G255" s="5"/>
      <c r="H255" s="5"/>
      <c r="I255" s="5"/>
      <c r="J255" s="5"/>
      <c r="K255" s="5"/>
      <c r="L255" s="5"/>
      <c r="M255" s="5"/>
      <c r="N255" s="5"/>
      <c r="O255" s="7"/>
      <c r="P255" s="7">
        <f t="shared" si="54"/>
        <v>3</v>
      </c>
      <c r="Q255" s="9">
        <f t="shared" si="55"/>
        <v>1</v>
      </c>
      <c r="R255" s="7"/>
      <c r="S255" s="7">
        <f t="shared" si="56"/>
        <v>0</v>
      </c>
      <c r="T255" s="7">
        <f t="shared" si="57"/>
        <v>1</v>
      </c>
      <c r="U255" s="7">
        <f t="shared" si="58"/>
        <v>1</v>
      </c>
      <c r="V255" s="119">
        <f t="shared" si="59"/>
        <v>1</v>
      </c>
      <c r="W255" s="119">
        <f t="shared" si="60"/>
        <v>0</v>
      </c>
      <c r="X255" s="119">
        <f t="shared" si="61"/>
        <v>0</v>
      </c>
      <c r="Y255" s="119">
        <f t="shared" si="62"/>
        <v>0</v>
      </c>
      <c r="Z255" s="119">
        <f t="shared" si="63"/>
        <v>0</v>
      </c>
      <c r="AA255" s="119">
        <f t="shared" si="64"/>
        <v>0</v>
      </c>
      <c r="AB255" s="119">
        <f t="shared" si="65"/>
        <v>0</v>
      </c>
      <c r="AC255" s="119">
        <f t="shared" si="66"/>
        <v>0</v>
      </c>
      <c r="AD255" s="119">
        <f t="shared" si="67"/>
        <v>0</v>
      </c>
      <c r="AE255" s="119">
        <f t="shared" si="68"/>
        <v>0</v>
      </c>
      <c r="AF255" s="7"/>
      <c r="AG255" s="7"/>
      <c r="AH255" s="7">
        <f t="shared" si="69"/>
        <v>3</v>
      </c>
      <c r="AI255" s="7">
        <f t="shared" si="70"/>
        <v>3</v>
      </c>
      <c r="AJ255" s="7" t="str">
        <f t="shared" si="71"/>
        <v>Correct</v>
      </c>
      <c r="AK255" s="7"/>
      <c r="AL255" s="120" t="str">
        <f>IFERROR(VLOOKUP(Table1[RespondentID],'All Data'!$A$3:$CO$999,87,FALSE),"unknown")</f>
        <v>Woman</v>
      </c>
      <c r="AM255" s="120">
        <f>IFERROR(VLOOKUP(Table1[RespondentID],'All Data'!$A$3:$CO$999,88,FALSE),"unknown")</f>
        <v>49</v>
      </c>
      <c r="AN255" s="120" t="str">
        <f>IFERROR(VLOOKUP(Table1[RespondentID],'All Data'!$A$3:$CO$999,89,FALSE),"unknown")</f>
        <v>Suffolk</v>
      </c>
      <c r="AO255" s="120" t="str">
        <f>IFERROR(VLOOKUP(Table1[RespondentID],'All Data'!$A$3:$CO$999,90,FALSE),"unknown")</f>
        <v>Coram, 11727</v>
      </c>
      <c r="AP255" s="120" t="str">
        <f>IFERROR(VLOOKUP(Table1[RespondentID],'All Data'!$A$3:$CO$999,91,FALSE),"unknown")</f>
        <v>White</v>
      </c>
      <c r="AQ255" s="120">
        <f>IFERROR(VLOOKUP(Table1[RespondentID],'All Data'!$A$3:$CO$999,92,FALSE),"unknown")</f>
        <v>0</v>
      </c>
      <c r="AR255" s="120" t="str">
        <f>IFERROR(VLOOKUP(Table1[RespondentID],'All Data'!$A$3:$CO$999,93,FALSE),"unknown")</f>
        <v>English</v>
      </c>
      <c r="AS255" s="120" t="str">
        <f>IFERROR(VLOOKUP(Table1[RespondentID],'All Data'!$A$3:$CW$999,94,FALSE),"unknown")</f>
        <v>$75,000 to $125,000</v>
      </c>
      <c r="AT255" s="120" t="str">
        <f>IFERROR(VLOOKUP(Table1[RespondentID],'All Data'!$A$3:$CW$999,95,FALSE),"unknown")</f>
        <v>College graduate</v>
      </c>
      <c r="AU255" s="120" t="str">
        <f>IFERROR(VLOOKUP(Table1[RespondentID],'All Data'!$A$3:$CW$999,96,FALSE),"unknown")</f>
        <v>Employed for wages</v>
      </c>
      <c r="AV255" s="120" t="str">
        <f>IFERROR(VLOOKUP(Table1[RespondentID],'All Data'!$A$3:$CW$999,97,FALSE),"unknown")</f>
        <v>Yes</v>
      </c>
      <c r="AW255" s="120">
        <f>IFERROR(VLOOKUP(Table1[RespondentID],'All Data'!$A$3:$CW$999,98,FALSE),"unknown")</f>
        <v>0</v>
      </c>
      <c r="AX255" s="120">
        <f>IFERROR(VLOOKUP(Table1[RespondentID],'All Data'!$A$3:$CW$999,99,FALSE),"unknown")</f>
        <v>0</v>
      </c>
    </row>
    <row r="256" spans="1:50">
      <c r="A256" s="5">
        <v>18019095328</v>
      </c>
      <c r="B256" s="5"/>
      <c r="C256" s="5" t="s">
        <v>17</v>
      </c>
      <c r="D256" s="5"/>
      <c r="E256" s="5"/>
      <c r="F256" s="5"/>
      <c r="G256" s="5"/>
      <c r="H256" s="5"/>
      <c r="I256" s="5" t="s">
        <v>23</v>
      </c>
      <c r="J256" s="5"/>
      <c r="K256" s="5"/>
      <c r="L256" s="5"/>
      <c r="M256" s="5"/>
      <c r="N256" s="5" t="s">
        <v>28</v>
      </c>
      <c r="O256" s="7"/>
      <c r="P256" s="7">
        <f t="shared" si="54"/>
        <v>3</v>
      </c>
      <c r="Q256" s="8">
        <f t="shared" si="55"/>
        <v>1</v>
      </c>
      <c r="R256" s="7"/>
      <c r="S256" s="7">
        <f t="shared" si="56"/>
        <v>0</v>
      </c>
      <c r="T256" s="7">
        <f t="shared" si="57"/>
        <v>1</v>
      </c>
      <c r="U256" s="7">
        <f t="shared" si="58"/>
        <v>0</v>
      </c>
      <c r="V256" s="119">
        <f t="shared" si="59"/>
        <v>0</v>
      </c>
      <c r="W256" s="119">
        <f t="shared" si="60"/>
        <v>0</v>
      </c>
      <c r="X256" s="119">
        <f t="shared" si="61"/>
        <v>0</v>
      </c>
      <c r="Y256" s="119">
        <f t="shared" si="62"/>
        <v>0</v>
      </c>
      <c r="Z256" s="119">
        <f t="shared" si="63"/>
        <v>1</v>
      </c>
      <c r="AA256" s="119">
        <f t="shared" si="64"/>
        <v>0</v>
      </c>
      <c r="AB256" s="119">
        <f t="shared" si="65"/>
        <v>0</v>
      </c>
      <c r="AC256" s="119">
        <f t="shared" si="66"/>
        <v>0</v>
      </c>
      <c r="AD256" s="119">
        <f t="shared" si="67"/>
        <v>0</v>
      </c>
      <c r="AE256" s="119">
        <f t="shared" si="68"/>
        <v>1</v>
      </c>
      <c r="AF256" s="7"/>
      <c r="AG256" s="7"/>
      <c r="AH256" s="7">
        <f t="shared" si="69"/>
        <v>3</v>
      </c>
      <c r="AI256" s="7">
        <f t="shared" si="70"/>
        <v>3</v>
      </c>
      <c r="AJ256" s="7" t="str">
        <f t="shared" si="71"/>
        <v>Correct</v>
      </c>
      <c r="AK256" s="7"/>
      <c r="AL256" s="120" t="str">
        <f>IFERROR(VLOOKUP(Table1[RespondentID],'All Data'!$A$3:$CO$999,87,FALSE),"unknown")</f>
        <v>Man</v>
      </c>
      <c r="AM256" s="120">
        <f>IFERROR(VLOOKUP(Table1[RespondentID],'All Data'!$A$3:$CO$999,88,FALSE),"unknown")</f>
        <v>48</v>
      </c>
      <c r="AN256" s="120" t="str">
        <f>IFERROR(VLOOKUP(Table1[RespondentID],'All Data'!$A$3:$CO$999,89,FALSE),"unknown")</f>
        <v>Suffolk</v>
      </c>
      <c r="AO256" s="120" t="str">
        <f>IFERROR(VLOOKUP(Table1[RespondentID],'All Data'!$A$3:$CO$999,90,FALSE),"unknown")</f>
        <v>Commack, 11725</v>
      </c>
      <c r="AP256" s="120" t="str">
        <f>IFERROR(VLOOKUP(Table1[RespondentID],'All Data'!$A$3:$CO$999,91,FALSE),"unknown")</f>
        <v>White</v>
      </c>
      <c r="AQ256" s="120" t="str">
        <f>IFERROR(VLOOKUP(Table1[RespondentID],'All Data'!$A$3:$CO$999,92,FALSE),"unknown")</f>
        <v>Hispanic or Latino</v>
      </c>
      <c r="AR256" s="120" t="str">
        <f>IFERROR(VLOOKUP(Table1[RespondentID],'All Data'!$A$3:$CO$999,93,FALSE),"unknown")</f>
        <v>English</v>
      </c>
      <c r="AS256" s="120" t="str">
        <f>IFERROR(VLOOKUP(Table1[RespondentID],'All Data'!$A$3:$CW$999,94,FALSE),"unknown")</f>
        <v>Over $125,000</v>
      </c>
      <c r="AT256" s="120" t="str">
        <f>IFERROR(VLOOKUP(Table1[RespondentID],'All Data'!$A$3:$CW$999,95,FALSE),"unknown")</f>
        <v>College graduate</v>
      </c>
      <c r="AU256" s="120" t="str">
        <f>IFERROR(VLOOKUP(Table1[RespondentID],'All Data'!$A$3:$CW$999,96,FALSE),"unknown")</f>
        <v>Out of work, but not currently looking</v>
      </c>
      <c r="AV256" s="120" t="str">
        <f>IFERROR(VLOOKUP(Table1[RespondentID],'All Data'!$A$3:$CW$999,97,FALSE),"unknown")</f>
        <v>Yes</v>
      </c>
      <c r="AW256" s="120">
        <f>IFERROR(VLOOKUP(Table1[RespondentID],'All Data'!$A$3:$CW$999,98,FALSE),"unknown")</f>
        <v>0</v>
      </c>
      <c r="AX256" s="120">
        <f>IFERROR(VLOOKUP(Table1[RespondentID],'All Data'!$A$3:$CW$999,99,FALSE),"unknown")</f>
        <v>0</v>
      </c>
    </row>
    <row r="257" spans="1:50">
      <c r="A257" s="5">
        <v>18019095130</v>
      </c>
      <c r="B257" s="5"/>
      <c r="C257" s="5"/>
      <c r="D257" s="5" t="s">
        <v>18</v>
      </c>
      <c r="E257" s="5"/>
      <c r="F257" s="5"/>
      <c r="G257" s="5"/>
      <c r="H257" s="5"/>
      <c r="I257" s="5"/>
      <c r="J257" s="5"/>
      <c r="K257" s="5"/>
      <c r="L257" s="5"/>
      <c r="M257" s="5"/>
      <c r="N257" s="5" t="s">
        <v>28</v>
      </c>
      <c r="O257" s="7"/>
      <c r="P257" s="7">
        <f t="shared" si="54"/>
        <v>2</v>
      </c>
      <c r="Q257" s="9">
        <f t="shared" si="55"/>
        <v>1.5</v>
      </c>
      <c r="R257" s="7"/>
      <c r="S257" s="7">
        <f t="shared" si="56"/>
        <v>0</v>
      </c>
      <c r="T257" s="7">
        <f t="shared" si="57"/>
        <v>0</v>
      </c>
      <c r="U257" s="7">
        <f t="shared" si="58"/>
        <v>1</v>
      </c>
      <c r="V257" s="119">
        <f t="shared" si="59"/>
        <v>0</v>
      </c>
      <c r="W257" s="119">
        <f t="shared" si="60"/>
        <v>0</v>
      </c>
      <c r="X257" s="119">
        <f t="shared" si="61"/>
        <v>0</v>
      </c>
      <c r="Y257" s="119">
        <f t="shared" si="62"/>
        <v>0</v>
      </c>
      <c r="Z257" s="119">
        <f t="shared" si="63"/>
        <v>0</v>
      </c>
      <c r="AA257" s="119">
        <f t="shared" si="64"/>
        <v>0</v>
      </c>
      <c r="AB257" s="119">
        <f t="shared" si="65"/>
        <v>0</v>
      </c>
      <c r="AC257" s="119">
        <f t="shared" si="66"/>
        <v>0</v>
      </c>
      <c r="AD257" s="119">
        <f t="shared" si="67"/>
        <v>0</v>
      </c>
      <c r="AE257" s="119">
        <f t="shared" si="68"/>
        <v>1</v>
      </c>
      <c r="AF257" s="7"/>
      <c r="AG257" s="7"/>
      <c r="AH257" s="7">
        <f t="shared" si="69"/>
        <v>2</v>
      </c>
      <c r="AI257" s="7">
        <f t="shared" si="70"/>
        <v>2</v>
      </c>
      <c r="AJ257" s="7" t="str">
        <f t="shared" si="71"/>
        <v>Correct</v>
      </c>
      <c r="AK257" s="7"/>
      <c r="AL257" s="120" t="str">
        <f>IFERROR(VLOOKUP(Table1[RespondentID],'All Data'!$A$3:$CO$999,87,FALSE),"unknown")</f>
        <v>Woman</v>
      </c>
      <c r="AM257" s="120">
        <f>IFERROR(VLOOKUP(Table1[RespondentID],'All Data'!$A$3:$CO$999,88,FALSE),"unknown")</f>
        <v>50</v>
      </c>
      <c r="AN257" s="120" t="str">
        <f>IFERROR(VLOOKUP(Table1[RespondentID],'All Data'!$A$3:$CO$999,89,FALSE),"unknown")</f>
        <v>Suffolk</v>
      </c>
      <c r="AO257" s="120" t="str">
        <f>IFERROR(VLOOKUP(Table1[RespondentID],'All Data'!$A$3:$CO$999,90,FALSE),"unknown")</f>
        <v>Nesconset, 11767</v>
      </c>
      <c r="AP257" s="120" t="str">
        <f>IFERROR(VLOOKUP(Table1[RespondentID],'All Data'!$A$3:$CO$999,91,FALSE),"unknown")</f>
        <v>White</v>
      </c>
      <c r="AQ257" s="120" t="str">
        <f>IFERROR(VLOOKUP(Table1[RespondentID],'All Data'!$A$3:$CO$999,92,FALSE),"unknown")</f>
        <v>Hispanic or Latino</v>
      </c>
      <c r="AR257" s="120" t="str">
        <f>IFERROR(VLOOKUP(Table1[RespondentID],'All Data'!$A$3:$CO$999,93,FALSE),"unknown")</f>
        <v>English</v>
      </c>
      <c r="AS257" s="120" t="str">
        <f>IFERROR(VLOOKUP(Table1[RespondentID],'All Data'!$A$3:$CW$999,94,FALSE),"unknown")</f>
        <v>$75,000 to $125,000</v>
      </c>
      <c r="AT257" s="120" t="str">
        <f>IFERROR(VLOOKUP(Table1[RespondentID],'All Data'!$A$3:$CW$999,95,FALSE),"unknown")</f>
        <v>High school graduate</v>
      </c>
      <c r="AU257" s="120" t="str">
        <f>IFERROR(VLOOKUP(Table1[RespondentID],'All Data'!$A$3:$CW$999,96,FALSE),"unknown")</f>
        <v>Employed for wages</v>
      </c>
      <c r="AV257" s="120" t="str">
        <f>IFERROR(VLOOKUP(Table1[RespondentID],'All Data'!$A$3:$CW$999,97,FALSE),"unknown")</f>
        <v>Yes</v>
      </c>
      <c r="AW257" s="120">
        <f>IFERROR(VLOOKUP(Table1[RespondentID],'All Data'!$A$3:$CW$999,98,FALSE),"unknown")</f>
        <v>0</v>
      </c>
      <c r="AX257" s="120">
        <f>IFERROR(VLOOKUP(Table1[RespondentID],'All Data'!$A$3:$CW$999,99,FALSE),"unknown")</f>
        <v>0</v>
      </c>
    </row>
    <row r="258" spans="1:50">
      <c r="A258" s="5">
        <v>18019094934</v>
      </c>
      <c r="B258" s="5"/>
      <c r="C258" s="5" t="s">
        <v>17</v>
      </c>
      <c r="D258" s="5"/>
      <c r="E258" s="5"/>
      <c r="F258" s="5"/>
      <c r="G258" s="5"/>
      <c r="H258" s="5"/>
      <c r="I258" s="5" t="s">
        <v>23</v>
      </c>
      <c r="J258" s="5"/>
      <c r="K258" s="5"/>
      <c r="L258" s="5"/>
      <c r="M258" s="5"/>
      <c r="N258" s="5"/>
      <c r="O258" s="7"/>
      <c r="P258" s="7">
        <f t="shared" ref="P258:P321" si="72">COUNTA(B258:N258)</f>
        <v>2</v>
      </c>
      <c r="Q258" s="8">
        <f t="shared" ref="Q258:Q321" si="73">3/P258</f>
        <v>1.5</v>
      </c>
      <c r="R258" s="7"/>
      <c r="S258" s="7">
        <f t="shared" ref="S258:S321" si="74">IF($P258&lt;3,IF($B258=$B$1,1,0),IF($B258=$B$1,$Q258,0))</f>
        <v>0</v>
      </c>
      <c r="T258" s="7">
        <f t="shared" ref="T258:T321" si="75">IF($P258&lt;3,IF($C258=$C$1,1,0),IF($C258=$C$1,$Q258,0))</f>
        <v>1</v>
      </c>
      <c r="U258" s="7">
        <f t="shared" ref="U258:U321" si="76">IF($P258&lt;3,IF($D258=$D$1,1,0),IF($D258=$D$1,$Q258,0))</f>
        <v>0</v>
      </c>
      <c r="V258" s="119">
        <f t="shared" ref="V258:V321" si="77">IF($P258&lt;3,IF($E258=$E$1,1,0),IF($E258=$E$1,$Q258,0))</f>
        <v>0</v>
      </c>
      <c r="W258" s="119">
        <f t="shared" ref="W258:W321" si="78">IF($P258&lt;3,IF($F258=$F$1,1,0),IF($F258=$F$1,$Q258,0))</f>
        <v>0</v>
      </c>
      <c r="X258" s="119">
        <f t="shared" ref="X258:X321" si="79">IF($P258&lt;3,IF($G258=$G$1,1,0),IF($G258=$G$1,$Q258,0))</f>
        <v>0</v>
      </c>
      <c r="Y258" s="119">
        <f t="shared" ref="Y258:Y321" si="80">IF($P258&lt;3,IF($H258=$H$1,1,0),IF($H258=$H$1,$Q258,0))</f>
        <v>0</v>
      </c>
      <c r="Z258" s="119">
        <f t="shared" ref="Z258:Z321" si="81">IF($P258&lt;3,IF($I258=$I$1,1,0),IF($I258=$I$1,$Q258,0))</f>
        <v>1</v>
      </c>
      <c r="AA258" s="119">
        <f t="shared" ref="AA258:AA321" si="82">IF($P258&lt;3,IF($J258=$J$1,1,0),IF($J258=$J$1,$Q258,0))</f>
        <v>0</v>
      </c>
      <c r="AB258" s="119">
        <f t="shared" ref="AB258:AB321" si="83">IF($P258&lt;3,IF($K258=$K$1,1,0),IF($K258=$K$1,$Q258,0))</f>
        <v>0</v>
      </c>
      <c r="AC258" s="119">
        <f t="shared" ref="AC258:AC321" si="84">IF($P258&lt;3,IF($L258=$L$1,1,0),IF($L258=$L$1,$Q258,0))</f>
        <v>0</v>
      </c>
      <c r="AD258" s="119">
        <f t="shared" ref="AD258:AD321" si="85">IF($P258&lt;3,IF($M258=$M$1,1,0),IF($M258=$M$1,$Q258,0))</f>
        <v>0</v>
      </c>
      <c r="AE258" s="119">
        <f t="shared" ref="AE258:AE321" si="86">IF($P258&lt;3,IF($N258=$N$1,1,0),IF($N258=$N$1,$Q258,0))</f>
        <v>0</v>
      </c>
      <c r="AF258" s="7"/>
      <c r="AG258" s="7"/>
      <c r="AH258" s="7">
        <f t="shared" ref="AH258:AH321" si="87">SUM(S258:AE258)</f>
        <v>2</v>
      </c>
      <c r="AI258" s="7">
        <f t="shared" ref="AI258:AI321" si="88">P258</f>
        <v>2</v>
      </c>
      <c r="AJ258" s="7" t="str">
        <f t="shared" ref="AJ258:AJ321" si="89">IF(AH258=AI258,"Correct",IF(AH258=3,"Correct","Wrong"))</f>
        <v>Correct</v>
      </c>
      <c r="AK258" s="7"/>
      <c r="AL258" s="120" t="str">
        <f>IFERROR(VLOOKUP(Table1[RespondentID],'All Data'!$A$3:$CO$999,87,FALSE),"unknown")</f>
        <v>Man</v>
      </c>
      <c r="AM258" s="120">
        <f>IFERROR(VLOOKUP(Table1[RespondentID],'All Data'!$A$3:$CO$999,88,FALSE),"unknown")</f>
        <v>50</v>
      </c>
      <c r="AN258" s="120" t="str">
        <f>IFERROR(VLOOKUP(Table1[RespondentID],'All Data'!$A$3:$CO$999,89,FALSE),"unknown")</f>
        <v>Suffolk</v>
      </c>
      <c r="AO258" s="120" t="str">
        <f>IFERROR(VLOOKUP(Table1[RespondentID],'All Data'!$A$3:$CO$999,90,FALSE),"unknown")</f>
        <v>Greenlawn, 11740</v>
      </c>
      <c r="AP258" s="120" t="str">
        <f>IFERROR(VLOOKUP(Table1[RespondentID],'All Data'!$A$3:$CO$999,91,FALSE),"unknown")</f>
        <v>White</v>
      </c>
      <c r="AQ258" s="120" t="str">
        <f>IFERROR(VLOOKUP(Table1[RespondentID],'All Data'!$A$3:$CO$999,92,FALSE),"unknown")</f>
        <v>Hispanic or Latino</v>
      </c>
      <c r="AR258" s="120" t="str">
        <f>IFERROR(VLOOKUP(Table1[RespondentID],'All Data'!$A$3:$CO$999,93,FALSE),"unknown")</f>
        <v>English</v>
      </c>
      <c r="AS258" s="120" t="str">
        <f>IFERROR(VLOOKUP(Table1[RespondentID],'All Data'!$A$3:$CW$999,94,FALSE),"unknown")</f>
        <v>Over $125,000</v>
      </c>
      <c r="AT258" s="120" t="str">
        <f>IFERROR(VLOOKUP(Table1[RespondentID],'All Data'!$A$3:$CW$999,95,FALSE),"unknown")</f>
        <v>College graduate</v>
      </c>
      <c r="AU258" s="120" t="str">
        <f>IFERROR(VLOOKUP(Table1[RespondentID],'All Data'!$A$3:$CW$999,96,FALSE),"unknown")</f>
        <v>Employed for wages</v>
      </c>
      <c r="AV258" s="120" t="str">
        <f>IFERROR(VLOOKUP(Table1[RespondentID],'All Data'!$A$3:$CW$999,97,FALSE),"unknown")</f>
        <v>Yes</v>
      </c>
      <c r="AW258" s="120">
        <f>IFERROR(VLOOKUP(Table1[RespondentID],'All Data'!$A$3:$CW$999,98,FALSE),"unknown")</f>
        <v>0</v>
      </c>
      <c r="AX258" s="120">
        <f>IFERROR(VLOOKUP(Table1[RespondentID],'All Data'!$A$3:$CW$999,99,FALSE),"unknown")</f>
        <v>0</v>
      </c>
    </row>
    <row r="259" spans="1:50">
      <c r="A259" s="5">
        <v>18019094740</v>
      </c>
      <c r="B259" s="5" t="s">
        <v>16</v>
      </c>
      <c r="C259" s="5" t="s">
        <v>17</v>
      </c>
      <c r="D259" s="5"/>
      <c r="E259" s="5"/>
      <c r="F259" s="5"/>
      <c r="G259" s="5"/>
      <c r="H259" s="5"/>
      <c r="I259" s="5" t="s">
        <v>23</v>
      </c>
      <c r="J259" s="5"/>
      <c r="K259" s="5"/>
      <c r="L259" s="5"/>
      <c r="M259" s="5"/>
      <c r="N259" s="5"/>
      <c r="O259" s="7"/>
      <c r="P259" s="7">
        <f t="shared" si="72"/>
        <v>3</v>
      </c>
      <c r="Q259" s="9">
        <f t="shared" si="73"/>
        <v>1</v>
      </c>
      <c r="R259" s="7"/>
      <c r="S259" s="7">
        <f t="shared" si="74"/>
        <v>1</v>
      </c>
      <c r="T259" s="7">
        <f t="shared" si="75"/>
        <v>1</v>
      </c>
      <c r="U259" s="7">
        <f t="shared" si="76"/>
        <v>0</v>
      </c>
      <c r="V259" s="119">
        <f t="shared" si="77"/>
        <v>0</v>
      </c>
      <c r="W259" s="119">
        <f t="shared" si="78"/>
        <v>0</v>
      </c>
      <c r="X259" s="119">
        <f t="shared" si="79"/>
        <v>0</v>
      </c>
      <c r="Y259" s="119">
        <f t="shared" si="80"/>
        <v>0</v>
      </c>
      <c r="Z259" s="119">
        <f t="shared" si="81"/>
        <v>1</v>
      </c>
      <c r="AA259" s="119">
        <f t="shared" si="82"/>
        <v>0</v>
      </c>
      <c r="AB259" s="119">
        <f t="shared" si="83"/>
        <v>0</v>
      </c>
      <c r="AC259" s="119">
        <f t="shared" si="84"/>
        <v>0</v>
      </c>
      <c r="AD259" s="119">
        <f t="shared" si="85"/>
        <v>0</v>
      </c>
      <c r="AE259" s="119">
        <f t="shared" si="86"/>
        <v>0</v>
      </c>
      <c r="AF259" s="7"/>
      <c r="AG259" s="7"/>
      <c r="AH259" s="7">
        <f t="shared" si="87"/>
        <v>3</v>
      </c>
      <c r="AI259" s="7">
        <f t="shared" si="88"/>
        <v>3</v>
      </c>
      <c r="AJ259" s="7" t="str">
        <f t="shared" si="89"/>
        <v>Correct</v>
      </c>
      <c r="AK259" s="7"/>
      <c r="AL259" s="120" t="str">
        <f>IFERROR(VLOOKUP(Table1[RespondentID],'All Data'!$A$3:$CO$999,87,FALSE),"unknown")</f>
        <v>Man</v>
      </c>
      <c r="AM259" s="120">
        <f>IFERROR(VLOOKUP(Table1[RespondentID],'All Data'!$A$3:$CO$999,88,FALSE),"unknown")</f>
        <v>52</v>
      </c>
      <c r="AN259" s="120" t="str">
        <f>IFERROR(VLOOKUP(Table1[RespondentID],'All Data'!$A$3:$CO$999,89,FALSE),"unknown")</f>
        <v>Suffolk</v>
      </c>
      <c r="AO259" s="120" t="str">
        <f>IFERROR(VLOOKUP(Table1[RespondentID],'All Data'!$A$3:$CO$999,90,FALSE),"unknown")</f>
        <v>Centerport, 11721</v>
      </c>
      <c r="AP259" s="120" t="str">
        <f>IFERROR(VLOOKUP(Table1[RespondentID],'All Data'!$A$3:$CO$999,91,FALSE),"unknown")</f>
        <v>White</v>
      </c>
      <c r="AQ259" s="120" t="str">
        <f>IFERROR(VLOOKUP(Table1[RespondentID],'All Data'!$A$3:$CO$999,92,FALSE),"unknown")</f>
        <v>Hispanic or Latino</v>
      </c>
      <c r="AR259" s="120" t="str">
        <f>IFERROR(VLOOKUP(Table1[RespondentID],'All Data'!$A$3:$CO$999,93,FALSE),"unknown")</f>
        <v>English</v>
      </c>
      <c r="AS259" s="120" t="str">
        <f>IFERROR(VLOOKUP(Table1[RespondentID],'All Data'!$A$3:$CW$999,94,FALSE),"unknown")</f>
        <v>Over $125,000</v>
      </c>
      <c r="AT259" s="120" t="str">
        <f>IFERROR(VLOOKUP(Table1[RespondentID],'All Data'!$A$3:$CW$999,95,FALSE),"unknown")</f>
        <v>College graduate</v>
      </c>
      <c r="AU259" s="120" t="str">
        <f>IFERROR(VLOOKUP(Table1[RespondentID],'All Data'!$A$3:$CW$999,96,FALSE),"unknown")</f>
        <v>Self-employed</v>
      </c>
      <c r="AV259" s="120" t="str">
        <f>IFERROR(VLOOKUP(Table1[RespondentID],'All Data'!$A$3:$CW$999,97,FALSE),"unknown")</f>
        <v>Yes</v>
      </c>
      <c r="AW259" s="120">
        <f>IFERROR(VLOOKUP(Table1[RespondentID],'All Data'!$A$3:$CW$999,98,FALSE),"unknown")</f>
        <v>0</v>
      </c>
      <c r="AX259" s="120">
        <f>IFERROR(VLOOKUP(Table1[RespondentID],'All Data'!$A$3:$CW$999,99,FALSE),"unknown")</f>
        <v>0</v>
      </c>
    </row>
    <row r="260" spans="1:50">
      <c r="A260" s="5">
        <v>18018964801</v>
      </c>
      <c r="B260" s="5"/>
      <c r="C260" s="5"/>
      <c r="D260" s="5" t="s">
        <v>18</v>
      </c>
      <c r="E260" s="5"/>
      <c r="F260" s="5"/>
      <c r="G260" s="5"/>
      <c r="H260" s="5"/>
      <c r="I260" s="5"/>
      <c r="J260" s="5" t="s">
        <v>24</v>
      </c>
      <c r="K260" s="5"/>
      <c r="L260" s="5"/>
      <c r="M260" s="5"/>
      <c r="N260" s="5"/>
      <c r="O260" s="7"/>
      <c r="P260" s="7">
        <f t="shared" si="72"/>
        <v>2</v>
      </c>
      <c r="Q260" s="8">
        <f t="shared" si="73"/>
        <v>1.5</v>
      </c>
      <c r="R260" s="7"/>
      <c r="S260" s="7">
        <f t="shared" si="74"/>
        <v>0</v>
      </c>
      <c r="T260" s="7">
        <f t="shared" si="75"/>
        <v>0</v>
      </c>
      <c r="U260" s="7">
        <f t="shared" si="76"/>
        <v>1</v>
      </c>
      <c r="V260" s="119">
        <f t="shared" si="77"/>
        <v>0</v>
      </c>
      <c r="W260" s="119">
        <f t="shared" si="78"/>
        <v>0</v>
      </c>
      <c r="X260" s="119">
        <f t="shared" si="79"/>
        <v>0</v>
      </c>
      <c r="Y260" s="119">
        <f t="shared" si="80"/>
        <v>0</v>
      </c>
      <c r="Z260" s="119">
        <f t="shared" si="81"/>
        <v>0</v>
      </c>
      <c r="AA260" s="119">
        <f t="shared" si="82"/>
        <v>1</v>
      </c>
      <c r="AB260" s="119">
        <f t="shared" si="83"/>
        <v>0</v>
      </c>
      <c r="AC260" s="119">
        <f t="shared" si="84"/>
        <v>0</v>
      </c>
      <c r="AD260" s="119">
        <f t="shared" si="85"/>
        <v>0</v>
      </c>
      <c r="AE260" s="119">
        <f t="shared" si="86"/>
        <v>0</v>
      </c>
      <c r="AF260" s="7"/>
      <c r="AG260" s="7"/>
      <c r="AH260" s="7">
        <f t="shared" si="87"/>
        <v>2</v>
      </c>
      <c r="AI260" s="7">
        <f t="shared" si="88"/>
        <v>2</v>
      </c>
      <c r="AJ260" s="7" t="str">
        <f t="shared" si="89"/>
        <v>Correct</v>
      </c>
      <c r="AK260" s="7"/>
      <c r="AL260" s="120" t="str">
        <f>IFERROR(VLOOKUP(Table1[RespondentID],'All Data'!$A$3:$CO$999,87,FALSE),"unknown")</f>
        <v>Woman</v>
      </c>
      <c r="AM260" s="120">
        <f>IFERROR(VLOOKUP(Table1[RespondentID],'All Data'!$A$3:$CO$999,88,FALSE),"unknown")</f>
        <v>60</v>
      </c>
      <c r="AN260" s="120" t="str">
        <f>IFERROR(VLOOKUP(Table1[RespondentID],'All Data'!$A$3:$CO$999,89,FALSE),"unknown")</f>
        <v>Suffolk</v>
      </c>
      <c r="AO260" s="120" t="str">
        <f>IFERROR(VLOOKUP(Table1[RespondentID],'All Data'!$A$3:$CO$999,90,FALSE),"unknown")</f>
        <v>Yaphank, 11980</v>
      </c>
      <c r="AP260" s="120" t="str">
        <f>IFERROR(VLOOKUP(Table1[RespondentID],'All Data'!$A$3:$CO$999,91,FALSE),"unknown")</f>
        <v>White</v>
      </c>
      <c r="AQ260" s="120" t="str">
        <f>IFERROR(VLOOKUP(Table1[RespondentID],'All Data'!$A$3:$CO$999,92,FALSE),"unknown")</f>
        <v>Hispanic or Latino</v>
      </c>
      <c r="AR260" s="120" t="str">
        <f>IFERROR(VLOOKUP(Table1[RespondentID],'All Data'!$A$3:$CO$999,93,FALSE),"unknown")</f>
        <v>English</v>
      </c>
      <c r="AS260" s="120" t="str">
        <f>IFERROR(VLOOKUP(Table1[RespondentID],'All Data'!$A$3:$CW$999,94,FALSE),"unknown")</f>
        <v>Over $125,000</v>
      </c>
      <c r="AT260" s="120" t="str">
        <f>IFERROR(VLOOKUP(Table1[RespondentID],'All Data'!$A$3:$CW$999,95,FALSE),"unknown")</f>
        <v>Other (please specify)</v>
      </c>
      <c r="AU260" s="120" t="str">
        <f>IFERROR(VLOOKUP(Table1[RespondentID],'All Data'!$A$3:$CW$999,96,FALSE),"unknown")</f>
        <v>Employed for wages</v>
      </c>
      <c r="AV260" s="120" t="str">
        <f>IFERROR(VLOOKUP(Table1[RespondentID],'All Data'!$A$3:$CW$999,97,FALSE),"unknown")</f>
        <v>Yes</v>
      </c>
      <c r="AW260" s="120" t="str">
        <f>IFERROR(VLOOKUP(Table1[RespondentID],'All Data'!$A$3:$CW$999,98,FALSE),"unknown")</f>
        <v>Private/Commercial</v>
      </c>
      <c r="AX260" s="120" t="str">
        <f>IFERROR(VLOOKUP(Table1[RespondentID],'All Data'!$A$3:$CW$999,99,FALSE),"unknown")</f>
        <v>Yes</v>
      </c>
    </row>
    <row r="261" spans="1:50">
      <c r="A261" s="5">
        <v>18018757371</v>
      </c>
      <c r="B261" s="5" t="s">
        <v>16</v>
      </c>
      <c r="C261" s="5" t="s">
        <v>17</v>
      </c>
      <c r="D261" s="5" t="s">
        <v>18</v>
      </c>
      <c r="E261" s="5" t="s">
        <v>19</v>
      </c>
      <c r="F261" s="5"/>
      <c r="G261" s="5"/>
      <c r="H261" s="5"/>
      <c r="I261" s="5" t="s">
        <v>23</v>
      </c>
      <c r="J261" s="5"/>
      <c r="K261" s="5" t="s">
        <v>25</v>
      </c>
      <c r="L261" s="5" t="s">
        <v>26</v>
      </c>
      <c r="M261" s="5"/>
      <c r="N261" s="5" t="s">
        <v>28</v>
      </c>
      <c r="O261" s="7"/>
      <c r="P261" s="7">
        <f t="shared" si="72"/>
        <v>8</v>
      </c>
      <c r="Q261" s="9">
        <f t="shared" si="73"/>
        <v>0.375</v>
      </c>
      <c r="R261" s="7"/>
      <c r="S261" s="7">
        <f t="shared" si="74"/>
        <v>0.375</v>
      </c>
      <c r="T261" s="7">
        <f t="shared" si="75"/>
        <v>0.375</v>
      </c>
      <c r="U261" s="7">
        <f t="shared" si="76"/>
        <v>0.375</v>
      </c>
      <c r="V261" s="119">
        <f t="shared" si="77"/>
        <v>0.375</v>
      </c>
      <c r="W261" s="119">
        <f t="shared" si="78"/>
        <v>0</v>
      </c>
      <c r="X261" s="119">
        <f t="shared" si="79"/>
        <v>0</v>
      </c>
      <c r="Y261" s="119">
        <f t="shared" si="80"/>
        <v>0</v>
      </c>
      <c r="Z261" s="119">
        <f t="shared" si="81"/>
        <v>0.375</v>
      </c>
      <c r="AA261" s="119">
        <f t="shared" si="82"/>
        <v>0</v>
      </c>
      <c r="AB261" s="119">
        <f t="shared" si="83"/>
        <v>0.375</v>
      </c>
      <c r="AC261" s="119">
        <f t="shared" si="84"/>
        <v>0.375</v>
      </c>
      <c r="AD261" s="119">
        <f t="shared" si="85"/>
        <v>0</v>
      </c>
      <c r="AE261" s="119">
        <f t="shared" si="86"/>
        <v>0.375</v>
      </c>
      <c r="AF261" s="7"/>
      <c r="AG261" s="7"/>
      <c r="AH261" s="7">
        <f t="shared" si="87"/>
        <v>3</v>
      </c>
      <c r="AI261" s="7">
        <f t="shared" si="88"/>
        <v>8</v>
      </c>
      <c r="AJ261" s="7" t="str">
        <f t="shared" si="89"/>
        <v>Correct</v>
      </c>
      <c r="AK261" s="7"/>
      <c r="AL261" s="120" t="str">
        <f>IFERROR(VLOOKUP(Table1[RespondentID],'All Data'!$A$3:$CO$999,87,FALSE),"unknown")</f>
        <v>Man</v>
      </c>
      <c r="AM261" s="120">
        <f>IFERROR(VLOOKUP(Table1[RespondentID],'All Data'!$A$3:$CO$999,88,FALSE),"unknown")</f>
        <v>40</v>
      </c>
      <c r="AN261" s="120" t="str">
        <f>IFERROR(VLOOKUP(Table1[RespondentID],'All Data'!$A$3:$CO$999,89,FALSE),"unknown")</f>
        <v>Suffolk</v>
      </c>
      <c r="AO261" s="120" t="str">
        <f>IFERROR(VLOOKUP(Table1[RespondentID],'All Data'!$A$3:$CO$999,90,FALSE),"unknown")</f>
        <v>Babylon, 11703</v>
      </c>
      <c r="AP261" s="120" t="str">
        <f>IFERROR(VLOOKUP(Table1[RespondentID],'All Data'!$A$3:$CO$999,91,FALSE),"unknown")</f>
        <v>White</v>
      </c>
      <c r="AQ261" s="120" t="str">
        <f>IFERROR(VLOOKUP(Table1[RespondentID],'All Data'!$A$3:$CO$999,92,FALSE),"unknown")</f>
        <v>Hispanic or Latino</v>
      </c>
      <c r="AR261" s="120" t="str">
        <f>IFERROR(VLOOKUP(Table1[RespondentID],'All Data'!$A$3:$CO$999,93,FALSE),"unknown")</f>
        <v>English</v>
      </c>
      <c r="AS261" s="120" t="str">
        <f>IFERROR(VLOOKUP(Table1[RespondentID],'All Data'!$A$3:$CW$999,94,FALSE),"unknown")</f>
        <v>$50,000 to $74,999</v>
      </c>
      <c r="AT261" s="120" t="str">
        <f>IFERROR(VLOOKUP(Table1[RespondentID],'All Data'!$A$3:$CW$999,95,FALSE),"unknown")</f>
        <v>Some college</v>
      </c>
      <c r="AU261" s="120" t="str">
        <f>IFERROR(VLOOKUP(Table1[RespondentID],'All Data'!$A$3:$CW$999,96,FALSE),"unknown")</f>
        <v>Out of work and looking for work</v>
      </c>
      <c r="AV261" s="120" t="str">
        <f>IFERROR(VLOOKUP(Table1[RespondentID],'All Data'!$A$3:$CW$999,97,FALSE),"unknown")</f>
        <v>Yes</v>
      </c>
      <c r="AW261" s="120" t="str">
        <f>IFERROR(VLOOKUP(Table1[RespondentID],'All Data'!$A$3:$CW$999,98,FALSE),"unknown")</f>
        <v>Medicaid</v>
      </c>
      <c r="AX261" s="120" t="str">
        <f>IFERROR(VLOOKUP(Table1[RespondentID],'All Data'!$A$3:$CW$999,99,FALSE),"unknown")</f>
        <v>No</v>
      </c>
    </row>
    <row r="262" spans="1:50">
      <c r="A262" s="5">
        <v>18018472615</v>
      </c>
      <c r="B262" s="5"/>
      <c r="C262" s="5"/>
      <c r="D262" s="5"/>
      <c r="E262" s="5"/>
      <c r="F262" s="5"/>
      <c r="G262" s="5"/>
      <c r="H262" s="5" t="s">
        <v>22</v>
      </c>
      <c r="I262" s="5" t="s">
        <v>23</v>
      </c>
      <c r="J262" s="5"/>
      <c r="K262" s="5" t="s">
        <v>25</v>
      </c>
      <c r="L262" s="5"/>
      <c r="M262" s="5"/>
      <c r="N262" s="5"/>
      <c r="O262" s="7"/>
      <c r="P262" s="7">
        <f t="shared" si="72"/>
        <v>3</v>
      </c>
      <c r="Q262" s="8">
        <f t="shared" si="73"/>
        <v>1</v>
      </c>
      <c r="R262" s="7"/>
      <c r="S262" s="7">
        <f t="shared" si="74"/>
        <v>0</v>
      </c>
      <c r="T262" s="7">
        <f t="shared" si="75"/>
        <v>0</v>
      </c>
      <c r="U262" s="7">
        <f t="shared" si="76"/>
        <v>0</v>
      </c>
      <c r="V262" s="119">
        <f t="shared" si="77"/>
        <v>0</v>
      </c>
      <c r="W262" s="119">
        <f t="shared" si="78"/>
        <v>0</v>
      </c>
      <c r="X262" s="119">
        <f t="shared" si="79"/>
        <v>0</v>
      </c>
      <c r="Y262" s="119">
        <f t="shared" si="80"/>
        <v>1</v>
      </c>
      <c r="Z262" s="119">
        <f t="shared" si="81"/>
        <v>1</v>
      </c>
      <c r="AA262" s="119">
        <f t="shared" si="82"/>
        <v>0</v>
      </c>
      <c r="AB262" s="119">
        <f t="shared" si="83"/>
        <v>1</v>
      </c>
      <c r="AC262" s="119">
        <f t="shared" si="84"/>
        <v>0</v>
      </c>
      <c r="AD262" s="119">
        <f t="shared" si="85"/>
        <v>0</v>
      </c>
      <c r="AE262" s="119">
        <f t="shared" si="86"/>
        <v>0</v>
      </c>
      <c r="AF262" s="7"/>
      <c r="AG262" s="7"/>
      <c r="AH262" s="7">
        <f t="shared" si="87"/>
        <v>3</v>
      </c>
      <c r="AI262" s="7">
        <f t="shared" si="88"/>
        <v>3</v>
      </c>
      <c r="AJ262" s="7" t="str">
        <f t="shared" si="89"/>
        <v>Correct</v>
      </c>
      <c r="AK262" s="7"/>
      <c r="AL262" s="120" t="str">
        <f>IFERROR(VLOOKUP(Table1[RespondentID],'All Data'!$A$3:$CO$999,87,FALSE),"unknown")</f>
        <v>Man</v>
      </c>
      <c r="AM262" s="120">
        <f>IFERROR(VLOOKUP(Table1[RespondentID],'All Data'!$A$3:$CO$999,88,FALSE),"unknown")</f>
        <v>41</v>
      </c>
      <c r="AN262" s="120" t="str">
        <f>IFERROR(VLOOKUP(Table1[RespondentID],'All Data'!$A$3:$CO$999,89,FALSE),"unknown")</f>
        <v>Suffolk</v>
      </c>
      <c r="AO262" s="120" t="str">
        <f>IFERROR(VLOOKUP(Table1[RespondentID],'All Data'!$A$3:$CO$999,90,FALSE),"unknown")</f>
        <v>Lindenhurst, 11757</v>
      </c>
      <c r="AP262" s="120" t="str">
        <f>IFERROR(VLOOKUP(Table1[RespondentID],'All Data'!$A$3:$CO$999,91,FALSE),"unknown")</f>
        <v>Other (please specify)</v>
      </c>
      <c r="AQ262" s="120">
        <f>IFERROR(VLOOKUP(Table1[RespondentID],'All Data'!$A$3:$CO$999,92,FALSE),"unknown")</f>
        <v>0</v>
      </c>
      <c r="AR262" s="120" t="str">
        <f>IFERROR(VLOOKUP(Table1[RespondentID],'All Data'!$A$3:$CO$999,93,FALSE),"unknown")</f>
        <v>English</v>
      </c>
      <c r="AS262" s="120" t="str">
        <f>IFERROR(VLOOKUP(Table1[RespondentID],'All Data'!$A$3:$CW$999,94,FALSE),"unknown")</f>
        <v>$75,000 to $125,000</v>
      </c>
      <c r="AT262" s="120" t="str">
        <f>IFERROR(VLOOKUP(Table1[RespondentID],'All Data'!$A$3:$CW$999,95,FALSE),"unknown")</f>
        <v>College graduate</v>
      </c>
      <c r="AU262" s="120" t="str">
        <f>IFERROR(VLOOKUP(Table1[RespondentID],'All Data'!$A$3:$CW$999,96,FALSE),"unknown")</f>
        <v>Employed for wages</v>
      </c>
      <c r="AV262" s="120" t="str">
        <f>IFERROR(VLOOKUP(Table1[RespondentID],'All Data'!$A$3:$CW$999,97,FALSE),"unknown")</f>
        <v>Yes</v>
      </c>
      <c r="AW262" s="120" t="str">
        <f>IFERROR(VLOOKUP(Table1[RespondentID],'All Data'!$A$3:$CW$999,98,FALSE),"unknown")</f>
        <v>Private/Commercial</v>
      </c>
      <c r="AX262" s="120" t="str">
        <f>IFERROR(VLOOKUP(Table1[RespondentID],'All Data'!$A$3:$CW$999,99,FALSE),"unknown")</f>
        <v>Yes</v>
      </c>
    </row>
    <row r="263" spans="1:50">
      <c r="A263" s="5">
        <v>18018191958</v>
      </c>
      <c r="B263" s="5"/>
      <c r="C263" s="5"/>
      <c r="D263" s="5"/>
      <c r="E263" s="5"/>
      <c r="F263" s="5"/>
      <c r="G263" s="5"/>
      <c r="H263" s="5"/>
      <c r="I263" s="5"/>
      <c r="J263" s="5"/>
      <c r="K263" s="5"/>
      <c r="L263" s="5"/>
      <c r="M263" s="5"/>
      <c r="N263" s="5"/>
      <c r="O263" s="7"/>
      <c r="P263" s="7">
        <f t="shared" si="72"/>
        <v>0</v>
      </c>
      <c r="Q263" s="9" t="e">
        <f t="shared" si="73"/>
        <v>#DIV/0!</v>
      </c>
      <c r="R263" s="7"/>
      <c r="S263" s="7">
        <f t="shared" si="74"/>
        <v>0</v>
      </c>
      <c r="T263" s="7">
        <f t="shared" si="75"/>
        <v>0</v>
      </c>
      <c r="U263" s="7">
        <f t="shared" si="76"/>
        <v>0</v>
      </c>
      <c r="V263" s="119">
        <f t="shared" si="77"/>
        <v>0</v>
      </c>
      <c r="W263" s="119">
        <f t="shared" si="78"/>
        <v>0</v>
      </c>
      <c r="X263" s="119">
        <f t="shared" si="79"/>
        <v>0</v>
      </c>
      <c r="Y263" s="119">
        <f t="shared" si="80"/>
        <v>0</v>
      </c>
      <c r="Z263" s="119">
        <f t="shared" si="81"/>
        <v>0</v>
      </c>
      <c r="AA263" s="119">
        <f t="shared" si="82"/>
        <v>0</v>
      </c>
      <c r="AB263" s="119">
        <f t="shared" si="83"/>
        <v>0</v>
      </c>
      <c r="AC263" s="119">
        <f t="shared" si="84"/>
        <v>0</v>
      </c>
      <c r="AD263" s="119">
        <f t="shared" si="85"/>
        <v>0</v>
      </c>
      <c r="AE263" s="119">
        <f t="shared" si="86"/>
        <v>0</v>
      </c>
      <c r="AF263" s="7"/>
      <c r="AG263" s="7"/>
      <c r="AH263" s="7">
        <f t="shared" si="87"/>
        <v>0</v>
      </c>
      <c r="AI263" s="7">
        <f t="shared" si="88"/>
        <v>0</v>
      </c>
      <c r="AJ263" s="7" t="str">
        <f t="shared" si="89"/>
        <v>Correct</v>
      </c>
      <c r="AK263" s="7"/>
      <c r="AL263" s="120">
        <f>IFERROR(VLOOKUP(Table1[RespondentID],'All Data'!$A$3:$CO$999,87,FALSE),"unknown")</f>
        <v>0</v>
      </c>
      <c r="AM263" s="120">
        <f>IFERROR(VLOOKUP(Table1[RespondentID],'All Data'!$A$3:$CO$999,88,FALSE),"unknown")</f>
        <v>0</v>
      </c>
      <c r="AN263" s="120">
        <f>IFERROR(VLOOKUP(Table1[RespondentID],'All Data'!$A$3:$CO$999,89,FALSE),"unknown")</f>
        <v>0</v>
      </c>
      <c r="AO263" s="120" t="str">
        <f>IFERROR(VLOOKUP(Table1[RespondentID],'All Data'!$A$3:$CO$999,90,FALSE),"unknown")</f>
        <v>Levittown, 11756</v>
      </c>
      <c r="AP263" s="120">
        <f>IFERROR(VLOOKUP(Table1[RespondentID],'All Data'!$A$3:$CO$999,91,FALSE),"unknown")</f>
        <v>0</v>
      </c>
      <c r="AQ263" s="120">
        <f>IFERROR(VLOOKUP(Table1[RespondentID],'All Data'!$A$3:$CO$999,92,FALSE),"unknown")</f>
        <v>0</v>
      </c>
      <c r="AR263" s="120">
        <f>IFERROR(VLOOKUP(Table1[RespondentID],'All Data'!$A$3:$CO$999,93,FALSE),"unknown")</f>
        <v>0</v>
      </c>
      <c r="AS263" s="120">
        <f>IFERROR(VLOOKUP(Table1[RespondentID],'All Data'!$A$3:$CW$999,94,FALSE),"unknown")</f>
        <v>0</v>
      </c>
      <c r="AT263" s="120">
        <f>IFERROR(VLOOKUP(Table1[RespondentID],'All Data'!$A$3:$CW$999,95,FALSE),"unknown")</f>
        <v>0</v>
      </c>
      <c r="AU263" s="120">
        <f>IFERROR(VLOOKUP(Table1[RespondentID],'All Data'!$A$3:$CW$999,96,FALSE),"unknown")</f>
        <v>0</v>
      </c>
      <c r="AV263" s="120">
        <f>IFERROR(VLOOKUP(Table1[RespondentID],'All Data'!$A$3:$CW$999,97,FALSE),"unknown")</f>
        <v>0</v>
      </c>
      <c r="AW263" s="120">
        <f>IFERROR(VLOOKUP(Table1[RespondentID],'All Data'!$A$3:$CW$999,98,FALSE),"unknown")</f>
        <v>0</v>
      </c>
      <c r="AX263" s="120">
        <f>IFERROR(VLOOKUP(Table1[RespondentID],'All Data'!$A$3:$CW$999,99,FALSE),"unknown")</f>
        <v>0</v>
      </c>
    </row>
    <row r="264" spans="1:50">
      <c r="A264" s="5">
        <v>18018187534</v>
      </c>
      <c r="B264" s="5"/>
      <c r="C264" s="5" t="s">
        <v>17</v>
      </c>
      <c r="D264" s="5" t="s">
        <v>18</v>
      </c>
      <c r="E264" s="5"/>
      <c r="F264" s="5"/>
      <c r="G264" s="5"/>
      <c r="H264" s="5"/>
      <c r="I264" s="5"/>
      <c r="J264" s="5"/>
      <c r="K264" s="5" t="s">
        <v>25</v>
      </c>
      <c r="L264" s="5"/>
      <c r="M264" s="5"/>
      <c r="N264" s="5"/>
      <c r="O264" s="7"/>
      <c r="P264" s="7">
        <f t="shared" si="72"/>
        <v>3</v>
      </c>
      <c r="Q264" s="8">
        <f t="shared" si="73"/>
        <v>1</v>
      </c>
      <c r="R264" s="7"/>
      <c r="S264" s="7">
        <f t="shared" si="74"/>
        <v>0</v>
      </c>
      <c r="T264" s="7">
        <f t="shared" si="75"/>
        <v>1</v>
      </c>
      <c r="U264" s="7">
        <f t="shared" si="76"/>
        <v>1</v>
      </c>
      <c r="V264" s="119">
        <f t="shared" si="77"/>
        <v>0</v>
      </c>
      <c r="W264" s="119">
        <f t="shared" si="78"/>
        <v>0</v>
      </c>
      <c r="X264" s="119">
        <f t="shared" si="79"/>
        <v>0</v>
      </c>
      <c r="Y264" s="119">
        <f t="shared" si="80"/>
        <v>0</v>
      </c>
      <c r="Z264" s="119">
        <f t="shared" si="81"/>
        <v>0</v>
      </c>
      <c r="AA264" s="119">
        <f t="shared" si="82"/>
        <v>0</v>
      </c>
      <c r="AB264" s="119">
        <f t="shared" si="83"/>
        <v>1</v>
      </c>
      <c r="AC264" s="119">
        <f t="shared" si="84"/>
        <v>0</v>
      </c>
      <c r="AD264" s="119">
        <f t="shared" si="85"/>
        <v>0</v>
      </c>
      <c r="AE264" s="119">
        <f t="shared" si="86"/>
        <v>0</v>
      </c>
      <c r="AF264" s="7"/>
      <c r="AG264" s="7"/>
      <c r="AH264" s="7">
        <f t="shared" si="87"/>
        <v>3</v>
      </c>
      <c r="AI264" s="7">
        <f t="shared" si="88"/>
        <v>3</v>
      </c>
      <c r="AJ264" s="7" t="str">
        <f t="shared" si="89"/>
        <v>Correct</v>
      </c>
      <c r="AK264" s="7"/>
      <c r="AL264" s="120" t="str">
        <f>IFERROR(VLOOKUP(Table1[RespondentID],'All Data'!$A$3:$CO$999,87,FALSE),"unknown")</f>
        <v>Man</v>
      </c>
      <c r="AM264" s="120">
        <f>IFERROR(VLOOKUP(Table1[RespondentID],'All Data'!$A$3:$CO$999,88,FALSE),"unknown")</f>
        <v>32</v>
      </c>
      <c r="AN264" s="120" t="str">
        <f>IFERROR(VLOOKUP(Table1[RespondentID],'All Data'!$A$3:$CO$999,89,FALSE),"unknown")</f>
        <v>Nassau</v>
      </c>
      <c r="AO264" s="120" t="str">
        <f>IFERROR(VLOOKUP(Table1[RespondentID],'All Data'!$A$3:$CO$999,90,FALSE),"unknown")</f>
        <v>Great Neck, 11026</v>
      </c>
      <c r="AP264" s="120" t="str">
        <f>IFERROR(VLOOKUP(Table1[RespondentID],'All Data'!$A$3:$CO$999,91,FALSE),"unknown")</f>
        <v>White</v>
      </c>
      <c r="AQ264" s="120" t="str">
        <f>IFERROR(VLOOKUP(Table1[RespondentID],'All Data'!$A$3:$CO$999,92,FALSE),"unknown")</f>
        <v>Hispanic or Latino</v>
      </c>
      <c r="AR264" s="120" t="str">
        <f>IFERROR(VLOOKUP(Table1[RespondentID],'All Data'!$A$3:$CO$999,93,FALSE),"unknown")</f>
        <v>English</v>
      </c>
      <c r="AS264" s="120" t="str">
        <f>IFERROR(VLOOKUP(Table1[RespondentID],'All Data'!$A$3:$CW$999,94,FALSE),"unknown")</f>
        <v>$75,000 to $125,000</v>
      </c>
      <c r="AT264" s="120" t="str">
        <f>IFERROR(VLOOKUP(Table1[RespondentID],'All Data'!$A$3:$CW$999,95,FALSE),"unknown")</f>
        <v>College graduate</v>
      </c>
      <c r="AU264" s="120" t="str">
        <f>IFERROR(VLOOKUP(Table1[RespondentID],'All Data'!$A$3:$CW$999,96,FALSE),"unknown")</f>
        <v>Employed for wages</v>
      </c>
      <c r="AV264" s="120" t="str">
        <f>IFERROR(VLOOKUP(Table1[RespondentID],'All Data'!$A$3:$CW$999,97,FALSE),"unknown")</f>
        <v>Yes</v>
      </c>
      <c r="AW264" s="120" t="str">
        <f>IFERROR(VLOOKUP(Table1[RespondentID],'All Data'!$A$3:$CW$999,98,FALSE),"unknown")</f>
        <v>Medicaid</v>
      </c>
      <c r="AX264" s="120" t="str">
        <f>IFERROR(VLOOKUP(Table1[RespondentID],'All Data'!$A$3:$CW$999,99,FALSE),"unknown")</f>
        <v>Yes</v>
      </c>
    </row>
    <row r="265" spans="1:50">
      <c r="A265" s="5">
        <v>18018187458</v>
      </c>
      <c r="B265" s="5"/>
      <c r="C265" s="5" t="s">
        <v>17</v>
      </c>
      <c r="D265" s="5" t="s">
        <v>18</v>
      </c>
      <c r="E265" s="5"/>
      <c r="F265" s="5"/>
      <c r="G265" s="5"/>
      <c r="H265" s="5"/>
      <c r="I265" s="5"/>
      <c r="J265" s="5"/>
      <c r="K265" s="5" t="s">
        <v>25</v>
      </c>
      <c r="L265" s="5"/>
      <c r="M265" s="5"/>
      <c r="N265" s="5"/>
      <c r="O265" s="7"/>
      <c r="P265" s="7">
        <f t="shared" si="72"/>
        <v>3</v>
      </c>
      <c r="Q265" s="9">
        <f t="shared" si="73"/>
        <v>1</v>
      </c>
      <c r="R265" s="7"/>
      <c r="S265" s="7">
        <f t="shared" si="74"/>
        <v>0</v>
      </c>
      <c r="T265" s="7">
        <f t="shared" si="75"/>
        <v>1</v>
      </c>
      <c r="U265" s="7">
        <f t="shared" si="76"/>
        <v>1</v>
      </c>
      <c r="V265" s="119">
        <f t="shared" si="77"/>
        <v>0</v>
      </c>
      <c r="W265" s="119">
        <f t="shared" si="78"/>
        <v>0</v>
      </c>
      <c r="X265" s="119">
        <f t="shared" si="79"/>
        <v>0</v>
      </c>
      <c r="Y265" s="119">
        <f t="shared" si="80"/>
        <v>0</v>
      </c>
      <c r="Z265" s="119">
        <f t="shared" si="81"/>
        <v>0</v>
      </c>
      <c r="AA265" s="119">
        <f t="shared" si="82"/>
        <v>0</v>
      </c>
      <c r="AB265" s="119">
        <f t="shared" si="83"/>
        <v>1</v>
      </c>
      <c r="AC265" s="119">
        <f t="shared" si="84"/>
        <v>0</v>
      </c>
      <c r="AD265" s="119">
        <f t="shared" si="85"/>
        <v>0</v>
      </c>
      <c r="AE265" s="119">
        <f t="shared" si="86"/>
        <v>0</v>
      </c>
      <c r="AF265" s="7"/>
      <c r="AG265" s="7"/>
      <c r="AH265" s="7">
        <f t="shared" si="87"/>
        <v>3</v>
      </c>
      <c r="AI265" s="7">
        <f t="shared" si="88"/>
        <v>3</v>
      </c>
      <c r="AJ265" s="7" t="str">
        <f t="shared" si="89"/>
        <v>Correct</v>
      </c>
      <c r="AK265" s="7"/>
      <c r="AL265" s="120" t="str">
        <f>IFERROR(VLOOKUP(Table1[RespondentID],'All Data'!$A$3:$CO$999,87,FALSE),"unknown")</f>
        <v>Man</v>
      </c>
      <c r="AM265" s="120">
        <f>IFERROR(VLOOKUP(Table1[RespondentID],'All Data'!$A$3:$CO$999,88,FALSE),"unknown")</f>
        <v>32</v>
      </c>
      <c r="AN265" s="120" t="str">
        <f>IFERROR(VLOOKUP(Table1[RespondentID],'All Data'!$A$3:$CO$999,89,FALSE),"unknown")</f>
        <v>Nassau</v>
      </c>
      <c r="AO265" s="120">
        <f>IFERROR(VLOOKUP(Table1[RespondentID],'All Data'!$A$3:$CO$999,90,FALSE),"unknown")</f>
        <v>0</v>
      </c>
      <c r="AP265" s="120">
        <f>IFERROR(VLOOKUP(Table1[RespondentID],'All Data'!$A$3:$CO$999,91,FALSE),"unknown")</f>
        <v>0</v>
      </c>
      <c r="AQ265" s="120">
        <f>IFERROR(VLOOKUP(Table1[RespondentID],'All Data'!$A$3:$CO$999,92,FALSE),"unknown")</f>
        <v>0</v>
      </c>
      <c r="AR265" s="120">
        <f>IFERROR(VLOOKUP(Table1[RespondentID],'All Data'!$A$3:$CO$999,93,FALSE),"unknown")</f>
        <v>0</v>
      </c>
      <c r="AS265" s="120">
        <f>IFERROR(VLOOKUP(Table1[RespondentID],'All Data'!$A$3:$CW$999,94,FALSE),"unknown")</f>
        <v>0</v>
      </c>
      <c r="AT265" s="120">
        <f>IFERROR(VLOOKUP(Table1[RespondentID],'All Data'!$A$3:$CW$999,95,FALSE),"unknown")</f>
        <v>0</v>
      </c>
      <c r="AU265" s="120">
        <f>IFERROR(VLOOKUP(Table1[RespondentID],'All Data'!$A$3:$CW$999,96,FALSE),"unknown")</f>
        <v>0</v>
      </c>
      <c r="AV265" s="120">
        <f>IFERROR(VLOOKUP(Table1[RespondentID],'All Data'!$A$3:$CW$999,97,FALSE),"unknown")</f>
        <v>0</v>
      </c>
      <c r="AW265" s="120">
        <f>IFERROR(VLOOKUP(Table1[RespondentID],'All Data'!$A$3:$CW$999,98,FALSE),"unknown")</f>
        <v>0</v>
      </c>
      <c r="AX265" s="120">
        <f>IFERROR(VLOOKUP(Table1[RespondentID],'All Data'!$A$3:$CW$999,99,FALSE),"unknown")</f>
        <v>0</v>
      </c>
    </row>
    <row r="266" spans="1:50">
      <c r="A266" s="5">
        <v>18017707683</v>
      </c>
      <c r="B266" s="5"/>
      <c r="C266" s="5"/>
      <c r="D266" s="5" t="s">
        <v>18</v>
      </c>
      <c r="E266" s="5"/>
      <c r="F266" s="5"/>
      <c r="G266" s="5"/>
      <c r="H266" s="5"/>
      <c r="I266" s="5"/>
      <c r="J266" s="5"/>
      <c r="K266" s="5"/>
      <c r="L266" s="5"/>
      <c r="M266" s="5" t="s">
        <v>27</v>
      </c>
      <c r="N266" s="5"/>
      <c r="O266" s="7"/>
      <c r="P266" s="7">
        <f t="shared" si="72"/>
        <v>2</v>
      </c>
      <c r="Q266" s="8">
        <f t="shared" si="73"/>
        <v>1.5</v>
      </c>
      <c r="R266" s="7"/>
      <c r="S266" s="7">
        <f t="shared" si="74"/>
        <v>0</v>
      </c>
      <c r="T266" s="7">
        <f t="shared" si="75"/>
        <v>0</v>
      </c>
      <c r="U266" s="7">
        <f t="shared" si="76"/>
        <v>1</v>
      </c>
      <c r="V266" s="119">
        <f t="shared" si="77"/>
        <v>0</v>
      </c>
      <c r="W266" s="119">
        <f t="shared" si="78"/>
        <v>0</v>
      </c>
      <c r="X266" s="119">
        <f t="shared" si="79"/>
        <v>0</v>
      </c>
      <c r="Y266" s="119">
        <f t="shared" si="80"/>
        <v>0</v>
      </c>
      <c r="Z266" s="119">
        <f t="shared" si="81"/>
        <v>0</v>
      </c>
      <c r="AA266" s="119">
        <f t="shared" si="82"/>
        <v>0</v>
      </c>
      <c r="AB266" s="119">
        <f t="shared" si="83"/>
        <v>0</v>
      </c>
      <c r="AC266" s="119">
        <f t="shared" si="84"/>
        <v>0</v>
      </c>
      <c r="AD266" s="119">
        <f t="shared" si="85"/>
        <v>1</v>
      </c>
      <c r="AE266" s="119">
        <f t="shared" si="86"/>
        <v>0</v>
      </c>
      <c r="AF266" s="7"/>
      <c r="AG266" s="7"/>
      <c r="AH266" s="7">
        <f t="shared" si="87"/>
        <v>2</v>
      </c>
      <c r="AI266" s="7">
        <f t="shared" si="88"/>
        <v>2</v>
      </c>
      <c r="AJ266" s="7" t="str">
        <f t="shared" si="89"/>
        <v>Correct</v>
      </c>
      <c r="AK266" s="7"/>
      <c r="AL266" s="120" t="str">
        <f>IFERROR(VLOOKUP(Table1[RespondentID],'All Data'!$A$3:$CO$999,87,FALSE),"unknown")</f>
        <v>Man</v>
      </c>
      <c r="AM266" s="120">
        <f>IFERROR(VLOOKUP(Table1[RespondentID],'All Data'!$A$3:$CO$999,88,FALSE),"unknown")</f>
        <v>43</v>
      </c>
      <c r="AN266" s="120" t="str">
        <f>IFERROR(VLOOKUP(Table1[RespondentID],'All Data'!$A$3:$CO$999,89,FALSE),"unknown")</f>
        <v>Suffolk</v>
      </c>
      <c r="AO266" s="120" t="str">
        <f>IFERROR(VLOOKUP(Table1[RespondentID],'All Data'!$A$3:$CO$999,90,FALSE),"unknown")</f>
        <v>Nesconset, 11767</v>
      </c>
      <c r="AP266" s="120" t="str">
        <f>IFERROR(VLOOKUP(Table1[RespondentID],'All Data'!$A$3:$CO$999,91,FALSE),"unknown")</f>
        <v>White</v>
      </c>
      <c r="AQ266" s="120" t="str">
        <f>IFERROR(VLOOKUP(Table1[RespondentID],'All Data'!$A$3:$CO$999,92,FALSE),"unknown")</f>
        <v>Not Hispanic or Latino</v>
      </c>
      <c r="AR266" s="120" t="str">
        <f>IFERROR(VLOOKUP(Table1[RespondentID],'All Data'!$A$3:$CO$999,93,FALSE),"unknown")</f>
        <v>English</v>
      </c>
      <c r="AS266" s="120" t="str">
        <f>IFERROR(VLOOKUP(Table1[RespondentID],'All Data'!$A$3:$CW$999,94,FALSE),"unknown")</f>
        <v>$0-$19,999</v>
      </c>
      <c r="AT266" s="120" t="str">
        <f>IFERROR(VLOOKUP(Table1[RespondentID],'All Data'!$A$3:$CW$999,95,FALSE),"unknown")</f>
        <v>Some college</v>
      </c>
      <c r="AU266" s="120" t="str">
        <f>IFERROR(VLOOKUP(Table1[RespondentID],'All Data'!$A$3:$CW$999,96,FALSE),"unknown")</f>
        <v>Employed for wages</v>
      </c>
      <c r="AV266" s="120" t="str">
        <f>IFERROR(VLOOKUP(Table1[RespondentID],'All Data'!$A$3:$CW$999,97,FALSE),"unknown")</f>
        <v>Yes</v>
      </c>
      <c r="AW266" s="120" t="str">
        <f>IFERROR(VLOOKUP(Table1[RespondentID],'All Data'!$A$3:$CW$999,98,FALSE),"unknown")</f>
        <v>Medicaid</v>
      </c>
      <c r="AX266" s="120" t="str">
        <f>IFERROR(VLOOKUP(Table1[RespondentID],'All Data'!$A$3:$CW$999,99,FALSE),"unknown")</f>
        <v>No</v>
      </c>
    </row>
    <row r="267" spans="1:50">
      <c r="A267" s="5">
        <v>18017611415</v>
      </c>
      <c r="B267" s="5"/>
      <c r="C267" s="5" t="s">
        <v>17</v>
      </c>
      <c r="D267" s="5" t="s">
        <v>18</v>
      </c>
      <c r="E267" s="5"/>
      <c r="F267" s="5"/>
      <c r="G267" s="5"/>
      <c r="H267" s="5"/>
      <c r="I267" s="5" t="s">
        <v>23</v>
      </c>
      <c r="J267" s="5"/>
      <c r="K267" s="5"/>
      <c r="L267" s="5"/>
      <c r="M267" s="5"/>
      <c r="N267" s="5"/>
      <c r="O267" s="7"/>
      <c r="P267" s="7">
        <f t="shared" si="72"/>
        <v>3</v>
      </c>
      <c r="Q267" s="9">
        <f t="shared" si="73"/>
        <v>1</v>
      </c>
      <c r="R267" s="7"/>
      <c r="S267" s="7">
        <f t="shared" si="74"/>
        <v>0</v>
      </c>
      <c r="T267" s="7">
        <f t="shared" si="75"/>
        <v>1</v>
      </c>
      <c r="U267" s="7">
        <f t="shared" si="76"/>
        <v>1</v>
      </c>
      <c r="V267" s="119">
        <f t="shared" si="77"/>
        <v>0</v>
      </c>
      <c r="W267" s="119">
        <f t="shared" si="78"/>
        <v>0</v>
      </c>
      <c r="X267" s="119">
        <f t="shared" si="79"/>
        <v>0</v>
      </c>
      <c r="Y267" s="119">
        <f t="shared" si="80"/>
        <v>0</v>
      </c>
      <c r="Z267" s="119">
        <f t="shared" si="81"/>
        <v>1</v>
      </c>
      <c r="AA267" s="119">
        <f t="shared" si="82"/>
        <v>0</v>
      </c>
      <c r="AB267" s="119">
        <f t="shared" si="83"/>
        <v>0</v>
      </c>
      <c r="AC267" s="119">
        <f t="shared" si="84"/>
        <v>0</v>
      </c>
      <c r="AD267" s="119">
        <f t="shared" si="85"/>
        <v>0</v>
      </c>
      <c r="AE267" s="119">
        <f t="shared" si="86"/>
        <v>0</v>
      </c>
      <c r="AF267" s="7"/>
      <c r="AG267" s="7"/>
      <c r="AH267" s="7">
        <f t="shared" si="87"/>
        <v>3</v>
      </c>
      <c r="AI267" s="7">
        <f t="shared" si="88"/>
        <v>3</v>
      </c>
      <c r="AJ267" s="7" t="str">
        <f t="shared" si="89"/>
        <v>Correct</v>
      </c>
      <c r="AK267" s="7"/>
      <c r="AL267" s="120" t="str">
        <f>IFERROR(VLOOKUP(Table1[RespondentID],'All Data'!$A$3:$CO$999,87,FALSE),"unknown")</f>
        <v>Man</v>
      </c>
      <c r="AM267" s="120">
        <f>IFERROR(VLOOKUP(Table1[RespondentID],'All Data'!$A$3:$CO$999,88,FALSE),"unknown")</f>
        <v>68</v>
      </c>
      <c r="AN267" s="120" t="str">
        <f>IFERROR(VLOOKUP(Table1[RespondentID],'All Data'!$A$3:$CO$999,89,FALSE),"unknown")</f>
        <v>Suffolk</v>
      </c>
      <c r="AO267" s="120" t="str">
        <f>IFERROR(VLOOKUP(Table1[RespondentID],'All Data'!$A$3:$CO$999,90,FALSE),"unknown")</f>
        <v>Sayville, 11782</v>
      </c>
      <c r="AP267" s="120" t="str">
        <f>IFERROR(VLOOKUP(Table1[RespondentID],'All Data'!$A$3:$CO$999,91,FALSE),"unknown")</f>
        <v>White</v>
      </c>
      <c r="AQ267" s="120" t="str">
        <f>IFERROR(VLOOKUP(Table1[RespondentID],'All Data'!$A$3:$CO$999,92,FALSE),"unknown")</f>
        <v>Hispanic or Latino</v>
      </c>
      <c r="AR267" s="120" t="str">
        <f>IFERROR(VLOOKUP(Table1[RespondentID],'All Data'!$A$3:$CO$999,93,FALSE),"unknown")</f>
        <v>English</v>
      </c>
      <c r="AS267" s="120" t="str">
        <f>IFERROR(VLOOKUP(Table1[RespondentID],'All Data'!$A$3:$CW$999,94,FALSE),"unknown")</f>
        <v>$75,000 to $125,000</v>
      </c>
      <c r="AT267" s="120" t="str">
        <f>IFERROR(VLOOKUP(Table1[RespondentID],'All Data'!$A$3:$CW$999,95,FALSE),"unknown")</f>
        <v>College graduate</v>
      </c>
      <c r="AU267" s="120" t="str">
        <f>IFERROR(VLOOKUP(Table1[RespondentID],'All Data'!$A$3:$CW$999,96,FALSE),"unknown")</f>
        <v>Retired</v>
      </c>
      <c r="AV267" s="120" t="str">
        <f>IFERROR(VLOOKUP(Table1[RespondentID],'All Data'!$A$3:$CW$999,97,FALSE),"unknown")</f>
        <v>Yes</v>
      </c>
      <c r="AW267" s="120" t="str">
        <f>IFERROR(VLOOKUP(Table1[RespondentID],'All Data'!$A$3:$CW$999,98,FALSE),"unknown")</f>
        <v>Medicaid, Private/Commercial</v>
      </c>
      <c r="AX267" s="120" t="str">
        <f>IFERROR(VLOOKUP(Table1[RespondentID],'All Data'!$A$3:$CW$999,99,FALSE),"unknown")</f>
        <v>Yes</v>
      </c>
    </row>
    <row r="268" spans="1:50">
      <c r="A268" s="5">
        <v>18017568152</v>
      </c>
      <c r="B268" s="5"/>
      <c r="C268" s="5"/>
      <c r="D268" s="5"/>
      <c r="E268" s="5" t="s">
        <v>19</v>
      </c>
      <c r="F268" s="5"/>
      <c r="G268" s="5"/>
      <c r="H268" s="5" t="s">
        <v>22</v>
      </c>
      <c r="I268" s="5"/>
      <c r="J268" s="5"/>
      <c r="K268" s="5" t="s">
        <v>25</v>
      </c>
      <c r="L268" s="5"/>
      <c r="M268" s="5"/>
      <c r="N268" s="5"/>
      <c r="O268" s="7"/>
      <c r="P268" s="7">
        <f t="shared" si="72"/>
        <v>3</v>
      </c>
      <c r="Q268" s="8">
        <f t="shared" si="73"/>
        <v>1</v>
      </c>
      <c r="R268" s="7"/>
      <c r="S268" s="7">
        <f t="shared" si="74"/>
        <v>0</v>
      </c>
      <c r="T268" s="7">
        <f t="shared" si="75"/>
        <v>0</v>
      </c>
      <c r="U268" s="7">
        <f t="shared" si="76"/>
        <v>0</v>
      </c>
      <c r="V268" s="119">
        <f t="shared" si="77"/>
        <v>1</v>
      </c>
      <c r="W268" s="119">
        <f t="shared" si="78"/>
        <v>0</v>
      </c>
      <c r="X268" s="119">
        <f t="shared" si="79"/>
        <v>0</v>
      </c>
      <c r="Y268" s="119">
        <f t="shared" si="80"/>
        <v>1</v>
      </c>
      <c r="Z268" s="119">
        <f t="shared" si="81"/>
        <v>0</v>
      </c>
      <c r="AA268" s="119">
        <f t="shared" si="82"/>
        <v>0</v>
      </c>
      <c r="AB268" s="119">
        <f t="shared" si="83"/>
        <v>1</v>
      </c>
      <c r="AC268" s="119">
        <f t="shared" si="84"/>
        <v>0</v>
      </c>
      <c r="AD268" s="119">
        <f t="shared" si="85"/>
        <v>0</v>
      </c>
      <c r="AE268" s="119">
        <f t="shared" si="86"/>
        <v>0</v>
      </c>
      <c r="AF268" s="7"/>
      <c r="AG268" s="7"/>
      <c r="AH268" s="7">
        <f t="shared" si="87"/>
        <v>3</v>
      </c>
      <c r="AI268" s="7">
        <f t="shared" si="88"/>
        <v>3</v>
      </c>
      <c r="AJ268" s="7" t="str">
        <f t="shared" si="89"/>
        <v>Correct</v>
      </c>
      <c r="AK268" s="7"/>
      <c r="AL268" s="120" t="str">
        <f>IFERROR(VLOOKUP(Table1[RespondentID],'All Data'!$A$3:$CO$999,87,FALSE),"unknown")</f>
        <v>Man</v>
      </c>
      <c r="AM268" s="120">
        <f>IFERROR(VLOOKUP(Table1[RespondentID],'All Data'!$A$3:$CO$999,88,FALSE),"unknown")</f>
        <v>52</v>
      </c>
      <c r="AN268" s="120" t="str">
        <f>IFERROR(VLOOKUP(Table1[RespondentID],'All Data'!$A$3:$CO$999,89,FALSE),"unknown")</f>
        <v>Nassau</v>
      </c>
      <c r="AO268" s="120" t="str">
        <f>IFERROR(VLOOKUP(Table1[RespondentID],'All Data'!$A$3:$CO$999,90,FALSE),"unknown")</f>
        <v>Manhasset, 11030</v>
      </c>
      <c r="AP268" s="120" t="str">
        <f>IFERROR(VLOOKUP(Table1[RespondentID],'All Data'!$A$3:$CO$999,91,FALSE),"unknown")</f>
        <v>White</v>
      </c>
      <c r="AQ268" s="120" t="str">
        <f>IFERROR(VLOOKUP(Table1[RespondentID],'All Data'!$A$3:$CO$999,92,FALSE),"unknown")</f>
        <v>Hispanic or Latino</v>
      </c>
      <c r="AR268" s="120" t="str">
        <f>IFERROR(VLOOKUP(Table1[RespondentID],'All Data'!$A$3:$CO$999,93,FALSE),"unknown")</f>
        <v>English</v>
      </c>
      <c r="AS268" s="120" t="str">
        <f>IFERROR(VLOOKUP(Table1[RespondentID],'All Data'!$A$3:$CW$999,94,FALSE),"unknown")</f>
        <v>Over $125,000</v>
      </c>
      <c r="AT268" s="120" t="str">
        <f>IFERROR(VLOOKUP(Table1[RespondentID],'All Data'!$A$3:$CW$999,95,FALSE),"unknown")</f>
        <v>Graduate school</v>
      </c>
      <c r="AU268" s="120" t="str">
        <f>IFERROR(VLOOKUP(Table1[RespondentID],'All Data'!$A$3:$CW$999,96,FALSE),"unknown")</f>
        <v>Employed for wages</v>
      </c>
      <c r="AV268" s="120" t="str">
        <f>IFERROR(VLOOKUP(Table1[RespondentID],'All Data'!$A$3:$CW$999,97,FALSE),"unknown")</f>
        <v>Yes</v>
      </c>
      <c r="AW268" s="120" t="str">
        <f>IFERROR(VLOOKUP(Table1[RespondentID],'All Data'!$A$3:$CW$999,98,FALSE),"unknown")</f>
        <v>Private/Commercial</v>
      </c>
      <c r="AX268" s="120" t="str">
        <f>IFERROR(VLOOKUP(Table1[RespondentID],'All Data'!$A$3:$CW$999,99,FALSE),"unknown")</f>
        <v>Yes</v>
      </c>
    </row>
    <row r="269" spans="1:50">
      <c r="A269" s="5">
        <v>18017061305</v>
      </c>
      <c r="B269" s="5"/>
      <c r="C269" s="5"/>
      <c r="D269" s="5"/>
      <c r="E269" s="5" t="s">
        <v>19</v>
      </c>
      <c r="F269" s="5"/>
      <c r="G269" s="5"/>
      <c r="H269" s="5"/>
      <c r="I269" s="5"/>
      <c r="J269" s="5"/>
      <c r="K269" s="5" t="s">
        <v>25</v>
      </c>
      <c r="L269" s="5"/>
      <c r="M269" s="5"/>
      <c r="N269" s="5"/>
      <c r="O269" s="7"/>
      <c r="P269" s="7">
        <f t="shared" si="72"/>
        <v>2</v>
      </c>
      <c r="Q269" s="9">
        <f t="shared" si="73"/>
        <v>1.5</v>
      </c>
      <c r="R269" s="7"/>
      <c r="S269" s="7">
        <f t="shared" si="74"/>
        <v>0</v>
      </c>
      <c r="T269" s="7">
        <f t="shared" si="75"/>
        <v>0</v>
      </c>
      <c r="U269" s="7">
        <f t="shared" si="76"/>
        <v>0</v>
      </c>
      <c r="V269" s="119">
        <f t="shared" si="77"/>
        <v>1</v>
      </c>
      <c r="W269" s="119">
        <f t="shared" si="78"/>
        <v>0</v>
      </c>
      <c r="X269" s="119">
        <f t="shared" si="79"/>
        <v>0</v>
      </c>
      <c r="Y269" s="119">
        <f t="shared" si="80"/>
        <v>0</v>
      </c>
      <c r="Z269" s="119">
        <f t="shared" si="81"/>
        <v>0</v>
      </c>
      <c r="AA269" s="119">
        <f t="shared" si="82"/>
        <v>0</v>
      </c>
      <c r="AB269" s="119">
        <f t="shared" si="83"/>
        <v>1</v>
      </c>
      <c r="AC269" s="119">
        <f t="shared" si="84"/>
        <v>0</v>
      </c>
      <c r="AD269" s="119">
        <f t="shared" si="85"/>
        <v>0</v>
      </c>
      <c r="AE269" s="119">
        <f t="shared" si="86"/>
        <v>0</v>
      </c>
      <c r="AF269" s="7"/>
      <c r="AG269" s="7"/>
      <c r="AH269" s="7">
        <f t="shared" si="87"/>
        <v>2</v>
      </c>
      <c r="AI269" s="7">
        <f t="shared" si="88"/>
        <v>2</v>
      </c>
      <c r="AJ269" s="7" t="str">
        <f t="shared" si="89"/>
        <v>Correct</v>
      </c>
      <c r="AK269" s="7"/>
      <c r="AL269" s="120" t="str">
        <f>IFERROR(VLOOKUP(Table1[RespondentID],'All Data'!$A$3:$CO$999,87,FALSE),"unknown")</f>
        <v>Man</v>
      </c>
      <c r="AM269" s="120">
        <f>IFERROR(VLOOKUP(Table1[RespondentID],'All Data'!$A$3:$CO$999,88,FALSE),"unknown")</f>
        <v>44</v>
      </c>
      <c r="AN269" s="120" t="str">
        <f>IFERROR(VLOOKUP(Table1[RespondentID],'All Data'!$A$3:$CO$999,89,FALSE),"unknown")</f>
        <v>Suffolk</v>
      </c>
      <c r="AO269" s="120" t="str">
        <f>IFERROR(VLOOKUP(Table1[RespondentID],'All Data'!$A$3:$CO$999,90,FALSE),"unknown")</f>
        <v>Selden, 11784</v>
      </c>
      <c r="AP269" s="120" t="str">
        <f>IFERROR(VLOOKUP(Table1[RespondentID],'All Data'!$A$3:$CO$999,91,FALSE),"unknown")</f>
        <v>White</v>
      </c>
      <c r="AQ269" s="120" t="str">
        <f>IFERROR(VLOOKUP(Table1[RespondentID],'All Data'!$A$3:$CO$999,92,FALSE),"unknown")</f>
        <v>Hispanic or Latino</v>
      </c>
      <c r="AR269" s="120" t="str">
        <f>IFERROR(VLOOKUP(Table1[RespondentID],'All Data'!$A$3:$CO$999,93,FALSE),"unknown")</f>
        <v>English</v>
      </c>
      <c r="AS269" s="120" t="str">
        <f>IFERROR(VLOOKUP(Table1[RespondentID],'All Data'!$A$3:$CW$999,94,FALSE),"unknown")</f>
        <v>$50,000 to $74,999</v>
      </c>
      <c r="AT269" s="120" t="str">
        <f>IFERROR(VLOOKUP(Table1[RespondentID],'All Data'!$A$3:$CW$999,95,FALSE),"unknown")</f>
        <v>College graduate</v>
      </c>
      <c r="AU269" s="120" t="str">
        <f>IFERROR(VLOOKUP(Table1[RespondentID],'All Data'!$A$3:$CW$999,96,FALSE),"unknown")</f>
        <v>Employed for wages</v>
      </c>
      <c r="AV269" s="120" t="str">
        <f>IFERROR(VLOOKUP(Table1[RespondentID],'All Data'!$A$3:$CW$999,97,FALSE),"unknown")</f>
        <v>Yes</v>
      </c>
      <c r="AW269" s="120" t="str">
        <f>IFERROR(VLOOKUP(Table1[RespondentID],'All Data'!$A$3:$CW$999,98,FALSE),"unknown")</f>
        <v>Private/Commercial</v>
      </c>
      <c r="AX269" s="120" t="str">
        <f>IFERROR(VLOOKUP(Table1[RespondentID],'All Data'!$A$3:$CW$999,99,FALSE),"unknown")</f>
        <v>Yes</v>
      </c>
    </row>
    <row r="270" spans="1:50">
      <c r="A270" s="5">
        <v>18016902456</v>
      </c>
      <c r="B270" s="5"/>
      <c r="C270" s="5"/>
      <c r="D270" s="5"/>
      <c r="E270" s="5"/>
      <c r="F270" s="5"/>
      <c r="G270" s="5"/>
      <c r="H270" s="5" t="s">
        <v>22</v>
      </c>
      <c r="I270" s="5"/>
      <c r="J270" s="5"/>
      <c r="K270" s="5" t="s">
        <v>25</v>
      </c>
      <c r="L270" s="5"/>
      <c r="M270" s="5"/>
      <c r="N270" s="5"/>
      <c r="O270" s="7"/>
      <c r="P270" s="7">
        <f t="shared" si="72"/>
        <v>2</v>
      </c>
      <c r="Q270" s="8">
        <f t="shared" si="73"/>
        <v>1.5</v>
      </c>
      <c r="R270" s="7"/>
      <c r="S270" s="7">
        <f t="shared" si="74"/>
        <v>0</v>
      </c>
      <c r="T270" s="7">
        <f t="shared" si="75"/>
        <v>0</v>
      </c>
      <c r="U270" s="7">
        <f t="shared" si="76"/>
        <v>0</v>
      </c>
      <c r="V270" s="119">
        <f t="shared" si="77"/>
        <v>0</v>
      </c>
      <c r="W270" s="119">
        <f t="shared" si="78"/>
        <v>0</v>
      </c>
      <c r="X270" s="119">
        <f t="shared" si="79"/>
        <v>0</v>
      </c>
      <c r="Y270" s="119">
        <f t="shared" si="80"/>
        <v>1</v>
      </c>
      <c r="Z270" s="119">
        <f t="shared" si="81"/>
        <v>0</v>
      </c>
      <c r="AA270" s="119">
        <f t="shared" si="82"/>
        <v>0</v>
      </c>
      <c r="AB270" s="119">
        <f t="shared" si="83"/>
        <v>1</v>
      </c>
      <c r="AC270" s="119">
        <f t="shared" si="84"/>
        <v>0</v>
      </c>
      <c r="AD270" s="119">
        <f t="shared" si="85"/>
        <v>0</v>
      </c>
      <c r="AE270" s="119">
        <f t="shared" si="86"/>
        <v>0</v>
      </c>
      <c r="AF270" s="7"/>
      <c r="AG270" s="7"/>
      <c r="AH270" s="7">
        <f t="shared" si="87"/>
        <v>2</v>
      </c>
      <c r="AI270" s="7">
        <f t="shared" si="88"/>
        <v>2</v>
      </c>
      <c r="AJ270" s="7" t="str">
        <f t="shared" si="89"/>
        <v>Correct</v>
      </c>
      <c r="AK270" s="7"/>
      <c r="AL270" s="120" t="str">
        <f>IFERROR(VLOOKUP(Table1[RespondentID],'All Data'!$A$3:$CO$999,87,FALSE),"unknown")</f>
        <v>Man</v>
      </c>
      <c r="AM270" s="120">
        <f>IFERROR(VLOOKUP(Table1[RespondentID],'All Data'!$A$3:$CO$999,88,FALSE),"unknown")</f>
        <v>45</v>
      </c>
      <c r="AN270" s="120" t="str">
        <f>IFERROR(VLOOKUP(Table1[RespondentID],'All Data'!$A$3:$CO$999,89,FALSE),"unknown")</f>
        <v>Suffolk</v>
      </c>
      <c r="AO270" s="120" t="str">
        <f>IFERROR(VLOOKUP(Table1[RespondentID],'All Data'!$A$3:$CO$999,90,FALSE),"unknown")</f>
        <v>Mastic, 11950</v>
      </c>
      <c r="AP270" s="120" t="str">
        <f>IFERROR(VLOOKUP(Table1[RespondentID],'All Data'!$A$3:$CO$999,91,FALSE),"unknown")</f>
        <v>White</v>
      </c>
      <c r="AQ270" s="120" t="str">
        <f>IFERROR(VLOOKUP(Table1[RespondentID],'All Data'!$A$3:$CO$999,92,FALSE),"unknown")</f>
        <v>Hispanic or Latino</v>
      </c>
      <c r="AR270" s="120" t="str">
        <f>IFERROR(VLOOKUP(Table1[RespondentID],'All Data'!$A$3:$CO$999,93,FALSE),"unknown")</f>
        <v>English</v>
      </c>
      <c r="AS270" s="120" t="str">
        <f>IFERROR(VLOOKUP(Table1[RespondentID],'All Data'!$A$3:$CW$999,94,FALSE),"unknown")</f>
        <v>Over $125,000</v>
      </c>
      <c r="AT270" s="120" t="str">
        <f>IFERROR(VLOOKUP(Table1[RespondentID],'All Data'!$A$3:$CW$999,95,FALSE),"unknown")</f>
        <v>College graduate</v>
      </c>
      <c r="AU270" s="120" t="str">
        <f>IFERROR(VLOOKUP(Table1[RespondentID],'All Data'!$A$3:$CW$999,96,FALSE),"unknown")</f>
        <v>Employed for wages</v>
      </c>
      <c r="AV270" s="120" t="str">
        <f>IFERROR(VLOOKUP(Table1[RespondentID],'All Data'!$A$3:$CW$999,97,FALSE),"unknown")</f>
        <v>Yes</v>
      </c>
      <c r="AW270" s="120" t="str">
        <f>IFERROR(VLOOKUP(Table1[RespondentID],'All Data'!$A$3:$CW$999,98,FALSE),"unknown")</f>
        <v>Private/Commercial</v>
      </c>
      <c r="AX270" s="120" t="str">
        <f>IFERROR(VLOOKUP(Table1[RespondentID],'All Data'!$A$3:$CW$999,99,FALSE),"unknown")</f>
        <v>Yes</v>
      </c>
    </row>
    <row r="271" spans="1:50">
      <c r="A271" s="5">
        <v>18016880706</v>
      </c>
      <c r="B271" s="5"/>
      <c r="C271" s="5"/>
      <c r="D271" s="5"/>
      <c r="E271" s="5"/>
      <c r="F271" s="5"/>
      <c r="G271" s="5"/>
      <c r="H271" s="5"/>
      <c r="I271" s="5"/>
      <c r="J271" s="5"/>
      <c r="K271" s="5" t="s">
        <v>25</v>
      </c>
      <c r="L271" s="5"/>
      <c r="M271" s="5"/>
      <c r="N271" s="5"/>
      <c r="O271" s="7"/>
      <c r="P271" s="7">
        <f t="shared" si="72"/>
        <v>1</v>
      </c>
      <c r="Q271" s="9">
        <f t="shared" si="73"/>
        <v>3</v>
      </c>
      <c r="R271" s="7"/>
      <c r="S271" s="7">
        <f t="shared" si="74"/>
        <v>0</v>
      </c>
      <c r="T271" s="7">
        <f t="shared" si="75"/>
        <v>0</v>
      </c>
      <c r="U271" s="7">
        <f t="shared" si="76"/>
        <v>0</v>
      </c>
      <c r="V271" s="119">
        <f t="shared" si="77"/>
        <v>0</v>
      </c>
      <c r="W271" s="119">
        <f t="shared" si="78"/>
        <v>0</v>
      </c>
      <c r="X271" s="119">
        <f t="shared" si="79"/>
        <v>0</v>
      </c>
      <c r="Y271" s="119">
        <f t="shared" si="80"/>
        <v>0</v>
      </c>
      <c r="Z271" s="119">
        <f t="shared" si="81"/>
        <v>0</v>
      </c>
      <c r="AA271" s="119">
        <f t="shared" si="82"/>
        <v>0</v>
      </c>
      <c r="AB271" s="119">
        <f t="shared" si="83"/>
        <v>1</v>
      </c>
      <c r="AC271" s="119">
        <f t="shared" si="84"/>
        <v>0</v>
      </c>
      <c r="AD271" s="119">
        <f t="shared" si="85"/>
        <v>0</v>
      </c>
      <c r="AE271" s="119">
        <f t="shared" si="86"/>
        <v>0</v>
      </c>
      <c r="AF271" s="7"/>
      <c r="AG271" s="7"/>
      <c r="AH271" s="7">
        <f t="shared" si="87"/>
        <v>1</v>
      </c>
      <c r="AI271" s="7">
        <f t="shared" si="88"/>
        <v>1</v>
      </c>
      <c r="AJ271" s="7" t="str">
        <f t="shared" si="89"/>
        <v>Correct</v>
      </c>
      <c r="AK271" s="7"/>
      <c r="AL271" s="120" t="str">
        <f>IFERROR(VLOOKUP(Table1[RespondentID],'All Data'!$A$3:$CO$999,87,FALSE),"unknown")</f>
        <v>Man</v>
      </c>
      <c r="AM271" s="120">
        <f>IFERROR(VLOOKUP(Table1[RespondentID],'All Data'!$A$3:$CO$999,88,FALSE),"unknown")</f>
        <v>16</v>
      </c>
      <c r="AN271" s="120" t="str">
        <f>IFERROR(VLOOKUP(Table1[RespondentID],'All Data'!$A$3:$CO$999,89,FALSE),"unknown")</f>
        <v>Suffolk</v>
      </c>
      <c r="AO271" s="120" t="str">
        <f>IFERROR(VLOOKUP(Table1[RespondentID],'All Data'!$A$3:$CO$999,90,FALSE),"unknown")</f>
        <v>Nesconset, 11767</v>
      </c>
      <c r="AP271" s="120" t="str">
        <f>IFERROR(VLOOKUP(Table1[RespondentID],'All Data'!$A$3:$CO$999,91,FALSE),"unknown")</f>
        <v>White</v>
      </c>
      <c r="AQ271" s="120" t="str">
        <f>IFERROR(VLOOKUP(Table1[RespondentID],'All Data'!$A$3:$CO$999,92,FALSE),"unknown")</f>
        <v>Hispanic or Latino</v>
      </c>
      <c r="AR271" s="120" t="str">
        <f>IFERROR(VLOOKUP(Table1[RespondentID],'All Data'!$A$3:$CO$999,93,FALSE),"unknown")</f>
        <v>English</v>
      </c>
      <c r="AS271" s="120" t="str">
        <f>IFERROR(VLOOKUP(Table1[RespondentID],'All Data'!$A$3:$CW$999,94,FALSE),"unknown")</f>
        <v>Over $125,000</v>
      </c>
      <c r="AT271" s="120" t="str">
        <f>IFERROR(VLOOKUP(Table1[RespondentID],'All Data'!$A$3:$CW$999,95,FALSE),"unknown")</f>
        <v>Some high school</v>
      </c>
      <c r="AU271" s="120" t="str">
        <f>IFERROR(VLOOKUP(Table1[RespondentID],'All Data'!$A$3:$CW$999,96,FALSE),"unknown")</f>
        <v>Student</v>
      </c>
      <c r="AV271" s="120" t="str">
        <f>IFERROR(VLOOKUP(Table1[RespondentID],'All Data'!$A$3:$CW$999,97,FALSE),"unknown")</f>
        <v>Yes</v>
      </c>
      <c r="AW271" s="120" t="str">
        <f>IFERROR(VLOOKUP(Table1[RespondentID],'All Data'!$A$3:$CW$999,98,FALSE),"unknown")</f>
        <v>Private/Commercial</v>
      </c>
      <c r="AX271" s="120" t="str">
        <f>IFERROR(VLOOKUP(Table1[RespondentID],'All Data'!$A$3:$CW$999,99,FALSE),"unknown")</f>
        <v>Yes</v>
      </c>
    </row>
    <row r="272" spans="1:50">
      <c r="A272" s="5">
        <v>18016880667</v>
      </c>
      <c r="B272" s="5"/>
      <c r="C272" s="5"/>
      <c r="D272" s="5"/>
      <c r="E272" s="5"/>
      <c r="F272" s="5"/>
      <c r="G272" s="5"/>
      <c r="H272" s="5"/>
      <c r="I272" s="5"/>
      <c r="J272" s="5"/>
      <c r="K272" s="5" t="s">
        <v>25</v>
      </c>
      <c r="L272" s="5"/>
      <c r="M272" s="5"/>
      <c r="N272" s="5"/>
      <c r="O272" s="7"/>
      <c r="P272" s="7">
        <f t="shared" si="72"/>
        <v>1</v>
      </c>
      <c r="Q272" s="8">
        <f t="shared" si="73"/>
        <v>3</v>
      </c>
      <c r="R272" s="7"/>
      <c r="S272" s="7">
        <f t="shared" si="74"/>
        <v>0</v>
      </c>
      <c r="T272" s="7">
        <f t="shared" si="75"/>
        <v>0</v>
      </c>
      <c r="U272" s="7">
        <f t="shared" si="76"/>
        <v>0</v>
      </c>
      <c r="V272" s="119">
        <f t="shared" si="77"/>
        <v>0</v>
      </c>
      <c r="W272" s="119">
        <f t="shared" si="78"/>
        <v>0</v>
      </c>
      <c r="X272" s="119">
        <f t="shared" si="79"/>
        <v>0</v>
      </c>
      <c r="Y272" s="119">
        <f t="shared" si="80"/>
        <v>0</v>
      </c>
      <c r="Z272" s="119">
        <f t="shared" si="81"/>
        <v>0</v>
      </c>
      <c r="AA272" s="119">
        <f t="shared" si="82"/>
        <v>0</v>
      </c>
      <c r="AB272" s="119">
        <f t="shared" si="83"/>
        <v>1</v>
      </c>
      <c r="AC272" s="119">
        <f t="shared" si="84"/>
        <v>0</v>
      </c>
      <c r="AD272" s="119">
        <f t="shared" si="85"/>
        <v>0</v>
      </c>
      <c r="AE272" s="119">
        <f t="shared" si="86"/>
        <v>0</v>
      </c>
      <c r="AF272" s="7"/>
      <c r="AG272" s="7"/>
      <c r="AH272" s="7">
        <f t="shared" si="87"/>
        <v>1</v>
      </c>
      <c r="AI272" s="7">
        <f t="shared" si="88"/>
        <v>1</v>
      </c>
      <c r="AJ272" s="7" t="str">
        <f t="shared" si="89"/>
        <v>Correct</v>
      </c>
      <c r="AK272" s="7"/>
      <c r="AL272" s="120" t="str">
        <f>IFERROR(VLOOKUP(Table1[RespondentID],'All Data'!$A$3:$CO$999,87,FALSE),"unknown")</f>
        <v>Man</v>
      </c>
      <c r="AM272" s="120">
        <f>IFERROR(VLOOKUP(Table1[RespondentID],'All Data'!$A$3:$CO$999,88,FALSE),"unknown")</f>
        <v>16</v>
      </c>
      <c r="AN272" s="120" t="str">
        <f>IFERROR(VLOOKUP(Table1[RespondentID],'All Data'!$A$3:$CO$999,89,FALSE),"unknown")</f>
        <v>Suffolk</v>
      </c>
      <c r="AO272" s="120" t="str">
        <f>IFERROR(VLOOKUP(Table1[RespondentID],'All Data'!$A$3:$CO$999,90,FALSE),"unknown")</f>
        <v>Nesconset, 11767</v>
      </c>
      <c r="AP272" s="120" t="str">
        <f>IFERROR(VLOOKUP(Table1[RespondentID],'All Data'!$A$3:$CO$999,91,FALSE),"unknown")</f>
        <v>White</v>
      </c>
      <c r="AQ272" s="120" t="str">
        <f>IFERROR(VLOOKUP(Table1[RespondentID],'All Data'!$A$3:$CO$999,92,FALSE),"unknown")</f>
        <v>Hispanic or Latino</v>
      </c>
      <c r="AR272" s="120" t="str">
        <f>IFERROR(VLOOKUP(Table1[RespondentID],'All Data'!$A$3:$CO$999,93,FALSE),"unknown")</f>
        <v>English</v>
      </c>
      <c r="AS272" s="120" t="str">
        <f>IFERROR(VLOOKUP(Table1[RespondentID],'All Data'!$A$3:$CW$999,94,FALSE),"unknown")</f>
        <v>Over $125,000</v>
      </c>
      <c r="AT272" s="120" t="str">
        <f>IFERROR(VLOOKUP(Table1[RespondentID],'All Data'!$A$3:$CW$999,95,FALSE),"unknown")</f>
        <v>Some high school</v>
      </c>
      <c r="AU272" s="120" t="str">
        <f>IFERROR(VLOOKUP(Table1[RespondentID],'All Data'!$A$3:$CW$999,96,FALSE),"unknown")</f>
        <v>Student</v>
      </c>
      <c r="AV272" s="120" t="str">
        <f>IFERROR(VLOOKUP(Table1[RespondentID],'All Data'!$A$3:$CW$999,97,FALSE),"unknown")</f>
        <v>Yes</v>
      </c>
      <c r="AW272" s="120" t="str">
        <f>IFERROR(VLOOKUP(Table1[RespondentID],'All Data'!$A$3:$CW$999,98,FALSE),"unknown")</f>
        <v>Private/Commercial</v>
      </c>
      <c r="AX272" s="120" t="str">
        <f>IFERROR(VLOOKUP(Table1[RespondentID],'All Data'!$A$3:$CW$999,99,FALSE),"unknown")</f>
        <v>Yes</v>
      </c>
    </row>
    <row r="273" spans="1:50">
      <c r="A273" s="5">
        <v>18016880611</v>
      </c>
      <c r="B273" s="5"/>
      <c r="C273" s="5"/>
      <c r="D273" s="5"/>
      <c r="E273" s="5"/>
      <c r="F273" s="5"/>
      <c r="G273" s="5"/>
      <c r="H273" s="5"/>
      <c r="I273" s="5"/>
      <c r="J273" s="5"/>
      <c r="K273" s="5" t="s">
        <v>25</v>
      </c>
      <c r="L273" s="5"/>
      <c r="M273" s="5"/>
      <c r="N273" s="5"/>
      <c r="O273" s="7"/>
      <c r="P273" s="7">
        <f t="shared" si="72"/>
        <v>1</v>
      </c>
      <c r="Q273" s="9">
        <f t="shared" si="73"/>
        <v>3</v>
      </c>
      <c r="R273" s="7"/>
      <c r="S273" s="7">
        <f t="shared" si="74"/>
        <v>0</v>
      </c>
      <c r="T273" s="7">
        <f t="shared" si="75"/>
        <v>0</v>
      </c>
      <c r="U273" s="7">
        <f t="shared" si="76"/>
        <v>0</v>
      </c>
      <c r="V273" s="119">
        <f t="shared" si="77"/>
        <v>0</v>
      </c>
      <c r="W273" s="119">
        <f t="shared" si="78"/>
        <v>0</v>
      </c>
      <c r="X273" s="119">
        <f t="shared" si="79"/>
        <v>0</v>
      </c>
      <c r="Y273" s="119">
        <f t="shared" si="80"/>
        <v>0</v>
      </c>
      <c r="Z273" s="119">
        <f t="shared" si="81"/>
        <v>0</v>
      </c>
      <c r="AA273" s="119">
        <f t="shared" si="82"/>
        <v>0</v>
      </c>
      <c r="AB273" s="119">
        <f t="shared" si="83"/>
        <v>1</v>
      </c>
      <c r="AC273" s="119">
        <f t="shared" si="84"/>
        <v>0</v>
      </c>
      <c r="AD273" s="119">
        <f t="shared" si="85"/>
        <v>0</v>
      </c>
      <c r="AE273" s="119">
        <f t="shared" si="86"/>
        <v>0</v>
      </c>
      <c r="AF273" s="7"/>
      <c r="AG273" s="7"/>
      <c r="AH273" s="7">
        <f t="shared" si="87"/>
        <v>1</v>
      </c>
      <c r="AI273" s="7">
        <f t="shared" si="88"/>
        <v>1</v>
      </c>
      <c r="AJ273" s="7" t="str">
        <f t="shared" si="89"/>
        <v>Correct</v>
      </c>
      <c r="AK273" s="7"/>
      <c r="AL273" s="120" t="str">
        <f>IFERROR(VLOOKUP(Table1[RespondentID],'All Data'!$A$3:$CO$999,87,FALSE),"unknown")</f>
        <v>Man</v>
      </c>
      <c r="AM273" s="120">
        <f>IFERROR(VLOOKUP(Table1[RespondentID],'All Data'!$A$3:$CO$999,88,FALSE),"unknown")</f>
        <v>16</v>
      </c>
      <c r="AN273" s="120" t="str">
        <f>IFERROR(VLOOKUP(Table1[RespondentID],'All Data'!$A$3:$CO$999,89,FALSE),"unknown")</f>
        <v>Suffolk</v>
      </c>
      <c r="AO273" s="120" t="str">
        <f>IFERROR(VLOOKUP(Table1[RespondentID],'All Data'!$A$3:$CO$999,90,FALSE),"unknown")</f>
        <v>Nesconset, 11767</v>
      </c>
      <c r="AP273" s="120" t="str">
        <f>IFERROR(VLOOKUP(Table1[RespondentID],'All Data'!$A$3:$CO$999,91,FALSE),"unknown")</f>
        <v>White</v>
      </c>
      <c r="AQ273" s="120" t="str">
        <f>IFERROR(VLOOKUP(Table1[RespondentID],'All Data'!$A$3:$CO$999,92,FALSE),"unknown")</f>
        <v>Hispanic or Latino</v>
      </c>
      <c r="AR273" s="120" t="str">
        <f>IFERROR(VLOOKUP(Table1[RespondentID],'All Data'!$A$3:$CO$999,93,FALSE),"unknown")</f>
        <v>English</v>
      </c>
      <c r="AS273" s="120" t="str">
        <f>IFERROR(VLOOKUP(Table1[RespondentID],'All Data'!$A$3:$CW$999,94,FALSE),"unknown")</f>
        <v>Over $125,000</v>
      </c>
      <c r="AT273" s="120" t="str">
        <f>IFERROR(VLOOKUP(Table1[RespondentID],'All Data'!$A$3:$CW$999,95,FALSE),"unknown")</f>
        <v>Some high school</v>
      </c>
      <c r="AU273" s="120" t="str">
        <f>IFERROR(VLOOKUP(Table1[RespondentID],'All Data'!$A$3:$CW$999,96,FALSE),"unknown")</f>
        <v>Student</v>
      </c>
      <c r="AV273" s="120" t="str">
        <f>IFERROR(VLOOKUP(Table1[RespondentID],'All Data'!$A$3:$CW$999,97,FALSE),"unknown")</f>
        <v>Yes</v>
      </c>
      <c r="AW273" s="120" t="str">
        <f>IFERROR(VLOOKUP(Table1[RespondentID],'All Data'!$A$3:$CW$999,98,FALSE),"unknown")</f>
        <v>Private/Commercial</v>
      </c>
      <c r="AX273" s="120" t="str">
        <f>IFERROR(VLOOKUP(Table1[RespondentID],'All Data'!$A$3:$CW$999,99,FALSE),"unknown")</f>
        <v>Yes</v>
      </c>
    </row>
    <row r="274" spans="1:50">
      <c r="A274" s="5">
        <v>18016880556</v>
      </c>
      <c r="B274" s="5"/>
      <c r="C274" s="5"/>
      <c r="D274" s="5"/>
      <c r="E274" s="5"/>
      <c r="F274" s="5"/>
      <c r="G274" s="5"/>
      <c r="H274" s="5"/>
      <c r="I274" s="5"/>
      <c r="J274" s="5"/>
      <c r="K274" s="5" t="s">
        <v>25</v>
      </c>
      <c r="L274" s="5"/>
      <c r="M274" s="5"/>
      <c r="N274" s="5"/>
      <c r="O274" s="7"/>
      <c r="P274" s="7">
        <f t="shared" si="72"/>
        <v>1</v>
      </c>
      <c r="Q274" s="8">
        <f t="shared" si="73"/>
        <v>3</v>
      </c>
      <c r="R274" s="7"/>
      <c r="S274" s="7">
        <f t="shared" si="74"/>
        <v>0</v>
      </c>
      <c r="T274" s="7">
        <f t="shared" si="75"/>
        <v>0</v>
      </c>
      <c r="U274" s="7">
        <f t="shared" si="76"/>
        <v>0</v>
      </c>
      <c r="V274" s="119">
        <f t="shared" si="77"/>
        <v>0</v>
      </c>
      <c r="W274" s="119">
        <f t="shared" si="78"/>
        <v>0</v>
      </c>
      <c r="X274" s="119">
        <f t="shared" si="79"/>
        <v>0</v>
      </c>
      <c r="Y274" s="119">
        <f t="shared" si="80"/>
        <v>0</v>
      </c>
      <c r="Z274" s="119">
        <f t="shared" si="81"/>
        <v>0</v>
      </c>
      <c r="AA274" s="119">
        <f t="shared" si="82"/>
        <v>0</v>
      </c>
      <c r="AB274" s="119">
        <f t="shared" si="83"/>
        <v>1</v>
      </c>
      <c r="AC274" s="119">
        <f t="shared" si="84"/>
        <v>0</v>
      </c>
      <c r="AD274" s="119">
        <f t="shared" si="85"/>
        <v>0</v>
      </c>
      <c r="AE274" s="119">
        <f t="shared" si="86"/>
        <v>0</v>
      </c>
      <c r="AF274" s="7"/>
      <c r="AG274" s="7"/>
      <c r="AH274" s="7">
        <f t="shared" si="87"/>
        <v>1</v>
      </c>
      <c r="AI274" s="7">
        <f t="shared" si="88"/>
        <v>1</v>
      </c>
      <c r="AJ274" s="7" t="str">
        <f t="shared" si="89"/>
        <v>Correct</v>
      </c>
      <c r="AK274" s="7"/>
      <c r="AL274" s="120" t="str">
        <f>IFERROR(VLOOKUP(Table1[RespondentID],'All Data'!$A$3:$CO$999,87,FALSE),"unknown")</f>
        <v>Man</v>
      </c>
      <c r="AM274" s="120">
        <f>IFERROR(VLOOKUP(Table1[RespondentID],'All Data'!$A$3:$CO$999,88,FALSE),"unknown")</f>
        <v>16</v>
      </c>
      <c r="AN274" s="120" t="str">
        <f>IFERROR(VLOOKUP(Table1[RespondentID],'All Data'!$A$3:$CO$999,89,FALSE),"unknown")</f>
        <v>Suffolk</v>
      </c>
      <c r="AO274" s="120" t="str">
        <f>IFERROR(VLOOKUP(Table1[RespondentID],'All Data'!$A$3:$CO$999,90,FALSE),"unknown")</f>
        <v>Nesconset, 11767</v>
      </c>
      <c r="AP274" s="120" t="str">
        <f>IFERROR(VLOOKUP(Table1[RespondentID],'All Data'!$A$3:$CO$999,91,FALSE),"unknown")</f>
        <v>White</v>
      </c>
      <c r="AQ274" s="120" t="str">
        <f>IFERROR(VLOOKUP(Table1[RespondentID],'All Data'!$A$3:$CO$999,92,FALSE),"unknown")</f>
        <v>Hispanic or Latino</v>
      </c>
      <c r="AR274" s="120" t="str">
        <f>IFERROR(VLOOKUP(Table1[RespondentID],'All Data'!$A$3:$CO$999,93,FALSE),"unknown")</f>
        <v>English</v>
      </c>
      <c r="AS274" s="120" t="str">
        <f>IFERROR(VLOOKUP(Table1[RespondentID],'All Data'!$A$3:$CW$999,94,FALSE),"unknown")</f>
        <v>Over $125,000</v>
      </c>
      <c r="AT274" s="120" t="str">
        <f>IFERROR(VLOOKUP(Table1[RespondentID],'All Data'!$A$3:$CW$999,95,FALSE),"unknown")</f>
        <v>Some high school</v>
      </c>
      <c r="AU274" s="120" t="str">
        <f>IFERROR(VLOOKUP(Table1[RespondentID],'All Data'!$A$3:$CW$999,96,FALSE),"unknown")</f>
        <v>Student</v>
      </c>
      <c r="AV274" s="120" t="str">
        <f>IFERROR(VLOOKUP(Table1[RespondentID],'All Data'!$A$3:$CW$999,97,FALSE),"unknown")</f>
        <v>Yes</v>
      </c>
      <c r="AW274" s="120" t="str">
        <f>IFERROR(VLOOKUP(Table1[RespondentID],'All Data'!$A$3:$CW$999,98,FALSE),"unknown")</f>
        <v>Private/Commercial</v>
      </c>
      <c r="AX274" s="120" t="str">
        <f>IFERROR(VLOOKUP(Table1[RespondentID],'All Data'!$A$3:$CW$999,99,FALSE),"unknown")</f>
        <v>Yes</v>
      </c>
    </row>
    <row r="275" spans="1:50">
      <c r="A275" s="5">
        <v>18016880499</v>
      </c>
      <c r="B275" s="5"/>
      <c r="C275" s="5"/>
      <c r="D275" s="5"/>
      <c r="E275" s="5"/>
      <c r="F275" s="5"/>
      <c r="G275" s="5"/>
      <c r="H275" s="5"/>
      <c r="I275" s="5"/>
      <c r="J275" s="5"/>
      <c r="K275" s="5" t="s">
        <v>25</v>
      </c>
      <c r="L275" s="5"/>
      <c r="M275" s="5"/>
      <c r="N275" s="5"/>
      <c r="O275" s="7"/>
      <c r="P275" s="7">
        <f t="shared" si="72"/>
        <v>1</v>
      </c>
      <c r="Q275" s="9">
        <f t="shared" si="73"/>
        <v>3</v>
      </c>
      <c r="R275" s="7"/>
      <c r="S275" s="7">
        <f t="shared" si="74"/>
        <v>0</v>
      </c>
      <c r="T275" s="7">
        <f t="shared" si="75"/>
        <v>0</v>
      </c>
      <c r="U275" s="7">
        <f t="shared" si="76"/>
        <v>0</v>
      </c>
      <c r="V275" s="119">
        <f t="shared" si="77"/>
        <v>0</v>
      </c>
      <c r="W275" s="119">
        <f t="shared" si="78"/>
        <v>0</v>
      </c>
      <c r="X275" s="119">
        <f t="shared" si="79"/>
        <v>0</v>
      </c>
      <c r="Y275" s="119">
        <f t="shared" si="80"/>
        <v>0</v>
      </c>
      <c r="Z275" s="119">
        <f t="shared" si="81"/>
        <v>0</v>
      </c>
      <c r="AA275" s="119">
        <f t="shared" si="82"/>
        <v>0</v>
      </c>
      <c r="AB275" s="119">
        <f t="shared" si="83"/>
        <v>1</v>
      </c>
      <c r="AC275" s="119">
        <f t="shared" si="84"/>
        <v>0</v>
      </c>
      <c r="AD275" s="119">
        <f t="shared" si="85"/>
        <v>0</v>
      </c>
      <c r="AE275" s="119">
        <f t="shared" si="86"/>
        <v>0</v>
      </c>
      <c r="AF275" s="7"/>
      <c r="AG275" s="7"/>
      <c r="AH275" s="7">
        <f t="shared" si="87"/>
        <v>1</v>
      </c>
      <c r="AI275" s="7">
        <f t="shared" si="88"/>
        <v>1</v>
      </c>
      <c r="AJ275" s="7" t="str">
        <f t="shared" si="89"/>
        <v>Correct</v>
      </c>
      <c r="AK275" s="7"/>
      <c r="AL275" s="120" t="str">
        <f>IFERROR(VLOOKUP(Table1[RespondentID],'All Data'!$A$3:$CO$999,87,FALSE),"unknown")</f>
        <v>Man</v>
      </c>
      <c r="AM275" s="120">
        <f>IFERROR(VLOOKUP(Table1[RespondentID],'All Data'!$A$3:$CO$999,88,FALSE),"unknown")</f>
        <v>16</v>
      </c>
      <c r="AN275" s="120" t="str">
        <f>IFERROR(VLOOKUP(Table1[RespondentID],'All Data'!$A$3:$CO$999,89,FALSE),"unknown")</f>
        <v>Suffolk</v>
      </c>
      <c r="AO275" s="120" t="str">
        <f>IFERROR(VLOOKUP(Table1[RespondentID],'All Data'!$A$3:$CO$999,90,FALSE),"unknown")</f>
        <v>Nesconset, 11767</v>
      </c>
      <c r="AP275" s="120" t="str">
        <f>IFERROR(VLOOKUP(Table1[RespondentID],'All Data'!$A$3:$CO$999,91,FALSE),"unknown")</f>
        <v>White</v>
      </c>
      <c r="AQ275" s="120" t="str">
        <f>IFERROR(VLOOKUP(Table1[RespondentID],'All Data'!$A$3:$CO$999,92,FALSE),"unknown")</f>
        <v>Hispanic or Latino</v>
      </c>
      <c r="AR275" s="120" t="str">
        <f>IFERROR(VLOOKUP(Table1[RespondentID],'All Data'!$A$3:$CO$999,93,FALSE),"unknown")</f>
        <v>English</v>
      </c>
      <c r="AS275" s="120" t="str">
        <f>IFERROR(VLOOKUP(Table1[RespondentID],'All Data'!$A$3:$CW$999,94,FALSE),"unknown")</f>
        <v>Over $125,000</v>
      </c>
      <c r="AT275" s="120" t="str">
        <f>IFERROR(VLOOKUP(Table1[RespondentID],'All Data'!$A$3:$CW$999,95,FALSE),"unknown")</f>
        <v>Some high school</v>
      </c>
      <c r="AU275" s="120" t="str">
        <f>IFERROR(VLOOKUP(Table1[RespondentID],'All Data'!$A$3:$CW$999,96,FALSE),"unknown")</f>
        <v>Student</v>
      </c>
      <c r="AV275" s="120" t="str">
        <f>IFERROR(VLOOKUP(Table1[RespondentID],'All Data'!$A$3:$CW$999,97,FALSE),"unknown")</f>
        <v>Yes</v>
      </c>
      <c r="AW275" s="120" t="str">
        <f>IFERROR(VLOOKUP(Table1[RespondentID],'All Data'!$A$3:$CW$999,98,FALSE),"unknown")</f>
        <v>Private/Commercial</v>
      </c>
      <c r="AX275" s="120" t="str">
        <f>IFERROR(VLOOKUP(Table1[RespondentID],'All Data'!$A$3:$CW$999,99,FALSE),"unknown")</f>
        <v>Yes</v>
      </c>
    </row>
    <row r="276" spans="1:50">
      <c r="A276" s="5">
        <v>18016880433</v>
      </c>
      <c r="B276" s="5"/>
      <c r="C276" s="5"/>
      <c r="D276" s="5"/>
      <c r="E276" s="5"/>
      <c r="F276" s="5"/>
      <c r="G276" s="5"/>
      <c r="H276" s="5"/>
      <c r="I276" s="5"/>
      <c r="J276" s="5"/>
      <c r="K276" s="5" t="s">
        <v>25</v>
      </c>
      <c r="L276" s="5"/>
      <c r="M276" s="5"/>
      <c r="N276" s="5"/>
      <c r="O276" s="7"/>
      <c r="P276" s="7">
        <f t="shared" si="72"/>
        <v>1</v>
      </c>
      <c r="Q276" s="8">
        <f t="shared" si="73"/>
        <v>3</v>
      </c>
      <c r="R276" s="7"/>
      <c r="S276" s="7">
        <f t="shared" si="74"/>
        <v>0</v>
      </c>
      <c r="T276" s="7">
        <f t="shared" si="75"/>
        <v>0</v>
      </c>
      <c r="U276" s="7">
        <f t="shared" si="76"/>
        <v>0</v>
      </c>
      <c r="V276" s="119">
        <f t="shared" si="77"/>
        <v>0</v>
      </c>
      <c r="W276" s="119">
        <f t="shared" si="78"/>
        <v>0</v>
      </c>
      <c r="X276" s="119">
        <f t="shared" si="79"/>
        <v>0</v>
      </c>
      <c r="Y276" s="119">
        <f t="shared" si="80"/>
        <v>0</v>
      </c>
      <c r="Z276" s="119">
        <f t="shared" si="81"/>
        <v>0</v>
      </c>
      <c r="AA276" s="119">
        <f t="shared" si="82"/>
        <v>0</v>
      </c>
      <c r="AB276" s="119">
        <f t="shared" si="83"/>
        <v>1</v>
      </c>
      <c r="AC276" s="119">
        <f t="shared" si="84"/>
        <v>0</v>
      </c>
      <c r="AD276" s="119">
        <f t="shared" si="85"/>
        <v>0</v>
      </c>
      <c r="AE276" s="119">
        <f t="shared" si="86"/>
        <v>0</v>
      </c>
      <c r="AF276" s="7"/>
      <c r="AG276" s="7"/>
      <c r="AH276" s="7">
        <f t="shared" si="87"/>
        <v>1</v>
      </c>
      <c r="AI276" s="7">
        <f t="shared" si="88"/>
        <v>1</v>
      </c>
      <c r="AJ276" s="7" t="str">
        <f t="shared" si="89"/>
        <v>Correct</v>
      </c>
      <c r="AK276" s="7"/>
      <c r="AL276" s="120" t="str">
        <f>IFERROR(VLOOKUP(Table1[RespondentID],'All Data'!$A$3:$CO$999,87,FALSE),"unknown")</f>
        <v>Man</v>
      </c>
      <c r="AM276" s="120">
        <f>IFERROR(VLOOKUP(Table1[RespondentID],'All Data'!$A$3:$CO$999,88,FALSE),"unknown")</f>
        <v>16</v>
      </c>
      <c r="AN276" s="120" t="str">
        <f>IFERROR(VLOOKUP(Table1[RespondentID],'All Data'!$A$3:$CO$999,89,FALSE),"unknown")</f>
        <v>Suffolk</v>
      </c>
      <c r="AO276" s="120" t="str">
        <f>IFERROR(VLOOKUP(Table1[RespondentID],'All Data'!$A$3:$CO$999,90,FALSE),"unknown")</f>
        <v>Nesconset, 11767</v>
      </c>
      <c r="AP276" s="120" t="str">
        <f>IFERROR(VLOOKUP(Table1[RespondentID],'All Data'!$A$3:$CO$999,91,FALSE),"unknown")</f>
        <v>White</v>
      </c>
      <c r="AQ276" s="120" t="str">
        <f>IFERROR(VLOOKUP(Table1[RespondentID],'All Data'!$A$3:$CO$999,92,FALSE),"unknown")</f>
        <v>Hispanic or Latino</v>
      </c>
      <c r="AR276" s="120" t="str">
        <f>IFERROR(VLOOKUP(Table1[RespondentID],'All Data'!$A$3:$CO$999,93,FALSE),"unknown")</f>
        <v>English</v>
      </c>
      <c r="AS276" s="120" t="str">
        <f>IFERROR(VLOOKUP(Table1[RespondentID],'All Data'!$A$3:$CW$999,94,FALSE),"unknown")</f>
        <v>Over $125,000</v>
      </c>
      <c r="AT276" s="120" t="str">
        <f>IFERROR(VLOOKUP(Table1[RespondentID],'All Data'!$A$3:$CW$999,95,FALSE),"unknown")</f>
        <v>Some high school</v>
      </c>
      <c r="AU276" s="120" t="str">
        <f>IFERROR(VLOOKUP(Table1[RespondentID],'All Data'!$A$3:$CW$999,96,FALSE),"unknown")</f>
        <v>Student</v>
      </c>
      <c r="AV276" s="120" t="str">
        <f>IFERROR(VLOOKUP(Table1[RespondentID],'All Data'!$A$3:$CW$999,97,FALSE),"unknown")</f>
        <v>Yes</v>
      </c>
      <c r="AW276" s="120" t="str">
        <f>IFERROR(VLOOKUP(Table1[RespondentID],'All Data'!$A$3:$CW$999,98,FALSE),"unknown")</f>
        <v>Private/Commercial</v>
      </c>
      <c r="AX276" s="120" t="str">
        <f>IFERROR(VLOOKUP(Table1[RespondentID],'All Data'!$A$3:$CW$999,99,FALSE),"unknown")</f>
        <v>Yes</v>
      </c>
    </row>
    <row r="277" spans="1:50">
      <c r="A277" s="5">
        <v>18016880374</v>
      </c>
      <c r="B277" s="5"/>
      <c r="C277" s="5"/>
      <c r="D277" s="5"/>
      <c r="E277" s="5"/>
      <c r="F277" s="5"/>
      <c r="G277" s="5"/>
      <c r="H277" s="5"/>
      <c r="I277" s="5"/>
      <c r="J277" s="5"/>
      <c r="K277" s="5" t="s">
        <v>25</v>
      </c>
      <c r="L277" s="5"/>
      <c r="M277" s="5"/>
      <c r="N277" s="5"/>
      <c r="O277" s="7"/>
      <c r="P277" s="7">
        <f t="shared" si="72"/>
        <v>1</v>
      </c>
      <c r="Q277" s="9">
        <f t="shared" si="73"/>
        <v>3</v>
      </c>
      <c r="R277" s="7"/>
      <c r="S277" s="7">
        <f t="shared" si="74"/>
        <v>0</v>
      </c>
      <c r="T277" s="7">
        <f t="shared" si="75"/>
        <v>0</v>
      </c>
      <c r="U277" s="7">
        <f t="shared" si="76"/>
        <v>0</v>
      </c>
      <c r="V277" s="119">
        <f t="shared" si="77"/>
        <v>0</v>
      </c>
      <c r="W277" s="119">
        <f t="shared" si="78"/>
        <v>0</v>
      </c>
      <c r="X277" s="119">
        <f t="shared" si="79"/>
        <v>0</v>
      </c>
      <c r="Y277" s="119">
        <f t="shared" si="80"/>
        <v>0</v>
      </c>
      <c r="Z277" s="119">
        <f t="shared" si="81"/>
        <v>0</v>
      </c>
      <c r="AA277" s="119">
        <f t="shared" si="82"/>
        <v>0</v>
      </c>
      <c r="AB277" s="119">
        <f t="shared" si="83"/>
        <v>1</v>
      </c>
      <c r="AC277" s="119">
        <f t="shared" si="84"/>
        <v>0</v>
      </c>
      <c r="AD277" s="119">
        <f t="shared" si="85"/>
        <v>0</v>
      </c>
      <c r="AE277" s="119">
        <f t="shared" si="86"/>
        <v>0</v>
      </c>
      <c r="AF277" s="7"/>
      <c r="AG277" s="7"/>
      <c r="AH277" s="7">
        <f t="shared" si="87"/>
        <v>1</v>
      </c>
      <c r="AI277" s="7">
        <f t="shared" si="88"/>
        <v>1</v>
      </c>
      <c r="AJ277" s="7" t="str">
        <f t="shared" si="89"/>
        <v>Correct</v>
      </c>
      <c r="AK277" s="7"/>
      <c r="AL277" s="120" t="str">
        <f>IFERROR(VLOOKUP(Table1[RespondentID],'All Data'!$A$3:$CO$999,87,FALSE),"unknown")</f>
        <v>Man</v>
      </c>
      <c r="AM277" s="120">
        <f>IFERROR(VLOOKUP(Table1[RespondentID],'All Data'!$A$3:$CO$999,88,FALSE),"unknown")</f>
        <v>16</v>
      </c>
      <c r="AN277" s="120" t="str">
        <f>IFERROR(VLOOKUP(Table1[RespondentID],'All Data'!$A$3:$CO$999,89,FALSE),"unknown")</f>
        <v>Suffolk</v>
      </c>
      <c r="AO277" s="120" t="str">
        <f>IFERROR(VLOOKUP(Table1[RespondentID],'All Data'!$A$3:$CO$999,90,FALSE),"unknown")</f>
        <v>Nesconset, 11767</v>
      </c>
      <c r="AP277" s="120" t="str">
        <f>IFERROR(VLOOKUP(Table1[RespondentID],'All Data'!$A$3:$CO$999,91,FALSE),"unknown")</f>
        <v>White</v>
      </c>
      <c r="AQ277" s="120" t="str">
        <f>IFERROR(VLOOKUP(Table1[RespondentID],'All Data'!$A$3:$CO$999,92,FALSE),"unknown")</f>
        <v>Hispanic or Latino</v>
      </c>
      <c r="AR277" s="120" t="str">
        <f>IFERROR(VLOOKUP(Table1[RespondentID],'All Data'!$A$3:$CO$999,93,FALSE),"unknown")</f>
        <v>English</v>
      </c>
      <c r="AS277" s="120" t="str">
        <f>IFERROR(VLOOKUP(Table1[RespondentID],'All Data'!$A$3:$CW$999,94,FALSE),"unknown")</f>
        <v>Over $125,000</v>
      </c>
      <c r="AT277" s="120" t="str">
        <f>IFERROR(VLOOKUP(Table1[RespondentID],'All Data'!$A$3:$CW$999,95,FALSE),"unknown")</f>
        <v>Some high school</v>
      </c>
      <c r="AU277" s="120" t="str">
        <f>IFERROR(VLOOKUP(Table1[RespondentID],'All Data'!$A$3:$CW$999,96,FALSE),"unknown")</f>
        <v>Student</v>
      </c>
      <c r="AV277" s="120" t="str">
        <f>IFERROR(VLOOKUP(Table1[RespondentID],'All Data'!$A$3:$CW$999,97,FALSE),"unknown")</f>
        <v>Yes</v>
      </c>
      <c r="AW277" s="120" t="str">
        <f>IFERROR(VLOOKUP(Table1[RespondentID],'All Data'!$A$3:$CW$999,98,FALSE),"unknown")</f>
        <v>Private/Commercial</v>
      </c>
      <c r="AX277" s="120" t="str">
        <f>IFERROR(VLOOKUP(Table1[RespondentID],'All Data'!$A$3:$CW$999,99,FALSE),"unknown")</f>
        <v>Yes</v>
      </c>
    </row>
    <row r="278" spans="1:50">
      <c r="A278" s="5">
        <v>18016880299</v>
      </c>
      <c r="B278" s="5"/>
      <c r="C278" s="5"/>
      <c r="D278" s="5"/>
      <c r="E278" s="5"/>
      <c r="F278" s="5"/>
      <c r="G278" s="5"/>
      <c r="H278" s="5"/>
      <c r="I278" s="5"/>
      <c r="J278" s="5"/>
      <c r="K278" s="5" t="s">
        <v>25</v>
      </c>
      <c r="L278" s="5"/>
      <c r="M278" s="5"/>
      <c r="N278" s="5"/>
      <c r="O278" s="7"/>
      <c r="P278" s="7">
        <f t="shared" si="72"/>
        <v>1</v>
      </c>
      <c r="Q278" s="8">
        <f t="shared" si="73"/>
        <v>3</v>
      </c>
      <c r="R278" s="7"/>
      <c r="S278" s="7">
        <f t="shared" si="74"/>
        <v>0</v>
      </c>
      <c r="T278" s="7">
        <f t="shared" si="75"/>
        <v>0</v>
      </c>
      <c r="U278" s="7">
        <f t="shared" si="76"/>
        <v>0</v>
      </c>
      <c r="V278" s="119">
        <f t="shared" si="77"/>
        <v>0</v>
      </c>
      <c r="W278" s="119">
        <f t="shared" si="78"/>
        <v>0</v>
      </c>
      <c r="X278" s="119">
        <f t="shared" si="79"/>
        <v>0</v>
      </c>
      <c r="Y278" s="119">
        <f t="shared" si="80"/>
        <v>0</v>
      </c>
      <c r="Z278" s="119">
        <f t="shared" si="81"/>
        <v>0</v>
      </c>
      <c r="AA278" s="119">
        <f t="shared" si="82"/>
        <v>0</v>
      </c>
      <c r="AB278" s="119">
        <f t="shared" si="83"/>
        <v>1</v>
      </c>
      <c r="AC278" s="119">
        <f t="shared" si="84"/>
        <v>0</v>
      </c>
      <c r="AD278" s="119">
        <f t="shared" si="85"/>
        <v>0</v>
      </c>
      <c r="AE278" s="119">
        <f t="shared" si="86"/>
        <v>0</v>
      </c>
      <c r="AF278" s="7"/>
      <c r="AG278" s="7"/>
      <c r="AH278" s="7">
        <f t="shared" si="87"/>
        <v>1</v>
      </c>
      <c r="AI278" s="7">
        <f t="shared" si="88"/>
        <v>1</v>
      </c>
      <c r="AJ278" s="7" t="str">
        <f t="shared" si="89"/>
        <v>Correct</v>
      </c>
      <c r="AK278" s="7"/>
      <c r="AL278" s="120" t="str">
        <f>IFERROR(VLOOKUP(Table1[RespondentID],'All Data'!$A$3:$CO$999,87,FALSE),"unknown")</f>
        <v>Man</v>
      </c>
      <c r="AM278" s="120">
        <f>IFERROR(VLOOKUP(Table1[RespondentID],'All Data'!$A$3:$CO$999,88,FALSE),"unknown")</f>
        <v>16</v>
      </c>
      <c r="AN278" s="120" t="str">
        <f>IFERROR(VLOOKUP(Table1[RespondentID],'All Data'!$A$3:$CO$999,89,FALSE),"unknown")</f>
        <v>Suffolk</v>
      </c>
      <c r="AO278" s="120" t="str">
        <f>IFERROR(VLOOKUP(Table1[RespondentID],'All Data'!$A$3:$CO$999,90,FALSE),"unknown")</f>
        <v>Nesconset, 11767</v>
      </c>
      <c r="AP278" s="120" t="str">
        <f>IFERROR(VLOOKUP(Table1[RespondentID],'All Data'!$A$3:$CO$999,91,FALSE),"unknown")</f>
        <v>White</v>
      </c>
      <c r="AQ278" s="120" t="str">
        <f>IFERROR(VLOOKUP(Table1[RespondentID],'All Data'!$A$3:$CO$999,92,FALSE),"unknown")</f>
        <v>Hispanic or Latino</v>
      </c>
      <c r="AR278" s="120" t="str">
        <f>IFERROR(VLOOKUP(Table1[RespondentID],'All Data'!$A$3:$CO$999,93,FALSE),"unknown")</f>
        <v>English</v>
      </c>
      <c r="AS278" s="120" t="str">
        <f>IFERROR(VLOOKUP(Table1[RespondentID],'All Data'!$A$3:$CW$999,94,FALSE),"unknown")</f>
        <v>Over $125,000</v>
      </c>
      <c r="AT278" s="120" t="str">
        <f>IFERROR(VLOOKUP(Table1[RespondentID],'All Data'!$A$3:$CW$999,95,FALSE),"unknown")</f>
        <v>High school graduate</v>
      </c>
      <c r="AU278" s="120" t="str">
        <f>IFERROR(VLOOKUP(Table1[RespondentID],'All Data'!$A$3:$CW$999,96,FALSE),"unknown")</f>
        <v>Student</v>
      </c>
      <c r="AV278" s="120" t="str">
        <f>IFERROR(VLOOKUP(Table1[RespondentID],'All Data'!$A$3:$CW$999,97,FALSE),"unknown")</f>
        <v>Yes</v>
      </c>
      <c r="AW278" s="120" t="str">
        <f>IFERROR(VLOOKUP(Table1[RespondentID],'All Data'!$A$3:$CW$999,98,FALSE),"unknown")</f>
        <v>Private/Commercial</v>
      </c>
      <c r="AX278" s="120" t="str">
        <f>IFERROR(VLOOKUP(Table1[RespondentID],'All Data'!$A$3:$CW$999,99,FALSE),"unknown")</f>
        <v>Yes</v>
      </c>
    </row>
    <row r="279" spans="1:50">
      <c r="A279" s="5">
        <v>18016880225</v>
      </c>
      <c r="B279" s="5"/>
      <c r="C279" s="5"/>
      <c r="D279" s="5"/>
      <c r="E279" s="5"/>
      <c r="F279" s="5"/>
      <c r="G279" s="5"/>
      <c r="H279" s="5"/>
      <c r="I279" s="5"/>
      <c r="J279" s="5"/>
      <c r="K279" s="5" t="s">
        <v>25</v>
      </c>
      <c r="L279" s="5"/>
      <c r="M279" s="5"/>
      <c r="N279" s="5"/>
      <c r="O279" s="7"/>
      <c r="P279" s="7">
        <f t="shared" si="72"/>
        <v>1</v>
      </c>
      <c r="Q279" s="9">
        <f t="shared" si="73"/>
        <v>3</v>
      </c>
      <c r="R279" s="7"/>
      <c r="S279" s="7">
        <f t="shared" si="74"/>
        <v>0</v>
      </c>
      <c r="T279" s="7">
        <f t="shared" si="75"/>
        <v>0</v>
      </c>
      <c r="U279" s="7">
        <f t="shared" si="76"/>
        <v>0</v>
      </c>
      <c r="V279" s="119">
        <f t="shared" si="77"/>
        <v>0</v>
      </c>
      <c r="W279" s="119">
        <f t="shared" si="78"/>
        <v>0</v>
      </c>
      <c r="X279" s="119">
        <f t="shared" si="79"/>
        <v>0</v>
      </c>
      <c r="Y279" s="119">
        <f t="shared" si="80"/>
        <v>0</v>
      </c>
      <c r="Z279" s="119">
        <f t="shared" si="81"/>
        <v>0</v>
      </c>
      <c r="AA279" s="119">
        <f t="shared" si="82"/>
        <v>0</v>
      </c>
      <c r="AB279" s="119">
        <f t="shared" si="83"/>
        <v>1</v>
      </c>
      <c r="AC279" s="119">
        <f t="shared" si="84"/>
        <v>0</v>
      </c>
      <c r="AD279" s="119">
        <f t="shared" si="85"/>
        <v>0</v>
      </c>
      <c r="AE279" s="119">
        <f t="shared" si="86"/>
        <v>0</v>
      </c>
      <c r="AF279" s="7"/>
      <c r="AG279" s="7"/>
      <c r="AH279" s="7">
        <f t="shared" si="87"/>
        <v>1</v>
      </c>
      <c r="AI279" s="7">
        <f t="shared" si="88"/>
        <v>1</v>
      </c>
      <c r="AJ279" s="7" t="str">
        <f t="shared" si="89"/>
        <v>Correct</v>
      </c>
      <c r="AK279" s="7"/>
      <c r="AL279" s="120" t="str">
        <f>IFERROR(VLOOKUP(Table1[RespondentID],'All Data'!$A$3:$CO$999,87,FALSE),"unknown")</f>
        <v>Man</v>
      </c>
      <c r="AM279" s="120">
        <f>IFERROR(VLOOKUP(Table1[RespondentID],'All Data'!$A$3:$CO$999,88,FALSE),"unknown")</f>
        <v>16</v>
      </c>
      <c r="AN279" s="120" t="str">
        <f>IFERROR(VLOOKUP(Table1[RespondentID],'All Data'!$A$3:$CO$999,89,FALSE),"unknown")</f>
        <v>Suffolk</v>
      </c>
      <c r="AO279" s="120" t="str">
        <f>IFERROR(VLOOKUP(Table1[RespondentID],'All Data'!$A$3:$CO$999,90,FALSE),"unknown")</f>
        <v>Nesconset, 11767</v>
      </c>
      <c r="AP279" s="120" t="str">
        <f>IFERROR(VLOOKUP(Table1[RespondentID],'All Data'!$A$3:$CO$999,91,FALSE),"unknown")</f>
        <v>White</v>
      </c>
      <c r="AQ279" s="120" t="str">
        <f>IFERROR(VLOOKUP(Table1[RespondentID],'All Data'!$A$3:$CO$999,92,FALSE),"unknown")</f>
        <v>Hispanic or Latino</v>
      </c>
      <c r="AR279" s="120" t="str">
        <f>IFERROR(VLOOKUP(Table1[RespondentID],'All Data'!$A$3:$CO$999,93,FALSE),"unknown")</f>
        <v>English</v>
      </c>
      <c r="AS279" s="120" t="str">
        <f>IFERROR(VLOOKUP(Table1[RespondentID],'All Data'!$A$3:$CW$999,94,FALSE),"unknown")</f>
        <v>Over $125,000</v>
      </c>
      <c r="AT279" s="120" t="str">
        <f>IFERROR(VLOOKUP(Table1[RespondentID],'All Data'!$A$3:$CW$999,95,FALSE),"unknown")</f>
        <v>Doctorate</v>
      </c>
      <c r="AU279" s="120" t="str">
        <f>IFERROR(VLOOKUP(Table1[RespondentID],'All Data'!$A$3:$CW$999,96,FALSE),"unknown")</f>
        <v>Student</v>
      </c>
      <c r="AV279" s="120" t="str">
        <f>IFERROR(VLOOKUP(Table1[RespondentID],'All Data'!$A$3:$CW$999,97,FALSE),"unknown")</f>
        <v>Yes</v>
      </c>
      <c r="AW279" s="120" t="str">
        <f>IFERROR(VLOOKUP(Table1[RespondentID],'All Data'!$A$3:$CW$999,98,FALSE),"unknown")</f>
        <v>Private/Commercial</v>
      </c>
      <c r="AX279" s="120" t="str">
        <f>IFERROR(VLOOKUP(Table1[RespondentID],'All Data'!$A$3:$CW$999,99,FALSE),"unknown")</f>
        <v>Yes</v>
      </c>
    </row>
    <row r="280" spans="1:50">
      <c r="A280" s="5">
        <v>18016880137</v>
      </c>
      <c r="B280" s="5"/>
      <c r="C280" s="5"/>
      <c r="D280" s="5"/>
      <c r="E280" s="5"/>
      <c r="F280" s="5"/>
      <c r="G280" s="5"/>
      <c r="H280" s="5"/>
      <c r="I280" s="5"/>
      <c r="J280" s="5"/>
      <c r="K280" s="5" t="s">
        <v>25</v>
      </c>
      <c r="L280" s="5"/>
      <c r="M280" s="5"/>
      <c r="N280" s="5"/>
      <c r="O280" s="7"/>
      <c r="P280" s="7">
        <f t="shared" si="72"/>
        <v>1</v>
      </c>
      <c r="Q280" s="8">
        <f t="shared" si="73"/>
        <v>3</v>
      </c>
      <c r="R280" s="7"/>
      <c r="S280" s="7">
        <f t="shared" si="74"/>
        <v>0</v>
      </c>
      <c r="T280" s="7">
        <f t="shared" si="75"/>
        <v>0</v>
      </c>
      <c r="U280" s="7">
        <f t="shared" si="76"/>
        <v>0</v>
      </c>
      <c r="V280" s="119">
        <f t="shared" si="77"/>
        <v>0</v>
      </c>
      <c r="W280" s="119">
        <f t="shared" si="78"/>
        <v>0</v>
      </c>
      <c r="X280" s="119">
        <f t="shared" si="79"/>
        <v>0</v>
      </c>
      <c r="Y280" s="119">
        <f t="shared" si="80"/>
        <v>0</v>
      </c>
      <c r="Z280" s="119">
        <f t="shared" si="81"/>
        <v>0</v>
      </c>
      <c r="AA280" s="119">
        <f t="shared" si="82"/>
        <v>0</v>
      </c>
      <c r="AB280" s="119">
        <f t="shared" si="83"/>
        <v>1</v>
      </c>
      <c r="AC280" s="119">
        <f t="shared" si="84"/>
        <v>0</v>
      </c>
      <c r="AD280" s="119">
        <f t="shared" si="85"/>
        <v>0</v>
      </c>
      <c r="AE280" s="119">
        <f t="shared" si="86"/>
        <v>0</v>
      </c>
      <c r="AF280" s="7"/>
      <c r="AG280" s="7"/>
      <c r="AH280" s="7">
        <f t="shared" si="87"/>
        <v>1</v>
      </c>
      <c r="AI280" s="7">
        <f t="shared" si="88"/>
        <v>1</v>
      </c>
      <c r="AJ280" s="7" t="str">
        <f t="shared" si="89"/>
        <v>Correct</v>
      </c>
      <c r="AK280" s="7"/>
      <c r="AL280" s="120" t="str">
        <f>IFERROR(VLOOKUP(Table1[RespondentID],'All Data'!$A$3:$CO$999,87,FALSE),"unknown")</f>
        <v>Man</v>
      </c>
      <c r="AM280" s="120">
        <f>IFERROR(VLOOKUP(Table1[RespondentID],'All Data'!$A$3:$CO$999,88,FALSE),"unknown")</f>
        <v>16</v>
      </c>
      <c r="AN280" s="120" t="str">
        <f>IFERROR(VLOOKUP(Table1[RespondentID],'All Data'!$A$3:$CO$999,89,FALSE),"unknown")</f>
        <v>Suffolk</v>
      </c>
      <c r="AO280" s="120" t="str">
        <f>IFERROR(VLOOKUP(Table1[RespondentID],'All Data'!$A$3:$CO$999,90,FALSE),"unknown")</f>
        <v>Nesconset, 11767</v>
      </c>
      <c r="AP280" s="120" t="str">
        <f>IFERROR(VLOOKUP(Table1[RespondentID],'All Data'!$A$3:$CO$999,91,FALSE),"unknown")</f>
        <v>White</v>
      </c>
      <c r="AQ280" s="120" t="str">
        <f>IFERROR(VLOOKUP(Table1[RespondentID],'All Data'!$A$3:$CO$999,92,FALSE),"unknown")</f>
        <v>Hispanic or Latino</v>
      </c>
      <c r="AR280" s="120" t="str">
        <f>IFERROR(VLOOKUP(Table1[RespondentID],'All Data'!$A$3:$CO$999,93,FALSE),"unknown")</f>
        <v>English</v>
      </c>
      <c r="AS280" s="120" t="str">
        <f>IFERROR(VLOOKUP(Table1[RespondentID],'All Data'!$A$3:$CW$999,94,FALSE),"unknown")</f>
        <v>Over $125,000</v>
      </c>
      <c r="AT280" s="120" t="str">
        <f>IFERROR(VLOOKUP(Table1[RespondentID],'All Data'!$A$3:$CW$999,95,FALSE),"unknown")</f>
        <v>Doctorate</v>
      </c>
      <c r="AU280" s="120" t="str">
        <f>IFERROR(VLOOKUP(Table1[RespondentID],'All Data'!$A$3:$CW$999,96,FALSE),"unknown")</f>
        <v>Student</v>
      </c>
      <c r="AV280" s="120" t="str">
        <f>IFERROR(VLOOKUP(Table1[RespondentID],'All Data'!$A$3:$CW$999,97,FALSE),"unknown")</f>
        <v>Yes</v>
      </c>
      <c r="AW280" s="120" t="str">
        <f>IFERROR(VLOOKUP(Table1[RespondentID],'All Data'!$A$3:$CW$999,98,FALSE),"unknown")</f>
        <v>Private/Commercial</v>
      </c>
      <c r="AX280" s="120" t="str">
        <f>IFERROR(VLOOKUP(Table1[RespondentID],'All Data'!$A$3:$CW$999,99,FALSE),"unknown")</f>
        <v>Yes</v>
      </c>
    </row>
    <row r="281" spans="1:50">
      <c r="A281" s="5">
        <v>18016878205</v>
      </c>
      <c r="B281" s="5"/>
      <c r="C281" s="5"/>
      <c r="D281" s="5"/>
      <c r="E281" s="5"/>
      <c r="F281" s="5"/>
      <c r="G281" s="5" t="s">
        <v>21</v>
      </c>
      <c r="H281" s="5"/>
      <c r="I281" s="5" t="s">
        <v>23</v>
      </c>
      <c r="J281" s="5" t="s">
        <v>24</v>
      </c>
      <c r="K281" s="5"/>
      <c r="L281" s="5"/>
      <c r="M281" s="5"/>
      <c r="N281" s="5"/>
      <c r="O281" s="7"/>
      <c r="P281" s="7">
        <f t="shared" si="72"/>
        <v>3</v>
      </c>
      <c r="Q281" s="9">
        <f t="shared" si="73"/>
        <v>1</v>
      </c>
      <c r="R281" s="7"/>
      <c r="S281" s="7">
        <f t="shared" si="74"/>
        <v>0</v>
      </c>
      <c r="T281" s="7">
        <f t="shared" si="75"/>
        <v>0</v>
      </c>
      <c r="U281" s="7">
        <f t="shared" si="76"/>
        <v>0</v>
      </c>
      <c r="V281" s="119">
        <f t="shared" si="77"/>
        <v>0</v>
      </c>
      <c r="W281" s="119">
        <f t="shared" si="78"/>
        <v>0</v>
      </c>
      <c r="X281" s="119">
        <f t="shared" si="79"/>
        <v>1</v>
      </c>
      <c r="Y281" s="119">
        <f t="shared" si="80"/>
        <v>0</v>
      </c>
      <c r="Z281" s="119">
        <f t="shared" si="81"/>
        <v>1</v>
      </c>
      <c r="AA281" s="119">
        <f t="shared" si="82"/>
        <v>1</v>
      </c>
      <c r="AB281" s="119">
        <f t="shared" si="83"/>
        <v>0</v>
      </c>
      <c r="AC281" s="119">
        <f t="shared" si="84"/>
        <v>0</v>
      </c>
      <c r="AD281" s="119">
        <f t="shared" si="85"/>
        <v>0</v>
      </c>
      <c r="AE281" s="119">
        <f t="shared" si="86"/>
        <v>0</v>
      </c>
      <c r="AF281" s="7"/>
      <c r="AG281" s="7"/>
      <c r="AH281" s="7">
        <f t="shared" si="87"/>
        <v>3</v>
      </c>
      <c r="AI281" s="7">
        <f t="shared" si="88"/>
        <v>3</v>
      </c>
      <c r="AJ281" s="7" t="str">
        <f t="shared" si="89"/>
        <v>Correct</v>
      </c>
      <c r="AK281" s="7"/>
      <c r="AL281" s="120" t="str">
        <f>IFERROR(VLOOKUP(Table1[RespondentID],'All Data'!$A$3:$CO$999,87,FALSE),"unknown")</f>
        <v>Man</v>
      </c>
      <c r="AM281" s="120">
        <f>IFERROR(VLOOKUP(Table1[RespondentID],'All Data'!$A$3:$CO$999,88,FALSE),"unknown")</f>
        <v>54</v>
      </c>
      <c r="AN281" s="120" t="str">
        <f>IFERROR(VLOOKUP(Table1[RespondentID],'All Data'!$A$3:$CO$999,89,FALSE),"unknown")</f>
        <v>Suffolk</v>
      </c>
      <c r="AO281" s="120" t="str">
        <f>IFERROR(VLOOKUP(Table1[RespondentID],'All Data'!$A$3:$CO$999,90,FALSE),"unknown")</f>
        <v>Commack, 11725</v>
      </c>
      <c r="AP281" s="120" t="str">
        <f>IFERROR(VLOOKUP(Table1[RespondentID],'All Data'!$A$3:$CO$999,91,FALSE),"unknown")</f>
        <v>White</v>
      </c>
      <c r="AQ281" s="120" t="str">
        <f>IFERROR(VLOOKUP(Table1[RespondentID],'All Data'!$A$3:$CO$999,92,FALSE),"unknown")</f>
        <v>Hispanic or Latino</v>
      </c>
      <c r="AR281" s="120" t="str">
        <f>IFERROR(VLOOKUP(Table1[RespondentID],'All Data'!$A$3:$CO$999,93,FALSE),"unknown")</f>
        <v>English</v>
      </c>
      <c r="AS281" s="120" t="str">
        <f>IFERROR(VLOOKUP(Table1[RespondentID],'All Data'!$A$3:$CW$999,94,FALSE),"unknown")</f>
        <v>Over $125,000</v>
      </c>
      <c r="AT281" s="120" t="str">
        <f>IFERROR(VLOOKUP(Table1[RespondentID],'All Data'!$A$3:$CW$999,95,FALSE),"unknown")</f>
        <v>College graduate</v>
      </c>
      <c r="AU281" s="120" t="str">
        <f>IFERROR(VLOOKUP(Table1[RespondentID],'All Data'!$A$3:$CW$999,96,FALSE),"unknown")</f>
        <v>Retired</v>
      </c>
      <c r="AV281" s="120" t="str">
        <f>IFERROR(VLOOKUP(Table1[RespondentID],'All Data'!$A$3:$CW$999,97,FALSE),"unknown")</f>
        <v>Yes</v>
      </c>
      <c r="AW281" s="120" t="str">
        <f>IFERROR(VLOOKUP(Table1[RespondentID],'All Data'!$A$3:$CW$999,98,FALSE),"unknown")</f>
        <v>Medicaid</v>
      </c>
      <c r="AX281" s="120" t="str">
        <f>IFERROR(VLOOKUP(Table1[RespondentID],'All Data'!$A$3:$CW$999,99,FALSE),"unknown")</f>
        <v>Yes</v>
      </c>
    </row>
    <row r="282" spans="1:50">
      <c r="A282" s="5">
        <v>18016878064</v>
      </c>
      <c r="B282" s="5"/>
      <c r="C282" s="5" t="s">
        <v>17</v>
      </c>
      <c r="D282" s="5" t="s">
        <v>18</v>
      </c>
      <c r="E282" s="5"/>
      <c r="F282" s="5"/>
      <c r="G282" s="5"/>
      <c r="H282" s="5"/>
      <c r="I282" s="5"/>
      <c r="J282" s="5" t="s">
        <v>24</v>
      </c>
      <c r="K282" s="5"/>
      <c r="L282" s="5" t="s">
        <v>26</v>
      </c>
      <c r="M282" s="5"/>
      <c r="N282" s="5"/>
      <c r="O282" s="7"/>
      <c r="P282" s="7">
        <f t="shared" si="72"/>
        <v>4</v>
      </c>
      <c r="Q282" s="8">
        <f t="shared" si="73"/>
        <v>0.75</v>
      </c>
      <c r="R282" s="7"/>
      <c r="S282" s="7">
        <f t="shared" si="74"/>
        <v>0</v>
      </c>
      <c r="T282" s="7">
        <f t="shared" si="75"/>
        <v>0.75</v>
      </c>
      <c r="U282" s="7">
        <f t="shared" si="76"/>
        <v>0.75</v>
      </c>
      <c r="V282" s="119">
        <f t="shared" si="77"/>
        <v>0</v>
      </c>
      <c r="W282" s="119">
        <f t="shared" si="78"/>
        <v>0</v>
      </c>
      <c r="X282" s="119">
        <f t="shared" si="79"/>
        <v>0</v>
      </c>
      <c r="Y282" s="119">
        <f t="shared" si="80"/>
        <v>0</v>
      </c>
      <c r="Z282" s="119">
        <f t="shared" si="81"/>
        <v>0</v>
      </c>
      <c r="AA282" s="119">
        <f t="shared" si="82"/>
        <v>0.75</v>
      </c>
      <c r="AB282" s="119">
        <f t="shared" si="83"/>
        <v>0</v>
      </c>
      <c r="AC282" s="119">
        <f t="shared" si="84"/>
        <v>0.75</v>
      </c>
      <c r="AD282" s="119">
        <f t="shared" si="85"/>
        <v>0</v>
      </c>
      <c r="AE282" s="119">
        <f t="shared" si="86"/>
        <v>0</v>
      </c>
      <c r="AF282" s="7"/>
      <c r="AG282" s="7"/>
      <c r="AH282" s="7">
        <f t="shared" si="87"/>
        <v>3</v>
      </c>
      <c r="AI282" s="7">
        <f t="shared" si="88"/>
        <v>4</v>
      </c>
      <c r="AJ282" s="7" t="str">
        <f t="shared" si="89"/>
        <v>Correct</v>
      </c>
      <c r="AK282" s="7"/>
      <c r="AL282" s="120" t="str">
        <f>IFERROR(VLOOKUP(Table1[RespondentID],'All Data'!$A$3:$CO$999,87,FALSE),"unknown")</f>
        <v>Woman</v>
      </c>
      <c r="AM282" s="120">
        <f>IFERROR(VLOOKUP(Table1[RespondentID],'All Data'!$A$3:$CO$999,88,FALSE),"unknown")</f>
        <v>55</v>
      </c>
      <c r="AN282" s="120" t="str">
        <f>IFERROR(VLOOKUP(Table1[RespondentID],'All Data'!$A$3:$CO$999,89,FALSE),"unknown")</f>
        <v>Suffolk</v>
      </c>
      <c r="AO282" s="120" t="str">
        <f>IFERROR(VLOOKUP(Table1[RespondentID],'All Data'!$A$3:$CO$999,90,FALSE),"unknown")</f>
        <v>Commack, 11725</v>
      </c>
      <c r="AP282" s="120" t="str">
        <f>IFERROR(VLOOKUP(Table1[RespondentID],'All Data'!$A$3:$CO$999,91,FALSE),"unknown")</f>
        <v>White</v>
      </c>
      <c r="AQ282" s="120" t="str">
        <f>IFERROR(VLOOKUP(Table1[RespondentID],'All Data'!$A$3:$CO$999,92,FALSE),"unknown")</f>
        <v>Hispanic or Latino</v>
      </c>
      <c r="AR282" s="120" t="str">
        <f>IFERROR(VLOOKUP(Table1[RespondentID],'All Data'!$A$3:$CO$999,93,FALSE),"unknown")</f>
        <v>English, Farsi</v>
      </c>
      <c r="AS282" s="120" t="str">
        <f>IFERROR(VLOOKUP(Table1[RespondentID],'All Data'!$A$3:$CW$999,94,FALSE),"unknown")</f>
        <v>Over $125,000</v>
      </c>
      <c r="AT282" s="120" t="str">
        <f>IFERROR(VLOOKUP(Table1[RespondentID],'All Data'!$A$3:$CW$999,95,FALSE),"unknown")</f>
        <v>College graduate</v>
      </c>
      <c r="AU282" s="120" t="str">
        <f>IFERROR(VLOOKUP(Table1[RespondentID],'All Data'!$A$3:$CW$999,96,FALSE),"unknown")</f>
        <v>Employed for wages</v>
      </c>
      <c r="AV282" s="120" t="str">
        <f>IFERROR(VLOOKUP(Table1[RespondentID],'All Data'!$A$3:$CW$999,97,FALSE),"unknown")</f>
        <v>Yes</v>
      </c>
      <c r="AW282" s="120" t="str">
        <f>IFERROR(VLOOKUP(Table1[RespondentID],'All Data'!$A$3:$CW$999,98,FALSE),"unknown")</f>
        <v>Medicare</v>
      </c>
      <c r="AX282" s="120" t="str">
        <f>IFERROR(VLOOKUP(Table1[RespondentID],'All Data'!$A$3:$CW$999,99,FALSE),"unknown")</f>
        <v>Yes</v>
      </c>
    </row>
    <row r="283" spans="1:50">
      <c r="A283" s="5">
        <v>18016877876</v>
      </c>
      <c r="B283" s="5"/>
      <c r="C283" s="5"/>
      <c r="D283" s="5"/>
      <c r="E283" s="5" t="s">
        <v>19</v>
      </c>
      <c r="F283" s="5" t="s">
        <v>20</v>
      </c>
      <c r="G283" s="5"/>
      <c r="H283" s="5"/>
      <c r="I283" s="5"/>
      <c r="J283" s="5" t="s">
        <v>24</v>
      </c>
      <c r="K283" s="5"/>
      <c r="L283" s="5"/>
      <c r="M283" s="5"/>
      <c r="N283" s="5"/>
      <c r="O283" s="7"/>
      <c r="P283" s="7">
        <f t="shared" si="72"/>
        <v>3</v>
      </c>
      <c r="Q283" s="9">
        <f t="shared" si="73"/>
        <v>1</v>
      </c>
      <c r="R283" s="7"/>
      <c r="S283" s="7">
        <f t="shared" si="74"/>
        <v>0</v>
      </c>
      <c r="T283" s="7">
        <f t="shared" si="75"/>
        <v>0</v>
      </c>
      <c r="U283" s="7">
        <f t="shared" si="76"/>
        <v>0</v>
      </c>
      <c r="V283" s="119">
        <f t="shared" si="77"/>
        <v>1</v>
      </c>
      <c r="W283" s="119">
        <f t="shared" si="78"/>
        <v>1</v>
      </c>
      <c r="X283" s="119">
        <f t="shared" si="79"/>
        <v>0</v>
      </c>
      <c r="Y283" s="119">
        <f t="shared" si="80"/>
        <v>0</v>
      </c>
      <c r="Z283" s="119">
        <f t="shared" si="81"/>
        <v>0</v>
      </c>
      <c r="AA283" s="119">
        <f t="shared" si="82"/>
        <v>1</v>
      </c>
      <c r="AB283" s="119">
        <f t="shared" si="83"/>
        <v>0</v>
      </c>
      <c r="AC283" s="119">
        <f t="shared" si="84"/>
        <v>0</v>
      </c>
      <c r="AD283" s="119">
        <f t="shared" si="85"/>
        <v>0</v>
      </c>
      <c r="AE283" s="119">
        <f t="shared" si="86"/>
        <v>0</v>
      </c>
      <c r="AF283" s="7"/>
      <c r="AG283" s="7"/>
      <c r="AH283" s="7">
        <f t="shared" si="87"/>
        <v>3</v>
      </c>
      <c r="AI283" s="7">
        <f t="shared" si="88"/>
        <v>3</v>
      </c>
      <c r="AJ283" s="7" t="str">
        <f t="shared" si="89"/>
        <v>Correct</v>
      </c>
      <c r="AK283" s="7"/>
      <c r="AL283" s="120" t="str">
        <f>IFERROR(VLOOKUP(Table1[RespondentID],'All Data'!$A$3:$CO$999,87,FALSE),"unknown")</f>
        <v>Woman</v>
      </c>
      <c r="AM283" s="120">
        <f>IFERROR(VLOOKUP(Table1[RespondentID],'All Data'!$A$3:$CO$999,88,FALSE),"unknown")</f>
        <v>50</v>
      </c>
      <c r="AN283" s="120" t="str">
        <f>IFERROR(VLOOKUP(Table1[RespondentID],'All Data'!$A$3:$CO$999,89,FALSE),"unknown")</f>
        <v>Suffolk</v>
      </c>
      <c r="AO283" s="120" t="str">
        <f>IFERROR(VLOOKUP(Table1[RespondentID],'All Data'!$A$3:$CO$999,90,FALSE),"unknown")</f>
        <v>Commack, 11725</v>
      </c>
      <c r="AP283" s="120" t="str">
        <f>IFERROR(VLOOKUP(Table1[RespondentID],'All Data'!$A$3:$CO$999,91,FALSE),"unknown")</f>
        <v>White</v>
      </c>
      <c r="AQ283" s="120" t="str">
        <f>IFERROR(VLOOKUP(Table1[RespondentID],'All Data'!$A$3:$CO$999,92,FALSE),"unknown")</f>
        <v>Hispanic or Latino</v>
      </c>
      <c r="AR283" s="120" t="str">
        <f>IFERROR(VLOOKUP(Table1[RespondentID],'All Data'!$A$3:$CO$999,93,FALSE),"unknown")</f>
        <v>English</v>
      </c>
      <c r="AS283" s="120" t="str">
        <f>IFERROR(VLOOKUP(Table1[RespondentID],'All Data'!$A$3:$CW$999,94,FALSE),"unknown")</f>
        <v>Over $125,000</v>
      </c>
      <c r="AT283" s="120" t="str">
        <f>IFERROR(VLOOKUP(Table1[RespondentID],'All Data'!$A$3:$CW$999,95,FALSE),"unknown")</f>
        <v>College graduate</v>
      </c>
      <c r="AU283" s="120" t="str">
        <f>IFERROR(VLOOKUP(Table1[RespondentID],'All Data'!$A$3:$CW$999,96,FALSE),"unknown")</f>
        <v>Employed for wages</v>
      </c>
      <c r="AV283" s="120" t="str">
        <f>IFERROR(VLOOKUP(Table1[RespondentID],'All Data'!$A$3:$CW$999,97,FALSE),"unknown")</f>
        <v>Yes</v>
      </c>
      <c r="AW283" s="120" t="str">
        <f>IFERROR(VLOOKUP(Table1[RespondentID],'All Data'!$A$3:$CW$999,98,FALSE),"unknown")</f>
        <v>Medicare</v>
      </c>
      <c r="AX283" s="120" t="str">
        <f>IFERROR(VLOOKUP(Table1[RespondentID],'All Data'!$A$3:$CW$999,99,FALSE),"unknown")</f>
        <v>Yes</v>
      </c>
    </row>
    <row r="284" spans="1:50">
      <c r="A284" s="5">
        <v>18016806771</v>
      </c>
      <c r="B284" s="5"/>
      <c r="C284" s="5"/>
      <c r="D284" s="5"/>
      <c r="E284" s="5"/>
      <c r="F284" s="5" t="s">
        <v>20</v>
      </c>
      <c r="G284" s="5"/>
      <c r="H284" s="5"/>
      <c r="I284" s="5" t="s">
        <v>23</v>
      </c>
      <c r="J284" s="5"/>
      <c r="K284" s="5"/>
      <c r="L284" s="5"/>
      <c r="M284" s="5"/>
      <c r="N284" s="5" t="s">
        <v>28</v>
      </c>
      <c r="O284" s="7"/>
      <c r="P284" s="7">
        <f t="shared" si="72"/>
        <v>3</v>
      </c>
      <c r="Q284" s="8">
        <f t="shared" si="73"/>
        <v>1</v>
      </c>
      <c r="R284" s="7"/>
      <c r="S284" s="7">
        <f t="shared" si="74"/>
        <v>0</v>
      </c>
      <c r="T284" s="7">
        <f t="shared" si="75"/>
        <v>0</v>
      </c>
      <c r="U284" s="7">
        <f t="shared" si="76"/>
        <v>0</v>
      </c>
      <c r="V284" s="119">
        <f t="shared" si="77"/>
        <v>0</v>
      </c>
      <c r="W284" s="119">
        <f t="shared" si="78"/>
        <v>1</v>
      </c>
      <c r="X284" s="119">
        <f t="shared" si="79"/>
        <v>0</v>
      </c>
      <c r="Y284" s="119">
        <f t="shared" si="80"/>
        <v>0</v>
      </c>
      <c r="Z284" s="119">
        <f t="shared" si="81"/>
        <v>1</v>
      </c>
      <c r="AA284" s="119">
        <f t="shared" si="82"/>
        <v>0</v>
      </c>
      <c r="AB284" s="119">
        <f t="shared" si="83"/>
        <v>0</v>
      </c>
      <c r="AC284" s="119">
        <f t="shared" si="84"/>
        <v>0</v>
      </c>
      <c r="AD284" s="119">
        <f t="shared" si="85"/>
        <v>0</v>
      </c>
      <c r="AE284" s="119">
        <f t="shared" si="86"/>
        <v>1</v>
      </c>
      <c r="AF284" s="7"/>
      <c r="AG284" s="7"/>
      <c r="AH284" s="7">
        <f t="shared" si="87"/>
        <v>3</v>
      </c>
      <c r="AI284" s="7">
        <f t="shared" si="88"/>
        <v>3</v>
      </c>
      <c r="AJ284" s="7" t="str">
        <f t="shared" si="89"/>
        <v>Correct</v>
      </c>
      <c r="AK284" s="7"/>
      <c r="AL284" s="120" t="str">
        <f>IFERROR(VLOOKUP(Table1[RespondentID],'All Data'!$A$3:$CO$999,87,FALSE),"unknown")</f>
        <v>Man</v>
      </c>
      <c r="AM284" s="120">
        <f>IFERROR(VLOOKUP(Table1[RespondentID],'All Data'!$A$3:$CO$999,88,FALSE),"unknown")</f>
        <v>18</v>
      </c>
      <c r="AN284" s="120" t="str">
        <f>IFERROR(VLOOKUP(Table1[RespondentID],'All Data'!$A$3:$CO$999,89,FALSE),"unknown")</f>
        <v>Suffolk</v>
      </c>
      <c r="AO284" s="120" t="str">
        <f>IFERROR(VLOOKUP(Table1[RespondentID],'All Data'!$A$3:$CO$999,90,FALSE),"unknown")</f>
        <v>Commack, 11725</v>
      </c>
      <c r="AP284" s="120" t="str">
        <f>IFERROR(VLOOKUP(Table1[RespondentID],'All Data'!$A$3:$CO$999,91,FALSE),"unknown")</f>
        <v>White</v>
      </c>
      <c r="AQ284" s="120" t="str">
        <f>IFERROR(VLOOKUP(Table1[RespondentID],'All Data'!$A$3:$CO$999,92,FALSE),"unknown")</f>
        <v>Hispanic or Latino</v>
      </c>
      <c r="AR284" s="120" t="str">
        <f>IFERROR(VLOOKUP(Table1[RespondentID],'All Data'!$A$3:$CO$999,93,FALSE),"unknown")</f>
        <v>English</v>
      </c>
      <c r="AS284" s="120" t="str">
        <f>IFERROR(VLOOKUP(Table1[RespondentID],'All Data'!$A$3:$CW$999,94,FALSE),"unknown")</f>
        <v>$75,000 to $125,000</v>
      </c>
      <c r="AT284" s="120" t="str">
        <f>IFERROR(VLOOKUP(Table1[RespondentID],'All Data'!$A$3:$CW$999,95,FALSE),"unknown")</f>
        <v>High school graduate</v>
      </c>
      <c r="AU284" s="120" t="str">
        <f>IFERROR(VLOOKUP(Table1[RespondentID],'All Data'!$A$3:$CW$999,96,FALSE),"unknown")</f>
        <v>Student</v>
      </c>
      <c r="AV284" s="120" t="str">
        <f>IFERROR(VLOOKUP(Table1[RespondentID],'All Data'!$A$3:$CW$999,97,FALSE),"unknown")</f>
        <v>No</v>
      </c>
      <c r="AW284" s="120" t="str">
        <f>IFERROR(VLOOKUP(Table1[RespondentID],'All Data'!$A$3:$CW$999,98,FALSE),"unknown")</f>
        <v>No Insurance</v>
      </c>
      <c r="AX284" s="120" t="str">
        <f>IFERROR(VLOOKUP(Table1[RespondentID],'All Data'!$A$3:$CW$999,99,FALSE),"unknown")</f>
        <v>Yes</v>
      </c>
    </row>
    <row r="285" spans="1:50">
      <c r="A285" s="5">
        <v>18016769736</v>
      </c>
      <c r="B285" s="5"/>
      <c r="C285" s="5" t="s">
        <v>17</v>
      </c>
      <c r="D285" s="5"/>
      <c r="E285" s="5" t="s">
        <v>19</v>
      </c>
      <c r="F285" s="5"/>
      <c r="G285" s="5"/>
      <c r="H285" s="5"/>
      <c r="I285" s="5" t="s">
        <v>23</v>
      </c>
      <c r="J285" s="5"/>
      <c r="K285" s="5"/>
      <c r="L285" s="5"/>
      <c r="M285" s="5"/>
      <c r="N285" s="5" t="s">
        <v>28</v>
      </c>
      <c r="O285" s="7"/>
      <c r="P285" s="7">
        <f t="shared" si="72"/>
        <v>4</v>
      </c>
      <c r="Q285" s="9">
        <f t="shared" si="73"/>
        <v>0.75</v>
      </c>
      <c r="R285" s="7"/>
      <c r="S285" s="7">
        <f t="shared" si="74"/>
        <v>0</v>
      </c>
      <c r="T285" s="7">
        <f t="shared" si="75"/>
        <v>0.75</v>
      </c>
      <c r="U285" s="7">
        <f t="shared" si="76"/>
        <v>0</v>
      </c>
      <c r="V285" s="119">
        <f t="shared" si="77"/>
        <v>0.75</v>
      </c>
      <c r="W285" s="119">
        <f t="shared" si="78"/>
        <v>0</v>
      </c>
      <c r="X285" s="119">
        <f t="shared" si="79"/>
        <v>0</v>
      </c>
      <c r="Y285" s="119">
        <f t="shared" si="80"/>
        <v>0</v>
      </c>
      <c r="Z285" s="119">
        <f t="shared" si="81"/>
        <v>0.75</v>
      </c>
      <c r="AA285" s="119">
        <f t="shared" si="82"/>
        <v>0</v>
      </c>
      <c r="AB285" s="119">
        <f t="shared" si="83"/>
        <v>0</v>
      </c>
      <c r="AC285" s="119">
        <f t="shared" si="84"/>
        <v>0</v>
      </c>
      <c r="AD285" s="119">
        <f t="shared" si="85"/>
        <v>0</v>
      </c>
      <c r="AE285" s="119">
        <f t="shared" si="86"/>
        <v>0.75</v>
      </c>
      <c r="AF285" s="7"/>
      <c r="AG285" s="7"/>
      <c r="AH285" s="7">
        <f t="shared" si="87"/>
        <v>3</v>
      </c>
      <c r="AI285" s="7">
        <f t="shared" si="88"/>
        <v>4</v>
      </c>
      <c r="AJ285" s="7" t="str">
        <f t="shared" si="89"/>
        <v>Correct</v>
      </c>
      <c r="AK285" s="7"/>
      <c r="AL285" s="120" t="str">
        <f>IFERROR(VLOOKUP(Table1[RespondentID],'All Data'!$A$3:$CO$999,87,FALSE),"unknown")</f>
        <v>Man</v>
      </c>
      <c r="AM285" s="120">
        <f>IFERROR(VLOOKUP(Table1[RespondentID],'All Data'!$A$3:$CO$999,88,FALSE),"unknown")</f>
        <v>17</v>
      </c>
      <c r="AN285" s="120" t="str">
        <f>IFERROR(VLOOKUP(Table1[RespondentID],'All Data'!$A$3:$CO$999,89,FALSE),"unknown")</f>
        <v>Suffolk</v>
      </c>
      <c r="AO285" s="120" t="str">
        <f>IFERROR(VLOOKUP(Table1[RespondentID],'All Data'!$A$3:$CO$999,90,FALSE),"unknown")</f>
        <v>Commack, 11725</v>
      </c>
      <c r="AP285" s="120" t="str">
        <f>IFERROR(VLOOKUP(Table1[RespondentID],'All Data'!$A$3:$CO$999,91,FALSE),"unknown")</f>
        <v>White</v>
      </c>
      <c r="AQ285" s="120" t="str">
        <f>IFERROR(VLOOKUP(Table1[RespondentID],'All Data'!$A$3:$CO$999,92,FALSE),"unknown")</f>
        <v>Hispanic or Latino</v>
      </c>
      <c r="AR285" s="120" t="str">
        <f>IFERROR(VLOOKUP(Table1[RespondentID],'All Data'!$A$3:$CO$999,93,FALSE),"unknown")</f>
        <v>English</v>
      </c>
      <c r="AS285" s="120" t="str">
        <f>IFERROR(VLOOKUP(Table1[RespondentID],'All Data'!$A$3:$CW$999,94,FALSE),"unknown")</f>
        <v>Over $125,000</v>
      </c>
      <c r="AT285" s="120" t="str">
        <f>IFERROR(VLOOKUP(Table1[RespondentID],'All Data'!$A$3:$CW$999,95,FALSE),"unknown")</f>
        <v>High school graduate</v>
      </c>
      <c r="AU285" s="120" t="str">
        <f>IFERROR(VLOOKUP(Table1[RespondentID],'All Data'!$A$3:$CW$999,96,FALSE),"unknown")</f>
        <v>Employed for wages</v>
      </c>
      <c r="AV285" s="120" t="str">
        <f>IFERROR(VLOOKUP(Table1[RespondentID],'All Data'!$A$3:$CW$999,97,FALSE),"unknown")</f>
        <v>Yes</v>
      </c>
      <c r="AW285" s="120" t="str">
        <f>IFERROR(VLOOKUP(Table1[RespondentID],'All Data'!$A$3:$CW$999,98,FALSE),"unknown")</f>
        <v>Medicare</v>
      </c>
      <c r="AX285" s="120" t="str">
        <f>IFERROR(VLOOKUP(Table1[RespondentID],'All Data'!$A$3:$CW$999,99,FALSE),"unknown")</f>
        <v>Yes</v>
      </c>
    </row>
    <row r="286" spans="1:50">
      <c r="A286" s="5">
        <v>18016765374</v>
      </c>
      <c r="B286" s="5"/>
      <c r="C286" s="5"/>
      <c r="D286" s="5"/>
      <c r="E286" s="5"/>
      <c r="F286" s="5"/>
      <c r="G286" s="5"/>
      <c r="H286" s="5"/>
      <c r="I286" s="5"/>
      <c r="J286" s="5"/>
      <c r="K286" s="5" t="s">
        <v>25</v>
      </c>
      <c r="L286" s="5"/>
      <c r="M286" s="5"/>
      <c r="N286" s="5"/>
      <c r="O286" s="7"/>
      <c r="P286" s="7">
        <f t="shared" si="72"/>
        <v>1</v>
      </c>
      <c r="Q286" s="8">
        <f t="shared" si="73"/>
        <v>3</v>
      </c>
      <c r="R286" s="7"/>
      <c r="S286" s="7">
        <f t="shared" si="74"/>
        <v>0</v>
      </c>
      <c r="T286" s="7">
        <f t="shared" si="75"/>
        <v>0</v>
      </c>
      <c r="U286" s="7">
        <f t="shared" si="76"/>
        <v>0</v>
      </c>
      <c r="V286" s="119">
        <f t="shared" si="77"/>
        <v>0</v>
      </c>
      <c r="W286" s="119">
        <f t="shared" si="78"/>
        <v>0</v>
      </c>
      <c r="X286" s="119">
        <f t="shared" si="79"/>
        <v>0</v>
      </c>
      <c r="Y286" s="119">
        <f t="shared" si="80"/>
        <v>0</v>
      </c>
      <c r="Z286" s="119">
        <f t="shared" si="81"/>
        <v>0</v>
      </c>
      <c r="AA286" s="119">
        <f t="shared" si="82"/>
        <v>0</v>
      </c>
      <c r="AB286" s="119">
        <f t="shared" si="83"/>
        <v>1</v>
      </c>
      <c r="AC286" s="119">
        <f t="shared" si="84"/>
        <v>0</v>
      </c>
      <c r="AD286" s="119">
        <f t="shared" si="85"/>
        <v>0</v>
      </c>
      <c r="AE286" s="119">
        <f t="shared" si="86"/>
        <v>0</v>
      </c>
      <c r="AF286" s="7"/>
      <c r="AG286" s="7"/>
      <c r="AH286" s="7">
        <f t="shared" si="87"/>
        <v>1</v>
      </c>
      <c r="AI286" s="7">
        <f t="shared" si="88"/>
        <v>1</v>
      </c>
      <c r="AJ286" s="7" t="str">
        <f t="shared" si="89"/>
        <v>Correct</v>
      </c>
      <c r="AK286" s="7"/>
      <c r="AL286" s="120" t="str">
        <f>IFERROR(VLOOKUP(Table1[RespondentID],'All Data'!$A$3:$CO$999,87,FALSE),"unknown")</f>
        <v>Man</v>
      </c>
      <c r="AM286" s="120">
        <f>IFERROR(VLOOKUP(Table1[RespondentID],'All Data'!$A$3:$CO$999,88,FALSE),"unknown")</f>
        <v>16</v>
      </c>
      <c r="AN286" s="120" t="str">
        <f>IFERROR(VLOOKUP(Table1[RespondentID],'All Data'!$A$3:$CO$999,89,FALSE),"unknown")</f>
        <v>Suffolk</v>
      </c>
      <c r="AO286" s="120" t="str">
        <f>IFERROR(VLOOKUP(Table1[RespondentID],'All Data'!$A$3:$CO$999,90,FALSE),"unknown")</f>
        <v>Nesconset, 11767</v>
      </c>
      <c r="AP286" s="120" t="str">
        <f>IFERROR(VLOOKUP(Table1[RespondentID],'All Data'!$A$3:$CO$999,91,FALSE),"unknown")</f>
        <v>White</v>
      </c>
      <c r="AQ286" s="120" t="str">
        <f>IFERROR(VLOOKUP(Table1[RespondentID],'All Data'!$A$3:$CO$999,92,FALSE),"unknown")</f>
        <v>Hispanic or Latino</v>
      </c>
      <c r="AR286" s="120" t="str">
        <f>IFERROR(VLOOKUP(Table1[RespondentID],'All Data'!$A$3:$CO$999,93,FALSE),"unknown")</f>
        <v>English</v>
      </c>
      <c r="AS286" s="120" t="str">
        <f>IFERROR(VLOOKUP(Table1[RespondentID],'All Data'!$A$3:$CW$999,94,FALSE),"unknown")</f>
        <v>Over $125,000</v>
      </c>
      <c r="AT286" s="120" t="str">
        <f>IFERROR(VLOOKUP(Table1[RespondentID],'All Data'!$A$3:$CW$999,95,FALSE),"unknown")</f>
        <v>Graduate school</v>
      </c>
      <c r="AU286" s="120" t="str">
        <f>IFERROR(VLOOKUP(Table1[RespondentID],'All Data'!$A$3:$CW$999,96,FALSE),"unknown")</f>
        <v>Student</v>
      </c>
      <c r="AV286" s="120" t="str">
        <f>IFERROR(VLOOKUP(Table1[RespondentID],'All Data'!$A$3:$CW$999,97,FALSE),"unknown")</f>
        <v>Yes</v>
      </c>
      <c r="AW286" s="120" t="str">
        <f>IFERROR(VLOOKUP(Table1[RespondentID],'All Data'!$A$3:$CW$999,98,FALSE),"unknown")</f>
        <v>Private/Commercial</v>
      </c>
      <c r="AX286" s="120" t="str">
        <f>IFERROR(VLOOKUP(Table1[RespondentID],'All Data'!$A$3:$CW$999,99,FALSE),"unknown")</f>
        <v>Yes</v>
      </c>
    </row>
    <row r="287" spans="1:50">
      <c r="A287" s="5">
        <v>18016764813</v>
      </c>
      <c r="B287" s="5"/>
      <c r="C287" s="5"/>
      <c r="D287" s="5"/>
      <c r="E287" s="5"/>
      <c r="F287" s="5"/>
      <c r="G287" s="5"/>
      <c r="H287" s="5"/>
      <c r="I287" s="5"/>
      <c r="J287" s="5"/>
      <c r="K287" s="5" t="s">
        <v>25</v>
      </c>
      <c r="L287" s="5"/>
      <c r="M287" s="5"/>
      <c r="N287" s="5"/>
      <c r="O287" s="7"/>
      <c r="P287" s="7">
        <f t="shared" si="72"/>
        <v>1</v>
      </c>
      <c r="Q287" s="9">
        <f t="shared" si="73"/>
        <v>3</v>
      </c>
      <c r="R287" s="7"/>
      <c r="S287" s="7">
        <f t="shared" si="74"/>
        <v>0</v>
      </c>
      <c r="T287" s="7">
        <f t="shared" si="75"/>
        <v>0</v>
      </c>
      <c r="U287" s="7">
        <f t="shared" si="76"/>
        <v>0</v>
      </c>
      <c r="V287" s="119">
        <f t="shared" si="77"/>
        <v>0</v>
      </c>
      <c r="W287" s="119">
        <f t="shared" si="78"/>
        <v>0</v>
      </c>
      <c r="X287" s="119">
        <f t="shared" si="79"/>
        <v>0</v>
      </c>
      <c r="Y287" s="119">
        <f t="shared" si="80"/>
        <v>0</v>
      </c>
      <c r="Z287" s="119">
        <f t="shared" si="81"/>
        <v>0</v>
      </c>
      <c r="AA287" s="119">
        <f t="shared" si="82"/>
        <v>0</v>
      </c>
      <c r="AB287" s="119">
        <f t="shared" si="83"/>
        <v>1</v>
      </c>
      <c r="AC287" s="119">
        <f t="shared" si="84"/>
        <v>0</v>
      </c>
      <c r="AD287" s="119">
        <f t="shared" si="85"/>
        <v>0</v>
      </c>
      <c r="AE287" s="119">
        <f t="shared" si="86"/>
        <v>0</v>
      </c>
      <c r="AF287" s="7"/>
      <c r="AG287" s="7"/>
      <c r="AH287" s="7">
        <f t="shared" si="87"/>
        <v>1</v>
      </c>
      <c r="AI287" s="7">
        <f t="shared" si="88"/>
        <v>1</v>
      </c>
      <c r="AJ287" s="7" t="str">
        <f t="shared" si="89"/>
        <v>Correct</v>
      </c>
      <c r="AK287" s="7"/>
      <c r="AL287" s="120" t="str">
        <f>IFERROR(VLOOKUP(Table1[RespondentID],'All Data'!$A$3:$CO$999,87,FALSE),"unknown")</f>
        <v>Man</v>
      </c>
      <c r="AM287" s="120">
        <f>IFERROR(VLOOKUP(Table1[RespondentID],'All Data'!$A$3:$CO$999,88,FALSE),"unknown")</f>
        <v>16</v>
      </c>
      <c r="AN287" s="120" t="str">
        <f>IFERROR(VLOOKUP(Table1[RespondentID],'All Data'!$A$3:$CO$999,89,FALSE),"unknown")</f>
        <v>Suffolk</v>
      </c>
      <c r="AO287" s="120" t="str">
        <f>IFERROR(VLOOKUP(Table1[RespondentID],'All Data'!$A$3:$CO$999,90,FALSE),"unknown")</f>
        <v>Nesconset, 11767</v>
      </c>
      <c r="AP287" s="120" t="str">
        <f>IFERROR(VLOOKUP(Table1[RespondentID],'All Data'!$A$3:$CO$999,91,FALSE),"unknown")</f>
        <v>White</v>
      </c>
      <c r="AQ287" s="120" t="str">
        <f>IFERROR(VLOOKUP(Table1[RespondentID],'All Data'!$A$3:$CO$999,92,FALSE),"unknown")</f>
        <v>Hispanic or Latino</v>
      </c>
      <c r="AR287" s="120" t="str">
        <f>IFERROR(VLOOKUP(Table1[RespondentID],'All Data'!$A$3:$CO$999,93,FALSE),"unknown")</f>
        <v>English</v>
      </c>
      <c r="AS287" s="120" t="str">
        <f>IFERROR(VLOOKUP(Table1[RespondentID],'All Data'!$A$3:$CW$999,94,FALSE),"unknown")</f>
        <v>Over $125,000</v>
      </c>
      <c r="AT287" s="120" t="str">
        <f>IFERROR(VLOOKUP(Table1[RespondentID],'All Data'!$A$3:$CW$999,95,FALSE),"unknown")</f>
        <v>College graduate</v>
      </c>
      <c r="AU287" s="120" t="str">
        <f>IFERROR(VLOOKUP(Table1[RespondentID],'All Data'!$A$3:$CW$999,96,FALSE),"unknown")</f>
        <v>Student</v>
      </c>
      <c r="AV287" s="120" t="str">
        <f>IFERROR(VLOOKUP(Table1[RespondentID],'All Data'!$A$3:$CW$999,97,FALSE),"unknown")</f>
        <v>Yes</v>
      </c>
      <c r="AW287" s="120" t="str">
        <f>IFERROR(VLOOKUP(Table1[RespondentID],'All Data'!$A$3:$CW$999,98,FALSE),"unknown")</f>
        <v>Private/Commercial</v>
      </c>
      <c r="AX287" s="120" t="str">
        <f>IFERROR(VLOOKUP(Table1[RespondentID],'All Data'!$A$3:$CW$999,99,FALSE),"unknown")</f>
        <v>Yes</v>
      </c>
    </row>
    <row r="288" spans="1:50">
      <c r="A288" s="5">
        <v>18016645165</v>
      </c>
      <c r="B288" s="5"/>
      <c r="C288" s="5"/>
      <c r="D288" s="5"/>
      <c r="E288" s="5"/>
      <c r="F288" s="5"/>
      <c r="G288" s="5" t="s">
        <v>21</v>
      </c>
      <c r="H288" s="5"/>
      <c r="I288" s="5"/>
      <c r="J288" s="5"/>
      <c r="K288" s="5"/>
      <c r="L288" s="5"/>
      <c r="M288" s="5"/>
      <c r="N288" s="5"/>
      <c r="O288" s="7"/>
      <c r="P288" s="7">
        <f t="shared" si="72"/>
        <v>1</v>
      </c>
      <c r="Q288" s="8">
        <f t="shared" si="73"/>
        <v>3</v>
      </c>
      <c r="R288" s="7"/>
      <c r="S288" s="7">
        <f t="shared" si="74"/>
        <v>0</v>
      </c>
      <c r="T288" s="7">
        <f t="shared" si="75"/>
        <v>0</v>
      </c>
      <c r="U288" s="7">
        <f t="shared" si="76"/>
        <v>0</v>
      </c>
      <c r="V288" s="119">
        <f t="shared" si="77"/>
        <v>0</v>
      </c>
      <c r="W288" s="119">
        <f t="shared" si="78"/>
        <v>0</v>
      </c>
      <c r="X288" s="119">
        <f t="shared" si="79"/>
        <v>1</v>
      </c>
      <c r="Y288" s="119">
        <f t="shared" si="80"/>
        <v>0</v>
      </c>
      <c r="Z288" s="119">
        <f t="shared" si="81"/>
        <v>0</v>
      </c>
      <c r="AA288" s="119">
        <f t="shared" si="82"/>
        <v>0</v>
      </c>
      <c r="AB288" s="119">
        <f t="shared" si="83"/>
        <v>0</v>
      </c>
      <c r="AC288" s="119">
        <f t="shared" si="84"/>
        <v>0</v>
      </c>
      <c r="AD288" s="119">
        <f t="shared" si="85"/>
        <v>0</v>
      </c>
      <c r="AE288" s="119">
        <f t="shared" si="86"/>
        <v>0</v>
      </c>
      <c r="AF288" s="7"/>
      <c r="AG288" s="7"/>
      <c r="AH288" s="7">
        <f t="shared" si="87"/>
        <v>1</v>
      </c>
      <c r="AI288" s="7">
        <f t="shared" si="88"/>
        <v>1</v>
      </c>
      <c r="AJ288" s="7" t="str">
        <f t="shared" si="89"/>
        <v>Correct</v>
      </c>
      <c r="AK288" s="7"/>
      <c r="AL288" s="120" t="str">
        <f>IFERROR(VLOOKUP(Table1[RespondentID],'All Data'!$A$3:$CO$999,87,FALSE),"unknown")</f>
        <v>Woman</v>
      </c>
      <c r="AM288" s="120">
        <f>IFERROR(VLOOKUP(Table1[RespondentID],'All Data'!$A$3:$CO$999,88,FALSE),"unknown")</f>
        <v>35</v>
      </c>
      <c r="AN288" s="120" t="str">
        <f>IFERROR(VLOOKUP(Table1[RespondentID],'All Data'!$A$3:$CO$999,89,FALSE),"unknown")</f>
        <v>Queens</v>
      </c>
      <c r="AO288" s="120">
        <f>IFERROR(VLOOKUP(Table1[RespondentID],'All Data'!$A$3:$CO$999,90,FALSE),"unknown")</f>
        <v>11375</v>
      </c>
      <c r="AP288" s="120" t="str">
        <f>IFERROR(VLOOKUP(Table1[RespondentID],'All Data'!$A$3:$CO$999,91,FALSE),"unknown")</f>
        <v>American Indian and Alaska Native</v>
      </c>
      <c r="AQ288" s="120" t="str">
        <f>IFERROR(VLOOKUP(Table1[RespondentID],'All Data'!$A$3:$CO$999,92,FALSE),"unknown")</f>
        <v>Hispanic or Latino</v>
      </c>
      <c r="AR288" s="120" t="str">
        <f>IFERROR(VLOOKUP(Table1[RespondentID],'All Data'!$A$3:$CO$999,93,FALSE),"unknown")</f>
        <v>English, Korean</v>
      </c>
      <c r="AS288" s="120" t="str">
        <f>IFERROR(VLOOKUP(Table1[RespondentID],'All Data'!$A$3:$CW$999,94,FALSE),"unknown")</f>
        <v>Over $125,000</v>
      </c>
      <c r="AT288" s="120" t="str">
        <f>IFERROR(VLOOKUP(Table1[RespondentID],'All Data'!$A$3:$CW$999,95,FALSE),"unknown")</f>
        <v>Doctorate</v>
      </c>
      <c r="AU288" s="120" t="str">
        <f>IFERROR(VLOOKUP(Table1[RespondentID],'All Data'!$A$3:$CW$999,96,FALSE),"unknown")</f>
        <v>Employed for wages</v>
      </c>
      <c r="AV288" s="120" t="str">
        <f>IFERROR(VLOOKUP(Table1[RespondentID],'All Data'!$A$3:$CW$999,97,FALSE),"unknown")</f>
        <v>Yes</v>
      </c>
      <c r="AW288" s="120" t="str">
        <f>IFERROR(VLOOKUP(Table1[RespondentID],'All Data'!$A$3:$CW$999,98,FALSE),"unknown")</f>
        <v>Private/Commercial</v>
      </c>
      <c r="AX288" s="120" t="str">
        <f>IFERROR(VLOOKUP(Table1[RespondentID],'All Data'!$A$3:$CW$999,99,FALSE),"unknown")</f>
        <v>Yes</v>
      </c>
    </row>
    <row r="289" spans="1:50">
      <c r="A289" s="5">
        <v>18016455302</v>
      </c>
      <c r="B289" s="5"/>
      <c r="C289" s="5" t="s">
        <v>17</v>
      </c>
      <c r="D289" s="5"/>
      <c r="E289" s="5" t="s">
        <v>19</v>
      </c>
      <c r="F289" s="5"/>
      <c r="G289" s="5"/>
      <c r="H289" s="5"/>
      <c r="I289" s="5"/>
      <c r="J289" s="5"/>
      <c r="K289" s="5" t="s">
        <v>25</v>
      </c>
      <c r="L289" s="5"/>
      <c r="M289" s="5"/>
      <c r="N289" s="5"/>
      <c r="O289" s="7"/>
      <c r="P289" s="7">
        <f t="shared" si="72"/>
        <v>3</v>
      </c>
      <c r="Q289" s="9">
        <f t="shared" si="73"/>
        <v>1</v>
      </c>
      <c r="R289" s="7"/>
      <c r="S289" s="7">
        <f t="shared" si="74"/>
        <v>0</v>
      </c>
      <c r="T289" s="7">
        <f t="shared" si="75"/>
        <v>1</v>
      </c>
      <c r="U289" s="7">
        <f t="shared" si="76"/>
        <v>0</v>
      </c>
      <c r="V289" s="119">
        <f t="shared" si="77"/>
        <v>1</v>
      </c>
      <c r="W289" s="119">
        <f t="shared" si="78"/>
        <v>0</v>
      </c>
      <c r="X289" s="119">
        <f t="shared" si="79"/>
        <v>0</v>
      </c>
      <c r="Y289" s="119">
        <f t="shared" si="80"/>
        <v>0</v>
      </c>
      <c r="Z289" s="119">
        <f t="shared" si="81"/>
        <v>0</v>
      </c>
      <c r="AA289" s="119">
        <f t="shared" si="82"/>
        <v>0</v>
      </c>
      <c r="AB289" s="119">
        <f t="shared" si="83"/>
        <v>1</v>
      </c>
      <c r="AC289" s="119">
        <f t="shared" si="84"/>
        <v>0</v>
      </c>
      <c r="AD289" s="119">
        <f t="shared" si="85"/>
        <v>0</v>
      </c>
      <c r="AE289" s="119">
        <f t="shared" si="86"/>
        <v>0</v>
      </c>
      <c r="AF289" s="7"/>
      <c r="AG289" s="7"/>
      <c r="AH289" s="7">
        <f t="shared" si="87"/>
        <v>3</v>
      </c>
      <c r="AI289" s="7">
        <f t="shared" si="88"/>
        <v>3</v>
      </c>
      <c r="AJ289" s="7" t="str">
        <f t="shared" si="89"/>
        <v>Correct</v>
      </c>
      <c r="AK289" s="7"/>
      <c r="AL289" s="120" t="str">
        <f>IFERROR(VLOOKUP(Table1[RespondentID],'All Data'!$A$3:$CO$999,87,FALSE),"unknown")</f>
        <v>Man</v>
      </c>
      <c r="AM289" s="120">
        <f>IFERROR(VLOOKUP(Table1[RespondentID],'All Data'!$A$3:$CO$999,88,FALSE),"unknown")</f>
        <v>21</v>
      </c>
      <c r="AN289" s="120" t="str">
        <f>IFERROR(VLOOKUP(Table1[RespondentID],'All Data'!$A$3:$CO$999,89,FALSE),"unknown")</f>
        <v>Suffolk</v>
      </c>
      <c r="AO289" s="120" t="str">
        <f>IFERROR(VLOOKUP(Table1[RespondentID],'All Data'!$A$3:$CO$999,90,FALSE),"unknown")</f>
        <v>Lindenhurst, 11757</v>
      </c>
      <c r="AP289" s="120" t="str">
        <f>IFERROR(VLOOKUP(Table1[RespondentID],'All Data'!$A$3:$CO$999,91,FALSE),"unknown")</f>
        <v>White</v>
      </c>
      <c r="AQ289" s="120" t="str">
        <f>IFERROR(VLOOKUP(Table1[RespondentID],'All Data'!$A$3:$CO$999,92,FALSE),"unknown")</f>
        <v>Not Hispanic or Latino</v>
      </c>
      <c r="AR289" s="120" t="str">
        <f>IFERROR(VLOOKUP(Table1[RespondentID],'All Data'!$A$3:$CO$999,93,FALSE),"unknown")</f>
        <v>Spanish</v>
      </c>
      <c r="AS289" s="120" t="str">
        <f>IFERROR(VLOOKUP(Table1[RespondentID],'All Data'!$A$3:$CW$999,94,FALSE),"unknown")</f>
        <v>$75,000 to $125,000</v>
      </c>
      <c r="AT289" s="120" t="str">
        <f>IFERROR(VLOOKUP(Table1[RespondentID],'All Data'!$A$3:$CW$999,95,FALSE),"unknown")</f>
        <v>Some college</v>
      </c>
      <c r="AU289" s="120" t="str">
        <f>IFERROR(VLOOKUP(Table1[RespondentID],'All Data'!$A$3:$CW$999,96,FALSE),"unknown")</f>
        <v>Student</v>
      </c>
      <c r="AV289" s="120" t="str">
        <f>IFERROR(VLOOKUP(Table1[RespondentID],'All Data'!$A$3:$CW$999,97,FALSE),"unknown")</f>
        <v>Yes</v>
      </c>
      <c r="AW289" s="120" t="str">
        <f>IFERROR(VLOOKUP(Table1[RespondentID],'All Data'!$A$3:$CW$999,98,FALSE),"unknown")</f>
        <v>Medicare</v>
      </c>
      <c r="AX289" s="120" t="str">
        <f>IFERROR(VLOOKUP(Table1[RespondentID],'All Data'!$A$3:$CW$999,99,FALSE),"unknown")</f>
        <v>Yes</v>
      </c>
    </row>
    <row r="290" spans="1:50">
      <c r="A290" s="5">
        <v>18016436237</v>
      </c>
      <c r="B290" s="5"/>
      <c r="C290" s="5" t="s">
        <v>17</v>
      </c>
      <c r="D290" s="5"/>
      <c r="E290" s="5"/>
      <c r="F290" s="5"/>
      <c r="G290" s="5"/>
      <c r="H290" s="5" t="s">
        <v>22</v>
      </c>
      <c r="I290" s="5" t="s">
        <v>23</v>
      </c>
      <c r="J290" s="5"/>
      <c r="K290" s="5"/>
      <c r="L290" s="5" t="s">
        <v>26</v>
      </c>
      <c r="M290" s="5"/>
      <c r="N290" s="5"/>
      <c r="O290" s="7"/>
      <c r="P290" s="7">
        <f t="shared" si="72"/>
        <v>4</v>
      </c>
      <c r="Q290" s="8">
        <f t="shared" si="73"/>
        <v>0.75</v>
      </c>
      <c r="R290" s="7"/>
      <c r="S290" s="7">
        <f t="shared" si="74"/>
        <v>0</v>
      </c>
      <c r="T290" s="7">
        <f t="shared" si="75"/>
        <v>0.75</v>
      </c>
      <c r="U290" s="7">
        <f t="shared" si="76"/>
        <v>0</v>
      </c>
      <c r="V290" s="119">
        <f t="shared" si="77"/>
        <v>0</v>
      </c>
      <c r="W290" s="119">
        <f t="shared" si="78"/>
        <v>0</v>
      </c>
      <c r="X290" s="119">
        <f t="shared" si="79"/>
        <v>0</v>
      </c>
      <c r="Y290" s="119">
        <f t="shared" si="80"/>
        <v>0.75</v>
      </c>
      <c r="Z290" s="119">
        <f t="shared" si="81"/>
        <v>0.75</v>
      </c>
      <c r="AA290" s="119">
        <f t="shared" si="82"/>
        <v>0</v>
      </c>
      <c r="AB290" s="119">
        <f t="shared" si="83"/>
        <v>0</v>
      </c>
      <c r="AC290" s="119">
        <f t="shared" si="84"/>
        <v>0.75</v>
      </c>
      <c r="AD290" s="119">
        <f t="shared" si="85"/>
        <v>0</v>
      </c>
      <c r="AE290" s="119">
        <f t="shared" si="86"/>
        <v>0</v>
      </c>
      <c r="AF290" s="7"/>
      <c r="AG290" s="7"/>
      <c r="AH290" s="7">
        <f t="shared" si="87"/>
        <v>3</v>
      </c>
      <c r="AI290" s="7">
        <f t="shared" si="88"/>
        <v>4</v>
      </c>
      <c r="AJ290" s="7" t="str">
        <f t="shared" si="89"/>
        <v>Correct</v>
      </c>
      <c r="AK290" s="7"/>
      <c r="AL290" s="120" t="str">
        <f>IFERROR(VLOOKUP(Table1[RespondentID],'All Data'!$A$3:$CO$999,87,FALSE),"unknown")</f>
        <v>Man</v>
      </c>
      <c r="AM290" s="120">
        <f>IFERROR(VLOOKUP(Table1[RespondentID],'All Data'!$A$3:$CO$999,88,FALSE),"unknown")</f>
        <v>18</v>
      </c>
      <c r="AN290" s="120" t="str">
        <f>IFERROR(VLOOKUP(Table1[RespondentID],'All Data'!$A$3:$CO$999,89,FALSE),"unknown")</f>
        <v>Queens</v>
      </c>
      <c r="AO290" s="120">
        <f>IFERROR(VLOOKUP(Table1[RespondentID],'All Data'!$A$3:$CO$999,90,FALSE),"unknown")</f>
        <v>11428</v>
      </c>
      <c r="AP290" s="120" t="str">
        <f>IFERROR(VLOOKUP(Table1[RespondentID],'All Data'!$A$3:$CO$999,91,FALSE),"unknown")</f>
        <v>White</v>
      </c>
      <c r="AQ290" s="120" t="str">
        <f>IFERROR(VLOOKUP(Table1[RespondentID],'All Data'!$A$3:$CO$999,92,FALSE),"unknown")</f>
        <v>Hispanic or Latino</v>
      </c>
      <c r="AR290" s="120" t="str">
        <f>IFERROR(VLOOKUP(Table1[RespondentID],'All Data'!$A$3:$CO$999,93,FALSE),"unknown")</f>
        <v>English</v>
      </c>
      <c r="AS290" s="120" t="str">
        <f>IFERROR(VLOOKUP(Table1[RespondentID],'All Data'!$A$3:$CW$999,94,FALSE),"unknown")</f>
        <v>$0-$19,999</v>
      </c>
      <c r="AT290" s="120" t="str">
        <f>IFERROR(VLOOKUP(Table1[RespondentID],'All Data'!$A$3:$CW$999,95,FALSE),"unknown")</f>
        <v>Some college</v>
      </c>
      <c r="AU290" s="120" t="str">
        <f>IFERROR(VLOOKUP(Table1[RespondentID],'All Data'!$A$3:$CW$999,96,FALSE),"unknown")</f>
        <v>Military</v>
      </c>
      <c r="AV290" s="120" t="str">
        <f>IFERROR(VLOOKUP(Table1[RespondentID],'All Data'!$A$3:$CW$999,97,FALSE),"unknown")</f>
        <v>No, but I did in the past</v>
      </c>
      <c r="AW290" s="120" t="str">
        <f>IFERROR(VLOOKUP(Table1[RespondentID],'All Data'!$A$3:$CW$999,98,FALSE),"unknown")</f>
        <v>Medicare</v>
      </c>
      <c r="AX290" s="120" t="str">
        <f>IFERROR(VLOOKUP(Table1[RespondentID],'All Data'!$A$3:$CW$999,99,FALSE),"unknown")</f>
        <v>No</v>
      </c>
    </row>
    <row r="291" spans="1:50">
      <c r="A291" s="5">
        <v>18016056284</v>
      </c>
      <c r="B291" s="5" t="s">
        <v>16</v>
      </c>
      <c r="C291" s="5"/>
      <c r="D291" s="5"/>
      <c r="E291" s="5" t="s">
        <v>19</v>
      </c>
      <c r="F291" s="5"/>
      <c r="G291" s="5"/>
      <c r="H291" s="5"/>
      <c r="I291" s="5"/>
      <c r="J291" s="5"/>
      <c r="K291" s="5"/>
      <c r="L291" s="5"/>
      <c r="M291" s="5" t="s">
        <v>27</v>
      </c>
      <c r="N291" s="5"/>
      <c r="O291" s="7"/>
      <c r="P291" s="7">
        <f t="shared" si="72"/>
        <v>3</v>
      </c>
      <c r="Q291" s="9">
        <f t="shared" si="73"/>
        <v>1</v>
      </c>
      <c r="R291" s="7"/>
      <c r="S291" s="7">
        <f t="shared" si="74"/>
        <v>1</v>
      </c>
      <c r="T291" s="7">
        <f t="shared" si="75"/>
        <v>0</v>
      </c>
      <c r="U291" s="7">
        <f t="shared" si="76"/>
        <v>0</v>
      </c>
      <c r="V291" s="119">
        <f t="shared" si="77"/>
        <v>1</v>
      </c>
      <c r="W291" s="119">
        <f t="shared" si="78"/>
        <v>0</v>
      </c>
      <c r="X291" s="119">
        <f t="shared" si="79"/>
        <v>0</v>
      </c>
      <c r="Y291" s="119">
        <f t="shared" si="80"/>
        <v>0</v>
      </c>
      <c r="Z291" s="119">
        <f t="shared" si="81"/>
        <v>0</v>
      </c>
      <c r="AA291" s="119">
        <f t="shared" si="82"/>
        <v>0</v>
      </c>
      <c r="AB291" s="119">
        <f t="shared" si="83"/>
        <v>0</v>
      </c>
      <c r="AC291" s="119">
        <f t="shared" si="84"/>
        <v>0</v>
      </c>
      <c r="AD291" s="119">
        <f t="shared" si="85"/>
        <v>1</v>
      </c>
      <c r="AE291" s="119">
        <f t="shared" si="86"/>
        <v>0</v>
      </c>
      <c r="AF291" s="7"/>
      <c r="AG291" s="7"/>
      <c r="AH291" s="7">
        <f t="shared" si="87"/>
        <v>3</v>
      </c>
      <c r="AI291" s="7">
        <f t="shared" si="88"/>
        <v>3</v>
      </c>
      <c r="AJ291" s="7" t="str">
        <f t="shared" si="89"/>
        <v>Correct</v>
      </c>
      <c r="AK291" s="7"/>
      <c r="AL291" s="120" t="str">
        <f>IFERROR(VLOOKUP(Table1[RespondentID],'All Data'!$A$3:$CO$999,87,FALSE),"unknown")</f>
        <v>Woman</v>
      </c>
      <c r="AM291" s="120">
        <f>IFERROR(VLOOKUP(Table1[RespondentID],'All Data'!$A$3:$CO$999,88,FALSE),"unknown")</f>
        <v>21</v>
      </c>
      <c r="AN291" s="120" t="str">
        <f>IFERROR(VLOOKUP(Table1[RespondentID],'All Data'!$A$3:$CO$999,89,FALSE),"unknown")</f>
        <v>Suffolk</v>
      </c>
      <c r="AO291" s="120" t="str">
        <f>IFERROR(VLOOKUP(Table1[RespondentID],'All Data'!$A$3:$CO$999,90,FALSE),"unknown")</f>
        <v>Farmingville, 11738</v>
      </c>
      <c r="AP291" s="120" t="str">
        <f>IFERROR(VLOOKUP(Table1[RespondentID],'All Data'!$A$3:$CO$999,91,FALSE),"unknown")</f>
        <v>Asian</v>
      </c>
      <c r="AQ291" s="120" t="str">
        <f>IFERROR(VLOOKUP(Table1[RespondentID],'All Data'!$A$3:$CO$999,92,FALSE),"unknown")</f>
        <v>Not Hispanic or Latino</v>
      </c>
      <c r="AR291" s="120" t="str">
        <f>IFERROR(VLOOKUP(Table1[RespondentID],'All Data'!$A$3:$CO$999,93,FALSE),"unknown")</f>
        <v>English</v>
      </c>
      <c r="AS291" s="120" t="str">
        <f>IFERROR(VLOOKUP(Table1[RespondentID],'All Data'!$A$3:$CW$999,94,FALSE),"unknown")</f>
        <v>$50,000 to $74,999</v>
      </c>
      <c r="AT291" s="120" t="str">
        <f>IFERROR(VLOOKUP(Table1[RespondentID],'All Data'!$A$3:$CW$999,95,FALSE),"unknown")</f>
        <v>Some college</v>
      </c>
      <c r="AU291" s="120" t="str">
        <f>IFERROR(VLOOKUP(Table1[RespondentID],'All Data'!$A$3:$CW$999,96,FALSE),"unknown")</f>
        <v>Student</v>
      </c>
      <c r="AV291" s="120" t="str">
        <f>IFERROR(VLOOKUP(Table1[RespondentID],'All Data'!$A$3:$CW$999,97,FALSE),"unknown")</f>
        <v>Yes</v>
      </c>
      <c r="AW291" s="120" t="str">
        <f>IFERROR(VLOOKUP(Table1[RespondentID],'All Data'!$A$3:$CW$999,98,FALSE),"unknown")</f>
        <v>Medicare</v>
      </c>
      <c r="AX291" s="120" t="str">
        <f>IFERROR(VLOOKUP(Table1[RespondentID],'All Data'!$A$3:$CW$999,99,FALSE),"unknown")</f>
        <v>Yes</v>
      </c>
    </row>
    <row r="292" spans="1:50">
      <c r="A292" s="5">
        <v>18016042262</v>
      </c>
      <c r="B292" s="5"/>
      <c r="C292" s="5"/>
      <c r="D292" s="5"/>
      <c r="E292" s="5"/>
      <c r="F292" s="5"/>
      <c r="G292" s="5"/>
      <c r="H292" s="5"/>
      <c r="I292" s="5"/>
      <c r="J292" s="5"/>
      <c r="K292" s="5"/>
      <c r="L292" s="5"/>
      <c r="M292" s="5"/>
      <c r="N292" s="5" t="s">
        <v>28</v>
      </c>
      <c r="O292" s="7"/>
      <c r="P292" s="7">
        <f t="shared" si="72"/>
        <v>1</v>
      </c>
      <c r="Q292" s="8">
        <f t="shared" si="73"/>
        <v>3</v>
      </c>
      <c r="R292" s="7"/>
      <c r="S292" s="7">
        <f t="shared" si="74"/>
        <v>0</v>
      </c>
      <c r="T292" s="7">
        <f t="shared" si="75"/>
        <v>0</v>
      </c>
      <c r="U292" s="7">
        <f t="shared" si="76"/>
        <v>0</v>
      </c>
      <c r="V292" s="119">
        <f t="shared" si="77"/>
        <v>0</v>
      </c>
      <c r="W292" s="119">
        <f t="shared" si="78"/>
        <v>0</v>
      </c>
      <c r="X292" s="119">
        <f t="shared" si="79"/>
        <v>0</v>
      </c>
      <c r="Y292" s="119">
        <f t="shared" si="80"/>
        <v>0</v>
      </c>
      <c r="Z292" s="119">
        <f t="shared" si="81"/>
        <v>0</v>
      </c>
      <c r="AA292" s="119">
        <f t="shared" si="82"/>
        <v>0</v>
      </c>
      <c r="AB292" s="119">
        <f t="shared" si="83"/>
        <v>0</v>
      </c>
      <c r="AC292" s="119">
        <f t="shared" si="84"/>
        <v>0</v>
      </c>
      <c r="AD292" s="119">
        <f t="shared" si="85"/>
        <v>0</v>
      </c>
      <c r="AE292" s="119">
        <f t="shared" si="86"/>
        <v>1</v>
      </c>
      <c r="AF292" s="7"/>
      <c r="AG292" s="7"/>
      <c r="AH292" s="7">
        <f t="shared" si="87"/>
        <v>1</v>
      </c>
      <c r="AI292" s="7">
        <f t="shared" si="88"/>
        <v>1</v>
      </c>
      <c r="AJ292" s="7" t="str">
        <f t="shared" si="89"/>
        <v>Correct</v>
      </c>
      <c r="AK292" s="7"/>
      <c r="AL292" s="120">
        <f>IFERROR(VLOOKUP(Table1[RespondentID],'All Data'!$A$3:$CO$999,87,FALSE),"unknown")</f>
        <v>0</v>
      </c>
      <c r="AM292" s="120">
        <f>IFERROR(VLOOKUP(Table1[RespondentID],'All Data'!$A$3:$CO$999,88,FALSE),"unknown")</f>
        <v>0</v>
      </c>
      <c r="AN292" s="120">
        <f>IFERROR(VLOOKUP(Table1[RespondentID],'All Data'!$A$3:$CO$999,89,FALSE),"unknown")</f>
        <v>0</v>
      </c>
      <c r="AO292" s="120">
        <f>IFERROR(VLOOKUP(Table1[RespondentID],'All Data'!$A$3:$CO$999,90,FALSE),"unknown")</f>
        <v>0</v>
      </c>
      <c r="AP292" s="120">
        <f>IFERROR(VLOOKUP(Table1[RespondentID],'All Data'!$A$3:$CO$999,91,FALSE),"unknown")</f>
        <v>0</v>
      </c>
      <c r="AQ292" s="120">
        <f>IFERROR(VLOOKUP(Table1[RespondentID],'All Data'!$A$3:$CO$999,92,FALSE),"unknown")</f>
        <v>0</v>
      </c>
      <c r="AR292" s="120">
        <f>IFERROR(VLOOKUP(Table1[RespondentID],'All Data'!$A$3:$CO$999,93,FALSE),"unknown")</f>
        <v>0</v>
      </c>
      <c r="AS292" s="120">
        <f>IFERROR(VLOOKUP(Table1[RespondentID],'All Data'!$A$3:$CW$999,94,FALSE),"unknown")</f>
        <v>0</v>
      </c>
      <c r="AT292" s="120">
        <f>IFERROR(VLOOKUP(Table1[RespondentID],'All Data'!$A$3:$CW$999,95,FALSE),"unknown")</f>
        <v>0</v>
      </c>
      <c r="AU292" s="120">
        <f>IFERROR(VLOOKUP(Table1[RespondentID],'All Data'!$A$3:$CW$999,96,FALSE),"unknown")</f>
        <v>0</v>
      </c>
      <c r="AV292" s="120">
        <f>IFERROR(VLOOKUP(Table1[RespondentID],'All Data'!$A$3:$CW$999,97,FALSE),"unknown")</f>
        <v>0</v>
      </c>
      <c r="AW292" s="120">
        <f>IFERROR(VLOOKUP(Table1[RespondentID],'All Data'!$A$3:$CW$999,98,FALSE),"unknown")</f>
        <v>0</v>
      </c>
      <c r="AX292" s="120">
        <f>IFERROR(VLOOKUP(Table1[RespondentID],'All Data'!$A$3:$CW$999,99,FALSE),"unknown")</f>
        <v>0</v>
      </c>
    </row>
    <row r="293" spans="1:50">
      <c r="A293" s="5">
        <v>18016041834</v>
      </c>
      <c r="B293" s="5"/>
      <c r="C293" s="5"/>
      <c r="D293" s="5"/>
      <c r="E293" s="5"/>
      <c r="F293" s="5"/>
      <c r="G293" s="5"/>
      <c r="H293" s="5"/>
      <c r="I293" s="5"/>
      <c r="J293" s="5"/>
      <c r="K293" s="5" t="s">
        <v>25</v>
      </c>
      <c r="L293" s="5"/>
      <c r="M293" s="5"/>
      <c r="N293" s="5" t="s">
        <v>28</v>
      </c>
      <c r="O293" s="7"/>
      <c r="P293" s="7">
        <f t="shared" si="72"/>
        <v>2</v>
      </c>
      <c r="Q293" s="9">
        <f t="shared" si="73"/>
        <v>1.5</v>
      </c>
      <c r="R293" s="7"/>
      <c r="S293" s="7">
        <f t="shared" si="74"/>
        <v>0</v>
      </c>
      <c r="T293" s="7">
        <f t="shared" si="75"/>
        <v>0</v>
      </c>
      <c r="U293" s="7">
        <f t="shared" si="76"/>
        <v>0</v>
      </c>
      <c r="V293" s="119">
        <f t="shared" si="77"/>
        <v>0</v>
      </c>
      <c r="W293" s="119">
        <f t="shared" si="78"/>
        <v>0</v>
      </c>
      <c r="X293" s="119">
        <f t="shared" si="79"/>
        <v>0</v>
      </c>
      <c r="Y293" s="119">
        <f t="shared" si="80"/>
        <v>0</v>
      </c>
      <c r="Z293" s="119">
        <f t="shared" si="81"/>
        <v>0</v>
      </c>
      <c r="AA293" s="119">
        <f t="shared" si="82"/>
        <v>0</v>
      </c>
      <c r="AB293" s="119">
        <f t="shared" si="83"/>
        <v>1</v>
      </c>
      <c r="AC293" s="119">
        <f t="shared" si="84"/>
        <v>0</v>
      </c>
      <c r="AD293" s="119">
        <f t="shared" si="85"/>
        <v>0</v>
      </c>
      <c r="AE293" s="119">
        <f t="shared" si="86"/>
        <v>1</v>
      </c>
      <c r="AF293" s="7"/>
      <c r="AG293" s="7"/>
      <c r="AH293" s="7">
        <f t="shared" si="87"/>
        <v>2</v>
      </c>
      <c r="AI293" s="7">
        <f t="shared" si="88"/>
        <v>2</v>
      </c>
      <c r="AJ293" s="7" t="str">
        <f t="shared" si="89"/>
        <v>Correct</v>
      </c>
      <c r="AK293" s="7"/>
      <c r="AL293" s="120" t="str">
        <f>IFERROR(VLOOKUP(Table1[RespondentID],'All Data'!$A$3:$CO$999,87,FALSE),"unknown")</f>
        <v>Man</v>
      </c>
      <c r="AM293" s="120">
        <f>IFERROR(VLOOKUP(Table1[RespondentID],'All Data'!$A$3:$CO$999,88,FALSE),"unknown")</f>
        <v>20</v>
      </c>
      <c r="AN293" s="120" t="str">
        <f>IFERROR(VLOOKUP(Table1[RespondentID],'All Data'!$A$3:$CO$999,89,FALSE),"unknown")</f>
        <v>Suffolk</v>
      </c>
      <c r="AO293" s="120" t="str">
        <f>IFERROR(VLOOKUP(Table1[RespondentID],'All Data'!$A$3:$CO$999,90,FALSE),"unknown")</f>
        <v>Melville, 11747</v>
      </c>
      <c r="AP293" s="120" t="str">
        <f>IFERROR(VLOOKUP(Table1[RespondentID],'All Data'!$A$3:$CO$999,91,FALSE),"unknown")</f>
        <v>White</v>
      </c>
      <c r="AQ293" s="120" t="str">
        <f>IFERROR(VLOOKUP(Table1[RespondentID],'All Data'!$A$3:$CO$999,92,FALSE),"unknown")</f>
        <v>Not Hispanic or Latino</v>
      </c>
      <c r="AR293" s="120" t="str">
        <f>IFERROR(VLOOKUP(Table1[RespondentID],'All Data'!$A$3:$CO$999,93,FALSE),"unknown")</f>
        <v>English, Spanish</v>
      </c>
      <c r="AS293" s="120" t="str">
        <f>IFERROR(VLOOKUP(Table1[RespondentID],'All Data'!$A$3:$CW$999,94,FALSE),"unknown")</f>
        <v>$75,000 to $125,000</v>
      </c>
      <c r="AT293" s="120" t="str">
        <f>IFERROR(VLOOKUP(Table1[RespondentID],'All Data'!$A$3:$CW$999,95,FALSE),"unknown")</f>
        <v>Some college</v>
      </c>
      <c r="AU293" s="120" t="str">
        <f>IFERROR(VLOOKUP(Table1[RespondentID],'All Data'!$A$3:$CW$999,96,FALSE),"unknown")</f>
        <v>Employed for wages</v>
      </c>
      <c r="AV293" s="120" t="str">
        <f>IFERROR(VLOOKUP(Table1[RespondentID],'All Data'!$A$3:$CW$999,97,FALSE),"unknown")</f>
        <v>Yes</v>
      </c>
      <c r="AW293" s="120" t="str">
        <f>IFERROR(VLOOKUP(Table1[RespondentID],'All Data'!$A$3:$CW$999,98,FALSE),"unknown")</f>
        <v>Private/Commercial</v>
      </c>
      <c r="AX293" s="120" t="str">
        <f>IFERROR(VLOOKUP(Table1[RespondentID],'All Data'!$A$3:$CW$999,99,FALSE),"unknown")</f>
        <v>Yes</v>
      </c>
    </row>
    <row r="294" spans="1:50">
      <c r="A294" s="5">
        <v>18016041235</v>
      </c>
      <c r="B294" s="5"/>
      <c r="C294" s="5"/>
      <c r="D294" s="5"/>
      <c r="E294" s="5"/>
      <c r="F294" s="5"/>
      <c r="G294" s="5"/>
      <c r="H294" s="5"/>
      <c r="I294" s="5"/>
      <c r="J294" s="5"/>
      <c r="K294" s="5"/>
      <c r="L294" s="5"/>
      <c r="M294" s="5"/>
      <c r="N294" s="5"/>
      <c r="O294" s="7"/>
      <c r="P294" s="7">
        <f t="shared" si="72"/>
        <v>0</v>
      </c>
      <c r="Q294" s="8" t="e">
        <f t="shared" si="73"/>
        <v>#DIV/0!</v>
      </c>
      <c r="R294" s="7"/>
      <c r="S294" s="7">
        <f t="shared" si="74"/>
        <v>0</v>
      </c>
      <c r="T294" s="7">
        <f t="shared" si="75"/>
        <v>0</v>
      </c>
      <c r="U294" s="7">
        <f t="shared" si="76"/>
        <v>0</v>
      </c>
      <c r="V294" s="119">
        <f t="shared" si="77"/>
        <v>0</v>
      </c>
      <c r="W294" s="119">
        <f t="shared" si="78"/>
        <v>0</v>
      </c>
      <c r="X294" s="119">
        <f t="shared" si="79"/>
        <v>0</v>
      </c>
      <c r="Y294" s="119">
        <f t="shared" si="80"/>
        <v>0</v>
      </c>
      <c r="Z294" s="119">
        <f t="shared" si="81"/>
        <v>0</v>
      </c>
      <c r="AA294" s="119">
        <f t="shared" si="82"/>
        <v>0</v>
      </c>
      <c r="AB294" s="119">
        <f t="shared" si="83"/>
        <v>0</v>
      </c>
      <c r="AC294" s="119">
        <f t="shared" si="84"/>
        <v>0</v>
      </c>
      <c r="AD294" s="119">
        <f t="shared" si="85"/>
        <v>0</v>
      </c>
      <c r="AE294" s="119">
        <f t="shared" si="86"/>
        <v>0</v>
      </c>
      <c r="AF294" s="7"/>
      <c r="AG294" s="7"/>
      <c r="AH294" s="7">
        <f t="shared" si="87"/>
        <v>0</v>
      </c>
      <c r="AI294" s="7">
        <f t="shared" si="88"/>
        <v>0</v>
      </c>
      <c r="AJ294" s="7" t="str">
        <f t="shared" si="89"/>
        <v>Correct</v>
      </c>
      <c r="AK294" s="7"/>
      <c r="AL294" s="120">
        <f>IFERROR(VLOOKUP(Table1[RespondentID],'All Data'!$A$3:$CO$999,87,FALSE),"unknown")</f>
        <v>0</v>
      </c>
      <c r="AM294" s="120">
        <f>IFERROR(VLOOKUP(Table1[RespondentID],'All Data'!$A$3:$CO$999,88,FALSE),"unknown")</f>
        <v>0</v>
      </c>
      <c r="AN294" s="120">
        <f>IFERROR(VLOOKUP(Table1[RespondentID],'All Data'!$A$3:$CO$999,89,FALSE),"unknown")</f>
        <v>0</v>
      </c>
      <c r="AO294" s="120" t="str">
        <f>IFERROR(VLOOKUP(Table1[RespondentID],'All Data'!$A$3:$CO$999,90,FALSE),"unknown")</f>
        <v>Garden City South, 11530</v>
      </c>
      <c r="AP294" s="120">
        <f>IFERROR(VLOOKUP(Table1[RespondentID],'All Data'!$A$3:$CO$999,91,FALSE),"unknown")</f>
        <v>0</v>
      </c>
      <c r="AQ294" s="120">
        <f>IFERROR(VLOOKUP(Table1[RespondentID],'All Data'!$A$3:$CO$999,92,FALSE),"unknown")</f>
        <v>0</v>
      </c>
      <c r="AR294" s="120">
        <f>IFERROR(VLOOKUP(Table1[RespondentID],'All Data'!$A$3:$CO$999,93,FALSE),"unknown")</f>
        <v>0</v>
      </c>
      <c r="AS294" s="120">
        <f>IFERROR(VLOOKUP(Table1[RespondentID],'All Data'!$A$3:$CW$999,94,FALSE),"unknown")</f>
        <v>0</v>
      </c>
      <c r="AT294" s="120">
        <f>IFERROR(VLOOKUP(Table1[RespondentID],'All Data'!$A$3:$CW$999,95,FALSE),"unknown")</f>
        <v>0</v>
      </c>
      <c r="AU294" s="120">
        <f>IFERROR(VLOOKUP(Table1[RespondentID],'All Data'!$A$3:$CW$999,96,FALSE),"unknown")</f>
        <v>0</v>
      </c>
      <c r="AV294" s="120">
        <f>IFERROR(VLOOKUP(Table1[RespondentID],'All Data'!$A$3:$CW$999,97,FALSE),"unknown")</f>
        <v>0</v>
      </c>
      <c r="AW294" s="120">
        <f>IFERROR(VLOOKUP(Table1[RespondentID],'All Data'!$A$3:$CW$999,98,FALSE),"unknown")</f>
        <v>0</v>
      </c>
      <c r="AX294" s="120">
        <f>IFERROR(VLOOKUP(Table1[RespondentID],'All Data'!$A$3:$CW$999,99,FALSE),"unknown")</f>
        <v>0</v>
      </c>
    </row>
    <row r="295" spans="1:50">
      <c r="A295" s="5">
        <v>18016030783</v>
      </c>
      <c r="B295" s="5"/>
      <c r="C295" s="5"/>
      <c r="D295" s="5"/>
      <c r="E295" s="5"/>
      <c r="F295" s="5"/>
      <c r="G295" s="5"/>
      <c r="H295" s="5"/>
      <c r="I295" s="5" t="s">
        <v>23</v>
      </c>
      <c r="J295" s="5"/>
      <c r="K295" s="5" t="s">
        <v>25</v>
      </c>
      <c r="L295" s="5" t="s">
        <v>26</v>
      </c>
      <c r="M295" s="5"/>
      <c r="N295" s="5"/>
      <c r="O295" s="7"/>
      <c r="P295" s="7">
        <f t="shared" si="72"/>
        <v>3</v>
      </c>
      <c r="Q295" s="9">
        <f t="shared" si="73"/>
        <v>1</v>
      </c>
      <c r="R295" s="7"/>
      <c r="S295" s="7">
        <f t="shared" si="74"/>
        <v>0</v>
      </c>
      <c r="T295" s="7">
        <f t="shared" si="75"/>
        <v>0</v>
      </c>
      <c r="U295" s="7">
        <f t="shared" si="76"/>
        <v>0</v>
      </c>
      <c r="V295" s="119">
        <f t="shared" si="77"/>
        <v>0</v>
      </c>
      <c r="W295" s="119">
        <f t="shared" si="78"/>
        <v>0</v>
      </c>
      <c r="X295" s="119">
        <f t="shared" si="79"/>
        <v>0</v>
      </c>
      <c r="Y295" s="119">
        <f t="shared" si="80"/>
        <v>0</v>
      </c>
      <c r="Z295" s="119">
        <f t="shared" si="81"/>
        <v>1</v>
      </c>
      <c r="AA295" s="119">
        <f t="shared" si="82"/>
        <v>0</v>
      </c>
      <c r="AB295" s="119">
        <f t="shared" si="83"/>
        <v>1</v>
      </c>
      <c r="AC295" s="119">
        <f t="shared" si="84"/>
        <v>1</v>
      </c>
      <c r="AD295" s="119">
        <f t="shared" si="85"/>
        <v>0</v>
      </c>
      <c r="AE295" s="119">
        <f t="shared" si="86"/>
        <v>0</v>
      </c>
      <c r="AF295" s="7"/>
      <c r="AG295" s="7"/>
      <c r="AH295" s="7">
        <f t="shared" si="87"/>
        <v>3</v>
      </c>
      <c r="AI295" s="7">
        <f t="shared" si="88"/>
        <v>3</v>
      </c>
      <c r="AJ295" s="7" t="str">
        <f t="shared" si="89"/>
        <v>Correct</v>
      </c>
      <c r="AK295" s="7"/>
      <c r="AL295" s="120" t="str">
        <f>IFERROR(VLOOKUP(Table1[RespondentID],'All Data'!$A$3:$CO$999,87,FALSE),"unknown")</f>
        <v>Woman</v>
      </c>
      <c r="AM295" s="120">
        <f>IFERROR(VLOOKUP(Table1[RespondentID],'All Data'!$A$3:$CO$999,88,FALSE),"unknown")</f>
        <v>57</v>
      </c>
      <c r="AN295" s="120" t="str">
        <f>IFERROR(VLOOKUP(Table1[RespondentID],'All Data'!$A$3:$CO$999,89,FALSE),"unknown")</f>
        <v>Queens</v>
      </c>
      <c r="AO295" s="120">
        <f>IFERROR(VLOOKUP(Table1[RespondentID],'All Data'!$A$3:$CO$999,90,FALSE),"unknown")</f>
        <v>10001</v>
      </c>
      <c r="AP295" s="120" t="str">
        <f>IFERROR(VLOOKUP(Table1[RespondentID],'All Data'!$A$3:$CO$999,91,FALSE),"unknown")</f>
        <v>White</v>
      </c>
      <c r="AQ295" s="120" t="str">
        <f>IFERROR(VLOOKUP(Table1[RespondentID],'All Data'!$A$3:$CO$999,92,FALSE),"unknown")</f>
        <v>Not Hispanic or Latino</v>
      </c>
      <c r="AR295" s="120" t="str">
        <f>IFERROR(VLOOKUP(Table1[RespondentID],'All Data'!$A$3:$CO$999,93,FALSE),"unknown")</f>
        <v>English, Haitian Creole</v>
      </c>
      <c r="AS295" s="120" t="str">
        <f>IFERROR(VLOOKUP(Table1[RespondentID],'All Data'!$A$3:$CW$999,94,FALSE),"unknown")</f>
        <v>$35,000 to $49,999</v>
      </c>
      <c r="AT295" s="120" t="str">
        <f>IFERROR(VLOOKUP(Table1[RespondentID],'All Data'!$A$3:$CW$999,95,FALSE),"unknown")</f>
        <v>College graduate</v>
      </c>
      <c r="AU295" s="120" t="str">
        <f>IFERROR(VLOOKUP(Table1[RespondentID],'All Data'!$A$3:$CW$999,96,FALSE),"unknown")</f>
        <v>Employed for wages</v>
      </c>
      <c r="AV295" s="120" t="str">
        <f>IFERROR(VLOOKUP(Table1[RespondentID],'All Data'!$A$3:$CW$999,97,FALSE),"unknown")</f>
        <v>Yes</v>
      </c>
      <c r="AW295" s="120" t="str">
        <f>IFERROR(VLOOKUP(Table1[RespondentID],'All Data'!$A$3:$CW$999,98,FALSE),"unknown")</f>
        <v>Medicaid, Medicare</v>
      </c>
      <c r="AX295" s="120" t="str">
        <f>IFERROR(VLOOKUP(Table1[RespondentID],'All Data'!$A$3:$CW$999,99,FALSE),"unknown")</f>
        <v>Yes</v>
      </c>
    </row>
    <row r="296" spans="1:50">
      <c r="A296" s="5">
        <v>18016029769</v>
      </c>
      <c r="B296" s="5"/>
      <c r="C296" s="5"/>
      <c r="D296" s="5"/>
      <c r="E296" s="5"/>
      <c r="F296" s="5"/>
      <c r="G296" s="5"/>
      <c r="H296" s="5"/>
      <c r="I296" s="5"/>
      <c r="J296" s="5"/>
      <c r="K296" s="5"/>
      <c r="L296" s="5"/>
      <c r="M296" s="5" t="s">
        <v>27</v>
      </c>
      <c r="N296" s="5"/>
      <c r="O296" s="7"/>
      <c r="P296" s="7">
        <f t="shared" si="72"/>
        <v>1</v>
      </c>
      <c r="Q296" s="8">
        <f t="shared" si="73"/>
        <v>3</v>
      </c>
      <c r="R296" s="7"/>
      <c r="S296" s="7">
        <f t="shared" si="74"/>
        <v>0</v>
      </c>
      <c r="T296" s="7">
        <f t="shared" si="75"/>
        <v>0</v>
      </c>
      <c r="U296" s="7">
        <f t="shared" si="76"/>
        <v>0</v>
      </c>
      <c r="V296" s="119">
        <f t="shared" si="77"/>
        <v>0</v>
      </c>
      <c r="W296" s="119">
        <f t="shared" si="78"/>
        <v>0</v>
      </c>
      <c r="X296" s="119">
        <f t="shared" si="79"/>
        <v>0</v>
      </c>
      <c r="Y296" s="119">
        <f t="shared" si="80"/>
        <v>0</v>
      </c>
      <c r="Z296" s="119">
        <f t="shared" si="81"/>
        <v>0</v>
      </c>
      <c r="AA296" s="119">
        <f t="shared" si="82"/>
        <v>0</v>
      </c>
      <c r="AB296" s="119">
        <f t="shared" si="83"/>
        <v>0</v>
      </c>
      <c r="AC296" s="119">
        <f t="shared" si="84"/>
        <v>0</v>
      </c>
      <c r="AD296" s="119">
        <f t="shared" si="85"/>
        <v>1</v>
      </c>
      <c r="AE296" s="119">
        <f t="shared" si="86"/>
        <v>0</v>
      </c>
      <c r="AF296" s="7"/>
      <c r="AG296" s="7"/>
      <c r="AH296" s="7">
        <f t="shared" si="87"/>
        <v>1</v>
      </c>
      <c r="AI296" s="7">
        <f t="shared" si="88"/>
        <v>1</v>
      </c>
      <c r="AJ296" s="7" t="str">
        <f t="shared" si="89"/>
        <v>Correct</v>
      </c>
      <c r="AK296" s="7"/>
      <c r="AL296" s="120" t="str">
        <f>IFERROR(VLOOKUP(Table1[RespondentID],'All Data'!$A$3:$CO$999,87,FALSE),"unknown")</f>
        <v>Woman</v>
      </c>
      <c r="AM296" s="120">
        <f>IFERROR(VLOOKUP(Table1[RespondentID],'All Data'!$A$3:$CO$999,88,FALSE),"unknown")</f>
        <v>25</v>
      </c>
      <c r="AN296" s="120" t="str">
        <f>IFERROR(VLOOKUP(Table1[RespondentID],'All Data'!$A$3:$CO$999,89,FALSE),"unknown")</f>
        <v>Queens</v>
      </c>
      <c r="AO296" s="120">
        <f>IFERROR(VLOOKUP(Table1[RespondentID],'All Data'!$A$3:$CO$999,90,FALSE),"unknown")</f>
        <v>10001</v>
      </c>
      <c r="AP296" s="120" t="str">
        <f>IFERROR(VLOOKUP(Table1[RespondentID],'All Data'!$A$3:$CO$999,91,FALSE),"unknown")</f>
        <v>White</v>
      </c>
      <c r="AQ296" s="120" t="str">
        <f>IFERROR(VLOOKUP(Table1[RespondentID],'All Data'!$A$3:$CO$999,92,FALSE),"unknown")</f>
        <v>Hispanic or Latino</v>
      </c>
      <c r="AR296" s="120" t="str">
        <f>IFERROR(VLOOKUP(Table1[RespondentID],'All Data'!$A$3:$CO$999,93,FALSE),"unknown")</f>
        <v>English</v>
      </c>
      <c r="AS296" s="120" t="str">
        <f>IFERROR(VLOOKUP(Table1[RespondentID],'All Data'!$A$3:$CW$999,94,FALSE),"unknown")</f>
        <v>$35,000 to $49,999</v>
      </c>
      <c r="AT296" s="120" t="str">
        <f>IFERROR(VLOOKUP(Table1[RespondentID],'All Data'!$A$3:$CW$999,95,FALSE),"unknown")</f>
        <v>Some high school</v>
      </c>
      <c r="AU296" s="120" t="str">
        <f>IFERROR(VLOOKUP(Table1[RespondentID],'All Data'!$A$3:$CW$999,96,FALSE),"unknown")</f>
        <v>Employed for wages</v>
      </c>
      <c r="AV296" s="120" t="str">
        <f>IFERROR(VLOOKUP(Table1[RespondentID],'All Data'!$A$3:$CW$999,97,FALSE),"unknown")</f>
        <v>Yes</v>
      </c>
      <c r="AW296" s="120" t="str">
        <f>IFERROR(VLOOKUP(Table1[RespondentID],'All Data'!$A$3:$CW$999,98,FALSE),"unknown")</f>
        <v>Medicaid</v>
      </c>
      <c r="AX296" s="120" t="str">
        <f>IFERROR(VLOOKUP(Table1[RespondentID],'All Data'!$A$3:$CW$999,99,FALSE),"unknown")</f>
        <v>Yes</v>
      </c>
    </row>
    <row r="297" spans="1:50">
      <c r="A297" s="5">
        <v>18016029289</v>
      </c>
      <c r="B297" s="5"/>
      <c r="C297" s="5" t="s">
        <v>17</v>
      </c>
      <c r="D297" s="5"/>
      <c r="E297" s="5"/>
      <c r="F297" s="5" t="s">
        <v>20</v>
      </c>
      <c r="G297" s="5"/>
      <c r="H297" s="5"/>
      <c r="I297" s="5"/>
      <c r="J297" s="5" t="s">
        <v>24</v>
      </c>
      <c r="K297" s="5"/>
      <c r="L297" s="5"/>
      <c r="M297" s="5"/>
      <c r="N297" s="5"/>
      <c r="O297" s="7"/>
      <c r="P297" s="7">
        <f t="shared" si="72"/>
        <v>3</v>
      </c>
      <c r="Q297" s="9">
        <f t="shared" si="73"/>
        <v>1</v>
      </c>
      <c r="R297" s="7"/>
      <c r="S297" s="7">
        <f t="shared" si="74"/>
        <v>0</v>
      </c>
      <c r="T297" s="7">
        <f t="shared" si="75"/>
        <v>1</v>
      </c>
      <c r="U297" s="7">
        <f t="shared" si="76"/>
        <v>0</v>
      </c>
      <c r="V297" s="119">
        <f t="shared" si="77"/>
        <v>0</v>
      </c>
      <c r="W297" s="119">
        <f t="shared" si="78"/>
        <v>1</v>
      </c>
      <c r="X297" s="119">
        <f t="shared" si="79"/>
        <v>0</v>
      </c>
      <c r="Y297" s="119">
        <f t="shared" si="80"/>
        <v>0</v>
      </c>
      <c r="Z297" s="119">
        <f t="shared" si="81"/>
        <v>0</v>
      </c>
      <c r="AA297" s="119">
        <f t="shared" si="82"/>
        <v>1</v>
      </c>
      <c r="AB297" s="119">
        <f t="shared" si="83"/>
        <v>0</v>
      </c>
      <c r="AC297" s="119">
        <f t="shared" si="84"/>
        <v>0</v>
      </c>
      <c r="AD297" s="119">
        <f t="shared" si="85"/>
        <v>0</v>
      </c>
      <c r="AE297" s="119">
        <f t="shared" si="86"/>
        <v>0</v>
      </c>
      <c r="AF297" s="7"/>
      <c r="AG297" s="7"/>
      <c r="AH297" s="7">
        <f t="shared" si="87"/>
        <v>3</v>
      </c>
      <c r="AI297" s="7">
        <f t="shared" si="88"/>
        <v>3</v>
      </c>
      <c r="AJ297" s="7" t="str">
        <f t="shared" si="89"/>
        <v>Correct</v>
      </c>
      <c r="AK297" s="7"/>
      <c r="AL297" s="120" t="str">
        <f>IFERROR(VLOOKUP(Table1[RespondentID],'All Data'!$A$3:$CO$999,87,FALSE),"unknown")</f>
        <v>Woman</v>
      </c>
      <c r="AM297" s="120">
        <f>IFERROR(VLOOKUP(Table1[RespondentID],'All Data'!$A$3:$CO$999,88,FALSE),"unknown")</f>
        <v>0</v>
      </c>
      <c r="AN297" s="120" t="str">
        <f>IFERROR(VLOOKUP(Table1[RespondentID],'All Data'!$A$3:$CO$999,89,FALSE),"unknown")</f>
        <v>Suffolk</v>
      </c>
      <c r="AO297" s="120" t="str">
        <f>IFERROR(VLOOKUP(Table1[RespondentID],'All Data'!$A$3:$CO$999,90,FALSE),"unknown")</f>
        <v>Amagansett, 11930</v>
      </c>
      <c r="AP297" s="120" t="str">
        <f>IFERROR(VLOOKUP(Table1[RespondentID],'All Data'!$A$3:$CO$999,91,FALSE),"unknown")</f>
        <v>White</v>
      </c>
      <c r="AQ297" s="120" t="str">
        <f>IFERROR(VLOOKUP(Table1[RespondentID],'All Data'!$A$3:$CO$999,92,FALSE),"unknown")</f>
        <v>Hispanic or Latino</v>
      </c>
      <c r="AR297" s="120" t="str">
        <f>IFERROR(VLOOKUP(Table1[RespondentID],'All Data'!$A$3:$CO$999,93,FALSE),"unknown")</f>
        <v>English</v>
      </c>
      <c r="AS297" s="120" t="str">
        <f>IFERROR(VLOOKUP(Table1[RespondentID],'All Data'!$A$3:$CW$999,94,FALSE),"unknown")</f>
        <v>$35,000 to $49,999</v>
      </c>
      <c r="AT297" s="120" t="str">
        <f>IFERROR(VLOOKUP(Table1[RespondentID],'All Data'!$A$3:$CW$999,95,FALSE),"unknown")</f>
        <v>Graduate school</v>
      </c>
      <c r="AU297" s="120" t="str">
        <f>IFERROR(VLOOKUP(Table1[RespondentID],'All Data'!$A$3:$CW$999,96,FALSE),"unknown")</f>
        <v>Employed for wages</v>
      </c>
      <c r="AV297" s="120" t="str">
        <f>IFERROR(VLOOKUP(Table1[RespondentID],'All Data'!$A$3:$CW$999,97,FALSE),"unknown")</f>
        <v>Yes</v>
      </c>
      <c r="AW297" s="120" t="str">
        <f>IFERROR(VLOOKUP(Table1[RespondentID],'All Data'!$A$3:$CW$999,98,FALSE),"unknown")</f>
        <v>Medicaid</v>
      </c>
      <c r="AX297" s="120" t="str">
        <f>IFERROR(VLOOKUP(Table1[RespondentID],'All Data'!$A$3:$CW$999,99,FALSE),"unknown")</f>
        <v>Yes</v>
      </c>
    </row>
    <row r="298" spans="1:50">
      <c r="A298" s="5">
        <v>18016028237</v>
      </c>
      <c r="B298" s="5"/>
      <c r="C298" s="5"/>
      <c r="D298" s="5" t="s">
        <v>18</v>
      </c>
      <c r="E298" s="5"/>
      <c r="F298" s="5"/>
      <c r="G298" s="5" t="s">
        <v>21</v>
      </c>
      <c r="H298" s="5" t="s">
        <v>22</v>
      </c>
      <c r="I298" s="5"/>
      <c r="J298" s="5"/>
      <c r="K298" s="5"/>
      <c r="L298" s="5"/>
      <c r="M298" s="5"/>
      <c r="N298" s="5"/>
      <c r="O298" s="7"/>
      <c r="P298" s="7">
        <f t="shared" si="72"/>
        <v>3</v>
      </c>
      <c r="Q298" s="8">
        <f t="shared" si="73"/>
        <v>1</v>
      </c>
      <c r="R298" s="7"/>
      <c r="S298" s="7">
        <f t="shared" si="74"/>
        <v>0</v>
      </c>
      <c r="T298" s="7">
        <f t="shared" si="75"/>
        <v>0</v>
      </c>
      <c r="U298" s="7">
        <f t="shared" si="76"/>
        <v>1</v>
      </c>
      <c r="V298" s="119">
        <f t="shared" si="77"/>
        <v>0</v>
      </c>
      <c r="W298" s="119">
        <f t="shared" si="78"/>
        <v>0</v>
      </c>
      <c r="X298" s="119">
        <f t="shared" si="79"/>
        <v>1</v>
      </c>
      <c r="Y298" s="119">
        <f t="shared" si="80"/>
        <v>1</v>
      </c>
      <c r="Z298" s="119">
        <f t="shared" si="81"/>
        <v>0</v>
      </c>
      <c r="AA298" s="119">
        <f t="shared" si="82"/>
        <v>0</v>
      </c>
      <c r="AB298" s="119">
        <f t="shared" si="83"/>
        <v>0</v>
      </c>
      <c r="AC298" s="119">
        <f t="shared" si="84"/>
        <v>0</v>
      </c>
      <c r="AD298" s="119">
        <f t="shared" si="85"/>
        <v>0</v>
      </c>
      <c r="AE298" s="119">
        <f t="shared" si="86"/>
        <v>0</v>
      </c>
      <c r="AF298" s="7"/>
      <c r="AG298" s="7"/>
      <c r="AH298" s="7">
        <f t="shared" si="87"/>
        <v>3</v>
      </c>
      <c r="AI298" s="7">
        <f t="shared" si="88"/>
        <v>3</v>
      </c>
      <c r="AJ298" s="7" t="str">
        <f t="shared" si="89"/>
        <v>Correct</v>
      </c>
      <c r="AK298" s="7"/>
      <c r="AL298" s="120" t="str">
        <f>IFERROR(VLOOKUP(Table1[RespondentID],'All Data'!$A$3:$CO$999,87,FALSE),"unknown")</f>
        <v>Woman</v>
      </c>
      <c r="AM298" s="120">
        <f>IFERROR(VLOOKUP(Table1[RespondentID],'All Data'!$A$3:$CO$999,88,FALSE),"unknown")</f>
        <v>29</v>
      </c>
      <c r="AN298" s="120" t="str">
        <f>IFERROR(VLOOKUP(Table1[RespondentID],'All Data'!$A$3:$CO$999,89,FALSE),"unknown")</f>
        <v>Nassau</v>
      </c>
      <c r="AO298" s="120" t="str">
        <f>IFERROR(VLOOKUP(Table1[RespondentID],'All Data'!$A$3:$CO$999,90,FALSE),"unknown")</f>
        <v>Baxter Estates, 11050</v>
      </c>
      <c r="AP298" s="120" t="str">
        <f>IFERROR(VLOOKUP(Table1[RespondentID],'All Data'!$A$3:$CO$999,91,FALSE),"unknown")</f>
        <v>White</v>
      </c>
      <c r="AQ298" s="120" t="str">
        <f>IFERROR(VLOOKUP(Table1[RespondentID],'All Data'!$A$3:$CO$999,92,FALSE),"unknown")</f>
        <v>Not Hispanic or Latino</v>
      </c>
      <c r="AR298" s="120" t="str">
        <f>IFERROR(VLOOKUP(Table1[RespondentID],'All Data'!$A$3:$CO$999,93,FALSE),"unknown")</f>
        <v>English</v>
      </c>
      <c r="AS298" s="120" t="str">
        <f>IFERROR(VLOOKUP(Table1[RespondentID],'All Data'!$A$3:$CW$999,94,FALSE),"unknown")</f>
        <v>$75,000 to $125,000</v>
      </c>
      <c r="AT298" s="120" t="str">
        <f>IFERROR(VLOOKUP(Table1[RespondentID],'All Data'!$A$3:$CW$999,95,FALSE),"unknown")</f>
        <v>Some college</v>
      </c>
      <c r="AU298" s="120" t="str">
        <f>IFERROR(VLOOKUP(Table1[RespondentID],'All Data'!$A$3:$CW$999,96,FALSE),"unknown")</f>
        <v>Employed for wages</v>
      </c>
      <c r="AV298" s="120" t="str">
        <f>IFERROR(VLOOKUP(Table1[RespondentID],'All Data'!$A$3:$CW$999,97,FALSE),"unknown")</f>
        <v>Yes</v>
      </c>
      <c r="AW298" s="120" t="str">
        <f>IFERROR(VLOOKUP(Table1[RespondentID],'All Data'!$A$3:$CW$999,98,FALSE),"unknown")</f>
        <v>Medicaid</v>
      </c>
      <c r="AX298" s="120" t="str">
        <f>IFERROR(VLOOKUP(Table1[RespondentID],'All Data'!$A$3:$CW$999,99,FALSE),"unknown")</f>
        <v>Yes</v>
      </c>
    </row>
    <row r="299" spans="1:50">
      <c r="A299" s="5">
        <v>18015976959</v>
      </c>
      <c r="B299" s="5" t="s">
        <v>16</v>
      </c>
      <c r="C299" s="5" t="s">
        <v>17</v>
      </c>
      <c r="D299" s="5"/>
      <c r="E299" s="5"/>
      <c r="F299" s="5"/>
      <c r="G299" s="5"/>
      <c r="H299" s="5"/>
      <c r="I299" s="5"/>
      <c r="J299" s="5" t="s">
        <v>24</v>
      </c>
      <c r="K299" s="5"/>
      <c r="L299" s="5"/>
      <c r="M299" s="5"/>
      <c r="N299" s="5"/>
      <c r="O299" s="7"/>
      <c r="P299" s="7">
        <f t="shared" si="72"/>
        <v>3</v>
      </c>
      <c r="Q299" s="9">
        <f t="shared" si="73"/>
        <v>1</v>
      </c>
      <c r="R299" s="7"/>
      <c r="S299" s="7">
        <f t="shared" si="74"/>
        <v>1</v>
      </c>
      <c r="T299" s="7">
        <f t="shared" si="75"/>
        <v>1</v>
      </c>
      <c r="U299" s="7">
        <f t="shared" si="76"/>
        <v>0</v>
      </c>
      <c r="V299" s="119">
        <f t="shared" si="77"/>
        <v>0</v>
      </c>
      <c r="W299" s="119">
        <f t="shared" si="78"/>
        <v>0</v>
      </c>
      <c r="X299" s="119">
        <f t="shared" si="79"/>
        <v>0</v>
      </c>
      <c r="Y299" s="119">
        <f t="shared" si="80"/>
        <v>0</v>
      </c>
      <c r="Z299" s="119">
        <f t="shared" si="81"/>
        <v>0</v>
      </c>
      <c r="AA299" s="119">
        <f t="shared" si="82"/>
        <v>1</v>
      </c>
      <c r="AB299" s="119">
        <f t="shared" si="83"/>
        <v>0</v>
      </c>
      <c r="AC299" s="119">
        <f t="shared" si="84"/>
        <v>0</v>
      </c>
      <c r="AD299" s="119">
        <f t="shared" si="85"/>
        <v>0</v>
      </c>
      <c r="AE299" s="119">
        <f t="shared" si="86"/>
        <v>0</v>
      </c>
      <c r="AF299" s="7"/>
      <c r="AG299" s="7"/>
      <c r="AH299" s="7">
        <f t="shared" si="87"/>
        <v>3</v>
      </c>
      <c r="AI299" s="7">
        <f t="shared" si="88"/>
        <v>3</v>
      </c>
      <c r="AJ299" s="7" t="str">
        <f t="shared" si="89"/>
        <v>Correct</v>
      </c>
      <c r="AK299" s="7"/>
      <c r="AL299" s="120" t="str">
        <f>IFERROR(VLOOKUP(Table1[RespondentID],'All Data'!$A$3:$CO$999,87,FALSE),"unknown")</f>
        <v>Woman</v>
      </c>
      <c r="AM299" s="120">
        <f>IFERROR(VLOOKUP(Table1[RespondentID],'All Data'!$A$3:$CO$999,88,FALSE),"unknown")</f>
        <v>23</v>
      </c>
      <c r="AN299" s="120" t="str">
        <f>IFERROR(VLOOKUP(Table1[RespondentID],'All Data'!$A$3:$CO$999,89,FALSE),"unknown")</f>
        <v>Queens</v>
      </c>
      <c r="AO299" s="120">
        <f>IFERROR(VLOOKUP(Table1[RespondentID],'All Data'!$A$3:$CO$999,90,FALSE),"unknown")</f>
        <v>11456</v>
      </c>
      <c r="AP299" s="120" t="str">
        <f>IFERROR(VLOOKUP(Table1[RespondentID],'All Data'!$A$3:$CO$999,91,FALSE),"unknown")</f>
        <v>White</v>
      </c>
      <c r="AQ299" s="120" t="str">
        <f>IFERROR(VLOOKUP(Table1[RespondentID],'All Data'!$A$3:$CO$999,92,FALSE),"unknown")</f>
        <v>Hispanic or Latino</v>
      </c>
      <c r="AR299" s="120" t="str">
        <f>IFERROR(VLOOKUP(Table1[RespondentID],'All Data'!$A$3:$CO$999,93,FALSE),"unknown")</f>
        <v>English</v>
      </c>
      <c r="AS299" s="120" t="str">
        <f>IFERROR(VLOOKUP(Table1[RespondentID],'All Data'!$A$3:$CW$999,94,FALSE),"unknown")</f>
        <v>$35,000 to $49,999</v>
      </c>
      <c r="AT299" s="120" t="str">
        <f>IFERROR(VLOOKUP(Table1[RespondentID],'All Data'!$A$3:$CW$999,95,FALSE),"unknown")</f>
        <v>College graduate</v>
      </c>
      <c r="AU299" s="120" t="str">
        <f>IFERROR(VLOOKUP(Table1[RespondentID],'All Data'!$A$3:$CW$999,96,FALSE),"unknown")</f>
        <v>Employed for wages</v>
      </c>
      <c r="AV299" s="120" t="str">
        <f>IFERROR(VLOOKUP(Table1[RespondentID],'All Data'!$A$3:$CW$999,97,FALSE),"unknown")</f>
        <v>Yes</v>
      </c>
      <c r="AW299" s="120" t="str">
        <f>IFERROR(VLOOKUP(Table1[RespondentID],'All Data'!$A$3:$CW$999,98,FALSE),"unknown")</f>
        <v>Medicare</v>
      </c>
      <c r="AX299" s="120" t="str">
        <f>IFERROR(VLOOKUP(Table1[RespondentID],'All Data'!$A$3:$CW$999,99,FALSE),"unknown")</f>
        <v>Yes</v>
      </c>
    </row>
    <row r="300" spans="1:50">
      <c r="A300" s="5">
        <v>18015976856</v>
      </c>
      <c r="B300" s="5"/>
      <c r="C300" s="5"/>
      <c r="D300" s="5"/>
      <c r="E300" s="5"/>
      <c r="F300" s="5"/>
      <c r="G300" s="5"/>
      <c r="H300" s="5"/>
      <c r="I300" s="5" t="s">
        <v>23</v>
      </c>
      <c r="J300" s="5"/>
      <c r="K300" s="5"/>
      <c r="L300" s="5"/>
      <c r="M300" s="5"/>
      <c r="N300" s="5"/>
      <c r="O300" s="7"/>
      <c r="P300" s="7">
        <f t="shared" si="72"/>
        <v>1</v>
      </c>
      <c r="Q300" s="8">
        <f t="shared" si="73"/>
        <v>3</v>
      </c>
      <c r="R300" s="7"/>
      <c r="S300" s="7">
        <f t="shared" si="74"/>
        <v>0</v>
      </c>
      <c r="T300" s="7">
        <f t="shared" si="75"/>
        <v>0</v>
      </c>
      <c r="U300" s="7">
        <f t="shared" si="76"/>
        <v>0</v>
      </c>
      <c r="V300" s="119">
        <f t="shared" si="77"/>
        <v>0</v>
      </c>
      <c r="W300" s="119">
        <f t="shared" si="78"/>
        <v>0</v>
      </c>
      <c r="X300" s="119">
        <f t="shared" si="79"/>
        <v>0</v>
      </c>
      <c r="Y300" s="119">
        <f t="shared" si="80"/>
        <v>0</v>
      </c>
      <c r="Z300" s="119">
        <f t="shared" si="81"/>
        <v>1</v>
      </c>
      <c r="AA300" s="119">
        <f t="shared" si="82"/>
        <v>0</v>
      </c>
      <c r="AB300" s="119">
        <f t="shared" si="83"/>
        <v>0</v>
      </c>
      <c r="AC300" s="119">
        <f t="shared" si="84"/>
        <v>0</v>
      </c>
      <c r="AD300" s="119">
        <f t="shared" si="85"/>
        <v>0</v>
      </c>
      <c r="AE300" s="119">
        <f t="shared" si="86"/>
        <v>0</v>
      </c>
      <c r="AF300" s="7"/>
      <c r="AG300" s="7"/>
      <c r="AH300" s="7">
        <f t="shared" si="87"/>
        <v>1</v>
      </c>
      <c r="AI300" s="7">
        <f t="shared" si="88"/>
        <v>1</v>
      </c>
      <c r="AJ300" s="7" t="str">
        <f t="shared" si="89"/>
        <v>Correct</v>
      </c>
      <c r="AK300" s="7"/>
      <c r="AL300" s="120" t="str">
        <f>IFERROR(VLOOKUP(Table1[RespondentID],'All Data'!$A$3:$CO$999,87,FALSE),"unknown")</f>
        <v>Man</v>
      </c>
      <c r="AM300" s="120">
        <f>IFERROR(VLOOKUP(Table1[RespondentID],'All Data'!$A$3:$CO$999,88,FALSE),"unknown")</f>
        <v>16</v>
      </c>
      <c r="AN300" s="120" t="str">
        <f>IFERROR(VLOOKUP(Table1[RespondentID],'All Data'!$A$3:$CO$999,89,FALSE),"unknown")</f>
        <v>Suffolk</v>
      </c>
      <c r="AO300" s="120" t="str">
        <f>IFERROR(VLOOKUP(Table1[RespondentID],'All Data'!$A$3:$CO$999,90,FALSE),"unknown")</f>
        <v>Head of the Harbor, 11780</v>
      </c>
      <c r="AP300" s="120" t="str">
        <f>IFERROR(VLOOKUP(Table1[RespondentID],'All Data'!$A$3:$CO$999,91,FALSE),"unknown")</f>
        <v>White</v>
      </c>
      <c r="AQ300" s="120" t="str">
        <f>IFERROR(VLOOKUP(Table1[RespondentID],'All Data'!$A$3:$CO$999,92,FALSE),"unknown")</f>
        <v>Hispanic or Latino</v>
      </c>
      <c r="AR300" s="120" t="str">
        <f>IFERROR(VLOOKUP(Table1[RespondentID],'All Data'!$A$3:$CO$999,93,FALSE),"unknown")</f>
        <v>English</v>
      </c>
      <c r="AS300" s="120" t="str">
        <f>IFERROR(VLOOKUP(Table1[RespondentID],'All Data'!$A$3:$CW$999,94,FALSE),"unknown")</f>
        <v>Over $125,000</v>
      </c>
      <c r="AT300" s="120" t="str">
        <f>IFERROR(VLOOKUP(Table1[RespondentID],'All Data'!$A$3:$CW$999,95,FALSE),"unknown")</f>
        <v>Some high school</v>
      </c>
      <c r="AU300" s="120" t="str">
        <f>IFERROR(VLOOKUP(Table1[RespondentID],'All Data'!$A$3:$CW$999,96,FALSE),"unknown")</f>
        <v>Employed for wages</v>
      </c>
      <c r="AV300" s="120" t="str">
        <f>IFERROR(VLOOKUP(Table1[RespondentID],'All Data'!$A$3:$CW$999,97,FALSE),"unknown")</f>
        <v>Yes</v>
      </c>
      <c r="AW300" s="120" t="str">
        <f>IFERROR(VLOOKUP(Table1[RespondentID],'All Data'!$A$3:$CW$999,98,FALSE),"unknown")</f>
        <v>Private/Commercial</v>
      </c>
      <c r="AX300" s="120" t="str">
        <f>IFERROR(VLOOKUP(Table1[RespondentID],'All Data'!$A$3:$CW$999,99,FALSE),"unknown")</f>
        <v>Yes</v>
      </c>
    </row>
    <row r="301" spans="1:50">
      <c r="A301" s="5">
        <v>18015956572</v>
      </c>
      <c r="B301" s="5"/>
      <c r="C301" s="5"/>
      <c r="D301" s="5"/>
      <c r="E301" s="5"/>
      <c r="F301" s="5"/>
      <c r="G301" s="5"/>
      <c r="H301" s="5"/>
      <c r="I301" s="5"/>
      <c r="J301" s="5"/>
      <c r="K301" s="5" t="s">
        <v>25</v>
      </c>
      <c r="L301" s="5"/>
      <c r="M301" s="5"/>
      <c r="N301" s="5" t="s">
        <v>28</v>
      </c>
      <c r="O301" s="7"/>
      <c r="P301" s="7">
        <f t="shared" si="72"/>
        <v>2</v>
      </c>
      <c r="Q301" s="9">
        <f t="shared" si="73"/>
        <v>1.5</v>
      </c>
      <c r="R301" s="7"/>
      <c r="S301" s="7">
        <f t="shared" si="74"/>
        <v>0</v>
      </c>
      <c r="T301" s="7">
        <f t="shared" si="75"/>
        <v>0</v>
      </c>
      <c r="U301" s="7">
        <f t="shared" si="76"/>
        <v>0</v>
      </c>
      <c r="V301" s="119">
        <f t="shared" si="77"/>
        <v>0</v>
      </c>
      <c r="W301" s="119">
        <f t="shared" si="78"/>
        <v>0</v>
      </c>
      <c r="X301" s="119">
        <f t="shared" si="79"/>
        <v>0</v>
      </c>
      <c r="Y301" s="119">
        <f t="shared" si="80"/>
        <v>0</v>
      </c>
      <c r="Z301" s="119">
        <f t="shared" si="81"/>
        <v>0</v>
      </c>
      <c r="AA301" s="119">
        <f t="shared" si="82"/>
        <v>0</v>
      </c>
      <c r="AB301" s="119">
        <f t="shared" si="83"/>
        <v>1</v>
      </c>
      <c r="AC301" s="119">
        <f t="shared" si="84"/>
        <v>0</v>
      </c>
      <c r="AD301" s="119">
        <f t="shared" si="85"/>
        <v>0</v>
      </c>
      <c r="AE301" s="119">
        <f t="shared" si="86"/>
        <v>1</v>
      </c>
      <c r="AF301" s="7"/>
      <c r="AG301" s="7"/>
      <c r="AH301" s="7">
        <f t="shared" si="87"/>
        <v>2</v>
      </c>
      <c r="AI301" s="7">
        <f t="shared" si="88"/>
        <v>2</v>
      </c>
      <c r="AJ301" s="7" t="str">
        <f t="shared" si="89"/>
        <v>Correct</v>
      </c>
      <c r="AK301" s="7"/>
      <c r="AL301" s="120" t="str">
        <f>IFERROR(VLOOKUP(Table1[RespondentID],'All Data'!$A$3:$CO$999,87,FALSE),"unknown")</f>
        <v>Man</v>
      </c>
      <c r="AM301" s="120">
        <f>IFERROR(VLOOKUP(Table1[RespondentID],'All Data'!$A$3:$CO$999,88,FALSE),"unknown")</f>
        <v>20</v>
      </c>
      <c r="AN301" s="120" t="str">
        <f>IFERROR(VLOOKUP(Table1[RespondentID],'All Data'!$A$3:$CO$999,89,FALSE),"unknown")</f>
        <v>Nassau</v>
      </c>
      <c r="AO301" s="120" t="str">
        <f>IFERROR(VLOOKUP(Table1[RespondentID],'All Data'!$A$3:$CO$999,90,FALSE),"unknown")</f>
        <v>Hempstead, 11550</v>
      </c>
      <c r="AP301" s="120" t="str">
        <f>IFERROR(VLOOKUP(Table1[RespondentID],'All Data'!$A$3:$CO$999,91,FALSE),"unknown")</f>
        <v>White</v>
      </c>
      <c r="AQ301" s="120" t="str">
        <f>IFERROR(VLOOKUP(Table1[RespondentID],'All Data'!$A$3:$CO$999,92,FALSE),"unknown")</f>
        <v>Not Hispanic or Latino</v>
      </c>
      <c r="AR301" s="120" t="str">
        <f>IFERROR(VLOOKUP(Table1[RespondentID],'All Data'!$A$3:$CO$999,93,FALSE),"unknown")</f>
        <v>Spanish</v>
      </c>
      <c r="AS301" s="120" t="str">
        <f>IFERROR(VLOOKUP(Table1[RespondentID],'All Data'!$A$3:$CW$999,94,FALSE),"unknown")</f>
        <v>$20,000 to $34,999</v>
      </c>
      <c r="AT301" s="120" t="str">
        <f>IFERROR(VLOOKUP(Table1[RespondentID],'All Data'!$A$3:$CW$999,95,FALSE),"unknown")</f>
        <v>Some college</v>
      </c>
      <c r="AU301" s="120" t="str">
        <f>IFERROR(VLOOKUP(Table1[RespondentID],'All Data'!$A$3:$CW$999,96,FALSE),"unknown")</f>
        <v>Student</v>
      </c>
      <c r="AV301" s="120" t="str">
        <f>IFERROR(VLOOKUP(Table1[RespondentID],'All Data'!$A$3:$CW$999,97,FALSE),"unknown")</f>
        <v>Yes</v>
      </c>
      <c r="AW301" s="120" t="str">
        <f>IFERROR(VLOOKUP(Table1[RespondentID],'All Data'!$A$3:$CW$999,98,FALSE),"unknown")</f>
        <v>Medicaid</v>
      </c>
      <c r="AX301" s="120" t="str">
        <f>IFERROR(VLOOKUP(Table1[RespondentID],'All Data'!$A$3:$CW$999,99,FALSE),"unknown")</f>
        <v>Yes</v>
      </c>
    </row>
    <row r="302" spans="1:50">
      <c r="A302" s="5">
        <v>18015878869</v>
      </c>
      <c r="B302" s="5" t="s">
        <v>16</v>
      </c>
      <c r="C302" s="5"/>
      <c r="D302" s="5"/>
      <c r="E302" s="5"/>
      <c r="F302" s="5"/>
      <c r="G302" s="5"/>
      <c r="H302" s="5"/>
      <c r="I302" s="5"/>
      <c r="J302" s="5"/>
      <c r="K302" s="5"/>
      <c r="L302" s="5" t="s">
        <v>26</v>
      </c>
      <c r="M302" s="5"/>
      <c r="N302" s="5" t="s">
        <v>28</v>
      </c>
      <c r="O302" s="7"/>
      <c r="P302" s="7">
        <f t="shared" si="72"/>
        <v>3</v>
      </c>
      <c r="Q302" s="8">
        <f t="shared" si="73"/>
        <v>1</v>
      </c>
      <c r="R302" s="7"/>
      <c r="S302" s="7">
        <f t="shared" si="74"/>
        <v>1</v>
      </c>
      <c r="T302" s="7">
        <f t="shared" si="75"/>
        <v>0</v>
      </c>
      <c r="U302" s="7">
        <f t="shared" si="76"/>
        <v>0</v>
      </c>
      <c r="V302" s="119">
        <f t="shared" si="77"/>
        <v>0</v>
      </c>
      <c r="W302" s="119">
        <f t="shared" si="78"/>
        <v>0</v>
      </c>
      <c r="X302" s="119">
        <f t="shared" si="79"/>
        <v>0</v>
      </c>
      <c r="Y302" s="119">
        <f t="shared" si="80"/>
        <v>0</v>
      </c>
      <c r="Z302" s="119">
        <f t="shared" si="81"/>
        <v>0</v>
      </c>
      <c r="AA302" s="119">
        <f t="shared" si="82"/>
        <v>0</v>
      </c>
      <c r="AB302" s="119">
        <f t="shared" si="83"/>
        <v>0</v>
      </c>
      <c r="AC302" s="119">
        <f t="shared" si="84"/>
        <v>1</v>
      </c>
      <c r="AD302" s="119">
        <f t="shared" si="85"/>
        <v>0</v>
      </c>
      <c r="AE302" s="119">
        <f t="shared" si="86"/>
        <v>1</v>
      </c>
      <c r="AF302" s="7"/>
      <c r="AG302" s="7"/>
      <c r="AH302" s="7">
        <f t="shared" si="87"/>
        <v>3</v>
      </c>
      <c r="AI302" s="7">
        <f t="shared" si="88"/>
        <v>3</v>
      </c>
      <c r="AJ302" s="7" t="str">
        <f t="shared" si="89"/>
        <v>Correct</v>
      </c>
      <c r="AK302" s="7"/>
      <c r="AL302" s="120" t="str">
        <f>IFERROR(VLOOKUP(Table1[RespondentID],'All Data'!$A$3:$CO$999,87,FALSE),"unknown")</f>
        <v>Woman</v>
      </c>
      <c r="AM302" s="120">
        <f>IFERROR(VLOOKUP(Table1[RespondentID],'All Data'!$A$3:$CO$999,88,FALSE),"unknown")</f>
        <v>20</v>
      </c>
      <c r="AN302" s="120" t="str">
        <f>IFERROR(VLOOKUP(Table1[RespondentID],'All Data'!$A$3:$CO$999,89,FALSE),"unknown")</f>
        <v>Nassau</v>
      </c>
      <c r="AO302" s="120" t="str">
        <f>IFERROR(VLOOKUP(Table1[RespondentID],'All Data'!$A$3:$CO$999,90,FALSE),"unknown")</f>
        <v>Freeport, 11520</v>
      </c>
      <c r="AP302" s="120" t="str">
        <f>IFERROR(VLOOKUP(Table1[RespondentID],'All Data'!$A$3:$CO$999,91,FALSE),"unknown")</f>
        <v>Other (please specify)</v>
      </c>
      <c r="AQ302" s="120" t="str">
        <f>IFERROR(VLOOKUP(Table1[RespondentID],'All Data'!$A$3:$CO$999,92,FALSE),"unknown")</f>
        <v>Not Hispanic or Latino</v>
      </c>
      <c r="AR302" s="120" t="str">
        <f>IFERROR(VLOOKUP(Table1[RespondentID],'All Data'!$A$3:$CO$999,93,FALSE),"unknown")</f>
        <v>English, Spanish</v>
      </c>
      <c r="AS302" s="120" t="str">
        <f>IFERROR(VLOOKUP(Table1[RespondentID],'All Data'!$A$3:$CW$999,94,FALSE),"unknown")</f>
        <v>$0-$19,999</v>
      </c>
      <c r="AT302" s="120" t="str">
        <f>IFERROR(VLOOKUP(Table1[RespondentID],'All Data'!$A$3:$CW$999,95,FALSE),"unknown")</f>
        <v>Some college</v>
      </c>
      <c r="AU302" s="120" t="str">
        <f>IFERROR(VLOOKUP(Table1[RespondentID],'All Data'!$A$3:$CW$999,96,FALSE),"unknown")</f>
        <v>Employed for wages</v>
      </c>
      <c r="AV302" s="120">
        <f>IFERROR(VLOOKUP(Table1[RespondentID],'All Data'!$A$3:$CW$999,97,FALSE),"unknown")</f>
        <v>0</v>
      </c>
      <c r="AW302" s="120" t="str">
        <f>IFERROR(VLOOKUP(Table1[RespondentID],'All Data'!$A$3:$CW$999,98,FALSE),"unknown")</f>
        <v>No Insurance</v>
      </c>
      <c r="AX302" s="120" t="str">
        <f>IFERROR(VLOOKUP(Table1[RespondentID],'All Data'!$A$3:$CW$999,99,FALSE),"unknown")</f>
        <v>Yes</v>
      </c>
    </row>
    <row r="303" spans="1:50">
      <c r="A303" s="5">
        <v>18015822327</v>
      </c>
      <c r="B303" s="5" t="s">
        <v>16</v>
      </c>
      <c r="C303" s="5"/>
      <c r="D303" s="5"/>
      <c r="E303" s="5"/>
      <c r="F303" s="5"/>
      <c r="G303" s="5"/>
      <c r="H303" s="5"/>
      <c r="I303" s="5" t="s">
        <v>23</v>
      </c>
      <c r="J303" s="5"/>
      <c r="K303" s="5"/>
      <c r="L303" s="5"/>
      <c r="M303" s="5"/>
      <c r="N303" s="5" t="s">
        <v>28</v>
      </c>
      <c r="O303" s="7"/>
      <c r="P303" s="7">
        <f t="shared" si="72"/>
        <v>3</v>
      </c>
      <c r="Q303" s="9">
        <f t="shared" si="73"/>
        <v>1</v>
      </c>
      <c r="R303" s="7"/>
      <c r="S303" s="7">
        <f t="shared" si="74"/>
        <v>1</v>
      </c>
      <c r="T303" s="7">
        <f t="shared" si="75"/>
        <v>0</v>
      </c>
      <c r="U303" s="7">
        <f t="shared" si="76"/>
        <v>0</v>
      </c>
      <c r="V303" s="119">
        <f t="shared" si="77"/>
        <v>0</v>
      </c>
      <c r="W303" s="119">
        <f t="shared" si="78"/>
        <v>0</v>
      </c>
      <c r="X303" s="119">
        <f t="shared" si="79"/>
        <v>0</v>
      </c>
      <c r="Y303" s="119">
        <f t="shared" si="80"/>
        <v>0</v>
      </c>
      <c r="Z303" s="119">
        <f t="shared" si="81"/>
        <v>1</v>
      </c>
      <c r="AA303" s="119">
        <f t="shared" si="82"/>
        <v>0</v>
      </c>
      <c r="AB303" s="119">
        <f t="shared" si="83"/>
        <v>0</v>
      </c>
      <c r="AC303" s="119">
        <f t="shared" si="84"/>
        <v>0</v>
      </c>
      <c r="AD303" s="119">
        <f t="shared" si="85"/>
        <v>0</v>
      </c>
      <c r="AE303" s="119">
        <f t="shared" si="86"/>
        <v>1</v>
      </c>
      <c r="AF303" s="7"/>
      <c r="AG303" s="7"/>
      <c r="AH303" s="7">
        <f t="shared" si="87"/>
        <v>3</v>
      </c>
      <c r="AI303" s="7">
        <f t="shared" si="88"/>
        <v>3</v>
      </c>
      <c r="AJ303" s="7" t="str">
        <f t="shared" si="89"/>
        <v>Correct</v>
      </c>
      <c r="AK303" s="7"/>
      <c r="AL303" s="120" t="str">
        <f>IFERROR(VLOOKUP(Table1[RespondentID],'All Data'!$A$3:$CO$999,87,FALSE),"unknown")</f>
        <v>Man</v>
      </c>
      <c r="AM303" s="120">
        <f>IFERROR(VLOOKUP(Table1[RespondentID],'All Data'!$A$3:$CO$999,88,FALSE),"unknown")</f>
        <v>21</v>
      </c>
      <c r="AN303" s="120" t="str">
        <f>IFERROR(VLOOKUP(Table1[RespondentID],'All Data'!$A$3:$CO$999,89,FALSE),"unknown")</f>
        <v>Nassau</v>
      </c>
      <c r="AO303" s="120" t="str">
        <f>IFERROR(VLOOKUP(Table1[RespondentID],'All Data'!$A$3:$CO$999,90,FALSE),"unknown")</f>
        <v>Uniondale, 11553</v>
      </c>
      <c r="AP303" s="120">
        <f>IFERROR(VLOOKUP(Table1[RespondentID],'All Data'!$A$3:$CO$999,91,FALSE),"unknown")</f>
        <v>0</v>
      </c>
      <c r="AQ303" s="120" t="str">
        <f>IFERROR(VLOOKUP(Table1[RespondentID],'All Data'!$A$3:$CO$999,92,FALSE),"unknown")</f>
        <v>Not Hispanic or Latino</v>
      </c>
      <c r="AR303" s="120" t="str">
        <f>IFERROR(VLOOKUP(Table1[RespondentID],'All Data'!$A$3:$CO$999,93,FALSE),"unknown")</f>
        <v>English, Spanish</v>
      </c>
      <c r="AS303" s="120">
        <f>IFERROR(VLOOKUP(Table1[RespondentID],'All Data'!$A$3:$CW$999,94,FALSE),"unknown")</f>
        <v>0</v>
      </c>
      <c r="AT303" s="120" t="str">
        <f>IFERROR(VLOOKUP(Table1[RespondentID],'All Data'!$A$3:$CW$999,95,FALSE),"unknown")</f>
        <v>High school graduate</v>
      </c>
      <c r="AU303" s="120" t="str">
        <f>IFERROR(VLOOKUP(Table1[RespondentID],'All Data'!$A$3:$CW$999,96,FALSE),"unknown")</f>
        <v>Out of work and looking for work</v>
      </c>
      <c r="AV303" s="120" t="str">
        <f>IFERROR(VLOOKUP(Table1[RespondentID],'All Data'!$A$3:$CW$999,97,FALSE),"unknown")</f>
        <v>Yes</v>
      </c>
      <c r="AW303" s="120" t="str">
        <f>IFERROR(VLOOKUP(Table1[RespondentID],'All Data'!$A$3:$CW$999,98,FALSE),"unknown")</f>
        <v>Medicaid</v>
      </c>
      <c r="AX303" s="120" t="str">
        <f>IFERROR(VLOOKUP(Table1[RespondentID],'All Data'!$A$3:$CW$999,99,FALSE),"unknown")</f>
        <v>Yes</v>
      </c>
    </row>
    <row r="304" spans="1:50">
      <c r="A304" s="5">
        <v>18015503169</v>
      </c>
      <c r="B304" s="5"/>
      <c r="C304" s="5"/>
      <c r="D304" s="5"/>
      <c r="E304" s="5"/>
      <c r="F304" s="5" t="s">
        <v>20</v>
      </c>
      <c r="G304" s="5"/>
      <c r="H304" s="5" t="s">
        <v>22</v>
      </c>
      <c r="I304" s="5"/>
      <c r="J304" s="5"/>
      <c r="K304" s="5"/>
      <c r="L304" s="5" t="s">
        <v>26</v>
      </c>
      <c r="M304" s="5"/>
      <c r="N304" s="5"/>
      <c r="O304" s="7"/>
      <c r="P304" s="7">
        <f t="shared" si="72"/>
        <v>3</v>
      </c>
      <c r="Q304" s="8">
        <f t="shared" si="73"/>
        <v>1</v>
      </c>
      <c r="R304" s="7"/>
      <c r="S304" s="7">
        <f t="shared" si="74"/>
        <v>0</v>
      </c>
      <c r="T304" s="7">
        <f t="shared" si="75"/>
        <v>0</v>
      </c>
      <c r="U304" s="7">
        <f t="shared" si="76"/>
        <v>0</v>
      </c>
      <c r="V304" s="119">
        <f t="shared" si="77"/>
        <v>0</v>
      </c>
      <c r="W304" s="119">
        <f t="shared" si="78"/>
        <v>1</v>
      </c>
      <c r="X304" s="119">
        <f t="shared" si="79"/>
        <v>0</v>
      </c>
      <c r="Y304" s="119">
        <f t="shared" si="80"/>
        <v>1</v>
      </c>
      <c r="Z304" s="119">
        <f t="shared" si="81"/>
        <v>0</v>
      </c>
      <c r="AA304" s="119">
        <f t="shared" si="82"/>
        <v>0</v>
      </c>
      <c r="AB304" s="119">
        <f t="shared" si="83"/>
        <v>0</v>
      </c>
      <c r="AC304" s="119">
        <f t="shared" si="84"/>
        <v>1</v>
      </c>
      <c r="AD304" s="119">
        <f t="shared" si="85"/>
        <v>0</v>
      </c>
      <c r="AE304" s="119">
        <f t="shared" si="86"/>
        <v>0</v>
      </c>
      <c r="AF304" s="7"/>
      <c r="AG304" s="7"/>
      <c r="AH304" s="7">
        <f t="shared" si="87"/>
        <v>3</v>
      </c>
      <c r="AI304" s="7">
        <f t="shared" si="88"/>
        <v>3</v>
      </c>
      <c r="AJ304" s="7" t="str">
        <f t="shared" si="89"/>
        <v>Correct</v>
      </c>
      <c r="AK304" s="7"/>
      <c r="AL304" s="120" t="str">
        <f>IFERROR(VLOOKUP(Table1[RespondentID],'All Data'!$A$3:$CO$999,87,FALSE),"unknown")</f>
        <v>Man</v>
      </c>
      <c r="AM304" s="120">
        <f>IFERROR(VLOOKUP(Table1[RespondentID],'All Data'!$A$3:$CO$999,88,FALSE),"unknown")</f>
        <v>18</v>
      </c>
      <c r="AN304" s="120" t="str">
        <f>IFERROR(VLOOKUP(Table1[RespondentID],'All Data'!$A$3:$CO$999,89,FALSE),"unknown")</f>
        <v>Nassau</v>
      </c>
      <c r="AO304" s="120" t="str">
        <f>IFERROR(VLOOKUP(Table1[RespondentID],'All Data'!$A$3:$CO$999,90,FALSE),"unknown")</f>
        <v>Lake Success, 11020</v>
      </c>
      <c r="AP304" s="120" t="str">
        <f>IFERROR(VLOOKUP(Table1[RespondentID],'All Data'!$A$3:$CO$999,91,FALSE),"unknown")</f>
        <v>White</v>
      </c>
      <c r="AQ304" s="120" t="str">
        <f>IFERROR(VLOOKUP(Table1[RespondentID],'All Data'!$A$3:$CO$999,92,FALSE),"unknown")</f>
        <v>Not Hispanic or Latino</v>
      </c>
      <c r="AR304" s="120" t="str">
        <f>IFERROR(VLOOKUP(Table1[RespondentID],'All Data'!$A$3:$CO$999,93,FALSE),"unknown")</f>
        <v>English</v>
      </c>
      <c r="AS304" s="120" t="str">
        <f>IFERROR(VLOOKUP(Table1[RespondentID],'All Data'!$A$3:$CW$999,94,FALSE),"unknown")</f>
        <v>$0-$19,999</v>
      </c>
      <c r="AT304" s="120" t="str">
        <f>IFERROR(VLOOKUP(Table1[RespondentID],'All Data'!$A$3:$CW$999,95,FALSE),"unknown")</f>
        <v>College graduate</v>
      </c>
      <c r="AU304" s="120" t="str">
        <f>IFERROR(VLOOKUP(Table1[RespondentID],'All Data'!$A$3:$CW$999,96,FALSE),"unknown")</f>
        <v>Employed for wages</v>
      </c>
      <c r="AV304" s="120" t="str">
        <f>IFERROR(VLOOKUP(Table1[RespondentID],'All Data'!$A$3:$CW$999,97,FALSE),"unknown")</f>
        <v>Yes</v>
      </c>
      <c r="AW304" s="120" t="str">
        <f>IFERROR(VLOOKUP(Table1[RespondentID],'All Data'!$A$3:$CW$999,98,FALSE),"unknown")</f>
        <v>Medicare</v>
      </c>
      <c r="AX304" s="120" t="str">
        <f>IFERROR(VLOOKUP(Table1[RespondentID],'All Data'!$A$3:$CW$999,99,FALSE),"unknown")</f>
        <v>Yes</v>
      </c>
    </row>
    <row r="305" spans="1:50">
      <c r="A305" s="5">
        <v>18015489362</v>
      </c>
      <c r="B305" s="5"/>
      <c r="C305" s="5"/>
      <c r="D305" s="5"/>
      <c r="E305" s="5" t="s">
        <v>19</v>
      </c>
      <c r="F305" s="5"/>
      <c r="G305" s="5" t="s">
        <v>21</v>
      </c>
      <c r="H305" s="5"/>
      <c r="I305" s="5"/>
      <c r="J305" s="5"/>
      <c r="K305" s="5" t="s">
        <v>25</v>
      </c>
      <c r="L305" s="5"/>
      <c r="M305" s="5"/>
      <c r="N305" s="5"/>
      <c r="O305" s="7"/>
      <c r="P305" s="7">
        <f t="shared" si="72"/>
        <v>3</v>
      </c>
      <c r="Q305" s="9">
        <f t="shared" si="73"/>
        <v>1</v>
      </c>
      <c r="R305" s="7"/>
      <c r="S305" s="7">
        <f t="shared" si="74"/>
        <v>0</v>
      </c>
      <c r="T305" s="7">
        <f t="shared" si="75"/>
        <v>0</v>
      </c>
      <c r="U305" s="7">
        <f t="shared" si="76"/>
        <v>0</v>
      </c>
      <c r="V305" s="119">
        <f t="shared" si="77"/>
        <v>1</v>
      </c>
      <c r="W305" s="119">
        <f t="shared" si="78"/>
        <v>0</v>
      </c>
      <c r="X305" s="119">
        <f t="shared" si="79"/>
        <v>1</v>
      </c>
      <c r="Y305" s="119">
        <f t="shared" si="80"/>
        <v>0</v>
      </c>
      <c r="Z305" s="119">
        <f t="shared" si="81"/>
        <v>0</v>
      </c>
      <c r="AA305" s="119">
        <f t="shared" si="82"/>
        <v>0</v>
      </c>
      <c r="AB305" s="119">
        <f t="shared" si="83"/>
        <v>1</v>
      </c>
      <c r="AC305" s="119">
        <f t="shared" si="84"/>
        <v>0</v>
      </c>
      <c r="AD305" s="119">
        <f t="shared" si="85"/>
        <v>0</v>
      </c>
      <c r="AE305" s="119">
        <f t="shared" si="86"/>
        <v>0</v>
      </c>
      <c r="AF305" s="7"/>
      <c r="AG305" s="7"/>
      <c r="AH305" s="7">
        <f t="shared" si="87"/>
        <v>3</v>
      </c>
      <c r="AI305" s="7">
        <f t="shared" si="88"/>
        <v>3</v>
      </c>
      <c r="AJ305" s="7" t="str">
        <f t="shared" si="89"/>
        <v>Correct</v>
      </c>
      <c r="AK305" s="7"/>
      <c r="AL305" s="120" t="str">
        <f>IFERROR(VLOOKUP(Table1[RespondentID],'All Data'!$A$3:$CO$999,87,FALSE),"unknown")</f>
        <v>Man</v>
      </c>
      <c r="AM305" s="120">
        <f>IFERROR(VLOOKUP(Table1[RespondentID],'All Data'!$A$3:$CO$999,88,FALSE),"unknown")</f>
        <v>18</v>
      </c>
      <c r="AN305" s="120" t="str">
        <f>IFERROR(VLOOKUP(Table1[RespondentID],'All Data'!$A$3:$CO$999,89,FALSE),"unknown")</f>
        <v>Suffolk</v>
      </c>
      <c r="AO305" s="120" t="str">
        <f>IFERROR(VLOOKUP(Table1[RespondentID],'All Data'!$A$3:$CO$999,90,FALSE),"unknown")</f>
        <v>Smithtown, 11745</v>
      </c>
      <c r="AP305" s="120" t="str">
        <f>IFERROR(VLOOKUP(Table1[RespondentID],'All Data'!$A$3:$CO$999,91,FALSE),"unknown")</f>
        <v>White</v>
      </c>
      <c r="AQ305" s="120" t="str">
        <f>IFERROR(VLOOKUP(Table1[RespondentID],'All Data'!$A$3:$CO$999,92,FALSE),"unknown")</f>
        <v>Hispanic or Latino</v>
      </c>
      <c r="AR305" s="120" t="str">
        <f>IFERROR(VLOOKUP(Table1[RespondentID],'All Data'!$A$3:$CO$999,93,FALSE),"unknown")</f>
        <v>English</v>
      </c>
      <c r="AS305" s="120" t="str">
        <f>IFERROR(VLOOKUP(Table1[RespondentID],'All Data'!$A$3:$CW$999,94,FALSE),"unknown")</f>
        <v>Over $125,000</v>
      </c>
      <c r="AT305" s="120" t="str">
        <f>IFERROR(VLOOKUP(Table1[RespondentID],'All Data'!$A$3:$CW$999,95,FALSE),"unknown")</f>
        <v>College graduate</v>
      </c>
      <c r="AU305" s="120" t="str">
        <f>IFERROR(VLOOKUP(Table1[RespondentID],'All Data'!$A$3:$CW$999,96,FALSE),"unknown")</f>
        <v>Employed for wages</v>
      </c>
      <c r="AV305" s="120" t="str">
        <f>IFERROR(VLOOKUP(Table1[RespondentID],'All Data'!$A$3:$CW$999,97,FALSE),"unknown")</f>
        <v>Yes</v>
      </c>
      <c r="AW305" s="120" t="str">
        <f>IFERROR(VLOOKUP(Table1[RespondentID],'All Data'!$A$3:$CW$999,98,FALSE),"unknown")</f>
        <v>Private/Commercial</v>
      </c>
      <c r="AX305" s="120" t="str">
        <f>IFERROR(VLOOKUP(Table1[RespondentID],'All Data'!$A$3:$CW$999,99,FALSE),"unknown")</f>
        <v>Yes</v>
      </c>
    </row>
    <row r="306" spans="1:50">
      <c r="A306" s="5">
        <v>18015152631</v>
      </c>
      <c r="B306" s="5"/>
      <c r="C306" s="5"/>
      <c r="D306" s="5"/>
      <c r="E306" s="5"/>
      <c r="F306" s="5"/>
      <c r="G306" s="5"/>
      <c r="H306" s="5"/>
      <c r="I306" s="5"/>
      <c r="J306" s="5"/>
      <c r="K306" s="5"/>
      <c r="L306" s="5"/>
      <c r="M306" s="5"/>
      <c r="N306" s="5" t="s">
        <v>28</v>
      </c>
      <c r="O306" s="7"/>
      <c r="P306" s="7">
        <f t="shared" si="72"/>
        <v>1</v>
      </c>
      <c r="Q306" s="8">
        <f t="shared" si="73"/>
        <v>3</v>
      </c>
      <c r="R306" s="7"/>
      <c r="S306" s="7">
        <f t="shared" si="74"/>
        <v>0</v>
      </c>
      <c r="T306" s="7">
        <f t="shared" si="75"/>
        <v>0</v>
      </c>
      <c r="U306" s="7">
        <f t="shared" si="76"/>
        <v>0</v>
      </c>
      <c r="V306" s="119">
        <f t="shared" si="77"/>
        <v>0</v>
      </c>
      <c r="W306" s="119">
        <f t="shared" si="78"/>
        <v>0</v>
      </c>
      <c r="X306" s="119">
        <f t="shared" si="79"/>
        <v>0</v>
      </c>
      <c r="Y306" s="119">
        <f t="shared" si="80"/>
        <v>0</v>
      </c>
      <c r="Z306" s="119">
        <f t="shared" si="81"/>
        <v>0</v>
      </c>
      <c r="AA306" s="119">
        <f t="shared" si="82"/>
        <v>0</v>
      </c>
      <c r="AB306" s="119">
        <f t="shared" si="83"/>
        <v>0</v>
      </c>
      <c r="AC306" s="119">
        <f t="shared" si="84"/>
        <v>0</v>
      </c>
      <c r="AD306" s="119">
        <f t="shared" si="85"/>
        <v>0</v>
      </c>
      <c r="AE306" s="119">
        <f t="shared" si="86"/>
        <v>1</v>
      </c>
      <c r="AF306" s="7"/>
      <c r="AG306" s="7"/>
      <c r="AH306" s="7">
        <f t="shared" si="87"/>
        <v>1</v>
      </c>
      <c r="AI306" s="7">
        <f t="shared" si="88"/>
        <v>1</v>
      </c>
      <c r="AJ306" s="7" t="str">
        <f t="shared" si="89"/>
        <v>Correct</v>
      </c>
      <c r="AK306" s="7"/>
      <c r="AL306" s="120" t="str">
        <f>IFERROR(VLOOKUP(Table1[RespondentID],'All Data'!$A$3:$CO$999,87,FALSE),"unknown")</f>
        <v>Woman</v>
      </c>
      <c r="AM306" s="120">
        <f>IFERROR(VLOOKUP(Table1[RespondentID],'All Data'!$A$3:$CO$999,88,FALSE),"unknown")</f>
        <v>31</v>
      </c>
      <c r="AN306" s="120" t="str">
        <f>IFERROR(VLOOKUP(Table1[RespondentID],'All Data'!$A$3:$CO$999,89,FALSE),"unknown")</f>
        <v>Queens</v>
      </c>
      <c r="AO306" s="120">
        <f>IFERROR(VLOOKUP(Table1[RespondentID],'All Data'!$A$3:$CO$999,90,FALSE),"unknown")</f>
        <v>0</v>
      </c>
      <c r="AP306" s="120">
        <f>IFERROR(VLOOKUP(Table1[RespondentID],'All Data'!$A$3:$CO$999,91,FALSE),"unknown")</f>
        <v>0</v>
      </c>
      <c r="AQ306" s="120">
        <f>IFERROR(VLOOKUP(Table1[RespondentID],'All Data'!$A$3:$CO$999,92,FALSE),"unknown")</f>
        <v>0</v>
      </c>
      <c r="AR306" s="120">
        <f>IFERROR(VLOOKUP(Table1[RespondentID],'All Data'!$A$3:$CO$999,93,FALSE),"unknown")</f>
        <v>0</v>
      </c>
      <c r="AS306" s="120">
        <f>IFERROR(VLOOKUP(Table1[RespondentID],'All Data'!$A$3:$CW$999,94,FALSE),"unknown")</f>
        <v>0</v>
      </c>
      <c r="AT306" s="120">
        <f>IFERROR(VLOOKUP(Table1[RespondentID],'All Data'!$A$3:$CW$999,95,FALSE),"unknown")</f>
        <v>0</v>
      </c>
      <c r="AU306" s="120">
        <f>IFERROR(VLOOKUP(Table1[RespondentID],'All Data'!$A$3:$CW$999,96,FALSE),"unknown")</f>
        <v>0</v>
      </c>
      <c r="AV306" s="120">
        <f>IFERROR(VLOOKUP(Table1[RespondentID],'All Data'!$A$3:$CW$999,97,FALSE),"unknown")</f>
        <v>0</v>
      </c>
      <c r="AW306" s="120">
        <f>IFERROR(VLOOKUP(Table1[RespondentID],'All Data'!$A$3:$CW$999,98,FALSE),"unknown")</f>
        <v>0</v>
      </c>
      <c r="AX306" s="120">
        <f>IFERROR(VLOOKUP(Table1[RespondentID],'All Data'!$A$3:$CW$999,99,FALSE),"unknown")</f>
        <v>0</v>
      </c>
    </row>
    <row r="307" spans="1:50">
      <c r="A307" s="5">
        <v>18014932720</v>
      </c>
      <c r="B307" s="5"/>
      <c r="C307" s="5" t="s">
        <v>17</v>
      </c>
      <c r="D307" s="5"/>
      <c r="E307" s="5"/>
      <c r="F307" s="5"/>
      <c r="G307" s="5"/>
      <c r="H307" s="5"/>
      <c r="I307" s="5" t="s">
        <v>23</v>
      </c>
      <c r="J307" s="5"/>
      <c r="K307" s="5"/>
      <c r="L307" s="5"/>
      <c r="M307" s="5"/>
      <c r="N307" s="5" t="s">
        <v>28</v>
      </c>
      <c r="O307" s="7"/>
      <c r="P307" s="7">
        <f t="shared" si="72"/>
        <v>3</v>
      </c>
      <c r="Q307" s="9">
        <f t="shared" si="73"/>
        <v>1</v>
      </c>
      <c r="R307" s="7"/>
      <c r="S307" s="7">
        <f t="shared" si="74"/>
        <v>0</v>
      </c>
      <c r="T307" s="7">
        <f t="shared" si="75"/>
        <v>1</v>
      </c>
      <c r="U307" s="7">
        <f t="shared" si="76"/>
        <v>0</v>
      </c>
      <c r="V307" s="119">
        <f t="shared" si="77"/>
        <v>0</v>
      </c>
      <c r="W307" s="119">
        <f t="shared" si="78"/>
        <v>0</v>
      </c>
      <c r="X307" s="119">
        <f t="shared" si="79"/>
        <v>0</v>
      </c>
      <c r="Y307" s="119">
        <f t="shared" si="80"/>
        <v>0</v>
      </c>
      <c r="Z307" s="119">
        <f t="shared" si="81"/>
        <v>1</v>
      </c>
      <c r="AA307" s="119">
        <f t="shared" si="82"/>
        <v>0</v>
      </c>
      <c r="AB307" s="119">
        <f t="shared" si="83"/>
        <v>0</v>
      </c>
      <c r="AC307" s="119">
        <f t="shared" si="84"/>
        <v>0</v>
      </c>
      <c r="AD307" s="119">
        <f t="shared" si="85"/>
        <v>0</v>
      </c>
      <c r="AE307" s="119">
        <f t="shared" si="86"/>
        <v>1</v>
      </c>
      <c r="AF307" s="7"/>
      <c r="AG307" s="7"/>
      <c r="AH307" s="7">
        <f t="shared" si="87"/>
        <v>3</v>
      </c>
      <c r="AI307" s="7">
        <f t="shared" si="88"/>
        <v>3</v>
      </c>
      <c r="AJ307" s="7" t="str">
        <f t="shared" si="89"/>
        <v>Correct</v>
      </c>
      <c r="AK307" s="7"/>
      <c r="AL307" s="120" t="str">
        <f>IFERROR(VLOOKUP(Table1[RespondentID],'All Data'!$A$3:$CO$999,87,FALSE),"unknown")</f>
        <v>Man</v>
      </c>
      <c r="AM307" s="120">
        <f>IFERROR(VLOOKUP(Table1[RespondentID],'All Data'!$A$3:$CO$999,88,FALSE),"unknown")</f>
        <v>45</v>
      </c>
      <c r="AN307" s="120" t="str">
        <f>IFERROR(VLOOKUP(Table1[RespondentID],'All Data'!$A$3:$CO$999,89,FALSE),"unknown")</f>
        <v>Suffolk</v>
      </c>
      <c r="AO307" s="120" t="str">
        <f>IFERROR(VLOOKUP(Table1[RespondentID],'All Data'!$A$3:$CO$999,90,FALSE),"unknown")</f>
        <v>Smithtown, 11787</v>
      </c>
      <c r="AP307" s="120" t="str">
        <f>IFERROR(VLOOKUP(Table1[RespondentID],'All Data'!$A$3:$CO$999,91,FALSE),"unknown")</f>
        <v>American Indian and Alaska Native</v>
      </c>
      <c r="AQ307" s="120" t="str">
        <f>IFERROR(VLOOKUP(Table1[RespondentID],'All Data'!$A$3:$CO$999,92,FALSE),"unknown")</f>
        <v>Hispanic or Latino</v>
      </c>
      <c r="AR307" s="120" t="str">
        <f>IFERROR(VLOOKUP(Table1[RespondentID],'All Data'!$A$3:$CO$999,93,FALSE),"unknown")</f>
        <v>English</v>
      </c>
      <c r="AS307" s="120" t="str">
        <f>IFERROR(VLOOKUP(Table1[RespondentID],'All Data'!$A$3:$CW$999,94,FALSE),"unknown")</f>
        <v>Over $125,000</v>
      </c>
      <c r="AT307" s="120" t="str">
        <f>IFERROR(VLOOKUP(Table1[RespondentID],'All Data'!$A$3:$CW$999,95,FALSE),"unknown")</f>
        <v>Doctorate</v>
      </c>
      <c r="AU307" s="120" t="str">
        <f>IFERROR(VLOOKUP(Table1[RespondentID],'All Data'!$A$3:$CW$999,96,FALSE),"unknown")</f>
        <v>Self-employed</v>
      </c>
      <c r="AV307" s="120" t="str">
        <f>IFERROR(VLOOKUP(Table1[RespondentID],'All Data'!$A$3:$CW$999,97,FALSE),"unknown")</f>
        <v>Yes</v>
      </c>
      <c r="AW307" s="120" t="str">
        <f>IFERROR(VLOOKUP(Table1[RespondentID],'All Data'!$A$3:$CW$999,98,FALSE),"unknown")</f>
        <v>Private/Commercial</v>
      </c>
      <c r="AX307" s="120" t="str">
        <f>IFERROR(VLOOKUP(Table1[RespondentID],'All Data'!$A$3:$CW$999,99,FALSE),"unknown")</f>
        <v>Yes</v>
      </c>
    </row>
    <row r="308" spans="1:50">
      <c r="A308" s="5">
        <v>18014930527</v>
      </c>
      <c r="B308" s="5"/>
      <c r="C308" s="5"/>
      <c r="D308" s="5" t="s">
        <v>18</v>
      </c>
      <c r="E308" s="5"/>
      <c r="F308" s="5"/>
      <c r="G308" s="5"/>
      <c r="H308" s="5"/>
      <c r="I308" s="5"/>
      <c r="J308" s="5" t="s">
        <v>24</v>
      </c>
      <c r="K308" s="5"/>
      <c r="L308" s="5"/>
      <c r="M308" s="5"/>
      <c r="N308" s="5" t="s">
        <v>28</v>
      </c>
      <c r="O308" s="7"/>
      <c r="P308" s="7">
        <f t="shared" si="72"/>
        <v>3</v>
      </c>
      <c r="Q308" s="8">
        <f t="shared" si="73"/>
        <v>1</v>
      </c>
      <c r="R308" s="7"/>
      <c r="S308" s="7">
        <f t="shared" si="74"/>
        <v>0</v>
      </c>
      <c r="T308" s="7">
        <f t="shared" si="75"/>
        <v>0</v>
      </c>
      <c r="U308" s="7">
        <f t="shared" si="76"/>
        <v>1</v>
      </c>
      <c r="V308" s="119">
        <f t="shared" si="77"/>
        <v>0</v>
      </c>
      <c r="W308" s="119">
        <f t="shared" si="78"/>
        <v>0</v>
      </c>
      <c r="X308" s="119">
        <f t="shared" si="79"/>
        <v>0</v>
      </c>
      <c r="Y308" s="119">
        <f t="shared" si="80"/>
        <v>0</v>
      </c>
      <c r="Z308" s="119">
        <f t="shared" si="81"/>
        <v>0</v>
      </c>
      <c r="AA308" s="119">
        <f t="shared" si="82"/>
        <v>1</v>
      </c>
      <c r="AB308" s="119">
        <f t="shared" si="83"/>
        <v>0</v>
      </c>
      <c r="AC308" s="119">
        <f t="shared" si="84"/>
        <v>0</v>
      </c>
      <c r="AD308" s="119">
        <f t="shared" si="85"/>
        <v>0</v>
      </c>
      <c r="AE308" s="119">
        <f t="shared" si="86"/>
        <v>1</v>
      </c>
      <c r="AF308" s="7"/>
      <c r="AG308" s="7"/>
      <c r="AH308" s="7">
        <f t="shared" si="87"/>
        <v>3</v>
      </c>
      <c r="AI308" s="7">
        <f t="shared" si="88"/>
        <v>3</v>
      </c>
      <c r="AJ308" s="7" t="str">
        <f t="shared" si="89"/>
        <v>Correct</v>
      </c>
      <c r="AK308" s="7"/>
      <c r="AL308" s="120" t="str">
        <f>IFERROR(VLOOKUP(Table1[RespondentID],'All Data'!$A$3:$CO$999,87,FALSE),"unknown")</f>
        <v>Woman</v>
      </c>
      <c r="AM308" s="120">
        <f>IFERROR(VLOOKUP(Table1[RespondentID],'All Data'!$A$3:$CO$999,88,FALSE),"unknown")</f>
        <v>44</v>
      </c>
      <c r="AN308" s="120" t="str">
        <f>IFERROR(VLOOKUP(Table1[RespondentID],'All Data'!$A$3:$CO$999,89,FALSE),"unknown")</f>
        <v>Suffolk</v>
      </c>
      <c r="AO308" s="120" t="str">
        <f>IFERROR(VLOOKUP(Table1[RespondentID],'All Data'!$A$3:$CO$999,90,FALSE),"unknown")</f>
        <v>Smithtown, 11787</v>
      </c>
      <c r="AP308" s="120" t="str">
        <f>IFERROR(VLOOKUP(Table1[RespondentID],'All Data'!$A$3:$CO$999,91,FALSE),"unknown")</f>
        <v>American Indian and Alaska Native</v>
      </c>
      <c r="AQ308" s="120" t="str">
        <f>IFERROR(VLOOKUP(Table1[RespondentID],'All Data'!$A$3:$CO$999,92,FALSE),"unknown")</f>
        <v>Hispanic or Latino</v>
      </c>
      <c r="AR308" s="120" t="str">
        <f>IFERROR(VLOOKUP(Table1[RespondentID],'All Data'!$A$3:$CO$999,93,FALSE),"unknown")</f>
        <v>English</v>
      </c>
      <c r="AS308" s="120" t="str">
        <f>IFERROR(VLOOKUP(Table1[RespondentID],'All Data'!$A$3:$CW$999,94,FALSE),"unknown")</f>
        <v>Over $125,000</v>
      </c>
      <c r="AT308" s="120" t="str">
        <f>IFERROR(VLOOKUP(Table1[RespondentID],'All Data'!$A$3:$CW$999,95,FALSE),"unknown")</f>
        <v>Doctorate</v>
      </c>
      <c r="AU308" s="120" t="str">
        <f>IFERROR(VLOOKUP(Table1[RespondentID],'All Data'!$A$3:$CW$999,96,FALSE),"unknown")</f>
        <v>Self-employed</v>
      </c>
      <c r="AV308" s="120" t="str">
        <f>IFERROR(VLOOKUP(Table1[RespondentID],'All Data'!$A$3:$CW$999,97,FALSE),"unknown")</f>
        <v>Yes</v>
      </c>
      <c r="AW308" s="120" t="str">
        <f>IFERROR(VLOOKUP(Table1[RespondentID],'All Data'!$A$3:$CW$999,98,FALSE),"unknown")</f>
        <v>Private/Commercial</v>
      </c>
      <c r="AX308" s="120" t="str">
        <f>IFERROR(VLOOKUP(Table1[RespondentID],'All Data'!$A$3:$CW$999,99,FALSE),"unknown")</f>
        <v>Yes</v>
      </c>
    </row>
    <row r="309" spans="1:50">
      <c r="A309" s="5">
        <v>18014783155</v>
      </c>
      <c r="B309" s="5" t="s">
        <v>16</v>
      </c>
      <c r="C309" s="5"/>
      <c r="D309" s="5"/>
      <c r="E309" s="5"/>
      <c r="F309" s="5"/>
      <c r="G309" s="5"/>
      <c r="H309" s="5"/>
      <c r="I309" s="5"/>
      <c r="J309" s="5"/>
      <c r="K309" s="5"/>
      <c r="L309" s="5"/>
      <c r="M309" s="5"/>
      <c r="N309" s="5"/>
      <c r="O309" s="7"/>
      <c r="P309" s="7">
        <f t="shared" si="72"/>
        <v>1</v>
      </c>
      <c r="Q309" s="9">
        <f t="shared" si="73"/>
        <v>3</v>
      </c>
      <c r="R309" s="7"/>
      <c r="S309" s="7">
        <f t="shared" si="74"/>
        <v>1</v>
      </c>
      <c r="T309" s="7">
        <f t="shared" si="75"/>
        <v>0</v>
      </c>
      <c r="U309" s="7">
        <f t="shared" si="76"/>
        <v>0</v>
      </c>
      <c r="V309" s="119">
        <f t="shared" si="77"/>
        <v>0</v>
      </c>
      <c r="W309" s="119">
        <f t="shared" si="78"/>
        <v>0</v>
      </c>
      <c r="X309" s="119">
        <f t="shared" si="79"/>
        <v>0</v>
      </c>
      <c r="Y309" s="119">
        <f t="shared" si="80"/>
        <v>0</v>
      </c>
      <c r="Z309" s="119">
        <f t="shared" si="81"/>
        <v>0</v>
      </c>
      <c r="AA309" s="119">
        <f t="shared" si="82"/>
        <v>0</v>
      </c>
      <c r="AB309" s="119">
        <f t="shared" si="83"/>
        <v>0</v>
      </c>
      <c r="AC309" s="119">
        <f t="shared" si="84"/>
        <v>0</v>
      </c>
      <c r="AD309" s="119">
        <f t="shared" si="85"/>
        <v>0</v>
      </c>
      <c r="AE309" s="119">
        <f t="shared" si="86"/>
        <v>0</v>
      </c>
      <c r="AF309" s="7"/>
      <c r="AG309" s="7"/>
      <c r="AH309" s="7">
        <f t="shared" si="87"/>
        <v>1</v>
      </c>
      <c r="AI309" s="7">
        <f t="shared" si="88"/>
        <v>1</v>
      </c>
      <c r="AJ309" s="7" t="str">
        <f t="shared" si="89"/>
        <v>Correct</v>
      </c>
      <c r="AK309" s="7"/>
      <c r="AL309" s="120">
        <f>IFERROR(VLOOKUP(Table1[RespondentID],'All Data'!$A$3:$CO$999,87,FALSE),"unknown")</f>
        <v>0</v>
      </c>
      <c r="AM309" s="120">
        <f>IFERROR(VLOOKUP(Table1[RespondentID],'All Data'!$A$3:$CO$999,88,FALSE),"unknown")</f>
        <v>0</v>
      </c>
      <c r="AN309" s="120">
        <f>IFERROR(VLOOKUP(Table1[RespondentID],'All Data'!$A$3:$CO$999,89,FALSE),"unknown")</f>
        <v>0</v>
      </c>
      <c r="AO309" s="120">
        <f>IFERROR(VLOOKUP(Table1[RespondentID],'All Data'!$A$3:$CO$999,90,FALSE),"unknown")</f>
        <v>0</v>
      </c>
      <c r="AP309" s="120">
        <f>IFERROR(VLOOKUP(Table1[RespondentID],'All Data'!$A$3:$CO$999,91,FALSE),"unknown")</f>
        <v>0</v>
      </c>
      <c r="AQ309" s="120">
        <f>IFERROR(VLOOKUP(Table1[RespondentID],'All Data'!$A$3:$CO$999,92,FALSE),"unknown")</f>
        <v>0</v>
      </c>
      <c r="AR309" s="120">
        <f>IFERROR(VLOOKUP(Table1[RespondentID],'All Data'!$A$3:$CO$999,93,FALSE),"unknown")</f>
        <v>0</v>
      </c>
      <c r="AS309" s="120">
        <f>IFERROR(VLOOKUP(Table1[RespondentID],'All Data'!$A$3:$CW$999,94,FALSE),"unknown")</f>
        <v>0</v>
      </c>
      <c r="AT309" s="120">
        <f>IFERROR(VLOOKUP(Table1[RespondentID],'All Data'!$A$3:$CW$999,95,FALSE),"unknown")</f>
        <v>0</v>
      </c>
      <c r="AU309" s="120">
        <f>IFERROR(VLOOKUP(Table1[RespondentID],'All Data'!$A$3:$CW$999,96,FALSE),"unknown")</f>
        <v>0</v>
      </c>
      <c r="AV309" s="120">
        <f>IFERROR(VLOOKUP(Table1[RespondentID],'All Data'!$A$3:$CW$999,97,FALSE),"unknown")</f>
        <v>0</v>
      </c>
      <c r="AW309" s="120">
        <f>IFERROR(VLOOKUP(Table1[RespondentID],'All Data'!$A$3:$CW$999,98,FALSE),"unknown")</f>
        <v>0</v>
      </c>
      <c r="AX309" s="120">
        <f>IFERROR(VLOOKUP(Table1[RespondentID],'All Data'!$A$3:$CW$999,99,FALSE),"unknown")</f>
        <v>0</v>
      </c>
    </row>
    <row r="310" spans="1:50">
      <c r="A310" s="5">
        <v>18014743256</v>
      </c>
      <c r="B310" s="5"/>
      <c r="C310" s="5"/>
      <c r="D310" s="5"/>
      <c r="E310" s="5"/>
      <c r="F310" s="5"/>
      <c r="G310" s="5"/>
      <c r="H310" s="5"/>
      <c r="I310" s="5"/>
      <c r="J310" s="5"/>
      <c r="K310" s="5" t="s">
        <v>25</v>
      </c>
      <c r="L310" s="5"/>
      <c r="M310" s="5"/>
      <c r="N310" s="5" t="s">
        <v>28</v>
      </c>
      <c r="O310" s="7"/>
      <c r="P310" s="7">
        <f t="shared" si="72"/>
        <v>2</v>
      </c>
      <c r="Q310" s="8">
        <f t="shared" si="73"/>
        <v>1.5</v>
      </c>
      <c r="R310" s="7"/>
      <c r="S310" s="7">
        <f t="shared" si="74"/>
        <v>0</v>
      </c>
      <c r="T310" s="7">
        <f t="shared" si="75"/>
        <v>0</v>
      </c>
      <c r="U310" s="7">
        <f t="shared" si="76"/>
        <v>0</v>
      </c>
      <c r="V310" s="119">
        <f t="shared" si="77"/>
        <v>0</v>
      </c>
      <c r="W310" s="119">
        <f t="shared" si="78"/>
        <v>0</v>
      </c>
      <c r="X310" s="119">
        <f t="shared" si="79"/>
        <v>0</v>
      </c>
      <c r="Y310" s="119">
        <f t="shared" si="80"/>
        <v>0</v>
      </c>
      <c r="Z310" s="119">
        <f t="shared" si="81"/>
        <v>0</v>
      </c>
      <c r="AA310" s="119">
        <f t="shared" si="82"/>
        <v>0</v>
      </c>
      <c r="AB310" s="119">
        <f t="shared" si="83"/>
        <v>1</v>
      </c>
      <c r="AC310" s="119">
        <f t="shared" si="84"/>
        <v>0</v>
      </c>
      <c r="AD310" s="119">
        <f t="shared" si="85"/>
        <v>0</v>
      </c>
      <c r="AE310" s="119">
        <f t="shared" si="86"/>
        <v>1</v>
      </c>
      <c r="AF310" s="7"/>
      <c r="AG310" s="7"/>
      <c r="AH310" s="7">
        <f t="shared" si="87"/>
        <v>2</v>
      </c>
      <c r="AI310" s="7">
        <f t="shared" si="88"/>
        <v>2</v>
      </c>
      <c r="AJ310" s="7" t="str">
        <f t="shared" si="89"/>
        <v>Correct</v>
      </c>
      <c r="AK310" s="7"/>
      <c r="AL310" s="120" t="str">
        <f>IFERROR(VLOOKUP(Table1[RespondentID],'All Data'!$A$3:$CO$999,87,FALSE),"unknown")</f>
        <v>Woman</v>
      </c>
      <c r="AM310" s="120">
        <f>IFERROR(VLOOKUP(Table1[RespondentID],'All Data'!$A$3:$CO$999,88,FALSE),"unknown")</f>
        <v>54</v>
      </c>
      <c r="AN310" s="120" t="str">
        <f>IFERROR(VLOOKUP(Table1[RespondentID],'All Data'!$A$3:$CO$999,89,FALSE),"unknown")</f>
        <v>Suffolk</v>
      </c>
      <c r="AO310" s="120" t="str">
        <f>IFERROR(VLOOKUP(Table1[RespondentID],'All Data'!$A$3:$CO$999,90,FALSE),"unknown")</f>
        <v>Centereach, 11720</v>
      </c>
      <c r="AP310" s="120" t="str">
        <f>IFERROR(VLOOKUP(Table1[RespondentID],'All Data'!$A$3:$CO$999,91,FALSE),"unknown")</f>
        <v>White</v>
      </c>
      <c r="AQ310" s="120" t="str">
        <f>IFERROR(VLOOKUP(Table1[RespondentID],'All Data'!$A$3:$CO$999,92,FALSE),"unknown")</f>
        <v>Hispanic or Latino</v>
      </c>
      <c r="AR310" s="120" t="str">
        <f>IFERROR(VLOOKUP(Table1[RespondentID],'All Data'!$A$3:$CO$999,93,FALSE),"unknown")</f>
        <v>English</v>
      </c>
      <c r="AS310" s="120" t="str">
        <f>IFERROR(VLOOKUP(Table1[RespondentID],'All Data'!$A$3:$CW$999,94,FALSE),"unknown")</f>
        <v>Over $125,000</v>
      </c>
      <c r="AT310" s="120" t="str">
        <f>IFERROR(VLOOKUP(Table1[RespondentID],'All Data'!$A$3:$CW$999,95,FALSE),"unknown")</f>
        <v>Graduate school</v>
      </c>
      <c r="AU310" s="120" t="str">
        <f>IFERROR(VLOOKUP(Table1[RespondentID],'All Data'!$A$3:$CW$999,96,FALSE),"unknown")</f>
        <v>Employed for wages</v>
      </c>
      <c r="AV310" s="120" t="str">
        <f>IFERROR(VLOOKUP(Table1[RespondentID],'All Data'!$A$3:$CW$999,97,FALSE),"unknown")</f>
        <v>Yes</v>
      </c>
      <c r="AW310" s="120" t="str">
        <f>IFERROR(VLOOKUP(Table1[RespondentID],'All Data'!$A$3:$CW$999,98,FALSE),"unknown")</f>
        <v>Private/Commercial</v>
      </c>
      <c r="AX310" s="120" t="str">
        <f>IFERROR(VLOOKUP(Table1[RespondentID],'All Data'!$A$3:$CW$999,99,FALSE),"unknown")</f>
        <v>Yes</v>
      </c>
    </row>
    <row r="311" spans="1:50">
      <c r="A311" s="5">
        <v>18014731066</v>
      </c>
      <c r="B311" s="5"/>
      <c r="C311" s="5"/>
      <c r="D311" s="5"/>
      <c r="E311" s="5"/>
      <c r="F311" s="5"/>
      <c r="G311" s="5" t="s">
        <v>21</v>
      </c>
      <c r="H311" s="5" t="s">
        <v>22</v>
      </c>
      <c r="I311" s="5" t="s">
        <v>23</v>
      </c>
      <c r="J311" s="5"/>
      <c r="K311" s="5"/>
      <c r="L311" s="5"/>
      <c r="M311" s="5"/>
      <c r="N311" s="5"/>
      <c r="O311" s="7"/>
      <c r="P311" s="7">
        <f t="shared" si="72"/>
        <v>3</v>
      </c>
      <c r="Q311" s="9">
        <f t="shared" si="73"/>
        <v>1</v>
      </c>
      <c r="R311" s="7"/>
      <c r="S311" s="7">
        <f t="shared" si="74"/>
        <v>0</v>
      </c>
      <c r="T311" s="7">
        <f t="shared" si="75"/>
        <v>0</v>
      </c>
      <c r="U311" s="7">
        <f t="shared" si="76"/>
        <v>0</v>
      </c>
      <c r="V311" s="119">
        <f t="shared" si="77"/>
        <v>0</v>
      </c>
      <c r="W311" s="119">
        <f t="shared" si="78"/>
        <v>0</v>
      </c>
      <c r="X311" s="119">
        <f t="shared" si="79"/>
        <v>1</v>
      </c>
      <c r="Y311" s="119">
        <f t="shared" si="80"/>
        <v>1</v>
      </c>
      <c r="Z311" s="119">
        <f t="shared" si="81"/>
        <v>1</v>
      </c>
      <c r="AA311" s="119">
        <f t="shared" si="82"/>
        <v>0</v>
      </c>
      <c r="AB311" s="119">
        <f t="shared" si="83"/>
        <v>0</v>
      </c>
      <c r="AC311" s="119">
        <f t="shared" si="84"/>
        <v>0</v>
      </c>
      <c r="AD311" s="119">
        <f t="shared" si="85"/>
        <v>0</v>
      </c>
      <c r="AE311" s="119">
        <f t="shared" si="86"/>
        <v>0</v>
      </c>
      <c r="AF311" s="7"/>
      <c r="AG311" s="7"/>
      <c r="AH311" s="7">
        <f t="shared" si="87"/>
        <v>3</v>
      </c>
      <c r="AI311" s="7">
        <f t="shared" si="88"/>
        <v>3</v>
      </c>
      <c r="AJ311" s="7" t="str">
        <f t="shared" si="89"/>
        <v>Correct</v>
      </c>
      <c r="AK311" s="7"/>
      <c r="AL311" s="120" t="str">
        <f>IFERROR(VLOOKUP(Table1[RespondentID],'All Data'!$A$3:$CO$999,87,FALSE),"unknown")</f>
        <v>Man</v>
      </c>
      <c r="AM311" s="120">
        <f>IFERROR(VLOOKUP(Table1[RespondentID],'All Data'!$A$3:$CO$999,88,FALSE),"unknown")</f>
        <v>40</v>
      </c>
      <c r="AN311" s="120" t="str">
        <f>IFERROR(VLOOKUP(Table1[RespondentID],'All Data'!$A$3:$CO$999,89,FALSE),"unknown")</f>
        <v>Suffolk</v>
      </c>
      <c r="AO311" s="120" t="str">
        <f>IFERROR(VLOOKUP(Table1[RespondentID],'All Data'!$A$3:$CO$999,90,FALSE),"unknown")</f>
        <v>Nesconset, 11767</v>
      </c>
      <c r="AP311" s="120" t="str">
        <f>IFERROR(VLOOKUP(Table1[RespondentID],'All Data'!$A$3:$CO$999,91,FALSE),"unknown")</f>
        <v>White</v>
      </c>
      <c r="AQ311" s="120" t="str">
        <f>IFERROR(VLOOKUP(Table1[RespondentID],'All Data'!$A$3:$CO$999,92,FALSE),"unknown")</f>
        <v>Hispanic or Latino</v>
      </c>
      <c r="AR311" s="120" t="str">
        <f>IFERROR(VLOOKUP(Table1[RespondentID],'All Data'!$A$3:$CO$999,93,FALSE),"unknown")</f>
        <v>English</v>
      </c>
      <c r="AS311" s="120" t="str">
        <f>IFERROR(VLOOKUP(Table1[RespondentID],'All Data'!$A$3:$CW$999,94,FALSE),"unknown")</f>
        <v>Over $125,000</v>
      </c>
      <c r="AT311" s="120" t="str">
        <f>IFERROR(VLOOKUP(Table1[RespondentID],'All Data'!$A$3:$CW$999,95,FALSE),"unknown")</f>
        <v>Graduate school</v>
      </c>
      <c r="AU311" s="120" t="str">
        <f>IFERROR(VLOOKUP(Table1[RespondentID],'All Data'!$A$3:$CW$999,96,FALSE),"unknown")</f>
        <v>Employed for wages</v>
      </c>
      <c r="AV311" s="120" t="str">
        <f>IFERROR(VLOOKUP(Table1[RespondentID],'All Data'!$A$3:$CW$999,97,FALSE),"unknown")</f>
        <v>Yes</v>
      </c>
      <c r="AW311" s="120" t="str">
        <f>IFERROR(VLOOKUP(Table1[RespondentID],'All Data'!$A$3:$CW$999,98,FALSE),"unknown")</f>
        <v>Private/Commercial</v>
      </c>
      <c r="AX311" s="120" t="str">
        <f>IFERROR(VLOOKUP(Table1[RespondentID],'All Data'!$A$3:$CW$999,99,FALSE),"unknown")</f>
        <v>Yes</v>
      </c>
    </row>
    <row r="312" spans="1:50">
      <c r="A312" s="5">
        <v>18014717463</v>
      </c>
      <c r="B312" s="5"/>
      <c r="C312" s="5"/>
      <c r="D312" s="5"/>
      <c r="E312" s="5" t="s">
        <v>19</v>
      </c>
      <c r="F312" s="5"/>
      <c r="G312" s="5"/>
      <c r="H312" s="5"/>
      <c r="I312" s="5"/>
      <c r="J312" s="5"/>
      <c r="K312" s="5" t="s">
        <v>25</v>
      </c>
      <c r="L312" s="5"/>
      <c r="M312" s="5"/>
      <c r="N312" s="5" t="s">
        <v>28</v>
      </c>
      <c r="O312" s="7"/>
      <c r="P312" s="7">
        <f t="shared" si="72"/>
        <v>3</v>
      </c>
      <c r="Q312" s="8">
        <f t="shared" si="73"/>
        <v>1</v>
      </c>
      <c r="R312" s="7"/>
      <c r="S312" s="7">
        <f t="shared" si="74"/>
        <v>0</v>
      </c>
      <c r="T312" s="7">
        <f t="shared" si="75"/>
        <v>0</v>
      </c>
      <c r="U312" s="7">
        <f t="shared" si="76"/>
        <v>0</v>
      </c>
      <c r="V312" s="119">
        <f t="shared" si="77"/>
        <v>1</v>
      </c>
      <c r="W312" s="119">
        <f t="shared" si="78"/>
        <v>0</v>
      </c>
      <c r="X312" s="119">
        <f t="shared" si="79"/>
        <v>0</v>
      </c>
      <c r="Y312" s="119">
        <f t="shared" si="80"/>
        <v>0</v>
      </c>
      <c r="Z312" s="119">
        <f t="shared" si="81"/>
        <v>0</v>
      </c>
      <c r="AA312" s="119">
        <f t="shared" si="82"/>
        <v>0</v>
      </c>
      <c r="AB312" s="119">
        <f t="shared" si="83"/>
        <v>1</v>
      </c>
      <c r="AC312" s="119">
        <f t="shared" si="84"/>
        <v>0</v>
      </c>
      <c r="AD312" s="119">
        <f t="shared" si="85"/>
        <v>0</v>
      </c>
      <c r="AE312" s="119">
        <f t="shared" si="86"/>
        <v>1</v>
      </c>
      <c r="AF312" s="7"/>
      <c r="AG312" s="7"/>
      <c r="AH312" s="7">
        <f t="shared" si="87"/>
        <v>3</v>
      </c>
      <c r="AI312" s="7">
        <f t="shared" si="88"/>
        <v>3</v>
      </c>
      <c r="AJ312" s="7" t="str">
        <f t="shared" si="89"/>
        <v>Correct</v>
      </c>
      <c r="AK312" s="7"/>
      <c r="AL312" s="120" t="str">
        <f>IFERROR(VLOOKUP(Table1[RespondentID],'All Data'!$A$3:$CO$999,87,FALSE),"unknown")</f>
        <v>Man</v>
      </c>
      <c r="AM312" s="120">
        <f>IFERROR(VLOOKUP(Table1[RespondentID],'All Data'!$A$3:$CO$999,88,FALSE),"unknown")</f>
        <v>36</v>
      </c>
      <c r="AN312" s="120" t="str">
        <f>IFERROR(VLOOKUP(Table1[RespondentID],'All Data'!$A$3:$CO$999,89,FALSE),"unknown")</f>
        <v>Nassau</v>
      </c>
      <c r="AO312" s="120" t="str">
        <f>IFERROR(VLOOKUP(Table1[RespondentID],'All Data'!$A$3:$CO$999,90,FALSE),"unknown")</f>
        <v>Alden Manor, 11003</v>
      </c>
      <c r="AP312" s="120" t="str">
        <f>IFERROR(VLOOKUP(Table1[RespondentID],'All Data'!$A$3:$CO$999,91,FALSE),"unknown")</f>
        <v>American Indian and Alaska Native</v>
      </c>
      <c r="AQ312" s="120" t="str">
        <f>IFERROR(VLOOKUP(Table1[RespondentID],'All Data'!$A$3:$CO$999,92,FALSE),"unknown")</f>
        <v>Not Hispanic or Latino</v>
      </c>
      <c r="AR312" s="120" t="str">
        <f>IFERROR(VLOOKUP(Table1[RespondentID],'All Data'!$A$3:$CO$999,93,FALSE),"unknown")</f>
        <v>English</v>
      </c>
      <c r="AS312" s="120" t="str">
        <f>IFERROR(VLOOKUP(Table1[RespondentID],'All Data'!$A$3:$CW$999,94,FALSE),"unknown")</f>
        <v>$50,000 to $74,999</v>
      </c>
      <c r="AT312" s="120" t="str">
        <f>IFERROR(VLOOKUP(Table1[RespondentID],'All Data'!$A$3:$CW$999,95,FALSE),"unknown")</f>
        <v>College graduate</v>
      </c>
      <c r="AU312" s="120" t="str">
        <f>IFERROR(VLOOKUP(Table1[RespondentID],'All Data'!$A$3:$CW$999,96,FALSE),"unknown")</f>
        <v>Employed for wages</v>
      </c>
      <c r="AV312" s="120" t="str">
        <f>IFERROR(VLOOKUP(Table1[RespondentID],'All Data'!$A$3:$CW$999,97,FALSE),"unknown")</f>
        <v>Yes</v>
      </c>
      <c r="AW312" s="120" t="str">
        <f>IFERROR(VLOOKUP(Table1[RespondentID],'All Data'!$A$3:$CW$999,98,FALSE),"unknown")</f>
        <v>Private/Commercial</v>
      </c>
      <c r="AX312" s="120" t="str">
        <f>IFERROR(VLOOKUP(Table1[RespondentID],'All Data'!$A$3:$CW$999,99,FALSE),"unknown")</f>
        <v>Yes</v>
      </c>
    </row>
    <row r="313" spans="1:50">
      <c r="A313" s="5">
        <v>18014645318</v>
      </c>
      <c r="B313" s="5"/>
      <c r="C313" s="5"/>
      <c r="D313" s="5"/>
      <c r="E313" s="5" t="s">
        <v>19</v>
      </c>
      <c r="F313" s="5"/>
      <c r="G313" s="5"/>
      <c r="H313" s="5"/>
      <c r="I313" s="5" t="s">
        <v>23</v>
      </c>
      <c r="J313" s="5"/>
      <c r="K313" s="5"/>
      <c r="L313" s="5"/>
      <c r="M313" s="5"/>
      <c r="N313" s="5" t="s">
        <v>28</v>
      </c>
      <c r="O313" s="7"/>
      <c r="P313" s="7">
        <f t="shared" si="72"/>
        <v>3</v>
      </c>
      <c r="Q313" s="9">
        <f t="shared" si="73"/>
        <v>1</v>
      </c>
      <c r="R313" s="7"/>
      <c r="S313" s="7">
        <f t="shared" si="74"/>
        <v>0</v>
      </c>
      <c r="T313" s="7">
        <f t="shared" si="75"/>
        <v>0</v>
      </c>
      <c r="U313" s="7">
        <f t="shared" si="76"/>
        <v>0</v>
      </c>
      <c r="V313" s="119">
        <f t="shared" si="77"/>
        <v>1</v>
      </c>
      <c r="W313" s="119">
        <f t="shared" si="78"/>
        <v>0</v>
      </c>
      <c r="X313" s="119">
        <f t="shared" si="79"/>
        <v>0</v>
      </c>
      <c r="Y313" s="119">
        <f t="shared" si="80"/>
        <v>0</v>
      </c>
      <c r="Z313" s="119">
        <f t="shared" si="81"/>
        <v>1</v>
      </c>
      <c r="AA313" s="119">
        <f t="shared" si="82"/>
        <v>0</v>
      </c>
      <c r="AB313" s="119">
        <f t="shared" si="83"/>
        <v>0</v>
      </c>
      <c r="AC313" s="119">
        <f t="shared" si="84"/>
        <v>0</v>
      </c>
      <c r="AD313" s="119">
        <f t="shared" si="85"/>
        <v>0</v>
      </c>
      <c r="AE313" s="119">
        <f t="shared" si="86"/>
        <v>1</v>
      </c>
      <c r="AF313" s="7"/>
      <c r="AG313" s="7"/>
      <c r="AH313" s="7">
        <f t="shared" si="87"/>
        <v>3</v>
      </c>
      <c r="AI313" s="7">
        <f t="shared" si="88"/>
        <v>3</v>
      </c>
      <c r="AJ313" s="7" t="str">
        <f t="shared" si="89"/>
        <v>Correct</v>
      </c>
      <c r="AK313" s="7"/>
      <c r="AL313" s="120" t="str">
        <f>IFERROR(VLOOKUP(Table1[RespondentID],'All Data'!$A$3:$CO$999,87,FALSE),"unknown")</f>
        <v>Man</v>
      </c>
      <c r="AM313" s="120">
        <f>IFERROR(VLOOKUP(Table1[RespondentID],'All Data'!$A$3:$CO$999,88,FALSE),"unknown")</f>
        <v>55</v>
      </c>
      <c r="AN313" s="120" t="str">
        <f>IFERROR(VLOOKUP(Table1[RespondentID],'All Data'!$A$3:$CO$999,89,FALSE),"unknown")</f>
        <v>Suffolk</v>
      </c>
      <c r="AO313" s="120" t="str">
        <f>IFERROR(VLOOKUP(Table1[RespondentID],'All Data'!$A$3:$CO$999,90,FALSE),"unknown")</f>
        <v>Babylon, 11702</v>
      </c>
      <c r="AP313" s="120" t="str">
        <f>IFERROR(VLOOKUP(Table1[RespondentID],'All Data'!$A$3:$CO$999,91,FALSE),"unknown")</f>
        <v>White</v>
      </c>
      <c r="AQ313" s="120" t="str">
        <f>IFERROR(VLOOKUP(Table1[RespondentID],'All Data'!$A$3:$CO$999,92,FALSE),"unknown")</f>
        <v>Hispanic or Latino</v>
      </c>
      <c r="AR313" s="120" t="str">
        <f>IFERROR(VLOOKUP(Table1[RespondentID],'All Data'!$A$3:$CO$999,93,FALSE),"unknown")</f>
        <v>English</v>
      </c>
      <c r="AS313" s="120" t="str">
        <f>IFERROR(VLOOKUP(Table1[RespondentID],'All Data'!$A$3:$CW$999,94,FALSE),"unknown")</f>
        <v>$20,000 to $34,999</v>
      </c>
      <c r="AT313" s="120" t="str">
        <f>IFERROR(VLOOKUP(Table1[RespondentID],'All Data'!$A$3:$CW$999,95,FALSE),"unknown")</f>
        <v>Some college</v>
      </c>
      <c r="AU313" s="120" t="str">
        <f>IFERROR(VLOOKUP(Table1[RespondentID],'All Data'!$A$3:$CW$999,96,FALSE),"unknown")</f>
        <v>Employed for wages</v>
      </c>
      <c r="AV313" s="120" t="str">
        <f>IFERROR(VLOOKUP(Table1[RespondentID],'All Data'!$A$3:$CW$999,97,FALSE),"unknown")</f>
        <v>Yes</v>
      </c>
      <c r="AW313" s="120" t="str">
        <f>IFERROR(VLOOKUP(Table1[RespondentID],'All Data'!$A$3:$CW$999,98,FALSE),"unknown")</f>
        <v>Private/Commercial</v>
      </c>
      <c r="AX313" s="120" t="str">
        <f>IFERROR(VLOOKUP(Table1[RespondentID],'All Data'!$A$3:$CW$999,99,FALSE),"unknown")</f>
        <v>Yes</v>
      </c>
    </row>
    <row r="314" spans="1:50">
      <c r="A314" s="5">
        <v>18014644097</v>
      </c>
      <c r="B314" s="5"/>
      <c r="C314" s="5" t="s">
        <v>17</v>
      </c>
      <c r="D314" s="5"/>
      <c r="E314" s="5"/>
      <c r="F314" s="5"/>
      <c r="G314" s="5" t="s">
        <v>21</v>
      </c>
      <c r="H314" s="5"/>
      <c r="I314" s="5" t="s">
        <v>23</v>
      </c>
      <c r="J314" s="5"/>
      <c r="K314" s="5"/>
      <c r="L314" s="5"/>
      <c r="M314" s="5"/>
      <c r="N314" s="5"/>
      <c r="O314" s="7"/>
      <c r="P314" s="7">
        <f t="shared" si="72"/>
        <v>3</v>
      </c>
      <c r="Q314" s="8">
        <f t="shared" si="73"/>
        <v>1</v>
      </c>
      <c r="R314" s="7"/>
      <c r="S314" s="7">
        <f t="shared" si="74"/>
        <v>0</v>
      </c>
      <c r="T314" s="7">
        <f t="shared" si="75"/>
        <v>1</v>
      </c>
      <c r="U314" s="7">
        <f t="shared" si="76"/>
        <v>0</v>
      </c>
      <c r="V314" s="119">
        <f t="shared" si="77"/>
        <v>0</v>
      </c>
      <c r="W314" s="119">
        <f t="shared" si="78"/>
        <v>0</v>
      </c>
      <c r="X314" s="119">
        <f t="shared" si="79"/>
        <v>1</v>
      </c>
      <c r="Y314" s="119">
        <f t="shared" si="80"/>
        <v>0</v>
      </c>
      <c r="Z314" s="119">
        <f t="shared" si="81"/>
        <v>1</v>
      </c>
      <c r="AA314" s="119">
        <f t="shared" si="82"/>
        <v>0</v>
      </c>
      <c r="AB314" s="119">
        <f t="shared" si="83"/>
        <v>0</v>
      </c>
      <c r="AC314" s="119">
        <f t="shared" si="84"/>
        <v>0</v>
      </c>
      <c r="AD314" s="119">
        <f t="shared" si="85"/>
        <v>0</v>
      </c>
      <c r="AE314" s="119">
        <f t="shared" si="86"/>
        <v>0</v>
      </c>
      <c r="AF314" s="7"/>
      <c r="AG314" s="7"/>
      <c r="AH314" s="7">
        <f t="shared" si="87"/>
        <v>3</v>
      </c>
      <c r="AI314" s="7">
        <f t="shared" si="88"/>
        <v>3</v>
      </c>
      <c r="AJ314" s="7" t="str">
        <f t="shared" si="89"/>
        <v>Correct</v>
      </c>
      <c r="AK314" s="7"/>
      <c r="AL314" s="120" t="str">
        <f>IFERROR(VLOOKUP(Table1[RespondentID],'All Data'!$A$3:$CO$999,87,FALSE),"unknown")</f>
        <v>Man</v>
      </c>
      <c r="AM314" s="120">
        <f>IFERROR(VLOOKUP(Table1[RespondentID],'All Data'!$A$3:$CO$999,88,FALSE),"unknown")</f>
        <v>73</v>
      </c>
      <c r="AN314" s="120" t="str">
        <f>IFERROR(VLOOKUP(Table1[RespondentID],'All Data'!$A$3:$CO$999,89,FALSE),"unknown")</f>
        <v>Suffolk</v>
      </c>
      <c r="AO314" s="120" t="str">
        <f>IFERROR(VLOOKUP(Table1[RespondentID],'All Data'!$A$3:$CO$999,90,FALSE),"unknown")</f>
        <v>Port Jefferson Station, 11776</v>
      </c>
      <c r="AP314" s="120" t="str">
        <f>IFERROR(VLOOKUP(Table1[RespondentID],'All Data'!$A$3:$CO$999,91,FALSE),"unknown")</f>
        <v>White</v>
      </c>
      <c r="AQ314" s="120" t="str">
        <f>IFERROR(VLOOKUP(Table1[RespondentID],'All Data'!$A$3:$CO$999,92,FALSE),"unknown")</f>
        <v>Hispanic or Latino</v>
      </c>
      <c r="AR314" s="120" t="str">
        <f>IFERROR(VLOOKUP(Table1[RespondentID],'All Data'!$A$3:$CO$999,93,FALSE),"unknown")</f>
        <v>English</v>
      </c>
      <c r="AS314" s="120" t="str">
        <f>IFERROR(VLOOKUP(Table1[RespondentID],'All Data'!$A$3:$CW$999,94,FALSE),"unknown")</f>
        <v>$75,000 to $125,000</v>
      </c>
      <c r="AT314" s="120" t="str">
        <f>IFERROR(VLOOKUP(Table1[RespondentID],'All Data'!$A$3:$CW$999,95,FALSE),"unknown")</f>
        <v>College graduate</v>
      </c>
      <c r="AU314" s="120" t="str">
        <f>IFERROR(VLOOKUP(Table1[RespondentID],'All Data'!$A$3:$CW$999,96,FALSE),"unknown")</f>
        <v>Employed for wages</v>
      </c>
      <c r="AV314" s="120" t="str">
        <f>IFERROR(VLOOKUP(Table1[RespondentID],'All Data'!$A$3:$CW$999,97,FALSE),"unknown")</f>
        <v>Yes</v>
      </c>
      <c r="AW314" s="120" t="str">
        <f>IFERROR(VLOOKUP(Table1[RespondentID],'All Data'!$A$3:$CW$999,98,FALSE),"unknown")</f>
        <v>Private/Commercial</v>
      </c>
      <c r="AX314" s="120" t="str">
        <f>IFERROR(VLOOKUP(Table1[RespondentID],'All Data'!$A$3:$CW$999,99,FALSE),"unknown")</f>
        <v>Yes</v>
      </c>
    </row>
    <row r="315" spans="1:50">
      <c r="A315" s="5">
        <v>18014642721</v>
      </c>
      <c r="B315" s="5"/>
      <c r="C315" s="5" t="s">
        <v>17</v>
      </c>
      <c r="D315" s="5"/>
      <c r="E315" s="5"/>
      <c r="F315" s="5"/>
      <c r="G315" s="5"/>
      <c r="H315" s="5"/>
      <c r="I315" s="5"/>
      <c r="J315" s="5"/>
      <c r="K315" s="5"/>
      <c r="L315" s="5"/>
      <c r="M315" s="5"/>
      <c r="N315" s="5" t="s">
        <v>28</v>
      </c>
      <c r="O315" s="7"/>
      <c r="P315" s="7">
        <f t="shared" si="72"/>
        <v>2</v>
      </c>
      <c r="Q315" s="9">
        <f t="shared" si="73"/>
        <v>1.5</v>
      </c>
      <c r="R315" s="7"/>
      <c r="S315" s="7">
        <f t="shared" si="74"/>
        <v>0</v>
      </c>
      <c r="T315" s="7">
        <f t="shared" si="75"/>
        <v>1</v>
      </c>
      <c r="U315" s="7">
        <f t="shared" si="76"/>
        <v>0</v>
      </c>
      <c r="V315" s="119">
        <f t="shared" si="77"/>
        <v>0</v>
      </c>
      <c r="W315" s="119">
        <f t="shared" si="78"/>
        <v>0</v>
      </c>
      <c r="X315" s="119">
        <f t="shared" si="79"/>
        <v>0</v>
      </c>
      <c r="Y315" s="119">
        <f t="shared" si="80"/>
        <v>0</v>
      </c>
      <c r="Z315" s="119">
        <f t="shared" si="81"/>
        <v>0</v>
      </c>
      <c r="AA315" s="119">
        <f t="shared" si="82"/>
        <v>0</v>
      </c>
      <c r="AB315" s="119">
        <f t="shared" si="83"/>
        <v>0</v>
      </c>
      <c r="AC315" s="119">
        <f t="shared" si="84"/>
        <v>0</v>
      </c>
      <c r="AD315" s="119">
        <f t="shared" si="85"/>
        <v>0</v>
      </c>
      <c r="AE315" s="119">
        <f t="shared" si="86"/>
        <v>1</v>
      </c>
      <c r="AF315" s="7"/>
      <c r="AG315" s="7"/>
      <c r="AH315" s="7">
        <f t="shared" si="87"/>
        <v>2</v>
      </c>
      <c r="AI315" s="7">
        <f t="shared" si="88"/>
        <v>2</v>
      </c>
      <c r="AJ315" s="7" t="str">
        <f t="shared" si="89"/>
        <v>Correct</v>
      </c>
      <c r="AK315" s="7"/>
      <c r="AL315" s="120" t="str">
        <f>IFERROR(VLOOKUP(Table1[RespondentID],'All Data'!$A$3:$CO$999,87,FALSE),"unknown")</f>
        <v>Woman</v>
      </c>
      <c r="AM315" s="120">
        <f>IFERROR(VLOOKUP(Table1[RespondentID],'All Data'!$A$3:$CO$999,88,FALSE),"unknown")</f>
        <v>57</v>
      </c>
      <c r="AN315" s="120" t="str">
        <f>IFERROR(VLOOKUP(Table1[RespondentID],'All Data'!$A$3:$CO$999,89,FALSE),"unknown")</f>
        <v>Suffolk</v>
      </c>
      <c r="AO315" s="120" t="str">
        <f>IFERROR(VLOOKUP(Table1[RespondentID],'All Data'!$A$3:$CO$999,90,FALSE),"unknown")</f>
        <v>Port Jefferson Station, 11776</v>
      </c>
      <c r="AP315" s="120" t="str">
        <f>IFERROR(VLOOKUP(Table1[RespondentID],'All Data'!$A$3:$CO$999,91,FALSE),"unknown")</f>
        <v>White</v>
      </c>
      <c r="AQ315" s="120" t="str">
        <f>IFERROR(VLOOKUP(Table1[RespondentID],'All Data'!$A$3:$CO$999,92,FALSE),"unknown")</f>
        <v>Hispanic or Latino</v>
      </c>
      <c r="AR315" s="120" t="str">
        <f>IFERROR(VLOOKUP(Table1[RespondentID],'All Data'!$A$3:$CO$999,93,FALSE),"unknown")</f>
        <v>English</v>
      </c>
      <c r="AS315" s="120" t="str">
        <f>IFERROR(VLOOKUP(Table1[RespondentID],'All Data'!$A$3:$CW$999,94,FALSE),"unknown")</f>
        <v>$75,000 to $125,000</v>
      </c>
      <c r="AT315" s="120" t="str">
        <f>IFERROR(VLOOKUP(Table1[RespondentID],'All Data'!$A$3:$CW$999,95,FALSE),"unknown")</f>
        <v>Some college</v>
      </c>
      <c r="AU315" s="120" t="str">
        <f>IFERROR(VLOOKUP(Table1[RespondentID],'All Data'!$A$3:$CW$999,96,FALSE),"unknown")</f>
        <v>Retired</v>
      </c>
      <c r="AV315" s="120" t="str">
        <f>IFERROR(VLOOKUP(Table1[RespondentID],'All Data'!$A$3:$CW$999,97,FALSE),"unknown")</f>
        <v>Yes</v>
      </c>
      <c r="AW315" s="120" t="str">
        <f>IFERROR(VLOOKUP(Table1[RespondentID],'All Data'!$A$3:$CW$999,98,FALSE),"unknown")</f>
        <v>Private/Commercial</v>
      </c>
      <c r="AX315" s="120" t="str">
        <f>IFERROR(VLOOKUP(Table1[RespondentID],'All Data'!$A$3:$CW$999,99,FALSE),"unknown")</f>
        <v>Yes</v>
      </c>
    </row>
    <row r="316" spans="1:50">
      <c r="A316" s="5">
        <v>18014642355</v>
      </c>
      <c r="B316" s="5"/>
      <c r="C316" s="5"/>
      <c r="D316" s="5"/>
      <c r="E316" s="5"/>
      <c r="F316" s="5"/>
      <c r="G316" s="5"/>
      <c r="H316" s="5"/>
      <c r="I316" s="5"/>
      <c r="J316" s="5"/>
      <c r="K316" s="5" t="s">
        <v>25</v>
      </c>
      <c r="L316" s="5"/>
      <c r="M316" s="5"/>
      <c r="N316" s="5" t="s">
        <v>28</v>
      </c>
      <c r="O316" s="7"/>
      <c r="P316" s="7">
        <f t="shared" si="72"/>
        <v>2</v>
      </c>
      <c r="Q316" s="8">
        <f t="shared" si="73"/>
        <v>1.5</v>
      </c>
      <c r="R316" s="7"/>
      <c r="S316" s="7">
        <f t="shared" si="74"/>
        <v>0</v>
      </c>
      <c r="T316" s="7">
        <f t="shared" si="75"/>
        <v>0</v>
      </c>
      <c r="U316" s="7">
        <f t="shared" si="76"/>
        <v>0</v>
      </c>
      <c r="V316" s="119">
        <f t="shared" si="77"/>
        <v>0</v>
      </c>
      <c r="W316" s="119">
        <f t="shared" si="78"/>
        <v>0</v>
      </c>
      <c r="X316" s="119">
        <f t="shared" si="79"/>
        <v>0</v>
      </c>
      <c r="Y316" s="119">
        <f t="shared" si="80"/>
        <v>0</v>
      </c>
      <c r="Z316" s="119">
        <f t="shared" si="81"/>
        <v>0</v>
      </c>
      <c r="AA316" s="119">
        <f t="shared" si="82"/>
        <v>0</v>
      </c>
      <c r="AB316" s="119">
        <f t="shared" si="83"/>
        <v>1</v>
      </c>
      <c r="AC316" s="119">
        <f t="shared" si="84"/>
        <v>0</v>
      </c>
      <c r="AD316" s="119">
        <f t="shared" si="85"/>
        <v>0</v>
      </c>
      <c r="AE316" s="119">
        <f t="shared" si="86"/>
        <v>1</v>
      </c>
      <c r="AF316" s="7"/>
      <c r="AG316" s="7"/>
      <c r="AH316" s="7">
        <f t="shared" si="87"/>
        <v>2</v>
      </c>
      <c r="AI316" s="7">
        <f t="shared" si="88"/>
        <v>2</v>
      </c>
      <c r="AJ316" s="7" t="str">
        <f t="shared" si="89"/>
        <v>Correct</v>
      </c>
      <c r="AK316" s="7"/>
      <c r="AL316" s="120" t="str">
        <f>IFERROR(VLOOKUP(Table1[RespondentID],'All Data'!$A$3:$CO$999,87,FALSE),"unknown")</f>
        <v>Man</v>
      </c>
      <c r="AM316" s="120">
        <f>IFERROR(VLOOKUP(Table1[RespondentID],'All Data'!$A$3:$CO$999,88,FALSE),"unknown")</f>
        <v>31</v>
      </c>
      <c r="AN316" s="120" t="str">
        <f>IFERROR(VLOOKUP(Table1[RespondentID],'All Data'!$A$3:$CO$999,89,FALSE),"unknown")</f>
        <v>Suffolk</v>
      </c>
      <c r="AO316" s="120" t="str">
        <f>IFERROR(VLOOKUP(Table1[RespondentID],'All Data'!$A$3:$CO$999,90,FALSE),"unknown")</f>
        <v>Port Jefferson Station, 11776</v>
      </c>
      <c r="AP316" s="120" t="str">
        <f>IFERROR(VLOOKUP(Table1[RespondentID],'All Data'!$A$3:$CO$999,91,FALSE),"unknown")</f>
        <v>White</v>
      </c>
      <c r="AQ316" s="120" t="str">
        <f>IFERROR(VLOOKUP(Table1[RespondentID],'All Data'!$A$3:$CO$999,92,FALSE),"unknown")</f>
        <v>Hispanic or Latino</v>
      </c>
      <c r="AR316" s="120" t="str">
        <f>IFERROR(VLOOKUP(Table1[RespondentID],'All Data'!$A$3:$CO$999,93,FALSE),"unknown")</f>
        <v>English</v>
      </c>
      <c r="AS316" s="120" t="str">
        <f>IFERROR(VLOOKUP(Table1[RespondentID],'All Data'!$A$3:$CW$999,94,FALSE),"unknown")</f>
        <v>Over $125,000</v>
      </c>
      <c r="AT316" s="120" t="str">
        <f>IFERROR(VLOOKUP(Table1[RespondentID],'All Data'!$A$3:$CW$999,95,FALSE),"unknown")</f>
        <v>College graduate</v>
      </c>
      <c r="AU316" s="120" t="str">
        <f>IFERROR(VLOOKUP(Table1[RespondentID],'All Data'!$A$3:$CW$999,96,FALSE),"unknown")</f>
        <v>Employed for wages</v>
      </c>
      <c r="AV316" s="120" t="str">
        <f>IFERROR(VLOOKUP(Table1[RespondentID],'All Data'!$A$3:$CW$999,97,FALSE),"unknown")</f>
        <v>Yes</v>
      </c>
      <c r="AW316" s="120" t="str">
        <f>IFERROR(VLOOKUP(Table1[RespondentID],'All Data'!$A$3:$CW$999,98,FALSE),"unknown")</f>
        <v>Private/Commercial</v>
      </c>
      <c r="AX316" s="120" t="str">
        <f>IFERROR(VLOOKUP(Table1[RespondentID],'All Data'!$A$3:$CW$999,99,FALSE),"unknown")</f>
        <v>Yes</v>
      </c>
    </row>
    <row r="317" spans="1:50">
      <c r="A317" s="5">
        <v>18014635603</v>
      </c>
      <c r="B317" s="5"/>
      <c r="C317" s="5"/>
      <c r="D317" s="5"/>
      <c r="E317" s="5" t="s">
        <v>19</v>
      </c>
      <c r="F317" s="5"/>
      <c r="G317" s="5"/>
      <c r="H317" s="5"/>
      <c r="I317" s="5"/>
      <c r="J317" s="5" t="s">
        <v>24</v>
      </c>
      <c r="K317" s="5" t="s">
        <v>25</v>
      </c>
      <c r="L317" s="5"/>
      <c r="M317" s="5"/>
      <c r="N317" s="5"/>
      <c r="O317" s="7"/>
      <c r="P317" s="7">
        <f t="shared" si="72"/>
        <v>3</v>
      </c>
      <c r="Q317" s="9">
        <f t="shared" si="73"/>
        <v>1</v>
      </c>
      <c r="R317" s="7"/>
      <c r="S317" s="7">
        <f t="shared" si="74"/>
        <v>0</v>
      </c>
      <c r="T317" s="7">
        <f t="shared" si="75"/>
        <v>0</v>
      </c>
      <c r="U317" s="7">
        <f t="shared" si="76"/>
        <v>0</v>
      </c>
      <c r="V317" s="119">
        <f t="shared" si="77"/>
        <v>1</v>
      </c>
      <c r="W317" s="119">
        <f t="shared" si="78"/>
        <v>0</v>
      </c>
      <c r="X317" s="119">
        <f t="shared" si="79"/>
        <v>0</v>
      </c>
      <c r="Y317" s="119">
        <f t="shared" si="80"/>
        <v>0</v>
      </c>
      <c r="Z317" s="119">
        <f t="shared" si="81"/>
        <v>0</v>
      </c>
      <c r="AA317" s="119">
        <f t="shared" si="82"/>
        <v>1</v>
      </c>
      <c r="AB317" s="119">
        <f t="shared" si="83"/>
        <v>1</v>
      </c>
      <c r="AC317" s="119">
        <f t="shared" si="84"/>
        <v>0</v>
      </c>
      <c r="AD317" s="119">
        <f t="shared" si="85"/>
        <v>0</v>
      </c>
      <c r="AE317" s="119">
        <f t="shared" si="86"/>
        <v>0</v>
      </c>
      <c r="AF317" s="7"/>
      <c r="AG317" s="7"/>
      <c r="AH317" s="7">
        <f t="shared" si="87"/>
        <v>3</v>
      </c>
      <c r="AI317" s="7">
        <f t="shared" si="88"/>
        <v>3</v>
      </c>
      <c r="AJ317" s="7" t="str">
        <f t="shared" si="89"/>
        <v>Correct</v>
      </c>
      <c r="AK317" s="7"/>
      <c r="AL317" s="120" t="str">
        <f>IFERROR(VLOOKUP(Table1[RespondentID],'All Data'!$A$3:$CO$999,87,FALSE),"unknown")</f>
        <v>Man</v>
      </c>
      <c r="AM317" s="120">
        <f>IFERROR(VLOOKUP(Table1[RespondentID],'All Data'!$A$3:$CO$999,88,FALSE),"unknown")</f>
        <v>18</v>
      </c>
      <c r="AN317" s="120" t="str">
        <f>IFERROR(VLOOKUP(Table1[RespondentID],'All Data'!$A$3:$CO$999,89,FALSE),"unknown")</f>
        <v>Nassau</v>
      </c>
      <c r="AO317" s="120" t="str">
        <f>IFERROR(VLOOKUP(Table1[RespondentID],'All Data'!$A$3:$CO$999,90,FALSE),"unknown")</f>
        <v>Malverne, 11565</v>
      </c>
      <c r="AP317" s="120" t="str">
        <f>IFERROR(VLOOKUP(Table1[RespondentID],'All Data'!$A$3:$CO$999,91,FALSE),"unknown")</f>
        <v>White</v>
      </c>
      <c r="AQ317" s="120" t="str">
        <f>IFERROR(VLOOKUP(Table1[RespondentID],'All Data'!$A$3:$CO$999,92,FALSE),"unknown")</f>
        <v>Not Hispanic or Latino</v>
      </c>
      <c r="AR317" s="120" t="str">
        <f>IFERROR(VLOOKUP(Table1[RespondentID],'All Data'!$A$3:$CO$999,93,FALSE),"unknown")</f>
        <v>English, Spanish</v>
      </c>
      <c r="AS317" s="120" t="str">
        <f>IFERROR(VLOOKUP(Table1[RespondentID],'All Data'!$A$3:$CW$999,94,FALSE),"unknown")</f>
        <v>$35,000 to $49,999</v>
      </c>
      <c r="AT317" s="120" t="str">
        <f>IFERROR(VLOOKUP(Table1[RespondentID],'All Data'!$A$3:$CW$999,95,FALSE),"unknown")</f>
        <v>Some college</v>
      </c>
      <c r="AU317" s="120" t="str">
        <f>IFERROR(VLOOKUP(Table1[RespondentID],'All Data'!$A$3:$CW$999,96,FALSE),"unknown")</f>
        <v>Student</v>
      </c>
      <c r="AV317" s="120" t="str">
        <f>IFERROR(VLOOKUP(Table1[RespondentID],'All Data'!$A$3:$CW$999,97,FALSE),"unknown")</f>
        <v>Yes</v>
      </c>
      <c r="AW317" s="120" t="str">
        <f>IFERROR(VLOOKUP(Table1[RespondentID],'All Data'!$A$3:$CW$999,98,FALSE),"unknown")</f>
        <v>Private/Commercial</v>
      </c>
      <c r="AX317" s="120" t="str">
        <f>IFERROR(VLOOKUP(Table1[RespondentID],'All Data'!$A$3:$CW$999,99,FALSE),"unknown")</f>
        <v>Yes</v>
      </c>
    </row>
    <row r="318" spans="1:50">
      <c r="A318" s="5">
        <v>18014599240</v>
      </c>
      <c r="B318" s="5"/>
      <c r="C318" s="5"/>
      <c r="D318" s="5"/>
      <c r="E318" s="5" t="s">
        <v>19</v>
      </c>
      <c r="F318" s="5"/>
      <c r="G318" s="5" t="s">
        <v>21</v>
      </c>
      <c r="H318" s="5"/>
      <c r="I318" s="5"/>
      <c r="J318" s="5"/>
      <c r="K318" s="5" t="s">
        <v>25</v>
      </c>
      <c r="L318" s="5"/>
      <c r="M318" s="5"/>
      <c r="N318" s="5"/>
      <c r="O318" s="7"/>
      <c r="P318" s="7">
        <f t="shared" si="72"/>
        <v>3</v>
      </c>
      <c r="Q318" s="8">
        <f t="shared" si="73"/>
        <v>1</v>
      </c>
      <c r="R318" s="7"/>
      <c r="S318" s="7">
        <f t="shared" si="74"/>
        <v>0</v>
      </c>
      <c r="T318" s="7">
        <f t="shared" si="75"/>
        <v>0</v>
      </c>
      <c r="U318" s="7">
        <f t="shared" si="76"/>
        <v>0</v>
      </c>
      <c r="V318" s="119">
        <f t="shared" si="77"/>
        <v>1</v>
      </c>
      <c r="W318" s="119">
        <f t="shared" si="78"/>
        <v>0</v>
      </c>
      <c r="X318" s="119">
        <f t="shared" si="79"/>
        <v>1</v>
      </c>
      <c r="Y318" s="119">
        <f t="shared" si="80"/>
        <v>0</v>
      </c>
      <c r="Z318" s="119">
        <f t="shared" si="81"/>
        <v>0</v>
      </c>
      <c r="AA318" s="119">
        <f t="shared" si="82"/>
        <v>0</v>
      </c>
      <c r="AB318" s="119">
        <f t="shared" si="83"/>
        <v>1</v>
      </c>
      <c r="AC318" s="119">
        <f t="shared" si="84"/>
        <v>0</v>
      </c>
      <c r="AD318" s="119">
        <f t="shared" si="85"/>
        <v>0</v>
      </c>
      <c r="AE318" s="119">
        <f t="shared" si="86"/>
        <v>0</v>
      </c>
      <c r="AF318" s="7"/>
      <c r="AG318" s="7"/>
      <c r="AH318" s="7">
        <f t="shared" si="87"/>
        <v>3</v>
      </c>
      <c r="AI318" s="7">
        <f t="shared" si="88"/>
        <v>3</v>
      </c>
      <c r="AJ318" s="7" t="str">
        <f t="shared" si="89"/>
        <v>Correct</v>
      </c>
      <c r="AK318" s="7"/>
      <c r="AL318" s="120" t="str">
        <f>IFERROR(VLOOKUP(Table1[RespondentID],'All Data'!$A$3:$CO$999,87,FALSE),"unknown")</f>
        <v>Man</v>
      </c>
      <c r="AM318" s="120">
        <f>IFERROR(VLOOKUP(Table1[RespondentID],'All Data'!$A$3:$CO$999,88,FALSE),"unknown")</f>
        <v>17</v>
      </c>
      <c r="AN318" s="120" t="str">
        <f>IFERROR(VLOOKUP(Table1[RespondentID],'All Data'!$A$3:$CO$999,89,FALSE),"unknown")</f>
        <v>Suffolk</v>
      </c>
      <c r="AO318" s="120" t="str">
        <f>IFERROR(VLOOKUP(Table1[RespondentID],'All Data'!$A$3:$CO$999,90,FALSE),"unknown")</f>
        <v>Commack, 11725</v>
      </c>
      <c r="AP318" s="120" t="str">
        <f>IFERROR(VLOOKUP(Table1[RespondentID],'All Data'!$A$3:$CO$999,91,FALSE),"unknown")</f>
        <v>White</v>
      </c>
      <c r="AQ318" s="120" t="str">
        <f>IFERROR(VLOOKUP(Table1[RespondentID],'All Data'!$A$3:$CO$999,92,FALSE),"unknown")</f>
        <v>Hispanic or Latino</v>
      </c>
      <c r="AR318" s="120" t="str">
        <f>IFERROR(VLOOKUP(Table1[RespondentID],'All Data'!$A$3:$CO$999,93,FALSE),"unknown")</f>
        <v>English</v>
      </c>
      <c r="AS318" s="120" t="str">
        <f>IFERROR(VLOOKUP(Table1[RespondentID],'All Data'!$A$3:$CW$999,94,FALSE),"unknown")</f>
        <v>Over $125,000</v>
      </c>
      <c r="AT318" s="120" t="str">
        <f>IFERROR(VLOOKUP(Table1[RespondentID],'All Data'!$A$3:$CW$999,95,FALSE),"unknown")</f>
        <v>High school graduate</v>
      </c>
      <c r="AU318" s="120" t="str">
        <f>IFERROR(VLOOKUP(Table1[RespondentID],'All Data'!$A$3:$CW$999,96,FALSE),"unknown")</f>
        <v>Employed for wages</v>
      </c>
      <c r="AV318" s="120" t="str">
        <f>IFERROR(VLOOKUP(Table1[RespondentID],'All Data'!$A$3:$CW$999,97,FALSE),"unknown")</f>
        <v>Yes</v>
      </c>
      <c r="AW318" s="120" t="str">
        <f>IFERROR(VLOOKUP(Table1[RespondentID],'All Data'!$A$3:$CW$999,98,FALSE),"unknown")</f>
        <v>Medicare</v>
      </c>
      <c r="AX318" s="120" t="str">
        <f>IFERROR(VLOOKUP(Table1[RespondentID],'All Data'!$A$3:$CW$999,99,FALSE),"unknown")</f>
        <v>Yes</v>
      </c>
    </row>
    <row r="319" spans="1:50">
      <c r="A319" s="5">
        <v>18014578066</v>
      </c>
      <c r="B319" s="5"/>
      <c r="C319" s="5"/>
      <c r="D319" s="5"/>
      <c r="E319" s="5"/>
      <c r="F319" s="5"/>
      <c r="G319" s="5"/>
      <c r="H319" s="5"/>
      <c r="I319" s="5"/>
      <c r="J319" s="5"/>
      <c r="K319" s="5" t="s">
        <v>25</v>
      </c>
      <c r="L319" s="5" t="s">
        <v>26</v>
      </c>
      <c r="M319" s="5"/>
      <c r="N319" s="5" t="s">
        <v>28</v>
      </c>
      <c r="O319" s="7"/>
      <c r="P319" s="7">
        <f t="shared" si="72"/>
        <v>3</v>
      </c>
      <c r="Q319" s="9">
        <f t="shared" si="73"/>
        <v>1</v>
      </c>
      <c r="R319" s="7"/>
      <c r="S319" s="7">
        <f t="shared" si="74"/>
        <v>0</v>
      </c>
      <c r="T319" s="7">
        <f t="shared" si="75"/>
        <v>0</v>
      </c>
      <c r="U319" s="7">
        <f t="shared" si="76"/>
        <v>0</v>
      </c>
      <c r="V319" s="119">
        <f t="shared" si="77"/>
        <v>0</v>
      </c>
      <c r="W319" s="119">
        <f t="shared" si="78"/>
        <v>0</v>
      </c>
      <c r="X319" s="119">
        <f t="shared" si="79"/>
        <v>0</v>
      </c>
      <c r="Y319" s="119">
        <f t="shared" si="80"/>
        <v>0</v>
      </c>
      <c r="Z319" s="119">
        <f t="shared" si="81"/>
        <v>0</v>
      </c>
      <c r="AA319" s="119">
        <f t="shared" si="82"/>
        <v>0</v>
      </c>
      <c r="AB319" s="119">
        <f t="shared" si="83"/>
        <v>1</v>
      </c>
      <c r="AC319" s="119">
        <f t="shared" si="84"/>
        <v>1</v>
      </c>
      <c r="AD319" s="119">
        <f t="shared" si="85"/>
        <v>0</v>
      </c>
      <c r="AE319" s="119">
        <f t="shared" si="86"/>
        <v>1</v>
      </c>
      <c r="AF319" s="7"/>
      <c r="AG319" s="7"/>
      <c r="AH319" s="7">
        <f t="shared" si="87"/>
        <v>3</v>
      </c>
      <c r="AI319" s="7">
        <f t="shared" si="88"/>
        <v>3</v>
      </c>
      <c r="AJ319" s="7" t="str">
        <f t="shared" si="89"/>
        <v>Correct</v>
      </c>
      <c r="AK319" s="7"/>
      <c r="AL319" s="120" t="str">
        <f>IFERROR(VLOOKUP(Table1[RespondentID],'All Data'!$A$3:$CO$999,87,FALSE),"unknown")</f>
        <v>Transgender</v>
      </c>
      <c r="AM319" s="120">
        <f>IFERROR(VLOOKUP(Table1[RespondentID],'All Data'!$A$3:$CO$999,88,FALSE),"unknown")</f>
        <v>24</v>
      </c>
      <c r="AN319" s="120" t="str">
        <f>IFERROR(VLOOKUP(Table1[RespondentID],'All Data'!$A$3:$CO$999,89,FALSE),"unknown")</f>
        <v>Queens</v>
      </c>
      <c r="AO319" s="120">
        <f>IFERROR(VLOOKUP(Table1[RespondentID],'All Data'!$A$3:$CO$999,90,FALSE),"unknown")</f>
        <v>11429</v>
      </c>
      <c r="AP319" s="120" t="str">
        <f>IFERROR(VLOOKUP(Table1[RespondentID],'All Data'!$A$3:$CO$999,91,FALSE),"unknown")</f>
        <v>Native Hawaiian and Other Pacific Islander</v>
      </c>
      <c r="AQ319" s="120">
        <f>IFERROR(VLOOKUP(Table1[RespondentID],'All Data'!$A$3:$CO$999,92,FALSE),"unknown")</f>
        <v>0</v>
      </c>
      <c r="AR319" s="120">
        <f>IFERROR(VLOOKUP(Table1[RespondentID],'All Data'!$A$3:$CO$999,93,FALSE),"unknown")</f>
        <v>0</v>
      </c>
      <c r="AS319" s="120" t="str">
        <f>IFERROR(VLOOKUP(Table1[RespondentID],'All Data'!$A$3:$CW$999,94,FALSE),"unknown")</f>
        <v>Over $125,000</v>
      </c>
      <c r="AT319" s="120" t="str">
        <f>IFERROR(VLOOKUP(Table1[RespondentID],'All Data'!$A$3:$CW$999,95,FALSE),"unknown")</f>
        <v>College graduate</v>
      </c>
      <c r="AU319" s="120" t="str">
        <f>IFERROR(VLOOKUP(Table1[RespondentID],'All Data'!$A$3:$CW$999,96,FALSE),"unknown")</f>
        <v>Employed for wages</v>
      </c>
      <c r="AV319" s="120" t="str">
        <f>IFERROR(VLOOKUP(Table1[RespondentID],'All Data'!$A$3:$CW$999,97,FALSE),"unknown")</f>
        <v>Yes</v>
      </c>
      <c r="AW319" s="120" t="str">
        <f>IFERROR(VLOOKUP(Table1[RespondentID],'All Data'!$A$3:$CW$999,98,FALSE),"unknown")</f>
        <v>Private/Commercial</v>
      </c>
      <c r="AX319" s="120" t="str">
        <f>IFERROR(VLOOKUP(Table1[RespondentID],'All Data'!$A$3:$CW$999,99,FALSE),"unknown")</f>
        <v>Yes</v>
      </c>
    </row>
    <row r="320" spans="1:50">
      <c r="A320" s="5">
        <v>18014577716</v>
      </c>
      <c r="B320" s="5"/>
      <c r="C320" s="5"/>
      <c r="D320" s="5"/>
      <c r="E320" s="5" t="s">
        <v>19</v>
      </c>
      <c r="F320" s="5"/>
      <c r="G320" s="5"/>
      <c r="H320" s="5"/>
      <c r="I320" s="5" t="s">
        <v>23</v>
      </c>
      <c r="J320" s="5"/>
      <c r="K320" s="5"/>
      <c r="L320" s="5"/>
      <c r="M320" s="5"/>
      <c r="N320" s="5"/>
      <c r="O320" s="7"/>
      <c r="P320" s="7">
        <f t="shared" si="72"/>
        <v>2</v>
      </c>
      <c r="Q320" s="8">
        <f t="shared" si="73"/>
        <v>1.5</v>
      </c>
      <c r="R320" s="7"/>
      <c r="S320" s="7">
        <f t="shared" si="74"/>
        <v>0</v>
      </c>
      <c r="T320" s="7">
        <f t="shared" si="75"/>
        <v>0</v>
      </c>
      <c r="U320" s="7">
        <f t="shared" si="76"/>
        <v>0</v>
      </c>
      <c r="V320" s="119">
        <f t="shared" si="77"/>
        <v>1</v>
      </c>
      <c r="W320" s="119">
        <f t="shared" si="78"/>
        <v>0</v>
      </c>
      <c r="X320" s="119">
        <f t="shared" si="79"/>
        <v>0</v>
      </c>
      <c r="Y320" s="119">
        <f t="shared" si="80"/>
        <v>0</v>
      </c>
      <c r="Z320" s="119">
        <f t="shared" si="81"/>
        <v>1</v>
      </c>
      <c r="AA320" s="119">
        <f t="shared" si="82"/>
        <v>0</v>
      </c>
      <c r="AB320" s="119">
        <f t="shared" si="83"/>
        <v>0</v>
      </c>
      <c r="AC320" s="119">
        <f t="shared" si="84"/>
        <v>0</v>
      </c>
      <c r="AD320" s="119">
        <f t="shared" si="85"/>
        <v>0</v>
      </c>
      <c r="AE320" s="119">
        <f t="shared" si="86"/>
        <v>0</v>
      </c>
      <c r="AF320" s="7"/>
      <c r="AG320" s="7"/>
      <c r="AH320" s="7">
        <f t="shared" si="87"/>
        <v>2</v>
      </c>
      <c r="AI320" s="7">
        <f t="shared" si="88"/>
        <v>2</v>
      </c>
      <c r="AJ320" s="7" t="str">
        <f t="shared" si="89"/>
        <v>Correct</v>
      </c>
      <c r="AK320" s="7"/>
      <c r="AL320" s="120" t="str">
        <f>IFERROR(VLOOKUP(Table1[RespondentID],'All Data'!$A$3:$CO$999,87,FALSE),"unknown")</f>
        <v>Man</v>
      </c>
      <c r="AM320" s="120">
        <f>IFERROR(VLOOKUP(Table1[RespondentID],'All Data'!$A$3:$CO$999,88,FALSE),"unknown")</f>
        <v>67</v>
      </c>
      <c r="AN320" s="120" t="str">
        <f>IFERROR(VLOOKUP(Table1[RespondentID],'All Data'!$A$3:$CO$999,89,FALSE),"unknown")</f>
        <v>Suffolk</v>
      </c>
      <c r="AO320" s="120" t="str">
        <f>IFERROR(VLOOKUP(Table1[RespondentID],'All Data'!$A$3:$CO$999,90,FALSE),"unknown")</f>
        <v>Huntington Station, 11747</v>
      </c>
      <c r="AP320" s="120" t="str">
        <f>IFERROR(VLOOKUP(Table1[RespondentID],'All Data'!$A$3:$CO$999,91,FALSE),"unknown")</f>
        <v>American Indian and Alaska Native</v>
      </c>
      <c r="AQ320" s="120" t="str">
        <f>IFERROR(VLOOKUP(Table1[RespondentID],'All Data'!$A$3:$CO$999,92,FALSE),"unknown")</f>
        <v>Hispanic or Latino</v>
      </c>
      <c r="AR320" s="120" t="str">
        <f>IFERROR(VLOOKUP(Table1[RespondentID],'All Data'!$A$3:$CO$999,93,FALSE),"unknown")</f>
        <v>English</v>
      </c>
      <c r="AS320" s="120" t="str">
        <f>IFERROR(VLOOKUP(Table1[RespondentID],'All Data'!$A$3:$CW$999,94,FALSE),"unknown")</f>
        <v>$75,000 to $125,000</v>
      </c>
      <c r="AT320" s="120" t="str">
        <f>IFERROR(VLOOKUP(Table1[RespondentID],'All Data'!$A$3:$CW$999,95,FALSE),"unknown")</f>
        <v>College graduate</v>
      </c>
      <c r="AU320" s="120" t="str">
        <f>IFERROR(VLOOKUP(Table1[RespondentID],'All Data'!$A$3:$CW$999,96,FALSE),"unknown")</f>
        <v>Retired</v>
      </c>
      <c r="AV320" s="120" t="str">
        <f>IFERROR(VLOOKUP(Table1[RespondentID],'All Data'!$A$3:$CW$999,97,FALSE),"unknown")</f>
        <v>Yes</v>
      </c>
      <c r="AW320" s="120" t="str">
        <f>IFERROR(VLOOKUP(Table1[RespondentID],'All Data'!$A$3:$CW$999,98,FALSE),"unknown")</f>
        <v>Medicare, Private/Commercial</v>
      </c>
      <c r="AX320" s="120" t="str">
        <f>IFERROR(VLOOKUP(Table1[RespondentID],'All Data'!$A$3:$CW$999,99,FALSE),"unknown")</f>
        <v>Yes</v>
      </c>
    </row>
    <row r="321" spans="1:50">
      <c r="A321" s="5">
        <v>18014577265</v>
      </c>
      <c r="B321" s="5"/>
      <c r="C321" s="5"/>
      <c r="D321" s="5"/>
      <c r="E321" s="5" t="s">
        <v>19</v>
      </c>
      <c r="F321" s="5"/>
      <c r="G321" s="5"/>
      <c r="H321" s="5"/>
      <c r="I321" s="5" t="s">
        <v>23</v>
      </c>
      <c r="J321" s="5"/>
      <c r="K321" s="5" t="s">
        <v>25</v>
      </c>
      <c r="L321" s="5"/>
      <c r="M321" s="5" t="s">
        <v>27</v>
      </c>
      <c r="N321" s="5"/>
      <c r="O321" s="7"/>
      <c r="P321" s="7">
        <f t="shared" si="72"/>
        <v>4</v>
      </c>
      <c r="Q321" s="9">
        <f t="shared" si="73"/>
        <v>0.75</v>
      </c>
      <c r="R321" s="7"/>
      <c r="S321" s="7">
        <f t="shared" si="74"/>
        <v>0</v>
      </c>
      <c r="T321" s="7">
        <f t="shared" si="75"/>
        <v>0</v>
      </c>
      <c r="U321" s="7">
        <f t="shared" si="76"/>
        <v>0</v>
      </c>
      <c r="V321" s="119">
        <f t="shared" si="77"/>
        <v>0.75</v>
      </c>
      <c r="W321" s="119">
        <f t="shared" si="78"/>
        <v>0</v>
      </c>
      <c r="X321" s="119">
        <f t="shared" si="79"/>
        <v>0</v>
      </c>
      <c r="Y321" s="119">
        <f t="shared" si="80"/>
        <v>0</v>
      </c>
      <c r="Z321" s="119">
        <f t="shared" si="81"/>
        <v>0.75</v>
      </c>
      <c r="AA321" s="119">
        <f t="shared" si="82"/>
        <v>0</v>
      </c>
      <c r="AB321" s="119">
        <f t="shared" si="83"/>
        <v>0.75</v>
      </c>
      <c r="AC321" s="119">
        <f t="shared" si="84"/>
        <v>0</v>
      </c>
      <c r="AD321" s="119">
        <f t="shared" si="85"/>
        <v>0.75</v>
      </c>
      <c r="AE321" s="119">
        <f t="shared" si="86"/>
        <v>0</v>
      </c>
      <c r="AF321" s="7"/>
      <c r="AG321" s="7"/>
      <c r="AH321" s="7">
        <f t="shared" si="87"/>
        <v>3</v>
      </c>
      <c r="AI321" s="7">
        <f t="shared" si="88"/>
        <v>4</v>
      </c>
      <c r="AJ321" s="7" t="str">
        <f t="shared" si="89"/>
        <v>Correct</v>
      </c>
      <c r="AK321" s="7"/>
      <c r="AL321" s="120" t="str">
        <f>IFERROR(VLOOKUP(Table1[RespondentID],'All Data'!$A$3:$CO$999,87,FALSE),"unknown")</f>
        <v>Man</v>
      </c>
      <c r="AM321" s="120">
        <f>IFERROR(VLOOKUP(Table1[RespondentID],'All Data'!$A$3:$CO$999,88,FALSE),"unknown")</f>
        <v>19</v>
      </c>
      <c r="AN321" s="120" t="str">
        <f>IFERROR(VLOOKUP(Table1[RespondentID],'All Data'!$A$3:$CO$999,89,FALSE),"unknown")</f>
        <v>Nassau</v>
      </c>
      <c r="AO321" s="120" t="str">
        <f>IFERROR(VLOOKUP(Table1[RespondentID],'All Data'!$A$3:$CO$999,90,FALSE),"unknown")</f>
        <v>Farmingdale, 11735</v>
      </c>
      <c r="AP321" s="120" t="str">
        <f>IFERROR(VLOOKUP(Table1[RespondentID],'All Data'!$A$3:$CO$999,91,FALSE),"unknown")</f>
        <v>American Indian and Alaska Native</v>
      </c>
      <c r="AQ321" s="120" t="str">
        <f>IFERROR(VLOOKUP(Table1[RespondentID],'All Data'!$A$3:$CO$999,92,FALSE),"unknown")</f>
        <v>Hispanic or Latino</v>
      </c>
      <c r="AR321" s="120" t="str">
        <f>IFERROR(VLOOKUP(Table1[RespondentID],'All Data'!$A$3:$CO$999,93,FALSE),"unknown")</f>
        <v>English</v>
      </c>
      <c r="AS321" s="120" t="str">
        <f>IFERROR(VLOOKUP(Table1[RespondentID],'All Data'!$A$3:$CW$999,94,FALSE),"unknown")</f>
        <v>$50,000 to $74,999</v>
      </c>
      <c r="AT321" s="120" t="str">
        <f>IFERROR(VLOOKUP(Table1[RespondentID],'All Data'!$A$3:$CW$999,95,FALSE),"unknown")</f>
        <v>Some college</v>
      </c>
      <c r="AU321" s="120" t="str">
        <f>IFERROR(VLOOKUP(Table1[RespondentID],'All Data'!$A$3:$CW$999,96,FALSE),"unknown")</f>
        <v>Student</v>
      </c>
      <c r="AV321" s="120" t="str">
        <f>IFERROR(VLOOKUP(Table1[RespondentID],'All Data'!$A$3:$CW$999,97,FALSE),"unknown")</f>
        <v>Yes</v>
      </c>
      <c r="AW321" s="120" t="str">
        <f>IFERROR(VLOOKUP(Table1[RespondentID],'All Data'!$A$3:$CW$999,98,FALSE),"unknown")</f>
        <v>Medicare</v>
      </c>
      <c r="AX321" s="120" t="str">
        <f>IFERROR(VLOOKUP(Table1[RespondentID],'All Data'!$A$3:$CW$999,99,FALSE),"unknown")</f>
        <v>Yes</v>
      </c>
    </row>
    <row r="322" spans="1:50">
      <c r="A322" s="5">
        <v>18014577228</v>
      </c>
      <c r="B322" s="5"/>
      <c r="C322" s="5"/>
      <c r="D322" s="5"/>
      <c r="E322" s="5"/>
      <c r="F322" s="5"/>
      <c r="G322" s="5"/>
      <c r="H322" s="5"/>
      <c r="I322" s="5"/>
      <c r="J322" s="5" t="s">
        <v>24</v>
      </c>
      <c r="K322" s="5" t="s">
        <v>25</v>
      </c>
      <c r="L322" s="5"/>
      <c r="M322" s="5"/>
      <c r="N322" s="5" t="s">
        <v>28</v>
      </c>
      <c r="O322" s="7"/>
      <c r="P322" s="7">
        <f t="shared" ref="P322:P385" si="90">COUNTA(B322:N322)</f>
        <v>3</v>
      </c>
      <c r="Q322" s="8">
        <f t="shared" ref="Q322:Q385" si="91">3/P322</f>
        <v>1</v>
      </c>
      <c r="R322" s="7"/>
      <c r="S322" s="7">
        <f t="shared" ref="S322:S385" si="92">IF($P322&lt;3,IF($B322=$B$1,1,0),IF($B322=$B$1,$Q322,0))</f>
        <v>0</v>
      </c>
      <c r="T322" s="7">
        <f t="shared" ref="T322:T385" si="93">IF($P322&lt;3,IF($C322=$C$1,1,0),IF($C322=$C$1,$Q322,0))</f>
        <v>0</v>
      </c>
      <c r="U322" s="7">
        <f t="shared" ref="U322:U385" si="94">IF($P322&lt;3,IF($D322=$D$1,1,0),IF($D322=$D$1,$Q322,0))</f>
        <v>0</v>
      </c>
      <c r="V322" s="119">
        <f t="shared" ref="V322:V385" si="95">IF($P322&lt;3,IF($E322=$E$1,1,0),IF($E322=$E$1,$Q322,0))</f>
        <v>0</v>
      </c>
      <c r="W322" s="119">
        <f t="shared" ref="W322:W385" si="96">IF($P322&lt;3,IF($F322=$F$1,1,0),IF($F322=$F$1,$Q322,0))</f>
        <v>0</v>
      </c>
      <c r="X322" s="119">
        <f t="shared" ref="X322:X385" si="97">IF($P322&lt;3,IF($G322=$G$1,1,0),IF($G322=$G$1,$Q322,0))</f>
        <v>0</v>
      </c>
      <c r="Y322" s="119">
        <f t="shared" ref="Y322:Y385" si="98">IF($P322&lt;3,IF($H322=$H$1,1,0),IF($H322=$H$1,$Q322,0))</f>
        <v>0</v>
      </c>
      <c r="Z322" s="119">
        <f t="shared" ref="Z322:Z385" si="99">IF($P322&lt;3,IF($I322=$I$1,1,0),IF($I322=$I$1,$Q322,0))</f>
        <v>0</v>
      </c>
      <c r="AA322" s="119">
        <f t="shared" ref="AA322:AA385" si="100">IF($P322&lt;3,IF($J322=$J$1,1,0),IF($J322=$J$1,$Q322,0))</f>
        <v>1</v>
      </c>
      <c r="AB322" s="119">
        <f t="shared" ref="AB322:AB385" si="101">IF($P322&lt;3,IF($K322=$K$1,1,0),IF($K322=$K$1,$Q322,0))</f>
        <v>1</v>
      </c>
      <c r="AC322" s="119">
        <f t="shared" ref="AC322:AC385" si="102">IF($P322&lt;3,IF($L322=$L$1,1,0),IF($L322=$L$1,$Q322,0))</f>
        <v>0</v>
      </c>
      <c r="AD322" s="119">
        <f t="shared" ref="AD322:AD385" si="103">IF($P322&lt;3,IF($M322=$M$1,1,0),IF($M322=$M$1,$Q322,0))</f>
        <v>0</v>
      </c>
      <c r="AE322" s="119">
        <f t="shared" ref="AE322:AE385" si="104">IF($P322&lt;3,IF($N322=$N$1,1,0),IF($N322=$N$1,$Q322,0))</f>
        <v>1</v>
      </c>
      <c r="AF322" s="7"/>
      <c r="AG322" s="7"/>
      <c r="AH322" s="7">
        <f t="shared" ref="AH322:AH385" si="105">SUM(S322:AE322)</f>
        <v>3</v>
      </c>
      <c r="AI322" s="7">
        <f t="shared" ref="AI322:AI385" si="106">P322</f>
        <v>3</v>
      </c>
      <c r="AJ322" s="7" t="str">
        <f t="shared" ref="AJ322:AJ385" si="107">IF(AH322=AI322,"Correct",IF(AH322=3,"Correct","Wrong"))</f>
        <v>Correct</v>
      </c>
      <c r="AK322" s="7"/>
      <c r="AL322" s="120" t="str">
        <f>IFERROR(VLOOKUP(Table1[RespondentID],'All Data'!$A$3:$CO$999,87,FALSE),"unknown")</f>
        <v>Man</v>
      </c>
      <c r="AM322" s="120">
        <f>IFERROR(VLOOKUP(Table1[RespondentID],'All Data'!$A$3:$CO$999,88,FALSE),"unknown")</f>
        <v>54</v>
      </c>
      <c r="AN322" s="120" t="str">
        <f>IFERROR(VLOOKUP(Table1[RespondentID],'All Data'!$A$3:$CO$999,89,FALSE),"unknown")</f>
        <v>Nassau</v>
      </c>
      <c r="AO322" s="120" t="str">
        <f>IFERROR(VLOOKUP(Table1[RespondentID],'All Data'!$A$3:$CO$999,90,FALSE),"unknown")</f>
        <v>Farmingdale, 11735</v>
      </c>
      <c r="AP322" s="120" t="str">
        <f>IFERROR(VLOOKUP(Table1[RespondentID],'All Data'!$A$3:$CO$999,91,FALSE),"unknown")</f>
        <v>American Indian and Alaska Native</v>
      </c>
      <c r="AQ322" s="120" t="str">
        <f>IFERROR(VLOOKUP(Table1[RespondentID],'All Data'!$A$3:$CO$999,92,FALSE),"unknown")</f>
        <v>Hispanic or Latino</v>
      </c>
      <c r="AR322" s="120">
        <f>IFERROR(VLOOKUP(Table1[RespondentID],'All Data'!$A$3:$CO$999,93,FALSE),"unknown")</f>
        <v>0</v>
      </c>
      <c r="AS322" s="120">
        <f>IFERROR(VLOOKUP(Table1[RespondentID],'All Data'!$A$3:$CW$999,94,FALSE),"unknown")</f>
        <v>0</v>
      </c>
      <c r="AT322" s="120" t="str">
        <f>IFERROR(VLOOKUP(Table1[RespondentID],'All Data'!$A$3:$CW$999,95,FALSE),"unknown")</f>
        <v>College graduate</v>
      </c>
      <c r="AU322" s="120" t="str">
        <f>IFERROR(VLOOKUP(Table1[RespondentID],'All Data'!$A$3:$CW$999,96,FALSE),"unknown")</f>
        <v>Employed for wages</v>
      </c>
      <c r="AV322" s="120" t="str">
        <f>IFERROR(VLOOKUP(Table1[RespondentID],'All Data'!$A$3:$CW$999,97,FALSE),"unknown")</f>
        <v>Yes</v>
      </c>
      <c r="AW322" s="120" t="str">
        <f>IFERROR(VLOOKUP(Table1[RespondentID],'All Data'!$A$3:$CW$999,98,FALSE),"unknown")</f>
        <v>Medicaid</v>
      </c>
      <c r="AX322" s="120" t="str">
        <f>IFERROR(VLOOKUP(Table1[RespondentID],'All Data'!$A$3:$CW$999,99,FALSE),"unknown")</f>
        <v>Yes</v>
      </c>
    </row>
    <row r="323" spans="1:50">
      <c r="A323" s="5">
        <v>18014577099</v>
      </c>
      <c r="B323" s="5"/>
      <c r="C323" s="5"/>
      <c r="D323" s="5"/>
      <c r="E323" s="5" t="s">
        <v>19</v>
      </c>
      <c r="F323" s="5"/>
      <c r="G323" s="5"/>
      <c r="H323" s="5" t="s">
        <v>22</v>
      </c>
      <c r="I323" s="5"/>
      <c r="J323" s="5"/>
      <c r="K323" s="5" t="s">
        <v>25</v>
      </c>
      <c r="L323" s="5"/>
      <c r="M323" s="5"/>
      <c r="N323" s="5"/>
      <c r="O323" s="7"/>
      <c r="P323" s="7">
        <f t="shared" si="90"/>
        <v>3</v>
      </c>
      <c r="Q323" s="9">
        <f t="shared" si="91"/>
        <v>1</v>
      </c>
      <c r="R323" s="7"/>
      <c r="S323" s="7">
        <f t="shared" si="92"/>
        <v>0</v>
      </c>
      <c r="T323" s="7">
        <f t="shared" si="93"/>
        <v>0</v>
      </c>
      <c r="U323" s="7">
        <f t="shared" si="94"/>
        <v>0</v>
      </c>
      <c r="V323" s="119">
        <f t="shared" si="95"/>
        <v>1</v>
      </c>
      <c r="W323" s="119">
        <f t="shared" si="96"/>
        <v>0</v>
      </c>
      <c r="X323" s="119">
        <f t="shared" si="97"/>
        <v>0</v>
      </c>
      <c r="Y323" s="119">
        <f t="shared" si="98"/>
        <v>1</v>
      </c>
      <c r="Z323" s="119">
        <f t="shared" si="99"/>
        <v>0</v>
      </c>
      <c r="AA323" s="119">
        <f t="shared" si="100"/>
        <v>0</v>
      </c>
      <c r="AB323" s="119">
        <f t="shared" si="101"/>
        <v>1</v>
      </c>
      <c r="AC323" s="119">
        <f t="shared" si="102"/>
        <v>0</v>
      </c>
      <c r="AD323" s="119">
        <f t="shared" si="103"/>
        <v>0</v>
      </c>
      <c r="AE323" s="119">
        <f t="shared" si="104"/>
        <v>0</v>
      </c>
      <c r="AF323" s="7"/>
      <c r="AG323" s="7"/>
      <c r="AH323" s="7">
        <f t="shared" si="105"/>
        <v>3</v>
      </c>
      <c r="AI323" s="7">
        <f t="shared" si="106"/>
        <v>3</v>
      </c>
      <c r="AJ323" s="7" t="str">
        <f t="shared" si="107"/>
        <v>Correct</v>
      </c>
      <c r="AK323" s="7"/>
      <c r="AL323" s="120" t="str">
        <f>IFERROR(VLOOKUP(Table1[RespondentID],'All Data'!$A$3:$CO$999,87,FALSE),"unknown")</f>
        <v>Woman</v>
      </c>
      <c r="AM323" s="120">
        <f>IFERROR(VLOOKUP(Table1[RespondentID],'All Data'!$A$3:$CO$999,88,FALSE),"unknown")</f>
        <v>16</v>
      </c>
      <c r="AN323" s="120" t="str">
        <f>IFERROR(VLOOKUP(Table1[RespondentID],'All Data'!$A$3:$CO$999,89,FALSE),"unknown")</f>
        <v>Suffolk</v>
      </c>
      <c r="AO323" s="120" t="str">
        <f>IFERROR(VLOOKUP(Table1[RespondentID],'All Data'!$A$3:$CO$999,90,FALSE),"unknown")</f>
        <v>Smithtown, 11787</v>
      </c>
      <c r="AP323" s="120">
        <f>IFERROR(VLOOKUP(Table1[RespondentID],'All Data'!$A$3:$CO$999,91,FALSE),"unknown")</f>
        <v>0</v>
      </c>
      <c r="AQ323" s="120">
        <f>IFERROR(VLOOKUP(Table1[RespondentID],'All Data'!$A$3:$CO$999,92,FALSE),"unknown")</f>
        <v>0</v>
      </c>
      <c r="AR323" s="120">
        <f>IFERROR(VLOOKUP(Table1[RespondentID],'All Data'!$A$3:$CO$999,93,FALSE),"unknown")</f>
        <v>0</v>
      </c>
      <c r="AS323" s="120">
        <f>IFERROR(VLOOKUP(Table1[RespondentID],'All Data'!$A$3:$CW$999,94,FALSE),"unknown")</f>
        <v>0</v>
      </c>
      <c r="AT323" s="120">
        <f>IFERROR(VLOOKUP(Table1[RespondentID],'All Data'!$A$3:$CW$999,95,FALSE),"unknown")</f>
        <v>0</v>
      </c>
      <c r="AU323" s="120">
        <f>IFERROR(VLOOKUP(Table1[RespondentID],'All Data'!$A$3:$CW$999,96,FALSE),"unknown")</f>
        <v>0</v>
      </c>
      <c r="AV323" s="120">
        <f>IFERROR(VLOOKUP(Table1[RespondentID],'All Data'!$A$3:$CW$999,97,FALSE),"unknown")</f>
        <v>0</v>
      </c>
      <c r="AW323" s="120">
        <f>IFERROR(VLOOKUP(Table1[RespondentID],'All Data'!$A$3:$CW$999,98,FALSE),"unknown")</f>
        <v>0</v>
      </c>
      <c r="AX323" s="120">
        <f>IFERROR(VLOOKUP(Table1[RespondentID],'All Data'!$A$3:$CW$999,99,FALSE),"unknown")</f>
        <v>0</v>
      </c>
    </row>
    <row r="324" spans="1:50">
      <c r="A324" s="5">
        <v>18014577029</v>
      </c>
      <c r="B324" s="5"/>
      <c r="C324" s="5"/>
      <c r="D324" s="5"/>
      <c r="E324" s="5"/>
      <c r="F324" s="5"/>
      <c r="G324" s="5"/>
      <c r="H324" s="5"/>
      <c r="I324" s="5"/>
      <c r="J324" s="5" t="s">
        <v>24</v>
      </c>
      <c r="K324" s="5" t="s">
        <v>25</v>
      </c>
      <c r="L324" s="5"/>
      <c r="M324" s="5"/>
      <c r="N324" s="5" t="s">
        <v>28</v>
      </c>
      <c r="O324" s="7"/>
      <c r="P324" s="7">
        <f t="shared" si="90"/>
        <v>3</v>
      </c>
      <c r="Q324" s="8">
        <f t="shared" si="91"/>
        <v>1</v>
      </c>
      <c r="R324" s="7"/>
      <c r="S324" s="7">
        <f t="shared" si="92"/>
        <v>0</v>
      </c>
      <c r="T324" s="7">
        <f t="shared" si="93"/>
        <v>0</v>
      </c>
      <c r="U324" s="7">
        <f t="shared" si="94"/>
        <v>0</v>
      </c>
      <c r="V324" s="119">
        <f t="shared" si="95"/>
        <v>0</v>
      </c>
      <c r="W324" s="119">
        <f t="shared" si="96"/>
        <v>0</v>
      </c>
      <c r="X324" s="119">
        <f t="shared" si="97"/>
        <v>0</v>
      </c>
      <c r="Y324" s="119">
        <f t="shared" si="98"/>
        <v>0</v>
      </c>
      <c r="Z324" s="119">
        <f t="shared" si="99"/>
        <v>0</v>
      </c>
      <c r="AA324" s="119">
        <f t="shared" si="100"/>
        <v>1</v>
      </c>
      <c r="AB324" s="119">
        <f t="shared" si="101"/>
        <v>1</v>
      </c>
      <c r="AC324" s="119">
        <f t="shared" si="102"/>
        <v>0</v>
      </c>
      <c r="AD324" s="119">
        <f t="shared" si="103"/>
        <v>0</v>
      </c>
      <c r="AE324" s="119">
        <f t="shared" si="104"/>
        <v>1</v>
      </c>
      <c r="AF324" s="7"/>
      <c r="AG324" s="7"/>
      <c r="AH324" s="7">
        <f t="shared" si="105"/>
        <v>3</v>
      </c>
      <c r="AI324" s="7">
        <f t="shared" si="106"/>
        <v>3</v>
      </c>
      <c r="AJ324" s="7" t="str">
        <f t="shared" si="107"/>
        <v>Correct</v>
      </c>
      <c r="AK324" s="7"/>
      <c r="AL324" s="120" t="str">
        <f>IFERROR(VLOOKUP(Table1[RespondentID],'All Data'!$A$3:$CO$999,87,FALSE),"unknown")</f>
        <v>Woman</v>
      </c>
      <c r="AM324" s="120">
        <f>IFERROR(VLOOKUP(Table1[RespondentID],'All Data'!$A$3:$CO$999,88,FALSE),"unknown")</f>
        <v>0</v>
      </c>
      <c r="AN324" s="120" t="str">
        <f>IFERROR(VLOOKUP(Table1[RespondentID],'All Data'!$A$3:$CO$999,89,FALSE),"unknown")</f>
        <v>Suffolk</v>
      </c>
      <c r="AO324" s="120" t="str">
        <f>IFERROR(VLOOKUP(Table1[RespondentID],'All Data'!$A$3:$CO$999,90,FALSE),"unknown")</f>
        <v>Melville, 11747</v>
      </c>
      <c r="AP324" s="120" t="str">
        <f>IFERROR(VLOOKUP(Table1[RespondentID],'All Data'!$A$3:$CO$999,91,FALSE),"unknown")</f>
        <v>American Indian and Alaska Native</v>
      </c>
      <c r="AQ324" s="120" t="str">
        <f>IFERROR(VLOOKUP(Table1[RespondentID],'All Data'!$A$3:$CO$999,92,FALSE),"unknown")</f>
        <v>Hispanic or Latino</v>
      </c>
      <c r="AR324" s="120" t="str">
        <f>IFERROR(VLOOKUP(Table1[RespondentID],'All Data'!$A$3:$CO$999,93,FALSE),"unknown")</f>
        <v>English</v>
      </c>
      <c r="AS324" s="120" t="str">
        <f>IFERROR(VLOOKUP(Table1[RespondentID],'All Data'!$A$3:$CW$999,94,FALSE),"unknown")</f>
        <v>Over $125,000</v>
      </c>
      <c r="AT324" s="120" t="str">
        <f>IFERROR(VLOOKUP(Table1[RespondentID],'All Data'!$A$3:$CW$999,95,FALSE),"unknown")</f>
        <v>Graduate school</v>
      </c>
      <c r="AU324" s="120" t="str">
        <f>IFERROR(VLOOKUP(Table1[RespondentID],'All Data'!$A$3:$CW$999,96,FALSE),"unknown")</f>
        <v>Employed for wages</v>
      </c>
      <c r="AV324" s="120" t="str">
        <f>IFERROR(VLOOKUP(Table1[RespondentID],'All Data'!$A$3:$CW$999,97,FALSE),"unknown")</f>
        <v>Yes</v>
      </c>
      <c r="AW324" s="120" t="str">
        <f>IFERROR(VLOOKUP(Table1[RespondentID],'All Data'!$A$3:$CW$999,98,FALSE),"unknown")</f>
        <v>Private/Commercial</v>
      </c>
      <c r="AX324" s="120" t="str">
        <f>IFERROR(VLOOKUP(Table1[RespondentID],'All Data'!$A$3:$CW$999,99,FALSE),"unknown")</f>
        <v>Yes</v>
      </c>
    </row>
    <row r="325" spans="1:50">
      <c r="A325" s="5">
        <v>18014574170</v>
      </c>
      <c r="B325" s="5"/>
      <c r="C325" s="5"/>
      <c r="D325" s="5"/>
      <c r="E325" s="5"/>
      <c r="F325" s="5"/>
      <c r="G325" s="5"/>
      <c r="H325" s="5"/>
      <c r="I325" s="5"/>
      <c r="J325" s="5"/>
      <c r="K325" s="5"/>
      <c r="L325" s="5"/>
      <c r="M325" s="5"/>
      <c r="N325" s="5" t="s">
        <v>28</v>
      </c>
      <c r="O325" s="7"/>
      <c r="P325" s="7">
        <f t="shared" si="90"/>
        <v>1</v>
      </c>
      <c r="Q325" s="9">
        <f t="shared" si="91"/>
        <v>3</v>
      </c>
      <c r="R325" s="7"/>
      <c r="S325" s="7">
        <f t="shared" si="92"/>
        <v>0</v>
      </c>
      <c r="T325" s="7">
        <f t="shared" si="93"/>
        <v>0</v>
      </c>
      <c r="U325" s="7">
        <f t="shared" si="94"/>
        <v>0</v>
      </c>
      <c r="V325" s="119">
        <f t="shared" si="95"/>
        <v>0</v>
      </c>
      <c r="W325" s="119">
        <f t="shared" si="96"/>
        <v>0</v>
      </c>
      <c r="X325" s="119">
        <f t="shared" si="97"/>
        <v>0</v>
      </c>
      <c r="Y325" s="119">
        <f t="shared" si="98"/>
        <v>0</v>
      </c>
      <c r="Z325" s="119">
        <f t="shared" si="99"/>
        <v>0</v>
      </c>
      <c r="AA325" s="119">
        <f t="shared" si="100"/>
        <v>0</v>
      </c>
      <c r="AB325" s="119">
        <f t="shared" si="101"/>
        <v>0</v>
      </c>
      <c r="AC325" s="119">
        <f t="shared" si="102"/>
        <v>0</v>
      </c>
      <c r="AD325" s="119">
        <f t="shared" si="103"/>
        <v>0</v>
      </c>
      <c r="AE325" s="119">
        <f t="shared" si="104"/>
        <v>1</v>
      </c>
      <c r="AF325" s="7"/>
      <c r="AG325" s="7"/>
      <c r="AH325" s="7">
        <f t="shared" si="105"/>
        <v>1</v>
      </c>
      <c r="AI325" s="7">
        <f t="shared" si="106"/>
        <v>1</v>
      </c>
      <c r="AJ325" s="7" t="str">
        <f t="shared" si="107"/>
        <v>Correct</v>
      </c>
      <c r="AK325" s="7"/>
      <c r="AL325" s="120" t="str">
        <f>IFERROR(VLOOKUP(Table1[RespondentID],'All Data'!$A$3:$CO$999,87,FALSE),"unknown")</f>
        <v>Woman</v>
      </c>
      <c r="AM325" s="120">
        <f>IFERROR(VLOOKUP(Table1[RespondentID],'All Data'!$A$3:$CO$999,88,FALSE),"unknown")</f>
        <v>56</v>
      </c>
      <c r="AN325" s="120" t="str">
        <f>IFERROR(VLOOKUP(Table1[RespondentID],'All Data'!$A$3:$CO$999,89,FALSE),"unknown")</f>
        <v>Suffolk</v>
      </c>
      <c r="AO325" s="120" t="str">
        <f>IFERROR(VLOOKUP(Table1[RespondentID],'All Data'!$A$3:$CO$999,90,FALSE),"unknown")</f>
        <v>Smithtown, 11787</v>
      </c>
      <c r="AP325" s="120" t="str">
        <f>IFERROR(VLOOKUP(Table1[RespondentID],'All Data'!$A$3:$CO$999,91,FALSE),"unknown")</f>
        <v>Native Hawaiian and Other Pacific Islander</v>
      </c>
      <c r="AQ325" s="120" t="str">
        <f>IFERROR(VLOOKUP(Table1[RespondentID],'All Data'!$A$3:$CO$999,92,FALSE),"unknown")</f>
        <v>Hispanic or Latino</v>
      </c>
      <c r="AR325" s="120" t="str">
        <f>IFERROR(VLOOKUP(Table1[RespondentID],'All Data'!$A$3:$CO$999,93,FALSE),"unknown")</f>
        <v>English, Haitian Creole, French Creole</v>
      </c>
      <c r="AS325" s="120" t="str">
        <f>IFERROR(VLOOKUP(Table1[RespondentID],'All Data'!$A$3:$CW$999,94,FALSE),"unknown")</f>
        <v>$50,000 to $74,999</v>
      </c>
      <c r="AT325" s="120" t="str">
        <f>IFERROR(VLOOKUP(Table1[RespondentID],'All Data'!$A$3:$CW$999,95,FALSE),"unknown")</f>
        <v>Some college</v>
      </c>
      <c r="AU325" s="120" t="str">
        <f>IFERROR(VLOOKUP(Table1[RespondentID],'All Data'!$A$3:$CW$999,96,FALSE),"unknown")</f>
        <v>Employed for wages</v>
      </c>
      <c r="AV325" s="120" t="str">
        <f>IFERROR(VLOOKUP(Table1[RespondentID],'All Data'!$A$3:$CW$999,97,FALSE),"unknown")</f>
        <v>Yes</v>
      </c>
      <c r="AW325" s="120" t="str">
        <f>IFERROR(VLOOKUP(Table1[RespondentID],'All Data'!$A$3:$CW$999,98,FALSE),"unknown")</f>
        <v>Private/Commercial</v>
      </c>
      <c r="AX325" s="120" t="str">
        <f>IFERROR(VLOOKUP(Table1[RespondentID],'All Data'!$A$3:$CW$999,99,FALSE),"unknown")</f>
        <v>No</v>
      </c>
    </row>
    <row r="326" spans="1:50">
      <c r="A326" s="5">
        <v>18014573176</v>
      </c>
      <c r="B326" s="5"/>
      <c r="C326" s="5" t="s">
        <v>17</v>
      </c>
      <c r="D326" s="5" t="s">
        <v>18</v>
      </c>
      <c r="E326" s="5"/>
      <c r="F326" s="5"/>
      <c r="G326" s="5"/>
      <c r="H326" s="5"/>
      <c r="I326" s="5"/>
      <c r="J326" s="5"/>
      <c r="K326" s="5"/>
      <c r="L326" s="5" t="s">
        <v>26</v>
      </c>
      <c r="M326" s="5"/>
      <c r="N326" s="5"/>
      <c r="O326" s="7"/>
      <c r="P326" s="7">
        <f t="shared" si="90"/>
        <v>3</v>
      </c>
      <c r="Q326" s="8">
        <f t="shared" si="91"/>
        <v>1</v>
      </c>
      <c r="R326" s="7"/>
      <c r="S326" s="7">
        <f t="shared" si="92"/>
        <v>0</v>
      </c>
      <c r="T326" s="7">
        <f t="shared" si="93"/>
        <v>1</v>
      </c>
      <c r="U326" s="7">
        <f t="shared" si="94"/>
        <v>1</v>
      </c>
      <c r="V326" s="119">
        <f t="shared" si="95"/>
        <v>0</v>
      </c>
      <c r="W326" s="119">
        <f t="shared" si="96"/>
        <v>0</v>
      </c>
      <c r="X326" s="119">
        <f t="shared" si="97"/>
        <v>0</v>
      </c>
      <c r="Y326" s="119">
        <f t="shared" si="98"/>
        <v>0</v>
      </c>
      <c r="Z326" s="119">
        <f t="shared" si="99"/>
        <v>0</v>
      </c>
      <c r="AA326" s="119">
        <f t="shared" si="100"/>
        <v>0</v>
      </c>
      <c r="AB326" s="119">
        <f t="shared" si="101"/>
        <v>0</v>
      </c>
      <c r="AC326" s="119">
        <f t="shared" si="102"/>
        <v>1</v>
      </c>
      <c r="AD326" s="119">
        <f t="shared" si="103"/>
        <v>0</v>
      </c>
      <c r="AE326" s="119">
        <f t="shared" si="104"/>
        <v>0</v>
      </c>
      <c r="AF326" s="7"/>
      <c r="AG326" s="7"/>
      <c r="AH326" s="7">
        <f t="shared" si="105"/>
        <v>3</v>
      </c>
      <c r="AI326" s="7">
        <f t="shared" si="106"/>
        <v>3</v>
      </c>
      <c r="AJ326" s="7" t="str">
        <f t="shared" si="107"/>
        <v>Correct</v>
      </c>
      <c r="AK326" s="7"/>
      <c r="AL326" s="120" t="str">
        <f>IFERROR(VLOOKUP(Table1[RespondentID],'All Data'!$A$3:$CO$999,87,FALSE),"unknown")</f>
        <v>Woman</v>
      </c>
      <c r="AM326" s="120">
        <f>IFERROR(VLOOKUP(Table1[RespondentID],'All Data'!$A$3:$CO$999,88,FALSE),"unknown")</f>
        <v>49</v>
      </c>
      <c r="AN326" s="120" t="str">
        <f>IFERROR(VLOOKUP(Table1[RespondentID],'All Data'!$A$3:$CO$999,89,FALSE),"unknown")</f>
        <v>Suffolk</v>
      </c>
      <c r="AO326" s="120" t="str">
        <f>IFERROR(VLOOKUP(Table1[RespondentID],'All Data'!$A$3:$CO$999,90,FALSE),"unknown")</f>
        <v>Setauket, 11733</v>
      </c>
      <c r="AP326" s="120" t="str">
        <f>IFERROR(VLOOKUP(Table1[RespondentID],'All Data'!$A$3:$CO$999,91,FALSE),"unknown")</f>
        <v>White</v>
      </c>
      <c r="AQ326" s="120" t="str">
        <f>IFERROR(VLOOKUP(Table1[RespondentID],'All Data'!$A$3:$CO$999,92,FALSE),"unknown")</f>
        <v>Hispanic or Latino</v>
      </c>
      <c r="AR326" s="120" t="str">
        <f>IFERROR(VLOOKUP(Table1[RespondentID],'All Data'!$A$3:$CO$999,93,FALSE),"unknown")</f>
        <v>English</v>
      </c>
      <c r="AS326" s="120" t="str">
        <f>IFERROR(VLOOKUP(Table1[RespondentID],'All Data'!$A$3:$CW$999,94,FALSE),"unknown")</f>
        <v>Over $125,000</v>
      </c>
      <c r="AT326" s="120" t="str">
        <f>IFERROR(VLOOKUP(Table1[RespondentID],'All Data'!$A$3:$CW$999,95,FALSE),"unknown")</f>
        <v>Graduate school</v>
      </c>
      <c r="AU326" s="120" t="str">
        <f>IFERROR(VLOOKUP(Table1[RespondentID],'All Data'!$A$3:$CW$999,96,FALSE),"unknown")</f>
        <v>Employed for wages</v>
      </c>
      <c r="AV326" s="120" t="str">
        <f>IFERROR(VLOOKUP(Table1[RespondentID],'All Data'!$A$3:$CW$999,97,FALSE),"unknown")</f>
        <v>Yes</v>
      </c>
      <c r="AW326" s="120" t="str">
        <f>IFERROR(VLOOKUP(Table1[RespondentID],'All Data'!$A$3:$CW$999,98,FALSE),"unknown")</f>
        <v>Private/Commercial</v>
      </c>
      <c r="AX326" s="120" t="str">
        <f>IFERROR(VLOOKUP(Table1[RespondentID],'All Data'!$A$3:$CW$999,99,FALSE),"unknown")</f>
        <v>Yes</v>
      </c>
    </row>
    <row r="327" spans="1:50">
      <c r="A327" s="5">
        <v>18014553236</v>
      </c>
      <c r="B327" s="5"/>
      <c r="C327" s="5"/>
      <c r="D327" s="5"/>
      <c r="E327" s="5"/>
      <c r="F327" s="5"/>
      <c r="G327" s="5"/>
      <c r="H327" s="5"/>
      <c r="I327" s="5"/>
      <c r="J327" s="5"/>
      <c r="K327" s="5" t="s">
        <v>25</v>
      </c>
      <c r="L327" s="5"/>
      <c r="M327" s="5"/>
      <c r="N327" s="5"/>
      <c r="O327" s="7"/>
      <c r="P327" s="7">
        <f t="shared" si="90"/>
        <v>1</v>
      </c>
      <c r="Q327" s="9">
        <f t="shared" si="91"/>
        <v>3</v>
      </c>
      <c r="R327" s="7"/>
      <c r="S327" s="7">
        <f t="shared" si="92"/>
        <v>0</v>
      </c>
      <c r="T327" s="7">
        <f t="shared" si="93"/>
        <v>0</v>
      </c>
      <c r="U327" s="7">
        <f t="shared" si="94"/>
        <v>0</v>
      </c>
      <c r="V327" s="119">
        <f t="shared" si="95"/>
        <v>0</v>
      </c>
      <c r="W327" s="119">
        <f t="shared" si="96"/>
        <v>0</v>
      </c>
      <c r="X327" s="119">
        <f t="shared" si="97"/>
        <v>0</v>
      </c>
      <c r="Y327" s="119">
        <f t="shared" si="98"/>
        <v>0</v>
      </c>
      <c r="Z327" s="119">
        <f t="shared" si="99"/>
        <v>0</v>
      </c>
      <c r="AA327" s="119">
        <f t="shared" si="100"/>
        <v>0</v>
      </c>
      <c r="AB327" s="119">
        <f t="shared" si="101"/>
        <v>1</v>
      </c>
      <c r="AC327" s="119">
        <f t="shared" si="102"/>
        <v>0</v>
      </c>
      <c r="AD327" s="119">
        <f t="shared" si="103"/>
        <v>0</v>
      </c>
      <c r="AE327" s="119">
        <f t="shared" si="104"/>
        <v>0</v>
      </c>
      <c r="AF327" s="7"/>
      <c r="AG327" s="7"/>
      <c r="AH327" s="7">
        <f t="shared" si="105"/>
        <v>1</v>
      </c>
      <c r="AI327" s="7">
        <f t="shared" si="106"/>
        <v>1</v>
      </c>
      <c r="AJ327" s="7" t="str">
        <f t="shared" si="107"/>
        <v>Correct</v>
      </c>
      <c r="AK327" s="7"/>
      <c r="AL327" s="120" t="str">
        <f>IFERROR(VLOOKUP(Table1[RespondentID],'All Data'!$A$3:$CO$999,87,FALSE),"unknown")</f>
        <v>Man</v>
      </c>
      <c r="AM327" s="120">
        <f>IFERROR(VLOOKUP(Table1[RespondentID],'All Data'!$A$3:$CO$999,88,FALSE),"unknown")</f>
        <v>18</v>
      </c>
      <c r="AN327" s="120" t="str">
        <f>IFERROR(VLOOKUP(Table1[RespondentID],'All Data'!$A$3:$CO$999,89,FALSE),"unknown")</f>
        <v>Suffolk</v>
      </c>
      <c r="AO327" s="120" t="str">
        <f>IFERROR(VLOOKUP(Table1[RespondentID],'All Data'!$A$3:$CO$999,90,FALSE),"unknown")</f>
        <v>Smithtown, 11787</v>
      </c>
      <c r="AP327" s="120" t="str">
        <f>IFERROR(VLOOKUP(Table1[RespondentID],'All Data'!$A$3:$CO$999,91,FALSE),"unknown")</f>
        <v>White</v>
      </c>
      <c r="AQ327" s="120" t="str">
        <f>IFERROR(VLOOKUP(Table1[RespondentID],'All Data'!$A$3:$CO$999,92,FALSE),"unknown")</f>
        <v>Not Hispanic or Latino</v>
      </c>
      <c r="AR327" s="120" t="str">
        <f>IFERROR(VLOOKUP(Table1[RespondentID],'All Data'!$A$3:$CO$999,93,FALSE),"unknown")</f>
        <v>English, Spanish</v>
      </c>
      <c r="AS327" s="120" t="str">
        <f>IFERROR(VLOOKUP(Table1[RespondentID],'All Data'!$A$3:$CW$999,94,FALSE),"unknown")</f>
        <v>$50,000 to $74,999</v>
      </c>
      <c r="AT327" s="120" t="str">
        <f>IFERROR(VLOOKUP(Table1[RespondentID],'All Data'!$A$3:$CW$999,95,FALSE),"unknown")</f>
        <v>High school graduate</v>
      </c>
      <c r="AU327" s="120" t="str">
        <f>IFERROR(VLOOKUP(Table1[RespondentID],'All Data'!$A$3:$CW$999,96,FALSE),"unknown")</f>
        <v>Student</v>
      </c>
      <c r="AV327" s="120" t="str">
        <f>IFERROR(VLOOKUP(Table1[RespondentID],'All Data'!$A$3:$CW$999,97,FALSE),"unknown")</f>
        <v>Yes</v>
      </c>
      <c r="AW327" s="120" t="str">
        <f>IFERROR(VLOOKUP(Table1[RespondentID],'All Data'!$A$3:$CW$999,98,FALSE),"unknown")</f>
        <v>Medicaid</v>
      </c>
      <c r="AX327" s="120" t="str">
        <f>IFERROR(VLOOKUP(Table1[RespondentID],'All Data'!$A$3:$CW$999,99,FALSE),"unknown")</f>
        <v>Yes</v>
      </c>
    </row>
    <row r="328" spans="1:50">
      <c r="A328" s="5">
        <v>18014545263</v>
      </c>
      <c r="B328" s="5"/>
      <c r="C328" s="5"/>
      <c r="D328" s="5"/>
      <c r="E328" s="5" t="s">
        <v>19</v>
      </c>
      <c r="F328" s="5"/>
      <c r="G328" s="5" t="s">
        <v>21</v>
      </c>
      <c r="H328" s="5"/>
      <c r="I328" s="5"/>
      <c r="J328" s="5"/>
      <c r="K328" s="5"/>
      <c r="L328" s="5"/>
      <c r="M328" s="5"/>
      <c r="N328" s="5" t="s">
        <v>28</v>
      </c>
      <c r="O328" s="7"/>
      <c r="P328" s="7">
        <f t="shared" si="90"/>
        <v>3</v>
      </c>
      <c r="Q328" s="8">
        <f t="shared" si="91"/>
        <v>1</v>
      </c>
      <c r="R328" s="7"/>
      <c r="S328" s="7">
        <f t="shared" si="92"/>
        <v>0</v>
      </c>
      <c r="T328" s="7">
        <f t="shared" si="93"/>
        <v>0</v>
      </c>
      <c r="U328" s="7">
        <f t="shared" si="94"/>
        <v>0</v>
      </c>
      <c r="V328" s="119">
        <f t="shared" si="95"/>
        <v>1</v>
      </c>
      <c r="W328" s="119">
        <f t="shared" si="96"/>
        <v>0</v>
      </c>
      <c r="X328" s="119">
        <f t="shared" si="97"/>
        <v>1</v>
      </c>
      <c r="Y328" s="119">
        <f t="shared" si="98"/>
        <v>0</v>
      </c>
      <c r="Z328" s="119">
        <f t="shared" si="99"/>
        <v>0</v>
      </c>
      <c r="AA328" s="119">
        <f t="shared" si="100"/>
        <v>0</v>
      </c>
      <c r="AB328" s="119">
        <f t="shared" si="101"/>
        <v>0</v>
      </c>
      <c r="AC328" s="119">
        <f t="shared" si="102"/>
        <v>0</v>
      </c>
      <c r="AD328" s="119">
        <f t="shared" si="103"/>
        <v>0</v>
      </c>
      <c r="AE328" s="119">
        <f t="shared" si="104"/>
        <v>1</v>
      </c>
      <c r="AF328" s="7"/>
      <c r="AG328" s="7"/>
      <c r="AH328" s="7">
        <f t="shared" si="105"/>
        <v>3</v>
      </c>
      <c r="AI328" s="7">
        <f t="shared" si="106"/>
        <v>3</v>
      </c>
      <c r="AJ328" s="7" t="str">
        <f t="shared" si="107"/>
        <v>Correct</v>
      </c>
      <c r="AK328" s="7"/>
      <c r="AL328" s="120" t="str">
        <f>IFERROR(VLOOKUP(Table1[RespondentID],'All Data'!$A$3:$CO$999,87,FALSE),"unknown")</f>
        <v>Man</v>
      </c>
      <c r="AM328" s="120">
        <f>IFERROR(VLOOKUP(Table1[RespondentID],'All Data'!$A$3:$CO$999,88,FALSE),"unknown")</f>
        <v>18</v>
      </c>
      <c r="AN328" s="120" t="str">
        <f>IFERROR(VLOOKUP(Table1[RespondentID],'All Data'!$A$3:$CO$999,89,FALSE),"unknown")</f>
        <v>Suffolk</v>
      </c>
      <c r="AO328" s="120" t="str">
        <f>IFERROR(VLOOKUP(Table1[RespondentID],'All Data'!$A$3:$CO$999,90,FALSE),"unknown")</f>
        <v>Smithtown, 11787</v>
      </c>
      <c r="AP328" s="120" t="str">
        <f>IFERROR(VLOOKUP(Table1[RespondentID],'All Data'!$A$3:$CO$999,91,FALSE),"unknown")</f>
        <v>Native Hawaiian and Other Pacific Islander</v>
      </c>
      <c r="AQ328" s="120" t="str">
        <f>IFERROR(VLOOKUP(Table1[RespondentID],'All Data'!$A$3:$CO$999,92,FALSE),"unknown")</f>
        <v>Hispanic or Latino</v>
      </c>
      <c r="AR328" s="120" t="str">
        <f>IFERROR(VLOOKUP(Table1[RespondentID],'All Data'!$A$3:$CO$999,93,FALSE),"unknown")</f>
        <v>English</v>
      </c>
      <c r="AS328" s="120" t="str">
        <f>IFERROR(VLOOKUP(Table1[RespondentID],'All Data'!$A$3:$CW$999,94,FALSE),"unknown")</f>
        <v>$35,000 to $49,999</v>
      </c>
      <c r="AT328" s="120" t="str">
        <f>IFERROR(VLOOKUP(Table1[RespondentID],'All Data'!$A$3:$CW$999,95,FALSE),"unknown")</f>
        <v>High school graduate</v>
      </c>
      <c r="AU328" s="120" t="str">
        <f>IFERROR(VLOOKUP(Table1[RespondentID],'All Data'!$A$3:$CW$999,96,FALSE),"unknown")</f>
        <v>Student</v>
      </c>
      <c r="AV328" s="120" t="str">
        <f>IFERROR(VLOOKUP(Table1[RespondentID],'All Data'!$A$3:$CW$999,97,FALSE),"unknown")</f>
        <v>No</v>
      </c>
      <c r="AW328" s="120" t="str">
        <f>IFERROR(VLOOKUP(Table1[RespondentID],'All Data'!$A$3:$CW$999,98,FALSE),"unknown")</f>
        <v>No Insurance</v>
      </c>
      <c r="AX328" s="120" t="str">
        <f>IFERROR(VLOOKUP(Table1[RespondentID],'All Data'!$A$3:$CW$999,99,FALSE),"unknown")</f>
        <v>Yes</v>
      </c>
    </row>
    <row r="329" spans="1:50">
      <c r="A329" s="5">
        <v>18014444882</v>
      </c>
      <c r="B329" s="5"/>
      <c r="C329" s="5"/>
      <c r="D329" s="5"/>
      <c r="E329" s="5" t="s">
        <v>19</v>
      </c>
      <c r="F329" s="5"/>
      <c r="G329" s="5"/>
      <c r="H329" s="5"/>
      <c r="I329" s="5"/>
      <c r="J329" s="5"/>
      <c r="K329" s="5"/>
      <c r="L329" s="5"/>
      <c r="M329" s="5"/>
      <c r="N329" s="5"/>
      <c r="O329" s="7"/>
      <c r="P329" s="7">
        <f t="shared" si="90"/>
        <v>1</v>
      </c>
      <c r="Q329" s="9">
        <f t="shared" si="91"/>
        <v>3</v>
      </c>
      <c r="R329" s="7"/>
      <c r="S329" s="7">
        <f t="shared" si="92"/>
        <v>0</v>
      </c>
      <c r="T329" s="7">
        <f t="shared" si="93"/>
        <v>0</v>
      </c>
      <c r="U329" s="7">
        <f t="shared" si="94"/>
        <v>0</v>
      </c>
      <c r="V329" s="119">
        <f t="shared" si="95"/>
        <v>1</v>
      </c>
      <c r="W329" s="119">
        <f t="shared" si="96"/>
        <v>0</v>
      </c>
      <c r="X329" s="119">
        <f t="shared" si="97"/>
        <v>0</v>
      </c>
      <c r="Y329" s="119">
        <f t="shared" si="98"/>
        <v>0</v>
      </c>
      <c r="Z329" s="119">
        <f t="shared" si="99"/>
        <v>0</v>
      </c>
      <c r="AA329" s="119">
        <f t="shared" si="100"/>
        <v>0</v>
      </c>
      <c r="AB329" s="119">
        <f t="shared" si="101"/>
        <v>0</v>
      </c>
      <c r="AC329" s="119">
        <f t="shared" si="102"/>
        <v>0</v>
      </c>
      <c r="AD329" s="119">
        <f t="shared" si="103"/>
        <v>0</v>
      </c>
      <c r="AE329" s="119">
        <f t="shared" si="104"/>
        <v>0</v>
      </c>
      <c r="AF329" s="7"/>
      <c r="AG329" s="7"/>
      <c r="AH329" s="7">
        <f t="shared" si="105"/>
        <v>1</v>
      </c>
      <c r="AI329" s="7">
        <f t="shared" si="106"/>
        <v>1</v>
      </c>
      <c r="AJ329" s="7" t="str">
        <f t="shared" si="107"/>
        <v>Correct</v>
      </c>
      <c r="AK329" s="7"/>
      <c r="AL329" s="120" t="str">
        <f>IFERROR(VLOOKUP(Table1[RespondentID],'All Data'!$A$3:$CO$999,87,FALSE),"unknown")</f>
        <v>Woman</v>
      </c>
      <c r="AM329" s="120">
        <f>IFERROR(VLOOKUP(Table1[RespondentID],'All Data'!$A$3:$CO$999,88,FALSE),"unknown")</f>
        <v>54</v>
      </c>
      <c r="AN329" s="120" t="str">
        <f>IFERROR(VLOOKUP(Table1[RespondentID],'All Data'!$A$3:$CO$999,89,FALSE),"unknown")</f>
        <v>Nassau</v>
      </c>
      <c r="AO329" s="120" t="str">
        <f>IFERROR(VLOOKUP(Table1[RespondentID],'All Data'!$A$3:$CO$999,90,FALSE),"unknown")</f>
        <v>Syosset, 11791</v>
      </c>
      <c r="AP329" s="120" t="str">
        <f>IFERROR(VLOOKUP(Table1[RespondentID],'All Data'!$A$3:$CO$999,91,FALSE),"unknown")</f>
        <v>American Indian and Alaska Native</v>
      </c>
      <c r="AQ329" s="120" t="str">
        <f>IFERROR(VLOOKUP(Table1[RespondentID],'All Data'!$A$3:$CO$999,92,FALSE),"unknown")</f>
        <v>Hispanic or Latino</v>
      </c>
      <c r="AR329" s="120" t="str">
        <f>IFERROR(VLOOKUP(Table1[RespondentID],'All Data'!$A$3:$CO$999,93,FALSE),"unknown")</f>
        <v>English, Korean</v>
      </c>
      <c r="AS329" s="120" t="str">
        <f>IFERROR(VLOOKUP(Table1[RespondentID],'All Data'!$A$3:$CW$999,94,FALSE),"unknown")</f>
        <v>$20,000 to $34,999</v>
      </c>
      <c r="AT329" s="120" t="str">
        <f>IFERROR(VLOOKUP(Table1[RespondentID],'All Data'!$A$3:$CW$999,95,FALSE),"unknown")</f>
        <v>Doctorate</v>
      </c>
      <c r="AU329" s="120" t="str">
        <f>IFERROR(VLOOKUP(Table1[RespondentID],'All Data'!$A$3:$CW$999,96,FALSE),"unknown")</f>
        <v>Out of work and looking for work</v>
      </c>
      <c r="AV329" s="120" t="str">
        <f>IFERROR(VLOOKUP(Table1[RespondentID],'All Data'!$A$3:$CW$999,97,FALSE),"unknown")</f>
        <v>Yes</v>
      </c>
      <c r="AW329" s="120" t="str">
        <f>IFERROR(VLOOKUP(Table1[RespondentID],'All Data'!$A$3:$CW$999,98,FALSE),"unknown")</f>
        <v>Medicaid</v>
      </c>
      <c r="AX329" s="120" t="str">
        <f>IFERROR(VLOOKUP(Table1[RespondentID],'All Data'!$A$3:$CW$999,99,FALSE),"unknown")</f>
        <v>Yes</v>
      </c>
    </row>
    <row r="330" spans="1:50">
      <c r="A330" s="5">
        <v>18014407639</v>
      </c>
      <c r="B330" s="5"/>
      <c r="C330" s="5"/>
      <c r="D330" s="5"/>
      <c r="E330" s="5"/>
      <c r="F330" s="5"/>
      <c r="G330" s="5" t="s">
        <v>21</v>
      </c>
      <c r="H330" s="5"/>
      <c r="I330" s="5" t="s">
        <v>23</v>
      </c>
      <c r="J330" s="5"/>
      <c r="K330" s="5" t="s">
        <v>25</v>
      </c>
      <c r="L330" s="5"/>
      <c r="M330" s="5"/>
      <c r="N330" s="5"/>
      <c r="O330" s="7"/>
      <c r="P330" s="7">
        <f t="shared" si="90"/>
        <v>3</v>
      </c>
      <c r="Q330" s="8">
        <f t="shared" si="91"/>
        <v>1</v>
      </c>
      <c r="R330" s="7"/>
      <c r="S330" s="7">
        <f t="shared" si="92"/>
        <v>0</v>
      </c>
      <c r="T330" s="7">
        <f t="shared" si="93"/>
        <v>0</v>
      </c>
      <c r="U330" s="7">
        <f t="shared" si="94"/>
        <v>0</v>
      </c>
      <c r="V330" s="119">
        <f t="shared" si="95"/>
        <v>0</v>
      </c>
      <c r="W330" s="119">
        <f t="shared" si="96"/>
        <v>0</v>
      </c>
      <c r="X330" s="119">
        <f t="shared" si="97"/>
        <v>1</v>
      </c>
      <c r="Y330" s="119">
        <f t="shared" si="98"/>
        <v>0</v>
      </c>
      <c r="Z330" s="119">
        <f t="shared" si="99"/>
        <v>1</v>
      </c>
      <c r="AA330" s="119">
        <f t="shared" si="100"/>
        <v>0</v>
      </c>
      <c r="AB330" s="119">
        <f t="shared" si="101"/>
        <v>1</v>
      </c>
      <c r="AC330" s="119">
        <f t="shared" si="102"/>
        <v>0</v>
      </c>
      <c r="AD330" s="119">
        <f t="shared" si="103"/>
        <v>0</v>
      </c>
      <c r="AE330" s="119">
        <f t="shared" si="104"/>
        <v>0</v>
      </c>
      <c r="AF330" s="7"/>
      <c r="AG330" s="7"/>
      <c r="AH330" s="7">
        <f t="shared" si="105"/>
        <v>3</v>
      </c>
      <c r="AI330" s="7">
        <f t="shared" si="106"/>
        <v>3</v>
      </c>
      <c r="AJ330" s="7" t="str">
        <f t="shared" si="107"/>
        <v>Correct</v>
      </c>
      <c r="AK330" s="7"/>
      <c r="AL330" s="120" t="str">
        <f>IFERROR(VLOOKUP(Table1[RespondentID],'All Data'!$A$3:$CO$999,87,FALSE),"unknown")</f>
        <v>Man</v>
      </c>
      <c r="AM330" s="120">
        <f>IFERROR(VLOOKUP(Table1[RespondentID],'All Data'!$A$3:$CO$999,88,FALSE),"unknown")</f>
        <v>49</v>
      </c>
      <c r="AN330" s="120" t="str">
        <f>IFERROR(VLOOKUP(Table1[RespondentID],'All Data'!$A$3:$CO$999,89,FALSE),"unknown")</f>
        <v>Queens</v>
      </c>
      <c r="AO330" s="120">
        <f>IFERROR(VLOOKUP(Table1[RespondentID],'All Data'!$A$3:$CO$999,90,FALSE),"unknown")</f>
        <v>11003</v>
      </c>
      <c r="AP330" s="120" t="str">
        <f>IFERROR(VLOOKUP(Table1[RespondentID],'All Data'!$A$3:$CO$999,91,FALSE),"unknown")</f>
        <v>Native Hawaiian and Other Pacific Islander</v>
      </c>
      <c r="AQ330" s="120" t="str">
        <f>IFERROR(VLOOKUP(Table1[RespondentID],'All Data'!$A$3:$CO$999,92,FALSE),"unknown")</f>
        <v>Hispanic or Latino</v>
      </c>
      <c r="AR330" s="120" t="str">
        <f>IFERROR(VLOOKUP(Table1[RespondentID],'All Data'!$A$3:$CO$999,93,FALSE),"unknown")</f>
        <v>Haitian Creole, French Creole</v>
      </c>
      <c r="AS330" s="120" t="str">
        <f>IFERROR(VLOOKUP(Table1[RespondentID],'All Data'!$A$3:$CW$999,94,FALSE),"unknown")</f>
        <v>$20,000 to $34,999</v>
      </c>
      <c r="AT330" s="120" t="str">
        <f>IFERROR(VLOOKUP(Table1[RespondentID],'All Data'!$A$3:$CW$999,95,FALSE),"unknown")</f>
        <v>Graduate school</v>
      </c>
      <c r="AU330" s="120" t="str">
        <f>IFERROR(VLOOKUP(Table1[RespondentID],'All Data'!$A$3:$CW$999,96,FALSE),"unknown")</f>
        <v>Employed for wages</v>
      </c>
      <c r="AV330" s="120" t="str">
        <f>IFERROR(VLOOKUP(Table1[RespondentID],'All Data'!$A$3:$CW$999,97,FALSE),"unknown")</f>
        <v>Yes</v>
      </c>
      <c r="AW330" s="120" t="str">
        <f>IFERROR(VLOOKUP(Table1[RespondentID],'All Data'!$A$3:$CW$999,98,FALSE),"unknown")</f>
        <v>Medicaid</v>
      </c>
      <c r="AX330" s="120" t="str">
        <f>IFERROR(VLOOKUP(Table1[RespondentID],'All Data'!$A$3:$CW$999,99,FALSE),"unknown")</f>
        <v>Yes</v>
      </c>
    </row>
    <row r="331" spans="1:50">
      <c r="A331" s="5">
        <v>18014391810</v>
      </c>
      <c r="B331" s="5" t="s">
        <v>16</v>
      </c>
      <c r="C331" s="5" t="s">
        <v>17</v>
      </c>
      <c r="D331" s="5"/>
      <c r="E331" s="5"/>
      <c r="F331" s="5"/>
      <c r="G331" s="5"/>
      <c r="H331" s="5" t="s">
        <v>22</v>
      </c>
      <c r="I331" s="5"/>
      <c r="J331" s="5" t="s">
        <v>24</v>
      </c>
      <c r="K331" s="5"/>
      <c r="L331" s="5"/>
      <c r="M331" s="5"/>
      <c r="N331" s="5" t="s">
        <v>28</v>
      </c>
      <c r="O331" s="7"/>
      <c r="P331" s="7">
        <f t="shared" si="90"/>
        <v>5</v>
      </c>
      <c r="Q331" s="9">
        <f t="shared" si="91"/>
        <v>0.6</v>
      </c>
      <c r="R331" s="7"/>
      <c r="S331" s="7">
        <f t="shared" si="92"/>
        <v>0.6</v>
      </c>
      <c r="T331" s="7">
        <f t="shared" si="93"/>
        <v>0.6</v>
      </c>
      <c r="U331" s="7">
        <f t="shared" si="94"/>
        <v>0</v>
      </c>
      <c r="V331" s="119">
        <f t="shared" si="95"/>
        <v>0</v>
      </c>
      <c r="W331" s="119">
        <f t="shared" si="96"/>
        <v>0</v>
      </c>
      <c r="X331" s="119">
        <f t="shared" si="97"/>
        <v>0</v>
      </c>
      <c r="Y331" s="119">
        <f t="shared" si="98"/>
        <v>0.6</v>
      </c>
      <c r="Z331" s="119">
        <f t="shared" si="99"/>
        <v>0</v>
      </c>
      <c r="AA331" s="119">
        <f t="shared" si="100"/>
        <v>0.6</v>
      </c>
      <c r="AB331" s="119">
        <f t="shared" si="101"/>
        <v>0</v>
      </c>
      <c r="AC331" s="119">
        <f t="shared" si="102"/>
        <v>0</v>
      </c>
      <c r="AD331" s="119">
        <f t="shared" si="103"/>
        <v>0</v>
      </c>
      <c r="AE331" s="119">
        <f t="shared" si="104"/>
        <v>0.6</v>
      </c>
      <c r="AF331" s="7"/>
      <c r="AG331" s="7"/>
      <c r="AH331" s="7">
        <f t="shared" si="105"/>
        <v>3</v>
      </c>
      <c r="AI331" s="7">
        <f t="shared" si="106"/>
        <v>5</v>
      </c>
      <c r="AJ331" s="7" t="str">
        <f t="shared" si="107"/>
        <v>Correct</v>
      </c>
      <c r="AK331" s="7"/>
      <c r="AL331" s="120" t="str">
        <f>IFERROR(VLOOKUP(Table1[RespondentID],'All Data'!$A$3:$CO$999,87,FALSE),"unknown")</f>
        <v>Man</v>
      </c>
      <c r="AM331" s="120">
        <f>IFERROR(VLOOKUP(Table1[RespondentID],'All Data'!$A$3:$CO$999,88,FALSE),"unknown")</f>
        <v>50</v>
      </c>
      <c r="AN331" s="120" t="str">
        <f>IFERROR(VLOOKUP(Table1[RespondentID],'All Data'!$A$3:$CO$999,89,FALSE),"unknown")</f>
        <v>Suffolk</v>
      </c>
      <c r="AO331" s="120" t="str">
        <f>IFERROR(VLOOKUP(Table1[RespondentID],'All Data'!$A$3:$CO$999,90,FALSE),"unknown")</f>
        <v>Smithtown, 11787</v>
      </c>
      <c r="AP331" s="120" t="str">
        <f>IFERROR(VLOOKUP(Table1[RespondentID],'All Data'!$A$3:$CO$999,91,FALSE),"unknown")</f>
        <v>Native Hawaiian and Other Pacific Islander</v>
      </c>
      <c r="AQ331" s="120" t="str">
        <f>IFERROR(VLOOKUP(Table1[RespondentID],'All Data'!$A$3:$CO$999,92,FALSE),"unknown")</f>
        <v>Hispanic or Latino</v>
      </c>
      <c r="AR331" s="120" t="str">
        <f>IFERROR(VLOOKUP(Table1[RespondentID],'All Data'!$A$3:$CO$999,93,FALSE),"unknown")</f>
        <v>English, Haitian Creole, French Creole</v>
      </c>
      <c r="AS331" s="120" t="str">
        <f>IFERROR(VLOOKUP(Table1[RespondentID],'All Data'!$A$3:$CW$999,94,FALSE),"unknown")</f>
        <v>Over $125,000</v>
      </c>
      <c r="AT331" s="120" t="str">
        <f>IFERROR(VLOOKUP(Table1[RespondentID],'All Data'!$A$3:$CW$999,95,FALSE),"unknown")</f>
        <v>Other (please specify)</v>
      </c>
      <c r="AU331" s="120" t="str">
        <f>IFERROR(VLOOKUP(Table1[RespondentID],'All Data'!$A$3:$CW$999,96,FALSE),"unknown")</f>
        <v>Employed for wages</v>
      </c>
      <c r="AV331" s="120" t="str">
        <f>IFERROR(VLOOKUP(Table1[RespondentID],'All Data'!$A$3:$CW$999,97,FALSE),"unknown")</f>
        <v>Yes</v>
      </c>
      <c r="AW331" s="120" t="str">
        <f>IFERROR(VLOOKUP(Table1[RespondentID],'All Data'!$A$3:$CW$999,98,FALSE),"unknown")</f>
        <v>Private/Commercial</v>
      </c>
      <c r="AX331" s="120" t="str">
        <f>IFERROR(VLOOKUP(Table1[RespondentID],'All Data'!$A$3:$CW$999,99,FALSE),"unknown")</f>
        <v>Yes</v>
      </c>
    </row>
    <row r="332" spans="1:50">
      <c r="A332" s="5">
        <v>18014391895</v>
      </c>
      <c r="B332" s="5"/>
      <c r="C332" s="5"/>
      <c r="D332" s="5"/>
      <c r="E332" s="5"/>
      <c r="F332" s="5"/>
      <c r="G332" s="5"/>
      <c r="H332" s="5"/>
      <c r="I332" s="5"/>
      <c r="J332" s="5" t="s">
        <v>24</v>
      </c>
      <c r="K332" s="5"/>
      <c r="L332" s="5"/>
      <c r="M332" s="5" t="s">
        <v>27</v>
      </c>
      <c r="N332" s="5"/>
      <c r="O332" s="7"/>
      <c r="P332" s="7">
        <f t="shared" si="90"/>
        <v>2</v>
      </c>
      <c r="Q332" s="8">
        <f t="shared" si="91"/>
        <v>1.5</v>
      </c>
      <c r="R332" s="7"/>
      <c r="S332" s="7">
        <f t="shared" si="92"/>
        <v>0</v>
      </c>
      <c r="T332" s="7">
        <f t="shared" si="93"/>
        <v>0</v>
      </c>
      <c r="U332" s="7">
        <f t="shared" si="94"/>
        <v>0</v>
      </c>
      <c r="V332" s="119">
        <f t="shared" si="95"/>
        <v>0</v>
      </c>
      <c r="W332" s="119">
        <f t="shared" si="96"/>
        <v>0</v>
      </c>
      <c r="X332" s="119">
        <f t="shared" si="97"/>
        <v>0</v>
      </c>
      <c r="Y332" s="119">
        <f t="shared" si="98"/>
        <v>0</v>
      </c>
      <c r="Z332" s="119">
        <f t="shared" si="99"/>
        <v>0</v>
      </c>
      <c r="AA332" s="119">
        <f t="shared" si="100"/>
        <v>1</v>
      </c>
      <c r="AB332" s="119">
        <f t="shared" si="101"/>
        <v>0</v>
      </c>
      <c r="AC332" s="119">
        <f t="shared" si="102"/>
        <v>0</v>
      </c>
      <c r="AD332" s="119">
        <f t="shared" si="103"/>
        <v>1</v>
      </c>
      <c r="AE332" s="119">
        <f t="shared" si="104"/>
        <v>0</v>
      </c>
      <c r="AF332" s="7"/>
      <c r="AG332" s="7"/>
      <c r="AH332" s="7">
        <f t="shared" si="105"/>
        <v>2</v>
      </c>
      <c r="AI332" s="7">
        <f t="shared" si="106"/>
        <v>2</v>
      </c>
      <c r="AJ332" s="7" t="str">
        <f t="shared" si="107"/>
        <v>Correct</v>
      </c>
      <c r="AK332" s="7"/>
      <c r="AL332" s="120" t="str">
        <f>IFERROR(VLOOKUP(Table1[RespondentID],'All Data'!$A$3:$CO$999,87,FALSE),"unknown")</f>
        <v>Man</v>
      </c>
      <c r="AM332" s="120">
        <f>IFERROR(VLOOKUP(Table1[RespondentID],'All Data'!$A$3:$CO$999,88,FALSE),"unknown")</f>
        <v>65</v>
      </c>
      <c r="AN332" s="120" t="str">
        <f>IFERROR(VLOOKUP(Table1[RespondentID],'All Data'!$A$3:$CO$999,89,FALSE),"unknown")</f>
        <v>Queens</v>
      </c>
      <c r="AO332" s="120">
        <f>IFERROR(VLOOKUP(Table1[RespondentID],'All Data'!$A$3:$CO$999,90,FALSE),"unknown")</f>
        <v>11692</v>
      </c>
      <c r="AP332" s="120" t="str">
        <f>IFERROR(VLOOKUP(Table1[RespondentID],'All Data'!$A$3:$CO$999,91,FALSE),"unknown")</f>
        <v>Native Hawaiian and Other Pacific Islander</v>
      </c>
      <c r="AQ332" s="120" t="str">
        <f>IFERROR(VLOOKUP(Table1[RespondentID],'All Data'!$A$3:$CO$999,92,FALSE),"unknown")</f>
        <v>Hispanic or Latino</v>
      </c>
      <c r="AR332" s="120" t="str">
        <f>IFERROR(VLOOKUP(Table1[RespondentID],'All Data'!$A$3:$CO$999,93,FALSE),"unknown")</f>
        <v>English</v>
      </c>
      <c r="AS332" s="120" t="str">
        <f>IFERROR(VLOOKUP(Table1[RespondentID],'All Data'!$A$3:$CW$999,94,FALSE),"unknown")</f>
        <v>$35,000 to $49,999</v>
      </c>
      <c r="AT332" s="120" t="str">
        <f>IFERROR(VLOOKUP(Table1[RespondentID],'All Data'!$A$3:$CW$999,95,FALSE),"unknown")</f>
        <v>College graduate</v>
      </c>
      <c r="AU332" s="120" t="str">
        <f>IFERROR(VLOOKUP(Table1[RespondentID],'All Data'!$A$3:$CW$999,96,FALSE),"unknown")</f>
        <v>Employed for wages</v>
      </c>
      <c r="AV332" s="120" t="str">
        <f>IFERROR(VLOOKUP(Table1[RespondentID],'All Data'!$A$3:$CW$999,97,FALSE),"unknown")</f>
        <v>Yes</v>
      </c>
      <c r="AW332" s="120" t="str">
        <f>IFERROR(VLOOKUP(Table1[RespondentID],'All Data'!$A$3:$CW$999,98,FALSE),"unknown")</f>
        <v>Private/Commercial</v>
      </c>
      <c r="AX332" s="120" t="str">
        <f>IFERROR(VLOOKUP(Table1[RespondentID],'All Data'!$A$3:$CW$999,99,FALSE),"unknown")</f>
        <v>Yes</v>
      </c>
    </row>
    <row r="333" spans="1:50">
      <c r="A333" s="5">
        <v>18014390822</v>
      </c>
      <c r="B333" s="5"/>
      <c r="C333" s="5"/>
      <c r="D333" s="5"/>
      <c r="E333" s="5" t="s">
        <v>19</v>
      </c>
      <c r="F333" s="5"/>
      <c r="G333" s="5"/>
      <c r="H333" s="5" t="s">
        <v>22</v>
      </c>
      <c r="I333" s="5"/>
      <c r="J333" s="5"/>
      <c r="K333" s="5"/>
      <c r="L333" s="5" t="s">
        <v>26</v>
      </c>
      <c r="M333" s="5"/>
      <c r="N333" s="5"/>
      <c r="O333" s="7"/>
      <c r="P333" s="7">
        <f t="shared" si="90"/>
        <v>3</v>
      </c>
      <c r="Q333" s="9">
        <f t="shared" si="91"/>
        <v>1</v>
      </c>
      <c r="R333" s="7"/>
      <c r="S333" s="7">
        <f t="shared" si="92"/>
        <v>0</v>
      </c>
      <c r="T333" s="7">
        <f t="shared" si="93"/>
        <v>0</v>
      </c>
      <c r="U333" s="7">
        <f t="shared" si="94"/>
        <v>0</v>
      </c>
      <c r="V333" s="119">
        <f t="shared" si="95"/>
        <v>1</v>
      </c>
      <c r="W333" s="119">
        <f t="shared" si="96"/>
        <v>0</v>
      </c>
      <c r="X333" s="119">
        <f t="shared" si="97"/>
        <v>0</v>
      </c>
      <c r="Y333" s="119">
        <f t="shared" si="98"/>
        <v>1</v>
      </c>
      <c r="Z333" s="119">
        <f t="shared" si="99"/>
        <v>0</v>
      </c>
      <c r="AA333" s="119">
        <f t="shared" si="100"/>
        <v>0</v>
      </c>
      <c r="AB333" s="119">
        <f t="shared" si="101"/>
        <v>0</v>
      </c>
      <c r="AC333" s="119">
        <f t="shared" si="102"/>
        <v>1</v>
      </c>
      <c r="AD333" s="119">
        <f t="shared" si="103"/>
        <v>0</v>
      </c>
      <c r="AE333" s="119">
        <f t="shared" si="104"/>
        <v>0</v>
      </c>
      <c r="AF333" s="7"/>
      <c r="AG333" s="7"/>
      <c r="AH333" s="7">
        <f t="shared" si="105"/>
        <v>3</v>
      </c>
      <c r="AI333" s="7">
        <f t="shared" si="106"/>
        <v>3</v>
      </c>
      <c r="AJ333" s="7" t="str">
        <f t="shared" si="107"/>
        <v>Correct</v>
      </c>
      <c r="AK333" s="7"/>
      <c r="AL333" s="120" t="str">
        <f>IFERROR(VLOOKUP(Table1[RespondentID],'All Data'!$A$3:$CO$999,87,FALSE),"unknown")</f>
        <v>Man</v>
      </c>
      <c r="AM333" s="120">
        <f>IFERROR(VLOOKUP(Table1[RespondentID],'All Data'!$A$3:$CO$999,88,FALSE),"unknown")</f>
        <v>45</v>
      </c>
      <c r="AN333" s="120" t="str">
        <f>IFERROR(VLOOKUP(Table1[RespondentID],'All Data'!$A$3:$CO$999,89,FALSE),"unknown")</f>
        <v>Queens</v>
      </c>
      <c r="AO333" s="120">
        <f>IFERROR(VLOOKUP(Table1[RespondentID],'All Data'!$A$3:$CO$999,90,FALSE),"unknown")</f>
        <v>11355</v>
      </c>
      <c r="AP333" s="120" t="str">
        <f>IFERROR(VLOOKUP(Table1[RespondentID],'All Data'!$A$3:$CO$999,91,FALSE),"unknown")</f>
        <v>Asian</v>
      </c>
      <c r="AQ333" s="120" t="str">
        <f>IFERROR(VLOOKUP(Table1[RespondentID],'All Data'!$A$3:$CO$999,92,FALSE),"unknown")</f>
        <v>Hispanic or Latino</v>
      </c>
      <c r="AR333" s="120" t="str">
        <f>IFERROR(VLOOKUP(Table1[RespondentID],'All Data'!$A$3:$CO$999,93,FALSE),"unknown")</f>
        <v>English</v>
      </c>
      <c r="AS333" s="120" t="str">
        <f>IFERROR(VLOOKUP(Table1[RespondentID],'All Data'!$A$3:$CW$999,94,FALSE),"unknown")</f>
        <v>$35,000 to $49,999</v>
      </c>
      <c r="AT333" s="120" t="str">
        <f>IFERROR(VLOOKUP(Table1[RespondentID],'All Data'!$A$3:$CW$999,95,FALSE),"unknown")</f>
        <v>Some high school</v>
      </c>
      <c r="AU333" s="120" t="str">
        <f>IFERROR(VLOOKUP(Table1[RespondentID],'All Data'!$A$3:$CW$999,96,FALSE),"unknown")</f>
        <v>Employed for wages</v>
      </c>
      <c r="AV333" s="120" t="str">
        <f>IFERROR(VLOOKUP(Table1[RespondentID],'All Data'!$A$3:$CW$999,97,FALSE),"unknown")</f>
        <v>Yes</v>
      </c>
      <c r="AW333" s="120" t="str">
        <f>IFERROR(VLOOKUP(Table1[RespondentID],'All Data'!$A$3:$CW$999,98,FALSE),"unknown")</f>
        <v>Private/Commercial</v>
      </c>
      <c r="AX333" s="120" t="str">
        <f>IFERROR(VLOOKUP(Table1[RespondentID],'All Data'!$A$3:$CW$999,99,FALSE),"unknown")</f>
        <v>Yes</v>
      </c>
    </row>
    <row r="334" spans="1:50">
      <c r="A334" s="5">
        <v>18014390460</v>
      </c>
      <c r="B334" s="5"/>
      <c r="C334" s="5"/>
      <c r="D334" s="5" t="s">
        <v>18</v>
      </c>
      <c r="E334" s="5"/>
      <c r="F334" s="5"/>
      <c r="G334" s="5"/>
      <c r="H334" s="5"/>
      <c r="I334" s="5"/>
      <c r="J334" s="5"/>
      <c r="K334" s="5"/>
      <c r="L334" s="5"/>
      <c r="M334" s="5"/>
      <c r="N334" s="5"/>
      <c r="O334" s="7"/>
      <c r="P334" s="7">
        <f t="shared" si="90"/>
        <v>1</v>
      </c>
      <c r="Q334" s="8">
        <f t="shared" si="91"/>
        <v>3</v>
      </c>
      <c r="R334" s="7"/>
      <c r="S334" s="7">
        <f t="shared" si="92"/>
        <v>0</v>
      </c>
      <c r="T334" s="7">
        <f t="shared" si="93"/>
        <v>0</v>
      </c>
      <c r="U334" s="7">
        <f t="shared" si="94"/>
        <v>1</v>
      </c>
      <c r="V334" s="119">
        <f t="shared" si="95"/>
        <v>0</v>
      </c>
      <c r="W334" s="119">
        <f t="shared" si="96"/>
        <v>0</v>
      </c>
      <c r="X334" s="119">
        <f t="shared" si="97"/>
        <v>0</v>
      </c>
      <c r="Y334" s="119">
        <f t="shared" si="98"/>
        <v>0</v>
      </c>
      <c r="Z334" s="119">
        <f t="shared" si="99"/>
        <v>0</v>
      </c>
      <c r="AA334" s="119">
        <f t="shared" si="100"/>
        <v>0</v>
      </c>
      <c r="AB334" s="119">
        <f t="shared" si="101"/>
        <v>0</v>
      </c>
      <c r="AC334" s="119">
        <f t="shared" si="102"/>
        <v>0</v>
      </c>
      <c r="AD334" s="119">
        <f t="shared" si="103"/>
        <v>0</v>
      </c>
      <c r="AE334" s="119">
        <f t="shared" si="104"/>
        <v>0</v>
      </c>
      <c r="AF334" s="7"/>
      <c r="AG334" s="7"/>
      <c r="AH334" s="7">
        <f t="shared" si="105"/>
        <v>1</v>
      </c>
      <c r="AI334" s="7">
        <f t="shared" si="106"/>
        <v>1</v>
      </c>
      <c r="AJ334" s="7" t="str">
        <f t="shared" si="107"/>
        <v>Correct</v>
      </c>
      <c r="AK334" s="7"/>
      <c r="AL334" s="120" t="str">
        <f>IFERROR(VLOOKUP(Table1[RespondentID],'All Data'!$A$3:$CO$999,87,FALSE),"unknown")</f>
        <v>Woman</v>
      </c>
      <c r="AM334" s="120">
        <f>IFERROR(VLOOKUP(Table1[RespondentID],'All Data'!$A$3:$CO$999,88,FALSE),"unknown")</f>
        <v>38</v>
      </c>
      <c r="AN334" s="120" t="str">
        <f>IFERROR(VLOOKUP(Table1[RespondentID],'All Data'!$A$3:$CO$999,89,FALSE),"unknown")</f>
        <v>Queens</v>
      </c>
      <c r="AO334" s="120">
        <f>IFERROR(VLOOKUP(Table1[RespondentID],'All Data'!$A$3:$CO$999,90,FALSE),"unknown")</f>
        <v>11236</v>
      </c>
      <c r="AP334" s="120" t="str">
        <f>IFERROR(VLOOKUP(Table1[RespondentID],'All Data'!$A$3:$CO$999,91,FALSE),"unknown")</f>
        <v>Asian</v>
      </c>
      <c r="AQ334" s="120" t="str">
        <f>IFERROR(VLOOKUP(Table1[RespondentID],'All Data'!$A$3:$CO$999,92,FALSE),"unknown")</f>
        <v>Not Hispanic or Latino</v>
      </c>
      <c r="AR334" s="120" t="str">
        <f>IFERROR(VLOOKUP(Table1[RespondentID],'All Data'!$A$3:$CO$999,93,FALSE),"unknown")</f>
        <v>English, Haitian Creole</v>
      </c>
      <c r="AS334" s="120" t="str">
        <f>IFERROR(VLOOKUP(Table1[RespondentID],'All Data'!$A$3:$CW$999,94,FALSE),"unknown")</f>
        <v>$75,000 to $125,000</v>
      </c>
      <c r="AT334" s="120" t="str">
        <f>IFERROR(VLOOKUP(Table1[RespondentID],'All Data'!$A$3:$CW$999,95,FALSE),"unknown")</f>
        <v>College graduate</v>
      </c>
      <c r="AU334" s="120" t="str">
        <f>IFERROR(VLOOKUP(Table1[RespondentID],'All Data'!$A$3:$CW$999,96,FALSE),"unknown")</f>
        <v>Employed for wages</v>
      </c>
      <c r="AV334" s="120" t="str">
        <f>IFERROR(VLOOKUP(Table1[RespondentID],'All Data'!$A$3:$CW$999,97,FALSE),"unknown")</f>
        <v>No</v>
      </c>
      <c r="AW334" s="120" t="str">
        <f>IFERROR(VLOOKUP(Table1[RespondentID],'All Data'!$A$3:$CW$999,98,FALSE),"unknown")</f>
        <v>Medicaid, Medicare</v>
      </c>
      <c r="AX334" s="120" t="str">
        <f>IFERROR(VLOOKUP(Table1[RespondentID],'All Data'!$A$3:$CW$999,99,FALSE),"unknown")</f>
        <v>Yes</v>
      </c>
    </row>
    <row r="335" spans="1:50">
      <c r="A335" s="5">
        <v>18014363228</v>
      </c>
      <c r="B335" s="5"/>
      <c r="C335" s="5"/>
      <c r="D335" s="5"/>
      <c r="E335" s="5"/>
      <c r="F335" s="5"/>
      <c r="G335" s="5"/>
      <c r="H335" s="5"/>
      <c r="I335" s="5"/>
      <c r="J335" s="5"/>
      <c r="K335" s="5"/>
      <c r="L335" s="5"/>
      <c r="M335" s="5"/>
      <c r="N335" s="5"/>
      <c r="O335" s="7"/>
      <c r="P335" s="7">
        <f t="shared" si="90"/>
        <v>0</v>
      </c>
      <c r="Q335" s="9" t="e">
        <f t="shared" si="91"/>
        <v>#DIV/0!</v>
      </c>
      <c r="R335" s="7"/>
      <c r="S335" s="7">
        <f t="shared" si="92"/>
        <v>0</v>
      </c>
      <c r="T335" s="7">
        <f t="shared" si="93"/>
        <v>0</v>
      </c>
      <c r="U335" s="7">
        <f t="shared" si="94"/>
        <v>0</v>
      </c>
      <c r="V335" s="119">
        <f t="shared" si="95"/>
        <v>0</v>
      </c>
      <c r="W335" s="119">
        <f t="shared" si="96"/>
        <v>0</v>
      </c>
      <c r="X335" s="119">
        <f t="shared" si="97"/>
        <v>0</v>
      </c>
      <c r="Y335" s="119">
        <f t="shared" si="98"/>
        <v>0</v>
      </c>
      <c r="Z335" s="119">
        <f t="shared" si="99"/>
        <v>0</v>
      </c>
      <c r="AA335" s="119">
        <f t="shared" si="100"/>
        <v>0</v>
      </c>
      <c r="AB335" s="119">
        <f t="shared" si="101"/>
        <v>0</v>
      </c>
      <c r="AC335" s="119">
        <f t="shared" si="102"/>
        <v>0</v>
      </c>
      <c r="AD335" s="119">
        <f t="shared" si="103"/>
        <v>0</v>
      </c>
      <c r="AE335" s="119">
        <f t="shared" si="104"/>
        <v>0</v>
      </c>
      <c r="AF335" s="7"/>
      <c r="AG335" s="7"/>
      <c r="AH335" s="7">
        <f t="shared" si="105"/>
        <v>0</v>
      </c>
      <c r="AI335" s="7">
        <f t="shared" si="106"/>
        <v>0</v>
      </c>
      <c r="AJ335" s="7" t="str">
        <f t="shared" si="107"/>
        <v>Correct</v>
      </c>
      <c r="AK335" s="7"/>
      <c r="AL335" s="120">
        <f>IFERROR(VLOOKUP(Table1[RespondentID],'All Data'!$A$3:$CO$999,87,FALSE),"unknown")</f>
        <v>0</v>
      </c>
      <c r="AM335" s="120">
        <f>IFERROR(VLOOKUP(Table1[RespondentID],'All Data'!$A$3:$CO$999,88,FALSE),"unknown")</f>
        <v>0</v>
      </c>
      <c r="AN335" s="120">
        <f>IFERROR(VLOOKUP(Table1[RespondentID],'All Data'!$A$3:$CO$999,89,FALSE),"unknown")</f>
        <v>0</v>
      </c>
      <c r="AO335" s="120" t="str">
        <f>IFERROR(VLOOKUP(Table1[RespondentID],'All Data'!$A$3:$CO$999,90,FALSE),"unknown")</f>
        <v>Alden Manor, 11003</v>
      </c>
      <c r="AP335" s="120">
        <f>IFERROR(VLOOKUP(Table1[RespondentID],'All Data'!$A$3:$CO$999,91,FALSE),"unknown")</f>
        <v>0</v>
      </c>
      <c r="AQ335" s="120">
        <f>IFERROR(VLOOKUP(Table1[RespondentID],'All Data'!$A$3:$CO$999,92,FALSE),"unknown")</f>
        <v>0</v>
      </c>
      <c r="AR335" s="120">
        <f>IFERROR(VLOOKUP(Table1[RespondentID],'All Data'!$A$3:$CO$999,93,FALSE),"unknown")</f>
        <v>0</v>
      </c>
      <c r="AS335" s="120">
        <f>IFERROR(VLOOKUP(Table1[RespondentID],'All Data'!$A$3:$CW$999,94,FALSE),"unknown")</f>
        <v>0</v>
      </c>
      <c r="AT335" s="120">
        <f>IFERROR(VLOOKUP(Table1[RespondentID],'All Data'!$A$3:$CW$999,95,FALSE),"unknown")</f>
        <v>0</v>
      </c>
      <c r="AU335" s="120">
        <f>IFERROR(VLOOKUP(Table1[RespondentID],'All Data'!$A$3:$CW$999,96,FALSE),"unknown")</f>
        <v>0</v>
      </c>
      <c r="AV335" s="120">
        <f>IFERROR(VLOOKUP(Table1[RespondentID],'All Data'!$A$3:$CW$999,97,FALSE),"unknown")</f>
        <v>0</v>
      </c>
      <c r="AW335" s="120">
        <f>IFERROR(VLOOKUP(Table1[RespondentID],'All Data'!$A$3:$CW$999,98,FALSE),"unknown")</f>
        <v>0</v>
      </c>
      <c r="AX335" s="120">
        <f>IFERROR(VLOOKUP(Table1[RespondentID],'All Data'!$A$3:$CW$999,99,FALSE),"unknown")</f>
        <v>0</v>
      </c>
    </row>
    <row r="336" spans="1:50">
      <c r="A336" s="5">
        <v>18014090175</v>
      </c>
      <c r="B336" s="5"/>
      <c r="C336" s="5" t="s">
        <v>17</v>
      </c>
      <c r="D336" s="5"/>
      <c r="E336" s="5"/>
      <c r="F336" s="5"/>
      <c r="G336" s="5"/>
      <c r="H336" s="5"/>
      <c r="I336" s="5" t="s">
        <v>23</v>
      </c>
      <c r="J336" s="5"/>
      <c r="K336" s="5"/>
      <c r="L336" s="5" t="s">
        <v>26</v>
      </c>
      <c r="M336" s="5"/>
      <c r="N336" s="5"/>
      <c r="O336" s="7"/>
      <c r="P336" s="7">
        <f t="shared" si="90"/>
        <v>3</v>
      </c>
      <c r="Q336" s="8">
        <f t="shared" si="91"/>
        <v>1</v>
      </c>
      <c r="R336" s="7"/>
      <c r="S336" s="7">
        <f t="shared" si="92"/>
        <v>0</v>
      </c>
      <c r="T336" s="7">
        <f t="shared" si="93"/>
        <v>1</v>
      </c>
      <c r="U336" s="7">
        <f t="shared" si="94"/>
        <v>0</v>
      </c>
      <c r="V336" s="119">
        <f t="shared" si="95"/>
        <v>0</v>
      </c>
      <c r="W336" s="119">
        <f t="shared" si="96"/>
        <v>0</v>
      </c>
      <c r="X336" s="119">
        <f t="shared" si="97"/>
        <v>0</v>
      </c>
      <c r="Y336" s="119">
        <f t="shared" si="98"/>
        <v>0</v>
      </c>
      <c r="Z336" s="119">
        <f t="shared" si="99"/>
        <v>1</v>
      </c>
      <c r="AA336" s="119">
        <f t="shared" si="100"/>
        <v>0</v>
      </c>
      <c r="AB336" s="119">
        <f t="shared" si="101"/>
        <v>0</v>
      </c>
      <c r="AC336" s="119">
        <f t="shared" si="102"/>
        <v>1</v>
      </c>
      <c r="AD336" s="119">
        <f t="shared" si="103"/>
        <v>0</v>
      </c>
      <c r="AE336" s="119">
        <f t="shared" si="104"/>
        <v>0</v>
      </c>
      <c r="AF336" s="7"/>
      <c r="AG336" s="7"/>
      <c r="AH336" s="7">
        <f t="shared" si="105"/>
        <v>3</v>
      </c>
      <c r="AI336" s="7">
        <f t="shared" si="106"/>
        <v>3</v>
      </c>
      <c r="AJ336" s="7" t="str">
        <f t="shared" si="107"/>
        <v>Correct</v>
      </c>
      <c r="AK336" s="7"/>
      <c r="AL336" s="120" t="str">
        <f>IFERROR(VLOOKUP(Table1[RespondentID],'All Data'!$A$3:$CO$999,87,FALSE),"unknown")</f>
        <v>Man</v>
      </c>
      <c r="AM336" s="120">
        <f>IFERROR(VLOOKUP(Table1[RespondentID],'All Data'!$A$3:$CO$999,88,FALSE),"unknown")</f>
        <v>17</v>
      </c>
      <c r="AN336" s="120" t="str">
        <f>IFERROR(VLOOKUP(Table1[RespondentID],'All Data'!$A$3:$CO$999,89,FALSE),"unknown")</f>
        <v>Suffolk</v>
      </c>
      <c r="AO336" s="120" t="str">
        <f>IFERROR(VLOOKUP(Table1[RespondentID],'All Data'!$A$3:$CO$999,90,FALSE),"unknown")</f>
        <v>Kings Park, 11754</v>
      </c>
      <c r="AP336" s="120" t="str">
        <f>IFERROR(VLOOKUP(Table1[RespondentID],'All Data'!$A$3:$CO$999,91,FALSE),"unknown")</f>
        <v>White</v>
      </c>
      <c r="AQ336" s="120" t="str">
        <f>IFERROR(VLOOKUP(Table1[RespondentID],'All Data'!$A$3:$CO$999,92,FALSE),"unknown")</f>
        <v>Hispanic or Latino</v>
      </c>
      <c r="AR336" s="120" t="str">
        <f>IFERROR(VLOOKUP(Table1[RespondentID],'All Data'!$A$3:$CO$999,93,FALSE),"unknown")</f>
        <v>English</v>
      </c>
      <c r="AS336" s="120" t="str">
        <f>IFERROR(VLOOKUP(Table1[RespondentID],'All Data'!$A$3:$CW$999,94,FALSE),"unknown")</f>
        <v>Over $125,000</v>
      </c>
      <c r="AT336" s="120" t="str">
        <f>IFERROR(VLOOKUP(Table1[RespondentID],'All Data'!$A$3:$CW$999,95,FALSE),"unknown")</f>
        <v>High school graduate</v>
      </c>
      <c r="AU336" s="120" t="str">
        <f>IFERROR(VLOOKUP(Table1[RespondentID],'All Data'!$A$3:$CW$999,96,FALSE),"unknown")</f>
        <v>Student</v>
      </c>
      <c r="AV336" s="120" t="str">
        <f>IFERROR(VLOOKUP(Table1[RespondentID],'All Data'!$A$3:$CW$999,97,FALSE),"unknown")</f>
        <v>Yes</v>
      </c>
      <c r="AW336" s="120" t="str">
        <f>IFERROR(VLOOKUP(Table1[RespondentID],'All Data'!$A$3:$CW$999,98,FALSE),"unknown")</f>
        <v>Medicare</v>
      </c>
      <c r="AX336" s="120" t="str">
        <f>IFERROR(VLOOKUP(Table1[RespondentID],'All Data'!$A$3:$CW$999,99,FALSE),"unknown")</f>
        <v>Yes</v>
      </c>
    </row>
    <row r="337" spans="1:50">
      <c r="A337" s="5">
        <v>18013870170</v>
      </c>
      <c r="B337" s="5"/>
      <c r="C337" s="5"/>
      <c r="D337" s="5"/>
      <c r="E337" s="5"/>
      <c r="F337" s="5"/>
      <c r="G337" s="5"/>
      <c r="H337" s="5"/>
      <c r="I337" s="5" t="s">
        <v>23</v>
      </c>
      <c r="J337" s="5"/>
      <c r="K337" s="5" t="s">
        <v>25</v>
      </c>
      <c r="L337" s="5"/>
      <c r="M337" s="5"/>
      <c r="N337" s="5" t="s">
        <v>28</v>
      </c>
      <c r="O337" s="7"/>
      <c r="P337" s="7">
        <f t="shared" si="90"/>
        <v>3</v>
      </c>
      <c r="Q337" s="9">
        <f t="shared" si="91"/>
        <v>1</v>
      </c>
      <c r="R337" s="7"/>
      <c r="S337" s="7">
        <f t="shared" si="92"/>
        <v>0</v>
      </c>
      <c r="T337" s="7">
        <f t="shared" si="93"/>
        <v>0</v>
      </c>
      <c r="U337" s="7">
        <f t="shared" si="94"/>
        <v>0</v>
      </c>
      <c r="V337" s="119">
        <f t="shared" si="95"/>
        <v>0</v>
      </c>
      <c r="W337" s="119">
        <f t="shared" si="96"/>
        <v>0</v>
      </c>
      <c r="X337" s="119">
        <f t="shared" si="97"/>
        <v>0</v>
      </c>
      <c r="Y337" s="119">
        <f t="shared" si="98"/>
        <v>0</v>
      </c>
      <c r="Z337" s="119">
        <f t="shared" si="99"/>
        <v>1</v>
      </c>
      <c r="AA337" s="119">
        <f t="shared" si="100"/>
        <v>0</v>
      </c>
      <c r="AB337" s="119">
        <f t="shared" si="101"/>
        <v>1</v>
      </c>
      <c r="AC337" s="119">
        <f t="shared" si="102"/>
        <v>0</v>
      </c>
      <c r="AD337" s="119">
        <f t="shared" si="103"/>
        <v>0</v>
      </c>
      <c r="AE337" s="119">
        <f t="shared" si="104"/>
        <v>1</v>
      </c>
      <c r="AF337" s="7"/>
      <c r="AG337" s="7"/>
      <c r="AH337" s="7">
        <f t="shared" si="105"/>
        <v>3</v>
      </c>
      <c r="AI337" s="7">
        <f t="shared" si="106"/>
        <v>3</v>
      </c>
      <c r="AJ337" s="7" t="str">
        <f t="shared" si="107"/>
        <v>Correct</v>
      </c>
      <c r="AK337" s="7"/>
      <c r="AL337" s="120" t="str">
        <f>IFERROR(VLOOKUP(Table1[RespondentID],'All Data'!$A$3:$CO$999,87,FALSE),"unknown")</f>
        <v>Man</v>
      </c>
      <c r="AM337" s="120">
        <f>IFERROR(VLOOKUP(Table1[RespondentID],'All Data'!$A$3:$CO$999,88,FALSE),"unknown")</f>
        <v>53</v>
      </c>
      <c r="AN337" s="120" t="str">
        <f>IFERROR(VLOOKUP(Table1[RespondentID],'All Data'!$A$3:$CO$999,89,FALSE),"unknown")</f>
        <v>Suffolk</v>
      </c>
      <c r="AO337" s="120" t="str">
        <f>IFERROR(VLOOKUP(Table1[RespondentID],'All Data'!$A$3:$CO$999,90,FALSE),"unknown")</f>
        <v>Manorville, 11949</v>
      </c>
      <c r="AP337" s="120" t="str">
        <f>IFERROR(VLOOKUP(Table1[RespondentID],'All Data'!$A$3:$CO$999,91,FALSE),"unknown")</f>
        <v>White</v>
      </c>
      <c r="AQ337" s="120" t="str">
        <f>IFERROR(VLOOKUP(Table1[RespondentID],'All Data'!$A$3:$CO$999,92,FALSE),"unknown")</f>
        <v>Hispanic or Latino</v>
      </c>
      <c r="AR337" s="120" t="str">
        <f>IFERROR(VLOOKUP(Table1[RespondentID],'All Data'!$A$3:$CO$999,93,FALSE),"unknown")</f>
        <v>English</v>
      </c>
      <c r="AS337" s="120" t="str">
        <f>IFERROR(VLOOKUP(Table1[RespondentID],'All Data'!$A$3:$CW$999,94,FALSE),"unknown")</f>
        <v>$75,000 to $125,000</v>
      </c>
      <c r="AT337" s="120" t="str">
        <f>IFERROR(VLOOKUP(Table1[RespondentID],'All Data'!$A$3:$CW$999,95,FALSE),"unknown")</f>
        <v>College graduate</v>
      </c>
      <c r="AU337" s="120" t="str">
        <f>IFERROR(VLOOKUP(Table1[RespondentID],'All Data'!$A$3:$CW$999,96,FALSE),"unknown")</f>
        <v>Employed for wages</v>
      </c>
      <c r="AV337" s="120" t="str">
        <f>IFERROR(VLOOKUP(Table1[RespondentID],'All Data'!$A$3:$CW$999,97,FALSE),"unknown")</f>
        <v>Yes</v>
      </c>
      <c r="AW337" s="120" t="str">
        <f>IFERROR(VLOOKUP(Table1[RespondentID],'All Data'!$A$3:$CW$999,98,FALSE),"unknown")</f>
        <v>Private/Commercial</v>
      </c>
      <c r="AX337" s="120" t="str">
        <f>IFERROR(VLOOKUP(Table1[RespondentID],'All Data'!$A$3:$CW$999,99,FALSE),"unknown")</f>
        <v>Yes</v>
      </c>
    </row>
    <row r="338" spans="1:50">
      <c r="A338" s="5">
        <v>18013484831</v>
      </c>
      <c r="B338" s="5"/>
      <c r="C338" s="5" t="s">
        <v>17</v>
      </c>
      <c r="D338" s="5"/>
      <c r="E338" s="5"/>
      <c r="F338" s="5"/>
      <c r="G338" s="5"/>
      <c r="H338" s="5"/>
      <c r="I338" s="5" t="s">
        <v>23</v>
      </c>
      <c r="J338" s="5" t="s">
        <v>24</v>
      </c>
      <c r="K338" s="5"/>
      <c r="L338" s="5"/>
      <c r="M338" s="5"/>
      <c r="N338" s="5"/>
      <c r="O338" s="7"/>
      <c r="P338" s="7">
        <f t="shared" si="90"/>
        <v>3</v>
      </c>
      <c r="Q338" s="8">
        <f t="shared" si="91"/>
        <v>1</v>
      </c>
      <c r="R338" s="7"/>
      <c r="S338" s="7">
        <f t="shared" si="92"/>
        <v>0</v>
      </c>
      <c r="T338" s="7">
        <f t="shared" si="93"/>
        <v>1</v>
      </c>
      <c r="U338" s="7">
        <f t="shared" si="94"/>
        <v>0</v>
      </c>
      <c r="V338" s="119">
        <f t="shared" si="95"/>
        <v>0</v>
      </c>
      <c r="W338" s="119">
        <f t="shared" si="96"/>
        <v>0</v>
      </c>
      <c r="X338" s="119">
        <f t="shared" si="97"/>
        <v>0</v>
      </c>
      <c r="Y338" s="119">
        <f t="shared" si="98"/>
        <v>0</v>
      </c>
      <c r="Z338" s="119">
        <f t="shared" si="99"/>
        <v>1</v>
      </c>
      <c r="AA338" s="119">
        <f t="shared" si="100"/>
        <v>1</v>
      </c>
      <c r="AB338" s="119">
        <f t="shared" si="101"/>
        <v>0</v>
      </c>
      <c r="AC338" s="119">
        <f t="shared" si="102"/>
        <v>0</v>
      </c>
      <c r="AD338" s="119">
        <f t="shared" si="103"/>
        <v>0</v>
      </c>
      <c r="AE338" s="119">
        <f t="shared" si="104"/>
        <v>0</v>
      </c>
      <c r="AF338" s="7"/>
      <c r="AG338" s="7"/>
      <c r="AH338" s="7">
        <f t="shared" si="105"/>
        <v>3</v>
      </c>
      <c r="AI338" s="7">
        <f t="shared" si="106"/>
        <v>3</v>
      </c>
      <c r="AJ338" s="7" t="str">
        <f t="shared" si="107"/>
        <v>Correct</v>
      </c>
      <c r="AK338" s="7"/>
      <c r="AL338" s="120" t="str">
        <f>IFERROR(VLOOKUP(Table1[RespondentID],'All Data'!$A$3:$CO$999,87,FALSE),"unknown")</f>
        <v>Man</v>
      </c>
      <c r="AM338" s="120">
        <f>IFERROR(VLOOKUP(Table1[RespondentID],'All Data'!$A$3:$CO$999,88,FALSE),"unknown")</f>
        <v>83</v>
      </c>
      <c r="AN338" s="120" t="str">
        <f>IFERROR(VLOOKUP(Table1[RespondentID],'All Data'!$A$3:$CO$999,89,FALSE),"unknown")</f>
        <v>Nassau</v>
      </c>
      <c r="AO338" s="120" t="str">
        <f>IFERROR(VLOOKUP(Table1[RespondentID],'All Data'!$A$3:$CO$999,90,FALSE),"unknown")</f>
        <v>Syosset, 11791</v>
      </c>
      <c r="AP338" s="120" t="str">
        <f>IFERROR(VLOOKUP(Table1[RespondentID],'All Data'!$A$3:$CO$999,91,FALSE),"unknown")</f>
        <v>White</v>
      </c>
      <c r="AQ338" s="120" t="str">
        <f>IFERROR(VLOOKUP(Table1[RespondentID],'All Data'!$A$3:$CO$999,92,FALSE),"unknown")</f>
        <v>Hispanic or Latino</v>
      </c>
      <c r="AR338" s="120" t="str">
        <f>IFERROR(VLOOKUP(Table1[RespondentID],'All Data'!$A$3:$CO$999,93,FALSE),"unknown")</f>
        <v>English</v>
      </c>
      <c r="AS338" s="120" t="str">
        <f>IFERROR(VLOOKUP(Table1[RespondentID],'All Data'!$A$3:$CW$999,94,FALSE),"unknown")</f>
        <v>Over $125,000</v>
      </c>
      <c r="AT338" s="120" t="str">
        <f>IFERROR(VLOOKUP(Table1[RespondentID],'All Data'!$A$3:$CW$999,95,FALSE),"unknown")</f>
        <v>College graduate</v>
      </c>
      <c r="AU338" s="120" t="str">
        <f>IFERROR(VLOOKUP(Table1[RespondentID],'All Data'!$A$3:$CW$999,96,FALSE),"unknown")</f>
        <v>Retired</v>
      </c>
      <c r="AV338" s="120" t="str">
        <f>IFERROR(VLOOKUP(Table1[RespondentID],'All Data'!$A$3:$CW$999,97,FALSE),"unknown")</f>
        <v>Yes</v>
      </c>
      <c r="AW338" s="120" t="str">
        <f>IFERROR(VLOOKUP(Table1[RespondentID],'All Data'!$A$3:$CW$999,98,FALSE),"unknown")</f>
        <v>Medicare</v>
      </c>
      <c r="AX338" s="120" t="str">
        <f>IFERROR(VLOOKUP(Table1[RespondentID],'All Data'!$A$3:$CW$999,99,FALSE),"unknown")</f>
        <v>Yes</v>
      </c>
    </row>
    <row r="339" spans="1:50">
      <c r="A339" s="5">
        <v>18013472458</v>
      </c>
      <c r="B339" s="5"/>
      <c r="C339" s="5"/>
      <c r="D339" s="5"/>
      <c r="E339" s="5"/>
      <c r="F339" s="5"/>
      <c r="G339" s="5"/>
      <c r="H339" s="5"/>
      <c r="I339" s="5"/>
      <c r="J339" s="5"/>
      <c r="K339" s="5"/>
      <c r="L339" s="5"/>
      <c r="M339" s="5"/>
      <c r="N339" s="5"/>
      <c r="O339" s="7"/>
      <c r="P339" s="7">
        <f t="shared" si="90"/>
        <v>0</v>
      </c>
      <c r="Q339" s="9" t="e">
        <f t="shared" si="91"/>
        <v>#DIV/0!</v>
      </c>
      <c r="R339" s="7"/>
      <c r="S339" s="7">
        <f t="shared" si="92"/>
        <v>0</v>
      </c>
      <c r="T339" s="7">
        <f t="shared" si="93"/>
        <v>0</v>
      </c>
      <c r="U339" s="7">
        <f t="shared" si="94"/>
        <v>0</v>
      </c>
      <c r="V339" s="119">
        <f t="shared" si="95"/>
        <v>0</v>
      </c>
      <c r="W339" s="119">
        <f t="shared" si="96"/>
        <v>0</v>
      </c>
      <c r="X339" s="119">
        <f t="shared" si="97"/>
        <v>0</v>
      </c>
      <c r="Y339" s="119">
        <f t="shared" si="98"/>
        <v>0</v>
      </c>
      <c r="Z339" s="119">
        <f t="shared" si="99"/>
        <v>0</v>
      </c>
      <c r="AA339" s="119">
        <f t="shared" si="100"/>
        <v>0</v>
      </c>
      <c r="AB339" s="119">
        <f t="shared" si="101"/>
        <v>0</v>
      </c>
      <c r="AC339" s="119">
        <f t="shared" si="102"/>
        <v>0</v>
      </c>
      <c r="AD339" s="119">
        <f t="shared" si="103"/>
        <v>0</v>
      </c>
      <c r="AE339" s="119">
        <f t="shared" si="104"/>
        <v>0</v>
      </c>
      <c r="AF339" s="7"/>
      <c r="AG339" s="7"/>
      <c r="AH339" s="7">
        <f t="shared" si="105"/>
        <v>0</v>
      </c>
      <c r="AI339" s="7">
        <f t="shared" si="106"/>
        <v>0</v>
      </c>
      <c r="AJ339" s="7" t="str">
        <f t="shared" si="107"/>
        <v>Correct</v>
      </c>
      <c r="AK339" s="7"/>
      <c r="AL339" s="120">
        <f>IFERROR(VLOOKUP(Table1[RespondentID],'All Data'!$A$3:$CO$999,87,FALSE),"unknown")</f>
        <v>0</v>
      </c>
      <c r="AM339" s="120">
        <f>IFERROR(VLOOKUP(Table1[RespondentID],'All Data'!$A$3:$CO$999,88,FALSE),"unknown")</f>
        <v>0</v>
      </c>
      <c r="AN339" s="120">
        <f>IFERROR(VLOOKUP(Table1[RespondentID],'All Data'!$A$3:$CO$999,89,FALSE),"unknown")</f>
        <v>0</v>
      </c>
      <c r="AO339" s="120" t="str">
        <f>IFERROR(VLOOKUP(Table1[RespondentID],'All Data'!$A$3:$CO$999,90,FALSE),"unknown")</f>
        <v>East Hills, 11576</v>
      </c>
      <c r="AP339" s="120">
        <f>IFERROR(VLOOKUP(Table1[RespondentID],'All Data'!$A$3:$CO$999,91,FALSE),"unknown")</f>
        <v>0</v>
      </c>
      <c r="AQ339" s="120">
        <f>IFERROR(VLOOKUP(Table1[RespondentID],'All Data'!$A$3:$CO$999,92,FALSE),"unknown")</f>
        <v>0</v>
      </c>
      <c r="AR339" s="120">
        <f>IFERROR(VLOOKUP(Table1[RespondentID],'All Data'!$A$3:$CO$999,93,FALSE),"unknown")</f>
        <v>0</v>
      </c>
      <c r="AS339" s="120">
        <f>IFERROR(VLOOKUP(Table1[RespondentID],'All Data'!$A$3:$CW$999,94,FALSE),"unknown")</f>
        <v>0</v>
      </c>
      <c r="AT339" s="120">
        <f>IFERROR(VLOOKUP(Table1[RespondentID],'All Data'!$A$3:$CW$999,95,FALSE),"unknown")</f>
        <v>0</v>
      </c>
      <c r="AU339" s="120">
        <f>IFERROR(VLOOKUP(Table1[RespondentID],'All Data'!$A$3:$CW$999,96,FALSE),"unknown")</f>
        <v>0</v>
      </c>
      <c r="AV339" s="120">
        <f>IFERROR(VLOOKUP(Table1[RespondentID],'All Data'!$A$3:$CW$999,97,FALSE),"unknown")</f>
        <v>0</v>
      </c>
      <c r="AW339" s="120">
        <f>IFERROR(VLOOKUP(Table1[RespondentID],'All Data'!$A$3:$CW$999,98,FALSE),"unknown")</f>
        <v>0</v>
      </c>
      <c r="AX339" s="120">
        <f>IFERROR(VLOOKUP(Table1[RespondentID],'All Data'!$A$3:$CW$999,99,FALSE),"unknown")</f>
        <v>0</v>
      </c>
    </row>
    <row r="340" spans="1:50">
      <c r="A340" s="5">
        <v>18013326061</v>
      </c>
      <c r="B340" s="5"/>
      <c r="C340" s="5"/>
      <c r="D340" s="5"/>
      <c r="E340" s="5"/>
      <c r="F340" s="5"/>
      <c r="G340" s="5"/>
      <c r="H340" s="5"/>
      <c r="I340" s="5"/>
      <c r="J340" s="5"/>
      <c r="K340" s="5"/>
      <c r="L340" s="5"/>
      <c r="M340" s="5"/>
      <c r="N340" s="5"/>
      <c r="O340" s="7"/>
      <c r="P340" s="7">
        <f t="shared" si="90"/>
        <v>0</v>
      </c>
      <c r="Q340" s="8" t="e">
        <f t="shared" si="91"/>
        <v>#DIV/0!</v>
      </c>
      <c r="R340" s="7"/>
      <c r="S340" s="7">
        <f t="shared" si="92"/>
        <v>0</v>
      </c>
      <c r="T340" s="7">
        <f t="shared" si="93"/>
        <v>0</v>
      </c>
      <c r="U340" s="7">
        <f t="shared" si="94"/>
        <v>0</v>
      </c>
      <c r="V340" s="119">
        <f t="shared" si="95"/>
        <v>0</v>
      </c>
      <c r="W340" s="119">
        <f t="shared" si="96"/>
        <v>0</v>
      </c>
      <c r="X340" s="119">
        <f t="shared" si="97"/>
        <v>0</v>
      </c>
      <c r="Y340" s="119">
        <f t="shared" si="98"/>
        <v>0</v>
      </c>
      <c r="Z340" s="119">
        <f t="shared" si="99"/>
        <v>0</v>
      </c>
      <c r="AA340" s="119">
        <f t="shared" si="100"/>
        <v>0</v>
      </c>
      <c r="AB340" s="119">
        <f t="shared" si="101"/>
        <v>0</v>
      </c>
      <c r="AC340" s="119">
        <f t="shared" si="102"/>
        <v>0</v>
      </c>
      <c r="AD340" s="119">
        <f t="shared" si="103"/>
        <v>0</v>
      </c>
      <c r="AE340" s="119">
        <f t="shared" si="104"/>
        <v>0</v>
      </c>
      <c r="AF340" s="7"/>
      <c r="AG340" s="7"/>
      <c r="AH340" s="7">
        <f t="shared" si="105"/>
        <v>0</v>
      </c>
      <c r="AI340" s="7">
        <f t="shared" si="106"/>
        <v>0</v>
      </c>
      <c r="AJ340" s="7" t="str">
        <f t="shared" si="107"/>
        <v>Correct</v>
      </c>
      <c r="AK340" s="7"/>
      <c r="AL340" s="120" t="str">
        <f>IFERROR(VLOOKUP(Table1[RespondentID],'All Data'!$A$3:$CO$999,87,FALSE),"unknown")</f>
        <v>Man</v>
      </c>
      <c r="AM340" s="120">
        <f>IFERROR(VLOOKUP(Table1[RespondentID],'All Data'!$A$3:$CO$999,88,FALSE),"unknown")</f>
        <v>58</v>
      </c>
      <c r="AN340" s="120" t="str">
        <f>IFERROR(VLOOKUP(Table1[RespondentID],'All Data'!$A$3:$CO$999,89,FALSE),"unknown")</f>
        <v>Suffolk</v>
      </c>
      <c r="AO340" s="120" t="str">
        <f>IFERROR(VLOOKUP(Table1[RespondentID],'All Data'!$A$3:$CO$999,90,FALSE),"unknown")</f>
        <v>Aquebogue, 11931</v>
      </c>
      <c r="AP340" s="120" t="str">
        <f>IFERROR(VLOOKUP(Table1[RespondentID],'All Data'!$A$3:$CO$999,91,FALSE),"unknown")</f>
        <v>Other (please specify)</v>
      </c>
      <c r="AQ340" s="120">
        <f>IFERROR(VLOOKUP(Table1[RespondentID],'All Data'!$A$3:$CO$999,92,FALSE),"unknown")</f>
        <v>0</v>
      </c>
      <c r="AR340" s="120" t="str">
        <f>IFERROR(VLOOKUP(Table1[RespondentID],'All Data'!$A$3:$CO$999,93,FALSE),"unknown")</f>
        <v>English</v>
      </c>
      <c r="AS340" s="120" t="str">
        <f>IFERROR(VLOOKUP(Table1[RespondentID],'All Data'!$A$3:$CW$999,94,FALSE),"unknown")</f>
        <v>$50,000 to $74,999</v>
      </c>
      <c r="AT340" s="120" t="str">
        <f>IFERROR(VLOOKUP(Table1[RespondentID],'All Data'!$A$3:$CW$999,95,FALSE),"unknown")</f>
        <v>College graduate</v>
      </c>
      <c r="AU340" s="120" t="str">
        <f>IFERROR(VLOOKUP(Table1[RespondentID],'All Data'!$A$3:$CW$999,96,FALSE),"unknown")</f>
        <v>Employed for wages</v>
      </c>
      <c r="AV340" s="120" t="str">
        <f>IFERROR(VLOOKUP(Table1[RespondentID],'All Data'!$A$3:$CW$999,97,FALSE),"unknown")</f>
        <v>Yes</v>
      </c>
      <c r="AW340" s="120" t="str">
        <f>IFERROR(VLOOKUP(Table1[RespondentID],'All Data'!$A$3:$CW$999,98,FALSE),"unknown")</f>
        <v>Private/Commercial</v>
      </c>
      <c r="AX340" s="120" t="str">
        <f>IFERROR(VLOOKUP(Table1[RespondentID],'All Data'!$A$3:$CW$999,99,FALSE),"unknown")</f>
        <v>Yes</v>
      </c>
    </row>
    <row r="341" spans="1:50">
      <c r="A341" s="5">
        <v>18013301185</v>
      </c>
      <c r="B341" s="5"/>
      <c r="C341" s="5"/>
      <c r="D341" s="5"/>
      <c r="E341" s="5"/>
      <c r="F341" s="5"/>
      <c r="G341" s="5"/>
      <c r="H341" s="5"/>
      <c r="I341" s="5"/>
      <c r="J341" s="5"/>
      <c r="K341" s="5" t="s">
        <v>25</v>
      </c>
      <c r="L341" s="5"/>
      <c r="M341" s="5"/>
      <c r="N341" s="5"/>
      <c r="O341" s="7"/>
      <c r="P341" s="7">
        <f t="shared" si="90"/>
        <v>1</v>
      </c>
      <c r="Q341" s="9">
        <f t="shared" si="91"/>
        <v>3</v>
      </c>
      <c r="R341" s="7"/>
      <c r="S341" s="7">
        <f t="shared" si="92"/>
        <v>0</v>
      </c>
      <c r="T341" s="7">
        <f t="shared" si="93"/>
        <v>0</v>
      </c>
      <c r="U341" s="7">
        <f t="shared" si="94"/>
        <v>0</v>
      </c>
      <c r="V341" s="119">
        <f t="shared" si="95"/>
        <v>0</v>
      </c>
      <c r="W341" s="119">
        <f t="shared" si="96"/>
        <v>0</v>
      </c>
      <c r="X341" s="119">
        <f t="shared" si="97"/>
        <v>0</v>
      </c>
      <c r="Y341" s="119">
        <f t="shared" si="98"/>
        <v>0</v>
      </c>
      <c r="Z341" s="119">
        <f t="shared" si="99"/>
        <v>0</v>
      </c>
      <c r="AA341" s="119">
        <f t="shared" si="100"/>
        <v>0</v>
      </c>
      <c r="AB341" s="119">
        <f t="shared" si="101"/>
        <v>1</v>
      </c>
      <c r="AC341" s="119">
        <f t="shared" si="102"/>
        <v>0</v>
      </c>
      <c r="AD341" s="119">
        <f t="shared" si="103"/>
        <v>0</v>
      </c>
      <c r="AE341" s="119">
        <f t="shared" si="104"/>
        <v>0</v>
      </c>
      <c r="AF341" s="7"/>
      <c r="AG341" s="7"/>
      <c r="AH341" s="7">
        <f t="shared" si="105"/>
        <v>1</v>
      </c>
      <c r="AI341" s="7">
        <f t="shared" si="106"/>
        <v>1</v>
      </c>
      <c r="AJ341" s="7" t="str">
        <f t="shared" si="107"/>
        <v>Correct</v>
      </c>
      <c r="AK341" s="7"/>
      <c r="AL341" s="120" t="str">
        <f>IFERROR(VLOOKUP(Table1[RespondentID],'All Data'!$A$3:$CO$999,87,FALSE),"unknown")</f>
        <v>Man</v>
      </c>
      <c r="AM341" s="120">
        <f>IFERROR(VLOOKUP(Table1[RespondentID],'All Data'!$A$3:$CO$999,88,FALSE),"unknown")</f>
        <v>26</v>
      </c>
      <c r="AN341" s="120" t="str">
        <f>IFERROR(VLOOKUP(Table1[RespondentID],'All Data'!$A$3:$CO$999,89,FALSE),"unknown")</f>
        <v>Nassau</v>
      </c>
      <c r="AO341" s="120" t="str">
        <f>IFERROR(VLOOKUP(Table1[RespondentID],'All Data'!$A$3:$CO$999,90,FALSE),"unknown")</f>
        <v>Jericho, 11753</v>
      </c>
      <c r="AP341" s="120" t="str">
        <f>IFERROR(VLOOKUP(Table1[RespondentID],'All Data'!$A$3:$CO$999,91,FALSE),"unknown")</f>
        <v>White</v>
      </c>
      <c r="AQ341" s="120" t="str">
        <f>IFERROR(VLOOKUP(Table1[RespondentID],'All Data'!$A$3:$CO$999,92,FALSE),"unknown")</f>
        <v>Hispanic or Latino</v>
      </c>
      <c r="AR341" s="120" t="str">
        <f>IFERROR(VLOOKUP(Table1[RespondentID],'All Data'!$A$3:$CO$999,93,FALSE),"unknown")</f>
        <v>English</v>
      </c>
      <c r="AS341" s="120" t="str">
        <f>IFERROR(VLOOKUP(Table1[RespondentID],'All Data'!$A$3:$CW$999,94,FALSE),"unknown")</f>
        <v>Over $125,000</v>
      </c>
      <c r="AT341" s="120" t="str">
        <f>IFERROR(VLOOKUP(Table1[RespondentID],'All Data'!$A$3:$CW$999,95,FALSE),"unknown")</f>
        <v>Graduate school</v>
      </c>
      <c r="AU341" s="120" t="str">
        <f>IFERROR(VLOOKUP(Table1[RespondentID],'All Data'!$A$3:$CW$999,96,FALSE),"unknown")</f>
        <v>Employed for wages</v>
      </c>
      <c r="AV341" s="120" t="str">
        <f>IFERROR(VLOOKUP(Table1[RespondentID],'All Data'!$A$3:$CW$999,97,FALSE),"unknown")</f>
        <v>Yes</v>
      </c>
      <c r="AW341" s="120" t="str">
        <f>IFERROR(VLOOKUP(Table1[RespondentID],'All Data'!$A$3:$CW$999,98,FALSE),"unknown")</f>
        <v>Private/Commercial</v>
      </c>
      <c r="AX341" s="120" t="str">
        <f>IFERROR(VLOOKUP(Table1[RespondentID],'All Data'!$A$3:$CW$999,99,FALSE),"unknown")</f>
        <v>Yes</v>
      </c>
    </row>
    <row r="342" spans="1:50">
      <c r="A342" s="5">
        <v>18013187377</v>
      </c>
      <c r="B342" s="5"/>
      <c r="C342" s="5"/>
      <c r="D342" s="5" t="s">
        <v>18</v>
      </c>
      <c r="E342" s="5"/>
      <c r="F342" s="5"/>
      <c r="G342" s="5"/>
      <c r="H342" s="5"/>
      <c r="I342" s="5"/>
      <c r="J342" s="5"/>
      <c r="K342" s="5"/>
      <c r="L342" s="5"/>
      <c r="M342" s="5"/>
      <c r="N342" s="5" t="s">
        <v>28</v>
      </c>
      <c r="O342" s="7"/>
      <c r="P342" s="7">
        <f t="shared" si="90"/>
        <v>2</v>
      </c>
      <c r="Q342" s="8">
        <f t="shared" si="91"/>
        <v>1.5</v>
      </c>
      <c r="R342" s="7"/>
      <c r="S342" s="7">
        <f t="shared" si="92"/>
        <v>0</v>
      </c>
      <c r="T342" s="7">
        <f t="shared" si="93"/>
        <v>0</v>
      </c>
      <c r="U342" s="7">
        <f t="shared" si="94"/>
        <v>1</v>
      </c>
      <c r="V342" s="119">
        <f t="shared" si="95"/>
        <v>0</v>
      </c>
      <c r="W342" s="119">
        <f t="shared" si="96"/>
        <v>0</v>
      </c>
      <c r="X342" s="119">
        <f t="shared" si="97"/>
        <v>0</v>
      </c>
      <c r="Y342" s="119">
        <f t="shared" si="98"/>
        <v>0</v>
      </c>
      <c r="Z342" s="119">
        <f t="shared" si="99"/>
        <v>0</v>
      </c>
      <c r="AA342" s="119">
        <f t="shared" si="100"/>
        <v>0</v>
      </c>
      <c r="AB342" s="119">
        <f t="shared" si="101"/>
        <v>0</v>
      </c>
      <c r="AC342" s="119">
        <f t="shared" si="102"/>
        <v>0</v>
      </c>
      <c r="AD342" s="119">
        <f t="shared" si="103"/>
        <v>0</v>
      </c>
      <c r="AE342" s="119">
        <f t="shared" si="104"/>
        <v>1</v>
      </c>
      <c r="AF342" s="7"/>
      <c r="AG342" s="7"/>
      <c r="AH342" s="7">
        <f t="shared" si="105"/>
        <v>2</v>
      </c>
      <c r="AI342" s="7">
        <f t="shared" si="106"/>
        <v>2</v>
      </c>
      <c r="AJ342" s="7" t="str">
        <f t="shared" si="107"/>
        <v>Correct</v>
      </c>
      <c r="AK342" s="7"/>
      <c r="AL342" s="120" t="str">
        <f>IFERROR(VLOOKUP(Table1[RespondentID],'All Data'!$A$3:$CO$999,87,FALSE),"unknown")</f>
        <v>Man</v>
      </c>
      <c r="AM342" s="120">
        <f>IFERROR(VLOOKUP(Table1[RespondentID],'All Data'!$A$3:$CO$999,88,FALSE),"unknown")</f>
        <v>45</v>
      </c>
      <c r="AN342" s="120" t="str">
        <f>IFERROR(VLOOKUP(Table1[RespondentID],'All Data'!$A$3:$CO$999,89,FALSE),"unknown")</f>
        <v>Suffolk</v>
      </c>
      <c r="AO342" s="120" t="str">
        <f>IFERROR(VLOOKUP(Table1[RespondentID],'All Data'!$A$3:$CO$999,90,FALSE),"unknown")</f>
        <v>Riverhead, 11901</v>
      </c>
      <c r="AP342" s="120" t="str">
        <f>IFERROR(VLOOKUP(Table1[RespondentID],'All Data'!$A$3:$CO$999,91,FALSE),"unknown")</f>
        <v>White</v>
      </c>
      <c r="AQ342" s="120" t="str">
        <f>IFERROR(VLOOKUP(Table1[RespondentID],'All Data'!$A$3:$CO$999,92,FALSE),"unknown")</f>
        <v>Hispanic or Latino</v>
      </c>
      <c r="AR342" s="120" t="str">
        <f>IFERROR(VLOOKUP(Table1[RespondentID],'All Data'!$A$3:$CO$999,93,FALSE),"unknown")</f>
        <v>English</v>
      </c>
      <c r="AS342" s="120" t="str">
        <f>IFERROR(VLOOKUP(Table1[RespondentID],'All Data'!$A$3:$CW$999,94,FALSE),"unknown")</f>
        <v>Over $125,000</v>
      </c>
      <c r="AT342" s="120" t="str">
        <f>IFERROR(VLOOKUP(Table1[RespondentID],'All Data'!$A$3:$CW$999,95,FALSE),"unknown")</f>
        <v>Some college</v>
      </c>
      <c r="AU342" s="120" t="str">
        <f>IFERROR(VLOOKUP(Table1[RespondentID],'All Data'!$A$3:$CW$999,96,FALSE),"unknown")</f>
        <v>Employed for wages</v>
      </c>
      <c r="AV342" s="120" t="str">
        <f>IFERROR(VLOOKUP(Table1[RespondentID],'All Data'!$A$3:$CW$999,97,FALSE),"unknown")</f>
        <v>Yes</v>
      </c>
      <c r="AW342" s="120" t="str">
        <f>IFERROR(VLOOKUP(Table1[RespondentID],'All Data'!$A$3:$CW$999,98,FALSE),"unknown")</f>
        <v>Private/Commercial</v>
      </c>
      <c r="AX342" s="120" t="str">
        <f>IFERROR(VLOOKUP(Table1[RespondentID],'All Data'!$A$3:$CW$999,99,FALSE),"unknown")</f>
        <v>Yes</v>
      </c>
    </row>
    <row r="343" spans="1:50">
      <c r="A343" s="5">
        <v>18012940725</v>
      </c>
      <c r="B343" s="5"/>
      <c r="C343" s="5"/>
      <c r="D343" s="5"/>
      <c r="E343" s="5"/>
      <c r="F343" s="5"/>
      <c r="G343" s="5" t="s">
        <v>21</v>
      </c>
      <c r="H343" s="5"/>
      <c r="I343" s="5" t="s">
        <v>23</v>
      </c>
      <c r="J343" s="5"/>
      <c r="K343" s="5"/>
      <c r="L343" s="5"/>
      <c r="M343" s="5"/>
      <c r="N343" s="5"/>
      <c r="O343" s="7"/>
      <c r="P343" s="7">
        <f t="shared" si="90"/>
        <v>2</v>
      </c>
      <c r="Q343" s="9">
        <f t="shared" si="91"/>
        <v>1.5</v>
      </c>
      <c r="R343" s="7"/>
      <c r="S343" s="7">
        <f t="shared" si="92"/>
        <v>0</v>
      </c>
      <c r="T343" s="7">
        <f t="shared" si="93"/>
        <v>0</v>
      </c>
      <c r="U343" s="7">
        <f t="shared" si="94"/>
        <v>0</v>
      </c>
      <c r="V343" s="119">
        <f t="shared" si="95"/>
        <v>0</v>
      </c>
      <c r="W343" s="119">
        <f t="shared" si="96"/>
        <v>0</v>
      </c>
      <c r="X343" s="119">
        <f t="shared" si="97"/>
        <v>1</v>
      </c>
      <c r="Y343" s="119">
        <f t="shared" si="98"/>
        <v>0</v>
      </c>
      <c r="Z343" s="119">
        <f t="shared" si="99"/>
        <v>1</v>
      </c>
      <c r="AA343" s="119">
        <f t="shared" si="100"/>
        <v>0</v>
      </c>
      <c r="AB343" s="119">
        <f t="shared" si="101"/>
        <v>0</v>
      </c>
      <c r="AC343" s="119">
        <f t="shared" si="102"/>
        <v>0</v>
      </c>
      <c r="AD343" s="119">
        <f t="shared" si="103"/>
        <v>0</v>
      </c>
      <c r="AE343" s="119">
        <f t="shared" si="104"/>
        <v>0</v>
      </c>
      <c r="AF343" s="7"/>
      <c r="AG343" s="7"/>
      <c r="AH343" s="7">
        <f t="shared" si="105"/>
        <v>2</v>
      </c>
      <c r="AI343" s="7">
        <f t="shared" si="106"/>
        <v>2</v>
      </c>
      <c r="AJ343" s="7" t="str">
        <f t="shared" si="107"/>
        <v>Correct</v>
      </c>
      <c r="AK343" s="7"/>
      <c r="AL343" s="120" t="str">
        <f>IFERROR(VLOOKUP(Table1[RespondentID],'All Data'!$A$3:$CO$999,87,FALSE),"unknown")</f>
        <v>Man</v>
      </c>
      <c r="AM343" s="120">
        <f>IFERROR(VLOOKUP(Table1[RespondentID],'All Data'!$A$3:$CO$999,88,FALSE),"unknown")</f>
        <v>47</v>
      </c>
      <c r="AN343" s="120" t="str">
        <f>IFERROR(VLOOKUP(Table1[RespondentID],'All Data'!$A$3:$CO$999,89,FALSE),"unknown")</f>
        <v>Suffolk</v>
      </c>
      <c r="AO343" s="120" t="str">
        <f>IFERROR(VLOOKUP(Table1[RespondentID],'All Data'!$A$3:$CO$999,90,FALSE),"unknown")</f>
        <v>Setauket, 11733</v>
      </c>
      <c r="AP343" s="120" t="str">
        <f>IFERROR(VLOOKUP(Table1[RespondentID],'All Data'!$A$3:$CO$999,91,FALSE),"unknown")</f>
        <v>White</v>
      </c>
      <c r="AQ343" s="120" t="str">
        <f>IFERROR(VLOOKUP(Table1[RespondentID],'All Data'!$A$3:$CO$999,92,FALSE),"unknown")</f>
        <v>Hispanic or Latino</v>
      </c>
      <c r="AR343" s="120" t="str">
        <f>IFERROR(VLOOKUP(Table1[RespondentID],'All Data'!$A$3:$CO$999,93,FALSE),"unknown")</f>
        <v>English</v>
      </c>
      <c r="AS343" s="120" t="str">
        <f>IFERROR(VLOOKUP(Table1[RespondentID],'All Data'!$A$3:$CW$999,94,FALSE),"unknown")</f>
        <v>Over $125,000</v>
      </c>
      <c r="AT343" s="120" t="str">
        <f>IFERROR(VLOOKUP(Table1[RespondentID],'All Data'!$A$3:$CW$999,95,FALSE),"unknown")</f>
        <v>College graduate</v>
      </c>
      <c r="AU343" s="120" t="str">
        <f>IFERROR(VLOOKUP(Table1[RespondentID],'All Data'!$A$3:$CW$999,96,FALSE),"unknown")</f>
        <v>Employed for wages</v>
      </c>
      <c r="AV343" s="120" t="str">
        <f>IFERROR(VLOOKUP(Table1[RespondentID],'All Data'!$A$3:$CW$999,97,FALSE),"unknown")</f>
        <v>Yes</v>
      </c>
      <c r="AW343" s="120">
        <f>IFERROR(VLOOKUP(Table1[RespondentID],'All Data'!$A$3:$CW$999,98,FALSE),"unknown")</f>
        <v>0</v>
      </c>
      <c r="AX343" s="120" t="str">
        <f>IFERROR(VLOOKUP(Table1[RespondentID],'All Data'!$A$3:$CW$999,99,FALSE),"unknown")</f>
        <v>Yes</v>
      </c>
    </row>
    <row r="344" spans="1:50">
      <c r="A344" s="5">
        <v>18012862597</v>
      </c>
      <c r="B344" s="5" t="s">
        <v>16</v>
      </c>
      <c r="C344" s="5"/>
      <c r="D344" s="5"/>
      <c r="E344" s="5" t="s">
        <v>19</v>
      </c>
      <c r="F344" s="5"/>
      <c r="G344" s="5"/>
      <c r="H344" s="5"/>
      <c r="I344" s="5"/>
      <c r="J344" s="5"/>
      <c r="K344" s="5"/>
      <c r="L344" s="5"/>
      <c r="M344" s="5"/>
      <c r="N344" s="5"/>
      <c r="O344" s="7"/>
      <c r="P344" s="7">
        <f t="shared" si="90"/>
        <v>2</v>
      </c>
      <c r="Q344" s="8">
        <f t="shared" si="91"/>
        <v>1.5</v>
      </c>
      <c r="R344" s="7"/>
      <c r="S344" s="7">
        <f t="shared" si="92"/>
        <v>1</v>
      </c>
      <c r="T344" s="7">
        <f t="shared" si="93"/>
        <v>0</v>
      </c>
      <c r="U344" s="7">
        <f t="shared" si="94"/>
        <v>0</v>
      </c>
      <c r="V344" s="119">
        <f t="shared" si="95"/>
        <v>1</v>
      </c>
      <c r="W344" s="119">
        <f t="shared" si="96"/>
        <v>0</v>
      </c>
      <c r="X344" s="119">
        <f t="shared" si="97"/>
        <v>0</v>
      </c>
      <c r="Y344" s="119">
        <f t="shared" si="98"/>
        <v>0</v>
      </c>
      <c r="Z344" s="119">
        <f t="shared" si="99"/>
        <v>0</v>
      </c>
      <c r="AA344" s="119">
        <f t="shared" si="100"/>
        <v>0</v>
      </c>
      <c r="AB344" s="119">
        <f t="shared" si="101"/>
        <v>0</v>
      </c>
      <c r="AC344" s="119">
        <f t="shared" si="102"/>
        <v>0</v>
      </c>
      <c r="AD344" s="119">
        <f t="shared" si="103"/>
        <v>0</v>
      </c>
      <c r="AE344" s="119">
        <f t="shared" si="104"/>
        <v>0</v>
      </c>
      <c r="AF344" s="7"/>
      <c r="AG344" s="7"/>
      <c r="AH344" s="7">
        <f t="shared" si="105"/>
        <v>2</v>
      </c>
      <c r="AI344" s="7">
        <f t="shared" si="106"/>
        <v>2</v>
      </c>
      <c r="AJ344" s="7" t="str">
        <f t="shared" si="107"/>
        <v>Correct</v>
      </c>
      <c r="AK344" s="7"/>
      <c r="AL344" s="120" t="str">
        <f>IFERROR(VLOOKUP(Table1[RespondentID],'All Data'!$A$3:$CO$999,87,FALSE),"unknown")</f>
        <v>Man</v>
      </c>
      <c r="AM344" s="120">
        <f>IFERROR(VLOOKUP(Table1[RespondentID],'All Data'!$A$3:$CO$999,88,FALSE),"unknown")</f>
        <v>69</v>
      </c>
      <c r="AN344" s="120" t="str">
        <f>IFERROR(VLOOKUP(Table1[RespondentID],'All Data'!$A$3:$CO$999,89,FALSE),"unknown")</f>
        <v>Nassau</v>
      </c>
      <c r="AO344" s="120" t="str">
        <f>IFERROR(VLOOKUP(Table1[RespondentID],'All Data'!$A$3:$CO$999,90,FALSE),"unknown")</f>
        <v>Farmingdale, 11735</v>
      </c>
      <c r="AP344" s="120" t="str">
        <f>IFERROR(VLOOKUP(Table1[RespondentID],'All Data'!$A$3:$CO$999,91,FALSE),"unknown")</f>
        <v>White</v>
      </c>
      <c r="AQ344" s="120" t="str">
        <f>IFERROR(VLOOKUP(Table1[RespondentID],'All Data'!$A$3:$CO$999,92,FALSE),"unknown")</f>
        <v>Hispanic or Latino</v>
      </c>
      <c r="AR344" s="120" t="str">
        <f>IFERROR(VLOOKUP(Table1[RespondentID],'All Data'!$A$3:$CO$999,93,FALSE),"unknown")</f>
        <v>English</v>
      </c>
      <c r="AS344" s="120" t="str">
        <f>IFERROR(VLOOKUP(Table1[RespondentID],'All Data'!$A$3:$CW$999,94,FALSE),"unknown")</f>
        <v>$50,000 to $74,999</v>
      </c>
      <c r="AT344" s="120" t="str">
        <f>IFERROR(VLOOKUP(Table1[RespondentID],'All Data'!$A$3:$CW$999,95,FALSE),"unknown")</f>
        <v>Some college</v>
      </c>
      <c r="AU344" s="120" t="str">
        <f>IFERROR(VLOOKUP(Table1[RespondentID],'All Data'!$A$3:$CW$999,96,FALSE),"unknown")</f>
        <v>Employed for wages</v>
      </c>
      <c r="AV344" s="120" t="str">
        <f>IFERROR(VLOOKUP(Table1[RespondentID],'All Data'!$A$3:$CW$999,97,FALSE),"unknown")</f>
        <v>Yes</v>
      </c>
      <c r="AW344" s="120" t="str">
        <f>IFERROR(VLOOKUP(Table1[RespondentID],'All Data'!$A$3:$CW$999,98,FALSE),"unknown")</f>
        <v>Private/Commercial</v>
      </c>
      <c r="AX344" s="120" t="str">
        <f>IFERROR(VLOOKUP(Table1[RespondentID],'All Data'!$A$3:$CW$999,99,FALSE),"unknown")</f>
        <v>Yes</v>
      </c>
    </row>
    <row r="345" spans="1:50">
      <c r="A345" s="5">
        <v>18012790929</v>
      </c>
      <c r="B345" s="5" t="s">
        <v>16</v>
      </c>
      <c r="C345" s="5" t="s">
        <v>17</v>
      </c>
      <c r="D345" s="5" t="s">
        <v>18</v>
      </c>
      <c r="E345" s="5" t="s">
        <v>19</v>
      </c>
      <c r="F345" s="5"/>
      <c r="G345" s="5"/>
      <c r="H345" s="5"/>
      <c r="I345" s="5" t="s">
        <v>23</v>
      </c>
      <c r="J345" s="5"/>
      <c r="K345" s="5"/>
      <c r="L345" s="5"/>
      <c r="M345" s="5"/>
      <c r="N345" s="5"/>
      <c r="O345" s="7"/>
      <c r="P345" s="7">
        <f t="shared" si="90"/>
        <v>5</v>
      </c>
      <c r="Q345" s="9">
        <f t="shared" si="91"/>
        <v>0.6</v>
      </c>
      <c r="R345" s="7"/>
      <c r="S345" s="7">
        <f t="shared" si="92"/>
        <v>0.6</v>
      </c>
      <c r="T345" s="7">
        <f t="shared" si="93"/>
        <v>0.6</v>
      </c>
      <c r="U345" s="7">
        <f t="shared" si="94"/>
        <v>0.6</v>
      </c>
      <c r="V345" s="119">
        <f t="shared" si="95"/>
        <v>0.6</v>
      </c>
      <c r="W345" s="119">
        <f t="shared" si="96"/>
        <v>0</v>
      </c>
      <c r="X345" s="119">
        <f t="shared" si="97"/>
        <v>0</v>
      </c>
      <c r="Y345" s="119">
        <f t="shared" si="98"/>
        <v>0</v>
      </c>
      <c r="Z345" s="119">
        <f t="shared" si="99"/>
        <v>0.6</v>
      </c>
      <c r="AA345" s="119">
        <f t="shared" si="100"/>
        <v>0</v>
      </c>
      <c r="AB345" s="119">
        <f t="shared" si="101"/>
        <v>0</v>
      </c>
      <c r="AC345" s="119">
        <f t="shared" si="102"/>
        <v>0</v>
      </c>
      <c r="AD345" s="119">
        <f t="shared" si="103"/>
        <v>0</v>
      </c>
      <c r="AE345" s="119">
        <f t="shared" si="104"/>
        <v>0</v>
      </c>
      <c r="AF345" s="7"/>
      <c r="AG345" s="7"/>
      <c r="AH345" s="7">
        <f t="shared" si="105"/>
        <v>3</v>
      </c>
      <c r="AI345" s="7">
        <f t="shared" si="106"/>
        <v>5</v>
      </c>
      <c r="AJ345" s="7" t="str">
        <f t="shared" si="107"/>
        <v>Correct</v>
      </c>
      <c r="AK345" s="7"/>
      <c r="AL345" s="120" t="str">
        <f>IFERROR(VLOOKUP(Table1[RespondentID],'All Data'!$A$3:$CO$999,87,FALSE),"unknown")</f>
        <v>Man</v>
      </c>
      <c r="AM345" s="120">
        <f>IFERROR(VLOOKUP(Table1[RespondentID],'All Data'!$A$3:$CO$999,88,FALSE),"unknown")</f>
        <v>42</v>
      </c>
      <c r="AN345" s="120" t="str">
        <f>IFERROR(VLOOKUP(Table1[RespondentID],'All Data'!$A$3:$CO$999,89,FALSE),"unknown")</f>
        <v>Suffolk</v>
      </c>
      <c r="AO345" s="120" t="str">
        <f>IFERROR(VLOOKUP(Table1[RespondentID],'All Data'!$A$3:$CO$999,90,FALSE),"unknown")</f>
        <v>Nesconset, 11767</v>
      </c>
      <c r="AP345" s="120" t="str">
        <f>IFERROR(VLOOKUP(Table1[RespondentID],'All Data'!$A$3:$CO$999,91,FALSE),"unknown")</f>
        <v>White</v>
      </c>
      <c r="AQ345" s="120" t="str">
        <f>IFERROR(VLOOKUP(Table1[RespondentID],'All Data'!$A$3:$CO$999,92,FALSE),"unknown")</f>
        <v>Hispanic or Latino</v>
      </c>
      <c r="AR345" s="120" t="str">
        <f>IFERROR(VLOOKUP(Table1[RespondentID],'All Data'!$A$3:$CO$999,93,FALSE),"unknown")</f>
        <v>English</v>
      </c>
      <c r="AS345" s="120" t="str">
        <f>IFERROR(VLOOKUP(Table1[RespondentID],'All Data'!$A$3:$CW$999,94,FALSE),"unknown")</f>
        <v>$0-$19,999</v>
      </c>
      <c r="AT345" s="120" t="str">
        <f>IFERROR(VLOOKUP(Table1[RespondentID],'All Data'!$A$3:$CW$999,95,FALSE),"unknown")</f>
        <v>Some college</v>
      </c>
      <c r="AU345" s="120" t="str">
        <f>IFERROR(VLOOKUP(Table1[RespondentID],'All Data'!$A$3:$CW$999,96,FALSE),"unknown")</f>
        <v>Out of work and looking for work</v>
      </c>
      <c r="AV345" s="120" t="str">
        <f>IFERROR(VLOOKUP(Table1[RespondentID],'All Data'!$A$3:$CW$999,97,FALSE),"unknown")</f>
        <v>Yes</v>
      </c>
      <c r="AW345" s="120" t="str">
        <f>IFERROR(VLOOKUP(Table1[RespondentID],'All Data'!$A$3:$CW$999,98,FALSE),"unknown")</f>
        <v>Medicaid</v>
      </c>
      <c r="AX345" s="120" t="str">
        <f>IFERROR(VLOOKUP(Table1[RespondentID],'All Data'!$A$3:$CW$999,99,FALSE),"unknown")</f>
        <v>Yes</v>
      </c>
    </row>
    <row r="346" spans="1:50">
      <c r="A346" s="5">
        <v>18012747258</v>
      </c>
      <c r="B346" s="5"/>
      <c r="C346" s="5"/>
      <c r="D346" s="5"/>
      <c r="E346" s="5"/>
      <c r="F346" s="5"/>
      <c r="G346" s="5"/>
      <c r="H346" s="5"/>
      <c r="I346" s="5"/>
      <c r="J346" s="5"/>
      <c r="K346" s="5" t="s">
        <v>25</v>
      </c>
      <c r="L346" s="5" t="s">
        <v>26</v>
      </c>
      <c r="M346" s="5"/>
      <c r="N346" s="5" t="s">
        <v>28</v>
      </c>
      <c r="O346" s="7"/>
      <c r="P346" s="7">
        <f t="shared" si="90"/>
        <v>3</v>
      </c>
      <c r="Q346" s="8">
        <f t="shared" si="91"/>
        <v>1</v>
      </c>
      <c r="R346" s="7"/>
      <c r="S346" s="7">
        <f t="shared" si="92"/>
        <v>0</v>
      </c>
      <c r="T346" s="7">
        <f t="shared" si="93"/>
        <v>0</v>
      </c>
      <c r="U346" s="7">
        <f t="shared" si="94"/>
        <v>0</v>
      </c>
      <c r="V346" s="119">
        <f t="shared" si="95"/>
        <v>0</v>
      </c>
      <c r="W346" s="119">
        <f t="shared" si="96"/>
        <v>0</v>
      </c>
      <c r="X346" s="119">
        <f t="shared" si="97"/>
        <v>0</v>
      </c>
      <c r="Y346" s="119">
        <f t="shared" si="98"/>
        <v>0</v>
      </c>
      <c r="Z346" s="119">
        <f t="shared" si="99"/>
        <v>0</v>
      </c>
      <c r="AA346" s="119">
        <f t="shared" si="100"/>
        <v>0</v>
      </c>
      <c r="AB346" s="119">
        <f t="shared" si="101"/>
        <v>1</v>
      </c>
      <c r="AC346" s="119">
        <f t="shared" si="102"/>
        <v>1</v>
      </c>
      <c r="AD346" s="119">
        <f t="shared" si="103"/>
        <v>0</v>
      </c>
      <c r="AE346" s="119">
        <f t="shared" si="104"/>
        <v>1</v>
      </c>
      <c r="AF346" s="7"/>
      <c r="AG346" s="7"/>
      <c r="AH346" s="7">
        <f t="shared" si="105"/>
        <v>3</v>
      </c>
      <c r="AI346" s="7">
        <f t="shared" si="106"/>
        <v>3</v>
      </c>
      <c r="AJ346" s="7" t="str">
        <f t="shared" si="107"/>
        <v>Correct</v>
      </c>
      <c r="AK346" s="7"/>
      <c r="AL346" s="120" t="str">
        <f>IFERROR(VLOOKUP(Table1[RespondentID],'All Data'!$A$3:$CO$999,87,FALSE),"unknown")</f>
        <v>Man</v>
      </c>
      <c r="AM346" s="120">
        <f>IFERROR(VLOOKUP(Table1[RespondentID],'All Data'!$A$3:$CO$999,88,FALSE),"unknown")</f>
        <v>40</v>
      </c>
      <c r="AN346" s="120" t="str">
        <f>IFERROR(VLOOKUP(Table1[RespondentID],'All Data'!$A$3:$CO$999,89,FALSE),"unknown")</f>
        <v>Suffolk</v>
      </c>
      <c r="AO346" s="120" t="str">
        <f>IFERROR(VLOOKUP(Table1[RespondentID],'All Data'!$A$3:$CO$999,90,FALSE),"unknown")</f>
        <v>Bay Shore, 11706</v>
      </c>
      <c r="AP346" s="120" t="str">
        <f>IFERROR(VLOOKUP(Table1[RespondentID],'All Data'!$A$3:$CO$999,91,FALSE),"unknown")</f>
        <v>White</v>
      </c>
      <c r="AQ346" s="120" t="str">
        <f>IFERROR(VLOOKUP(Table1[RespondentID],'All Data'!$A$3:$CO$999,92,FALSE),"unknown")</f>
        <v>Hispanic or Latino</v>
      </c>
      <c r="AR346" s="120" t="str">
        <f>IFERROR(VLOOKUP(Table1[RespondentID],'All Data'!$A$3:$CO$999,93,FALSE),"unknown")</f>
        <v>English</v>
      </c>
      <c r="AS346" s="120" t="str">
        <f>IFERROR(VLOOKUP(Table1[RespondentID],'All Data'!$A$3:$CW$999,94,FALSE),"unknown")</f>
        <v>$0-$19,999</v>
      </c>
      <c r="AT346" s="120" t="str">
        <f>IFERROR(VLOOKUP(Table1[RespondentID],'All Data'!$A$3:$CW$999,95,FALSE),"unknown")</f>
        <v>High school graduate</v>
      </c>
      <c r="AU346" s="120" t="str">
        <f>IFERROR(VLOOKUP(Table1[RespondentID],'All Data'!$A$3:$CW$999,96,FALSE),"unknown")</f>
        <v>Out of work and looking for work</v>
      </c>
      <c r="AV346" s="120" t="str">
        <f>IFERROR(VLOOKUP(Table1[RespondentID],'All Data'!$A$3:$CW$999,97,FALSE),"unknown")</f>
        <v>Yes</v>
      </c>
      <c r="AW346" s="120" t="str">
        <f>IFERROR(VLOOKUP(Table1[RespondentID],'All Data'!$A$3:$CW$999,98,FALSE),"unknown")</f>
        <v>Medicaid</v>
      </c>
      <c r="AX346" s="120" t="str">
        <f>IFERROR(VLOOKUP(Table1[RespondentID],'All Data'!$A$3:$CW$999,99,FALSE),"unknown")</f>
        <v>Yes</v>
      </c>
    </row>
    <row r="347" spans="1:50">
      <c r="A347" s="121">
        <v>18022877008</v>
      </c>
      <c r="B347" s="122"/>
      <c r="C347" s="123" t="s">
        <v>17</v>
      </c>
      <c r="D347" s="123"/>
      <c r="E347" s="123"/>
      <c r="F347" s="123"/>
      <c r="G347" s="123"/>
      <c r="H347" s="123" t="s">
        <v>22</v>
      </c>
      <c r="I347" s="123"/>
      <c r="J347" s="123"/>
      <c r="K347" s="123" t="s">
        <v>25</v>
      </c>
      <c r="L347" s="123"/>
      <c r="M347" s="123" t="s">
        <v>27</v>
      </c>
      <c r="N347" s="123"/>
      <c r="O347" s="124"/>
      <c r="P347" s="125">
        <f t="shared" si="90"/>
        <v>4</v>
      </c>
      <c r="Q347" s="126">
        <f t="shared" si="91"/>
        <v>0.75</v>
      </c>
      <c r="R347" s="124"/>
      <c r="S347" s="125">
        <f t="shared" si="92"/>
        <v>0</v>
      </c>
      <c r="T347" s="125">
        <f t="shared" si="93"/>
        <v>0.75</v>
      </c>
      <c r="U347" s="125">
        <f t="shared" si="94"/>
        <v>0</v>
      </c>
      <c r="V347" s="127">
        <f t="shared" si="95"/>
        <v>0</v>
      </c>
      <c r="W347" s="127">
        <f t="shared" si="96"/>
        <v>0</v>
      </c>
      <c r="X347" s="127">
        <f t="shared" si="97"/>
        <v>0</v>
      </c>
      <c r="Y347" s="127">
        <f t="shared" si="98"/>
        <v>0.75</v>
      </c>
      <c r="Z347" s="127">
        <f t="shared" si="99"/>
        <v>0</v>
      </c>
      <c r="AA347" s="127">
        <f t="shared" si="100"/>
        <v>0</v>
      </c>
      <c r="AB347" s="127">
        <f t="shared" si="101"/>
        <v>0.75</v>
      </c>
      <c r="AC347" s="127">
        <f t="shared" si="102"/>
        <v>0</v>
      </c>
      <c r="AD347" s="127">
        <f t="shared" si="103"/>
        <v>0.75</v>
      </c>
      <c r="AE347" s="127">
        <f t="shared" si="104"/>
        <v>0</v>
      </c>
      <c r="AF347" s="124"/>
      <c r="AG347" s="124"/>
      <c r="AH347" s="125">
        <f t="shared" si="105"/>
        <v>3</v>
      </c>
      <c r="AI347" s="125">
        <f t="shared" si="106"/>
        <v>4</v>
      </c>
      <c r="AJ347" s="125" t="str">
        <f t="shared" si="107"/>
        <v>Correct</v>
      </c>
      <c r="AK347" s="124"/>
      <c r="AL347" s="120" t="str">
        <f>IFERROR(VLOOKUP(Table1[RespondentID],'All Data'!$A$3:$CO$999,87,FALSE),"unknown")</f>
        <v>Man</v>
      </c>
      <c r="AM347" s="120">
        <f>IFERROR(VLOOKUP(Table1[RespondentID],'All Data'!$A$3:$CO$999,88,FALSE),"unknown")</f>
        <v>54</v>
      </c>
      <c r="AN347" s="120" t="str">
        <f>IFERROR(VLOOKUP(Table1[RespondentID],'All Data'!$A$3:$CO$999,89,FALSE),"unknown")</f>
        <v>Suffolk</v>
      </c>
      <c r="AO347" s="120" t="str">
        <f>IFERROR(VLOOKUP(Table1[RespondentID],'All Data'!$A$3:$CO$999,90,FALSE),"unknown")</f>
        <v>Halesite, 11743</v>
      </c>
      <c r="AP347" s="120" t="str">
        <f>IFERROR(VLOOKUP(Table1[RespondentID],'All Data'!$A$3:$CO$999,91,FALSE),"unknown")</f>
        <v>White</v>
      </c>
      <c r="AQ347" s="120" t="str">
        <f>IFERROR(VLOOKUP(Table1[RespondentID],'All Data'!$A$3:$CO$999,92,FALSE),"unknown")</f>
        <v>Hispanic or Latino</v>
      </c>
      <c r="AR347" s="120" t="str">
        <f>IFERROR(VLOOKUP(Table1[RespondentID],'All Data'!$A$3:$CO$999,93,FALSE),"unknown")</f>
        <v>English</v>
      </c>
      <c r="AS347" s="120" t="str">
        <f>IFERROR(VLOOKUP(Table1[RespondentID],'All Data'!$A$3:$CW$999,94,FALSE),"unknown")</f>
        <v>Over $125,000</v>
      </c>
      <c r="AT347" s="120" t="str">
        <f>IFERROR(VLOOKUP(Table1[RespondentID],'All Data'!$A$3:$CW$999,95,FALSE),"unknown")</f>
        <v>Some college</v>
      </c>
      <c r="AU347" s="120">
        <f>IFERROR(VLOOKUP(Table1[RespondentID],'All Data'!$A$3:$CW$999,96,FALSE),"unknown")</f>
        <v>0</v>
      </c>
      <c r="AV347" s="120" t="str">
        <f>IFERROR(VLOOKUP(Table1[RespondentID],'All Data'!$A$3:$CW$999,97,FALSE),"unknown")</f>
        <v>Employed for wages</v>
      </c>
      <c r="AW347" s="120">
        <f>IFERROR(VLOOKUP(Table1[RespondentID],'All Data'!$A$3:$CW$999,98,FALSE),"unknown")</f>
        <v>0</v>
      </c>
      <c r="AX347" s="120">
        <f>IFERROR(VLOOKUP(Table1[RespondentID],'All Data'!$A$3:$CW$999,99,FALSE),"unknown")</f>
        <v>0</v>
      </c>
    </row>
    <row r="348" spans="1:50">
      <c r="A348" s="124">
        <v>18019100304</v>
      </c>
      <c r="B348" s="122"/>
      <c r="C348" s="123" t="s">
        <v>17</v>
      </c>
      <c r="D348" s="123"/>
      <c r="E348" s="123"/>
      <c r="F348" s="123"/>
      <c r="G348" s="123"/>
      <c r="H348" s="123"/>
      <c r="I348" s="123"/>
      <c r="J348" s="123" t="s">
        <v>24</v>
      </c>
      <c r="K348" s="123"/>
      <c r="L348" s="123"/>
      <c r="M348" s="123" t="s">
        <v>27</v>
      </c>
      <c r="N348" s="123"/>
      <c r="O348" s="124"/>
      <c r="P348" s="125">
        <f t="shared" si="90"/>
        <v>3</v>
      </c>
      <c r="Q348" s="126">
        <f t="shared" si="91"/>
        <v>1</v>
      </c>
      <c r="R348" s="124"/>
      <c r="S348" s="125">
        <f t="shared" si="92"/>
        <v>0</v>
      </c>
      <c r="T348" s="125">
        <f t="shared" si="93"/>
        <v>1</v>
      </c>
      <c r="U348" s="125">
        <f t="shared" si="94"/>
        <v>0</v>
      </c>
      <c r="V348" s="127">
        <f t="shared" si="95"/>
        <v>0</v>
      </c>
      <c r="W348" s="127">
        <f t="shared" si="96"/>
        <v>0</v>
      </c>
      <c r="X348" s="127">
        <f t="shared" si="97"/>
        <v>0</v>
      </c>
      <c r="Y348" s="127">
        <f t="shared" si="98"/>
        <v>0</v>
      </c>
      <c r="Z348" s="127">
        <f t="shared" si="99"/>
        <v>0</v>
      </c>
      <c r="AA348" s="127">
        <f t="shared" si="100"/>
        <v>1</v>
      </c>
      <c r="AB348" s="127">
        <f t="shared" si="101"/>
        <v>0</v>
      </c>
      <c r="AC348" s="127">
        <f t="shared" si="102"/>
        <v>0</v>
      </c>
      <c r="AD348" s="127">
        <f t="shared" si="103"/>
        <v>1</v>
      </c>
      <c r="AE348" s="127">
        <f t="shared" si="104"/>
        <v>0</v>
      </c>
      <c r="AF348" s="124"/>
      <c r="AG348" s="124"/>
      <c r="AH348" s="125">
        <f t="shared" si="105"/>
        <v>3</v>
      </c>
      <c r="AI348" s="125">
        <f t="shared" si="106"/>
        <v>3</v>
      </c>
      <c r="AJ348" s="125" t="str">
        <f t="shared" si="107"/>
        <v>Correct</v>
      </c>
      <c r="AK348" s="124"/>
      <c r="AL348" s="120" t="str">
        <f>IFERROR(VLOOKUP(Table1[RespondentID],'All Data'!$A$3:$CO$999,87,FALSE),"unknown")</f>
        <v>Woman</v>
      </c>
      <c r="AM348" s="120">
        <f>IFERROR(VLOOKUP(Table1[RespondentID],'All Data'!$A$3:$CO$999,88,FALSE),"unknown")</f>
        <v>16</v>
      </c>
      <c r="AN348" s="120" t="str">
        <f>IFERROR(VLOOKUP(Table1[RespondentID],'All Data'!$A$3:$CO$999,89,FALSE),"unknown")</f>
        <v>Suffolk</v>
      </c>
      <c r="AO348" s="120" t="str">
        <f>IFERROR(VLOOKUP(Table1[RespondentID],'All Data'!$A$3:$CO$999,90,FALSE),"unknown")</f>
        <v>Commack, 11725</v>
      </c>
      <c r="AP348" s="120" t="str">
        <f>IFERROR(VLOOKUP(Table1[RespondentID],'All Data'!$A$3:$CO$999,91,FALSE),"unknown")</f>
        <v>White</v>
      </c>
      <c r="AQ348" s="120" t="str">
        <f>IFERROR(VLOOKUP(Table1[RespondentID],'All Data'!$A$3:$CO$999,92,FALSE),"unknown")</f>
        <v>Hispanic or Latino</v>
      </c>
      <c r="AR348" s="120" t="str">
        <f>IFERROR(VLOOKUP(Table1[RespondentID],'All Data'!$A$3:$CO$999,93,FALSE),"unknown")</f>
        <v>English</v>
      </c>
      <c r="AS348" s="120" t="str">
        <f>IFERROR(VLOOKUP(Table1[RespondentID],'All Data'!$A$3:$CW$999,94,FALSE),"unknown")</f>
        <v>$50,000 to $74,999</v>
      </c>
      <c r="AT348" s="120" t="str">
        <f>IFERROR(VLOOKUP(Table1[RespondentID],'All Data'!$A$3:$CW$999,95,FALSE),"unknown")</f>
        <v>Some high school</v>
      </c>
      <c r="AU348" s="120">
        <f>IFERROR(VLOOKUP(Table1[RespondentID],'All Data'!$A$3:$CW$999,96,FALSE),"unknown")</f>
        <v>0</v>
      </c>
      <c r="AV348" s="120" t="str">
        <f>IFERROR(VLOOKUP(Table1[RespondentID],'All Data'!$A$3:$CW$999,97,FALSE),"unknown")</f>
        <v>Employed for wages</v>
      </c>
      <c r="AW348" s="120">
        <f>IFERROR(VLOOKUP(Table1[RespondentID],'All Data'!$A$3:$CW$999,98,FALSE),"unknown")</f>
        <v>0</v>
      </c>
      <c r="AX348" s="120">
        <f>IFERROR(VLOOKUP(Table1[RespondentID],'All Data'!$A$3:$CW$999,99,FALSE),"unknown")</f>
        <v>0</v>
      </c>
    </row>
    <row r="349" spans="1:50">
      <c r="A349" s="124">
        <v>18019100026</v>
      </c>
      <c r="B349" s="122"/>
      <c r="C349" s="123"/>
      <c r="D349" s="123"/>
      <c r="E349" s="123"/>
      <c r="F349" s="123" t="s">
        <v>20</v>
      </c>
      <c r="G349" s="123"/>
      <c r="H349" s="123"/>
      <c r="I349" s="123"/>
      <c r="J349" s="123"/>
      <c r="K349" s="123" t="s">
        <v>25</v>
      </c>
      <c r="L349" s="123"/>
      <c r="M349" s="123"/>
      <c r="N349" s="123" t="s">
        <v>28</v>
      </c>
      <c r="O349" s="124"/>
      <c r="P349" s="125">
        <f t="shared" si="90"/>
        <v>3</v>
      </c>
      <c r="Q349" s="126">
        <f t="shared" si="91"/>
        <v>1</v>
      </c>
      <c r="R349" s="124"/>
      <c r="S349" s="125">
        <f t="shared" si="92"/>
        <v>0</v>
      </c>
      <c r="T349" s="125">
        <f t="shared" si="93"/>
        <v>0</v>
      </c>
      <c r="U349" s="125">
        <f t="shared" si="94"/>
        <v>0</v>
      </c>
      <c r="V349" s="127">
        <f t="shared" si="95"/>
        <v>0</v>
      </c>
      <c r="W349" s="127">
        <f t="shared" si="96"/>
        <v>1</v>
      </c>
      <c r="X349" s="127">
        <f t="shared" si="97"/>
        <v>0</v>
      </c>
      <c r="Y349" s="127">
        <f t="shared" si="98"/>
        <v>0</v>
      </c>
      <c r="Z349" s="127">
        <f t="shared" si="99"/>
        <v>0</v>
      </c>
      <c r="AA349" s="127">
        <f t="shared" si="100"/>
        <v>0</v>
      </c>
      <c r="AB349" s="127">
        <f t="shared" si="101"/>
        <v>1</v>
      </c>
      <c r="AC349" s="127">
        <f t="shared" si="102"/>
        <v>0</v>
      </c>
      <c r="AD349" s="127">
        <f t="shared" si="103"/>
        <v>0</v>
      </c>
      <c r="AE349" s="127">
        <f t="shared" si="104"/>
        <v>1</v>
      </c>
      <c r="AF349" s="124"/>
      <c r="AG349" s="124"/>
      <c r="AH349" s="125">
        <f t="shared" si="105"/>
        <v>3</v>
      </c>
      <c r="AI349" s="125">
        <f t="shared" si="106"/>
        <v>3</v>
      </c>
      <c r="AJ349" s="125" t="str">
        <f t="shared" si="107"/>
        <v>Correct</v>
      </c>
      <c r="AK349" s="124"/>
      <c r="AL349" s="120" t="str">
        <f>IFERROR(VLOOKUP(Table1[RespondentID],'All Data'!$A$3:$CO$999,87,FALSE),"unknown")</f>
        <v>Woman</v>
      </c>
      <c r="AM349" s="120">
        <f>IFERROR(VLOOKUP(Table1[RespondentID],'All Data'!$A$3:$CO$999,88,FALSE),"unknown")</f>
        <v>73</v>
      </c>
      <c r="AN349" s="120" t="str">
        <f>IFERROR(VLOOKUP(Table1[RespondentID],'All Data'!$A$3:$CO$999,89,FALSE),"unknown")</f>
        <v>Suffolk</v>
      </c>
      <c r="AO349" s="120" t="str">
        <f>IFERROR(VLOOKUP(Table1[RespondentID],'All Data'!$A$3:$CO$999,90,FALSE),"unknown")</f>
        <v>Commack, 11725</v>
      </c>
      <c r="AP349" s="120" t="str">
        <f>IFERROR(VLOOKUP(Table1[RespondentID],'All Data'!$A$3:$CO$999,91,FALSE),"unknown")</f>
        <v>Asian</v>
      </c>
      <c r="AQ349" s="120" t="str">
        <f>IFERROR(VLOOKUP(Table1[RespondentID],'All Data'!$A$3:$CO$999,92,FALSE),"unknown")</f>
        <v>Not Hispanic or Latino</v>
      </c>
      <c r="AR349" s="120" t="str">
        <f>IFERROR(VLOOKUP(Table1[RespondentID],'All Data'!$A$3:$CO$999,93,FALSE),"unknown")</f>
        <v>English,Spanish,Italian,</v>
      </c>
      <c r="AS349" s="120" t="str">
        <f>IFERROR(VLOOKUP(Table1[RespondentID],'All Data'!$A$3:$CW$999,94,FALSE),"unknown")</f>
        <v>$75,000 to $125,000</v>
      </c>
      <c r="AT349" s="120" t="str">
        <f>IFERROR(VLOOKUP(Table1[RespondentID],'All Data'!$A$3:$CW$999,95,FALSE),"unknown")</f>
        <v>College graduate</v>
      </c>
      <c r="AU349" s="120">
        <f>IFERROR(VLOOKUP(Table1[RespondentID],'All Data'!$A$3:$CW$999,96,FALSE),"unknown")</f>
        <v>0</v>
      </c>
      <c r="AV349" s="120" t="str">
        <f>IFERROR(VLOOKUP(Table1[RespondentID],'All Data'!$A$3:$CW$999,97,FALSE),"unknown")</f>
        <v>Employed for wages</v>
      </c>
      <c r="AW349" s="120">
        <f>IFERROR(VLOOKUP(Table1[RespondentID],'All Data'!$A$3:$CW$999,98,FALSE),"unknown")</f>
        <v>0</v>
      </c>
      <c r="AX349" s="120">
        <f>IFERROR(VLOOKUP(Table1[RespondentID],'All Data'!$A$3:$CW$999,99,FALSE),"unknown")</f>
        <v>0</v>
      </c>
    </row>
    <row r="350" spans="1:50">
      <c r="A350" s="124">
        <v>18019099617</v>
      </c>
      <c r="B350" s="122"/>
      <c r="C350" s="123"/>
      <c r="D350" s="123"/>
      <c r="E350" s="123" t="s">
        <v>19</v>
      </c>
      <c r="F350" s="123"/>
      <c r="G350" s="123"/>
      <c r="H350" s="123"/>
      <c r="I350" s="123"/>
      <c r="J350" s="123" t="s">
        <v>24</v>
      </c>
      <c r="K350" s="123"/>
      <c r="L350" s="123" t="s">
        <v>26</v>
      </c>
      <c r="M350" s="123"/>
      <c r="N350" s="123"/>
      <c r="O350" s="124"/>
      <c r="P350" s="125">
        <f t="shared" si="90"/>
        <v>3</v>
      </c>
      <c r="Q350" s="126">
        <f t="shared" si="91"/>
        <v>1</v>
      </c>
      <c r="R350" s="124"/>
      <c r="S350" s="125">
        <f t="shared" si="92"/>
        <v>0</v>
      </c>
      <c r="T350" s="125">
        <f t="shared" si="93"/>
        <v>0</v>
      </c>
      <c r="U350" s="125">
        <f t="shared" si="94"/>
        <v>0</v>
      </c>
      <c r="V350" s="127">
        <f t="shared" si="95"/>
        <v>1</v>
      </c>
      <c r="W350" s="127">
        <f t="shared" si="96"/>
        <v>0</v>
      </c>
      <c r="X350" s="127">
        <f t="shared" si="97"/>
        <v>0</v>
      </c>
      <c r="Y350" s="127">
        <f t="shared" si="98"/>
        <v>0</v>
      </c>
      <c r="Z350" s="127">
        <f t="shared" si="99"/>
        <v>0</v>
      </c>
      <c r="AA350" s="127">
        <f t="shared" si="100"/>
        <v>1</v>
      </c>
      <c r="AB350" s="127">
        <f t="shared" si="101"/>
        <v>0</v>
      </c>
      <c r="AC350" s="127">
        <f t="shared" si="102"/>
        <v>1</v>
      </c>
      <c r="AD350" s="127">
        <f t="shared" si="103"/>
        <v>0</v>
      </c>
      <c r="AE350" s="127">
        <f t="shared" si="104"/>
        <v>0</v>
      </c>
      <c r="AF350" s="124"/>
      <c r="AG350" s="124"/>
      <c r="AH350" s="125">
        <f t="shared" si="105"/>
        <v>3</v>
      </c>
      <c r="AI350" s="125">
        <f t="shared" si="106"/>
        <v>3</v>
      </c>
      <c r="AJ350" s="125" t="str">
        <f t="shared" si="107"/>
        <v>Correct</v>
      </c>
      <c r="AK350" s="124"/>
      <c r="AL350" s="120" t="str">
        <f>IFERROR(VLOOKUP(Table1[RespondentID],'All Data'!$A$3:$CO$999,87,FALSE),"unknown")</f>
        <v>Man</v>
      </c>
      <c r="AM350" s="120">
        <f>IFERROR(VLOOKUP(Table1[RespondentID],'All Data'!$A$3:$CO$999,88,FALSE),"unknown")</f>
        <v>87</v>
      </c>
      <c r="AN350" s="120" t="str">
        <f>IFERROR(VLOOKUP(Table1[RespondentID],'All Data'!$A$3:$CO$999,89,FALSE),"unknown")</f>
        <v>Suffolk</v>
      </c>
      <c r="AO350" s="120" t="str">
        <f>IFERROR(VLOOKUP(Table1[RespondentID],'All Data'!$A$3:$CO$999,90,FALSE),"unknown")</f>
        <v>Smithtown, 11787</v>
      </c>
      <c r="AP350" s="120" t="str">
        <f>IFERROR(VLOOKUP(Table1[RespondentID],'All Data'!$A$3:$CO$999,91,FALSE),"unknown")</f>
        <v>White</v>
      </c>
      <c r="AQ350" s="120">
        <f>IFERROR(VLOOKUP(Table1[RespondentID],'All Data'!$A$3:$CO$999,92,FALSE),"unknown")</f>
        <v>0</v>
      </c>
      <c r="AR350" s="120" t="str">
        <f>IFERROR(VLOOKUP(Table1[RespondentID],'All Data'!$A$3:$CO$999,93,FALSE),"unknown")</f>
        <v>English,Spanish</v>
      </c>
      <c r="AS350" s="120" t="str">
        <f>IFERROR(VLOOKUP(Table1[RespondentID],'All Data'!$A$3:$CW$999,94,FALSE),"unknown")</f>
        <v>$75,000 to $125,000</v>
      </c>
      <c r="AT350" s="120" t="str">
        <f>IFERROR(VLOOKUP(Table1[RespondentID],'All Data'!$A$3:$CW$999,95,FALSE),"unknown")</f>
        <v>College graduate</v>
      </c>
      <c r="AU350" s="120">
        <f>IFERROR(VLOOKUP(Table1[RespondentID],'All Data'!$A$3:$CW$999,96,FALSE),"unknown")</f>
        <v>0</v>
      </c>
      <c r="AV350" s="120" t="str">
        <f>IFERROR(VLOOKUP(Table1[RespondentID],'All Data'!$A$3:$CW$999,97,FALSE),"unknown")</f>
        <v>Retired</v>
      </c>
      <c r="AW350" s="120">
        <f>IFERROR(VLOOKUP(Table1[RespondentID],'All Data'!$A$3:$CW$999,98,FALSE),"unknown")</f>
        <v>0</v>
      </c>
      <c r="AX350" s="120">
        <f>IFERROR(VLOOKUP(Table1[RespondentID],'All Data'!$A$3:$CW$999,99,FALSE),"unknown")</f>
        <v>0</v>
      </c>
    </row>
    <row r="351" spans="1:50">
      <c r="A351" s="124">
        <v>18019099122</v>
      </c>
      <c r="B351" s="122" t="s">
        <v>16</v>
      </c>
      <c r="C351" s="123"/>
      <c r="D351" s="123"/>
      <c r="E351" s="123"/>
      <c r="F351" s="123"/>
      <c r="G351" s="123"/>
      <c r="H351" s="123"/>
      <c r="I351" s="123"/>
      <c r="J351" s="123"/>
      <c r="K351" s="123"/>
      <c r="L351" s="123"/>
      <c r="M351" s="123"/>
      <c r="N351" s="123"/>
      <c r="O351" s="124"/>
      <c r="P351" s="125">
        <f t="shared" si="90"/>
        <v>1</v>
      </c>
      <c r="Q351" s="126">
        <f t="shared" si="91"/>
        <v>3</v>
      </c>
      <c r="R351" s="124"/>
      <c r="S351" s="125">
        <f t="shared" si="92"/>
        <v>1</v>
      </c>
      <c r="T351" s="125">
        <f t="shared" si="93"/>
        <v>0</v>
      </c>
      <c r="U351" s="125">
        <f t="shared" si="94"/>
        <v>0</v>
      </c>
      <c r="V351" s="127">
        <f t="shared" si="95"/>
        <v>0</v>
      </c>
      <c r="W351" s="127">
        <f t="shared" si="96"/>
        <v>0</v>
      </c>
      <c r="X351" s="127">
        <f t="shared" si="97"/>
        <v>0</v>
      </c>
      <c r="Y351" s="127">
        <f t="shared" si="98"/>
        <v>0</v>
      </c>
      <c r="Z351" s="127">
        <f t="shared" si="99"/>
        <v>0</v>
      </c>
      <c r="AA351" s="127">
        <f t="shared" si="100"/>
        <v>0</v>
      </c>
      <c r="AB351" s="127">
        <f t="shared" si="101"/>
        <v>0</v>
      </c>
      <c r="AC351" s="127">
        <f t="shared" si="102"/>
        <v>0</v>
      </c>
      <c r="AD351" s="127">
        <f t="shared" si="103"/>
        <v>0</v>
      </c>
      <c r="AE351" s="127">
        <f t="shared" si="104"/>
        <v>0</v>
      </c>
      <c r="AF351" s="124"/>
      <c r="AG351" s="124"/>
      <c r="AH351" s="125">
        <f t="shared" si="105"/>
        <v>1</v>
      </c>
      <c r="AI351" s="125">
        <f t="shared" si="106"/>
        <v>1</v>
      </c>
      <c r="AJ351" s="125" t="str">
        <f t="shared" si="107"/>
        <v>Correct</v>
      </c>
      <c r="AK351" s="124"/>
      <c r="AL351" s="120" t="str">
        <f>IFERROR(VLOOKUP(Table1[RespondentID],'All Data'!$A$3:$CO$999,87,FALSE),"unknown")</f>
        <v>Woman</v>
      </c>
      <c r="AM351" s="120">
        <f>IFERROR(VLOOKUP(Table1[RespondentID],'All Data'!$A$3:$CO$999,88,FALSE),"unknown")</f>
        <v>47</v>
      </c>
      <c r="AN351" s="120" t="str">
        <f>IFERROR(VLOOKUP(Table1[RespondentID],'All Data'!$A$3:$CO$999,89,FALSE),"unknown")</f>
        <v>Suffolk</v>
      </c>
      <c r="AO351" s="120" t="str">
        <f>IFERROR(VLOOKUP(Table1[RespondentID],'All Data'!$A$3:$CO$999,90,FALSE),"unknown")</f>
        <v>Smithtown, 11787</v>
      </c>
      <c r="AP351" s="120" t="str">
        <f>IFERROR(VLOOKUP(Table1[RespondentID],'All Data'!$A$3:$CO$999,91,FALSE),"unknown")</f>
        <v>Asian</v>
      </c>
      <c r="AQ351" s="120" t="str">
        <f>IFERROR(VLOOKUP(Table1[RespondentID],'All Data'!$A$3:$CO$999,92,FALSE),"unknown")</f>
        <v>Not Hispanic or Latino</v>
      </c>
      <c r="AR351" s="120" t="str">
        <f>IFERROR(VLOOKUP(Table1[RespondentID],'All Data'!$A$3:$CO$999,93,FALSE),"unknown")</f>
        <v>English,Spanish</v>
      </c>
      <c r="AS351" s="120" t="str">
        <f>IFERROR(VLOOKUP(Table1[RespondentID],'All Data'!$A$3:$CW$999,94,FALSE),"unknown")</f>
        <v>$75,000 to $125,000</v>
      </c>
      <c r="AT351" s="120" t="str">
        <f>IFERROR(VLOOKUP(Table1[RespondentID],'All Data'!$A$3:$CW$999,95,FALSE),"unknown")</f>
        <v>College graduate</v>
      </c>
      <c r="AU351" s="120">
        <f>IFERROR(VLOOKUP(Table1[RespondentID],'All Data'!$A$3:$CW$999,96,FALSE),"unknown")</f>
        <v>0</v>
      </c>
      <c r="AV351" s="120" t="str">
        <f>IFERROR(VLOOKUP(Table1[RespondentID],'All Data'!$A$3:$CW$999,97,FALSE),"unknown")</f>
        <v>Employed for wages</v>
      </c>
      <c r="AW351" s="120">
        <f>IFERROR(VLOOKUP(Table1[RespondentID],'All Data'!$A$3:$CW$999,98,FALSE),"unknown")</f>
        <v>0</v>
      </c>
      <c r="AX351" s="120">
        <f>IFERROR(VLOOKUP(Table1[RespondentID],'All Data'!$A$3:$CW$999,99,FALSE),"unknown")</f>
        <v>0</v>
      </c>
    </row>
    <row r="352" spans="1:50">
      <c r="A352" s="124">
        <v>18019098909</v>
      </c>
      <c r="B352" s="122"/>
      <c r="C352" s="123" t="s">
        <v>17</v>
      </c>
      <c r="D352" s="123" t="s">
        <v>18</v>
      </c>
      <c r="E352" s="123"/>
      <c r="F352" s="123"/>
      <c r="G352" s="123"/>
      <c r="H352" s="123"/>
      <c r="I352" s="123"/>
      <c r="J352" s="123"/>
      <c r="K352" s="123"/>
      <c r="L352" s="123"/>
      <c r="M352" s="123"/>
      <c r="N352" s="123"/>
      <c r="O352" s="124"/>
      <c r="P352" s="125">
        <f t="shared" si="90"/>
        <v>2</v>
      </c>
      <c r="Q352" s="126">
        <f t="shared" si="91"/>
        <v>1.5</v>
      </c>
      <c r="R352" s="124"/>
      <c r="S352" s="125">
        <f t="shared" si="92"/>
        <v>0</v>
      </c>
      <c r="T352" s="125">
        <f t="shared" si="93"/>
        <v>1</v>
      </c>
      <c r="U352" s="125">
        <f t="shared" si="94"/>
        <v>1</v>
      </c>
      <c r="V352" s="127">
        <f t="shared" si="95"/>
        <v>0</v>
      </c>
      <c r="W352" s="127">
        <f t="shared" si="96"/>
        <v>0</v>
      </c>
      <c r="X352" s="127">
        <f t="shared" si="97"/>
        <v>0</v>
      </c>
      <c r="Y352" s="127">
        <f t="shared" si="98"/>
        <v>0</v>
      </c>
      <c r="Z352" s="127">
        <f t="shared" si="99"/>
        <v>0</v>
      </c>
      <c r="AA352" s="127">
        <f t="shared" si="100"/>
        <v>0</v>
      </c>
      <c r="AB352" s="127">
        <f t="shared" si="101"/>
        <v>0</v>
      </c>
      <c r="AC352" s="127">
        <f t="shared" si="102"/>
        <v>0</v>
      </c>
      <c r="AD352" s="127">
        <f t="shared" si="103"/>
        <v>0</v>
      </c>
      <c r="AE352" s="127">
        <f t="shared" si="104"/>
        <v>0</v>
      </c>
      <c r="AF352" s="124"/>
      <c r="AG352" s="124"/>
      <c r="AH352" s="125">
        <f t="shared" si="105"/>
        <v>2</v>
      </c>
      <c r="AI352" s="125">
        <f t="shared" si="106"/>
        <v>2</v>
      </c>
      <c r="AJ352" s="125" t="str">
        <f t="shared" si="107"/>
        <v>Correct</v>
      </c>
      <c r="AK352" s="124"/>
      <c r="AL352" s="120" t="str">
        <f>IFERROR(VLOOKUP(Table1[RespondentID],'All Data'!$A$3:$CO$999,87,FALSE),"unknown")</f>
        <v>Man</v>
      </c>
      <c r="AM352" s="120">
        <f>IFERROR(VLOOKUP(Table1[RespondentID],'All Data'!$A$3:$CO$999,88,FALSE),"unknown")</f>
        <v>35</v>
      </c>
      <c r="AN352" s="120" t="str">
        <f>IFERROR(VLOOKUP(Table1[RespondentID],'All Data'!$A$3:$CO$999,89,FALSE),"unknown")</f>
        <v>Suffolk</v>
      </c>
      <c r="AO352" s="120" t="str">
        <f>IFERROR(VLOOKUP(Table1[RespondentID],'All Data'!$A$3:$CO$999,90,FALSE),"unknown")</f>
        <v>Middle Island, 11953</v>
      </c>
      <c r="AP352" s="120" t="str">
        <f>IFERROR(VLOOKUP(Table1[RespondentID],'All Data'!$A$3:$CO$999,91,FALSE),"unknown")</f>
        <v>White</v>
      </c>
      <c r="AQ352" s="120" t="str">
        <f>IFERROR(VLOOKUP(Table1[RespondentID],'All Data'!$A$3:$CO$999,92,FALSE),"unknown")</f>
        <v>Hispanic or Latino</v>
      </c>
      <c r="AR352" s="120" t="str">
        <f>IFERROR(VLOOKUP(Table1[RespondentID],'All Data'!$A$3:$CO$999,93,FALSE),"unknown")</f>
        <v>English,Spanish</v>
      </c>
      <c r="AS352" s="120" t="str">
        <f>IFERROR(VLOOKUP(Table1[RespondentID],'All Data'!$A$3:$CW$999,94,FALSE),"unknown")</f>
        <v>Over $125,000</v>
      </c>
      <c r="AT352" s="120" t="str">
        <f>IFERROR(VLOOKUP(Table1[RespondentID],'All Data'!$A$3:$CW$999,95,FALSE),"unknown")</f>
        <v>Doctorate</v>
      </c>
      <c r="AU352" s="120">
        <f>IFERROR(VLOOKUP(Table1[RespondentID],'All Data'!$A$3:$CW$999,96,FALSE),"unknown")</f>
        <v>0</v>
      </c>
      <c r="AV352" s="120" t="str">
        <f>IFERROR(VLOOKUP(Table1[RespondentID],'All Data'!$A$3:$CW$999,97,FALSE),"unknown")</f>
        <v>Employed for wages</v>
      </c>
      <c r="AW352" s="120">
        <f>IFERROR(VLOOKUP(Table1[RespondentID],'All Data'!$A$3:$CW$999,98,FALSE),"unknown")</f>
        <v>0</v>
      </c>
      <c r="AX352" s="120">
        <f>IFERROR(VLOOKUP(Table1[RespondentID],'All Data'!$A$3:$CW$999,99,FALSE),"unknown")</f>
        <v>0</v>
      </c>
    </row>
    <row r="353" spans="1:50">
      <c r="A353" s="124">
        <v>18018901331</v>
      </c>
      <c r="B353" s="122"/>
      <c r="C353" s="123"/>
      <c r="D353" s="123"/>
      <c r="E353" s="123"/>
      <c r="F353" s="123"/>
      <c r="G353" s="123"/>
      <c r="H353" s="123"/>
      <c r="I353" s="123"/>
      <c r="J353" s="123"/>
      <c r="K353" s="123"/>
      <c r="L353" s="123"/>
      <c r="M353" s="123"/>
      <c r="N353" s="123"/>
      <c r="O353" s="124"/>
      <c r="P353" s="125">
        <f t="shared" si="90"/>
        <v>0</v>
      </c>
      <c r="Q353" s="126" t="e">
        <f t="shared" si="91"/>
        <v>#DIV/0!</v>
      </c>
      <c r="R353" s="124"/>
      <c r="S353" s="125">
        <f t="shared" si="92"/>
        <v>0</v>
      </c>
      <c r="T353" s="125">
        <f t="shared" si="93"/>
        <v>0</v>
      </c>
      <c r="U353" s="125">
        <f t="shared" si="94"/>
        <v>0</v>
      </c>
      <c r="V353" s="127">
        <f t="shared" si="95"/>
        <v>0</v>
      </c>
      <c r="W353" s="127">
        <f t="shared" si="96"/>
        <v>0</v>
      </c>
      <c r="X353" s="127">
        <f t="shared" si="97"/>
        <v>0</v>
      </c>
      <c r="Y353" s="127">
        <f t="shared" si="98"/>
        <v>0</v>
      </c>
      <c r="Z353" s="127">
        <f t="shared" si="99"/>
        <v>0</v>
      </c>
      <c r="AA353" s="127">
        <f t="shared" si="100"/>
        <v>0</v>
      </c>
      <c r="AB353" s="127">
        <f t="shared" si="101"/>
        <v>0</v>
      </c>
      <c r="AC353" s="127">
        <f t="shared" si="102"/>
        <v>0</v>
      </c>
      <c r="AD353" s="127">
        <f t="shared" si="103"/>
        <v>0</v>
      </c>
      <c r="AE353" s="127">
        <f t="shared" si="104"/>
        <v>0</v>
      </c>
      <c r="AF353" s="124"/>
      <c r="AG353" s="124"/>
      <c r="AH353" s="125">
        <f t="shared" si="105"/>
        <v>0</v>
      </c>
      <c r="AI353" s="125">
        <f t="shared" si="106"/>
        <v>0</v>
      </c>
      <c r="AJ353" s="125" t="str">
        <f t="shared" si="107"/>
        <v>Correct</v>
      </c>
      <c r="AK353" s="124"/>
      <c r="AL353" s="120" t="str">
        <f>IFERROR(VLOOKUP(Table1[RespondentID],'All Data'!$A$3:$CO$999,87,FALSE),"unknown")</f>
        <v>Woman</v>
      </c>
      <c r="AM353" s="120">
        <f>IFERROR(VLOOKUP(Table1[RespondentID],'All Data'!$A$3:$CO$999,88,FALSE),"unknown")</f>
        <v>31</v>
      </c>
      <c r="AN353" s="120">
        <f>IFERROR(VLOOKUP(Table1[RespondentID],'All Data'!$A$3:$CO$999,89,FALSE),"unknown")</f>
        <v>0</v>
      </c>
      <c r="AO353" s="120" t="str">
        <f>IFERROR(VLOOKUP(Table1[RespondentID],'All Data'!$A$3:$CO$999,90,FALSE),"unknown")</f>
        <v>Garden City, 11536</v>
      </c>
      <c r="AP353" s="120" t="str">
        <f>IFERROR(VLOOKUP(Table1[RespondentID],'All Data'!$A$3:$CO$999,91,FALSE),"unknown")</f>
        <v>White</v>
      </c>
      <c r="AQ353" s="120" t="str">
        <f>IFERROR(VLOOKUP(Table1[RespondentID],'All Data'!$A$3:$CO$999,92,FALSE),"unknown")</f>
        <v>Not Hispanic or Latino</v>
      </c>
      <c r="AR353" s="120" t="str">
        <f>IFERROR(VLOOKUP(Table1[RespondentID],'All Data'!$A$3:$CO$999,93,FALSE),"unknown")</f>
        <v>Italian</v>
      </c>
      <c r="AS353" s="120" t="str">
        <f>IFERROR(VLOOKUP(Table1[RespondentID],'All Data'!$A$3:$CW$999,94,FALSE),"unknown")</f>
        <v>$20,000 to $34,999</v>
      </c>
      <c r="AT353" s="120" t="str">
        <f>IFERROR(VLOOKUP(Table1[RespondentID],'All Data'!$A$3:$CW$999,95,FALSE),"unknown")</f>
        <v>Some high school</v>
      </c>
      <c r="AU353" s="120">
        <f>IFERROR(VLOOKUP(Table1[RespondentID],'All Data'!$A$3:$CW$999,96,FALSE),"unknown")</f>
        <v>0</v>
      </c>
      <c r="AV353" s="120" t="str">
        <f>IFERROR(VLOOKUP(Table1[RespondentID],'All Data'!$A$3:$CW$999,97,FALSE),"unknown")</f>
        <v>Out of work and looking for work</v>
      </c>
      <c r="AW353" s="120">
        <f>IFERROR(VLOOKUP(Table1[RespondentID],'All Data'!$A$3:$CW$999,98,FALSE),"unknown")</f>
        <v>0</v>
      </c>
      <c r="AX353" s="120" t="str">
        <f>IFERROR(VLOOKUP(Table1[RespondentID],'All Data'!$A$3:$CW$999,99,FALSE),"unknown")</f>
        <v>No</v>
      </c>
    </row>
    <row r="354" spans="1:50">
      <c r="A354" s="124">
        <v>18018148216</v>
      </c>
      <c r="B354" s="122"/>
      <c r="C354" s="123"/>
      <c r="D354" s="123"/>
      <c r="E354" s="123"/>
      <c r="F354" s="123"/>
      <c r="G354" s="123"/>
      <c r="H354" s="123"/>
      <c r="I354" s="123"/>
      <c r="J354" s="123"/>
      <c r="K354" s="123" t="s">
        <v>25</v>
      </c>
      <c r="L354" s="123"/>
      <c r="M354" s="123"/>
      <c r="N354" s="123"/>
      <c r="O354" s="124"/>
      <c r="P354" s="125">
        <f t="shared" si="90"/>
        <v>1</v>
      </c>
      <c r="Q354" s="126">
        <f t="shared" si="91"/>
        <v>3</v>
      </c>
      <c r="R354" s="124"/>
      <c r="S354" s="125">
        <f t="shared" si="92"/>
        <v>0</v>
      </c>
      <c r="T354" s="125">
        <f t="shared" si="93"/>
        <v>0</v>
      </c>
      <c r="U354" s="125">
        <f t="shared" si="94"/>
        <v>0</v>
      </c>
      <c r="V354" s="127">
        <f t="shared" si="95"/>
        <v>0</v>
      </c>
      <c r="W354" s="127">
        <f t="shared" si="96"/>
        <v>0</v>
      </c>
      <c r="X354" s="127">
        <f t="shared" si="97"/>
        <v>0</v>
      </c>
      <c r="Y354" s="127">
        <f t="shared" si="98"/>
        <v>0</v>
      </c>
      <c r="Z354" s="127">
        <f t="shared" si="99"/>
        <v>0</v>
      </c>
      <c r="AA354" s="127">
        <f t="shared" si="100"/>
        <v>0</v>
      </c>
      <c r="AB354" s="127">
        <f t="shared" si="101"/>
        <v>1</v>
      </c>
      <c r="AC354" s="127">
        <f t="shared" si="102"/>
        <v>0</v>
      </c>
      <c r="AD354" s="127">
        <f t="shared" si="103"/>
        <v>0</v>
      </c>
      <c r="AE354" s="127">
        <f t="shared" si="104"/>
        <v>0</v>
      </c>
      <c r="AF354" s="124"/>
      <c r="AG354" s="124"/>
      <c r="AH354" s="125">
        <f t="shared" si="105"/>
        <v>1</v>
      </c>
      <c r="AI354" s="125">
        <f t="shared" si="106"/>
        <v>1</v>
      </c>
      <c r="AJ354" s="125" t="str">
        <f t="shared" si="107"/>
        <v>Correct</v>
      </c>
      <c r="AK354" s="124"/>
      <c r="AL354" s="120" t="str">
        <f>IFERROR(VLOOKUP(Table1[RespondentID],'All Data'!$A$3:$CO$999,87,FALSE),"unknown")</f>
        <v>Woman</v>
      </c>
      <c r="AM354" s="120">
        <f>IFERROR(VLOOKUP(Table1[RespondentID],'All Data'!$A$3:$CO$999,88,FALSE),"unknown")</f>
        <v>68</v>
      </c>
      <c r="AN354" s="120">
        <f>IFERROR(VLOOKUP(Table1[RespondentID],'All Data'!$A$3:$CO$999,89,FALSE),"unknown")</f>
        <v>0</v>
      </c>
      <c r="AO354" s="120">
        <f>IFERROR(VLOOKUP(Table1[RespondentID],'All Data'!$A$3:$CO$999,90,FALSE),"unknown")</f>
        <v>0</v>
      </c>
      <c r="AP354" s="120">
        <f>IFERROR(VLOOKUP(Table1[RespondentID],'All Data'!$A$3:$CO$999,91,FALSE),"unknown")</f>
        <v>0</v>
      </c>
      <c r="AQ354" s="120">
        <f>IFERROR(VLOOKUP(Table1[RespondentID],'All Data'!$A$3:$CO$999,92,FALSE),"unknown")</f>
        <v>0</v>
      </c>
      <c r="AR354" s="120">
        <f>IFERROR(VLOOKUP(Table1[RespondentID],'All Data'!$A$3:$CO$999,93,FALSE),"unknown")</f>
        <v>0</v>
      </c>
      <c r="AS354" s="120">
        <f>IFERROR(VLOOKUP(Table1[RespondentID],'All Data'!$A$3:$CW$999,94,FALSE),"unknown")</f>
        <v>0</v>
      </c>
      <c r="AT354" s="120">
        <f>IFERROR(VLOOKUP(Table1[RespondentID],'All Data'!$A$3:$CW$999,95,FALSE),"unknown")</f>
        <v>0</v>
      </c>
      <c r="AU354" s="120">
        <f>IFERROR(VLOOKUP(Table1[RespondentID],'All Data'!$A$3:$CW$999,96,FALSE),"unknown")</f>
        <v>0</v>
      </c>
      <c r="AV354" s="120">
        <f>IFERROR(VLOOKUP(Table1[RespondentID],'All Data'!$A$3:$CW$999,97,FALSE),"unknown")</f>
        <v>0</v>
      </c>
      <c r="AW354" s="120">
        <f>IFERROR(VLOOKUP(Table1[RespondentID],'All Data'!$A$3:$CW$999,98,FALSE),"unknown")</f>
        <v>0</v>
      </c>
      <c r="AX354" s="120">
        <f>IFERROR(VLOOKUP(Table1[RespondentID],'All Data'!$A$3:$CW$999,99,FALSE),"unknown")</f>
        <v>0</v>
      </c>
    </row>
    <row r="355" spans="1:50">
      <c r="A355" s="124">
        <v>18014643757</v>
      </c>
      <c r="B355" s="122"/>
      <c r="C355" s="123"/>
      <c r="D355" s="123"/>
      <c r="E355" s="123"/>
      <c r="F355" s="123"/>
      <c r="G355" s="123"/>
      <c r="H355" s="123"/>
      <c r="I355" s="123"/>
      <c r="J355" s="123"/>
      <c r="K355" s="123"/>
      <c r="L355" s="123" t="s">
        <v>26</v>
      </c>
      <c r="M355" s="123"/>
      <c r="N355" s="123"/>
      <c r="O355" s="124"/>
      <c r="P355" s="125">
        <f t="shared" si="90"/>
        <v>1</v>
      </c>
      <c r="Q355" s="126">
        <f t="shared" si="91"/>
        <v>3</v>
      </c>
      <c r="R355" s="124"/>
      <c r="S355" s="125">
        <f t="shared" si="92"/>
        <v>0</v>
      </c>
      <c r="T355" s="125">
        <f t="shared" si="93"/>
        <v>0</v>
      </c>
      <c r="U355" s="125">
        <f t="shared" si="94"/>
        <v>0</v>
      </c>
      <c r="V355" s="127">
        <f t="shared" si="95"/>
        <v>0</v>
      </c>
      <c r="W355" s="127">
        <f t="shared" si="96"/>
        <v>0</v>
      </c>
      <c r="X355" s="127">
        <f t="shared" si="97"/>
        <v>0</v>
      </c>
      <c r="Y355" s="127">
        <f t="shared" si="98"/>
        <v>0</v>
      </c>
      <c r="Z355" s="127">
        <f t="shared" si="99"/>
        <v>0</v>
      </c>
      <c r="AA355" s="127">
        <f t="shared" si="100"/>
        <v>0</v>
      </c>
      <c r="AB355" s="127">
        <f t="shared" si="101"/>
        <v>0</v>
      </c>
      <c r="AC355" s="127">
        <f t="shared" si="102"/>
        <v>1</v>
      </c>
      <c r="AD355" s="127">
        <f t="shared" si="103"/>
        <v>0</v>
      </c>
      <c r="AE355" s="127">
        <f t="shared" si="104"/>
        <v>0</v>
      </c>
      <c r="AF355" s="124"/>
      <c r="AG355" s="124"/>
      <c r="AH355" s="125">
        <f t="shared" si="105"/>
        <v>1</v>
      </c>
      <c r="AI355" s="125">
        <f t="shared" si="106"/>
        <v>1</v>
      </c>
      <c r="AJ355" s="125" t="str">
        <f t="shared" si="107"/>
        <v>Correct</v>
      </c>
      <c r="AK355" s="124"/>
      <c r="AL355" s="120">
        <f>IFERROR(VLOOKUP(Table1[RespondentID],'All Data'!$A$3:$CO$999,87,FALSE),"unknown")</f>
        <v>0</v>
      </c>
      <c r="AM355" s="120">
        <f>IFERROR(VLOOKUP(Table1[RespondentID],'All Data'!$A$3:$CO$999,88,FALSE),"unknown")</f>
        <v>0</v>
      </c>
      <c r="AN355" s="120">
        <f>IFERROR(VLOOKUP(Table1[RespondentID],'All Data'!$A$3:$CO$999,89,FALSE),"unknown")</f>
        <v>0</v>
      </c>
      <c r="AO355" s="120">
        <f>IFERROR(VLOOKUP(Table1[RespondentID],'All Data'!$A$3:$CO$999,90,FALSE),"unknown")</f>
        <v>0</v>
      </c>
      <c r="AP355" s="120">
        <f>IFERROR(VLOOKUP(Table1[RespondentID],'All Data'!$A$3:$CO$999,91,FALSE),"unknown")</f>
        <v>0</v>
      </c>
      <c r="AQ355" s="120">
        <f>IFERROR(VLOOKUP(Table1[RespondentID],'All Data'!$A$3:$CO$999,92,FALSE),"unknown")</f>
        <v>0</v>
      </c>
      <c r="AR355" s="120">
        <f>IFERROR(VLOOKUP(Table1[RespondentID],'All Data'!$A$3:$CO$999,93,FALSE),"unknown")</f>
        <v>0</v>
      </c>
      <c r="AS355" s="120">
        <f>IFERROR(VLOOKUP(Table1[RespondentID],'All Data'!$A$3:$CW$999,94,FALSE),"unknown")</f>
        <v>0</v>
      </c>
      <c r="AT355" s="120">
        <f>IFERROR(VLOOKUP(Table1[RespondentID],'All Data'!$A$3:$CW$999,95,FALSE),"unknown")</f>
        <v>0</v>
      </c>
      <c r="AU355" s="120">
        <f>IFERROR(VLOOKUP(Table1[RespondentID],'All Data'!$A$3:$CW$999,96,FALSE),"unknown")</f>
        <v>0</v>
      </c>
      <c r="AV355" s="120">
        <f>IFERROR(VLOOKUP(Table1[RespondentID],'All Data'!$A$3:$CW$999,97,FALSE),"unknown")</f>
        <v>0</v>
      </c>
      <c r="AW355" s="120">
        <f>IFERROR(VLOOKUP(Table1[RespondentID],'All Data'!$A$3:$CW$999,98,FALSE),"unknown")</f>
        <v>0</v>
      </c>
      <c r="AX355" s="120">
        <f>IFERROR(VLOOKUP(Table1[RespondentID],'All Data'!$A$3:$CW$999,99,FALSE),"unknown")</f>
        <v>0</v>
      </c>
    </row>
    <row r="356" spans="1:50">
      <c r="A356" s="124">
        <v>114107008144</v>
      </c>
      <c r="B356" s="122"/>
      <c r="C356" s="123"/>
      <c r="D356" s="123"/>
      <c r="E356" s="123"/>
      <c r="F356" s="123"/>
      <c r="G356" s="123"/>
      <c r="H356" s="123" t="s">
        <v>22</v>
      </c>
      <c r="I356" s="123"/>
      <c r="J356" s="123"/>
      <c r="K356" s="123"/>
      <c r="L356" s="123" t="s">
        <v>26</v>
      </c>
      <c r="M356" s="123"/>
      <c r="N356" s="123"/>
      <c r="O356" s="124"/>
      <c r="P356" s="125">
        <f t="shared" si="90"/>
        <v>2</v>
      </c>
      <c r="Q356" s="126">
        <f t="shared" si="91"/>
        <v>1.5</v>
      </c>
      <c r="R356" s="124"/>
      <c r="S356" s="125">
        <f t="shared" si="92"/>
        <v>0</v>
      </c>
      <c r="T356" s="125">
        <f t="shared" si="93"/>
        <v>0</v>
      </c>
      <c r="U356" s="125">
        <f t="shared" si="94"/>
        <v>0</v>
      </c>
      <c r="V356" s="127">
        <f t="shared" si="95"/>
        <v>0</v>
      </c>
      <c r="W356" s="127">
        <f t="shared" si="96"/>
        <v>0</v>
      </c>
      <c r="X356" s="127">
        <f t="shared" si="97"/>
        <v>0</v>
      </c>
      <c r="Y356" s="127">
        <f t="shared" si="98"/>
        <v>1</v>
      </c>
      <c r="Z356" s="127">
        <f t="shared" si="99"/>
        <v>0</v>
      </c>
      <c r="AA356" s="127">
        <f t="shared" si="100"/>
        <v>0</v>
      </c>
      <c r="AB356" s="127">
        <f t="shared" si="101"/>
        <v>0</v>
      </c>
      <c r="AC356" s="127">
        <f t="shared" si="102"/>
        <v>1</v>
      </c>
      <c r="AD356" s="127">
        <f t="shared" si="103"/>
        <v>0</v>
      </c>
      <c r="AE356" s="127">
        <f t="shared" si="104"/>
        <v>0</v>
      </c>
      <c r="AF356" s="124"/>
      <c r="AG356" s="124"/>
      <c r="AH356" s="125">
        <f t="shared" si="105"/>
        <v>2</v>
      </c>
      <c r="AI356" s="125">
        <f t="shared" si="106"/>
        <v>2</v>
      </c>
      <c r="AJ356" s="125" t="str">
        <f t="shared" si="107"/>
        <v>Correct</v>
      </c>
      <c r="AK356" s="124"/>
      <c r="AL356" s="120" t="str">
        <f>IFERROR(VLOOKUP(Table1[RespondentID],'All Data'!$A$3:$CO$999,87,FALSE),"unknown")</f>
        <v>Man</v>
      </c>
      <c r="AM356" s="120">
        <f>IFERROR(VLOOKUP(Table1[RespondentID],'All Data'!$A$3:$CO$999,88,FALSE),"unknown")</f>
        <v>0</v>
      </c>
      <c r="AN356" s="120" t="str">
        <f>IFERROR(VLOOKUP(Table1[RespondentID],'All Data'!$A$3:$CO$999,89,FALSE),"unknown")</f>
        <v>Queens</v>
      </c>
      <c r="AO356" s="120">
        <f>IFERROR(VLOOKUP(Table1[RespondentID],'All Data'!$A$3:$CO$999,90,FALSE),"unknown")</f>
        <v>22407</v>
      </c>
      <c r="AP356" s="120" t="str">
        <f>IFERROR(VLOOKUP(Table1[RespondentID],'All Data'!$A$3:$CO$999,91,FALSE),"unknown")</f>
        <v>White</v>
      </c>
      <c r="AQ356" s="120" t="str">
        <f>IFERROR(VLOOKUP(Table1[RespondentID],'All Data'!$A$3:$CO$999,92,FALSE),"unknown")</f>
        <v>Not Hispanic or Latino</v>
      </c>
      <c r="AR356" s="120" t="str">
        <f>IFERROR(VLOOKUP(Table1[RespondentID],'All Data'!$A$3:$CO$999,93,FALSE),"unknown")</f>
        <v>English</v>
      </c>
      <c r="AS356" s="120" t="str">
        <f>IFERROR(VLOOKUP(Table1[RespondentID],'All Data'!$A$3:$CW$999,94,FALSE),"unknown")</f>
        <v>Over $125,000</v>
      </c>
      <c r="AT356" s="120" t="str">
        <f>IFERROR(VLOOKUP(Table1[RespondentID],'All Data'!$A$3:$CW$999,95,FALSE),"unknown")</f>
        <v>College graduate</v>
      </c>
      <c r="AU356" s="120" t="str">
        <f>IFERROR(VLOOKUP(Table1[RespondentID],'All Data'!$A$3:$CW$999,96,FALSE),"unknown")</f>
        <v>Employed for wages</v>
      </c>
      <c r="AV356" s="120" t="str">
        <f>IFERROR(VLOOKUP(Table1[RespondentID],'All Data'!$A$3:$CW$999,97,FALSE),"unknown")</f>
        <v>Yes</v>
      </c>
      <c r="AW356" s="120" t="str">
        <f>IFERROR(VLOOKUP(Table1[RespondentID],'All Data'!$A$3:$CW$999,98,FALSE),"unknown")</f>
        <v>Medicaid,Medicare</v>
      </c>
      <c r="AX356" s="120" t="str">
        <f>IFERROR(VLOOKUP(Table1[RespondentID],'All Data'!$A$3:$CW$999,99,FALSE),"unknown")</f>
        <v>Yes</v>
      </c>
    </row>
    <row r="357" spans="1:50">
      <c r="A357" s="124">
        <v>114106902413</v>
      </c>
      <c r="B357" s="122"/>
      <c r="C357" s="123"/>
      <c r="D357" s="123"/>
      <c r="E357" s="123"/>
      <c r="F357" s="123"/>
      <c r="G357" s="123"/>
      <c r="H357" s="123"/>
      <c r="I357" s="123"/>
      <c r="J357" s="123" t="s">
        <v>24</v>
      </c>
      <c r="K357" s="123"/>
      <c r="L357" s="123"/>
      <c r="M357" s="123"/>
      <c r="N357" s="123" t="s">
        <v>28</v>
      </c>
      <c r="O357" s="124"/>
      <c r="P357" s="125">
        <f t="shared" si="90"/>
        <v>2</v>
      </c>
      <c r="Q357" s="126">
        <f t="shared" si="91"/>
        <v>1.5</v>
      </c>
      <c r="R357" s="124"/>
      <c r="S357" s="125">
        <f t="shared" si="92"/>
        <v>0</v>
      </c>
      <c r="T357" s="125">
        <f t="shared" si="93"/>
        <v>0</v>
      </c>
      <c r="U357" s="125">
        <f t="shared" si="94"/>
        <v>0</v>
      </c>
      <c r="V357" s="127">
        <f t="shared" si="95"/>
        <v>0</v>
      </c>
      <c r="W357" s="127">
        <f t="shared" si="96"/>
        <v>0</v>
      </c>
      <c r="X357" s="127">
        <f t="shared" si="97"/>
        <v>0</v>
      </c>
      <c r="Y357" s="127">
        <f t="shared" si="98"/>
        <v>0</v>
      </c>
      <c r="Z357" s="127">
        <f t="shared" si="99"/>
        <v>0</v>
      </c>
      <c r="AA357" s="127">
        <f t="shared" si="100"/>
        <v>1</v>
      </c>
      <c r="AB357" s="127">
        <f t="shared" si="101"/>
        <v>0</v>
      </c>
      <c r="AC357" s="127">
        <f t="shared" si="102"/>
        <v>0</v>
      </c>
      <c r="AD357" s="127">
        <f t="shared" si="103"/>
        <v>0</v>
      </c>
      <c r="AE357" s="127">
        <f t="shared" si="104"/>
        <v>1</v>
      </c>
      <c r="AF357" s="124"/>
      <c r="AG357" s="124"/>
      <c r="AH357" s="125">
        <f t="shared" si="105"/>
        <v>2</v>
      </c>
      <c r="AI357" s="125">
        <f t="shared" si="106"/>
        <v>2</v>
      </c>
      <c r="AJ357" s="125" t="str">
        <f t="shared" si="107"/>
        <v>Correct</v>
      </c>
      <c r="AK357" s="124"/>
      <c r="AL357" s="120" t="str">
        <f>IFERROR(VLOOKUP(Table1[RespondentID],'All Data'!$A$3:$CO$999,87,FALSE),"unknown")</f>
        <v>Man</v>
      </c>
      <c r="AM357" s="120">
        <f>IFERROR(VLOOKUP(Table1[RespondentID],'All Data'!$A$3:$CO$999,88,FALSE),"unknown")</f>
        <v>0</v>
      </c>
      <c r="AN357" s="120" t="str">
        <f>IFERROR(VLOOKUP(Table1[RespondentID],'All Data'!$A$3:$CO$999,89,FALSE),"unknown")</f>
        <v>Suffolk</v>
      </c>
      <c r="AO357" s="120" t="str">
        <f>IFERROR(VLOOKUP(Table1[RespondentID],'All Data'!$A$3:$CO$999,90,FALSE),"unknown")</f>
        <v>Babylon, 11702</v>
      </c>
      <c r="AP357" s="120" t="str">
        <f>IFERROR(VLOOKUP(Table1[RespondentID],'All Data'!$A$3:$CO$999,91,FALSE),"unknown")</f>
        <v>White</v>
      </c>
      <c r="AQ357" s="120" t="str">
        <f>IFERROR(VLOOKUP(Table1[RespondentID],'All Data'!$A$3:$CO$999,92,FALSE),"unknown")</f>
        <v>Not Hispanic or Latino</v>
      </c>
      <c r="AR357" s="120" t="str">
        <f>IFERROR(VLOOKUP(Table1[RespondentID],'All Data'!$A$3:$CO$999,93,FALSE),"unknown")</f>
        <v>English</v>
      </c>
      <c r="AS357" s="120" t="str">
        <f>IFERROR(VLOOKUP(Table1[RespondentID],'All Data'!$A$3:$CW$999,94,FALSE),"unknown")</f>
        <v>$35,000 to $49,999</v>
      </c>
      <c r="AT357" s="120" t="str">
        <f>IFERROR(VLOOKUP(Table1[RespondentID],'All Data'!$A$3:$CW$999,95,FALSE),"unknown")</f>
        <v>Some college</v>
      </c>
      <c r="AU357" s="120" t="str">
        <f>IFERROR(VLOOKUP(Table1[RespondentID],'All Data'!$A$3:$CW$999,96,FALSE),"unknown")</f>
        <v>Retired</v>
      </c>
      <c r="AV357" s="120" t="str">
        <f>IFERROR(VLOOKUP(Table1[RespondentID],'All Data'!$A$3:$CW$999,97,FALSE),"unknown")</f>
        <v>No</v>
      </c>
      <c r="AW357" s="120" t="str">
        <f>IFERROR(VLOOKUP(Table1[RespondentID],'All Data'!$A$3:$CW$999,98,FALSE),"unknown")</f>
        <v>No Insurance</v>
      </c>
      <c r="AX357" s="120" t="str">
        <f>IFERROR(VLOOKUP(Table1[RespondentID],'All Data'!$A$3:$CW$999,99,FALSE),"unknown")</f>
        <v>Yes</v>
      </c>
    </row>
    <row r="358" spans="1:50">
      <c r="A358" s="124">
        <v>114106901021</v>
      </c>
      <c r="B358" s="122"/>
      <c r="C358" s="123" t="s">
        <v>17</v>
      </c>
      <c r="D358" s="123" t="s">
        <v>18</v>
      </c>
      <c r="E358" s="123"/>
      <c r="F358" s="123"/>
      <c r="G358" s="123"/>
      <c r="H358" s="123" t="s">
        <v>22</v>
      </c>
      <c r="I358" s="123"/>
      <c r="J358" s="123"/>
      <c r="K358" s="123"/>
      <c r="L358" s="123"/>
      <c r="M358" s="123"/>
      <c r="N358" s="123"/>
      <c r="O358" s="124"/>
      <c r="P358" s="125">
        <f t="shared" si="90"/>
        <v>3</v>
      </c>
      <c r="Q358" s="126">
        <f t="shared" si="91"/>
        <v>1</v>
      </c>
      <c r="R358" s="124"/>
      <c r="S358" s="125">
        <f t="shared" si="92"/>
        <v>0</v>
      </c>
      <c r="T358" s="125">
        <f t="shared" si="93"/>
        <v>1</v>
      </c>
      <c r="U358" s="125">
        <f t="shared" si="94"/>
        <v>1</v>
      </c>
      <c r="V358" s="127">
        <f t="shared" si="95"/>
        <v>0</v>
      </c>
      <c r="W358" s="127">
        <f t="shared" si="96"/>
        <v>0</v>
      </c>
      <c r="X358" s="127">
        <f t="shared" si="97"/>
        <v>0</v>
      </c>
      <c r="Y358" s="127">
        <f t="shared" si="98"/>
        <v>1</v>
      </c>
      <c r="Z358" s="127">
        <f t="shared" si="99"/>
        <v>0</v>
      </c>
      <c r="AA358" s="127">
        <f t="shared" si="100"/>
        <v>0</v>
      </c>
      <c r="AB358" s="127">
        <f t="shared" si="101"/>
        <v>0</v>
      </c>
      <c r="AC358" s="127">
        <f t="shared" si="102"/>
        <v>0</v>
      </c>
      <c r="AD358" s="127">
        <f t="shared" si="103"/>
        <v>0</v>
      </c>
      <c r="AE358" s="127">
        <f t="shared" si="104"/>
        <v>0</v>
      </c>
      <c r="AF358" s="124"/>
      <c r="AG358" s="124"/>
      <c r="AH358" s="125">
        <f t="shared" si="105"/>
        <v>3</v>
      </c>
      <c r="AI358" s="125">
        <f t="shared" si="106"/>
        <v>3</v>
      </c>
      <c r="AJ358" s="125" t="str">
        <f t="shared" si="107"/>
        <v>Correct</v>
      </c>
      <c r="AK358" s="124"/>
      <c r="AL358" s="120" t="str">
        <f>IFERROR(VLOOKUP(Table1[RespondentID],'All Data'!$A$3:$CO$999,87,FALSE),"unknown")</f>
        <v>Man</v>
      </c>
      <c r="AM358" s="120">
        <f>IFERROR(VLOOKUP(Table1[RespondentID],'All Data'!$A$3:$CO$999,88,FALSE),"unknown")</f>
        <v>0</v>
      </c>
      <c r="AN358" s="120" t="str">
        <f>IFERROR(VLOOKUP(Table1[RespondentID],'All Data'!$A$3:$CO$999,89,FALSE),"unknown")</f>
        <v>Suffolk</v>
      </c>
      <c r="AO358" s="120" t="str">
        <f>IFERROR(VLOOKUP(Table1[RespondentID],'All Data'!$A$3:$CO$999,90,FALSE),"unknown")</f>
        <v>Huntington, 11743</v>
      </c>
      <c r="AP358" s="120" t="str">
        <f>IFERROR(VLOOKUP(Table1[RespondentID],'All Data'!$A$3:$CO$999,91,FALSE),"unknown")</f>
        <v>White</v>
      </c>
      <c r="AQ358" s="120">
        <f>IFERROR(VLOOKUP(Table1[RespondentID],'All Data'!$A$3:$CO$999,92,FALSE),"unknown")</f>
        <v>0</v>
      </c>
      <c r="AR358" s="120" t="str">
        <f>IFERROR(VLOOKUP(Table1[RespondentID],'All Data'!$A$3:$CO$999,93,FALSE),"unknown")</f>
        <v>English</v>
      </c>
      <c r="AS358" s="120" t="str">
        <f>IFERROR(VLOOKUP(Table1[RespondentID],'All Data'!$A$3:$CW$999,94,FALSE),"unknown")</f>
        <v>$75,000 to $125,000</v>
      </c>
      <c r="AT358" s="120" t="str">
        <f>IFERROR(VLOOKUP(Table1[RespondentID],'All Data'!$A$3:$CW$999,95,FALSE),"unknown")</f>
        <v>Some college</v>
      </c>
      <c r="AU358" s="120" t="str">
        <f>IFERROR(VLOOKUP(Table1[RespondentID],'All Data'!$A$3:$CW$999,96,FALSE),"unknown")</f>
        <v>Employed for wages</v>
      </c>
      <c r="AV358" s="120" t="str">
        <f>IFERROR(VLOOKUP(Table1[RespondentID],'All Data'!$A$3:$CW$999,97,FALSE),"unknown")</f>
        <v>Yes</v>
      </c>
      <c r="AW358" s="120">
        <f>IFERROR(VLOOKUP(Table1[RespondentID],'All Data'!$A$3:$CW$999,98,FALSE),"unknown")</f>
        <v>0</v>
      </c>
      <c r="AX358" s="120" t="str">
        <f>IFERROR(VLOOKUP(Table1[RespondentID],'All Data'!$A$3:$CW$999,99,FALSE),"unknown")</f>
        <v>Yes</v>
      </c>
    </row>
    <row r="359" spans="1:50">
      <c r="A359" s="124">
        <v>114106899755</v>
      </c>
      <c r="B359" s="122"/>
      <c r="C359" s="123"/>
      <c r="D359" s="123"/>
      <c r="E359" s="123"/>
      <c r="F359" s="123"/>
      <c r="G359" s="123"/>
      <c r="H359" s="123"/>
      <c r="I359" s="123" t="s">
        <v>23</v>
      </c>
      <c r="J359" s="123"/>
      <c r="K359" s="123" t="s">
        <v>25</v>
      </c>
      <c r="L359" s="123"/>
      <c r="M359" s="123"/>
      <c r="N359" s="123"/>
      <c r="O359" s="124"/>
      <c r="P359" s="125">
        <f t="shared" si="90"/>
        <v>2</v>
      </c>
      <c r="Q359" s="126">
        <f t="shared" si="91"/>
        <v>1.5</v>
      </c>
      <c r="R359" s="124"/>
      <c r="S359" s="125">
        <f t="shared" si="92"/>
        <v>0</v>
      </c>
      <c r="T359" s="125">
        <f t="shared" si="93"/>
        <v>0</v>
      </c>
      <c r="U359" s="125">
        <f t="shared" si="94"/>
        <v>0</v>
      </c>
      <c r="V359" s="127">
        <f t="shared" si="95"/>
        <v>0</v>
      </c>
      <c r="W359" s="127">
        <f t="shared" si="96"/>
        <v>0</v>
      </c>
      <c r="X359" s="127">
        <f t="shared" si="97"/>
        <v>0</v>
      </c>
      <c r="Y359" s="127">
        <f t="shared" si="98"/>
        <v>0</v>
      </c>
      <c r="Z359" s="127">
        <f t="shared" si="99"/>
        <v>1</v>
      </c>
      <c r="AA359" s="127">
        <f t="shared" si="100"/>
        <v>0</v>
      </c>
      <c r="AB359" s="127">
        <f t="shared" si="101"/>
        <v>1</v>
      </c>
      <c r="AC359" s="127">
        <f t="shared" si="102"/>
        <v>0</v>
      </c>
      <c r="AD359" s="127">
        <f t="shared" si="103"/>
        <v>0</v>
      </c>
      <c r="AE359" s="127">
        <f t="shared" si="104"/>
        <v>0</v>
      </c>
      <c r="AF359" s="124"/>
      <c r="AG359" s="124"/>
      <c r="AH359" s="125">
        <f t="shared" si="105"/>
        <v>2</v>
      </c>
      <c r="AI359" s="125">
        <f t="shared" si="106"/>
        <v>2</v>
      </c>
      <c r="AJ359" s="125" t="str">
        <f t="shared" si="107"/>
        <v>Correct</v>
      </c>
      <c r="AK359" s="124"/>
      <c r="AL359" s="120" t="str">
        <f>IFERROR(VLOOKUP(Table1[RespondentID],'All Data'!$A$3:$CO$999,87,FALSE),"unknown")</f>
        <v>Woman</v>
      </c>
      <c r="AM359" s="120">
        <f>IFERROR(VLOOKUP(Table1[RespondentID],'All Data'!$A$3:$CO$999,88,FALSE),"unknown")</f>
        <v>0</v>
      </c>
      <c r="AN359" s="120" t="str">
        <f>IFERROR(VLOOKUP(Table1[RespondentID],'All Data'!$A$3:$CO$999,89,FALSE),"unknown")</f>
        <v>Suffolk</v>
      </c>
      <c r="AO359" s="120" t="str">
        <f>IFERROR(VLOOKUP(Table1[RespondentID],'All Data'!$A$3:$CO$999,90,FALSE),"unknown")</f>
        <v>Babylon, 11703</v>
      </c>
      <c r="AP359" s="120" t="str">
        <f>IFERROR(VLOOKUP(Table1[RespondentID],'All Data'!$A$3:$CO$999,91,FALSE),"unknown")</f>
        <v>White</v>
      </c>
      <c r="AQ359" s="120" t="str">
        <f>IFERROR(VLOOKUP(Table1[RespondentID],'All Data'!$A$3:$CO$999,92,FALSE),"unknown")</f>
        <v>Not Hispanic or Latino</v>
      </c>
      <c r="AR359" s="120" t="str">
        <f>IFERROR(VLOOKUP(Table1[RespondentID],'All Data'!$A$3:$CO$999,93,FALSE),"unknown")</f>
        <v>English</v>
      </c>
      <c r="AS359" s="120" t="str">
        <f>IFERROR(VLOOKUP(Table1[RespondentID],'All Data'!$A$3:$CW$999,94,FALSE),"unknown")</f>
        <v>$50,000 to $74,999</v>
      </c>
      <c r="AT359" s="120" t="str">
        <f>IFERROR(VLOOKUP(Table1[RespondentID],'All Data'!$A$3:$CW$999,95,FALSE),"unknown")</f>
        <v>College graduate</v>
      </c>
      <c r="AU359" s="120" t="str">
        <f>IFERROR(VLOOKUP(Table1[RespondentID],'All Data'!$A$3:$CW$999,96,FALSE),"unknown")</f>
        <v>Employed for wages</v>
      </c>
      <c r="AV359" s="120" t="str">
        <f>IFERROR(VLOOKUP(Table1[RespondentID],'All Data'!$A$3:$CW$999,97,FALSE),"unknown")</f>
        <v>Yes</v>
      </c>
      <c r="AW359" s="120" t="str">
        <f>IFERROR(VLOOKUP(Table1[RespondentID],'All Data'!$A$3:$CW$999,98,FALSE),"unknown")</f>
        <v>Private/Commercial</v>
      </c>
      <c r="AX359" s="120" t="str">
        <f>IFERROR(VLOOKUP(Table1[RespondentID],'All Data'!$A$3:$CW$999,99,FALSE),"unknown")</f>
        <v>Yes</v>
      </c>
    </row>
    <row r="360" spans="1:50">
      <c r="A360" s="124">
        <v>114106893781</v>
      </c>
      <c r="B360" s="122"/>
      <c r="C360" s="123" t="s">
        <v>17</v>
      </c>
      <c r="D360" s="123"/>
      <c r="E360" s="123"/>
      <c r="F360" s="123"/>
      <c r="G360" s="123"/>
      <c r="H360" s="123"/>
      <c r="I360" s="123"/>
      <c r="J360" s="123"/>
      <c r="K360" s="123"/>
      <c r="L360" s="123"/>
      <c r="M360" s="123"/>
      <c r="N360" s="123"/>
      <c r="O360" s="124"/>
      <c r="P360" s="125">
        <f t="shared" si="90"/>
        <v>1</v>
      </c>
      <c r="Q360" s="126">
        <f t="shared" si="91"/>
        <v>3</v>
      </c>
      <c r="R360" s="124"/>
      <c r="S360" s="125">
        <f t="shared" si="92"/>
        <v>0</v>
      </c>
      <c r="T360" s="125">
        <f t="shared" si="93"/>
        <v>1</v>
      </c>
      <c r="U360" s="125">
        <f t="shared" si="94"/>
        <v>0</v>
      </c>
      <c r="V360" s="127">
        <f t="shared" si="95"/>
        <v>0</v>
      </c>
      <c r="W360" s="127">
        <f t="shared" si="96"/>
        <v>0</v>
      </c>
      <c r="X360" s="127">
        <f t="shared" si="97"/>
        <v>0</v>
      </c>
      <c r="Y360" s="127">
        <f t="shared" si="98"/>
        <v>0</v>
      </c>
      <c r="Z360" s="127">
        <f t="shared" si="99"/>
        <v>0</v>
      </c>
      <c r="AA360" s="127">
        <f t="shared" si="100"/>
        <v>0</v>
      </c>
      <c r="AB360" s="127">
        <f t="shared" si="101"/>
        <v>0</v>
      </c>
      <c r="AC360" s="127">
        <f t="shared" si="102"/>
        <v>0</v>
      </c>
      <c r="AD360" s="127">
        <f t="shared" si="103"/>
        <v>0</v>
      </c>
      <c r="AE360" s="127">
        <f t="shared" si="104"/>
        <v>0</v>
      </c>
      <c r="AF360" s="124"/>
      <c r="AG360" s="124"/>
      <c r="AH360" s="125">
        <f t="shared" si="105"/>
        <v>1</v>
      </c>
      <c r="AI360" s="125">
        <f t="shared" si="106"/>
        <v>1</v>
      </c>
      <c r="AJ360" s="125" t="str">
        <f t="shared" si="107"/>
        <v>Correct</v>
      </c>
      <c r="AK360" s="124"/>
      <c r="AL360" s="120" t="str">
        <f>IFERROR(VLOOKUP(Table1[RespondentID],'All Data'!$A$3:$CO$999,87,FALSE),"unknown")</f>
        <v>Man</v>
      </c>
      <c r="AM360" s="120">
        <f>IFERROR(VLOOKUP(Table1[RespondentID],'All Data'!$A$3:$CO$999,88,FALSE),"unknown")</f>
        <v>0</v>
      </c>
      <c r="AN360" s="120" t="str">
        <f>IFERROR(VLOOKUP(Table1[RespondentID],'All Data'!$A$3:$CO$999,89,FALSE),"unknown")</f>
        <v>Suffolk</v>
      </c>
      <c r="AO360" s="120" t="str">
        <f>IFERROR(VLOOKUP(Table1[RespondentID],'All Data'!$A$3:$CO$999,90,FALSE),"unknown")</f>
        <v>Babylon, 11703</v>
      </c>
      <c r="AP360" s="120" t="str">
        <f>IFERROR(VLOOKUP(Table1[RespondentID],'All Data'!$A$3:$CO$999,91,FALSE),"unknown")</f>
        <v>White</v>
      </c>
      <c r="AQ360" s="120" t="str">
        <f>IFERROR(VLOOKUP(Table1[RespondentID],'All Data'!$A$3:$CO$999,92,FALSE),"unknown")</f>
        <v>Not Hispanic or Latino</v>
      </c>
      <c r="AR360" s="120" t="str">
        <f>IFERROR(VLOOKUP(Table1[RespondentID],'All Data'!$A$3:$CO$999,93,FALSE),"unknown")</f>
        <v>English</v>
      </c>
      <c r="AS360" s="120" t="str">
        <f>IFERROR(VLOOKUP(Table1[RespondentID],'All Data'!$A$3:$CW$999,94,FALSE),"unknown")</f>
        <v>$50,000 to $74,999</v>
      </c>
      <c r="AT360" s="120" t="str">
        <f>IFERROR(VLOOKUP(Table1[RespondentID],'All Data'!$A$3:$CW$999,95,FALSE),"unknown")</f>
        <v>Some college</v>
      </c>
      <c r="AU360" s="120" t="str">
        <f>IFERROR(VLOOKUP(Table1[RespondentID],'All Data'!$A$3:$CW$999,96,FALSE),"unknown")</f>
        <v>Employed for wages</v>
      </c>
      <c r="AV360" s="120" t="str">
        <f>IFERROR(VLOOKUP(Table1[RespondentID],'All Data'!$A$3:$CW$999,97,FALSE),"unknown")</f>
        <v>Yes</v>
      </c>
      <c r="AW360" s="120" t="str">
        <f>IFERROR(VLOOKUP(Table1[RespondentID],'All Data'!$A$3:$CW$999,98,FALSE),"unknown")</f>
        <v>Private/Commercial</v>
      </c>
      <c r="AX360" s="120" t="str">
        <f>IFERROR(VLOOKUP(Table1[RespondentID],'All Data'!$A$3:$CW$999,99,FALSE),"unknown")</f>
        <v>Yes</v>
      </c>
    </row>
    <row r="361" spans="1:50">
      <c r="A361" s="124">
        <v>114098493520</v>
      </c>
      <c r="B361" s="122"/>
      <c r="C361" s="123" t="s">
        <v>17</v>
      </c>
      <c r="D361" s="123" t="s">
        <v>18</v>
      </c>
      <c r="E361" s="123"/>
      <c r="F361" s="123"/>
      <c r="G361" s="123"/>
      <c r="H361" s="123"/>
      <c r="I361" s="123"/>
      <c r="J361" s="123"/>
      <c r="K361" s="123"/>
      <c r="L361" s="123"/>
      <c r="M361" s="123" t="s">
        <v>27</v>
      </c>
      <c r="N361" s="123"/>
      <c r="O361" s="124"/>
      <c r="P361" s="125">
        <f t="shared" si="90"/>
        <v>3</v>
      </c>
      <c r="Q361" s="126">
        <f t="shared" si="91"/>
        <v>1</v>
      </c>
      <c r="R361" s="124"/>
      <c r="S361" s="125">
        <f t="shared" si="92"/>
        <v>0</v>
      </c>
      <c r="T361" s="125">
        <f t="shared" si="93"/>
        <v>1</v>
      </c>
      <c r="U361" s="125">
        <f t="shared" si="94"/>
        <v>1</v>
      </c>
      <c r="V361" s="127">
        <f t="shared" si="95"/>
        <v>0</v>
      </c>
      <c r="W361" s="127">
        <f t="shared" si="96"/>
        <v>0</v>
      </c>
      <c r="X361" s="127">
        <f t="shared" si="97"/>
        <v>0</v>
      </c>
      <c r="Y361" s="127">
        <f t="shared" si="98"/>
        <v>0</v>
      </c>
      <c r="Z361" s="127">
        <f t="shared" si="99"/>
        <v>0</v>
      </c>
      <c r="AA361" s="127">
        <f t="shared" si="100"/>
        <v>0</v>
      </c>
      <c r="AB361" s="127">
        <f t="shared" si="101"/>
        <v>0</v>
      </c>
      <c r="AC361" s="127">
        <f t="shared" si="102"/>
        <v>0</v>
      </c>
      <c r="AD361" s="127">
        <f t="shared" si="103"/>
        <v>1</v>
      </c>
      <c r="AE361" s="127">
        <f t="shared" si="104"/>
        <v>0</v>
      </c>
      <c r="AF361" s="124"/>
      <c r="AG361" s="124"/>
      <c r="AH361" s="125">
        <f t="shared" si="105"/>
        <v>3</v>
      </c>
      <c r="AI361" s="125">
        <f t="shared" si="106"/>
        <v>3</v>
      </c>
      <c r="AJ361" s="125" t="str">
        <f t="shared" si="107"/>
        <v>Correct</v>
      </c>
      <c r="AK361" s="124"/>
      <c r="AL361" s="120" t="str">
        <f>IFERROR(VLOOKUP(Table1[RespondentID],'All Data'!$A$3:$CO$999,87,FALSE),"unknown")</f>
        <v>Woman</v>
      </c>
      <c r="AM361" s="120">
        <f>IFERROR(VLOOKUP(Table1[RespondentID],'All Data'!$A$3:$CO$999,88,FALSE),"unknown")</f>
        <v>0</v>
      </c>
      <c r="AN361" s="120" t="str">
        <f>IFERROR(VLOOKUP(Table1[RespondentID],'All Data'!$A$3:$CO$999,89,FALSE),"unknown")</f>
        <v>Suffolk</v>
      </c>
      <c r="AO361" s="120" t="str">
        <f>IFERROR(VLOOKUP(Table1[RespondentID],'All Data'!$A$3:$CO$999,90,FALSE),"unknown")</f>
        <v>East Islip, 11730</v>
      </c>
      <c r="AP361" s="120" t="str">
        <f>IFERROR(VLOOKUP(Table1[RespondentID],'All Data'!$A$3:$CO$999,91,FALSE),"unknown")</f>
        <v>White</v>
      </c>
      <c r="AQ361" s="120" t="str">
        <f>IFERROR(VLOOKUP(Table1[RespondentID],'All Data'!$A$3:$CO$999,92,FALSE),"unknown")</f>
        <v>Not Hispanic or Latino</v>
      </c>
      <c r="AR361" s="120" t="str">
        <f>IFERROR(VLOOKUP(Table1[RespondentID],'All Data'!$A$3:$CO$999,93,FALSE),"unknown")</f>
        <v>English</v>
      </c>
      <c r="AS361" s="120" t="str">
        <f>IFERROR(VLOOKUP(Table1[RespondentID],'All Data'!$A$3:$CW$999,94,FALSE),"unknown")</f>
        <v>$75,000 to $125,000</v>
      </c>
      <c r="AT361" s="120" t="str">
        <f>IFERROR(VLOOKUP(Table1[RespondentID],'All Data'!$A$3:$CW$999,95,FALSE),"unknown")</f>
        <v>College graduate</v>
      </c>
      <c r="AU361" s="120" t="str">
        <f>IFERROR(VLOOKUP(Table1[RespondentID],'All Data'!$A$3:$CW$999,96,FALSE),"unknown")</f>
        <v>Retired</v>
      </c>
      <c r="AV361" s="120" t="str">
        <f>IFERROR(VLOOKUP(Table1[RespondentID],'All Data'!$A$3:$CW$999,97,FALSE),"unknown")</f>
        <v>Yes</v>
      </c>
      <c r="AW361" s="120" t="str">
        <f>IFERROR(VLOOKUP(Table1[RespondentID],'All Data'!$A$3:$CW$999,98,FALSE),"unknown")</f>
        <v>Medicare,Private/Commercial</v>
      </c>
      <c r="AX361" s="120" t="str">
        <f>IFERROR(VLOOKUP(Table1[RespondentID],'All Data'!$A$3:$CW$999,99,FALSE),"unknown")</f>
        <v>Yes</v>
      </c>
    </row>
    <row r="362" spans="1:50">
      <c r="A362" s="124">
        <v>114098444126</v>
      </c>
      <c r="B362" s="122"/>
      <c r="C362" s="123"/>
      <c r="D362" s="123"/>
      <c r="E362" s="123" t="s">
        <v>19</v>
      </c>
      <c r="F362" s="123"/>
      <c r="G362" s="123"/>
      <c r="H362" s="123"/>
      <c r="I362" s="123"/>
      <c r="J362" s="123"/>
      <c r="K362" s="123"/>
      <c r="L362" s="123"/>
      <c r="M362" s="123"/>
      <c r="N362" s="123"/>
      <c r="O362" s="124"/>
      <c r="P362" s="125">
        <f t="shared" si="90"/>
        <v>1</v>
      </c>
      <c r="Q362" s="126">
        <f t="shared" si="91"/>
        <v>3</v>
      </c>
      <c r="R362" s="124"/>
      <c r="S362" s="125">
        <f t="shared" si="92"/>
        <v>0</v>
      </c>
      <c r="T362" s="125">
        <f t="shared" si="93"/>
        <v>0</v>
      </c>
      <c r="U362" s="125">
        <f t="shared" si="94"/>
        <v>0</v>
      </c>
      <c r="V362" s="127">
        <f t="shared" si="95"/>
        <v>1</v>
      </c>
      <c r="W362" s="127">
        <f t="shared" si="96"/>
        <v>0</v>
      </c>
      <c r="X362" s="127">
        <f t="shared" si="97"/>
        <v>0</v>
      </c>
      <c r="Y362" s="127">
        <f t="shared" si="98"/>
        <v>0</v>
      </c>
      <c r="Z362" s="127">
        <f t="shared" si="99"/>
        <v>0</v>
      </c>
      <c r="AA362" s="127">
        <f t="shared" si="100"/>
        <v>0</v>
      </c>
      <c r="AB362" s="127">
        <f t="shared" si="101"/>
        <v>0</v>
      </c>
      <c r="AC362" s="127">
        <f t="shared" si="102"/>
        <v>0</v>
      </c>
      <c r="AD362" s="127">
        <f t="shared" si="103"/>
        <v>0</v>
      </c>
      <c r="AE362" s="127">
        <f t="shared" si="104"/>
        <v>0</v>
      </c>
      <c r="AF362" s="124"/>
      <c r="AG362" s="124"/>
      <c r="AH362" s="125">
        <f t="shared" si="105"/>
        <v>1</v>
      </c>
      <c r="AI362" s="125">
        <f t="shared" si="106"/>
        <v>1</v>
      </c>
      <c r="AJ362" s="125" t="str">
        <f t="shared" si="107"/>
        <v>Correct</v>
      </c>
      <c r="AK362" s="124"/>
      <c r="AL362" s="120" t="str">
        <f>IFERROR(VLOOKUP(Table1[RespondentID],'All Data'!$A$3:$CO$999,87,FALSE),"unknown")</f>
        <v>Woman</v>
      </c>
      <c r="AM362" s="120">
        <f>IFERROR(VLOOKUP(Table1[RespondentID],'All Data'!$A$3:$CO$999,88,FALSE),"unknown")</f>
        <v>0</v>
      </c>
      <c r="AN362" s="120" t="str">
        <f>IFERROR(VLOOKUP(Table1[RespondentID],'All Data'!$A$3:$CO$999,89,FALSE),"unknown")</f>
        <v>Nassau</v>
      </c>
      <c r="AO362" s="120" t="str">
        <f>IFERROR(VLOOKUP(Table1[RespondentID],'All Data'!$A$3:$CO$999,90,FALSE),"unknown")</f>
        <v>Massapequa, 11758</v>
      </c>
      <c r="AP362" s="120" t="str">
        <f>IFERROR(VLOOKUP(Table1[RespondentID],'All Data'!$A$3:$CO$999,91,FALSE),"unknown")</f>
        <v>White</v>
      </c>
      <c r="AQ362" s="120" t="str">
        <f>IFERROR(VLOOKUP(Table1[RespondentID],'All Data'!$A$3:$CO$999,92,FALSE),"unknown")</f>
        <v>Not Hispanic or Latino</v>
      </c>
      <c r="AR362" s="120" t="str">
        <f>IFERROR(VLOOKUP(Table1[RespondentID],'All Data'!$A$3:$CO$999,93,FALSE),"unknown")</f>
        <v>English</v>
      </c>
      <c r="AS362" s="120" t="str">
        <f>IFERROR(VLOOKUP(Table1[RespondentID],'All Data'!$A$3:$CW$999,94,FALSE),"unknown")</f>
        <v>Over $125,000</v>
      </c>
      <c r="AT362" s="120" t="str">
        <f>IFERROR(VLOOKUP(Table1[RespondentID],'All Data'!$A$3:$CW$999,95,FALSE),"unknown")</f>
        <v>College graduate</v>
      </c>
      <c r="AU362" s="120" t="str">
        <f>IFERROR(VLOOKUP(Table1[RespondentID],'All Data'!$A$3:$CW$999,96,FALSE),"unknown")</f>
        <v>Employed for wages</v>
      </c>
      <c r="AV362" s="120" t="str">
        <f>IFERROR(VLOOKUP(Table1[RespondentID],'All Data'!$A$3:$CW$999,97,FALSE),"unknown")</f>
        <v>Yes</v>
      </c>
      <c r="AW362" s="120" t="str">
        <f>IFERROR(VLOOKUP(Table1[RespondentID],'All Data'!$A$3:$CW$999,98,FALSE),"unknown")</f>
        <v>Private/Commercial</v>
      </c>
      <c r="AX362" s="120" t="str">
        <f>IFERROR(VLOOKUP(Table1[RespondentID],'All Data'!$A$3:$CW$999,99,FALSE),"unknown")</f>
        <v>Yes</v>
      </c>
    </row>
    <row r="363" spans="1:50">
      <c r="A363" s="124">
        <v>114097859158</v>
      </c>
      <c r="B363" s="122"/>
      <c r="C363" s="123"/>
      <c r="D363" s="123"/>
      <c r="E363" s="123" t="s">
        <v>19</v>
      </c>
      <c r="F363" s="123"/>
      <c r="G363" s="123"/>
      <c r="H363" s="123"/>
      <c r="I363" s="123"/>
      <c r="J363" s="123"/>
      <c r="K363" s="123" t="s">
        <v>25</v>
      </c>
      <c r="L363" s="123"/>
      <c r="M363" s="123"/>
      <c r="N363" s="123" t="s">
        <v>28</v>
      </c>
      <c r="O363" s="124"/>
      <c r="P363" s="125">
        <f t="shared" si="90"/>
        <v>3</v>
      </c>
      <c r="Q363" s="126">
        <f t="shared" si="91"/>
        <v>1</v>
      </c>
      <c r="R363" s="124"/>
      <c r="S363" s="125">
        <f t="shared" si="92"/>
        <v>0</v>
      </c>
      <c r="T363" s="125">
        <f t="shared" si="93"/>
        <v>0</v>
      </c>
      <c r="U363" s="125">
        <f t="shared" si="94"/>
        <v>0</v>
      </c>
      <c r="V363" s="127">
        <f t="shared" si="95"/>
        <v>1</v>
      </c>
      <c r="W363" s="127">
        <f t="shared" si="96"/>
        <v>0</v>
      </c>
      <c r="X363" s="127">
        <f t="shared" si="97"/>
        <v>0</v>
      </c>
      <c r="Y363" s="127">
        <f t="shared" si="98"/>
        <v>0</v>
      </c>
      <c r="Z363" s="127">
        <f t="shared" si="99"/>
        <v>0</v>
      </c>
      <c r="AA363" s="127">
        <f t="shared" si="100"/>
        <v>0</v>
      </c>
      <c r="AB363" s="127">
        <f t="shared" si="101"/>
        <v>1</v>
      </c>
      <c r="AC363" s="127">
        <f t="shared" si="102"/>
        <v>0</v>
      </c>
      <c r="AD363" s="127">
        <f t="shared" si="103"/>
        <v>0</v>
      </c>
      <c r="AE363" s="127">
        <f t="shared" si="104"/>
        <v>1</v>
      </c>
      <c r="AF363" s="124"/>
      <c r="AG363" s="124"/>
      <c r="AH363" s="125">
        <f t="shared" si="105"/>
        <v>3</v>
      </c>
      <c r="AI363" s="125">
        <f t="shared" si="106"/>
        <v>3</v>
      </c>
      <c r="AJ363" s="125" t="str">
        <f t="shared" si="107"/>
        <v>Correct</v>
      </c>
      <c r="AK363" s="124"/>
      <c r="AL363" s="120" t="str">
        <f>IFERROR(VLOOKUP(Table1[RespondentID],'All Data'!$A$3:$CO$999,87,FALSE),"unknown")</f>
        <v>Woman</v>
      </c>
      <c r="AM363" s="120">
        <f>IFERROR(VLOOKUP(Table1[RespondentID],'All Data'!$A$3:$CO$999,88,FALSE),"unknown")</f>
        <v>0</v>
      </c>
      <c r="AN363" s="120" t="str">
        <f>IFERROR(VLOOKUP(Table1[RespondentID],'All Data'!$A$3:$CO$999,89,FALSE),"unknown")</f>
        <v>Suffolk</v>
      </c>
      <c r="AO363" s="120" t="str">
        <f>IFERROR(VLOOKUP(Table1[RespondentID],'All Data'!$A$3:$CO$999,90,FALSE),"unknown")</f>
        <v>Lindenhurst, 11757</v>
      </c>
      <c r="AP363" s="120" t="str">
        <f>IFERROR(VLOOKUP(Table1[RespondentID],'All Data'!$A$3:$CO$999,91,FALSE),"unknown")</f>
        <v>White</v>
      </c>
      <c r="AQ363" s="120" t="str">
        <f>IFERROR(VLOOKUP(Table1[RespondentID],'All Data'!$A$3:$CO$999,92,FALSE),"unknown")</f>
        <v>Not Hispanic or Latino</v>
      </c>
      <c r="AR363" s="120" t="str">
        <f>IFERROR(VLOOKUP(Table1[RespondentID],'All Data'!$A$3:$CO$999,93,FALSE),"unknown")</f>
        <v>English</v>
      </c>
      <c r="AS363" s="120">
        <f>IFERROR(VLOOKUP(Table1[RespondentID],'All Data'!$A$3:$CW$999,94,FALSE),"unknown")</f>
        <v>0</v>
      </c>
      <c r="AT363" s="120" t="str">
        <f>IFERROR(VLOOKUP(Table1[RespondentID],'All Data'!$A$3:$CW$999,95,FALSE),"unknown")</f>
        <v>High school graduate</v>
      </c>
      <c r="AU363" s="120" t="str">
        <f>IFERROR(VLOOKUP(Table1[RespondentID],'All Data'!$A$3:$CW$999,96,FALSE),"unknown")</f>
        <v>Retired</v>
      </c>
      <c r="AV363" s="120" t="str">
        <f>IFERROR(VLOOKUP(Table1[RespondentID],'All Data'!$A$3:$CW$999,97,FALSE),"unknown")</f>
        <v>Yes</v>
      </c>
      <c r="AW363" s="120" t="str">
        <f>IFERROR(VLOOKUP(Table1[RespondentID],'All Data'!$A$3:$CW$999,98,FALSE),"unknown")</f>
        <v>Medicare</v>
      </c>
      <c r="AX363" s="120" t="str">
        <f>IFERROR(VLOOKUP(Table1[RespondentID],'All Data'!$A$3:$CW$999,99,FALSE),"unknown")</f>
        <v>Yes</v>
      </c>
    </row>
    <row r="364" spans="1:50">
      <c r="A364" s="124">
        <v>114097590747</v>
      </c>
      <c r="B364" s="122"/>
      <c r="C364" s="123"/>
      <c r="D364" s="123"/>
      <c r="E364" s="123" t="s">
        <v>19</v>
      </c>
      <c r="F364" s="123"/>
      <c r="G364" s="123"/>
      <c r="H364" s="123" t="s">
        <v>22</v>
      </c>
      <c r="I364" s="123"/>
      <c r="J364" s="123"/>
      <c r="K364" s="123"/>
      <c r="L364" s="123"/>
      <c r="M364" s="123"/>
      <c r="N364" s="123"/>
      <c r="O364" s="124"/>
      <c r="P364" s="125">
        <f t="shared" si="90"/>
        <v>2</v>
      </c>
      <c r="Q364" s="126">
        <f t="shared" si="91"/>
        <v>1.5</v>
      </c>
      <c r="R364" s="124"/>
      <c r="S364" s="125">
        <f t="shared" si="92"/>
        <v>0</v>
      </c>
      <c r="T364" s="125">
        <f t="shared" si="93"/>
        <v>0</v>
      </c>
      <c r="U364" s="125">
        <f t="shared" si="94"/>
        <v>0</v>
      </c>
      <c r="V364" s="127">
        <f t="shared" si="95"/>
        <v>1</v>
      </c>
      <c r="W364" s="127">
        <f t="shared" si="96"/>
        <v>0</v>
      </c>
      <c r="X364" s="127">
        <f t="shared" si="97"/>
        <v>0</v>
      </c>
      <c r="Y364" s="127">
        <f t="shared" si="98"/>
        <v>1</v>
      </c>
      <c r="Z364" s="127">
        <f t="shared" si="99"/>
        <v>0</v>
      </c>
      <c r="AA364" s="127">
        <f t="shared" si="100"/>
        <v>0</v>
      </c>
      <c r="AB364" s="127">
        <f t="shared" si="101"/>
        <v>0</v>
      </c>
      <c r="AC364" s="127">
        <f t="shared" si="102"/>
        <v>0</v>
      </c>
      <c r="AD364" s="127">
        <f t="shared" si="103"/>
        <v>0</v>
      </c>
      <c r="AE364" s="127">
        <f t="shared" si="104"/>
        <v>0</v>
      </c>
      <c r="AF364" s="124"/>
      <c r="AG364" s="124"/>
      <c r="AH364" s="125">
        <f t="shared" si="105"/>
        <v>2</v>
      </c>
      <c r="AI364" s="125">
        <f t="shared" si="106"/>
        <v>2</v>
      </c>
      <c r="AJ364" s="125" t="str">
        <f t="shared" si="107"/>
        <v>Correct</v>
      </c>
      <c r="AK364" s="124"/>
      <c r="AL364" s="120" t="str">
        <f>IFERROR(VLOOKUP(Table1[RespondentID],'All Data'!$A$3:$CO$999,87,FALSE),"unknown")</f>
        <v>Woman</v>
      </c>
      <c r="AM364" s="120">
        <f>IFERROR(VLOOKUP(Table1[RespondentID],'All Data'!$A$3:$CO$999,88,FALSE),"unknown")</f>
        <v>0</v>
      </c>
      <c r="AN364" s="120" t="str">
        <f>IFERROR(VLOOKUP(Table1[RespondentID],'All Data'!$A$3:$CO$999,89,FALSE),"unknown")</f>
        <v>Suffolk</v>
      </c>
      <c r="AO364" s="120" t="str">
        <f>IFERROR(VLOOKUP(Table1[RespondentID],'All Data'!$A$3:$CO$999,90,FALSE),"unknown")</f>
        <v>Bay Shore, 11706</v>
      </c>
      <c r="AP364" s="120" t="str">
        <f>IFERROR(VLOOKUP(Table1[RespondentID],'All Data'!$A$3:$CO$999,91,FALSE),"unknown")</f>
        <v>White</v>
      </c>
      <c r="AQ364" s="120" t="str">
        <f>IFERROR(VLOOKUP(Table1[RespondentID],'All Data'!$A$3:$CO$999,92,FALSE),"unknown")</f>
        <v>Not Hispanic or Latino</v>
      </c>
      <c r="AR364" s="120" t="str">
        <f>IFERROR(VLOOKUP(Table1[RespondentID],'All Data'!$A$3:$CO$999,93,FALSE),"unknown")</f>
        <v>English</v>
      </c>
      <c r="AS364" s="120" t="str">
        <f>IFERROR(VLOOKUP(Table1[RespondentID],'All Data'!$A$3:$CW$999,94,FALSE),"unknown")</f>
        <v>Over $125,000</v>
      </c>
      <c r="AT364" s="120" t="str">
        <f>IFERROR(VLOOKUP(Table1[RespondentID],'All Data'!$A$3:$CW$999,95,FALSE),"unknown")</f>
        <v>College graduate</v>
      </c>
      <c r="AU364" s="120" t="str">
        <f>IFERROR(VLOOKUP(Table1[RespondentID],'All Data'!$A$3:$CW$999,96,FALSE),"unknown")</f>
        <v>Employed for wages</v>
      </c>
      <c r="AV364" s="120" t="str">
        <f>IFERROR(VLOOKUP(Table1[RespondentID],'All Data'!$A$3:$CW$999,97,FALSE),"unknown")</f>
        <v>Yes</v>
      </c>
      <c r="AW364" s="120" t="str">
        <f>IFERROR(VLOOKUP(Table1[RespondentID],'All Data'!$A$3:$CW$999,98,FALSE),"unknown")</f>
        <v>Private/Commercial</v>
      </c>
      <c r="AX364" s="120" t="str">
        <f>IFERROR(VLOOKUP(Table1[RespondentID],'All Data'!$A$3:$CW$999,99,FALSE),"unknown")</f>
        <v>Yes</v>
      </c>
    </row>
    <row r="365" spans="1:50">
      <c r="A365" s="124">
        <v>114097326158</v>
      </c>
      <c r="B365" s="122"/>
      <c r="C365" s="123"/>
      <c r="D365" s="123"/>
      <c r="E365" s="123"/>
      <c r="F365" s="123" t="s">
        <v>20</v>
      </c>
      <c r="G365" s="123"/>
      <c r="H365" s="123"/>
      <c r="I365" s="123"/>
      <c r="J365" s="123"/>
      <c r="K365" s="123"/>
      <c r="L365" s="123" t="s">
        <v>26</v>
      </c>
      <c r="M365" s="123"/>
      <c r="N365" s="123"/>
      <c r="O365" s="124"/>
      <c r="P365" s="125">
        <f t="shared" si="90"/>
        <v>2</v>
      </c>
      <c r="Q365" s="126">
        <f t="shared" si="91"/>
        <v>1.5</v>
      </c>
      <c r="R365" s="124"/>
      <c r="S365" s="125">
        <f t="shared" si="92"/>
        <v>0</v>
      </c>
      <c r="T365" s="125">
        <f t="shared" si="93"/>
        <v>0</v>
      </c>
      <c r="U365" s="125">
        <f t="shared" si="94"/>
        <v>0</v>
      </c>
      <c r="V365" s="127">
        <f t="shared" si="95"/>
        <v>0</v>
      </c>
      <c r="W365" s="127">
        <f t="shared" si="96"/>
        <v>1</v>
      </c>
      <c r="X365" s="127">
        <f t="shared" si="97"/>
        <v>0</v>
      </c>
      <c r="Y365" s="127">
        <f t="shared" si="98"/>
        <v>0</v>
      </c>
      <c r="Z365" s="127">
        <f t="shared" si="99"/>
        <v>0</v>
      </c>
      <c r="AA365" s="127">
        <f t="shared" si="100"/>
        <v>0</v>
      </c>
      <c r="AB365" s="127">
        <f t="shared" si="101"/>
        <v>0</v>
      </c>
      <c r="AC365" s="127">
        <f t="shared" si="102"/>
        <v>1</v>
      </c>
      <c r="AD365" s="127">
        <f t="shared" si="103"/>
        <v>0</v>
      </c>
      <c r="AE365" s="127">
        <f t="shared" si="104"/>
        <v>0</v>
      </c>
      <c r="AF365" s="124"/>
      <c r="AG365" s="124"/>
      <c r="AH365" s="125">
        <f t="shared" si="105"/>
        <v>2</v>
      </c>
      <c r="AI365" s="125">
        <f t="shared" si="106"/>
        <v>2</v>
      </c>
      <c r="AJ365" s="125" t="str">
        <f t="shared" si="107"/>
        <v>Correct</v>
      </c>
      <c r="AK365" s="124"/>
      <c r="AL365" s="120" t="str">
        <f>IFERROR(VLOOKUP(Table1[RespondentID],'All Data'!$A$3:$CO$999,87,FALSE),"unknown")</f>
        <v>Woman</v>
      </c>
      <c r="AM365" s="120">
        <f>IFERROR(VLOOKUP(Table1[RespondentID],'All Data'!$A$3:$CO$999,88,FALSE),"unknown")</f>
        <v>0</v>
      </c>
      <c r="AN365" s="120" t="str">
        <f>IFERROR(VLOOKUP(Table1[RespondentID],'All Data'!$A$3:$CO$999,89,FALSE),"unknown")</f>
        <v>Nassau</v>
      </c>
      <c r="AO365" s="120" t="str">
        <f>IFERROR(VLOOKUP(Table1[RespondentID],'All Data'!$A$3:$CO$999,90,FALSE),"unknown")</f>
        <v>Alden Manor, 11003</v>
      </c>
      <c r="AP365" s="120" t="str">
        <f>IFERROR(VLOOKUP(Table1[RespondentID],'All Data'!$A$3:$CO$999,91,FALSE),"unknown")</f>
        <v>American Indian and Alaska Native</v>
      </c>
      <c r="AQ365" s="120" t="str">
        <f>IFERROR(VLOOKUP(Table1[RespondentID],'All Data'!$A$3:$CO$999,92,FALSE),"unknown")</f>
        <v>Not Hispanic or Latino</v>
      </c>
      <c r="AR365" s="120" t="str">
        <f>IFERROR(VLOOKUP(Table1[RespondentID],'All Data'!$A$3:$CO$999,93,FALSE),"unknown")</f>
        <v>English</v>
      </c>
      <c r="AS365" s="120" t="str">
        <f>IFERROR(VLOOKUP(Table1[RespondentID],'All Data'!$A$3:$CW$999,94,FALSE),"unknown")</f>
        <v>$75,000 to $125,000</v>
      </c>
      <c r="AT365" s="120" t="str">
        <f>IFERROR(VLOOKUP(Table1[RespondentID],'All Data'!$A$3:$CW$999,95,FALSE),"unknown")</f>
        <v>Technical school</v>
      </c>
      <c r="AU365" s="120" t="str">
        <f>IFERROR(VLOOKUP(Table1[RespondentID],'All Data'!$A$3:$CW$999,96,FALSE),"unknown")</f>
        <v>Employed for wages</v>
      </c>
      <c r="AV365" s="120">
        <f>IFERROR(VLOOKUP(Table1[RespondentID],'All Data'!$A$3:$CW$999,97,FALSE),"unknown")</f>
        <v>0</v>
      </c>
      <c r="AW365" s="120" t="str">
        <f>IFERROR(VLOOKUP(Table1[RespondentID],'All Data'!$A$3:$CW$999,98,FALSE),"unknown")</f>
        <v>Medicaid</v>
      </c>
      <c r="AX365" s="120" t="str">
        <f>IFERROR(VLOOKUP(Table1[RespondentID],'All Data'!$A$3:$CW$999,99,FALSE),"unknown")</f>
        <v>Yes</v>
      </c>
    </row>
    <row r="366" spans="1:50">
      <c r="A366" s="124">
        <v>114097224144</v>
      </c>
      <c r="B366" s="122"/>
      <c r="C366" s="123" t="s">
        <v>17</v>
      </c>
      <c r="D366" s="123" t="s">
        <v>18</v>
      </c>
      <c r="E366" s="123"/>
      <c r="F366" s="123"/>
      <c r="G366" s="123"/>
      <c r="H366" s="123"/>
      <c r="I366" s="123"/>
      <c r="J366" s="123"/>
      <c r="K366" s="123"/>
      <c r="L366" s="123"/>
      <c r="M366" s="123"/>
      <c r="N366" s="123" t="s">
        <v>28</v>
      </c>
      <c r="O366" s="124"/>
      <c r="P366" s="125">
        <f t="shared" si="90"/>
        <v>3</v>
      </c>
      <c r="Q366" s="126">
        <f t="shared" si="91"/>
        <v>1</v>
      </c>
      <c r="R366" s="124"/>
      <c r="S366" s="125">
        <f t="shared" si="92"/>
        <v>0</v>
      </c>
      <c r="T366" s="125">
        <f t="shared" si="93"/>
        <v>1</v>
      </c>
      <c r="U366" s="125">
        <f t="shared" si="94"/>
        <v>1</v>
      </c>
      <c r="V366" s="127">
        <f t="shared" si="95"/>
        <v>0</v>
      </c>
      <c r="W366" s="127">
        <f t="shared" si="96"/>
        <v>0</v>
      </c>
      <c r="X366" s="127">
        <f t="shared" si="97"/>
        <v>0</v>
      </c>
      <c r="Y366" s="127">
        <f t="shared" si="98"/>
        <v>0</v>
      </c>
      <c r="Z366" s="127">
        <f t="shared" si="99"/>
        <v>0</v>
      </c>
      <c r="AA366" s="127">
        <f t="shared" si="100"/>
        <v>0</v>
      </c>
      <c r="AB366" s="127">
        <f t="shared" si="101"/>
        <v>0</v>
      </c>
      <c r="AC366" s="127">
        <f t="shared" si="102"/>
        <v>0</v>
      </c>
      <c r="AD366" s="127">
        <f t="shared" si="103"/>
        <v>0</v>
      </c>
      <c r="AE366" s="127">
        <f t="shared" si="104"/>
        <v>1</v>
      </c>
      <c r="AF366" s="124"/>
      <c r="AG366" s="124"/>
      <c r="AH366" s="125">
        <f t="shared" si="105"/>
        <v>3</v>
      </c>
      <c r="AI366" s="125">
        <f t="shared" si="106"/>
        <v>3</v>
      </c>
      <c r="AJ366" s="125" t="str">
        <f t="shared" si="107"/>
        <v>Correct</v>
      </c>
      <c r="AK366" s="124"/>
      <c r="AL366" s="120" t="str">
        <f>IFERROR(VLOOKUP(Table1[RespondentID],'All Data'!$A$3:$CO$999,87,FALSE),"unknown")</f>
        <v>Woman</v>
      </c>
      <c r="AM366" s="120">
        <f>IFERROR(VLOOKUP(Table1[RespondentID],'All Data'!$A$3:$CO$999,88,FALSE),"unknown")</f>
        <v>0</v>
      </c>
      <c r="AN366" s="120" t="str">
        <f>IFERROR(VLOOKUP(Table1[RespondentID],'All Data'!$A$3:$CO$999,89,FALSE),"unknown")</f>
        <v>Suffolk</v>
      </c>
      <c r="AO366" s="120" t="str">
        <f>IFERROR(VLOOKUP(Table1[RespondentID],'All Data'!$A$3:$CO$999,90,FALSE),"unknown")</f>
        <v>West Islip, 11795</v>
      </c>
      <c r="AP366" s="120" t="str">
        <f>IFERROR(VLOOKUP(Table1[RespondentID],'All Data'!$A$3:$CO$999,91,FALSE),"unknown")</f>
        <v>White</v>
      </c>
      <c r="AQ366" s="120" t="str">
        <f>IFERROR(VLOOKUP(Table1[RespondentID],'All Data'!$A$3:$CO$999,92,FALSE),"unknown")</f>
        <v>Not Hispanic or Latino</v>
      </c>
      <c r="AR366" s="120" t="str">
        <f>IFERROR(VLOOKUP(Table1[RespondentID],'All Data'!$A$3:$CO$999,93,FALSE),"unknown")</f>
        <v>English</v>
      </c>
      <c r="AS366" s="120" t="str">
        <f>IFERROR(VLOOKUP(Table1[RespondentID],'All Data'!$A$3:$CW$999,94,FALSE),"unknown")</f>
        <v>$75,000 to $125,000</v>
      </c>
      <c r="AT366" s="120" t="str">
        <f>IFERROR(VLOOKUP(Table1[RespondentID],'All Data'!$A$3:$CW$999,95,FALSE),"unknown")</f>
        <v>High school graduate</v>
      </c>
      <c r="AU366" s="120" t="str">
        <f>IFERROR(VLOOKUP(Table1[RespondentID],'All Data'!$A$3:$CW$999,96,FALSE),"unknown")</f>
        <v>Retired</v>
      </c>
      <c r="AV366" s="120" t="str">
        <f>IFERROR(VLOOKUP(Table1[RespondentID],'All Data'!$A$3:$CW$999,97,FALSE),"unknown")</f>
        <v>Yes</v>
      </c>
      <c r="AW366" s="120" t="str">
        <f>IFERROR(VLOOKUP(Table1[RespondentID],'All Data'!$A$3:$CW$999,98,FALSE),"unknown")</f>
        <v>Medicare,Private/Commercial</v>
      </c>
      <c r="AX366" s="120" t="str">
        <f>IFERROR(VLOOKUP(Table1[RespondentID],'All Data'!$A$3:$CW$999,99,FALSE),"unknown")</f>
        <v>Yes</v>
      </c>
    </row>
    <row r="367" spans="1:50">
      <c r="A367" s="124">
        <v>114097096005</v>
      </c>
      <c r="B367" s="122"/>
      <c r="C367" s="123" t="s">
        <v>17</v>
      </c>
      <c r="D367" s="123"/>
      <c r="E367" s="123"/>
      <c r="F367" s="123"/>
      <c r="G367" s="123" t="s">
        <v>21</v>
      </c>
      <c r="H367" s="123"/>
      <c r="I367" s="123"/>
      <c r="J367" s="123"/>
      <c r="K367" s="123"/>
      <c r="L367" s="123"/>
      <c r="M367" s="123"/>
      <c r="N367" s="123"/>
      <c r="O367" s="124"/>
      <c r="P367" s="125">
        <f t="shared" si="90"/>
        <v>2</v>
      </c>
      <c r="Q367" s="126">
        <f t="shared" si="91"/>
        <v>1.5</v>
      </c>
      <c r="R367" s="124"/>
      <c r="S367" s="125">
        <f t="shared" si="92"/>
        <v>0</v>
      </c>
      <c r="T367" s="125">
        <f t="shared" si="93"/>
        <v>1</v>
      </c>
      <c r="U367" s="125">
        <f t="shared" si="94"/>
        <v>0</v>
      </c>
      <c r="V367" s="127">
        <f t="shared" si="95"/>
        <v>0</v>
      </c>
      <c r="W367" s="127">
        <f t="shared" si="96"/>
        <v>0</v>
      </c>
      <c r="X367" s="127">
        <f t="shared" si="97"/>
        <v>1</v>
      </c>
      <c r="Y367" s="127">
        <f t="shared" si="98"/>
        <v>0</v>
      </c>
      <c r="Z367" s="127">
        <f t="shared" si="99"/>
        <v>0</v>
      </c>
      <c r="AA367" s="127">
        <f t="shared" si="100"/>
        <v>0</v>
      </c>
      <c r="AB367" s="127">
        <f t="shared" si="101"/>
        <v>0</v>
      </c>
      <c r="AC367" s="127">
        <f t="shared" si="102"/>
        <v>0</v>
      </c>
      <c r="AD367" s="127">
        <f t="shared" si="103"/>
        <v>0</v>
      </c>
      <c r="AE367" s="127">
        <f t="shared" si="104"/>
        <v>0</v>
      </c>
      <c r="AF367" s="124"/>
      <c r="AG367" s="124"/>
      <c r="AH367" s="125">
        <f t="shared" si="105"/>
        <v>2</v>
      </c>
      <c r="AI367" s="125">
        <f t="shared" si="106"/>
        <v>2</v>
      </c>
      <c r="AJ367" s="125" t="str">
        <f t="shared" si="107"/>
        <v>Correct</v>
      </c>
      <c r="AK367" s="124"/>
      <c r="AL367" s="120" t="str">
        <f>IFERROR(VLOOKUP(Table1[RespondentID],'All Data'!$A$3:$CO$999,87,FALSE),"unknown")</f>
        <v>Man</v>
      </c>
      <c r="AM367" s="120">
        <f>IFERROR(VLOOKUP(Table1[RespondentID],'All Data'!$A$3:$CO$999,88,FALSE),"unknown")</f>
        <v>0</v>
      </c>
      <c r="AN367" s="120" t="str">
        <f>IFERROR(VLOOKUP(Table1[RespondentID],'All Data'!$A$3:$CO$999,89,FALSE),"unknown")</f>
        <v>Suffolk</v>
      </c>
      <c r="AO367" s="120" t="str">
        <f>IFERROR(VLOOKUP(Table1[RespondentID],'All Data'!$A$3:$CO$999,90,FALSE),"unknown")</f>
        <v>Lindenhurst, 11757</v>
      </c>
      <c r="AP367" s="120" t="str">
        <f>IFERROR(VLOOKUP(Table1[RespondentID],'All Data'!$A$3:$CO$999,91,FALSE),"unknown")</f>
        <v>White</v>
      </c>
      <c r="AQ367" s="120" t="str">
        <f>IFERROR(VLOOKUP(Table1[RespondentID],'All Data'!$A$3:$CO$999,92,FALSE),"unknown")</f>
        <v>Not Hispanic or Latino</v>
      </c>
      <c r="AR367" s="120" t="str">
        <f>IFERROR(VLOOKUP(Table1[RespondentID],'All Data'!$A$3:$CO$999,93,FALSE),"unknown")</f>
        <v>English</v>
      </c>
      <c r="AS367" s="120" t="str">
        <f>IFERROR(VLOOKUP(Table1[RespondentID],'All Data'!$A$3:$CW$999,94,FALSE),"unknown")</f>
        <v>Over $125,000</v>
      </c>
      <c r="AT367" s="120" t="str">
        <f>IFERROR(VLOOKUP(Table1[RespondentID],'All Data'!$A$3:$CW$999,95,FALSE),"unknown")</f>
        <v>College graduate</v>
      </c>
      <c r="AU367" s="120" t="str">
        <f>IFERROR(VLOOKUP(Table1[RespondentID],'All Data'!$A$3:$CW$999,96,FALSE),"unknown")</f>
        <v>Retired</v>
      </c>
      <c r="AV367" s="120" t="str">
        <f>IFERROR(VLOOKUP(Table1[RespondentID],'All Data'!$A$3:$CW$999,97,FALSE),"unknown")</f>
        <v>Yes</v>
      </c>
      <c r="AW367" s="120" t="str">
        <f>IFERROR(VLOOKUP(Table1[RespondentID],'All Data'!$A$3:$CW$999,98,FALSE),"unknown")</f>
        <v>Medicare,Private/Commercial</v>
      </c>
      <c r="AX367" s="120" t="str">
        <f>IFERROR(VLOOKUP(Table1[RespondentID],'All Data'!$A$3:$CW$999,99,FALSE),"unknown")</f>
        <v>Yes</v>
      </c>
    </row>
    <row r="368" spans="1:50">
      <c r="A368" s="124">
        <v>114097086259</v>
      </c>
      <c r="B368" s="122" t="s">
        <v>16</v>
      </c>
      <c r="C368" s="123"/>
      <c r="D368" s="123"/>
      <c r="E368" s="123"/>
      <c r="F368" s="123"/>
      <c r="G368" s="123"/>
      <c r="H368" s="123"/>
      <c r="I368" s="123"/>
      <c r="J368" s="123" t="s">
        <v>24</v>
      </c>
      <c r="K368" s="123"/>
      <c r="L368" s="123"/>
      <c r="M368" s="123"/>
      <c r="N368" s="123" t="s">
        <v>28</v>
      </c>
      <c r="O368" s="124"/>
      <c r="P368" s="125">
        <f t="shared" si="90"/>
        <v>3</v>
      </c>
      <c r="Q368" s="126">
        <f t="shared" si="91"/>
        <v>1</v>
      </c>
      <c r="R368" s="124"/>
      <c r="S368" s="125">
        <f t="shared" si="92"/>
        <v>1</v>
      </c>
      <c r="T368" s="125">
        <f t="shared" si="93"/>
        <v>0</v>
      </c>
      <c r="U368" s="125">
        <f t="shared" si="94"/>
        <v>0</v>
      </c>
      <c r="V368" s="127">
        <f t="shared" si="95"/>
        <v>0</v>
      </c>
      <c r="W368" s="127">
        <f t="shared" si="96"/>
        <v>0</v>
      </c>
      <c r="X368" s="127">
        <f t="shared" si="97"/>
        <v>0</v>
      </c>
      <c r="Y368" s="127">
        <f t="shared" si="98"/>
        <v>0</v>
      </c>
      <c r="Z368" s="127">
        <f t="shared" si="99"/>
        <v>0</v>
      </c>
      <c r="AA368" s="127">
        <f t="shared" si="100"/>
        <v>1</v>
      </c>
      <c r="AB368" s="127">
        <f t="shared" si="101"/>
        <v>0</v>
      </c>
      <c r="AC368" s="127">
        <f t="shared" si="102"/>
        <v>0</v>
      </c>
      <c r="AD368" s="127">
        <f t="shared" si="103"/>
        <v>0</v>
      </c>
      <c r="AE368" s="127">
        <f t="shared" si="104"/>
        <v>1</v>
      </c>
      <c r="AF368" s="124"/>
      <c r="AG368" s="124"/>
      <c r="AH368" s="125">
        <f t="shared" si="105"/>
        <v>3</v>
      </c>
      <c r="AI368" s="125">
        <f t="shared" si="106"/>
        <v>3</v>
      </c>
      <c r="AJ368" s="125" t="str">
        <f t="shared" si="107"/>
        <v>Correct</v>
      </c>
      <c r="AK368" s="124"/>
      <c r="AL368" s="120" t="str">
        <f>IFERROR(VLOOKUP(Table1[RespondentID],'All Data'!$A$3:$CO$999,87,FALSE),"unknown")</f>
        <v>Woman</v>
      </c>
      <c r="AM368" s="120">
        <f>IFERROR(VLOOKUP(Table1[RespondentID],'All Data'!$A$3:$CO$999,88,FALSE),"unknown")</f>
        <v>0</v>
      </c>
      <c r="AN368" s="120" t="str">
        <f>IFERROR(VLOOKUP(Table1[RespondentID],'All Data'!$A$3:$CO$999,89,FALSE),"unknown")</f>
        <v>Nassau</v>
      </c>
      <c r="AO368" s="120" t="str">
        <f>IFERROR(VLOOKUP(Table1[RespondentID],'All Data'!$A$3:$CO$999,90,FALSE),"unknown")</f>
        <v>Farmingdale, 11735</v>
      </c>
      <c r="AP368" s="120" t="str">
        <f>IFERROR(VLOOKUP(Table1[RespondentID],'All Data'!$A$3:$CO$999,91,FALSE),"unknown")</f>
        <v>White</v>
      </c>
      <c r="AQ368" s="120" t="str">
        <f>IFERROR(VLOOKUP(Table1[RespondentID],'All Data'!$A$3:$CO$999,92,FALSE),"unknown")</f>
        <v>Not Hispanic or Latino</v>
      </c>
      <c r="AR368" s="120" t="str">
        <f>IFERROR(VLOOKUP(Table1[RespondentID],'All Data'!$A$3:$CO$999,93,FALSE),"unknown")</f>
        <v>English</v>
      </c>
      <c r="AS368" s="120" t="str">
        <f>IFERROR(VLOOKUP(Table1[RespondentID],'All Data'!$A$3:$CW$999,94,FALSE),"unknown")</f>
        <v>$50,000 to $74,999</v>
      </c>
      <c r="AT368" s="120" t="str">
        <f>IFERROR(VLOOKUP(Table1[RespondentID],'All Data'!$A$3:$CW$999,95,FALSE),"unknown")</f>
        <v>Some college</v>
      </c>
      <c r="AU368" s="120" t="str">
        <f>IFERROR(VLOOKUP(Table1[RespondentID],'All Data'!$A$3:$CW$999,96,FALSE),"unknown")</f>
        <v>Employed for wages</v>
      </c>
      <c r="AV368" s="120" t="str">
        <f>IFERROR(VLOOKUP(Table1[RespondentID],'All Data'!$A$3:$CW$999,97,FALSE),"unknown")</f>
        <v>Yes</v>
      </c>
      <c r="AW368" s="120" t="str">
        <f>IFERROR(VLOOKUP(Table1[RespondentID],'All Data'!$A$3:$CW$999,98,FALSE),"unknown")</f>
        <v>Medicare,Private/Commercial</v>
      </c>
      <c r="AX368" s="120" t="str">
        <f>IFERROR(VLOOKUP(Table1[RespondentID],'All Data'!$A$3:$CW$999,99,FALSE),"unknown")</f>
        <v>Yes</v>
      </c>
    </row>
    <row r="369" spans="1:50">
      <c r="A369" s="124">
        <v>114096895942</v>
      </c>
      <c r="B369" s="122" t="s">
        <v>16</v>
      </c>
      <c r="C369" s="123"/>
      <c r="D369" s="123"/>
      <c r="E369" s="123"/>
      <c r="F369" s="123"/>
      <c r="G369" s="123"/>
      <c r="H369" s="123"/>
      <c r="I369" s="123" t="s">
        <v>23</v>
      </c>
      <c r="J369" s="123"/>
      <c r="K369" s="123"/>
      <c r="L369" s="123"/>
      <c r="M369" s="123"/>
      <c r="N369" s="123" t="s">
        <v>28</v>
      </c>
      <c r="O369" s="124"/>
      <c r="P369" s="125">
        <f t="shared" si="90"/>
        <v>3</v>
      </c>
      <c r="Q369" s="126">
        <f t="shared" si="91"/>
        <v>1</v>
      </c>
      <c r="R369" s="124"/>
      <c r="S369" s="125">
        <f t="shared" si="92"/>
        <v>1</v>
      </c>
      <c r="T369" s="125">
        <f t="shared" si="93"/>
        <v>0</v>
      </c>
      <c r="U369" s="125">
        <f t="shared" si="94"/>
        <v>0</v>
      </c>
      <c r="V369" s="127">
        <f t="shared" si="95"/>
        <v>0</v>
      </c>
      <c r="W369" s="127">
        <f t="shared" si="96"/>
        <v>0</v>
      </c>
      <c r="X369" s="127">
        <f t="shared" si="97"/>
        <v>0</v>
      </c>
      <c r="Y369" s="127">
        <f t="shared" si="98"/>
        <v>0</v>
      </c>
      <c r="Z369" s="127">
        <f t="shared" si="99"/>
        <v>1</v>
      </c>
      <c r="AA369" s="127">
        <f t="shared" si="100"/>
        <v>0</v>
      </c>
      <c r="AB369" s="127">
        <f t="shared" si="101"/>
        <v>0</v>
      </c>
      <c r="AC369" s="127">
        <f t="shared" si="102"/>
        <v>0</v>
      </c>
      <c r="AD369" s="127">
        <f t="shared" si="103"/>
        <v>0</v>
      </c>
      <c r="AE369" s="127">
        <f t="shared" si="104"/>
        <v>1</v>
      </c>
      <c r="AF369" s="124"/>
      <c r="AG369" s="124"/>
      <c r="AH369" s="125">
        <f t="shared" si="105"/>
        <v>3</v>
      </c>
      <c r="AI369" s="125">
        <f t="shared" si="106"/>
        <v>3</v>
      </c>
      <c r="AJ369" s="125" t="str">
        <f t="shared" si="107"/>
        <v>Correct</v>
      </c>
      <c r="AK369" s="124"/>
      <c r="AL369" s="120" t="str">
        <f>IFERROR(VLOOKUP(Table1[RespondentID],'All Data'!$A$3:$CO$999,87,FALSE),"unknown")</f>
        <v>Woman</v>
      </c>
      <c r="AM369" s="120">
        <f>IFERROR(VLOOKUP(Table1[RespondentID],'All Data'!$A$3:$CO$999,88,FALSE),"unknown")</f>
        <v>0</v>
      </c>
      <c r="AN369" s="120" t="str">
        <f>IFERROR(VLOOKUP(Table1[RespondentID],'All Data'!$A$3:$CO$999,89,FALSE),"unknown")</f>
        <v>Suffolk</v>
      </c>
      <c r="AO369" s="120" t="str">
        <f>IFERROR(VLOOKUP(Table1[RespondentID],'All Data'!$A$3:$CO$999,90,FALSE),"unknown")</f>
        <v>North Babylon, 11703</v>
      </c>
      <c r="AP369" s="120" t="str">
        <f>IFERROR(VLOOKUP(Table1[RespondentID],'All Data'!$A$3:$CO$999,91,FALSE),"unknown")</f>
        <v>White</v>
      </c>
      <c r="AQ369" s="120" t="str">
        <f>IFERROR(VLOOKUP(Table1[RespondentID],'All Data'!$A$3:$CO$999,92,FALSE),"unknown")</f>
        <v>Not Hispanic or Latino</v>
      </c>
      <c r="AR369" s="120" t="str">
        <f>IFERROR(VLOOKUP(Table1[RespondentID],'All Data'!$A$3:$CO$999,93,FALSE),"unknown")</f>
        <v>English</v>
      </c>
      <c r="AS369" s="120" t="str">
        <f>IFERROR(VLOOKUP(Table1[RespondentID],'All Data'!$A$3:$CW$999,94,FALSE),"unknown")</f>
        <v>$35,000 to $49,999</v>
      </c>
      <c r="AT369" s="120" t="str">
        <f>IFERROR(VLOOKUP(Table1[RespondentID],'All Data'!$A$3:$CW$999,95,FALSE),"unknown")</f>
        <v>Some college</v>
      </c>
      <c r="AU369" s="120" t="str">
        <f>IFERROR(VLOOKUP(Table1[RespondentID],'All Data'!$A$3:$CW$999,96,FALSE),"unknown")</f>
        <v>Employed for wages</v>
      </c>
      <c r="AV369" s="120" t="str">
        <f>IFERROR(VLOOKUP(Table1[RespondentID],'All Data'!$A$3:$CW$999,97,FALSE),"unknown")</f>
        <v>Yes</v>
      </c>
      <c r="AW369" s="120" t="str">
        <f>IFERROR(VLOOKUP(Table1[RespondentID],'All Data'!$A$3:$CW$999,98,FALSE),"unknown")</f>
        <v>Private/Commercial</v>
      </c>
      <c r="AX369" s="120" t="str">
        <f>IFERROR(VLOOKUP(Table1[RespondentID],'All Data'!$A$3:$CW$999,99,FALSE),"unknown")</f>
        <v>Yes</v>
      </c>
    </row>
    <row r="370" spans="1:50">
      <c r="A370" s="124">
        <v>114096869874</v>
      </c>
      <c r="B370" s="122"/>
      <c r="C370" s="123" t="s">
        <v>17</v>
      </c>
      <c r="D370" s="123" t="s">
        <v>18</v>
      </c>
      <c r="E370" s="123"/>
      <c r="F370" s="123"/>
      <c r="G370" s="123"/>
      <c r="H370" s="123"/>
      <c r="I370" s="123" t="s">
        <v>23</v>
      </c>
      <c r="J370" s="123"/>
      <c r="K370" s="123"/>
      <c r="L370" s="123"/>
      <c r="M370" s="123"/>
      <c r="N370" s="123"/>
      <c r="O370" s="124"/>
      <c r="P370" s="125">
        <f t="shared" si="90"/>
        <v>3</v>
      </c>
      <c r="Q370" s="126">
        <f t="shared" si="91"/>
        <v>1</v>
      </c>
      <c r="R370" s="124"/>
      <c r="S370" s="125">
        <f t="shared" si="92"/>
        <v>0</v>
      </c>
      <c r="T370" s="125">
        <f t="shared" si="93"/>
        <v>1</v>
      </c>
      <c r="U370" s="125">
        <f t="shared" si="94"/>
        <v>1</v>
      </c>
      <c r="V370" s="127">
        <f t="shared" si="95"/>
        <v>0</v>
      </c>
      <c r="W370" s="127">
        <f t="shared" si="96"/>
        <v>0</v>
      </c>
      <c r="X370" s="127">
        <f t="shared" si="97"/>
        <v>0</v>
      </c>
      <c r="Y370" s="127">
        <f t="shared" si="98"/>
        <v>0</v>
      </c>
      <c r="Z370" s="127">
        <f t="shared" si="99"/>
        <v>1</v>
      </c>
      <c r="AA370" s="127">
        <f t="shared" si="100"/>
        <v>0</v>
      </c>
      <c r="AB370" s="127">
        <f t="shared" si="101"/>
        <v>0</v>
      </c>
      <c r="AC370" s="127">
        <f t="shared" si="102"/>
        <v>0</v>
      </c>
      <c r="AD370" s="127">
        <f t="shared" si="103"/>
        <v>0</v>
      </c>
      <c r="AE370" s="127">
        <f t="shared" si="104"/>
        <v>0</v>
      </c>
      <c r="AF370" s="124"/>
      <c r="AG370" s="124"/>
      <c r="AH370" s="125">
        <f t="shared" si="105"/>
        <v>3</v>
      </c>
      <c r="AI370" s="125">
        <f t="shared" si="106"/>
        <v>3</v>
      </c>
      <c r="AJ370" s="125" t="str">
        <f t="shared" si="107"/>
        <v>Correct</v>
      </c>
      <c r="AK370" s="124"/>
      <c r="AL370" s="120" t="str">
        <f>IFERROR(VLOOKUP(Table1[RespondentID],'All Data'!$A$3:$CO$999,87,FALSE),"unknown")</f>
        <v>Woman</v>
      </c>
      <c r="AM370" s="120">
        <f>IFERROR(VLOOKUP(Table1[RespondentID],'All Data'!$A$3:$CO$999,88,FALSE),"unknown")</f>
        <v>0</v>
      </c>
      <c r="AN370" s="120" t="str">
        <f>IFERROR(VLOOKUP(Table1[RespondentID],'All Data'!$A$3:$CO$999,89,FALSE),"unknown")</f>
        <v>Nassau</v>
      </c>
      <c r="AO370" s="120" t="str">
        <f>IFERROR(VLOOKUP(Table1[RespondentID],'All Data'!$A$3:$CO$999,90,FALSE),"unknown")</f>
        <v>Bellmore, 11710</v>
      </c>
      <c r="AP370" s="120" t="str">
        <f>IFERROR(VLOOKUP(Table1[RespondentID],'All Data'!$A$3:$CO$999,91,FALSE),"unknown")</f>
        <v>White</v>
      </c>
      <c r="AQ370" s="120" t="str">
        <f>IFERROR(VLOOKUP(Table1[RespondentID],'All Data'!$A$3:$CO$999,92,FALSE),"unknown")</f>
        <v>Not Hispanic or Latino</v>
      </c>
      <c r="AR370" s="120" t="str">
        <f>IFERROR(VLOOKUP(Table1[RespondentID],'All Data'!$A$3:$CO$999,93,FALSE),"unknown")</f>
        <v>English</v>
      </c>
      <c r="AS370" s="120" t="str">
        <f>IFERROR(VLOOKUP(Table1[RespondentID],'All Data'!$A$3:$CW$999,94,FALSE),"unknown")</f>
        <v>Over $125,000</v>
      </c>
      <c r="AT370" s="120" t="str">
        <f>IFERROR(VLOOKUP(Table1[RespondentID],'All Data'!$A$3:$CW$999,95,FALSE),"unknown")</f>
        <v>College graduate</v>
      </c>
      <c r="AU370" s="120" t="str">
        <f>IFERROR(VLOOKUP(Table1[RespondentID],'All Data'!$A$3:$CW$999,96,FALSE),"unknown")</f>
        <v>Employed for wages</v>
      </c>
      <c r="AV370" s="120" t="str">
        <f>IFERROR(VLOOKUP(Table1[RespondentID],'All Data'!$A$3:$CW$999,97,FALSE),"unknown")</f>
        <v>Yes</v>
      </c>
      <c r="AW370" s="120" t="str">
        <f>IFERROR(VLOOKUP(Table1[RespondentID],'All Data'!$A$3:$CW$999,98,FALSE),"unknown")</f>
        <v>Private/Commercial</v>
      </c>
      <c r="AX370" s="120" t="str">
        <f>IFERROR(VLOOKUP(Table1[RespondentID],'All Data'!$A$3:$CW$999,99,FALSE),"unknown")</f>
        <v>Yes</v>
      </c>
    </row>
    <row r="371" spans="1:50">
      <c r="A371" s="124">
        <v>114096853684</v>
      </c>
      <c r="B371" s="122"/>
      <c r="C371" s="123"/>
      <c r="D371" s="123"/>
      <c r="E371" s="123"/>
      <c r="F371" s="123"/>
      <c r="G371" s="123"/>
      <c r="H371" s="123"/>
      <c r="I371" s="123" t="s">
        <v>23</v>
      </c>
      <c r="J371" s="123"/>
      <c r="K371" s="123"/>
      <c r="L371" s="123"/>
      <c r="M371" s="123"/>
      <c r="N371" s="123"/>
      <c r="O371" s="124"/>
      <c r="P371" s="125">
        <f t="shared" si="90"/>
        <v>1</v>
      </c>
      <c r="Q371" s="126">
        <f t="shared" si="91"/>
        <v>3</v>
      </c>
      <c r="R371" s="124"/>
      <c r="S371" s="125">
        <f t="shared" si="92"/>
        <v>0</v>
      </c>
      <c r="T371" s="125">
        <f t="shared" si="93"/>
        <v>0</v>
      </c>
      <c r="U371" s="125">
        <f t="shared" si="94"/>
        <v>0</v>
      </c>
      <c r="V371" s="127">
        <f t="shared" si="95"/>
        <v>0</v>
      </c>
      <c r="W371" s="127">
        <f t="shared" si="96"/>
        <v>0</v>
      </c>
      <c r="X371" s="127">
        <f t="shared" si="97"/>
        <v>0</v>
      </c>
      <c r="Y371" s="127">
        <f t="shared" si="98"/>
        <v>0</v>
      </c>
      <c r="Z371" s="127">
        <f t="shared" si="99"/>
        <v>1</v>
      </c>
      <c r="AA371" s="127">
        <f t="shared" si="100"/>
        <v>0</v>
      </c>
      <c r="AB371" s="127">
        <f t="shared" si="101"/>
        <v>0</v>
      </c>
      <c r="AC371" s="127">
        <f t="shared" si="102"/>
        <v>0</v>
      </c>
      <c r="AD371" s="127">
        <f t="shared" si="103"/>
        <v>0</v>
      </c>
      <c r="AE371" s="127">
        <f t="shared" si="104"/>
        <v>0</v>
      </c>
      <c r="AF371" s="124"/>
      <c r="AG371" s="124"/>
      <c r="AH371" s="125">
        <f t="shared" si="105"/>
        <v>1</v>
      </c>
      <c r="AI371" s="125">
        <f t="shared" si="106"/>
        <v>1</v>
      </c>
      <c r="AJ371" s="125" t="str">
        <f t="shared" si="107"/>
        <v>Correct</v>
      </c>
      <c r="AK371" s="124"/>
      <c r="AL371" s="120" t="str">
        <f>IFERROR(VLOOKUP(Table1[RespondentID],'All Data'!$A$3:$CO$999,87,FALSE),"unknown")</f>
        <v>Woman</v>
      </c>
      <c r="AM371" s="120">
        <f>IFERROR(VLOOKUP(Table1[RespondentID],'All Data'!$A$3:$CO$999,88,FALSE),"unknown")</f>
        <v>0</v>
      </c>
      <c r="AN371" s="120" t="str">
        <f>IFERROR(VLOOKUP(Table1[RespondentID],'All Data'!$A$3:$CO$999,89,FALSE),"unknown")</f>
        <v>Suffolk</v>
      </c>
      <c r="AO371" s="120" t="str">
        <f>IFERROR(VLOOKUP(Table1[RespondentID],'All Data'!$A$3:$CO$999,90,FALSE),"unknown")</f>
        <v>West Islip, 11795</v>
      </c>
      <c r="AP371" s="120" t="str">
        <f>IFERROR(VLOOKUP(Table1[RespondentID],'All Data'!$A$3:$CO$999,91,FALSE),"unknown")</f>
        <v>White</v>
      </c>
      <c r="AQ371" s="120" t="str">
        <f>IFERROR(VLOOKUP(Table1[RespondentID],'All Data'!$A$3:$CO$999,92,FALSE),"unknown")</f>
        <v>Not Hispanic or Latino</v>
      </c>
      <c r="AR371" s="120" t="str">
        <f>IFERROR(VLOOKUP(Table1[RespondentID],'All Data'!$A$3:$CO$999,93,FALSE),"unknown")</f>
        <v>English</v>
      </c>
      <c r="AS371" s="120" t="str">
        <f>IFERROR(VLOOKUP(Table1[RespondentID],'All Data'!$A$3:$CW$999,94,FALSE),"unknown")</f>
        <v>$75,000 to $125,000</v>
      </c>
      <c r="AT371" s="120" t="str">
        <f>IFERROR(VLOOKUP(Table1[RespondentID],'All Data'!$A$3:$CW$999,95,FALSE),"unknown")</f>
        <v>Some college</v>
      </c>
      <c r="AU371" s="120" t="str">
        <f>IFERROR(VLOOKUP(Table1[RespondentID],'All Data'!$A$3:$CW$999,96,FALSE),"unknown")</f>
        <v>Employed for wages</v>
      </c>
      <c r="AV371" s="120" t="str">
        <f>IFERROR(VLOOKUP(Table1[RespondentID],'All Data'!$A$3:$CW$999,97,FALSE),"unknown")</f>
        <v>Yes</v>
      </c>
      <c r="AW371" s="120" t="str">
        <f>IFERROR(VLOOKUP(Table1[RespondentID],'All Data'!$A$3:$CW$999,98,FALSE),"unknown")</f>
        <v>Private/Commercial</v>
      </c>
      <c r="AX371" s="120" t="str">
        <f>IFERROR(VLOOKUP(Table1[RespondentID],'All Data'!$A$3:$CW$999,99,FALSE),"unknown")</f>
        <v>Yes</v>
      </c>
    </row>
    <row r="372" spans="1:50">
      <c r="A372" s="124">
        <v>114096829794</v>
      </c>
      <c r="B372" s="122"/>
      <c r="C372" s="123"/>
      <c r="D372" s="123"/>
      <c r="E372" s="123"/>
      <c r="F372" s="123"/>
      <c r="G372" s="123"/>
      <c r="H372" s="123"/>
      <c r="I372" s="123"/>
      <c r="J372" s="123"/>
      <c r="K372" s="123"/>
      <c r="L372" s="123"/>
      <c r="M372" s="123"/>
      <c r="N372" s="123" t="s">
        <v>28</v>
      </c>
      <c r="O372" s="124"/>
      <c r="P372" s="125">
        <f t="shared" si="90"/>
        <v>1</v>
      </c>
      <c r="Q372" s="126">
        <f t="shared" si="91"/>
        <v>3</v>
      </c>
      <c r="R372" s="124"/>
      <c r="S372" s="125">
        <f t="shared" si="92"/>
        <v>0</v>
      </c>
      <c r="T372" s="125">
        <f t="shared" si="93"/>
        <v>0</v>
      </c>
      <c r="U372" s="125">
        <f t="shared" si="94"/>
        <v>0</v>
      </c>
      <c r="V372" s="127">
        <f t="shared" si="95"/>
        <v>0</v>
      </c>
      <c r="W372" s="127">
        <f t="shared" si="96"/>
        <v>0</v>
      </c>
      <c r="X372" s="127">
        <f t="shared" si="97"/>
        <v>0</v>
      </c>
      <c r="Y372" s="127">
        <f t="shared" si="98"/>
        <v>0</v>
      </c>
      <c r="Z372" s="127">
        <f t="shared" si="99"/>
        <v>0</v>
      </c>
      <c r="AA372" s="127">
        <f t="shared" si="100"/>
        <v>0</v>
      </c>
      <c r="AB372" s="127">
        <f t="shared" si="101"/>
        <v>0</v>
      </c>
      <c r="AC372" s="127">
        <f t="shared" si="102"/>
        <v>0</v>
      </c>
      <c r="AD372" s="127">
        <f t="shared" si="103"/>
        <v>0</v>
      </c>
      <c r="AE372" s="127">
        <f t="shared" si="104"/>
        <v>1</v>
      </c>
      <c r="AF372" s="124"/>
      <c r="AG372" s="124"/>
      <c r="AH372" s="125">
        <f t="shared" si="105"/>
        <v>1</v>
      </c>
      <c r="AI372" s="125">
        <f t="shared" si="106"/>
        <v>1</v>
      </c>
      <c r="AJ372" s="125" t="str">
        <f t="shared" si="107"/>
        <v>Correct</v>
      </c>
      <c r="AK372" s="124"/>
      <c r="AL372" s="120" t="str">
        <f>IFERROR(VLOOKUP(Table1[RespondentID],'All Data'!$A$3:$CO$999,87,FALSE),"unknown")</f>
        <v>Woman</v>
      </c>
      <c r="AM372" s="120">
        <f>IFERROR(VLOOKUP(Table1[RespondentID],'All Data'!$A$3:$CO$999,88,FALSE),"unknown")</f>
        <v>0</v>
      </c>
      <c r="AN372" s="120" t="str">
        <f>IFERROR(VLOOKUP(Table1[RespondentID],'All Data'!$A$3:$CO$999,89,FALSE),"unknown")</f>
        <v>Suffolk</v>
      </c>
      <c r="AO372" s="120" t="str">
        <f>IFERROR(VLOOKUP(Table1[RespondentID],'All Data'!$A$3:$CO$999,90,FALSE),"unknown")</f>
        <v>Sayville, 11782</v>
      </c>
      <c r="AP372" s="120" t="str">
        <f>IFERROR(VLOOKUP(Table1[RespondentID],'All Data'!$A$3:$CO$999,91,FALSE),"unknown")</f>
        <v>White</v>
      </c>
      <c r="AQ372" s="120" t="str">
        <f>IFERROR(VLOOKUP(Table1[RespondentID],'All Data'!$A$3:$CO$999,92,FALSE),"unknown")</f>
        <v>Not Hispanic or Latino</v>
      </c>
      <c r="AR372" s="120" t="str">
        <f>IFERROR(VLOOKUP(Table1[RespondentID],'All Data'!$A$3:$CO$999,93,FALSE),"unknown")</f>
        <v>English</v>
      </c>
      <c r="AS372" s="120" t="str">
        <f>IFERROR(VLOOKUP(Table1[RespondentID],'All Data'!$A$3:$CW$999,94,FALSE),"unknown")</f>
        <v>$50,000 to $74,999</v>
      </c>
      <c r="AT372" s="120" t="str">
        <f>IFERROR(VLOOKUP(Table1[RespondentID],'All Data'!$A$3:$CW$999,95,FALSE),"unknown")</f>
        <v>Some college</v>
      </c>
      <c r="AU372" s="120" t="str">
        <f>IFERROR(VLOOKUP(Table1[RespondentID],'All Data'!$A$3:$CW$999,96,FALSE),"unknown")</f>
        <v>Retired</v>
      </c>
      <c r="AV372" s="120" t="str">
        <f>IFERROR(VLOOKUP(Table1[RespondentID],'All Data'!$A$3:$CW$999,97,FALSE),"unknown")</f>
        <v>Yes</v>
      </c>
      <c r="AW372" s="120" t="str">
        <f>IFERROR(VLOOKUP(Table1[RespondentID],'All Data'!$A$3:$CW$999,98,FALSE),"unknown")</f>
        <v>Medicare,Private/Commercial</v>
      </c>
      <c r="AX372" s="120" t="str">
        <f>IFERROR(VLOOKUP(Table1[RespondentID],'All Data'!$A$3:$CW$999,99,FALSE),"unknown")</f>
        <v>Yes</v>
      </c>
    </row>
    <row r="373" spans="1:50">
      <c r="A373" s="124">
        <v>114096746832</v>
      </c>
      <c r="B373" s="122"/>
      <c r="C373" s="123"/>
      <c r="D373" s="123"/>
      <c r="E373" s="123" t="s">
        <v>19</v>
      </c>
      <c r="F373" s="123"/>
      <c r="G373" s="123"/>
      <c r="H373" s="123"/>
      <c r="I373" s="123"/>
      <c r="J373" s="123"/>
      <c r="K373" s="123"/>
      <c r="L373" s="123"/>
      <c r="M373" s="123"/>
      <c r="N373" s="123"/>
      <c r="O373" s="124"/>
      <c r="P373" s="125">
        <f t="shared" si="90"/>
        <v>1</v>
      </c>
      <c r="Q373" s="126">
        <f t="shared" si="91"/>
        <v>3</v>
      </c>
      <c r="R373" s="124"/>
      <c r="S373" s="125">
        <f t="shared" si="92"/>
        <v>0</v>
      </c>
      <c r="T373" s="125">
        <f t="shared" si="93"/>
        <v>0</v>
      </c>
      <c r="U373" s="125">
        <f t="shared" si="94"/>
        <v>0</v>
      </c>
      <c r="V373" s="127">
        <f t="shared" si="95"/>
        <v>1</v>
      </c>
      <c r="W373" s="127">
        <f t="shared" si="96"/>
        <v>0</v>
      </c>
      <c r="X373" s="127">
        <f t="shared" si="97"/>
        <v>0</v>
      </c>
      <c r="Y373" s="127">
        <f t="shared" si="98"/>
        <v>0</v>
      </c>
      <c r="Z373" s="127">
        <f t="shared" si="99"/>
        <v>0</v>
      </c>
      <c r="AA373" s="127">
        <f t="shared" si="100"/>
        <v>0</v>
      </c>
      <c r="AB373" s="127">
        <f t="shared" si="101"/>
        <v>0</v>
      </c>
      <c r="AC373" s="127">
        <f t="shared" si="102"/>
        <v>0</v>
      </c>
      <c r="AD373" s="127">
        <f t="shared" si="103"/>
        <v>0</v>
      </c>
      <c r="AE373" s="127">
        <f t="shared" si="104"/>
        <v>0</v>
      </c>
      <c r="AF373" s="124"/>
      <c r="AG373" s="124"/>
      <c r="AH373" s="125">
        <f t="shared" si="105"/>
        <v>1</v>
      </c>
      <c r="AI373" s="125">
        <f t="shared" si="106"/>
        <v>1</v>
      </c>
      <c r="AJ373" s="125" t="str">
        <f t="shared" si="107"/>
        <v>Correct</v>
      </c>
      <c r="AK373" s="124"/>
      <c r="AL373" s="120" t="str">
        <f>IFERROR(VLOOKUP(Table1[RespondentID],'All Data'!$A$3:$CO$999,87,FALSE),"unknown")</f>
        <v>Woman</v>
      </c>
      <c r="AM373" s="120">
        <f>IFERROR(VLOOKUP(Table1[RespondentID],'All Data'!$A$3:$CO$999,88,FALSE),"unknown")</f>
        <v>0</v>
      </c>
      <c r="AN373" s="120" t="str">
        <f>IFERROR(VLOOKUP(Table1[RespondentID],'All Data'!$A$3:$CO$999,89,FALSE),"unknown")</f>
        <v>Suffolk</v>
      </c>
      <c r="AO373" s="120" t="str">
        <f>IFERROR(VLOOKUP(Table1[RespondentID],'All Data'!$A$3:$CO$999,90,FALSE),"unknown")</f>
        <v>Babylon, 11704</v>
      </c>
      <c r="AP373" s="120" t="str">
        <f>IFERROR(VLOOKUP(Table1[RespondentID],'All Data'!$A$3:$CO$999,91,FALSE),"unknown")</f>
        <v>White</v>
      </c>
      <c r="AQ373" s="120" t="str">
        <f>IFERROR(VLOOKUP(Table1[RespondentID],'All Data'!$A$3:$CO$999,92,FALSE),"unknown")</f>
        <v>Not Hispanic or Latino</v>
      </c>
      <c r="AR373" s="120" t="str">
        <f>IFERROR(VLOOKUP(Table1[RespondentID],'All Data'!$A$3:$CO$999,93,FALSE),"unknown")</f>
        <v>English</v>
      </c>
      <c r="AS373" s="120" t="str">
        <f>IFERROR(VLOOKUP(Table1[RespondentID],'All Data'!$A$3:$CW$999,94,FALSE),"unknown")</f>
        <v>$50,000 to $74,999</v>
      </c>
      <c r="AT373" s="120" t="str">
        <f>IFERROR(VLOOKUP(Table1[RespondentID],'All Data'!$A$3:$CW$999,95,FALSE),"unknown")</f>
        <v>College graduate</v>
      </c>
      <c r="AU373" s="120" t="str">
        <f>IFERROR(VLOOKUP(Table1[RespondentID],'All Data'!$A$3:$CW$999,96,FALSE),"unknown")</f>
        <v>Employed for wages</v>
      </c>
      <c r="AV373" s="120" t="str">
        <f>IFERROR(VLOOKUP(Table1[RespondentID],'All Data'!$A$3:$CW$999,97,FALSE),"unknown")</f>
        <v>Yes</v>
      </c>
      <c r="AW373" s="120" t="str">
        <f>IFERROR(VLOOKUP(Table1[RespondentID],'All Data'!$A$3:$CW$999,98,FALSE),"unknown")</f>
        <v>Private/Commercial</v>
      </c>
      <c r="AX373" s="120" t="str">
        <f>IFERROR(VLOOKUP(Table1[RespondentID],'All Data'!$A$3:$CW$999,99,FALSE),"unknown")</f>
        <v>Yes</v>
      </c>
    </row>
    <row r="374" spans="1:50">
      <c r="A374" s="124">
        <v>114096742817</v>
      </c>
      <c r="B374" s="122"/>
      <c r="C374" s="123"/>
      <c r="D374" s="123" t="s">
        <v>18</v>
      </c>
      <c r="E374" s="123"/>
      <c r="F374" s="123"/>
      <c r="G374" s="123"/>
      <c r="H374" s="123" t="s">
        <v>22</v>
      </c>
      <c r="I374" s="123" t="s">
        <v>23</v>
      </c>
      <c r="J374" s="123"/>
      <c r="K374" s="123"/>
      <c r="L374" s="123"/>
      <c r="M374" s="123"/>
      <c r="N374" s="123"/>
      <c r="O374" s="124"/>
      <c r="P374" s="125">
        <f t="shared" si="90"/>
        <v>3</v>
      </c>
      <c r="Q374" s="126">
        <f t="shared" si="91"/>
        <v>1</v>
      </c>
      <c r="R374" s="124"/>
      <c r="S374" s="125">
        <f t="shared" si="92"/>
        <v>0</v>
      </c>
      <c r="T374" s="125">
        <f t="shared" si="93"/>
        <v>0</v>
      </c>
      <c r="U374" s="125">
        <f t="shared" si="94"/>
        <v>1</v>
      </c>
      <c r="V374" s="127">
        <f t="shared" si="95"/>
        <v>0</v>
      </c>
      <c r="W374" s="127">
        <f t="shared" si="96"/>
        <v>0</v>
      </c>
      <c r="X374" s="127">
        <f t="shared" si="97"/>
        <v>0</v>
      </c>
      <c r="Y374" s="127">
        <f t="shared" si="98"/>
        <v>1</v>
      </c>
      <c r="Z374" s="127">
        <f t="shared" si="99"/>
        <v>1</v>
      </c>
      <c r="AA374" s="127">
        <f t="shared" si="100"/>
        <v>0</v>
      </c>
      <c r="AB374" s="127">
        <f t="shared" si="101"/>
        <v>0</v>
      </c>
      <c r="AC374" s="127">
        <f t="shared" si="102"/>
        <v>0</v>
      </c>
      <c r="AD374" s="127">
        <f t="shared" si="103"/>
        <v>0</v>
      </c>
      <c r="AE374" s="127">
        <f t="shared" si="104"/>
        <v>0</v>
      </c>
      <c r="AF374" s="124"/>
      <c r="AG374" s="124"/>
      <c r="AH374" s="125">
        <f t="shared" si="105"/>
        <v>3</v>
      </c>
      <c r="AI374" s="125">
        <f t="shared" si="106"/>
        <v>3</v>
      </c>
      <c r="AJ374" s="125" t="str">
        <f t="shared" si="107"/>
        <v>Correct</v>
      </c>
      <c r="AK374" s="124"/>
      <c r="AL374" s="120" t="str">
        <f>IFERROR(VLOOKUP(Table1[RespondentID],'All Data'!$A$3:$CO$999,87,FALSE),"unknown")</f>
        <v>Woman</v>
      </c>
      <c r="AM374" s="120">
        <f>IFERROR(VLOOKUP(Table1[RespondentID],'All Data'!$A$3:$CO$999,88,FALSE),"unknown")</f>
        <v>0</v>
      </c>
      <c r="AN374" s="120" t="str">
        <f>IFERROR(VLOOKUP(Table1[RespondentID],'All Data'!$A$3:$CO$999,89,FALSE),"unknown")</f>
        <v>Suffolk</v>
      </c>
      <c r="AO374" s="120" t="str">
        <f>IFERROR(VLOOKUP(Table1[RespondentID],'All Data'!$A$3:$CO$999,90,FALSE),"unknown")</f>
        <v>Islip, 11751</v>
      </c>
      <c r="AP374" s="120" t="str">
        <f>IFERROR(VLOOKUP(Table1[RespondentID],'All Data'!$A$3:$CO$999,91,FALSE),"unknown")</f>
        <v>White</v>
      </c>
      <c r="AQ374" s="120" t="str">
        <f>IFERROR(VLOOKUP(Table1[RespondentID],'All Data'!$A$3:$CO$999,92,FALSE),"unknown")</f>
        <v>Not Hispanic or Latino</v>
      </c>
      <c r="AR374" s="120" t="str">
        <f>IFERROR(VLOOKUP(Table1[RespondentID],'All Data'!$A$3:$CO$999,93,FALSE),"unknown")</f>
        <v>English</v>
      </c>
      <c r="AS374" s="120" t="str">
        <f>IFERROR(VLOOKUP(Table1[RespondentID],'All Data'!$A$3:$CW$999,94,FALSE),"unknown")</f>
        <v>Over $125,000</v>
      </c>
      <c r="AT374" s="120" t="str">
        <f>IFERROR(VLOOKUP(Table1[RespondentID],'All Data'!$A$3:$CW$999,95,FALSE),"unknown")</f>
        <v>Graduate school</v>
      </c>
      <c r="AU374" s="120" t="str">
        <f>IFERROR(VLOOKUP(Table1[RespondentID],'All Data'!$A$3:$CW$999,96,FALSE),"unknown")</f>
        <v>Employed for wages</v>
      </c>
      <c r="AV374" s="120" t="str">
        <f>IFERROR(VLOOKUP(Table1[RespondentID],'All Data'!$A$3:$CW$999,97,FALSE),"unknown")</f>
        <v>Yes</v>
      </c>
      <c r="AW374" s="120" t="str">
        <f>IFERROR(VLOOKUP(Table1[RespondentID],'All Data'!$A$3:$CW$999,98,FALSE),"unknown")</f>
        <v>Private/Commercial</v>
      </c>
      <c r="AX374" s="120" t="str">
        <f>IFERROR(VLOOKUP(Table1[RespondentID],'All Data'!$A$3:$CW$999,99,FALSE),"unknown")</f>
        <v>Yes</v>
      </c>
    </row>
    <row r="375" spans="1:50">
      <c r="A375" s="124">
        <v>114096674095</v>
      </c>
      <c r="B375" s="122"/>
      <c r="C375" s="123"/>
      <c r="D375" s="123" t="s">
        <v>18</v>
      </c>
      <c r="E375" s="123" t="s">
        <v>19</v>
      </c>
      <c r="F375" s="123"/>
      <c r="G375" s="123"/>
      <c r="H375" s="123"/>
      <c r="I375" s="123" t="s">
        <v>23</v>
      </c>
      <c r="J375" s="123"/>
      <c r="K375" s="123"/>
      <c r="L375" s="123"/>
      <c r="M375" s="123"/>
      <c r="N375" s="123"/>
      <c r="O375" s="124"/>
      <c r="P375" s="125">
        <f t="shared" si="90"/>
        <v>3</v>
      </c>
      <c r="Q375" s="126">
        <f t="shared" si="91"/>
        <v>1</v>
      </c>
      <c r="R375" s="124"/>
      <c r="S375" s="125">
        <f t="shared" si="92"/>
        <v>0</v>
      </c>
      <c r="T375" s="125">
        <f t="shared" si="93"/>
        <v>0</v>
      </c>
      <c r="U375" s="125">
        <f t="shared" si="94"/>
        <v>1</v>
      </c>
      <c r="V375" s="127">
        <f t="shared" si="95"/>
        <v>1</v>
      </c>
      <c r="W375" s="127">
        <f t="shared" si="96"/>
        <v>0</v>
      </c>
      <c r="X375" s="127">
        <f t="shared" si="97"/>
        <v>0</v>
      </c>
      <c r="Y375" s="127">
        <f t="shared" si="98"/>
        <v>0</v>
      </c>
      <c r="Z375" s="127">
        <f t="shared" si="99"/>
        <v>1</v>
      </c>
      <c r="AA375" s="127">
        <f t="shared" si="100"/>
        <v>0</v>
      </c>
      <c r="AB375" s="127">
        <f t="shared" si="101"/>
        <v>0</v>
      </c>
      <c r="AC375" s="127">
        <f t="shared" si="102"/>
        <v>0</v>
      </c>
      <c r="AD375" s="127">
        <f t="shared" si="103"/>
        <v>0</v>
      </c>
      <c r="AE375" s="127">
        <f t="shared" si="104"/>
        <v>0</v>
      </c>
      <c r="AF375" s="124"/>
      <c r="AG375" s="124"/>
      <c r="AH375" s="125">
        <f t="shared" si="105"/>
        <v>3</v>
      </c>
      <c r="AI375" s="125">
        <f t="shared" si="106"/>
        <v>3</v>
      </c>
      <c r="AJ375" s="125" t="str">
        <f t="shared" si="107"/>
        <v>Correct</v>
      </c>
      <c r="AK375" s="124"/>
      <c r="AL375" s="120" t="str">
        <f>IFERROR(VLOOKUP(Table1[RespondentID],'All Data'!$A$3:$CO$999,87,FALSE),"unknown")</f>
        <v>Woman</v>
      </c>
      <c r="AM375" s="120">
        <f>IFERROR(VLOOKUP(Table1[RespondentID],'All Data'!$A$3:$CO$999,88,FALSE),"unknown")</f>
        <v>0</v>
      </c>
      <c r="AN375" s="120" t="str">
        <f>IFERROR(VLOOKUP(Table1[RespondentID],'All Data'!$A$3:$CO$999,89,FALSE),"unknown")</f>
        <v>Suffolk</v>
      </c>
      <c r="AO375" s="120" t="str">
        <f>IFERROR(VLOOKUP(Table1[RespondentID],'All Data'!$A$3:$CO$999,90,FALSE),"unknown")</f>
        <v>Babylon, 11702</v>
      </c>
      <c r="AP375" s="120" t="str">
        <f>IFERROR(VLOOKUP(Table1[RespondentID],'All Data'!$A$3:$CO$999,91,FALSE),"unknown")</f>
        <v>White</v>
      </c>
      <c r="AQ375" s="120" t="str">
        <f>IFERROR(VLOOKUP(Table1[RespondentID],'All Data'!$A$3:$CO$999,92,FALSE),"unknown")</f>
        <v>Not Hispanic or Latino</v>
      </c>
      <c r="AR375" s="120" t="str">
        <f>IFERROR(VLOOKUP(Table1[RespondentID],'All Data'!$A$3:$CO$999,93,FALSE),"unknown")</f>
        <v>English</v>
      </c>
      <c r="AS375" s="120" t="str">
        <f>IFERROR(VLOOKUP(Table1[RespondentID],'All Data'!$A$3:$CW$999,94,FALSE),"unknown")</f>
        <v>$75,000 to $125,000</v>
      </c>
      <c r="AT375" s="120" t="str">
        <f>IFERROR(VLOOKUP(Table1[RespondentID],'All Data'!$A$3:$CW$999,95,FALSE),"unknown")</f>
        <v>Some college</v>
      </c>
      <c r="AU375" s="120" t="str">
        <f>IFERROR(VLOOKUP(Table1[RespondentID],'All Data'!$A$3:$CW$999,96,FALSE),"unknown")</f>
        <v>Retired</v>
      </c>
      <c r="AV375" s="120" t="str">
        <f>IFERROR(VLOOKUP(Table1[RespondentID],'All Data'!$A$3:$CW$999,97,FALSE),"unknown")</f>
        <v>Yes</v>
      </c>
      <c r="AW375" s="120" t="str">
        <f>IFERROR(VLOOKUP(Table1[RespondentID],'All Data'!$A$3:$CW$999,98,FALSE),"unknown")</f>
        <v>Medicare</v>
      </c>
      <c r="AX375" s="120" t="str">
        <f>IFERROR(VLOOKUP(Table1[RespondentID],'All Data'!$A$3:$CW$999,99,FALSE),"unknown")</f>
        <v>Yes</v>
      </c>
    </row>
    <row r="376" spans="1:50">
      <c r="A376" s="124">
        <v>114096668073</v>
      </c>
      <c r="B376" s="122"/>
      <c r="C376" s="123"/>
      <c r="D376" s="123" t="s">
        <v>18</v>
      </c>
      <c r="E376" s="123" t="s">
        <v>19</v>
      </c>
      <c r="F376" s="123"/>
      <c r="G376" s="123"/>
      <c r="H376" s="123"/>
      <c r="I376" s="123"/>
      <c r="J376" s="123"/>
      <c r="K376" s="123"/>
      <c r="L376" s="123"/>
      <c r="M376" s="123"/>
      <c r="N376" s="123" t="s">
        <v>28</v>
      </c>
      <c r="O376" s="124"/>
      <c r="P376" s="125">
        <f t="shared" si="90"/>
        <v>3</v>
      </c>
      <c r="Q376" s="126">
        <f t="shared" si="91"/>
        <v>1</v>
      </c>
      <c r="R376" s="124"/>
      <c r="S376" s="125">
        <f t="shared" si="92"/>
        <v>0</v>
      </c>
      <c r="T376" s="125">
        <f t="shared" si="93"/>
        <v>0</v>
      </c>
      <c r="U376" s="125">
        <f t="shared" si="94"/>
        <v>1</v>
      </c>
      <c r="V376" s="127">
        <f t="shared" si="95"/>
        <v>1</v>
      </c>
      <c r="W376" s="127">
        <f t="shared" si="96"/>
        <v>0</v>
      </c>
      <c r="X376" s="127">
        <f t="shared" si="97"/>
        <v>0</v>
      </c>
      <c r="Y376" s="127">
        <f t="shared" si="98"/>
        <v>0</v>
      </c>
      <c r="Z376" s="127">
        <f t="shared" si="99"/>
        <v>0</v>
      </c>
      <c r="AA376" s="127">
        <f t="shared" si="100"/>
        <v>0</v>
      </c>
      <c r="AB376" s="127">
        <f t="shared" si="101"/>
        <v>0</v>
      </c>
      <c r="AC376" s="127">
        <f t="shared" si="102"/>
        <v>0</v>
      </c>
      <c r="AD376" s="127">
        <f t="shared" si="103"/>
        <v>0</v>
      </c>
      <c r="AE376" s="127">
        <f t="shared" si="104"/>
        <v>1</v>
      </c>
      <c r="AF376" s="124"/>
      <c r="AG376" s="124"/>
      <c r="AH376" s="125">
        <f t="shared" si="105"/>
        <v>3</v>
      </c>
      <c r="AI376" s="125">
        <f t="shared" si="106"/>
        <v>3</v>
      </c>
      <c r="AJ376" s="125" t="str">
        <f t="shared" si="107"/>
        <v>Correct</v>
      </c>
      <c r="AK376" s="124"/>
      <c r="AL376" s="120" t="str">
        <f>IFERROR(VLOOKUP(Table1[RespondentID],'All Data'!$A$3:$CO$999,87,FALSE),"unknown")</f>
        <v>Man</v>
      </c>
      <c r="AM376" s="120">
        <f>IFERROR(VLOOKUP(Table1[RespondentID],'All Data'!$A$3:$CO$999,88,FALSE),"unknown")</f>
        <v>0</v>
      </c>
      <c r="AN376" s="120" t="str">
        <f>IFERROR(VLOOKUP(Table1[RespondentID],'All Data'!$A$3:$CO$999,89,FALSE),"unknown")</f>
        <v>Suffolk</v>
      </c>
      <c r="AO376" s="120" t="str">
        <f>IFERROR(VLOOKUP(Table1[RespondentID],'All Data'!$A$3:$CO$999,90,FALSE),"unknown")</f>
        <v>Kings Park, 11754</v>
      </c>
      <c r="AP376" s="120" t="str">
        <f>IFERROR(VLOOKUP(Table1[RespondentID],'All Data'!$A$3:$CO$999,91,FALSE),"unknown")</f>
        <v>White</v>
      </c>
      <c r="AQ376" s="120" t="str">
        <f>IFERROR(VLOOKUP(Table1[RespondentID],'All Data'!$A$3:$CO$999,92,FALSE),"unknown")</f>
        <v>Not Hispanic or Latino</v>
      </c>
      <c r="AR376" s="120" t="str">
        <f>IFERROR(VLOOKUP(Table1[RespondentID],'All Data'!$A$3:$CO$999,93,FALSE),"unknown")</f>
        <v>English</v>
      </c>
      <c r="AS376" s="120" t="str">
        <f>IFERROR(VLOOKUP(Table1[RespondentID],'All Data'!$A$3:$CW$999,94,FALSE),"unknown")</f>
        <v>$75,000 to $125,000</v>
      </c>
      <c r="AT376" s="120" t="str">
        <f>IFERROR(VLOOKUP(Table1[RespondentID],'All Data'!$A$3:$CW$999,95,FALSE),"unknown")</f>
        <v>College graduate</v>
      </c>
      <c r="AU376" s="120" t="str">
        <f>IFERROR(VLOOKUP(Table1[RespondentID],'All Data'!$A$3:$CW$999,96,FALSE),"unknown")</f>
        <v>Retired</v>
      </c>
      <c r="AV376" s="120" t="str">
        <f>IFERROR(VLOOKUP(Table1[RespondentID],'All Data'!$A$3:$CW$999,97,FALSE),"unknown")</f>
        <v>Yes</v>
      </c>
      <c r="AW376" s="120" t="str">
        <f>IFERROR(VLOOKUP(Table1[RespondentID],'All Data'!$A$3:$CW$999,98,FALSE),"unknown")</f>
        <v>Medicare,Private/Commercial</v>
      </c>
      <c r="AX376" s="120" t="str">
        <f>IFERROR(VLOOKUP(Table1[RespondentID],'All Data'!$A$3:$CW$999,99,FALSE),"unknown")</f>
        <v>Yes</v>
      </c>
    </row>
    <row r="377" spans="1:50">
      <c r="A377" s="124">
        <v>114096661817</v>
      </c>
      <c r="B377" s="122"/>
      <c r="C377" s="123" t="s">
        <v>17</v>
      </c>
      <c r="D377" s="123"/>
      <c r="E377" s="123"/>
      <c r="F377" s="123"/>
      <c r="G377" s="123"/>
      <c r="H377" s="123"/>
      <c r="I377" s="123" t="s">
        <v>23</v>
      </c>
      <c r="J377" s="123"/>
      <c r="K377" s="123"/>
      <c r="L377" s="123"/>
      <c r="M377" s="123" t="s">
        <v>27</v>
      </c>
      <c r="N377" s="123"/>
      <c r="O377" s="124"/>
      <c r="P377" s="125">
        <f t="shared" si="90"/>
        <v>3</v>
      </c>
      <c r="Q377" s="126">
        <f t="shared" si="91"/>
        <v>1</v>
      </c>
      <c r="R377" s="124"/>
      <c r="S377" s="125">
        <f t="shared" si="92"/>
        <v>0</v>
      </c>
      <c r="T377" s="125">
        <f t="shared" si="93"/>
        <v>1</v>
      </c>
      <c r="U377" s="125">
        <f t="shared" si="94"/>
        <v>0</v>
      </c>
      <c r="V377" s="127">
        <f t="shared" si="95"/>
        <v>0</v>
      </c>
      <c r="W377" s="127">
        <f t="shared" si="96"/>
        <v>0</v>
      </c>
      <c r="X377" s="127">
        <f t="shared" si="97"/>
        <v>0</v>
      </c>
      <c r="Y377" s="127">
        <f t="shared" si="98"/>
        <v>0</v>
      </c>
      <c r="Z377" s="127">
        <f t="shared" si="99"/>
        <v>1</v>
      </c>
      <c r="AA377" s="127">
        <f t="shared" si="100"/>
        <v>0</v>
      </c>
      <c r="AB377" s="127">
        <f t="shared" si="101"/>
        <v>0</v>
      </c>
      <c r="AC377" s="127">
        <f t="shared" si="102"/>
        <v>0</v>
      </c>
      <c r="AD377" s="127">
        <f t="shared" si="103"/>
        <v>1</v>
      </c>
      <c r="AE377" s="127">
        <f t="shared" si="104"/>
        <v>0</v>
      </c>
      <c r="AF377" s="124"/>
      <c r="AG377" s="124"/>
      <c r="AH377" s="125">
        <f t="shared" si="105"/>
        <v>3</v>
      </c>
      <c r="AI377" s="125">
        <f t="shared" si="106"/>
        <v>3</v>
      </c>
      <c r="AJ377" s="125" t="str">
        <f t="shared" si="107"/>
        <v>Correct</v>
      </c>
      <c r="AK377" s="124"/>
      <c r="AL377" s="120" t="str">
        <f>IFERROR(VLOOKUP(Table1[RespondentID],'All Data'!$A$3:$CO$999,87,FALSE),"unknown")</f>
        <v>Woman</v>
      </c>
      <c r="AM377" s="120">
        <f>IFERROR(VLOOKUP(Table1[RespondentID],'All Data'!$A$3:$CO$999,88,FALSE),"unknown")</f>
        <v>0</v>
      </c>
      <c r="AN377" s="120" t="str">
        <f>IFERROR(VLOOKUP(Table1[RespondentID],'All Data'!$A$3:$CO$999,89,FALSE),"unknown")</f>
        <v>Suffolk</v>
      </c>
      <c r="AO377" s="120" t="str">
        <f>IFERROR(VLOOKUP(Table1[RespondentID],'All Data'!$A$3:$CO$999,90,FALSE),"unknown")</f>
        <v>West Islip, 11795</v>
      </c>
      <c r="AP377" s="120" t="str">
        <f>IFERROR(VLOOKUP(Table1[RespondentID],'All Data'!$A$3:$CO$999,91,FALSE),"unknown")</f>
        <v>White</v>
      </c>
      <c r="AQ377" s="120" t="str">
        <f>IFERROR(VLOOKUP(Table1[RespondentID],'All Data'!$A$3:$CO$999,92,FALSE),"unknown")</f>
        <v>Not Hispanic or Latino</v>
      </c>
      <c r="AR377" s="120" t="str">
        <f>IFERROR(VLOOKUP(Table1[RespondentID],'All Data'!$A$3:$CO$999,93,FALSE),"unknown")</f>
        <v>English</v>
      </c>
      <c r="AS377" s="120" t="str">
        <f>IFERROR(VLOOKUP(Table1[RespondentID],'All Data'!$A$3:$CW$999,94,FALSE),"unknown")</f>
        <v>$35,000 to $49,999</v>
      </c>
      <c r="AT377" s="120" t="str">
        <f>IFERROR(VLOOKUP(Table1[RespondentID],'All Data'!$A$3:$CW$999,95,FALSE),"unknown")</f>
        <v>High school graduate</v>
      </c>
      <c r="AU377" s="120" t="str">
        <f>IFERROR(VLOOKUP(Table1[RespondentID],'All Data'!$A$3:$CW$999,96,FALSE),"unknown")</f>
        <v>Retired</v>
      </c>
      <c r="AV377" s="120" t="str">
        <f>IFERROR(VLOOKUP(Table1[RespondentID],'All Data'!$A$3:$CW$999,97,FALSE),"unknown")</f>
        <v>Yes</v>
      </c>
      <c r="AW377" s="120" t="str">
        <f>IFERROR(VLOOKUP(Table1[RespondentID],'All Data'!$A$3:$CW$999,98,FALSE),"unknown")</f>
        <v>Medicare</v>
      </c>
      <c r="AX377" s="120" t="str">
        <f>IFERROR(VLOOKUP(Table1[RespondentID],'All Data'!$A$3:$CW$999,99,FALSE),"unknown")</f>
        <v>Yes</v>
      </c>
    </row>
    <row r="378" spans="1:50">
      <c r="A378" s="124">
        <v>114096658219</v>
      </c>
      <c r="B378" s="122"/>
      <c r="C378" s="123" t="s">
        <v>17</v>
      </c>
      <c r="D378" s="123" t="s">
        <v>18</v>
      </c>
      <c r="E378" s="123"/>
      <c r="F378" s="123"/>
      <c r="G378" s="123"/>
      <c r="H378" s="123"/>
      <c r="I378" s="123" t="s">
        <v>23</v>
      </c>
      <c r="J378" s="123"/>
      <c r="K378" s="123"/>
      <c r="L378" s="123"/>
      <c r="M378" s="123"/>
      <c r="N378" s="123"/>
      <c r="O378" s="124"/>
      <c r="P378" s="125">
        <f t="shared" si="90"/>
        <v>3</v>
      </c>
      <c r="Q378" s="126">
        <f t="shared" si="91"/>
        <v>1</v>
      </c>
      <c r="R378" s="124"/>
      <c r="S378" s="125">
        <f t="shared" si="92"/>
        <v>0</v>
      </c>
      <c r="T378" s="125">
        <f t="shared" si="93"/>
        <v>1</v>
      </c>
      <c r="U378" s="125">
        <f t="shared" si="94"/>
        <v>1</v>
      </c>
      <c r="V378" s="127">
        <f t="shared" si="95"/>
        <v>0</v>
      </c>
      <c r="W378" s="127">
        <f t="shared" si="96"/>
        <v>0</v>
      </c>
      <c r="X378" s="127">
        <f t="shared" si="97"/>
        <v>0</v>
      </c>
      <c r="Y378" s="127">
        <f t="shared" si="98"/>
        <v>0</v>
      </c>
      <c r="Z378" s="127">
        <f t="shared" si="99"/>
        <v>1</v>
      </c>
      <c r="AA378" s="127">
        <f t="shared" si="100"/>
        <v>0</v>
      </c>
      <c r="AB378" s="127">
        <f t="shared" si="101"/>
        <v>0</v>
      </c>
      <c r="AC378" s="127">
        <f t="shared" si="102"/>
        <v>0</v>
      </c>
      <c r="AD378" s="127">
        <f t="shared" si="103"/>
        <v>0</v>
      </c>
      <c r="AE378" s="127">
        <f t="shared" si="104"/>
        <v>0</v>
      </c>
      <c r="AF378" s="124"/>
      <c r="AG378" s="124"/>
      <c r="AH378" s="125">
        <f t="shared" si="105"/>
        <v>3</v>
      </c>
      <c r="AI378" s="125">
        <f t="shared" si="106"/>
        <v>3</v>
      </c>
      <c r="AJ378" s="125" t="str">
        <f t="shared" si="107"/>
        <v>Correct</v>
      </c>
      <c r="AK378" s="124"/>
      <c r="AL378" s="120" t="str">
        <f>IFERROR(VLOOKUP(Table1[RespondentID],'All Data'!$A$3:$CO$999,87,FALSE),"unknown")</f>
        <v>Woman</v>
      </c>
      <c r="AM378" s="120">
        <f>IFERROR(VLOOKUP(Table1[RespondentID],'All Data'!$A$3:$CO$999,88,FALSE),"unknown")</f>
        <v>0</v>
      </c>
      <c r="AN378" s="120" t="str">
        <f>IFERROR(VLOOKUP(Table1[RespondentID],'All Data'!$A$3:$CO$999,89,FALSE),"unknown")</f>
        <v>Suffolk</v>
      </c>
      <c r="AO378" s="120" t="str">
        <f>IFERROR(VLOOKUP(Table1[RespondentID],'All Data'!$A$3:$CO$999,90,FALSE),"unknown")</f>
        <v>Babylon, 11702</v>
      </c>
      <c r="AP378" s="120" t="str">
        <f>IFERROR(VLOOKUP(Table1[RespondentID],'All Data'!$A$3:$CO$999,91,FALSE),"unknown")</f>
        <v>White</v>
      </c>
      <c r="AQ378" s="120" t="str">
        <f>IFERROR(VLOOKUP(Table1[RespondentID],'All Data'!$A$3:$CO$999,92,FALSE),"unknown")</f>
        <v>Not Hispanic or Latino</v>
      </c>
      <c r="AR378" s="120" t="str">
        <f>IFERROR(VLOOKUP(Table1[RespondentID],'All Data'!$A$3:$CO$999,93,FALSE),"unknown")</f>
        <v>English</v>
      </c>
      <c r="AS378" s="120" t="str">
        <f>IFERROR(VLOOKUP(Table1[RespondentID],'All Data'!$A$3:$CW$999,94,FALSE),"unknown")</f>
        <v>$50,000 to $74,999</v>
      </c>
      <c r="AT378" s="120" t="str">
        <f>IFERROR(VLOOKUP(Table1[RespondentID],'All Data'!$A$3:$CW$999,95,FALSE),"unknown")</f>
        <v>College graduate</v>
      </c>
      <c r="AU378" s="120" t="str">
        <f>IFERROR(VLOOKUP(Table1[RespondentID],'All Data'!$A$3:$CW$999,96,FALSE),"unknown")</f>
        <v>Retired</v>
      </c>
      <c r="AV378" s="120" t="str">
        <f>IFERROR(VLOOKUP(Table1[RespondentID],'All Data'!$A$3:$CW$999,97,FALSE),"unknown")</f>
        <v>Yes</v>
      </c>
      <c r="AW378" s="120" t="str">
        <f>IFERROR(VLOOKUP(Table1[RespondentID],'All Data'!$A$3:$CW$999,98,FALSE),"unknown")</f>
        <v>Medicare,Private/Commercial</v>
      </c>
      <c r="AX378" s="120" t="str">
        <f>IFERROR(VLOOKUP(Table1[RespondentID],'All Data'!$A$3:$CW$999,99,FALSE),"unknown")</f>
        <v>Yes</v>
      </c>
    </row>
    <row r="379" spans="1:50">
      <c r="A379" s="124">
        <v>114089866335</v>
      </c>
      <c r="B379" s="122" t="s">
        <v>16</v>
      </c>
      <c r="C379" s="123"/>
      <c r="D379" s="123"/>
      <c r="E379" s="123"/>
      <c r="F379" s="123"/>
      <c r="G379" s="123"/>
      <c r="H379" s="123"/>
      <c r="I379" s="123"/>
      <c r="J379" s="123" t="s">
        <v>24</v>
      </c>
      <c r="K379" s="123"/>
      <c r="L379" s="123"/>
      <c r="M379" s="123"/>
      <c r="N379" s="123" t="s">
        <v>28</v>
      </c>
      <c r="O379" s="124"/>
      <c r="P379" s="125">
        <f t="shared" si="90"/>
        <v>3</v>
      </c>
      <c r="Q379" s="126">
        <f t="shared" si="91"/>
        <v>1</v>
      </c>
      <c r="R379" s="124"/>
      <c r="S379" s="125">
        <f t="shared" si="92"/>
        <v>1</v>
      </c>
      <c r="T379" s="125">
        <f t="shared" si="93"/>
        <v>0</v>
      </c>
      <c r="U379" s="125">
        <f t="shared" si="94"/>
        <v>0</v>
      </c>
      <c r="V379" s="127">
        <f t="shared" si="95"/>
        <v>0</v>
      </c>
      <c r="W379" s="127">
        <f t="shared" si="96"/>
        <v>0</v>
      </c>
      <c r="X379" s="127">
        <f t="shared" si="97"/>
        <v>0</v>
      </c>
      <c r="Y379" s="127">
        <f t="shared" si="98"/>
        <v>0</v>
      </c>
      <c r="Z379" s="127">
        <f t="shared" si="99"/>
        <v>0</v>
      </c>
      <c r="AA379" s="127">
        <f t="shared" si="100"/>
        <v>1</v>
      </c>
      <c r="AB379" s="127">
        <f t="shared" si="101"/>
        <v>0</v>
      </c>
      <c r="AC379" s="127">
        <f t="shared" si="102"/>
        <v>0</v>
      </c>
      <c r="AD379" s="127">
        <f t="shared" si="103"/>
        <v>0</v>
      </c>
      <c r="AE379" s="127">
        <f t="shared" si="104"/>
        <v>1</v>
      </c>
      <c r="AF379" s="124"/>
      <c r="AG379" s="124"/>
      <c r="AH379" s="125">
        <f t="shared" si="105"/>
        <v>3</v>
      </c>
      <c r="AI379" s="125">
        <f t="shared" si="106"/>
        <v>3</v>
      </c>
      <c r="AJ379" s="125" t="str">
        <f t="shared" si="107"/>
        <v>Correct</v>
      </c>
      <c r="AK379" s="124"/>
      <c r="AL379" s="120" t="str">
        <f>IFERROR(VLOOKUP(Table1[RespondentID],'All Data'!$A$3:$CO$999,87,FALSE),"unknown")</f>
        <v>Woman</v>
      </c>
      <c r="AM379" s="120">
        <f>IFERROR(VLOOKUP(Table1[RespondentID],'All Data'!$A$3:$CO$999,88,FALSE),"unknown")</f>
        <v>0</v>
      </c>
      <c r="AN379" s="120" t="str">
        <f>IFERROR(VLOOKUP(Table1[RespondentID],'All Data'!$A$3:$CO$999,89,FALSE),"unknown")</f>
        <v>Nassau</v>
      </c>
      <c r="AO379" s="120" t="str">
        <f>IFERROR(VLOOKUP(Table1[RespondentID],'All Data'!$A$3:$CO$999,90,FALSE),"unknown")</f>
        <v>East Meadow, 11554</v>
      </c>
      <c r="AP379" s="120" t="str">
        <f>IFERROR(VLOOKUP(Table1[RespondentID],'All Data'!$A$3:$CO$999,91,FALSE),"unknown")</f>
        <v>Other (please specify)</v>
      </c>
      <c r="AQ379" s="120" t="str">
        <f>IFERROR(VLOOKUP(Table1[RespondentID],'All Data'!$A$3:$CO$999,92,FALSE),"unknown")</f>
        <v>Not Hispanic or Latino</v>
      </c>
      <c r="AR379" s="120" t="str">
        <f>IFERROR(VLOOKUP(Table1[RespondentID],'All Data'!$A$3:$CO$999,93,FALSE),"unknown")</f>
        <v>English</v>
      </c>
      <c r="AS379" s="120">
        <f>IFERROR(VLOOKUP(Table1[RespondentID],'All Data'!$A$3:$CW$999,94,FALSE),"unknown")</f>
        <v>0</v>
      </c>
      <c r="AT379" s="120" t="str">
        <f>IFERROR(VLOOKUP(Table1[RespondentID],'All Data'!$A$3:$CW$999,95,FALSE),"unknown")</f>
        <v>College graduate</v>
      </c>
      <c r="AU379" s="120" t="str">
        <f>IFERROR(VLOOKUP(Table1[RespondentID],'All Data'!$A$3:$CW$999,96,FALSE),"unknown")</f>
        <v>Employed for wages</v>
      </c>
      <c r="AV379" s="120" t="str">
        <f>IFERROR(VLOOKUP(Table1[RespondentID],'All Data'!$A$3:$CW$999,97,FALSE),"unknown")</f>
        <v>Yes</v>
      </c>
      <c r="AW379" s="120" t="str">
        <f>IFERROR(VLOOKUP(Table1[RespondentID],'All Data'!$A$3:$CW$999,98,FALSE),"unknown")</f>
        <v>Private/Commercial</v>
      </c>
      <c r="AX379" s="120" t="str">
        <f>IFERROR(VLOOKUP(Table1[RespondentID],'All Data'!$A$3:$CW$999,99,FALSE),"unknown")</f>
        <v>Yes</v>
      </c>
    </row>
    <row r="380" spans="1:50">
      <c r="A380" s="124">
        <v>114089496497</v>
      </c>
      <c r="B380" s="122"/>
      <c r="C380" s="123" t="s">
        <v>17</v>
      </c>
      <c r="D380" s="123"/>
      <c r="E380" s="123"/>
      <c r="F380" s="123"/>
      <c r="G380" s="123"/>
      <c r="H380" s="123"/>
      <c r="I380" s="123" t="s">
        <v>23</v>
      </c>
      <c r="J380" s="123"/>
      <c r="K380" s="123"/>
      <c r="L380" s="123"/>
      <c r="M380" s="123"/>
      <c r="N380" s="123" t="s">
        <v>28</v>
      </c>
      <c r="O380" s="124"/>
      <c r="P380" s="125">
        <f t="shared" si="90"/>
        <v>3</v>
      </c>
      <c r="Q380" s="126">
        <f t="shared" si="91"/>
        <v>1</v>
      </c>
      <c r="R380" s="124"/>
      <c r="S380" s="125">
        <f t="shared" si="92"/>
        <v>0</v>
      </c>
      <c r="T380" s="125">
        <f t="shared" si="93"/>
        <v>1</v>
      </c>
      <c r="U380" s="125">
        <f t="shared" si="94"/>
        <v>0</v>
      </c>
      <c r="V380" s="127">
        <f t="shared" si="95"/>
        <v>0</v>
      </c>
      <c r="W380" s="127">
        <f t="shared" si="96"/>
        <v>0</v>
      </c>
      <c r="X380" s="127">
        <f t="shared" si="97"/>
        <v>0</v>
      </c>
      <c r="Y380" s="127">
        <f t="shared" si="98"/>
        <v>0</v>
      </c>
      <c r="Z380" s="127">
        <f t="shared" si="99"/>
        <v>1</v>
      </c>
      <c r="AA380" s="127">
        <f t="shared" si="100"/>
        <v>0</v>
      </c>
      <c r="AB380" s="127">
        <f t="shared" si="101"/>
        <v>0</v>
      </c>
      <c r="AC380" s="127">
        <f t="shared" si="102"/>
        <v>0</v>
      </c>
      <c r="AD380" s="127">
        <f t="shared" si="103"/>
        <v>0</v>
      </c>
      <c r="AE380" s="127">
        <f t="shared" si="104"/>
        <v>1</v>
      </c>
      <c r="AF380" s="124"/>
      <c r="AG380" s="124"/>
      <c r="AH380" s="125">
        <f t="shared" si="105"/>
        <v>3</v>
      </c>
      <c r="AI380" s="125">
        <f t="shared" si="106"/>
        <v>3</v>
      </c>
      <c r="AJ380" s="125" t="str">
        <f t="shared" si="107"/>
        <v>Correct</v>
      </c>
      <c r="AK380" s="124"/>
      <c r="AL380" s="120" t="str">
        <f>IFERROR(VLOOKUP(Table1[RespondentID],'All Data'!$A$3:$CO$999,87,FALSE),"unknown")</f>
        <v>Woman</v>
      </c>
      <c r="AM380" s="120">
        <f>IFERROR(VLOOKUP(Table1[RespondentID],'All Data'!$A$3:$CO$999,88,FALSE),"unknown")</f>
        <v>0</v>
      </c>
      <c r="AN380" s="120" t="str">
        <f>IFERROR(VLOOKUP(Table1[RespondentID],'All Data'!$A$3:$CO$999,89,FALSE),"unknown")</f>
        <v>Suffolk</v>
      </c>
      <c r="AO380" s="120" t="str">
        <f>IFERROR(VLOOKUP(Table1[RespondentID],'All Data'!$A$3:$CO$999,90,FALSE),"unknown")</f>
        <v>Lindenhurst, 11757</v>
      </c>
      <c r="AP380" s="120" t="str">
        <f>IFERROR(VLOOKUP(Table1[RespondentID],'All Data'!$A$3:$CO$999,91,FALSE),"unknown")</f>
        <v>White</v>
      </c>
      <c r="AQ380" s="120" t="str">
        <f>IFERROR(VLOOKUP(Table1[RespondentID],'All Data'!$A$3:$CO$999,92,FALSE),"unknown")</f>
        <v>Not Hispanic or Latino</v>
      </c>
      <c r="AR380" s="120" t="str">
        <f>IFERROR(VLOOKUP(Table1[RespondentID],'All Data'!$A$3:$CO$999,93,FALSE),"unknown")</f>
        <v>English</v>
      </c>
      <c r="AS380" s="120" t="str">
        <f>IFERROR(VLOOKUP(Table1[RespondentID],'All Data'!$A$3:$CW$999,94,FALSE),"unknown")</f>
        <v>$50,000 to $74,999</v>
      </c>
      <c r="AT380" s="120" t="str">
        <f>IFERROR(VLOOKUP(Table1[RespondentID],'All Data'!$A$3:$CW$999,95,FALSE),"unknown")</f>
        <v>Some college</v>
      </c>
      <c r="AU380" s="120" t="str">
        <f>IFERROR(VLOOKUP(Table1[RespondentID],'All Data'!$A$3:$CW$999,96,FALSE),"unknown")</f>
        <v>Employed for wages</v>
      </c>
      <c r="AV380" s="120" t="str">
        <f>IFERROR(VLOOKUP(Table1[RespondentID],'All Data'!$A$3:$CW$999,97,FALSE),"unknown")</f>
        <v>Yes</v>
      </c>
      <c r="AW380" s="120" t="str">
        <f>IFERROR(VLOOKUP(Table1[RespondentID],'All Data'!$A$3:$CW$999,98,FALSE),"unknown")</f>
        <v>Private/Commercial</v>
      </c>
      <c r="AX380" s="120" t="str">
        <f>IFERROR(VLOOKUP(Table1[RespondentID],'All Data'!$A$3:$CW$999,99,FALSE),"unknown")</f>
        <v>Yes</v>
      </c>
    </row>
    <row r="381" spans="1:50">
      <c r="A381" s="124">
        <v>114089303117</v>
      </c>
      <c r="B381" s="122"/>
      <c r="C381" s="123"/>
      <c r="D381" s="123"/>
      <c r="E381" s="123"/>
      <c r="F381" s="123"/>
      <c r="G381" s="123"/>
      <c r="H381" s="123"/>
      <c r="I381" s="123" t="s">
        <v>23</v>
      </c>
      <c r="J381" s="123"/>
      <c r="K381" s="123"/>
      <c r="L381" s="123"/>
      <c r="M381" s="123"/>
      <c r="N381" s="123"/>
      <c r="O381" s="124"/>
      <c r="P381" s="125">
        <f t="shared" si="90"/>
        <v>1</v>
      </c>
      <c r="Q381" s="126">
        <f t="shared" si="91"/>
        <v>3</v>
      </c>
      <c r="R381" s="124"/>
      <c r="S381" s="125">
        <f t="shared" si="92"/>
        <v>0</v>
      </c>
      <c r="T381" s="125">
        <f t="shared" si="93"/>
        <v>0</v>
      </c>
      <c r="U381" s="125">
        <f t="shared" si="94"/>
        <v>0</v>
      </c>
      <c r="V381" s="127">
        <f t="shared" si="95"/>
        <v>0</v>
      </c>
      <c r="W381" s="127">
        <f t="shared" si="96"/>
        <v>0</v>
      </c>
      <c r="X381" s="127">
        <f t="shared" si="97"/>
        <v>0</v>
      </c>
      <c r="Y381" s="127">
        <f t="shared" si="98"/>
        <v>0</v>
      </c>
      <c r="Z381" s="127">
        <f t="shared" si="99"/>
        <v>1</v>
      </c>
      <c r="AA381" s="127">
        <f t="shared" si="100"/>
        <v>0</v>
      </c>
      <c r="AB381" s="127">
        <f t="shared" si="101"/>
        <v>0</v>
      </c>
      <c r="AC381" s="127">
        <f t="shared" si="102"/>
        <v>0</v>
      </c>
      <c r="AD381" s="127">
        <f t="shared" si="103"/>
        <v>0</v>
      </c>
      <c r="AE381" s="127">
        <f t="shared" si="104"/>
        <v>0</v>
      </c>
      <c r="AF381" s="124"/>
      <c r="AG381" s="124"/>
      <c r="AH381" s="125">
        <f t="shared" si="105"/>
        <v>1</v>
      </c>
      <c r="AI381" s="125">
        <f t="shared" si="106"/>
        <v>1</v>
      </c>
      <c r="AJ381" s="125" t="str">
        <f t="shared" si="107"/>
        <v>Correct</v>
      </c>
      <c r="AK381" s="124"/>
      <c r="AL381" s="120" t="str">
        <f>IFERROR(VLOOKUP(Table1[RespondentID],'All Data'!$A$3:$CO$999,87,FALSE),"unknown")</f>
        <v>Woman</v>
      </c>
      <c r="AM381" s="120">
        <f>IFERROR(VLOOKUP(Table1[RespondentID],'All Data'!$A$3:$CO$999,88,FALSE),"unknown")</f>
        <v>0</v>
      </c>
      <c r="AN381" s="120" t="str">
        <f>IFERROR(VLOOKUP(Table1[RespondentID],'All Data'!$A$3:$CO$999,89,FALSE),"unknown")</f>
        <v>Suffolk</v>
      </c>
      <c r="AO381" s="120" t="str">
        <f>IFERROR(VLOOKUP(Table1[RespondentID],'All Data'!$A$3:$CO$999,90,FALSE),"unknown")</f>
        <v>Lindenhurst, 11757</v>
      </c>
      <c r="AP381" s="120" t="str">
        <f>IFERROR(VLOOKUP(Table1[RespondentID],'All Data'!$A$3:$CO$999,91,FALSE),"unknown")</f>
        <v>White</v>
      </c>
      <c r="AQ381" s="120" t="str">
        <f>IFERROR(VLOOKUP(Table1[RespondentID],'All Data'!$A$3:$CO$999,92,FALSE),"unknown")</f>
        <v>Not Hispanic or Latino</v>
      </c>
      <c r="AR381" s="120" t="str">
        <f>IFERROR(VLOOKUP(Table1[RespondentID],'All Data'!$A$3:$CO$999,93,FALSE),"unknown")</f>
        <v>English</v>
      </c>
      <c r="AS381" s="120" t="str">
        <f>IFERROR(VLOOKUP(Table1[RespondentID],'All Data'!$A$3:$CW$999,94,FALSE),"unknown")</f>
        <v>$35,000 to $49,999</v>
      </c>
      <c r="AT381" s="120" t="str">
        <f>IFERROR(VLOOKUP(Table1[RespondentID],'All Data'!$A$3:$CW$999,95,FALSE),"unknown")</f>
        <v>Some college</v>
      </c>
      <c r="AU381" s="120" t="str">
        <f>IFERROR(VLOOKUP(Table1[RespondentID],'All Data'!$A$3:$CW$999,96,FALSE),"unknown")</f>
        <v>Out of work, but not currently looking</v>
      </c>
      <c r="AV381" s="120" t="str">
        <f>IFERROR(VLOOKUP(Table1[RespondentID],'All Data'!$A$3:$CW$999,97,FALSE),"unknown")</f>
        <v>Yes</v>
      </c>
      <c r="AW381" s="120" t="str">
        <f>IFERROR(VLOOKUP(Table1[RespondentID],'All Data'!$A$3:$CW$999,98,FALSE),"unknown")</f>
        <v>Medicaid,</v>
      </c>
      <c r="AX381" s="120" t="str">
        <f>IFERROR(VLOOKUP(Table1[RespondentID],'All Data'!$A$3:$CW$999,99,FALSE),"unknown")</f>
        <v>Yes</v>
      </c>
    </row>
    <row r="382" spans="1:50">
      <c r="A382" s="124">
        <v>114088122122</v>
      </c>
      <c r="B382" s="122"/>
      <c r="C382" s="123" t="s">
        <v>17</v>
      </c>
      <c r="D382" s="123" t="s">
        <v>18</v>
      </c>
      <c r="E382" s="123"/>
      <c r="F382" s="123"/>
      <c r="G382" s="123"/>
      <c r="H382" s="123"/>
      <c r="I382" s="123"/>
      <c r="J382" s="123"/>
      <c r="K382" s="123"/>
      <c r="L382" s="123"/>
      <c r="M382" s="123"/>
      <c r="N382" s="123"/>
      <c r="O382" s="124"/>
      <c r="P382" s="125">
        <f t="shared" si="90"/>
        <v>2</v>
      </c>
      <c r="Q382" s="126">
        <f t="shared" si="91"/>
        <v>1.5</v>
      </c>
      <c r="R382" s="124"/>
      <c r="S382" s="125">
        <f t="shared" si="92"/>
        <v>0</v>
      </c>
      <c r="T382" s="125">
        <f t="shared" si="93"/>
        <v>1</v>
      </c>
      <c r="U382" s="125">
        <f t="shared" si="94"/>
        <v>1</v>
      </c>
      <c r="V382" s="127">
        <f t="shared" si="95"/>
        <v>0</v>
      </c>
      <c r="W382" s="127">
        <f t="shared" si="96"/>
        <v>0</v>
      </c>
      <c r="X382" s="127">
        <f t="shared" si="97"/>
        <v>0</v>
      </c>
      <c r="Y382" s="127">
        <f t="shared" si="98"/>
        <v>0</v>
      </c>
      <c r="Z382" s="127">
        <f t="shared" si="99"/>
        <v>0</v>
      </c>
      <c r="AA382" s="127">
        <f t="shared" si="100"/>
        <v>0</v>
      </c>
      <c r="AB382" s="127">
        <f t="shared" si="101"/>
        <v>0</v>
      </c>
      <c r="AC382" s="127">
        <f t="shared" si="102"/>
        <v>0</v>
      </c>
      <c r="AD382" s="127">
        <f t="shared" si="103"/>
        <v>0</v>
      </c>
      <c r="AE382" s="127">
        <f t="shared" si="104"/>
        <v>0</v>
      </c>
      <c r="AF382" s="124"/>
      <c r="AG382" s="124"/>
      <c r="AH382" s="125">
        <f t="shared" si="105"/>
        <v>2</v>
      </c>
      <c r="AI382" s="125">
        <f t="shared" si="106"/>
        <v>2</v>
      </c>
      <c r="AJ382" s="125" t="str">
        <f t="shared" si="107"/>
        <v>Correct</v>
      </c>
      <c r="AK382" s="124"/>
      <c r="AL382" s="120" t="str">
        <f>IFERROR(VLOOKUP(Table1[RespondentID],'All Data'!$A$3:$CO$999,87,FALSE),"unknown")</f>
        <v>Woman</v>
      </c>
      <c r="AM382" s="120">
        <f>IFERROR(VLOOKUP(Table1[RespondentID],'All Data'!$A$3:$CO$999,88,FALSE),"unknown")</f>
        <v>0</v>
      </c>
      <c r="AN382" s="120" t="str">
        <f>IFERROR(VLOOKUP(Table1[RespondentID],'All Data'!$A$3:$CO$999,89,FALSE),"unknown")</f>
        <v>Suffolk</v>
      </c>
      <c r="AO382" s="120" t="str">
        <f>IFERROR(VLOOKUP(Table1[RespondentID],'All Data'!$A$3:$CO$999,90,FALSE),"unknown")</f>
        <v>Bohemia, 11716</v>
      </c>
      <c r="AP382" s="120" t="str">
        <f>IFERROR(VLOOKUP(Table1[RespondentID],'All Data'!$A$3:$CO$999,91,FALSE),"unknown")</f>
        <v>White</v>
      </c>
      <c r="AQ382" s="120" t="str">
        <f>IFERROR(VLOOKUP(Table1[RespondentID],'All Data'!$A$3:$CO$999,92,FALSE),"unknown")</f>
        <v>Not Hispanic or Latino</v>
      </c>
      <c r="AR382" s="120" t="str">
        <f>IFERROR(VLOOKUP(Table1[RespondentID],'All Data'!$A$3:$CO$999,93,FALSE),"unknown")</f>
        <v>English</v>
      </c>
      <c r="AS382" s="120" t="str">
        <f>IFERROR(VLOOKUP(Table1[RespondentID],'All Data'!$A$3:$CW$999,94,FALSE),"unknown")</f>
        <v>$75,000 to $125,000</v>
      </c>
      <c r="AT382" s="120" t="str">
        <f>IFERROR(VLOOKUP(Table1[RespondentID],'All Data'!$A$3:$CW$999,95,FALSE),"unknown")</f>
        <v>High school graduate</v>
      </c>
      <c r="AU382" s="120" t="str">
        <f>IFERROR(VLOOKUP(Table1[RespondentID],'All Data'!$A$3:$CW$999,96,FALSE),"unknown")</f>
        <v>Employed for wages</v>
      </c>
      <c r="AV382" s="120" t="str">
        <f>IFERROR(VLOOKUP(Table1[RespondentID],'All Data'!$A$3:$CW$999,97,FALSE),"unknown")</f>
        <v>No, but I did in the past</v>
      </c>
      <c r="AW382" s="120" t="str">
        <f>IFERROR(VLOOKUP(Table1[RespondentID],'All Data'!$A$3:$CW$999,98,FALSE),"unknown")</f>
        <v>Private/Commercial</v>
      </c>
      <c r="AX382" s="120" t="str">
        <f>IFERROR(VLOOKUP(Table1[RespondentID],'All Data'!$A$3:$CW$999,99,FALSE),"unknown")</f>
        <v>Yes</v>
      </c>
    </row>
    <row r="383" spans="1:50">
      <c r="A383" s="124">
        <v>114087722061</v>
      </c>
      <c r="B383" s="122"/>
      <c r="C383" s="123"/>
      <c r="D383" s="123"/>
      <c r="E383" s="123"/>
      <c r="F383" s="123"/>
      <c r="G383" s="123"/>
      <c r="H383" s="123"/>
      <c r="I383" s="123"/>
      <c r="J383" s="123"/>
      <c r="K383" s="123" t="s">
        <v>25</v>
      </c>
      <c r="L383" s="123"/>
      <c r="M383" s="123"/>
      <c r="N383" s="123"/>
      <c r="O383" s="124"/>
      <c r="P383" s="125">
        <f t="shared" si="90"/>
        <v>1</v>
      </c>
      <c r="Q383" s="126">
        <f t="shared" si="91"/>
        <v>3</v>
      </c>
      <c r="R383" s="124"/>
      <c r="S383" s="125">
        <f t="shared" si="92"/>
        <v>0</v>
      </c>
      <c r="T383" s="125">
        <f t="shared" si="93"/>
        <v>0</v>
      </c>
      <c r="U383" s="125">
        <f t="shared" si="94"/>
        <v>0</v>
      </c>
      <c r="V383" s="127">
        <f t="shared" si="95"/>
        <v>0</v>
      </c>
      <c r="W383" s="127">
        <f t="shared" si="96"/>
        <v>0</v>
      </c>
      <c r="X383" s="127">
        <f t="shared" si="97"/>
        <v>0</v>
      </c>
      <c r="Y383" s="127">
        <f t="shared" si="98"/>
        <v>0</v>
      </c>
      <c r="Z383" s="127">
        <f t="shared" si="99"/>
        <v>0</v>
      </c>
      <c r="AA383" s="127">
        <f t="shared" si="100"/>
        <v>0</v>
      </c>
      <c r="AB383" s="127">
        <f t="shared" si="101"/>
        <v>1</v>
      </c>
      <c r="AC383" s="127">
        <f t="shared" si="102"/>
        <v>0</v>
      </c>
      <c r="AD383" s="127">
        <f t="shared" si="103"/>
        <v>0</v>
      </c>
      <c r="AE383" s="127">
        <f t="shared" si="104"/>
        <v>0</v>
      </c>
      <c r="AF383" s="124"/>
      <c r="AG383" s="124"/>
      <c r="AH383" s="125">
        <f t="shared" si="105"/>
        <v>1</v>
      </c>
      <c r="AI383" s="125">
        <f t="shared" si="106"/>
        <v>1</v>
      </c>
      <c r="AJ383" s="125" t="str">
        <f t="shared" si="107"/>
        <v>Correct</v>
      </c>
      <c r="AK383" s="124"/>
      <c r="AL383" s="120" t="str">
        <f>IFERROR(VLOOKUP(Table1[RespondentID],'All Data'!$A$3:$CO$999,87,FALSE),"unknown")</f>
        <v>Woman</v>
      </c>
      <c r="AM383" s="120">
        <f>IFERROR(VLOOKUP(Table1[RespondentID],'All Data'!$A$3:$CO$999,88,FALSE),"unknown")</f>
        <v>0</v>
      </c>
      <c r="AN383" s="120" t="str">
        <f>IFERROR(VLOOKUP(Table1[RespondentID],'All Data'!$A$3:$CO$999,89,FALSE),"unknown")</f>
        <v>Nassau</v>
      </c>
      <c r="AO383" s="120" t="str">
        <f>IFERROR(VLOOKUP(Table1[RespondentID],'All Data'!$A$3:$CO$999,90,FALSE),"unknown")</f>
        <v>Valley Stream, 11580</v>
      </c>
      <c r="AP383" s="120" t="str">
        <f>IFERROR(VLOOKUP(Table1[RespondentID],'All Data'!$A$3:$CO$999,91,FALSE),"unknown")</f>
        <v>Other (please specify)</v>
      </c>
      <c r="AQ383" s="120" t="str">
        <f>IFERROR(VLOOKUP(Table1[RespondentID],'All Data'!$A$3:$CO$999,92,FALSE),"unknown")</f>
        <v>Unknown</v>
      </c>
      <c r="AR383" s="120" t="str">
        <f>IFERROR(VLOOKUP(Table1[RespondentID],'All Data'!$A$3:$CO$999,93,FALSE),"unknown")</f>
        <v>English</v>
      </c>
      <c r="AS383" s="120" t="str">
        <f>IFERROR(VLOOKUP(Table1[RespondentID],'All Data'!$A$3:$CW$999,94,FALSE),"unknown")</f>
        <v>$35,000 to $49,999</v>
      </c>
      <c r="AT383" s="120" t="str">
        <f>IFERROR(VLOOKUP(Table1[RespondentID],'All Data'!$A$3:$CW$999,95,FALSE),"unknown")</f>
        <v>Some college</v>
      </c>
      <c r="AU383" s="120" t="str">
        <f>IFERROR(VLOOKUP(Table1[RespondentID],'All Data'!$A$3:$CW$999,96,FALSE),"unknown")</f>
        <v>Employed for wages</v>
      </c>
      <c r="AV383" s="120" t="str">
        <f>IFERROR(VLOOKUP(Table1[RespondentID],'All Data'!$A$3:$CW$999,97,FALSE),"unknown")</f>
        <v>Yes</v>
      </c>
      <c r="AW383" s="120" t="str">
        <f>IFERROR(VLOOKUP(Table1[RespondentID],'All Data'!$A$3:$CW$999,98,FALSE),"unknown")</f>
        <v>Private/Commercial</v>
      </c>
      <c r="AX383" s="120" t="str">
        <f>IFERROR(VLOOKUP(Table1[RespondentID],'All Data'!$A$3:$CW$999,99,FALSE),"unknown")</f>
        <v>Yes</v>
      </c>
    </row>
    <row r="384" spans="1:50">
      <c r="A384" s="124">
        <v>114087334117</v>
      </c>
      <c r="B384" s="122" t="s">
        <v>16</v>
      </c>
      <c r="C384" s="123"/>
      <c r="D384" s="123"/>
      <c r="E384" s="123"/>
      <c r="F384" s="123"/>
      <c r="G384" s="123"/>
      <c r="H384" s="123"/>
      <c r="I384" s="123"/>
      <c r="J384" s="123"/>
      <c r="K384" s="123"/>
      <c r="L384" s="123"/>
      <c r="M384" s="123"/>
      <c r="N384" s="123" t="s">
        <v>28</v>
      </c>
      <c r="O384" s="124"/>
      <c r="P384" s="125">
        <f t="shared" si="90"/>
        <v>2</v>
      </c>
      <c r="Q384" s="126">
        <f t="shared" si="91"/>
        <v>1.5</v>
      </c>
      <c r="R384" s="124"/>
      <c r="S384" s="125">
        <f t="shared" si="92"/>
        <v>1</v>
      </c>
      <c r="T384" s="125">
        <f t="shared" si="93"/>
        <v>0</v>
      </c>
      <c r="U384" s="125">
        <f t="shared" si="94"/>
        <v>0</v>
      </c>
      <c r="V384" s="127">
        <f t="shared" si="95"/>
        <v>0</v>
      </c>
      <c r="W384" s="127">
        <f t="shared" si="96"/>
        <v>0</v>
      </c>
      <c r="X384" s="127">
        <f t="shared" si="97"/>
        <v>0</v>
      </c>
      <c r="Y384" s="127">
        <f t="shared" si="98"/>
        <v>0</v>
      </c>
      <c r="Z384" s="127">
        <f t="shared" si="99"/>
        <v>0</v>
      </c>
      <c r="AA384" s="127">
        <f t="shared" si="100"/>
        <v>0</v>
      </c>
      <c r="AB384" s="127">
        <f t="shared" si="101"/>
        <v>0</v>
      </c>
      <c r="AC384" s="127">
        <f t="shared" si="102"/>
        <v>0</v>
      </c>
      <c r="AD384" s="127">
        <f t="shared" si="103"/>
        <v>0</v>
      </c>
      <c r="AE384" s="127">
        <f t="shared" si="104"/>
        <v>1</v>
      </c>
      <c r="AF384" s="124"/>
      <c r="AG384" s="124"/>
      <c r="AH384" s="125">
        <f t="shared" si="105"/>
        <v>2</v>
      </c>
      <c r="AI384" s="125">
        <f t="shared" si="106"/>
        <v>2</v>
      </c>
      <c r="AJ384" s="125" t="str">
        <f t="shared" si="107"/>
        <v>Correct</v>
      </c>
      <c r="AK384" s="124"/>
      <c r="AL384" s="120" t="str">
        <f>IFERROR(VLOOKUP(Table1[RespondentID],'All Data'!$A$3:$CO$999,87,FALSE),"unknown")</f>
        <v>Woman</v>
      </c>
      <c r="AM384" s="120">
        <f>IFERROR(VLOOKUP(Table1[RespondentID],'All Data'!$A$3:$CO$999,88,FALSE),"unknown")</f>
        <v>0</v>
      </c>
      <c r="AN384" s="120" t="str">
        <f>IFERROR(VLOOKUP(Table1[RespondentID],'All Data'!$A$3:$CO$999,89,FALSE),"unknown")</f>
        <v>Nassau</v>
      </c>
      <c r="AO384" s="120" t="str">
        <f>IFERROR(VLOOKUP(Table1[RespondentID],'All Data'!$A$3:$CO$999,90,FALSE),"unknown")</f>
        <v>Freeport, 11520</v>
      </c>
      <c r="AP384" s="120" t="str">
        <f>IFERROR(VLOOKUP(Table1[RespondentID],'All Data'!$A$3:$CO$999,91,FALSE),"unknown")</f>
        <v>White</v>
      </c>
      <c r="AQ384" s="120" t="str">
        <f>IFERROR(VLOOKUP(Table1[RespondentID],'All Data'!$A$3:$CO$999,92,FALSE),"unknown")</f>
        <v>Not Hispanic or Latino</v>
      </c>
      <c r="AR384" s="120" t="str">
        <f>IFERROR(VLOOKUP(Table1[RespondentID],'All Data'!$A$3:$CO$999,93,FALSE),"unknown")</f>
        <v>English</v>
      </c>
      <c r="AS384" s="120" t="str">
        <f>IFERROR(VLOOKUP(Table1[RespondentID],'All Data'!$A$3:$CW$999,94,FALSE),"unknown")</f>
        <v>$75,000 to $125,000</v>
      </c>
      <c r="AT384" s="120" t="str">
        <f>IFERROR(VLOOKUP(Table1[RespondentID],'All Data'!$A$3:$CW$999,95,FALSE),"unknown")</f>
        <v>Graduate school</v>
      </c>
      <c r="AU384" s="120" t="str">
        <f>IFERROR(VLOOKUP(Table1[RespondentID],'All Data'!$A$3:$CW$999,96,FALSE),"unknown")</f>
        <v>Employed for wages</v>
      </c>
      <c r="AV384" s="120" t="str">
        <f>IFERROR(VLOOKUP(Table1[RespondentID],'All Data'!$A$3:$CW$999,97,FALSE),"unknown")</f>
        <v>Yes</v>
      </c>
      <c r="AW384" s="120" t="str">
        <f>IFERROR(VLOOKUP(Table1[RespondentID],'All Data'!$A$3:$CW$999,98,FALSE),"unknown")</f>
        <v>Private/Commercial</v>
      </c>
      <c r="AX384" s="120" t="str">
        <f>IFERROR(VLOOKUP(Table1[RespondentID],'All Data'!$A$3:$CW$999,99,FALSE),"unknown")</f>
        <v>Yes</v>
      </c>
    </row>
    <row r="385" spans="1:50">
      <c r="A385" s="124">
        <v>114087289322</v>
      </c>
      <c r="B385" s="122"/>
      <c r="C385" s="123"/>
      <c r="D385" s="123" t="s">
        <v>18</v>
      </c>
      <c r="E385" s="123" t="s">
        <v>19</v>
      </c>
      <c r="F385" s="123"/>
      <c r="G385" s="123"/>
      <c r="H385" s="123"/>
      <c r="I385" s="123" t="s">
        <v>23</v>
      </c>
      <c r="J385" s="123"/>
      <c r="K385" s="123"/>
      <c r="L385" s="123"/>
      <c r="M385" s="123"/>
      <c r="N385" s="123"/>
      <c r="O385" s="124"/>
      <c r="P385" s="125">
        <f t="shared" si="90"/>
        <v>3</v>
      </c>
      <c r="Q385" s="126">
        <f t="shared" si="91"/>
        <v>1</v>
      </c>
      <c r="R385" s="124"/>
      <c r="S385" s="125">
        <f t="shared" si="92"/>
        <v>0</v>
      </c>
      <c r="T385" s="125">
        <f t="shared" si="93"/>
        <v>0</v>
      </c>
      <c r="U385" s="125">
        <f t="shared" si="94"/>
        <v>1</v>
      </c>
      <c r="V385" s="127">
        <f t="shared" si="95"/>
        <v>1</v>
      </c>
      <c r="W385" s="127">
        <f t="shared" si="96"/>
        <v>0</v>
      </c>
      <c r="X385" s="127">
        <f t="shared" si="97"/>
        <v>0</v>
      </c>
      <c r="Y385" s="127">
        <f t="shared" si="98"/>
        <v>0</v>
      </c>
      <c r="Z385" s="127">
        <f t="shared" si="99"/>
        <v>1</v>
      </c>
      <c r="AA385" s="127">
        <f t="shared" si="100"/>
        <v>0</v>
      </c>
      <c r="AB385" s="127">
        <f t="shared" si="101"/>
        <v>0</v>
      </c>
      <c r="AC385" s="127">
        <f t="shared" si="102"/>
        <v>0</v>
      </c>
      <c r="AD385" s="127">
        <f t="shared" si="103"/>
        <v>0</v>
      </c>
      <c r="AE385" s="127">
        <f t="shared" si="104"/>
        <v>0</v>
      </c>
      <c r="AF385" s="124"/>
      <c r="AG385" s="124"/>
      <c r="AH385" s="125">
        <f t="shared" si="105"/>
        <v>3</v>
      </c>
      <c r="AI385" s="125">
        <f t="shared" si="106"/>
        <v>3</v>
      </c>
      <c r="AJ385" s="125" t="str">
        <f t="shared" si="107"/>
        <v>Correct</v>
      </c>
      <c r="AK385" s="124"/>
      <c r="AL385" s="120" t="str">
        <f>IFERROR(VLOOKUP(Table1[RespondentID],'All Data'!$A$3:$CO$999,87,FALSE),"unknown")</f>
        <v>Woman</v>
      </c>
      <c r="AM385" s="120">
        <f>IFERROR(VLOOKUP(Table1[RespondentID],'All Data'!$A$3:$CO$999,88,FALSE),"unknown")</f>
        <v>0</v>
      </c>
      <c r="AN385" s="120" t="str">
        <f>IFERROR(VLOOKUP(Table1[RespondentID],'All Data'!$A$3:$CO$999,89,FALSE),"unknown")</f>
        <v>Nassau</v>
      </c>
      <c r="AO385" s="120" t="str">
        <f>IFERROR(VLOOKUP(Table1[RespondentID],'All Data'!$A$3:$CO$999,90,FALSE),"unknown")</f>
        <v>Franklin Square, 11010</v>
      </c>
      <c r="AP385" s="120" t="str">
        <f>IFERROR(VLOOKUP(Table1[RespondentID],'All Data'!$A$3:$CO$999,91,FALSE),"unknown")</f>
        <v>White</v>
      </c>
      <c r="AQ385" s="120" t="str">
        <f>IFERROR(VLOOKUP(Table1[RespondentID],'All Data'!$A$3:$CO$999,92,FALSE),"unknown")</f>
        <v>Not Hispanic or Latino</v>
      </c>
      <c r="AR385" s="120" t="str">
        <f>IFERROR(VLOOKUP(Table1[RespondentID],'All Data'!$A$3:$CO$999,93,FALSE),"unknown")</f>
        <v>English</v>
      </c>
      <c r="AS385" s="120" t="str">
        <f>IFERROR(VLOOKUP(Table1[RespondentID],'All Data'!$A$3:$CW$999,94,FALSE),"unknown")</f>
        <v>Over $125,000</v>
      </c>
      <c r="AT385" s="120" t="str">
        <f>IFERROR(VLOOKUP(Table1[RespondentID],'All Data'!$A$3:$CW$999,95,FALSE),"unknown")</f>
        <v>College graduate</v>
      </c>
      <c r="AU385" s="120" t="str">
        <f>IFERROR(VLOOKUP(Table1[RespondentID],'All Data'!$A$3:$CW$999,96,FALSE),"unknown")</f>
        <v>Employed for wages</v>
      </c>
      <c r="AV385" s="120" t="str">
        <f>IFERROR(VLOOKUP(Table1[RespondentID],'All Data'!$A$3:$CW$999,97,FALSE),"unknown")</f>
        <v>Yes</v>
      </c>
      <c r="AW385" s="120" t="str">
        <f>IFERROR(VLOOKUP(Table1[RespondentID],'All Data'!$A$3:$CW$999,98,FALSE),"unknown")</f>
        <v>Private/Commercial</v>
      </c>
      <c r="AX385" s="120" t="str">
        <f>IFERROR(VLOOKUP(Table1[RespondentID],'All Data'!$A$3:$CW$999,99,FALSE),"unknown")</f>
        <v>Yes</v>
      </c>
    </row>
    <row r="386" spans="1:50">
      <c r="A386" s="124">
        <v>114087207731</v>
      </c>
      <c r="B386" s="122"/>
      <c r="C386" s="123"/>
      <c r="D386" s="123"/>
      <c r="E386" s="123"/>
      <c r="F386" s="123"/>
      <c r="G386" s="123"/>
      <c r="H386" s="123"/>
      <c r="I386" s="123"/>
      <c r="J386" s="123"/>
      <c r="K386" s="123"/>
      <c r="L386" s="123"/>
      <c r="M386" s="123"/>
      <c r="N386" s="123" t="s">
        <v>28</v>
      </c>
      <c r="O386" s="124"/>
      <c r="P386" s="125">
        <f t="shared" ref="P386:P429" si="108">COUNTA(B386:N386)</f>
        <v>1</v>
      </c>
      <c r="Q386" s="126">
        <f t="shared" ref="Q386:Q429" si="109">3/P386</f>
        <v>3</v>
      </c>
      <c r="R386" s="124"/>
      <c r="S386" s="125">
        <f t="shared" ref="S386:S429" si="110">IF($P386&lt;3,IF($B386=$B$1,1,0),IF($B386=$B$1,$Q386,0))</f>
        <v>0</v>
      </c>
      <c r="T386" s="125">
        <f t="shared" ref="T386:T429" si="111">IF($P386&lt;3,IF($C386=$C$1,1,0),IF($C386=$C$1,$Q386,0))</f>
        <v>0</v>
      </c>
      <c r="U386" s="125">
        <f t="shared" ref="U386:U429" si="112">IF($P386&lt;3,IF($D386=$D$1,1,0),IF($D386=$D$1,$Q386,0))</f>
        <v>0</v>
      </c>
      <c r="V386" s="127">
        <f t="shared" ref="V386:V429" si="113">IF($P386&lt;3,IF($E386=$E$1,1,0),IF($E386=$E$1,$Q386,0))</f>
        <v>0</v>
      </c>
      <c r="W386" s="127">
        <f t="shared" ref="W386:W429" si="114">IF($P386&lt;3,IF($F386=$F$1,1,0),IF($F386=$F$1,$Q386,0))</f>
        <v>0</v>
      </c>
      <c r="X386" s="127">
        <f t="shared" ref="X386:X429" si="115">IF($P386&lt;3,IF($G386=$G$1,1,0),IF($G386=$G$1,$Q386,0))</f>
        <v>0</v>
      </c>
      <c r="Y386" s="127">
        <f t="shared" ref="Y386:Y429" si="116">IF($P386&lt;3,IF($H386=$H$1,1,0),IF($H386=$H$1,$Q386,0))</f>
        <v>0</v>
      </c>
      <c r="Z386" s="127">
        <f t="shared" ref="Z386:Z429" si="117">IF($P386&lt;3,IF($I386=$I$1,1,0),IF($I386=$I$1,$Q386,0))</f>
        <v>0</v>
      </c>
      <c r="AA386" s="127">
        <f t="shared" ref="AA386:AA429" si="118">IF($P386&lt;3,IF($J386=$J$1,1,0),IF($J386=$J$1,$Q386,0))</f>
        <v>0</v>
      </c>
      <c r="AB386" s="127">
        <f t="shared" ref="AB386:AB429" si="119">IF($P386&lt;3,IF($K386=$K$1,1,0),IF($K386=$K$1,$Q386,0))</f>
        <v>0</v>
      </c>
      <c r="AC386" s="127">
        <f t="shared" ref="AC386:AC429" si="120">IF($P386&lt;3,IF($L386=$L$1,1,0),IF($L386=$L$1,$Q386,0))</f>
        <v>0</v>
      </c>
      <c r="AD386" s="127">
        <f t="shared" ref="AD386:AD429" si="121">IF($P386&lt;3,IF($M386=$M$1,1,0),IF($M386=$M$1,$Q386,0))</f>
        <v>0</v>
      </c>
      <c r="AE386" s="127">
        <f t="shared" ref="AE386:AE429" si="122">IF($P386&lt;3,IF($N386=$N$1,1,0),IF($N386=$N$1,$Q386,0))</f>
        <v>1</v>
      </c>
      <c r="AF386" s="124"/>
      <c r="AG386" s="124"/>
      <c r="AH386" s="125">
        <f t="shared" ref="AH386:AH429" si="123">SUM(S386:AE386)</f>
        <v>1</v>
      </c>
      <c r="AI386" s="125">
        <f t="shared" ref="AI386:AI429" si="124">P386</f>
        <v>1</v>
      </c>
      <c r="AJ386" s="125" t="str">
        <f t="shared" ref="AJ386:AJ429" si="125">IF(AH386=AI386,"Correct",IF(AH386=3,"Correct","Wrong"))</f>
        <v>Correct</v>
      </c>
      <c r="AK386" s="124"/>
      <c r="AL386" s="120" t="str">
        <f>IFERROR(VLOOKUP(Table1[RespondentID],'All Data'!$A$3:$CO$999,87,FALSE),"unknown")</f>
        <v>Woman</v>
      </c>
      <c r="AM386" s="120">
        <f>IFERROR(VLOOKUP(Table1[RespondentID],'All Data'!$A$3:$CO$999,88,FALSE),"unknown")</f>
        <v>0</v>
      </c>
      <c r="AN386" s="120" t="str">
        <f>IFERROR(VLOOKUP(Table1[RespondentID],'All Data'!$A$3:$CO$999,89,FALSE),"unknown")</f>
        <v>Nassau</v>
      </c>
      <c r="AO386" s="120" t="str">
        <f>IFERROR(VLOOKUP(Table1[RespondentID],'All Data'!$A$3:$CO$999,90,FALSE),"unknown")</f>
        <v>Wantagh, 11793</v>
      </c>
      <c r="AP386" s="120" t="str">
        <f>IFERROR(VLOOKUP(Table1[RespondentID],'All Data'!$A$3:$CO$999,91,FALSE),"unknown")</f>
        <v>White</v>
      </c>
      <c r="AQ386" s="120" t="str">
        <f>IFERROR(VLOOKUP(Table1[RespondentID],'All Data'!$A$3:$CO$999,92,FALSE),"unknown")</f>
        <v>Not Hispanic or Latino</v>
      </c>
      <c r="AR386" s="120" t="str">
        <f>IFERROR(VLOOKUP(Table1[RespondentID],'All Data'!$A$3:$CO$999,93,FALSE),"unknown")</f>
        <v>English</v>
      </c>
      <c r="AS386" s="120" t="str">
        <f>IFERROR(VLOOKUP(Table1[RespondentID],'All Data'!$A$3:$CW$999,94,FALSE),"unknown")</f>
        <v>$75,000 to $125,000</v>
      </c>
      <c r="AT386" s="120" t="str">
        <f>IFERROR(VLOOKUP(Table1[RespondentID],'All Data'!$A$3:$CW$999,95,FALSE),"unknown")</f>
        <v>College graduate</v>
      </c>
      <c r="AU386" s="120" t="str">
        <f>IFERROR(VLOOKUP(Table1[RespondentID],'All Data'!$A$3:$CW$999,96,FALSE),"unknown")</f>
        <v>Employed for wages</v>
      </c>
      <c r="AV386" s="120" t="str">
        <f>IFERROR(VLOOKUP(Table1[RespondentID],'All Data'!$A$3:$CW$999,97,FALSE),"unknown")</f>
        <v>Yes</v>
      </c>
      <c r="AW386" s="120" t="str">
        <f>IFERROR(VLOOKUP(Table1[RespondentID],'All Data'!$A$3:$CW$999,98,FALSE),"unknown")</f>
        <v>Private/Commercial</v>
      </c>
      <c r="AX386" s="120" t="str">
        <f>IFERROR(VLOOKUP(Table1[RespondentID],'All Data'!$A$3:$CW$999,99,FALSE),"unknown")</f>
        <v>Yes</v>
      </c>
    </row>
    <row r="387" spans="1:50">
      <c r="A387" s="124">
        <v>114086765018</v>
      </c>
      <c r="B387" s="122"/>
      <c r="C387" s="123"/>
      <c r="D387" s="123"/>
      <c r="E387" s="123"/>
      <c r="F387" s="123"/>
      <c r="G387" s="123"/>
      <c r="H387" s="123"/>
      <c r="I387" s="123"/>
      <c r="J387" s="123" t="s">
        <v>24</v>
      </c>
      <c r="K387" s="123"/>
      <c r="L387" s="123"/>
      <c r="M387" s="123"/>
      <c r="N387" s="123" t="s">
        <v>28</v>
      </c>
      <c r="O387" s="124"/>
      <c r="P387" s="125">
        <f t="shared" si="108"/>
        <v>2</v>
      </c>
      <c r="Q387" s="126">
        <f t="shared" si="109"/>
        <v>1.5</v>
      </c>
      <c r="R387" s="124"/>
      <c r="S387" s="125">
        <f t="shared" si="110"/>
        <v>0</v>
      </c>
      <c r="T387" s="125">
        <f t="shared" si="111"/>
        <v>0</v>
      </c>
      <c r="U387" s="125">
        <f t="shared" si="112"/>
        <v>0</v>
      </c>
      <c r="V387" s="127">
        <f t="shared" si="113"/>
        <v>0</v>
      </c>
      <c r="W387" s="127">
        <f t="shared" si="114"/>
        <v>0</v>
      </c>
      <c r="X387" s="127">
        <f t="shared" si="115"/>
        <v>0</v>
      </c>
      <c r="Y387" s="127">
        <f t="shared" si="116"/>
        <v>0</v>
      </c>
      <c r="Z387" s="127">
        <f t="shared" si="117"/>
        <v>0</v>
      </c>
      <c r="AA387" s="127">
        <f t="shared" si="118"/>
        <v>1</v>
      </c>
      <c r="AB387" s="127">
        <f t="shared" si="119"/>
        <v>0</v>
      </c>
      <c r="AC387" s="127">
        <f t="shared" si="120"/>
        <v>0</v>
      </c>
      <c r="AD387" s="127">
        <f t="shared" si="121"/>
        <v>0</v>
      </c>
      <c r="AE387" s="127">
        <f t="shared" si="122"/>
        <v>1</v>
      </c>
      <c r="AF387" s="124"/>
      <c r="AG387" s="124"/>
      <c r="AH387" s="125">
        <f t="shared" si="123"/>
        <v>2</v>
      </c>
      <c r="AI387" s="125">
        <f t="shared" si="124"/>
        <v>2</v>
      </c>
      <c r="AJ387" s="125" t="str">
        <f t="shared" si="125"/>
        <v>Correct</v>
      </c>
      <c r="AK387" s="124"/>
      <c r="AL387" s="120" t="str">
        <f>IFERROR(VLOOKUP(Table1[RespondentID],'All Data'!$A$3:$CO$999,87,FALSE),"unknown")</f>
        <v>Man</v>
      </c>
      <c r="AM387" s="120">
        <f>IFERROR(VLOOKUP(Table1[RespondentID],'All Data'!$A$3:$CO$999,88,FALSE),"unknown")</f>
        <v>0</v>
      </c>
      <c r="AN387" s="120" t="str">
        <f>IFERROR(VLOOKUP(Table1[RespondentID],'All Data'!$A$3:$CO$999,89,FALSE),"unknown")</f>
        <v>Suffolk</v>
      </c>
      <c r="AO387" s="120" t="str">
        <f>IFERROR(VLOOKUP(Table1[RespondentID],'All Data'!$A$3:$CO$999,90,FALSE),"unknown")</f>
        <v>West Islip, 11795</v>
      </c>
      <c r="AP387" s="120" t="str">
        <f>IFERROR(VLOOKUP(Table1[RespondentID],'All Data'!$A$3:$CO$999,91,FALSE),"unknown")</f>
        <v>White</v>
      </c>
      <c r="AQ387" s="120" t="str">
        <f>IFERROR(VLOOKUP(Table1[RespondentID],'All Data'!$A$3:$CO$999,92,FALSE),"unknown")</f>
        <v>Not Hispanic or Latino</v>
      </c>
      <c r="AR387" s="120" t="str">
        <f>IFERROR(VLOOKUP(Table1[RespondentID],'All Data'!$A$3:$CO$999,93,FALSE),"unknown")</f>
        <v>English</v>
      </c>
      <c r="AS387" s="120" t="str">
        <f>IFERROR(VLOOKUP(Table1[RespondentID],'All Data'!$A$3:$CW$999,94,FALSE),"unknown")</f>
        <v>Over $125,000</v>
      </c>
      <c r="AT387" s="120" t="str">
        <f>IFERROR(VLOOKUP(Table1[RespondentID],'All Data'!$A$3:$CW$999,95,FALSE),"unknown")</f>
        <v>College graduate</v>
      </c>
      <c r="AU387" s="120" t="str">
        <f>IFERROR(VLOOKUP(Table1[RespondentID],'All Data'!$A$3:$CW$999,96,FALSE),"unknown")</f>
        <v>Employed for wages</v>
      </c>
      <c r="AV387" s="120" t="str">
        <f>IFERROR(VLOOKUP(Table1[RespondentID],'All Data'!$A$3:$CW$999,97,FALSE),"unknown")</f>
        <v>Yes</v>
      </c>
      <c r="AW387" s="120" t="str">
        <f>IFERROR(VLOOKUP(Table1[RespondentID],'All Data'!$A$3:$CW$999,98,FALSE),"unknown")</f>
        <v>Private/Commercial</v>
      </c>
      <c r="AX387" s="120" t="str">
        <f>IFERROR(VLOOKUP(Table1[RespondentID],'All Data'!$A$3:$CW$999,99,FALSE),"unknown")</f>
        <v>Yes</v>
      </c>
    </row>
    <row r="388" spans="1:50">
      <c r="A388" s="124">
        <v>114086729438</v>
      </c>
      <c r="B388" s="122"/>
      <c r="C388" s="123" t="s">
        <v>17</v>
      </c>
      <c r="D388" s="123"/>
      <c r="E388" s="123"/>
      <c r="F388" s="123"/>
      <c r="G388" s="123"/>
      <c r="H388" s="123"/>
      <c r="I388" s="123" t="s">
        <v>23</v>
      </c>
      <c r="J388" s="123"/>
      <c r="K388" s="123"/>
      <c r="L388" s="123"/>
      <c r="M388" s="123" t="s">
        <v>27</v>
      </c>
      <c r="N388" s="123"/>
      <c r="O388" s="124"/>
      <c r="P388" s="125">
        <f t="shared" si="108"/>
        <v>3</v>
      </c>
      <c r="Q388" s="126">
        <f t="shared" si="109"/>
        <v>1</v>
      </c>
      <c r="R388" s="124"/>
      <c r="S388" s="125">
        <f t="shared" si="110"/>
        <v>0</v>
      </c>
      <c r="T388" s="125">
        <f t="shared" si="111"/>
        <v>1</v>
      </c>
      <c r="U388" s="125">
        <f t="shared" si="112"/>
        <v>0</v>
      </c>
      <c r="V388" s="127">
        <f t="shared" si="113"/>
        <v>0</v>
      </c>
      <c r="W388" s="127">
        <f t="shared" si="114"/>
        <v>0</v>
      </c>
      <c r="X388" s="127">
        <f t="shared" si="115"/>
        <v>0</v>
      </c>
      <c r="Y388" s="127">
        <f t="shared" si="116"/>
        <v>0</v>
      </c>
      <c r="Z388" s="127">
        <f t="shared" si="117"/>
        <v>1</v>
      </c>
      <c r="AA388" s="127">
        <f t="shared" si="118"/>
        <v>0</v>
      </c>
      <c r="AB388" s="127">
        <f t="shared" si="119"/>
        <v>0</v>
      </c>
      <c r="AC388" s="127">
        <f t="shared" si="120"/>
        <v>0</v>
      </c>
      <c r="AD388" s="127">
        <f t="shared" si="121"/>
        <v>1</v>
      </c>
      <c r="AE388" s="127">
        <f t="shared" si="122"/>
        <v>0</v>
      </c>
      <c r="AF388" s="124"/>
      <c r="AG388" s="124"/>
      <c r="AH388" s="125">
        <f t="shared" si="123"/>
        <v>3</v>
      </c>
      <c r="AI388" s="125">
        <f t="shared" si="124"/>
        <v>3</v>
      </c>
      <c r="AJ388" s="125" t="str">
        <f t="shared" si="125"/>
        <v>Correct</v>
      </c>
      <c r="AK388" s="124"/>
      <c r="AL388" s="120" t="str">
        <f>IFERROR(VLOOKUP(Table1[RespondentID],'All Data'!$A$3:$CO$999,87,FALSE),"unknown")</f>
        <v>Woman</v>
      </c>
      <c r="AM388" s="120">
        <f>IFERROR(VLOOKUP(Table1[RespondentID],'All Data'!$A$3:$CO$999,88,FALSE),"unknown")</f>
        <v>0</v>
      </c>
      <c r="AN388" s="120" t="str">
        <f>IFERROR(VLOOKUP(Table1[RespondentID],'All Data'!$A$3:$CO$999,89,FALSE),"unknown")</f>
        <v>Nassau</v>
      </c>
      <c r="AO388" s="120" t="str">
        <f>IFERROR(VLOOKUP(Table1[RespondentID],'All Data'!$A$3:$CO$999,90,FALSE),"unknown")</f>
        <v>Roslyn, 11576</v>
      </c>
      <c r="AP388" s="120" t="str">
        <f>IFERROR(VLOOKUP(Table1[RespondentID],'All Data'!$A$3:$CO$999,91,FALSE),"unknown")</f>
        <v>White</v>
      </c>
      <c r="AQ388" s="120" t="str">
        <f>IFERROR(VLOOKUP(Table1[RespondentID],'All Data'!$A$3:$CO$999,92,FALSE),"unknown")</f>
        <v>Not Hispanic or Latino</v>
      </c>
      <c r="AR388" s="120">
        <f>IFERROR(VLOOKUP(Table1[RespondentID],'All Data'!$A$3:$CO$999,93,FALSE),"unknown")</f>
        <v>0</v>
      </c>
      <c r="AS388" s="120" t="str">
        <f>IFERROR(VLOOKUP(Table1[RespondentID],'All Data'!$A$3:$CW$999,94,FALSE),"unknown")</f>
        <v>$75,000 to $125,000</v>
      </c>
      <c r="AT388" s="120" t="str">
        <f>IFERROR(VLOOKUP(Table1[RespondentID],'All Data'!$A$3:$CW$999,95,FALSE),"unknown")</f>
        <v>College graduate</v>
      </c>
      <c r="AU388" s="120" t="str">
        <f>IFERROR(VLOOKUP(Table1[RespondentID],'All Data'!$A$3:$CW$999,96,FALSE),"unknown")</f>
        <v>Employed for wages</v>
      </c>
      <c r="AV388" s="120" t="str">
        <f>IFERROR(VLOOKUP(Table1[RespondentID],'All Data'!$A$3:$CW$999,97,FALSE),"unknown")</f>
        <v>Yes</v>
      </c>
      <c r="AW388" s="120" t="str">
        <f>IFERROR(VLOOKUP(Table1[RespondentID],'All Data'!$A$3:$CW$999,98,FALSE),"unknown")</f>
        <v>Private/Commercial</v>
      </c>
      <c r="AX388" s="120" t="str">
        <f>IFERROR(VLOOKUP(Table1[RespondentID],'All Data'!$A$3:$CW$999,99,FALSE),"unknown")</f>
        <v>Yes</v>
      </c>
    </row>
    <row r="389" spans="1:50">
      <c r="A389" s="124">
        <v>114086716435</v>
      </c>
      <c r="B389" s="122"/>
      <c r="C389" s="123"/>
      <c r="D389" s="123" t="s">
        <v>18</v>
      </c>
      <c r="E389" s="123"/>
      <c r="F389" s="123"/>
      <c r="G389" s="123"/>
      <c r="H389" s="123"/>
      <c r="I389" s="123" t="s">
        <v>23</v>
      </c>
      <c r="J389" s="123" t="s">
        <v>24</v>
      </c>
      <c r="K389" s="123"/>
      <c r="L389" s="123"/>
      <c r="M389" s="123"/>
      <c r="N389" s="123" t="s">
        <v>28</v>
      </c>
      <c r="O389" s="124"/>
      <c r="P389" s="125">
        <f t="shared" si="108"/>
        <v>4</v>
      </c>
      <c r="Q389" s="126">
        <f t="shared" si="109"/>
        <v>0.75</v>
      </c>
      <c r="R389" s="124"/>
      <c r="S389" s="125">
        <f t="shared" si="110"/>
        <v>0</v>
      </c>
      <c r="T389" s="125">
        <f t="shared" si="111"/>
        <v>0</v>
      </c>
      <c r="U389" s="125">
        <f t="shared" si="112"/>
        <v>0.75</v>
      </c>
      <c r="V389" s="127">
        <f t="shared" si="113"/>
        <v>0</v>
      </c>
      <c r="W389" s="127">
        <f t="shared" si="114"/>
        <v>0</v>
      </c>
      <c r="X389" s="127">
        <f t="shared" si="115"/>
        <v>0</v>
      </c>
      <c r="Y389" s="127">
        <f t="shared" si="116"/>
        <v>0</v>
      </c>
      <c r="Z389" s="127">
        <f t="shared" si="117"/>
        <v>0.75</v>
      </c>
      <c r="AA389" s="127">
        <f t="shared" si="118"/>
        <v>0.75</v>
      </c>
      <c r="AB389" s="127">
        <f t="shared" si="119"/>
        <v>0</v>
      </c>
      <c r="AC389" s="127">
        <f t="shared" si="120"/>
        <v>0</v>
      </c>
      <c r="AD389" s="127">
        <f t="shared" si="121"/>
        <v>0</v>
      </c>
      <c r="AE389" s="127">
        <f t="shared" si="122"/>
        <v>0.75</v>
      </c>
      <c r="AF389" s="124"/>
      <c r="AG389" s="124"/>
      <c r="AH389" s="125">
        <f t="shared" si="123"/>
        <v>3</v>
      </c>
      <c r="AI389" s="125">
        <f t="shared" si="124"/>
        <v>4</v>
      </c>
      <c r="AJ389" s="125" t="str">
        <f t="shared" si="125"/>
        <v>Correct</v>
      </c>
      <c r="AK389" s="124"/>
      <c r="AL389" s="120" t="str">
        <f>IFERROR(VLOOKUP(Table1[RespondentID],'All Data'!$A$3:$CO$999,87,FALSE),"unknown")</f>
        <v>Woman</v>
      </c>
      <c r="AM389" s="120">
        <f>IFERROR(VLOOKUP(Table1[RespondentID],'All Data'!$A$3:$CO$999,88,FALSE),"unknown")</f>
        <v>0</v>
      </c>
      <c r="AN389" s="120" t="str">
        <f>IFERROR(VLOOKUP(Table1[RespondentID],'All Data'!$A$3:$CO$999,89,FALSE),"unknown")</f>
        <v>Nassau</v>
      </c>
      <c r="AO389" s="120" t="str">
        <f>IFERROR(VLOOKUP(Table1[RespondentID],'All Data'!$A$3:$CO$999,90,FALSE),"unknown")</f>
        <v>North New Hyde Park, 11040</v>
      </c>
      <c r="AP389" s="120" t="str">
        <f>IFERROR(VLOOKUP(Table1[RespondentID],'All Data'!$A$3:$CO$999,91,FALSE),"unknown")</f>
        <v>Asian</v>
      </c>
      <c r="AQ389" s="120" t="str">
        <f>IFERROR(VLOOKUP(Table1[RespondentID],'All Data'!$A$3:$CO$999,92,FALSE),"unknown")</f>
        <v>Not Hispanic or Latino</v>
      </c>
      <c r="AR389" s="120" t="str">
        <f>IFERROR(VLOOKUP(Table1[RespondentID],'All Data'!$A$3:$CO$999,93,FALSE),"unknown")</f>
        <v>English</v>
      </c>
      <c r="AS389" s="120" t="str">
        <f>IFERROR(VLOOKUP(Table1[RespondentID],'All Data'!$A$3:$CW$999,94,FALSE),"unknown")</f>
        <v>$50,000 to $74,999</v>
      </c>
      <c r="AT389" s="120" t="str">
        <f>IFERROR(VLOOKUP(Table1[RespondentID],'All Data'!$A$3:$CW$999,95,FALSE),"unknown")</f>
        <v>College graduate</v>
      </c>
      <c r="AU389" s="120" t="str">
        <f>IFERROR(VLOOKUP(Table1[RespondentID],'All Data'!$A$3:$CW$999,96,FALSE),"unknown")</f>
        <v>Employed for wages</v>
      </c>
      <c r="AV389" s="120" t="str">
        <f>IFERROR(VLOOKUP(Table1[RespondentID],'All Data'!$A$3:$CW$999,97,FALSE),"unknown")</f>
        <v>Yes</v>
      </c>
      <c r="AW389" s="120" t="str">
        <f>IFERROR(VLOOKUP(Table1[RespondentID],'All Data'!$A$3:$CW$999,98,FALSE),"unknown")</f>
        <v>Private/Commercial</v>
      </c>
      <c r="AX389" s="120" t="str">
        <f>IFERROR(VLOOKUP(Table1[RespondentID],'All Data'!$A$3:$CW$999,99,FALSE),"unknown")</f>
        <v>Yes</v>
      </c>
    </row>
    <row r="390" spans="1:50">
      <c r="A390" s="124">
        <v>114086712665</v>
      </c>
      <c r="B390" s="122"/>
      <c r="C390" s="123"/>
      <c r="D390" s="123"/>
      <c r="E390" s="123"/>
      <c r="F390" s="123"/>
      <c r="G390" s="123"/>
      <c r="H390" s="123"/>
      <c r="I390" s="123" t="s">
        <v>23</v>
      </c>
      <c r="J390" s="123"/>
      <c r="K390" s="123"/>
      <c r="L390" s="123"/>
      <c r="M390" s="123"/>
      <c r="N390" s="123"/>
      <c r="O390" s="124"/>
      <c r="P390" s="125">
        <f t="shared" si="108"/>
        <v>1</v>
      </c>
      <c r="Q390" s="126">
        <f t="shared" si="109"/>
        <v>3</v>
      </c>
      <c r="R390" s="124"/>
      <c r="S390" s="125">
        <f t="shared" si="110"/>
        <v>0</v>
      </c>
      <c r="T390" s="125">
        <f t="shared" si="111"/>
        <v>0</v>
      </c>
      <c r="U390" s="125">
        <f t="shared" si="112"/>
        <v>0</v>
      </c>
      <c r="V390" s="127">
        <f t="shared" si="113"/>
        <v>0</v>
      </c>
      <c r="W390" s="127">
        <f t="shared" si="114"/>
        <v>0</v>
      </c>
      <c r="X390" s="127">
        <f t="shared" si="115"/>
        <v>0</v>
      </c>
      <c r="Y390" s="127">
        <f t="shared" si="116"/>
        <v>0</v>
      </c>
      <c r="Z390" s="127">
        <f t="shared" si="117"/>
        <v>1</v>
      </c>
      <c r="AA390" s="127">
        <f t="shared" si="118"/>
        <v>0</v>
      </c>
      <c r="AB390" s="127">
        <f t="shared" si="119"/>
        <v>0</v>
      </c>
      <c r="AC390" s="127">
        <f t="shared" si="120"/>
        <v>0</v>
      </c>
      <c r="AD390" s="127">
        <f t="shared" si="121"/>
        <v>0</v>
      </c>
      <c r="AE390" s="127">
        <f t="shared" si="122"/>
        <v>0</v>
      </c>
      <c r="AF390" s="124"/>
      <c r="AG390" s="124"/>
      <c r="AH390" s="125">
        <f t="shared" si="123"/>
        <v>1</v>
      </c>
      <c r="AI390" s="125">
        <f t="shared" si="124"/>
        <v>1</v>
      </c>
      <c r="AJ390" s="125" t="str">
        <f t="shared" si="125"/>
        <v>Correct</v>
      </c>
      <c r="AK390" s="124"/>
      <c r="AL390" s="120" t="str">
        <f>IFERROR(VLOOKUP(Table1[RespondentID],'All Data'!$A$3:$CO$999,87,FALSE),"unknown")</f>
        <v>Woman</v>
      </c>
      <c r="AM390" s="120">
        <f>IFERROR(VLOOKUP(Table1[RespondentID],'All Data'!$A$3:$CO$999,88,FALSE),"unknown")</f>
        <v>0</v>
      </c>
      <c r="AN390" s="120">
        <f>IFERROR(VLOOKUP(Table1[RespondentID],'All Data'!$A$3:$CO$999,89,FALSE),"unknown")</f>
        <v>0</v>
      </c>
      <c r="AO390" s="120" t="str">
        <f>IFERROR(VLOOKUP(Table1[RespondentID],'All Data'!$A$3:$CO$999,90,FALSE),"unknown")</f>
        <v>Levittown, 11756</v>
      </c>
      <c r="AP390" s="120" t="str">
        <f>IFERROR(VLOOKUP(Table1[RespondentID],'All Data'!$A$3:$CO$999,91,FALSE),"unknown")</f>
        <v>Two or more races</v>
      </c>
      <c r="AQ390" s="120" t="str">
        <f>IFERROR(VLOOKUP(Table1[RespondentID],'All Data'!$A$3:$CO$999,92,FALSE),"unknown")</f>
        <v>Not Hispanic or Latino</v>
      </c>
      <c r="AR390" s="120">
        <f>IFERROR(VLOOKUP(Table1[RespondentID],'All Data'!$A$3:$CO$999,93,FALSE),"unknown")</f>
        <v>0</v>
      </c>
      <c r="AS390" s="120" t="str">
        <f>IFERROR(VLOOKUP(Table1[RespondentID],'All Data'!$A$3:$CW$999,94,FALSE),"unknown")</f>
        <v>$75,000 to $125,000</v>
      </c>
      <c r="AT390" s="120" t="str">
        <f>IFERROR(VLOOKUP(Table1[RespondentID],'All Data'!$A$3:$CW$999,95,FALSE),"unknown")</f>
        <v>College graduate</v>
      </c>
      <c r="AU390" s="120" t="str">
        <f>IFERROR(VLOOKUP(Table1[RespondentID],'All Data'!$A$3:$CW$999,96,FALSE),"unknown")</f>
        <v>Employed for wages</v>
      </c>
      <c r="AV390" s="120" t="str">
        <f>IFERROR(VLOOKUP(Table1[RespondentID],'All Data'!$A$3:$CW$999,97,FALSE),"unknown")</f>
        <v>Yes</v>
      </c>
      <c r="AW390" s="120" t="str">
        <f>IFERROR(VLOOKUP(Table1[RespondentID],'All Data'!$A$3:$CW$999,98,FALSE),"unknown")</f>
        <v>Private/Commercial</v>
      </c>
      <c r="AX390" s="120" t="str">
        <f>IFERROR(VLOOKUP(Table1[RespondentID],'All Data'!$A$3:$CW$999,99,FALSE),"unknown")</f>
        <v>Yes</v>
      </c>
    </row>
    <row r="391" spans="1:50">
      <c r="A391" s="124">
        <v>114086703421</v>
      </c>
      <c r="B391" s="122"/>
      <c r="C391" s="123" t="s">
        <v>17</v>
      </c>
      <c r="D391" s="123"/>
      <c r="E391" s="123"/>
      <c r="F391" s="123"/>
      <c r="G391" s="123"/>
      <c r="H391" s="123"/>
      <c r="I391" s="123" t="s">
        <v>23</v>
      </c>
      <c r="J391" s="123"/>
      <c r="K391" s="123" t="s">
        <v>25</v>
      </c>
      <c r="L391" s="123"/>
      <c r="M391" s="123"/>
      <c r="N391" s="123" t="s">
        <v>28</v>
      </c>
      <c r="O391" s="124"/>
      <c r="P391" s="125">
        <f t="shared" si="108"/>
        <v>4</v>
      </c>
      <c r="Q391" s="126">
        <f t="shared" si="109"/>
        <v>0.75</v>
      </c>
      <c r="R391" s="124"/>
      <c r="S391" s="125">
        <f t="shared" si="110"/>
        <v>0</v>
      </c>
      <c r="T391" s="125">
        <f t="shared" si="111"/>
        <v>0.75</v>
      </c>
      <c r="U391" s="125">
        <f t="shared" si="112"/>
        <v>0</v>
      </c>
      <c r="V391" s="127">
        <f t="shared" si="113"/>
        <v>0</v>
      </c>
      <c r="W391" s="127">
        <f t="shared" si="114"/>
        <v>0</v>
      </c>
      <c r="X391" s="127">
        <f t="shared" si="115"/>
        <v>0</v>
      </c>
      <c r="Y391" s="127">
        <f t="shared" si="116"/>
        <v>0</v>
      </c>
      <c r="Z391" s="127">
        <f t="shared" si="117"/>
        <v>0.75</v>
      </c>
      <c r="AA391" s="127">
        <f t="shared" si="118"/>
        <v>0</v>
      </c>
      <c r="AB391" s="127">
        <f t="shared" si="119"/>
        <v>0.75</v>
      </c>
      <c r="AC391" s="127">
        <f t="shared" si="120"/>
        <v>0</v>
      </c>
      <c r="AD391" s="127">
        <f t="shared" si="121"/>
        <v>0</v>
      </c>
      <c r="AE391" s="127">
        <f t="shared" si="122"/>
        <v>0.75</v>
      </c>
      <c r="AF391" s="124"/>
      <c r="AG391" s="124"/>
      <c r="AH391" s="125">
        <f t="shared" si="123"/>
        <v>3</v>
      </c>
      <c r="AI391" s="125">
        <f t="shared" si="124"/>
        <v>4</v>
      </c>
      <c r="AJ391" s="125" t="str">
        <f t="shared" si="125"/>
        <v>Correct</v>
      </c>
      <c r="AK391" s="124"/>
      <c r="AL391" s="120" t="str">
        <f>IFERROR(VLOOKUP(Table1[RespondentID],'All Data'!$A$3:$CO$999,87,FALSE),"unknown")</f>
        <v>Woman</v>
      </c>
      <c r="AM391" s="120">
        <f>IFERROR(VLOOKUP(Table1[RespondentID],'All Data'!$A$3:$CO$999,88,FALSE),"unknown")</f>
        <v>0</v>
      </c>
      <c r="AN391" s="120" t="str">
        <f>IFERROR(VLOOKUP(Table1[RespondentID],'All Data'!$A$3:$CO$999,89,FALSE),"unknown")</f>
        <v>Queens</v>
      </c>
      <c r="AO391" s="120">
        <f>IFERROR(VLOOKUP(Table1[RespondentID],'All Data'!$A$3:$CO$999,90,FALSE),"unknown")</f>
        <v>11367</v>
      </c>
      <c r="AP391" s="120" t="str">
        <f>IFERROR(VLOOKUP(Table1[RespondentID],'All Data'!$A$3:$CO$999,91,FALSE),"unknown")</f>
        <v>White</v>
      </c>
      <c r="AQ391" s="120" t="str">
        <f>IFERROR(VLOOKUP(Table1[RespondentID],'All Data'!$A$3:$CO$999,92,FALSE),"unknown")</f>
        <v>Hispanic or Latino</v>
      </c>
      <c r="AR391" s="120" t="str">
        <f>IFERROR(VLOOKUP(Table1[RespondentID],'All Data'!$A$3:$CO$999,93,FALSE),"unknown")</f>
        <v>English</v>
      </c>
      <c r="AS391" s="120" t="str">
        <f>IFERROR(VLOOKUP(Table1[RespondentID],'All Data'!$A$3:$CW$999,94,FALSE),"unknown")</f>
        <v>Over $125,000</v>
      </c>
      <c r="AT391" s="120" t="str">
        <f>IFERROR(VLOOKUP(Table1[RespondentID],'All Data'!$A$3:$CW$999,95,FALSE),"unknown")</f>
        <v>College graduate</v>
      </c>
      <c r="AU391" s="120" t="str">
        <f>IFERROR(VLOOKUP(Table1[RespondentID],'All Data'!$A$3:$CW$999,96,FALSE),"unknown")</f>
        <v>Employed for wages</v>
      </c>
      <c r="AV391" s="120" t="str">
        <f>IFERROR(VLOOKUP(Table1[RespondentID],'All Data'!$A$3:$CW$999,97,FALSE),"unknown")</f>
        <v>Yes</v>
      </c>
      <c r="AW391" s="120" t="str">
        <f>IFERROR(VLOOKUP(Table1[RespondentID],'All Data'!$A$3:$CW$999,98,FALSE),"unknown")</f>
        <v>Private/Commercial</v>
      </c>
      <c r="AX391" s="120" t="str">
        <f>IFERROR(VLOOKUP(Table1[RespondentID],'All Data'!$A$3:$CW$999,99,FALSE),"unknown")</f>
        <v>Yes</v>
      </c>
    </row>
    <row r="392" spans="1:50">
      <c r="A392" s="124">
        <v>114086547834</v>
      </c>
      <c r="B392" s="122"/>
      <c r="C392" s="123"/>
      <c r="D392" s="123"/>
      <c r="E392" s="123" t="s">
        <v>19</v>
      </c>
      <c r="F392" s="123"/>
      <c r="G392" s="123"/>
      <c r="H392" s="123"/>
      <c r="I392" s="123"/>
      <c r="J392" s="123"/>
      <c r="K392" s="123" t="s">
        <v>25</v>
      </c>
      <c r="L392" s="123"/>
      <c r="M392" s="123" t="s">
        <v>27</v>
      </c>
      <c r="N392" s="123"/>
      <c r="O392" s="124"/>
      <c r="P392" s="125">
        <f t="shared" si="108"/>
        <v>3</v>
      </c>
      <c r="Q392" s="126">
        <f t="shared" si="109"/>
        <v>1</v>
      </c>
      <c r="R392" s="124"/>
      <c r="S392" s="125">
        <f t="shared" si="110"/>
        <v>0</v>
      </c>
      <c r="T392" s="125">
        <f t="shared" si="111"/>
        <v>0</v>
      </c>
      <c r="U392" s="125">
        <f t="shared" si="112"/>
        <v>0</v>
      </c>
      <c r="V392" s="127">
        <f t="shared" si="113"/>
        <v>1</v>
      </c>
      <c r="W392" s="127">
        <f t="shared" si="114"/>
        <v>0</v>
      </c>
      <c r="X392" s="127">
        <f t="shared" si="115"/>
        <v>0</v>
      </c>
      <c r="Y392" s="127">
        <f t="shared" si="116"/>
        <v>0</v>
      </c>
      <c r="Z392" s="127">
        <f t="shared" si="117"/>
        <v>0</v>
      </c>
      <c r="AA392" s="127">
        <f t="shared" si="118"/>
        <v>0</v>
      </c>
      <c r="AB392" s="127">
        <f t="shared" si="119"/>
        <v>1</v>
      </c>
      <c r="AC392" s="127">
        <f t="shared" si="120"/>
        <v>0</v>
      </c>
      <c r="AD392" s="127">
        <f t="shared" si="121"/>
        <v>1</v>
      </c>
      <c r="AE392" s="127">
        <f t="shared" si="122"/>
        <v>0</v>
      </c>
      <c r="AF392" s="124"/>
      <c r="AG392" s="124"/>
      <c r="AH392" s="125">
        <f t="shared" si="123"/>
        <v>3</v>
      </c>
      <c r="AI392" s="125">
        <f t="shared" si="124"/>
        <v>3</v>
      </c>
      <c r="AJ392" s="125" t="str">
        <f t="shared" si="125"/>
        <v>Correct</v>
      </c>
      <c r="AK392" s="124"/>
      <c r="AL392" s="120" t="str">
        <f>IFERROR(VLOOKUP(Table1[RespondentID],'All Data'!$A$3:$CO$999,87,FALSE),"unknown")</f>
        <v>Woman</v>
      </c>
      <c r="AM392" s="120">
        <f>IFERROR(VLOOKUP(Table1[RespondentID],'All Data'!$A$3:$CO$999,88,FALSE),"unknown")</f>
        <v>0</v>
      </c>
      <c r="AN392" s="120" t="str">
        <f>IFERROR(VLOOKUP(Table1[RespondentID],'All Data'!$A$3:$CO$999,89,FALSE),"unknown")</f>
        <v>Suffolk</v>
      </c>
      <c r="AO392" s="120" t="str">
        <f>IFERROR(VLOOKUP(Table1[RespondentID],'All Data'!$A$3:$CO$999,90,FALSE),"unknown")</f>
        <v>North Babylon, 11703</v>
      </c>
      <c r="AP392" s="120" t="str">
        <f>IFERROR(VLOOKUP(Table1[RespondentID],'All Data'!$A$3:$CO$999,91,FALSE),"unknown")</f>
        <v>Other (please specify)</v>
      </c>
      <c r="AQ392" s="120" t="str">
        <f>IFERROR(VLOOKUP(Table1[RespondentID],'All Data'!$A$3:$CO$999,92,FALSE),"unknown")</f>
        <v>Hispanic or Latino</v>
      </c>
      <c r="AR392" s="120" t="str">
        <f>IFERROR(VLOOKUP(Table1[RespondentID],'All Data'!$A$3:$CO$999,93,FALSE),"unknown")</f>
        <v>English</v>
      </c>
      <c r="AS392" s="120" t="str">
        <f>IFERROR(VLOOKUP(Table1[RespondentID],'All Data'!$A$3:$CW$999,94,FALSE),"unknown")</f>
        <v>Over $125,000</v>
      </c>
      <c r="AT392" s="120" t="str">
        <f>IFERROR(VLOOKUP(Table1[RespondentID],'All Data'!$A$3:$CW$999,95,FALSE),"unknown")</f>
        <v>Graduate school</v>
      </c>
      <c r="AU392" s="120" t="str">
        <f>IFERROR(VLOOKUP(Table1[RespondentID],'All Data'!$A$3:$CW$999,96,FALSE),"unknown")</f>
        <v>Employed for wages</v>
      </c>
      <c r="AV392" s="120" t="str">
        <f>IFERROR(VLOOKUP(Table1[RespondentID],'All Data'!$A$3:$CW$999,97,FALSE),"unknown")</f>
        <v>Yes</v>
      </c>
      <c r="AW392" s="120" t="str">
        <f>IFERROR(VLOOKUP(Table1[RespondentID],'All Data'!$A$3:$CW$999,98,FALSE),"unknown")</f>
        <v>Private/Commercial</v>
      </c>
      <c r="AX392" s="120" t="str">
        <f>IFERROR(VLOOKUP(Table1[RespondentID],'All Data'!$A$3:$CW$999,99,FALSE),"unknown")</f>
        <v>Yes</v>
      </c>
    </row>
    <row r="393" spans="1:50">
      <c r="A393" s="124">
        <v>114086512910</v>
      </c>
      <c r="B393" s="122"/>
      <c r="C393" s="123"/>
      <c r="D393" s="123"/>
      <c r="E393" s="123"/>
      <c r="F393" s="123"/>
      <c r="G393" s="123"/>
      <c r="H393" s="123" t="s">
        <v>22</v>
      </c>
      <c r="I393" s="123"/>
      <c r="J393" s="123"/>
      <c r="K393" s="123" t="s">
        <v>25</v>
      </c>
      <c r="L393" s="123"/>
      <c r="M393" s="123"/>
      <c r="N393" s="123"/>
      <c r="O393" s="124"/>
      <c r="P393" s="125">
        <f t="shared" si="108"/>
        <v>2</v>
      </c>
      <c r="Q393" s="126">
        <f t="shared" si="109"/>
        <v>1.5</v>
      </c>
      <c r="R393" s="124"/>
      <c r="S393" s="125">
        <f t="shared" si="110"/>
        <v>0</v>
      </c>
      <c r="T393" s="125">
        <f t="shared" si="111"/>
        <v>0</v>
      </c>
      <c r="U393" s="125">
        <f t="shared" si="112"/>
        <v>0</v>
      </c>
      <c r="V393" s="127">
        <f t="shared" si="113"/>
        <v>0</v>
      </c>
      <c r="W393" s="127">
        <f t="shared" si="114"/>
        <v>0</v>
      </c>
      <c r="X393" s="127">
        <f t="shared" si="115"/>
        <v>0</v>
      </c>
      <c r="Y393" s="127">
        <f t="shared" si="116"/>
        <v>1</v>
      </c>
      <c r="Z393" s="127">
        <f t="shared" si="117"/>
        <v>0</v>
      </c>
      <c r="AA393" s="127">
        <f t="shared" si="118"/>
        <v>0</v>
      </c>
      <c r="AB393" s="127">
        <f t="shared" si="119"/>
        <v>1</v>
      </c>
      <c r="AC393" s="127">
        <f t="shared" si="120"/>
        <v>0</v>
      </c>
      <c r="AD393" s="127">
        <f t="shared" si="121"/>
        <v>0</v>
      </c>
      <c r="AE393" s="127">
        <f t="shared" si="122"/>
        <v>0</v>
      </c>
      <c r="AF393" s="124"/>
      <c r="AG393" s="124"/>
      <c r="AH393" s="125">
        <f t="shared" si="123"/>
        <v>2</v>
      </c>
      <c r="AI393" s="125">
        <f t="shared" si="124"/>
        <v>2</v>
      </c>
      <c r="AJ393" s="125" t="str">
        <f t="shared" si="125"/>
        <v>Correct</v>
      </c>
      <c r="AK393" s="124"/>
      <c r="AL393" s="120" t="str">
        <f>IFERROR(VLOOKUP(Table1[RespondentID],'All Data'!$A$3:$CO$999,87,FALSE),"unknown")</f>
        <v>Woman</v>
      </c>
      <c r="AM393" s="120">
        <f>IFERROR(VLOOKUP(Table1[RespondentID],'All Data'!$A$3:$CO$999,88,FALSE),"unknown")</f>
        <v>0</v>
      </c>
      <c r="AN393" s="120" t="str">
        <f>IFERROR(VLOOKUP(Table1[RespondentID],'All Data'!$A$3:$CO$999,89,FALSE),"unknown")</f>
        <v>Suffolk</v>
      </c>
      <c r="AO393" s="120" t="str">
        <f>IFERROR(VLOOKUP(Table1[RespondentID],'All Data'!$A$3:$CO$999,90,FALSE),"unknown")</f>
        <v>West Islip, 11795</v>
      </c>
      <c r="AP393" s="120" t="str">
        <f>IFERROR(VLOOKUP(Table1[RespondentID],'All Data'!$A$3:$CO$999,91,FALSE),"unknown")</f>
        <v>White</v>
      </c>
      <c r="AQ393" s="120" t="str">
        <f>IFERROR(VLOOKUP(Table1[RespondentID],'All Data'!$A$3:$CO$999,92,FALSE),"unknown")</f>
        <v>Not Hispanic or Latino</v>
      </c>
      <c r="AR393" s="120" t="str">
        <f>IFERROR(VLOOKUP(Table1[RespondentID],'All Data'!$A$3:$CO$999,93,FALSE),"unknown")</f>
        <v>English</v>
      </c>
      <c r="AS393" s="120">
        <f>IFERROR(VLOOKUP(Table1[RespondentID],'All Data'!$A$3:$CW$999,94,FALSE),"unknown")</f>
        <v>0</v>
      </c>
      <c r="AT393" s="120" t="str">
        <f>IFERROR(VLOOKUP(Table1[RespondentID],'All Data'!$A$3:$CW$999,95,FALSE),"unknown")</f>
        <v>Some college</v>
      </c>
      <c r="AU393" s="120" t="str">
        <f>IFERROR(VLOOKUP(Table1[RespondentID],'All Data'!$A$3:$CW$999,96,FALSE),"unknown")</f>
        <v>Employed for wages</v>
      </c>
      <c r="AV393" s="120" t="str">
        <f>IFERROR(VLOOKUP(Table1[RespondentID],'All Data'!$A$3:$CW$999,97,FALSE),"unknown")</f>
        <v>Yes</v>
      </c>
      <c r="AW393" s="120" t="str">
        <f>IFERROR(VLOOKUP(Table1[RespondentID],'All Data'!$A$3:$CW$999,98,FALSE),"unknown")</f>
        <v>Private/Commercial</v>
      </c>
      <c r="AX393" s="120" t="str">
        <f>IFERROR(VLOOKUP(Table1[RespondentID],'All Data'!$A$3:$CW$999,99,FALSE),"unknown")</f>
        <v>Yes</v>
      </c>
    </row>
    <row r="394" spans="1:50">
      <c r="A394" s="124">
        <v>114086485509</v>
      </c>
      <c r="B394" s="122"/>
      <c r="C394" s="123"/>
      <c r="D394" s="123"/>
      <c r="E394" s="123"/>
      <c r="F394" s="123"/>
      <c r="G394" s="123"/>
      <c r="H394" s="123"/>
      <c r="I394" s="123"/>
      <c r="J394" s="123"/>
      <c r="K394" s="123"/>
      <c r="L394" s="123"/>
      <c r="M394" s="123"/>
      <c r="N394" s="123" t="s">
        <v>28</v>
      </c>
      <c r="O394" s="124"/>
      <c r="P394" s="125">
        <f t="shared" si="108"/>
        <v>1</v>
      </c>
      <c r="Q394" s="126">
        <f t="shared" si="109"/>
        <v>3</v>
      </c>
      <c r="R394" s="124"/>
      <c r="S394" s="125">
        <f t="shared" si="110"/>
        <v>0</v>
      </c>
      <c r="T394" s="125">
        <f t="shared" si="111"/>
        <v>0</v>
      </c>
      <c r="U394" s="125">
        <f t="shared" si="112"/>
        <v>0</v>
      </c>
      <c r="V394" s="127">
        <f t="shared" si="113"/>
        <v>0</v>
      </c>
      <c r="W394" s="127">
        <f t="shared" si="114"/>
        <v>0</v>
      </c>
      <c r="X394" s="127">
        <f t="shared" si="115"/>
        <v>0</v>
      </c>
      <c r="Y394" s="127">
        <f t="shared" si="116"/>
        <v>0</v>
      </c>
      <c r="Z394" s="127">
        <f t="shared" si="117"/>
        <v>0</v>
      </c>
      <c r="AA394" s="127">
        <f t="shared" si="118"/>
        <v>0</v>
      </c>
      <c r="AB394" s="127">
        <f t="shared" si="119"/>
        <v>0</v>
      </c>
      <c r="AC394" s="127">
        <f t="shared" si="120"/>
        <v>0</v>
      </c>
      <c r="AD394" s="127">
        <f t="shared" si="121"/>
        <v>0</v>
      </c>
      <c r="AE394" s="127">
        <f t="shared" si="122"/>
        <v>1</v>
      </c>
      <c r="AF394" s="124"/>
      <c r="AG394" s="124"/>
      <c r="AH394" s="125">
        <f t="shared" si="123"/>
        <v>1</v>
      </c>
      <c r="AI394" s="125">
        <f t="shared" si="124"/>
        <v>1</v>
      </c>
      <c r="AJ394" s="125" t="str">
        <f t="shared" si="125"/>
        <v>Correct</v>
      </c>
      <c r="AK394" s="124"/>
      <c r="AL394" s="120" t="str">
        <f>IFERROR(VLOOKUP(Table1[RespondentID],'All Data'!$A$3:$CO$999,87,FALSE),"unknown")</f>
        <v>Woman</v>
      </c>
      <c r="AM394" s="120">
        <f>IFERROR(VLOOKUP(Table1[RespondentID],'All Data'!$A$3:$CO$999,88,FALSE),"unknown")</f>
        <v>0</v>
      </c>
      <c r="AN394" s="120" t="str">
        <f>IFERROR(VLOOKUP(Table1[RespondentID],'All Data'!$A$3:$CO$999,89,FALSE),"unknown")</f>
        <v>Nassau</v>
      </c>
      <c r="AO394" s="120" t="str">
        <f>IFERROR(VLOOKUP(Table1[RespondentID],'All Data'!$A$3:$CO$999,90,FALSE),"unknown")</f>
        <v>Massapequa, 11758</v>
      </c>
      <c r="AP394" s="120" t="str">
        <f>IFERROR(VLOOKUP(Table1[RespondentID],'All Data'!$A$3:$CO$999,91,FALSE),"unknown")</f>
        <v>White</v>
      </c>
      <c r="AQ394" s="120" t="str">
        <f>IFERROR(VLOOKUP(Table1[RespondentID],'All Data'!$A$3:$CO$999,92,FALSE),"unknown")</f>
        <v>Not Hispanic or Latino</v>
      </c>
      <c r="AR394" s="120" t="str">
        <f>IFERROR(VLOOKUP(Table1[RespondentID],'All Data'!$A$3:$CO$999,93,FALSE),"unknown")</f>
        <v>English</v>
      </c>
      <c r="AS394" s="120" t="str">
        <f>IFERROR(VLOOKUP(Table1[RespondentID],'All Data'!$A$3:$CW$999,94,FALSE),"unknown")</f>
        <v>Over $125,000</v>
      </c>
      <c r="AT394" s="120" t="str">
        <f>IFERROR(VLOOKUP(Table1[RespondentID],'All Data'!$A$3:$CW$999,95,FALSE),"unknown")</f>
        <v>College graduate</v>
      </c>
      <c r="AU394" s="120" t="str">
        <f>IFERROR(VLOOKUP(Table1[RespondentID],'All Data'!$A$3:$CW$999,96,FALSE),"unknown")</f>
        <v>Employed for wages</v>
      </c>
      <c r="AV394" s="120" t="str">
        <f>IFERROR(VLOOKUP(Table1[RespondentID],'All Data'!$A$3:$CW$999,97,FALSE),"unknown")</f>
        <v>Yes</v>
      </c>
      <c r="AW394" s="120" t="str">
        <f>IFERROR(VLOOKUP(Table1[RespondentID],'All Data'!$A$3:$CW$999,98,FALSE),"unknown")</f>
        <v>Private/Commercial</v>
      </c>
      <c r="AX394" s="120" t="str">
        <f>IFERROR(VLOOKUP(Table1[RespondentID],'All Data'!$A$3:$CW$999,99,FALSE),"unknown")</f>
        <v>Yes</v>
      </c>
    </row>
    <row r="395" spans="1:50">
      <c r="A395" s="124">
        <v>114086434376</v>
      </c>
      <c r="B395" s="122"/>
      <c r="C395" s="123"/>
      <c r="D395" s="123"/>
      <c r="E395" s="123"/>
      <c r="F395" s="123"/>
      <c r="G395" s="123"/>
      <c r="H395" s="123"/>
      <c r="I395" s="123"/>
      <c r="J395" s="123" t="s">
        <v>24</v>
      </c>
      <c r="K395" s="123" t="s">
        <v>25</v>
      </c>
      <c r="L395" s="123"/>
      <c r="M395" s="123"/>
      <c r="N395" s="123"/>
      <c r="O395" s="124"/>
      <c r="P395" s="125">
        <f t="shared" si="108"/>
        <v>2</v>
      </c>
      <c r="Q395" s="126">
        <f t="shared" si="109"/>
        <v>1.5</v>
      </c>
      <c r="R395" s="124"/>
      <c r="S395" s="125">
        <f t="shared" si="110"/>
        <v>0</v>
      </c>
      <c r="T395" s="125">
        <f t="shared" si="111"/>
        <v>0</v>
      </c>
      <c r="U395" s="125">
        <f t="shared" si="112"/>
        <v>0</v>
      </c>
      <c r="V395" s="127">
        <f t="shared" si="113"/>
        <v>0</v>
      </c>
      <c r="W395" s="127">
        <f t="shared" si="114"/>
        <v>0</v>
      </c>
      <c r="X395" s="127">
        <f t="shared" si="115"/>
        <v>0</v>
      </c>
      <c r="Y395" s="127">
        <f t="shared" si="116"/>
        <v>0</v>
      </c>
      <c r="Z395" s="127">
        <f t="shared" si="117"/>
        <v>0</v>
      </c>
      <c r="AA395" s="127">
        <f t="shared" si="118"/>
        <v>1</v>
      </c>
      <c r="AB395" s="127">
        <f t="shared" si="119"/>
        <v>1</v>
      </c>
      <c r="AC395" s="127">
        <f t="shared" si="120"/>
        <v>0</v>
      </c>
      <c r="AD395" s="127">
        <f t="shared" si="121"/>
        <v>0</v>
      </c>
      <c r="AE395" s="127">
        <f t="shared" si="122"/>
        <v>0</v>
      </c>
      <c r="AF395" s="124"/>
      <c r="AG395" s="124"/>
      <c r="AH395" s="125">
        <f t="shared" si="123"/>
        <v>2</v>
      </c>
      <c r="AI395" s="125">
        <f t="shared" si="124"/>
        <v>2</v>
      </c>
      <c r="AJ395" s="125" t="str">
        <f t="shared" si="125"/>
        <v>Correct</v>
      </c>
      <c r="AK395" s="124"/>
      <c r="AL395" s="120" t="str">
        <f>IFERROR(VLOOKUP(Table1[RespondentID],'All Data'!$A$3:$CO$999,87,FALSE),"unknown")</f>
        <v>Woman</v>
      </c>
      <c r="AM395" s="120">
        <f>IFERROR(VLOOKUP(Table1[RespondentID],'All Data'!$A$3:$CO$999,88,FALSE),"unknown")</f>
        <v>0</v>
      </c>
      <c r="AN395" s="120" t="str">
        <f>IFERROR(VLOOKUP(Table1[RespondentID],'All Data'!$A$3:$CO$999,89,FALSE),"unknown")</f>
        <v>Nassau</v>
      </c>
      <c r="AO395" s="120" t="str">
        <f>IFERROR(VLOOKUP(Table1[RespondentID],'All Data'!$A$3:$CO$999,90,FALSE),"unknown")</f>
        <v>Long Beach, 11561</v>
      </c>
      <c r="AP395" s="120" t="str">
        <f>IFERROR(VLOOKUP(Table1[RespondentID],'All Data'!$A$3:$CO$999,91,FALSE),"unknown")</f>
        <v>Two or more races</v>
      </c>
      <c r="AQ395" s="120" t="str">
        <f>IFERROR(VLOOKUP(Table1[RespondentID],'All Data'!$A$3:$CO$999,92,FALSE),"unknown")</f>
        <v>Hispanic or Latino</v>
      </c>
      <c r="AR395" s="120" t="str">
        <f>IFERROR(VLOOKUP(Table1[RespondentID],'All Data'!$A$3:$CO$999,93,FALSE),"unknown")</f>
        <v>English</v>
      </c>
      <c r="AS395" s="120" t="str">
        <f>IFERROR(VLOOKUP(Table1[RespondentID],'All Data'!$A$3:$CW$999,94,FALSE),"unknown")</f>
        <v>$35,000 to $49,999</v>
      </c>
      <c r="AT395" s="120" t="str">
        <f>IFERROR(VLOOKUP(Table1[RespondentID],'All Data'!$A$3:$CW$999,95,FALSE),"unknown")</f>
        <v>Other (please specify)</v>
      </c>
      <c r="AU395" s="120" t="str">
        <f>IFERROR(VLOOKUP(Table1[RespondentID],'All Data'!$A$3:$CW$999,96,FALSE),"unknown")</f>
        <v>Employed for wages</v>
      </c>
      <c r="AV395" s="120" t="str">
        <f>IFERROR(VLOOKUP(Table1[RespondentID],'All Data'!$A$3:$CW$999,97,FALSE),"unknown")</f>
        <v>Yes</v>
      </c>
      <c r="AW395" s="120" t="str">
        <f>IFERROR(VLOOKUP(Table1[RespondentID],'All Data'!$A$3:$CW$999,98,FALSE),"unknown")</f>
        <v>Private/Commercial</v>
      </c>
      <c r="AX395" s="120" t="str">
        <f>IFERROR(VLOOKUP(Table1[RespondentID],'All Data'!$A$3:$CW$999,99,FALSE),"unknown")</f>
        <v>Yes</v>
      </c>
    </row>
    <row r="396" spans="1:50">
      <c r="A396" s="124">
        <v>114086430098</v>
      </c>
      <c r="B396" s="122"/>
      <c r="C396" s="123"/>
      <c r="D396" s="123" t="s">
        <v>18</v>
      </c>
      <c r="E396" s="123"/>
      <c r="F396" s="123"/>
      <c r="G396" s="123"/>
      <c r="H396" s="123"/>
      <c r="I396" s="123" t="s">
        <v>23</v>
      </c>
      <c r="J396" s="123" t="s">
        <v>24</v>
      </c>
      <c r="K396" s="123"/>
      <c r="L396" s="123"/>
      <c r="M396" s="123"/>
      <c r="N396" s="123" t="s">
        <v>28</v>
      </c>
      <c r="O396" s="124"/>
      <c r="P396" s="125">
        <f t="shared" si="108"/>
        <v>4</v>
      </c>
      <c r="Q396" s="126">
        <f t="shared" si="109"/>
        <v>0.75</v>
      </c>
      <c r="R396" s="124"/>
      <c r="S396" s="125">
        <f t="shared" si="110"/>
        <v>0</v>
      </c>
      <c r="T396" s="125">
        <f t="shared" si="111"/>
        <v>0</v>
      </c>
      <c r="U396" s="125">
        <f t="shared" si="112"/>
        <v>0.75</v>
      </c>
      <c r="V396" s="127">
        <f t="shared" si="113"/>
        <v>0</v>
      </c>
      <c r="W396" s="127">
        <f t="shared" si="114"/>
        <v>0</v>
      </c>
      <c r="X396" s="127">
        <f t="shared" si="115"/>
        <v>0</v>
      </c>
      <c r="Y396" s="127">
        <f t="shared" si="116"/>
        <v>0</v>
      </c>
      <c r="Z396" s="127">
        <f t="shared" si="117"/>
        <v>0.75</v>
      </c>
      <c r="AA396" s="127">
        <f t="shared" si="118"/>
        <v>0.75</v>
      </c>
      <c r="AB396" s="127">
        <f t="shared" si="119"/>
        <v>0</v>
      </c>
      <c r="AC396" s="127">
        <f t="shared" si="120"/>
        <v>0</v>
      </c>
      <c r="AD396" s="127">
        <f t="shared" si="121"/>
        <v>0</v>
      </c>
      <c r="AE396" s="127">
        <f t="shared" si="122"/>
        <v>0.75</v>
      </c>
      <c r="AF396" s="124"/>
      <c r="AG396" s="124"/>
      <c r="AH396" s="125">
        <f t="shared" si="123"/>
        <v>3</v>
      </c>
      <c r="AI396" s="125">
        <f t="shared" si="124"/>
        <v>4</v>
      </c>
      <c r="AJ396" s="125" t="str">
        <f t="shared" si="125"/>
        <v>Correct</v>
      </c>
      <c r="AK396" s="124"/>
      <c r="AL396" s="120" t="str">
        <f>IFERROR(VLOOKUP(Table1[RespondentID],'All Data'!$A$3:$CO$999,87,FALSE),"unknown")</f>
        <v>Woman</v>
      </c>
      <c r="AM396" s="120">
        <f>IFERROR(VLOOKUP(Table1[RespondentID],'All Data'!$A$3:$CO$999,88,FALSE),"unknown")</f>
        <v>0</v>
      </c>
      <c r="AN396" s="120" t="str">
        <f>IFERROR(VLOOKUP(Table1[RespondentID],'All Data'!$A$3:$CO$999,89,FALSE),"unknown")</f>
        <v>Nassau</v>
      </c>
      <c r="AO396" s="120" t="str">
        <f>IFERROR(VLOOKUP(Table1[RespondentID],'All Data'!$A$3:$CO$999,90,FALSE),"unknown")</f>
        <v>Rockville Centre, 11570</v>
      </c>
      <c r="AP396" s="120" t="str">
        <f>IFERROR(VLOOKUP(Table1[RespondentID],'All Data'!$A$3:$CO$999,91,FALSE),"unknown")</f>
        <v>Asian</v>
      </c>
      <c r="AQ396" s="120" t="str">
        <f>IFERROR(VLOOKUP(Table1[RespondentID],'All Data'!$A$3:$CO$999,92,FALSE),"unknown")</f>
        <v>Not Hispanic or Latino</v>
      </c>
      <c r="AR396" s="120" t="str">
        <f>IFERROR(VLOOKUP(Table1[RespondentID],'All Data'!$A$3:$CO$999,93,FALSE),"unknown")</f>
        <v>English</v>
      </c>
      <c r="AS396" s="120" t="str">
        <f>IFERROR(VLOOKUP(Table1[RespondentID],'All Data'!$A$3:$CW$999,94,FALSE),"unknown")</f>
        <v>$75,000 to $125,000</v>
      </c>
      <c r="AT396" s="120" t="str">
        <f>IFERROR(VLOOKUP(Table1[RespondentID],'All Data'!$A$3:$CW$999,95,FALSE),"unknown")</f>
        <v>Graduate school</v>
      </c>
      <c r="AU396" s="120" t="str">
        <f>IFERROR(VLOOKUP(Table1[RespondentID],'All Data'!$A$3:$CW$999,96,FALSE),"unknown")</f>
        <v>Employed for wages</v>
      </c>
      <c r="AV396" s="120" t="str">
        <f>IFERROR(VLOOKUP(Table1[RespondentID],'All Data'!$A$3:$CW$999,97,FALSE),"unknown")</f>
        <v>Yes</v>
      </c>
      <c r="AW396" s="120" t="str">
        <f>IFERROR(VLOOKUP(Table1[RespondentID],'All Data'!$A$3:$CW$999,98,FALSE),"unknown")</f>
        <v>Private/Commercial</v>
      </c>
      <c r="AX396" s="120" t="str">
        <f>IFERROR(VLOOKUP(Table1[RespondentID],'All Data'!$A$3:$CW$999,99,FALSE),"unknown")</f>
        <v>Yes</v>
      </c>
    </row>
    <row r="397" spans="1:50">
      <c r="A397" s="124">
        <v>114086397914</v>
      </c>
      <c r="B397" s="122"/>
      <c r="C397" s="123" t="s">
        <v>17</v>
      </c>
      <c r="D397" s="123"/>
      <c r="E397" s="123" t="s">
        <v>19</v>
      </c>
      <c r="F397" s="123"/>
      <c r="G397" s="123"/>
      <c r="H397" s="123"/>
      <c r="I397" s="123"/>
      <c r="J397" s="123"/>
      <c r="K397" s="123"/>
      <c r="L397" s="123" t="s">
        <v>26</v>
      </c>
      <c r="M397" s="123"/>
      <c r="N397" s="123"/>
      <c r="O397" s="124"/>
      <c r="P397" s="125">
        <f t="shared" si="108"/>
        <v>3</v>
      </c>
      <c r="Q397" s="126">
        <f t="shared" si="109"/>
        <v>1</v>
      </c>
      <c r="R397" s="124"/>
      <c r="S397" s="125">
        <f t="shared" si="110"/>
        <v>0</v>
      </c>
      <c r="T397" s="125">
        <f t="shared" si="111"/>
        <v>1</v>
      </c>
      <c r="U397" s="125">
        <f t="shared" si="112"/>
        <v>0</v>
      </c>
      <c r="V397" s="127">
        <f t="shared" si="113"/>
        <v>1</v>
      </c>
      <c r="W397" s="127">
        <f t="shared" si="114"/>
        <v>0</v>
      </c>
      <c r="X397" s="127">
        <f t="shared" si="115"/>
        <v>0</v>
      </c>
      <c r="Y397" s="127">
        <f t="shared" si="116"/>
        <v>0</v>
      </c>
      <c r="Z397" s="127">
        <f t="shared" si="117"/>
        <v>0</v>
      </c>
      <c r="AA397" s="127">
        <f t="shared" si="118"/>
        <v>0</v>
      </c>
      <c r="AB397" s="127">
        <f t="shared" si="119"/>
        <v>0</v>
      </c>
      <c r="AC397" s="127">
        <f t="shared" si="120"/>
        <v>1</v>
      </c>
      <c r="AD397" s="127">
        <f t="shared" si="121"/>
        <v>0</v>
      </c>
      <c r="AE397" s="127">
        <f t="shared" si="122"/>
        <v>0</v>
      </c>
      <c r="AF397" s="124"/>
      <c r="AG397" s="124"/>
      <c r="AH397" s="125">
        <f t="shared" si="123"/>
        <v>3</v>
      </c>
      <c r="AI397" s="125">
        <f t="shared" si="124"/>
        <v>3</v>
      </c>
      <c r="AJ397" s="125" t="str">
        <f t="shared" si="125"/>
        <v>Correct</v>
      </c>
      <c r="AK397" s="124"/>
      <c r="AL397" s="120" t="str">
        <f>IFERROR(VLOOKUP(Table1[RespondentID],'All Data'!$A$3:$CO$999,87,FALSE),"unknown")</f>
        <v>Woman</v>
      </c>
      <c r="AM397" s="120">
        <f>IFERROR(VLOOKUP(Table1[RespondentID],'All Data'!$A$3:$CO$999,88,FALSE),"unknown")</f>
        <v>0</v>
      </c>
      <c r="AN397" s="120" t="str">
        <f>IFERROR(VLOOKUP(Table1[RespondentID],'All Data'!$A$3:$CO$999,89,FALSE),"unknown")</f>
        <v>Suffolk</v>
      </c>
      <c r="AO397" s="120" t="str">
        <f>IFERROR(VLOOKUP(Table1[RespondentID],'All Data'!$A$3:$CO$999,90,FALSE),"unknown")</f>
        <v>Deer Park, 11729</v>
      </c>
      <c r="AP397" s="120" t="str">
        <f>IFERROR(VLOOKUP(Table1[RespondentID],'All Data'!$A$3:$CO$999,91,FALSE),"unknown")</f>
        <v>White</v>
      </c>
      <c r="AQ397" s="120" t="str">
        <f>IFERROR(VLOOKUP(Table1[RespondentID],'All Data'!$A$3:$CO$999,92,FALSE),"unknown")</f>
        <v>Unknown</v>
      </c>
      <c r="AR397" s="120" t="str">
        <f>IFERROR(VLOOKUP(Table1[RespondentID],'All Data'!$A$3:$CO$999,93,FALSE),"unknown")</f>
        <v>English</v>
      </c>
      <c r="AS397" s="120" t="str">
        <f>IFERROR(VLOOKUP(Table1[RespondentID],'All Data'!$A$3:$CW$999,94,FALSE),"unknown")</f>
        <v>$50,000 to $74,999</v>
      </c>
      <c r="AT397" s="120" t="str">
        <f>IFERROR(VLOOKUP(Table1[RespondentID],'All Data'!$A$3:$CW$999,95,FALSE),"unknown")</f>
        <v>Technical school</v>
      </c>
      <c r="AU397" s="120" t="str">
        <f>IFERROR(VLOOKUP(Table1[RespondentID],'All Data'!$A$3:$CW$999,96,FALSE),"unknown")</f>
        <v>Employed for wages</v>
      </c>
      <c r="AV397" s="120" t="str">
        <f>IFERROR(VLOOKUP(Table1[RespondentID],'All Data'!$A$3:$CW$999,97,FALSE),"unknown")</f>
        <v>Yes</v>
      </c>
      <c r="AW397" s="120" t="str">
        <f>IFERROR(VLOOKUP(Table1[RespondentID],'All Data'!$A$3:$CW$999,98,FALSE),"unknown")</f>
        <v>Private/Commercial</v>
      </c>
      <c r="AX397" s="120" t="str">
        <f>IFERROR(VLOOKUP(Table1[RespondentID],'All Data'!$A$3:$CW$999,99,FALSE),"unknown")</f>
        <v>Yes</v>
      </c>
    </row>
    <row r="398" spans="1:50">
      <c r="A398" s="124">
        <v>114086383426</v>
      </c>
      <c r="B398" s="122"/>
      <c r="C398" s="123"/>
      <c r="D398" s="123"/>
      <c r="E398" s="123"/>
      <c r="F398" s="123"/>
      <c r="G398" s="123"/>
      <c r="H398" s="123" t="s">
        <v>22</v>
      </c>
      <c r="I398" s="123" t="s">
        <v>23</v>
      </c>
      <c r="J398" s="123"/>
      <c r="K398" s="123"/>
      <c r="L398" s="123"/>
      <c r="M398" s="123"/>
      <c r="N398" s="123"/>
      <c r="O398" s="124"/>
      <c r="P398" s="125">
        <f t="shared" si="108"/>
        <v>2</v>
      </c>
      <c r="Q398" s="126">
        <f t="shared" si="109"/>
        <v>1.5</v>
      </c>
      <c r="R398" s="124"/>
      <c r="S398" s="125">
        <f t="shared" si="110"/>
        <v>0</v>
      </c>
      <c r="T398" s="125">
        <f t="shared" si="111"/>
        <v>0</v>
      </c>
      <c r="U398" s="125">
        <f t="shared" si="112"/>
        <v>0</v>
      </c>
      <c r="V398" s="127">
        <f t="shared" si="113"/>
        <v>0</v>
      </c>
      <c r="W398" s="127">
        <f t="shared" si="114"/>
        <v>0</v>
      </c>
      <c r="X398" s="127">
        <f t="shared" si="115"/>
        <v>0</v>
      </c>
      <c r="Y398" s="127">
        <f t="shared" si="116"/>
        <v>1</v>
      </c>
      <c r="Z398" s="127">
        <f t="shared" si="117"/>
        <v>1</v>
      </c>
      <c r="AA398" s="127">
        <f t="shared" si="118"/>
        <v>0</v>
      </c>
      <c r="AB398" s="127">
        <f t="shared" si="119"/>
        <v>0</v>
      </c>
      <c r="AC398" s="127">
        <f t="shared" si="120"/>
        <v>0</v>
      </c>
      <c r="AD398" s="127">
        <f t="shared" si="121"/>
        <v>0</v>
      </c>
      <c r="AE398" s="127">
        <f t="shared" si="122"/>
        <v>0</v>
      </c>
      <c r="AF398" s="124"/>
      <c r="AG398" s="124"/>
      <c r="AH398" s="125">
        <f t="shared" si="123"/>
        <v>2</v>
      </c>
      <c r="AI398" s="125">
        <f t="shared" si="124"/>
        <v>2</v>
      </c>
      <c r="AJ398" s="125" t="str">
        <f t="shared" si="125"/>
        <v>Correct</v>
      </c>
      <c r="AK398" s="124"/>
      <c r="AL398" s="120" t="str">
        <f>IFERROR(VLOOKUP(Table1[RespondentID],'All Data'!$A$3:$CO$999,87,FALSE),"unknown")</f>
        <v>Woman</v>
      </c>
      <c r="AM398" s="120">
        <f>IFERROR(VLOOKUP(Table1[RespondentID],'All Data'!$A$3:$CO$999,88,FALSE),"unknown")</f>
        <v>0</v>
      </c>
      <c r="AN398" s="120" t="str">
        <f>IFERROR(VLOOKUP(Table1[RespondentID],'All Data'!$A$3:$CO$999,89,FALSE),"unknown")</f>
        <v>Nassau</v>
      </c>
      <c r="AO398" s="120" t="str">
        <f>IFERROR(VLOOKUP(Table1[RespondentID],'All Data'!$A$3:$CO$999,90,FALSE),"unknown")</f>
        <v>Lynbrook, 11563</v>
      </c>
      <c r="AP398" s="120">
        <f>IFERROR(VLOOKUP(Table1[RespondentID],'All Data'!$A$3:$CO$999,91,FALSE),"unknown")</f>
        <v>0</v>
      </c>
      <c r="AQ398" s="120" t="str">
        <f>IFERROR(VLOOKUP(Table1[RespondentID],'All Data'!$A$3:$CO$999,92,FALSE),"unknown")</f>
        <v>Hispanic or Latino</v>
      </c>
      <c r="AR398" s="120" t="str">
        <f>IFERROR(VLOOKUP(Table1[RespondentID],'All Data'!$A$3:$CO$999,93,FALSE),"unknown")</f>
        <v>English,Spanish</v>
      </c>
      <c r="AS398" s="120" t="str">
        <f>IFERROR(VLOOKUP(Table1[RespondentID],'All Data'!$A$3:$CW$999,94,FALSE),"unknown")</f>
        <v>$35,000 to $49,999</v>
      </c>
      <c r="AT398" s="120" t="str">
        <f>IFERROR(VLOOKUP(Table1[RespondentID],'All Data'!$A$3:$CW$999,95,FALSE),"unknown")</f>
        <v>Some college</v>
      </c>
      <c r="AU398" s="120" t="str">
        <f>IFERROR(VLOOKUP(Table1[RespondentID],'All Data'!$A$3:$CW$999,96,FALSE),"unknown")</f>
        <v>Employed for wages</v>
      </c>
      <c r="AV398" s="120" t="str">
        <f>IFERROR(VLOOKUP(Table1[RespondentID],'All Data'!$A$3:$CW$999,97,FALSE),"unknown")</f>
        <v>Yes</v>
      </c>
      <c r="AW398" s="120" t="str">
        <f>IFERROR(VLOOKUP(Table1[RespondentID],'All Data'!$A$3:$CW$999,98,FALSE),"unknown")</f>
        <v>Private/Commercial</v>
      </c>
      <c r="AX398" s="120" t="str">
        <f>IFERROR(VLOOKUP(Table1[RespondentID],'All Data'!$A$3:$CW$999,99,FALSE),"unknown")</f>
        <v>Yes</v>
      </c>
    </row>
    <row r="399" spans="1:50">
      <c r="A399" s="124">
        <v>114086379762</v>
      </c>
      <c r="B399" s="122"/>
      <c r="C399" s="123"/>
      <c r="D399" s="123"/>
      <c r="E399" s="123"/>
      <c r="F399" s="123"/>
      <c r="G399" s="123"/>
      <c r="H399" s="123" t="s">
        <v>22</v>
      </c>
      <c r="I399" s="123"/>
      <c r="J399" s="123"/>
      <c r="K399" s="123"/>
      <c r="L399" s="123"/>
      <c r="M399" s="123"/>
      <c r="N399" s="123"/>
      <c r="O399" s="124"/>
      <c r="P399" s="125">
        <f t="shared" si="108"/>
        <v>1</v>
      </c>
      <c r="Q399" s="126">
        <f t="shared" si="109"/>
        <v>3</v>
      </c>
      <c r="R399" s="124"/>
      <c r="S399" s="125">
        <f t="shared" si="110"/>
        <v>0</v>
      </c>
      <c r="T399" s="125">
        <f t="shared" si="111"/>
        <v>0</v>
      </c>
      <c r="U399" s="125">
        <f t="shared" si="112"/>
        <v>0</v>
      </c>
      <c r="V399" s="127">
        <f t="shared" si="113"/>
        <v>0</v>
      </c>
      <c r="W399" s="127">
        <f t="shared" si="114"/>
        <v>0</v>
      </c>
      <c r="X399" s="127">
        <f t="shared" si="115"/>
        <v>0</v>
      </c>
      <c r="Y399" s="127">
        <f t="shared" si="116"/>
        <v>1</v>
      </c>
      <c r="Z399" s="127">
        <f t="shared" si="117"/>
        <v>0</v>
      </c>
      <c r="AA399" s="127">
        <f t="shared" si="118"/>
        <v>0</v>
      </c>
      <c r="AB399" s="127">
        <f t="shared" si="119"/>
        <v>0</v>
      </c>
      <c r="AC399" s="127">
        <f t="shared" si="120"/>
        <v>0</v>
      </c>
      <c r="AD399" s="127">
        <f t="shared" si="121"/>
        <v>0</v>
      </c>
      <c r="AE399" s="127">
        <f t="shared" si="122"/>
        <v>0</v>
      </c>
      <c r="AF399" s="124"/>
      <c r="AG399" s="124"/>
      <c r="AH399" s="125">
        <f t="shared" si="123"/>
        <v>1</v>
      </c>
      <c r="AI399" s="125">
        <f t="shared" si="124"/>
        <v>1</v>
      </c>
      <c r="AJ399" s="125" t="str">
        <f t="shared" si="125"/>
        <v>Correct</v>
      </c>
      <c r="AK399" s="124"/>
      <c r="AL399" s="120" t="str">
        <f>IFERROR(VLOOKUP(Table1[RespondentID],'All Data'!$A$3:$CO$999,87,FALSE),"unknown")</f>
        <v>Woman</v>
      </c>
      <c r="AM399" s="120">
        <f>IFERROR(VLOOKUP(Table1[RespondentID],'All Data'!$A$3:$CO$999,88,FALSE),"unknown")</f>
        <v>0</v>
      </c>
      <c r="AN399" s="120" t="str">
        <f>IFERROR(VLOOKUP(Table1[RespondentID],'All Data'!$A$3:$CO$999,89,FALSE),"unknown")</f>
        <v>Nassau</v>
      </c>
      <c r="AO399" s="120" t="str">
        <f>IFERROR(VLOOKUP(Table1[RespondentID],'All Data'!$A$3:$CO$999,90,FALSE),"unknown")</f>
        <v>Massapequa, 11758</v>
      </c>
      <c r="AP399" s="120">
        <f>IFERROR(VLOOKUP(Table1[RespondentID],'All Data'!$A$3:$CO$999,91,FALSE),"unknown")</f>
        <v>0</v>
      </c>
      <c r="AQ399" s="120" t="str">
        <f>IFERROR(VLOOKUP(Table1[RespondentID],'All Data'!$A$3:$CO$999,92,FALSE),"unknown")</f>
        <v>Not Hispanic or Latino</v>
      </c>
      <c r="AR399" s="120" t="str">
        <f>IFERROR(VLOOKUP(Table1[RespondentID],'All Data'!$A$3:$CO$999,93,FALSE),"unknown")</f>
        <v>English</v>
      </c>
      <c r="AS399" s="120" t="str">
        <f>IFERROR(VLOOKUP(Table1[RespondentID],'All Data'!$A$3:$CW$999,94,FALSE),"unknown")</f>
        <v>Over $125,000</v>
      </c>
      <c r="AT399" s="120" t="str">
        <f>IFERROR(VLOOKUP(Table1[RespondentID],'All Data'!$A$3:$CW$999,95,FALSE),"unknown")</f>
        <v>Graduate school</v>
      </c>
      <c r="AU399" s="120" t="str">
        <f>IFERROR(VLOOKUP(Table1[RespondentID],'All Data'!$A$3:$CW$999,96,FALSE),"unknown")</f>
        <v>Employed for wages</v>
      </c>
      <c r="AV399" s="120" t="str">
        <f>IFERROR(VLOOKUP(Table1[RespondentID],'All Data'!$A$3:$CW$999,97,FALSE),"unknown")</f>
        <v>Yes</v>
      </c>
      <c r="AW399" s="120" t="str">
        <f>IFERROR(VLOOKUP(Table1[RespondentID],'All Data'!$A$3:$CW$999,98,FALSE),"unknown")</f>
        <v>Private/Commercial</v>
      </c>
      <c r="AX399" s="120" t="str">
        <f>IFERROR(VLOOKUP(Table1[RespondentID],'All Data'!$A$3:$CW$999,99,FALSE),"unknown")</f>
        <v>Yes</v>
      </c>
    </row>
    <row r="400" spans="1:50">
      <c r="A400" s="124">
        <v>114086370794</v>
      </c>
      <c r="B400" s="122" t="s">
        <v>16</v>
      </c>
      <c r="C400" s="123"/>
      <c r="D400" s="123"/>
      <c r="E400" s="123"/>
      <c r="F400" s="123"/>
      <c r="G400" s="123"/>
      <c r="H400" s="123"/>
      <c r="I400" s="123" t="s">
        <v>23</v>
      </c>
      <c r="J400" s="123"/>
      <c r="K400" s="123"/>
      <c r="L400" s="123"/>
      <c r="M400" s="123"/>
      <c r="N400" s="123"/>
      <c r="O400" s="124"/>
      <c r="P400" s="125">
        <f t="shared" si="108"/>
        <v>2</v>
      </c>
      <c r="Q400" s="126">
        <f t="shared" si="109"/>
        <v>1.5</v>
      </c>
      <c r="R400" s="124"/>
      <c r="S400" s="125">
        <f t="shared" si="110"/>
        <v>1</v>
      </c>
      <c r="T400" s="125">
        <f t="shared" si="111"/>
        <v>0</v>
      </c>
      <c r="U400" s="125">
        <f t="shared" si="112"/>
        <v>0</v>
      </c>
      <c r="V400" s="127">
        <f t="shared" si="113"/>
        <v>0</v>
      </c>
      <c r="W400" s="127">
        <f t="shared" si="114"/>
        <v>0</v>
      </c>
      <c r="X400" s="127">
        <f t="shared" si="115"/>
        <v>0</v>
      </c>
      <c r="Y400" s="127">
        <f t="shared" si="116"/>
        <v>0</v>
      </c>
      <c r="Z400" s="127">
        <f t="shared" si="117"/>
        <v>1</v>
      </c>
      <c r="AA400" s="127">
        <f t="shared" si="118"/>
        <v>0</v>
      </c>
      <c r="AB400" s="127">
        <f t="shared" si="119"/>
        <v>0</v>
      </c>
      <c r="AC400" s="127">
        <f t="shared" si="120"/>
        <v>0</v>
      </c>
      <c r="AD400" s="127">
        <f t="shared" si="121"/>
        <v>0</v>
      </c>
      <c r="AE400" s="127">
        <f t="shared" si="122"/>
        <v>0</v>
      </c>
      <c r="AF400" s="124"/>
      <c r="AG400" s="124"/>
      <c r="AH400" s="125">
        <f t="shared" si="123"/>
        <v>2</v>
      </c>
      <c r="AI400" s="125">
        <f t="shared" si="124"/>
        <v>2</v>
      </c>
      <c r="AJ400" s="125" t="str">
        <f t="shared" si="125"/>
        <v>Correct</v>
      </c>
      <c r="AK400" s="124"/>
      <c r="AL400" s="120" t="str">
        <f>IFERROR(VLOOKUP(Table1[RespondentID],'All Data'!$A$3:$CO$999,87,FALSE),"unknown")</f>
        <v>Woman</v>
      </c>
      <c r="AM400" s="120">
        <f>IFERROR(VLOOKUP(Table1[RespondentID],'All Data'!$A$3:$CO$999,88,FALSE),"unknown")</f>
        <v>0</v>
      </c>
      <c r="AN400" s="120" t="str">
        <f>IFERROR(VLOOKUP(Table1[RespondentID],'All Data'!$A$3:$CO$999,89,FALSE),"unknown")</f>
        <v>Queens</v>
      </c>
      <c r="AO400" s="120">
        <f>IFERROR(VLOOKUP(Table1[RespondentID],'All Data'!$A$3:$CO$999,90,FALSE),"unknown")</f>
        <v>11414</v>
      </c>
      <c r="AP400" s="120">
        <f>IFERROR(VLOOKUP(Table1[RespondentID],'All Data'!$A$3:$CO$999,91,FALSE),"unknown")</f>
        <v>0</v>
      </c>
      <c r="AQ400" s="120" t="str">
        <f>IFERROR(VLOOKUP(Table1[RespondentID],'All Data'!$A$3:$CO$999,92,FALSE),"unknown")</f>
        <v>Hispanic or Latino</v>
      </c>
      <c r="AR400" s="120" t="str">
        <f>IFERROR(VLOOKUP(Table1[RespondentID],'All Data'!$A$3:$CO$999,93,FALSE),"unknown")</f>
        <v>English,Spanish,Italian</v>
      </c>
      <c r="AS400" s="120" t="str">
        <f>IFERROR(VLOOKUP(Table1[RespondentID],'All Data'!$A$3:$CW$999,94,FALSE),"unknown")</f>
        <v>$50,000 to $74,999</v>
      </c>
      <c r="AT400" s="120" t="str">
        <f>IFERROR(VLOOKUP(Table1[RespondentID],'All Data'!$A$3:$CW$999,95,FALSE),"unknown")</f>
        <v>Some college</v>
      </c>
      <c r="AU400" s="120" t="str">
        <f>IFERROR(VLOOKUP(Table1[RespondentID],'All Data'!$A$3:$CW$999,96,FALSE),"unknown")</f>
        <v>Employed for wages</v>
      </c>
      <c r="AV400" s="120" t="str">
        <f>IFERROR(VLOOKUP(Table1[RespondentID],'All Data'!$A$3:$CW$999,97,FALSE),"unknown")</f>
        <v>No, but I did in the past</v>
      </c>
      <c r="AW400" s="120" t="str">
        <f>IFERROR(VLOOKUP(Table1[RespondentID],'All Data'!$A$3:$CW$999,98,FALSE),"unknown")</f>
        <v>No Insurance</v>
      </c>
      <c r="AX400" s="120" t="str">
        <f>IFERROR(VLOOKUP(Table1[RespondentID],'All Data'!$A$3:$CW$999,99,FALSE),"unknown")</f>
        <v>Yes</v>
      </c>
    </row>
    <row r="401" spans="1:50">
      <c r="A401" s="124">
        <v>114086141494</v>
      </c>
      <c r="B401" s="122"/>
      <c r="C401" s="123"/>
      <c r="D401" s="123"/>
      <c r="E401" s="123"/>
      <c r="F401" s="123"/>
      <c r="G401" s="123"/>
      <c r="H401" s="123"/>
      <c r="I401" s="123"/>
      <c r="J401" s="123"/>
      <c r="K401" s="123" t="s">
        <v>25</v>
      </c>
      <c r="L401" s="123"/>
      <c r="M401" s="123"/>
      <c r="N401" s="123" t="s">
        <v>28</v>
      </c>
      <c r="O401" s="124"/>
      <c r="P401" s="125">
        <f t="shared" si="108"/>
        <v>2</v>
      </c>
      <c r="Q401" s="126">
        <f t="shared" si="109"/>
        <v>1.5</v>
      </c>
      <c r="R401" s="124"/>
      <c r="S401" s="125">
        <f t="shared" si="110"/>
        <v>0</v>
      </c>
      <c r="T401" s="125">
        <f t="shared" si="111"/>
        <v>0</v>
      </c>
      <c r="U401" s="125">
        <f t="shared" si="112"/>
        <v>0</v>
      </c>
      <c r="V401" s="127">
        <f t="shared" si="113"/>
        <v>0</v>
      </c>
      <c r="W401" s="127">
        <f t="shared" si="114"/>
        <v>0</v>
      </c>
      <c r="X401" s="127">
        <f t="shared" si="115"/>
        <v>0</v>
      </c>
      <c r="Y401" s="127">
        <f t="shared" si="116"/>
        <v>0</v>
      </c>
      <c r="Z401" s="127">
        <f t="shared" si="117"/>
        <v>0</v>
      </c>
      <c r="AA401" s="127">
        <f t="shared" si="118"/>
        <v>0</v>
      </c>
      <c r="AB401" s="127">
        <f t="shared" si="119"/>
        <v>1</v>
      </c>
      <c r="AC401" s="127">
        <f t="shared" si="120"/>
        <v>0</v>
      </c>
      <c r="AD401" s="127">
        <f t="shared" si="121"/>
        <v>0</v>
      </c>
      <c r="AE401" s="127">
        <f t="shared" si="122"/>
        <v>1</v>
      </c>
      <c r="AF401" s="124"/>
      <c r="AG401" s="124"/>
      <c r="AH401" s="125">
        <f t="shared" si="123"/>
        <v>2</v>
      </c>
      <c r="AI401" s="125">
        <f t="shared" si="124"/>
        <v>2</v>
      </c>
      <c r="AJ401" s="125" t="str">
        <f t="shared" si="125"/>
        <v>Correct</v>
      </c>
      <c r="AK401" s="124"/>
      <c r="AL401" s="120" t="str">
        <f>IFERROR(VLOOKUP(Table1[RespondentID],'All Data'!$A$3:$CO$999,87,FALSE),"unknown")</f>
        <v>Man</v>
      </c>
      <c r="AM401" s="120">
        <f>IFERROR(VLOOKUP(Table1[RespondentID],'All Data'!$A$3:$CO$999,88,FALSE),"unknown")</f>
        <v>0</v>
      </c>
      <c r="AN401" s="120" t="str">
        <f>IFERROR(VLOOKUP(Table1[RespondentID],'All Data'!$A$3:$CO$999,89,FALSE),"unknown")</f>
        <v>Suffolk</v>
      </c>
      <c r="AO401" s="120" t="str">
        <f>IFERROR(VLOOKUP(Table1[RespondentID],'All Data'!$A$3:$CO$999,90,FALSE),"unknown")</f>
        <v>Islip, 11751</v>
      </c>
      <c r="AP401" s="120">
        <f>IFERROR(VLOOKUP(Table1[RespondentID],'All Data'!$A$3:$CO$999,91,FALSE),"unknown")</f>
        <v>0</v>
      </c>
      <c r="AQ401" s="120" t="str">
        <f>IFERROR(VLOOKUP(Table1[RespondentID],'All Data'!$A$3:$CO$999,92,FALSE),"unknown")</f>
        <v>Not Hispanic or Latino</v>
      </c>
      <c r="AR401" s="120" t="str">
        <f>IFERROR(VLOOKUP(Table1[RespondentID],'All Data'!$A$3:$CO$999,93,FALSE),"unknown")</f>
        <v>English</v>
      </c>
      <c r="AS401" s="120" t="str">
        <f>IFERROR(VLOOKUP(Table1[RespondentID],'All Data'!$A$3:$CW$999,94,FALSE),"unknown")</f>
        <v>$35,000 to $49,999</v>
      </c>
      <c r="AT401" s="120" t="str">
        <f>IFERROR(VLOOKUP(Table1[RespondentID],'All Data'!$A$3:$CW$999,95,FALSE),"unknown")</f>
        <v>Doctorate</v>
      </c>
      <c r="AU401" s="120" t="str">
        <f>IFERROR(VLOOKUP(Table1[RespondentID],'All Data'!$A$3:$CW$999,96,FALSE),"unknown")</f>
        <v>Employed for wages</v>
      </c>
      <c r="AV401" s="120" t="str">
        <f>IFERROR(VLOOKUP(Table1[RespondentID],'All Data'!$A$3:$CW$999,97,FALSE),"unknown")</f>
        <v>Yes</v>
      </c>
      <c r="AW401" s="120" t="str">
        <f>IFERROR(VLOOKUP(Table1[RespondentID],'All Data'!$A$3:$CW$999,98,FALSE),"unknown")</f>
        <v>Private/Commercial</v>
      </c>
      <c r="AX401" s="120" t="str">
        <f>IFERROR(VLOOKUP(Table1[RespondentID],'All Data'!$A$3:$CW$999,99,FALSE),"unknown")</f>
        <v>Yes</v>
      </c>
    </row>
    <row r="402" spans="1:50">
      <c r="A402" s="124">
        <v>114086076324</v>
      </c>
      <c r="B402" s="122"/>
      <c r="C402" s="123" t="s">
        <v>17</v>
      </c>
      <c r="D402" s="123"/>
      <c r="E402" s="123"/>
      <c r="F402" s="123"/>
      <c r="G402" s="123"/>
      <c r="H402" s="123"/>
      <c r="I402" s="123"/>
      <c r="J402" s="123"/>
      <c r="K402" s="123"/>
      <c r="L402" s="123"/>
      <c r="M402" s="123"/>
      <c r="N402" s="123"/>
      <c r="O402" s="124"/>
      <c r="P402" s="125">
        <f t="shared" si="108"/>
        <v>1</v>
      </c>
      <c r="Q402" s="126">
        <f t="shared" si="109"/>
        <v>3</v>
      </c>
      <c r="R402" s="124"/>
      <c r="S402" s="125">
        <f t="shared" si="110"/>
        <v>0</v>
      </c>
      <c r="T402" s="125">
        <f t="shared" si="111"/>
        <v>1</v>
      </c>
      <c r="U402" s="125">
        <f t="shared" si="112"/>
        <v>0</v>
      </c>
      <c r="V402" s="127">
        <f t="shared" si="113"/>
        <v>0</v>
      </c>
      <c r="W402" s="127">
        <f t="shared" si="114"/>
        <v>0</v>
      </c>
      <c r="X402" s="127">
        <f t="shared" si="115"/>
        <v>0</v>
      </c>
      <c r="Y402" s="127">
        <f t="shared" si="116"/>
        <v>0</v>
      </c>
      <c r="Z402" s="127">
        <f t="shared" si="117"/>
        <v>0</v>
      </c>
      <c r="AA402" s="127">
        <f t="shared" si="118"/>
        <v>0</v>
      </c>
      <c r="AB402" s="127">
        <f t="shared" si="119"/>
        <v>0</v>
      </c>
      <c r="AC402" s="127">
        <f t="shared" si="120"/>
        <v>0</v>
      </c>
      <c r="AD402" s="127">
        <f t="shared" si="121"/>
        <v>0</v>
      </c>
      <c r="AE402" s="127">
        <f t="shared" si="122"/>
        <v>0</v>
      </c>
      <c r="AF402" s="124"/>
      <c r="AG402" s="124"/>
      <c r="AH402" s="125">
        <f t="shared" si="123"/>
        <v>1</v>
      </c>
      <c r="AI402" s="125">
        <f t="shared" si="124"/>
        <v>1</v>
      </c>
      <c r="AJ402" s="125" t="str">
        <f t="shared" si="125"/>
        <v>Correct</v>
      </c>
      <c r="AK402" s="124"/>
      <c r="AL402" s="120" t="str">
        <f>IFERROR(VLOOKUP(Table1[RespondentID],'All Data'!$A$3:$CO$999,87,FALSE),"unknown")</f>
        <v>Woman</v>
      </c>
      <c r="AM402" s="120">
        <f>IFERROR(VLOOKUP(Table1[RespondentID],'All Data'!$A$3:$CO$999,88,FALSE),"unknown")</f>
        <v>0</v>
      </c>
      <c r="AN402" s="120" t="str">
        <f>IFERROR(VLOOKUP(Table1[RespondentID],'All Data'!$A$3:$CO$999,89,FALSE),"unknown")</f>
        <v>Nassau</v>
      </c>
      <c r="AO402" s="120" t="str">
        <f>IFERROR(VLOOKUP(Table1[RespondentID],'All Data'!$A$3:$CO$999,90,FALSE),"unknown")</f>
        <v>Seaford, 11783</v>
      </c>
      <c r="AP402" s="120">
        <f>IFERROR(VLOOKUP(Table1[RespondentID],'All Data'!$A$3:$CO$999,91,FALSE),"unknown")</f>
        <v>0</v>
      </c>
      <c r="AQ402" s="120" t="str">
        <f>IFERROR(VLOOKUP(Table1[RespondentID],'All Data'!$A$3:$CO$999,92,FALSE),"unknown")</f>
        <v>Not Hispanic or Latino</v>
      </c>
      <c r="AR402" s="120" t="str">
        <f>IFERROR(VLOOKUP(Table1[RespondentID],'All Data'!$A$3:$CO$999,93,FALSE),"unknown")</f>
        <v>English</v>
      </c>
      <c r="AS402" s="120" t="str">
        <f>IFERROR(VLOOKUP(Table1[RespondentID],'All Data'!$A$3:$CW$999,94,FALSE),"unknown")</f>
        <v>Over $125,000</v>
      </c>
      <c r="AT402" s="120" t="str">
        <f>IFERROR(VLOOKUP(Table1[RespondentID],'All Data'!$A$3:$CW$999,95,FALSE),"unknown")</f>
        <v>College graduate</v>
      </c>
      <c r="AU402" s="120" t="str">
        <f>IFERROR(VLOOKUP(Table1[RespondentID],'All Data'!$A$3:$CW$999,96,FALSE),"unknown")</f>
        <v>Employed for wages</v>
      </c>
      <c r="AV402" s="120" t="str">
        <f>IFERROR(VLOOKUP(Table1[RespondentID],'All Data'!$A$3:$CW$999,97,FALSE),"unknown")</f>
        <v>Yes</v>
      </c>
      <c r="AW402" s="120" t="str">
        <f>IFERROR(VLOOKUP(Table1[RespondentID],'All Data'!$A$3:$CW$999,98,FALSE),"unknown")</f>
        <v>Private/Commercial</v>
      </c>
      <c r="AX402" s="120" t="str">
        <f>IFERROR(VLOOKUP(Table1[RespondentID],'All Data'!$A$3:$CW$999,99,FALSE),"unknown")</f>
        <v>Yes</v>
      </c>
    </row>
    <row r="403" spans="1:50">
      <c r="A403" s="124">
        <v>114086069086</v>
      </c>
      <c r="B403" s="122"/>
      <c r="C403" s="123" t="s">
        <v>17</v>
      </c>
      <c r="D403" s="123"/>
      <c r="E403" s="123" t="s">
        <v>19</v>
      </c>
      <c r="F403" s="123"/>
      <c r="G403" s="123"/>
      <c r="H403" s="123"/>
      <c r="I403" s="123"/>
      <c r="J403" s="123"/>
      <c r="K403" s="123"/>
      <c r="L403" s="123"/>
      <c r="M403" s="123" t="s">
        <v>27</v>
      </c>
      <c r="N403" s="123"/>
      <c r="O403" s="124"/>
      <c r="P403" s="125">
        <f t="shared" si="108"/>
        <v>3</v>
      </c>
      <c r="Q403" s="126">
        <f t="shared" si="109"/>
        <v>1</v>
      </c>
      <c r="R403" s="124"/>
      <c r="S403" s="125">
        <f t="shared" si="110"/>
        <v>0</v>
      </c>
      <c r="T403" s="125">
        <f t="shared" si="111"/>
        <v>1</v>
      </c>
      <c r="U403" s="125">
        <f t="shared" si="112"/>
        <v>0</v>
      </c>
      <c r="V403" s="127">
        <f t="shared" si="113"/>
        <v>1</v>
      </c>
      <c r="W403" s="127">
        <f t="shared" si="114"/>
        <v>0</v>
      </c>
      <c r="X403" s="127">
        <f t="shared" si="115"/>
        <v>0</v>
      </c>
      <c r="Y403" s="127">
        <f t="shared" si="116"/>
        <v>0</v>
      </c>
      <c r="Z403" s="127">
        <f t="shared" si="117"/>
        <v>0</v>
      </c>
      <c r="AA403" s="127">
        <f t="shared" si="118"/>
        <v>0</v>
      </c>
      <c r="AB403" s="127">
        <f t="shared" si="119"/>
        <v>0</v>
      </c>
      <c r="AC403" s="127">
        <f t="shared" si="120"/>
        <v>0</v>
      </c>
      <c r="AD403" s="127">
        <f t="shared" si="121"/>
        <v>1</v>
      </c>
      <c r="AE403" s="127">
        <f t="shared" si="122"/>
        <v>0</v>
      </c>
      <c r="AF403" s="124"/>
      <c r="AG403" s="124"/>
      <c r="AH403" s="125">
        <f t="shared" si="123"/>
        <v>3</v>
      </c>
      <c r="AI403" s="125">
        <f t="shared" si="124"/>
        <v>3</v>
      </c>
      <c r="AJ403" s="125" t="str">
        <f t="shared" si="125"/>
        <v>Correct</v>
      </c>
      <c r="AK403" s="124"/>
      <c r="AL403" s="120" t="str">
        <f>IFERROR(VLOOKUP(Table1[RespondentID],'All Data'!$A$3:$CO$999,87,FALSE),"unknown")</f>
        <v>Woman</v>
      </c>
      <c r="AM403" s="120">
        <f>IFERROR(VLOOKUP(Table1[RespondentID],'All Data'!$A$3:$CO$999,88,FALSE),"unknown")</f>
        <v>0</v>
      </c>
      <c r="AN403" s="120" t="str">
        <f>IFERROR(VLOOKUP(Table1[RespondentID],'All Data'!$A$3:$CO$999,89,FALSE),"unknown")</f>
        <v>Nassau</v>
      </c>
      <c r="AO403" s="120" t="str">
        <f>IFERROR(VLOOKUP(Table1[RespondentID],'All Data'!$A$3:$CO$999,90,FALSE),"unknown")</f>
        <v>Garden City, 11530</v>
      </c>
      <c r="AP403" s="120">
        <f>IFERROR(VLOOKUP(Table1[RespondentID],'All Data'!$A$3:$CO$999,91,FALSE),"unknown")</f>
        <v>0</v>
      </c>
      <c r="AQ403" s="120" t="str">
        <f>IFERROR(VLOOKUP(Table1[RespondentID],'All Data'!$A$3:$CO$999,92,FALSE),"unknown")</f>
        <v>Not Hispanic or Latino</v>
      </c>
      <c r="AR403" s="120" t="str">
        <f>IFERROR(VLOOKUP(Table1[RespondentID],'All Data'!$A$3:$CO$999,93,FALSE),"unknown")</f>
        <v>English</v>
      </c>
      <c r="AS403" s="120" t="str">
        <f>IFERROR(VLOOKUP(Table1[RespondentID],'All Data'!$A$3:$CW$999,94,FALSE),"unknown")</f>
        <v>Over $125,000</v>
      </c>
      <c r="AT403" s="120" t="str">
        <f>IFERROR(VLOOKUP(Table1[RespondentID],'All Data'!$A$3:$CW$999,95,FALSE),"unknown")</f>
        <v>Graduate school</v>
      </c>
      <c r="AU403" s="120" t="str">
        <f>IFERROR(VLOOKUP(Table1[RespondentID],'All Data'!$A$3:$CW$999,96,FALSE),"unknown")</f>
        <v>Employed for wages</v>
      </c>
      <c r="AV403" s="120" t="str">
        <f>IFERROR(VLOOKUP(Table1[RespondentID],'All Data'!$A$3:$CW$999,97,FALSE),"unknown")</f>
        <v>Yes</v>
      </c>
      <c r="AW403" s="120" t="str">
        <f>IFERROR(VLOOKUP(Table1[RespondentID],'All Data'!$A$3:$CW$999,98,FALSE),"unknown")</f>
        <v>Private/Commercial</v>
      </c>
      <c r="AX403" s="120" t="str">
        <f>IFERROR(VLOOKUP(Table1[RespondentID],'All Data'!$A$3:$CW$999,99,FALSE),"unknown")</f>
        <v>Yes</v>
      </c>
    </row>
    <row r="404" spans="1:50">
      <c r="A404" s="124">
        <v>114086062451</v>
      </c>
      <c r="B404" s="122"/>
      <c r="C404" s="123" t="s">
        <v>17</v>
      </c>
      <c r="D404" s="123" t="s">
        <v>18</v>
      </c>
      <c r="E404" s="123"/>
      <c r="F404" s="123"/>
      <c r="G404" s="123"/>
      <c r="H404" s="123"/>
      <c r="I404" s="123"/>
      <c r="J404" s="123" t="s">
        <v>24</v>
      </c>
      <c r="K404" s="123"/>
      <c r="L404" s="123"/>
      <c r="M404" s="123"/>
      <c r="N404" s="123"/>
      <c r="O404" s="124"/>
      <c r="P404" s="125">
        <f t="shared" si="108"/>
        <v>3</v>
      </c>
      <c r="Q404" s="126">
        <f t="shared" si="109"/>
        <v>1</v>
      </c>
      <c r="R404" s="124"/>
      <c r="S404" s="125">
        <f t="shared" si="110"/>
        <v>0</v>
      </c>
      <c r="T404" s="125">
        <f t="shared" si="111"/>
        <v>1</v>
      </c>
      <c r="U404" s="125">
        <f t="shared" si="112"/>
        <v>1</v>
      </c>
      <c r="V404" s="127">
        <f t="shared" si="113"/>
        <v>0</v>
      </c>
      <c r="W404" s="127">
        <f t="shared" si="114"/>
        <v>0</v>
      </c>
      <c r="X404" s="127">
        <f t="shared" si="115"/>
        <v>0</v>
      </c>
      <c r="Y404" s="127">
        <f t="shared" si="116"/>
        <v>0</v>
      </c>
      <c r="Z404" s="127">
        <f t="shared" si="117"/>
        <v>0</v>
      </c>
      <c r="AA404" s="127">
        <f t="shared" si="118"/>
        <v>1</v>
      </c>
      <c r="AB404" s="127">
        <f t="shared" si="119"/>
        <v>0</v>
      </c>
      <c r="AC404" s="127">
        <f t="shared" si="120"/>
        <v>0</v>
      </c>
      <c r="AD404" s="127">
        <f t="shared" si="121"/>
        <v>0</v>
      </c>
      <c r="AE404" s="127">
        <f t="shared" si="122"/>
        <v>0</v>
      </c>
      <c r="AF404" s="124"/>
      <c r="AG404" s="124"/>
      <c r="AH404" s="125">
        <f t="shared" si="123"/>
        <v>3</v>
      </c>
      <c r="AI404" s="125">
        <f t="shared" si="124"/>
        <v>3</v>
      </c>
      <c r="AJ404" s="125" t="str">
        <f t="shared" si="125"/>
        <v>Correct</v>
      </c>
      <c r="AK404" s="124"/>
      <c r="AL404" s="120" t="str">
        <f>IFERROR(VLOOKUP(Table1[RespondentID],'All Data'!$A$3:$CO$999,87,FALSE),"unknown")</f>
        <v>Woman</v>
      </c>
      <c r="AM404" s="120">
        <f>IFERROR(VLOOKUP(Table1[RespondentID],'All Data'!$A$3:$CO$999,88,FALSE),"unknown")</f>
        <v>0</v>
      </c>
      <c r="AN404" s="120" t="str">
        <f>IFERROR(VLOOKUP(Table1[RespondentID],'All Data'!$A$3:$CO$999,89,FALSE),"unknown")</f>
        <v>Nassau</v>
      </c>
      <c r="AO404" s="120" t="str">
        <f>IFERROR(VLOOKUP(Table1[RespondentID],'All Data'!$A$3:$CO$999,90,FALSE),"unknown")</f>
        <v>Freeport, 11520</v>
      </c>
      <c r="AP404" s="120">
        <f>IFERROR(VLOOKUP(Table1[RespondentID],'All Data'!$A$3:$CO$999,91,FALSE),"unknown")</f>
        <v>0</v>
      </c>
      <c r="AQ404" s="120" t="str">
        <f>IFERROR(VLOOKUP(Table1[RespondentID],'All Data'!$A$3:$CO$999,92,FALSE),"unknown")</f>
        <v>Not Hispanic or Latino</v>
      </c>
      <c r="AR404" s="120" t="str">
        <f>IFERROR(VLOOKUP(Table1[RespondentID],'All Data'!$A$3:$CO$999,93,FALSE),"unknown")</f>
        <v>English,Haitian Creole,French Creole</v>
      </c>
      <c r="AS404" s="120" t="str">
        <f>IFERROR(VLOOKUP(Table1[RespondentID],'All Data'!$A$3:$CW$999,94,FALSE),"unknown")</f>
        <v>Over $125,000</v>
      </c>
      <c r="AT404" s="120" t="str">
        <f>IFERROR(VLOOKUP(Table1[RespondentID],'All Data'!$A$3:$CW$999,95,FALSE),"unknown")</f>
        <v>Doctorate</v>
      </c>
      <c r="AU404" s="120" t="str">
        <f>IFERROR(VLOOKUP(Table1[RespondentID],'All Data'!$A$3:$CW$999,96,FALSE),"unknown")</f>
        <v>Employed for wages</v>
      </c>
      <c r="AV404" s="120" t="str">
        <f>IFERROR(VLOOKUP(Table1[RespondentID],'All Data'!$A$3:$CW$999,97,FALSE),"unknown")</f>
        <v>Yes</v>
      </c>
      <c r="AW404" s="120" t="str">
        <f>IFERROR(VLOOKUP(Table1[RespondentID],'All Data'!$A$3:$CW$999,98,FALSE),"unknown")</f>
        <v>Private/Commercial</v>
      </c>
      <c r="AX404" s="120" t="str">
        <f>IFERROR(VLOOKUP(Table1[RespondentID],'All Data'!$A$3:$CW$999,99,FALSE),"unknown")</f>
        <v>Yes</v>
      </c>
    </row>
    <row r="405" spans="1:50">
      <c r="A405" s="124">
        <v>114085969464</v>
      </c>
      <c r="B405" s="122" t="s">
        <v>16</v>
      </c>
      <c r="C405" s="123" t="s">
        <v>17</v>
      </c>
      <c r="D405" s="123" t="s">
        <v>18</v>
      </c>
      <c r="E405" s="123" t="s">
        <v>19</v>
      </c>
      <c r="F405" s="123"/>
      <c r="G405" s="123"/>
      <c r="H405" s="123"/>
      <c r="I405" s="123"/>
      <c r="J405" s="123" t="s">
        <v>24</v>
      </c>
      <c r="K405" s="123" t="s">
        <v>25</v>
      </c>
      <c r="L405" s="123" t="s">
        <v>26</v>
      </c>
      <c r="M405" s="123" t="s">
        <v>27</v>
      </c>
      <c r="N405" s="123" t="s">
        <v>28</v>
      </c>
      <c r="O405" s="124"/>
      <c r="P405" s="125">
        <f t="shared" si="108"/>
        <v>9</v>
      </c>
      <c r="Q405" s="126">
        <f t="shared" si="109"/>
        <v>0.33333333333333331</v>
      </c>
      <c r="R405" s="124"/>
      <c r="S405" s="125">
        <f t="shared" si="110"/>
        <v>0.33333333333333331</v>
      </c>
      <c r="T405" s="125">
        <f t="shared" si="111"/>
        <v>0.33333333333333331</v>
      </c>
      <c r="U405" s="125">
        <f t="shared" si="112"/>
        <v>0.33333333333333331</v>
      </c>
      <c r="V405" s="127">
        <f t="shared" si="113"/>
        <v>0.33333333333333331</v>
      </c>
      <c r="W405" s="127">
        <f t="shared" si="114"/>
        <v>0</v>
      </c>
      <c r="X405" s="127">
        <f t="shared" si="115"/>
        <v>0</v>
      </c>
      <c r="Y405" s="127">
        <f t="shared" si="116"/>
        <v>0</v>
      </c>
      <c r="Z405" s="127">
        <f t="shared" si="117"/>
        <v>0</v>
      </c>
      <c r="AA405" s="127">
        <f t="shared" si="118"/>
        <v>0.33333333333333331</v>
      </c>
      <c r="AB405" s="127">
        <f t="shared" si="119"/>
        <v>0.33333333333333331</v>
      </c>
      <c r="AC405" s="127">
        <f t="shared" si="120"/>
        <v>0.33333333333333331</v>
      </c>
      <c r="AD405" s="127">
        <f t="shared" si="121"/>
        <v>0.33333333333333331</v>
      </c>
      <c r="AE405" s="127">
        <f t="shared" si="122"/>
        <v>0.33333333333333331</v>
      </c>
      <c r="AF405" s="124"/>
      <c r="AG405" s="124"/>
      <c r="AH405" s="125">
        <f t="shared" si="123"/>
        <v>3</v>
      </c>
      <c r="AI405" s="125">
        <f t="shared" si="124"/>
        <v>9</v>
      </c>
      <c r="AJ405" s="125" t="str">
        <f t="shared" si="125"/>
        <v>Correct</v>
      </c>
      <c r="AK405" s="124"/>
      <c r="AL405" s="120" t="str">
        <f>IFERROR(VLOOKUP(Table1[RespondentID],'All Data'!$A$3:$CO$999,87,FALSE),"unknown")</f>
        <v>Man</v>
      </c>
      <c r="AM405" s="120">
        <f>IFERROR(VLOOKUP(Table1[RespondentID],'All Data'!$A$3:$CO$999,88,FALSE),"unknown")</f>
        <v>0</v>
      </c>
      <c r="AN405" s="120" t="str">
        <f>IFERROR(VLOOKUP(Table1[RespondentID],'All Data'!$A$3:$CO$999,89,FALSE),"unknown")</f>
        <v>Suffolk</v>
      </c>
      <c r="AO405" s="120" t="str">
        <f>IFERROR(VLOOKUP(Table1[RespondentID],'All Data'!$A$3:$CO$999,90,FALSE),"unknown")</f>
        <v>Babylon, 11704</v>
      </c>
      <c r="AP405" s="120">
        <f>IFERROR(VLOOKUP(Table1[RespondentID],'All Data'!$A$3:$CO$999,91,FALSE),"unknown")</f>
        <v>0</v>
      </c>
      <c r="AQ405" s="120">
        <f>IFERROR(VLOOKUP(Table1[RespondentID],'All Data'!$A$3:$CO$999,92,FALSE),"unknown")</f>
        <v>0</v>
      </c>
      <c r="AR405" s="120" t="str">
        <f>IFERROR(VLOOKUP(Table1[RespondentID],'All Data'!$A$3:$CO$999,93,FALSE),"unknown")</f>
        <v>English</v>
      </c>
      <c r="AS405" s="120" t="str">
        <f>IFERROR(VLOOKUP(Table1[RespondentID],'All Data'!$A$3:$CW$999,94,FALSE),"unknown")</f>
        <v>Over $125,000</v>
      </c>
      <c r="AT405" s="120" t="str">
        <f>IFERROR(VLOOKUP(Table1[RespondentID],'All Data'!$A$3:$CW$999,95,FALSE),"unknown")</f>
        <v>College graduate</v>
      </c>
      <c r="AU405" s="120" t="str">
        <f>IFERROR(VLOOKUP(Table1[RespondentID],'All Data'!$A$3:$CW$999,96,FALSE),"unknown")</f>
        <v>Employed for wages</v>
      </c>
      <c r="AV405" s="120" t="str">
        <f>IFERROR(VLOOKUP(Table1[RespondentID],'All Data'!$A$3:$CW$999,97,FALSE),"unknown")</f>
        <v>Yes</v>
      </c>
      <c r="AW405" s="120" t="str">
        <f>IFERROR(VLOOKUP(Table1[RespondentID],'All Data'!$A$3:$CW$999,98,FALSE),"unknown")</f>
        <v>Private/Commercial</v>
      </c>
      <c r="AX405" s="120" t="str">
        <f>IFERROR(VLOOKUP(Table1[RespondentID],'All Data'!$A$3:$CW$999,99,FALSE),"unknown")</f>
        <v>Yes</v>
      </c>
    </row>
    <row r="406" spans="1:50">
      <c r="A406" s="124">
        <v>114085966921</v>
      </c>
      <c r="B406" s="122"/>
      <c r="C406" s="123"/>
      <c r="D406" s="123"/>
      <c r="E406" s="123"/>
      <c r="F406" s="123"/>
      <c r="G406" s="123"/>
      <c r="H406" s="123"/>
      <c r="I406" s="123" t="s">
        <v>23</v>
      </c>
      <c r="J406" s="123"/>
      <c r="K406" s="123"/>
      <c r="L406" s="123"/>
      <c r="M406" s="123"/>
      <c r="N406" s="123" t="s">
        <v>28</v>
      </c>
      <c r="O406" s="124"/>
      <c r="P406" s="125">
        <f t="shared" si="108"/>
        <v>2</v>
      </c>
      <c r="Q406" s="126">
        <f t="shared" si="109"/>
        <v>1.5</v>
      </c>
      <c r="R406" s="124"/>
      <c r="S406" s="125">
        <f t="shared" si="110"/>
        <v>0</v>
      </c>
      <c r="T406" s="125">
        <f t="shared" si="111"/>
        <v>0</v>
      </c>
      <c r="U406" s="125">
        <f t="shared" si="112"/>
        <v>0</v>
      </c>
      <c r="V406" s="127">
        <f t="shared" si="113"/>
        <v>0</v>
      </c>
      <c r="W406" s="127">
        <f t="shared" si="114"/>
        <v>0</v>
      </c>
      <c r="X406" s="127">
        <f t="shared" si="115"/>
        <v>0</v>
      </c>
      <c r="Y406" s="127">
        <f t="shared" si="116"/>
        <v>0</v>
      </c>
      <c r="Z406" s="127">
        <f t="shared" si="117"/>
        <v>1</v>
      </c>
      <c r="AA406" s="127">
        <f t="shared" si="118"/>
        <v>0</v>
      </c>
      <c r="AB406" s="127">
        <f t="shared" si="119"/>
        <v>0</v>
      </c>
      <c r="AC406" s="127">
        <f t="shared" si="120"/>
        <v>0</v>
      </c>
      <c r="AD406" s="127">
        <f t="shared" si="121"/>
        <v>0</v>
      </c>
      <c r="AE406" s="127">
        <f t="shared" si="122"/>
        <v>1</v>
      </c>
      <c r="AF406" s="124"/>
      <c r="AG406" s="124"/>
      <c r="AH406" s="125">
        <f t="shared" si="123"/>
        <v>2</v>
      </c>
      <c r="AI406" s="125">
        <f t="shared" si="124"/>
        <v>2</v>
      </c>
      <c r="AJ406" s="125" t="str">
        <f t="shared" si="125"/>
        <v>Correct</v>
      </c>
      <c r="AK406" s="124"/>
      <c r="AL406" s="120" t="str">
        <f>IFERROR(VLOOKUP(Table1[RespondentID],'All Data'!$A$3:$CO$999,87,FALSE),"unknown")</f>
        <v>Woman</v>
      </c>
      <c r="AM406" s="120">
        <f>IFERROR(VLOOKUP(Table1[RespondentID],'All Data'!$A$3:$CO$999,88,FALSE),"unknown")</f>
        <v>0</v>
      </c>
      <c r="AN406" s="120" t="str">
        <f>IFERROR(VLOOKUP(Table1[RespondentID],'All Data'!$A$3:$CO$999,89,FALSE),"unknown")</f>
        <v>Nassau</v>
      </c>
      <c r="AO406" s="120" t="str">
        <f>IFERROR(VLOOKUP(Table1[RespondentID],'All Data'!$A$3:$CO$999,90,FALSE),"unknown")</f>
        <v>Massapequa, 11758</v>
      </c>
      <c r="AP406" s="120">
        <f>IFERROR(VLOOKUP(Table1[RespondentID],'All Data'!$A$3:$CO$999,91,FALSE),"unknown")</f>
        <v>0</v>
      </c>
      <c r="AQ406" s="120" t="str">
        <f>IFERROR(VLOOKUP(Table1[RespondentID],'All Data'!$A$3:$CO$999,92,FALSE),"unknown")</f>
        <v>Not Hispanic or Latino</v>
      </c>
      <c r="AR406" s="120" t="str">
        <f>IFERROR(VLOOKUP(Table1[RespondentID],'All Data'!$A$3:$CO$999,93,FALSE),"unknown")</f>
        <v>English</v>
      </c>
      <c r="AS406" s="120" t="str">
        <f>IFERROR(VLOOKUP(Table1[RespondentID],'All Data'!$A$3:$CW$999,94,FALSE),"unknown")</f>
        <v>Over $125,000</v>
      </c>
      <c r="AT406" s="120" t="str">
        <f>IFERROR(VLOOKUP(Table1[RespondentID],'All Data'!$A$3:$CW$999,95,FALSE),"unknown")</f>
        <v>College graduate</v>
      </c>
      <c r="AU406" s="120" t="str">
        <f>IFERROR(VLOOKUP(Table1[RespondentID],'All Data'!$A$3:$CW$999,96,FALSE),"unknown")</f>
        <v>Employed for wages</v>
      </c>
      <c r="AV406" s="120" t="str">
        <f>IFERROR(VLOOKUP(Table1[RespondentID],'All Data'!$A$3:$CW$999,97,FALSE),"unknown")</f>
        <v>Yes</v>
      </c>
      <c r="AW406" s="120" t="str">
        <f>IFERROR(VLOOKUP(Table1[RespondentID],'All Data'!$A$3:$CW$999,98,FALSE),"unknown")</f>
        <v>Private/Commercial</v>
      </c>
      <c r="AX406" s="120" t="str">
        <f>IFERROR(VLOOKUP(Table1[RespondentID],'All Data'!$A$3:$CW$999,99,FALSE),"unknown")</f>
        <v>Yes</v>
      </c>
    </row>
    <row r="407" spans="1:50">
      <c r="A407" s="124">
        <v>114085904332</v>
      </c>
      <c r="B407" s="122"/>
      <c r="C407" s="123"/>
      <c r="D407" s="123"/>
      <c r="E407" s="123"/>
      <c r="F407" s="123"/>
      <c r="G407" s="123"/>
      <c r="H407" s="123"/>
      <c r="I407" s="123"/>
      <c r="J407" s="123"/>
      <c r="K407" s="123"/>
      <c r="L407" s="123"/>
      <c r="M407" s="123"/>
      <c r="N407" s="123" t="s">
        <v>28</v>
      </c>
      <c r="O407" s="124"/>
      <c r="P407" s="125">
        <f t="shared" si="108"/>
        <v>1</v>
      </c>
      <c r="Q407" s="126">
        <f t="shared" si="109"/>
        <v>3</v>
      </c>
      <c r="R407" s="124"/>
      <c r="S407" s="125">
        <f t="shared" si="110"/>
        <v>0</v>
      </c>
      <c r="T407" s="125">
        <f t="shared" si="111"/>
        <v>0</v>
      </c>
      <c r="U407" s="125">
        <f t="shared" si="112"/>
        <v>0</v>
      </c>
      <c r="V407" s="127">
        <f t="shared" si="113"/>
        <v>0</v>
      </c>
      <c r="W407" s="127">
        <f t="shared" si="114"/>
        <v>0</v>
      </c>
      <c r="X407" s="127">
        <f t="shared" si="115"/>
        <v>0</v>
      </c>
      <c r="Y407" s="127">
        <f t="shared" si="116"/>
        <v>0</v>
      </c>
      <c r="Z407" s="127">
        <f t="shared" si="117"/>
        <v>0</v>
      </c>
      <c r="AA407" s="127">
        <f t="shared" si="118"/>
        <v>0</v>
      </c>
      <c r="AB407" s="127">
        <f t="shared" si="119"/>
        <v>0</v>
      </c>
      <c r="AC407" s="127">
        <f t="shared" si="120"/>
        <v>0</v>
      </c>
      <c r="AD407" s="127">
        <f t="shared" si="121"/>
        <v>0</v>
      </c>
      <c r="AE407" s="127">
        <f t="shared" si="122"/>
        <v>1</v>
      </c>
      <c r="AF407" s="124"/>
      <c r="AG407" s="124"/>
      <c r="AH407" s="125">
        <f t="shared" si="123"/>
        <v>1</v>
      </c>
      <c r="AI407" s="125">
        <f t="shared" si="124"/>
        <v>1</v>
      </c>
      <c r="AJ407" s="125" t="str">
        <f t="shared" si="125"/>
        <v>Correct</v>
      </c>
      <c r="AK407" s="124"/>
      <c r="AL407" s="120" t="str">
        <f>IFERROR(VLOOKUP(Table1[RespondentID],'All Data'!$A$3:$CO$999,87,FALSE),"unknown")</f>
        <v>Woman</v>
      </c>
      <c r="AM407" s="120">
        <f>IFERROR(VLOOKUP(Table1[RespondentID],'All Data'!$A$3:$CO$999,88,FALSE),"unknown")</f>
        <v>0</v>
      </c>
      <c r="AN407" s="120" t="str">
        <f>IFERROR(VLOOKUP(Table1[RespondentID],'All Data'!$A$3:$CO$999,89,FALSE),"unknown")</f>
        <v>Nassau</v>
      </c>
      <c r="AO407" s="120" t="str">
        <f>IFERROR(VLOOKUP(Table1[RespondentID],'All Data'!$A$3:$CO$999,90,FALSE),"unknown")</f>
        <v>Hempstead, 11550</v>
      </c>
      <c r="AP407" s="120">
        <f>IFERROR(VLOOKUP(Table1[RespondentID],'All Data'!$A$3:$CO$999,91,FALSE),"unknown")</f>
        <v>0</v>
      </c>
      <c r="AQ407" s="120">
        <f>IFERROR(VLOOKUP(Table1[RespondentID],'All Data'!$A$3:$CO$999,92,FALSE),"unknown")</f>
        <v>0</v>
      </c>
      <c r="AR407" s="120">
        <f>IFERROR(VLOOKUP(Table1[RespondentID],'All Data'!$A$3:$CO$999,93,FALSE),"unknown")</f>
        <v>0</v>
      </c>
      <c r="AS407" s="120">
        <f>IFERROR(VLOOKUP(Table1[RespondentID],'All Data'!$A$3:$CW$999,94,FALSE),"unknown")</f>
        <v>0</v>
      </c>
      <c r="AT407" s="120">
        <f>IFERROR(VLOOKUP(Table1[RespondentID],'All Data'!$A$3:$CW$999,95,FALSE),"unknown")</f>
        <v>0</v>
      </c>
      <c r="AU407" s="120">
        <f>IFERROR(VLOOKUP(Table1[RespondentID],'All Data'!$A$3:$CW$999,96,FALSE),"unknown")</f>
        <v>0</v>
      </c>
      <c r="AV407" s="120">
        <f>IFERROR(VLOOKUP(Table1[RespondentID],'All Data'!$A$3:$CW$999,97,FALSE),"unknown")</f>
        <v>0</v>
      </c>
      <c r="AW407" s="120">
        <f>IFERROR(VLOOKUP(Table1[RespondentID],'All Data'!$A$3:$CW$999,98,FALSE),"unknown")</f>
        <v>0</v>
      </c>
      <c r="AX407" s="120">
        <f>IFERROR(VLOOKUP(Table1[RespondentID],'All Data'!$A$3:$CW$999,99,FALSE),"unknown")</f>
        <v>0</v>
      </c>
    </row>
    <row r="408" spans="1:50">
      <c r="A408" s="124">
        <v>114085903127</v>
      </c>
      <c r="B408" s="122"/>
      <c r="C408" s="123"/>
      <c r="D408" s="123"/>
      <c r="E408" s="123" t="s">
        <v>19</v>
      </c>
      <c r="F408" s="123"/>
      <c r="G408" s="123" t="s">
        <v>21</v>
      </c>
      <c r="H408" s="123"/>
      <c r="I408" s="123" t="s">
        <v>23</v>
      </c>
      <c r="J408" s="123"/>
      <c r="K408" s="123"/>
      <c r="L408" s="123"/>
      <c r="M408" s="123"/>
      <c r="N408" s="123"/>
      <c r="O408" s="124"/>
      <c r="P408" s="125">
        <f t="shared" si="108"/>
        <v>3</v>
      </c>
      <c r="Q408" s="126">
        <f t="shared" si="109"/>
        <v>1</v>
      </c>
      <c r="R408" s="124"/>
      <c r="S408" s="125">
        <f t="shared" si="110"/>
        <v>0</v>
      </c>
      <c r="T408" s="125">
        <f t="shared" si="111"/>
        <v>0</v>
      </c>
      <c r="U408" s="125">
        <f t="shared" si="112"/>
        <v>0</v>
      </c>
      <c r="V408" s="127">
        <f t="shared" si="113"/>
        <v>1</v>
      </c>
      <c r="W408" s="127">
        <f t="shared" si="114"/>
        <v>0</v>
      </c>
      <c r="X408" s="127">
        <f t="shared" si="115"/>
        <v>1</v>
      </c>
      <c r="Y408" s="127">
        <f t="shared" si="116"/>
        <v>0</v>
      </c>
      <c r="Z408" s="127">
        <f t="shared" si="117"/>
        <v>1</v>
      </c>
      <c r="AA408" s="127">
        <f t="shared" si="118"/>
        <v>0</v>
      </c>
      <c r="AB408" s="127">
        <f t="shared" si="119"/>
        <v>0</v>
      </c>
      <c r="AC408" s="127">
        <f t="shared" si="120"/>
        <v>0</v>
      </c>
      <c r="AD408" s="127">
        <f t="shared" si="121"/>
        <v>0</v>
      </c>
      <c r="AE408" s="127">
        <f t="shared" si="122"/>
        <v>0</v>
      </c>
      <c r="AF408" s="124"/>
      <c r="AG408" s="124"/>
      <c r="AH408" s="125">
        <f t="shared" si="123"/>
        <v>3</v>
      </c>
      <c r="AI408" s="125">
        <f t="shared" si="124"/>
        <v>3</v>
      </c>
      <c r="AJ408" s="125" t="str">
        <f t="shared" si="125"/>
        <v>Correct</v>
      </c>
      <c r="AK408" s="124"/>
      <c r="AL408" s="120" t="str">
        <f>IFERROR(VLOOKUP(Table1[RespondentID],'All Data'!$A$3:$CO$999,87,FALSE),"unknown")</f>
        <v>Woman</v>
      </c>
      <c r="AM408" s="120">
        <f>IFERROR(VLOOKUP(Table1[RespondentID],'All Data'!$A$3:$CO$999,88,FALSE),"unknown")</f>
        <v>0</v>
      </c>
      <c r="AN408" s="120" t="str">
        <f>IFERROR(VLOOKUP(Table1[RespondentID],'All Data'!$A$3:$CO$999,89,FALSE),"unknown")</f>
        <v>Nassau</v>
      </c>
      <c r="AO408" s="120" t="str">
        <f>IFERROR(VLOOKUP(Table1[RespondentID],'All Data'!$A$3:$CO$999,90,FALSE),"unknown")</f>
        <v>Hewlett Neck, 11598</v>
      </c>
      <c r="AP408" s="120">
        <f>IFERROR(VLOOKUP(Table1[RespondentID],'All Data'!$A$3:$CO$999,91,FALSE),"unknown")</f>
        <v>0</v>
      </c>
      <c r="AQ408" s="120" t="str">
        <f>IFERROR(VLOOKUP(Table1[RespondentID],'All Data'!$A$3:$CO$999,92,FALSE),"unknown")</f>
        <v>Not Hispanic or Latino</v>
      </c>
      <c r="AR408" s="120">
        <f>IFERROR(VLOOKUP(Table1[RespondentID],'All Data'!$A$3:$CO$999,93,FALSE),"unknown")</f>
        <v>0</v>
      </c>
      <c r="AS408" s="120" t="str">
        <f>IFERROR(VLOOKUP(Table1[RespondentID],'All Data'!$A$3:$CW$999,94,FALSE),"unknown")</f>
        <v>$50,000 to $74,999</v>
      </c>
      <c r="AT408" s="120" t="str">
        <f>IFERROR(VLOOKUP(Table1[RespondentID],'All Data'!$A$3:$CW$999,95,FALSE),"unknown")</f>
        <v>Graduate school</v>
      </c>
      <c r="AU408" s="120">
        <f>IFERROR(VLOOKUP(Table1[RespondentID],'All Data'!$A$3:$CW$999,96,FALSE),"unknown")</f>
        <v>0</v>
      </c>
      <c r="AV408" s="120">
        <f>IFERROR(VLOOKUP(Table1[RespondentID],'All Data'!$A$3:$CW$999,97,FALSE),"unknown")</f>
        <v>0</v>
      </c>
      <c r="AW408" s="120" t="str">
        <f>IFERROR(VLOOKUP(Table1[RespondentID],'All Data'!$A$3:$CW$999,98,FALSE),"unknown")</f>
        <v>Private/Commercial</v>
      </c>
      <c r="AX408" s="120" t="str">
        <f>IFERROR(VLOOKUP(Table1[RespondentID],'All Data'!$A$3:$CW$999,99,FALSE),"unknown")</f>
        <v>Yes</v>
      </c>
    </row>
    <row r="409" spans="1:50">
      <c r="A409" s="124">
        <v>114085875144</v>
      </c>
      <c r="B409" s="122"/>
      <c r="C409" s="123" t="s">
        <v>17</v>
      </c>
      <c r="D409" s="123" t="s">
        <v>18</v>
      </c>
      <c r="E409" s="123"/>
      <c r="F409" s="123"/>
      <c r="G409" s="123"/>
      <c r="H409" s="123"/>
      <c r="I409" s="123" t="s">
        <v>23</v>
      </c>
      <c r="J409" s="123"/>
      <c r="K409" s="123"/>
      <c r="L409" s="123"/>
      <c r="M409" s="123"/>
      <c r="N409" s="123"/>
      <c r="O409" s="124"/>
      <c r="P409" s="125">
        <f t="shared" si="108"/>
        <v>3</v>
      </c>
      <c r="Q409" s="126">
        <f t="shared" si="109"/>
        <v>1</v>
      </c>
      <c r="R409" s="124"/>
      <c r="S409" s="125">
        <f t="shared" si="110"/>
        <v>0</v>
      </c>
      <c r="T409" s="125">
        <f t="shared" si="111"/>
        <v>1</v>
      </c>
      <c r="U409" s="125">
        <f t="shared" si="112"/>
        <v>1</v>
      </c>
      <c r="V409" s="127">
        <f t="shared" si="113"/>
        <v>0</v>
      </c>
      <c r="W409" s="127">
        <f t="shared" si="114"/>
        <v>0</v>
      </c>
      <c r="X409" s="127">
        <f t="shared" si="115"/>
        <v>0</v>
      </c>
      <c r="Y409" s="127">
        <f t="shared" si="116"/>
        <v>0</v>
      </c>
      <c r="Z409" s="127">
        <f t="shared" si="117"/>
        <v>1</v>
      </c>
      <c r="AA409" s="127">
        <f t="shared" si="118"/>
        <v>0</v>
      </c>
      <c r="AB409" s="127">
        <f t="shared" si="119"/>
        <v>0</v>
      </c>
      <c r="AC409" s="127">
        <f t="shared" si="120"/>
        <v>0</v>
      </c>
      <c r="AD409" s="127">
        <f t="shared" si="121"/>
        <v>0</v>
      </c>
      <c r="AE409" s="127">
        <f t="shared" si="122"/>
        <v>0</v>
      </c>
      <c r="AF409" s="124"/>
      <c r="AG409" s="124"/>
      <c r="AH409" s="125">
        <f t="shared" si="123"/>
        <v>3</v>
      </c>
      <c r="AI409" s="125">
        <f t="shared" si="124"/>
        <v>3</v>
      </c>
      <c r="AJ409" s="125" t="str">
        <f t="shared" si="125"/>
        <v>Correct</v>
      </c>
      <c r="AK409" s="124"/>
      <c r="AL409" s="120" t="str">
        <f>IFERROR(VLOOKUP(Table1[RespondentID],'All Data'!$A$3:$CO$999,87,FALSE),"unknown")</f>
        <v>Woman</v>
      </c>
      <c r="AM409" s="120">
        <f>IFERROR(VLOOKUP(Table1[RespondentID],'All Data'!$A$3:$CO$999,88,FALSE),"unknown")</f>
        <v>0</v>
      </c>
      <c r="AN409" s="120" t="str">
        <f>IFERROR(VLOOKUP(Table1[RespondentID],'All Data'!$A$3:$CO$999,89,FALSE),"unknown")</f>
        <v>Nassau</v>
      </c>
      <c r="AO409" s="120" t="str">
        <f>IFERROR(VLOOKUP(Table1[RespondentID],'All Data'!$A$3:$CO$999,90,FALSE),"unknown")</f>
        <v>Lakeview, 11552</v>
      </c>
      <c r="AP409" s="120">
        <f>IFERROR(VLOOKUP(Table1[RespondentID],'All Data'!$A$3:$CO$999,91,FALSE),"unknown")</f>
        <v>0</v>
      </c>
      <c r="AQ409" s="120" t="str">
        <f>IFERROR(VLOOKUP(Table1[RespondentID],'All Data'!$A$3:$CO$999,92,FALSE),"unknown")</f>
        <v>Not Hispanic or Latino</v>
      </c>
      <c r="AR409" s="120" t="str">
        <f>IFERROR(VLOOKUP(Table1[RespondentID],'All Data'!$A$3:$CO$999,93,FALSE),"unknown")</f>
        <v>English</v>
      </c>
      <c r="AS409" s="120" t="str">
        <f>IFERROR(VLOOKUP(Table1[RespondentID],'All Data'!$A$3:$CW$999,94,FALSE),"unknown")</f>
        <v>$50,000 to $74,999</v>
      </c>
      <c r="AT409" s="120" t="str">
        <f>IFERROR(VLOOKUP(Table1[RespondentID],'All Data'!$A$3:$CW$999,95,FALSE),"unknown")</f>
        <v>College graduate</v>
      </c>
      <c r="AU409" s="120">
        <f>IFERROR(VLOOKUP(Table1[RespondentID],'All Data'!$A$3:$CW$999,96,FALSE),"unknown")</f>
        <v>0</v>
      </c>
      <c r="AV409" s="120">
        <f>IFERROR(VLOOKUP(Table1[RespondentID],'All Data'!$A$3:$CW$999,97,FALSE),"unknown")</f>
        <v>0</v>
      </c>
      <c r="AW409" s="120" t="str">
        <f>IFERROR(VLOOKUP(Table1[RespondentID],'All Data'!$A$3:$CW$999,98,FALSE),"unknown")</f>
        <v>Private/Commercial</v>
      </c>
      <c r="AX409" s="120" t="str">
        <f>IFERROR(VLOOKUP(Table1[RespondentID],'All Data'!$A$3:$CW$999,99,FALSE),"unknown")</f>
        <v>Yes</v>
      </c>
    </row>
    <row r="410" spans="1:50">
      <c r="A410" s="124">
        <v>114085855650</v>
      </c>
      <c r="B410" s="122"/>
      <c r="C410" s="123"/>
      <c r="D410" s="123" t="s">
        <v>18</v>
      </c>
      <c r="E410" s="123" t="s">
        <v>19</v>
      </c>
      <c r="F410" s="123"/>
      <c r="G410" s="123" t="s">
        <v>21</v>
      </c>
      <c r="H410" s="123"/>
      <c r="I410" s="123"/>
      <c r="J410" s="123"/>
      <c r="K410" s="123"/>
      <c r="L410" s="123"/>
      <c r="M410" s="123"/>
      <c r="N410" s="123"/>
      <c r="O410" s="124"/>
      <c r="P410" s="125">
        <f t="shared" si="108"/>
        <v>3</v>
      </c>
      <c r="Q410" s="126">
        <f t="shared" si="109"/>
        <v>1</v>
      </c>
      <c r="R410" s="124"/>
      <c r="S410" s="125">
        <f t="shared" si="110"/>
        <v>0</v>
      </c>
      <c r="T410" s="125">
        <f t="shared" si="111"/>
        <v>0</v>
      </c>
      <c r="U410" s="125">
        <f t="shared" si="112"/>
        <v>1</v>
      </c>
      <c r="V410" s="127">
        <f t="shared" si="113"/>
        <v>1</v>
      </c>
      <c r="W410" s="127">
        <f t="shared" si="114"/>
        <v>0</v>
      </c>
      <c r="X410" s="127">
        <f t="shared" si="115"/>
        <v>1</v>
      </c>
      <c r="Y410" s="127">
        <f t="shared" si="116"/>
        <v>0</v>
      </c>
      <c r="Z410" s="127">
        <f t="shared" si="117"/>
        <v>0</v>
      </c>
      <c r="AA410" s="127">
        <f t="shared" si="118"/>
        <v>0</v>
      </c>
      <c r="AB410" s="127">
        <f t="shared" si="119"/>
        <v>0</v>
      </c>
      <c r="AC410" s="127">
        <f t="shared" si="120"/>
        <v>0</v>
      </c>
      <c r="AD410" s="127">
        <f t="shared" si="121"/>
        <v>0</v>
      </c>
      <c r="AE410" s="127">
        <f t="shared" si="122"/>
        <v>0</v>
      </c>
      <c r="AF410" s="124"/>
      <c r="AG410" s="124"/>
      <c r="AH410" s="125">
        <f t="shared" si="123"/>
        <v>3</v>
      </c>
      <c r="AI410" s="125">
        <f t="shared" si="124"/>
        <v>3</v>
      </c>
      <c r="AJ410" s="125" t="str">
        <f t="shared" si="125"/>
        <v>Correct</v>
      </c>
      <c r="AK410" s="124"/>
      <c r="AL410" s="120" t="str">
        <f>IFERROR(VLOOKUP(Table1[RespondentID],'All Data'!$A$3:$CO$999,87,FALSE),"unknown")</f>
        <v>Man</v>
      </c>
      <c r="AM410" s="120">
        <f>IFERROR(VLOOKUP(Table1[RespondentID],'All Data'!$A$3:$CO$999,88,FALSE),"unknown")</f>
        <v>0</v>
      </c>
      <c r="AN410" s="120" t="str">
        <f>IFERROR(VLOOKUP(Table1[RespondentID],'All Data'!$A$3:$CO$999,89,FALSE),"unknown")</f>
        <v>Nassau</v>
      </c>
      <c r="AO410" s="120" t="str">
        <f>IFERROR(VLOOKUP(Table1[RespondentID],'All Data'!$A$3:$CO$999,90,FALSE),"unknown")</f>
        <v>Levittown, 11756</v>
      </c>
      <c r="AP410" s="120">
        <f>IFERROR(VLOOKUP(Table1[RespondentID],'All Data'!$A$3:$CO$999,91,FALSE),"unknown")</f>
        <v>0</v>
      </c>
      <c r="AQ410" s="120" t="str">
        <f>IFERROR(VLOOKUP(Table1[RespondentID],'All Data'!$A$3:$CO$999,92,FALSE),"unknown")</f>
        <v>Not Hispanic or Latino</v>
      </c>
      <c r="AR410" s="120" t="str">
        <f>IFERROR(VLOOKUP(Table1[RespondentID],'All Data'!$A$3:$CO$999,93,FALSE),"unknown")</f>
        <v>English</v>
      </c>
      <c r="AS410" s="120">
        <f>IFERROR(VLOOKUP(Table1[RespondentID],'All Data'!$A$3:$CW$999,94,FALSE),"unknown")</f>
        <v>0</v>
      </c>
      <c r="AT410" s="120" t="str">
        <f>IFERROR(VLOOKUP(Table1[RespondentID],'All Data'!$A$3:$CW$999,95,FALSE),"unknown")</f>
        <v>Some college</v>
      </c>
      <c r="AU410" s="120">
        <f>IFERROR(VLOOKUP(Table1[RespondentID],'All Data'!$A$3:$CW$999,96,FALSE),"unknown")</f>
        <v>0</v>
      </c>
      <c r="AV410" s="120">
        <f>IFERROR(VLOOKUP(Table1[RespondentID],'All Data'!$A$3:$CW$999,97,FALSE),"unknown")</f>
        <v>0</v>
      </c>
      <c r="AW410" s="120" t="str">
        <f>IFERROR(VLOOKUP(Table1[RespondentID],'All Data'!$A$3:$CW$999,98,FALSE),"unknown")</f>
        <v>Medicare</v>
      </c>
      <c r="AX410" s="120" t="str">
        <f>IFERROR(VLOOKUP(Table1[RespondentID],'All Data'!$A$3:$CW$999,99,FALSE),"unknown")</f>
        <v>Yes</v>
      </c>
    </row>
    <row r="411" spans="1:50">
      <c r="A411" s="124">
        <v>114085847217</v>
      </c>
      <c r="B411" s="122"/>
      <c r="C411" s="123"/>
      <c r="D411" s="123"/>
      <c r="E411" s="123"/>
      <c r="F411" s="123"/>
      <c r="G411" s="123"/>
      <c r="H411" s="123"/>
      <c r="I411" s="123"/>
      <c r="J411" s="123"/>
      <c r="K411" s="123"/>
      <c r="L411" s="123"/>
      <c r="M411" s="123"/>
      <c r="N411" s="123"/>
      <c r="O411" s="124"/>
      <c r="P411" s="125">
        <f t="shared" si="108"/>
        <v>0</v>
      </c>
      <c r="Q411" s="126" t="e">
        <f t="shared" si="109"/>
        <v>#DIV/0!</v>
      </c>
      <c r="R411" s="124"/>
      <c r="S411" s="125">
        <f t="shared" si="110"/>
        <v>0</v>
      </c>
      <c r="T411" s="125">
        <f t="shared" si="111"/>
        <v>0</v>
      </c>
      <c r="U411" s="125">
        <f t="shared" si="112"/>
        <v>0</v>
      </c>
      <c r="V411" s="127">
        <f t="shared" si="113"/>
        <v>0</v>
      </c>
      <c r="W411" s="127">
        <f t="shared" si="114"/>
        <v>0</v>
      </c>
      <c r="X411" s="127">
        <f t="shared" si="115"/>
        <v>0</v>
      </c>
      <c r="Y411" s="127">
        <f t="shared" si="116"/>
        <v>0</v>
      </c>
      <c r="Z411" s="127">
        <f t="shared" si="117"/>
        <v>0</v>
      </c>
      <c r="AA411" s="127">
        <f t="shared" si="118"/>
        <v>0</v>
      </c>
      <c r="AB411" s="127">
        <f t="shared" si="119"/>
        <v>0</v>
      </c>
      <c r="AC411" s="127">
        <f t="shared" si="120"/>
        <v>0</v>
      </c>
      <c r="AD411" s="127">
        <f t="shared" si="121"/>
        <v>0</v>
      </c>
      <c r="AE411" s="127">
        <f t="shared" si="122"/>
        <v>0</v>
      </c>
      <c r="AF411" s="124"/>
      <c r="AG411" s="124"/>
      <c r="AH411" s="125">
        <f t="shared" si="123"/>
        <v>0</v>
      </c>
      <c r="AI411" s="125">
        <f t="shared" si="124"/>
        <v>0</v>
      </c>
      <c r="AJ411" s="125" t="str">
        <f t="shared" si="125"/>
        <v>Correct</v>
      </c>
      <c r="AK411" s="124"/>
      <c r="AL411" s="120" t="str">
        <f>IFERROR(VLOOKUP(Table1[RespondentID],'All Data'!$A$3:$CO$999,87,FALSE),"unknown")</f>
        <v>Woman</v>
      </c>
      <c r="AM411" s="120">
        <f>IFERROR(VLOOKUP(Table1[RespondentID],'All Data'!$A$3:$CO$999,88,FALSE),"unknown")</f>
        <v>0</v>
      </c>
      <c r="AN411" s="120" t="str">
        <f>IFERROR(VLOOKUP(Table1[RespondentID],'All Data'!$A$3:$CO$999,89,FALSE),"unknown")</f>
        <v>Nassau</v>
      </c>
      <c r="AO411" s="120" t="str">
        <f>IFERROR(VLOOKUP(Table1[RespondentID],'All Data'!$A$3:$CO$999,90,FALSE),"unknown")</f>
        <v>Massapequa Park, 11762</v>
      </c>
      <c r="AP411" s="120">
        <f>IFERROR(VLOOKUP(Table1[RespondentID],'All Data'!$A$3:$CO$999,91,FALSE),"unknown")</f>
        <v>0</v>
      </c>
      <c r="AQ411" s="120" t="str">
        <f>IFERROR(VLOOKUP(Table1[RespondentID],'All Data'!$A$3:$CO$999,92,FALSE),"unknown")</f>
        <v>Not Hispanic or Latino</v>
      </c>
      <c r="AR411" s="120" t="str">
        <f>IFERROR(VLOOKUP(Table1[RespondentID],'All Data'!$A$3:$CO$999,93,FALSE),"unknown")</f>
        <v>English</v>
      </c>
      <c r="AS411" s="120" t="str">
        <f>IFERROR(VLOOKUP(Table1[RespondentID],'All Data'!$A$3:$CW$999,94,FALSE),"unknown")</f>
        <v>$50,000 to $74,999</v>
      </c>
      <c r="AT411" s="120" t="str">
        <f>IFERROR(VLOOKUP(Table1[RespondentID],'All Data'!$A$3:$CW$999,95,FALSE),"unknown")</f>
        <v>Graduate school</v>
      </c>
      <c r="AU411" s="120">
        <f>IFERROR(VLOOKUP(Table1[RespondentID],'All Data'!$A$3:$CW$999,96,FALSE),"unknown")</f>
        <v>0</v>
      </c>
      <c r="AV411" s="120">
        <f>IFERROR(VLOOKUP(Table1[RespondentID],'All Data'!$A$3:$CW$999,97,FALSE),"unknown")</f>
        <v>0</v>
      </c>
      <c r="AW411" s="120" t="str">
        <f>IFERROR(VLOOKUP(Table1[RespondentID],'All Data'!$A$3:$CW$999,98,FALSE),"unknown")</f>
        <v>Private/Commercial</v>
      </c>
      <c r="AX411" s="120" t="str">
        <f>IFERROR(VLOOKUP(Table1[RespondentID],'All Data'!$A$3:$CW$999,99,FALSE),"unknown")</f>
        <v>Yes</v>
      </c>
    </row>
    <row r="412" spans="1:50">
      <c r="A412" s="124">
        <v>114085845695</v>
      </c>
      <c r="B412" s="122"/>
      <c r="C412" s="123"/>
      <c r="D412" s="123"/>
      <c r="E412" s="123"/>
      <c r="F412" s="123"/>
      <c r="G412" s="123"/>
      <c r="H412" s="123"/>
      <c r="I412" s="123"/>
      <c r="J412" s="123"/>
      <c r="K412" s="123"/>
      <c r="L412" s="123"/>
      <c r="M412" s="123"/>
      <c r="N412" s="123"/>
      <c r="O412" s="124"/>
      <c r="P412" s="125">
        <f t="shared" si="108"/>
        <v>0</v>
      </c>
      <c r="Q412" s="126" t="e">
        <f t="shared" si="109"/>
        <v>#DIV/0!</v>
      </c>
      <c r="R412" s="124"/>
      <c r="S412" s="125">
        <f t="shared" si="110"/>
        <v>0</v>
      </c>
      <c r="T412" s="125">
        <f t="shared" si="111"/>
        <v>0</v>
      </c>
      <c r="U412" s="125">
        <f t="shared" si="112"/>
        <v>0</v>
      </c>
      <c r="V412" s="127">
        <f t="shared" si="113"/>
        <v>0</v>
      </c>
      <c r="W412" s="127">
        <f t="shared" si="114"/>
        <v>0</v>
      </c>
      <c r="X412" s="127">
        <f t="shared" si="115"/>
        <v>0</v>
      </c>
      <c r="Y412" s="127">
        <f t="shared" si="116"/>
        <v>0</v>
      </c>
      <c r="Z412" s="127">
        <f t="shared" si="117"/>
        <v>0</v>
      </c>
      <c r="AA412" s="127">
        <f t="shared" si="118"/>
        <v>0</v>
      </c>
      <c r="AB412" s="127">
        <f t="shared" si="119"/>
        <v>0</v>
      </c>
      <c r="AC412" s="127">
        <f t="shared" si="120"/>
        <v>0</v>
      </c>
      <c r="AD412" s="127">
        <f t="shared" si="121"/>
        <v>0</v>
      </c>
      <c r="AE412" s="127">
        <f t="shared" si="122"/>
        <v>0</v>
      </c>
      <c r="AF412" s="124"/>
      <c r="AG412" s="124"/>
      <c r="AH412" s="125">
        <f t="shared" si="123"/>
        <v>0</v>
      </c>
      <c r="AI412" s="125">
        <f t="shared" si="124"/>
        <v>0</v>
      </c>
      <c r="AJ412" s="125" t="str">
        <f t="shared" si="125"/>
        <v>Correct</v>
      </c>
      <c r="AK412" s="124"/>
      <c r="AL412" s="120" t="str">
        <f>IFERROR(VLOOKUP(Table1[RespondentID],'All Data'!$A$3:$CO$999,87,FALSE),"unknown")</f>
        <v>Woman</v>
      </c>
      <c r="AM412" s="120">
        <f>IFERROR(VLOOKUP(Table1[RespondentID],'All Data'!$A$3:$CO$999,88,FALSE),"unknown")</f>
        <v>0</v>
      </c>
      <c r="AN412" s="120" t="str">
        <f>IFERROR(VLOOKUP(Table1[RespondentID],'All Data'!$A$3:$CO$999,89,FALSE),"unknown")</f>
        <v>Nassau</v>
      </c>
      <c r="AO412" s="120" t="str">
        <f>IFERROR(VLOOKUP(Table1[RespondentID],'All Data'!$A$3:$CO$999,90,FALSE),"unknown")</f>
        <v>West Hempstead, 11552</v>
      </c>
      <c r="AP412" s="120">
        <f>IFERROR(VLOOKUP(Table1[RespondentID],'All Data'!$A$3:$CO$999,91,FALSE),"unknown")</f>
        <v>0</v>
      </c>
      <c r="AQ412" s="120" t="str">
        <f>IFERROR(VLOOKUP(Table1[RespondentID],'All Data'!$A$3:$CO$999,92,FALSE),"unknown")</f>
        <v>Not Hispanic or Latino</v>
      </c>
      <c r="AR412" s="120" t="str">
        <f>IFERROR(VLOOKUP(Table1[RespondentID],'All Data'!$A$3:$CO$999,93,FALSE),"unknown")</f>
        <v>English</v>
      </c>
      <c r="AS412" s="120" t="str">
        <f>IFERROR(VLOOKUP(Table1[RespondentID],'All Data'!$A$3:$CW$999,94,FALSE),"unknown")</f>
        <v>$75,000 to $125,000</v>
      </c>
      <c r="AT412" s="120" t="str">
        <f>IFERROR(VLOOKUP(Table1[RespondentID],'All Data'!$A$3:$CW$999,95,FALSE),"unknown")</f>
        <v>Graduate school</v>
      </c>
      <c r="AU412" s="120">
        <f>IFERROR(VLOOKUP(Table1[RespondentID],'All Data'!$A$3:$CW$999,96,FALSE),"unknown")</f>
        <v>0</v>
      </c>
      <c r="AV412" s="120">
        <f>IFERROR(VLOOKUP(Table1[RespondentID],'All Data'!$A$3:$CW$999,97,FALSE),"unknown")</f>
        <v>0</v>
      </c>
      <c r="AW412" s="120" t="str">
        <f>IFERROR(VLOOKUP(Table1[RespondentID],'All Data'!$A$3:$CW$999,98,FALSE),"unknown")</f>
        <v>Private/Commercial</v>
      </c>
      <c r="AX412" s="120" t="str">
        <f>IFERROR(VLOOKUP(Table1[RespondentID],'All Data'!$A$3:$CW$999,99,FALSE),"unknown")</f>
        <v>Yes</v>
      </c>
    </row>
    <row r="413" spans="1:50">
      <c r="A413" s="124">
        <v>114085842785</v>
      </c>
      <c r="B413" s="122" t="s">
        <v>16</v>
      </c>
      <c r="C413" s="123" t="s">
        <v>17</v>
      </c>
      <c r="D413" s="123" t="s">
        <v>18</v>
      </c>
      <c r="E413" s="123" t="s">
        <v>19</v>
      </c>
      <c r="F413" s="123"/>
      <c r="G413" s="123"/>
      <c r="H413" s="123"/>
      <c r="I413" s="123"/>
      <c r="J413" s="123"/>
      <c r="K413" s="123"/>
      <c r="L413" s="123"/>
      <c r="M413" s="123"/>
      <c r="N413" s="123"/>
      <c r="O413" s="124"/>
      <c r="P413" s="125">
        <f t="shared" si="108"/>
        <v>4</v>
      </c>
      <c r="Q413" s="126">
        <f t="shared" si="109"/>
        <v>0.75</v>
      </c>
      <c r="R413" s="124"/>
      <c r="S413" s="125">
        <f t="shared" si="110"/>
        <v>0.75</v>
      </c>
      <c r="T413" s="125">
        <f t="shared" si="111"/>
        <v>0.75</v>
      </c>
      <c r="U413" s="125">
        <f t="shared" si="112"/>
        <v>0.75</v>
      </c>
      <c r="V413" s="127">
        <f t="shared" si="113"/>
        <v>0.75</v>
      </c>
      <c r="W413" s="127">
        <f t="shared" si="114"/>
        <v>0</v>
      </c>
      <c r="X413" s="127">
        <f t="shared" si="115"/>
        <v>0</v>
      </c>
      <c r="Y413" s="127">
        <f t="shared" si="116"/>
        <v>0</v>
      </c>
      <c r="Z413" s="127">
        <f t="shared" si="117"/>
        <v>0</v>
      </c>
      <c r="AA413" s="127">
        <f t="shared" si="118"/>
        <v>0</v>
      </c>
      <c r="AB413" s="127">
        <f t="shared" si="119"/>
        <v>0</v>
      </c>
      <c r="AC413" s="127">
        <f t="shared" si="120"/>
        <v>0</v>
      </c>
      <c r="AD413" s="127">
        <f t="shared" si="121"/>
        <v>0</v>
      </c>
      <c r="AE413" s="127">
        <f t="shared" si="122"/>
        <v>0</v>
      </c>
      <c r="AF413" s="124"/>
      <c r="AG413" s="124"/>
      <c r="AH413" s="125">
        <f t="shared" si="123"/>
        <v>3</v>
      </c>
      <c r="AI413" s="125">
        <f t="shared" si="124"/>
        <v>4</v>
      </c>
      <c r="AJ413" s="125" t="str">
        <f t="shared" si="125"/>
        <v>Correct</v>
      </c>
      <c r="AK413" s="124"/>
      <c r="AL413" s="120" t="str">
        <f>IFERROR(VLOOKUP(Table1[RespondentID],'All Data'!$A$3:$CO$999,87,FALSE),"unknown")</f>
        <v>Woman</v>
      </c>
      <c r="AM413" s="120">
        <f>IFERROR(VLOOKUP(Table1[RespondentID],'All Data'!$A$3:$CO$999,88,FALSE),"unknown")</f>
        <v>0</v>
      </c>
      <c r="AN413" s="120" t="str">
        <f>IFERROR(VLOOKUP(Table1[RespondentID],'All Data'!$A$3:$CO$999,89,FALSE),"unknown")</f>
        <v>Nassau</v>
      </c>
      <c r="AO413" s="120" t="str">
        <f>IFERROR(VLOOKUP(Table1[RespondentID],'All Data'!$A$3:$CO$999,90,FALSE),"unknown")</f>
        <v>Bellmore, 11710</v>
      </c>
      <c r="AP413" s="120">
        <f>IFERROR(VLOOKUP(Table1[RespondentID],'All Data'!$A$3:$CO$999,91,FALSE),"unknown")</f>
        <v>0</v>
      </c>
      <c r="AQ413" s="120" t="str">
        <f>IFERROR(VLOOKUP(Table1[RespondentID],'All Data'!$A$3:$CO$999,92,FALSE),"unknown")</f>
        <v>Not Hispanic or Latino</v>
      </c>
      <c r="AR413" s="120" t="str">
        <f>IFERROR(VLOOKUP(Table1[RespondentID],'All Data'!$A$3:$CO$999,93,FALSE),"unknown")</f>
        <v>English</v>
      </c>
      <c r="AS413" s="120" t="str">
        <f>IFERROR(VLOOKUP(Table1[RespondentID],'All Data'!$A$3:$CW$999,94,FALSE),"unknown")</f>
        <v>$75,000 to $125,000</v>
      </c>
      <c r="AT413" s="120" t="str">
        <f>IFERROR(VLOOKUP(Table1[RespondentID],'All Data'!$A$3:$CW$999,95,FALSE),"unknown")</f>
        <v>High school graduate</v>
      </c>
      <c r="AU413" s="120">
        <f>IFERROR(VLOOKUP(Table1[RespondentID],'All Data'!$A$3:$CW$999,96,FALSE),"unknown")</f>
        <v>0</v>
      </c>
      <c r="AV413" s="120">
        <f>IFERROR(VLOOKUP(Table1[RespondentID],'All Data'!$A$3:$CW$999,97,FALSE),"unknown")</f>
        <v>0</v>
      </c>
      <c r="AW413" s="120" t="str">
        <f>IFERROR(VLOOKUP(Table1[RespondentID],'All Data'!$A$3:$CW$999,98,FALSE),"unknown")</f>
        <v>Private/Commercial</v>
      </c>
      <c r="AX413" s="120" t="str">
        <f>IFERROR(VLOOKUP(Table1[RespondentID],'All Data'!$A$3:$CW$999,99,FALSE),"unknown")</f>
        <v>Yes</v>
      </c>
    </row>
    <row r="414" spans="1:50">
      <c r="A414" s="124">
        <v>114085835907</v>
      </c>
      <c r="B414" s="122"/>
      <c r="C414" s="123"/>
      <c r="D414" s="123" t="s">
        <v>18</v>
      </c>
      <c r="E414" s="123"/>
      <c r="F414" s="123"/>
      <c r="G414" s="123"/>
      <c r="H414" s="123"/>
      <c r="I414" s="123" t="s">
        <v>23</v>
      </c>
      <c r="J414" s="123" t="s">
        <v>24</v>
      </c>
      <c r="K414" s="123"/>
      <c r="L414" s="123"/>
      <c r="M414" s="123"/>
      <c r="N414" s="123"/>
      <c r="O414" s="124"/>
      <c r="P414" s="125">
        <f t="shared" si="108"/>
        <v>3</v>
      </c>
      <c r="Q414" s="126">
        <f t="shared" si="109"/>
        <v>1</v>
      </c>
      <c r="R414" s="124"/>
      <c r="S414" s="125">
        <f t="shared" si="110"/>
        <v>0</v>
      </c>
      <c r="T414" s="125">
        <f t="shared" si="111"/>
        <v>0</v>
      </c>
      <c r="U414" s="125">
        <f t="shared" si="112"/>
        <v>1</v>
      </c>
      <c r="V414" s="127">
        <f t="shared" si="113"/>
        <v>0</v>
      </c>
      <c r="W414" s="127">
        <f t="shared" si="114"/>
        <v>0</v>
      </c>
      <c r="X414" s="127">
        <f t="shared" si="115"/>
        <v>0</v>
      </c>
      <c r="Y414" s="127">
        <f t="shared" si="116"/>
        <v>0</v>
      </c>
      <c r="Z414" s="127">
        <f t="shared" si="117"/>
        <v>1</v>
      </c>
      <c r="AA414" s="127">
        <f t="shared" si="118"/>
        <v>1</v>
      </c>
      <c r="AB414" s="127">
        <f t="shared" si="119"/>
        <v>0</v>
      </c>
      <c r="AC414" s="127">
        <f t="shared" si="120"/>
        <v>0</v>
      </c>
      <c r="AD414" s="127">
        <f t="shared" si="121"/>
        <v>0</v>
      </c>
      <c r="AE414" s="127">
        <f t="shared" si="122"/>
        <v>0</v>
      </c>
      <c r="AF414" s="124"/>
      <c r="AG414" s="124"/>
      <c r="AH414" s="125">
        <f t="shared" si="123"/>
        <v>3</v>
      </c>
      <c r="AI414" s="125">
        <f t="shared" si="124"/>
        <v>3</v>
      </c>
      <c r="AJ414" s="125" t="str">
        <f t="shared" si="125"/>
        <v>Correct</v>
      </c>
      <c r="AK414" s="124"/>
      <c r="AL414" s="120" t="str">
        <f>IFERROR(VLOOKUP(Table1[RespondentID],'All Data'!$A$3:$CO$999,87,FALSE),"unknown")</f>
        <v>Woman</v>
      </c>
      <c r="AM414" s="120">
        <f>IFERROR(VLOOKUP(Table1[RespondentID],'All Data'!$A$3:$CO$999,88,FALSE),"unknown")</f>
        <v>0</v>
      </c>
      <c r="AN414" s="120" t="str">
        <f>IFERROR(VLOOKUP(Table1[RespondentID],'All Data'!$A$3:$CO$999,89,FALSE),"unknown")</f>
        <v>Nassau</v>
      </c>
      <c r="AO414" s="120" t="str">
        <f>IFERROR(VLOOKUP(Table1[RespondentID],'All Data'!$A$3:$CO$999,90,FALSE),"unknown")</f>
        <v>Westbury, 11590</v>
      </c>
      <c r="AP414" s="120">
        <f>IFERROR(VLOOKUP(Table1[RespondentID],'All Data'!$A$3:$CO$999,91,FALSE),"unknown")</f>
        <v>0</v>
      </c>
      <c r="AQ414" s="120" t="str">
        <f>IFERROR(VLOOKUP(Table1[RespondentID],'All Data'!$A$3:$CO$999,92,FALSE),"unknown")</f>
        <v>Not Hispanic or Latino</v>
      </c>
      <c r="AR414" s="120" t="str">
        <f>IFERROR(VLOOKUP(Table1[RespondentID],'All Data'!$A$3:$CO$999,93,FALSE),"unknown")</f>
        <v>English</v>
      </c>
      <c r="AS414" s="120" t="str">
        <f>IFERROR(VLOOKUP(Table1[RespondentID],'All Data'!$A$3:$CW$999,94,FALSE),"unknown")</f>
        <v>$50,000 to $74,999</v>
      </c>
      <c r="AT414" s="120">
        <f>IFERROR(VLOOKUP(Table1[RespondentID],'All Data'!$A$3:$CW$999,95,FALSE),"unknown")</f>
        <v>0</v>
      </c>
      <c r="AU414" s="120">
        <f>IFERROR(VLOOKUP(Table1[RespondentID],'All Data'!$A$3:$CW$999,96,FALSE),"unknown")</f>
        <v>0</v>
      </c>
      <c r="AV414" s="120">
        <f>IFERROR(VLOOKUP(Table1[RespondentID],'All Data'!$A$3:$CW$999,97,FALSE),"unknown")</f>
        <v>0</v>
      </c>
      <c r="AW414" s="120" t="str">
        <f>IFERROR(VLOOKUP(Table1[RespondentID],'All Data'!$A$3:$CW$999,98,FALSE),"unknown")</f>
        <v>Private/Commercial</v>
      </c>
      <c r="AX414" s="120" t="str">
        <f>IFERROR(VLOOKUP(Table1[RespondentID],'All Data'!$A$3:$CW$999,99,FALSE),"unknown")</f>
        <v>Yes</v>
      </c>
    </row>
    <row r="415" spans="1:50">
      <c r="A415" s="124">
        <v>114085832464</v>
      </c>
      <c r="B415" s="122"/>
      <c r="C415" s="123"/>
      <c r="D415" s="123"/>
      <c r="E415" s="123" t="s">
        <v>19</v>
      </c>
      <c r="F415" s="123"/>
      <c r="G415" s="123"/>
      <c r="H415" s="123"/>
      <c r="I415" s="123"/>
      <c r="J415" s="123"/>
      <c r="K415" s="123"/>
      <c r="L415" s="123"/>
      <c r="M415" s="123"/>
      <c r="N415" s="123"/>
      <c r="O415" s="124"/>
      <c r="P415" s="125">
        <f t="shared" si="108"/>
        <v>1</v>
      </c>
      <c r="Q415" s="126">
        <f t="shared" si="109"/>
        <v>3</v>
      </c>
      <c r="R415" s="124"/>
      <c r="S415" s="125">
        <f t="shared" si="110"/>
        <v>0</v>
      </c>
      <c r="T415" s="125">
        <f t="shared" si="111"/>
        <v>0</v>
      </c>
      <c r="U415" s="125">
        <f t="shared" si="112"/>
        <v>0</v>
      </c>
      <c r="V415" s="127">
        <f t="shared" si="113"/>
        <v>1</v>
      </c>
      <c r="W415" s="127">
        <f t="shared" si="114"/>
        <v>0</v>
      </c>
      <c r="X415" s="127">
        <f t="shared" si="115"/>
        <v>0</v>
      </c>
      <c r="Y415" s="127">
        <f t="shared" si="116"/>
        <v>0</v>
      </c>
      <c r="Z415" s="127">
        <f t="shared" si="117"/>
        <v>0</v>
      </c>
      <c r="AA415" s="127">
        <f t="shared" si="118"/>
        <v>0</v>
      </c>
      <c r="AB415" s="127">
        <f t="shared" si="119"/>
        <v>0</v>
      </c>
      <c r="AC415" s="127">
        <f t="shared" si="120"/>
        <v>0</v>
      </c>
      <c r="AD415" s="127">
        <f t="shared" si="121"/>
        <v>0</v>
      </c>
      <c r="AE415" s="127">
        <f t="shared" si="122"/>
        <v>0</v>
      </c>
      <c r="AF415" s="124"/>
      <c r="AG415" s="124"/>
      <c r="AH415" s="125">
        <f t="shared" si="123"/>
        <v>1</v>
      </c>
      <c r="AI415" s="125">
        <f t="shared" si="124"/>
        <v>1</v>
      </c>
      <c r="AJ415" s="125" t="str">
        <f t="shared" si="125"/>
        <v>Correct</v>
      </c>
      <c r="AK415" s="124"/>
      <c r="AL415" s="120" t="str">
        <f>IFERROR(VLOOKUP(Table1[RespondentID],'All Data'!$A$3:$CO$999,87,FALSE),"unknown")</f>
        <v>Man</v>
      </c>
      <c r="AM415" s="120">
        <f>IFERROR(VLOOKUP(Table1[RespondentID],'All Data'!$A$3:$CO$999,88,FALSE),"unknown")</f>
        <v>0</v>
      </c>
      <c r="AN415" s="120" t="str">
        <f>IFERROR(VLOOKUP(Table1[RespondentID],'All Data'!$A$3:$CO$999,89,FALSE),"unknown")</f>
        <v>Nassau</v>
      </c>
      <c r="AO415" s="120" t="str">
        <f>IFERROR(VLOOKUP(Table1[RespondentID],'All Data'!$A$3:$CO$999,90,FALSE),"unknown")</f>
        <v>East Meadow, 11554</v>
      </c>
      <c r="AP415" s="120">
        <f>IFERROR(VLOOKUP(Table1[RespondentID],'All Data'!$A$3:$CO$999,91,FALSE),"unknown")</f>
        <v>0</v>
      </c>
      <c r="AQ415" s="120" t="str">
        <f>IFERROR(VLOOKUP(Table1[RespondentID],'All Data'!$A$3:$CO$999,92,FALSE),"unknown")</f>
        <v>Not Hispanic or Latino</v>
      </c>
      <c r="AR415" s="120" t="str">
        <f>IFERROR(VLOOKUP(Table1[RespondentID],'All Data'!$A$3:$CO$999,93,FALSE),"unknown")</f>
        <v>English</v>
      </c>
      <c r="AS415" s="120" t="str">
        <f>IFERROR(VLOOKUP(Table1[RespondentID],'All Data'!$A$3:$CW$999,94,FALSE),"unknown")</f>
        <v>Over $125,000</v>
      </c>
      <c r="AT415" s="120" t="str">
        <f>IFERROR(VLOOKUP(Table1[RespondentID],'All Data'!$A$3:$CW$999,95,FALSE),"unknown")</f>
        <v>Doctorate</v>
      </c>
      <c r="AU415" s="120">
        <f>IFERROR(VLOOKUP(Table1[RespondentID],'All Data'!$A$3:$CW$999,96,FALSE),"unknown")</f>
        <v>0</v>
      </c>
      <c r="AV415" s="120">
        <f>IFERROR(VLOOKUP(Table1[RespondentID],'All Data'!$A$3:$CW$999,97,FALSE),"unknown")</f>
        <v>0</v>
      </c>
      <c r="AW415" s="120" t="str">
        <f>IFERROR(VLOOKUP(Table1[RespondentID],'All Data'!$A$3:$CW$999,98,FALSE),"unknown")</f>
        <v>Medicare,Private/Commercial</v>
      </c>
      <c r="AX415" s="120" t="str">
        <f>IFERROR(VLOOKUP(Table1[RespondentID],'All Data'!$A$3:$CW$999,99,FALSE),"unknown")</f>
        <v>Yes</v>
      </c>
    </row>
    <row r="416" spans="1:50">
      <c r="A416" s="124">
        <v>114085828973</v>
      </c>
      <c r="B416" s="122"/>
      <c r="C416" s="123"/>
      <c r="D416" s="123"/>
      <c r="E416" s="123"/>
      <c r="F416" s="123"/>
      <c r="G416" s="123" t="s">
        <v>21</v>
      </c>
      <c r="H416" s="123"/>
      <c r="I416" s="123" t="s">
        <v>23</v>
      </c>
      <c r="J416" s="123"/>
      <c r="K416" s="123"/>
      <c r="L416" s="123"/>
      <c r="M416" s="123"/>
      <c r="N416" s="123" t="s">
        <v>28</v>
      </c>
      <c r="O416" s="124"/>
      <c r="P416" s="125">
        <f t="shared" si="108"/>
        <v>3</v>
      </c>
      <c r="Q416" s="126">
        <f t="shared" si="109"/>
        <v>1</v>
      </c>
      <c r="R416" s="124"/>
      <c r="S416" s="125">
        <f t="shared" si="110"/>
        <v>0</v>
      </c>
      <c r="T416" s="125">
        <f t="shared" si="111"/>
        <v>0</v>
      </c>
      <c r="U416" s="125">
        <f t="shared" si="112"/>
        <v>0</v>
      </c>
      <c r="V416" s="127">
        <f t="shared" si="113"/>
        <v>0</v>
      </c>
      <c r="W416" s="127">
        <f t="shared" si="114"/>
        <v>0</v>
      </c>
      <c r="X416" s="127">
        <f t="shared" si="115"/>
        <v>1</v>
      </c>
      <c r="Y416" s="127">
        <f t="shared" si="116"/>
        <v>0</v>
      </c>
      <c r="Z416" s="127">
        <f t="shared" si="117"/>
        <v>1</v>
      </c>
      <c r="AA416" s="127">
        <f t="shared" si="118"/>
        <v>0</v>
      </c>
      <c r="AB416" s="127">
        <f t="shared" si="119"/>
        <v>0</v>
      </c>
      <c r="AC416" s="127">
        <f t="shared" si="120"/>
        <v>0</v>
      </c>
      <c r="AD416" s="127">
        <f t="shared" si="121"/>
        <v>0</v>
      </c>
      <c r="AE416" s="127">
        <f t="shared" si="122"/>
        <v>1</v>
      </c>
      <c r="AF416" s="124"/>
      <c r="AG416" s="124"/>
      <c r="AH416" s="125">
        <f t="shared" si="123"/>
        <v>3</v>
      </c>
      <c r="AI416" s="125">
        <f t="shared" si="124"/>
        <v>3</v>
      </c>
      <c r="AJ416" s="125" t="str">
        <f t="shared" si="125"/>
        <v>Correct</v>
      </c>
      <c r="AK416" s="124"/>
      <c r="AL416" s="120" t="str">
        <f>IFERROR(VLOOKUP(Table1[RespondentID],'All Data'!$A$3:$CO$999,87,FALSE),"unknown")</f>
        <v>Woman</v>
      </c>
      <c r="AM416" s="120">
        <f>IFERROR(VLOOKUP(Table1[RespondentID],'All Data'!$A$3:$CO$999,88,FALSE),"unknown")</f>
        <v>0</v>
      </c>
      <c r="AN416" s="120" t="str">
        <f>IFERROR(VLOOKUP(Table1[RespondentID],'All Data'!$A$3:$CO$999,89,FALSE),"unknown")</f>
        <v>Suffolk</v>
      </c>
      <c r="AO416" s="120" t="str">
        <f>IFERROR(VLOOKUP(Table1[RespondentID],'All Data'!$A$3:$CO$999,90,FALSE),"unknown")</f>
        <v>Deer Park, 11729</v>
      </c>
      <c r="AP416" s="120">
        <f>IFERROR(VLOOKUP(Table1[RespondentID],'All Data'!$A$3:$CO$999,91,FALSE),"unknown")</f>
        <v>0</v>
      </c>
      <c r="AQ416" s="120" t="str">
        <f>IFERROR(VLOOKUP(Table1[RespondentID],'All Data'!$A$3:$CO$999,92,FALSE),"unknown")</f>
        <v>Not Hispanic or Latino</v>
      </c>
      <c r="AR416" s="120" t="str">
        <f>IFERROR(VLOOKUP(Table1[RespondentID],'All Data'!$A$3:$CO$999,93,FALSE),"unknown")</f>
        <v>English</v>
      </c>
      <c r="AS416" s="120" t="str">
        <f>IFERROR(VLOOKUP(Table1[RespondentID],'All Data'!$A$3:$CW$999,94,FALSE),"unknown")</f>
        <v>$75,000 to $125,000</v>
      </c>
      <c r="AT416" s="120" t="str">
        <f>IFERROR(VLOOKUP(Table1[RespondentID],'All Data'!$A$3:$CW$999,95,FALSE),"unknown")</f>
        <v>Graduate school</v>
      </c>
      <c r="AU416" s="120">
        <f>IFERROR(VLOOKUP(Table1[RespondentID],'All Data'!$A$3:$CW$999,96,FALSE),"unknown")</f>
        <v>0</v>
      </c>
      <c r="AV416" s="120">
        <f>IFERROR(VLOOKUP(Table1[RespondentID],'All Data'!$A$3:$CW$999,97,FALSE),"unknown")</f>
        <v>0</v>
      </c>
      <c r="AW416" s="120" t="str">
        <f>IFERROR(VLOOKUP(Table1[RespondentID],'All Data'!$A$3:$CW$999,98,FALSE),"unknown")</f>
        <v>Private/Commercial</v>
      </c>
      <c r="AX416" s="120" t="str">
        <f>IFERROR(VLOOKUP(Table1[RespondentID],'All Data'!$A$3:$CW$999,99,FALSE),"unknown")</f>
        <v>Yes</v>
      </c>
    </row>
    <row r="417" spans="1:50">
      <c r="A417" s="124">
        <v>114085827353</v>
      </c>
      <c r="B417" s="122"/>
      <c r="C417" s="123"/>
      <c r="D417" s="123" t="s">
        <v>18</v>
      </c>
      <c r="E417" s="123"/>
      <c r="F417" s="123"/>
      <c r="G417" s="123"/>
      <c r="H417" s="123"/>
      <c r="I417" s="123"/>
      <c r="J417" s="123"/>
      <c r="K417" s="123"/>
      <c r="L417" s="123"/>
      <c r="M417" s="123"/>
      <c r="N417" s="123"/>
      <c r="O417" s="124"/>
      <c r="P417" s="125">
        <f t="shared" si="108"/>
        <v>1</v>
      </c>
      <c r="Q417" s="126">
        <f t="shared" si="109"/>
        <v>3</v>
      </c>
      <c r="R417" s="124"/>
      <c r="S417" s="125">
        <f t="shared" si="110"/>
        <v>0</v>
      </c>
      <c r="T417" s="125">
        <f t="shared" si="111"/>
        <v>0</v>
      </c>
      <c r="U417" s="125">
        <f t="shared" si="112"/>
        <v>1</v>
      </c>
      <c r="V417" s="127">
        <f t="shared" si="113"/>
        <v>0</v>
      </c>
      <c r="W417" s="127">
        <f t="shared" si="114"/>
        <v>0</v>
      </c>
      <c r="X417" s="127">
        <f t="shared" si="115"/>
        <v>0</v>
      </c>
      <c r="Y417" s="127">
        <f t="shared" si="116"/>
        <v>0</v>
      </c>
      <c r="Z417" s="127">
        <f t="shared" si="117"/>
        <v>0</v>
      </c>
      <c r="AA417" s="127">
        <f t="shared" si="118"/>
        <v>0</v>
      </c>
      <c r="AB417" s="127">
        <f t="shared" si="119"/>
        <v>0</v>
      </c>
      <c r="AC417" s="127">
        <f t="shared" si="120"/>
        <v>0</v>
      </c>
      <c r="AD417" s="127">
        <f t="shared" si="121"/>
        <v>0</v>
      </c>
      <c r="AE417" s="127">
        <f t="shared" si="122"/>
        <v>0</v>
      </c>
      <c r="AF417" s="124"/>
      <c r="AG417" s="124"/>
      <c r="AH417" s="125">
        <f t="shared" si="123"/>
        <v>1</v>
      </c>
      <c r="AI417" s="125">
        <f t="shared" si="124"/>
        <v>1</v>
      </c>
      <c r="AJ417" s="125" t="str">
        <f t="shared" si="125"/>
        <v>Correct</v>
      </c>
      <c r="AK417" s="124"/>
      <c r="AL417" s="120" t="str">
        <f>IFERROR(VLOOKUP(Table1[RespondentID],'All Data'!$A$3:$CO$999,87,FALSE),"unknown")</f>
        <v>Man</v>
      </c>
      <c r="AM417" s="120">
        <f>IFERROR(VLOOKUP(Table1[RespondentID],'All Data'!$A$3:$CO$999,88,FALSE),"unknown")</f>
        <v>0</v>
      </c>
      <c r="AN417" s="120" t="str">
        <f>IFERROR(VLOOKUP(Table1[RespondentID],'All Data'!$A$3:$CO$999,89,FALSE),"unknown")</f>
        <v>Nassau</v>
      </c>
      <c r="AO417" s="120" t="str">
        <f>IFERROR(VLOOKUP(Table1[RespondentID],'All Data'!$A$3:$CO$999,90,FALSE),"unknown")</f>
        <v>Massapequa, 11758</v>
      </c>
      <c r="AP417" s="120">
        <f>IFERROR(VLOOKUP(Table1[RespondentID],'All Data'!$A$3:$CO$999,91,FALSE),"unknown")</f>
        <v>0</v>
      </c>
      <c r="AQ417" s="120" t="str">
        <f>IFERROR(VLOOKUP(Table1[RespondentID],'All Data'!$A$3:$CO$999,92,FALSE),"unknown")</f>
        <v>Not Hispanic or Latino</v>
      </c>
      <c r="AR417" s="120" t="str">
        <f>IFERROR(VLOOKUP(Table1[RespondentID],'All Data'!$A$3:$CO$999,93,FALSE),"unknown")</f>
        <v>English</v>
      </c>
      <c r="AS417" s="120" t="str">
        <f>IFERROR(VLOOKUP(Table1[RespondentID],'All Data'!$A$3:$CW$999,94,FALSE),"unknown")</f>
        <v>Over $125,000</v>
      </c>
      <c r="AT417" s="120" t="str">
        <f>IFERROR(VLOOKUP(Table1[RespondentID],'All Data'!$A$3:$CW$999,95,FALSE),"unknown")</f>
        <v>Doctorate</v>
      </c>
      <c r="AU417" s="120">
        <f>IFERROR(VLOOKUP(Table1[RespondentID],'All Data'!$A$3:$CW$999,96,FALSE),"unknown")</f>
        <v>0</v>
      </c>
      <c r="AV417" s="120">
        <f>IFERROR(VLOOKUP(Table1[RespondentID],'All Data'!$A$3:$CW$999,97,FALSE),"unknown")</f>
        <v>0</v>
      </c>
      <c r="AW417" s="120" t="str">
        <f>IFERROR(VLOOKUP(Table1[RespondentID],'All Data'!$A$3:$CW$999,98,FALSE),"unknown")</f>
        <v>Private/Commercial</v>
      </c>
      <c r="AX417" s="120" t="str">
        <f>IFERROR(VLOOKUP(Table1[RespondentID],'All Data'!$A$3:$CW$999,99,FALSE),"unknown")</f>
        <v>Yes</v>
      </c>
    </row>
    <row r="418" spans="1:50">
      <c r="A418" s="124">
        <v>114085823569</v>
      </c>
      <c r="B418" s="122"/>
      <c r="C418" s="123"/>
      <c r="D418" s="123" t="s">
        <v>18</v>
      </c>
      <c r="E418" s="123"/>
      <c r="F418" s="123"/>
      <c r="G418" s="123"/>
      <c r="H418" s="123"/>
      <c r="I418" s="123" t="s">
        <v>23</v>
      </c>
      <c r="J418" s="123" t="s">
        <v>24</v>
      </c>
      <c r="K418" s="123"/>
      <c r="L418" s="123"/>
      <c r="M418" s="123"/>
      <c r="N418" s="123"/>
      <c r="O418" s="124"/>
      <c r="P418" s="125">
        <f t="shared" si="108"/>
        <v>3</v>
      </c>
      <c r="Q418" s="126">
        <f t="shared" si="109"/>
        <v>1</v>
      </c>
      <c r="R418" s="124"/>
      <c r="S418" s="125">
        <f t="shared" si="110"/>
        <v>0</v>
      </c>
      <c r="T418" s="125">
        <f t="shared" si="111"/>
        <v>0</v>
      </c>
      <c r="U418" s="125">
        <f t="shared" si="112"/>
        <v>1</v>
      </c>
      <c r="V418" s="127">
        <f t="shared" si="113"/>
        <v>0</v>
      </c>
      <c r="W418" s="127">
        <f t="shared" si="114"/>
        <v>0</v>
      </c>
      <c r="X418" s="127">
        <f t="shared" si="115"/>
        <v>0</v>
      </c>
      <c r="Y418" s="127">
        <f t="shared" si="116"/>
        <v>0</v>
      </c>
      <c r="Z418" s="127">
        <f t="shared" si="117"/>
        <v>1</v>
      </c>
      <c r="AA418" s="127">
        <f t="shared" si="118"/>
        <v>1</v>
      </c>
      <c r="AB418" s="127">
        <f t="shared" si="119"/>
        <v>0</v>
      </c>
      <c r="AC418" s="127">
        <f t="shared" si="120"/>
        <v>0</v>
      </c>
      <c r="AD418" s="127">
        <f t="shared" si="121"/>
        <v>0</v>
      </c>
      <c r="AE418" s="127">
        <f t="shared" si="122"/>
        <v>0</v>
      </c>
      <c r="AF418" s="124"/>
      <c r="AG418" s="124"/>
      <c r="AH418" s="125">
        <f t="shared" si="123"/>
        <v>3</v>
      </c>
      <c r="AI418" s="125">
        <f t="shared" si="124"/>
        <v>3</v>
      </c>
      <c r="AJ418" s="125" t="str">
        <f t="shared" si="125"/>
        <v>Correct</v>
      </c>
      <c r="AK418" s="124"/>
      <c r="AL418" s="120" t="str">
        <f>IFERROR(VLOOKUP(Table1[RespondentID],'All Data'!$A$3:$CO$999,87,FALSE),"unknown")</f>
        <v>Woman</v>
      </c>
      <c r="AM418" s="120">
        <f>IFERROR(VLOOKUP(Table1[RespondentID],'All Data'!$A$3:$CO$999,88,FALSE),"unknown")</f>
        <v>0</v>
      </c>
      <c r="AN418" s="120" t="str">
        <f>IFERROR(VLOOKUP(Table1[RespondentID],'All Data'!$A$3:$CO$999,89,FALSE),"unknown")</f>
        <v>Suffolk</v>
      </c>
      <c r="AO418" s="120" t="str">
        <f>IFERROR(VLOOKUP(Table1[RespondentID],'All Data'!$A$3:$CO$999,90,FALSE),"unknown")</f>
        <v>Deer Park, 11729</v>
      </c>
      <c r="AP418" s="120">
        <f>IFERROR(VLOOKUP(Table1[RespondentID],'All Data'!$A$3:$CO$999,91,FALSE),"unknown")</f>
        <v>0</v>
      </c>
      <c r="AQ418" s="120" t="str">
        <f>IFERROR(VLOOKUP(Table1[RespondentID],'All Data'!$A$3:$CO$999,92,FALSE),"unknown")</f>
        <v>Not Hispanic or Latino</v>
      </c>
      <c r="AR418" s="120" t="str">
        <f>IFERROR(VLOOKUP(Table1[RespondentID],'All Data'!$A$3:$CO$999,93,FALSE),"unknown")</f>
        <v>English</v>
      </c>
      <c r="AS418" s="120" t="str">
        <f>IFERROR(VLOOKUP(Table1[RespondentID],'All Data'!$A$3:$CW$999,94,FALSE),"unknown")</f>
        <v>Over $125,000</v>
      </c>
      <c r="AT418" s="120" t="str">
        <f>IFERROR(VLOOKUP(Table1[RespondentID],'All Data'!$A$3:$CW$999,95,FALSE),"unknown")</f>
        <v>College graduate</v>
      </c>
      <c r="AU418" s="120">
        <f>IFERROR(VLOOKUP(Table1[RespondentID],'All Data'!$A$3:$CW$999,96,FALSE),"unknown")</f>
        <v>0</v>
      </c>
      <c r="AV418" s="120">
        <f>IFERROR(VLOOKUP(Table1[RespondentID],'All Data'!$A$3:$CW$999,97,FALSE),"unknown")</f>
        <v>0</v>
      </c>
      <c r="AW418" s="120" t="str">
        <f>IFERROR(VLOOKUP(Table1[RespondentID],'All Data'!$A$3:$CW$999,98,FALSE),"unknown")</f>
        <v>Private/Commercial</v>
      </c>
      <c r="AX418" s="120" t="str">
        <f>IFERROR(VLOOKUP(Table1[RespondentID],'All Data'!$A$3:$CW$999,99,FALSE),"unknown")</f>
        <v>Yes</v>
      </c>
    </row>
    <row r="419" spans="1:50">
      <c r="A419" s="124">
        <v>114085822022</v>
      </c>
      <c r="B419" s="122" t="s">
        <v>16</v>
      </c>
      <c r="C419" s="123" t="s">
        <v>17</v>
      </c>
      <c r="D419" s="123"/>
      <c r="E419" s="123"/>
      <c r="F419" s="123"/>
      <c r="G419" s="123"/>
      <c r="H419" s="123"/>
      <c r="I419" s="123"/>
      <c r="J419" s="123"/>
      <c r="K419" s="123" t="s">
        <v>25</v>
      </c>
      <c r="L419" s="123"/>
      <c r="M419" s="123" t="s">
        <v>27</v>
      </c>
      <c r="N419" s="123" t="s">
        <v>28</v>
      </c>
      <c r="O419" s="124"/>
      <c r="P419" s="125">
        <f t="shared" si="108"/>
        <v>5</v>
      </c>
      <c r="Q419" s="126">
        <f t="shared" si="109"/>
        <v>0.6</v>
      </c>
      <c r="R419" s="124"/>
      <c r="S419" s="125">
        <f t="shared" si="110"/>
        <v>0.6</v>
      </c>
      <c r="T419" s="125">
        <f t="shared" si="111"/>
        <v>0.6</v>
      </c>
      <c r="U419" s="125">
        <f t="shared" si="112"/>
        <v>0</v>
      </c>
      <c r="V419" s="127">
        <f t="shared" si="113"/>
        <v>0</v>
      </c>
      <c r="W419" s="127">
        <f t="shared" si="114"/>
        <v>0</v>
      </c>
      <c r="X419" s="127">
        <f t="shared" si="115"/>
        <v>0</v>
      </c>
      <c r="Y419" s="127">
        <f t="shared" si="116"/>
        <v>0</v>
      </c>
      <c r="Z419" s="127">
        <f t="shared" si="117"/>
        <v>0</v>
      </c>
      <c r="AA419" s="127">
        <f t="shared" si="118"/>
        <v>0</v>
      </c>
      <c r="AB419" s="127">
        <f t="shared" si="119"/>
        <v>0.6</v>
      </c>
      <c r="AC419" s="127">
        <f t="shared" si="120"/>
        <v>0</v>
      </c>
      <c r="AD419" s="127">
        <f t="shared" si="121"/>
        <v>0.6</v>
      </c>
      <c r="AE419" s="127">
        <f t="shared" si="122"/>
        <v>0.6</v>
      </c>
      <c r="AF419" s="124"/>
      <c r="AG419" s="124"/>
      <c r="AH419" s="125">
        <f t="shared" si="123"/>
        <v>3</v>
      </c>
      <c r="AI419" s="125">
        <f t="shared" si="124"/>
        <v>5</v>
      </c>
      <c r="AJ419" s="125" t="str">
        <f t="shared" si="125"/>
        <v>Correct</v>
      </c>
      <c r="AK419" s="124"/>
      <c r="AL419" s="120" t="str">
        <f>IFERROR(VLOOKUP(Table1[RespondentID],'All Data'!$A$3:$CO$999,87,FALSE),"unknown")</f>
        <v>Woman</v>
      </c>
      <c r="AM419" s="120">
        <f>IFERROR(VLOOKUP(Table1[RespondentID],'All Data'!$A$3:$CO$999,88,FALSE),"unknown")</f>
        <v>0</v>
      </c>
      <c r="AN419" s="120" t="str">
        <f>IFERROR(VLOOKUP(Table1[RespondentID],'All Data'!$A$3:$CO$999,89,FALSE),"unknown")</f>
        <v>Nassau</v>
      </c>
      <c r="AO419" s="120" t="str">
        <f>IFERROR(VLOOKUP(Table1[RespondentID],'All Data'!$A$3:$CO$999,90,FALSE),"unknown")</f>
        <v>Bethpage, 11714</v>
      </c>
      <c r="AP419" s="120">
        <f>IFERROR(VLOOKUP(Table1[RespondentID],'All Data'!$A$3:$CO$999,91,FALSE),"unknown")</f>
        <v>0</v>
      </c>
      <c r="AQ419" s="120" t="str">
        <f>IFERROR(VLOOKUP(Table1[RespondentID],'All Data'!$A$3:$CO$999,92,FALSE),"unknown")</f>
        <v>Not Hispanic or Latino</v>
      </c>
      <c r="AR419" s="120" t="str">
        <f>IFERROR(VLOOKUP(Table1[RespondentID],'All Data'!$A$3:$CO$999,93,FALSE),"unknown")</f>
        <v>English</v>
      </c>
      <c r="AS419" s="120" t="str">
        <f>IFERROR(VLOOKUP(Table1[RespondentID],'All Data'!$A$3:$CW$999,94,FALSE),"unknown")</f>
        <v>$75,000 to $125,000</v>
      </c>
      <c r="AT419" s="120" t="str">
        <f>IFERROR(VLOOKUP(Table1[RespondentID],'All Data'!$A$3:$CW$999,95,FALSE),"unknown")</f>
        <v>College graduate</v>
      </c>
      <c r="AU419" s="120">
        <f>IFERROR(VLOOKUP(Table1[RespondentID],'All Data'!$A$3:$CW$999,96,FALSE),"unknown")</f>
        <v>0</v>
      </c>
      <c r="AV419" s="120">
        <f>IFERROR(VLOOKUP(Table1[RespondentID],'All Data'!$A$3:$CW$999,97,FALSE),"unknown")</f>
        <v>0</v>
      </c>
      <c r="AW419" s="120" t="str">
        <f>IFERROR(VLOOKUP(Table1[RespondentID],'All Data'!$A$3:$CW$999,98,FALSE),"unknown")</f>
        <v>Private/Commercial</v>
      </c>
      <c r="AX419" s="120" t="str">
        <f>IFERROR(VLOOKUP(Table1[RespondentID],'All Data'!$A$3:$CW$999,99,FALSE),"unknown")</f>
        <v>Yes</v>
      </c>
    </row>
    <row r="420" spans="1:50">
      <c r="A420" s="124">
        <v>114085818088</v>
      </c>
      <c r="B420" s="122"/>
      <c r="C420" s="123"/>
      <c r="D420" s="123"/>
      <c r="E420" s="123"/>
      <c r="F420" s="123"/>
      <c r="G420" s="123"/>
      <c r="H420" s="123"/>
      <c r="I420" s="123" t="s">
        <v>23</v>
      </c>
      <c r="J420" s="123" t="s">
        <v>24</v>
      </c>
      <c r="K420" s="123"/>
      <c r="L420" s="123"/>
      <c r="M420" s="123"/>
      <c r="N420" s="123"/>
      <c r="O420" s="124"/>
      <c r="P420" s="125">
        <f t="shared" si="108"/>
        <v>2</v>
      </c>
      <c r="Q420" s="126">
        <f t="shared" si="109"/>
        <v>1.5</v>
      </c>
      <c r="R420" s="124"/>
      <c r="S420" s="125">
        <f t="shared" si="110"/>
        <v>0</v>
      </c>
      <c r="T420" s="125">
        <f t="shared" si="111"/>
        <v>0</v>
      </c>
      <c r="U420" s="125">
        <f t="shared" si="112"/>
        <v>0</v>
      </c>
      <c r="V420" s="127">
        <f t="shared" si="113"/>
        <v>0</v>
      </c>
      <c r="W420" s="127">
        <f t="shared" si="114"/>
        <v>0</v>
      </c>
      <c r="X420" s="127">
        <f t="shared" si="115"/>
        <v>0</v>
      </c>
      <c r="Y420" s="127">
        <f t="shared" si="116"/>
        <v>0</v>
      </c>
      <c r="Z420" s="127">
        <f t="shared" si="117"/>
        <v>1</v>
      </c>
      <c r="AA420" s="127">
        <f t="shared" si="118"/>
        <v>1</v>
      </c>
      <c r="AB420" s="127">
        <f t="shared" si="119"/>
        <v>0</v>
      </c>
      <c r="AC420" s="127">
        <f t="shared" si="120"/>
        <v>0</v>
      </c>
      <c r="AD420" s="127">
        <f t="shared" si="121"/>
        <v>0</v>
      </c>
      <c r="AE420" s="127">
        <f t="shared" si="122"/>
        <v>0</v>
      </c>
      <c r="AF420" s="124"/>
      <c r="AG420" s="124"/>
      <c r="AH420" s="125">
        <f t="shared" si="123"/>
        <v>2</v>
      </c>
      <c r="AI420" s="125">
        <f t="shared" si="124"/>
        <v>2</v>
      </c>
      <c r="AJ420" s="125" t="str">
        <f t="shared" si="125"/>
        <v>Correct</v>
      </c>
      <c r="AK420" s="124"/>
      <c r="AL420" s="120" t="str">
        <f>IFERROR(VLOOKUP(Table1[RespondentID],'All Data'!$A$3:$CO$999,87,FALSE),"unknown")</f>
        <v>Woman</v>
      </c>
      <c r="AM420" s="120">
        <f>IFERROR(VLOOKUP(Table1[RespondentID],'All Data'!$A$3:$CO$999,88,FALSE),"unknown")</f>
        <v>0</v>
      </c>
      <c r="AN420" s="120" t="str">
        <f>IFERROR(VLOOKUP(Table1[RespondentID],'All Data'!$A$3:$CO$999,89,FALSE),"unknown")</f>
        <v>Nassau</v>
      </c>
      <c r="AO420" s="120" t="str">
        <f>IFERROR(VLOOKUP(Table1[RespondentID],'All Data'!$A$3:$CO$999,90,FALSE),"unknown")</f>
        <v>New Hyde Park, 11040</v>
      </c>
      <c r="AP420" s="120">
        <f>IFERROR(VLOOKUP(Table1[RespondentID],'All Data'!$A$3:$CO$999,91,FALSE),"unknown")</f>
        <v>0</v>
      </c>
      <c r="AQ420" s="120" t="str">
        <f>IFERROR(VLOOKUP(Table1[RespondentID],'All Data'!$A$3:$CO$999,92,FALSE),"unknown")</f>
        <v>Not Hispanic or Latino</v>
      </c>
      <c r="AR420" s="120" t="str">
        <f>IFERROR(VLOOKUP(Table1[RespondentID],'All Data'!$A$3:$CO$999,93,FALSE),"unknown")</f>
        <v>English</v>
      </c>
      <c r="AS420" s="120" t="str">
        <f>IFERROR(VLOOKUP(Table1[RespondentID],'All Data'!$A$3:$CW$999,94,FALSE),"unknown")</f>
        <v>Over $125,000</v>
      </c>
      <c r="AT420" s="120" t="str">
        <f>IFERROR(VLOOKUP(Table1[RespondentID],'All Data'!$A$3:$CW$999,95,FALSE),"unknown")</f>
        <v>Graduate school</v>
      </c>
      <c r="AU420" s="120">
        <f>IFERROR(VLOOKUP(Table1[RespondentID],'All Data'!$A$3:$CW$999,96,FALSE),"unknown")</f>
        <v>0</v>
      </c>
      <c r="AV420" s="120">
        <f>IFERROR(VLOOKUP(Table1[RespondentID],'All Data'!$A$3:$CW$999,97,FALSE),"unknown")</f>
        <v>0</v>
      </c>
      <c r="AW420" s="120" t="str">
        <f>IFERROR(VLOOKUP(Table1[RespondentID],'All Data'!$A$3:$CW$999,98,FALSE),"unknown")</f>
        <v>Medicare,Private/Commercial</v>
      </c>
      <c r="AX420" s="120" t="str">
        <f>IFERROR(VLOOKUP(Table1[RespondentID],'All Data'!$A$3:$CW$999,99,FALSE),"unknown")</f>
        <v>Yes</v>
      </c>
    </row>
    <row r="421" spans="1:50">
      <c r="A421" s="124">
        <v>114085818365</v>
      </c>
      <c r="B421" s="122"/>
      <c r="C421" s="123"/>
      <c r="D421" s="123"/>
      <c r="E421" s="123"/>
      <c r="F421" s="123"/>
      <c r="G421" s="123"/>
      <c r="H421" s="123"/>
      <c r="I421" s="123" t="s">
        <v>23</v>
      </c>
      <c r="J421" s="123"/>
      <c r="K421" s="123" t="s">
        <v>25</v>
      </c>
      <c r="L421" s="123"/>
      <c r="M421" s="123"/>
      <c r="N421" s="123"/>
      <c r="O421" s="124"/>
      <c r="P421" s="125">
        <f t="shared" si="108"/>
        <v>2</v>
      </c>
      <c r="Q421" s="126">
        <f t="shared" si="109"/>
        <v>1.5</v>
      </c>
      <c r="R421" s="124"/>
      <c r="S421" s="125">
        <f t="shared" si="110"/>
        <v>0</v>
      </c>
      <c r="T421" s="125">
        <f t="shared" si="111"/>
        <v>0</v>
      </c>
      <c r="U421" s="125">
        <f t="shared" si="112"/>
        <v>0</v>
      </c>
      <c r="V421" s="127">
        <f t="shared" si="113"/>
        <v>0</v>
      </c>
      <c r="W421" s="127">
        <f t="shared" si="114"/>
        <v>0</v>
      </c>
      <c r="X421" s="127">
        <f t="shared" si="115"/>
        <v>0</v>
      </c>
      <c r="Y421" s="127">
        <f t="shared" si="116"/>
        <v>0</v>
      </c>
      <c r="Z421" s="127">
        <f t="shared" si="117"/>
        <v>1</v>
      </c>
      <c r="AA421" s="127">
        <f t="shared" si="118"/>
        <v>0</v>
      </c>
      <c r="AB421" s="127">
        <f t="shared" si="119"/>
        <v>1</v>
      </c>
      <c r="AC421" s="127">
        <f t="shared" si="120"/>
        <v>0</v>
      </c>
      <c r="AD421" s="127">
        <f t="shared" si="121"/>
        <v>0</v>
      </c>
      <c r="AE421" s="127">
        <f t="shared" si="122"/>
        <v>0</v>
      </c>
      <c r="AF421" s="124"/>
      <c r="AG421" s="124"/>
      <c r="AH421" s="125">
        <f t="shared" si="123"/>
        <v>2</v>
      </c>
      <c r="AI421" s="125">
        <f t="shared" si="124"/>
        <v>2</v>
      </c>
      <c r="AJ421" s="125" t="str">
        <f t="shared" si="125"/>
        <v>Correct</v>
      </c>
      <c r="AK421" s="124"/>
      <c r="AL421" s="120" t="str">
        <f>IFERROR(VLOOKUP(Table1[RespondentID],'All Data'!$A$3:$CO$999,87,FALSE),"unknown")</f>
        <v>Woman</v>
      </c>
      <c r="AM421" s="120">
        <f>IFERROR(VLOOKUP(Table1[RespondentID],'All Data'!$A$3:$CO$999,88,FALSE),"unknown")</f>
        <v>0</v>
      </c>
      <c r="AN421" s="120" t="str">
        <f>IFERROR(VLOOKUP(Table1[RespondentID],'All Data'!$A$3:$CO$999,89,FALSE),"unknown")</f>
        <v>Suffolk</v>
      </c>
      <c r="AO421" s="120" t="str">
        <f>IFERROR(VLOOKUP(Table1[RespondentID],'All Data'!$A$3:$CO$999,90,FALSE),"unknown")</f>
        <v>Lake Grove, 11755</v>
      </c>
      <c r="AP421" s="120">
        <f>IFERROR(VLOOKUP(Table1[RespondentID],'All Data'!$A$3:$CO$999,91,FALSE),"unknown")</f>
        <v>0</v>
      </c>
      <c r="AQ421" s="120" t="str">
        <f>IFERROR(VLOOKUP(Table1[RespondentID],'All Data'!$A$3:$CO$999,92,FALSE),"unknown")</f>
        <v>Not Hispanic or Latino</v>
      </c>
      <c r="AR421" s="120" t="str">
        <f>IFERROR(VLOOKUP(Table1[RespondentID],'All Data'!$A$3:$CO$999,93,FALSE),"unknown")</f>
        <v>English</v>
      </c>
      <c r="AS421" s="120" t="str">
        <f>IFERROR(VLOOKUP(Table1[RespondentID],'All Data'!$A$3:$CW$999,94,FALSE),"unknown")</f>
        <v>Over $125,000</v>
      </c>
      <c r="AT421" s="120" t="str">
        <f>IFERROR(VLOOKUP(Table1[RespondentID],'All Data'!$A$3:$CW$999,95,FALSE),"unknown")</f>
        <v>College graduate</v>
      </c>
      <c r="AU421" s="120">
        <f>IFERROR(VLOOKUP(Table1[RespondentID],'All Data'!$A$3:$CW$999,96,FALSE),"unknown")</f>
        <v>0</v>
      </c>
      <c r="AV421" s="120">
        <f>IFERROR(VLOOKUP(Table1[RespondentID],'All Data'!$A$3:$CW$999,97,FALSE),"unknown")</f>
        <v>0</v>
      </c>
      <c r="AW421" s="120" t="str">
        <f>IFERROR(VLOOKUP(Table1[RespondentID],'All Data'!$A$3:$CW$999,98,FALSE),"unknown")</f>
        <v>Private/Commercial</v>
      </c>
      <c r="AX421" s="120" t="str">
        <f>IFERROR(VLOOKUP(Table1[RespondentID],'All Data'!$A$3:$CW$999,99,FALSE),"unknown")</f>
        <v>Yes</v>
      </c>
    </row>
    <row r="422" spans="1:50">
      <c r="A422" s="124">
        <v>114085818190</v>
      </c>
      <c r="B422" s="122"/>
      <c r="C422" s="123"/>
      <c r="D422" s="123" t="s">
        <v>18</v>
      </c>
      <c r="E422" s="123"/>
      <c r="F422" s="123"/>
      <c r="G422" s="123"/>
      <c r="H422" s="123" t="s">
        <v>22</v>
      </c>
      <c r="I422" s="123"/>
      <c r="J422" s="123"/>
      <c r="K422" s="123"/>
      <c r="L422" s="123"/>
      <c r="M422" s="123"/>
      <c r="N422" s="123" t="s">
        <v>28</v>
      </c>
      <c r="O422" s="124"/>
      <c r="P422" s="125">
        <f t="shared" si="108"/>
        <v>3</v>
      </c>
      <c r="Q422" s="126">
        <f t="shared" si="109"/>
        <v>1</v>
      </c>
      <c r="R422" s="124"/>
      <c r="S422" s="125">
        <f t="shared" si="110"/>
        <v>0</v>
      </c>
      <c r="T422" s="125">
        <f t="shared" si="111"/>
        <v>0</v>
      </c>
      <c r="U422" s="125">
        <f t="shared" si="112"/>
        <v>1</v>
      </c>
      <c r="V422" s="127">
        <f t="shared" si="113"/>
        <v>0</v>
      </c>
      <c r="W422" s="127">
        <f t="shared" si="114"/>
        <v>0</v>
      </c>
      <c r="X422" s="127">
        <f t="shared" si="115"/>
        <v>0</v>
      </c>
      <c r="Y422" s="127">
        <f t="shared" si="116"/>
        <v>1</v>
      </c>
      <c r="Z422" s="127">
        <f t="shared" si="117"/>
        <v>0</v>
      </c>
      <c r="AA422" s="127">
        <f t="shared" si="118"/>
        <v>0</v>
      </c>
      <c r="AB422" s="127">
        <f t="shared" si="119"/>
        <v>0</v>
      </c>
      <c r="AC422" s="127">
        <f t="shared" si="120"/>
        <v>0</v>
      </c>
      <c r="AD422" s="127">
        <f t="shared" si="121"/>
        <v>0</v>
      </c>
      <c r="AE422" s="127">
        <f t="shared" si="122"/>
        <v>1</v>
      </c>
      <c r="AF422" s="124"/>
      <c r="AG422" s="124"/>
      <c r="AH422" s="125">
        <f t="shared" si="123"/>
        <v>3</v>
      </c>
      <c r="AI422" s="125">
        <f t="shared" si="124"/>
        <v>3</v>
      </c>
      <c r="AJ422" s="125" t="str">
        <f t="shared" si="125"/>
        <v>Correct</v>
      </c>
      <c r="AK422" s="124"/>
      <c r="AL422" s="120" t="str">
        <f>IFERROR(VLOOKUP(Table1[RespondentID],'All Data'!$A$3:$CO$999,87,FALSE),"unknown")</f>
        <v>Man</v>
      </c>
      <c r="AM422" s="120">
        <f>IFERROR(VLOOKUP(Table1[RespondentID],'All Data'!$A$3:$CO$999,88,FALSE),"unknown")</f>
        <v>0</v>
      </c>
      <c r="AN422" s="120" t="str">
        <f>IFERROR(VLOOKUP(Table1[RespondentID],'All Data'!$A$3:$CO$999,89,FALSE),"unknown")</f>
        <v>Nassau</v>
      </c>
      <c r="AO422" s="120" t="str">
        <f>IFERROR(VLOOKUP(Table1[RespondentID],'All Data'!$A$3:$CO$999,90,FALSE),"unknown")</f>
        <v>Jericho, 11753</v>
      </c>
      <c r="AP422" s="120">
        <f>IFERROR(VLOOKUP(Table1[RespondentID],'All Data'!$A$3:$CO$999,91,FALSE),"unknown")</f>
        <v>0</v>
      </c>
      <c r="AQ422" s="120" t="str">
        <f>IFERROR(VLOOKUP(Table1[RespondentID],'All Data'!$A$3:$CO$999,92,FALSE),"unknown")</f>
        <v>Not Hispanic or Latino</v>
      </c>
      <c r="AR422" s="120" t="str">
        <f>IFERROR(VLOOKUP(Table1[RespondentID],'All Data'!$A$3:$CO$999,93,FALSE),"unknown")</f>
        <v>English</v>
      </c>
      <c r="AS422" s="120" t="str">
        <f>IFERROR(VLOOKUP(Table1[RespondentID],'All Data'!$A$3:$CW$999,94,FALSE),"unknown")</f>
        <v>Over $125,000</v>
      </c>
      <c r="AT422" s="120" t="str">
        <f>IFERROR(VLOOKUP(Table1[RespondentID],'All Data'!$A$3:$CW$999,95,FALSE),"unknown")</f>
        <v>Doctorate</v>
      </c>
      <c r="AU422" s="120">
        <f>IFERROR(VLOOKUP(Table1[RespondentID],'All Data'!$A$3:$CW$999,96,FALSE),"unknown")</f>
        <v>0</v>
      </c>
      <c r="AV422" s="120">
        <f>IFERROR(VLOOKUP(Table1[RespondentID],'All Data'!$A$3:$CW$999,97,FALSE),"unknown")</f>
        <v>0</v>
      </c>
      <c r="AW422" s="120" t="str">
        <f>IFERROR(VLOOKUP(Table1[RespondentID],'All Data'!$A$3:$CW$999,98,FALSE),"unknown")</f>
        <v>Private/Commercial</v>
      </c>
      <c r="AX422" s="120" t="str">
        <f>IFERROR(VLOOKUP(Table1[RespondentID],'All Data'!$A$3:$CW$999,99,FALSE),"unknown")</f>
        <v>Yes</v>
      </c>
    </row>
    <row r="423" spans="1:50">
      <c r="A423" s="124">
        <v>114085817474</v>
      </c>
      <c r="B423" s="122"/>
      <c r="C423" s="123"/>
      <c r="D423" s="123"/>
      <c r="E423" s="123"/>
      <c r="F423" s="123"/>
      <c r="G423" s="123"/>
      <c r="H423" s="123"/>
      <c r="I423" s="123" t="s">
        <v>23</v>
      </c>
      <c r="J423" s="123"/>
      <c r="K423" s="123"/>
      <c r="L423" s="123"/>
      <c r="M423" s="123"/>
      <c r="N423" s="123"/>
      <c r="O423" s="124"/>
      <c r="P423" s="125">
        <f t="shared" si="108"/>
        <v>1</v>
      </c>
      <c r="Q423" s="126">
        <f t="shared" si="109"/>
        <v>3</v>
      </c>
      <c r="R423" s="124"/>
      <c r="S423" s="125">
        <f t="shared" si="110"/>
        <v>0</v>
      </c>
      <c r="T423" s="125">
        <f t="shared" si="111"/>
        <v>0</v>
      </c>
      <c r="U423" s="125">
        <f t="shared" si="112"/>
        <v>0</v>
      </c>
      <c r="V423" s="127">
        <f t="shared" si="113"/>
        <v>0</v>
      </c>
      <c r="W423" s="127">
        <f t="shared" si="114"/>
        <v>0</v>
      </c>
      <c r="X423" s="127">
        <f t="shared" si="115"/>
        <v>0</v>
      </c>
      <c r="Y423" s="127">
        <f t="shared" si="116"/>
        <v>0</v>
      </c>
      <c r="Z423" s="127">
        <f t="shared" si="117"/>
        <v>1</v>
      </c>
      <c r="AA423" s="127">
        <f t="shared" si="118"/>
        <v>0</v>
      </c>
      <c r="AB423" s="127">
        <f t="shared" si="119"/>
        <v>0</v>
      </c>
      <c r="AC423" s="127">
        <f t="shared" si="120"/>
        <v>0</v>
      </c>
      <c r="AD423" s="127">
        <f t="shared" si="121"/>
        <v>0</v>
      </c>
      <c r="AE423" s="127">
        <f t="shared" si="122"/>
        <v>0</v>
      </c>
      <c r="AF423" s="124"/>
      <c r="AG423" s="124"/>
      <c r="AH423" s="125">
        <f t="shared" si="123"/>
        <v>1</v>
      </c>
      <c r="AI423" s="125">
        <f t="shared" si="124"/>
        <v>1</v>
      </c>
      <c r="AJ423" s="125" t="str">
        <f t="shared" si="125"/>
        <v>Correct</v>
      </c>
      <c r="AK423" s="124"/>
      <c r="AL423" s="120" t="str">
        <f>IFERROR(VLOOKUP(Table1[RespondentID],'All Data'!$A$3:$CO$999,87,FALSE),"unknown")</f>
        <v>Woman</v>
      </c>
      <c r="AM423" s="120">
        <f>IFERROR(VLOOKUP(Table1[RespondentID],'All Data'!$A$3:$CO$999,88,FALSE),"unknown")</f>
        <v>0</v>
      </c>
      <c r="AN423" s="120" t="str">
        <f>IFERROR(VLOOKUP(Table1[RespondentID],'All Data'!$A$3:$CO$999,89,FALSE),"unknown")</f>
        <v>Nassau</v>
      </c>
      <c r="AO423" s="120" t="str">
        <f>IFERROR(VLOOKUP(Table1[RespondentID],'All Data'!$A$3:$CO$999,90,FALSE),"unknown")</f>
        <v>Long Beach, 11561</v>
      </c>
      <c r="AP423" s="120">
        <f>IFERROR(VLOOKUP(Table1[RespondentID],'All Data'!$A$3:$CO$999,91,FALSE),"unknown")</f>
        <v>0</v>
      </c>
      <c r="AQ423" s="120" t="str">
        <f>IFERROR(VLOOKUP(Table1[RespondentID],'All Data'!$A$3:$CO$999,92,FALSE),"unknown")</f>
        <v>Hispanic or Latino</v>
      </c>
      <c r="AR423" s="120" t="str">
        <f>IFERROR(VLOOKUP(Table1[RespondentID],'All Data'!$A$3:$CO$999,93,FALSE),"unknown")</f>
        <v>English</v>
      </c>
      <c r="AS423" s="120" t="str">
        <f>IFERROR(VLOOKUP(Table1[RespondentID],'All Data'!$A$3:$CW$999,94,FALSE),"unknown")</f>
        <v>$50,000 to $74,999</v>
      </c>
      <c r="AT423" s="120" t="str">
        <f>IFERROR(VLOOKUP(Table1[RespondentID],'All Data'!$A$3:$CW$999,95,FALSE),"unknown")</f>
        <v>College graduate</v>
      </c>
      <c r="AU423" s="120">
        <f>IFERROR(VLOOKUP(Table1[RespondentID],'All Data'!$A$3:$CW$999,96,FALSE),"unknown")</f>
        <v>0</v>
      </c>
      <c r="AV423" s="120">
        <f>IFERROR(VLOOKUP(Table1[RespondentID],'All Data'!$A$3:$CW$999,97,FALSE),"unknown")</f>
        <v>0</v>
      </c>
      <c r="AW423" s="120" t="str">
        <f>IFERROR(VLOOKUP(Table1[RespondentID],'All Data'!$A$3:$CW$999,98,FALSE),"unknown")</f>
        <v>Private/Commercial</v>
      </c>
      <c r="AX423" s="120" t="str">
        <f>IFERROR(VLOOKUP(Table1[RespondentID],'All Data'!$A$3:$CW$999,99,FALSE),"unknown")</f>
        <v>Yes</v>
      </c>
    </row>
    <row r="424" spans="1:50">
      <c r="A424" s="124">
        <v>114085817457</v>
      </c>
      <c r="B424" s="122"/>
      <c r="C424" s="123"/>
      <c r="D424" s="123"/>
      <c r="E424" s="123"/>
      <c r="F424" s="123"/>
      <c r="G424" s="123"/>
      <c r="H424" s="123"/>
      <c r="I424" s="123"/>
      <c r="J424" s="123"/>
      <c r="K424" s="123" t="s">
        <v>25</v>
      </c>
      <c r="L424" s="123"/>
      <c r="M424" s="123"/>
      <c r="N424" s="123" t="s">
        <v>28</v>
      </c>
      <c r="O424" s="124"/>
      <c r="P424" s="125">
        <f t="shared" si="108"/>
        <v>2</v>
      </c>
      <c r="Q424" s="126">
        <f t="shared" si="109"/>
        <v>1.5</v>
      </c>
      <c r="R424" s="124"/>
      <c r="S424" s="125">
        <f t="shared" si="110"/>
        <v>0</v>
      </c>
      <c r="T424" s="125">
        <f t="shared" si="111"/>
        <v>0</v>
      </c>
      <c r="U424" s="125">
        <f t="shared" si="112"/>
        <v>0</v>
      </c>
      <c r="V424" s="127">
        <f t="shared" si="113"/>
        <v>0</v>
      </c>
      <c r="W424" s="127">
        <f t="shared" si="114"/>
        <v>0</v>
      </c>
      <c r="X424" s="127">
        <f t="shared" si="115"/>
        <v>0</v>
      </c>
      <c r="Y424" s="127">
        <f t="shared" si="116"/>
        <v>0</v>
      </c>
      <c r="Z424" s="127">
        <f t="shared" si="117"/>
        <v>0</v>
      </c>
      <c r="AA424" s="127">
        <f t="shared" si="118"/>
        <v>0</v>
      </c>
      <c r="AB424" s="127">
        <f t="shared" si="119"/>
        <v>1</v>
      </c>
      <c r="AC424" s="127">
        <f t="shared" si="120"/>
        <v>0</v>
      </c>
      <c r="AD424" s="127">
        <f t="shared" si="121"/>
        <v>0</v>
      </c>
      <c r="AE424" s="127">
        <f t="shared" si="122"/>
        <v>1</v>
      </c>
      <c r="AF424" s="124"/>
      <c r="AG424" s="124"/>
      <c r="AH424" s="125">
        <f t="shared" si="123"/>
        <v>2</v>
      </c>
      <c r="AI424" s="125">
        <f t="shared" si="124"/>
        <v>2</v>
      </c>
      <c r="AJ424" s="125" t="str">
        <f t="shared" si="125"/>
        <v>Correct</v>
      </c>
      <c r="AK424" s="124"/>
      <c r="AL424" s="120" t="str">
        <f>IFERROR(VLOOKUP(Table1[RespondentID],'All Data'!$A$3:$CO$999,87,FALSE),"unknown")</f>
        <v>Woman</v>
      </c>
      <c r="AM424" s="120">
        <f>IFERROR(VLOOKUP(Table1[RespondentID],'All Data'!$A$3:$CO$999,88,FALSE),"unknown")</f>
        <v>0</v>
      </c>
      <c r="AN424" s="120" t="str">
        <f>IFERROR(VLOOKUP(Table1[RespondentID],'All Data'!$A$3:$CO$999,89,FALSE),"unknown")</f>
        <v>Nassau</v>
      </c>
      <c r="AO424" s="120" t="str">
        <f>IFERROR(VLOOKUP(Table1[RespondentID],'All Data'!$A$3:$CO$999,90,FALSE),"unknown")</f>
        <v>Uniondale, 11553</v>
      </c>
      <c r="AP424" s="120">
        <f>IFERROR(VLOOKUP(Table1[RespondentID],'All Data'!$A$3:$CO$999,91,FALSE),"unknown")</f>
        <v>0</v>
      </c>
      <c r="AQ424" s="120" t="str">
        <f>IFERROR(VLOOKUP(Table1[RespondentID],'All Data'!$A$3:$CO$999,92,FALSE),"unknown")</f>
        <v>Not Hispanic or Latino</v>
      </c>
      <c r="AR424" s="120" t="str">
        <f>IFERROR(VLOOKUP(Table1[RespondentID],'All Data'!$A$3:$CO$999,93,FALSE),"unknown")</f>
        <v>English</v>
      </c>
      <c r="AS424" s="120" t="str">
        <f>IFERROR(VLOOKUP(Table1[RespondentID],'All Data'!$A$3:$CW$999,94,FALSE),"unknown")</f>
        <v>$35,000 to $49,999</v>
      </c>
      <c r="AT424" s="120" t="str">
        <f>IFERROR(VLOOKUP(Table1[RespondentID],'All Data'!$A$3:$CW$999,95,FALSE),"unknown")</f>
        <v>Some college</v>
      </c>
      <c r="AU424" s="120">
        <f>IFERROR(VLOOKUP(Table1[RespondentID],'All Data'!$A$3:$CW$999,96,FALSE),"unknown")</f>
        <v>0</v>
      </c>
      <c r="AV424" s="120">
        <f>IFERROR(VLOOKUP(Table1[RespondentID],'All Data'!$A$3:$CW$999,97,FALSE),"unknown")</f>
        <v>0</v>
      </c>
      <c r="AW424" s="120" t="str">
        <f>IFERROR(VLOOKUP(Table1[RespondentID],'All Data'!$A$3:$CW$999,98,FALSE),"unknown")</f>
        <v>Private/Commercial</v>
      </c>
      <c r="AX424" s="120" t="str">
        <f>IFERROR(VLOOKUP(Table1[RespondentID],'All Data'!$A$3:$CW$999,99,FALSE),"unknown")</f>
        <v>Yes</v>
      </c>
    </row>
    <row r="425" spans="1:50">
      <c r="A425" s="124">
        <v>114085817331</v>
      </c>
      <c r="B425" s="122"/>
      <c r="C425" s="123" t="s">
        <v>17</v>
      </c>
      <c r="D425" s="123"/>
      <c r="E425" s="123"/>
      <c r="F425" s="123"/>
      <c r="G425" s="123"/>
      <c r="H425" s="123"/>
      <c r="I425" s="123" t="s">
        <v>23</v>
      </c>
      <c r="J425" s="123"/>
      <c r="K425" s="123"/>
      <c r="L425" s="123"/>
      <c r="M425" s="123"/>
      <c r="N425" s="123"/>
      <c r="O425" s="124"/>
      <c r="P425" s="125">
        <f t="shared" si="108"/>
        <v>2</v>
      </c>
      <c r="Q425" s="126">
        <f t="shared" si="109"/>
        <v>1.5</v>
      </c>
      <c r="R425" s="124"/>
      <c r="S425" s="125">
        <f t="shared" si="110"/>
        <v>0</v>
      </c>
      <c r="T425" s="125">
        <f t="shared" si="111"/>
        <v>1</v>
      </c>
      <c r="U425" s="125">
        <f t="shared" si="112"/>
        <v>0</v>
      </c>
      <c r="V425" s="127">
        <f t="shared" si="113"/>
        <v>0</v>
      </c>
      <c r="W425" s="127">
        <f t="shared" si="114"/>
        <v>0</v>
      </c>
      <c r="X425" s="127">
        <f t="shared" si="115"/>
        <v>0</v>
      </c>
      <c r="Y425" s="127">
        <f t="shared" si="116"/>
        <v>0</v>
      </c>
      <c r="Z425" s="127">
        <f t="shared" si="117"/>
        <v>1</v>
      </c>
      <c r="AA425" s="127">
        <f t="shared" si="118"/>
        <v>0</v>
      </c>
      <c r="AB425" s="127">
        <f t="shared" si="119"/>
        <v>0</v>
      </c>
      <c r="AC425" s="127">
        <f t="shared" si="120"/>
        <v>0</v>
      </c>
      <c r="AD425" s="127">
        <f t="shared" si="121"/>
        <v>0</v>
      </c>
      <c r="AE425" s="127">
        <f t="shared" si="122"/>
        <v>0</v>
      </c>
      <c r="AF425" s="124"/>
      <c r="AG425" s="124"/>
      <c r="AH425" s="125">
        <f t="shared" si="123"/>
        <v>2</v>
      </c>
      <c r="AI425" s="125">
        <f t="shared" si="124"/>
        <v>2</v>
      </c>
      <c r="AJ425" s="125" t="str">
        <f t="shared" si="125"/>
        <v>Correct</v>
      </c>
      <c r="AK425" s="124"/>
      <c r="AL425" s="120" t="str">
        <f>IFERROR(VLOOKUP(Table1[RespondentID],'All Data'!$A$3:$CO$999,87,FALSE),"unknown")</f>
        <v>Woman</v>
      </c>
      <c r="AM425" s="120">
        <f>IFERROR(VLOOKUP(Table1[RespondentID],'All Data'!$A$3:$CO$999,88,FALSE),"unknown")</f>
        <v>0</v>
      </c>
      <c r="AN425" s="120" t="str">
        <f>IFERROR(VLOOKUP(Table1[RespondentID],'All Data'!$A$3:$CO$999,89,FALSE),"unknown")</f>
        <v>Nassau</v>
      </c>
      <c r="AO425" s="120" t="str">
        <f>IFERROR(VLOOKUP(Table1[RespondentID],'All Data'!$A$3:$CO$999,90,FALSE),"unknown")</f>
        <v>Plainview, 11803</v>
      </c>
      <c r="AP425" s="120">
        <f>IFERROR(VLOOKUP(Table1[RespondentID],'All Data'!$A$3:$CO$999,91,FALSE),"unknown")</f>
        <v>0</v>
      </c>
      <c r="AQ425" s="120" t="str">
        <f>IFERROR(VLOOKUP(Table1[RespondentID],'All Data'!$A$3:$CO$999,92,FALSE),"unknown")</f>
        <v>Not Hispanic or Latino</v>
      </c>
      <c r="AR425" s="120" t="str">
        <f>IFERROR(VLOOKUP(Table1[RespondentID],'All Data'!$A$3:$CO$999,93,FALSE),"unknown")</f>
        <v>English</v>
      </c>
      <c r="AS425" s="120" t="str">
        <f>IFERROR(VLOOKUP(Table1[RespondentID],'All Data'!$A$3:$CW$999,94,FALSE),"unknown")</f>
        <v>Over $125,000</v>
      </c>
      <c r="AT425" s="120" t="str">
        <f>IFERROR(VLOOKUP(Table1[RespondentID],'All Data'!$A$3:$CW$999,95,FALSE),"unknown")</f>
        <v>Graduate school</v>
      </c>
      <c r="AU425" s="120">
        <f>IFERROR(VLOOKUP(Table1[RespondentID],'All Data'!$A$3:$CW$999,96,FALSE),"unknown")</f>
        <v>0</v>
      </c>
      <c r="AV425" s="120">
        <f>IFERROR(VLOOKUP(Table1[RespondentID],'All Data'!$A$3:$CW$999,97,FALSE),"unknown")</f>
        <v>0</v>
      </c>
      <c r="AW425" s="120" t="str">
        <f>IFERROR(VLOOKUP(Table1[RespondentID],'All Data'!$A$3:$CW$999,98,FALSE),"unknown")</f>
        <v>Private/Commercial</v>
      </c>
      <c r="AX425" s="120" t="str">
        <f>IFERROR(VLOOKUP(Table1[RespondentID],'All Data'!$A$3:$CW$999,99,FALSE),"unknown")</f>
        <v>Yes</v>
      </c>
    </row>
    <row r="426" spans="1:50">
      <c r="A426" s="124">
        <v>114085816678</v>
      </c>
      <c r="B426" s="122"/>
      <c r="C426" s="123"/>
      <c r="D426" s="123" t="s">
        <v>18</v>
      </c>
      <c r="E426" s="123"/>
      <c r="F426" s="123"/>
      <c r="G426" s="123"/>
      <c r="H426" s="123"/>
      <c r="I426" s="123" t="s">
        <v>23</v>
      </c>
      <c r="J426" s="123"/>
      <c r="K426" s="123"/>
      <c r="L426" s="123"/>
      <c r="M426" s="123"/>
      <c r="N426" s="123" t="s">
        <v>28</v>
      </c>
      <c r="O426" s="124"/>
      <c r="P426" s="125">
        <f t="shared" si="108"/>
        <v>3</v>
      </c>
      <c r="Q426" s="126">
        <f t="shared" si="109"/>
        <v>1</v>
      </c>
      <c r="R426" s="124"/>
      <c r="S426" s="125">
        <f t="shared" si="110"/>
        <v>0</v>
      </c>
      <c r="T426" s="125">
        <f t="shared" si="111"/>
        <v>0</v>
      </c>
      <c r="U426" s="125">
        <f t="shared" si="112"/>
        <v>1</v>
      </c>
      <c r="V426" s="127">
        <f t="shared" si="113"/>
        <v>0</v>
      </c>
      <c r="W426" s="127">
        <f t="shared" si="114"/>
        <v>0</v>
      </c>
      <c r="X426" s="127">
        <f t="shared" si="115"/>
        <v>0</v>
      </c>
      <c r="Y426" s="127">
        <f t="shared" si="116"/>
        <v>0</v>
      </c>
      <c r="Z426" s="127">
        <f t="shared" si="117"/>
        <v>1</v>
      </c>
      <c r="AA426" s="127">
        <f t="shared" si="118"/>
        <v>0</v>
      </c>
      <c r="AB426" s="127">
        <f t="shared" si="119"/>
        <v>0</v>
      </c>
      <c r="AC426" s="127">
        <f t="shared" si="120"/>
        <v>0</v>
      </c>
      <c r="AD426" s="127">
        <f t="shared" si="121"/>
        <v>0</v>
      </c>
      <c r="AE426" s="127">
        <f t="shared" si="122"/>
        <v>1</v>
      </c>
      <c r="AF426" s="124"/>
      <c r="AG426" s="124"/>
      <c r="AH426" s="125">
        <f t="shared" si="123"/>
        <v>3</v>
      </c>
      <c r="AI426" s="125">
        <f t="shared" si="124"/>
        <v>3</v>
      </c>
      <c r="AJ426" s="125" t="str">
        <f t="shared" si="125"/>
        <v>Correct</v>
      </c>
      <c r="AK426" s="124"/>
      <c r="AL426" s="120" t="str">
        <f>IFERROR(VLOOKUP(Table1[RespondentID],'All Data'!$A$3:$CO$999,87,FALSE),"unknown")</f>
        <v>Woman</v>
      </c>
      <c r="AM426" s="120">
        <f>IFERROR(VLOOKUP(Table1[RespondentID],'All Data'!$A$3:$CO$999,88,FALSE),"unknown")</f>
        <v>0</v>
      </c>
      <c r="AN426" s="120" t="str">
        <f>IFERROR(VLOOKUP(Table1[RespondentID],'All Data'!$A$3:$CO$999,89,FALSE),"unknown")</f>
        <v>Nassau</v>
      </c>
      <c r="AO426" s="120" t="str">
        <f>IFERROR(VLOOKUP(Table1[RespondentID],'All Data'!$A$3:$CO$999,90,FALSE),"unknown")</f>
        <v>Malverne, 11565</v>
      </c>
      <c r="AP426" s="120">
        <f>IFERROR(VLOOKUP(Table1[RespondentID],'All Data'!$A$3:$CO$999,91,FALSE),"unknown")</f>
        <v>0</v>
      </c>
      <c r="AQ426" s="120" t="str">
        <f>IFERROR(VLOOKUP(Table1[RespondentID],'All Data'!$A$3:$CO$999,92,FALSE),"unknown")</f>
        <v>Not Hispanic or Latino</v>
      </c>
      <c r="AR426" s="120" t="str">
        <f>IFERROR(VLOOKUP(Table1[RespondentID],'All Data'!$A$3:$CO$999,93,FALSE),"unknown")</f>
        <v>English</v>
      </c>
      <c r="AS426" s="120" t="str">
        <f>IFERROR(VLOOKUP(Table1[RespondentID],'All Data'!$A$3:$CW$999,94,FALSE),"unknown")</f>
        <v>Over $125,000</v>
      </c>
      <c r="AT426" s="120" t="str">
        <f>IFERROR(VLOOKUP(Table1[RespondentID],'All Data'!$A$3:$CW$999,95,FALSE),"unknown")</f>
        <v>College graduate</v>
      </c>
      <c r="AU426" s="120">
        <f>IFERROR(VLOOKUP(Table1[RespondentID],'All Data'!$A$3:$CW$999,96,FALSE),"unknown")</f>
        <v>0</v>
      </c>
      <c r="AV426" s="120">
        <f>IFERROR(VLOOKUP(Table1[RespondentID],'All Data'!$A$3:$CW$999,97,FALSE),"unknown")</f>
        <v>0</v>
      </c>
      <c r="AW426" s="120" t="str">
        <f>IFERROR(VLOOKUP(Table1[RespondentID],'All Data'!$A$3:$CW$999,98,FALSE),"unknown")</f>
        <v>Private/Commercial</v>
      </c>
      <c r="AX426" s="120" t="str">
        <f>IFERROR(VLOOKUP(Table1[RespondentID],'All Data'!$A$3:$CW$999,99,FALSE),"unknown")</f>
        <v>Yes</v>
      </c>
    </row>
    <row r="427" spans="1:50">
      <c r="A427" s="124">
        <v>114083656423</v>
      </c>
      <c r="B427" s="122"/>
      <c r="C427" s="123"/>
      <c r="D427" s="123"/>
      <c r="E427" s="123"/>
      <c r="F427" s="123"/>
      <c r="G427" s="123"/>
      <c r="H427" s="123"/>
      <c r="I427" s="123"/>
      <c r="J427" s="123"/>
      <c r="K427" s="123" t="s">
        <v>25</v>
      </c>
      <c r="L427" s="123"/>
      <c r="M427" s="123"/>
      <c r="N427" s="123" t="s">
        <v>28</v>
      </c>
      <c r="O427" s="124"/>
      <c r="P427" s="125">
        <f t="shared" si="108"/>
        <v>2</v>
      </c>
      <c r="Q427" s="126">
        <f t="shared" si="109"/>
        <v>1.5</v>
      </c>
      <c r="R427" s="124"/>
      <c r="S427" s="125">
        <f t="shared" si="110"/>
        <v>0</v>
      </c>
      <c r="T427" s="125">
        <f t="shared" si="111"/>
        <v>0</v>
      </c>
      <c r="U427" s="125">
        <f t="shared" si="112"/>
        <v>0</v>
      </c>
      <c r="V427" s="127">
        <f t="shared" si="113"/>
        <v>0</v>
      </c>
      <c r="W427" s="127">
        <f t="shared" si="114"/>
        <v>0</v>
      </c>
      <c r="X427" s="127">
        <f t="shared" si="115"/>
        <v>0</v>
      </c>
      <c r="Y427" s="127">
        <f t="shared" si="116"/>
        <v>0</v>
      </c>
      <c r="Z427" s="127">
        <f t="shared" si="117"/>
        <v>0</v>
      </c>
      <c r="AA427" s="127">
        <f t="shared" si="118"/>
        <v>0</v>
      </c>
      <c r="AB427" s="127">
        <f t="shared" si="119"/>
        <v>1</v>
      </c>
      <c r="AC427" s="127">
        <f t="shared" si="120"/>
        <v>0</v>
      </c>
      <c r="AD427" s="127">
        <f t="shared" si="121"/>
        <v>0</v>
      </c>
      <c r="AE427" s="127">
        <f t="shared" si="122"/>
        <v>1</v>
      </c>
      <c r="AF427" s="124"/>
      <c r="AG427" s="124"/>
      <c r="AH427" s="125">
        <f t="shared" si="123"/>
        <v>2</v>
      </c>
      <c r="AI427" s="125">
        <f t="shared" si="124"/>
        <v>2</v>
      </c>
      <c r="AJ427" s="125" t="str">
        <f t="shared" si="125"/>
        <v>Correct</v>
      </c>
      <c r="AK427" s="124"/>
      <c r="AL427" s="120" t="str">
        <f>IFERROR(VLOOKUP(Table1[RespondentID],'All Data'!$A$3:$CO$999,87,FALSE),"unknown")</f>
        <v>Woman</v>
      </c>
      <c r="AM427" s="120">
        <f>IFERROR(VLOOKUP(Table1[RespondentID],'All Data'!$A$3:$CO$999,88,FALSE),"unknown")</f>
        <v>0</v>
      </c>
      <c r="AN427" s="120" t="str">
        <f>IFERROR(VLOOKUP(Table1[RespondentID],'All Data'!$A$3:$CO$999,89,FALSE),"unknown")</f>
        <v>Suffolk</v>
      </c>
      <c r="AO427" s="120" t="str">
        <f>IFERROR(VLOOKUP(Table1[RespondentID],'All Data'!$A$3:$CO$999,90,FALSE),"unknown")</f>
        <v>West Islip, 11795</v>
      </c>
      <c r="AP427" s="120">
        <f>IFERROR(VLOOKUP(Table1[RespondentID],'All Data'!$A$3:$CO$999,91,FALSE),"unknown")</f>
        <v>0</v>
      </c>
      <c r="AQ427" s="120" t="str">
        <f>IFERROR(VLOOKUP(Table1[RespondentID],'All Data'!$A$3:$CO$999,92,FALSE),"unknown")</f>
        <v>Hispanic or Latino</v>
      </c>
      <c r="AR427" s="120" t="str">
        <f>IFERROR(VLOOKUP(Table1[RespondentID],'All Data'!$A$3:$CO$999,93,FALSE),"unknown")</f>
        <v>English</v>
      </c>
      <c r="AS427" s="120" t="str">
        <f>IFERROR(VLOOKUP(Table1[RespondentID],'All Data'!$A$3:$CW$999,94,FALSE),"unknown")</f>
        <v>Over $125,000</v>
      </c>
      <c r="AT427" s="120" t="str">
        <f>IFERROR(VLOOKUP(Table1[RespondentID],'All Data'!$A$3:$CW$999,95,FALSE),"unknown")</f>
        <v>Graduate school</v>
      </c>
      <c r="AU427" s="120">
        <f>IFERROR(VLOOKUP(Table1[RespondentID],'All Data'!$A$3:$CW$999,96,FALSE),"unknown")</f>
        <v>0</v>
      </c>
      <c r="AV427" s="120">
        <f>IFERROR(VLOOKUP(Table1[RespondentID],'All Data'!$A$3:$CW$999,97,FALSE),"unknown")</f>
        <v>0</v>
      </c>
      <c r="AW427" s="120" t="str">
        <f>IFERROR(VLOOKUP(Table1[RespondentID],'All Data'!$A$3:$CW$999,98,FALSE),"unknown")</f>
        <v>Private/Commercial</v>
      </c>
      <c r="AX427" s="120" t="str">
        <f>IFERROR(VLOOKUP(Table1[RespondentID],'All Data'!$A$3:$CW$999,99,FALSE),"unknown")</f>
        <v>Yes</v>
      </c>
    </row>
    <row r="428" spans="1:50">
      <c r="A428" s="124">
        <v>114082818594</v>
      </c>
      <c r="B428" s="122"/>
      <c r="C428" s="123" t="s">
        <v>17</v>
      </c>
      <c r="D428" s="123" t="s">
        <v>18</v>
      </c>
      <c r="E428" s="123" t="s">
        <v>19</v>
      </c>
      <c r="F428" s="123"/>
      <c r="G428" s="123"/>
      <c r="H428" s="123"/>
      <c r="I428" s="123"/>
      <c r="J428" s="123"/>
      <c r="K428" s="123"/>
      <c r="L428" s="123"/>
      <c r="M428" s="123"/>
      <c r="N428" s="123"/>
      <c r="O428" s="124"/>
      <c r="P428" s="125">
        <f t="shared" si="108"/>
        <v>3</v>
      </c>
      <c r="Q428" s="126">
        <f t="shared" si="109"/>
        <v>1</v>
      </c>
      <c r="R428" s="124"/>
      <c r="S428" s="125">
        <f t="shared" si="110"/>
        <v>0</v>
      </c>
      <c r="T428" s="125">
        <f t="shared" si="111"/>
        <v>1</v>
      </c>
      <c r="U428" s="125">
        <f t="shared" si="112"/>
        <v>1</v>
      </c>
      <c r="V428" s="127">
        <f t="shared" si="113"/>
        <v>1</v>
      </c>
      <c r="W428" s="127">
        <f t="shared" si="114"/>
        <v>0</v>
      </c>
      <c r="X428" s="127">
        <f t="shared" si="115"/>
        <v>0</v>
      </c>
      <c r="Y428" s="127">
        <f t="shared" si="116"/>
        <v>0</v>
      </c>
      <c r="Z428" s="127">
        <f t="shared" si="117"/>
        <v>0</v>
      </c>
      <c r="AA428" s="127">
        <f t="shared" si="118"/>
        <v>0</v>
      </c>
      <c r="AB428" s="127">
        <f t="shared" si="119"/>
        <v>0</v>
      </c>
      <c r="AC428" s="127">
        <f t="shared" si="120"/>
        <v>0</v>
      </c>
      <c r="AD428" s="127">
        <f t="shared" si="121"/>
        <v>0</v>
      </c>
      <c r="AE428" s="127">
        <f t="shared" si="122"/>
        <v>0</v>
      </c>
      <c r="AF428" s="124"/>
      <c r="AG428" s="124"/>
      <c r="AH428" s="125">
        <f t="shared" si="123"/>
        <v>3</v>
      </c>
      <c r="AI428" s="125">
        <f t="shared" si="124"/>
        <v>3</v>
      </c>
      <c r="AJ428" s="125" t="str">
        <f t="shared" si="125"/>
        <v>Correct</v>
      </c>
      <c r="AK428" s="124"/>
      <c r="AL428" s="120" t="str">
        <f>IFERROR(VLOOKUP(Table1[RespondentID],'All Data'!$A$3:$CO$999,87,FALSE),"unknown")</f>
        <v>Man</v>
      </c>
      <c r="AM428" s="120">
        <f>IFERROR(VLOOKUP(Table1[RespondentID],'All Data'!$A$3:$CO$999,88,FALSE),"unknown")</f>
        <v>0</v>
      </c>
      <c r="AN428" s="120" t="str">
        <f>IFERROR(VLOOKUP(Table1[RespondentID],'All Data'!$A$3:$CO$999,89,FALSE),"unknown")</f>
        <v>Nassau</v>
      </c>
      <c r="AO428" s="120" t="str">
        <f>IFERROR(VLOOKUP(Table1[RespondentID],'All Data'!$A$3:$CO$999,90,FALSE),"unknown")</f>
        <v>Merrick, 11566</v>
      </c>
      <c r="AP428" s="120">
        <f>IFERROR(VLOOKUP(Table1[RespondentID],'All Data'!$A$3:$CO$999,91,FALSE),"unknown")</f>
        <v>0</v>
      </c>
      <c r="AQ428" s="120" t="str">
        <f>IFERROR(VLOOKUP(Table1[RespondentID],'All Data'!$A$3:$CO$999,92,FALSE),"unknown")</f>
        <v>Not Hispanic or Latino</v>
      </c>
      <c r="AR428" s="120" t="str">
        <f>IFERROR(VLOOKUP(Table1[RespondentID],'All Data'!$A$3:$CO$999,93,FALSE),"unknown")</f>
        <v>English</v>
      </c>
      <c r="AS428" s="120" t="str">
        <f>IFERROR(VLOOKUP(Table1[RespondentID],'All Data'!$A$3:$CW$999,94,FALSE),"unknown")</f>
        <v>Over $125,000</v>
      </c>
      <c r="AT428" s="120" t="str">
        <f>IFERROR(VLOOKUP(Table1[RespondentID],'All Data'!$A$3:$CW$999,95,FALSE),"unknown")</f>
        <v>Doctorate</v>
      </c>
      <c r="AU428" s="120">
        <f>IFERROR(VLOOKUP(Table1[RespondentID],'All Data'!$A$3:$CW$999,96,FALSE),"unknown")</f>
        <v>0</v>
      </c>
      <c r="AV428" s="120">
        <f>IFERROR(VLOOKUP(Table1[RespondentID],'All Data'!$A$3:$CW$999,97,FALSE),"unknown")</f>
        <v>0</v>
      </c>
      <c r="AW428" s="120" t="str">
        <f>IFERROR(VLOOKUP(Table1[RespondentID],'All Data'!$A$3:$CW$999,98,FALSE),"unknown")</f>
        <v>Private/Commercial</v>
      </c>
      <c r="AX428" s="120" t="str">
        <f>IFERROR(VLOOKUP(Table1[RespondentID],'All Data'!$A$3:$CW$999,99,FALSE),"unknown")</f>
        <v>Yes</v>
      </c>
    </row>
    <row r="429" spans="1:50">
      <c r="A429" s="128">
        <v>114087300174</v>
      </c>
      <c r="B429" s="122"/>
      <c r="C429" s="129"/>
      <c r="D429" s="129" t="s">
        <v>18</v>
      </c>
      <c r="E429" s="129"/>
      <c r="F429" s="129"/>
      <c r="G429" s="129"/>
      <c r="H429" s="129"/>
      <c r="I429" s="129" t="s">
        <v>23</v>
      </c>
      <c r="J429" s="129"/>
      <c r="K429" s="129"/>
      <c r="L429" s="129"/>
      <c r="M429" s="129"/>
      <c r="N429" s="129" t="s">
        <v>28</v>
      </c>
      <c r="O429" s="130"/>
      <c r="P429" s="131">
        <f t="shared" si="108"/>
        <v>3</v>
      </c>
      <c r="Q429" s="132">
        <f t="shared" si="109"/>
        <v>1</v>
      </c>
      <c r="R429" s="130"/>
      <c r="S429" s="131">
        <f t="shared" si="110"/>
        <v>0</v>
      </c>
      <c r="T429" s="131">
        <f t="shared" si="111"/>
        <v>0</v>
      </c>
      <c r="U429" s="131">
        <f t="shared" si="112"/>
        <v>1</v>
      </c>
      <c r="V429" s="127">
        <f t="shared" si="113"/>
        <v>0</v>
      </c>
      <c r="W429" s="127">
        <f t="shared" si="114"/>
        <v>0</v>
      </c>
      <c r="X429" s="127">
        <f t="shared" si="115"/>
        <v>0</v>
      </c>
      <c r="Y429" s="127">
        <f t="shared" si="116"/>
        <v>0</v>
      </c>
      <c r="Z429" s="127">
        <f t="shared" si="117"/>
        <v>1</v>
      </c>
      <c r="AA429" s="127">
        <f t="shared" si="118"/>
        <v>0</v>
      </c>
      <c r="AB429" s="127">
        <f t="shared" si="119"/>
        <v>0</v>
      </c>
      <c r="AC429" s="127">
        <f t="shared" si="120"/>
        <v>0</v>
      </c>
      <c r="AD429" s="127">
        <f t="shared" si="121"/>
        <v>0</v>
      </c>
      <c r="AE429" s="127">
        <f t="shared" si="122"/>
        <v>1</v>
      </c>
      <c r="AF429" s="130"/>
      <c r="AG429" s="130"/>
      <c r="AH429" s="131">
        <f t="shared" si="123"/>
        <v>3</v>
      </c>
      <c r="AI429" s="131">
        <f t="shared" si="124"/>
        <v>3</v>
      </c>
      <c r="AJ429" s="131" t="str">
        <f t="shared" si="125"/>
        <v>Correct</v>
      </c>
      <c r="AK429" s="130"/>
      <c r="AL429" s="120" t="str">
        <f>IFERROR(VLOOKUP(Table1[RespondentID],'All Data'!$A$3:$CO$999,87,FALSE),"unknown")</f>
        <v>Woman</v>
      </c>
      <c r="AM429" s="120">
        <f>IFERROR(VLOOKUP(Table1[RespondentID],'All Data'!$A$3:$CO$999,88,FALSE),"unknown")</f>
        <v>0</v>
      </c>
      <c r="AN429" s="120" t="str">
        <f>IFERROR(VLOOKUP(Table1[RespondentID],'All Data'!$A$3:$CO$999,89,FALSE),"unknown")</f>
        <v>Suffolk</v>
      </c>
      <c r="AO429" s="120" t="str">
        <f>IFERROR(VLOOKUP(Table1[RespondentID],'All Data'!$A$3:$CO$999,90,FALSE),"unknown")</f>
        <v>Bay Shore, 11706</v>
      </c>
      <c r="AP429" s="120">
        <f>IFERROR(VLOOKUP(Table1[RespondentID],'All Data'!$A$3:$CO$999,91,FALSE),"unknown")</f>
        <v>0</v>
      </c>
      <c r="AQ429" s="120" t="str">
        <f>IFERROR(VLOOKUP(Table1[RespondentID],'All Data'!$A$3:$CO$999,92,FALSE),"unknown")</f>
        <v>Hispanic or Latino</v>
      </c>
      <c r="AR429" s="120" t="str">
        <f>IFERROR(VLOOKUP(Table1[RespondentID],'All Data'!$A$3:$CO$999,93,FALSE),"unknown")</f>
        <v>English,Spanish</v>
      </c>
      <c r="AS429" s="120" t="str">
        <f>IFERROR(VLOOKUP(Table1[RespondentID],'All Data'!$A$3:$CW$999,94,FALSE),"unknown")</f>
        <v>$50,000 to $74,999</v>
      </c>
      <c r="AT429" s="120" t="str">
        <f>IFERROR(VLOOKUP(Table1[RespondentID],'All Data'!$A$3:$CW$999,95,FALSE),"unknown")</f>
        <v>College graduate</v>
      </c>
      <c r="AU429" s="120">
        <f>IFERROR(VLOOKUP(Table1[RespondentID],'All Data'!$A$3:$CW$999,96,FALSE),"unknown")</f>
        <v>0</v>
      </c>
      <c r="AV429" s="120" t="str">
        <f>IFERROR(VLOOKUP(Table1[RespondentID],'All Data'!$A$3:$CW$999,97,FALSE),"unknown")</f>
        <v>Yes</v>
      </c>
      <c r="AW429" s="120">
        <f>IFERROR(VLOOKUP(Table1[RespondentID],'All Data'!$A$3:$CW$999,98,FALSE),"unknown")</f>
        <v>0</v>
      </c>
      <c r="AX429" s="120" t="str">
        <f>IFERROR(VLOOKUP(Table1[RespondentID],'All Data'!$A$3:$CW$999,99,FALSE),"unknown")</f>
        <v>Yes</v>
      </c>
    </row>
    <row r="430" spans="1:50">
      <c r="A430" s="124">
        <v>114201599852</v>
      </c>
      <c r="B430" s="168"/>
      <c r="C430" s="169" t="s">
        <v>17</v>
      </c>
      <c r="D430" s="169"/>
      <c r="E430" s="169"/>
      <c r="F430" s="169"/>
      <c r="G430" s="169" t="s">
        <v>21</v>
      </c>
      <c r="H430" s="169"/>
      <c r="I430" s="169"/>
      <c r="J430" s="169"/>
      <c r="K430" s="169"/>
      <c r="L430" s="169"/>
      <c r="M430" s="169" t="s">
        <v>27</v>
      </c>
      <c r="N430" s="169"/>
      <c r="O430" s="169"/>
      <c r="P430" s="161">
        <f t="shared" ref="P430:P461" si="126">COUNTA(B430:N430)</f>
        <v>3</v>
      </c>
      <c r="Q430" s="170">
        <f t="shared" ref="Q430:Q461" si="127">3/P430</f>
        <v>1</v>
      </c>
      <c r="R430" s="161"/>
      <c r="S430" s="161">
        <f t="shared" ref="S430:S461" si="128">IF($P430&lt;3,IF($B430=$B$1,1,0),IF($B430=$B$1,$Q430,0))</f>
        <v>0</v>
      </c>
      <c r="T430" s="161">
        <f t="shared" ref="T430:T461" si="129">IF($P430&lt;3,IF($C430=$C$1,1,0),IF($C430=$C$1,$Q430,0))</f>
        <v>1</v>
      </c>
      <c r="U430" s="161">
        <f t="shared" ref="U430:U461" si="130">IF($P430&lt;3,IF($D430=$D$1,1,0),IF($D430=$D$1,$Q430,0))</f>
        <v>0</v>
      </c>
      <c r="V430" s="162">
        <f t="shared" ref="V430:V461" si="131">IF($P430&lt;3,IF($E430=$E$1,1,0),IF($E430=$E$1,$Q430,0))</f>
        <v>0</v>
      </c>
      <c r="W430" s="162">
        <f t="shared" ref="W430:W461" si="132">IF($P430&lt;3,IF($F430=$F$1,1,0),IF($F430=$F$1,$Q430,0))</f>
        <v>0</v>
      </c>
      <c r="X430" s="162">
        <f t="shared" ref="X430:X461" si="133">IF($P430&lt;3,IF($G430=$G$1,1,0),IF($G430=$G$1,$Q430,0))</f>
        <v>1</v>
      </c>
      <c r="Y430" s="162">
        <f t="shared" ref="Y430:Y461" si="134">IF($P430&lt;3,IF($H430=$H$1,1,0),IF($H430=$H$1,$Q430,0))</f>
        <v>0</v>
      </c>
      <c r="Z430" s="162">
        <f t="shared" ref="Z430:Z461" si="135">IF($P430&lt;3,IF($I430=$I$1,1,0),IF($I430=$I$1,$Q430,0))</f>
        <v>0</v>
      </c>
      <c r="AA430" s="162">
        <f t="shared" ref="AA430:AA461" si="136">IF($P430&lt;3,IF($J430=$J$1,1,0),IF($J430=$J$1,$Q430,0))</f>
        <v>0</v>
      </c>
      <c r="AB430" s="162">
        <f t="shared" ref="AB430:AB461" si="137">IF($P430&lt;3,IF($K430=$K$1,1,0),IF($K430=$K$1,$Q430,0))</f>
        <v>0</v>
      </c>
      <c r="AC430" s="162">
        <f t="shared" ref="AC430:AC461" si="138">IF($P430&lt;3,IF($L430=$L$1,1,0),IF($L430=$L$1,$Q430,0))</f>
        <v>0</v>
      </c>
      <c r="AD430" s="162">
        <f t="shared" ref="AD430:AD461" si="139">IF($P430&lt;3,IF($M430=$M$1,1,0),IF($M430=$M$1,$Q430,0))</f>
        <v>1</v>
      </c>
      <c r="AE430" s="162">
        <f t="shared" ref="AE430:AE461" si="140">IF($P430&lt;3,IF($N430=$N$1,1,0),IF($N430=$N$1,$Q430,0))</f>
        <v>0</v>
      </c>
      <c r="AF430" s="161"/>
      <c r="AG430" s="161"/>
      <c r="AH430" s="161">
        <f t="shared" ref="AH430:AH461" si="141">SUM(S430:AE430)</f>
        <v>3</v>
      </c>
      <c r="AI430" s="161">
        <f t="shared" ref="AI430:AI461" si="142">P430</f>
        <v>3</v>
      </c>
      <c r="AJ430" s="161" t="str">
        <f t="shared" ref="AJ430:AJ461" si="143">IF(AH430=AI430,"Correct",IF(AH430=3,"Correct","Wrong"))</f>
        <v>Correct</v>
      </c>
      <c r="AK430" s="124"/>
      <c r="AL430" s="120" t="str">
        <f>IFERROR(VLOOKUP(Table1[RespondentID],'All Data'!$A$3:$CO$999,87,FALSE),"unknown")</f>
        <v>Woman</v>
      </c>
      <c r="AM430" s="120">
        <f>IFERROR(VLOOKUP(Table1[RespondentID],'All Data'!$A$3:$CO$999,88,FALSE),"unknown")</f>
        <v>66</v>
      </c>
      <c r="AN430" s="120" t="str">
        <f>IFERROR(VLOOKUP(Table1[RespondentID],'All Data'!$A$3:$CO$999,89,FALSE),"unknown")</f>
        <v>Suffolk</v>
      </c>
      <c r="AO430" s="120" t="str">
        <f>IFERROR(VLOOKUP(Table1[RespondentID],'All Data'!$A$3:$CO$999,90,FALSE),"unknown")</f>
        <v>Centerport, 11721</v>
      </c>
      <c r="AP430" s="120" t="str">
        <f>IFERROR(VLOOKUP(Table1[RespondentID],'All Data'!$A$3:$CO$999,91,FALSE),"unknown")</f>
        <v>White</v>
      </c>
      <c r="AQ430" s="120" t="str">
        <f>IFERROR(VLOOKUP(Table1[RespondentID],'All Data'!$A$3:$CO$999,92,FALSE),"unknown")</f>
        <v>Not Hispanic or Latino</v>
      </c>
      <c r="AR430" s="120" t="str">
        <f>IFERROR(VLOOKUP(Table1[RespondentID],'All Data'!$A$3:$CO$999,93,FALSE),"unknown")</f>
        <v>English</v>
      </c>
      <c r="AS430" s="120" t="str">
        <f>IFERROR(VLOOKUP(Table1[RespondentID],'All Data'!$A$3:$CW$999,94,FALSE),"unknown")</f>
        <v>Over $125,000</v>
      </c>
      <c r="AT430" s="120" t="str">
        <f>IFERROR(VLOOKUP(Table1[RespondentID],'All Data'!$A$3:$CW$999,95,FALSE),"unknown")</f>
        <v>Graduate school</v>
      </c>
      <c r="AU430" s="120" t="str">
        <f>IFERROR(VLOOKUP(Table1[RespondentID],'All Data'!$A$3:$CW$999,96,FALSE),"unknown")</f>
        <v>Employed for wages</v>
      </c>
      <c r="AV430" s="120" t="str">
        <f>IFERROR(VLOOKUP(Table1[RespondentID],'All Data'!$A$3:$CW$999,97,FALSE),"unknown")</f>
        <v>Yes</v>
      </c>
      <c r="AW430" s="120" t="str">
        <f>IFERROR(VLOOKUP(Table1[RespondentID],'All Data'!$A$3:$CW$999,98,FALSE),"unknown")</f>
        <v>Private/Commercial</v>
      </c>
      <c r="AX430" s="120" t="str">
        <f>IFERROR(VLOOKUP(Table1[RespondentID],'All Data'!$A$3:$CW$999,99,FALSE),"unknown")</f>
        <v>Yes</v>
      </c>
    </row>
    <row r="431" spans="1:50">
      <c r="A431" s="124">
        <v>114187605562</v>
      </c>
      <c r="B431" s="168"/>
      <c r="C431" s="169"/>
      <c r="D431" s="169"/>
      <c r="E431" s="169" t="s">
        <v>19</v>
      </c>
      <c r="F431" s="169"/>
      <c r="G431" s="169"/>
      <c r="H431" s="169"/>
      <c r="I431" s="169"/>
      <c r="J431" s="169"/>
      <c r="K431" s="169"/>
      <c r="L431" s="169"/>
      <c r="M431" s="169"/>
      <c r="N431" s="169"/>
      <c r="O431" s="169"/>
      <c r="P431" s="161">
        <f t="shared" si="126"/>
        <v>1</v>
      </c>
      <c r="Q431" s="170">
        <f t="shared" si="127"/>
        <v>3</v>
      </c>
      <c r="R431" s="161"/>
      <c r="S431" s="161">
        <f t="shared" si="128"/>
        <v>0</v>
      </c>
      <c r="T431" s="161">
        <f t="shared" si="129"/>
        <v>0</v>
      </c>
      <c r="U431" s="161">
        <f t="shared" si="130"/>
        <v>0</v>
      </c>
      <c r="V431" s="162">
        <f t="shared" si="131"/>
        <v>1</v>
      </c>
      <c r="W431" s="162">
        <f t="shared" si="132"/>
        <v>0</v>
      </c>
      <c r="X431" s="162">
        <f t="shared" si="133"/>
        <v>0</v>
      </c>
      <c r="Y431" s="162">
        <f t="shared" si="134"/>
        <v>0</v>
      </c>
      <c r="Z431" s="162">
        <f t="shared" si="135"/>
        <v>0</v>
      </c>
      <c r="AA431" s="162">
        <f t="shared" si="136"/>
        <v>0</v>
      </c>
      <c r="AB431" s="162">
        <f t="shared" si="137"/>
        <v>0</v>
      </c>
      <c r="AC431" s="162">
        <f t="shared" si="138"/>
        <v>0</v>
      </c>
      <c r="AD431" s="162">
        <f t="shared" si="139"/>
        <v>0</v>
      </c>
      <c r="AE431" s="162">
        <f t="shared" si="140"/>
        <v>0</v>
      </c>
      <c r="AF431" s="161"/>
      <c r="AG431" s="161"/>
      <c r="AH431" s="161">
        <f t="shared" si="141"/>
        <v>1</v>
      </c>
      <c r="AI431" s="161">
        <f t="shared" si="142"/>
        <v>1</v>
      </c>
      <c r="AJ431" s="161" t="str">
        <f t="shared" si="143"/>
        <v>Correct</v>
      </c>
      <c r="AK431" s="124"/>
      <c r="AL431" s="120" t="str">
        <f>IFERROR(VLOOKUP(Table1[RespondentID],'All Data'!$A$3:$CO$999,87,FALSE),"unknown")</f>
        <v>Man</v>
      </c>
      <c r="AM431" s="120">
        <f>IFERROR(VLOOKUP(Table1[RespondentID],'All Data'!$A$3:$CO$999,88,FALSE),"unknown")</f>
        <v>53</v>
      </c>
      <c r="AN431" s="120" t="str">
        <f>IFERROR(VLOOKUP(Table1[RespondentID],'All Data'!$A$3:$CO$999,89,FALSE),"unknown")</f>
        <v>Nassau</v>
      </c>
      <c r="AO431" s="120" t="str">
        <f>IFERROR(VLOOKUP(Table1[RespondentID],'All Data'!$A$3:$CO$999,90,FALSE),"unknown")</f>
        <v>Merrick, 11566</v>
      </c>
      <c r="AP431" s="120" t="str">
        <f>IFERROR(VLOOKUP(Table1[RespondentID],'All Data'!$A$3:$CO$999,91,FALSE),"unknown")</f>
        <v>White</v>
      </c>
      <c r="AQ431" s="120" t="str">
        <f>IFERROR(VLOOKUP(Table1[RespondentID],'All Data'!$A$3:$CO$999,92,FALSE),"unknown")</f>
        <v>Not Hispanic or Latino</v>
      </c>
      <c r="AR431" s="120" t="str">
        <f>IFERROR(VLOOKUP(Table1[RespondentID],'All Data'!$A$3:$CO$999,93,FALSE),"unknown")</f>
        <v>English</v>
      </c>
      <c r="AS431" s="120" t="str">
        <f>IFERROR(VLOOKUP(Table1[RespondentID],'All Data'!$A$3:$CW$999,94,FALSE),"unknown")</f>
        <v>Over $125,000</v>
      </c>
      <c r="AT431" s="120" t="str">
        <f>IFERROR(VLOOKUP(Table1[RespondentID],'All Data'!$A$3:$CW$999,95,FALSE),"unknown")</f>
        <v>Doctorate</v>
      </c>
      <c r="AU431" s="120" t="str">
        <f>IFERROR(VLOOKUP(Table1[RespondentID],'All Data'!$A$3:$CW$999,96,FALSE),"unknown")</f>
        <v>Employed for wages</v>
      </c>
      <c r="AV431" s="120" t="str">
        <f>IFERROR(VLOOKUP(Table1[RespondentID],'All Data'!$A$3:$CW$999,97,FALSE),"unknown")</f>
        <v>Yes</v>
      </c>
      <c r="AW431" s="120" t="str">
        <f>IFERROR(VLOOKUP(Table1[RespondentID],'All Data'!$A$3:$CW$999,98,FALSE),"unknown")</f>
        <v>Private/Commercial</v>
      </c>
      <c r="AX431" s="120" t="str">
        <f>IFERROR(VLOOKUP(Table1[RespondentID],'All Data'!$A$3:$CW$999,99,FALSE),"unknown")</f>
        <v>Yes</v>
      </c>
    </row>
    <row r="432" spans="1:50">
      <c r="A432" s="124">
        <v>114178252865</v>
      </c>
      <c r="B432" s="168"/>
      <c r="C432" s="169"/>
      <c r="D432" s="169"/>
      <c r="E432" s="169"/>
      <c r="F432" s="169"/>
      <c r="G432" s="169"/>
      <c r="H432" s="169"/>
      <c r="I432" s="169"/>
      <c r="J432" s="169"/>
      <c r="K432" s="169"/>
      <c r="L432" s="169"/>
      <c r="M432" s="169"/>
      <c r="N432" s="169"/>
      <c r="O432" s="169"/>
      <c r="P432" s="161">
        <f t="shared" si="126"/>
        <v>0</v>
      </c>
      <c r="Q432" s="170" t="e">
        <f t="shared" si="127"/>
        <v>#DIV/0!</v>
      </c>
      <c r="R432" s="161"/>
      <c r="S432" s="161">
        <f t="shared" si="128"/>
        <v>0</v>
      </c>
      <c r="T432" s="161">
        <f t="shared" si="129"/>
        <v>0</v>
      </c>
      <c r="U432" s="161">
        <f t="shared" si="130"/>
        <v>0</v>
      </c>
      <c r="V432" s="162">
        <f t="shared" si="131"/>
        <v>0</v>
      </c>
      <c r="W432" s="162">
        <f t="shared" si="132"/>
        <v>0</v>
      </c>
      <c r="X432" s="162">
        <f t="shared" si="133"/>
        <v>0</v>
      </c>
      <c r="Y432" s="162">
        <f t="shared" si="134"/>
        <v>0</v>
      </c>
      <c r="Z432" s="162">
        <f t="shared" si="135"/>
        <v>0</v>
      </c>
      <c r="AA432" s="162">
        <f t="shared" si="136"/>
        <v>0</v>
      </c>
      <c r="AB432" s="162">
        <f t="shared" si="137"/>
        <v>0</v>
      </c>
      <c r="AC432" s="162">
        <f t="shared" si="138"/>
        <v>0</v>
      </c>
      <c r="AD432" s="162">
        <f t="shared" si="139"/>
        <v>0</v>
      </c>
      <c r="AE432" s="162">
        <f t="shared" si="140"/>
        <v>0</v>
      </c>
      <c r="AF432" s="161"/>
      <c r="AG432" s="161"/>
      <c r="AH432" s="161">
        <f t="shared" si="141"/>
        <v>0</v>
      </c>
      <c r="AI432" s="161">
        <f t="shared" si="142"/>
        <v>0</v>
      </c>
      <c r="AJ432" s="161" t="str">
        <f t="shared" si="143"/>
        <v>Correct</v>
      </c>
      <c r="AK432" s="124"/>
      <c r="AL432" s="120">
        <f>IFERROR(VLOOKUP(Table1[RespondentID],'All Data'!$A$3:$CO$999,87,FALSE),"unknown")</f>
        <v>0</v>
      </c>
      <c r="AM432" s="120">
        <f>IFERROR(VLOOKUP(Table1[RespondentID],'All Data'!$A$3:$CO$999,88,FALSE),"unknown")</f>
        <v>15</v>
      </c>
      <c r="AN432" s="120">
        <f>IFERROR(VLOOKUP(Table1[RespondentID],'All Data'!$A$3:$CO$999,89,FALSE),"unknown")</f>
        <v>0</v>
      </c>
      <c r="AO432" s="120">
        <f>IFERROR(VLOOKUP(Table1[RespondentID],'All Data'!$A$3:$CO$999,90,FALSE),"unknown")</f>
        <v>0</v>
      </c>
      <c r="AP432" s="120">
        <f>IFERROR(VLOOKUP(Table1[RespondentID],'All Data'!$A$3:$CO$999,91,FALSE),"unknown")</f>
        <v>0</v>
      </c>
      <c r="AQ432" s="120">
        <f>IFERROR(VLOOKUP(Table1[RespondentID],'All Data'!$A$3:$CO$999,92,FALSE),"unknown")</f>
        <v>0</v>
      </c>
      <c r="AR432" s="120">
        <f>IFERROR(VLOOKUP(Table1[RespondentID],'All Data'!$A$3:$CO$999,93,FALSE),"unknown")</f>
        <v>0</v>
      </c>
      <c r="AS432" s="120">
        <f>IFERROR(VLOOKUP(Table1[RespondentID],'All Data'!$A$3:$CW$999,94,FALSE),"unknown")</f>
        <v>0</v>
      </c>
      <c r="AT432" s="120">
        <f>IFERROR(VLOOKUP(Table1[RespondentID],'All Data'!$A$3:$CW$999,95,FALSE),"unknown")</f>
        <v>0</v>
      </c>
      <c r="AU432" s="120">
        <f>IFERROR(VLOOKUP(Table1[RespondentID],'All Data'!$A$3:$CW$999,96,FALSE),"unknown")</f>
        <v>0</v>
      </c>
      <c r="AV432" s="120">
        <f>IFERROR(VLOOKUP(Table1[RespondentID],'All Data'!$A$3:$CW$999,97,FALSE),"unknown")</f>
        <v>0</v>
      </c>
      <c r="AW432" s="120">
        <f>IFERROR(VLOOKUP(Table1[RespondentID],'All Data'!$A$3:$CW$999,98,FALSE),"unknown")</f>
        <v>0</v>
      </c>
      <c r="AX432" s="120">
        <f>IFERROR(VLOOKUP(Table1[RespondentID],'All Data'!$A$3:$CW$999,99,FALSE),"unknown")</f>
        <v>0</v>
      </c>
    </row>
    <row r="433" spans="1:50">
      <c r="A433" s="124">
        <v>114155044650</v>
      </c>
      <c r="B433" s="168"/>
      <c r="C433" s="169"/>
      <c r="D433" s="169"/>
      <c r="E433" s="169"/>
      <c r="F433" s="169"/>
      <c r="G433" s="169"/>
      <c r="H433" s="169"/>
      <c r="I433" s="169" t="s">
        <v>23</v>
      </c>
      <c r="J433" s="169"/>
      <c r="K433" s="169"/>
      <c r="L433" s="169"/>
      <c r="M433" s="169"/>
      <c r="N433" s="169"/>
      <c r="O433" s="169"/>
      <c r="P433" s="161">
        <f t="shared" si="126"/>
        <v>1</v>
      </c>
      <c r="Q433" s="170">
        <f t="shared" si="127"/>
        <v>3</v>
      </c>
      <c r="R433" s="161"/>
      <c r="S433" s="161">
        <f t="shared" si="128"/>
        <v>0</v>
      </c>
      <c r="T433" s="161">
        <f t="shared" si="129"/>
        <v>0</v>
      </c>
      <c r="U433" s="161">
        <f t="shared" si="130"/>
        <v>0</v>
      </c>
      <c r="V433" s="162">
        <f t="shared" si="131"/>
        <v>0</v>
      </c>
      <c r="W433" s="162">
        <f t="shared" si="132"/>
        <v>0</v>
      </c>
      <c r="X433" s="162">
        <f t="shared" si="133"/>
        <v>0</v>
      </c>
      <c r="Y433" s="162">
        <f t="shared" si="134"/>
        <v>0</v>
      </c>
      <c r="Z433" s="162">
        <f t="shared" si="135"/>
        <v>1</v>
      </c>
      <c r="AA433" s="162">
        <f t="shared" si="136"/>
        <v>0</v>
      </c>
      <c r="AB433" s="162">
        <f t="shared" si="137"/>
        <v>0</v>
      </c>
      <c r="AC433" s="162">
        <f t="shared" si="138"/>
        <v>0</v>
      </c>
      <c r="AD433" s="162">
        <f t="shared" si="139"/>
        <v>0</v>
      </c>
      <c r="AE433" s="162">
        <f t="shared" si="140"/>
        <v>0</v>
      </c>
      <c r="AF433" s="161"/>
      <c r="AG433" s="161"/>
      <c r="AH433" s="161">
        <f t="shared" si="141"/>
        <v>1</v>
      </c>
      <c r="AI433" s="161">
        <f t="shared" si="142"/>
        <v>1</v>
      </c>
      <c r="AJ433" s="161" t="str">
        <f t="shared" si="143"/>
        <v>Correct</v>
      </c>
      <c r="AK433" s="124"/>
      <c r="AL433" s="120" t="str">
        <f>IFERROR(VLOOKUP(Table1[RespondentID],'All Data'!$A$3:$CO$999,87,FALSE),"unknown")</f>
        <v>Woman</v>
      </c>
      <c r="AM433" s="120">
        <f>IFERROR(VLOOKUP(Table1[RespondentID],'All Data'!$A$3:$CO$999,88,FALSE),"unknown")</f>
        <v>66</v>
      </c>
      <c r="AN433" s="120" t="str">
        <f>IFERROR(VLOOKUP(Table1[RespondentID],'All Data'!$A$3:$CO$999,89,FALSE),"unknown")</f>
        <v>Nassau</v>
      </c>
      <c r="AO433" s="120" t="str">
        <f>IFERROR(VLOOKUP(Table1[RespondentID],'All Data'!$A$3:$CO$999,90,FALSE),"unknown")</f>
        <v>Hempstead, 11550</v>
      </c>
      <c r="AP433" s="120">
        <f>IFERROR(VLOOKUP(Table1[RespondentID],'All Data'!$A$3:$CO$999,91,FALSE),"unknown")</f>
        <v>0</v>
      </c>
      <c r="AQ433" s="120" t="str">
        <f>IFERROR(VLOOKUP(Table1[RespondentID],'All Data'!$A$3:$CO$999,92,FALSE),"unknown")</f>
        <v>Hispanic or Latino</v>
      </c>
      <c r="AR433" s="120" t="str">
        <f>IFERROR(VLOOKUP(Table1[RespondentID],'All Data'!$A$3:$CO$999,93,FALSE),"unknown")</f>
        <v>Spanish</v>
      </c>
      <c r="AS433" s="120" t="str">
        <f>IFERROR(VLOOKUP(Table1[RespondentID],'All Data'!$A$3:$CW$999,94,FALSE),"unknown")</f>
        <v>$20,000 to $34,999</v>
      </c>
      <c r="AT433" s="120" t="str">
        <f>IFERROR(VLOOKUP(Table1[RespondentID],'All Data'!$A$3:$CW$999,95,FALSE),"unknown")</f>
        <v>K-8 grade</v>
      </c>
      <c r="AU433" s="120" t="str">
        <f>IFERROR(VLOOKUP(Table1[RespondentID],'All Data'!$A$3:$CW$999,96,FALSE),"unknown")</f>
        <v>Out of work and looking for work</v>
      </c>
      <c r="AV433" s="120" t="str">
        <f>IFERROR(VLOOKUP(Table1[RespondentID],'All Data'!$A$3:$CW$999,97,FALSE),"unknown")</f>
        <v>No</v>
      </c>
      <c r="AW433" s="120">
        <f>IFERROR(VLOOKUP(Table1[RespondentID],'All Data'!$A$3:$CW$999,98,FALSE),"unknown")</f>
        <v>0</v>
      </c>
      <c r="AX433" s="120" t="str">
        <f>IFERROR(VLOOKUP(Table1[RespondentID],'All Data'!$A$3:$CW$999,99,FALSE),"unknown")</f>
        <v>No</v>
      </c>
    </row>
    <row r="434" spans="1:50">
      <c r="A434" s="124">
        <v>114138224772</v>
      </c>
      <c r="B434" s="168"/>
      <c r="C434" s="169"/>
      <c r="D434" s="169"/>
      <c r="E434" s="169" t="s">
        <v>19</v>
      </c>
      <c r="F434" s="169"/>
      <c r="G434" s="169"/>
      <c r="H434" s="169"/>
      <c r="I434" s="169"/>
      <c r="J434" s="169"/>
      <c r="K434" s="169"/>
      <c r="L434" s="169" t="s">
        <v>26</v>
      </c>
      <c r="M434" s="169"/>
      <c r="N434" s="169"/>
      <c r="O434" s="169"/>
      <c r="P434" s="161">
        <f t="shared" si="126"/>
        <v>2</v>
      </c>
      <c r="Q434" s="170">
        <f t="shared" si="127"/>
        <v>1.5</v>
      </c>
      <c r="R434" s="161"/>
      <c r="S434" s="161">
        <f t="shared" si="128"/>
        <v>0</v>
      </c>
      <c r="T434" s="161">
        <f t="shared" si="129"/>
        <v>0</v>
      </c>
      <c r="U434" s="161">
        <f t="shared" si="130"/>
        <v>0</v>
      </c>
      <c r="V434" s="162">
        <f t="shared" si="131"/>
        <v>1</v>
      </c>
      <c r="W434" s="162">
        <f t="shared" si="132"/>
        <v>0</v>
      </c>
      <c r="X434" s="162">
        <f t="shared" si="133"/>
        <v>0</v>
      </c>
      <c r="Y434" s="162">
        <f t="shared" si="134"/>
        <v>0</v>
      </c>
      <c r="Z434" s="162">
        <f t="shared" si="135"/>
        <v>0</v>
      </c>
      <c r="AA434" s="162">
        <f t="shared" si="136"/>
        <v>0</v>
      </c>
      <c r="AB434" s="162">
        <f t="shared" si="137"/>
        <v>0</v>
      </c>
      <c r="AC434" s="162">
        <f t="shared" si="138"/>
        <v>1</v>
      </c>
      <c r="AD434" s="162">
        <f t="shared" si="139"/>
        <v>0</v>
      </c>
      <c r="AE434" s="162">
        <f t="shared" si="140"/>
        <v>0</v>
      </c>
      <c r="AF434" s="161"/>
      <c r="AG434" s="161"/>
      <c r="AH434" s="161">
        <f t="shared" si="141"/>
        <v>2</v>
      </c>
      <c r="AI434" s="161">
        <f t="shared" si="142"/>
        <v>2</v>
      </c>
      <c r="AJ434" s="161" t="str">
        <f t="shared" si="143"/>
        <v>Correct</v>
      </c>
      <c r="AK434" s="124"/>
      <c r="AL434" s="120" t="str">
        <f>IFERROR(VLOOKUP(Table1[RespondentID],'All Data'!$A$3:$CO$999,87,FALSE),"unknown")</f>
        <v>Man</v>
      </c>
      <c r="AM434" s="120">
        <f>IFERROR(VLOOKUP(Table1[RespondentID],'All Data'!$A$3:$CO$999,88,FALSE),"unknown")</f>
        <v>19</v>
      </c>
      <c r="AN434" s="120" t="str">
        <f>IFERROR(VLOOKUP(Table1[RespondentID],'All Data'!$A$3:$CO$999,89,FALSE),"unknown")</f>
        <v>Nassau</v>
      </c>
      <c r="AO434" s="120" t="str">
        <f>IFERROR(VLOOKUP(Table1[RespondentID],'All Data'!$A$3:$CO$999,90,FALSE),"unknown")</f>
        <v>Plainview, 11803</v>
      </c>
      <c r="AP434" s="120">
        <f>IFERROR(VLOOKUP(Table1[RespondentID],'All Data'!$A$3:$CO$999,91,FALSE),"unknown")</f>
        <v>0</v>
      </c>
      <c r="AQ434" s="120" t="str">
        <f>IFERROR(VLOOKUP(Table1[RespondentID],'All Data'!$A$3:$CO$999,92,FALSE),"unknown")</f>
        <v>Hispanic or Latino</v>
      </c>
      <c r="AR434" s="120" t="str">
        <f>IFERROR(VLOOKUP(Table1[RespondentID],'All Data'!$A$3:$CO$999,93,FALSE),"unknown")</f>
        <v>English</v>
      </c>
      <c r="AS434" s="120" t="str">
        <f>IFERROR(VLOOKUP(Table1[RespondentID],'All Data'!$A$3:$CW$999,94,FALSE),"unknown")</f>
        <v>$20,000 to $34,999</v>
      </c>
      <c r="AT434" s="120" t="str">
        <f>IFERROR(VLOOKUP(Table1[RespondentID],'All Data'!$A$3:$CW$999,95,FALSE),"unknown")</f>
        <v>Some college</v>
      </c>
      <c r="AU434" s="120" t="str">
        <f>IFERROR(VLOOKUP(Table1[RespondentID],'All Data'!$A$3:$CW$999,96,FALSE),"unknown")</f>
        <v>Employed for wages</v>
      </c>
      <c r="AV434" s="120" t="str">
        <f>IFERROR(VLOOKUP(Table1[RespondentID],'All Data'!$A$3:$CW$999,97,FALSE),"unknown")</f>
        <v>Yes</v>
      </c>
      <c r="AW434" s="120" t="str">
        <f>IFERROR(VLOOKUP(Table1[RespondentID],'All Data'!$A$3:$CW$999,98,FALSE),"unknown")</f>
        <v>Private/Commercial</v>
      </c>
      <c r="AX434" s="120" t="str">
        <f>IFERROR(VLOOKUP(Table1[RespondentID],'All Data'!$A$3:$CW$999,99,FALSE),"unknown")</f>
        <v>Yes</v>
      </c>
    </row>
    <row r="435" spans="1:50">
      <c r="A435" s="124">
        <v>114137567525</v>
      </c>
      <c r="B435" s="168"/>
      <c r="C435" s="169"/>
      <c r="D435" s="169"/>
      <c r="E435" s="169"/>
      <c r="F435" s="169"/>
      <c r="G435" s="169"/>
      <c r="H435" s="169"/>
      <c r="I435" s="169"/>
      <c r="J435" s="169"/>
      <c r="K435" s="169"/>
      <c r="L435" s="169"/>
      <c r="M435" s="169"/>
      <c r="N435" s="169"/>
      <c r="O435" s="169"/>
      <c r="P435" s="161">
        <f t="shared" si="126"/>
        <v>0</v>
      </c>
      <c r="Q435" s="170" t="e">
        <f t="shared" si="127"/>
        <v>#DIV/0!</v>
      </c>
      <c r="R435" s="161"/>
      <c r="S435" s="161">
        <f t="shared" si="128"/>
        <v>0</v>
      </c>
      <c r="T435" s="161">
        <f t="shared" si="129"/>
        <v>0</v>
      </c>
      <c r="U435" s="161">
        <f t="shared" si="130"/>
        <v>0</v>
      </c>
      <c r="V435" s="162">
        <f t="shared" si="131"/>
        <v>0</v>
      </c>
      <c r="W435" s="162">
        <f t="shared" si="132"/>
        <v>0</v>
      </c>
      <c r="X435" s="162">
        <f t="shared" si="133"/>
        <v>0</v>
      </c>
      <c r="Y435" s="162">
        <f t="shared" si="134"/>
        <v>0</v>
      </c>
      <c r="Z435" s="162">
        <f t="shared" si="135"/>
        <v>0</v>
      </c>
      <c r="AA435" s="162">
        <f t="shared" si="136"/>
        <v>0</v>
      </c>
      <c r="AB435" s="162">
        <f t="shared" si="137"/>
        <v>0</v>
      </c>
      <c r="AC435" s="162">
        <f t="shared" si="138"/>
        <v>0</v>
      </c>
      <c r="AD435" s="162">
        <f t="shared" si="139"/>
        <v>0</v>
      </c>
      <c r="AE435" s="162">
        <f t="shared" si="140"/>
        <v>0</v>
      </c>
      <c r="AF435" s="161"/>
      <c r="AG435" s="161"/>
      <c r="AH435" s="161">
        <f t="shared" si="141"/>
        <v>0</v>
      </c>
      <c r="AI435" s="161">
        <f t="shared" si="142"/>
        <v>0</v>
      </c>
      <c r="AJ435" s="161" t="str">
        <f t="shared" si="143"/>
        <v>Correct</v>
      </c>
      <c r="AK435" s="124"/>
      <c r="AL435" s="120">
        <f>IFERROR(VLOOKUP(Table1[RespondentID],'All Data'!$A$3:$CO$999,87,FALSE),"unknown")</f>
        <v>0</v>
      </c>
      <c r="AM435" s="120">
        <f>IFERROR(VLOOKUP(Table1[RespondentID],'All Data'!$A$3:$CO$999,88,FALSE),"unknown")</f>
        <v>0</v>
      </c>
      <c r="AN435" s="120">
        <f>IFERROR(VLOOKUP(Table1[RespondentID],'All Data'!$A$3:$CO$999,89,FALSE),"unknown")</f>
        <v>0</v>
      </c>
      <c r="AO435" s="120" t="str">
        <f>IFERROR(VLOOKUP(Table1[RespondentID],'All Data'!$A$3:$CO$999,90,FALSE),"unknown")</f>
        <v>Atlantic Beach, 11509</v>
      </c>
      <c r="AP435" s="120">
        <f>IFERROR(VLOOKUP(Table1[RespondentID],'All Data'!$A$3:$CO$999,91,FALSE),"unknown")</f>
        <v>0</v>
      </c>
      <c r="AQ435" s="120">
        <f>IFERROR(VLOOKUP(Table1[RespondentID],'All Data'!$A$3:$CO$999,92,FALSE),"unknown")</f>
        <v>0</v>
      </c>
      <c r="AR435" s="120">
        <f>IFERROR(VLOOKUP(Table1[RespondentID],'All Data'!$A$3:$CO$999,93,FALSE),"unknown")</f>
        <v>0</v>
      </c>
      <c r="AS435" s="120">
        <f>IFERROR(VLOOKUP(Table1[RespondentID],'All Data'!$A$3:$CW$999,94,FALSE),"unknown")</f>
        <v>0</v>
      </c>
      <c r="AT435" s="120">
        <f>IFERROR(VLOOKUP(Table1[RespondentID],'All Data'!$A$3:$CW$999,95,FALSE),"unknown")</f>
        <v>0</v>
      </c>
      <c r="AU435" s="120">
        <f>IFERROR(VLOOKUP(Table1[RespondentID],'All Data'!$A$3:$CW$999,96,FALSE),"unknown")</f>
        <v>0</v>
      </c>
      <c r="AV435" s="120">
        <f>IFERROR(VLOOKUP(Table1[RespondentID],'All Data'!$A$3:$CW$999,97,FALSE),"unknown")</f>
        <v>0</v>
      </c>
      <c r="AW435" s="120">
        <f>IFERROR(VLOOKUP(Table1[RespondentID],'All Data'!$A$3:$CW$999,98,FALSE),"unknown")</f>
        <v>0</v>
      </c>
      <c r="AX435" s="120">
        <f>IFERROR(VLOOKUP(Table1[RespondentID],'All Data'!$A$3:$CW$999,99,FALSE),"unknown")</f>
        <v>0</v>
      </c>
    </row>
    <row r="436" spans="1:50">
      <c r="A436" s="124">
        <v>114131712001</v>
      </c>
      <c r="B436" s="168" t="s">
        <v>16</v>
      </c>
      <c r="C436" s="169"/>
      <c r="D436" s="169"/>
      <c r="E436" s="169" t="s">
        <v>19</v>
      </c>
      <c r="F436" s="169"/>
      <c r="G436" s="169"/>
      <c r="H436" s="169"/>
      <c r="I436" s="169" t="s">
        <v>23</v>
      </c>
      <c r="J436" s="169"/>
      <c r="K436" s="169" t="s">
        <v>25</v>
      </c>
      <c r="L436" s="169"/>
      <c r="M436" s="169"/>
      <c r="N436" s="169" t="s">
        <v>28</v>
      </c>
      <c r="O436" s="169"/>
      <c r="P436" s="161">
        <f t="shared" si="126"/>
        <v>5</v>
      </c>
      <c r="Q436" s="170">
        <f t="shared" si="127"/>
        <v>0.6</v>
      </c>
      <c r="R436" s="161"/>
      <c r="S436" s="161">
        <f t="shared" si="128"/>
        <v>0.6</v>
      </c>
      <c r="T436" s="161">
        <f t="shared" si="129"/>
        <v>0</v>
      </c>
      <c r="U436" s="161">
        <f t="shared" si="130"/>
        <v>0</v>
      </c>
      <c r="V436" s="162">
        <f t="shared" si="131"/>
        <v>0.6</v>
      </c>
      <c r="W436" s="162">
        <f t="shared" si="132"/>
        <v>0</v>
      </c>
      <c r="X436" s="162">
        <f t="shared" si="133"/>
        <v>0</v>
      </c>
      <c r="Y436" s="162">
        <f t="shared" si="134"/>
        <v>0</v>
      </c>
      <c r="Z436" s="162">
        <f t="shared" si="135"/>
        <v>0.6</v>
      </c>
      <c r="AA436" s="162">
        <f t="shared" si="136"/>
        <v>0</v>
      </c>
      <c r="AB436" s="162">
        <f t="shared" si="137"/>
        <v>0.6</v>
      </c>
      <c r="AC436" s="162">
        <f t="shared" si="138"/>
        <v>0</v>
      </c>
      <c r="AD436" s="162">
        <f t="shared" si="139"/>
        <v>0</v>
      </c>
      <c r="AE436" s="162">
        <f t="shared" si="140"/>
        <v>0.6</v>
      </c>
      <c r="AF436" s="161"/>
      <c r="AG436" s="161"/>
      <c r="AH436" s="161">
        <f t="shared" si="141"/>
        <v>3</v>
      </c>
      <c r="AI436" s="161">
        <f t="shared" si="142"/>
        <v>5</v>
      </c>
      <c r="AJ436" s="161" t="str">
        <f t="shared" si="143"/>
        <v>Correct</v>
      </c>
      <c r="AK436" s="124"/>
      <c r="AL436" s="120" t="str">
        <f>IFERROR(VLOOKUP(Table1[RespondentID],'All Data'!$A$3:$CO$999,87,FALSE),"unknown")</f>
        <v>Woman</v>
      </c>
      <c r="AM436" s="120">
        <f>IFERROR(VLOOKUP(Table1[RespondentID],'All Data'!$A$3:$CO$999,88,FALSE),"unknown")</f>
        <v>23</v>
      </c>
      <c r="AN436" s="120" t="str">
        <f>IFERROR(VLOOKUP(Table1[RespondentID],'All Data'!$A$3:$CO$999,89,FALSE),"unknown")</f>
        <v>Nassau</v>
      </c>
      <c r="AO436" s="120" t="str">
        <f>IFERROR(VLOOKUP(Table1[RespondentID],'All Data'!$A$3:$CO$999,90,FALSE),"unknown")</f>
        <v>Valley Stream, 11580</v>
      </c>
      <c r="AP436" s="120">
        <f>IFERROR(VLOOKUP(Table1[RespondentID],'All Data'!$A$3:$CO$999,91,FALSE),"unknown")</f>
        <v>0</v>
      </c>
      <c r="AQ436" s="120">
        <f>IFERROR(VLOOKUP(Table1[RespondentID],'All Data'!$A$3:$CO$999,92,FALSE),"unknown")</f>
        <v>0</v>
      </c>
      <c r="AR436" s="120">
        <f>IFERROR(VLOOKUP(Table1[RespondentID],'All Data'!$A$3:$CO$999,93,FALSE),"unknown")</f>
        <v>0</v>
      </c>
      <c r="AS436" s="120">
        <f>IFERROR(VLOOKUP(Table1[RespondentID],'All Data'!$A$3:$CW$999,94,FALSE),"unknown")</f>
        <v>0</v>
      </c>
      <c r="AT436" s="120">
        <f>IFERROR(VLOOKUP(Table1[RespondentID],'All Data'!$A$3:$CW$999,95,FALSE),"unknown")</f>
        <v>0</v>
      </c>
      <c r="AU436" s="120">
        <f>IFERROR(VLOOKUP(Table1[RespondentID],'All Data'!$A$3:$CW$999,96,FALSE),"unknown")</f>
        <v>0</v>
      </c>
      <c r="AV436" s="120">
        <f>IFERROR(VLOOKUP(Table1[RespondentID],'All Data'!$A$3:$CW$999,97,FALSE),"unknown")</f>
        <v>0</v>
      </c>
      <c r="AW436" s="120">
        <f>IFERROR(VLOOKUP(Table1[RespondentID],'All Data'!$A$3:$CW$999,98,FALSE),"unknown")</f>
        <v>0</v>
      </c>
      <c r="AX436" s="120">
        <f>IFERROR(VLOOKUP(Table1[RespondentID],'All Data'!$A$3:$CW$999,99,FALSE),"unknown")</f>
        <v>0</v>
      </c>
    </row>
    <row r="437" spans="1:50">
      <c r="A437" s="124">
        <v>114119758093</v>
      </c>
      <c r="B437" s="168"/>
      <c r="C437" s="169" t="s">
        <v>17</v>
      </c>
      <c r="D437" s="169" t="s">
        <v>18</v>
      </c>
      <c r="E437" s="169"/>
      <c r="F437" s="169"/>
      <c r="G437" s="169"/>
      <c r="H437" s="169"/>
      <c r="I437" s="169"/>
      <c r="J437" s="169"/>
      <c r="K437" s="169"/>
      <c r="L437" s="169"/>
      <c r="M437" s="169"/>
      <c r="N437" s="169"/>
      <c r="O437" s="169"/>
      <c r="P437" s="161">
        <f t="shared" si="126"/>
        <v>2</v>
      </c>
      <c r="Q437" s="170">
        <f t="shared" si="127"/>
        <v>1.5</v>
      </c>
      <c r="R437" s="161"/>
      <c r="S437" s="161">
        <f t="shared" si="128"/>
        <v>0</v>
      </c>
      <c r="T437" s="161">
        <f t="shared" si="129"/>
        <v>1</v>
      </c>
      <c r="U437" s="161">
        <f t="shared" si="130"/>
        <v>1</v>
      </c>
      <c r="V437" s="162">
        <f t="shared" si="131"/>
        <v>0</v>
      </c>
      <c r="W437" s="162">
        <f t="shared" si="132"/>
        <v>0</v>
      </c>
      <c r="X437" s="162">
        <f t="shared" si="133"/>
        <v>0</v>
      </c>
      <c r="Y437" s="162">
        <f t="shared" si="134"/>
        <v>0</v>
      </c>
      <c r="Z437" s="162">
        <f t="shared" si="135"/>
        <v>0</v>
      </c>
      <c r="AA437" s="162">
        <f t="shared" si="136"/>
        <v>0</v>
      </c>
      <c r="AB437" s="162">
        <f t="shared" si="137"/>
        <v>0</v>
      </c>
      <c r="AC437" s="162">
        <f t="shared" si="138"/>
        <v>0</v>
      </c>
      <c r="AD437" s="162">
        <f t="shared" si="139"/>
        <v>0</v>
      </c>
      <c r="AE437" s="162">
        <f t="shared" si="140"/>
        <v>0</v>
      </c>
      <c r="AF437" s="161"/>
      <c r="AG437" s="161"/>
      <c r="AH437" s="161">
        <f t="shared" si="141"/>
        <v>2</v>
      </c>
      <c r="AI437" s="161">
        <f t="shared" si="142"/>
        <v>2</v>
      </c>
      <c r="AJ437" s="161" t="str">
        <f t="shared" si="143"/>
        <v>Correct</v>
      </c>
      <c r="AK437" s="124"/>
      <c r="AL437" s="120" t="str">
        <f>IFERROR(VLOOKUP(Table1[RespondentID],'All Data'!$A$3:$CO$999,87,FALSE),"unknown")</f>
        <v>Woman</v>
      </c>
      <c r="AM437" s="120">
        <f>IFERROR(VLOOKUP(Table1[RespondentID],'All Data'!$A$3:$CO$999,88,FALSE),"unknown")</f>
        <v>56</v>
      </c>
      <c r="AN437" s="120" t="str">
        <f>IFERROR(VLOOKUP(Table1[RespondentID],'All Data'!$A$3:$CO$999,89,FALSE),"unknown")</f>
        <v>Suffolk</v>
      </c>
      <c r="AO437" s="120" t="str">
        <f>IFERROR(VLOOKUP(Table1[RespondentID],'All Data'!$A$3:$CO$999,90,FALSE),"unknown")</f>
        <v>West Islip, 11795</v>
      </c>
      <c r="AP437" s="120" t="str">
        <f>IFERROR(VLOOKUP(Table1[RespondentID],'All Data'!$A$3:$CO$999,91,FALSE),"unknown")</f>
        <v>White</v>
      </c>
      <c r="AQ437" s="120" t="str">
        <f>IFERROR(VLOOKUP(Table1[RespondentID],'All Data'!$A$3:$CO$999,92,FALSE),"unknown")</f>
        <v>Not Hispanic or Latino</v>
      </c>
      <c r="AR437" s="120" t="str">
        <f>IFERROR(VLOOKUP(Table1[RespondentID],'All Data'!$A$3:$CO$999,93,FALSE),"unknown")</f>
        <v>English</v>
      </c>
      <c r="AS437" s="120">
        <f>IFERROR(VLOOKUP(Table1[RespondentID],'All Data'!$A$3:$CW$999,94,FALSE),"unknown")</f>
        <v>0</v>
      </c>
      <c r="AT437" s="120" t="str">
        <f>IFERROR(VLOOKUP(Table1[RespondentID],'All Data'!$A$3:$CW$999,95,FALSE),"unknown")</f>
        <v>Some college</v>
      </c>
      <c r="AU437" s="120" t="str">
        <f>IFERROR(VLOOKUP(Table1[RespondentID],'All Data'!$A$3:$CW$999,96,FALSE),"unknown")</f>
        <v>Employed for wages</v>
      </c>
      <c r="AV437" s="120" t="str">
        <f>IFERROR(VLOOKUP(Table1[RespondentID],'All Data'!$A$3:$CW$999,97,FALSE),"unknown")</f>
        <v>Yes</v>
      </c>
      <c r="AW437" s="120" t="str">
        <f>IFERROR(VLOOKUP(Table1[RespondentID],'All Data'!$A$3:$CW$999,98,FALSE),"unknown")</f>
        <v>Private/Commercial</v>
      </c>
      <c r="AX437" s="120" t="str">
        <f>IFERROR(VLOOKUP(Table1[RespondentID],'All Data'!$A$3:$CW$999,99,FALSE),"unknown")</f>
        <v>Yes</v>
      </c>
    </row>
    <row r="438" spans="1:50">
      <c r="A438" s="124">
        <v>114117609524</v>
      </c>
      <c r="B438" s="168"/>
      <c r="C438" s="169"/>
      <c r="D438" s="169"/>
      <c r="E438" s="169"/>
      <c r="F438" s="169"/>
      <c r="G438" s="169" t="s">
        <v>21</v>
      </c>
      <c r="H438" s="169" t="s">
        <v>22</v>
      </c>
      <c r="I438" s="169"/>
      <c r="J438" s="169"/>
      <c r="K438" s="169" t="s">
        <v>25</v>
      </c>
      <c r="L438" s="169"/>
      <c r="M438" s="169"/>
      <c r="N438" s="169"/>
      <c r="O438" s="169"/>
      <c r="P438" s="161">
        <f t="shared" si="126"/>
        <v>3</v>
      </c>
      <c r="Q438" s="170">
        <f t="shared" si="127"/>
        <v>1</v>
      </c>
      <c r="R438" s="161"/>
      <c r="S438" s="161">
        <f t="shared" si="128"/>
        <v>0</v>
      </c>
      <c r="T438" s="161">
        <f t="shared" si="129"/>
        <v>0</v>
      </c>
      <c r="U438" s="161">
        <f t="shared" si="130"/>
        <v>0</v>
      </c>
      <c r="V438" s="162">
        <f t="shared" si="131"/>
        <v>0</v>
      </c>
      <c r="W438" s="162">
        <f t="shared" si="132"/>
        <v>0</v>
      </c>
      <c r="X438" s="162">
        <f t="shared" si="133"/>
        <v>1</v>
      </c>
      <c r="Y438" s="162">
        <f t="shared" si="134"/>
        <v>1</v>
      </c>
      <c r="Z438" s="162">
        <f t="shared" si="135"/>
        <v>0</v>
      </c>
      <c r="AA438" s="162">
        <f t="shared" si="136"/>
        <v>0</v>
      </c>
      <c r="AB438" s="162">
        <f t="shared" si="137"/>
        <v>1</v>
      </c>
      <c r="AC438" s="162">
        <f t="shared" si="138"/>
        <v>0</v>
      </c>
      <c r="AD438" s="162">
        <f t="shared" si="139"/>
        <v>0</v>
      </c>
      <c r="AE438" s="162">
        <f t="shared" si="140"/>
        <v>0</v>
      </c>
      <c r="AF438" s="161"/>
      <c r="AG438" s="161"/>
      <c r="AH438" s="161">
        <f t="shared" si="141"/>
        <v>3</v>
      </c>
      <c r="AI438" s="161">
        <f t="shared" si="142"/>
        <v>3</v>
      </c>
      <c r="AJ438" s="161" t="str">
        <f t="shared" si="143"/>
        <v>Correct</v>
      </c>
      <c r="AK438" s="124"/>
      <c r="AL438" s="120" t="str">
        <f>IFERROR(VLOOKUP(Table1[RespondentID],'All Data'!$A$3:$CO$999,87,FALSE),"unknown")</f>
        <v>Man</v>
      </c>
      <c r="AM438" s="120">
        <f>IFERROR(VLOOKUP(Table1[RespondentID],'All Data'!$A$3:$CO$999,88,FALSE),"unknown")</f>
        <v>66</v>
      </c>
      <c r="AN438" s="120" t="str">
        <f>IFERROR(VLOOKUP(Table1[RespondentID],'All Data'!$A$3:$CO$999,89,FALSE),"unknown")</f>
        <v>Suffolk</v>
      </c>
      <c r="AO438" s="120" t="str">
        <f>IFERROR(VLOOKUP(Table1[RespondentID],'All Data'!$A$3:$CO$999,90,FALSE),"unknown")</f>
        <v>Babylon, 11704</v>
      </c>
      <c r="AP438" s="120" t="str">
        <f>IFERROR(VLOOKUP(Table1[RespondentID],'All Data'!$A$3:$CO$999,91,FALSE),"unknown")</f>
        <v>White</v>
      </c>
      <c r="AQ438" s="120" t="str">
        <f>IFERROR(VLOOKUP(Table1[RespondentID],'All Data'!$A$3:$CO$999,92,FALSE),"unknown")</f>
        <v>Hispanic or Latino</v>
      </c>
      <c r="AR438" s="120" t="str">
        <f>IFERROR(VLOOKUP(Table1[RespondentID],'All Data'!$A$3:$CO$999,93,FALSE),"unknown")</f>
        <v>English,Spanish</v>
      </c>
      <c r="AS438" s="120" t="str">
        <f>IFERROR(VLOOKUP(Table1[RespondentID],'All Data'!$A$3:$CW$999,94,FALSE),"unknown")</f>
        <v>$20,000 to $34,999</v>
      </c>
      <c r="AT438" s="120" t="str">
        <f>IFERROR(VLOOKUP(Table1[RespondentID],'All Data'!$A$3:$CW$999,95,FALSE),"unknown")</f>
        <v>Some college</v>
      </c>
      <c r="AU438" s="120" t="str">
        <f>IFERROR(VLOOKUP(Table1[RespondentID],'All Data'!$A$3:$CW$999,96,FALSE),"unknown")</f>
        <v>Retired</v>
      </c>
      <c r="AV438" s="120" t="str">
        <f>IFERROR(VLOOKUP(Table1[RespondentID],'All Data'!$A$3:$CW$999,97,FALSE),"unknown")</f>
        <v>Yes</v>
      </c>
      <c r="AW438" s="120" t="str">
        <f>IFERROR(VLOOKUP(Table1[RespondentID],'All Data'!$A$3:$CW$999,98,FALSE),"unknown")</f>
        <v>Medicare</v>
      </c>
      <c r="AX438" s="120" t="str">
        <f>IFERROR(VLOOKUP(Table1[RespondentID],'All Data'!$A$3:$CW$999,99,FALSE),"unknown")</f>
        <v>Yes</v>
      </c>
    </row>
    <row r="439" spans="1:50">
      <c r="A439" s="124">
        <v>114117487074</v>
      </c>
      <c r="B439" s="168"/>
      <c r="C439" s="169" t="s">
        <v>17</v>
      </c>
      <c r="D439" s="169"/>
      <c r="E439" s="169"/>
      <c r="F439" s="169"/>
      <c r="G439" s="169"/>
      <c r="H439" s="169"/>
      <c r="I439" s="169"/>
      <c r="J439" s="169"/>
      <c r="K439" s="169"/>
      <c r="L439" s="169"/>
      <c r="M439" s="169"/>
      <c r="N439" s="169"/>
      <c r="O439" s="169" t="s">
        <v>481</v>
      </c>
      <c r="P439" s="161">
        <f t="shared" si="126"/>
        <v>1</v>
      </c>
      <c r="Q439" s="170">
        <f t="shared" si="127"/>
        <v>3</v>
      </c>
      <c r="R439" s="161"/>
      <c r="S439" s="161">
        <f t="shared" si="128"/>
        <v>0</v>
      </c>
      <c r="T439" s="161">
        <f t="shared" si="129"/>
        <v>1</v>
      </c>
      <c r="U439" s="161">
        <f t="shared" si="130"/>
        <v>0</v>
      </c>
      <c r="V439" s="162">
        <f t="shared" si="131"/>
        <v>0</v>
      </c>
      <c r="W439" s="162">
        <f t="shared" si="132"/>
        <v>0</v>
      </c>
      <c r="X439" s="162">
        <f t="shared" si="133"/>
        <v>0</v>
      </c>
      <c r="Y439" s="162">
        <f t="shared" si="134"/>
        <v>0</v>
      </c>
      <c r="Z439" s="162">
        <f t="shared" si="135"/>
        <v>0</v>
      </c>
      <c r="AA439" s="162">
        <f t="shared" si="136"/>
        <v>0</v>
      </c>
      <c r="AB439" s="162">
        <f t="shared" si="137"/>
        <v>0</v>
      </c>
      <c r="AC439" s="162">
        <f t="shared" si="138"/>
        <v>0</v>
      </c>
      <c r="AD439" s="162">
        <f t="shared" si="139"/>
        <v>0</v>
      </c>
      <c r="AE439" s="162">
        <f t="shared" si="140"/>
        <v>0</v>
      </c>
      <c r="AF439" s="161"/>
      <c r="AG439" s="161"/>
      <c r="AH439" s="161">
        <f t="shared" si="141"/>
        <v>1</v>
      </c>
      <c r="AI439" s="161">
        <f t="shared" si="142"/>
        <v>1</v>
      </c>
      <c r="AJ439" s="161" t="str">
        <f t="shared" si="143"/>
        <v>Correct</v>
      </c>
      <c r="AK439" s="124"/>
      <c r="AL439" s="120" t="str">
        <f>IFERROR(VLOOKUP(Table1[RespondentID],'All Data'!$A$3:$CO$999,87,FALSE),"unknown")</f>
        <v>Man</v>
      </c>
      <c r="AM439" s="120">
        <f>IFERROR(VLOOKUP(Table1[RespondentID],'All Data'!$A$3:$CO$999,88,FALSE),"unknown")</f>
        <v>66</v>
      </c>
      <c r="AN439" s="120" t="str">
        <f>IFERROR(VLOOKUP(Table1[RespondentID],'All Data'!$A$3:$CO$999,89,FALSE),"unknown")</f>
        <v>Suffolk</v>
      </c>
      <c r="AO439" s="120" t="str">
        <f>IFERROR(VLOOKUP(Table1[RespondentID],'All Data'!$A$3:$CO$999,90,FALSE),"unknown")</f>
        <v>North Babylon, 11703</v>
      </c>
      <c r="AP439" s="120" t="str">
        <f>IFERROR(VLOOKUP(Table1[RespondentID],'All Data'!$A$3:$CO$999,91,FALSE),"unknown")</f>
        <v>White</v>
      </c>
      <c r="AQ439" s="120" t="str">
        <f>IFERROR(VLOOKUP(Table1[RespondentID],'All Data'!$A$3:$CO$999,92,FALSE),"unknown")</f>
        <v>Not Hispanic or Latino</v>
      </c>
      <c r="AR439" s="120" t="str">
        <f>IFERROR(VLOOKUP(Table1[RespondentID],'All Data'!$A$3:$CO$999,93,FALSE),"unknown")</f>
        <v>English</v>
      </c>
      <c r="AS439" s="120" t="str">
        <f>IFERROR(VLOOKUP(Table1[RespondentID],'All Data'!$A$3:$CW$999,94,FALSE),"unknown")</f>
        <v>$50,000 to $74,999</v>
      </c>
      <c r="AT439" s="120" t="str">
        <f>IFERROR(VLOOKUP(Table1[RespondentID],'All Data'!$A$3:$CW$999,95,FALSE),"unknown")</f>
        <v>Some college</v>
      </c>
      <c r="AU439" s="120" t="str">
        <f>IFERROR(VLOOKUP(Table1[RespondentID],'All Data'!$A$3:$CW$999,96,FALSE),"unknown")</f>
        <v>Retired</v>
      </c>
      <c r="AV439" s="120" t="str">
        <f>IFERROR(VLOOKUP(Table1[RespondentID],'All Data'!$A$3:$CW$999,97,FALSE),"unknown")</f>
        <v>Yes</v>
      </c>
      <c r="AW439" s="120" t="str">
        <f>IFERROR(VLOOKUP(Table1[RespondentID],'All Data'!$A$3:$CW$999,98,FALSE),"unknown")</f>
        <v>Medicare,Private/Commercial</v>
      </c>
      <c r="AX439" s="120" t="str">
        <f>IFERROR(VLOOKUP(Table1[RespondentID],'All Data'!$A$3:$CW$999,99,FALSE),"unknown")</f>
        <v>Yes</v>
      </c>
    </row>
    <row r="440" spans="1:50">
      <c r="A440" s="124">
        <v>114112557543</v>
      </c>
      <c r="B440" s="168"/>
      <c r="C440" s="169"/>
      <c r="D440" s="169" t="s">
        <v>18</v>
      </c>
      <c r="E440" s="169"/>
      <c r="F440" s="169"/>
      <c r="G440" s="169"/>
      <c r="H440" s="169"/>
      <c r="I440" s="169"/>
      <c r="J440" s="169"/>
      <c r="K440" s="169"/>
      <c r="L440" s="169"/>
      <c r="M440" s="169"/>
      <c r="N440" s="169"/>
      <c r="O440" s="169"/>
      <c r="P440" s="161">
        <f t="shared" si="126"/>
        <v>1</v>
      </c>
      <c r="Q440" s="170">
        <f t="shared" si="127"/>
        <v>3</v>
      </c>
      <c r="R440" s="161"/>
      <c r="S440" s="161">
        <f t="shared" si="128"/>
        <v>0</v>
      </c>
      <c r="T440" s="161">
        <f t="shared" si="129"/>
        <v>0</v>
      </c>
      <c r="U440" s="161">
        <f t="shared" si="130"/>
        <v>1</v>
      </c>
      <c r="V440" s="162">
        <f t="shared" si="131"/>
        <v>0</v>
      </c>
      <c r="W440" s="162">
        <f t="shared" si="132"/>
        <v>0</v>
      </c>
      <c r="X440" s="162">
        <f t="shared" si="133"/>
        <v>0</v>
      </c>
      <c r="Y440" s="162">
        <f t="shared" si="134"/>
        <v>0</v>
      </c>
      <c r="Z440" s="162">
        <f t="shared" si="135"/>
        <v>0</v>
      </c>
      <c r="AA440" s="162">
        <f t="shared" si="136"/>
        <v>0</v>
      </c>
      <c r="AB440" s="162">
        <f t="shared" si="137"/>
        <v>0</v>
      </c>
      <c r="AC440" s="162">
        <f t="shared" si="138"/>
        <v>0</v>
      </c>
      <c r="AD440" s="162">
        <f t="shared" si="139"/>
        <v>0</v>
      </c>
      <c r="AE440" s="162">
        <f t="shared" si="140"/>
        <v>0</v>
      </c>
      <c r="AF440" s="161"/>
      <c r="AG440" s="161"/>
      <c r="AH440" s="161">
        <f t="shared" si="141"/>
        <v>1</v>
      </c>
      <c r="AI440" s="161">
        <f t="shared" si="142"/>
        <v>1</v>
      </c>
      <c r="AJ440" s="161" t="str">
        <f t="shared" si="143"/>
        <v>Correct</v>
      </c>
      <c r="AK440" s="124"/>
      <c r="AL440" s="120" t="str">
        <f>IFERROR(VLOOKUP(Table1[RespondentID],'All Data'!$A$3:$CO$999,87,FALSE),"unknown")</f>
        <v>Woman</v>
      </c>
      <c r="AM440" s="120">
        <f>IFERROR(VLOOKUP(Table1[RespondentID],'All Data'!$A$3:$CO$999,88,FALSE),"unknown")</f>
        <v>63</v>
      </c>
      <c r="AN440" s="120" t="str">
        <f>IFERROR(VLOOKUP(Table1[RespondentID],'All Data'!$A$3:$CO$999,89,FALSE),"unknown")</f>
        <v>Suffolk</v>
      </c>
      <c r="AO440" s="120" t="str">
        <f>IFERROR(VLOOKUP(Table1[RespondentID],'All Data'!$A$3:$CO$999,90,FALSE),"unknown")</f>
        <v>West Islip, 11795</v>
      </c>
      <c r="AP440" s="120" t="str">
        <f>IFERROR(VLOOKUP(Table1[RespondentID],'All Data'!$A$3:$CO$999,91,FALSE),"unknown")</f>
        <v>White</v>
      </c>
      <c r="AQ440" s="120" t="str">
        <f>IFERROR(VLOOKUP(Table1[RespondentID],'All Data'!$A$3:$CO$999,92,FALSE),"unknown")</f>
        <v>Not Hispanic or Latino</v>
      </c>
      <c r="AR440" s="120" t="str">
        <f>IFERROR(VLOOKUP(Table1[RespondentID],'All Data'!$A$3:$CO$999,93,FALSE),"unknown")</f>
        <v>English</v>
      </c>
      <c r="AS440" s="120" t="str">
        <f>IFERROR(VLOOKUP(Table1[RespondentID],'All Data'!$A$3:$CW$999,94,FALSE),"unknown")</f>
        <v>Over $125,000</v>
      </c>
      <c r="AT440" s="120" t="str">
        <f>IFERROR(VLOOKUP(Table1[RespondentID],'All Data'!$A$3:$CW$999,95,FALSE),"unknown")</f>
        <v>College graduate</v>
      </c>
      <c r="AU440" s="120" t="str">
        <f>IFERROR(VLOOKUP(Table1[RespondentID],'All Data'!$A$3:$CW$999,96,FALSE),"unknown")</f>
        <v>Employed for wages</v>
      </c>
      <c r="AV440" s="120" t="str">
        <f>IFERROR(VLOOKUP(Table1[RespondentID],'All Data'!$A$3:$CW$999,97,FALSE),"unknown")</f>
        <v>Yes</v>
      </c>
      <c r="AW440" s="120" t="str">
        <f>IFERROR(VLOOKUP(Table1[RespondentID],'All Data'!$A$3:$CW$999,98,FALSE),"unknown")</f>
        <v>Private/Commercial</v>
      </c>
      <c r="AX440" s="120" t="str">
        <f>IFERROR(VLOOKUP(Table1[RespondentID],'All Data'!$A$3:$CW$999,99,FALSE),"unknown")</f>
        <v>Yes</v>
      </c>
    </row>
    <row r="441" spans="1:50">
      <c r="A441" s="124">
        <v>114112353426</v>
      </c>
      <c r="B441" s="168"/>
      <c r="C441" s="169" t="s">
        <v>17</v>
      </c>
      <c r="D441" s="169" t="s">
        <v>18</v>
      </c>
      <c r="E441" s="169" t="s">
        <v>19</v>
      </c>
      <c r="F441" s="169"/>
      <c r="G441" s="169"/>
      <c r="H441" s="169"/>
      <c r="I441" s="169"/>
      <c r="J441" s="169"/>
      <c r="K441" s="169"/>
      <c r="L441" s="169"/>
      <c r="M441" s="169"/>
      <c r="N441" s="169"/>
      <c r="O441" s="169"/>
      <c r="P441" s="161">
        <f t="shared" si="126"/>
        <v>3</v>
      </c>
      <c r="Q441" s="170">
        <f t="shared" si="127"/>
        <v>1</v>
      </c>
      <c r="R441" s="161"/>
      <c r="S441" s="161">
        <f t="shared" si="128"/>
        <v>0</v>
      </c>
      <c r="T441" s="161">
        <f t="shared" si="129"/>
        <v>1</v>
      </c>
      <c r="U441" s="161">
        <f t="shared" si="130"/>
        <v>1</v>
      </c>
      <c r="V441" s="162">
        <f t="shared" si="131"/>
        <v>1</v>
      </c>
      <c r="W441" s="162">
        <f t="shared" si="132"/>
        <v>0</v>
      </c>
      <c r="X441" s="162">
        <f t="shared" si="133"/>
        <v>0</v>
      </c>
      <c r="Y441" s="162">
        <f t="shared" si="134"/>
        <v>0</v>
      </c>
      <c r="Z441" s="162">
        <f t="shared" si="135"/>
        <v>0</v>
      </c>
      <c r="AA441" s="162">
        <f t="shared" si="136"/>
        <v>0</v>
      </c>
      <c r="AB441" s="162">
        <f t="shared" si="137"/>
        <v>0</v>
      </c>
      <c r="AC441" s="162">
        <f t="shared" si="138"/>
        <v>0</v>
      </c>
      <c r="AD441" s="162">
        <f t="shared" si="139"/>
        <v>0</v>
      </c>
      <c r="AE441" s="162">
        <f t="shared" si="140"/>
        <v>0</v>
      </c>
      <c r="AF441" s="161"/>
      <c r="AG441" s="161"/>
      <c r="AH441" s="161">
        <f t="shared" si="141"/>
        <v>3</v>
      </c>
      <c r="AI441" s="161">
        <f t="shared" si="142"/>
        <v>3</v>
      </c>
      <c r="AJ441" s="161" t="str">
        <f t="shared" si="143"/>
        <v>Correct</v>
      </c>
      <c r="AK441" s="124"/>
      <c r="AL441" s="120" t="str">
        <f>IFERROR(VLOOKUP(Table1[RespondentID],'All Data'!$A$3:$CO$999,87,FALSE),"unknown")</f>
        <v>Woman</v>
      </c>
      <c r="AM441" s="120">
        <f>IFERROR(VLOOKUP(Table1[RespondentID],'All Data'!$A$3:$CO$999,88,FALSE),"unknown")</f>
        <v>66</v>
      </c>
      <c r="AN441" s="120" t="str">
        <f>IFERROR(VLOOKUP(Table1[RespondentID],'All Data'!$A$3:$CO$999,89,FALSE),"unknown")</f>
        <v>Suffolk</v>
      </c>
      <c r="AO441" s="120" t="str">
        <f>IFERROR(VLOOKUP(Table1[RespondentID],'All Data'!$A$3:$CO$999,90,FALSE),"unknown")</f>
        <v>Lindenhurst, 11757</v>
      </c>
      <c r="AP441" s="120" t="str">
        <f>IFERROR(VLOOKUP(Table1[RespondentID],'All Data'!$A$3:$CO$999,91,FALSE),"unknown")</f>
        <v>White</v>
      </c>
      <c r="AQ441" s="120" t="str">
        <f>IFERROR(VLOOKUP(Table1[RespondentID],'All Data'!$A$3:$CO$999,92,FALSE),"unknown")</f>
        <v>Not Hispanic or Latino</v>
      </c>
      <c r="AR441" s="120" t="str">
        <f>IFERROR(VLOOKUP(Table1[RespondentID],'All Data'!$A$3:$CO$999,93,FALSE),"unknown")</f>
        <v>English</v>
      </c>
      <c r="AS441" s="120">
        <f>IFERROR(VLOOKUP(Table1[RespondentID],'All Data'!$A$3:$CW$999,94,FALSE),"unknown")</f>
        <v>0</v>
      </c>
      <c r="AT441" s="120" t="str">
        <f>IFERROR(VLOOKUP(Table1[RespondentID],'All Data'!$A$3:$CW$999,95,FALSE),"unknown")</f>
        <v>College graduate</v>
      </c>
      <c r="AU441" s="120" t="str">
        <f>IFERROR(VLOOKUP(Table1[RespondentID],'All Data'!$A$3:$CW$999,96,FALSE),"unknown")</f>
        <v>Retired</v>
      </c>
      <c r="AV441" s="120">
        <f>IFERROR(VLOOKUP(Table1[RespondentID],'All Data'!$A$3:$CW$999,97,FALSE),"unknown")</f>
        <v>0</v>
      </c>
      <c r="AW441" s="120" t="str">
        <f>IFERROR(VLOOKUP(Table1[RespondentID],'All Data'!$A$3:$CW$999,98,FALSE),"unknown")</f>
        <v>Medicare</v>
      </c>
      <c r="AX441" s="120" t="str">
        <f>IFERROR(VLOOKUP(Table1[RespondentID],'All Data'!$A$3:$CW$999,99,FALSE),"unknown")</f>
        <v>Yes</v>
      </c>
    </row>
    <row r="442" spans="1:50">
      <c r="A442" s="124">
        <v>114112316241</v>
      </c>
      <c r="B442" s="168"/>
      <c r="C442" s="169" t="s">
        <v>17</v>
      </c>
      <c r="D442" s="169" t="s">
        <v>18</v>
      </c>
      <c r="E442" s="169"/>
      <c r="F442" s="169"/>
      <c r="G442" s="169"/>
      <c r="H442" s="169"/>
      <c r="I442" s="169" t="s">
        <v>23</v>
      </c>
      <c r="J442" s="169"/>
      <c r="K442" s="169"/>
      <c r="L442" s="169"/>
      <c r="M442" s="169"/>
      <c r="N442" s="169"/>
      <c r="O442" s="169"/>
      <c r="P442" s="161">
        <f t="shared" si="126"/>
        <v>3</v>
      </c>
      <c r="Q442" s="170">
        <f t="shared" si="127"/>
        <v>1</v>
      </c>
      <c r="R442" s="161"/>
      <c r="S442" s="161">
        <f t="shared" si="128"/>
        <v>0</v>
      </c>
      <c r="T442" s="161">
        <f t="shared" si="129"/>
        <v>1</v>
      </c>
      <c r="U442" s="161">
        <f t="shared" si="130"/>
        <v>1</v>
      </c>
      <c r="V442" s="162">
        <f t="shared" si="131"/>
        <v>0</v>
      </c>
      <c r="W442" s="162">
        <f t="shared" si="132"/>
        <v>0</v>
      </c>
      <c r="X442" s="162">
        <f t="shared" si="133"/>
        <v>0</v>
      </c>
      <c r="Y442" s="162">
        <f t="shared" si="134"/>
        <v>0</v>
      </c>
      <c r="Z442" s="162">
        <f t="shared" si="135"/>
        <v>1</v>
      </c>
      <c r="AA442" s="162">
        <f t="shared" si="136"/>
        <v>0</v>
      </c>
      <c r="AB442" s="162">
        <f t="shared" si="137"/>
        <v>0</v>
      </c>
      <c r="AC442" s="162">
        <f t="shared" si="138"/>
        <v>0</v>
      </c>
      <c r="AD442" s="162">
        <f t="shared" si="139"/>
        <v>0</v>
      </c>
      <c r="AE442" s="162">
        <f t="shared" si="140"/>
        <v>0</v>
      </c>
      <c r="AF442" s="161"/>
      <c r="AG442" s="161"/>
      <c r="AH442" s="161">
        <f t="shared" si="141"/>
        <v>3</v>
      </c>
      <c r="AI442" s="161">
        <f t="shared" si="142"/>
        <v>3</v>
      </c>
      <c r="AJ442" s="161" t="str">
        <f t="shared" si="143"/>
        <v>Correct</v>
      </c>
      <c r="AK442" s="124"/>
      <c r="AL442" s="120" t="str">
        <f>IFERROR(VLOOKUP(Table1[RespondentID],'All Data'!$A$3:$CO$999,87,FALSE),"unknown")</f>
        <v>Woman</v>
      </c>
      <c r="AM442" s="120">
        <f>IFERROR(VLOOKUP(Table1[RespondentID],'All Data'!$A$3:$CO$999,88,FALSE),"unknown")</f>
        <v>66</v>
      </c>
      <c r="AN442" s="120" t="str">
        <f>IFERROR(VLOOKUP(Table1[RespondentID],'All Data'!$A$3:$CO$999,89,FALSE),"unknown")</f>
        <v>Suffolk</v>
      </c>
      <c r="AO442" s="120" t="str">
        <f>IFERROR(VLOOKUP(Table1[RespondentID],'All Data'!$A$3:$CO$999,90,FALSE),"unknown")</f>
        <v>Oakdale, 11769</v>
      </c>
      <c r="AP442" s="120" t="str">
        <f>IFERROR(VLOOKUP(Table1[RespondentID],'All Data'!$A$3:$CO$999,91,FALSE),"unknown")</f>
        <v>White</v>
      </c>
      <c r="AQ442" s="120" t="str">
        <f>IFERROR(VLOOKUP(Table1[RespondentID],'All Data'!$A$3:$CO$999,92,FALSE),"unknown")</f>
        <v>Not Hispanic or Latino</v>
      </c>
      <c r="AR442" s="120" t="str">
        <f>IFERROR(VLOOKUP(Table1[RespondentID],'All Data'!$A$3:$CO$999,93,FALSE),"unknown")</f>
        <v>English</v>
      </c>
      <c r="AS442" s="120" t="str">
        <f>IFERROR(VLOOKUP(Table1[RespondentID],'All Data'!$A$3:$CW$999,94,FALSE),"unknown")</f>
        <v>$20,000 to $34,999</v>
      </c>
      <c r="AT442" s="120" t="str">
        <f>IFERROR(VLOOKUP(Table1[RespondentID],'All Data'!$A$3:$CW$999,95,FALSE),"unknown")</f>
        <v>High school graduate</v>
      </c>
      <c r="AU442" s="120" t="str">
        <f>IFERROR(VLOOKUP(Table1[RespondentID],'All Data'!$A$3:$CW$999,96,FALSE),"unknown")</f>
        <v>Retired</v>
      </c>
      <c r="AV442" s="120" t="str">
        <f>IFERROR(VLOOKUP(Table1[RespondentID],'All Data'!$A$3:$CW$999,97,FALSE),"unknown")</f>
        <v>Yes</v>
      </c>
      <c r="AW442" s="120" t="str">
        <f>IFERROR(VLOOKUP(Table1[RespondentID],'All Data'!$A$3:$CW$999,98,FALSE),"unknown")</f>
        <v>Medicare,Private/Commercial</v>
      </c>
      <c r="AX442" s="120" t="str">
        <f>IFERROR(VLOOKUP(Table1[RespondentID],'All Data'!$A$3:$CW$999,99,FALSE),"unknown")</f>
        <v>Yes</v>
      </c>
    </row>
    <row r="443" spans="1:50">
      <c r="A443" s="124">
        <v>114112302057</v>
      </c>
      <c r="B443" s="168" t="s">
        <v>16</v>
      </c>
      <c r="C443" s="169"/>
      <c r="D443" s="169" t="s">
        <v>18</v>
      </c>
      <c r="E443" s="169"/>
      <c r="F443" s="169"/>
      <c r="G443" s="169"/>
      <c r="H443" s="169"/>
      <c r="I443" s="169" t="s">
        <v>23</v>
      </c>
      <c r="J443" s="169"/>
      <c r="K443" s="169"/>
      <c r="L443" s="169"/>
      <c r="M443" s="169"/>
      <c r="N443" s="169"/>
      <c r="O443" s="169"/>
      <c r="P443" s="161">
        <f t="shared" si="126"/>
        <v>3</v>
      </c>
      <c r="Q443" s="170">
        <f t="shared" si="127"/>
        <v>1</v>
      </c>
      <c r="R443" s="161"/>
      <c r="S443" s="161">
        <f t="shared" si="128"/>
        <v>1</v>
      </c>
      <c r="T443" s="161">
        <f t="shared" si="129"/>
        <v>0</v>
      </c>
      <c r="U443" s="161">
        <f t="shared" si="130"/>
        <v>1</v>
      </c>
      <c r="V443" s="162">
        <f t="shared" si="131"/>
        <v>0</v>
      </c>
      <c r="W443" s="162">
        <f t="shared" si="132"/>
        <v>0</v>
      </c>
      <c r="X443" s="162">
        <f t="shared" si="133"/>
        <v>0</v>
      </c>
      <c r="Y443" s="162">
        <f t="shared" si="134"/>
        <v>0</v>
      </c>
      <c r="Z443" s="162">
        <f t="shared" si="135"/>
        <v>1</v>
      </c>
      <c r="AA443" s="162">
        <f t="shared" si="136"/>
        <v>0</v>
      </c>
      <c r="AB443" s="162">
        <f t="shared" si="137"/>
        <v>0</v>
      </c>
      <c r="AC443" s="162">
        <f t="shared" si="138"/>
        <v>0</v>
      </c>
      <c r="AD443" s="162">
        <f t="shared" si="139"/>
        <v>0</v>
      </c>
      <c r="AE443" s="162">
        <f t="shared" si="140"/>
        <v>0</v>
      </c>
      <c r="AF443" s="161"/>
      <c r="AG443" s="161"/>
      <c r="AH443" s="161">
        <f t="shared" si="141"/>
        <v>3</v>
      </c>
      <c r="AI443" s="161">
        <f t="shared" si="142"/>
        <v>3</v>
      </c>
      <c r="AJ443" s="161" t="str">
        <f t="shared" si="143"/>
        <v>Correct</v>
      </c>
      <c r="AK443" s="124"/>
      <c r="AL443" s="120" t="str">
        <f>IFERROR(VLOOKUP(Table1[RespondentID],'All Data'!$A$3:$CO$999,87,FALSE),"unknown")</f>
        <v>Woman</v>
      </c>
      <c r="AM443" s="120">
        <f>IFERROR(VLOOKUP(Table1[RespondentID],'All Data'!$A$3:$CO$999,88,FALSE),"unknown")</f>
        <v>66</v>
      </c>
      <c r="AN443" s="120" t="str">
        <f>IFERROR(VLOOKUP(Table1[RespondentID],'All Data'!$A$3:$CO$999,89,FALSE),"unknown")</f>
        <v>Suffolk</v>
      </c>
      <c r="AO443" s="120" t="str">
        <f>IFERROR(VLOOKUP(Table1[RespondentID],'All Data'!$A$3:$CO$999,90,FALSE),"unknown")</f>
        <v>Babylon, 11702</v>
      </c>
      <c r="AP443" s="120" t="str">
        <f>IFERROR(VLOOKUP(Table1[RespondentID],'All Data'!$A$3:$CO$999,91,FALSE),"unknown")</f>
        <v>White</v>
      </c>
      <c r="AQ443" s="120" t="str">
        <f>IFERROR(VLOOKUP(Table1[RespondentID],'All Data'!$A$3:$CO$999,92,FALSE),"unknown")</f>
        <v>Not Hispanic or Latino</v>
      </c>
      <c r="AR443" s="120" t="str">
        <f>IFERROR(VLOOKUP(Table1[RespondentID],'All Data'!$A$3:$CO$999,93,FALSE),"unknown")</f>
        <v>English</v>
      </c>
      <c r="AS443" s="120" t="str">
        <f>IFERROR(VLOOKUP(Table1[RespondentID],'All Data'!$A$3:$CW$999,94,FALSE),"unknown")</f>
        <v>$35,000 to $49,999</v>
      </c>
      <c r="AT443" s="120" t="str">
        <f>IFERROR(VLOOKUP(Table1[RespondentID],'All Data'!$A$3:$CW$999,95,FALSE),"unknown")</f>
        <v>Some college</v>
      </c>
      <c r="AU443" s="120" t="str">
        <f>IFERROR(VLOOKUP(Table1[RespondentID],'All Data'!$A$3:$CW$999,96,FALSE),"unknown")</f>
        <v>Retired</v>
      </c>
      <c r="AV443" s="120" t="str">
        <f>IFERROR(VLOOKUP(Table1[RespondentID],'All Data'!$A$3:$CW$999,97,FALSE),"unknown")</f>
        <v>Yes</v>
      </c>
      <c r="AW443" s="120" t="str">
        <f>IFERROR(VLOOKUP(Table1[RespondentID],'All Data'!$A$3:$CW$999,98,FALSE),"unknown")</f>
        <v>Medicare</v>
      </c>
      <c r="AX443" s="120" t="str">
        <f>IFERROR(VLOOKUP(Table1[RespondentID],'All Data'!$A$3:$CW$999,99,FALSE),"unknown")</f>
        <v>Yes</v>
      </c>
    </row>
    <row r="444" spans="1:50">
      <c r="A444" s="124">
        <v>114112230825</v>
      </c>
      <c r="B444" s="168"/>
      <c r="C444" s="169"/>
      <c r="D444" s="169"/>
      <c r="E444" s="169"/>
      <c r="F444" s="169"/>
      <c r="G444" s="169"/>
      <c r="H444" s="169" t="s">
        <v>22</v>
      </c>
      <c r="I444" s="169" t="s">
        <v>23</v>
      </c>
      <c r="J444" s="169"/>
      <c r="K444" s="169"/>
      <c r="L444" s="169"/>
      <c r="M444" s="169"/>
      <c r="N444" s="169"/>
      <c r="O444" s="169"/>
      <c r="P444" s="161">
        <f t="shared" si="126"/>
        <v>2</v>
      </c>
      <c r="Q444" s="170">
        <f t="shared" si="127"/>
        <v>1.5</v>
      </c>
      <c r="R444" s="161"/>
      <c r="S444" s="161">
        <f t="shared" si="128"/>
        <v>0</v>
      </c>
      <c r="T444" s="161">
        <f t="shared" si="129"/>
        <v>0</v>
      </c>
      <c r="U444" s="161">
        <f t="shared" si="130"/>
        <v>0</v>
      </c>
      <c r="V444" s="162">
        <f t="shared" si="131"/>
        <v>0</v>
      </c>
      <c r="W444" s="162">
        <f t="shared" si="132"/>
        <v>0</v>
      </c>
      <c r="X444" s="162">
        <f t="shared" si="133"/>
        <v>0</v>
      </c>
      <c r="Y444" s="162">
        <f t="shared" si="134"/>
        <v>1</v>
      </c>
      <c r="Z444" s="162">
        <f t="shared" si="135"/>
        <v>1</v>
      </c>
      <c r="AA444" s="162">
        <f t="shared" si="136"/>
        <v>0</v>
      </c>
      <c r="AB444" s="162">
        <f t="shared" si="137"/>
        <v>0</v>
      </c>
      <c r="AC444" s="162">
        <f t="shared" si="138"/>
        <v>0</v>
      </c>
      <c r="AD444" s="162">
        <f t="shared" si="139"/>
        <v>0</v>
      </c>
      <c r="AE444" s="162">
        <f t="shared" si="140"/>
        <v>0</v>
      </c>
      <c r="AF444" s="161"/>
      <c r="AG444" s="161"/>
      <c r="AH444" s="161">
        <f t="shared" si="141"/>
        <v>2</v>
      </c>
      <c r="AI444" s="161">
        <f t="shared" si="142"/>
        <v>2</v>
      </c>
      <c r="AJ444" s="161" t="str">
        <f t="shared" si="143"/>
        <v>Correct</v>
      </c>
      <c r="AK444" s="124"/>
      <c r="AL444" s="120" t="str">
        <f>IFERROR(VLOOKUP(Table1[RespondentID],'All Data'!$A$3:$CO$999,87,FALSE),"unknown")</f>
        <v>Woman</v>
      </c>
      <c r="AM444" s="120">
        <f>IFERROR(VLOOKUP(Table1[RespondentID],'All Data'!$A$3:$CO$999,88,FALSE),"unknown")</f>
        <v>36</v>
      </c>
      <c r="AN444" s="120" t="str">
        <f>IFERROR(VLOOKUP(Table1[RespondentID],'All Data'!$A$3:$CO$999,89,FALSE),"unknown")</f>
        <v>Suffolk</v>
      </c>
      <c r="AO444" s="120" t="str">
        <f>IFERROR(VLOOKUP(Table1[RespondentID],'All Data'!$A$3:$CO$999,90,FALSE),"unknown")</f>
        <v>Babylon, 11702</v>
      </c>
      <c r="AP444" s="120" t="str">
        <f>IFERROR(VLOOKUP(Table1[RespondentID],'All Data'!$A$3:$CO$999,91,FALSE),"unknown")</f>
        <v>White</v>
      </c>
      <c r="AQ444" s="120" t="str">
        <f>IFERROR(VLOOKUP(Table1[RespondentID],'All Data'!$A$3:$CO$999,92,FALSE),"unknown")</f>
        <v>Not Hispanic or Latino</v>
      </c>
      <c r="AR444" s="120" t="str">
        <f>IFERROR(VLOOKUP(Table1[RespondentID],'All Data'!$A$3:$CO$999,93,FALSE),"unknown")</f>
        <v>English</v>
      </c>
      <c r="AS444" s="120" t="str">
        <f>IFERROR(VLOOKUP(Table1[RespondentID],'All Data'!$A$3:$CW$999,94,FALSE),"unknown")</f>
        <v>$75,000 to $125,000</v>
      </c>
      <c r="AT444" s="120" t="str">
        <f>IFERROR(VLOOKUP(Table1[RespondentID],'All Data'!$A$3:$CW$999,95,FALSE),"unknown")</f>
        <v>College graduate</v>
      </c>
      <c r="AU444" s="120" t="str">
        <f>IFERROR(VLOOKUP(Table1[RespondentID],'All Data'!$A$3:$CW$999,96,FALSE),"unknown")</f>
        <v>Employed for wages</v>
      </c>
      <c r="AV444" s="120" t="str">
        <f>IFERROR(VLOOKUP(Table1[RespondentID],'All Data'!$A$3:$CW$999,97,FALSE),"unknown")</f>
        <v>Yes</v>
      </c>
      <c r="AW444" s="120" t="str">
        <f>IFERROR(VLOOKUP(Table1[RespondentID],'All Data'!$A$3:$CW$999,98,FALSE),"unknown")</f>
        <v>Private/Commercial</v>
      </c>
      <c r="AX444" s="120" t="str">
        <f>IFERROR(VLOOKUP(Table1[RespondentID],'All Data'!$A$3:$CW$999,99,FALSE),"unknown")</f>
        <v>Yes</v>
      </c>
    </row>
    <row r="445" spans="1:50">
      <c r="A445" s="124">
        <v>114112163696</v>
      </c>
      <c r="B445" s="168"/>
      <c r="C445" s="169"/>
      <c r="D445" s="169"/>
      <c r="E445" s="169"/>
      <c r="F445" s="169"/>
      <c r="G445" s="169"/>
      <c r="H445" s="169"/>
      <c r="I445" s="169" t="s">
        <v>23</v>
      </c>
      <c r="J445" s="169"/>
      <c r="K445" s="169"/>
      <c r="L445" s="169"/>
      <c r="M445" s="169"/>
      <c r="N445" s="169"/>
      <c r="O445" s="169"/>
      <c r="P445" s="161">
        <f t="shared" si="126"/>
        <v>1</v>
      </c>
      <c r="Q445" s="170">
        <f t="shared" si="127"/>
        <v>3</v>
      </c>
      <c r="R445" s="161"/>
      <c r="S445" s="161">
        <f t="shared" si="128"/>
        <v>0</v>
      </c>
      <c r="T445" s="161">
        <f t="shared" si="129"/>
        <v>0</v>
      </c>
      <c r="U445" s="161">
        <f t="shared" si="130"/>
        <v>0</v>
      </c>
      <c r="V445" s="162">
        <f t="shared" si="131"/>
        <v>0</v>
      </c>
      <c r="W445" s="162">
        <f t="shared" si="132"/>
        <v>0</v>
      </c>
      <c r="X445" s="162">
        <f t="shared" si="133"/>
        <v>0</v>
      </c>
      <c r="Y445" s="162">
        <f t="shared" si="134"/>
        <v>0</v>
      </c>
      <c r="Z445" s="162">
        <f t="shared" si="135"/>
        <v>1</v>
      </c>
      <c r="AA445" s="162">
        <f t="shared" si="136"/>
        <v>0</v>
      </c>
      <c r="AB445" s="162">
        <f t="shared" si="137"/>
        <v>0</v>
      </c>
      <c r="AC445" s="162">
        <f t="shared" si="138"/>
        <v>0</v>
      </c>
      <c r="AD445" s="162">
        <f t="shared" si="139"/>
        <v>0</v>
      </c>
      <c r="AE445" s="162">
        <f t="shared" si="140"/>
        <v>0</v>
      </c>
      <c r="AF445" s="161"/>
      <c r="AG445" s="161"/>
      <c r="AH445" s="161">
        <f t="shared" si="141"/>
        <v>1</v>
      </c>
      <c r="AI445" s="161">
        <f t="shared" si="142"/>
        <v>1</v>
      </c>
      <c r="AJ445" s="161" t="str">
        <f t="shared" si="143"/>
        <v>Correct</v>
      </c>
      <c r="AK445" s="124"/>
      <c r="AL445" s="120" t="str">
        <f>IFERROR(VLOOKUP(Table1[RespondentID],'All Data'!$A$3:$CO$999,87,FALSE),"unknown")</f>
        <v>Woman</v>
      </c>
      <c r="AM445" s="120">
        <f>IFERROR(VLOOKUP(Table1[RespondentID],'All Data'!$A$3:$CO$999,88,FALSE),"unknown")</f>
        <v>66</v>
      </c>
      <c r="AN445" s="120" t="str">
        <f>IFERROR(VLOOKUP(Table1[RespondentID],'All Data'!$A$3:$CO$999,89,FALSE),"unknown")</f>
        <v>Suffolk</v>
      </c>
      <c r="AO445" s="120" t="str">
        <f>IFERROR(VLOOKUP(Table1[RespondentID],'All Data'!$A$3:$CO$999,90,FALSE),"unknown")</f>
        <v>Babylon, 11702</v>
      </c>
      <c r="AP445" s="120" t="str">
        <f>IFERROR(VLOOKUP(Table1[RespondentID],'All Data'!$A$3:$CO$999,91,FALSE),"unknown")</f>
        <v>White</v>
      </c>
      <c r="AQ445" s="120" t="str">
        <f>IFERROR(VLOOKUP(Table1[RespondentID],'All Data'!$A$3:$CO$999,92,FALSE),"unknown")</f>
        <v>Not Hispanic or Latino</v>
      </c>
      <c r="AR445" s="120" t="str">
        <f>IFERROR(VLOOKUP(Table1[RespondentID],'All Data'!$A$3:$CO$999,93,FALSE),"unknown")</f>
        <v>English</v>
      </c>
      <c r="AS445" s="120" t="str">
        <f>IFERROR(VLOOKUP(Table1[RespondentID],'All Data'!$A$3:$CW$999,94,FALSE),"unknown")</f>
        <v>Over $125,000</v>
      </c>
      <c r="AT445" s="120" t="str">
        <f>IFERROR(VLOOKUP(Table1[RespondentID],'All Data'!$A$3:$CW$999,95,FALSE),"unknown")</f>
        <v>College graduate</v>
      </c>
      <c r="AU445" s="120" t="str">
        <f>IFERROR(VLOOKUP(Table1[RespondentID],'All Data'!$A$3:$CW$999,96,FALSE),"unknown")</f>
        <v>Retired</v>
      </c>
      <c r="AV445" s="120" t="str">
        <f>IFERROR(VLOOKUP(Table1[RespondentID],'All Data'!$A$3:$CW$999,97,FALSE),"unknown")</f>
        <v>Yes</v>
      </c>
      <c r="AW445" s="120" t="str">
        <f>IFERROR(VLOOKUP(Table1[RespondentID],'All Data'!$A$3:$CW$999,98,FALSE),"unknown")</f>
        <v>Medicare</v>
      </c>
      <c r="AX445" s="120" t="str">
        <f>IFERROR(VLOOKUP(Table1[RespondentID],'All Data'!$A$3:$CW$999,99,FALSE),"unknown")</f>
        <v>Yes</v>
      </c>
    </row>
    <row r="446" spans="1:50">
      <c r="A446" s="124">
        <v>114112120887</v>
      </c>
      <c r="B446" s="168" t="s">
        <v>16</v>
      </c>
      <c r="C446" s="169"/>
      <c r="D446" s="169"/>
      <c r="E446" s="169"/>
      <c r="F446" s="169"/>
      <c r="G446" s="169"/>
      <c r="H446" s="169"/>
      <c r="I446" s="169"/>
      <c r="J446" s="169"/>
      <c r="K446" s="169"/>
      <c r="L446" s="169"/>
      <c r="M446" s="169"/>
      <c r="N446" s="169"/>
      <c r="O446" s="169"/>
      <c r="P446" s="161">
        <f t="shared" si="126"/>
        <v>1</v>
      </c>
      <c r="Q446" s="170">
        <f t="shared" si="127"/>
        <v>3</v>
      </c>
      <c r="R446" s="161"/>
      <c r="S446" s="161">
        <f t="shared" si="128"/>
        <v>1</v>
      </c>
      <c r="T446" s="161">
        <f t="shared" si="129"/>
        <v>0</v>
      </c>
      <c r="U446" s="161">
        <f t="shared" si="130"/>
        <v>0</v>
      </c>
      <c r="V446" s="162">
        <f t="shared" si="131"/>
        <v>0</v>
      </c>
      <c r="W446" s="162">
        <f t="shared" si="132"/>
        <v>0</v>
      </c>
      <c r="X446" s="162">
        <f t="shared" si="133"/>
        <v>0</v>
      </c>
      <c r="Y446" s="162">
        <f t="shared" si="134"/>
        <v>0</v>
      </c>
      <c r="Z446" s="162">
        <f t="shared" si="135"/>
        <v>0</v>
      </c>
      <c r="AA446" s="162">
        <f t="shared" si="136"/>
        <v>0</v>
      </c>
      <c r="AB446" s="162">
        <f t="shared" si="137"/>
        <v>0</v>
      </c>
      <c r="AC446" s="162">
        <f t="shared" si="138"/>
        <v>0</v>
      </c>
      <c r="AD446" s="162">
        <f t="shared" si="139"/>
        <v>0</v>
      </c>
      <c r="AE446" s="162">
        <f t="shared" si="140"/>
        <v>0</v>
      </c>
      <c r="AF446" s="161"/>
      <c r="AG446" s="161"/>
      <c r="AH446" s="161">
        <f t="shared" si="141"/>
        <v>1</v>
      </c>
      <c r="AI446" s="161">
        <f t="shared" si="142"/>
        <v>1</v>
      </c>
      <c r="AJ446" s="161" t="str">
        <f t="shared" si="143"/>
        <v>Correct</v>
      </c>
      <c r="AK446" s="124"/>
      <c r="AL446" s="120" t="str">
        <f>IFERROR(VLOOKUP(Table1[RespondentID],'All Data'!$A$3:$CO$999,87,FALSE),"unknown")</f>
        <v>Woman</v>
      </c>
      <c r="AM446" s="120">
        <f>IFERROR(VLOOKUP(Table1[RespondentID],'All Data'!$A$3:$CO$999,88,FALSE),"unknown")</f>
        <v>63</v>
      </c>
      <c r="AN446" s="120" t="str">
        <f>IFERROR(VLOOKUP(Table1[RespondentID],'All Data'!$A$3:$CO$999,89,FALSE),"unknown")</f>
        <v>Suffolk</v>
      </c>
      <c r="AO446" s="120" t="str">
        <f>IFERROR(VLOOKUP(Table1[RespondentID],'All Data'!$A$3:$CO$999,90,FALSE),"unknown")</f>
        <v>Patchogue, 11772</v>
      </c>
      <c r="AP446" s="120" t="str">
        <f>IFERROR(VLOOKUP(Table1[RespondentID],'All Data'!$A$3:$CO$999,91,FALSE),"unknown")</f>
        <v>White</v>
      </c>
      <c r="AQ446" s="120" t="str">
        <f>IFERROR(VLOOKUP(Table1[RespondentID],'All Data'!$A$3:$CO$999,92,FALSE),"unknown")</f>
        <v>Not Hispanic or Latino</v>
      </c>
      <c r="AR446" s="120" t="str">
        <f>IFERROR(VLOOKUP(Table1[RespondentID],'All Data'!$A$3:$CO$999,93,FALSE),"unknown")</f>
        <v>English</v>
      </c>
      <c r="AS446" s="120" t="str">
        <f>IFERROR(VLOOKUP(Table1[RespondentID],'All Data'!$A$3:$CW$999,94,FALSE),"unknown")</f>
        <v>$50,000 to $74,999</v>
      </c>
      <c r="AT446" s="120" t="str">
        <f>IFERROR(VLOOKUP(Table1[RespondentID],'All Data'!$A$3:$CW$999,95,FALSE),"unknown")</f>
        <v>Technical school</v>
      </c>
      <c r="AU446" s="120" t="str">
        <f>IFERROR(VLOOKUP(Table1[RespondentID],'All Data'!$A$3:$CW$999,96,FALSE),"unknown")</f>
        <v>Employed for wages</v>
      </c>
      <c r="AV446" s="120" t="str">
        <f>IFERROR(VLOOKUP(Table1[RespondentID],'All Data'!$A$3:$CW$999,97,FALSE),"unknown")</f>
        <v>Yes</v>
      </c>
      <c r="AW446" s="120" t="str">
        <f>IFERROR(VLOOKUP(Table1[RespondentID],'All Data'!$A$3:$CW$999,98,FALSE),"unknown")</f>
        <v>Private/Commercial</v>
      </c>
      <c r="AX446" s="120" t="str">
        <f>IFERROR(VLOOKUP(Table1[RespondentID],'All Data'!$A$3:$CW$999,99,FALSE),"unknown")</f>
        <v>Yes</v>
      </c>
    </row>
    <row r="447" spans="1:50">
      <c r="A447" s="124">
        <v>114112097119</v>
      </c>
      <c r="B447" s="168"/>
      <c r="C447" s="169" t="s">
        <v>17</v>
      </c>
      <c r="D447" s="169" t="s">
        <v>18</v>
      </c>
      <c r="E447" s="169"/>
      <c r="F447" s="169"/>
      <c r="G447" s="169"/>
      <c r="H447" s="169"/>
      <c r="I447" s="169"/>
      <c r="J447" s="169"/>
      <c r="K447" s="169" t="s">
        <v>25</v>
      </c>
      <c r="L447" s="169"/>
      <c r="M447" s="169"/>
      <c r="N447" s="169"/>
      <c r="O447" s="169"/>
      <c r="P447" s="161">
        <f t="shared" si="126"/>
        <v>3</v>
      </c>
      <c r="Q447" s="170">
        <f t="shared" si="127"/>
        <v>1</v>
      </c>
      <c r="R447" s="161"/>
      <c r="S447" s="161">
        <f t="shared" si="128"/>
        <v>0</v>
      </c>
      <c r="T447" s="161">
        <f t="shared" si="129"/>
        <v>1</v>
      </c>
      <c r="U447" s="161">
        <f t="shared" si="130"/>
        <v>1</v>
      </c>
      <c r="V447" s="162">
        <f t="shared" si="131"/>
        <v>0</v>
      </c>
      <c r="W447" s="162">
        <f t="shared" si="132"/>
        <v>0</v>
      </c>
      <c r="X447" s="162">
        <f t="shared" si="133"/>
        <v>0</v>
      </c>
      <c r="Y447" s="162">
        <f t="shared" si="134"/>
        <v>0</v>
      </c>
      <c r="Z447" s="162">
        <f t="shared" si="135"/>
        <v>0</v>
      </c>
      <c r="AA447" s="162">
        <f t="shared" si="136"/>
        <v>0</v>
      </c>
      <c r="AB447" s="162">
        <f t="shared" si="137"/>
        <v>1</v>
      </c>
      <c r="AC447" s="162">
        <f t="shared" si="138"/>
        <v>0</v>
      </c>
      <c r="AD447" s="162">
        <f t="shared" si="139"/>
        <v>0</v>
      </c>
      <c r="AE447" s="162">
        <f t="shared" si="140"/>
        <v>0</v>
      </c>
      <c r="AF447" s="161"/>
      <c r="AG447" s="161"/>
      <c r="AH447" s="161">
        <f t="shared" si="141"/>
        <v>3</v>
      </c>
      <c r="AI447" s="161">
        <f t="shared" si="142"/>
        <v>3</v>
      </c>
      <c r="AJ447" s="161" t="str">
        <f t="shared" si="143"/>
        <v>Correct</v>
      </c>
      <c r="AK447" s="124"/>
      <c r="AL447" s="120" t="str">
        <f>IFERROR(VLOOKUP(Table1[RespondentID],'All Data'!$A$3:$CO$999,87,FALSE),"unknown")</f>
        <v>Woman</v>
      </c>
      <c r="AM447" s="120">
        <f>IFERROR(VLOOKUP(Table1[RespondentID],'All Data'!$A$3:$CO$999,88,FALSE),"unknown")</f>
        <v>66</v>
      </c>
      <c r="AN447" s="120" t="str">
        <f>IFERROR(VLOOKUP(Table1[RespondentID],'All Data'!$A$3:$CO$999,89,FALSE),"unknown")</f>
        <v>Suffolk</v>
      </c>
      <c r="AO447" s="120" t="str">
        <f>IFERROR(VLOOKUP(Table1[RespondentID],'All Data'!$A$3:$CO$999,90,FALSE),"unknown")</f>
        <v>West Islip, 11795</v>
      </c>
      <c r="AP447" s="120" t="str">
        <f>IFERROR(VLOOKUP(Table1[RespondentID],'All Data'!$A$3:$CO$999,91,FALSE),"unknown")</f>
        <v>White</v>
      </c>
      <c r="AQ447" s="120" t="str">
        <f>IFERROR(VLOOKUP(Table1[RespondentID],'All Data'!$A$3:$CO$999,92,FALSE),"unknown")</f>
        <v>Not Hispanic or Latino</v>
      </c>
      <c r="AR447" s="120" t="str">
        <f>IFERROR(VLOOKUP(Table1[RespondentID],'All Data'!$A$3:$CO$999,93,FALSE),"unknown")</f>
        <v>English</v>
      </c>
      <c r="AS447" s="120" t="str">
        <f>IFERROR(VLOOKUP(Table1[RespondentID],'All Data'!$A$3:$CW$999,94,FALSE),"unknown")</f>
        <v>$35,000 to $49,999</v>
      </c>
      <c r="AT447" s="120" t="str">
        <f>IFERROR(VLOOKUP(Table1[RespondentID],'All Data'!$A$3:$CW$999,95,FALSE),"unknown")</f>
        <v>High school graduate</v>
      </c>
      <c r="AU447" s="120" t="str">
        <f>IFERROR(VLOOKUP(Table1[RespondentID],'All Data'!$A$3:$CW$999,96,FALSE),"unknown")</f>
        <v>Retired</v>
      </c>
      <c r="AV447" s="120" t="str">
        <f>IFERROR(VLOOKUP(Table1[RespondentID],'All Data'!$A$3:$CW$999,97,FALSE),"unknown")</f>
        <v>Yes</v>
      </c>
      <c r="AW447" s="120" t="str">
        <f>IFERROR(VLOOKUP(Table1[RespondentID],'All Data'!$A$3:$CW$999,98,FALSE),"unknown")</f>
        <v>Private/Commercial</v>
      </c>
      <c r="AX447" s="120" t="str">
        <f>IFERROR(VLOOKUP(Table1[RespondentID],'All Data'!$A$3:$CW$999,99,FALSE),"unknown")</f>
        <v>Yes</v>
      </c>
    </row>
    <row r="448" spans="1:50">
      <c r="A448" s="124">
        <v>114112093865</v>
      </c>
      <c r="B448" s="168"/>
      <c r="C448" s="169" t="s">
        <v>17</v>
      </c>
      <c r="D448" s="169"/>
      <c r="E448" s="169"/>
      <c r="F448" s="169"/>
      <c r="G448" s="169"/>
      <c r="H448" s="169"/>
      <c r="I448" s="169"/>
      <c r="J448" s="169"/>
      <c r="K448" s="169" t="s">
        <v>25</v>
      </c>
      <c r="L448" s="169"/>
      <c r="M448" s="169"/>
      <c r="N448" s="169"/>
      <c r="O448" s="169"/>
      <c r="P448" s="161">
        <f t="shared" si="126"/>
        <v>2</v>
      </c>
      <c r="Q448" s="170">
        <f t="shared" si="127"/>
        <v>1.5</v>
      </c>
      <c r="R448" s="161"/>
      <c r="S448" s="161">
        <f t="shared" si="128"/>
        <v>0</v>
      </c>
      <c r="T448" s="161">
        <f t="shared" si="129"/>
        <v>1</v>
      </c>
      <c r="U448" s="161">
        <f t="shared" si="130"/>
        <v>0</v>
      </c>
      <c r="V448" s="162">
        <f t="shared" si="131"/>
        <v>0</v>
      </c>
      <c r="W448" s="162">
        <f t="shared" si="132"/>
        <v>0</v>
      </c>
      <c r="X448" s="162">
        <f t="shared" si="133"/>
        <v>0</v>
      </c>
      <c r="Y448" s="162">
        <f t="shared" si="134"/>
        <v>0</v>
      </c>
      <c r="Z448" s="162">
        <f t="shared" si="135"/>
        <v>0</v>
      </c>
      <c r="AA448" s="162">
        <f t="shared" si="136"/>
        <v>0</v>
      </c>
      <c r="AB448" s="162">
        <f t="shared" si="137"/>
        <v>1</v>
      </c>
      <c r="AC448" s="162">
        <f t="shared" si="138"/>
        <v>0</v>
      </c>
      <c r="AD448" s="162">
        <f t="shared" si="139"/>
        <v>0</v>
      </c>
      <c r="AE448" s="162">
        <f t="shared" si="140"/>
        <v>0</v>
      </c>
      <c r="AF448" s="161"/>
      <c r="AG448" s="161"/>
      <c r="AH448" s="161">
        <f t="shared" si="141"/>
        <v>2</v>
      </c>
      <c r="AI448" s="161">
        <f t="shared" si="142"/>
        <v>2</v>
      </c>
      <c r="AJ448" s="161" t="str">
        <f t="shared" si="143"/>
        <v>Correct</v>
      </c>
      <c r="AK448" s="124"/>
      <c r="AL448" s="120" t="str">
        <f>IFERROR(VLOOKUP(Table1[RespondentID],'All Data'!$A$3:$CO$999,87,FALSE),"unknown")</f>
        <v>Woman</v>
      </c>
      <c r="AM448" s="120">
        <f>IFERROR(VLOOKUP(Table1[RespondentID],'All Data'!$A$3:$CO$999,88,FALSE),"unknown")</f>
        <v>63</v>
      </c>
      <c r="AN448" s="120" t="str">
        <f>IFERROR(VLOOKUP(Table1[RespondentID],'All Data'!$A$3:$CO$999,89,FALSE),"unknown")</f>
        <v>Suffolk</v>
      </c>
      <c r="AO448" s="120" t="str">
        <f>IFERROR(VLOOKUP(Table1[RespondentID],'All Data'!$A$3:$CO$999,90,FALSE),"unknown")</f>
        <v>Lindenhurst, 11757</v>
      </c>
      <c r="AP448" s="120" t="str">
        <f>IFERROR(VLOOKUP(Table1[RespondentID],'All Data'!$A$3:$CO$999,91,FALSE),"unknown")</f>
        <v>White</v>
      </c>
      <c r="AQ448" s="120" t="str">
        <f>IFERROR(VLOOKUP(Table1[RespondentID],'All Data'!$A$3:$CO$999,92,FALSE),"unknown")</f>
        <v>Not Hispanic or Latino</v>
      </c>
      <c r="AR448" s="120" t="str">
        <f>IFERROR(VLOOKUP(Table1[RespondentID],'All Data'!$A$3:$CO$999,93,FALSE),"unknown")</f>
        <v>English</v>
      </c>
      <c r="AS448" s="120" t="str">
        <f>IFERROR(VLOOKUP(Table1[RespondentID],'All Data'!$A$3:$CW$999,94,FALSE),"unknown")</f>
        <v>$50,000 to $74,999</v>
      </c>
      <c r="AT448" s="120" t="str">
        <f>IFERROR(VLOOKUP(Table1[RespondentID],'All Data'!$A$3:$CW$999,95,FALSE),"unknown")</f>
        <v>Some college</v>
      </c>
      <c r="AU448" s="120" t="str">
        <f>IFERROR(VLOOKUP(Table1[RespondentID],'All Data'!$A$3:$CW$999,96,FALSE),"unknown")</f>
        <v>Employed for wages</v>
      </c>
      <c r="AV448" s="120" t="str">
        <f>IFERROR(VLOOKUP(Table1[RespondentID],'All Data'!$A$3:$CW$999,97,FALSE),"unknown")</f>
        <v>No, but I did in the past</v>
      </c>
      <c r="AW448" s="120" t="str">
        <f>IFERROR(VLOOKUP(Table1[RespondentID],'All Data'!$A$3:$CW$999,98,FALSE),"unknown")</f>
        <v>No Insurance</v>
      </c>
      <c r="AX448" s="120" t="str">
        <f>IFERROR(VLOOKUP(Table1[RespondentID],'All Data'!$A$3:$CW$999,99,FALSE),"unknown")</f>
        <v>Yes</v>
      </c>
    </row>
    <row r="449" spans="1:50">
      <c r="A449" s="124">
        <v>114108705734</v>
      </c>
      <c r="B449" s="168"/>
      <c r="C449" s="169"/>
      <c r="D449" s="169"/>
      <c r="E449" s="169"/>
      <c r="F449" s="169"/>
      <c r="G449" s="169"/>
      <c r="H449" s="169"/>
      <c r="I449" s="169"/>
      <c r="J449" s="169"/>
      <c r="K449" s="169" t="s">
        <v>25</v>
      </c>
      <c r="L449" s="169"/>
      <c r="M449" s="169"/>
      <c r="N449" s="169"/>
      <c r="O449" s="169"/>
      <c r="P449" s="161">
        <f t="shared" si="126"/>
        <v>1</v>
      </c>
      <c r="Q449" s="170">
        <f t="shared" si="127"/>
        <v>3</v>
      </c>
      <c r="R449" s="161"/>
      <c r="S449" s="161">
        <f t="shared" si="128"/>
        <v>0</v>
      </c>
      <c r="T449" s="161">
        <f t="shared" si="129"/>
        <v>0</v>
      </c>
      <c r="U449" s="161">
        <f t="shared" si="130"/>
        <v>0</v>
      </c>
      <c r="V449" s="162">
        <f t="shared" si="131"/>
        <v>0</v>
      </c>
      <c r="W449" s="162">
        <f t="shared" si="132"/>
        <v>0</v>
      </c>
      <c r="X449" s="162">
        <f t="shared" si="133"/>
        <v>0</v>
      </c>
      <c r="Y449" s="162">
        <f t="shared" si="134"/>
        <v>0</v>
      </c>
      <c r="Z449" s="162">
        <f t="shared" si="135"/>
        <v>0</v>
      </c>
      <c r="AA449" s="162">
        <f t="shared" si="136"/>
        <v>0</v>
      </c>
      <c r="AB449" s="162">
        <f t="shared" si="137"/>
        <v>1</v>
      </c>
      <c r="AC449" s="162">
        <f t="shared" si="138"/>
        <v>0</v>
      </c>
      <c r="AD449" s="162">
        <f t="shared" si="139"/>
        <v>0</v>
      </c>
      <c r="AE449" s="162">
        <f t="shared" si="140"/>
        <v>0</v>
      </c>
      <c r="AF449" s="161"/>
      <c r="AG449" s="161"/>
      <c r="AH449" s="161">
        <f t="shared" si="141"/>
        <v>1</v>
      </c>
      <c r="AI449" s="161">
        <f t="shared" si="142"/>
        <v>1</v>
      </c>
      <c r="AJ449" s="161" t="str">
        <f t="shared" si="143"/>
        <v>Correct</v>
      </c>
      <c r="AK449" s="124"/>
      <c r="AL449" s="120">
        <f>IFERROR(VLOOKUP(Table1[RespondentID],'All Data'!$A$3:$CO$999,87,FALSE),"unknown")</f>
        <v>0</v>
      </c>
      <c r="AM449" s="120">
        <f>IFERROR(VLOOKUP(Table1[RespondentID],'All Data'!$A$3:$CO$999,88,FALSE),"unknown")</f>
        <v>0</v>
      </c>
      <c r="AN449" s="120">
        <f>IFERROR(VLOOKUP(Table1[RespondentID],'All Data'!$A$3:$CO$999,89,FALSE),"unknown")</f>
        <v>0</v>
      </c>
      <c r="AO449" s="120">
        <f>IFERROR(VLOOKUP(Table1[RespondentID],'All Data'!$A$3:$CO$999,90,FALSE),"unknown")</f>
        <v>0</v>
      </c>
      <c r="AP449" s="120">
        <f>IFERROR(VLOOKUP(Table1[RespondentID],'All Data'!$A$3:$CO$999,91,FALSE),"unknown")</f>
        <v>0</v>
      </c>
      <c r="AQ449" s="120">
        <f>IFERROR(VLOOKUP(Table1[RespondentID],'All Data'!$A$3:$CO$999,92,FALSE),"unknown")</f>
        <v>0</v>
      </c>
      <c r="AR449" s="120">
        <f>IFERROR(VLOOKUP(Table1[RespondentID],'All Data'!$A$3:$CO$999,93,FALSE),"unknown")</f>
        <v>0</v>
      </c>
      <c r="AS449" s="120">
        <f>IFERROR(VLOOKUP(Table1[RespondentID],'All Data'!$A$3:$CW$999,94,FALSE),"unknown")</f>
        <v>0</v>
      </c>
      <c r="AT449" s="120">
        <f>IFERROR(VLOOKUP(Table1[RespondentID],'All Data'!$A$3:$CW$999,95,FALSE),"unknown")</f>
        <v>0</v>
      </c>
      <c r="AU449" s="120">
        <f>IFERROR(VLOOKUP(Table1[RespondentID],'All Data'!$A$3:$CW$999,96,FALSE),"unknown")</f>
        <v>0</v>
      </c>
      <c r="AV449" s="120">
        <f>IFERROR(VLOOKUP(Table1[RespondentID],'All Data'!$A$3:$CW$999,97,FALSE),"unknown")</f>
        <v>0</v>
      </c>
      <c r="AW449" s="120">
        <f>IFERROR(VLOOKUP(Table1[RespondentID],'All Data'!$A$3:$CW$999,98,FALSE),"unknown")</f>
        <v>0</v>
      </c>
      <c r="AX449" s="120">
        <f>IFERROR(VLOOKUP(Table1[RespondentID],'All Data'!$A$3:$CW$999,99,FALSE),"unknown")</f>
        <v>0</v>
      </c>
    </row>
    <row r="450" spans="1:50">
      <c r="A450" s="124">
        <v>18032059967</v>
      </c>
      <c r="B450" s="168"/>
      <c r="C450" s="169"/>
      <c r="D450" s="169"/>
      <c r="E450" s="169"/>
      <c r="F450" s="169"/>
      <c r="G450" s="169" t="s">
        <v>21</v>
      </c>
      <c r="H450" s="169" t="s">
        <v>22</v>
      </c>
      <c r="I450" s="169"/>
      <c r="J450" s="169" t="s">
        <v>24</v>
      </c>
      <c r="K450" s="169"/>
      <c r="L450" s="169"/>
      <c r="M450" s="169"/>
      <c r="N450" s="169"/>
      <c r="O450" s="169" t="s">
        <v>489</v>
      </c>
      <c r="P450" s="161">
        <f t="shared" si="126"/>
        <v>3</v>
      </c>
      <c r="Q450" s="170">
        <f t="shared" si="127"/>
        <v>1</v>
      </c>
      <c r="R450" s="161"/>
      <c r="S450" s="161">
        <f t="shared" si="128"/>
        <v>0</v>
      </c>
      <c r="T450" s="161">
        <f t="shared" si="129"/>
        <v>0</v>
      </c>
      <c r="U450" s="161">
        <f t="shared" si="130"/>
        <v>0</v>
      </c>
      <c r="V450" s="162">
        <f t="shared" si="131"/>
        <v>0</v>
      </c>
      <c r="W450" s="162">
        <f t="shared" si="132"/>
        <v>0</v>
      </c>
      <c r="X450" s="162">
        <f t="shared" si="133"/>
        <v>1</v>
      </c>
      <c r="Y450" s="162">
        <f t="shared" si="134"/>
        <v>1</v>
      </c>
      <c r="Z450" s="162">
        <f t="shared" si="135"/>
        <v>0</v>
      </c>
      <c r="AA450" s="162">
        <f t="shared" si="136"/>
        <v>1</v>
      </c>
      <c r="AB450" s="162">
        <f t="shared" si="137"/>
        <v>0</v>
      </c>
      <c r="AC450" s="162">
        <f t="shared" si="138"/>
        <v>0</v>
      </c>
      <c r="AD450" s="162">
        <f t="shared" si="139"/>
        <v>0</v>
      </c>
      <c r="AE450" s="162">
        <f t="shared" si="140"/>
        <v>0</v>
      </c>
      <c r="AF450" s="161"/>
      <c r="AG450" s="161"/>
      <c r="AH450" s="161">
        <f t="shared" si="141"/>
        <v>3</v>
      </c>
      <c r="AI450" s="161">
        <f t="shared" si="142"/>
        <v>3</v>
      </c>
      <c r="AJ450" s="161" t="str">
        <f t="shared" si="143"/>
        <v>Correct</v>
      </c>
      <c r="AK450" s="124"/>
      <c r="AL450" s="120" t="str">
        <f>IFERROR(VLOOKUP(Table1[RespondentID],'All Data'!$A$3:$CO$999,87,FALSE),"unknown")</f>
        <v>Man</v>
      </c>
      <c r="AM450" s="120">
        <f>IFERROR(VLOOKUP(Table1[RespondentID],'All Data'!$A$3:$CO$999,88,FALSE),"unknown")</f>
        <v>67</v>
      </c>
      <c r="AN450" s="120" t="str">
        <f>IFERROR(VLOOKUP(Table1[RespondentID],'All Data'!$A$3:$CO$999,89,FALSE),"unknown")</f>
        <v>Nassau</v>
      </c>
      <c r="AO450" s="120" t="str">
        <f>IFERROR(VLOOKUP(Table1[RespondentID],'All Data'!$A$3:$CO$999,90,FALSE),"unknown")</f>
        <v>Hicksville, 11801</v>
      </c>
      <c r="AP450" s="120" t="str">
        <f>IFERROR(VLOOKUP(Table1[RespondentID],'All Data'!$A$3:$CO$999,91,FALSE),"unknown")</f>
        <v>White</v>
      </c>
      <c r="AQ450" s="120" t="str">
        <f>IFERROR(VLOOKUP(Table1[RespondentID],'All Data'!$A$3:$CO$999,92,FALSE),"unknown")</f>
        <v>Not Hispanic or Latino</v>
      </c>
      <c r="AR450" s="120" t="str">
        <f>IFERROR(VLOOKUP(Table1[RespondentID],'All Data'!$A$3:$CO$999,93,FALSE),"unknown")</f>
        <v>English</v>
      </c>
      <c r="AS450" s="120" t="str">
        <f>IFERROR(VLOOKUP(Table1[RespondentID],'All Data'!$A$3:$CW$999,94,FALSE),"unknown")</f>
        <v>$75,000 to $125,000</v>
      </c>
      <c r="AT450" s="120" t="str">
        <f>IFERROR(VLOOKUP(Table1[RespondentID],'All Data'!$A$3:$CW$999,95,FALSE),"unknown")</f>
        <v>Some college</v>
      </c>
      <c r="AU450" s="120" t="str">
        <f>IFERROR(VLOOKUP(Table1[RespondentID],'All Data'!$A$3:$CW$999,96,FALSE),"unknown")</f>
        <v>Retired</v>
      </c>
      <c r="AV450" s="120" t="str">
        <f>IFERROR(VLOOKUP(Table1[RespondentID],'All Data'!$A$3:$CW$999,97,FALSE),"unknown")</f>
        <v>Yes</v>
      </c>
      <c r="AW450" s="120" t="str">
        <f>IFERROR(VLOOKUP(Table1[RespondentID],'All Data'!$A$3:$CW$999,98,FALSE),"unknown")</f>
        <v>Medicare</v>
      </c>
      <c r="AX450" s="120" t="str">
        <f>IFERROR(VLOOKUP(Table1[RespondentID],'All Data'!$A$3:$CW$999,99,FALSE),"unknown")</f>
        <v>Yes</v>
      </c>
    </row>
    <row r="451" spans="1:50">
      <c r="A451" s="124">
        <v>18032014754</v>
      </c>
      <c r="B451" s="168"/>
      <c r="C451" s="169"/>
      <c r="D451" s="169"/>
      <c r="E451" s="169" t="s">
        <v>19</v>
      </c>
      <c r="F451" s="169"/>
      <c r="G451" s="169"/>
      <c r="H451" s="169"/>
      <c r="I451" s="169"/>
      <c r="J451" s="169"/>
      <c r="K451" s="169"/>
      <c r="L451" s="169"/>
      <c r="M451" s="169" t="s">
        <v>27</v>
      </c>
      <c r="N451" s="169"/>
      <c r="O451" s="169"/>
      <c r="P451" s="161">
        <f t="shared" si="126"/>
        <v>2</v>
      </c>
      <c r="Q451" s="170">
        <f t="shared" si="127"/>
        <v>1.5</v>
      </c>
      <c r="R451" s="161"/>
      <c r="S451" s="161">
        <f t="shared" si="128"/>
        <v>0</v>
      </c>
      <c r="T451" s="161">
        <f t="shared" si="129"/>
        <v>0</v>
      </c>
      <c r="U451" s="161">
        <f t="shared" si="130"/>
        <v>0</v>
      </c>
      <c r="V451" s="162">
        <f t="shared" si="131"/>
        <v>1</v>
      </c>
      <c r="W451" s="162">
        <f t="shared" si="132"/>
        <v>0</v>
      </c>
      <c r="X451" s="162">
        <f t="shared" si="133"/>
        <v>0</v>
      </c>
      <c r="Y451" s="162">
        <f t="shared" si="134"/>
        <v>0</v>
      </c>
      <c r="Z451" s="162">
        <f t="shared" si="135"/>
        <v>0</v>
      </c>
      <c r="AA451" s="162">
        <f t="shared" si="136"/>
        <v>0</v>
      </c>
      <c r="AB451" s="162">
        <f t="shared" si="137"/>
        <v>0</v>
      </c>
      <c r="AC451" s="162">
        <f t="shared" si="138"/>
        <v>0</v>
      </c>
      <c r="AD451" s="162">
        <f t="shared" si="139"/>
        <v>1</v>
      </c>
      <c r="AE451" s="162">
        <f t="shared" si="140"/>
        <v>0</v>
      </c>
      <c r="AF451" s="161"/>
      <c r="AG451" s="161"/>
      <c r="AH451" s="161">
        <f t="shared" si="141"/>
        <v>2</v>
      </c>
      <c r="AI451" s="161">
        <f t="shared" si="142"/>
        <v>2</v>
      </c>
      <c r="AJ451" s="161" t="str">
        <f t="shared" si="143"/>
        <v>Correct</v>
      </c>
      <c r="AK451" s="124"/>
      <c r="AL451" s="120" t="str">
        <f>IFERROR(VLOOKUP(Table1[RespondentID],'All Data'!$A$3:$CO$999,87,FALSE),"unknown")</f>
        <v>Woman</v>
      </c>
      <c r="AM451" s="120">
        <f>IFERROR(VLOOKUP(Table1[RespondentID],'All Data'!$A$3:$CO$999,88,FALSE),"unknown")</f>
        <v>16</v>
      </c>
      <c r="AN451" s="120" t="str">
        <f>IFERROR(VLOOKUP(Table1[RespondentID],'All Data'!$A$3:$CO$999,89,FALSE),"unknown")</f>
        <v>Suffolk</v>
      </c>
      <c r="AO451" s="120" t="str">
        <f>IFERROR(VLOOKUP(Table1[RespondentID],'All Data'!$A$3:$CO$999,90,FALSE),"unknown")</f>
        <v>Melville, 11747</v>
      </c>
      <c r="AP451" s="120" t="str">
        <f>IFERROR(VLOOKUP(Table1[RespondentID],'All Data'!$A$3:$CO$999,91,FALSE),"unknown")</f>
        <v>White</v>
      </c>
      <c r="AQ451" s="120" t="str">
        <f>IFERROR(VLOOKUP(Table1[RespondentID],'All Data'!$A$3:$CO$999,92,FALSE),"unknown")</f>
        <v>Not Hispanic or Latino</v>
      </c>
      <c r="AR451" s="120" t="str">
        <f>IFERROR(VLOOKUP(Table1[RespondentID],'All Data'!$A$3:$CO$999,93,FALSE),"unknown")</f>
        <v>English</v>
      </c>
      <c r="AS451" s="120" t="str">
        <f>IFERROR(VLOOKUP(Table1[RespondentID],'All Data'!$A$3:$CW$999,94,FALSE),"unknown")</f>
        <v>$50,000 to $74,999</v>
      </c>
      <c r="AT451" s="120" t="str">
        <f>IFERROR(VLOOKUP(Table1[RespondentID],'All Data'!$A$3:$CW$999,95,FALSE),"unknown")</f>
        <v>Some high school</v>
      </c>
      <c r="AU451" s="120" t="str">
        <f>IFERROR(VLOOKUP(Table1[RespondentID],'All Data'!$A$3:$CW$999,96,FALSE),"unknown")</f>
        <v>Student</v>
      </c>
      <c r="AV451" s="120" t="str">
        <f>IFERROR(VLOOKUP(Table1[RespondentID],'All Data'!$A$3:$CW$999,97,FALSE),"unknown")</f>
        <v>Yes</v>
      </c>
      <c r="AW451" s="120" t="str">
        <f>IFERROR(VLOOKUP(Table1[RespondentID],'All Data'!$A$3:$CW$999,98,FALSE),"unknown")</f>
        <v>Private/Commercial</v>
      </c>
      <c r="AX451" s="120" t="str">
        <f>IFERROR(VLOOKUP(Table1[RespondentID],'All Data'!$A$3:$CW$999,99,FALSE),"unknown")</f>
        <v>Yes</v>
      </c>
    </row>
    <row r="452" spans="1:50">
      <c r="A452" s="124">
        <v>18031752968</v>
      </c>
      <c r="B452" s="168" t="s">
        <v>16</v>
      </c>
      <c r="C452" s="169"/>
      <c r="D452" s="169"/>
      <c r="E452" s="169" t="s">
        <v>19</v>
      </c>
      <c r="F452" s="169"/>
      <c r="G452" s="169"/>
      <c r="H452" s="169"/>
      <c r="I452" s="169"/>
      <c r="J452" s="169"/>
      <c r="K452" s="169"/>
      <c r="L452" s="169"/>
      <c r="M452" s="169"/>
      <c r="N452" s="169" t="s">
        <v>28</v>
      </c>
      <c r="O452" s="169"/>
      <c r="P452" s="161">
        <f t="shared" si="126"/>
        <v>3</v>
      </c>
      <c r="Q452" s="170">
        <f t="shared" si="127"/>
        <v>1</v>
      </c>
      <c r="R452" s="161"/>
      <c r="S452" s="161">
        <f t="shared" si="128"/>
        <v>1</v>
      </c>
      <c r="T452" s="161">
        <f t="shared" si="129"/>
        <v>0</v>
      </c>
      <c r="U452" s="161">
        <f t="shared" si="130"/>
        <v>0</v>
      </c>
      <c r="V452" s="162">
        <f t="shared" si="131"/>
        <v>1</v>
      </c>
      <c r="W452" s="162">
        <f t="shared" si="132"/>
        <v>0</v>
      </c>
      <c r="X452" s="162">
        <f t="shared" si="133"/>
        <v>0</v>
      </c>
      <c r="Y452" s="162">
        <f t="shared" si="134"/>
        <v>0</v>
      </c>
      <c r="Z452" s="162">
        <f t="shared" si="135"/>
        <v>0</v>
      </c>
      <c r="AA452" s="162">
        <f t="shared" si="136"/>
        <v>0</v>
      </c>
      <c r="AB452" s="162">
        <f t="shared" si="137"/>
        <v>0</v>
      </c>
      <c r="AC452" s="162">
        <f t="shared" si="138"/>
        <v>0</v>
      </c>
      <c r="AD452" s="162">
        <f t="shared" si="139"/>
        <v>0</v>
      </c>
      <c r="AE452" s="162">
        <f t="shared" si="140"/>
        <v>1</v>
      </c>
      <c r="AF452" s="161"/>
      <c r="AG452" s="161"/>
      <c r="AH452" s="161">
        <f t="shared" si="141"/>
        <v>3</v>
      </c>
      <c r="AI452" s="161">
        <f t="shared" si="142"/>
        <v>3</v>
      </c>
      <c r="AJ452" s="161" t="str">
        <f t="shared" si="143"/>
        <v>Correct</v>
      </c>
      <c r="AK452" s="124"/>
      <c r="AL452" s="120" t="str">
        <f>IFERROR(VLOOKUP(Table1[RespondentID],'All Data'!$A$3:$CO$999,87,FALSE),"unknown")</f>
        <v>Man</v>
      </c>
      <c r="AM452" s="120">
        <f>IFERROR(VLOOKUP(Table1[RespondentID],'All Data'!$A$3:$CO$999,88,FALSE),"unknown")</f>
        <v>0</v>
      </c>
      <c r="AN452" s="120" t="str">
        <f>IFERROR(VLOOKUP(Table1[RespondentID],'All Data'!$A$3:$CO$999,89,FALSE),"unknown")</f>
        <v>Nassau</v>
      </c>
      <c r="AO452" s="120" t="str">
        <f>IFERROR(VLOOKUP(Table1[RespondentID],'All Data'!$A$3:$CO$999,90,FALSE),"unknown")</f>
        <v>Farmingdale, 11735</v>
      </c>
      <c r="AP452" s="120" t="str">
        <f>IFERROR(VLOOKUP(Table1[RespondentID],'All Data'!$A$3:$CO$999,91,FALSE),"unknown")</f>
        <v>White</v>
      </c>
      <c r="AQ452" s="120" t="str">
        <f>IFERROR(VLOOKUP(Table1[RespondentID],'All Data'!$A$3:$CO$999,92,FALSE),"unknown")</f>
        <v>Not Hispanic or Latino</v>
      </c>
      <c r="AR452" s="120" t="str">
        <f>IFERROR(VLOOKUP(Table1[RespondentID],'All Data'!$A$3:$CO$999,93,FALSE),"unknown")</f>
        <v>English</v>
      </c>
      <c r="AS452" s="120">
        <f>IFERROR(VLOOKUP(Table1[RespondentID],'All Data'!$A$3:$CW$999,94,FALSE),"unknown")</f>
        <v>0</v>
      </c>
      <c r="AT452" s="120" t="str">
        <f>IFERROR(VLOOKUP(Table1[RespondentID],'All Data'!$A$3:$CW$999,95,FALSE),"unknown")</f>
        <v>Graduate school</v>
      </c>
      <c r="AU452" s="120">
        <f>IFERROR(VLOOKUP(Table1[RespondentID],'All Data'!$A$3:$CW$999,96,FALSE),"unknown")</f>
        <v>0</v>
      </c>
      <c r="AV452" s="120">
        <f>IFERROR(VLOOKUP(Table1[RespondentID],'All Data'!$A$3:$CW$999,97,FALSE),"unknown")</f>
        <v>0</v>
      </c>
      <c r="AW452" s="120">
        <f>IFERROR(VLOOKUP(Table1[RespondentID],'All Data'!$A$3:$CW$999,98,FALSE),"unknown")</f>
        <v>0</v>
      </c>
      <c r="AX452" s="120">
        <f>IFERROR(VLOOKUP(Table1[RespondentID],'All Data'!$A$3:$CW$999,99,FALSE),"unknown")</f>
        <v>0</v>
      </c>
    </row>
    <row r="453" spans="1:50">
      <c r="A453" s="124">
        <v>18031752783</v>
      </c>
      <c r="B453" s="168"/>
      <c r="C453" s="169"/>
      <c r="D453" s="169"/>
      <c r="E453" s="169" t="s">
        <v>19</v>
      </c>
      <c r="F453" s="169"/>
      <c r="G453" s="169"/>
      <c r="H453" s="169"/>
      <c r="I453" s="169"/>
      <c r="J453" s="169"/>
      <c r="K453" s="169"/>
      <c r="L453" s="169"/>
      <c r="M453" s="169" t="s">
        <v>27</v>
      </c>
      <c r="N453" s="169"/>
      <c r="O453" s="169"/>
      <c r="P453" s="161">
        <f t="shared" si="126"/>
        <v>2</v>
      </c>
      <c r="Q453" s="170">
        <f t="shared" si="127"/>
        <v>1.5</v>
      </c>
      <c r="R453" s="161"/>
      <c r="S453" s="161">
        <f t="shared" si="128"/>
        <v>0</v>
      </c>
      <c r="T453" s="161">
        <f t="shared" si="129"/>
        <v>0</v>
      </c>
      <c r="U453" s="161">
        <f t="shared" si="130"/>
        <v>0</v>
      </c>
      <c r="V453" s="162">
        <f t="shared" si="131"/>
        <v>1</v>
      </c>
      <c r="W453" s="162">
        <f t="shared" si="132"/>
        <v>0</v>
      </c>
      <c r="X453" s="162">
        <f t="shared" si="133"/>
        <v>0</v>
      </c>
      <c r="Y453" s="162">
        <f t="shared" si="134"/>
        <v>0</v>
      </c>
      <c r="Z453" s="162">
        <f t="shared" si="135"/>
        <v>0</v>
      </c>
      <c r="AA453" s="162">
        <f t="shared" si="136"/>
        <v>0</v>
      </c>
      <c r="AB453" s="162">
        <f t="shared" si="137"/>
        <v>0</v>
      </c>
      <c r="AC453" s="162">
        <f t="shared" si="138"/>
        <v>0</v>
      </c>
      <c r="AD453" s="162">
        <f t="shared" si="139"/>
        <v>1</v>
      </c>
      <c r="AE453" s="162">
        <f t="shared" si="140"/>
        <v>0</v>
      </c>
      <c r="AF453" s="161"/>
      <c r="AG453" s="161"/>
      <c r="AH453" s="161">
        <f t="shared" si="141"/>
        <v>2</v>
      </c>
      <c r="AI453" s="161">
        <f t="shared" si="142"/>
        <v>2</v>
      </c>
      <c r="AJ453" s="161" t="str">
        <f t="shared" si="143"/>
        <v>Correct</v>
      </c>
      <c r="AK453" s="124"/>
      <c r="AL453" s="120" t="str">
        <f>IFERROR(VLOOKUP(Table1[RespondentID],'All Data'!$A$3:$CO$999,87,FALSE),"unknown")</f>
        <v>Man</v>
      </c>
      <c r="AM453" s="120">
        <f>IFERROR(VLOOKUP(Table1[RespondentID],'All Data'!$A$3:$CO$999,88,FALSE),"unknown")</f>
        <v>58</v>
      </c>
      <c r="AN453" s="120" t="str">
        <f>IFERROR(VLOOKUP(Table1[RespondentID],'All Data'!$A$3:$CO$999,89,FALSE),"unknown")</f>
        <v>Nassau</v>
      </c>
      <c r="AO453" s="120" t="str">
        <f>IFERROR(VLOOKUP(Table1[RespondentID],'All Data'!$A$3:$CO$999,90,FALSE),"unknown")</f>
        <v>Farmingdale, 11735</v>
      </c>
      <c r="AP453" s="120" t="str">
        <f>IFERROR(VLOOKUP(Table1[RespondentID],'All Data'!$A$3:$CO$999,91,FALSE),"unknown")</f>
        <v>White</v>
      </c>
      <c r="AQ453" s="120">
        <f>IFERROR(VLOOKUP(Table1[RespondentID],'All Data'!$A$3:$CO$999,92,FALSE),"unknown")</f>
        <v>0</v>
      </c>
      <c r="AR453" s="120" t="str">
        <f>IFERROR(VLOOKUP(Table1[RespondentID],'All Data'!$A$3:$CO$999,93,FALSE),"unknown")</f>
        <v>English</v>
      </c>
      <c r="AS453" s="120" t="str">
        <f>IFERROR(VLOOKUP(Table1[RespondentID],'All Data'!$A$3:$CW$999,94,FALSE),"unknown")</f>
        <v>$20,000 to $34,999</v>
      </c>
      <c r="AT453" s="120" t="str">
        <f>IFERROR(VLOOKUP(Table1[RespondentID],'All Data'!$A$3:$CW$999,95,FALSE),"unknown")</f>
        <v>Graduate school</v>
      </c>
      <c r="AU453" s="120" t="str">
        <f>IFERROR(VLOOKUP(Table1[RespondentID],'All Data'!$A$3:$CW$999,96,FALSE),"unknown")</f>
        <v>Self-employed</v>
      </c>
      <c r="AV453" s="120" t="str">
        <f>IFERROR(VLOOKUP(Table1[RespondentID],'All Data'!$A$3:$CW$999,97,FALSE),"unknown")</f>
        <v>No</v>
      </c>
      <c r="AW453" s="120" t="str">
        <f>IFERROR(VLOOKUP(Table1[RespondentID],'All Data'!$A$3:$CW$999,98,FALSE),"unknown")</f>
        <v>No Insurance</v>
      </c>
      <c r="AX453" s="120" t="str">
        <f>IFERROR(VLOOKUP(Table1[RespondentID],'All Data'!$A$3:$CW$999,99,FALSE),"unknown")</f>
        <v>No</v>
      </c>
    </row>
    <row r="454" spans="1:50">
      <c r="A454" s="124">
        <v>18031752813</v>
      </c>
      <c r="B454" s="168"/>
      <c r="C454" s="169"/>
      <c r="D454" s="169" t="s">
        <v>18</v>
      </c>
      <c r="E454" s="169"/>
      <c r="F454" s="169"/>
      <c r="G454" s="169" t="s">
        <v>21</v>
      </c>
      <c r="H454" s="169"/>
      <c r="I454" s="169"/>
      <c r="J454" s="169"/>
      <c r="K454" s="169"/>
      <c r="L454" s="169"/>
      <c r="M454" s="169"/>
      <c r="N454" s="169" t="s">
        <v>28</v>
      </c>
      <c r="O454" s="169"/>
      <c r="P454" s="161">
        <f t="shared" si="126"/>
        <v>3</v>
      </c>
      <c r="Q454" s="170">
        <f t="shared" si="127"/>
        <v>1</v>
      </c>
      <c r="R454" s="161"/>
      <c r="S454" s="161">
        <f t="shared" si="128"/>
        <v>0</v>
      </c>
      <c r="T454" s="161">
        <f t="shared" si="129"/>
        <v>0</v>
      </c>
      <c r="U454" s="161">
        <f t="shared" si="130"/>
        <v>1</v>
      </c>
      <c r="V454" s="162">
        <f t="shared" si="131"/>
        <v>0</v>
      </c>
      <c r="W454" s="162">
        <f t="shared" si="132"/>
        <v>0</v>
      </c>
      <c r="X454" s="162">
        <f t="shared" si="133"/>
        <v>1</v>
      </c>
      <c r="Y454" s="162">
        <f t="shared" si="134"/>
        <v>0</v>
      </c>
      <c r="Z454" s="162">
        <f t="shared" si="135"/>
        <v>0</v>
      </c>
      <c r="AA454" s="162">
        <f t="shared" si="136"/>
        <v>0</v>
      </c>
      <c r="AB454" s="162">
        <f t="shared" si="137"/>
        <v>0</v>
      </c>
      <c r="AC454" s="162">
        <f t="shared" si="138"/>
        <v>0</v>
      </c>
      <c r="AD454" s="162">
        <f t="shared" si="139"/>
        <v>0</v>
      </c>
      <c r="AE454" s="162">
        <f t="shared" si="140"/>
        <v>1</v>
      </c>
      <c r="AF454" s="161"/>
      <c r="AG454" s="161"/>
      <c r="AH454" s="161">
        <f t="shared" si="141"/>
        <v>3</v>
      </c>
      <c r="AI454" s="161">
        <f t="shared" si="142"/>
        <v>3</v>
      </c>
      <c r="AJ454" s="161" t="str">
        <f t="shared" si="143"/>
        <v>Correct</v>
      </c>
      <c r="AK454" s="124"/>
      <c r="AL454" s="120" t="str">
        <f>IFERROR(VLOOKUP(Table1[RespondentID],'All Data'!$A$3:$CO$999,87,FALSE),"unknown")</f>
        <v>Man</v>
      </c>
      <c r="AM454" s="120">
        <f>IFERROR(VLOOKUP(Table1[RespondentID],'All Data'!$A$3:$CO$999,88,FALSE),"unknown")</f>
        <v>28</v>
      </c>
      <c r="AN454" s="120" t="str">
        <f>IFERROR(VLOOKUP(Table1[RespondentID],'All Data'!$A$3:$CO$999,89,FALSE),"unknown")</f>
        <v>Suffolk</v>
      </c>
      <c r="AO454" s="120" t="str">
        <f>IFERROR(VLOOKUP(Table1[RespondentID],'All Data'!$A$3:$CO$999,90,FALSE),"unknown")</f>
        <v>Port Jefferson Station, 11776</v>
      </c>
      <c r="AP454" s="120" t="str">
        <f>IFERROR(VLOOKUP(Table1[RespondentID],'All Data'!$A$3:$CO$999,91,FALSE),"unknown")</f>
        <v>White</v>
      </c>
      <c r="AQ454" s="120" t="str">
        <f>IFERROR(VLOOKUP(Table1[RespondentID],'All Data'!$A$3:$CO$999,92,FALSE),"unknown")</f>
        <v>Not Hispanic or Latino</v>
      </c>
      <c r="AR454" s="120" t="str">
        <f>IFERROR(VLOOKUP(Table1[RespondentID],'All Data'!$A$3:$CO$999,93,FALSE),"unknown")</f>
        <v>English</v>
      </c>
      <c r="AS454" s="120" t="str">
        <f>IFERROR(VLOOKUP(Table1[RespondentID],'All Data'!$A$3:$CW$999,94,FALSE),"unknown")</f>
        <v>$75,000 to $125,000</v>
      </c>
      <c r="AT454" s="120" t="str">
        <f>IFERROR(VLOOKUP(Table1[RespondentID],'All Data'!$A$3:$CW$999,95,FALSE),"unknown")</f>
        <v>Graduate school</v>
      </c>
      <c r="AU454" s="120" t="str">
        <f>IFERROR(VLOOKUP(Table1[RespondentID],'All Data'!$A$3:$CW$999,96,FALSE),"unknown")</f>
        <v>Employed for wages</v>
      </c>
      <c r="AV454" s="120" t="str">
        <f>IFERROR(VLOOKUP(Table1[RespondentID],'All Data'!$A$3:$CW$999,97,FALSE),"unknown")</f>
        <v>Yes</v>
      </c>
      <c r="AW454" s="120" t="str">
        <f>IFERROR(VLOOKUP(Table1[RespondentID],'All Data'!$A$3:$CW$999,98,FALSE),"unknown")</f>
        <v>Private/Commercial</v>
      </c>
      <c r="AX454" s="120" t="str">
        <f>IFERROR(VLOOKUP(Table1[RespondentID],'All Data'!$A$3:$CW$999,99,FALSE),"unknown")</f>
        <v>Yes</v>
      </c>
    </row>
    <row r="455" spans="1:50">
      <c r="A455" s="124">
        <v>18031752705</v>
      </c>
      <c r="B455" s="168"/>
      <c r="C455" s="169" t="s">
        <v>17</v>
      </c>
      <c r="D455" s="169" t="s">
        <v>18</v>
      </c>
      <c r="E455" s="169"/>
      <c r="F455" s="169"/>
      <c r="G455" s="169"/>
      <c r="H455" s="169"/>
      <c r="I455" s="169"/>
      <c r="J455" s="169"/>
      <c r="K455" s="169"/>
      <c r="L455" s="169"/>
      <c r="M455" s="169"/>
      <c r="N455" s="169" t="s">
        <v>28</v>
      </c>
      <c r="O455" s="169"/>
      <c r="P455" s="161">
        <f t="shared" si="126"/>
        <v>3</v>
      </c>
      <c r="Q455" s="170">
        <f t="shared" si="127"/>
        <v>1</v>
      </c>
      <c r="R455" s="161"/>
      <c r="S455" s="161">
        <f t="shared" si="128"/>
        <v>0</v>
      </c>
      <c r="T455" s="161">
        <f t="shared" si="129"/>
        <v>1</v>
      </c>
      <c r="U455" s="161">
        <f t="shared" si="130"/>
        <v>1</v>
      </c>
      <c r="V455" s="162">
        <f t="shared" si="131"/>
        <v>0</v>
      </c>
      <c r="W455" s="162">
        <f t="shared" si="132"/>
        <v>0</v>
      </c>
      <c r="X455" s="162">
        <f t="shared" si="133"/>
        <v>0</v>
      </c>
      <c r="Y455" s="162">
        <f t="shared" si="134"/>
        <v>0</v>
      </c>
      <c r="Z455" s="162">
        <f t="shared" si="135"/>
        <v>0</v>
      </c>
      <c r="AA455" s="162">
        <f t="shared" si="136"/>
        <v>0</v>
      </c>
      <c r="AB455" s="162">
        <f t="shared" si="137"/>
        <v>0</v>
      </c>
      <c r="AC455" s="162">
        <f t="shared" si="138"/>
        <v>0</v>
      </c>
      <c r="AD455" s="162">
        <f t="shared" si="139"/>
        <v>0</v>
      </c>
      <c r="AE455" s="162">
        <f t="shared" si="140"/>
        <v>1</v>
      </c>
      <c r="AF455" s="161"/>
      <c r="AG455" s="161"/>
      <c r="AH455" s="161">
        <f t="shared" si="141"/>
        <v>3</v>
      </c>
      <c r="AI455" s="161">
        <f t="shared" si="142"/>
        <v>3</v>
      </c>
      <c r="AJ455" s="161" t="str">
        <f t="shared" si="143"/>
        <v>Correct</v>
      </c>
      <c r="AK455" s="124"/>
      <c r="AL455" s="120" t="str">
        <f>IFERROR(VLOOKUP(Table1[RespondentID],'All Data'!$A$3:$CO$999,87,FALSE),"unknown")</f>
        <v>Man</v>
      </c>
      <c r="AM455" s="120">
        <f>IFERROR(VLOOKUP(Table1[RespondentID],'All Data'!$A$3:$CO$999,88,FALSE),"unknown")</f>
        <v>91</v>
      </c>
      <c r="AN455" s="120" t="str">
        <f>IFERROR(VLOOKUP(Table1[RespondentID],'All Data'!$A$3:$CO$999,89,FALSE),"unknown")</f>
        <v>Nassau</v>
      </c>
      <c r="AO455" s="120" t="str">
        <f>IFERROR(VLOOKUP(Table1[RespondentID],'All Data'!$A$3:$CO$999,90,FALSE),"unknown")</f>
        <v>Farmingdale, 11735</v>
      </c>
      <c r="AP455" s="120" t="str">
        <f>IFERROR(VLOOKUP(Table1[RespondentID],'All Data'!$A$3:$CO$999,91,FALSE),"unknown")</f>
        <v>White</v>
      </c>
      <c r="AQ455" s="120" t="str">
        <f>IFERROR(VLOOKUP(Table1[RespondentID],'All Data'!$A$3:$CO$999,92,FALSE),"unknown")</f>
        <v>Not Hispanic or Latino</v>
      </c>
      <c r="AR455" s="120" t="str">
        <f>IFERROR(VLOOKUP(Table1[RespondentID],'All Data'!$A$3:$CO$999,93,FALSE),"unknown")</f>
        <v>English</v>
      </c>
      <c r="AS455" s="120" t="str">
        <f>IFERROR(VLOOKUP(Table1[RespondentID],'All Data'!$A$3:$CW$999,94,FALSE),"unknown")</f>
        <v>$35,000 to $49,999</v>
      </c>
      <c r="AT455" s="120" t="str">
        <f>IFERROR(VLOOKUP(Table1[RespondentID],'All Data'!$A$3:$CW$999,95,FALSE),"unknown")</f>
        <v>Some college</v>
      </c>
      <c r="AU455" s="120" t="str">
        <f>IFERROR(VLOOKUP(Table1[RespondentID],'All Data'!$A$3:$CW$999,96,FALSE),"unknown")</f>
        <v>Retired</v>
      </c>
      <c r="AV455" s="120" t="str">
        <f>IFERROR(VLOOKUP(Table1[RespondentID],'All Data'!$A$3:$CW$999,97,FALSE),"unknown")</f>
        <v>Yes</v>
      </c>
      <c r="AW455" s="120" t="str">
        <f>IFERROR(VLOOKUP(Table1[RespondentID],'All Data'!$A$3:$CW$999,98,FALSE),"unknown")</f>
        <v>Medicare</v>
      </c>
      <c r="AX455" s="120" t="str">
        <f>IFERROR(VLOOKUP(Table1[RespondentID],'All Data'!$A$3:$CW$999,99,FALSE),"unknown")</f>
        <v>Yes</v>
      </c>
    </row>
    <row r="456" spans="1:50">
      <c r="A456" s="124">
        <v>18031752630</v>
      </c>
      <c r="B456" s="168"/>
      <c r="C456" s="169"/>
      <c r="D456" s="169" t="s">
        <v>18</v>
      </c>
      <c r="E456" s="169"/>
      <c r="F456" s="169"/>
      <c r="G456" s="169"/>
      <c r="H456" s="169"/>
      <c r="I456" s="169"/>
      <c r="J456" s="169"/>
      <c r="K456" s="169"/>
      <c r="L456" s="169"/>
      <c r="M456" s="169" t="s">
        <v>27</v>
      </c>
      <c r="N456" s="169"/>
      <c r="O456" s="169"/>
      <c r="P456" s="161">
        <f t="shared" si="126"/>
        <v>2</v>
      </c>
      <c r="Q456" s="170">
        <f t="shared" si="127"/>
        <v>1.5</v>
      </c>
      <c r="R456" s="161"/>
      <c r="S456" s="161">
        <f t="shared" si="128"/>
        <v>0</v>
      </c>
      <c r="T456" s="161">
        <f t="shared" si="129"/>
        <v>0</v>
      </c>
      <c r="U456" s="161">
        <f t="shared" si="130"/>
        <v>1</v>
      </c>
      <c r="V456" s="162">
        <f t="shared" si="131"/>
        <v>0</v>
      </c>
      <c r="W456" s="162">
        <f t="shared" si="132"/>
        <v>0</v>
      </c>
      <c r="X456" s="162">
        <f t="shared" si="133"/>
        <v>0</v>
      </c>
      <c r="Y456" s="162">
        <f t="shared" si="134"/>
        <v>0</v>
      </c>
      <c r="Z456" s="162">
        <f t="shared" si="135"/>
        <v>0</v>
      </c>
      <c r="AA456" s="162">
        <f t="shared" si="136"/>
        <v>0</v>
      </c>
      <c r="AB456" s="162">
        <f t="shared" si="137"/>
        <v>0</v>
      </c>
      <c r="AC456" s="162">
        <f t="shared" si="138"/>
        <v>0</v>
      </c>
      <c r="AD456" s="162">
        <f t="shared" si="139"/>
        <v>1</v>
      </c>
      <c r="AE456" s="162">
        <f t="shared" si="140"/>
        <v>0</v>
      </c>
      <c r="AF456" s="161"/>
      <c r="AG456" s="161"/>
      <c r="AH456" s="161">
        <f t="shared" si="141"/>
        <v>2</v>
      </c>
      <c r="AI456" s="161">
        <f t="shared" si="142"/>
        <v>2</v>
      </c>
      <c r="AJ456" s="161" t="str">
        <f t="shared" si="143"/>
        <v>Correct</v>
      </c>
      <c r="AK456" s="124"/>
      <c r="AL456" s="120" t="str">
        <f>IFERROR(VLOOKUP(Table1[RespondentID],'All Data'!$A$3:$CO$999,87,FALSE),"unknown")</f>
        <v>Man</v>
      </c>
      <c r="AM456" s="120">
        <f>IFERROR(VLOOKUP(Table1[RespondentID],'All Data'!$A$3:$CO$999,88,FALSE),"unknown")</f>
        <v>68</v>
      </c>
      <c r="AN456" s="120" t="str">
        <f>IFERROR(VLOOKUP(Table1[RespondentID],'All Data'!$A$3:$CO$999,89,FALSE),"unknown")</f>
        <v>Nassau</v>
      </c>
      <c r="AO456" s="120" t="str">
        <f>IFERROR(VLOOKUP(Table1[RespondentID],'All Data'!$A$3:$CO$999,90,FALSE),"unknown")</f>
        <v>Farmingdale, 11735</v>
      </c>
      <c r="AP456" s="120" t="str">
        <f>IFERROR(VLOOKUP(Table1[RespondentID],'All Data'!$A$3:$CO$999,91,FALSE),"unknown")</f>
        <v>White</v>
      </c>
      <c r="AQ456" s="120" t="str">
        <f>IFERROR(VLOOKUP(Table1[RespondentID],'All Data'!$A$3:$CO$999,92,FALSE),"unknown")</f>
        <v>Not Hispanic or Latino</v>
      </c>
      <c r="AR456" s="120" t="str">
        <f>IFERROR(VLOOKUP(Table1[RespondentID],'All Data'!$A$3:$CO$999,93,FALSE),"unknown")</f>
        <v>English</v>
      </c>
      <c r="AS456" s="120" t="str">
        <f>IFERROR(VLOOKUP(Table1[RespondentID],'All Data'!$A$3:$CW$999,94,FALSE),"unknown")</f>
        <v>$50,000 to $74,999</v>
      </c>
      <c r="AT456" s="120" t="str">
        <f>IFERROR(VLOOKUP(Table1[RespondentID],'All Data'!$A$3:$CW$999,95,FALSE),"unknown")</f>
        <v>Some college</v>
      </c>
      <c r="AU456" s="120" t="str">
        <f>IFERROR(VLOOKUP(Table1[RespondentID],'All Data'!$A$3:$CW$999,96,FALSE),"unknown")</f>
        <v>Retired</v>
      </c>
      <c r="AV456" s="120" t="str">
        <f>IFERROR(VLOOKUP(Table1[RespondentID],'All Data'!$A$3:$CW$999,97,FALSE),"unknown")</f>
        <v>Yes</v>
      </c>
      <c r="AW456" s="120" t="str">
        <f>IFERROR(VLOOKUP(Table1[RespondentID],'All Data'!$A$3:$CW$999,98,FALSE),"unknown")</f>
        <v>Medicare</v>
      </c>
      <c r="AX456" s="120" t="str">
        <f>IFERROR(VLOOKUP(Table1[RespondentID],'All Data'!$A$3:$CW$999,99,FALSE),"unknown")</f>
        <v>Yes</v>
      </c>
    </row>
    <row r="457" spans="1:50">
      <c r="A457" s="124">
        <v>18031752588</v>
      </c>
      <c r="B457" s="168"/>
      <c r="C457" s="169"/>
      <c r="D457" s="169"/>
      <c r="E457" s="169"/>
      <c r="F457" s="169"/>
      <c r="G457" s="169"/>
      <c r="H457" s="169"/>
      <c r="I457" s="169"/>
      <c r="J457" s="169" t="s">
        <v>24</v>
      </c>
      <c r="K457" s="169"/>
      <c r="L457" s="169"/>
      <c r="M457" s="169" t="s">
        <v>27</v>
      </c>
      <c r="N457" s="169" t="s">
        <v>28</v>
      </c>
      <c r="O457" s="169"/>
      <c r="P457" s="161">
        <f t="shared" si="126"/>
        <v>3</v>
      </c>
      <c r="Q457" s="170">
        <f t="shared" si="127"/>
        <v>1</v>
      </c>
      <c r="R457" s="161"/>
      <c r="S457" s="161">
        <f t="shared" si="128"/>
        <v>0</v>
      </c>
      <c r="T457" s="161">
        <f t="shared" si="129"/>
        <v>0</v>
      </c>
      <c r="U457" s="161">
        <f t="shared" si="130"/>
        <v>0</v>
      </c>
      <c r="V457" s="162">
        <f t="shared" si="131"/>
        <v>0</v>
      </c>
      <c r="W457" s="162">
        <f t="shared" si="132"/>
        <v>0</v>
      </c>
      <c r="X457" s="162">
        <f t="shared" si="133"/>
        <v>0</v>
      </c>
      <c r="Y457" s="162">
        <f t="shared" si="134"/>
        <v>0</v>
      </c>
      <c r="Z457" s="162">
        <f t="shared" si="135"/>
        <v>0</v>
      </c>
      <c r="AA457" s="162">
        <f t="shared" si="136"/>
        <v>1</v>
      </c>
      <c r="AB457" s="162">
        <f t="shared" si="137"/>
        <v>0</v>
      </c>
      <c r="AC457" s="162">
        <f t="shared" si="138"/>
        <v>0</v>
      </c>
      <c r="AD457" s="162">
        <f t="shared" si="139"/>
        <v>1</v>
      </c>
      <c r="AE457" s="162">
        <f t="shared" si="140"/>
        <v>1</v>
      </c>
      <c r="AF457" s="161"/>
      <c r="AG457" s="161"/>
      <c r="AH457" s="161">
        <f t="shared" si="141"/>
        <v>3</v>
      </c>
      <c r="AI457" s="161">
        <f t="shared" si="142"/>
        <v>3</v>
      </c>
      <c r="AJ457" s="161" t="str">
        <f t="shared" si="143"/>
        <v>Correct</v>
      </c>
      <c r="AK457" s="124"/>
      <c r="AL457" s="120">
        <f>IFERROR(VLOOKUP(Table1[RespondentID],'All Data'!$A$3:$CO$999,87,FALSE),"unknown")</f>
        <v>0</v>
      </c>
      <c r="AM457" s="120">
        <f>IFERROR(VLOOKUP(Table1[RespondentID],'All Data'!$A$3:$CO$999,88,FALSE),"unknown")</f>
        <v>0</v>
      </c>
      <c r="AN457" s="120">
        <f>IFERROR(VLOOKUP(Table1[RespondentID],'All Data'!$A$3:$CO$999,89,FALSE),"unknown")</f>
        <v>0</v>
      </c>
      <c r="AO457" s="120">
        <f>IFERROR(VLOOKUP(Table1[RespondentID],'All Data'!$A$3:$CO$999,90,FALSE),"unknown")</f>
        <v>0</v>
      </c>
      <c r="AP457" s="120">
        <f>IFERROR(VLOOKUP(Table1[RespondentID],'All Data'!$A$3:$CO$999,91,FALSE),"unknown")</f>
        <v>0</v>
      </c>
      <c r="AQ457" s="120">
        <f>IFERROR(VLOOKUP(Table1[RespondentID],'All Data'!$A$3:$CO$999,92,FALSE),"unknown")</f>
        <v>0</v>
      </c>
      <c r="AR457" s="120">
        <f>IFERROR(VLOOKUP(Table1[RespondentID],'All Data'!$A$3:$CO$999,93,FALSE),"unknown")</f>
        <v>0</v>
      </c>
      <c r="AS457" s="120">
        <f>IFERROR(VLOOKUP(Table1[RespondentID],'All Data'!$A$3:$CW$999,94,FALSE),"unknown")</f>
        <v>0</v>
      </c>
      <c r="AT457" s="120">
        <f>IFERROR(VLOOKUP(Table1[RespondentID],'All Data'!$A$3:$CW$999,95,FALSE),"unknown")</f>
        <v>0</v>
      </c>
      <c r="AU457" s="120">
        <f>IFERROR(VLOOKUP(Table1[RespondentID],'All Data'!$A$3:$CW$999,96,FALSE),"unknown")</f>
        <v>0</v>
      </c>
      <c r="AV457" s="120">
        <f>IFERROR(VLOOKUP(Table1[RespondentID],'All Data'!$A$3:$CW$999,97,FALSE),"unknown")</f>
        <v>0</v>
      </c>
      <c r="AW457" s="120">
        <f>IFERROR(VLOOKUP(Table1[RespondentID],'All Data'!$A$3:$CW$999,98,FALSE),"unknown")</f>
        <v>0</v>
      </c>
      <c r="AX457" s="120">
        <f>IFERROR(VLOOKUP(Table1[RespondentID],'All Data'!$A$3:$CW$999,99,FALSE),"unknown")</f>
        <v>0</v>
      </c>
    </row>
    <row r="458" spans="1:50">
      <c r="A458" s="124">
        <v>18031752510</v>
      </c>
      <c r="B458" s="168"/>
      <c r="C458" s="169"/>
      <c r="D458" s="169"/>
      <c r="E458" s="169"/>
      <c r="F458" s="169"/>
      <c r="G458" s="169"/>
      <c r="H458" s="169"/>
      <c r="I458" s="169"/>
      <c r="J458" s="169"/>
      <c r="K458" s="169"/>
      <c r="L458" s="169"/>
      <c r="M458" s="169"/>
      <c r="N458" s="169"/>
      <c r="O458" s="169" t="s">
        <v>140</v>
      </c>
      <c r="P458" s="161">
        <f t="shared" si="126"/>
        <v>0</v>
      </c>
      <c r="Q458" s="170" t="e">
        <f t="shared" si="127"/>
        <v>#DIV/0!</v>
      </c>
      <c r="R458" s="161"/>
      <c r="S458" s="161">
        <f t="shared" si="128"/>
        <v>0</v>
      </c>
      <c r="T458" s="161">
        <f t="shared" si="129"/>
        <v>0</v>
      </c>
      <c r="U458" s="161">
        <f t="shared" si="130"/>
        <v>0</v>
      </c>
      <c r="V458" s="162">
        <f t="shared" si="131"/>
        <v>0</v>
      </c>
      <c r="W458" s="162">
        <f t="shared" si="132"/>
        <v>0</v>
      </c>
      <c r="X458" s="162">
        <f t="shared" si="133"/>
        <v>0</v>
      </c>
      <c r="Y458" s="162">
        <f t="shared" si="134"/>
        <v>0</v>
      </c>
      <c r="Z458" s="162">
        <f t="shared" si="135"/>
        <v>0</v>
      </c>
      <c r="AA458" s="162">
        <f t="shared" si="136"/>
        <v>0</v>
      </c>
      <c r="AB458" s="162">
        <f t="shared" si="137"/>
        <v>0</v>
      </c>
      <c r="AC458" s="162">
        <f t="shared" si="138"/>
        <v>0</v>
      </c>
      <c r="AD458" s="162">
        <f t="shared" si="139"/>
        <v>0</v>
      </c>
      <c r="AE458" s="162">
        <f t="shared" si="140"/>
        <v>0</v>
      </c>
      <c r="AF458" s="161"/>
      <c r="AG458" s="161"/>
      <c r="AH458" s="161">
        <f t="shared" si="141"/>
        <v>0</v>
      </c>
      <c r="AI458" s="161">
        <f t="shared" si="142"/>
        <v>0</v>
      </c>
      <c r="AJ458" s="161" t="str">
        <f t="shared" si="143"/>
        <v>Correct</v>
      </c>
      <c r="AK458" s="124"/>
      <c r="AL458" s="120" t="str">
        <f>IFERROR(VLOOKUP(Table1[RespondentID],'All Data'!$A$3:$CO$999,87,FALSE),"unknown")</f>
        <v>Man</v>
      </c>
      <c r="AM458" s="120">
        <f>IFERROR(VLOOKUP(Table1[RespondentID],'All Data'!$A$3:$CO$999,88,FALSE),"unknown")</f>
        <v>19</v>
      </c>
      <c r="AN458" s="120" t="str">
        <f>IFERROR(VLOOKUP(Table1[RespondentID],'All Data'!$A$3:$CO$999,89,FALSE),"unknown")</f>
        <v>Nassau</v>
      </c>
      <c r="AO458" s="120" t="str">
        <f>IFERROR(VLOOKUP(Table1[RespondentID],'All Data'!$A$3:$CO$999,90,FALSE),"unknown")</f>
        <v>Uniondale, 11553</v>
      </c>
      <c r="AP458" s="120">
        <f>IFERROR(VLOOKUP(Table1[RespondentID],'All Data'!$A$3:$CO$999,91,FALSE),"unknown")</f>
        <v>0</v>
      </c>
      <c r="AQ458" s="120" t="str">
        <f>IFERROR(VLOOKUP(Table1[RespondentID],'All Data'!$A$3:$CO$999,92,FALSE),"unknown")</f>
        <v>Hispanic or Latino</v>
      </c>
      <c r="AR458" s="120" t="str">
        <f>IFERROR(VLOOKUP(Table1[RespondentID],'All Data'!$A$3:$CO$999,93,FALSE),"unknown")</f>
        <v>English,Spanish</v>
      </c>
      <c r="AS458" s="120">
        <f>IFERROR(VLOOKUP(Table1[RespondentID],'All Data'!$A$3:$CW$999,94,FALSE),"unknown")</f>
        <v>0</v>
      </c>
      <c r="AT458" s="120" t="str">
        <f>IFERROR(VLOOKUP(Table1[RespondentID],'All Data'!$A$3:$CW$999,95,FALSE),"unknown")</f>
        <v>High school graduate</v>
      </c>
      <c r="AU458" s="120" t="str">
        <f>IFERROR(VLOOKUP(Table1[RespondentID],'All Data'!$A$3:$CW$999,96,FALSE),"unknown")</f>
        <v>Employed for wages</v>
      </c>
      <c r="AV458" s="120" t="str">
        <f>IFERROR(VLOOKUP(Table1[RespondentID],'All Data'!$A$3:$CW$999,97,FALSE),"unknown")</f>
        <v>Yes</v>
      </c>
      <c r="AW458" s="120">
        <f>IFERROR(VLOOKUP(Table1[RespondentID],'All Data'!$A$3:$CW$999,98,FALSE),"unknown")</f>
        <v>0</v>
      </c>
      <c r="AX458" s="120" t="str">
        <f>IFERROR(VLOOKUP(Table1[RespondentID],'All Data'!$A$3:$CW$999,99,FALSE),"unknown")</f>
        <v>Yes</v>
      </c>
    </row>
    <row r="459" spans="1:50">
      <c r="A459" s="124">
        <v>18031752417</v>
      </c>
      <c r="B459" s="168"/>
      <c r="C459" s="169"/>
      <c r="D459" s="169" t="s">
        <v>18</v>
      </c>
      <c r="E459" s="169"/>
      <c r="F459" s="169"/>
      <c r="G459" s="169"/>
      <c r="H459" s="169"/>
      <c r="I459" s="169"/>
      <c r="J459" s="169"/>
      <c r="K459" s="169"/>
      <c r="L459" s="169"/>
      <c r="M459" s="169"/>
      <c r="N459" s="169"/>
      <c r="O459" s="169"/>
      <c r="P459" s="161">
        <f t="shared" si="126"/>
        <v>1</v>
      </c>
      <c r="Q459" s="170">
        <f t="shared" si="127"/>
        <v>3</v>
      </c>
      <c r="R459" s="161"/>
      <c r="S459" s="161">
        <f t="shared" si="128"/>
        <v>0</v>
      </c>
      <c r="T459" s="161">
        <f t="shared" si="129"/>
        <v>0</v>
      </c>
      <c r="U459" s="161">
        <f t="shared" si="130"/>
        <v>1</v>
      </c>
      <c r="V459" s="162">
        <f t="shared" si="131"/>
        <v>0</v>
      </c>
      <c r="W459" s="162">
        <f t="shared" si="132"/>
        <v>0</v>
      </c>
      <c r="X459" s="162">
        <f t="shared" si="133"/>
        <v>0</v>
      </c>
      <c r="Y459" s="162">
        <f t="shared" si="134"/>
        <v>0</v>
      </c>
      <c r="Z459" s="162">
        <f t="shared" si="135"/>
        <v>0</v>
      </c>
      <c r="AA459" s="162">
        <f t="shared" si="136"/>
        <v>0</v>
      </c>
      <c r="AB459" s="162">
        <f t="shared" si="137"/>
        <v>0</v>
      </c>
      <c r="AC459" s="162">
        <f t="shared" si="138"/>
        <v>0</v>
      </c>
      <c r="AD459" s="162">
        <f t="shared" si="139"/>
        <v>0</v>
      </c>
      <c r="AE459" s="162">
        <f t="shared" si="140"/>
        <v>0</v>
      </c>
      <c r="AF459" s="161"/>
      <c r="AG459" s="161"/>
      <c r="AH459" s="161">
        <f t="shared" si="141"/>
        <v>1</v>
      </c>
      <c r="AI459" s="161">
        <f t="shared" si="142"/>
        <v>1</v>
      </c>
      <c r="AJ459" s="161" t="str">
        <f t="shared" si="143"/>
        <v>Correct</v>
      </c>
      <c r="AK459" s="124"/>
      <c r="AL459" s="120" t="str">
        <f>IFERROR(VLOOKUP(Table1[RespondentID],'All Data'!$A$3:$CO$999,87,FALSE),"unknown")</f>
        <v>Woman</v>
      </c>
      <c r="AM459" s="120">
        <f>IFERROR(VLOOKUP(Table1[RespondentID],'All Data'!$A$3:$CO$999,88,FALSE),"unknown")</f>
        <v>0</v>
      </c>
      <c r="AN459" s="120">
        <f>IFERROR(VLOOKUP(Table1[RespondentID],'All Data'!$A$3:$CO$999,89,FALSE),"unknown")</f>
        <v>0</v>
      </c>
      <c r="AO459" s="120">
        <f>IFERROR(VLOOKUP(Table1[RespondentID],'All Data'!$A$3:$CO$999,90,FALSE),"unknown")</f>
        <v>0</v>
      </c>
      <c r="AP459" s="120">
        <f>IFERROR(VLOOKUP(Table1[RespondentID],'All Data'!$A$3:$CO$999,91,FALSE),"unknown")</f>
        <v>0</v>
      </c>
      <c r="AQ459" s="120">
        <f>IFERROR(VLOOKUP(Table1[RespondentID],'All Data'!$A$3:$CO$999,92,FALSE),"unknown")</f>
        <v>0</v>
      </c>
      <c r="AR459" s="120" t="str">
        <f>IFERROR(VLOOKUP(Table1[RespondentID],'All Data'!$A$3:$CO$999,93,FALSE),"unknown")</f>
        <v>Chinese</v>
      </c>
      <c r="AS459" s="120" t="str">
        <f>IFERROR(VLOOKUP(Table1[RespondentID],'All Data'!$A$3:$CW$999,94,FALSE),"unknown")</f>
        <v>$75,000 to $125,000</v>
      </c>
      <c r="AT459" s="120" t="str">
        <f>IFERROR(VLOOKUP(Table1[RespondentID],'All Data'!$A$3:$CW$999,95,FALSE),"unknown")</f>
        <v>College graduate</v>
      </c>
      <c r="AU459" s="120" t="str">
        <f>IFERROR(VLOOKUP(Table1[RespondentID],'All Data'!$A$3:$CW$999,96,FALSE),"unknown")</f>
        <v>Retired</v>
      </c>
      <c r="AV459" s="120" t="str">
        <f>IFERROR(VLOOKUP(Table1[RespondentID],'All Data'!$A$3:$CW$999,97,FALSE),"unknown")</f>
        <v>Yes</v>
      </c>
      <c r="AW459" s="120" t="str">
        <f>IFERROR(VLOOKUP(Table1[RespondentID],'All Data'!$A$3:$CW$999,98,FALSE),"unknown")</f>
        <v>Medicaid</v>
      </c>
      <c r="AX459" s="120" t="str">
        <f>IFERROR(VLOOKUP(Table1[RespondentID],'All Data'!$A$3:$CW$999,99,FALSE),"unknown")</f>
        <v>Yes</v>
      </c>
    </row>
    <row r="460" spans="1:50">
      <c r="A460" s="124">
        <v>18031752360</v>
      </c>
      <c r="B460" s="168"/>
      <c r="C460" s="169"/>
      <c r="D460" s="169" t="s">
        <v>18</v>
      </c>
      <c r="E460" s="169"/>
      <c r="F460" s="169"/>
      <c r="G460" s="169"/>
      <c r="H460" s="169"/>
      <c r="I460" s="169"/>
      <c r="J460" s="169"/>
      <c r="K460" s="169" t="s">
        <v>25</v>
      </c>
      <c r="L460" s="169"/>
      <c r="M460" s="169"/>
      <c r="N460" s="169"/>
      <c r="O460" s="169"/>
      <c r="P460" s="161">
        <f t="shared" si="126"/>
        <v>2</v>
      </c>
      <c r="Q460" s="170">
        <f t="shared" si="127"/>
        <v>1.5</v>
      </c>
      <c r="R460" s="161"/>
      <c r="S460" s="161">
        <f t="shared" si="128"/>
        <v>0</v>
      </c>
      <c r="T460" s="161">
        <f t="shared" si="129"/>
        <v>0</v>
      </c>
      <c r="U460" s="161">
        <f t="shared" si="130"/>
        <v>1</v>
      </c>
      <c r="V460" s="162">
        <f t="shared" si="131"/>
        <v>0</v>
      </c>
      <c r="W460" s="162">
        <f t="shared" si="132"/>
        <v>0</v>
      </c>
      <c r="X460" s="162">
        <f t="shared" si="133"/>
        <v>0</v>
      </c>
      <c r="Y460" s="162">
        <f t="shared" si="134"/>
        <v>0</v>
      </c>
      <c r="Z460" s="162">
        <f t="shared" si="135"/>
        <v>0</v>
      </c>
      <c r="AA460" s="162">
        <f t="shared" si="136"/>
        <v>0</v>
      </c>
      <c r="AB460" s="162">
        <f t="shared" si="137"/>
        <v>1</v>
      </c>
      <c r="AC460" s="162">
        <f t="shared" si="138"/>
        <v>0</v>
      </c>
      <c r="AD460" s="162">
        <f t="shared" si="139"/>
        <v>0</v>
      </c>
      <c r="AE460" s="162">
        <f t="shared" si="140"/>
        <v>0</v>
      </c>
      <c r="AF460" s="161"/>
      <c r="AG460" s="161"/>
      <c r="AH460" s="161">
        <f t="shared" si="141"/>
        <v>2</v>
      </c>
      <c r="AI460" s="161">
        <f t="shared" si="142"/>
        <v>2</v>
      </c>
      <c r="AJ460" s="161" t="str">
        <f t="shared" si="143"/>
        <v>Correct</v>
      </c>
      <c r="AK460" s="124"/>
      <c r="AL460" s="120" t="str">
        <f>IFERROR(VLOOKUP(Table1[RespondentID],'All Data'!$A$3:$CO$999,87,FALSE),"unknown")</f>
        <v>Man</v>
      </c>
      <c r="AM460" s="120">
        <f>IFERROR(VLOOKUP(Table1[RespondentID],'All Data'!$A$3:$CO$999,88,FALSE),"unknown")</f>
        <v>89</v>
      </c>
      <c r="AN460" s="120" t="str">
        <f>IFERROR(VLOOKUP(Table1[RespondentID],'All Data'!$A$3:$CO$999,89,FALSE),"unknown")</f>
        <v>Nassau</v>
      </c>
      <c r="AO460" s="120" t="str">
        <f>IFERROR(VLOOKUP(Table1[RespondentID],'All Data'!$A$3:$CO$999,90,FALSE),"unknown")</f>
        <v>New Hyde Park, 11040</v>
      </c>
      <c r="AP460" s="120" t="str">
        <f>IFERROR(VLOOKUP(Table1[RespondentID],'All Data'!$A$3:$CO$999,91,FALSE),"unknown")</f>
        <v>White</v>
      </c>
      <c r="AQ460" s="120">
        <f>IFERROR(VLOOKUP(Table1[RespondentID],'All Data'!$A$3:$CO$999,92,FALSE),"unknown")</f>
        <v>0</v>
      </c>
      <c r="AR460" s="120" t="str">
        <f>IFERROR(VLOOKUP(Table1[RespondentID],'All Data'!$A$3:$CO$999,93,FALSE),"unknown")</f>
        <v>English</v>
      </c>
      <c r="AS460" s="120">
        <f>IFERROR(VLOOKUP(Table1[RespondentID],'All Data'!$A$3:$CW$999,94,FALSE),"unknown")</f>
        <v>0</v>
      </c>
      <c r="AT460" s="120" t="str">
        <f>IFERROR(VLOOKUP(Table1[RespondentID],'All Data'!$A$3:$CW$999,95,FALSE),"unknown")</f>
        <v>Some high school</v>
      </c>
      <c r="AU460" s="120" t="str">
        <f>IFERROR(VLOOKUP(Table1[RespondentID],'All Data'!$A$3:$CW$999,96,FALSE),"unknown")</f>
        <v>Retired</v>
      </c>
      <c r="AV460" s="120" t="str">
        <f>IFERROR(VLOOKUP(Table1[RespondentID],'All Data'!$A$3:$CW$999,97,FALSE),"unknown")</f>
        <v>Yes</v>
      </c>
      <c r="AW460" s="120" t="str">
        <f>IFERROR(VLOOKUP(Table1[RespondentID],'All Data'!$A$3:$CW$999,98,FALSE),"unknown")</f>
        <v>Medicare</v>
      </c>
      <c r="AX460" s="120" t="str">
        <f>IFERROR(VLOOKUP(Table1[RespondentID],'All Data'!$A$3:$CW$999,99,FALSE),"unknown")</f>
        <v>No</v>
      </c>
    </row>
    <row r="461" spans="1:50">
      <c r="A461" s="124">
        <v>18031752309</v>
      </c>
      <c r="B461" s="168"/>
      <c r="C461" s="169"/>
      <c r="D461" s="169" t="s">
        <v>18</v>
      </c>
      <c r="E461" s="169"/>
      <c r="F461" s="169"/>
      <c r="G461" s="169"/>
      <c r="H461" s="169" t="s">
        <v>22</v>
      </c>
      <c r="I461" s="169"/>
      <c r="J461" s="169"/>
      <c r="K461" s="169" t="s">
        <v>25</v>
      </c>
      <c r="L461" s="169"/>
      <c r="M461" s="169"/>
      <c r="N461" s="169"/>
      <c r="O461" s="169"/>
      <c r="P461" s="161">
        <f t="shared" si="126"/>
        <v>3</v>
      </c>
      <c r="Q461" s="170">
        <f t="shared" si="127"/>
        <v>1</v>
      </c>
      <c r="R461" s="161"/>
      <c r="S461" s="161">
        <f t="shared" si="128"/>
        <v>0</v>
      </c>
      <c r="T461" s="161">
        <f t="shared" si="129"/>
        <v>0</v>
      </c>
      <c r="U461" s="161">
        <f t="shared" si="130"/>
        <v>1</v>
      </c>
      <c r="V461" s="162">
        <f t="shared" si="131"/>
        <v>0</v>
      </c>
      <c r="W461" s="162">
        <f t="shared" si="132"/>
        <v>0</v>
      </c>
      <c r="X461" s="162">
        <f t="shared" si="133"/>
        <v>0</v>
      </c>
      <c r="Y461" s="162">
        <f t="shared" si="134"/>
        <v>1</v>
      </c>
      <c r="Z461" s="162">
        <f t="shared" si="135"/>
        <v>0</v>
      </c>
      <c r="AA461" s="162">
        <f t="shared" si="136"/>
        <v>0</v>
      </c>
      <c r="AB461" s="162">
        <f t="shared" si="137"/>
        <v>1</v>
      </c>
      <c r="AC461" s="162">
        <f t="shared" si="138"/>
        <v>0</v>
      </c>
      <c r="AD461" s="162">
        <f t="shared" si="139"/>
        <v>0</v>
      </c>
      <c r="AE461" s="162">
        <f t="shared" si="140"/>
        <v>0</v>
      </c>
      <c r="AF461" s="161"/>
      <c r="AG461" s="161"/>
      <c r="AH461" s="161">
        <f t="shared" si="141"/>
        <v>3</v>
      </c>
      <c r="AI461" s="161">
        <f t="shared" si="142"/>
        <v>3</v>
      </c>
      <c r="AJ461" s="161" t="str">
        <f t="shared" si="143"/>
        <v>Correct</v>
      </c>
      <c r="AK461" s="124"/>
      <c r="AL461" s="120" t="str">
        <f>IFERROR(VLOOKUP(Table1[RespondentID],'All Data'!$A$3:$CO$999,87,FALSE),"unknown")</f>
        <v>Woman</v>
      </c>
      <c r="AM461" s="120">
        <f>IFERROR(VLOOKUP(Table1[RespondentID],'All Data'!$A$3:$CO$999,88,FALSE),"unknown")</f>
        <v>0</v>
      </c>
      <c r="AN461" s="120">
        <f>IFERROR(VLOOKUP(Table1[RespondentID],'All Data'!$A$3:$CO$999,89,FALSE),"unknown")</f>
        <v>0</v>
      </c>
      <c r="AO461" s="120">
        <f>IFERROR(VLOOKUP(Table1[RespondentID],'All Data'!$A$3:$CO$999,90,FALSE),"unknown")</f>
        <v>0</v>
      </c>
      <c r="AP461" s="120" t="str">
        <f>IFERROR(VLOOKUP(Table1[RespondentID],'All Data'!$A$3:$CO$999,91,FALSE),"unknown")</f>
        <v>White</v>
      </c>
      <c r="AQ461" s="120" t="str">
        <f>IFERROR(VLOOKUP(Table1[RespondentID],'All Data'!$A$3:$CO$999,92,FALSE),"unknown")</f>
        <v>Not Hispanic or Latino</v>
      </c>
      <c r="AR461" s="120" t="str">
        <f>IFERROR(VLOOKUP(Table1[RespondentID],'All Data'!$A$3:$CO$999,93,FALSE),"unknown")</f>
        <v>English</v>
      </c>
      <c r="AS461" s="120">
        <f>IFERROR(VLOOKUP(Table1[RespondentID],'All Data'!$A$3:$CW$999,94,FALSE),"unknown")</f>
        <v>0</v>
      </c>
      <c r="AT461" s="120" t="str">
        <f>IFERROR(VLOOKUP(Table1[RespondentID],'All Data'!$A$3:$CW$999,95,FALSE),"unknown")</f>
        <v>High school graduate</v>
      </c>
      <c r="AU461" s="120" t="str">
        <f>IFERROR(VLOOKUP(Table1[RespondentID],'All Data'!$A$3:$CW$999,96,FALSE),"unknown")</f>
        <v>Retired</v>
      </c>
      <c r="AV461" s="120" t="str">
        <f>IFERROR(VLOOKUP(Table1[RespondentID],'All Data'!$A$3:$CW$999,97,FALSE),"unknown")</f>
        <v>Yes</v>
      </c>
      <c r="AW461" s="120" t="str">
        <f>IFERROR(VLOOKUP(Table1[RespondentID],'All Data'!$A$3:$CW$999,98,FALSE),"unknown")</f>
        <v>Medicare</v>
      </c>
      <c r="AX461" s="120">
        <f>IFERROR(VLOOKUP(Table1[RespondentID],'All Data'!$A$3:$CW$999,99,FALSE),"unknown")</f>
        <v>0</v>
      </c>
    </row>
    <row r="462" spans="1:50">
      <c r="A462" s="124">
        <v>18031752239</v>
      </c>
      <c r="B462" s="168"/>
      <c r="C462" s="169" t="s">
        <v>17</v>
      </c>
      <c r="D462" s="169" t="s">
        <v>18</v>
      </c>
      <c r="E462" s="169"/>
      <c r="F462" s="169"/>
      <c r="G462" s="169"/>
      <c r="H462" s="169"/>
      <c r="I462" s="169"/>
      <c r="J462" s="169"/>
      <c r="K462" s="169"/>
      <c r="L462" s="169"/>
      <c r="M462" s="169"/>
      <c r="N462" s="169"/>
      <c r="O462" s="169" t="s">
        <v>490</v>
      </c>
      <c r="P462" s="161">
        <f t="shared" ref="P462:P493" si="144">COUNTA(B462:N462)</f>
        <v>2</v>
      </c>
      <c r="Q462" s="170">
        <f t="shared" ref="Q462:Q493" si="145">3/P462</f>
        <v>1.5</v>
      </c>
      <c r="R462" s="161"/>
      <c r="S462" s="161">
        <f t="shared" ref="S462:S493" si="146">IF($P462&lt;3,IF($B462=$B$1,1,0),IF($B462=$B$1,$Q462,0))</f>
        <v>0</v>
      </c>
      <c r="T462" s="161">
        <f t="shared" ref="T462:T493" si="147">IF($P462&lt;3,IF($C462=$C$1,1,0),IF($C462=$C$1,$Q462,0))</f>
        <v>1</v>
      </c>
      <c r="U462" s="161">
        <f t="shared" ref="U462:U493" si="148">IF($P462&lt;3,IF($D462=$D$1,1,0),IF($D462=$D$1,$Q462,0))</f>
        <v>1</v>
      </c>
      <c r="V462" s="162">
        <f t="shared" ref="V462:V493" si="149">IF($P462&lt;3,IF($E462=$E$1,1,0),IF($E462=$E$1,$Q462,0))</f>
        <v>0</v>
      </c>
      <c r="W462" s="162">
        <f t="shared" ref="W462:W493" si="150">IF($P462&lt;3,IF($F462=$F$1,1,0),IF($F462=$F$1,$Q462,0))</f>
        <v>0</v>
      </c>
      <c r="X462" s="162">
        <f t="shared" ref="X462:X493" si="151">IF($P462&lt;3,IF($G462=$G$1,1,0),IF($G462=$G$1,$Q462,0))</f>
        <v>0</v>
      </c>
      <c r="Y462" s="162">
        <f t="shared" ref="Y462:Y493" si="152">IF($P462&lt;3,IF($H462=$H$1,1,0),IF($H462=$H$1,$Q462,0))</f>
        <v>0</v>
      </c>
      <c r="Z462" s="162">
        <f t="shared" ref="Z462:Z493" si="153">IF($P462&lt;3,IF($I462=$I$1,1,0),IF($I462=$I$1,$Q462,0))</f>
        <v>0</v>
      </c>
      <c r="AA462" s="162">
        <f t="shared" ref="AA462:AA493" si="154">IF($P462&lt;3,IF($J462=$J$1,1,0),IF($J462=$J$1,$Q462,0))</f>
        <v>0</v>
      </c>
      <c r="AB462" s="162">
        <f t="shared" ref="AB462:AB493" si="155">IF($P462&lt;3,IF($K462=$K$1,1,0),IF($K462=$K$1,$Q462,0))</f>
        <v>0</v>
      </c>
      <c r="AC462" s="162">
        <f t="shared" ref="AC462:AC493" si="156">IF($P462&lt;3,IF($L462=$L$1,1,0),IF($L462=$L$1,$Q462,0))</f>
        <v>0</v>
      </c>
      <c r="AD462" s="162">
        <f t="shared" ref="AD462:AD493" si="157">IF($P462&lt;3,IF($M462=$M$1,1,0),IF($M462=$M$1,$Q462,0))</f>
        <v>0</v>
      </c>
      <c r="AE462" s="162">
        <f t="shared" ref="AE462:AE493" si="158">IF($P462&lt;3,IF($N462=$N$1,1,0),IF($N462=$N$1,$Q462,0))</f>
        <v>0</v>
      </c>
      <c r="AF462" s="161"/>
      <c r="AG462" s="161"/>
      <c r="AH462" s="161">
        <f t="shared" ref="AH462:AH493" si="159">SUM(S462:AE462)</f>
        <v>2</v>
      </c>
      <c r="AI462" s="161">
        <f t="shared" ref="AI462:AI493" si="160">P462</f>
        <v>2</v>
      </c>
      <c r="AJ462" s="161" t="str">
        <f t="shared" ref="AJ462:AJ493" si="161">IF(AH462=AI462,"Correct",IF(AH462=3,"Correct","Wrong"))</f>
        <v>Correct</v>
      </c>
      <c r="AK462" s="124"/>
      <c r="AL462" s="120" t="str">
        <f>IFERROR(VLOOKUP(Table1[RespondentID],'All Data'!$A$3:$CO$999,87,FALSE),"unknown")</f>
        <v>Woman</v>
      </c>
      <c r="AM462" s="120">
        <f>IFERROR(VLOOKUP(Table1[RespondentID],'All Data'!$A$3:$CO$999,88,FALSE),"unknown")</f>
        <v>77</v>
      </c>
      <c r="AN462" s="120" t="str">
        <f>IFERROR(VLOOKUP(Table1[RespondentID],'All Data'!$A$3:$CO$999,89,FALSE),"unknown")</f>
        <v>Nassau</v>
      </c>
      <c r="AO462" s="120" t="str">
        <f>IFERROR(VLOOKUP(Table1[RespondentID],'All Data'!$A$3:$CO$999,90,FALSE),"unknown")</f>
        <v>Carle Place, 11514</v>
      </c>
      <c r="AP462" s="120" t="str">
        <f>IFERROR(VLOOKUP(Table1[RespondentID],'All Data'!$A$3:$CO$999,91,FALSE),"unknown")</f>
        <v>White</v>
      </c>
      <c r="AQ462" s="120" t="str">
        <f>IFERROR(VLOOKUP(Table1[RespondentID],'All Data'!$A$3:$CO$999,92,FALSE),"unknown")</f>
        <v>Not Hispanic or Latino</v>
      </c>
      <c r="AR462" s="120" t="str">
        <f>IFERROR(VLOOKUP(Table1[RespondentID],'All Data'!$A$3:$CO$999,93,FALSE),"unknown")</f>
        <v>English</v>
      </c>
      <c r="AS462" s="120">
        <f>IFERROR(VLOOKUP(Table1[RespondentID],'All Data'!$A$3:$CW$999,94,FALSE),"unknown")</f>
        <v>0</v>
      </c>
      <c r="AT462" s="120">
        <f>IFERROR(VLOOKUP(Table1[RespondentID],'All Data'!$A$3:$CW$999,95,FALSE),"unknown")</f>
        <v>0</v>
      </c>
      <c r="AU462" s="120" t="str">
        <f>IFERROR(VLOOKUP(Table1[RespondentID],'All Data'!$A$3:$CW$999,96,FALSE),"unknown")</f>
        <v>Retired</v>
      </c>
      <c r="AV462" s="120" t="str">
        <f>IFERROR(VLOOKUP(Table1[RespondentID],'All Data'!$A$3:$CW$999,97,FALSE),"unknown")</f>
        <v>Yes</v>
      </c>
      <c r="AW462" s="120" t="str">
        <f>IFERROR(VLOOKUP(Table1[RespondentID],'All Data'!$A$3:$CW$999,98,FALSE),"unknown")</f>
        <v>Medicare,Private/Commercial</v>
      </c>
      <c r="AX462" s="120" t="str">
        <f>IFERROR(VLOOKUP(Table1[RespondentID],'All Data'!$A$3:$CW$999,99,FALSE),"unknown")</f>
        <v>Yes</v>
      </c>
    </row>
    <row r="463" spans="1:50">
      <c r="A463" s="124">
        <v>18031752178</v>
      </c>
      <c r="B463" s="168"/>
      <c r="C463" s="169"/>
      <c r="D463" s="169"/>
      <c r="E463" s="169" t="s">
        <v>19</v>
      </c>
      <c r="F463" s="169"/>
      <c r="G463" s="169"/>
      <c r="H463" s="169"/>
      <c r="I463" s="169" t="s">
        <v>23</v>
      </c>
      <c r="J463" s="169"/>
      <c r="K463" s="169"/>
      <c r="L463" s="169"/>
      <c r="M463" s="169"/>
      <c r="N463" s="169"/>
      <c r="O463" s="169"/>
      <c r="P463" s="161">
        <f t="shared" si="144"/>
        <v>2</v>
      </c>
      <c r="Q463" s="170">
        <f t="shared" si="145"/>
        <v>1.5</v>
      </c>
      <c r="R463" s="161"/>
      <c r="S463" s="161">
        <f t="shared" si="146"/>
        <v>0</v>
      </c>
      <c r="T463" s="161">
        <f t="shared" si="147"/>
        <v>0</v>
      </c>
      <c r="U463" s="161">
        <f t="shared" si="148"/>
        <v>0</v>
      </c>
      <c r="V463" s="162">
        <f t="shared" si="149"/>
        <v>1</v>
      </c>
      <c r="W463" s="162">
        <f t="shared" si="150"/>
        <v>0</v>
      </c>
      <c r="X463" s="162">
        <f t="shared" si="151"/>
        <v>0</v>
      </c>
      <c r="Y463" s="162">
        <f t="shared" si="152"/>
        <v>0</v>
      </c>
      <c r="Z463" s="162">
        <f t="shared" si="153"/>
        <v>1</v>
      </c>
      <c r="AA463" s="162">
        <f t="shared" si="154"/>
        <v>0</v>
      </c>
      <c r="AB463" s="162">
        <f t="shared" si="155"/>
        <v>0</v>
      </c>
      <c r="AC463" s="162">
        <f t="shared" si="156"/>
        <v>0</v>
      </c>
      <c r="AD463" s="162">
        <f t="shared" si="157"/>
        <v>0</v>
      </c>
      <c r="AE463" s="162">
        <f t="shared" si="158"/>
        <v>0</v>
      </c>
      <c r="AF463" s="161"/>
      <c r="AG463" s="161"/>
      <c r="AH463" s="161">
        <f t="shared" si="159"/>
        <v>2</v>
      </c>
      <c r="AI463" s="161">
        <f t="shared" si="160"/>
        <v>2</v>
      </c>
      <c r="AJ463" s="161" t="str">
        <f t="shared" si="161"/>
        <v>Correct</v>
      </c>
      <c r="AK463" s="124"/>
      <c r="AL463" s="120" t="str">
        <f>IFERROR(VLOOKUP(Table1[RespondentID],'All Data'!$A$3:$CO$999,87,FALSE),"unknown")</f>
        <v>Woman</v>
      </c>
      <c r="AM463" s="120">
        <f>IFERROR(VLOOKUP(Table1[RespondentID],'All Data'!$A$3:$CO$999,88,FALSE),"unknown")</f>
        <v>73</v>
      </c>
      <c r="AN463" s="120" t="str">
        <f>IFERROR(VLOOKUP(Table1[RespondentID],'All Data'!$A$3:$CO$999,89,FALSE),"unknown")</f>
        <v>Nassau</v>
      </c>
      <c r="AO463" s="120" t="str">
        <f>IFERROR(VLOOKUP(Table1[RespondentID],'All Data'!$A$3:$CO$999,90,FALSE),"unknown")</f>
        <v>New Cassel, 11590</v>
      </c>
      <c r="AP463" s="120" t="str">
        <f>IFERROR(VLOOKUP(Table1[RespondentID],'All Data'!$A$3:$CO$999,91,FALSE),"unknown")</f>
        <v>White</v>
      </c>
      <c r="AQ463" s="120" t="str">
        <f>IFERROR(VLOOKUP(Table1[RespondentID],'All Data'!$A$3:$CO$999,92,FALSE),"unknown")</f>
        <v>Not Hispanic or Latino</v>
      </c>
      <c r="AR463" s="120" t="str">
        <f>IFERROR(VLOOKUP(Table1[RespondentID],'All Data'!$A$3:$CO$999,93,FALSE),"unknown")</f>
        <v>English</v>
      </c>
      <c r="AS463" s="120" t="str">
        <f>IFERROR(VLOOKUP(Table1[RespondentID],'All Data'!$A$3:$CW$999,94,FALSE),"unknown")</f>
        <v>$75,000 to $125,000</v>
      </c>
      <c r="AT463" s="120" t="str">
        <f>IFERROR(VLOOKUP(Table1[RespondentID],'All Data'!$A$3:$CW$999,95,FALSE),"unknown")</f>
        <v>College graduate</v>
      </c>
      <c r="AU463" s="120" t="str">
        <f>IFERROR(VLOOKUP(Table1[RespondentID],'All Data'!$A$3:$CW$999,96,FALSE),"unknown")</f>
        <v>Retired</v>
      </c>
      <c r="AV463" s="120" t="str">
        <f>IFERROR(VLOOKUP(Table1[RespondentID],'All Data'!$A$3:$CW$999,97,FALSE),"unknown")</f>
        <v>Yes</v>
      </c>
      <c r="AW463" s="120" t="str">
        <f>IFERROR(VLOOKUP(Table1[RespondentID],'All Data'!$A$3:$CW$999,98,FALSE),"unknown")</f>
        <v>Medicare</v>
      </c>
      <c r="AX463" s="120" t="str">
        <f>IFERROR(VLOOKUP(Table1[RespondentID],'All Data'!$A$3:$CW$999,99,FALSE),"unknown")</f>
        <v>Yes</v>
      </c>
    </row>
    <row r="464" spans="1:50">
      <c r="A464" s="124">
        <v>18031752106</v>
      </c>
      <c r="B464" s="168"/>
      <c r="C464" s="169" t="s">
        <v>17</v>
      </c>
      <c r="D464" s="169" t="s">
        <v>18</v>
      </c>
      <c r="E464" s="169"/>
      <c r="F464" s="169"/>
      <c r="G464" s="169"/>
      <c r="H464" s="169"/>
      <c r="I464" s="169"/>
      <c r="J464" s="169"/>
      <c r="K464" s="169"/>
      <c r="L464" s="169"/>
      <c r="M464" s="169"/>
      <c r="N464" s="169"/>
      <c r="O464" s="169"/>
      <c r="P464" s="161">
        <f t="shared" si="144"/>
        <v>2</v>
      </c>
      <c r="Q464" s="170">
        <f t="shared" si="145"/>
        <v>1.5</v>
      </c>
      <c r="R464" s="161"/>
      <c r="S464" s="161">
        <f t="shared" si="146"/>
        <v>0</v>
      </c>
      <c r="T464" s="161">
        <f t="shared" si="147"/>
        <v>1</v>
      </c>
      <c r="U464" s="161">
        <f t="shared" si="148"/>
        <v>1</v>
      </c>
      <c r="V464" s="162">
        <f t="shared" si="149"/>
        <v>0</v>
      </c>
      <c r="W464" s="162">
        <f t="shared" si="150"/>
        <v>0</v>
      </c>
      <c r="X464" s="162">
        <f t="shared" si="151"/>
        <v>0</v>
      </c>
      <c r="Y464" s="162">
        <f t="shared" si="152"/>
        <v>0</v>
      </c>
      <c r="Z464" s="162">
        <f t="shared" si="153"/>
        <v>0</v>
      </c>
      <c r="AA464" s="162">
        <f t="shared" si="154"/>
        <v>0</v>
      </c>
      <c r="AB464" s="162">
        <f t="shared" si="155"/>
        <v>0</v>
      </c>
      <c r="AC464" s="162">
        <f t="shared" si="156"/>
        <v>0</v>
      </c>
      <c r="AD464" s="162">
        <f t="shared" si="157"/>
        <v>0</v>
      </c>
      <c r="AE464" s="162">
        <f t="shared" si="158"/>
        <v>0</v>
      </c>
      <c r="AF464" s="161"/>
      <c r="AG464" s="161"/>
      <c r="AH464" s="161">
        <f t="shared" si="159"/>
        <v>2</v>
      </c>
      <c r="AI464" s="161">
        <f t="shared" si="160"/>
        <v>2</v>
      </c>
      <c r="AJ464" s="161" t="str">
        <f t="shared" si="161"/>
        <v>Correct</v>
      </c>
      <c r="AK464" s="124"/>
      <c r="AL464" s="120" t="str">
        <f>IFERROR(VLOOKUP(Table1[RespondentID],'All Data'!$A$3:$CO$999,87,FALSE),"unknown")</f>
        <v>Man</v>
      </c>
      <c r="AM464" s="120">
        <f>IFERROR(VLOOKUP(Table1[RespondentID],'All Data'!$A$3:$CO$999,88,FALSE),"unknown")</f>
        <v>74</v>
      </c>
      <c r="AN464" s="120" t="str">
        <f>IFERROR(VLOOKUP(Table1[RespondentID],'All Data'!$A$3:$CO$999,89,FALSE),"unknown")</f>
        <v>Nassau</v>
      </c>
      <c r="AO464" s="120" t="str">
        <f>IFERROR(VLOOKUP(Table1[RespondentID],'All Data'!$A$3:$CO$999,90,FALSE),"unknown")</f>
        <v>Westbury, 11590</v>
      </c>
      <c r="AP464" s="120" t="str">
        <f>IFERROR(VLOOKUP(Table1[RespondentID],'All Data'!$A$3:$CO$999,91,FALSE),"unknown")</f>
        <v>White</v>
      </c>
      <c r="AQ464" s="120">
        <f>IFERROR(VLOOKUP(Table1[RespondentID],'All Data'!$A$3:$CO$999,92,FALSE),"unknown")</f>
        <v>0</v>
      </c>
      <c r="AR464" s="120" t="str">
        <f>IFERROR(VLOOKUP(Table1[RespondentID],'All Data'!$A$3:$CO$999,93,FALSE),"unknown")</f>
        <v>English</v>
      </c>
      <c r="AS464" s="120" t="str">
        <f>IFERROR(VLOOKUP(Table1[RespondentID],'All Data'!$A$3:$CW$999,94,FALSE),"unknown")</f>
        <v>Over $125,000</v>
      </c>
      <c r="AT464" s="120" t="str">
        <f>IFERROR(VLOOKUP(Table1[RespondentID],'All Data'!$A$3:$CW$999,95,FALSE),"unknown")</f>
        <v>Graduate school</v>
      </c>
      <c r="AU464" s="120" t="str">
        <f>IFERROR(VLOOKUP(Table1[RespondentID],'All Data'!$A$3:$CW$999,96,FALSE),"unknown")</f>
        <v>Retired</v>
      </c>
      <c r="AV464" s="120" t="str">
        <f>IFERROR(VLOOKUP(Table1[RespondentID],'All Data'!$A$3:$CW$999,97,FALSE),"unknown")</f>
        <v>Yes</v>
      </c>
      <c r="AW464" s="120" t="str">
        <f>IFERROR(VLOOKUP(Table1[RespondentID],'All Data'!$A$3:$CW$999,98,FALSE),"unknown")</f>
        <v>Medicare,Private/Commercial</v>
      </c>
      <c r="AX464" s="120" t="str">
        <f>IFERROR(VLOOKUP(Table1[RespondentID],'All Data'!$A$3:$CW$999,99,FALSE),"unknown")</f>
        <v>Yes</v>
      </c>
    </row>
    <row r="465" spans="1:50">
      <c r="A465" s="124">
        <v>18031752041</v>
      </c>
      <c r="B465" s="168"/>
      <c r="C465" s="169"/>
      <c r="D465" s="169" t="s">
        <v>18</v>
      </c>
      <c r="E465" s="169"/>
      <c r="F465" s="169"/>
      <c r="G465" s="169"/>
      <c r="H465" s="169"/>
      <c r="I465" s="169"/>
      <c r="J465" s="169"/>
      <c r="K465" s="169"/>
      <c r="L465" s="169"/>
      <c r="M465" s="169"/>
      <c r="N465" s="169" t="s">
        <v>28</v>
      </c>
      <c r="O465" s="169"/>
      <c r="P465" s="161">
        <f t="shared" si="144"/>
        <v>2</v>
      </c>
      <c r="Q465" s="170">
        <f t="shared" si="145"/>
        <v>1.5</v>
      </c>
      <c r="R465" s="161"/>
      <c r="S465" s="161">
        <f t="shared" si="146"/>
        <v>0</v>
      </c>
      <c r="T465" s="161">
        <f t="shared" si="147"/>
        <v>0</v>
      </c>
      <c r="U465" s="161">
        <f t="shared" si="148"/>
        <v>1</v>
      </c>
      <c r="V465" s="162">
        <f t="shared" si="149"/>
        <v>0</v>
      </c>
      <c r="W465" s="162">
        <f t="shared" si="150"/>
        <v>0</v>
      </c>
      <c r="X465" s="162">
        <f t="shared" si="151"/>
        <v>0</v>
      </c>
      <c r="Y465" s="162">
        <f t="shared" si="152"/>
        <v>0</v>
      </c>
      <c r="Z465" s="162">
        <f t="shared" si="153"/>
        <v>0</v>
      </c>
      <c r="AA465" s="162">
        <f t="shared" si="154"/>
        <v>0</v>
      </c>
      <c r="AB465" s="162">
        <f t="shared" si="155"/>
        <v>0</v>
      </c>
      <c r="AC465" s="162">
        <f t="shared" si="156"/>
        <v>0</v>
      </c>
      <c r="AD465" s="162">
        <f t="shared" si="157"/>
        <v>0</v>
      </c>
      <c r="AE465" s="162">
        <f t="shared" si="158"/>
        <v>1</v>
      </c>
      <c r="AF465" s="161"/>
      <c r="AG465" s="161"/>
      <c r="AH465" s="161">
        <f t="shared" si="159"/>
        <v>2</v>
      </c>
      <c r="AI465" s="161">
        <f t="shared" si="160"/>
        <v>2</v>
      </c>
      <c r="AJ465" s="161" t="str">
        <f t="shared" si="161"/>
        <v>Correct</v>
      </c>
      <c r="AK465" s="124"/>
      <c r="AL465" s="120" t="str">
        <f>IFERROR(VLOOKUP(Table1[RespondentID],'All Data'!$A$3:$CO$999,87,FALSE),"unknown")</f>
        <v>Woman</v>
      </c>
      <c r="AM465" s="120">
        <f>IFERROR(VLOOKUP(Table1[RespondentID],'All Data'!$A$3:$CO$999,88,FALSE),"unknown")</f>
        <v>63</v>
      </c>
      <c r="AN465" s="120" t="str">
        <f>IFERROR(VLOOKUP(Table1[RespondentID],'All Data'!$A$3:$CO$999,89,FALSE),"unknown")</f>
        <v>Nassau</v>
      </c>
      <c r="AO465" s="120" t="str">
        <f>IFERROR(VLOOKUP(Table1[RespondentID],'All Data'!$A$3:$CO$999,90,FALSE),"unknown")</f>
        <v>North Massapequa, 11758</v>
      </c>
      <c r="AP465" s="120" t="str">
        <f>IFERROR(VLOOKUP(Table1[RespondentID],'All Data'!$A$3:$CO$999,91,FALSE),"unknown")</f>
        <v>White</v>
      </c>
      <c r="AQ465" s="120" t="str">
        <f>IFERROR(VLOOKUP(Table1[RespondentID],'All Data'!$A$3:$CO$999,92,FALSE),"unknown")</f>
        <v>Not Hispanic or Latino</v>
      </c>
      <c r="AR465" s="120" t="str">
        <f>IFERROR(VLOOKUP(Table1[RespondentID],'All Data'!$A$3:$CO$999,93,FALSE),"unknown")</f>
        <v>English</v>
      </c>
      <c r="AS465" s="120">
        <f>IFERROR(VLOOKUP(Table1[RespondentID],'All Data'!$A$3:$CW$999,94,FALSE),"unknown")</f>
        <v>0</v>
      </c>
      <c r="AT465" s="120" t="str">
        <f>IFERROR(VLOOKUP(Table1[RespondentID],'All Data'!$A$3:$CW$999,95,FALSE),"unknown")</f>
        <v>College graduate</v>
      </c>
      <c r="AU465" s="120" t="str">
        <f>IFERROR(VLOOKUP(Table1[RespondentID],'All Data'!$A$3:$CW$999,96,FALSE),"unknown")</f>
        <v>Retired</v>
      </c>
      <c r="AV465" s="120" t="str">
        <f>IFERROR(VLOOKUP(Table1[RespondentID],'All Data'!$A$3:$CW$999,97,FALSE),"unknown")</f>
        <v>Yes</v>
      </c>
      <c r="AW465" s="120" t="str">
        <f>IFERROR(VLOOKUP(Table1[RespondentID],'All Data'!$A$3:$CW$999,98,FALSE),"unknown")</f>
        <v>Private/Commercial</v>
      </c>
      <c r="AX465" s="120" t="str">
        <f>IFERROR(VLOOKUP(Table1[RespondentID],'All Data'!$A$3:$CW$999,99,FALSE),"unknown")</f>
        <v>Yes</v>
      </c>
    </row>
    <row r="466" spans="1:50">
      <c r="A466" s="124">
        <v>18031751982</v>
      </c>
      <c r="B466" s="168" t="s">
        <v>16</v>
      </c>
      <c r="C466" s="169"/>
      <c r="D466" s="169"/>
      <c r="E466" s="169"/>
      <c r="F466" s="169"/>
      <c r="G466" s="169"/>
      <c r="H466" s="169"/>
      <c r="I466" s="169" t="s">
        <v>23</v>
      </c>
      <c r="J466" s="169"/>
      <c r="K466" s="169"/>
      <c r="L466" s="169"/>
      <c r="M466" s="169"/>
      <c r="N466" s="169" t="s">
        <v>28</v>
      </c>
      <c r="O466" s="169"/>
      <c r="P466" s="161">
        <f t="shared" si="144"/>
        <v>3</v>
      </c>
      <c r="Q466" s="170">
        <f t="shared" si="145"/>
        <v>1</v>
      </c>
      <c r="R466" s="161"/>
      <c r="S466" s="161">
        <f t="shared" si="146"/>
        <v>1</v>
      </c>
      <c r="T466" s="161">
        <f t="shared" si="147"/>
        <v>0</v>
      </c>
      <c r="U466" s="161">
        <f t="shared" si="148"/>
        <v>0</v>
      </c>
      <c r="V466" s="162">
        <f t="shared" si="149"/>
        <v>0</v>
      </c>
      <c r="W466" s="162">
        <f t="shared" si="150"/>
        <v>0</v>
      </c>
      <c r="X466" s="162">
        <f t="shared" si="151"/>
        <v>0</v>
      </c>
      <c r="Y466" s="162">
        <f t="shared" si="152"/>
        <v>0</v>
      </c>
      <c r="Z466" s="162">
        <f t="shared" si="153"/>
        <v>1</v>
      </c>
      <c r="AA466" s="162">
        <f t="shared" si="154"/>
        <v>0</v>
      </c>
      <c r="AB466" s="162">
        <f t="shared" si="155"/>
        <v>0</v>
      </c>
      <c r="AC466" s="162">
        <f t="shared" si="156"/>
        <v>0</v>
      </c>
      <c r="AD466" s="162">
        <f t="shared" si="157"/>
        <v>0</v>
      </c>
      <c r="AE466" s="162">
        <f t="shared" si="158"/>
        <v>1</v>
      </c>
      <c r="AF466" s="161"/>
      <c r="AG466" s="161"/>
      <c r="AH466" s="161">
        <f t="shared" si="159"/>
        <v>3</v>
      </c>
      <c r="AI466" s="161">
        <f t="shared" si="160"/>
        <v>3</v>
      </c>
      <c r="AJ466" s="161" t="str">
        <f t="shared" si="161"/>
        <v>Correct</v>
      </c>
      <c r="AK466" s="124"/>
      <c r="AL466" s="120" t="str">
        <f>IFERROR(VLOOKUP(Table1[RespondentID],'All Data'!$A$3:$CO$999,87,FALSE),"unknown")</f>
        <v>Woman</v>
      </c>
      <c r="AM466" s="120">
        <f>IFERROR(VLOOKUP(Table1[RespondentID],'All Data'!$A$3:$CO$999,88,FALSE),"unknown")</f>
        <v>0</v>
      </c>
      <c r="AN466" s="120" t="str">
        <f>IFERROR(VLOOKUP(Table1[RespondentID],'All Data'!$A$3:$CO$999,89,FALSE),"unknown")</f>
        <v>Suffolk</v>
      </c>
      <c r="AO466" s="120" t="str">
        <f>IFERROR(VLOOKUP(Table1[RespondentID],'All Data'!$A$3:$CO$999,90,FALSE),"unknown")</f>
        <v>West Babylon, 11704</v>
      </c>
      <c r="AP466" s="120" t="str">
        <f>IFERROR(VLOOKUP(Table1[RespondentID],'All Data'!$A$3:$CO$999,91,FALSE),"unknown")</f>
        <v>White</v>
      </c>
      <c r="AQ466" s="120" t="str">
        <f>IFERROR(VLOOKUP(Table1[RespondentID],'All Data'!$A$3:$CO$999,92,FALSE),"unknown")</f>
        <v>Not Hispanic or Latino</v>
      </c>
      <c r="AR466" s="120" t="str">
        <f>IFERROR(VLOOKUP(Table1[RespondentID],'All Data'!$A$3:$CO$999,93,FALSE),"unknown")</f>
        <v>English</v>
      </c>
      <c r="AS466" s="120" t="str">
        <f>IFERROR(VLOOKUP(Table1[RespondentID],'All Data'!$A$3:$CW$999,94,FALSE),"unknown")</f>
        <v>Over $125,000</v>
      </c>
      <c r="AT466" s="120" t="str">
        <f>IFERROR(VLOOKUP(Table1[RespondentID],'All Data'!$A$3:$CW$999,95,FALSE),"unknown")</f>
        <v>Graduate school</v>
      </c>
      <c r="AU466" s="120" t="str">
        <f>IFERROR(VLOOKUP(Table1[RespondentID],'All Data'!$A$3:$CW$999,96,FALSE),"unknown")</f>
        <v>Employed for wages</v>
      </c>
      <c r="AV466" s="120" t="str">
        <f>IFERROR(VLOOKUP(Table1[RespondentID],'All Data'!$A$3:$CW$999,97,FALSE),"unknown")</f>
        <v>Yes</v>
      </c>
      <c r="AW466" s="120" t="str">
        <f>IFERROR(VLOOKUP(Table1[RespondentID],'All Data'!$A$3:$CW$999,98,FALSE),"unknown")</f>
        <v>Private/Commercial</v>
      </c>
      <c r="AX466" s="120" t="str">
        <f>IFERROR(VLOOKUP(Table1[RespondentID],'All Data'!$A$3:$CW$999,99,FALSE),"unknown")</f>
        <v>Yes</v>
      </c>
    </row>
    <row r="467" spans="1:50">
      <c r="A467" s="124">
        <v>18031751744</v>
      </c>
      <c r="B467" s="168"/>
      <c r="C467" s="169"/>
      <c r="D467" s="169"/>
      <c r="E467" s="169"/>
      <c r="F467" s="169"/>
      <c r="G467" s="169"/>
      <c r="H467" s="169"/>
      <c r="I467" s="169"/>
      <c r="J467" s="169" t="s">
        <v>24</v>
      </c>
      <c r="K467" s="169"/>
      <c r="L467" s="169"/>
      <c r="M467" s="169"/>
      <c r="N467" s="169"/>
      <c r="O467" s="169"/>
      <c r="P467" s="161">
        <f t="shared" si="144"/>
        <v>1</v>
      </c>
      <c r="Q467" s="170">
        <f t="shared" si="145"/>
        <v>3</v>
      </c>
      <c r="R467" s="161"/>
      <c r="S467" s="161">
        <f t="shared" si="146"/>
        <v>0</v>
      </c>
      <c r="T467" s="161">
        <f t="shared" si="147"/>
        <v>0</v>
      </c>
      <c r="U467" s="161">
        <f t="shared" si="148"/>
        <v>0</v>
      </c>
      <c r="V467" s="162">
        <f t="shared" si="149"/>
        <v>0</v>
      </c>
      <c r="W467" s="162">
        <f t="shared" si="150"/>
        <v>0</v>
      </c>
      <c r="X467" s="162">
        <f t="shared" si="151"/>
        <v>0</v>
      </c>
      <c r="Y467" s="162">
        <f t="shared" si="152"/>
        <v>0</v>
      </c>
      <c r="Z467" s="162">
        <f t="shared" si="153"/>
        <v>0</v>
      </c>
      <c r="AA467" s="162">
        <f t="shared" si="154"/>
        <v>1</v>
      </c>
      <c r="AB467" s="162">
        <f t="shared" si="155"/>
        <v>0</v>
      </c>
      <c r="AC467" s="162">
        <f t="shared" si="156"/>
        <v>0</v>
      </c>
      <c r="AD467" s="162">
        <f t="shared" si="157"/>
        <v>0</v>
      </c>
      <c r="AE467" s="162">
        <f t="shared" si="158"/>
        <v>0</v>
      </c>
      <c r="AF467" s="161"/>
      <c r="AG467" s="161"/>
      <c r="AH467" s="161">
        <f t="shared" si="159"/>
        <v>1</v>
      </c>
      <c r="AI467" s="161">
        <f t="shared" si="160"/>
        <v>1</v>
      </c>
      <c r="AJ467" s="161" t="str">
        <f t="shared" si="161"/>
        <v>Correct</v>
      </c>
      <c r="AK467" s="124"/>
      <c r="AL467" s="120" t="str">
        <f>IFERROR(VLOOKUP(Table1[RespondentID],'All Data'!$A$3:$CO$999,87,FALSE),"unknown")</f>
        <v>Man</v>
      </c>
      <c r="AM467" s="120">
        <f>IFERROR(VLOOKUP(Table1[RespondentID],'All Data'!$A$3:$CO$999,88,FALSE),"unknown")</f>
        <v>59</v>
      </c>
      <c r="AN467" s="120" t="str">
        <f>IFERROR(VLOOKUP(Table1[RespondentID],'All Data'!$A$3:$CO$999,89,FALSE),"unknown")</f>
        <v>Suffolk</v>
      </c>
      <c r="AO467" s="120" t="str">
        <f>IFERROR(VLOOKUP(Table1[RespondentID],'All Data'!$A$3:$CO$999,90,FALSE),"unknown")</f>
        <v>Huntington Station, 11746</v>
      </c>
      <c r="AP467" s="120" t="str">
        <f>IFERROR(VLOOKUP(Table1[RespondentID],'All Data'!$A$3:$CO$999,91,FALSE),"unknown")</f>
        <v>Asian</v>
      </c>
      <c r="AQ467" s="120" t="str">
        <f>IFERROR(VLOOKUP(Table1[RespondentID],'All Data'!$A$3:$CO$999,92,FALSE),"unknown")</f>
        <v>Not Hispanic or Latino</v>
      </c>
      <c r="AR467" s="120" t="str">
        <f>IFERROR(VLOOKUP(Table1[RespondentID],'All Data'!$A$3:$CO$999,93,FALSE),"unknown")</f>
        <v>English</v>
      </c>
      <c r="AS467" s="120" t="str">
        <f>IFERROR(VLOOKUP(Table1[RespondentID],'All Data'!$A$3:$CW$999,94,FALSE),"unknown")</f>
        <v>Over $125,000</v>
      </c>
      <c r="AT467" s="120" t="str">
        <f>IFERROR(VLOOKUP(Table1[RespondentID],'All Data'!$A$3:$CW$999,95,FALSE),"unknown")</f>
        <v>Graduate school</v>
      </c>
      <c r="AU467" s="120" t="str">
        <f>IFERROR(VLOOKUP(Table1[RespondentID],'All Data'!$A$3:$CW$999,96,FALSE),"unknown")</f>
        <v>Self-employed</v>
      </c>
      <c r="AV467" s="120" t="str">
        <f>IFERROR(VLOOKUP(Table1[RespondentID],'All Data'!$A$3:$CW$999,97,FALSE),"unknown")</f>
        <v>Yes</v>
      </c>
      <c r="AW467" s="120" t="str">
        <f>IFERROR(VLOOKUP(Table1[RespondentID],'All Data'!$A$3:$CW$999,98,FALSE),"unknown")</f>
        <v>Private/Commercial</v>
      </c>
      <c r="AX467" s="120" t="str">
        <f>IFERROR(VLOOKUP(Table1[RespondentID],'All Data'!$A$3:$CW$999,99,FALSE),"unknown")</f>
        <v>Yes</v>
      </c>
    </row>
    <row r="468" spans="1:50">
      <c r="A468" s="124">
        <v>18031751661</v>
      </c>
      <c r="B468" s="168"/>
      <c r="C468" s="169" t="s">
        <v>17</v>
      </c>
      <c r="D468" s="169" t="s">
        <v>18</v>
      </c>
      <c r="E468" s="169"/>
      <c r="F468" s="169"/>
      <c r="G468" s="169"/>
      <c r="H468" s="169"/>
      <c r="I468" s="169"/>
      <c r="J468" s="169"/>
      <c r="K468" s="169"/>
      <c r="L468" s="169"/>
      <c r="M468" s="169"/>
      <c r="N468" s="169"/>
      <c r="O468" s="169"/>
      <c r="P468" s="161">
        <f t="shared" si="144"/>
        <v>2</v>
      </c>
      <c r="Q468" s="170">
        <f t="shared" si="145"/>
        <v>1.5</v>
      </c>
      <c r="R468" s="161"/>
      <c r="S468" s="161">
        <f t="shared" si="146"/>
        <v>0</v>
      </c>
      <c r="T468" s="161">
        <f t="shared" si="147"/>
        <v>1</v>
      </c>
      <c r="U468" s="161">
        <f t="shared" si="148"/>
        <v>1</v>
      </c>
      <c r="V468" s="162">
        <f t="shared" si="149"/>
        <v>0</v>
      </c>
      <c r="W468" s="162">
        <f t="shared" si="150"/>
        <v>0</v>
      </c>
      <c r="X468" s="162">
        <f t="shared" si="151"/>
        <v>0</v>
      </c>
      <c r="Y468" s="162">
        <f t="shared" si="152"/>
        <v>0</v>
      </c>
      <c r="Z468" s="162">
        <f t="shared" si="153"/>
        <v>0</v>
      </c>
      <c r="AA468" s="162">
        <f t="shared" si="154"/>
        <v>0</v>
      </c>
      <c r="AB468" s="162">
        <f t="shared" si="155"/>
        <v>0</v>
      </c>
      <c r="AC468" s="162">
        <f t="shared" si="156"/>
        <v>0</v>
      </c>
      <c r="AD468" s="162">
        <f t="shared" si="157"/>
        <v>0</v>
      </c>
      <c r="AE468" s="162">
        <f t="shared" si="158"/>
        <v>0</v>
      </c>
      <c r="AF468" s="161"/>
      <c r="AG468" s="161"/>
      <c r="AH468" s="161">
        <f t="shared" si="159"/>
        <v>2</v>
      </c>
      <c r="AI468" s="161">
        <f t="shared" si="160"/>
        <v>2</v>
      </c>
      <c r="AJ468" s="161" t="str">
        <f t="shared" si="161"/>
        <v>Correct</v>
      </c>
      <c r="AK468" s="124"/>
      <c r="AL468" s="120" t="str">
        <f>IFERROR(VLOOKUP(Table1[RespondentID],'All Data'!$A$3:$CO$999,87,FALSE),"unknown")</f>
        <v>Woman</v>
      </c>
      <c r="AM468" s="120">
        <f>IFERROR(VLOOKUP(Table1[RespondentID],'All Data'!$A$3:$CO$999,88,FALSE),"unknown")</f>
        <v>71</v>
      </c>
      <c r="AN468" s="120" t="str">
        <f>IFERROR(VLOOKUP(Table1[RespondentID],'All Data'!$A$3:$CO$999,89,FALSE),"unknown")</f>
        <v>Nassau</v>
      </c>
      <c r="AO468" s="120" t="str">
        <f>IFERROR(VLOOKUP(Table1[RespondentID],'All Data'!$A$3:$CO$999,90,FALSE),"unknown")</f>
        <v>Bethpage, 11714</v>
      </c>
      <c r="AP468" s="120" t="str">
        <f>IFERROR(VLOOKUP(Table1[RespondentID],'All Data'!$A$3:$CO$999,91,FALSE),"unknown")</f>
        <v>White</v>
      </c>
      <c r="AQ468" s="120" t="str">
        <f>IFERROR(VLOOKUP(Table1[RespondentID],'All Data'!$A$3:$CO$999,92,FALSE),"unknown")</f>
        <v>Not Hispanic or Latino</v>
      </c>
      <c r="AR468" s="120" t="str">
        <f>IFERROR(VLOOKUP(Table1[RespondentID],'All Data'!$A$3:$CO$999,93,FALSE),"unknown")</f>
        <v>English</v>
      </c>
      <c r="AS468" s="120" t="str">
        <f>IFERROR(VLOOKUP(Table1[RespondentID],'All Data'!$A$3:$CW$999,94,FALSE),"unknown")</f>
        <v>$35,000 to $49,999</v>
      </c>
      <c r="AT468" s="120" t="str">
        <f>IFERROR(VLOOKUP(Table1[RespondentID],'All Data'!$A$3:$CW$999,95,FALSE),"unknown")</f>
        <v>High school graduate</v>
      </c>
      <c r="AU468" s="120" t="str">
        <f>IFERROR(VLOOKUP(Table1[RespondentID],'All Data'!$A$3:$CW$999,96,FALSE),"unknown")</f>
        <v>Retired</v>
      </c>
      <c r="AV468" s="120" t="str">
        <f>IFERROR(VLOOKUP(Table1[RespondentID],'All Data'!$A$3:$CW$999,97,FALSE),"unknown")</f>
        <v>Yes</v>
      </c>
      <c r="AW468" s="120" t="str">
        <f>IFERROR(VLOOKUP(Table1[RespondentID],'All Data'!$A$3:$CW$999,98,FALSE),"unknown")</f>
        <v>Medicare</v>
      </c>
      <c r="AX468" s="120" t="str">
        <f>IFERROR(VLOOKUP(Table1[RespondentID],'All Data'!$A$3:$CW$999,99,FALSE),"unknown")</f>
        <v>Yes</v>
      </c>
    </row>
    <row r="469" spans="1:50">
      <c r="A469" s="124">
        <v>18031751575</v>
      </c>
      <c r="B469" s="168"/>
      <c r="C469" s="169"/>
      <c r="D469" s="169" t="s">
        <v>18</v>
      </c>
      <c r="E469" s="169"/>
      <c r="F469" s="169"/>
      <c r="G469" s="169"/>
      <c r="H469" s="169"/>
      <c r="I469" s="169"/>
      <c r="J469" s="169" t="s">
        <v>24</v>
      </c>
      <c r="K469" s="169"/>
      <c r="L469" s="169"/>
      <c r="M469" s="169"/>
      <c r="N469" s="169"/>
      <c r="O469" s="169"/>
      <c r="P469" s="161">
        <f t="shared" si="144"/>
        <v>2</v>
      </c>
      <c r="Q469" s="170">
        <f t="shared" si="145"/>
        <v>1.5</v>
      </c>
      <c r="R469" s="161"/>
      <c r="S469" s="161">
        <f t="shared" si="146"/>
        <v>0</v>
      </c>
      <c r="T469" s="161">
        <f t="shared" si="147"/>
        <v>0</v>
      </c>
      <c r="U469" s="161">
        <f t="shared" si="148"/>
        <v>1</v>
      </c>
      <c r="V469" s="162">
        <f t="shared" si="149"/>
        <v>0</v>
      </c>
      <c r="W469" s="162">
        <f t="shared" si="150"/>
        <v>0</v>
      </c>
      <c r="X469" s="162">
        <f t="shared" si="151"/>
        <v>0</v>
      </c>
      <c r="Y469" s="162">
        <f t="shared" si="152"/>
        <v>0</v>
      </c>
      <c r="Z469" s="162">
        <f t="shared" si="153"/>
        <v>0</v>
      </c>
      <c r="AA469" s="162">
        <f t="shared" si="154"/>
        <v>1</v>
      </c>
      <c r="AB469" s="162">
        <f t="shared" si="155"/>
        <v>0</v>
      </c>
      <c r="AC469" s="162">
        <f t="shared" si="156"/>
        <v>0</v>
      </c>
      <c r="AD469" s="162">
        <f t="shared" si="157"/>
        <v>0</v>
      </c>
      <c r="AE469" s="162">
        <f t="shared" si="158"/>
        <v>0</v>
      </c>
      <c r="AF469" s="161"/>
      <c r="AG469" s="161"/>
      <c r="AH469" s="161">
        <f t="shared" si="159"/>
        <v>2</v>
      </c>
      <c r="AI469" s="161">
        <f t="shared" si="160"/>
        <v>2</v>
      </c>
      <c r="AJ469" s="161" t="str">
        <f t="shared" si="161"/>
        <v>Correct</v>
      </c>
      <c r="AK469" s="124"/>
      <c r="AL469" s="120" t="str">
        <f>IFERROR(VLOOKUP(Table1[RespondentID],'All Data'!$A$3:$CO$999,87,FALSE),"unknown")</f>
        <v>Man</v>
      </c>
      <c r="AM469" s="120">
        <f>IFERROR(VLOOKUP(Table1[RespondentID],'All Data'!$A$3:$CO$999,88,FALSE),"unknown")</f>
        <v>71</v>
      </c>
      <c r="AN469" s="120" t="str">
        <f>IFERROR(VLOOKUP(Table1[RespondentID],'All Data'!$A$3:$CO$999,89,FALSE),"unknown")</f>
        <v>Nassau</v>
      </c>
      <c r="AO469" s="120" t="str">
        <f>IFERROR(VLOOKUP(Table1[RespondentID],'All Data'!$A$3:$CO$999,90,FALSE),"unknown")</f>
        <v>Bethpage, 11714</v>
      </c>
      <c r="AP469" s="120" t="str">
        <f>IFERROR(VLOOKUP(Table1[RespondentID],'All Data'!$A$3:$CO$999,91,FALSE),"unknown")</f>
        <v>White</v>
      </c>
      <c r="AQ469" s="120" t="str">
        <f>IFERROR(VLOOKUP(Table1[RespondentID],'All Data'!$A$3:$CO$999,92,FALSE),"unknown")</f>
        <v>Not Hispanic or Latino</v>
      </c>
      <c r="AR469" s="120" t="str">
        <f>IFERROR(VLOOKUP(Table1[RespondentID],'All Data'!$A$3:$CO$999,93,FALSE),"unknown")</f>
        <v>English</v>
      </c>
      <c r="AS469" s="120" t="str">
        <f>IFERROR(VLOOKUP(Table1[RespondentID],'All Data'!$A$3:$CW$999,94,FALSE),"unknown")</f>
        <v>$50,000 to $74,999</v>
      </c>
      <c r="AT469" s="120" t="str">
        <f>IFERROR(VLOOKUP(Table1[RespondentID],'All Data'!$A$3:$CW$999,95,FALSE),"unknown")</f>
        <v>Some high school</v>
      </c>
      <c r="AU469" s="120" t="str">
        <f>IFERROR(VLOOKUP(Table1[RespondentID],'All Data'!$A$3:$CW$999,96,FALSE),"unknown")</f>
        <v>Retired</v>
      </c>
      <c r="AV469" s="120" t="str">
        <f>IFERROR(VLOOKUP(Table1[RespondentID],'All Data'!$A$3:$CW$999,97,FALSE),"unknown")</f>
        <v>Yes</v>
      </c>
      <c r="AW469" s="120" t="str">
        <f>IFERROR(VLOOKUP(Table1[RespondentID],'All Data'!$A$3:$CW$999,98,FALSE),"unknown")</f>
        <v>Medicare</v>
      </c>
      <c r="AX469" s="120" t="str">
        <f>IFERROR(VLOOKUP(Table1[RespondentID],'All Data'!$A$3:$CW$999,99,FALSE),"unknown")</f>
        <v>Yes</v>
      </c>
    </row>
    <row r="470" spans="1:50">
      <c r="A470" s="124">
        <v>18031751500</v>
      </c>
      <c r="B470" s="168"/>
      <c r="C470" s="169" t="s">
        <v>17</v>
      </c>
      <c r="D470" s="169" t="s">
        <v>18</v>
      </c>
      <c r="E470" s="169"/>
      <c r="F470" s="169"/>
      <c r="G470" s="169"/>
      <c r="H470" s="169" t="s">
        <v>22</v>
      </c>
      <c r="I470" s="169"/>
      <c r="J470" s="169"/>
      <c r="K470" s="169"/>
      <c r="L470" s="169"/>
      <c r="M470" s="169"/>
      <c r="N470" s="169"/>
      <c r="O470" s="169"/>
      <c r="P470" s="161">
        <f t="shared" si="144"/>
        <v>3</v>
      </c>
      <c r="Q470" s="170">
        <f t="shared" si="145"/>
        <v>1</v>
      </c>
      <c r="R470" s="161"/>
      <c r="S470" s="161">
        <f t="shared" si="146"/>
        <v>0</v>
      </c>
      <c r="T470" s="161">
        <f t="shared" si="147"/>
        <v>1</v>
      </c>
      <c r="U470" s="161">
        <f t="shared" si="148"/>
        <v>1</v>
      </c>
      <c r="V470" s="162">
        <f t="shared" si="149"/>
        <v>0</v>
      </c>
      <c r="W470" s="162">
        <f t="shared" si="150"/>
        <v>0</v>
      </c>
      <c r="X470" s="162">
        <f t="shared" si="151"/>
        <v>0</v>
      </c>
      <c r="Y470" s="162">
        <f t="shared" si="152"/>
        <v>1</v>
      </c>
      <c r="Z470" s="162">
        <f t="shared" si="153"/>
        <v>0</v>
      </c>
      <c r="AA470" s="162">
        <f t="shared" si="154"/>
        <v>0</v>
      </c>
      <c r="AB470" s="162">
        <f t="shared" si="155"/>
        <v>0</v>
      </c>
      <c r="AC470" s="162">
        <f t="shared" si="156"/>
        <v>0</v>
      </c>
      <c r="AD470" s="162">
        <f t="shared" si="157"/>
        <v>0</v>
      </c>
      <c r="AE470" s="162">
        <f t="shared" si="158"/>
        <v>0</v>
      </c>
      <c r="AF470" s="161"/>
      <c r="AG470" s="161"/>
      <c r="AH470" s="161">
        <f t="shared" si="159"/>
        <v>3</v>
      </c>
      <c r="AI470" s="161">
        <f t="shared" si="160"/>
        <v>3</v>
      </c>
      <c r="AJ470" s="161" t="str">
        <f t="shared" si="161"/>
        <v>Correct</v>
      </c>
      <c r="AK470" s="124"/>
      <c r="AL470" s="120" t="str">
        <f>IFERROR(VLOOKUP(Table1[RespondentID],'All Data'!$A$3:$CO$999,87,FALSE),"unknown")</f>
        <v>Woman</v>
      </c>
      <c r="AM470" s="120">
        <f>IFERROR(VLOOKUP(Table1[RespondentID],'All Data'!$A$3:$CO$999,88,FALSE),"unknown")</f>
        <v>65</v>
      </c>
      <c r="AN470" s="120" t="str">
        <f>IFERROR(VLOOKUP(Table1[RespondentID],'All Data'!$A$3:$CO$999,89,FALSE),"unknown")</f>
        <v>Suffolk</v>
      </c>
      <c r="AO470" s="120" t="str">
        <f>IFERROR(VLOOKUP(Table1[RespondentID],'All Data'!$A$3:$CO$999,90,FALSE),"unknown")</f>
        <v>Northport, 11768</v>
      </c>
      <c r="AP470" s="120" t="str">
        <f>IFERROR(VLOOKUP(Table1[RespondentID],'All Data'!$A$3:$CO$999,91,FALSE),"unknown")</f>
        <v>Black or African American</v>
      </c>
      <c r="AQ470" s="120">
        <f>IFERROR(VLOOKUP(Table1[RespondentID],'All Data'!$A$3:$CO$999,92,FALSE),"unknown")</f>
        <v>0</v>
      </c>
      <c r="AR470" s="120" t="str">
        <f>IFERROR(VLOOKUP(Table1[RespondentID],'All Data'!$A$3:$CO$999,93,FALSE),"unknown")</f>
        <v>English</v>
      </c>
      <c r="AS470" s="120" t="str">
        <f>IFERROR(VLOOKUP(Table1[RespondentID],'All Data'!$A$3:$CW$999,94,FALSE),"unknown")</f>
        <v>Over $125,000</v>
      </c>
      <c r="AT470" s="120" t="str">
        <f>IFERROR(VLOOKUP(Table1[RespondentID],'All Data'!$A$3:$CW$999,95,FALSE),"unknown")</f>
        <v>College graduate</v>
      </c>
      <c r="AU470" s="120" t="str">
        <f>IFERROR(VLOOKUP(Table1[RespondentID],'All Data'!$A$3:$CW$999,96,FALSE),"unknown")</f>
        <v>Employed for wages</v>
      </c>
      <c r="AV470" s="120" t="str">
        <f>IFERROR(VLOOKUP(Table1[RespondentID],'All Data'!$A$3:$CW$999,97,FALSE),"unknown")</f>
        <v>Yes</v>
      </c>
      <c r="AW470" s="120" t="str">
        <f>IFERROR(VLOOKUP(Table1[RespondentID],'All Data'!$A$3:$CW$999,98,FALSE),"unknown")</f>
        <v>Private/Commercial</v>
      </c>
      <c r="AX470" s="120" t="str">
        <f>IFERROR(VLOOKUP(Table1[RespondentID],'All Data'!$A$3:$CW$999,99,FALSE),"unknown")</f>
        <v>Yes</v>
      </c>
    </row>
    <row r="471" spans="1:50">
      <c r="A471" s="124">
        <v>18031751432</v>
      </c>
      <c r="B471" s="168"/>
      <c r="C471" s="169"/>
      <c r="D471" s="169" t="s">
        <v>18</v>
      </c>
      <c r="E471" s="169" t="s">
        <v>19</v>
      </c>
      <c r="F471" s="169"/>
      <c r="G471" s="169"/>
      <c r="H471" s="169"/>
      <c r="I471" s="169"/>
      <c r="J471" s="169"/>
      <c r="K471" s="169"/>
      <c r="L471" s="169"/>
      <c r="M471" s="169"/>
      <c r="N471" s="169"/>
      <c r="O471" s="169"/>
      <c r="P471" s="161">
        <f t="shared" si="144"/>
        <v>2</v>
      </c>
      <c r="Q471" s="170">
        <f t="shared" si="145"/>
        <v>1.5</v>
      </c>
      <c r="R471" s="161"/>
      <c r="S471" s="161">
        <f t="shared" si="146"/>
        <v>0</v>
      </c>
      <c r="T471" s="161">
        <f t="shared" si="147"/>
        <v>0</v>
      </c>
      <c r="U471" s="161">
        <f t="shared" si="148"/>
        <v>1</v>
      </c>
      <c r="V471" s="162">
        <f t="shared" si="149"/>
        <v>1</v>
      </c>
      <c r="W471" s="162">
        <f t="shared" si="150"/>
        <v>0</v>
      </c>
      <c r="X471" s="162">
        <f t="shared" si="151"/>
        <v>0</v>
      </c>
      <c r="Y471" s="162">
        <f t="shared" si="152"/>
        <v>0</v>
      </c>
      <c r="Z471" s="162">
        <f t="shared" si="153"/>
        <v>0</v>
      </c>
      <c r="AA471" s="162">
        <f t="shared" si="154"/>
        <v>0</v>
      </c>
      <c r="AB471" s="162">
        <f t="shared" si="155"/>
        <v>0</v>
      </c>
      <c r="AC471" s="162">
        <f t="shared" si="156"/>
        <v>0</v>
      </c>
      <c r="AD471" s="162">
        <f t="shared" si="157"/>
        <v>0</v>
      </c>
      <c r="AE471" s="162">
        <f t="shared" si="158"/>
        <v>0</v>
      </c>
      <c r="AF471" s="161"/>
      <c r="AG471" s="161"/>
      <c r="AH471" s="161">
        <f t="shared" si="159"/>
        <v>2</v>
      </c>
      <c r="AI471" s="161">
        <f t="shared" si="160"/>
        <v>2</v>
      </c>
      <c r="AJ471" s="161" t="str">
        <f t="shared" si="161"/>
        <v>Correct</v>
      </c>
      <c r="AK471" s="124"/>
      <c r="AL471" s="120" t="str">
        <f>IFERROR(VLOOKUP(Table1[RespondentID],'All Data'!$A$3:$CO$999,87,FALSE),"unknown")</f>
        <v>Woman</v>
      </c>
      <c r="AM471" s="120">
        <f>IFERROR(VLOOKUP(Table1[RespondentID],'All Data'!$A$3:$CO$999,88,FALSE),"unknown")</f>
        <v>72</v>
      </c>
      <c r="AN471" s="120" t="str">
        <f>IFERROR(VLOOKUP(Table1[RespondentID],'All Data'!$A$3:$CO$999,89,FALSE),"unknown")</f>
        <v>Suffolk</v>
      </c>
      <c r="AO471" s="120" t="str">
        <f>IFERROR(VLOOKUP(Table1[RespondentID],'All Data'!$A$3:$CO$999,90,FALSE),"unknown")</f>
        <v>Amityville, 11701</v>
      </c>
      <c r="AP471" s="120" t="str">
        <f>IFERROR(VLOOKUP(Table1[RespondentID],'All Data'!$A$3:$CO$999,91,FALSE),"unknown")</f>
        <v>White</v>
      </c>
      <c r="AQ471" s="120" t="str">
        <f>IFERROR(VLOOKUP(Table1[RespondentID],'All Data'!$A$3:$CO$999,92,FALSE),"unknown")</f>
        <v>Not Hispanic or Latino</v>
      </c>
      <c r="AR471" s="120" t="str">
        <f>IFERROR(VLOOKUP(Table1[RespondentID],'All Data'!$A$3:$CO$999,93,FALSE),"unknown")</f>
        <v>English</v>
      </c>
      <c r="AS471" s="120" t="str">
        <f>IFERROR(VLOOKUP(Table1[RespondentID],'All Data'!$A$3:$CW$999,94,FALSE),"unknown")</f>
        <v>$35,000 to $49,999</v>
      </c>
      <c r="AT471" s="120" t="str">
        <f>IFERROR(VLOOKUP(Table1[RespondentID],'All Data'!$A$3:$CW$999,95,FALSE),"unknown")</f>
        <v>High school graduate</v>
      </c>
      <c r="AU471" s="120" t="str">
        <f>IFERROR(VLOOKUP(Table1[RespondentID],'All Data'!$A$3:$CW$999,96,FALSE),"unknown")</f>
        <v>Retired</v>
      </c>
      <c r="AV471" s="120" t="str">
        <f>IFERROR(VLOOKUP(Table1[RespondentID],'All Data'!$A$3:$CW$999,97,FALSE),"unknown")</f>
        <v>Yes</v>
      </c>
      <c r="AW471" s="120" t="str">
        <f>IFERROR(VLOOKUP(Table1[RespondentID],'All Data'!$A$3:$CW$999,98,FALSE),"unknown")</f>
        <v>Medicare,Private/Commercial</v>
      </c>
      <c r="AX471" s="120" t="str">
        <f>IFERROR(VLOOKUP(Table1[RespondentID],'All Data'!$A$3:$CW$999,99,FALSE),"unknown")</f>
        <v>Yes</v>
      </c>
    </row>
    <row r="472" spans="1:50">
      <c r="A472" s="124">
        <v>18031751329</v>
      </c>
      <c r="B472" s="168"/>
      <c r="C472" s="169" t="s">
        <v>17</v>
      </c>
      <c r="D472" s="169" t="s">
        <v>18</v>
      </c>
      <c r="E472" s="169"/>
      <c r="F472" s="169"/>
      <c r="G472" s="169"/>
      <c r="H472" s="169"/>
      <c r="I472" s="169"/>
      <c r="J472" s="169" t="s">
        <v>24</v>
      </c>
      <c r="K472" s="169"/>
      <c r="L472" s="169"/>
      <c r="M472" s="169"/>
      <c r="N472" s="169"/>
      <c r="O472" s="169"/>
      <c r="P472" s="161">
        <f t="shared" si="144"/>
        <v>3</v>
      </c>
      <c r="Q472" s="170">
        <f t="shared" si="145"/>
        <v>1</v>
      </c>
      <c r="R472" s="161"/>
      <c r="S472" s="161">
        <f t="shared" si="146"/>
        <v>0</v>
      </c>
      <c r="T472" s="161">
        <f t="shared" si="147"/>
        <v>1</v>
      </c>
      <c r="U472" s="161">
        <f t="shared" si="148"/>
        <v>1</v>
      </c>
      <c r="V472" s="162">
        <f t="shared" si="149"/>
        <v>0</v>
      </c>
      <c r="W472" s="162">
        <f t="shared" si="150"/>
        <v>0</v>
      </c>
      <c r="X472" s="162">
        <f t="shared" si="151"/>
        <v>0</v>
      </c>
      <c r="Y472" s="162">
        <f t="shared" si="152"/>
        <v>0</v>
      </c>
      <c r="Z472" s="162">
        <f t="shared" si="153"/>
        <v>0</v>
      </c>
      <c r="AA472" s="162">
        <f t="shared" si="154"/>
        <v>1</v>
      </c>
      <c r="AB472" s="162">
        <f t="shared" si="155"/>
        <v>0</v>
      </c>
      <c r="AC472" s="162">
        <f t="shared" si="156"/>
        <v>0</v>
      </c>
      <c r="AD472" s="162">
        <f t="shared" si="157"/>
        <v>0</v>
      </c>
      <c r="AE472" s="162">
        <f t="shared" si="158"/>
        <v>0</v>
      </c>
      <c r="AF472" s="161"/>
      <c r="AG472" s="161"/>
      <c r="AH472" s="161">
        <f t="shared" si="159"/>
        <v>3</v>
      </c>
      <c r="AI472" s="161">
        <f t="shared" si="160"/>
        <v>3</v>
      </c>
      <c r="AJ472" s="161" t="str">
        <f t="shared" si="161"/>
        <v>Correct</v>
      </c>
      <c r="AK472" s="124"/>
      <c r="AL472" s="120" t="str">
        <f>IFERROR(VLOOKUP(Table1[RespondentID],'All Data'!$A$3:$CO$999,87,FALSE),"unknown")</f>
        <v>Woman</v>
      </c>
      <c r="AM472" s="120">
        <f>IFERROR(VLOOKUP(Table1[RespondentID],'All Data'!$A$3:$CO$999,88,FALSE),"unknown")</f>
        <v>0</v>
      </c>
      <c r="AN472" s="120" t="str">
        <f>IFERROR(VLOOKUP(Table1[RespondentID],'All Data'!$A$3:$CO$999,89,FALSE),"unknown")</f>
        <v>Nassau</v>
      </c>
      <c r="AO472" s="120" t="str">
        <f>IFERROR(VLOOKUP(Table1[RespondentID],'All Data'!$A$3:$CO$999,90,FALSE),"unknown")</f>
        <v>Plainview, 11803</v>
      </c>
      <c r="AP472" s="120" t="str">
        <f>IFERROR(VLOOKUP(Table1[RespondentID],'All Data'!$A$3:$CO$999,91,FALSE),"unknown")</f>
        <v>White</v>
      </c>
      <c r="AQ472" s="120" t="str">
        <f>IFERROR(VLOOKUP(Table1[RespondentID],'All Data'!$A$3:$CO$999,92,FALSE),"unknown")</f>
        <v>Not Hispanic or Latino</v>
      </c>
      <c r="AR472" s="120" t="str">
        <f>IFERROR(VLOOKUP(Table1[RespondentID],'All Data'!$A$3:$CO$999,93,FALSE),"unknown")</f>
        <v>English</v>
      </c>
      <c r="AS472" s="120" t="str">
        <f>IFERROR(VLOOKUP(Table1[RespondentID],'All Data'!$A$3:$CW$999,94,FALSE),"unknown")</f>
        <v>$20,000 to $34,999</v>
      </c>
      <c r="AT472" s="120">
        <f>IFERROR(VLOOKUP(Table1[RespondentID],'All Data'!$A$3:$CW$999,95,FALSE),"unknown")</f>
        <v>0</v>
      </c>
      <c r="AU472" s="120" t="str">
        <f>IFERROR(VLOOKUP(Table1[RespondentID],'All Data'!$A$3:$CW$999,96,FALSE),"unknown")</f>
        <v>Out of work, but not currently looking</v>
      </c>
      <c r="AV472" s="120" t="str">
        <f>IFERROR(VLOOKUP(Table1[RespondentID],'All Data'!$A$3:$CW$999,97,FALSE),"unknown")</f>
        <v>Yes</v>
      </c>
      <c r="AW472" s="120" t="str">
        <f>IFERROR(VLOOKUP(Table1[RespondentID],'All Data'!$A$3:$CW$999,98,FALSE),"unknown")</f>
        <v>Medicare</v>
      </c>
      <c r="AX472" s="120" t="str">
        <f>IFERROR(VLOOKUP(Table1[RespondentID],'All Data'!$A$3:$CW$999,99,FALSE),"unknown")</f>
        <v>Yes</v>
      </c>
    </row>
    <row r="473" spans="1:50">
      <c r="A473" s="124">
        <v>18031751209</v>
      </c>
      <c r="B473" s="168"/>
      <c r="C473" s="169"/>
      <c r="D473" s="169"/>
      <c r="E473" s="169"/>
      <c r="F473" s="169"/>
      <c r="G473" s="169"/>
      <c r="H473" s="169"/>
      <c r="I473" s="169"/>
      <c r="J473" s="169" t="s">
        <v>24</v>
      </c>
      <c r="K473" s="169"/>
      <c r="L473" s="169"/>
      <c r="M473" s="169"/>
      <c r="N473" s="169"/>
      <c r="O473" s="169"/>
      <c r="P473" s="161">
        <f t="shared" si="144"/>
        <v>1</v>
      </c>
      <c r="Q473" s="170">
        <f t="shared" si="145"/>
        <v>3</v>
      </c>
      <c r="R473" s="161"/>
      <c r="S473" s="161">
        <f t="shared" si="146"/>
        <v>0</v>
      </c>
      <c r="T473" s="161">
        <f t="shared" si="147"/>
        <v>0</v>
      </c>
      <c r="U473" s="161">
        <f t="shared" si="148"/>
        <v>0</v>
      </c>
      <c r="V473" s="162">
        <f t="shared" si="149"/>
        <v>0</v>
      </c>
      <c r="W473" s="162">
        <f t="shared" si="150"/>
        <v>0</v>
      </c>
      <c r="X473" s="162">
        <f t="shared" si="151"/>
        <v>0</v>
      </c>
      <c r="Y473" s="162">
        <f t="shared" si="152"/>
        <v>0</v>
      </c>
      <c r="Z473" s="162">
        <f t="shared" si="153"/>
        <v>0</v>
      </c>
      <c r="AA473" s="162">
        <f t="shared" si="154"/>
        <v>1</v>
      </c>
      <c r="AB473" s="162">
        <f t="shared" si="155"/>
        <v>0</v>
      </c>
      <c r="AC473" s="162">
        <f t="shared" si="156"/>
        <v>0</v>
      </c>
      <c r="AD473" s="162">
        <f t="shared" si="157"/>
        <v>0</v>
      </c>
      <c r="AE473" s="162">
        <f t="shared" si="158"/>
        <v>0</v>
      </c>
      <c r="AF473" s="161"/>
      <c r="AG473" s="161"/>
      <c r="AH473" s="161">
        <f t="shared" si="159"/>
        <v>1</v>
      </c>
      <c r="AI473" s="161">
        <f t="shared" si="160"/>
        <v>1</v>
      </c>
      <c r="AJ473" s="161" t="str">
        <f t="shared" si="161"/>
        <v>Correct</v>
      </c>
      <c r="AK473" s="124"/>
      <c r="AL473" s="120" t="str">
        <f>IFERROR(VLOOKUP(Table1[RespondentID],'All Data'!$A$3:$CO$999,87,FALSE),"unknown")</f>
        <v>Man</v>
      </c>
      <c r="AM473" s="120">
        <f>IFERROR(VLOOKUP(Table1[RespondentID],'All Data'!$A$3:$CO$999,88,FALSE),"unknown")</f>
        <v>81</v>
      </c>
      <c r="AN473" s="120" t="str">
        <f>IFERROR(VLOOKUP(Table1[RespondentID],'All Data'!$A$3:$CO$999,89,FALSE),"unknown")</f>
        <v>Nassau</v>
      </c>
      <c r="AO473" s="120" t="str">
        <f>IFERROR(VLOOKUP(Table1[RespondentID],'All Data'!$A$3:$CO$999,90,FALSE),"unknown")</f>
        <v>Lido Beach, 11561</v>
      </c>
      <c r="AP473" s="120" t="str">
        <f>IFERROR(VLOOKUP(Table1[RespondentID],'All Data'!$A$3:$CO$999,91,FALSE),"unknown")</f>
        <v>White</v>
      </c>
      <c r="AQ473" s="120" t="str">
        <f>IFERROR(VLOOKUP(Table1[RespondentID],'All Data'!$A$3:$CO$999,92,FALSE),"unknown")</f>
        <v>Not Hispanic or Latino</v>
      </c>
      <c r="AR473" s="120" t="str">
        <f>IFERROR(VLOOKUP(Table1[RespondentID],'All Data'!$A$3:$CO$999,93,FALSE),"unknown")</f>
        <v>English</v>
      </c>
      <c r="AS473" s="120" t="str">
        <f>IFERROR(VLOOKUP(Table1[RespondentID],'All Data'!$A$3:$CW$999,94,FALSE),"unknown")</f>
        <v>$75,000 to $125,000</v>
      </c>
      <c r="AT473" s="120" t="str">
        <f>IFERROR(VLOOKUP(Table1[RespondentID],'All Data'!$A$3:$CW$999,95,FALSE),"unknown")</f>
        <v>Some high school</v>
      </c>
      <c r="AU473" s="120" t="str">
        <f>IFERROR(VLOOKUP(Table1[RespondentID],'All Data'!$A$3:$CW$999,96,FALSE),"unknown")</f>
        <v>Employed for wages</v>
      </c>
      <c r="AV473" s="120" t="str">
        <f>IFERROR(VLOOKUP(Table1[RespondentID],'All Data'!$A$3:$CW$999,97,FALSE),"unknown")</f>
        <v>Yes</v>
      </c>
      <c r="AW473" s="120" t="str">
        <f>IFERROR(VLOOKUP(Table1[RespondentID],'All Data'!$A$3:$CW$999,98,FALSE),"unknown")</f>
        <v>Medicare,Private/Commercial</v>
      </c>
      <c r="AX473" s="120" t="str">
        <f>IFERROR(VLOOKUP(Table1[RespondentID],'All Data'!$A$3:$CW$999,99,FALSE),"unknown")</f>
        <v>Yes</v>
      </c>
    </row>
    <row r="474" spans="1:50">
      <c r="A474" s="124">
        <v>18031751111</v>
      </c>
      <c r="B474" s="168"/>
      <c r="C474" s="169" t="s">
        <v>17</v>
      </c>
      <c r="D474" s="169"/>
      <c r="E474" s="169"/>
      <c r="F474" s="169"/>
      <c r="G474" s="169" t="s">
        <v>21</v>
      </c>
      <c r="H474" s="169"/>
      <c r="I474" s="169" t="s">
        <v>23</v>
      </c>
      <c r="J474" s="169"/>
      <c r="K474" s="169"/>
      <c r="L474" s="169"/>
      <c r="M474" s="169"/>
      <c r="N474" s="169"/>
      <c r="O474" s="169"/>
      <c r="P474" s="161">
        <f t="shared" si="144"/>
        <v>3</v>
      </c>
      <c r="Q474" s="170">
        <f t="shared" si="145"/>
        <v>1</v>
      </c>
      <c r="R474" s="161"/>
      <c r="S474" s="161">
        <f t="shared" si="146"/>
        <v>0</v>
      </c>
      <c r="T474" s="161">
        <f t="shared" si="147"/>
        <v>1</v>
      </c>
      <c r="U474" s="161">
        <f t="shared" si="148"/>
        <v>0</v>
      </c>
      <c r="V474" s="162">
        <f t="shared" si="149"/>
        <v>0</v>
      </c>
      <c r="W474" s="162">
        <f t="shared" si="150"/>
        <v>0</v>
      </c>
      <c r="X474" s="162">
        <f t="shared" si="151"/>
        <v>1</v>
      </c>
      <c r="Y474" s="162">
        <f t="shared" si="152"/>
        <v>0</v>
      </c>
      <c r="Z474" s="162">
        <f t="shared" si="153"/>
        <v>1</v>
      </c>
      <c r="AA474" s="162">
        <f t="shared" si="154"/>
        <v>0</v>
      </c>
      <c r="AB474" s="162">
        <f t="shared" si="155"/>
        <v>0</v>
      </c>
      <c r="AC474" s="162">
        <f t="shared" si="156"/>
        <v>0</v>
      </c>
      <c r="AD474" s="162">
        <f t="shared" si="157"/>
        <v>0</v>
      </c>
      <c r="AE474" s="162">
        <f t="shared" si="158"/>
        <v>0</v>
      </c>
      <c r="AF474" s="161"/>
      <c r="AG474" s="161"/>
      <c r="AH474" s="161">
        <f t="shared" si="159"/>
        <v>3</v>
      </c>
      <c r="AI474" s="161">
        <f t="shared" si="160"/>
        <v>3</v>
      </c>
      <c r="AJ474" s="161" t="str">
        <f t="shared" si="161"/>
        <v>Correct</v>
      </c>
      <c r="AK474" s="124"/>
      <c r="AL474" s="120" t="str">
        <f>IFERROR(VLOOKUP(Table1[RespondentID],'All Data'!$A$3:$CO$999,87,FALSE),"unknown")</f>
        <v>Woman</v>
      </c>
      <c r="AM474" s="120">
        <f>IFERROR(VLOOKUP(Table1[RespondentID],'All Data'!$A$3:$CO$999,88,FALSE),"unknown")</f>
        <v>61</v>
      </c>
      <c r="AN474" s="120" t="str">
        <f>IFERROR(VLOOKUP(Table1[RespondentID],'All Data'!$A$3:$CO$999,89,FALSE),"unknown")</f>
        <v>Nassau</v>
      </c>
      <c r="AO474" s="120" t="str">
        <f>IFERROR(VLOOKUP(Table1[RespondentID],'All Data'!$A$3:$CO$999,90,FALSE),"unknown")</f>
        <v>Garden City, 11530</v>
      </c>
      <c r="AP474" s="120" t="str">
        <f>IFERROR(VLOOKUP(Table1[RespondentID],'All Data'!$A$3:$CO$999,91,FALSE),"unknown")</f>
        <v>White</v>
      </c>
      <c r="AQ474" s="120" t="str">
        <f>IFERROR(VLOOKUP(Table1[RespondentID],'All Data'!$A$3:$CO$999,92,FALSE),"unknown")</f>
        <v>Not Hispanic or Latino</v>
      </c>
      <c r="AR474" s="120" t="str">
        <f>IFERROR(VLOOKUP(Table1[RespondentID],'All Data'!$A$3:$CO$999,93,FALSE),"unknown")</f>
        <v>English</v>
      </c>
      <c r="AS474" s="120" t="str">
        <f>IFERROR(VLOOKUP(Table1[RespondentID],'All Data'!$A$3:$CW$999,94,FALSE),"unknown")</f>
        <v>$50,000 to $74,999</v>
      </c>
      <c r="AT474" s="120" t="str">
        <f>IFERROR(VLOOKUP(Table1[RespondentID],'All Data'!$A$3:$CW$999,95,FALSE),"unknown")</f>
        <v>Graduate school</v>
      </c>
      <c r="AU474" s="120" t="str">
        <f>IFERROR(VLOOKUP(Table1[RespondentID],'All Data'!$A$3:$CW$999,96,FALSE),"unknown")</f>
        <v>Employed for wages</v>
      </c>
      <c r="AV474" s="120" t="str">
        <f>IFERROR(VLOOKUP(Table1[RespondentID],'All Data'!$A$3:$CW$999,97,FALSE),"unknown")</f>
        <v>No</v>
      </c>
      <c r="AW474" s="120" t="str">
        <f>IFERROR(VLOOKUP(Table1[RespondentID],'All Data'!$A$3:$CW$999,98,FALSE),"unknown")</f>
        <v>No Insurance</v>
      </c>
      <c r="AX474" s="120" t="str">
        <f>IFERROR(VLOOKUP(Table1[RespondentID],'All Data'!$A$3:$CW$999,99,FALSE),"unknown")</f>
        <v>Yes</v>
      </c>
    </row>
    <row r="475" spans="1:50">
      <c r="A475" s="124">
        <v>18031750983</v>
      </c>
      <c r="B475" s="168"/>
      <c r="C475" s="169"/>
      <c r="D475" s="169" t="s">
        <v>18</v>
      </c>
      <c r="E475" s="169"/>
      <c r="F475" s="169"/>
      <c r="G475" s="169"/>
      <c r="H475" s="169"/>
      <c r="I475" s="169"/>
      <c r="J475" s="169" t="s">
        <v>24</v>
      </c>
      <c r="K475" s="169"/>
      <c r="L475" s="169"/>
      <c r="M475" s="169"/>
      <c r="N475" s="169"/>
      <c r="O475" s="169"/>
      <c r="P475" s="161">
        <f t="shared" si="144"/>
        <v>2</v>
      </c>
      <c r="Q475" s="170">
        <f t="shared" si="145"/>
        <v>1.5</v>
      </c>
      <c r="R475" s="161"/>
      <c r="S475" s="161">
        <f t="shared" si="146"/>
        <v>0</v>
      </c>
      <c r="T475" s="161">
        <f t="shared" si="147"/>
        <v>0</v>
      </c>
      <c r="U475" s="161">
        <f t="shared" si="148"/>
        <v>1</v>
      </c>
      <c r="V475" s="162">
        <f t="shared" si="149"/>
        <v>0</v>
      </c>
      <c r="W475" s="162">
        <f t="shared" si="150"/>
        <v>0</v>
      </c>
      <c r="X475" s="162">
        <f t="shared" si="151"/>
        <v>0</v>
      </c>
      <c r="Y475" s="162">
        <f t="shared" si="152"/>
        <v>0</v>
      </c>
      <c r="Z475" s="162">
        <f t="shared" si="153"/>
        <v>0</v>
      </c>
      <c r="AA475" s="162">
        <f t="shared" si="154"/>
        <v>1</v>
      </c>
      <c r="AB475" s="162">
        <f t="shared" si="155"/>
        <v>0</v>
      </c>
      <c r="AC475" s="162">
        <f t="shared" si="156"/>
        <v>0</v>
      </c>
      <c r="AD475" s="162">
        <f t="shared" si="157"/>
        <v>0</v>
      </c>
      <c r="AE475" s="162">
        <f t="shared" si="158"/>
        <v>0</v>
      </c>
      <c r="AF475" s="161"/>
      <c r="AG475" s="161"/>
      <c r="AH475" s="161">
        <f t="shared" si="159"/>
        <v>2</v>
      </c>
      <c r="AI475" s="161">
        <f t="shared" si="160"/>
        <v>2</v>
      </c>
      <c r="AJ475" s="161" t="str">
        <f t="shared" si="161"/>
        <v>Correct</v>
      </c>
      <c r="AK475" s="124"/>
      <c r="AL475" s="120" t="str">
        <f>IFERROR(VLOOKUP(Table1[RespondentID],'All Data'!$A$3:$CO$999,87,FALSE),"unknown")</f>
        <v>Man</v>
      </c>
      <c r="AM475" s="120">
        <f>IFERROR(VLOOKUP(Table1[RespondentID],'All Data'!$A$3:$CO$999,88,FALSE),"unknown")</f>
        <v>61</v>
      </c>
      <c r="AN475" s="120" t="str">
        <f>IFERROR(VLOOKUP(Table1[RespondentID],'All Data'!$A$3:$CO$999,89,FALSE),"unknown")</f>
        <v>Nassau</v>
      </c>
      <c r="AO475" s="120" t="str">
        <f>IFERROR(VLOOKUP(Table1[RespondentID],'All Data'!$A$3:$CO$999,90,FALSE),"unknown")</f>
        <v>Woodbury, 11797</v>
      </c>
      <c r="AP475" s="120" t="str">
        <f>IFERROR(VLOOKUP(Table1[RespondentID],'All Data'!$A$3:$CO$999,91,FALSE),"unknown")</f>
        <v>White</v>
      </c>
      <c r="AQ475" s="120" t="str">
        <f>IFERROR(VLOOKUP(Table1[RespondentID],'All Data'!$A$3:$CO$999,92,FALSE),"unknown")</f>
        <v>Not Hispanic or Latino</v>
      </c>
      <c r="AR475" s="120" t="str">
        <f>IFERROR(VLOOKUP(Table1[RespondentID],'All Data'!$A$3:$CO$999,93,FALSE),"unknown")</f>
        <v>English</v>
      </c>
      <c r="AS475" s="120">
        <f>IFERROR(VLOOKUP(Table1[RespondentID],'All Data'!$A$3:$CW$999,94,FALSE),"unknown")</f>
        <v>0</v>
      </c>
      <c r="AT475" s="120" t="str">
        <f>IFERROR(VLOOKUP(Table1[RespondentID],'All Data'!$A$3:$CW$999,95,FALSE),"unknown")</f>
        <v>College graduate</v>
      </c>
      <c r="AU475" s="120" t="str">
        <f>IFERROR(VLOOKUP(Table1[RespondentID],'All Data'!$A$3:$CW$999,96,FALSE),"unknown")</f>
        <v>Employed for wages</v>
      </c>
      <c r="AV475" s="120" t="str">
        <f>IFERROR(VLOOKUP(Table1[RespondentID],'All Data'!$A$3:$CW$999,97,FALSE),"unknown")</f>
        <v>Yes</v>
      </c>
      <c r="AW475" s="120" t="str">
        <f>IFERROR(VLOOKUP(Table1[RespondentID],'All Data'!$A$3:$CW$999,98,FALSE),"unknown")</f>
        <v>Private/Commercial</v>
      </c>
      <c r="AX475" s="120" t="str">
        <f>IFERROR(VLOOKUP(Table1[RespondentID],'All Data'!$A$3:$CW$999,99,FALSE),"unknown")</f>
        <v>Yes</v>
      </c>
    </row>
    <row r="476" spans="1:50">
      <c r="A476" s="124">
        <v>18031750464</v>
      </c>
      <c r="B476" s="168"/>
      <c r="C476" s="169"/>
      <c r="D476" s="169"/>
      <c r="E476" s="169" t="s">
        <v>19</v>
      </c>
      <c r="F476" s="169"/>
      <c r="G476" s="169" t="s">
        <v>21</v>
      </c>
      <c r="H476" s="169"/>
      <c r="I476" s="169" t="s">
        <v>23</v>
      </c>
      <c r="J476" s="169"/>
      <c r="K476" s="169"/>
      <c r="L476" s="169"/>
      <c r="M476" s="169"/>
      <c r="N476" s="169"/>
      <c r="O476" s="169"/>
      <c r="P476" s="161">
        <f t="shared" si="144"/>
        <v>3</v>
      </c>
      <c r="Q476" s="170">
        <f t="shared" si="145"/>
        <v>1</v>
      </c>
      <c r="R476" s="161"/>
      <c r="S476" s="161">
        <f t="shared" si="146"/>
        <v>0</v>
      </c>
      <c r="T476" s="161">
        <f t="shared" si="147"/>
        <v>0</v>
      </c>
      <c r="U476" s="161">
        <f t="shared" si="148"/>
        <v>0</v>
      </c>
      <c r="V476" s="162">
        <f t="shared" si="149"/>
        <v>1</v>
      </c>
      <c r="W476" s="162">
        <f t="shared" si="150"/>
        <v>0</v>
      </c>
      <c r="X476" s="162">
        <f t="shared" si="151"/>
        <v>1</v>
      </c>
      <c r="Y476" s="162">
        <f t="shared" si="152"/>
        <v>0</v>
      </c>
      <c r="Z476" s="162">
        <f t="shared" si="153"/>
        <v>1</v>
      </c>
      <c r="AA476" s="162">
        <f t="shared" si="154"/>
        <v>0</v>
      </c>
      <c r="AB476" s="162">
        <f t="shared" si="155"/>
        <v>0</v>
      </c>
      <c r="AC476" s="162">
        <f t="shared" si="156"/>
        <v>0</v>
      </c>
      <c r="AD476" s="162">
        <f t="shared" si="157"/>
        <v>0</v>
      </c>
      <c r="AE476" s="162">
        <f t="shared" si="158"/>
        <v>0</v>
      </c>
      <c r="AF476" s="161"/>
      <c r="AG476" s="161"/>
      <c r="AH476" s="161">
        <f t="shared" si="159"/>
        <v>3</v>
      </c>
      <c r="AI476" s="161">
        <f t="shared" si="160"/>
        <v>3</v>
      </c>
      <c r="AJ476" s="161" t="str">
        <f t="shared" si="161"/>
        <v>Correct</v>
      </c>
      <c r="AK476" s="124"/>
      <c r="AL476" s="120" t="str">
        <f>IFERROR(VLOOKUP(Table1[RespondentID],'All Data'!$A$3:$CO$999,87,FALSE),"unknown")</f>
        <v>Woman</v>
      </c>
      <c r="AM476" s="120">
        <f>IFERROR(VLOOKUP(Table1[RespondentID],'All Data'!$A$3:$CO$999,88,FALSE),"unknown")</f>
        <v>74</v>
      </c>
      <c r="AN476" s="120" t="str">
        <f>IFERROR(VLOOKUP(Table1[RespondentID],'All Data'!$A$3:$CO$999,89,FALSE),"unknown")</f>
        <v>Nassau</v>
      </c>
      <c r="AO476" s="120" t="str">
        <f>IFERROR(VLOOKUP(Table1[RespondentID],'All Data'!$A$3:$CO$999,90,FALSE),"unknown")</f>
        <v>Farmingdale, 11735</v>
      </c>
      <c r="AP476" s="120" t="str">
        <f>IFERROR(VLOOKUP(Table1[RespondentID],'All Data'!$A$3:$CO$999,91,FALSE),"unknown")</f>
        <v>White</v>
      </c>
      <c r="AQ476" s="120" t="str">
        <f>IFERROR(VLOOKUP(Table1[RespondentID],'All Data'!$A$3:$CO$999,92,FALSE),"unknown")</f>
        <v>Not Hispanic or Latino</v>
      </c>
      <c r="AR476" s="120" t="str">
        <f>IFERROR(VLOOKUP(Table1[RespondentID],'All Data'!$A$3:$CO$999,93,FALSE),"unknown")</f>
        <v>English</v>
      </c>
      <c r="AS476" s="120" t="str">
        <f>IFERROR(VLOOKUP(Table1[RespondentID],'All Data'!$A$3:$CW$999,94,FALSE),"unknown")</f>
        <v>$75,000 to $125,000</v>
      </c>
      <c r="AT476" s="120" t="str">
        <f>IFERROR(VLOOKUP(Table1[RespondentID],'All Data'!$A$3:$CW$999,95,FALSE),"unknown")</f>
        <v>Graduate school</v>
      </c>
      <c r="AU476" s="120" t="str">
        <f>IFERROR(VLOOKUP(Table1[RespondentID],'All Data'!$A$3:$CW$999,96,FALSE),"unknown")</f>
        <v>Self-employed</v>
      </c>
      <c r="AV476" s="120" t="str">
        <f>IFERROR(VLOOKUP(Table1[RespondentID],'All Data'!$A$3:$CW$999,97,FALSE),"unknown")</f>
        <v>Yes</v>
      </c>
      <c r="AW476" s="120" t="str">
        <f>IFERROR(VLOOKUP(Table1[RespondentID],'All Data'!$A$3:$CW$999,98,FALSE),"unknown")</f>
        <v>Medicare,Private/Commercial</v>
      </c>
      <c r="AX476" s="120" t="str">
        <f>IFERROR(VLOOKUP(Table1[RespondentID],'All Data'!$A$3:$CW$999,99,FALSE),"unknown")</f>
        <v>Yes</v>
      </c>
    </row>
    <row r="477" spans="1:50">
      <c r="A477" s="124">
        <v>18031749512</v>
      </c>
      <c r="B477" s="168"/>
      <c r="C477" s="169" t="s">
        <v>17</v>
      </c>
      <c r="D477" s="169"/>
      <c r="E477" s="169"/>
      <c r="F477" s="169"/>
      <c r="G477" s="169"/>
      <c r="H477" s="169"/>
      <c r="I477" s="169"/>
      <c r="J477" s="169"/>
      <c r="K477" s="169" t="s">
        <v>25</v>
      </c>
      <c r="L477" s="169"/>
      <c r="M477" s="169"/>
      <c r="N477" s="169" t="s">
        <v>28</v>
      </c>
      <c r="O477" s="169"/>
      <c r="P477" s="161">
        <f t="shared" si="144"/>
        <v>3</v>
      </c>
      <c r="Q477" s="170">
        <f t="shared" si="145"/>
        <v>1</v>
      </c>
      <c r="R477" s="161"/>
      <c r="S477" s="161">
        <f t="shared" si="146"/>
        <v>0</v>
      </c>
      <c r="T477" s="161">
        <f t="shared" si="147"/>
        <v>1</v>
      </c>
      <c r="U477" s="161">
        <f t="shared" si="148"/>
        <v>0</v>
      </c>
      <c r="V477" s="162">
        <f t="shared" si="149"/>
        <v>0</v>
      </c>
      <c r="W477" s="162">
        <f t="shared" si="150"/>
        <v>0</v>
      </c>
      <c r="X477" s="162">
        <f t="shared" si="151"/>
        <v>0</v>
      </c>
      <c r="Y477" s="162">
        <f t="shared" si="152"/>
        <v>0</v>
      </c>
      <c r="Z477" s="162">
        <f t="shared" si="153"/>
        <v>0</v>
      </c>
      <c r="AA477" s="162">
        <f t="shared" si="154"/>
        <v>0</v>
      </c>
      <c r="AB477" s="162">
        <f t="shared" si="155"/>
        <v>1</v>
      </c>
      <c r="AC477" s="162">
        <f t="shared" si="156"/>
        <v>0</v>
      </c>
      <c r="AD477" s="162">
        <f t="shared" si="157"/>
        <v>0</v>
      </c>
      <c r="AE477" s="162">
        <f t="shared" si="158"/>
        <v>1</v>
      </c>
      <c r="AF477" s="161"/>
      <c r="AG477" s="161"/>
      <c r="AH477" s="161">
        <f t="shared" si="159"/>
        <v>3</v>
      </c>
      <c r="AI477" s="161">
        <f t="shared" si="160"/>
        <v>3</v>
      </c>
      <c r="AJ477" s="161" t="str">
        <f t="shared" si="161"/>
        <v>Correct</v>
      </c>
      <c r="AK477" s="124"/>
      <c r="AL477" s="120" t="str">
        <f>IFERROR(VLOOKUP(Table1[RespondentID],'All Data'!$A$3:$CO$999,87,FALSE),"unknown")</f>
        <v>Woman</v>
      </c>
      <c r="AM477" s="120">
        <f>IFERROR(VLOOKUP(Table1[RespondentID],'All Data'!$A$3:$CO$999,88,FALSE),"unknown")</f>
        <v>70</v>
      </c>
      <c r="AN477" s="120" t="str">
        <f>IFERROR(VLOOKUP(Table1[RespondentID],'All Data'!$A$3:$CO$999,89,FALSE),"unknown")</f>
        <v>Nassau</v>
      </c>
      <c r="AO477" s="120" t="str">
        <f>IFERROR(VLOOKUP(Table1[RespondentID],'All Data'!$A$3:$CO$999,90,FALSE),"unknown")</f>
        <v>Oceanside, 11572</v>
      </c>
      <c r="AP477" s="120" t="str">
        <f>IFERROR(VLOOKUP(Table1[RespondentID],'All Data'!$A$3:$CO$999,91,FALSE),"unknown")</f>
        <v>White</v>
      </c>
      <c r="AQ477" s="120" t="str">
        <f>IFERROR(VLOOKUP(Table1[RespondentID],'All Data'!$A$3:$CO$999,92,FALSE),"unknown")</f>
        <v>Not Hispanic or Latino</v>
      </c>
      <c r="AR477" s="120" t="str">
        <f>IFERROR(VLOOKUP(Table1[RespondentID],'All Data'!$A$3:$CO$999,93,FALSE),"unknown")</f>
        <v>English</v>
      </c>
      <c r="AS477" s="120" t="str">
        <f>IFERROR(VLOOKUP(Table1[RespondentID],'All Data'!$A$3:$CW$999,94,FALSE),"unknown")</f>
        <v>$75,000 to $125,000</v>
      </c>
      <c r="AT477" s="120" t="str">
        <f>IFERROR(VLOOKUP(Table1[RespondentID],'All Data'!$A$3:$CW$999,95,FALSE),"unknown")</f>
        <v>Graduate school</v>
      </c>
      <c r="AU477" s="120" t="str">
        <f>IFERROR(VLOOKUP(Table1[RespondentID],'All Data'!$A$3:$CW$999,96,FALSE),"unknown")</f>
        <v>Retired</v>
      </c>
      <c r="AV477" s="120" t="str">
        <f>IFERROR(VLOOKUP(Table1[RespondentID],'All Data'!$A$3:$CW$999,97,FALSE),"unknown")</f>
        <v>Yes</v>
      </c>
      <c r="AW477" s="120" t="str">
        <f>IFERROR(VLOOKUP(Table1[RespondentID],'All Data'!$A$3:$CW$999,98,FALSE),"unknown")</f>
        <v>Medicare,Private/Commercial</v>
      </c>
      <c r="AX477" s="120" t="str">
        <f>IFERROR(VLOOKUP(Table1[RespondentID],'All Data'!$A$3:$CW$999,99,FALSE),"unknown")</f>
        <v>Yes</v>
      </c>
    </row>
    <row r="478" spans="1:50">
      <c r="A478" s="124">
        <v>18031749227</v>
      </c>
      <c r="B478" s="168"/>
      <c r="C478" s="169" t="s">
        <v>17</v>
      </c>
      <c r="D478" s="169"/>
      <c r="E478" s="169"/>
      <c r="F478" s="169"/>
      <c r="G478" s="169"/>
      <c r="H478" s="169"/>
      <c r="I478" s="169" t="s">
        <v>23</v>
      </c>
      <c r="J478" s="169"/>
      <c r="K478" s="169"/>
      <c r="L478" s="169"/>
      <c r="M478" s="169"/>
      <c r="N478" s="169" t="s">
        <v>28</v>
      </c>
      <c r="O478" s="169"/>
      <c r="P478" s="161">
        <f t="shared" si="144"/>
        <v>3</v>
      </c>
      <c r="Q478" s="170">
        <f t="shared" si="145"/>
        <v>1</v>
      </c>
      <c r="R478" s="161"/>
      <c r="S478" s="161">
        <f t="shared" si="146"/>
        <v>0</v>
      </c>
      <c r="T478" s="161">
        <f t="shared" si="147"/>
        <v>1</v>
      </c>
      <c r="U478" s="161">
        <f t="shared" si="148"/>
        <v>0</v>
      </c>
      <c r="V478" s="162">
        <f t="shared" si="149"/>
        <v>0</v>
      </c>
      <c r="W478" s="162">
        <f t="shared" si="150"/>
        <v>0</v>
      </c>
      <c r="X478" s="162">
        <f t="shared" si="151"/>
        <v>0</v>
      </c>
      <c r="Y478" s="162">
        <f t="shared" si="152"/>
        <v>0</v>
      </c>
      <c r="Z478" s="162">
        <f t="shared" si="153"/>
        <v>1</v>
      </c>
      <c r="AA478" s="162">
        <f t="shared" si="154"/>
        <v>0</v>
      </c>
      <c r="AB478" s="162">
        <f t="shared" si="155"/>
        <v>0</v>
      </c>
      <c r="AC478" s="162">
        <f t="shared" si="156"/>
        <v>0</v>
      </c>
      <c r="AD478" s="162">
        <f t="shared" si="157"/>
        <v>0</v>
      </c>
      <c r="AE478" s="162">
        <f t="shared" si="158"/>
        <v>1</v>
      </c>
      <c r="AF478" s="161"/>
      <c r="AG478" s="161"/>
      <c r="AH478" s="161">
        <f t="shared" si="159"/>
        <v>3</v>
      </c>
      <c r="AI478" s="161">
        <f t="shared" si="160"/>
        <v>3</v>
      </c>
      <c r="AJ478" s="161" t="str">
        <f t="shared" si="161"/>
        <v>Correct</v>
      </c>
      <c r="AK478" s="124"/>
      <c r="AL478" s="120" t="str">
        <f>IFERROR(VLOOKUP(Table1[RespondentID],'All Data'!$A$3:$CO$999,87,FALSE),"unknown")</f>
        <v>Woman</v>
      </c>
      <c r="AM478" s="120">
        <f>IFERROR(VLOOKUP(Table1[RespondentID],'All Data'!$A$3:$CO$999,88,FALSE),"unknown")</f>
        <v>40</v>
      </c>
      <c r="AN478" s="120" t="str">
        <f>IFERROR(VLOOKUP(Table1[RespondentID],'All Data'!$A$3:$CO$999,89,FALSE),"unknown")</f>
        <v>Nassau</v>
      </c>
      <c r="AO478" s="120" t="str">
        <f>IFERROR(VLOOKUP(Table1[RespondentID],'All Data'!$A$3:$CO$999,90,FALSE),"unknown")</f>
        <v>Oceanside, 11572</v>
      </c>
      <c r="AP478" s="120" t="str">
        <f>IFERROR(VLOOKUP(Table1[RespondentID],'All Data'!$A$3:$CO$999,91,FALSE),"unknown")</f>
        <v>White</v>
      </c>
      <c r="AQ478" s="120" t="str">
        <f>IFERROR(VLOOKUP(Table1[RespondentID],'All Data'!$A$3:$CO$999,92,FALSE),"unknown")</f>
        <v>Not Hispanic or Latino</v>
      </c>
      <c r="AR478" s="120" t="str">
        <f>IFERROR(VLOOKUP(Table1[RespondentID],'All Data'!$A$3:$CO$999,93,FALSE),"unknown")</f>
        <v>English</v>
      </c>
      <c r="AS478" s="120">
        <f>IFERROR(VLOOKUP(Table1[RespondentID],'All Data'!$A$3:$CW$999,94,FALSE),"unknown")</f>
        <v>0</v>
      </c>
      <c r="AT478" s="120" t="str">
        <f>IFERROR(VLOOKUP(Table1[RespondentID],'All Data'!$A$3:$CW$999,95,FALSE),"unknown")</f>
        <v>College graduate</v>
      </c>
      <c r="AU478" s="120" t="str">
        <f>IFERROR(VLOOKUP(Table1[RespondentID],'All Data'!$A$3:$CW$999,96,FALSE),"unknown")</f>
        <v>Out of work and looking for work</v>
      </c>
      <c r="AV478" s="120" t="str">
        <f>IFERROR(VLOOKUP(Table1[RespondentID],'All Data'!$A$3:$CW$999,97,FALSE),"unknown")</f>
        <v>Yes</v>
      </c>
      <c r="AW478" s="120" t="str">
        <f>IFERROR(VLOOKUP(Table1[RespondentID],'All Data'!$A$3:$CW$999,98,FALSE),"unknown")</f>
        <v>Private/Commercial</v>
      </c>
      <c r="AX478" s="120" t="str">
        <f>IFERROR(VLOOKUP(Table1[RespondentID],'All Data'!$A$3:$CW$999,99,FALSE),"unknown")</f>
        <v>Yes</v>
      </c>
    </row>
    <row r="479" spans="1:50">
      <c r="A479" s="124">
        <v>18031749129</v>
      </c>
      <c r="B479" s="168"/>
      <c r="C479" s="169"/>
      <c r="D479" s="169"/>
      <c r="E479" s="169"/>
      <c r="F479" s="169"/>
      <c r="G479" s="169"/>
      <c r="H479" s="169"/>
      <c r="I479" s="169"/>
      <c r="J479" s="169"/>
      <c r="K479" s="169"/>
      <c r="L479" s="169"/>
      <c r="M479" s="169"/>
      <c r="N479" s="169" t="s">
        <v>28</v>
      </c>
      <c r="O479" s="169" t="s">
        <v>492</v>
      </c>
      <c r="P479" s="161">
        <f t="shared" si="144"/>
        <v>1</v>
      </c>
      <c r="Q479" s="170">
        <f t="shared" si="145"/>
        <v>3</v>
      </c>
      <c r="R479" s="161"/>
      <c r="S479" s="161">
        <f t="shared" si="146"/>
        <v>0</v>
      </c>
      <c r="T479" s="161">
        <f t="shared" si="147"/>
        <v>0</v>
      </c>
      <c r="U479" s="161">
        <f t="shared" si="148"/>
        <v>0</v>
      </c>
      <c r="V479" s="162">
        <f t="shared" si="149"/>
        <v>0</v>
      </c>
      <c r="W479" s="162">
        <f t="shared" si="150"/>
        <v>0</v>
      </c>
      <c r="X479" s="162">
        <f t="shared" si="151"/>
        <v>0</v>
      </c>
      <c r="Y479" s="162">
        <f t="shared" si="152"/>
        <v>0</v>
      </c>
      <c r="Z479" s="162">
        <f t="shared" si="153"/>
        <v>0</v>
      </c>
      <c r="AA479" s="162">
        <f t="shared" si="154"/>
        <v>0</v>
      </c>
      <c r="AB479" s="162">
        <f t="shared" si="155"/>
        <v>0</v>
      </c>
      <c r="AC479" s="162">
        <f t="shared" si="156"/>
        <v>0</v>
      </c>
      <c r="AD479" s="162">
        <f t="shared" si="157"/>
        <v>0</v>
      </c>
      <c r="AE479" s="162">
        <f t="shared" si="158"/>
        <v>1</v>
      </c>
      <c r="AF479" s="161"/>
      <c r="AG479" s="161"/>
      <c r="AH479" s="161">
        <f t="shared" si="159"/>
        <v>1</v>
      </c>
      <c r="AI479" s="161">
        <f t="shared" si="160"/>
        <v>1</v>
      </c>
      <c r="AJ479" s="161" t="str">
        <f t="shared" si="161"/>
        <v>Correct</v>
      </c>
      <c r="AK479" s="124"/>
      <c r="AL479" s="120" t="str">
        <f>IFERROR(VLOOKUP(Table1[RespondentID],'All Data'!$A$3:$CO$999,87,FALSE),"unknown")</f>
        <v>Woman</v>
      </c>
      <c r="AM479" s="120">
        <f>IFERROR(VLOOKUP(Table1[RespondentID],'All Data'!$A$3:$CO$999,88,FALSE),"unknown")</f>
        <v>75</v>
      </c>
      <c r="AN479" s="120" t="str">
        <f>IFERROR(VLOOKUP(Table1[RespondentID],'All Data'!$A$3:$CO$999,89,FALSE),"unknown")</f>
        <v>Suffolk</v>
      </c>
      <c r="AO479" s="120" t="str">
        <f>IFERROR(VLOOKUP(Table1[RespondentID],'All Data'!$A$3:$CO$999,90,FALSE),"unknown")</f>
        <v>East Northport, 11731</v>
      </c>
      <c r="AP479" s="120" t="str">
        <f>IFERROR(VLOOKUP(Table1[RespondentID],'All Data'!$A$3:$CO$999,91,FALSE),"unknown")</f>
        <v>White</v>
      </c>
      <c r="AQ479" s="120" t="str">
        <f>IFERROR(VLOOKUP(Table1[RespondentID],'All Data'!$A$3:$CO$999,92,FALSE),"unknown")</f>
        <v>Not Hispanic or Latino</v>
      </c>
      <c r="AR479" s="120" t="str">
        <f>IFERROR(VLOOKUP(Table1[RespondentID],'All Data'!$A$3:$CO$999,93,FALSE),"unknown")</f>
        <v>English</v>
      </c>
      <c r="AS479" s="120" t="str">
        <f>IFERROR(VLOOKUP(Table1[RespondentID],'All Data'!$A$3:$CW$999,94,FALSE),"unknown")</f>
        <v>$75,000 to $125,000</v>
      </c>
      <c r="AT479" s="120" t="str">
        <f>IFERROR(VLOOKUP(Table1[RespondentID],'All Data'!$A$3:$CW$999,95,FALSE),"unknown")</f>
        <v>Graduate school</v>
      </c>
      <c r="AU479" s="120" t="str">
        <f>IFERROR(VLOOKUP(Table1[RespondentID],'All Data'!$A$3:$CW$999,96,FALSE),"unknown")</f>
        <v>Retired</v>
      </c>
      <c r="AV479" s="120" t="str">
        <f>IFERROR(VLOOKUP(Table1[RespondentID],'All Data'!$A$3:$CW$999,97,FALSE),"unknown")</f>
        <v>Yes</v>
      </c>
      <c r="AW479" s="120" t="str">
        <f>IFERROR(VLOOKUP(Table1[RespondentID],'All Data'!$A$3:$CW$999,98,FALSE),"unknown")</f>
        <v>Medicare,Private/Commercial</v>
      </c>
      <c r="AX479" s="120" t="str">
        <f>IFERROR(VLOOKUP(Table1[RespondentID],'All Data'!$A$3:$CW$999,99,FALSE),"unknown")</f>
        <v>Yes</v>
      </c>
    </row>
    <row r="480" spans="1:50">
      <c r="A480" s="124">
        <v>18031748998</v>
      </c>
      <c r="B480" s="168"/>
      <c r="C480" s="169"/>
      <c r="D480" s="169"/>
      <c r="E480" s="169" t="s">
        <v>19</v>
      </c>
      <c r="F480" s="169"/>
      <c r="G480" s="169"/>
      <c r="H480" s="169"/>
      <c r="I480" s="169"/>
      <c r="J480" s="169" t="s">
        <v>24</v>
      </c>
      <c r="K480" s="169"/>
      <c r="L480" s="169" t="s">
        <v>26</v>
      </c>
      <c r="M480" s="169"/>
      <c r="N480" s="169"/>
      <c r="O480" s="169"/>
      <c r="P480" s="161">
        <f t="shared" si="144"/>
        <v>3</v>
      </c>
      <c r="Q480" s="170">
        <f t="shared" si="145"/>
        <v>1</v>
      </c>
      <c r="R480" s="161"/>
      <c r="S480" s="161">
        <f t="shared" si="146"/>
        <v>0</v>
      </c>
      <c r="T480" s="161">
        <f t="shared" si="147"/>
        <v>0</v>
      </c>
      <c r="U480" s="161">
        <f t="shared" si="148"/>
        <v>0</v>
      </c>
      <c r="V480" s="162">
        <f t="shared" si="149"/>
        <v>1</v>
      </c>
      <c r="W480" s="162">
        <f t="shared" si="150"/>
        <v>0</v>
      </c>
      <c r="X480" s="162">
        <f t="shared" si="151"/>
        <v>0</v>
      </c>
      <c r="Y480" s="162">
        <f t="shared" si="152"/>
        <v>0</v>
      </c>
      <c r="Z480" s="162">
        <f t="shared" si="153"/>
        <v>0</v>
      </c>
      <c r="AA480" s="162">
        <f t="shared" si="154"/>
        <v>1</v>
      </c>
      <c r="AB480" s="162">
        <f t="shared" si="155"/>
        <v>0</v>
      </c>
      <c r="AC480" s="162">
        <f t="shared" si="156"/>
        <v>1</v>
      </c>
      <c r="AD480" s="162">
        <f t="shared" si="157"/>
        <v>0</v>
      </c>
      <c r="AE480" s="162">
        <f t="shared" si="158"/>
        <v>0</v>
      </c>
      <c r="AF480" s="161"/>
      <c r="AG480" s="161"/>
      <c r="AH480" s="161">
        <f t="shared" si="159"/>
        <v>3</v>
      </c>
      <c r="AI480" s="161">
        <f t="shared" si="160"/>
        <v>3</v>
      </c>
      <c r="AJ480" s="161" t="str">
        <f t="shared" si="161"/>
        <v>Correct</v>
      </c>
      <c r="AK480" s="124"/>
      <c r="AL480" s="120" t="str">
        <f>IFERROR(VLOOKUP(Table1[RespondentID],'All Data'!$A$3:$CO$999,87,FALSE),"unknown")</f>
        <v>Woman</v>
      </c>
      <c r="AM480" s="120">
        <f>IFERROR(VLOOKUP(Table1[RespondentID],'All Data'!$A$3:$CO$999,88,FALSE),"unknown")</f>
        <v>0</v>
      </c>
      <c r="AN480" s="120" t="str">
        <f>IFERROR(VLOOKUP(Table1[RespondentID],'All Data'!$A$3:$CO$999,89,FALSE),"unknown")</f>
        <v>Nassau</v>
      </c>
      <c r="AO480" s="120" t="str">
        <f>IFERROR(VLOOKUP(Table1[RespondentID],'All Data'!$A$3:$CO$999,90,FALSE),"unknown")</f>
        <v>Westbury, 11590</v>
      </c>
      <c r="AP480" s="120" t="str">
        <f>IFERROR(VLOOKUP(Table1[RespondentID],'All Data'!$A$3:$CO$999,91,FALSE),"unknown")</f>
        <v>Asian</v>
      </c>
      <c r="AQ480" s="120" t="str">
        <f>IFERROR(VLOOKUP(Table1[RespondentID],'All Data'!$A$3:$CO$999,92,FALSE),"unknown")</f>
        <v>Not Hispanic or Latino</v>
      </c>
      <c r="AR480" s="120" t="str">
        <f>IFERROR(VLOOKUP(Table1[RespondentID],'All Data'!$A$3:$CO$999,93,FALSE),"unknown")</f>
        <v>English</v>
      </c>
      <c r="AS480" s="120" t="str">
        <f>IFERROR(VLOOKUP(Table1[RespondentID],'All Data'!$A$3:$CW$999,94,FALSE),"unknown")</f>
        <v>$50,000 to $74,999</v>
      </c>
      <c r="AT480" s="120" t="str">
        <f>IFERROR(VLOOKUP(Table1[RespondentID],'All Data'!$A$3:$CW$999,95,FALSE),"unknown")</f>
        <v>Graduate school</v>
      </c>
      <c r="AU480" s="120" t="str">
        <f>IFERROR(VLOOKUP(Table1[RespondentID],'All Data'!$A$3:$CW$999,96,FALSE),"unknown")</f>
        <v>Employed for wages</v>
      </c>
      <c r="AV480" s="120" t="str">
        <f>IFERROR(VLOOKUP(Table1[RespondentID],'All Data'!$A$3:$CW$999,97,FALSE),"unknown")</f>
        <v>Yes</v>
      </c>
      <c r="AW480" s="120" t="str">
        <f>IFERROR(VLOOKUP(Table1[RespondentID],'All Data'!$A$3:$CW$999,98,FALSE),"unknown")</f>
        <v>Private/Commercial</v>
      </c>
      <c r="AX480" s="120">
        <f>IFERROR(VLOOKUP(Table1[RespondentID],'All Data'!$A$3:$CW$999,99,FALSE),"unknown")</f>
        <v>0</v>
      </c>
    </row>
    <row r="481" spans="1:50">
      <c r="A481" s="124">
        <v>18031748776</v>
      </c>
      <c r="B481" s="168"/>
      <c r="C481" s="169"/>
      <c r="D481" s="169"/>
      <c r="E481" s="169"/>
      <c r="F481" s="169"/>
      <c r="G481" s="169"/>
      <c r="H481" s="169"/>
      <c r="I481" s="169"/>
      <c r="J481" s="169"/>
      <c r="K481" s="169"/>
      <c r="L481" s="169"/>
      <c r="M481" s="169"/>
      <c r="N481" s="169" t="s">
        <v>28</v>
      </c>
      <c r="O481" s="169"/>
      <c r="P481" s="161">
        <f t="shared" si="144"/>
        <v>1</v>
      </c>
      <c r="Q481" s="170">
        <f t="shared" si="145"/>
        <v>3</v>
      </c>
      <c r="R481" s="161"/>
      <c r="S481" s="161">
        <f t="shared" si="146"/>
        <v>0</v>
      </c>
      <c r="T481" s="161">
        <f t="shared" si="147"/>
        <v>0</v>
      </c>
      <c r="U481" s="161">
        <f t="shared" si="148"/>
        <v>0</v>
      </c>
      <c r="V481" s="162">
        <f t="shared" si="149"/>
        <v>0</v>
      </c>
      <c r="W481" s="162">
        <f t="shared" si="150"/>
        <v>0</v>
      </c>
      <c r="X481" s="162">
        <f t="shared" si="151"/>
        <v>0</v>
      </c>
      <c r="Y481" s="162">
        <f t="shared" si="152"/>
        <v>0</v>
      </c>
      <c r="Z481" s="162">
        <f t="shared" si="153"/>
        <v>0</v>
      </c>
      <c r="AA481" s="162">
        <f t="shared" si="154"/>
        <v>0</v>
      </c>
      <c r="AB481" s="162">
        <f t="shared" si="155"/>
        <v>0</v>
      </c>
      <c r="AC481" s="162">
        <f t="shared" si="156"/>
        <v>0</v>
      </c>
      <c r="AD481" s="162">
        <f t="shared" si="157"/>
        <v>0</v>
      </c>
      <c r="AE481" s="162">
        <f t="shared" si="158"/>
        <v>1</v>
      </c>
      <c r="AF481" s="161"/>
      <c r="AG481" s="161"/>
      <c r="AH481" s="161">
        <f t="shared" si="159"/>
        <v>1</v>
      </c>
      <c r="AI481" s="161">
        <f t="shared" si="160"/>
        <v>1</v>
      </c>
      <c r="AJ481" s="161" t="str">
        <f t="shared" si="161"/>
        <v>Correct</v>
      </c>
      <c r="AK481" s="124"/>
      <c r="AL481" s="120" t="str">
        <f>IFERROR(VLOOKUP(Table1[RespondentID],'All Data'!$A$3:$CO$999,87,FALSE),"unknown")</f>
        <v>Woman</v>
      </c>
      <c r="AM481" s="120">
        <f>IFERROR(VLOOKUP(Table1[RespondentID],'All Data'!$A$3:$CO$999,88,FALSE),"unknown")</f>
        <v>82</v>
      </c>
      <c r="AN481" s="120" t="str">
        <f>IFERROR(VLOOKUP(Table1[RespondentID],'All Data'!$A$3:$CO$999,89,FALSE),"unknown")</f>
        <v>Nassau</v>
      </c>
      <c r="AO481" s="120" t="str">
        <f>IFERROR(VLOOKUP(Table1[RespondentID],'All Data'!$A$3:$CO$999,90,FALSE),"unknown")</f>
        <v>Manhasset, 11030</v>
      </c>
      <c r="AP481" s="120" t="str">
        <f>IFERROR(VLOOKUP(Table1[RespondentID],'All Data'!$A$3:$CO$999,91,FALSE),"unknown")</f>
        <v>Two or more races</v>
      </c>
      <c r="AQ481" s="120" t="str">
        <f>IFERROR(VLOOKUP(Table1[RespondentID],'All Data'!$A$3:$CO$999,92,FALSE),"unknown")</f>
        <v>Not Hispanic or Latino</v>
      </c>
      <c r="AR481" s="120" t="str">
        <f>IFERROR(VLOOKUP(Table1[RespondentID],'All Data'!$A$3:$CO$999,93,FALSE),"unknown")</f>
        <v>English</v>
      </c>
      <c r="AS481" s="120" t="str">
        <f>IFERROR(VLOOKUP(Table1[RespondentID],'All Data'!$A$3:$CW$999,94,FALSE),"unknown")</f>
        <v>$20,000 to $34,999</v>
      </c>
      <c r="AT481" s="120" t="str">
        <f>IFERROR(VLOOKUP(Table1[RespondentID],'All Data'!$A$3:$CW$999,95,FALSE),"unknown")</f>
        <v>High school graduate</v>
      </c>
      <c r="AU481" s="120" t="str">
        <f>IFERROR(VLOOKUP(Table1[RespondentID],'All Data'!$A$3:$CW$999,96,FALSE),"unknown")</f>
        <v>Retired</v>
      </c>
      <c r="AV481" s="120" t="str">
        <f>IFERROR(VLOOKUP(Table1[RespondentID],'All Data'!$A$3:$CW$999,97,FALSE),"unknown")</f>
        <v>Yes</v>
      </c>
      <c r="AW481" s="120" t="str">
        <f>IFERROR(VLOOKUP(Table1[RespondentID],'All Data'!$A$3:$CW$999,98,FALSE),"unknown")</f>
        <v>Medicare</v>
      </c>
      <c r="AX481" s="120" t="str">
        <f>IFERROR(VLOOKUP(Table1[RespondentID],'All Data'!$A$3:$CW$999,99,FALSE),"unknown")</f>
        <v>Yes</v>
      </c>
    </row>
    <row r="482" spans="1:50">
      <c r="A482" s="124">
        <v>18031748295</v>
      </c>
      <c r="B482" s="168"/>
      <c r="C482" s="169"/>
      <c r="D482" s="169"/>
      <c r="E482" s="169"/>
      <c r="F482" s="169"/>
      <c r="G482" s="169"/>
      <c r="H482" s="169"/>
      <c r="I482" s="169"/>
      <c r="J482" s="169"/>
      <c r="K482" s="169"/>
      <c r="L482" s="169"/>
      <c r="M482" s="169"/>
      <c r="N482" s="169"/>
      <c r="O482" s="169" t="s">
        <v>492</v>
      </c>
      <c r="P482" s="161">
        <f t="shared" si="144"/>
        <v>0</v>
      </c>
      <c r="Q482" s="170" t="e">
        <f t="shared" si="145"/>
        <v>#DIV/0!</v>
      </c>
      <c r="R482" s="161"/>
      <c r="S482" s="161">
        <f t="shared" si="146"/>
        <v>0</v>
      </c>
      <c r="T482" s="161">
        <f t="shared" si="147"/>
        <v>0</v>
      </c>
      <c r="U482" s="161">
        <f t="shared" si="148"/>
        <v>0</v>
      </c>
      <c r="V482" s="162">
        <f t="shared" si="149"/>
        <v>0</v>
      </c>
      <c r="W482" s="162">
        <f t="shared" si="150"/>
        <v>0</v>
      </c>
      <c r="X482" s="162">
        <f t="shared" si="151"/>
        <v>0</v>
      </c>
      <c r="Y482" s="162">
        <f t="shared" si="152"/>
        <v>0</v>
      </c>
      <c r="Z482" s="162">
        <f t="shared" si="153"/>
        <v>0</v>
      </c>
      <c r="AA482" s="162">
        <f t="shared" si="154"/>
        <v>0</v>
      </c>
      <c r="AB482" s="162">
        <f t="shared" si="155"/>
        <v>0</v>
      </c>
      <c r="AC482" s="162">
        <f t="shared" si="156"/>
        <v>0</v>
      </c>
      <c r="AD482" s="162">
        <f t="shared" si="157"/>
        <v>0</v>
      </c>
      <c r="AE482" s="162">
        <f t="shared" si="158"/>
        <v>0</v>
      </c>
      <c r="AF482" s="161"/>
      <c r="AG482" s="161"/>
      <c r="AH482" s="161">
        <f t="shared" si="159"/>
        <v>0</v>
      </c>
      <c r="AI482" s="161">
        <f t="shared" si="160"/>
        <v>0</v>
      </c>
      <c r="AJ482" s="161" t="str">
        <f t="shared" si="161"/>
        <v>Correct</v>
      </c>
      <c r="AK482" s="124"/>
      <c r="AL482" s="120" t="str">
        <f>IFERROR(VLOOKUP(Table1[RespondentID],'All Data'!$A$3:$CO$999,87,FALSE),"unknown")</f>
        <v>Woman</v>
      </c>
      <c r="AM482" s="120">
        <f>IFERROR(VLOOKUP(Table1[RespondentID],'All Data'!$A$3:$CO$999,88,FALSE),"unknown")</f>
        <v>64</v>
      </c>
      <c r="AN482" s="120" t="str">
        <f>IFERROR(VLOOKUP(Table1[RespondentID],'All Data'!$A$3:$CO$999,89,FALSE),"unknown")</f>
        <v>Queens</v>
      </c>
      <c r="AO482" s="120">
        <f>IFERROR(VLOOKUP(Table1[RespondentID],'All Data'!$A$3:$CO$999,90,FALSE),"unknown")</f>
        <v>0</v>
      </c>
      <c r="AP482" s="120" t="str">
        <f>IFERROR(VLOOKUP(Table1[RespondentID],'All Data'!$A$3:$CO$999,91,FALSE),"unknown")</f>
        <v>Black or African American</v>
      </c>
      <c r="AQ482" s="120" t="str">
        <f>IFERROR(VLOOKUP(Table1[RespondentID],'All Data'!$A$3:$CO$999,92,FALSE),"unknown")</f>
        <v>Not Hispanic or Latino</v>
      </c>
      <c r="AR482" s="120" t="str">
        <f>IFERROR(VLOOKUP(Table1[RespondentID],'All Data'!$A$3:$CO$999,93,FALSE),"unknown")</f>
        <v>English</v>
      </c>
      <c r="AS482" s="120" t="str">
        <f>IFERROR(VLOOKUP(Table1[RespondentID],'All Data'!$A$3:$CW$999,94,FALSE),"unknown")</f>
        <v>$50,000 to $74,999</v>
      </c>
      <c r="AT482" s="120" t="str">
        <f>IFERROR(VLOOKUP(Table1[RespondentID],'All Data'!$A$3:$CW$999,95,FALSE),"unknown")</f>
        <v>Some college</v>
      </c>
      <c r="AU482" s="120" t="str">
        <f>IFERROR(VLOOKUP(Table1[RespondentID],'All Data'!$A$3:$CW$999,96,FALSE),"unknown")</f>
        <v>Employed for wages</v>
      </c>
      <c r="AV482" s="120" t="str">
        <f>IFERROR(VLOOKUP(Table1[RespondentID],'All Data'!$A$3:$CW$999,97,FALSE),"unknown")</f>
        <v>Yes</v>
      </c>
      <c r="AW482" s="120" t="str">
        <f>IFERROR(VLOOKUP(Table1[RespondentID],'All Data'!$A$3:$CW$999,98,FALSE),"unknown")</f>
        <v>Medicare</v>
      </c>
      <c r="AX482" s="120" t="str">
        <f>IFERROR(VLOOKUP(Table1[RespondentID],'All Data'!$A$3:$CW$999,99,FALSE),"unknown")</f>
        <v>Yes</v>
      </c>
    </row>
    <row r="483" spans="1:50">
      <c r="A483" s="124">
        <v>18031748212</v>
      </c>
      <c r="B483" s="168"/>
      <c r="C483" s="169" t="s">
        <v>17</v>
      </c>
      <c r="D483" s="169" t="s">
        <v>18</v>
      </c>
      <c r="E483" s="169"/>
      <c r="F483" s="169"/>
      <c r="G483" s="169"/>
      <c r="H483" s="169"/>
      <c r="I483" s="169"/>
      <c r="J483" s="169"/>
      <c r="K483" s="169"/>
      <c r="L483" s="169"/>
      <c r="M483" s="169"/>
      <c r="N483" s="169"/>
      <c r="O483" s="169"/>
      <c r="P483" s="161">
        <f t="shared" si="144"/>
        <v>2</v>
      </c>
      <c r="Q483" s="170">
        <f t="shared" si="145"/>
        <v>1.5</v>
      </c>
      <c r="R483" s="161"/>
      <c r="S483" s="161">
        <f t="shared" si="146"/>
        <v>0</v>
      </c>
      <c r="T483" s="161">
        <f t="shared" si="147"/>
        <v>1</v>
      </c>
      <c r="U483" s="161">
        <f t="shared" si="148"/>
        <v>1</v>
      </c>
      <c r="V483" s="162">
        <f t="shared" si="149"/>
        <v>0</v>
      </c>
      <c r="W483" s="162">
        <f t="shared" si="150"/>
        <v>0</v>
      </c>
      <c r="X483" s="162">
        <f t="shared" si="151"/>
        <v>0</v>
      </c>
      <c r="Y483" s="162">
        <f t="shared" si="152"/>
        <v>0</v>
      </c>
      <c r="Z483" s="162">
        <f t="shared" si="153"/>
        <v>0</v>
      </c>
      <c r="AA483" s="162">
        <f t="shared" si="154"/>
        <v>0</v>
      </c>
      <c r="AB483" s="162">
        <f t="shared" si="155"/>
        <v>0</v>
      </c>
      <c r="AC483" s="162">
        <f t="shared" si="156"/>
        <v>0</v>
      </c>
      <c r="AD483" s="162">
        <f t="shared" si="157"/>
        <v>0</v>
      </c>
      <c r="AE483" s="162">
        <f t="shared" si="158"/>
        <v>0</v>
      </c>
      <c r="AF483" s="161"/>
      <c r="AG483" s="161"/>
      <c r="AH483" s="161">
        <f t="shared" si="159"/>
        <v>2</v>
      </c>
      <c r="AI483" s="161">
        <f t="shared" si="160"/>
        <v>2</v>
      </c>
      <c r="AJ483" s="161" t="str">
        <f t="shared" si="161"/>
        <v>Correct</v>
      </c>
      <c r="AK483" s="124"/>
      <c r="AL483" s="120" t="str">
        <f>IFERROR(VLOOKUP(Table1[RespondentID],'All Data'!$A$3:$CO$999,87,FALSE),"unknown")</f>
        <v>Woman</v>
      </c>
      <c r="AM483" s="120">
        <f>IFERROR(VLOOKUP(Table1[RespondentID],'All Data'!$A$3:$CO$999,88,FALSE),"unknown")</f>
        <v>50</v>
      </c>
      <c r="AN483" s="120" t="str">
        <f>IFERROR(VLOOKUP(Table1[RespondentID],'All Data'!$A$3:$CO$999,89,FALSE),"unknown")</f>
        <v>Nassau</v>
      </c>
      <c r="AO483" s="120" t="str">
        <f>IFERROR(VLOOKUP(Table1[RespondentID],'All Data'!$A$3:$CO$999,90,FALSE),"unknown")</f>
        <v>New Hyde Park, 11040</v>
      </c>
      <c r="AP483" s="120" t="str">
        <f>IFERROR(VLOOKUP(Table1[RespondentID],'All Data'!$A$3:$CO$999,91,FALSE),"unknown")</f>
        <v>Asian</v>
      </c>
      <c r="AQ483" s="120" t="str">
        <f>IFERROR(VLOOKUP(Table1[RespondentID],'All Data'!$A$3:$CO$999,92,FALSE),"unknown")</f>
        <v>Not Hispanic or Latino</v>
      </c>
      <c r="AR483" s="120" t="str">
        <f>IFERROR(VLOOKUP(Table1[RespondentID],'All Data'!$A$3:$CO$999,93,FALSE),"unknown")</f>
        <v>English,Chinese</v>
      </c>
      <c r="AS483" s="120" t="str">
        <f>IFERROR(VLOOKUP(Table1[RespondentID],'All Data'!$A$3:$CW$999,94,FALSE),"unknown")</f>
        <v>Over $125,000</v>
      </c>
      <c r="AT483" s="120" t="str">
        <f>IFERROR(VLOOKUP(Table1[RespondentID],'All Data'!$A$3:$CW$999,95,FALSE),"unknown")</f>
        <v>College graduate</v>
      </c>
      <c r="AU483" s="120" t="str">
        <f>IFERROR(VLOOKUP(Table1[RespondentID],'All Data'!$A$3:$CW$999,96,FALSE),"unknown")</f>
        <v>Employed for wages</v>
      </c>
      <c r="AV483" s="120" t="str">
        <f>IFERROR(VLOOKUP(Table1[RespondentID],'All Data'!$A$3:$CW$999,97,FALSE),"unknown")</f>
        <v>Yes</v>
      </c>
      <c r="AW483" s="120" t="str">
        <f>IFERROR(VLOOKUP(Table1[RespondentID],'All Data'!$A$3:$CW$999,98,FALSE),"unknown")</f>
        <v>Private/Commercial</v>
      </c>
      <c r="AX483" s="120" t="str">
        <f>IFERROR(VLOOKUP(Table1[RespondentID],'All Data'!$A$3:$CW$999,99,FALSE),"unknown")</f>
        <v>Yes</v>
      </c>
    </row>
    <row r="484" spans="1:50">
      <c r="A484" s="124">
        <v>18031748123</v>
      </c>
      <c r="B484" s="168"/>
      <c r="C484" s="169" t="s">
        <v>17</v>
      </c>
      <c r="D484" s="169"/>
      <c r="E484" s="169" t="s">
        <v>19</v>
      </c>
      <c r="F484" s="169"/>
      <c r="G484" s="169"/>
      <c r="H484" s="169"/>
      <c r="I484" s="169"/>
      <c r="J484" s="169" t="s">
        <v>24</v>
      </c>
      <c r="K484" s="169"/>
      <c r="L484" s="169"/>
      <c r="M484" s="169"/>
      <c r="N484" s="169"/>
      <c r="O484" s="169"/>
      <c r="P484" s="161">
        <f t="shared" si="144"/>
        <v>3</v>
      </c>
      <c r="Q484" s="170">
        <f t="shared" si="145"/>
        <v>1</v>
      </c>
      <c r="R484" s="161"/>
      <c r="S484" s="161">
        <f t="shared" si="146"/>
        <v>0</v>
      </c>
      <c r="T484" s="161">
        <f t="shared" si="147"/>
        <v>1</v>
      </c>
      <c r="U484" s="161">
        <f t="shared" si="148"/>
        <v>0</v>
      </c>
      <c r="V484" s="162">
        <f t="shared" si="149"/>
        <v>1</v>
      </c>
      <c r="W484" s="162">
        <f t="shared" si="150"/>
        <v>0</v>
      </c>
      <c r="X484" s="162">
        <f t="shared" si="151"/>
        <v>0</v>
      </c>
      <c r="Y484" s="162">
        <f t="shared" si="152"/>
        <v>0</v>
      </c>
      <c r="Z484" s="162">
        <f t="shared" si="153"/>
        <v>0</v>
      </c>
      <c r="AA484" s="162">
        <f t="shared" si="154"/>
        <v>1</v>
      </c>
      <c r="AB484" s="162">
        <f t="shared" si="155"/>
        <v>0</v>
      </c>
      <c r="AC484" s="162">
        <f t="shared" si="156"/>
        <v>0</v>
      </c>
      <c r="AD484" s="162">
        <f t="shared" si="157"/>
        <v>0</v>
      </c>
      <c r="AE484" s="162">
        <f t="shared" si="158"/>
        <v>0</v>
      </c>
      <c r="AF484" s="161"/>
      <c r="AG484" s="161"/>
      <c r="AH484" s="161">
        <f t="shared" si="159"/>
        <v>3</v>
      </c>
      <c r="AI484" s="161">
        <f t="shared" si="160"/>
        <v>3</v>
      </c>
      <c r="AJ484" s="161" t="str">
        <f t="shared" si="161"/>
        <v>Correct</v>
      </c>
      <c r="AK484" s="124"/>
      <c r="AL484" s="120" t="str">
        <f>IFERROR(VLOOKUP(Table1[RespondentID],'All Data'!$A$3:$CO$999,87,FALSE),"unknown")</f>
        <v>Woman</v>
      </c>
      <c r="AM484" s="120">
        <f>IFERROR(VLOOKUP(Table1[RespondentID],'All Data'!$A$3:$CO$999,88,FALSE),"unknown")</f>
        <v>81</v>
      </c>
      <c r="AN484" s="120" t="str">
        <f>IFERROR(VLOOKUP(Table1[RespondentID],'All Data'!$A$3:$CO$999,89,FALSE),"unknown")</f>
        <v>Nassau</v>
      </c>
      <c r="AO484" s="120" t="str">
        <f>IFERROR(VLOOKUP(Table1[RespondentID],'All Data'!$A$3:$CO$999,90,FALSE),"unknown")</f>
        <v>Manhasset, 11030</v>
      </c>
      <c r="AP484" s="120" t="str">
        <f>IFERROR(VLOOKUP(Table1[RespondentID],'All Data'!$A$3:$CO$999,91,FALSE),"unknown")</f>
        <v>Black or African American</v>
      </c>
      <c r="AQ484" s="120" t="str">
        <f>IFERROR(VLOOKUP(Table1[RespondentID],'All Data'!$A$3:$CO$999,92,FALSE),"unknown")</f>
        <v>Not Hispanic or Latino</v>
      </c>
      <c r="AR484" s="120" t="str">
        <f>IFERROR(VLOOKUP(Table1[RespondentID],'All Data'!$A$3:$CO$999,93,FALSE),"unknown")</f>
        <v>English</v>
      </c>
      <c r="AS484" s="120">
        <f>IFERROR(VLOOKUP(Table1[RespondentID],'All Data'!$A$3:$CW$999,94,FALSE),"unknown")</f>
        <v>0</v>
      </c>
      <c r="AT484" s="120" t="str">
        <f>IFERROR(VLOOKUP(Table1[RespondentID],'All Data'!$A$3:$CW$999,95,FALSE),"unknown")</f>
        <v>High school graduate</v>
      </c>
      <c r="AU484" s="120" t="str">
        <f>IFERROR(VLOOKUP(Table1[RespondentID],'All Data'!$A$3:$CW$999,96,FALSE),"unknown")</f>
        <v>Retired</v>
      </c>
      <c r="AV484" s="120" t="str">
        <f>IFERROR(VLOOKUP(Table1[RespondentID],'All Data'!$A$3:$CW$999,97,FALSE),"unknown")</f>
        <v>Yes</v>
      </c>
      <c r="AW484" s="120" t="str">
        <f>IFERROR(VLOOKUP(Table1[RespondentID],'All Data'!$A$3:$CW$999,98,FALSE),"unknown")</f>
        <v>Medicare</v>
      </c>
      <c r="AX484" s="120" t="str">
        <f>IFERROR(VLOOKUP(Table1[RespondentID],'All Data'!$A$3:$CW$999,99,FALSE),"unknown")</f>
        <v>No</v>
      </c>
    </row>
    <row r="485" spans="1:50">
      <c r="A485" s="124">
        <v>18031747963</v>
      </c>
      <c r="B485" s="168"/>
      <c r="C485" s="169"/>
      <c r="D485" s="169"/>
      <c r="E485" s="169"/>
      <c r="F485" s="169"/>
      <c r="G485" s="169"/>
      <c r="H485" s="169"/>
      <c r="I485" s="169"/>
      <c r="J485" s="169"/>
      <c r="K485" s="169"/>
      <c r="L485" s="169"/>
      <c r="M485" s="169"/>
      <c r="N485" s="169" t="s">
        <v>28</v>
      </c>
      <c r="O485" s="169"/>
      <c r="P485" s="161">
        <f t="shared" si="144"/>
        <v>1</v>
      </c>
      <c r="Q485" s="170">
        <f t="shared" si="145"/>
        <v>3</v>
      </c>
      <c r="R485" s="161"/>
      <c r="S485" s="161">
        <f t="shared" si="146"/>
        <v>0</v>
      </c>
      <c r="T485" s="161">
        <f t="shared" si="147"/>
        <v>0</v>
      </c>
      <c r="U485" s="161">
        <f t="shared" si="148"/>
        <v>0</v>
      </c>
      <c r="V485" s="162">
        <f t="shared" si="149"/>
        <v>0</v>
      </c>
      <c r="W485" s="162">
        <f t="shared" si="150"/>
        <v>0</v>
      </c>
      <c r="X485" s="162">
        <f t="shared" si="151"/>
        <v>0</v>
      </c>
      <c r="Y485" s="162">
        <f t="shared" si="152"/>
        <v>0</v>
      </c>
      <c r="Z485" s="162">
        <f t="shared" si="153"/>
        <v>0</v>
      </c>
      <c r="AA485" s="162">
        <f t="shared" si="154"/>
        <v>0</v>
      </c>
      <c r="AB485" s="162">
        <f t="shared" si="155"/>
        <v>0</v>
      </c>
      <c r="AC485" s="162">
        <f t="shared" si="156"/>
        <v>0</v>
      </c>
      <c r="AD485" s="162">
        <f t="shared" si="157"/>
        <v>0</v>
      </c>
      <c r="AE485" s="162">
        <f t="shared" si="158"/>
        <v>1</v>
      </c>
      <c r="AF485" s="161"/>
      <c r="AG485" s="161"/>
      <c r="AH485" s="161">
        <f t="shared" si="159"/>
        <v>1</v>
      </c>
      <c r="AI485" s="161">
        <f t="shared" si="160"/>
        <v>1</v>
      </c>
      <c r="AJ485" s="161" t="str">
        <f t="shared" si="161"/>
        <v>Correct</v>
      </c>
      <c r="AK485" s="124"/>
      <c r="AL485" s="120" t="str">
        <f>IFERROR(VLOOKUP(Table1[RespondentID],'All Data'!$A$3:$CO$999,87,FALSE),"unknown")</f>
        <v>Man</v>
      </c>
      <c r="AM485" s="120">
        <f>IFERROR(VLOOKUP(Table1[RespondentID],'All Data'!$A$3:$CO$999,88,FALSE),"unknown")</f>
        <v>79</v>
      </c>
      <c r="AN485" s="120">
        <f>IFERROR(VLOOKUP(Table1[RespondentID],'All Data'!$A$3:$CO$999,89,FALSE),"unknown")</f>
        <v>0</v>
      </c>
      <c r="AO485" s="120">
        <f>IFERROR(VLOOKUP(Table1[RespondentID],'All Data'!$A$3:$CO$999,90,FALSE),"unknown")</f>
        <v>0</v>
      </c>
      <c r="AP485" s="120" t="str">
        <f>IFERROR(VLOOKUP(Table1[RespondentID],'All Data'!$A$3:$CO$999,91,FALSE),"unknown")</f>
        <v>White</v>
      </c>
      <c r="AQ485" s="120" t="str">
        <f>IFERROR(VLOOKUP(Table1[RespondentID],'All Data'!$A$3:$CO$999,92,FALSE),"unknown")</f>
        <v>Not Hispanic or Latino</v>
      </c>
      <c r="AR485" s="120" t="str">
        <f>IFERROR(VLOOKUP(Table1[RespondentID],'All Data'!$A$3:$CO$999,93,FALSE),"unknown")</f>
        <v>English</v>
      </c>
      <c r="AS485" s="120" t="str">
        <f>IFERROR(VLOOKUP(Table1[RespondentID],'All Data'!$A$3:$CW$999,94,FALSE),"unknown")</f>
        <v>$75,000 to $125,000</v>
      </c>
      <c r="AT485" s="120" t="str">
        <f>IFERROR(VLOOKUP(Table1[RespondentID],'All Data'!$A$3:$CW$999,95,FALSE),"unknown")</f>
        <v>College graduate</v>
      </c>
      <c r="AU485" s="120" t="str">
        <f>IFERROR(VLOOKUP(Table1[RespondentID],'All Data'!$A$3:$CW$999,96,FALSE),"unknown")</f>
        <v>Retired</v>
      </c>
      <c r="AV485" s="120" t="str">
        <f>IFERROR(VLOOKUP(Table1[RespondentID],'All Data'!$A$3:$CW$999,97,FALSE),"unknown")</f>
        <v>Yes</v>
      </c>
      <c r="AW485" s="120" t="str">
        <f>IFERROR(VLOOKUP(Table1[RespondentID],'All Data'!$A$3:$CW$999,98,FALSE),"unknown")</f>
        <v>Medicare</v>
      </c>
      <c r="AX485" s="120" t="str">
        <f>IFERROR(VLOOKUP(Table1[RespondentID],'All Data'!$A$3:$CW$999,99,FALSE),"unknown")</f>
        <v>Yes</v>
      </c>
    </row>
    <row r="486" spans="1:50">
      <c r="A486" s="124">
        <v>18031747878</v>
      </c>
      <c r="B486" s="168"/>
      <c r="C486" s="169"/>
      <c r="D486" s="169" t="s">
        <v>18</v>
      </c>
      <c r="E486" s="169" t="s">
        <v>19</v>
      </c>
      <c r="F486" s="169"/>
      <c r="G486" s="169" t="s">
        <v>21</v>
      </c>
      <c r="H486" s="169"/>
      <c r="I486" s="169"/>
      <c r="J486" s="169"/>
      <c r="K486" s="169"/>
      <c r="L486" s="169"/>
      <c r="M486" s="169"/>
      <c r="N486" s="169"/>
      <c r="O486" s="169"/>
      <c r="P486" s="161">
        <f t="shared" si="144"/>
        <v>3</v>
      </c>
      <c r="Q486" s="170">
        <f t="shared" si="145"/>
        <v>1</v>
      </c>
      <c r="R486" s="161"/>
      <c r="S486" s="161">
        <f t="shared" si="146"/>
        <v>0</v>
      </c>
      <c r="T486" s="161">
        <f t="shared" si="147"/>
        <v>0</v>
      </c>
      <c r="U486" s="161">
        <f t="shared" si="148"/>
        <v>1</v>
      </c>
      <c r="V486" s="162">
        <f t="shared" si="149"/>
        <v>1</v>
      </c>
      <c r="W486" s="162">
        <f t="shared" si="150"/>
        <v>0</v>
      </c>
      <c r="X486" s="162">
        <f t="shared" si="151"/>
        <v>1</v>
      </c>
      <c r="Y486" s="162">
        <f t="shared" si="152"/>
        <v>0</v>
      </c>
      <c r="Z486" s="162">
        <f t="shared" si="153"/>
        <v>0</v>
      </c>
      <c r="AA486" s="162">
        <f t="shared" si="154"/>
        <v>0</v>
      </c>
      <c r="AB486" s="162">
        <f t="shared" si="155"/>
        <v>0</v>
      </c>
      <c r="AC486" s="162">
        <f t="shared" si="156"/>
        <v>0</v>
      </c>
      <c r="AD486" s="162">
        <f t="shared" si="157"/>
        <v>0</v>
      </c>
      <c r="AE486" s="162">
        <f t="shared" si="158"/>
        <v>0</v>
      </c>
      <c r="AF486" s="161"/>
      <c r="AG486" s="161"/>
      <c r="AH486" s="161">
        <f t="shared" si="159"/>
        <v>3</v>
      </c>
      <c r="AI486" s="161">
        <f t="shared" si="160"/>
        <v>3</v>
      </c>
      <c r="AJ486" s="161" t="str">
        <f t="shared" si="161"/>
        <v>Correct</v>
      </c>
      <c r="AK486" s="124"/>
      <c r="AL486" s="120" t="str">
        <f>IFERROR(VLOOKUP(Table1[RespondentID],'All Data'!$A$3:$CO$999,87,FALSE),"unknown")</f>
        <v>Woman</v>
      </c>
      <c r="AM486" s="120">
        <f>IFERROR(VLOOKUP(Table1[RespondentID],'All Data'!$A$3:$CO$999,88,FALSE),"unknown")</f>
        <v>86</v>
      </c>
      <c r="AN486" s="120" t="str">
        <f>IFERROR(VLOOKUP(Table1[RespondentID],'All Data'!$A$3:$CO$999,89,FALSE),"unknown")</f>
        <v>Nassau</v>
      </c>
      <c r="AO486" s="120" t="str">
        <f>IFERROR(VLOOKUP(Table1[RespondentID],'All Data'!$A$3:$CO$999,90,FALSE),"unknown")</f>
        <v>New Hyde Park, 11040</v>
      </c>
      <c r="AP486" s="120" t="str">
        <f>IFERROR(VLOOKUP(Table1[RespondentID],'All Data'!$A$3:$CO$999,91,FALSE),"unknown")</f>
        <v>White</v>
      </c>
      <c r="AQ486" s="120" t="str">
        <f>IFERROR(VLOOKUP(Table1[RespondentID],'All Data'!$A$3:$CO$999,92,FALSE),"unknown")</f>
        <v>Not Hispanic or Latino</v>
      </c>
      <c r="AR486" s="120" t="str">
        <f>IFERROR(VLOOKUP(Table1[RespondentID],'All Data'!$A$3:$CO$999,93,FALSE),"unknown")</f>
        <v>English</v>
      </c>
      <c r="AS486" s="120">
        <f>IFERROR(VLOOKUP(Table1[RespondentID],'All Data'!$A$3:$CW$999,94,FALSE),"unknown")</f>
        <v>0</v>
      </c>
      <c r="AT486" s="120" t="str">
        <f>IFERROR(VLOOKUP(Table1[RespondentID],'All Data'!$A$3:$CW$999,95,FALSE),"unknown")</f>
        <v>High school graduate</v>
      </c>
      <c r="AU486" s="120" t="str">
        <f>IFERROR(VLOOKUP(Table1[RespondentID],'All Data'!$A$3:$CW$999,96,FALSE),"unknown")</f>
        <v>Retired</v>
      </c>
      <c r="AV486" s="120" t="str">
        <f>IFERROR(VLOOKUP(Table1[RespondentID],'All Data'!$A$3:$CW$999,97,FALSE),"unknown")</f>
        <v>Yes</v>
      </c>
      <c r="AW486" s="120" t="str">
        <f>IFERROR(VLOOKUP(Table1[RespondentID],'All Data'!$A$3:$CW$999,98,FALSE),"unknown")</f>
        <v>Medicare</v>
      </c>
      <c r="AX486" s="120" t="str">
        <f>IFERROR(VLOOKUP(Table1[RespondentID],'All Data'!$A$3:$CW$999,99,FALSE),"unknown")</f>
        <v>No</v>
      </c>
    </row>
    <row r="487" spans="1:50">
      <c r="A487" s="124">
        <v>18031747796</v>
      </c>
      <c r="B487" s="168"/>
      <c r="C487" s="169"/>
      <c r="D487" s="169"/>
      <c r="E487" s="169"/>
      <c r="F487" s="169"/>
      <c r="G487" s="169"/>
      <c r="H487" s="169"/>
      <c r="I487" s="169"/>
      <c r="J487" s="169"/>
      <c r="K487" s="169"/>
      <c r="L487" s="169"/>
      <c r="M487" s="169" t="s">
        <v>27</v>
      </c>
      <c r="N487" s="169"/>
      <c r="O487" s="169"/>
      <c r="P487" s="161">
        <f t="shared" si="144"/>
        <v>1</v>
      </c>
      <c r="Q487" s="170">
        <f t="shared" si="145"/>
        <v>3</v>
      </c>
      <c r="R487" s="161"/>
      <c r="S487" s="161">
        <f t="shared" si="146"/>
        <v>0</v>
      </c>
      <c r="T487" s="161">
        <f t="shared" si="147"/>
        <v>0</v>
      </c>
      <c r="U487" s="161">
        <f t="shared" si="148"/>
        <v>0</v>
      </c>
      <c r="V487" s="162">
        <f t="shared" si="149"/>
        <v>0</v>
      </c>
      <c r="W487" s="162">
        <f t="shared" si="150"/>
        <v>0</v>
      </c>
      <c r="X487" s="162">
        <f t="shared" si="151"/>
        <v>0</v>
      </c>
      <c r="Y487" s="162">
        <f t="shared" si="152"/>
        <v>0</v>
      </c>
      <c r="Z487" s="162">
        <f t="shared" si="153"/>
        <v>0</v>
      </c>
      <c r="AA487" s="162">
        <f t="shared" si="154"/>
        <v>0</v>
      </c>
      <c r="AB487" s="162">
        <f t="shared" si="155"/>
        <v>0</v>
      </c>
      <c r="AC487" s="162">
        <f t="shared" si="156"/>
        <v>0</v>
      </c>
      <c r="AD487" s="162">
        <f t="shared" si="157"/>
        <v>1</v>
      </c>
      <c r="AE487" s="162">
        <f t="shared" si="158"/>
        <v>0</v>
      </c>
      <c r="AF487" s="161"/>
      <c r="AG487" s="161"/>
      <c r="AH487" s="161">
        <f t="shared" si="159"/>
        <v>1</v>
      </c>
      <c r="AI487" s="161">
        <f t="shared" si="160"/>
        <v>1</v>
      </c>
      <c r="AJ487" s="161" t="str">
        <f t="shared" si="161"/>
        <v>Correct</v>
      </c>
      <c r="AK487" s="124"/>
      <c r="AL487" s="120" t="str">
        <f>IFERROR(VLOOKUP(Table1[RespondentID],'All Data'!$A$3:$CO$999,87,FALSE),"unknown")</f>
        <v>Man</v>
      </c>
      <c r="AM487" s="120">
        <f>IFERROR(VLOOKUP(Table1[RespondentID],'All Data'!$A$3:$CO$999,88,FALSE),"unknown")</f>
        <v>56</v>
      </c>
      <c r="AN487" s="120" t="str">
        <f>IFERROR(VLOOKUP(Table1[RespondentID],'All Data'!$A$3:$CO$999,89,FALSE),"unknown")</f>
        <v>Nassau</v>
      </c>
      <c r="AO487" s="120" t="str">
        <f>IFERROR(VLOOKUP(Table1[RespondentID],'All Data'!$A$3:$CO$999,90,FALSE),"unknown")</f>
        <v>Manhasset, 11030</v>
      </c>
      <c r="AP487" s="120" t="str">
        <f>IFERROR(VLOOKUP(Table1[RespondentID],'All Data'!$A$3:$CO$999,91,FALSE),"unknown")</f>
        <v>White</v>
      </c>
      <c r="AQ487" s="120" t="str">
        <f>IFERROR(VLOOKUP(Table1[RespondentID],'All Data'!$A$3:$CO$999,92,FALSE),"unknown")</f>
        <v>Not Hispanic or Latino</v>
      </c>
      <c r="AR487" s="120" t="str">
        <f>IFERROR(VLOOKUP(Table1[RespondentID],'All Data'!$A$3:$CO$999,93,FALSE),"unknown")</f>
        <v>English</v>
      </c>
      <c r="AS487" s="120" t="str">
        <f>IFERROR(VLOOKUP(Table1[RespondentID],'All Data'!$A$3:$CW$999,94,FALSE),"unknown")</f>
        <v>$0-$19,999</v>
      </c>
      <c r="AT487" s="120" t="str">
        <f>IFERROR(VLOOKUP(Table1[RespondentID],'All Data'!$A$3:$CW$999,95,FALSE),"unknown")</f>
        <v>Some college</v>
      </c>
      <c r="AU487" s="120" t="str">
        <f>IFERROR(VLOOKUP(Table1[RespondentID],'All Data'!$A$3:$CW$999,96,FALSE),"unknown")</f>
        <v>Out of work, but not currently looking</v>
      </c>
      <c r="AV487" s="120" t="str">
        <f>IFERROR(VLOOKUP(Table1[RespondentID],'All Data'!$A$3:$CW$999,97,FALSE),"unknown")</f>
        <v>Yes</v>
      </c>
      <c r="AW487" s="120" t="str">
        <f>IFERROR(VLOOKUP(Table1[RespondentID],'All Data'!$A$3:$CW$999,98,FALSE),"unknown")</f>
        <v>Medicaid</v>
      </c>
      <c r="AX487" s="120" t="str">
        <f>IFERROR(VLOOKUP(Table1[RespondentID],'All Data'!$A$3:$CW$999,99,FALSE),"unknown")</f>
        <v>No</v>
      </c>
    </row>
    <row r="488" spans="1:50">
      <c r="A488" s="124">
        <v>18031747661</v>
      </c>
      <c r="B488" s="168"/>
      <c r="C488" s="169" t="s">
        <v>17</v>
      </c>
      <c r="D488" s="169" t="s">
        <v>18</v>
      </c>
      <c r="E488" s="169"/>
      <c r="F488" s="169"/>
      <c r="G488" s="169"/>
      <c r="H488" s="169"/>
      <c r="I488" s="169"/>
      <c r="J488" s="169"/>
      <c r="K488" s="169"/>
      <c r="L488" s="169"/>
      <c r="M488" s="169" t="s">
        <v>27</v>
      </c>
      <c r="N488" s="169"/>
      <c r="O488" s="169"/>
      <c r="P488" s="161">
        <f t="shared" si="144"/>
        <v>3</v>
      </c>
      <c r="Q488" s="170">
        <f t="shared" si="145"/>
        <v>1</v>
      </c>
      <c r="R488" s="161"/>
      <c r="S488" s="161">
        <f t="shared" si="146"/>
        <v>0</v>
      </c>
      <c r="T488" s="161">
        <f t="shared" si="147"/>
        <v>1</v>
      </c>
      <c r="U488" s="161">
        <f t="shared" si="148"/>
        <v>1</v>
      </c>
      <c r="V488" s="162">
        <f t="shared" si="149"/>
        <v>0</v>
      </c>
      <c r="W488" s="162">
        <f t="shared" si="150"/>
        <v>0</v>
      </c>
      <c r="X488" s="162">
        <f t="shared" si="151"/>
        <v>0</v>
      </c>
      <c r="Y488" s="162">
        <f t="shared" si="152"/>
        <v>0</v>
      </c>
      <c r="Z488" s="162">
        <f t="shared" si="153"/>
        <v>0</v>
      </c>
      <c r="AA488" s="162">
        <f t="shared" si="154"/>
        <v>0</v>
      </c>
      <c r="AB488" s="162">
        <f t="shared" si="155"/>
        <v>0</v>
      </c>
      <c r="AC488" s="162">
        <f t="shared" si="156"/>
        <v>0</v>
      </c>
      <c r="AD488" s="162">
        <f t="shared" si="157"/>
        <v>1</v>
      </c>
      <c r="AE488" s="162">
        <f t="shared" si="158"/>
        <v>0</v>
      </c>
      <c r="AF488" s="161"/>
      <c r="AG488" s="161"/>
      <c r="AH488" s="161">
        <f t="shared" si="159"/>
        <v>3</v>
      </c>
      <c r="AI488" s="161">
        <f t="shared" si="160"/>
        <v>3</v>
      </c>
      <c r="AJ488" s="161" t="str">
        <f t="shared" si="161"/>
        <v>Correct</v>
      </c>
      <c r="AK488" s="124"/>
      <c r="AL488" s="120" t="str">
        <f>IFERROR(VLOOKUP(Table1[RespondentID],'All Data'!$A$3:$CO$999,87,FALSE),"unknown")</f>
        <v>Woman</v>
      </c>
      <c r="AM488" s="120">
        <f>IFERROR(VLOOKUP(Table1[RespondentID],'All Data'!$A$3:$CO$999,88,FALSE),"unknown")</f>
        <v>62</v>
      </c>
      <c r="AN488" s="120" t="str">
        <f>IFERROR(VLOOKUP(Table1[RespondentID],'All Data'!$A$3:$CO$999,89,FALSE),"unknown")</f>
        <v>Nassau</v>
      </c>
      <c r="AO488" s="120" t="str">
        <f>IFERROR(VLOOKUP(Table1[RespondentID],'All Data'!$A$3:$CO$999,90,FALSE),"unknown")</f>
        <v>Franklin Square, 11010</v>
      </c>
      <c r="AP488" s="120" t="str">
        <f>IFERROR(VLOOKUP(Table1[RespondentID],'All Data'!$A$3:$CO$999,91,FALSE),"unknown")</f>
        <v>White</v>
      </c>
      <c r="AQ488" s="120">
        <f>IFERROR(VLOOKUP(Table1[RespondentID],'All Data'!$A$3:$CO$999,92,FALSE),"unknown")</f>
        <v>0</v>
      </c>
      <c r="AR488" s="120" t="str">
        <f>IFERROR(VLOOKUP(Table1[RespondentID],'All Data'!$A$3:$CO$999,93,FALSE),"unknown")</f>
        <v>English</v>
      </c>
      <c r="AS488" s="120" t="str">
        <f>IFERROR(VLOOKUP(Table1[RespondentID],'All Data'!$A$3:$CW$999,94,FALSE),"unknown")</f>
        <v>$75,000 to $125,000</v>
      </c>
      <c r="AT488" s="120" t="str">
        <f>IFERROR(VLOOKUP(Table1[RespondentID],'All Data'!$A$3:$CW$999,95,FALSE),"unknown")</f>
        <v>High school graduate</v>
      </c>
      <c r="AU488" s="120" t="str">
        <f>IFERROR(VLOOKUP(Table1[RespondentID],'All Data'!$A$3:$CW$999,96,FALSE),"unknown")</f>
        <v>Employed for wages</v>
      </c>
      <c r="AV488" s="120" t="str">
        <f>IFERROR(VLOOKUP(Table1[RespondentID],'All Data'!$A$3:$CW$999,97,FALSE),"unknown")</f>
        <v>Yes</v>
      </c>
      <c r="AW488" s="120" t="str">
        <f>IFERROR(VLOOKUP(Table1[RespondentID],'All Data'!$A$3:$CW$999,98,FALSE),"unknown")</f>
        <v>Private/Commercial</v>
      </c>
      <c r="AX488" s="120" t="str">
        <f>IFERROR(VLOOKUP(Table1[RespondentID],'All Data'!$A$3:$CW$999,99,FALSE),"unknown")</f>
        <v>Yes</v>
      </c>
    </row>
    <row r="489" spans="1:50">
      <c r="A489" s="124">
        <v>18031747461</v>
      </c>
      <c r="B489" s="168"/>
      <c r="C489" s="169"/>
      <c r="D489" s="169"/>
      <c r="E489" s="169"/>
      <c r="F489" s="169"/>
      <c r="G489" s="169"/>
      <c r="H489" s="169"/>
      <c r="I489" s="169"/>
      <c r="J489" s="169"/>
      <c r="K489" s="169"/>
      <c r="L489" s="169"/>
      <c r="M489" s="169"/>
      <c r="N489" s="169"/>
      <c r="O489" s="169"/>
      <c r="P489" s="161">
        <f t="shared" si="144"/>
        <v>0</v>
      </c>
      <c r="Q489" s="170" t="e">
        <f t="shared" si="145"/>
        <v>#DIV/0!</v>
      </c>
      <c r="R489" s="161"/>
      <c r="S489" s="161">
        <f t="shared" si="146"/>
        <v>0</v>
      </c>
      <c r="T489" s="161">
        <f t="shared" si="147"/>
        <v>0</v>
      </c>
      <c r="U489" s="161">
        <f t="shared" si="148"/>
        <v>0</v>
      </c>
      <c r="V489" s="162">
        <f t="shared" si="149"/>
        <v>0</v>
      </c>
      <c r="W489" s="162">
        <f t="shared" si="150"/>
        <v>0</v>
      </c>
      <c r="X489" s="162">
        <f t="shared" si="151"/>
        <v>0</v>
      </c>
      <c r="Y489" s="162">
        <f t="shared" si="152"/>
        <v>0</v>
      </c>
      <c r="Z489" s="162">
        <f t="shared" si="153"/>
        <v>0</v>
      </c>
      <c r="AA489" s="162">
        <f t="shared" si="154"/>
        <v>0</v>
      </c>
      <c r="AB489" s="162">
        <f t="shared" si="155"/>
        <v>0</v>
      </c>
      <c r="AC489" s="162">
        <f t="shared" si="156"/>
        <v>0</v>
      </c>
      <c r="AD489" s="162">
        <f t="shared" si="157"/>
        <v>0</v>
      </c>
      <c r="AE489" s="162">
        <f t="shared" si="158"/>
        <v>0</v>
      </c>
      <c r="AF489" s="161"/>
      <c r="AG489" s="161"/>
      <c r="AH489" s="161">
        <f t="shared" si="159"/>
        <v>0</v>
      </c>
      <c r="AI489" s="161">
        <f t="shared" si="160"/>
        <v>0</v>
      </c>
      <c r="AJ489" s="161" t="str">
        <f t="shared" si="161"/>
        <v>Correct</v>
      </c>
      <c r="AK489" s="124"/>
      <c r="AL489" s="120">
        <f>IFERROR(VLOOKUP(Table1[RespondentID],'All Data'!$A$3:$CO$999,87,FALSE),"unknown")</f>
        <v>0</v>
      </c>
      <c r="AM489" s="120">
        <f>IFERROR(VLOOKUP(Table1[RespondentID],'All Data'!$A$3:$CO$999,88,FALSE),"unknown")</f>
        <v>0</v>
      </c>
      <c r="AN489" s="120" t="str">
        <f>IFERROR(VLOOKUP(Table1[RespondentID],'All Data'!$A$3:$CO$999,89,FALSE),"unknown")</f>
        <v>Suffolk</v>
      </c>
      <c r="AO489" s="120" t="str">
        <f>IFERROR(VLOOKUP(Table1[RespondentID],'All Data'!$A$3:$CO$999,90,FALSE),"unknown")</f>
        <v>Centerport, 11721</v>
      </c>
      <c r="AP489" s="120" t="str">
        <f>IFERROR(VLOOKUP(Table1[RespondentID],'All Data'!$A$3:$CO$999,91,FALSE),"unknown")</f>
        <v>White</v>
      </c>
      <c r="AQ489" s="120">
        <f>IFERROR(VLOOKUP(Table1[RespondentID],'All Data'!$A$3:$CO$999,92,FALSE),"unknown")</f>
        <v>0</v>
      </c>
      <c r="AR489" s="120" t="str">
        <f>IFERROR(VLOOKUP(Table1[RespondentID],'All Data'!$A$3:$CO$999,93,FALSE),"unknown")</f>
        <v>English</v>
      </c>
      <c r="AS489" s="120">
        <f>IFERROR(VLOOKUP(Table1[RespondentID],'All Data'!$A$3:$CW$999,94,FALSE),"unknown")</f>
        <v>0</v>
      </c>
      <c r="AT489" s="120" t="str">
        <f>IFERROR(VLOOKUP(Table1[RespondentID],'All Data'!$A$3:$CW$999,95,FALSE),"unknown")</f>
        <v>College graduate</v>
      </c>
      <c r="AU489" s="120" t="str">
        <f>IFERROR(VLOOKUP(Table1[RespondentID],'All Data'!$A$3:$CW$999,96,FALSE),"unknown")</f>
        <v>Out of work and looking for work</v>
      </c>
      <c r="AV489" s="120" t="str">
        <f>IFERROR(VLOOKUP(Table1[RespondentID],'All Data'!$A$3:$CW$999,97,FALSE),"unknown")</f>
        <v>Yes</v>
      </c>
      <c r="AW489" s="120">
        <f>IFERROR(VLOOKUP(Table1[RespondentID],'All Data'!$A$3:$CW$999,98,FALSE),"unknown")</f>
        <v>0</v>
      </c>
      <c r="AX489" s="120" t="str">
        <f>IFERROR(VLOOKUP(Table1[RespondentID],'All Data'!$A$3:$CW$999,99,FALSE),"unknown")</f>
        <v>Yes</v>
      </c>
    </row>
    <row r="490" spans="1:50">
      <c r="A490" s="124">
        <v>18031747331</v>
      </c>
      <c r="B490" s="168"/>
      <c r="C490" s="169" t="s">
        <v>17</v>
      </c>
      <c r="D490" s="169"/>
      <c r="E490" s="169"/>
      <c r="F490" s="169"/>
      <c r="G490" s="169"/>
      <c r="H490" s="169"/>
      <c r="I490" s="169"/>
      <c r="J490" s="169"/>
      <c r="K490" s="169"/>
      <c r="L490" s="169"/>
      <c r="M490" s="169"/>
      <c r="N490" s="169" t="s">
        <v>28</v>
      </c>
      <c r="O490" s="169"/>
      <c r="P490" s="161">
        <f t="shared" si="144"/>
        <v>2</v>
      </c>
      <c r="Q490" s="170">
        <f t="shared" si="145"/>
        <v>1.5</v>
      </c>
      <c r="R490" s="161"/>
      <c r="S490" s="161">
        <f t="shared" si="146"/>
        <v>0</v>
      </c>
      <c r="T490" s="161">
        <f t="shared" si="147"/>
        <v>1</v>
      </c>
      <c r="U490" s="161">
        <f t="shared" si="148"/>
        <v>0</v>
      </c>
      <c r="V490" s="162">
        <f t="shared" si="149"/>
        <v>0</v>
      </c>
      <c r="W490" s="162">
        <f t="shared" si="150"/>
        <v>0</v>
      </c>
      <c r="X490" s="162">
        <f t="shared" si="151"/>
        <v>0</v>
      </c>
      <c r="Y490" s="162">
        <f t="shared" si="152"/>
        <v>0</v>
      </c>
      <c r="Z490" s="162">
        <f t="shared" si="153"/>
        <v>0</v>
      </c>
      <c r="AA490" s="162">
        <f t="shared" si="154"/>
        <v>0</v>
      </c>
      <c r="AB490" s="162">
        <f t="shared" si="155"/>
        <v>0</v>
      </c>
      <c r="AC490" s="162">
        <f t="shared" si="156"/>
        <v>0</v>
      </c>
      <c r="AD490" s="162">
        <f t="shared" si="157"/>
        <v>0</v>
      </c>
      <c r="AE490" s="162">
        <f t="shared" si="158"/>
        <v>1</v>
      </c>
      <c r="AF490" s="161"/>
      <c r="AG490" s="161"/>
      <c r="AH490" s="161">
        <f t="shared" si="159"/>
        <v>2</v>
      </c>
      <c r="AI490" s="161">
        <f t="shared" si="160"/>
        <v>2</v>
      </c>
      <c r="AJ490" s="161" t="str">
        <f t="shared" si="161"/>
        <v>Correct</v>
      </c>
      <c r="AK490" s="124"/>
      <c r="AL490" s="120" t="str">
        <f>IFERROR(VLOOKUP(Table1[RespondentID],'All Data'!$A$3:$CO$999,87,FALSE),"unknown")</f>
        <v>Woman</v>
      </c>
      <c r="AM490" s="120">
        <f>IFERROR(VLOOKUP(Table1[RespondentID],'All Data'!$A$3:$CO$999,88,FALSE),"unknown")</f>
        <v>69</v>
      </c>
      <c r="AN490" s="120" t="str">
        <f>IFERROR(VLOOKUP(Table1[RespondentID],'All Data'!$A$3:$CO$999,89,FALSE),"unknown")</f>
        <v>Nassau</v>
      </c>
      <c r="AO490" s="120" t="str">
        <f>IFERROR(VLOOKUP(Table1[RespondentID],'All Data'!$A$3:$CO$999,90,FALSE),"unknown")</f>
        <v>Bellerose Terrace, 11001</v>
      </c>
      <c r="AP490" s="120" t="str">
        <f>IFERROR(VLOOKUP(Table1[RespondentID],'All Data'!$A$3:$CO$999,91,FALSE),"unknown")</f>
        <v>White</v>
      </c>
      <c r="AQ490" s="120" t="str">
        <f>IFERROR(VLOOKUP(Table1[RespondentID],'All Data'!$A$3:$CO$999,92,FALSE),"unknown")</f>
        <v>Not Hispanic or Latino</v>
      </c>
      <c r="AR490" s="120" t="str">
        <f>IFERROR(VLOOKUP(Table1[RespondentID],'All Data'!$A$3:$CO$999,93,FALSE),"unknown")</f>
        <v>English</v>
      </c>
      <c r="AS490" s="120" t="str">
        <f>IFERROR(VLOOKUP(Table1[RespondentID],'All Data'!$A$3:$CW$999,94,FALSE),"unknown")</f>
        <v>$35,000 to $49,999</v>
      </c>
      <c r="AT490" s="120" t="str">
        <f>IFERROR(VLOOKUP(Table1[RespondentID],'All Data'!$A$3:$CW$999,95,FALSE),"unknown")</f>
        <v>Graduate school</v>
      </c>
      <c r="AU490" s="120" t="str">
        <f>IFERROR(VLOOKUP(Table1[RespondentID],'All Data'!$A$3:$CW$999,96,FALSE),"unknown")</f>
        <v>Retired</v>
      </c>
      <c r="AV490" s="120" t="str">
        <f>IFERROR(VLOOKUP(Table1[RespondentID],'All Data'!$A$3:$CW$999,97,FALSE),"unknown")</f>
        <v>Yes</v>
      </c>
      <c r="AW490" s="120" t="str">
        <f>IFERROR(VLOOKUP(Table1[RespondentID],'All Data'!$A$3:$CW$999,98,FALSE),"unknown")</f>
        <v>Medicare</v>
      </c>
      <c r="AX490" s="120" t="str">
        <f>IFERROR(VLOOKUP(Table1[RespondentID],'All Data'!$A$3:$CW$999,99,FALSE),"unknown")</f>
        <v>Yes</v>
      </c>
    </row>
    <row r="491" spans="1:50">
      <c r="A491" s="124">
        <v>18031747137</v>
      </c>
      <c r="B491" s="168"/>
      <c r="C491" s="169"/>
      <c r="D491" s="169"/>
      <c r="E491" s="169"/>
      <c r="F491" s="169"/>
      <c r="G491" s="169"/>
      <c r="H491" s="169"/>
      <c r="I491" s="169"/>
      <c r="J491" s="169" t="s">
        <v>24</v>
      </c>
      <c r="K491" s="169"/>
      <c r="L491" s="169"/>
      <c r="M491" s="169"/>
      <c r="N491" s="169"/>
      <c r="O491" s="169"/>
      <c r="P491" s="161">
        <f t="shared" si="144"/>
        <v>1</v>
      </c>
      <c r="Q491" s="170">
        <f t="shared" si="145"/>
        <v>3</v>
      </c>
      <c r="R491" s="161"/>
      <c r="S491" s="161">
        <f t="shared" si="146"/>
        <v>0</v>
      </c>
      <c r="T491" s="161">
        <f t="shared" si="147"/>
        <v>0</v>
      </c>
      <c r="U491" s="161">
        <f t="shared" si="148"/>
        <v>0</v>
      </c>
      <c r="V491" s="162">
        <f t="shared" si="149"/>
        <v>0</v>
      </c>
      <c r="W491" s="162">
        <f t="shared" si="150"/>
        <v>0</v>
      </c>
      <c r="X491" s="162">
        <f t="shared" si="151"/>
        <v>0</v>
      </c>
      <c r="Y491" s="162">
        <f t="shared" si="152"/>
        <v>0</v>
      </c>
      <c r="Z491" s="162">
        <f t="shared" si="153"/>
        <v>0</v>
      </c>
      <c r="AA491" s="162">
        <f t="shared" si="154"/>
        <v>1</v>
      </c>
      <c r="AB491" s="162">
        <f t="shared" si="155"/>
        <v>0</v>
      </c>
      <c r="AC491" s="162">
        <f t="shared" si="156"/>
        <v>0</v>
      </c>
      <c r="AD491" s="162">
        <f t="shared" si="157"/>
        <v>0</v>
      </c>
      <c r="AE491" s="162">
        <f t="shared" si="158"/>
        <v>0</v>
      </c>
      <c r="AF491" s="161"/>
      <c r="AG491" s="161"/>
      <c r="AH491" s="161">
        <f t="shared" si="159"/>
        <v>1</v>
      </c>
      <c r="AI491" s="161">
        <f t="shared" si="160"/>
        <v>1</v>
      </c>
      <c r="AJ491" s="161" t="str">
        <f t="shared" si="161"/>
        <v>Correct</v>
      </c>
      <c r="AK491" s="124"/>
      <c r="AL491" s="120" t="str">
        <f>IFERROR(VLOOKUP(Table1[RespondentID],'All Data'!$A$3:$CO$999,87,FALSE),"unknown")</f>
        <v>Man</v>
      </c>
      <c r="AM491" s="120">
        <f>IFERROR(VLOOKUP(Table1[RespondentID],'All Data'!$A$3:$CO$999,88,FALSE),"unknown")</f>
        <v>57</v>
      </c>
      <c r="AN491" s="120" t="str">
        <f>IFERROR(VLOOKUP(Table1[RespondentID],'All Data'!$A$3:$CO$999,89,FALSE),"unknown")</f>
        <v>Nassau</v>
      </c>
      <c r="AO491" s="120" t="str">
        <f>IFERROR(VLOOKUP(Table1[RespondentID],'All Data'!$A$3:$CO$999,90,FALSE),"unknown")</f>
        <v>Floral Park, 11001</v>
      </c>
      <c r="AP491" s="120" t="str">
        <f>IFERROR(VLOOKUP(Table1[RespondentID],'All Data'!$A$3:$CO$999,91,FALSE),"unknown")</f>
        <v>White</v>
      </c>
      <c r="AQ491" s="120" t="str">
        <f>IFERROR(VLOOKUP(Table1[RespondentID],'All Data'!$A$3:$CO$999,92,FALSE),"unknown")</f>
        <v>Not Hispanic or Latino</v>
      </c>
      <c r="AR491" s="120" t="str">
        <f>IFERROR(VLOOKUP(Table1[RespondentID],'All Data'!$A$3:$CO$999,93,FALSE),"unknown")</f>
        <v>English</v>
      </c>
      <c r="AS491" s="120" t="str">
        <f>IFERROR(VLOOKUP(Table1[RespondentID],'All Data'!$A$3:$CW$999,94,FALSE),"unknown")</f>
        <v>$75,000 to $125,000</v>
      </c>
      <c r="AT491" s="120" t="str">
        <f>IFERROR(VLOOKUP(Table1[RespondentID],'All Data'!$A$3:$CW$999,95,FALSE),"unknown")</f>
        <v>High school graduate</v>
      </c>
      <c r="AU491" s="120" t="str">
        <f>IFERROR(VLOOKUP(Table1[RespondentID],'All Data'!$A$3:$CW$999,96,FALSE),"unknown")</f>
        <v>Retired</v>
      </c>
      <c r="AV491" s="120" t="str">
        <f>IFERROR(VLOOKUP(Table1[RespondentID],'All Data'!$A$3:$CW$999,97,FALSE),"unknown")</f>
        <v>Yes</v>
      </c>
      <c r="AW491" s="120" t="str">
        <f>IFERROR(VLOOKUP(Table1[RespondentID],'All Data'!$A$3:$CW$999,98,FALSE),"unknown")</f>
        <v>Private/Commercial</v>
      </c>
      <c r="AX491" s="120" t="str">
        <f>IFERROR(VLOOKUP(Table1[RespondentID],'All Data'!$A$3:$CW$999,99,FALSE),"unknown")</f>
        <v>Yes</v>
      </c>
    </row>
    <row r="492" spans="1:50">
      <c r="A492" s="124">
        <v>18031747033</v>
      </c>
      <c r="B492" s="168" t="s">
        <v>16</v>
      </c>
      <c r="C492" s="169"/>
      <c r="D492" s="169" t="s">
        <v>18</v>
      </c>
      <c r="E492" s="169"/>
      <c r="F492" s="169"/>
      <c r="G492" s="169"/>
      <c r="H492" s="169"/>
      <c r="I492" s="169" t="s">
        <v>23</v>
      </c>
      <c r="J492" s="169" t="s">
        <v>24</v>
      </c>
      <c r="K492" s="169" t="s">
        <v>25</v>
      </c>
      <c r="L492" s="169"/>
      <c r="M492" s="169"/>
      <c r="N492" s="169" t="s">
        <v>28</v>
      </c>
      <c r="O492" s="169"/>
      <c r="P492" s="161">
        <f t="shared" si="144"/>
        <v>6</v>
      </c>
      <c r="Q492" s="170">
        <f t="shared" si="145"/>
        <v>0.5</v>
      </c>
      <c r="R492" s="161"/>
      <c r="S492" s="161">
        <f t="shared" si="146"/>
        <v>0.5</v>
      </c>
      <c r="T492" s="161">
        <f t="shared" si="147"/>
        <v>0</v>
      </c>
      <c r="U492" s="161">
        <f t="shared" si="148"/>
        <v>0.5</v>
      </c>
      <c r="V492" s="162">
        <f t="shared" si="149"/>
        <v>0</v>
      </c>
      <c r="W492" s="162">
        <f t="shared" si="150"/>
        <v>0</v>
      </c>
      <c r="X492" s="162">
        <f t="shared" si="151"/>
        <v>0</v>
      </c>
      <c r="Y492" s="162">
        <f t="shared" si="152"/>
        <v>0</v>
      </c>
      <c r="Z492" s="162">
        <f t="shared" si="153"/>
        <v>0.5</v>
      </c>
      <c r="AA492" s="162">
        <f t="shared" si="154"/>
        <v>0.5</v>
      </c>
      <c r="AB492" s="162">
        <f t="shared" si="155"/>
        <v>0.5</v>
      </c>
      <c r="AC492" s="162">
        <f t="shared" si="156"/>
        <v>0</v>
      </c>
      <c r="AD492" s="162">
        <f t="shared" si="157"/>
        <v>0</v>
      </c>
      <c r="AE492" s="162">
        <f t="shared" si="158"/>
        <v>0.5</v>
      </c>
      <c r="AF492" s="161"/>
      <c r="AG492" s="161"/>
      <c r="AH492" s="161">
        <f t="shared" si="159"/>
        <v>3</v>
      </c>
      <c r="AI492" s="161">
        <f t="shared" si="160"/>
        <v>6</v>
      </c>
      <c r="AJ492" s="161" t="str">
        <f t="shared" si="161"/>
        <v>Correct</v>
      </c>
      <c r="AK492" s="124"/>
      <c r="AL492" s="120" t="str">
        <f>IFERROR(VLOOKUP(Table1[RespondentID],'All Data'!$A$3:$CO$999,87,FALSE),"unknown")</f>
        <v>Woman</v>
      </c>
      <c r="AM492" s="120">
        <f>IFERROR(VLOOKUP(Table1[RespondentID],'All Data'!$A$3:$CO$999,88,FALSE),"unknown")</f>
        <v>56</v>
      </c>
      <c r="AN492" s="120" t="str">
        <f>IFERROR(VLOOKUP(Table1[RespondentID],'All Data'!$A$3:$CO$999,89,FALSE),"unknown")</f>
        <v>Nassau</v>
      </c>
      <c r="AO492" s="120" t="str">
        <f>IFERROR(VLOOKUP(Table1[RespondentID],'All Data'!$A$3:$CO$999,90,FALSE),"unknown")</f>
        <v>Floral Park, 11002</v>
      </c>
      <c r="AP492" s="120">
        <f>IFERROR(VLOOKUP(Table1[RespondentID],'All Data'!$A$3:$CO$999,91,FALSE),"unknown")</f>
        <v>0</v>
      </c>
      <c r="AQ492" s="120" t="str">
        <f>IFERROR(VLOOKUP(Table1[RespondentID],'All Data'!$A$3:$CO$999,92,FALSE),"unknown")</f>
        <v>Hispanic or Latino</v>
      </c>
      <c r="AR492" s="120" t="str">
        <f>IFERROR(VLOOKUP(Table1[RespondentID],'All Data'!$A$3:$CO$999,93,FALSE),"unknown")</f>
        <v>English,Spanish</v>
      </c>
      <c r="AS492" s="120" t="str">
        <f>IFERROR(VLOOKUP(Table1[RespondentID],'All Data'!$A$3:$CW$999,94,FALSE),"unknown")</f>
        <v>$75,000 to $125,000</v>
      </c>
      <c r="AT492" s="120" t="str">
        <f>IFERROR(VLOOKUP(Table1[RespondentID],'All Data'!$A$3:$CW$999,95,FALSE),"unknown")</f>
        <v>College graduate</v>
      </c>
      <c r="AU492" s="120" t="str">
        <f>IFERROR(VLOOKUP(Table1[RespondentID],'All Data'!$A$3:$CW$999,96,FALSE),"unknown")</f>
        <v>Employed for wages</v>
      </c>
      <c r="AV492" s="120" t="str">
        <f>IFERROR(VLOOKUP(Table1[RespondentID],'All Data'!$A$3:$CW$999,97,FALSE),"unknown")</f>
        <v>Yes</v>
      </c>
      <c r="AW492" s="120" t="str">
        <f>IFERROR(VLOOKUP(Table1[RespondentID],'All Data'!$A$3:$CW$999,98,FALSE),"unknown")</f>
        <v>Private/Commercial</v>
      </c>
      <c r="AX492" s="120" t="str">
        <f>IFERROR(VLOOKUP(Table1[RespondentID],'All Data'!$A$3:$CW$999,99,FALSE),"unknown")</f>
        <v>Yes</v>
      </c>
    </row>
    <row r="493" spans="1:50">
      <c r="A493" s="124">
        <v>18031743094</v>
      </c>
      <c r="B493" s="168"/>
      <c r="C493" s="169"/>
      <c r="D493" s="169" t="s">
        <v>18</v>
      </c>
      <c r="E493" s="169" t="s">
        <v>19</v>
      </c>
      <c r="F493" s="169"/>
      <c r="G493" s="169"/>
      <c r="H493" s="169"/>
      <c r="I493" s="169"/>
      <c r="J493" s="169"/>
      <c r="K493" s="169"/>
      <c r="L493" s="169"/>
      <c r="M493" s="169" t="s">
        <v>27</v>
      </c>
      <c r="N493" s="169"/>
      <c r="O493" s="169"/>
      <c r="P493" s="161">
        <f t="shared" si="144"/>
        <v>3</v>
      </c>
      <c r="Q493" s="170">
        <f t="shared" si="145"/>
        <v>1</v>
      </c>
      <c r="R493" s="161"/>
      <c r="S493" s="161">
        <f t="shared" si="146"/>
        <v>0</v>
      </c>
      <c r="T493" s="161">
        <f t="shared" si="147"/>
        <v>0</v>
      </c>
      <c r="U493" s="161">
        <f t="shared" si="148"/>
        <v>1</v>
      </c>
      <c r="V493" s="162">
        <f t="shared" si="149"/>
        <v>1</v>
      </c>
      <c r="W493" s="162">
        <f t="shared" si="150"/>
        <v>0</v>
      </c>
      <c r="X493" s="162">
        <f t="shared" si="151"/>
        <v>0</v>
      </c>
      <c r="Y493" s="162">
        <f t="shared" si="152"/>
        <v>0</v>
      </c>
      <c r="Z493" s="162">
        <f t="shared" si="153"/>
        <v>0</v>
      </c>
      <c r="AA493" s="162">
        <f t="shared" si="154"/>
        <v>0</v>
      </c>
      <c r="AB493" s="162">
        <f t="shared" si="155"/>
        <v>0</v>
      </c>
      <c r="AC493" s="162">
        <f t="shared" si="156"/>
        <v>0</v>
      </c>
      <c r="AD493" s="162">
        <f t="shared" si="157"/>
        <v>1</v>
      </c>
      <c r="AE493" s="162">
        <f t="shared" si="158"/>
        <v>0</v>
      </c>
      <c r="AF493" s="161"/>
      <c r="AG493" s="161"/>
      <c r="AH493" s="161">
        <f t="shared" si="159"/>
        <v>3</v>
      </c>
      <c r="AI493" s="161">
        <f t="shared" si="160"/>
        <v>3</v>
      </c>
      <c r="AJ493" s="161" t="str">
        <f t="shared" si="161"/>
        <v>Correct</v>
      </c>
      <c r="AK493" s="124"/>
      <c r="AL493" s="120" t="str">
        <f>IFERROR(VLOOKUP(Table1[RespondentID],'All Data'!$A$3:$CO$999,87,FALSE),"unknown")</f>
        <v>Man</v>
      </c>
      <c r="AM493" s="120">
        <f>IFERROR(VLOOKUP(Table1[RespondentID],'All Data'!$A$3:$CO$999,88,FALSE),"unknown")</f>
        <v>78</v>
      </c>
      <c r="AN493" s="120" t="str">
        <f>IFERROR(VLOOKUP(Table1[RespondentID],'All Data'!$A$3:$CO$999,89,FALSE),"unknown")</f>
        <v>Suffolk</v>
      </c>
      <c r="AO493" s="120" t="str">
        <f>IFERROR(VLOOKUP(Table1[RespondentID],'All Data'!$A$3:$CO$999,90,FALSE),"unknown")</f>
        <v>Coram, 11727</v>
      </c>
      <c r="AP493" s="120" t="str">
        <f>IFERROR(VLOOKUP(Table1[RespondentID],'All Data'!$A$3:$CO$999,91,FALSE),"unknown")</f>
        <v>White</v>
      </c>
      <c r="AQ493" s="120" t="str">
        <f>IFERROR(VLOOKUP(Table1[RespondentID],'All Data'!$A$3:$CO$999,92,FALSE),"unknown")</f>
        <v>Not Hispanic or Latino</v>
      </c>
      <c r="AR493" s="120" t="str">
        <f>IFERROR(VLOOKUP(Table1[RespondentID],'All Data'!$A$3:$CO$999,93,FALSE),"unknown")</f>
        <v>English,Italian</v>
      </c>
      <c r="AS493" s="120" t="str">
        <f>IFERROR(VLOOKUP(Table1[RespondentID],'All Data'!$A$3:$CW$999,94,FALSE),"unknown")</f>
        <v>$50,000 to $74,999</v>
      </c>
      <c r="AT493" s="120" t="str">
        <f>IFERROR(VLOOKUP(Table1[RespondentID],'All Data'!$A$3:$CW$999,95,FALSE),"unknown")</f>
        <v>Doctorate</v>
      </c>
      <c r="AU493" s="120" t="str">
        <f>IFERROR(VLOOKUP(Table1[RespondentID],'All Data'!$A$3:$CW$999,96,FALSE),"unknown")</f>
        <v>Retired</v>
      </c>
      <c r="AV493" s="120" t="str">
        <f>IFERROR(VLOOKUP(Table1[RespondentID],'All Data'!$A$3:$CW$999,97,FALSE),"unknown")</f>
        <v>Yes</v>
      </c>
      <c r="AW493" s="120" t="str">
        <f>IFERROR(VLOOKUP(Table1[RespondentID],'All Data'!$A$3:$CW$999,98,FALSE),"unknown")</f>
        <v>Private/Commercial</v>
      </c>
      <c r="AX493" s="120" t="str">
        <f>IFERROR(VLOOKUP(Table1[RespondentID],'All Data'!$A$3:$CW$999,99,FALSE),"unknown")</f>
        <v>Yes</v>
      </c>
    </row>
    <row r="494" spans="1:50">
      <c r="A494" s="124">
        <v>18031732007</v>
      </c>
      <c r="B494" s="168"/>
      <c r="C494" s="169"/>
      <c r="D494" s="169" t="s">
        <v>18</v>
      </c>
      <c r="E494" s="169"/>
      <c r="F494" s="169"/>
      <c r="G494" s="169"/>
      <c r="H494" s="169"/>
      <c r="I494" s="169"/>
      <c r="J494" s="169"/>
      <c r="K494" s="169"/>
      <c r="L494" s="169"/>
      <c r="M494" s="169"/>
      <c r="N494" s="169" t="s">
        <v>28</v>
      </c>
      <c r="O494" s="169"/>
      <c r="P494" s="161">
        <f t="shared" ref="P494:P530" si="162">COUNTA(B494:N494)</f>
        <v>2</v>
      </c>
      <c r="Q494" s="170">
        <f t="shared" ref="Q494:Q525" si="163">3/P494</f>
        <v>1.5</v>
      </c>
      <c r="R494" s="161"/>
      <c r="S494" s="161">
        <f t="shared" ref="S494:S530" si="164">IF($P494&lt;3,IF($B494=$B$1,1,0),IF($B494=$B$1,$Q494,0))</f>
        <v>0</v>
      </c>
      <c r="T494" s="161">
        <f t="shared" ref="T494:T530" si="165">IF($P494&lt;3,IF($C494=$C$1,1,0),IF($C494=$C$1,$Q494,0))</f>
        <v>0</v>
      </c>
      <c r="U494" s="161">
        <f t="shared" ref="U494:U530" si="166">IF($P494&lt;3,IF($D494=$D$1,1,0),IF($D494=$D$1,$Q494,0))</f>
        <v>1</v>
      </c>
      <c r="V494" s="162">
        <f t="shared" ref="V494:V530" si="167">IF($P494&lt;3,IF($E494=$E$1,1,0),IF($E494=$E$1,$Q494,0))</f>
        <v>0</v>
      </c>
      <c r="W494" s="162">
        <f t="shared" ref="W494:W530" si="168">IF($P494&lt;3,IF($F494=$F$1,1,0),IF($F494=$F$1,$Q494,0))</f>
        <v>0</v>
      </c>
      <c r="X494" s="162">
        <f t="shared" ref="X494:X530" si="169">IF($P494&lt;3,IF($G494=$G$1,1,0),IF($G494=$G$1,$Q494,0))</f>
        <v>0</v>
      </c>
      <c r="Y494" s="162">
        <f t="shared" ref="Y494:Y530" si="170">IF($P494&lt;3,IF($H494=$H$1,1,0),IF($H494=$H$1,$Q494,0))</f>
        <v>0</v>
      </c>
      <c r="Z494" s="162">
        <f t="shared" ref="Z494:Z530" si="171">IF($P494&lt;3,IF($I494=$I$1,1,0),IF($I494=$I$1,$Q494,0))</f>
        <v>0</v>
      </c>
      <c r="AA494" s="162">
        <f t="shared" ref="AA494:AA530" si="172">IF($P494&lt;3,IF($J494=$J$1,1,0),IF($J494=$J$1,$Q494,0))</f>
        <v>0</v>
      </c>
      <c r="AB494" s="162">
        <f t="shared" ref="AB494:AB530" si="173">IF($P494&lt;3,IF($K494=$K$1,1,0),IF($K494=$K$1,$Q494,0))</f>
        <v>0</v>
      </c>
      <c r="AC494" s="162">
        <f t="shared" ref="AC494:AC530" si="174">IF($P494&lt;3,IF($L494=$L$1,1,0),IF($L494=$L$1,$Q494,0))</f>
        <v>0</v>
      </c>
      <c r="AD494" s="162">
        <f t="shared" ref="AD494:AD530" si="175">IF($P494&lt;3,IF($M494=$M$1,1,0),IF($M494=$M$1,$Q494,0))</f>
        <v>0</v>
      </c>
      <c r="AE494" s="162">
        <f t="shared" ref="AE494:AE530" si="176">IF($P494&lt;3,IF($N494=$N$1,1,0),IF($N494=$N$1,$Q494,0))</f>
        <v>1</v>
      </c>
      <c r="AF494" s="161"/>
      <c r="AG494" s="161"/>
      <c r="AH494" s="161">
        <f t="shared" ref="AH494:AH530" si="177">SUM(S494:AE494)</f>
        <v>2</v>
      </c>
      <c r="AI494" s="161">
        <f t="shared" ref="AI494:AI530" si="178">P494</f>
        <v>2</v>
      </c>
      <c r="AJ494" s="161" t="str">
        <f t="shared" ref="AJ494:AJ525" si="179">IF(AH494=AI494,"Correct",IF(AH494=3,"Correct","Wrong"))</f>
        <v>Correct</v>
      </c>
      <c r="AK494" s="124"/>
      <c r="AL494" s="120" t="str">
        <f>IFERROR(VLOOKUP(Table1[RespondentID],'All Data'!$A$3:$CO$999,87,FALSE),"unknown")</f>
        <v>Man</v>
      </c>
      <c r="AM494" s="120">
        <f>IFERROR(VLOOKUP(Table1[RespondentID],'All Data'!$A$3:$CO$999,88,FALSE),"unknown")</f>
        <v>26</v>
      </c>
      <c r="AN494" s="120" t="str">
        <f>IFERROR(VLOOKUP(Table1[RespondentID],'All Data'!$A$3:$CO$999,89,FALSE),"unknown")</f>
        <v>Suffolk</v>
      </c>
      <c r="AO494" s="120" t="str">
        <f>IFERROR(VLOOKUP(Table1[RespondentID],'All Data'!$A$3:$CO$999,90,FALSE),"unknown")</f>
        <v>Northport, 11768</v>
      </c>
      <c r="AP494" s="120" t="str">
        <f>IFERROR(VLOOKUP(Table1[RespondentID],'All Data'!$A$3:$CO$999,91,FALSE),"unknown")</f>
        <v>White</v>
      </c>
      <c r="AQ494" s="120" t="str">
        <f>IFERROR(VLOOKUP(Table1[RespondentID],'All Data'!$A$3:$CO$999,92,FALSE),"unknown")</f>
        <v>Not Hispanic or Latino</v>
      </c>
      <c r="AR494" s="120" t="str">
        <f>IFERROR(VLOOKUP(Table1[RespondentID],'All Data'!$A$3:$CO$999,93,FALSE),"unknown")</f>
        <v>English</v>
      </c>
      <c r="AS494" s="120" t="str">
        <f>IFERROR(VLOOKUP(Table1[RespondentID],'All Data'!$A$3:$CW$999,94,FALSE),"unknown")</f>
        <v>$50,000 to $74,999</v>
      </c>
      <c r="AT494" s="120" t="str">
        <f>IFERROR(VLOOKUP(Table1[RespondentID],'All Data'!$A$3:$CW$999,95,FALSE),"unknown")</f>
        <v>Graduate school</v>
      </c>
      <c r="AU494" s="120" t="str">
        <f>IFERROR(VLOOKUP(Table1[RespondentID],'All Data'!$A$3:$CW$999,96,FALSE),"unknown")</f>
        <v>Employed for wages</v>
      </c>
      <c r="AV494" s="120" t="str">
        <f>IFERROR(VLOOKUP(Table1[RespondentID],'All Data'!$A$3:$CW$999,97,FALSE),"unknown")</f>
        <v>Yes</v>
      </c>
      <c r="AW494" s="120" t="str">
        <f>IFERROR(VLOOKUP(Table1[RespondentID],'All Data'!$A$3:$CW$999,98,FALSE),"unknown")</f>
        <v>Private/Commercial</v>
      </c>
      <c r="AX494" s="120" t="str">
        <f>IFERROR(VLOOKUP(Table1[RespondentID],'All Data'!$A$3:$CW$999,99,FALSE),"unknown")</f>
        <v>Yes</v>
      </c>
    </row>
    <row r="495" spans="1:50">
      <c r="A495" s="124">
        <v>18031555405</v>
      </c>
      <c r="B495" s="168"/>
      <c r="C495" s="169"/>
      <c r="D495" s="169"/>
      <c r="E495" s="169"/>
      <c r="F495" s="169"/>
      <c r="G495" s="169"/>
      <c r="H495" s="169"/>
      <c r="I495" s="169"/>
      <c r="J495" s="169"/>
      <c r="K495" s="169"/>
      <c r="L495" s="169"/>
      <c r="M495" s="169"/>
      <c r="N495" s="169" t="s">
        <v>28</v>
      </c>
      <c r="O495" s="169"/>
      <c r="P495" s="161">
        <f t="shared" si="162"/>
        <v>1</v>
      </c>
      <c r="Q495" s="170">
        <f t="shared" si="163"/>
        <v>3</v>
      </c>
      <c r="R495" s="161"/>
      <c r="S495" s="161">
        <f t="shared" si="164"/>
        <v>0</v>
      </c>
      <c r="T495" s="161">
        <f t="shared" si="165"/>
        <v>0</v>
      </c>
      <c r="U495" s="161">
        <f t="shared" si="166"/>
        <v>0</v>
      </c>
      <c r="V495" s="162">
        <f t="shared" si="167"/>
        <v>0</v>
      </c>
      <c r="W495" s="162">
        <f t="shared" si="168"/>
        <v>0</v>
      </c>
      <c r="X495" s="162">
        <f t="shared" si="169"/>
        <v>0</v>
      </c>
      <c r="Y495" s="162">
        <f t="shared" si="170"/>
        <v>0</v>
      </c>
      <c r="Z495" s="162">
        <f t="shared" si="171"/>
        <v>0</v>
      </c>
      <c r="AA495" s="162">
        <f t="shared" si="172"/>
        <v>0</v>
      </c>
      <c r="AB495" s="162">
        <f t="shared" si="173"/>
        <v>0</v>
      </c>
      <c r="AC495" s="162">
        <f t="shared" si="174"/>
        <v>0</v>
      </c>
      <c r="AD495" s="162">
        <f t="shared" si="175"/>
        <v>0</v>
      </c>
      <c r="AE495" s="162">
        <f t="shared" si="176"/>
        <v>1</v>
      </c>
      <c r="AF495" s="161"/>
      <c r="AG495" s="161"/>
      <c r="AH495" s="161">
        <f t="shared" si="177"/>
        <v>1</v>
      </c>
      <c r="AI495" s="161">
        <f t="shared" si="178"/>
        <v>1</v>
      </c>
      <c r="AJ495" s="161" t="str">
        <f t="shared" si="179"/>
        <v>Correct</v>
      </c>
      <c r="AK495" s="124"/>
      <c r="AL495" s="120" t="str">
        <f>IFERROR(VLOOKUP(Table1[RespondentID],'All Data'!$A$3:$CO$999,87,FALSE),"unknown")</f>
        <v>Woman</v>
      </c>
      <c r="AM495" s="120">
        <f>IFERROR(VLOOKUP(Table1[RespondentID],'All Data'!$A$3:$CO$999,88,FALSE),"unknown")</f>
        <v>16</v>
      </c>
      <c r="AN495" s="120" t="str">
        <f>IFERROR(VLOOKUP(Table1[RespondentID],'All Data'!$A$3:$CO$999,89,FALSE),"unknown")</f>
        <v>Suffolk</v>
      </c>
      <c r="AO495" s="120" t="str">
        <f>IFERROR(VLOOKUP(Table1[RespondentID],'All Data'!$A$3:$CO$999,90,FALSE),"unknown")</f>
        <v>Port Jefferson Station, 11776</v>
      </c>
      <c r="AP495" s="120">
        <f>IFERROR(VLOOKUP(Table1[RespondentID],'All Data'!$A$3:$CO$999,91,FALSE),"unknown")</f>
        <v>0</v>
      </c>
      <c r="AQ495" s="120" t="str">
        <f>IFERROR(VLOOKUP(Table1[RespondentID],'All Data'!$A$3:$CO$999,92,FALSE),"unknown")</f>
        <v>Hispanic or Latino</v>
      </c>
      <c r="AR495" s="120" t="str">
        <f>IFERROR(VLOOKUP(Table1[RespondentID],'All Data'!$A$3:$CO$999,93,FALSE),"unknown")</f>
        <v>English,Spanish</v>
      </c>
      <c r="AS495" s="120" t="str">
        <f>IFERROR(VLOOKUP(Table1[RespondentID],'All Data'!$A$3:$CW$999,94,FALSE),"unknown")</f>
        <v>$0-$19,999</v>
      </c>
      <c r="AT495" s="120" t="str">
        <f>IFERROR(VLOOKUP(Table1[RespondentID],'All Data'!$A$3:$CW$999,95,FALSE),"unknown")</f>
        <v>Some high school</v>
      </c>
      <c r="AU495" s="120" t="str">
        <f>IFERROR(VLOOKUP(Table1[RespondentID],'All Data'!$A$3:$CW$999,96,FALSE),"unknown")</f>
        <v>Out of work and looking for work</v>
      </c>
      <c r="AV495" s="120" t="str">
        <f>IFERROR(VLOOKUP(Table1[RespondentID],'All Data'!$A$3:$CW$999,97,FALSE),"unknown")</f>
        <v>Yes</v>
      </c>
      <c r="AW495" s="120" t="str">
        <f>IFERROR(VLOOKUP(Table1[RespondentID],'All Data'!$A$3:$CW$999,98,FALSE),"unknown")</f>
        <v>Medicaid</v>
      </c>
      <c r="AX495" s="120" t="str">
        <f>IFERROR(VLOOKUP(Table1[RespondentID],'All Data'!$A$3:$CW$999,99,FALSE),"unknown")</f>
        <v>Yes</v>
      </c>
    </row>
    <row r="496" spans="1:50">
      <c r="A496" s="124">
        <v>18031341675</v>
      </c>
      <c r="B496" s="168"/>
      <c r="C496" s="169" t="s">
        <v>17</v>
      </c>
      <c r="D496" s="169" t="s">
        <v>18</v>
      </c>
      <c r="E496" s="169" t="s">
        <v>19</v>
      </c>
      <c r="F496" s="169"/>
      <c r="G496" s="169" t="s">
        <v>21</v>
      </c>
      <c r="H496" s="169"/>
      <c r="I496" s="169" t="s">
        <v>23</v>
      </c>
      <c r="J496" s="169"/>
      <c r="K496" s="169"/>
      <c r="L496" s="169"/>
      <c r="M496" s="169" t="s">
        <v>27</v>
      </c>
      <c r="N496" s="169" t="s">
        <v>28</v>
      </c>
      <c r="O496" s="169" t="s">
        <v>481</v>
      </c>
      <c r="P496" s="161">
        <f t="shared" si="162"/>
        <v>7</v>
      </c>
      <c r="Q496" s="170">
        <f t="shared" si="163"/>
        <v>0.42857142857142855</v>
      </c>
      <c r="R496" s="161"/>
      <c r="S496" s="161">
        <f t="shared" si="164"/>
        <v>0</v>
      </c>
      <c r="T496" s="161">
        <f t="shared" si="165"/>
        <v>0.42857142857142855</v>
      </c>
      <c r="U496" s="161">
        <f t="shared" si="166"/>
        <v>0.42857142857142855</v>
      </c>
      <c r="V496" s="162">
        <f t="shared" si="167"/>
        <v>0.42857142857142855</v>
      </c>
      <c r="W496" s="162">
        <f t="shared" si="168"/>
        <v>0</v>
      </c>
      <c r="X496" s="162">
        <f t="shared" si="169"/>
        <v>0.42857142857142855</v>
      </c>
      <c r="Y496" s="162">
        <f t="shared" si="170"/>
        <v>0</v>
      </c>
      <c r="Z496" s="162">
        <f t="shared" si="171"/>
        <v>0.42857142857142855</v>
      </c>
      <c r="AA496" s="162">
        <f t="shared" si="172"/>
        <v>0</v>
      </c>
      <c r="AB496" s="162">
        <f t="shared" si="173"/>
        <v>0</v>
      </c>
      <c r="AC496" s="162">
        <f t="shared" si="174"/>
        <v>0</v>
      </c>
      <c r="AD496" s="162">
        <f t="shared" si="175"/>
        <v>0.42857142857142855</v>
      </c>
      <c r="AE496" s="162">
        <f t="shared" si="176"/>
        <v>0.42857142857142855</v>
      </c>
      <c r="AF496" s="161"/>
      <c r="AG496" s="161"/>
      <c r="AH496" s="161">
        <f t="shared" si="177"/>
        <v>2.9999999999999996</v>
      </c>
      <c r="AI496" s="161">
        <f t="shared" si="178"/>
        <v>7</v>
      </c>
      <c r="AJ496" s="161" t="str">
        <f t="shared" si="179"/>
        <v>Correct</v>
      </c>
      <c r="AK496" s="124"/>
      <c r="AL496" s="120" t="str">
        <f>IFERROR(VLOOKUP(Table1[RespondentID],'All Data'!$A$3:$CO$999,87,FALSE),"unknown")</f>
        <v>Woman</v>
      </c>
      <c r="AM496" s="120">
        <f>IFERROR(VLOOKUP(Table1[RespondentID],'All Data'!$A$3:$CO$999,88,FALSE),"unknown")</f>
        <v>28</v>
      </c>
      <c r="AN496" s="120" t="str">
        <f>IFERROR(VLOOKUP(Table1[RespondentID],'All Data'!$A$3:$CO$999,89,FALSE),"unknown")</f>
        <v>Nassau</v>
      </c>
      <c r="AO496" s="120" t="str">
        <f>IFERROR(VLOOKUP(Table1[RespondentID],'All Data'!$A$3:$CO$999,90,FALSE),"unknown")</f>
        <v>Albertson, 11507</v>
      </c>
      <c r="AP496" s="120" t="str">
        <f>IFERROR(VLOOKUP(Table1[RespondentID],'All Data'!$A$3:$CO$999,91,FALSE),"unknown")</f>
        <v>White</v>
      </c>
      <c r="AQ496" s="120" t="str">
        <f>IFERROR(VLOOKUP(Table1[RespondentID],'All Data'!$A$3:$CO$999,92,FALSE),"unknown")</f>
        <v>Not Hispanic or Latino</v>
      </c>
      <c r="AR496" s="120" t="str">
        <f>IFERROR(VLOOKUP(Table1[RespondentID],'All Data'!$A$3:$CO$999,93,FALSE),"unknown")</f>
        <v>English</v>
      </c>
      <c r="AS496" s="120" t="str">
        <f>IFERROR(VLOOKUP(Table1[RespondentID],'All Data'!$A$3:$CW$999,94,FALSE),"unknown")</f>
        <v>$0-$19,999</v>
      </c>
      <c r="AT496" s="120" t="str">
        <f>IFERROR(VLOOKUP(Table1[RespondentID],'All Data'!$A$3:$CW$999,95,FALSE),"unknown")</f>
        <v>Doctorate</v>
      </c>
      <c r="AU496" s="120" t="str">
        <f>IFERROR(VLOOKUP(Table1[RespondentID],'All Data'!$A$3:$CW$999,96,FALSE),"unknown")</f>
        <v>Employed for wages</v>
      </c>
      <c r="AV496" s="120" t="str">
        <f>IFERROR(VLOOKUP(Table1[RespondentID],'All Data'!$A$3:$CW$999,97,FALSE),"unknown")</f>
        <v>Yes</v>
      </c>
      <c r="AW496" s="120" t="str">
        <f>IFERROR(VLOOKUP(Table1[RespondentID],'All Data'!$A$3:$CW$999,98,FALSE),"unknown")</f>
        <v>Medicaid,Private/Commercial</v>
      </c>
      <c r="AX496" s="120" t="str">
        <f>IFERROR(VLOOKUP(Table1[RespondentID],'All Data'!$A$3:$CW$999,99,FALSE),"unknown")</f>
        <v>Yes</v>
      </c>
    </row>
    <row r="497" spans="1:50">
      <c r="A497" s="124">
        <v>18029657257</v>
      </c>
      <c r="B497" s="168" t="s">
        <v>16</v>
      </c>
      <c r="C497" s="169"/>
      <c r="D497" s="169"/>
      <c r="E497" s="169"/>
      <c r="F497" s="169"/>
      <c r="G497" s="169"/>
      <c r="H497" s="169"/>
      <c r="I497" s="169"/>
      <c r="J497" s="169"/>
      <c r="K497" s="169"/>
      <c r="L497" s="169"/>
      <c r="M497" s="169"/>
      <c r="N497" s="169"/>
      <c r="O497" s="169" t="s">
        <v>498</v>
      </c>
      <c r="P497" s="161">
        <f t="shared" si="162"/>
        <v>1</v>
      </c>
      <c r="Q497" s="170">
        <f t="shared" si="163"/>
        <v>3</v>
      </c>
      <c r="R497" s="161"/>
      <c r="S497" s="161">
        <f t="shared" si="164"/>
        <v>1</v>
      </c>
      <c r="T497" s="161">
        <f t="shared" si="165"/>
        <v>0</v>
      </c>
      <c r="U497" s="161">
        <f t="shared" si="166"/>
        <v>0</v>
      </c>
      <c r="V497" s="162">
        <f t="shared" si="167"/>
        <v>0</v>
      </c>
      <c r="W497" s="162">
        <f t="shared" si="168"/>
        <v>0</v>
      </c>
      <c r="X497" s="162">
        <f t="shared" si="169"/>
        <v>0</v>
      </c>
      <c r="Y497" s="162">
        <f t="shared" si="170"/>
        <v>0</v>
      </c>
      <c r="Z497" s="162">
        <f t="shared" si="171"/>
        <v>0</v>
      </c>
      <c r="AA497" s="162">
        <f t="shared" si="172"/>
        <v>0</v>
      </c>
      <c r="AB497" s="162">
        <f t="shared" si="173"/>
        <v>0</v>
      </c>
      <c r="AC497" s="162">
        <f t="shared" si="174"/>
        <v>0</v>
      </c>
      <c r="AD497" s="162">
        <f t="shared" si="175"/>
        <v>0</v>
      </c>
      <c r="AE497" s="162">
        <f t="shared" si="176"/>
        <v>0</v>
      </c>
      <c r="AF497" s="161"/>
      <c r="AG497" s="161"/>
      <c r="AH497" s="161">
        <f t="shared" si="177"/>
        <v>1</v>
      </c>
      <c r="AI497" s="161">
        <f t="shared" si="178"/>
        <v>1</v>
      </c>
      <c r="AJ497" s="161" t="str">
        <f t="shared" si="179"/>
        <v>Correct</v>
      </c>
      <c r="AK497" s="124"/>
      <c r="AL497" s="120" t="str">
        <f>IFERROR(VLOOKUP(Table1[RespondentID],'All Data'!$A$3:$CO$999,87,FALSE),"unknown")</f>
        <v>Woman</v>
      </c>
      <c r="AM497" s="120">
        <f>IFERROR(VLOOKUP(Table1[RespondentID],'All Data'!$A$3:$CO$999,88,FALSE),"unknown")</f>
        <v>43</v>
      </c>
      <c r="AN497" s="120" t="str">
        <f>IFERROR(VLOOKUP(Table1[RespondentID],'All Data'!$A$3:$CO$999,89,FALSE),"unknown")</f>
        <v>Nassau</v>
      </c>
      <c r="AO497" s="120" t="str">
        <f>IFERROR(VLOOKUP(Table1[RespondentID],'All Data'!$A$3:$CO$999,90,FALSE),"unknown")</f>
        <v>Woodsburgh, 11598</v>
      </c>
      <c r="AP497" s="120">
        <f>IFERROR(VLOOKUP(Table1[RespondentID],'All Data'!$A$3:$CO$999,91,FALSE),"unknown")</f>
        <v>0</v>
      </c>
      <c r="AQ497" s="120">
        <f>IFERROR(VLOOKUP(Table1[RespondentID],'All Data'!$A$3:$CO$999,92,FALSE),"unknown")</f>
        <v>0</v>
      </c>
      <c r="AR497" s="120">
        <f>IFERROR(VLOOKUP(Table1[RespondentID],'All Data'!$A$3:$CO$999,93,FALSE),"unknown")</f>
        <v>0</v>
      </c>
      <c r="AS497" s="120">
        <f>IFERROR(VLOOKUP(Table1[RespondentID],'All Data'!$A$3:$CW$999,94,FALSE),"unknown")</f>
        <v>0</v>
      </c>
      <c r="AT497" s="120">
        <f>IFERROR(VLOOKUP(Table1[RespondentID],'All Data'!$A$3:$CW$999,95,FALSE),"unknown")</f>
        <v>0</v>
      </c>
      <c r="AU497" s="120">
        <f>IFERROR(VLOOKUP(Table1[RespondentID],'All Data'!$A$3:$CW$999,96,FALSE),"unknown")</f>
        <v>0</v>
      </c>
      <c r="AV497" s="120">
        <f>IFERROR(VLOOKUP(Table1[RespondentID],'All Data'!$A$3:$CW$999,97,FALSE),"unknown")</f>
        <v>0</v>
      </c>
      <c r="AW497" s="120">
        <f>IFERROR(VLOOKUP(Table1[RespondentID],'All Data'!$A$3:$CW$999,98,FALSE),"unknown")</f>
        <v>0</v>
      </c>
      <c r="AX497" s="120">
        <f>IFERROR(VLOOKUP(Table1[RespondentID],'All Data'!$A$3:$CW$999,99,FALSE),"unknown")</f>
        <v>0</v>
      </c>
    </row>
    <row r="498" spans="1:50">
      <c r="A498" s="124">
        <v>18029332229</v>
      </c>
      <c r="B498" s="168"/>
      <c r="C498" s="169"/>
      <c r="D498" s="169"/>
      <c r="E498" s="169"/>
      <c r="F498" s="169"/>
      <c r="G498" s="169"/>
      <c r="H498" s="169"/>
      <c r="I498" s="169"/>
      <c r="J498" s="169"/>
      <c r="K498" s="169"/>
      <c r="L498" s="169"/>
      <c r="M498" s="169"/>
      <c r="N498" s="169"/>
      <c r="O498" s="169" t="s">
        <v>499</v>
      </c>
      <c r="P498" s="161">
        <f t="shared" si="162"/>
        <v>0</v>
      </c>
      <c r="Q498" s="170" t="e">
        <f t="shared" si="163"/>
        <v>#DIV/0!</v>
      </c>
      <c r="R498" s="161"/>
      <c r="S498" s="161">
        <f t="shared" si="164"/>
        <v>0</v>
      </c>
      <c r="T498" s="161">
        <f t="shared" si="165"/>
        <v>0</v>
      </c>
      <c r="U498" s="161">
        <f t="shared" si="166"/>
        <v>0</v>
      </c>
      <c r="V498" s="162">
        <f t="shared" si="167"/>
        <v>0</v>
      </c>
      <c r="W498" s="162">
        <f t="shared" si="168"/>
        <v>0</v>
      </c>
      <c r="X498" s="162">
        <f t="shared" si="169"/>
        <v>0</v>
      </c>
      <c r="Y498" s="162">
        <f t="shared" si="170"/>
        <v>0</v>
      </c>
      <c r="Z498" s="162">
        <f t="shared" si="171"/>
        <v>0</v>
      </c>
      <c r="AA498" s="162">
        <f t="shared" si="172"/>
        <v>0</v>
      </c>
      <c r="AB498" s="162">
        <f t="shared" si="173"/>
        <v>0</v>
      </c>
      <c r="AC498" s="162">
        <f t="shared" si="174"/>
        <v>0</v>
      </c>
      <c r="AD498" s="162">
        <f t="shared" si="175"/>
        <v>0</v>
      </c>
      <c r="AE498" s="162">
        <f t="shared" si="176"/>
        <v>0</v>
      </c>
      <c r="AF498" s="161"/>
      <c r="AG498" s="161"/>
      <c r="AH498" s="161">
        <f t="shared" si="177"/>
        <v>0</v>
      </c>
      <c r="AI498" s="161">
        <f t="shared" si="178"/>
        <v>0</v>
      </c>
      <c r="AJ498" s="161" t="str">
        <f t="shared" si="179"/>
        <v>Correct</v>
      </c>
      <c r="AK498" s="124"/>
      <c r="AL498" s="120" t="str">
        <f>IFERROR(VLOOKUP(Table1[RespondentID],'All Data'!$A$3:$CO$999,87,FALSE),"unknown")</f>
        <v>Man</v>
      </c>
      <c r="AM498" s="120">
        <f>IFERROR(VLOOKUP(Table1[RespondentID],'All Data'!$A$3:$CO$999,88,FALSE),"unknown")</f>
        <v>65</v>
      </c>
      <c r="AN498" s="120" t="str">
        <f>IFERROR(VLOOKUP(Table1[RespondentID],'All Data'!$A$3:$CO$999,89,FALSE),"unknown")</f>
        <v>Nassau</v>
      </c>
      <c r="AO498" s="120" t="str">
        <f>IFERROR(VLOOKUP(Table1[RespondentID],'All Data'!$A$3:$CO$999,90,FALSE),"unknown")</f>
        <v>Bellmore, 11710</v>
      </c>
      <c r="AP498" s="120" t="str">
        <f>IFERROR(VLOOKUP(Table1[RespondentID],'All Data'!$A$3:$CO$999,91,FALSE),"unknown")</f>
        <v>Two or more races</v>
      </c>
      <c r="AQ498" s="120">
        <f>IFERROR(VLOOKUP(Table1[RespondentID],'All Data'!$A$3:$CO$999,92,FALSE),"unknown")</f>
        <v>0</v>
      </c>
      <c r="AR498" s="120" t="str">
        <f>IFERROR(VLOOKUP(Table1[RespondentID],'All Data'!$A$3:$CO$999,93,FALSE),"unknown")</f>
        <v>English</v>
      </c>
      <c r="AS498" s="120" t="str">
        <f>IFERROR(VLOOKUP(Table1[RespondentID],'All Data'!$A$3:$CW$999,94,FALSE),"unknown")</f>
        <v>Over $125,000</v>
      </c>
      <c r="AT498" s="120" t="str">
        <f>IFERROR(VLOOKUP(Table1[RespondentID],'All Data'!$A$3:$CW$999,95,FALSE),"unknown")</f>
        <v>College graduate</v>
      </c>
      <c r="AU498" s="120" t="str">
        <f>IFERROR(VLOOKUP(Table1[RespondentID],'All Data'!$A$3:$CW$999,96,FALSE),"unknown")</f>
        <v>Employed for wages</v>
      </c>
      <c r="AV498" s="120" t="str">
        <f>IFERROR(VLOOKUP(Table1[RespondentID],'All Data'!$A$3:$CW$999,97,FALSE),"unknown")</f>
        <v>Yes</v>
      </c>
      <c r="AW498" s="120" t="str">
        <f>IFERROR(VLOOKUP(Table1[RespondentID],'All Data'!$A$3:$CW$999,98,FALSE),"unknown")</f>
        <v>Private/Commercial</v>
      </c>
      <c r="AX498" s="120" t="str">
        <f>IFERROR(VLOOKUP(Table1[RespondentID],'All Data'!$A$3:$CW$999,99,FALSE),"unknown")</f>
        <v>Yes</v>
      </c>
    </row>
    <row r="499" spans="1:50">
      <c r="A499" s="124">
        <v>18028570366</v>
      </c>
      <c r="B499" s="168"/>
      <c r="C499" s="169" t="s">
        <v>17</v>
      </c>
      <c r="D499" s="169" t="s">
        <v>18</v>
      </c>
      <c r="E499" s="169"/>
      <c r="F499" s="169"/>
      <c r="G499" s="169"/>
      <c r="H499" s="169"/>
      <c r="I499" s="169"/>
      <c r="J499" s="169"/>
      <c r="K499" s="169"/>
      <c r="L499" s="169"/>
      <c r="M499" s="169"/>
      <c r="N499" s="169"/>
      <c r="O499" s="169"/>
      <c r="P499" s="161">
        <f t="shared" si="162"/>
        <v>2</v>
      </c>
      <c r="Q499" s="170">
        <f t="shared" si="163"/>
        <v>1.5</v>
      </c>
      <c r="R499" s="161"/>
      <c r="S499" s="161">
        <f t="shared" si="164"/>
        <v>0</v>
      </c>
      <c r="T499" s="161">
        <f t="shared" si="165"/>
        <v>1</v>
      </c>
      <c r="U499" s="161">
        <f t="shared" si="166"/>
        <v>1</v>
      </c>
      <c r="V499" s="162">
        <f t="shared" si="167"/>
        <v>0</v>
      </c>
      <c r="W499" s="162">
        <f t="shared" si="168"/>
        <v>0</v>
      </c>
      <c r="X499" s="162">
        <f t="shared" si="169"/>
        <v>0</v>
      </c>
      <c r="Y499" s="162">
        <f t="shared" si="170"/>
        <v>0</v>
      </c>
      <c r="Z499" s="162">
        <f t="shared" si="171"/>
        <v>0</v>
      </c>
      <c r="AA499" s="162">
        <f t="shared" si="172"/>
        <v>0</v>
      </c>
      <c r="AB499" s="162">
        <f t="shared" si="173"/>
        <v>0</v>
      </c>
      <c r="AC499" s="162">
        <f t="shared" si="174"/>
        <v>0</v>
      </c>
      <c r="AD499" s="162">
        <f t="shared" si="175"/>
        <v>0</v>
      </c>
      <c r="AE499" s="162">
        <f t="shared" si="176"/>
        <v>0</v>
      </c>
      <c r="AF499" s="161"/>
      <c r="AG499" s="161"/>
      <c r="AH499" s="161">
        <f t="shared" si="177"/>
        <v>2</v>
      </c>
      <c r="AI499" s="161">
        <f t="shared" si="178"/>
        <v>2</v>
      </c>
      <c r="AJ499" s="161" t="str">
        <f t="shared" si="179"/>
        <v>Correct</v>
      </c>
      <c r="AK499" s="124"/>
      <c r="AL499" s="120" t="str">
        <f>IFERROR(VLOOKUP(Table1[RespondentID],'All Data'!$A$3:$CO$999,87,FALSE),"unknown")</f>
        <v>Man</v>
      </c>
      <c r="AM499" s="120">
        <f>IFERROR(VLOOKUP(Table1[RespondentID],'All Data'!$A$3:$CO$999,88,FALSE),"unknown")</f>
        <v>75</v>
      </c>
      <c r="AN499" s="120" t="str">
        <f>IFERROR(VLOOKUP(Table1[RespondentID],'All Data'!$A$3:$CO$999,89,FALSE),"unknown")</f>
        <v>Nassau</v>
      </c>
      <c r="AO499" s="120" t="str">
        <f>IFERROR(VLOOKUP(Table1[RespondentID],'All Data'!$A$3:$CO$999,90,FALSE),"unknown")</f>
        <v>Lawrence, 11559</v>
      </c>
      <c r="AP499" s="120" t="str">
        <f>IFERROR(VLOOKUP(Table1[RespondentID],'All Data'!$A$3:$CO$999,91,FALSE),"unknown")</f>
        <v>White</v>
      </c>
      <c r="AQ499" s="120" t="str">
        <f>IFERROR(VLOOKUP(Table1[RespondentID],'All Data'!$A$3:$CO$999,92,FALSE),"unknown")</f>
        <v>Not Hispanic or Latino</v>
      </c>
      <c r="AR499" s="120" t="str">
        <f>IFERROR(VLOOKUP(Table1[RespondentID],'All Data'!$A$3:$CO$999,93,FALSE),"unknown")</f>
        <v>English</v>
      </c>
      <c r="AS499" s="120">
        <f>IFERROR(VLOOKUP(Table1[RespondentID],'All Data'!$A$3:$CW$999,94,FALSE),"unknown")</f>
        <v>0</v>
      </c>
      <c r="AT499" s="120" t="str">
        <f>IFERROR(VLOOKUP(Table1[RespondentID],'All Data'!$A$3:$CW$999,95,FALSE),"unknown")</f>
        <v>Graduate school</v>
      </c>
      <c r="AU499" s="120" t="str">
        <f>IFERROR(VLOOKUP(Table1[RespondentID],'All Data'!$A$3:$CW$999,96,FALSE),"unknown")</f>
        <v>Self-employed</v>
      </c>
      <c r="AV499" s="120" t="str">
        <f>IFERROR(VLOOKUP(Table1[RespondentID],'All Data'!$A$3:$CW$999,97,FALSE),"unknown")</f>
        <v>Yes</v>
      </c>
      <c r="AW499" s="120" t="str">
        <f>IFERROR(VLOOKUP(Table1[RespondentID],'All Data'!$A$3:$CW$999,98,FALSE),"unknown")</f>
        <v>Medicare</v>
      </c>
      <c r="AX499" s="120">
        <f>IFERROR(VLOOKUP(Table1[RespondentID],'All Data'!$A$3:$CW$999,99,FALSE),"unknown")</f>
        <v>0</v>
      </c>
    </row>
    <row r="500" spans="1:50">
      <c r="A500" s="124">
        <v>18028478878</v>
      </c>
      <c r="B500" s="168"/>
      <c r="C500" s="169"/>
      <c r="D500" s="169"/>
      <c r="E500" s="169"/>
      <c r="F500" s="169"/>
      <c r="G500" s="169"/>
      <c r="H500" s="169"/>
      <c r="I500" s="169"/>
      <c r="J500" s="169"/>
      <c r="K500" s="169"/>
      <c r="L500" s="169"/>
      <c r="M500" s="169"/>
      <c r="N500" s="169"/>
      <c r="O500" s="169"/>
      <c r="P500" s="161">
        <f t="shared" si="162"/>
        <v>0</v>
      </c>
      <c r="Q500" s="170" t="e">
        <f t="shared" si="163"/>
        <v>#DIV/0!</v>
      </c>
      <c r="R500" s="161"/>
      <c r="S500" s="161">
        <f t="shared" si="164"/>
        <v>0</v>
      </c>
      <c r="T500" s="161">
        <f t="shared" si="165"/>
        <v>0</v>
      </c>
      <c r="U500" s="161">
        <f t="shared" si="166"/>
        <v>0</v>
      </c>
      <c r="V500" s="162">
        <f t="shared" si="167"/>
        <v>0</v>
      </c>
      <c r="W500" s="162">
        <f t="shared" si="168"/>
        <v>0</v>
      </c>
      <c r="X500" s="162">
        <f t="shared" si="169"/>
        <v>0</v>
      </c>
      <c r="Y500" s="162">
        <f t="shared" si="170"/>
        <v>0</v>
      </c>
      <c r="Z500" s="162">
        <f t="shared" si="171"/>
        <v>0</v>
      </c>
      <c r="AA500" s="162">
        <f t="shared" si="172"/>
        <v>0</v>
      </c>
      <c r="AB500" s="162">
        <f t="shared" si="173"/>
        <v>0</v>
      </c>
      <c r="AC500" s="162">
        <f t="shared" si="174"/>
        <v>0</v>
      </c>
      <c r="AD500" s="162">
        <f t="shared" si="175"/>
        <v>0</v>
      </c>
      <c r="AE500" s="162">
        <f t="shared" si="176"/>
        <v>0</v>
      </c>
      <c r="AF500" s="161"/>
      <c r="AG500" s="161"/>
      <c r="AH500" s="161">
        <f t="shared" si="177"/>
        <v>0</v>
      </c>
      <c r="AI500" s="161">
        <f t="shared" si="178"/>
        <v>0</v>
      </c>
      <c r="AJ500" s="161" t="str">
        <f t="shared" si="179"/>
        <v>Correct</v>
      </c>
      <c r="AK500" s="124"/>
      <c r="AL500" s="120">
        <f>IFERROR(VLOOKUP(Table1[RespondentID],'All Data'!$A$3:$CO$999,87,FALSE),"unknown")</f>
        <v>0</v>
      </c>
      <c r="AM500" s="120">
        <f>IFERROR(VLOOKUP(Table1[RespondentID],'All Data'!$A$3:$CO$999,88,FALSE),"unknown")</f>
        <v>0</v>
      </c>
      <c r="AN500" s="120">
        <f>IFERROR(VLOOKUP(Table1[RespondentID],'All Data'!$A$3:$CO$999,89,FALSE),"unknown")</f>
        <v>0</v>
      </c>
      <c r="AO500" s="120" t="str">
        <f>IFERROR(VLOOKUP(Table1[RespondentID],'All Data'!$A$3:$CO$999,90,FALSE),"unknown")</f>
        <v>Atlantic Beach, 11509</v>
      </c>
      <c r="AP500" s="120">
        <f>IFERROR(VLOOKUP(Table1[RespondentID],'All Data'!$A$3:$CO$999,91,FALSE),"unknown")</f>
        <v>0</v>
      </c>
      <c r="AQ500" s="120">
        <f>IFERROR(VLOOKUP(Table1[RespondentID],'All Data'!$A$3:$CO$999,92,FALSE),"unknown")</f>
        <v>0</v>
      </c>
      <c r="AR500" s="120">
        <f>IFERROR(VLOOKUP(Table1[RespondentID],'All Data'!$A$3:$CO$999,93,FALSE),"unknown")</f>
        <v>0</v>
      </c>
      <c r="AS500" s="120">
        <f>IFERROR(VLOOKUP(Table1[RespondentID],'All Data'!$A$3:$CW$999,94,FALSE),"unknown")</f>
        <v>0</v>
      </c>
      <c r="AT500" s="120">
        <f>IFERROR(VLOOKUP(Table1[RespondentID],'All Data'!$A$3:$CW$999,95,FALSE),"unknown")</f>
        <v>0</v>
      </c>
      <c r="AU500" s="120">
        <f>IFERROR(VLOOKUP(Table1[RespondentID],'All Data'!$A$3:$CW$999,96,FALSE),"unknown")</f>
        <v>0</v>
      </c>
      <c r="AV500" s="120">
        <f>IFERROR(VLOOKUP(Table1[RespondentID],'All Data'!$A$3:$CW$999,97,FALSE),"unknown")</f>
        <v>0</v>
      </c>
      <c r="AW500" s="120">
        <f>IFERROR(VLOOKUP(Table1[RespondentID],'All Data'!$A$3:$CW$999,98,FALSE),"unknown")</f>
        <v>0</v>
      </c>
      <c r="AX500" s="120">
        <f>IFERROR(VLOOKUP(Table1[RespondentID],'All Data'!$A$3:$CW$999,99,FALSE),"unknown")</f>
        <v>0</v>
      </c>
    </row>
    <row r="501" spans="1:50">
      <c r="A501" s="124">
        <v>18027546776</v>
      </c>
      <c r="B501" s="168"/>
      <c r="C501" s="169"/>
      <c r="D501" s="169"/>
      <c r="E501" s="169"/>
      <c r="F501" s="169"/>
      <c r="G501" s="169"/>
      <c r="H501" s="169"/>
      <c r="I501" s="169"/>
      <c r="J501" s="169"/>
      <c r="K501" s="169"/>
      <c r="L501" s="169"/>
      <c r="M501" s="169" t="s">
        <v>27</v>
      </c>
      <c r="N501" s="169" t="s">
        <v>28</v>
      </c>
      <c r="O501" s="169"/>
      <c r="P501" s="161">
        <f t="shared" si="162"/>
        <v>2</v>
      </c>
      <c r="Q501" s="170">
        <f t="shared" si="163"/>
        <v>1.5</v>
      </c>
      <c r="R501" s="161"/>
      <c r="S501" s="161">
        <f t="shared" si="164"/>
        <v>0</v>
      </c>
      <c r="T501" s="161">
        <f t="shared" si="165"/>
        <v>0</v>
      </c>
      <c r="U501" s="161">
        <f t="shared" si="166"/>
        <v>0</v>
      </c>
      <c r="V501" s="162">
        <f t="shared" si="167"/>
        <v>0</v>
      </c>
      <c r="W501" s="162">
        <f t="shared" si="168"/>
        <v>0</v>
      </c>
      <c r="X501" s="162">
        <f t="shared" si="169"/>
        <v>0</v>
      </c>
      <c r="Y501" s="162">
        <f t="shared" si="170"/>
        <v>0</v>
      </c>
      <c r="Z501" s="162">
        <f t="shared" si="171"/>
        <v>0</v>
      </c>
      <c r="AA501" s="162">
        <f t="shared" si="172"/>
        <v>0</v>
      </c>
      <c r="AB501" s="162">
        <f t="shared" si="173"/>
        <v>0</v>
      </c>
      <c r="AC501" s="162">
        <f t="shared" si="174"/>
        <v>0</v>
      </c>
      <c r="AD501" s="162">
        <f t="shared" si="175"/>
        <v>1</v>
      </c>
      <c r="AE501" s="162">
        <f t="shared" si="176"/>
        <v>1</v>
      </c>
      <c r="AF501" s="161"/>
      <c r="AG501" s="161"/>
      <c r="AH501" s="161">
        <f t="shared" si="177"/>
        <v>2</v>
      </c>
      <c r="AI501" s="161">
        <f t="shared" si="178"/>
        <v>2</v>
      </c>
      <c r="AJ501" s="161" t="str">
        <f t="shared" si="179"/>
        <v>Correct</v>
      </c>
      <c r="AK501" s="124"/>
      <c r="AL501" s="120">
        <f>IFERROR(VLOOKUP(Table1[RespondentID],'All Data'!$A$3:$CO$999,87,FALSE),"unknown")</f>
        <v>0</v>
      </c>
      <c r="AM501" s="120">
        <f>IFERROR(VLOOKUP(Table1[RespondentID],'All Data'!$A$3:$CO$999,88,FALSE),"unknown")</f>
        <v>0</v>
      </c>
      <c r="AN501" s="120" t="str">
        <f>IFERROR(VLOOKUP(Table1[RespondentID],'All Data'!$A$3:$CO$999,89,FALSE),"unknown")</f>
        <v>Nassau</v>
      </c>
      <c r="AO501" s="120" t="str">
        <f>IFERROR(VLOOKUP(Table1[RespondentID],'All Data'!$A$3:$CO$999,90,FALSE),"unknown")</f>
        <v>Massapequa, 11758</v>
      </c>
      <c r="AP501" s="120" t="str">
        <f>IFERROR(VLOOKUP(Table1[RespondentID],'All Data'!$A$3:$CO$999,91,FALSE),"unknown")</f>
        <v>White</v>
      </c>
      <c r="AQ501" s="120" t="str">
        <f>IFERROR(VLOOKUP(Table1[RespondentID],'All Data'!$A$3:$CO$999,92,FALSE),"unknown")</f>
        <v>Not Hispanic or Latino</v>
      </c>
      <c r="AR501" s="120" t="str">
        <f>IFERROR(VLOOKUP(Table1[RespondentID],'All Data'!$A$3:$CO$999,93,FALSE),"unknown")</f>
        <v>English</v>
      </c>
      <c r="AS501" s="120">
        <f>IFERROR(VLOOKUP(Table1[RespondentID],'All Data'!$A$3:$CW$999,94,FALSE),"unknown")</f>
        <v>0</v>
      </c>
      <c r="AT501" s="120" t="str">
        <f>IFERROR(VLOOKUP(Table1[RespondentID],'All Data'!$A$3:$CW$999,95,FALSE),"unknown")</f>
        <v>Graduate school</v>
      </c>
      <c r="AU501" s="120" t="str">
        <f>IFERROR(VLOOKUP(Table1[RespondentID],'All Data'!$A$3:$CW$999,96,FALSE),"unknown")</f>
        <v>Employed for wages</v>
      </c>
      <c r="AV501" s="120" t="str">
        <f>IFERROR(VLOOKUP(Table1[RespondentID],'All Data'!$A$3:$CW$999,97,FALSE),"unknown")</f>
        <v>Yes</v>
      </c>
      <c r="AW501" s="120" t="str">
        <f>IFERROR(VLOOKUP(Table1[RespondentID],'All Data'!$A$3:$CW$999,98,FALSE),"unknown")</f>
        <v>Private/Commercial</v>
      </c>
      <c r="AX501" s="120">
        <f>IFERROR(VLOOKUP(Table1[RespondentID],'All Data'!$A$3:$CW$999,99,FALSE),"unknown")</f>
        <v>0</v>
      </c>
    </row>
    <row r="502" spans="1:50">
      <c r="A502" s="124">
        <v>18027489857</v>
      </c>
      <c r="B502" s="168"/>
      <c r="C502" s="169"/>
      <c r="D502" s="169"/>
      <c r="E502" s="169" t="s">
        <v>19</v>
      </c>
      <c r="F502" s="169"/>
      <c r="G502" s="169" t="s">
        <v>21</v>
      </c>
      <c r="H502" s="169"/>
      <c r="I502" s="169" t="s">
        <v>23</v>
      </c>
      <c r="J502" s="169"/>
      <c r="K502" s="169"/>
      <c r="L502" s="169"/>
      <c r="M502" s="169"/>
      <c r="N502" s="169"/>
      <c r="O502" s="169"/>
      <c r="P502" s="161">
        <f t="shared" si="162"/>
        <v>3</v>
      </c>
      <c r="Q502" s="170">
        <f t="shared" si="163"/>
        <v>1</v>
      </c>
      <c r="R502" s="161"/>
      <c r="S502" s="161">
        <f t="shared" si="164"/>
        <v>0</v>
      </c>
      <c r="T502" s="161">
        <f t="shared" si="165"/>
        <v>0</v>
      </c>
      <c r="U502" s="161">
        <f t="shared" si="166"/>
        <v>0</v>
      </c>
      <c r="V502" s="162">
        <f t="shared" si="167"/>
        <v>1</v>
      </c>
      <c r="W502" s="162">
        <f t="shared" si="168"/>
        <v>0</v>
      </c>
      <c r="X502" s="162">
        <f t="shared" si="169"/>
        <v>1</v>
      </c>
      <c r="Y502" s="162">
        <f t="shared" si="170"/>
        <v>0</v>
      </c>
      <c r="Z502" s="162">
        <f t="shared" si="171"/>
        <v>1</v>
      </c>
      <c r="AA502" s="162">
        <f t="shared" si="172"/>
        <v>0</v>
      </c>
      <c r="AB502" s="162">
        <f t="shared" si="173"/>
        <v>0</v>
      </c>
      <c r="AC502" s="162">
        <f t="shared" si="174"/>
        <v>0</v>
      </c>
      <c r="AD502" s="162">
        <f t="shared" si="175"/>
        <v>0</v>
      </c>
      <c r="AE502" s="162">
        <f t="shared" si="176"/>
        <v>0</v>
      </c>
      <c r="AF502" s="161"/>
      <c r="AG502" s="161"/>
      <c r="AH502" s="161">
        <f t="shared" si="177"/>
        <v>3</v>
      </c>
      <c r="AI502" s="161">
        <f t="shared" si="178"/>
        <v>3</v>
      </c>
      <c r="AJ502" s="161" t="str">
        <f t="shared" si="179"/>
        <v>Correct</v>
      </c>
      <c r="AK502" s="124"/>
      <c r="AL502" s="120" t="str">
        <f>IFERROR(VLOOKUP(Table1[RespondentID],'All Data'!$A$3:$CO$999,87,FALSE),"unknown")</f>
        <v>Woman</v>
      </c>
      <c r="AM502" s="120">
        <f>IFERROR(VLOOKUP(Table1[RespondentID],'All Data'!$A$3:$CO$999,88,FALSE),"unknown")</f>
        <v>25</v>
      </c>
      <c r="AN502" s="120" t="str">
        <f>IFERROR(VLOOKUP(Table1[RespondentID],'All Data'!$A$3:$CO$999,89,FALSE),"unknown")</f>
        <v>Nassau</v>
      </c>
      <c r="AO502" s="120" t="str">
        <f>IFERROR(VLOOKUP(Table1[RespondentID],'All Data'!$A$3:$CO$999,90,FALSE),"unknown")</f>
        <v>Massapequa Park, 11762</v>
      </c>
      <c r="AP502" s="120" t="str">
        <f>IFERROR(VLOOKUP(Table1[RespondentID],'All Data'!$A$3:$CO$999,91,FALSE),"unknown")</f>
        <v>White</v>
      </c>
      <c r="AQ502" s="120" t="str">
        <f>IFERROR(VLOOKUP(Table1[RespondentID],'All Data'!$A$3:$CO$999,92,FALSE),"unknown")</f>
        <v>Not Hispanic or Latino</v>
      </c>
      <c r="AR502" s="120">
        <f>IFERROR(VLOOKUP(Table1[RespondentID],'All Data'!$A$3:$CO$999,93,FALSE),"unknown")</f>
        <v>0</v>
      </c>
      <c r="AS502" s="120" t="str">
        <f>IFERROR(VLOOKUP(Table1[RespondentID],'All Data'!$A$3:$CW$999,94,FALSE),"unknown")</f>
        <v>$50,000 to $74,999</v>
      </c>
      <c r="AT502" s="120" t="str">
        <f>IFERROR(VLOOKUP(Table1[RespondentID],'All Data'!$A$3:$CW$999,95,FALSE),"unknown")</f>
        <v>College graduate</v>
      </c>
      <c r="AU502" s="120" t="str">
        <f>IFERROR(VLOOKUP(Table1[RespondentID],'All Data'!$A$3:$CW$999,96,FALSE),"unknown")</f>
        <v>Employed for wages</v>
      </c>
      <c r="AV502" s="120" t="str">
        <f>IFERROR(VLOOKUP(Table1[RespondentID],'All Data'!$A$3:$CW$999,97,FALSE),"unknown")</f>
        <v>Yes</v>
      </c>
      <c r="AW502" s="120" t="str">
        <f>IFERROR(VLOOKUP(Table1[RespondentID],'All Data'!$A$3:$CW$999,98,FALSE),"unknown")</f>
        <v>Private/Commercial</v>
      </c>
      <c r="AX502" s="120" t="str">
        <f>IFERROR(VLOOKUP(Table1[RespondentID],'All Data'!$A$3:$CW$999,99,FALSE),"unknown")</f>
        <v>Yes</v>
      </c>
    </row>
    <row r="503" spans="1:50">
      <c r="A503" s="124">
        <v>18027026943</v>
      </c>
      <c r="B503" s="168"/>
      <c r="C503" s="169"/>
      <c r="D503" s="169"/>
      <c r="E503" s="169"/>
      <c r="F503" s="169"/>
      <c r="G503" s="169"/>
      <c r="H503" s="169"/>
      <c r="I503" s="169"/>
      <c r="J503" s="169"/>
      <c r="K503" s="169" t="s">
        <v>25</v>
      </c>
      <c r="L503" s="169"/>
      <c r="M503" s="169"/>
      <c r="N503" s="169"/>
      <c r="O503" s="169"/>
      <c r="P503" s="161">
        <f t="shared" si="162"/>
        <v>1</v>
      </c>
      <c r="Q503" s="170">
        <f t="shared" si="163"/>
        <v>3</v>
      </c>
      <c r="R503" s="161"/>
      <c r="S503" s="161">
        <f t="shared" si="164"/>
        <v>0</v>
      </c>
      <c r="T503" s="161">
        <f t="shared" si="165"/>
        <v>0</v>
      </c>
      <c r="U503" s="161">
        <f t="shared" si="166"/>
        <v>0</v>
      </c>
      <c r="V503" s="162">
        <f t="shared" si="167"/>
        <v>0</v>
      </c>
      <c r="W503" s="162">
        <f t="shared" si="168"/>
        <v>0</v>
      </c>
      <c r="X503" s="162">
        <f t="shared" si="169"/>
        <v>0</v>
      </c>
      <c r="Y503" s="162">
        <f t="shared" si="170"/>
        <v>0</v>
      </c>
      <c r="Z503" s="162">
        <f t="shared" si="171"/>
        <v>0</v>
      </c>
      <c r="AA503" s="162">
        <f t="shared" si="172"/>
        <v>0</v>
      </c>
      <c r="AB503" s="162">
        <f t="shared" si="173"/>
        <v>1</v>
      </c>
      <c r="AC503" s="162">
        <f t="shared" si="174"/>
        <v>0</v>
      </c>
      <c r="AD503" s="162">
        <f t="shared" si="175"/>
        <v>0</v>
      </c>
      <c r="AE503" s="162">
        <f t="shared" si="176"/>
        <v>0</v>
      </c>
      <c r="AF503" s="161"/>
      <c r="AG503" s="161"/>
      <c r="AH503" s="161">
        <f t="shared" si="177"/>
        <v>1</v>
      </c>
      <c r="AI503" s="161">
        <f t="shared" si="178"/>
        <v>1</v>
      </c>
      <c r="AJ503" s="161" t="str">
        <f t="shared" si="179"/>
        <v>Correct</v>
      </c>
      <c r="AK503" s="124"/>
      <c r="AL503" s="120" t="str">
        <f>IFERROR(VLOOKUP(Table1[RespondentID],'All Data'!$A$3:$CO$999,87,FALSE),"unknown")</f>
        <v>Woman</v>
      </c>
      <c r="AM503" s="120">
        <f>IFERROR(VLOOKUP(Table1[RespondentID],'All Data'!$A$3:$CO$999,88,FALSE),"unknown")</f>
        <v>47</v>
      </c>
      <c r="AN503" s="120" t="str">
        <f>IFERROR(VLOOKUP(Table1[RespondentID],'All Data'!$A$3:$CO$999,89,FALSE),"unknown")</f>
        <v>Nassau</v>
      </c>
      <c r="AO503" s="120" t="str">
        <f>IFERROR(VLOOKUP(Table1[RespondentID],'All Data'!$A$3:$CO$999,90,FALSE),"unknown")</f>
        <v>Wantagh, 11793</v>
      </c>
      <c r="AP503" s="120" t="str">
        <f>IFERROR(VLOOKUP(Table1[RespondentID],'All Data'!$A$3:$CO$999,91,FALSE),"unknown")</f>
        <v>White</v>
      </c>
      <c r="AQ503" s="120" t="str">
        <f>IFERROR(VLOOKUP(Table1[RespondentID],'All Data'!$A$3:$CO$999,92,FALSE),"unknown")</f>
        <v>Not Hispanic or Latino</v>
      </c>
      <c r="AR503" s="120" t="str">
        <f>IFERROR(VLOOKUP(Table1[RespondentID],'All Data'!$A$3:$CO$999,93,FALSE),"unknown")</f>
        <v>English</v>
      </c>
      <c r="AS503" s="120" t="str">
        <f>IFERROR(VLOOKUP(Table1[RespondentID],'All Data'!$A$3:$CW$999,94,FALSE),"unknown")</f>
        <v>$75,000 to $125,000</v>
      </c>
      <c r="AT503" s="120" t="str">
        <f>IFERROR(VLOOKUP(Table1[RespondentID],'All Data'!$A$3:$CW$999,95,FALSE),"unknown")</f>
        <v>Some college</v>
      </c>
      <c r="AU503" s="120" t="str">
        <f>IFERROR(VLOOKUP(Table1[RespondentID],'All Data'!$A$3:$CW$999,96,FALSE),"unknown")</f>
        <v>Out of work, but not currently looking</v>
      </c>
      <c r="AV503" s="120">
        <f>IFERROR(VLOOKUP(Table1[RespondentID],'All Data'!$A$3:$CW$999,97,FALSE),"unknown")</f>
        <v>0</v>
      </c>
      <c r="AW503" s="120" t="str">
        <f>IFERROR(VLOOKUP(Table1[RespondentID],'All Data'!$A$3:$CW$999,98,FALSE),"unknown")</f>
        <v>Medicaid</v>
      </c>
      <c r="AX503" s="120" t="str">
        <f>IFERROR(VLOOKUP(Table1[RespondentID],'All Data'!$A$3:$CW$999,99,FALSE),"unknown")</f>
        <v>Yes</v>
      </c>
    </row>
    <row r="504" spans="1:50">
      <c r="A504" s="124">
        <v>18026792737</v>
      </c>
      <c r="B504" s="168"/>
      <c r="C504" s="169"/>
      <c r="D504" s="169" t="s">
        <v>18</v>
      </c>
      <c r="E504" s="169"/>
      <c r="F504" s="169"/>
      <c r="G504" s="169" t="s">
        <v>21</v>
      </c>
      <c r="H504" s="169"/>
      <c r="I504" s="169"/>
      <c r="J504" s="169"/>
      <c r="K504" s="169"/>
      <c r="L504" s="169"/>
      <c r="M504" s="169"/>
      <c r="N504" s="169"/>
      <c r="O504" s="169"/>
      <c r="P504" s="161">
        <f t="shared" si="162"/>
        <v>2</v>
      </c>
      <c r="Q504" s="170">
        <f t="shared" si="163"/>
        <v>1.5</v>
      </c>
      <c r="R504" s="161"/>
      <c r="S504" s="161">
        <f t="shared" si="164"/>
        <v>0</v>
      </c>
      <c r="T504" s="161">
        <f t="shared" si="165"/>
        <v>0</v>
      </c>
      <c r="U504" s="161">
        <f t="shared" si="166"/>
        <v>1</v>
      </c>
      <c r="V504" s="162">
        <f t="shared" si="167"/>
        <v>0</v>
      </c>
      <c r="W504" s="162">
        <f t="shared" si="168"/>
        <v>0</v>
      </c>
      <c r="X504" s="162">
        <f t="shared" si="169"/>
        <v>1</v>
      </c>
      <c r="Y504" s="162">
        <f t="shared" si="170"/>
        <v>0</v>
      </c>
      <c r="Z504" s="162">
        <f t="shared" si="171"/>
        <v>0</v>
      </c>
      <c r="AA504" s="162">
        <f t="shared" si="172"/>
        <v>0</v>
      </c>
      <c r="AB504" s="162">
        <f t="shared" si="173"/>
        <v>0</v>
      </c>
      <c r="AC504" s="162">
        <f t="shared" si="174"/>
        <v>0</v>
      </c>
      <c r="AD504" s="162">
        <f t="shared" si="175"/>
        <v>0</v>
      </c>
      <c r="AE504" s="162">
        <f t="shared" si="176"/>
        <v>0</v>
      </c>
      <c r="AF504" s="161"/>
      <c r="AG504" s="161"/>
      <c r="AH504" s="161">
        <f t="shared" si="177"/>
        <v>2</v>
      </c>
      <c r="AI504" s="161">
        <f t="shared" si="178"/>
        <v>2</v>
      </c>
      <c r="AJ504" s="161" t="str">
        <f t="shared" si="179"/>
        <v>Correct</v>
      </c>
      <c r="AK504" s="124"/>
      <c r="AL504" s="120" t="str">
        <f>IFERROR(VLOOKUP(Table1[RespondentID],'All Data'!$A$3:$CO$999,87,FALSE),"unknown")</f>
        <v>Man</v>
      </c>
      <c r="AM504" s="120">
        <f>IFERROR(VLOOKUP(Table1[RespondentID],'All Data'!$A$3:$CO$999,88,FALSE),"unknown")</f>
        <v>74</v>
      </c>
      <c r="AN504" s="120" t="str">
        <f>IFERROR(VLOOKUP(Table1[RespondentID],'All Data'!$A$3:$CO$999,89,FALSE),"unknown")</f>
        <v>Nassau</v>
      </c>
      <c r="AO504" s="120" t="str">
        <f>IFERROR(VLOOKUP(Table1[RespondentID],'All Data'!$A$3:$CO$999,90,FALSE),"unknown")</f>
        <v>Mineola, 11501</v>
      </c>
      <c r="AP504" s="120">
        <f>IFERROR(VLOOKUP(Table1[RespondentID],'All Data'!$A$3:$CO$999,91,FALSE),"unknown")</f>
        <v>0</v>
      </c>
      <c r="AQ504" s="120" t="str">
        <f>IFERROR(VLOOKUP(Table1[RespondentID],'All Data'!$A$3:$CO$999,92,FALSE),"unknown")</f>
        <v>Not Hispanic or Latino</v>
      </c>
      <c r="AR504" s="120">
        <f>IFERROR(VLOOKUP(Table1[RespondentID],'All Data'!$A$3:$CO$999,93,FALSE),"unknown")</f>
        <v>0</v>
      </c>
      <c r="AS504" s="120">
        <f>IFERROR(VLOOKUP(Table1[RespondentID],'All Data'!$A$3:$CW$999,94,FALSE),"unknown")</f>
        <v>0</v>
      </c>
      <c r="AT504" s="120">
        <f>IFERROR(VLOOKUP(Table1[RespondentID],'All Data'!$A$3:$CW$999,95,FALSE),"unknown")</f>
        <v>0</v>
      </c>
      <c r="AU504" s="120">
        <f>IFERROR(VLOOKUP(Table1[RespondentID],'All Data'!$A$3:$CW$999,96,FALSE),"unknown")</f>
        <v>0</v>
      </c>
      <c r="AV504" s="120">
        <f>IFERROR(VLOOKUP(Table1[RespondentID],'All Data'!$A$3:$CW$999,97,FALSE),"unknown")</f>
        <v>0</v>
      </c>
      <c r="AW504" s="120">
        <f>IFERROR(VLOOKUP(Table1[RespondentID],'All Data'!$A$3:$CW$999,98,FALSE),"unknown")</f>
        <v>0</v>
      </c>
      <c r="AX504" s="120">
        <f>IFERROR(VLOOKUP(Table1[RespondentID],'All Data'!$A$3:$CW$999,99,FALSE),"unknown")</f>
        <v>0</v>
      </c>
    </row>
    <row r="505" spans="1:50">
      <c r="A505" s="124">
        <v>18026792525</v>
      </c>
      <c r="B505" s="168"/>
      <c r="C505" s="169"/>
      <c r="D505" s="169" t="s">
        <v>18</v>
      </c>
      <c r="E505" s="169" t="s">
        <v>19</v>
      </c>
      <c r="F505" s="169"/>
      <c r="G505" s="169"/>
      <c r="H505" s="169"/>
      <c r="I505" s="169" t="s">
        <v>23</v>
      </c>
      <c r="J505" s="169"/>
      <c r="K505" s="169"/>
      <c r="L505" s="169"/>
      <c r="M505" s="169"/>
      <c r="N505" s="169"/>
      <c r="O505" s="169"/>
      <c r="P505" s="161">
        <f t="shared" si="162"/>
        <v>3</v>
      </c>
      <c r="Q505" s="170">
        <f t="shared" si="163"/>
        <v>1</v>
      </c>
      <c r="R505" s="161"/>
      <c r="S505" s="161">
        <f t="shared" si="164"/>
        <v>0</v>
      </c>
      <c r="T505" s="161">
        <f t="shared" si="165"/>
        <v>0</v>
      </c>
      <c r="U505" s="161">
        <f t="shared" si="166"/>
        <v>1</v>
      </c>
      <c r="V505" s="162">
        <f t="shared" si="167"/>
        <v>1</v>
      </c>
      <c r="W505" s="162">
        <f t="shared" si="168"/>
        <v>0</v>
      </c>
      <c r="X505" s="162">
        <f t="shared" si="169"/>
        <v>0</v>
      </c>
      <c r="Y505" s="162">
        <f t="shared" si="170"/>
        <v>0</v>
      </c>
      <c r="Z505" s="162">
        <f t="shared" si="171"/>
        <v>1</v>
      </c>
      <c r="AA505" s="162">
        <f t="shared" si="172"/>
        <v>0</v>
      </c>
      <c r="AB505" s="162">
        <f t="shared" si="173"/>
        <v>0</v>
      </c>
      <c r="AC505" s="162">
        <f t="shared" si="174"/>
        <v>0</v>
      </c>
      <c r="AD505" s="162">
        <f t="shared" si="175"/>
        <v>0</v>
      </c>
      <c r="AE505" s="162">
        <f t="shared" si="176"/>
        <v>0</v>
      </c>
      <c r="AF505" s="161"/>
      <c r="AG505" s="161"/>
      <c r="AH505" s="161">
        <f t="shared" si="177"/>
        <v>3</v>
      </c>
      <c r="AI505" s="161">
        <f t="shared" si="178"/>
        <v>3</v>
      </c>
      <c r="AJ505" s="161" t="str">
        <f t="shared" si="179"/>
        <v>Correct</v>
      </c>
      <c r="AK505" s="124"/>
      <c r="AL505" s="120" t="str">
        <f>IFERROR(VLOOKUP(Table1[RespondentID],'All Data'!$A$3:$CO$999,87,FALSE),"unknown")</f>
        <v>Woman</v>
      </c>
      <c r="AM505" s="120">
        <f>IFERROR(VLOOKUP(Table1[RespondentID],'All Data'!$A$3:$CO$999,88,FALSE),"unknown")</f>
        <v>63</v>
      </c>
      <c r="AN505" s="120" t="str">
        <f>IFERROR(VLOOKUP(Table1[RespondentID],'All Data'!$A$3:$CO$999,89,FALSE),"unknown")</f>
        <v>Nassau</v>
      </c>
      <c r="AO505" s="120" t="str">
        <f>IFERROR(VLOOKUP(Table1[RespondentID],'All Data'!$A$3:$CO$999,90,FALSE),"unknown")</f>
        <v>Mineola, 11501</v>
      </c>
      <c r="AP505" s="120" t="str">
        <f>IFERROR(VLOOKUP(Table1[RespondentID],'All Data'!$A$3:$CO$999,91,FALSE),"unknown")</f>
        <v>White</v>
      </c>
      <c r="AQ505" s="120" t="str">
        <f>IFERROR(VLOOKUP(Table1[RespondentID],'All Data'!$A$3:$CO$999,92,FALSE),"unknown")</f>
        <v>Not Hispanic or Latino</v>
      </c>
      <c r="AR505" s="120" t="str">
        <f>IFERROR(VLOOKUP(Table1[RespondentID],'All Data'!$A$3:$CO$999,93,FALSE),"unknown")</f>
        <v>English</v>
      </c>
      <c r="AS505" s="120" t="str">
        <f>IFERROR(VLOOKUP(Table1[RespondentID],'All Data'!$A$3:$CW$999,94,FALSE),"unknown")</f>
        <v>$20,000 to $34,999</v>
      </c>
      <c r="AT505" s="120" t="str">
        <f>IFERROR(VLOOKUP(Table1[RespondentID],'All Data'!$A$3:$CW$999,95,FALSE),"unknown")</f>
        <v>Graduate school</v>
      </c>
      <c r="AU505" s="120" t="str">
        <f>IFERROR(VLOOKUP(Table1[RespondentID],'All Data'!$A$3:$CW$999,96,FALSE),"unknown")</f>
        <v>Retired</v>
      </c>
      <c r="AV505" s="120" t="str">
        <f>IFERROR(VLOOKUP(Table1[RespondentID],'All Data'!$A$3:$CW$999,97,FALSE),"unknown")</f>
        <v>No</v>
      </c>
      <c r="AW505" s="120" t="str">
        <f>IFERROR(VLOOKUP(Table1[RespondentID],'All Data'!$A$3:$CW$999,98,FALSE),"unknown")</f>
        <v>No Insurance</v>
      </c>
      <c r="AX505" s="120" t="str">
        <f>IFERROR(VLOOKUP(Table1[RespondentID],'All Data'!$A$3:$CW$999,99,FALSE),"unknown")</f>
        <v>Yes</v>
      </c>
    </row>
    <row r="506" spans="1:50">
      <c r="A506" s="124">
        <v>18026792379</v>
      </c>
      <c r="B506" s="168"/>
      <c r="C506" s="169"/>
      <c r="D506" s="169"/>
      <c r="E506" s="169"/>
      <c r="F506" s="169"/>
      <c r="G506" s="169"/>
      <c r="H506" s="169"/>
      <c r="I506" s="169" t="s">
        <v>23</v>
      </c>
      <c r="J506" s="169" t="s">
        <v>24</v>
      </c>
      <c r="K506" s="169"/>
      <c r="L506" s="169"/>
      <c r="M506" s="169"/>
      <c r="N506" s="169" t="s">
        <v>28</v>
      </c>
      <c r="O506" s="169"/>
      <c r="P506" s="161">
        <f t="shared" si="162"/>
        <v>3</v>
      </c>
      <c r="Q506" s="170">
        <f t="shared" si="163"/>
        <v>1</v>
      </c>
      <c r="R506" s="161"/>
      <c r="S506" s="161">
        <f t="shared" si="164"/>
        <v>0</v>
      </c>
      <c r="T506" s="161">
        <f t="shared" si="165"/>
        <v>0</v>
      </c>
      <c r="U506" s="161">
        <f t="shared" si="166"/>
        <v>0</v>
      </c>
      <c r="V506" s="162">
        <f t="shared" si="167"/>
        <v>0</v>
      </c>
      <c r="W506" s="162">
        <f t="shared" si="168"/>
        <v>0</v>
      </c>
      <c r="X506" s="162">
        <f t="shared" si="169"/>
        <v>0</v>
      </c>
      <c r="Y506" s="162">
        <f t="shared" si="170"/>
        <v>0</v>
      </c>
      <c r="Z506" s="162">
        <f t="shared" si="171"/>
        <v>1</v>
      </c>
      <c r="AA506" s="162">
        <f t="shared" si="172"/>
        <v>1</v>
      </c>
      <c r="AB506" s="162">
        <f t="shared" si="173"/>
        <v>0</v>
      </c>
      <c r="AC506" s="162">
        <f t="shared" si="174"/>
        <v>0</v>
      </c>
      <c r="AD506" s="162">
        <f t="shared" si="175"/>
        <v>0</v>
      </c>
      <c r="AE506" s="162">
        <f t="shared" si="176"/>
        <v>1</v>
      </c>
      <c r="AF506" s="161"/>
      <c r="AG506" s="161"/>
      <c r="AH506" s="161">
        <f t="shared" si="177"/>
        <v>3</v>
      </c>
      <c r="AI506" s="161">
        <f t="shared" si="178"/>
        <v>3</v>
      </c>
      <c r="AJ506" s="161" t="str">
        <f t="shared" si="179"/>
        <v>Correct</v>
      </c>
      <c r="AK506" s="124"/>
      <c r="AL506" s="120" t="str">
        <f>IFERROR(VLOOKUP(Table1[RespondentID],'All Data'!$A$3:$CO$999,87,FALSE),"unknown")</f>
        <v>Woman</v>
      </c>
      <c r="AM506" s="120">
        <f>IFERROR(VLOOKUP(Table1[RespondentID],'All Data'!$A$3:$CO$999,88,FALSE),"unknown")</f>
        <v>71</v>
      </c>
      <c r="AN506" s="120" t="str">
        <f>IFERROR(VLOOKUP(Table1[RespondentID],'All Data'!$A$3:$CO$999,89,FALSE),"unknown")</f>
        <v>Nassau</v>
      </c>
      <c r="AO506" s="120" t="str">
        <f>IFERROR(VLOOKUP(Table1[RespondentID],'All Data'!$A$3:$CO$999,90,FALSE),"unknown")</f>
        <v>Mineola, 11501</v>
      </c>
      <c r="AP506" s="120" t="str">
        <f>IFERROR(VLOOKUP(Table1[RespondentID],'All Data'!$A$3:$CO$999,91,FALSE),"unknown")</f>
        <v>White</v>
      </c>
      <c r="AQ506" s="120" t="str">
        <f>IFERROR(VLOOKUP(Table1[RespondentID],'All Data'!$A$3:$CO$999,92,FALSE),"unknown")</f>
        <v>Not Hispanic or Latino</v>
      </c>
      <c r="AR506" s="120" t="str">
        <f>IFERROR(VLOOKUP(Table1[RespondentID],'All Data'!$A$3:$CO$999,93,FALSE),"unknown")</f>
        <v>English</v>
      </c>
      <c r="AS506" s="120" t="str">
        <f>IFERROR(VLOOKUP(Table1[RespondentID],'All Data'!$A$3:$CW$999,94,FALSE),"unknown")</f>
        <v>$20,000 to $34,999</v>
      </c>
      <c r="AT506" s="120" t="str">
        <f>IFERROR(VLOOKUP(Table1[RespondentID],'All Data'!$A$3:$CW$999,95,FALSE),"unknown")</f>
        <v>High school graduate</v>
      </c>
      <c r="AU506" s="120" t="str">
        <f>IFERROR(VLOOKUP(Table1[RespondentID],'All Data'!$A$3:$CW$999,96,FALSE),"unknown")</f>
        <v>Retired</v>
      </c>
      <c r="AV506" s="120" t="str">
        <f>IFERROR(VLOOKUP(Table1[RespondentID],'All Data'!$A$3:$CW$999,97,FALSE),"unknown")</f>
        <v>Yes</v>
      </c>
      <c r="AW506" s="120" t="str">
        <f>IFERROR(VLOOKUP(Table1[RespondentID],'All Data'!$A$3:$CW$999,98,FALSE),"unknown")</f>
        <v>Medicare</v>
      </c>
      <c r="AX506" s="120" t="str">
        <f>IFERROR(VLOOKUP(Table1[RespondentID],'All Data'!$A$3:$CW$999,99,FALSE),"unknown")</f>
        <v>No</v>
      </c>
    </row>
    <row r="507" spans="1:50">
      <c r="A507" s="124">
        <v>18026792254</v>
      </c>
      <c r="B507" s="168" t="s">
        <v>16</v>
      </c>
      <c r="C507" s="169"/>
      <c r="D507" s="169"/>
      <c r="E507" s="169" t="s">
        <v>19</v>
      </c>
      <c r="F507" s="169"/>
      <c r="G507" s="169"/>
      <c r="H507" s="169"/>
      <c r="I507" s="169" t="s">
        <v>23</v>
      </c>
      <c r="J507" s="169"/>
      <c r="K507" s="169"/>
      <c r="L507" s="169"/>
      <c r="M507" s="169"/>
      <c r="N507" s="169"/>
      <c r="O507" s="169"/>
      <c r="P507" s="161">
        <f t="shared" si="162"/>
        <v>3</v>
      </c>
      <c r="Q507" s="170">
        <f t="shared" si="163"/>
        <v>1</v>
      </c>
      <c r="R507" s="161"/>
      <c r="S507" s="161">
        <f t="shared" si="164"/>
        <v>1</v>
      </c>
      <c r="T507" s="161">
        <f t="shared" si="165"/>
        <v>0</v>
      </c>
      <c r="U507" s="161">
        <f t="shared" si="166"/>
        <v>0</v>
      </c>
      <c r="V507" s="162">
        <f t="shared" si="167"/>
        <v>1</v>
      </c>
      <c r="W507" s="162">
        <f t="shared" si="168"/>
        <v>0</v>
      </c>
      <c r="X507" s="162">
        <f t="shared" si="169"/>
        <v>0</v>
      </c>
      <c r="Y507" s="162">
        <f t="shared" si="170"/>
        <v>0</v>
      </c>
      <c r="Z507" s="162">
        <f t="shared" si="171"/>
        <v>1</v>
      </c>
      <c r="AA507" s="162">
        <f t="shared" si="172"/>
        <v>0</v>
      </c>
      <c r="AB507" s="162">
        <f t="shared" si="173"/>
        <v>0</v>
      </c>
      <c r="AC507" s="162">
        <f t="shared" si="174"/>
        <v>0</v>
      </c>
      <c r="AD507" s="162">
        <f t="shared" si="175"/>
        <v>0</v>
      </c>
      <c r="AE507" s="162">
        <f t="shared" si="176"/>
        <v>0</v>
      </c>
      <c r="AF507" s="161"/>
      <c r="AG507" s="161"/>
      <c r="AH507" s="161">
        <f t="shared" si="177"/>
        <v>3</v>
      </c>
      <c r="AI507" s="161">
        <f t="shared" si="178"/>
        <v>3</v>
      </c>
      <c r="AJ507" s="161" t="str">
        <f t="shared" si="179"/>
        <v>Correct</v>
      </c>
      <c r="AK507" s="124"/>
      <c r="AL507" s="120" t="str">
        <f>IFERROR(VLOOKUP(Table1[RespondentID],'All Data'!$A$3:$CO$999,87,FALSE),"unknown")</f>
        <v>Woman</v>
      </c>
      <c r="AM507" s="120">
        <f>IFERROR(VLOOKUP(Table1[RespondentID],'All Data'!$A$3:$CO$999,88,FALSE),"unknown")</f>
        <v>72</v>
      </c>
      <c r="AN507" s="120" t="str">
        <f>IFERROR(VLOOKUP(Table1[RespondentID],'All Data'!$A$3:$CO$999,89,FALSE),"unknown")</f>
        <v>Nassau</v>
      </c>
      <c r="AO507" s="120" t="str">
        <f>IFERROR(VLOOKUP(Table1[RespondentID],'All Data'!$A$3:$CO$999,90,FALSE),"unknown")</f>
        <v>Williston Park, 11596</v>
      </c>
      <c r="AP507" s="120" t="str">
        <f>IFERROR(VLOOKUP(Table1[RespondentID],'All Data'!$A$3:$CO$999,91,FALSE),"unknown")</f>
        <v>White</v>
      </c>
      <c r="AQ507" s="120" t="str">
        <f>IFERROR(VLOOKUP(Table1[RespondentID],'All Data'!$A$3:$CO$999,92,FALSE),"unknown")</f>
        <v>Not Hispanic or Latino</v>
      </c>
      <c r="AR507" s="120" t="str">
        <f>IFERROR(VLOOKUP(Table1[RespondentID],'All Data'!$A$3:$CO$999,93,FALSE),"unknown")</f>
        <v>English</v>
      </c>
      <c r="AS507" s="120" t="str">
        <f>IFERROR(VLOOKUP(Table1[RespondentID],'All Data'!$A$3:$CW$999,94,FALSE),"unknown")</f>
        <v>$75,000 to $125,000</v>
      </c>
      <c r="AT507" s="120" t="str">
        <f>IFERROR(VLOOKUP(Table1[RespondentID],'All Data'!$A$3:$CW$999,95,FALSE),"unknown")</f>
        <v>Graduate school</v>
      </c>
      <c r="AU507" s="120" t="str">
        <f>IFERROR(VLOOKUP(Table1[RespondentID],'All Data'!$A$3:$CW$999,96,FALSE),"unknown")</f>
        <v>Retired</v>
      </c>
      <c r="AV507" s="120" t="str">
        <f>IFERROR(VLOOKUP(Table1[RespondentID],'All Data'!$A$3:$CW$999,97,FALSE),"unknown")</f>
        <v>Yes</v>
      </c>
      <c r="AW507" s="120" t="str">
        <f>IFERROR(VLOOKUP(Table1[RespondentID],'All Data'!$A$3:$CW$999,98,FALSE),"unknown")</f>
        <v>Medicare,Private/Commercial</v>
      </c>
      <c r="AX507" s="120" t="str">
        <f>IFERROR(VLOOKUP(Table1[RespondentID],'All Data'!$A$3:$CW$999,99,FALSE),"unknown")</f>
        <v>Yes</v>
      </c>
    </row>
    <row r="508" spans="1:50">
      <c r="A508" s="124">
        <v>18026792090</v>
      </c>
      <c r="B508" s="168"/>
      <c r="C508" s="169" t="s">
        <v>17</v>
      </c>
      <c r="D508" s="169"/>
      <c r="E508" s="169"/>
      <c r="F508" s="169"/>
      <c r="G508" s="169"/>
      <c r="H508" s="169"/>
      <c r="I508" s="169" t="s">
        <v>23</v>
      </c>
      <c r="J508" s="169"/>
      <c r="K508" s="169"/>
      <c r="L508" s="169"/>
      <c r="M508" s="169"/>
      <c r="N508" s="169" t="s">
        <v>28</v>
      </c>
      <c r="O508" s="169"/>
      <c r="P508" s="161">
        <f t="shared" si="162"/>
        <v>3</v>
      </c>
      <c r="Q508" s="170">
        <f t="shared" si="163"/>
        <v>1</v>
      </c>
      <c r="R508" s="161"/>
      <c r="S508" s="161">
        <f t="shared" si="164"/>
        <v>0</v>
      </c>
      <c r="T508" s="161">
        <f t="shared" si="165"/>
        <v>1</v>
      </c>
      <c r="U508" s="161">
        <f t="shared" si="166"/>
        <v>0</v>
      </c>
      <c r="V508" s="162">
        <f t="shared" si="167"/>
        <v>0</v>
      </c>
      <c r="W508" s="162">
        <f t="shared" si="168"/>
        <v>0</v>
      </c>
      <c r="X508" s="162">
        <f t="shared" si="169"/>
        <v>0</v>
      </c>
      <c r="Y508" s="162">
        <f t="shared" si="170"/>
        <v>0</v>
      </c>
      <c r="Z508" s="162">
        <f t="shared" si="171"/>
        <v>1</v>
      </c>
      <c r="AA508" s="162">
        <f t="shared" si="172"/>
        <v>0</v>
      </c>
      <c r="AB508" s="162">
        <f t="shared" si="173"/>
        <v>0</v>
      </c>
      <c r="AC508" s="162">
        <f t="shared" si="174"/>
        <v>0</v>
      </c>
      <c r="AD508" s="162">
        <f t="shared" si="175"/>
        <v>0</v>
      </c>
      <c r="AE508" s="162">
        <f t="shared" si="176"/>
        <v>1</v>
      </c>
      <c r="AF508" s="161"/>
      <c r="AG508" s="161"/>
      <c r="AH508" s="161">
        <f t="shared" si="177"/>
        <v>3</v>
      </c>
      <c r="AI508" s="161">
        <f t="shared" si="178"/>
        <v>3</v>
      </c>
      <c r="AJ508" s="161" t="str">
        <f t="shared" si="179"/>
        <v>Correct</v>
      </c>
      <c r="AK508" s="124"/>
      <c r="AL508" s="120" t="str">
        <f>IFERROR(VLOOKUP(Table1[RespondentID],'All Data'!$A$3:$CO$999,87,FALSE),"unknown")</f>
        <v>Woman</v>
      </c>
      <c r="AM508" s="120">
        <f>IFERROR(VLOOKUP(Table1[RespondentID],'All Data'!$A$3:$CO$999,88,FALSE),"unknown")</f>
        <v>69</v>
      </c>
      <c r="AN508" s="120" t="str">
        <f>IFERROR(VLOOKUP(Table1[RespondentID],'All Data'!$A$3:$CO$999,89,FALSE),"unknown")</f>
        <v>Nassau</v>
      </c>
      <c r="AO508" s="120" t="str">
        <f>IFERROR(VLOOKUP(Table1[RespondentID],'All Data'!$A$3:$CO$999,90,FALSE),"unknown")</f>
        <v>Williston Park, 11596</v>
      </c>
      <c r="AP508" s="120" t="str">
        <f>IFERROR(VLOOKUP(Table1[RespondentID],'All Data'!$A$3:$CO$999,91,FALSE),"unknown")</f>
        <v>White</v>
      </c>
      <c r="AQ508" s="120" t="str">
        <f>IFERROR(VLOOKUP(Table1[RespondentID],'All Data'!$A$3:$CO$999,92,FALSE),"unknown")</f>
        <v>Not Hispanic or Latino</v>
      </c>
      <c r="AR508" s="120">
        <f>IFERROR(VLOOKUP(Table1[RespondentID],'All Data'!$A$3:$CO$999,93,FALSE),"unknown")</f>
        <v>0</v>
      </c>
      <c r="AS508" s="120">
        <f>IFERROR(VLOOKUP(Table1[RespondentID],'All Data'!$A$3:$CW$999,94,FALSE),"unknown")</f>
        <v>0</v>
      </c>
      <c r="AT508" s="120" t="str">
        <f>IFERROR(VLOOKUP(Table1[RespondentID],'All Data'!$A$3:$CW$999,95,FALSE),"unknown")</f>
        <v>College graduate</v>
      </c>
      <c r="AU508" s="120" t="str">
        <f>IFERROR(VLOOKUP(Table1[RespondentID],'All Data'!$A$3:$CW$999,96,FALSE),"unknown")</f>
        <v>Retired</v>
      </c>
      <c r="AV508" s="120" t="str">
        <f>IFERROR(VLOOKUP(Table1[RespondentID],'All Data'!$A$3:$CW$999,97,FALSE),"unknown")</f>
        <v>Yes</v>
      </c>
      <c r="AW508" s="120" t="str">
        <f>IFERROR(VLOOKUP(Table1[RespondentID],'All Data'!$A$3:$CW$999,98,FALSE),"unknown")</f>
        <v>Medicare</v>
      </c>
      <c r="AX508" s="120" t="str">
        <f>IFERROR(VLOOKUP(Table1[RespondentID],'All Data'!$A$3:$CW$999,99,FALSE),"unknown")</f>
        <v>Yes</v>
      </c>
    </row>
    <row r="509" spans="1:50">
      <c r="A509" s="124">
        <v>18026791962</v>
      </c>
      <c r="B509" s="168"/>
      <c r="C509" s="169"/>
      <c r="D509" s="169" t="s">
        <v>18</v>
      </c>
      <c r="E509" s="169"/>
      <c r="F509" s="169"/>
      <c r="G509" s="169"/>
      <c r="H509" s="169"/>
      <c r="I509" s="169"/>
      <c r="J509" s="169" t="s">
        <v>24</v>
      </c>
      <c r="K509" s="169"/>
      <c r="L509" s="169"/>
      <c r="M509" s="169"/>
      <c r="N509" s="169" t="s">
        <v>28</v>
      </c>
      <c r="O509" s="169"/>
      <c r="P509" s="161">
        <f t="shared" si="162"/>
        <v>3</v>
      </c>
      <c r="Q509" s="170">
        <f t="shared" si="163"/>
        <v>1</v>
      </c>
      <c r="R509" s="161"/>
      <c r="S509" s="161">
        <f t="shared" si="164"/>
        <v>0</v>
      </c>
      <c r="T509" s="161">
        <f t="shared" si="165"/>
        <v>0</v>
      </c>
      <c r="U509" s="161">
        <f t="shared" si="166"/>
        <v>1</v>
      </c>
      <c r="V509" s="162">
        <f t="shared" si="167"/>
        <v>0</v>
      </c>
      <c r="W509" s="162">
        <f t="shared" si="168"/>
        <v>0</v>
      </c>
      <c r="X509" s="162">
        <f t="shared" si="169"/>
        <v>0</v>
      </c>
      <c r="Y509" s="162">
        <f t="shared" si="170"/>
        <v>0</v>
      </c>
      <c r="Z509" s="162">
        <f t="shared" si="171"/>
        <v>0</v>
      </c>
      <c r="AA509" s="162">
        <f t="shared" si="172"/>
        <v>1</v>
      </c>
      <c r="AB509" s="162">
        <f t="shared" si="173"/>
        <v>0</v>
      </c>
      <c r="AC509" s="162">
        <f t="shared" si="174"/>
        <v>0</v>
      </c>
      <c r="AD509" s="162">
        <f t="shared" si="175"/>
        <v>0</v>
      </c>
      <c r="AE509" s="162">
        <f t="shared" si="176"/>
        <v>1</v>
      </c>
      <c r="AF509" s="161"/>
      <c r="AG509" s="161"/>
      <c r="AH509" s="161">
        <f t="shared" si="177"/>
        <v>3</v>
      </c>
      <c r="AI509" s="161">
        <f t="shared" si="178"/>
        <v>3</v>
      </c>
      <c r="AJ509" s="161" t="str">
        <f t="shared" si="179"/>
        <v>Correct</v>
      </c>
      <c r="AK509" s="124"/>
      <c r="AL509" s="120" t="str">
        <f>IFERROR(VLOOKUP(Table1[RespondentID],'All Data'!$A$3:$CO$999,87,FALSE),"unknown")</f>
        <v>Woman</v>
      </c>
      <c r="AM509" s="120">
        <f>IFERROR(VLOOKUP(Table1[RespondentID],'All Data'!$A$3:$CO$999,88,FALSE),"unknown")</f>
        <v>35</v>
      </c>
      <c r="AN509" s="120" t="str">
        <f>IFERROR(VLOOKUP(Table1[RespondentID],'All Data'!$A$3:$CO$999,89,FALSE),"unknown")</f>
        <v>Nassau</v>
      </c>
      <c r="AO509" s="120" t="str">
        <f>IFERROR(VLOOKUP(Table1[RespondentID],'All Data'!$A$3:$CO$999,90,FALSE),"unknown")</f>
        <v>Williston Park, 11596</v>
      </c>
      <c r="AP509" s="120" t="str">
        <f>IFERROR(VLOOKUP(Table1[RespondentID],'All Data'!$A$3:$CO$999,91,FALSE),"unknown")</f>
        <v>Asian</v>
      </c>
      <c r="AQ509" s="120" t="str">
        <f>IFERROR(VLOOKUP(Table1[RespondentID],'All Data'!$A$3:$CO$999,92,FALSE),"unknown")</f>
        <v>Not Hispanic or Latino</v>
      </c>
      <c r="AR509" s="120" t="str">
        <f>IFERROR(VLOOKUP(Table1[RespondentID],'All Data'!$A$3:$CO$999,93,FALSE),"unknown")</f>
        <v>English</v>
      </c>
      <c r="AS509" s="120">
        <f>IFERROR(VLOOKUP(Table1[RespondentID],'All Data'!$A$3:$CW$999,94,FALSE),"unknown")</f>
        <v>0</v>
      </c>
      <c r="AT509" s="120" t="str">
        <f>IFERROR(VLOOKUP(Table1[RespondentID],'All Data'!$A$3:$CW$999,95,FALSE),"unknown")</f>
        <v>College graduate</v>
      </c>
      <c r="AU509" s="120" t="str">
        <f>IFERROR(VLOOKUP(Table1[RespondentID],'All Data'!$A$3:$CW$999,96,FALSE),"unknown")</f>
        <v>Out of work, but not currently looking</v>
      </c>
      <c r="AV509" s="120" t="str">
        <f>IFERROR(VLOOKUP(Table1[RespondentID],'All Data'!$A$3:$CW$999,97,FALSE),"unknown")</f>
        <v>Yes</v>
      </c>
      <c r="AW509" s="120" t="str">
        <f>IFERROR(VLOOKUP(Table1[RespondentID],'All Data'!$A$3:$CW$999,98,FALSE),"unknown")</f>
        <v>Private/Commercial</v>
      </c>
      <c r="AX509" s="120" t="str">
        <f>IFERROR(VLOOKUP(Table1[RespondentID],'All Data'!$A$3:$CW$999,99,FALSE),"unknown")</f>
        <v>Yes</v>
      </c>
    </row>
    <row r="510" spans="1:50">
      <c r="A510" s="124">
        <v>18026791810</v>
      </c>
      <c r="B510" s="168"/>
      <c r="C510" s="169" t="s">
        <v>17</v>
      </c>
      <c r="D510" s="169" t="s">
        <v>18</v>
      </c>
      <c r="E510" s="169"/>
      <c r="F510" s="169"/>
      <c r="G510" s="169" t="s">
        <v>21</v>
      </c>
      <c r="H510" s="169"/>
      <c r="I510" s="169"/>
      <c r="J510" s="169"/>
      <c r="K510" s="169"/>
      <c r="L510" s="169"/>
      <c r="M510" s="169"/>
      <c r="N510" s="169"/>
      <c r="O510" s="169"/>
      <c r="P510" s="161">
        <f t="shared" si="162"/>
        <v>3</v>
      </c>
      <c r="Q510" s="170">
        <f t="shared" si="163"/>
        <v>1</v>
      </c>
      <c r="R510" s="161"/>
      <c r="S510" s="161">
        <f t="shared" si="164"/>
        <v>0</v>
      </c>
      <c r="T510" s="161">
        <f t="shared" si="165"/>
        <v>1</v>
      </c>
      <c r="U510" s="161">
        <f t="shared" si="166"/>
        <v>1</v>
      </c>
      <c r="V510" s="162">
        <f t="shared" si="167"/>
        <v>0</v>
      </c>
      <c r="W510" s="162">
        <f t="shared" si="168"/>
        <v>0</v>
      </c>
      <c r="X510" s="162">
        <f t="shared" si="169"/>
        <v>1</v>
      </c>
      <c r="Y510" s="162">
        <f t="shared" si="170"/>
        <v>0</v>
      </c>
      <c r="Z510" s="162">
        <f t="shared" si="171"/>
        <v>0</v>
      </c>
      <c r="AA510" s="162">
        <f t="shared" si="172"/>
        <v>0</v>
      </c>
      <c r="AB510" s="162">
        <f t="shared" si="173"/>
        <v>0</v>
      </c>
      <c r="AC510" s="162">
        <f t="shared" si="174"/>
        <v>0</v>
      </c>
      <c r="AD510" s="162">
        <f t="shared" si="175"/>
        <v>0</v>
      </c>
      <c r="AE510" s="162">
        <f t="shared" si="176"/>
        <v>0</v>
      </c>
      <c r="AF510" s="161"/>
      <c r="AG510" s="161"/>
      <c r="AH510" s="161">
        <f t="shared" si="177"/>
        <v>3</v>
      </c>
      <c r="AI510" s="161">
        <f t="shared" si="178"/>
        <v>3</v>
      </c>
      <c r="AJ510" s="161" t="str">
        <f t="shared" si="179"/>
        <v>Correct</v>
      </c>
      <c r="AK510" s="124"/>
      <c r="AL510" s="120" t="str">
        <f>IFERROR(VLOOKUP(Table1[RespondentID],'All Data'!$A$3:$CO$999,87,FALSE),"unknown")</f>
        <v>Woman</v>
      </c>
      <c r="AM510" s="120">
        <f>IFERROR(VLOOKUP(Table1[RespondentID],'All Data'!$A$3:$CO$999,88,FALSE),"unknown")</f>
        <v>85</v>
      </c>
      <c r="AN510" s="120" t="str">
        <f>IFERROR(VLOOKUP(Table1[RespondentID],'All Data'!$A$3:$CO$999,89,FALSE),"unknown")</f>
        <v>Nassau</v>
      </c>
      <c r="AO510" s="120" t="str">
        <f>IFERROR(VLOOKUP(Table1[RespondentID],'All Data'!$A$3:$CO$999,90,FALSE),"unknown")</f>
        <v>Massapequa, 11758</v>
      </c>
      <c r="AP510" s="120" t="str">
        <f>IFERROR(VLOOKUP(Table1[RespondentID],'All Data'!$A$3:$CO$999,91,FALSE),"unknown")</f>
        <v>White</v>
      </c>
      <c r="AQ510" s="120">
        <f>IFERROR(VLOOKUP(Table1[RespondentID],'All Data'!$A$3:$CO$999,92,FALSE),"unknown")</f>
        <v>0</v>
      </c>
      <c r="AR510" s="120" t="str">
        <f>IFERROR(VLOOKUP(Table1[RespondentID],'All Data'!$A$3:$CO$999,93,FALSE),"unknown")</f>
        <v>English</v>
      </c>
      <c r="AS510" s="120" t="str">
        <f>IFERROR(VLOOKUP(Table1[RespondentID],'All Data'!$A$3:$CW$999,94,FALSE),"unknown")</f>
        <v>$20,000 to $34,999</v>
      </c>
      <c r="AT510" s="120" t="str">
        <f>IFERROR(VLOOKUP(Table1[RespondentID],'All Data'!$A$3:$CW$999,95,FALSE),"unknown")</f>
        <v>College graduate</v>
      </c>
      <c r="AU510" s="120" t="str">
        <f>IFERROR(VLOOKUP(Table1[RespondentID],'All Data'!$A$3:$CW$999,96,FALSE),"unknown")</f>
        <v>Retired</v>
      </c>
      <c r="AV510" s="120" t="str">
        <f>IFERROR(VLOOKUP(Table1[RespondentID],'All Data'!$A$3:$CW$999,97,FALSE),"unknown")</f>
        <v>Yes</v>
      </c>
      <c r="AW510" s="120" t="str">
        <f>IFERROR(VLOOKUP(Table1[RespondentID],'All Data'!$A$3:$CW$999,98,FALSE),"unknown")</f>
        <v>Medicare</v>
      </c>
      <c r="AX510" s="120" t="str">
        <f>IFERROR(VLOOKUP(Table1[RespondentID],'All Data'!$A$3:$CW$999,99,FALSE),"unknown")</f>
        <v>No</v>
      </c>
    </row>
    <row r="511" spans="1:50">
      <c r="A511" s="124">
        <v>18026791613</v>
      </c>
      <c r="B511" s="168"/>
      <c r="C511" s="169" t="s">
        <v>17</v>
      </c>
      <c r="D511" s="169"/>
      <c r="E511" s="169" t="s">
        <v>19</v>
      </c>
      <c r="F511" s="169"/>
      <c r="G511" s="169"/>
      <c r="H511" s="169"/>
      <c r="I511" s="169"/>
      <c r="J511" s="169"/>
      <c r="K511" s="169"/>
      <c r="L511" s="169"/>
      <c r="M511" s="169" t="s">
        <v>27</v>
      </c>
      <c r="N511" s="169"/>
      <c r="O511" s="169"/>
      <c r="P511" s="161">
        <f t="shared" si="162"/>
        <v>3</v>
      </c>
      <c r="Q511" s="170">
        <f t="shared" si="163"/>
        <v>1</v>
      </c>
      <c r="R511" s="161"/>
      <c r="S511" s="161">
        <f t="shared" si="164"/>
        <v>0</v>
      </c>
      <c r="T511" s="161">
        <f t="shared" si="165"/>
        <v>1</v>
      </c>
      <c r="U511" s="161">
        <f t="shared" si="166"/>
        <v>0</v>
      </c>
      <c r="V511" s="162">
        <f t="shared" si="167"/>
        <v>1</v>
      </c>
      <c r="W511" s="162">
        <f t="shared" si="168"/>
        <v>0</v>
      </c>
      <c r="X511" s="162">
        <f t="shared" si="169"/>
        <v>0</v>
      </c>
      <c r="Y511" s="162">
        <f t="shared" si="170"/>
        <v>0</v>
      </c>
      <c r="Z511" s="162">
        <f t="shared" si="171"/>
        <v>0</v>
      </c>
      <c r="AA511" s="162">
        <f t="shared" si="172"/>
        <v>0</v>
      </c>
      <c r="AB511" s="162">
        <f t="shared" si="173"/>
        <v>0</v>
      </c>
      <c r="AC511" s="162">
        <f t="shared" si="174"/>
        <v>0</v>
      </c>
      <c r="AD511" s="162">
        <f t="shared" si="175"/>
        <v>1</v>
      </c>
      <c r="AE511" s="162">
        <f t="shared" si="176"/>
        <v>0</v>
      </c>
      <c r="AF511" s="161"/>
      <c r="AG511" s="161"/>
      <c r="AH511" s="161">
        <f t="shared" si="177"/>
        <v>3</v>
      </c>
      <c r="AI511" s="161">
        <f t="shared" si="178"/>
        <v>3</v>
      </c>
      <c r="AJ511" s="161" t="str">
        <f t="shared" si="179"/>
        <v>Correct</v>
      </c>
      <c r="AK511" s="124"/>
      <c r="AL511" s="120" t="str">
        <f>IFERROR(VLOOKUP(Table1[RespondentID],'All Data'!$A$3:$CO$999,87,FALSE),"unknown")</f>
        <v>Man</v>
      </c>
      <c r="AM511" s="120">
        <f>IFERROR(VLOOKUP(Table1[RespondentID],'All Data'!$A$3:$CO$999,88,FALSE),"unknown")</f>
        <v>68</v>
      </c>
      <c r="AN511" s="120" t="str">
        <f>IFERROR(VLOOKUP(Table1[RespondentID],'All Data'!$A$3:$CO$999,89,FALSE),"unknown")</f>
        <v>Nassau</v>
      </c>
      <c r="AO511" s="120" t="str">
        <f>IFERROR(VLOOKUP(Table1[RespondentID],'All Data'!$A$3:$CO$999,90,FALSE),"unknown")</f>
        <v>Farmingdale, 11735</v>
      </c>
      <c r="AP511" s="120" t="str">
        <f>IFERROR(VLOOKUP(Table1[RespondentID],'All Data'!$A$3:$CO$999,91,FALSE),"unknown")</f>
        <v>White</v>
      </c>
      <c r="AQ511" s="120">
        <f>IFERROR(VLOOKUP(Table1[RespondentID],'All Data'!$A$3:$CO$999,92,FALSE),"unknown")</f>
        <v>0</v>
      </c>
      <c r="AR511" s="120" t="str">
        <f>IFERROR(VLOOKUP(Table1[RespondentID],'All Data'!$A$3:$CO$999,93,FALSE),"unknown")</f>
        <v>English</v>
      </c>
      <c r="AS511" s="120">
        <f>IFERROR(VLOOKUP(Table1[RespondentID],'All Data'!$A$3:$CW$999,94,FALSE),"unknown")</f>
        <v>0</v>
      </c>
      <c r="AT511" s="120" t="str">
        <f>IFERROR(VLOOKUP(Table1[RespondentID],'All Data'!$A$3:$CW$999,95,FALSE),"unknown")</f>
        <v>Some college</v>
      </c>
      <c r="AU511" s="120" t="str">
        <f>IFERROR(VLOOKUP(Table1[RespondentID],'All Data'!$A$3:$CW$999,96,FALSE),"unknown")</f>
        <v>Retired</v>
      </c>
      <c r="AV511" s="120">
        <f>IFERROR(VLOOKUP(Table1[RespondentID],'All Data'!$A$3:$CW$999,97,FALSE),"unknown")</f>
        <v>0</v>
      </c>
      <c r="AW511" s="120" t="str">
        <f>IFERROR(VLOOKUP(Table1[RespondentID],'All Data'!$A$3:$CW$999,98,FALSE),"unknown")</f>
        <v>Medicare</v>
      </c>
      <c r="AX511" s="120">
        <f>IFERROR(VLOOKUP(Table1[RespondentID],'All Data'!$A$3:$CW$999,99,FALSE),"unknown")</f>
        <v>0</v>
      </c>
    </row>
    <row r="512" spans="1:50">
      <c r="A512" s="124">
        <v>18026791463</v>
      </c>
      <c r="B512" s="168"/>
      <c r="C512" s="169"/>
      <c r="D512" s="169" t="s">
        <v>18</v>
      </c>
      <c r="E512" s="169"/>
      <c r="F512" s="169"/>
      <c r="G512" s="169"/>
      <c r="H512" s="169"/>
      <c r="I512" s="169" t="s">
        <v>23</v>
      </c>
      <c r="J512" s="169"/>
      <c r="K512" s="169"/>
      <c r="L512" s="169"/>
      <c r="M512" s="169"/>
      <c r="N512" s="169" t="s">
        <v>28</v>
      </c>
      <c r="O512" s="169"/>
      <c r="P512" s="161">
        <f t="shared" si="162"/>
        <v>3</v>
      </c>
      <c r="Q512" s="170">
        <f t="shared" si="163"/>
        <v>1</v>
      </c>
      <c r="R512" s="161"/>
      <c r="S512" s="161">
        <f t="shared" si="164"/>
        <v>0</v>
      </c>
      <c r="T512" s="161">
        <f t="shared" si="165"/>
        <v>0</v>
      </c>
      <c r="U512" s="161">
        <f t="shared" si="166"/>
        <v>1</v>
      </c>
      <c r="V512" s="162">
        <f t="shared" si="167"/>
        <v>0</v>
      </c>
      <c r="W512" s="162">
        <f t="shared" si="168"/>
        <v>0</v>
      </c>
      <c r="X512" s="162">
        <f t="shared" si="169"/>
        <v>0</v>
      </c>
      <c r="Y512" s="162">
        <f t="shared" si="170"/>
        <v>0</v>
      </c>
      <c r="Z512" s="162">
        <f t="shared" si="171"/>
        <v>1</v>
      </c>
      <c r="AA512" s="162">
        <f t="shared" si="172"/>
        <v>0</v>
      </c>
      <c r="AB512" s="162">
        <f t="shared" si="173"/>
        <v>0</v>
      </c>
      <c r="AC512" s="162">
        <f t="shared" si="174"/>
        <v>0</v>
      </c>
      <c r="AD512" s="162">
        <f t="shared" si="175"/>
        <v>0</v>
      </c>
      <c r="AE512" s="162">
        <f t="shared" si="176"/>
        <v>1</v>
      </c>
      <c r="AF512" s="161"/>
      <c r="AG512" s="161"/>
      <c r="AH512" s="161">
        <f t="shared" si="177"/>
        <v>3</v>
      </c>
      <c r="AI512" s="161">
        <f t="shared" si="178"/>
        <v>3</v>
      </c>
      <c r="AJ512" s="161" t="str">
        <f t="shared" si="179"/>
        <v>Correct</v>
      </c>
      <c r="AK512" s="124"/>
      <c r="AL512" s="120" t="str">
        <f>IFERROR(VLOOKUP(Table1[RespondentID],'All Data'!$A$3:$CO$999,87,FALSE),"unknown")</f>
        <v>Woman</v>
      </c>
      <c r="AM512" s="120">
        <f>IFERROR(VLOOKUP(Table1[RespondentID],'All Data'!$A$3:$CO$999,88,FALSE),"unknown")</f>
        <v>75</v>
      </c>
      <c r="AN512" s="120" t="str">
        <f>IFERROR(VLOOKUP(Table1[RespondentID],'All Data'!$A$3:$CO$999,89,FALSE),"unknown")</f>
        <v>Nassau</v>
      </c>
      <c r="AO512" s="120" t="str">
        <f>IFERROR(VLOOKUP(Table1[RespondentID],'All Data'!$A$3:$CO$999,90,FALSE),"unknown")</f>
        <v>Farmingdale, 11735</v>
      </c>
      <c r="AP512" s="120" t="str">
        <f>IFERROR(VLOOKUP(Table1[RespondentID],'All Data'!$A$3:$CO$999,91,FALSE),"unknown")</f>
        <v>White</v>
      </c>
      <c r="AQ512" s="120" t="str">
        <f>IFERROR(VLOOKUP(Table1[RespondentID],'All Data'!$A$3:$CO$999,92,FALSE),"unknown")</f>
        <v>Not Hispanic or Latino</v>
      </c>
      <c r="AR512" s="120" t="str">
        <f>IFERROR(VLOOKUP(Table1[RespondentID],'All Data'!$A$3:$CO$999,93,FALSE),"unknown")</f>
        <v>English</v>
      </c>
      <c r="AS512" s="120" t="str">
        <f>IFERROR(VLOOKUP(Table1[RespondentID],'All Data'!$A$3:$CW$999,94,FALSE),"unknown")</f>
        <v>$20,000 to $34,999</v>
      </c>
      <c r="AT512" s="120" t="str">
        <f>IFERROR(VLOOKUP(Table1[RespondentID],'All Data'!$A$3:$CW$999,95,FALSE),"unknown")</f>
        <v>Some college</v>
      </c>
      <c r="AU512" s="120" t="str">
        <f>IFERROR(VLOOKUP(Table1[RespondentID],'All Data'!$A$3:$CW$999,96,FALSE),"unknown")</f>
        <v>Retired</v>
      </c>
      <c r="AV512" s="120" t="str">
        <f>IFERROR(VLOOKUP(Table1[RespondentID],'All Data'!$A$3:$CW$999,97,FALSE),"unknown")</f>
        <v>Yes</v>
      </c>
      <c r="AW512" s="120" t="str">
        <f>IFERROR(VLOOKUP(Table1[RespondentID],'All Data'!$A$3:$CW$999,98,FALSE),"unknown")</f>
        <v>Medicare</v>
      </c>
      <c r="AX512" s="120">
        <f>IFERROR(VLOOKUP(Table1[RespondentID],'All Data'!$A$3:$CW$999,99,FALSE),"unknown")</f>
        <v>0</v>
      </c>
    </row>
    <row r="513" spans="1:50">
      <c r="A513" s="124">
        <v>18026791236</v>
      </c>
      <c r="B513" s="168"/>
      <c r="C513" s="169"/>
      <c r="D513" s="169"/>
      <c r="E513" s="169"/>
      <c r="F513" s="169"/>
      <c r="G513" s="169"/>
      <c r="H513" s="169"/>
      <c r="I513" s="169"/>
      <c r="J513" s="169"/>
      <c r="K513" s="169"/>
      <c r="L513" s="169"/>
      <c r="M513" s="169"/>
      <c r="N513" s="169" t="s">
        <v>28</v>
      </c>
      <c r="O513" s="169" t="s">
        <v>503</v>
      </c>
      <c r="P513" s="161">
        <f t="shared" si="162"/>
        <v>1</v>
      </c>
      <c r="Q513" s="170">
        <f t="shared" si="163"/>
        <v>3</v>
      </c>
      <c r="R513" s="161"/>
      <c r="S513" s="161">
        <f t="shared" si="164"/>
        <v>0</v>
      </c>
      <c r="T513" s="161">
        <f t="shared" si="165"/>
        <v>0</v>
      </c>
      <c r="U513" s="161">
        <f t="shared" si="166"/>
        <v>0</v>
      </c>
      <c r="V513" s="162">
        <f t="shared" si="167"/>
        <v>0</v>
      </c>
      <c r="W513" s="162">
        <f t="shared" si="168"/>
        <v>0</v>
      </c>
      <c r="X513" s="162">
        <f t="shared" si="169"/>
        <v>0</v>
      </c>
      <c r="Y513" s="162">
        <f t="shared" si="170"/>
        <v>0</v>
      </c>
      <c r="Z513" s="162">
        <f t="shared" si="171"/>
        <v>0</v>
      </c>
      <c r="AA513" s="162">
        <f t="shared" si="172"/>
        <v>0</v>
      </c>
      <c r="AB513" s="162">
        <f t="shared" si="173"/>
        <v>0</v>
      </c>
      <c r="AC513" s="162">
        <f t="shared" si="174"/>
        <v>0</v>
      </c>
      <c r="AD513" s="162">
        <f t="shared" si="175"/>
        <v>0</v>
      </c>
      <c r="AE513" s="162">
        <f t="shared" si="176"/>
        <v>1</v>
      </c>
      <c r="AF513" s="161"/>
      <c r="AG513" s="161"/>
      <c r="AH513" s="161">
        <f t="shared" si="177"/>
        <v>1</v>
      </c>
      <c r="AI513" s="161">
        <f t="shared" si="178"/>
        <v>1</v>
      </c>
      <c r="AJ513" s="161" t="str">
        <f t="shared" si="179"/>
        <v>Correct</v>
      </c>
      <c r="AK513" s="124"/>
      <c r="AL513" s="120" t="str">
        <f>IFERROR(VLOOKUP(Table1[RespondentID],'All Data'!$A$3:$CO$999,87,FALSE),"unknown")</f>
        <v>Man</v>
      </c>
      <c r="AM513" s="120">
        <f>IFERROR(VLOOKUP(Table1[RespondentID],'All Data'!$A$3:$CO$999,88,FALSE),"unknown")</f>
        <v>92</v>
      </c>
      <c r="AN513" s="120" t="str">
        <f>IFERROR(VLOOKUP(Table1[RespondentID],'All Data'!$A$3:$CO$999,89,FALSE),"unknown")</f>
        <v>Nassau</v>
      </c>
      <c r="AO513" s="120" t="str">
        <f>IFERROR(VLOOKUP(Table1[RespondentID],'All Data'!$A$3:$CO$999,90,FALSE),"unknown")</f>
        <v>Massapequa, 11758</v>
      </c>
      <c r="AP513" s="120" t="str">
        <f>IFERROR(VLOOKUP(Table1[RespondentID],'All Data'!$A$3:$CO$999,91,FALSE),"unknown")</f>
        <v>White</v>
      </c>
      <c r="AQ513" s="120" t="str">
        <f>IFERROR(VLOOKUP(Table1[RespondentID],'All Data'!$A$3:$CO$999,92,FALSE),"unknown")</f>
        <v>Not Hispanic or Latino</v>
      </c>
      <c r="AR513" s="120" t="str">
        <f>IFERROR(VLOOKUP(Table1[RespondentID],'All Data'!$A$3:$CO$999,93,FALSE),"unknown")</f>
        <v>English</v>
      </c>
      <c r="AS513" s="120" t="str">
        <f>IFERROR(VLOOKUP(Table1[RespondentID],'All Data'!$A$3:$CW$999,94,FALSE),"unknown")</f>
        <v>$50,000 to $74,999</v>
      </c>
      <c r="AT513" s="120" t="str">
        <f>IFERROR(VLOOKUP(Table1[RespondentID],'All Data'!$A$3:$CW$999,95,FALSE),"unknown")</f>
        <v>Some college</v>
      </c>
      <c r="AU513" s="120" t="str">
        <f>IFERROR(VLOOKUP(Table1[RespondentID],'All Data'!$A$3:$CW$999,96,FALSE),"unknown")</f>
        <v>Retired</v>
      </c>
      <c r="AV513" s="120" t="str">
        <f>IFERROR(VLOOKUP(Table1[RespondentID],'All Data'!$A$3:$CW$999,97,FALSE),"unknown")</f>
        <v>Yes</v>
      </c>
      <c r="AW513" s="120" t="str">
        <f>IFERROR(VLOOKUP(Table1[RespondentID],'All Data'!$A$3:$CW$999,98,FALSE),"unknown")</f>
        <v>Medicare,Private/Commercial</v>
      </c>
      <c r="AX513" s="120">
        <f>IFERROR(VLOOKUP(Table1[RespondentID],'All Data'!$A$3:$CW$999,99,FALSE),"unknown")</f>
        <v>0</v>
      </c>
    </row>
    <row r="514" spans="1:50">
      <c r="A514" s="124">
        <v>18026547733</v>
      </c>
      <c r="B514" s="168"/>
      <c r="C514" s="169"/>
      <c r="D514" s="169"/>
      <c r="E514" s="169"/>
      <c r="F514" s="169"/>
      <c r="G514" s="169"/>
      <c r="H514" s="169"/>
      <c r="I514" s="169" t="s">
        <v>23</v>
      </c>
      <c r="J514" s="169"/>
      <c r="K514" s="169"/>
      <c r="L514" s="169"/>
      <c r="M514" s="169" t="s">
        <v>27</v>
      </c>
      <c r="N514" s="169" t="s">
        <v>28</v>
      </c>
      <c r="O514" s="169"/>
      <c r="P514" s="161">
        <f t="shared" si="162"/>
        <v>3</v>
      </c>
      <c r="Q514" s="170">
        <f t="shared" si="163"/>
        <v>1</v>
      </c>
      <c r="R514" s="161"/>
      <c r="S514" s="161">
        <f t="shared" si="164"/>
        <v>0</v>
      </c>
      <c r="T514" s="161">
        <f t="shared" si="165"/>
        <v>0</v>
      </c>
      <c r="U514" s="161">
        <f t="shared" si="166"/>
        <v>0</v>
      </c>
      <c r="V514" s="162">
        <f t="shared" si="167"/>
        <v>0</v>
      </c>
      <c r="W514" s="162">
        <f t="shared" si="168"/>
        <v>0</v>
      </c>
      <c r="X514" s="162">
        <f t="shared" si="169"/>
        <v>0</v>
      </c>
      <c r="Y514" s="162">
        <f t="shared" si="170"/>
        <v>0</v>
      </c>
      <c r="Z514" s="162">
        <f t="shared" si="171"/>
        <v>1</v>
      </c>
      <c r="AA514" s="162">
        <f t="shared" si="172"/>
        <v>0</v>
      </c>
      <c r="AB514" s="162">
        <f t="shared" si="173"/>
        <v>0</v>
      </c>
      <c r="AC514" s="162">
        <f t="shared" si="174"/>
        <v>0</v>
      </c>
      <c r="AD514" s="162">
        <f t="shared" si="175"/>
        <v>1</v>
      </c>
      <c r="AE514" s="162">
        <f t="shared" si="176"/>
        <v>1</v>
      </c>
      <c r="AF514" s="161"/>
      <c r="AG514" s="161"/>
      <c r="AH514" s="161">
        <f t="shared" si="177"/>
        <v>3</v>
      </c>
      <c r="AI514" s="161">
        <f t="shared" si="178"/>
        <v>3</v>
      </c>
      <c r="AJ514" s="161" t="str">
        <f t="shared" si="179"/>
        <v>Correct</v>
      </c>
      <c r="AK514" s="124"/>
      <c r="AL514" s="120" t="str">
        <f>IFERROR(VLOOKUP(Table1[RespondentID],'All Data'!$A$3:$CO$999,87,FALSE),"unknown")</f>
        <v>Woman</v>
      </c>
      <c r="AM514" s="120">
        <f>IFERROR(VLOOKUP(Table1[RespondentID],'All Data'!$A$3:$CO$999,88,FALSE),"unknown")</f>
        <v>49</v>
      </c>
      <c r="AN514" s="120" t="str">
        <f>IFERROR(VLOOKUP(Table1[RespondentID],'All Data'!$A$3:$CO$999,89,FALSE),"unknown")</f>
        <v>Suffolk</v>
      </c>
      <c r="AO514" s="120" t="str">
        <f>IFERROR(VLOOKUP(Table1[RespondentID],'All Data'!$A$3:$CO$999,90,FALSE),"unknown")</f>
        <v>Lake Ronkonkoma, 11779</v>
      </c>
      <c r="AP514" s="120" t="str">
        <f>IFERROR(VLOOKUP(Table1[RespondentID],'All Data'!$A$3:$CO$999,91,FALSE),"unknown")</f>
        <v>White</v>
      </c>
      <c r="AQ514" s="120" t="str">
        <f>IFERROR(VLOOKUP(Table1[RespondentID],'All Data'!$A$3:$CO$999,92,FALSE),"unknown")</f>
        <v>Not Hispanic or Latino</v>
      </c>
      <c r="AR514" s="120" t="str">
        <f>IFERROR(VLOOKUP(Table1[RespondentID],'All Data'!$A$3:$CO$999,93,FALSE),"unknown")</f>
        <v>English</v>
      </c>
      <c r="AS514" s="120" t="str">
        <f>IFERROR(VLOOKUP(Table1[RespondentID],'All Data'!$A$3:$CW$999,94,FALSE),"unknown")</f>
        <v>Over $125,000</v>
      </c>
      <c r="AT514" s="120" t="str">
        <f>IFERROR(VLOOKUP(Table1[RespondentID],'All Data'!$A$3:$CW$999,95,FALSE),"unknown")</f>
        <v>College graduate</v>
      </c>
      <c r="AU514" s="120" t="str">
        <f>IFERROR(VLOOKUP(Table1[RespondentID],'All Data'!$A$3:$CW$999,96,FALSE),"unknown")</f>
        <v>Employed for wages</v>
      </c>
      <c r="AV514" s="120" t="str">
        <f>IFERROR(VLOOKUP(Table1[RespondentID],'All Data'!$A$3:$CW$999,97,FALSE),"unknown")</f>
        <v>Yes</v>
      </c>
      <c r="AW514" s="120" t="str">
        <f>IFERROR(VLOOKUP(Table1[RespondentID],'All Data'!$A$3:$CW$999,98,FALSE),"unknown")</f>
        <v>Private/Commercial</v>
      </c>
      <c r="AX514" s="120" t="str">
        <f>IFERROR(VLOOKUP(Table1[RespondentID],'All Data'!$A$3:$CW$999,99,FALSE),"unknown")</f>
        <v>Yes</v>
      </c>
    </row>
    <row r="515" spans="1:50">
      <c r="A515" s="124">
        <v>18026539753</v>
      </c>
      <c r="B515" s="168"/>
      <c r="C515" s="169"/>
      <c r="D515" s="169"/>
      <c r="E515" s="169"/>
      <c r="F515" s="169"/>
      <c r="G515" s="169"/>
      <c r="H515" s="169"/>
      <c r="I515" s="169"/>
      <c r="J515" s="169"/>
      <c r="K515" s="169" t="s">
        <v>25</v>
      </c>
      <c r="L515" s="169"/>
      <c r="M515" s="169"/>
      <c r="N515" s="169" t="s">
        <v>28</v>
      </c>
      <c r="O515" s="169"/>
      <c r="P515" s="161">
        <f t="shared" si="162"/>
        <v>2</v>
      </c>
      <c r="Q515" s="170">
        <f t="shared" si="163"/>
        <v>1.5</v>
      </c>
      <c r="R515" s="161"/>
      <c r="S515" s="161">
        <f t="shared" si="164"/>
        <v>0</v>
      </c>
      <c r="T515" s="161">
        <f t="shared" si="165"/>
        <v>0</v>
      </c>
      <c r="U515" s="161">
        <f t="shared" si="166"/>
        <v>0</v>
      </c>
      <c r="V515" s="162">
        <f t="shared" si="167"/>
        <v>0</v>
      </c>
      <c r="W515" s="162">
        <f t="shared" si="168"/>
        <v>0</v>
      </c>
      <c r="X515" s="162">
        <f t="shared" si="169"/>
        <v>0</v>
      </c>
      <c r="Y515" s="162">
        <f t="shared" si="170"/>
        <v>0</v>
      </c>
      <c r="Z515" s="162">
        <f t="shared" si="171"/>
        <v>0</v>
      </c>
      <c r="AA515" s="162">
        <f t="shared" si="172"/>
        <v>0</v>
      </c>
      <c r="AB515" s="162">
        <f t="shared" si="173"/>
        <v>1</v>
      </c>
      <c r="AC515" s="162">
        <f t="shared" si="174"/>
        <v>0</v>
      </c>
      <c r="AD515" s="162">
        <f t="shared" si="175"/>
        <v>0</v>
      </c>
      <c r="AE515" s="162">
        <f t="shared" si="176"/>
        <v>1</v>
      </c>
      <c r="AF515" s="161"/>
      <c r="AG515" s="161"/>
      <c r="AH515" s="161">
        <f t="shared" si="177"/>
        <v>2</v>
      </c>
      <c r="AI515" s="161">
        <f t="shared" si="178"/>
        <v>2</v>
      </c>
      <c r="AJ515" s="161" t="str">
        <f t="shared" si="179"/>
        <v>Correct</v>
      </c>
      <c r="AK515" s="124"/>
      <c r="AL515" s="120" t="str">
        <f>IFERROR(VLOOKUP(Table1[RespondentID],'All Data'!$A$3:$CO$999,87,FALSE),"unknown")</f>
        <v>Woman</v>
      </c>
      <c r="AM515" s="120">
        <f>IFERROR(VLOOKUP(Table1[RespondentID],'All Data'!$A$3:$CO$999,88,FALSE),"unknown")</f>
        <v>30</v>
      </c>
      <c r="AN515" s="120" t="str">
        <f>IFERROR(VLOOKUP(Table1[RespondentID],'All Data'!$A$3:$CO$999,89,FALSE),"unknown")</f>
        <v>Suffolk</v>
      </c>
      <c r="AO515" s="120" t="str">
        <f>IFERROR(VLOOKUP(Table1[RespondentID],'All Data'!$A$3:$CO$999,90,FALSE),"unknown")</f>
        <v>East Islip, 11730</v>
      </c>
      <c r="AP515" s="120" t="str">
        <f>IFERROR(VLOOKUP(Table1[RespondentID],'All Data'!$A$3:$CO$999,91,FALSE),"unknown")</f>
        <v>White</v>
      </c>
      <c r="AQ515" s="120" t="str">
        <f>IFERROR(VLOOKUP(Table1[RespondentID],'All Data'!$A$3:$CO$999,92,FALSE),"unknown")</f>
        <v>Not Hispanic or Latino</v>
      </c>
      <c r="AR515" s="120" t="str">
        <f>IFERROR(VLOOKUP(Table1[RespondentID],'All Data'!$A$3:$CO$999,93,FALSE),"unknown")</f>
        <v>English</v>
      </c>
      <c r="AS515" s="120" t="str">
        <f>IFERROR(VLOOKUP(Table1[RespondentID],'All Data'!$A$3:$CW$999,94,FALSE),"unknown")</f>
        <v>$75,000 to $125,000</v>
      </c>
      <c r="AT515" s="120" t="str">
        <f>IFERROR(VLOOKUP(Table1[RespondentID],'All Data'!$A$3:$CW$999,95,FALSE),"unknown")</f>
        <v>College graduate</v>
      </c>
      <c r="AU515" s="120" t="str">
        <f>IFERROR(VLOOKUP(Table1[RespondentID],'All Data'!$A$3:$CW$999,96,FALSE),"unknown")</f>
        <v>Employed for wages</v>
      </c>
      <c r="AV515" s="120" t="str">
        <f>IFERROR(VLOOKUP(Table1[RespondentID],'All Data'!$A$3:$CW$999,97,FALSE),"unknown")</f>
        <v>Yes</v>
      </c>
      <c r="AW515" s="120" t="str">
        <f>IFERROR(VLOOKUP(Table1[RespondentID],'All Data'!$A$3:$CW$999,98,FALSE),"unknown")</f>
        <v>Private/Commercial</v>
      </c>
      <c r="AX515" s="120" t="str">
        <f>IFERROR(VLOOKUP(Table1[RespondentID],'All Data'!$A$3:$CW$999,99,FALSE),"unknown")</f>
        <v>Yes</v>
      </c>
    </row>
    <row r="516" spans="1:50">
      <c r="A516" s="124">
        <v>18026486994</v>
      </c>
      <c r="B516" s="168"/>
      <c r="C516" s="169"/>
      <c r="D516" s="169" t="s">
        <v>18</v>
      </c>
      <c r="E516" s="169"/>
      <c r="F516" s="169"/>
      <c r="G516" s="169"/>
      <c r="H516" s="169"/>
      <c r="I516" s="169" t="s">
        <v>23</v>
      </c>
      <c r="J516" s="169"/>
      <c r="K516" s="169"/>
      <c r="L516" s="169"/>
      <c r="M516" s="169"/>
      <c r="N516" s="169" t="s">
        <v>28</v>
      </c>
      <c r="O516" s="169"/>
      <c r="P516" s="161">
        <f t="shared" si="162"/>
        <v>3</v>
      </c>
      <c r="Q516" s="170">
        <f t="shared" si="163"/>
        <v>1</v>
      </c>
      <c r="R516" s="161"/>
      <c r="S516" s="161">
        <f t="shared" si="164"/>
        <v>0</v>
      </c>
      <c r="T516" s="161">
        <f t="shared" si="165"/>
        <v>0</v>
      </c>
      <c r="U516" s="161">
        <f t="shared" si="166"/>
        <v>1</v>
      </c>
      <c r="V516" s="162">
        <f t="shared" si="167"/>
        <v>0</v>
      </c>
      <c r="W516" s="162">
        <f t="shared" si="168"/>
        <v>0</v>
      </c>
      <c r="X516" s="162">
        <f t="shared" si="169"/>
        <v>0</v>
      </c>
      <c r="Y516" s="162">
        <f t="shared" si="170"/>
        <v>0</v>
      </c>
      <c r="Z516" s="162">
        <f t="shared" si="171"/>
        <v>1</v>
      </c>
      <c r="AA516" s="162">
        <f t="shared" si="172"/>
        <v>0</v>
      </c>
      <c r="AB516" s="162">
        <f t="shared" si="173"/>
        <v>0</v>
      </c>
      <c r="AC516" s="162">
        <f t="shared" si="174"/>
        <v>0</v>
      </c>
      <c r="AD516" s="162">
        <f t="shared" si="175"/>
        <v>0</v>
      </c>
      <c r="AE516" s="162">
        <f t="shared" si="176"/>
        <v>1</v>
      </c>
      <c r="AF516" s="161"/>
      <c r="AG516" s="161"/>
      <c r="AH516" s="161">
        <f t="shared" si="177"/>
        <v>3</v>
      </c>
      <c r="AI516" s="161">
        <f t="shared" si="178"/>
        <v>3</v>
      </c>
      <c r="AJ516" s="161" t="str">
        <f t="shared" si="179"/>
        <v>Correct</v>
      </c>
      <c r="AK516" s="124"/>
      <c r="AL516" s="120" t="str">
        <f>IFERROR(VLOOKUP(Table1[RespondentID],'All Data'!$A$3:$CO$999,87,FALSE),"unknown")</f>
        <v>Woman</v>
      </c>
      <c r="AM516" s="120">
        <f>IFERROR(VLOOKUP(Table1[RespondentID],'All Data'!$A$3:$CO$999,88,FALSE),"unknown")</f>
        <v>64</v>
      </c>
      <c r="AN516" s="120" t="str">
        <f>IFERROR(VLOOKUP(Table1[RespondentID],'All Data'!$A$3:$CO$999,89,FALSE),"unknown")</f>
        <v>Nassau</v>
      </c>
      <c r="AO516" s="120" t="str">
        <f>IFERROR(VLOOKUP(Table1[RespondentID],'All Data'!$A$3:$CO$999,90,FALSE),"unknown")</f>
        <v>Westbury, 11590</v>
      </c>
      <c r="AP516" s="120" t="str">
        <f>IFERROR(VLOOKUP(Table1[RespondentID],'All Data'!$A$3:$CO$999,91,FALSE),"unknown")</f>
        <v>White</v>
      </c>
      <c r="AQ516" s="120" t="str">
        <f>IFERROR(VLOOKUP(Table1[RespondentID],'All Data'!$A$3:$CO$999,92,FALSE),"unknown")</f>
        <v>Not Hispanic or Latino</v>
      </c>
      <c r="AR516" s="120" t="str">
        <f>IFERROR(VLOOKUP(Table1[RespondentID],'All Data'!$A$3:$CO$999,93,FALSE),"unknown")</f>
        <v>English</v>
      </c>
      <c r="AS516" s="120" t="str">
        <f>IFERROR(VLOOKUP(Table1[RespondentID],'All Data'!$A$3:$CW$999,94,FALSE),"unknown")</f>
        <v>Over $125,000</v>
      </c>
      <c r="AT516" s="120" t="str">
        <f>IFERROR(VLOOKUP(Table1[RespondentID],'All Data'!$A$3:$CW$999,95,FALSE),"unknown")</f>
        <v>College graduate</v>
      </c>
      <c r="AU516" s="120" t="str">
        <f>IFERROR(VLOOKUP(Table1[RespondentID],'All Data'!$A$3:$CW$999,96,FALSE),"unknown")</f>
        <v>Retired</v>
      </c>
      <c r="AV516" s="120" t="str">
        <f>IFERROR(VLOOKUP(Table1[RespondentID],'All Data'!$A$3:$CW$999,97,FALSE),"unknown")</f>
        <v>Yes</v>
      </c>
      <c r="AW516" s="120" t="str">
        <f>IFERROR(VLOOKUP(Table1[RespondentID],'All Data'!$A$3:$CW$999,98,FALSE),"unknown")</f>
        <v>Private/Commercial</v>
      </c>
      <c r="AX516" s="120" t="str">
        <f>IFERROR(VLOOKUP(Table1[RespondentID],'All Data'!$A$3:$CW$999,99,FALSE),"unknown")</f>
        <v>Yes</v>
      </c>
    </row>
    <row r="517" spans="1:50">
      <c r="A517" s="124">
        <v>18026481858</v>
      </c>
      <c r="B517" s="168"/>
      <c r="C517" s="169"/>
      <c r="D517" s="169"/>
      <c r="E517" s="169" t="s">
        <v>19</v>
      </c>
      <c r="F517" s="169"/>
      <c r="G517" s="169"/>
      <c r="H517" s="169"/>
      <c r="I517" s="169"/>
      <c r="J517" s="169"/>
      <c r="K517" s="169" t="s">
        <v>25</v>
      </c>
      <c r="L517" s="169"/>
      <c r="M517" s="169" t="s">
        <v>27</v>
      </c>
      <c r="N517" s="169"/>
      <c r="O517" s="169"/>
      <c r="P517" s="161">
        <f t="shared" si="162"/>
        <v>3</v>
      </c>
      <c r="Q517" s="170">
        <f t="shared" si="163"/>
        <v>1</v>
      </c>
      <c r="R517" s="161"/>
      <c r="S517" s="161">
        <f t="shared" si="164"/>
        <v>0</v>
      </c>
      <c r="T517" s="161">
        <f t="shared" si="165"/>
        <v>0</v>
      </c>
      <c r="U517" s="161">
        <f t="shared" si="166"/>
        <v>0</v>
      </c>
      <c r="V517" s="162">
        <f t="shared" si="167"/>
        <v>1</v>
      </c>
      <c r="W517" s="162">
        <f t="shared" si="168"/>
        <v>0</v>
      </c>
      <c r="X517" s="162">
        <f t="shared" si="169"/>
        <v>0</v>
      </c>
      <c r="Y517" s="162">
        <f t="shared" si="170"/>
        <v>0</v>
      </c>
      <c r="Z517" s="162">
        <f t="shared" si="171"/>
        <v>0</v>
      </c>
      <c r="AA517" s="162">
        <f t="shared" si="172"/>
        <v>0</v>
      </c>
      <c r="AB517" s="162">
        <f t="shared" si="173"/>
        <v>1</v>
      </c>
      <c r="AC517" s="162">
        <f t="shared" si="174"/>
        <v>0</v>
      </c>
      <c r="AD517" s="162">
        <f t="shared" si="175"/>
        <v>1</v>
      </c>
      <c r="AE517" s="162">
        <f t="shared" si="176"/>
        <v>0</v>
      </c>
      <c r="AF517" s="161"/>
      <c r="AG517" s="161"/>
      <c r="AH517" s="161">
        <f t="shared" si="177"/>
        <v>3</v>
      </c>
      <c r="AI517" s="161">
        <f t="shared" si="178"/>
        <v>3</v>
      </c>
      <c r="AJ517" s="161" t="str">
        <f t="shared" si="179"/>
        <v>Correct</v>
      </c>
      <c r="AK517" s="124"/>
      <c r="AL517" s="120" t="str">
        <f>IFERROR(VLOOKUP(Table1[RespondentID],'All Data'!$A$3:$CO$999,87,FALSE),"unknown")</f>
        <v>Man</v>
      </c>
      <c r="AM517" s="120">
        <f>IFERROR(VLOOKUP(Table1[RespondentID],'All Data'!$A$3:$CO$999,88,FALSE),"unknown")</f>
        <v>37</v>
      </c>
      <c r="AN517" s="120" t="str">
        <f>IFERROR(VLOOKUP(Table1[RespondentID],'All Data'!$A$3:$CO$999,89,FALSE),"unknown")</f>
        <v>Suffolk</v>
      </c>
      <c r="AO517" s="120" t="str">
        <f>IFERROR(VLOOKUP(Table1[RespondentID],'All Data'!$A$3:$CO$999,90,FALSE),"unknown")</f>
        <v>Stony Brook, 11790</v>
      </c>
      <c r="AP517" s="120" t="str">
        <f>IFERROR(VLOOKUP(Table1[RespondentID],'All Data'!$A$3:$CO$999,91,FALSE),"unknown")</f>
        <v>White</v>
      </c>
      <c r="AQ517" s="120" t="str">
        <f>IFERROR(VLOOKUP(Table1[RespondentID],'All Data'!$A$3:$CO$999,92,FALSE),"unknown")</f>
        <v>Not Hispanic or Latino</v>
      </c>
      <c r="AR517" s="120">
        <f>IFERROR(VLOOKUP(Table1[RespondentID],'All Data'!$A$3:$CO$999,93,FALSE),"unknown")</f>
        <v>0</v>
      </c>
      <c r="AS517" s="120" t="str">
        <f>IFERROR(VLOOKUP(Table1[RespondentID],'All Data'!$A$3:$CW$999,94,FALSE),"unknown")</f>
        <v>$20,000 to $34,999</v>
      </c>
      <c r="AT517" s="120" t="str">
        <f>IFERROR(VLOOKUP(Table1[RespondentID],'All Data'!$A$3:$CW$999,95,FALSE),"unknown")</f>
        <v>College graduate</v>
      </c>
      <c r="AU517" s="120" t="str">
        <f>IFERROR(VLOOKUP(Table1[RespondentID],'All Data'!$A$3:$CW$999,96,FALSE),"unknown")</f>
        <v>Out of work and looking for work</v>
      </c>
      <c r="AV517" s="120" t="str">
        <f>IFERROR(VLOOKUP(Table1[RespondentID],'All Data'!$A$3:$CW$999,97,FALSE),"unknown")</f>
        <v>Yes</v>
      </c>
      <c r="AW517" s="120" t="str">
        <f>IFERROR(VLOOKUP(Table1[RespondentID],'All Data'!$A$3:$CW$999,98,FALSE),"unknown")</f>
        <v>Medicaid,Medicare</v>
      </c>
      <c r="AX517" s="120" t="str">
        <f>IFERROR(VLOOKUP(Table1[RespondentID],'All Data'!$A$3:$CW$999,99,FALSE),"unknown")</f>
        <v>Yes</v>
      </c>
    </row>
    <row r="518" spans="1:50">
      <c r="A518" s="124">
        <v>18026458777</v>
      </c>
      <c r="B518" s="168"/>
      <c r="C518" s="169"/>
      <c r="D518" s="169"/>
      <c r="E518" s="169"/>
      <c r="F518" s="169"/>
      <c r="G518" s="169"/>
      <c r="H518" s="169"/>
      <c r="I518" s="169" t="s">
        <v>23</v>
      </c>
      <c r="J518" s="169"/>
      <c r="K518" s="169"/>
      <c r="L518" s="169"/>
      <c r="M518" s="169"/>
      <c r="N518" s="169"/>
      <c r="O518" s="169"/>
      <c r="P518" s="161">
        <f t="shared" si="162"/>
        <v>1</v>
      </c>
      <c r="Q518" s="170">
        <f t="shared" si="163"/>
        <v>3</v>
      </c>
      <c r="R518" s="161"/>
      <c r="S518" s="161">
        <f t="shared" si="164"/>
        <v>0</v>
      </c>
      <c r="T518" s="161">
        <f t="shared" si="165"/>
        <v>0</v>
      </c>
      <c r="U518" s="161">
        <f t="shared" si="166"/>
        <v>0</v>
      </c>
      <c r="V518" s="162">
        <f t="shared" si="167"/>
        <v>0</v>
      </c>
      <c r="W518" s="162">
        <f t="shared" si="168"/>
        <v>0</v>
      </c>
      <c r="X518" s="162">
        <f t="shared" si="169"/>
        <v>0</v>
      </c>
      <c r="Y518" s="162">
        <f t="shared" si="170"/>
        <v>0</v>
      </c>
      <c r="Z518" s="162">
        <f t="shared" si="171"/>
        <v>1</v>
      </c>
      <c r="AA518" s="162">
        <f t="shared" si="172"/>
        <v>0</v>
      </c>
      <c r="AB518" s="162">
        <f t="shared" si="173"/>
        <v>0</v>
      </c>
      <c r="AC518" s="162">
        <f t="shared" si="174"/>
        <v>0</v>
      </c>
      <c r="AD518" s="162">
        <f t="shared" si="175"/>
        <v>0</v>
      </c>
      <c r="AE518" s="162">
        <f t="shared" si="176"/>
        <v>0</v>
      </c>
      <c r="AF518" s="161"/>
      <c r="AG518" s="161"/>
      <c r="AH518" s="161">
        <f t="shared" si="177"/>
        <v>1</v>
      </c>
      <c r="AI518" s="161">
        <f t="shared" si="178"/>
        <v>1</v>
      </c>
      <c r="AJ518" s="161" t="str">
        <f t="shared" si="179"/>
        <v>Correct</v>
      </c>
      <c r="AK518" s="124"/>
      <c r="AL518" s="120" t="str">
        <f>IFERROR(VLOOKUP(Table1[RespondentID],'All Data'!$A$3:$CO$999,87,FALSE),"unknown")</f>
        <v>Woman</v>
      </c>
      <c r="AM518" s="120">
        <f>IFERROR(VLOOKUP(Table1[RespondentID],'All Data'!$A$3:$CO$999,88,FALSE),"unknown")</f>
        <v>55</v>
      </c>
      <c r="AN518" s="120" t="str">
        <f>IFERROR(VLOOKUP(Table1[RespondentID],'All Data'!$A$3:$CO$999,89,FALSE),"unknown")</f>
        <v>Suffolk</v>
      </c>
      <c r="AO518" s="120" t="str">
        <f>IFERROR(VLOOKUP(Table1[RespondentID],'All Data'!$A$3:$CO$999,90,FALSE),"unknown")</f>
        <v>Port Jefferson Station, 11776</v>
      </c>
      <c r="AP518" s="120" t="str">
        <f>IFERROR(VLOOKUP(Table1[RespondentID],'All Data'!$A$3:$CO$999,91,FALSE),"unknown")</f>
        <v>White</v>
      </c>
      <c r="AQ518" s="120" t="str">
        <f>IFERROR(VLOOKUP(Table1[RespondentID],'All Data'!$A$3:$CO$999,92,FALSE),"unknown")</f>
        <v>Not Hispanic or Latino</v>
      </c>
      <c r="AR518" s="120" t="str">
        <f>IFERROR(VLOOKUP(Table1[RespondentID],'All Data'!$A$3:$CO$999,93,FALSE),"unknown")</f>
        <v>English</v>
      </c>
      <c r="AS518" s="120" t="str">
        <f>IFERROR(VLOOKUP(Table1[RespondentID],'All Data'!$A$3:$CW$999,94,FALSE),"unknown")</f>
        <v>Over $125,000</v>
      </c>
      <c r="AT518" s="120" t="str">
        <f>IFERROR(VLOOKUP(Table1[RespondentID],'All Data'!$A$3:$CW$999,95,FALSE),"unknown")</f>
        <v>Graduate school</v>
      </c>
      <c r="AU518" s="120" t="str">
        <f>IFERROR(VLOOKUP(Table1[RespondentID],'All Data'!$A$3:$CW$999,96,FALSE),"unknown")</f>
        <v>Employed for wages</v>
      </c>
      <c r="AV518" s="120" t="str">
        <f>IFERROR(VLOOKUP(Table1[RespondentID],'All Data'!$A$3:$CW$999,97,FALSE),"unknown")</f>
        <v>Yes</v>
      </c>
      <c r="AW518" s="120" t="str">
        <f>IFERROR(VLOOKUP(Table1[RespondentID],'All Data'!$A$3:$CW$999,98,FALSE),"unknown")</f>
        <v>Private/Commercial</v>
      </c>
      <c r="AX518" s="120" t="str">
        <f>IFERROR(VLOOKUP(Table1[RespondentID],'All Data'!$A$3:$CW$999,99,FALSE),"unknown")</f>
        <v>Yes</v>
      </c>
    </row>
    <row r="519" spans="1:50">
      <c r="A519" s="124">
        <v>18031750233</v>
      </c>
      <c r="B519" s="168"/>
      <c r="C519" s="169"/>
      <c r="D519" s="169"/>
      <c r="E519" s="169"/>
      <c r="F519" s="169"/>
      <c r="G519" s="169" t="s">
        <v>21</v>
      </c>
      <c r="H519" s="169" t="s">
        <v>22</v>
      </c>
      <c r="I519" s="169"/>
      <c r="J519" s="169"/>
      <c r="K519" s="169"/>
      <c r="L519" s="169"/>
      <c r="M519" s="169"/>
      <c r="N519" s="169" t="s">
        <v>28</v>
      </c>
      <c r="O519" s="169"/>
      <c r="P519" s="161">
        <f t="shared" si="162"/>
        <v>3</v>
      </c>
      <c r="Q519" s="170">
        <f t="shared" si="163"/>
        <v>1</v>
      </c>
      <c r="R519" s="161"/>
      <c r="S519" s="161">
        <f t="shared" si="164"/>
        <v>0</v>
      </c>
      <c r="T519" s="161">
        <f t="shared" si="165"/>
        <v>0</v>
      </c>
      <c r="U519" s="161">
        <f t="shared" si="166"/>
        <v>0</v>
      </c>
      <c r="V519" s="162">
        <f t="shared" si="167"/>
        <v>0</v>
      </c>
      <c r="W519" s="162">
        <f t="shared" si="168"/>
        <v>0</v>
      </c>
      <c r="X519" s="162">
        <f t="shared" si="169"/>
        <v>1</v>
      </c>
      <c r="Y519" s="162">
        <f t="shared" si="170"/>
        <v>1</v>
      </c>
      <c r="Z519" s="162">
        <f t="shared" si="171"/>
        <v>0</v>
      </c>
      <c r="AA519" s="162">
        <f t="shared" si="172"/>
        <v>0</v>
      </c>
      <c r="AB519" s="162">
        <f t="shared" si="173"/>
        <v>0</v>
      </c>
      <c r="AC519" s="162">
        <f t="shared" si="174"/>
        <v>0</v>
      </c>
      <c r="AD519" s="162">
        <f t="shared" si="175"/>
        <v>0</v>
      </c>
      <c r="AE519" s="162">
        <f t="shared" si="176"/>
        <v>1</v>
      </c>
      <c r="AF519" s="161"/>
      <c r="AG519" s="161"/>
      <c r="AH519" s="161">
        <f t="shared" si="177"/>
        <v>3</v>
      </c>
      <c r="AI519" s="161">
        <f t="shared" si="178"/>
        <v>3</v>
      </c>
      <c r="AJ519" s="161" t="str">
        <f t="shared" si="179"/>
        <v>Correct</v>
      </c>
      <c r="AK519" s="124"/>
      <c r="AL519" s="120" t="str">
        <f>IFERROR(VLOOKUP(Table1[RespondentID],'All Data'!$A$3:$CO$999,87,FALSE),"unknown")</f>
        <v>Woman</v>
      </c>
      <c r="AM519" s="120">
        <f>IFERROR(VLOOKUP(Table1[RespondentID],'All Data'!$A$3:$CO$999,88,FALSE),"unknown")</f>
        <v>37</v>
      </c>
      <c r="AN519" s="120" t="str">
        <f>IFERROR(VLOOKUP(Table1[RespondentID],'All Data'!$A$3:$CO$999,89,FALSE),"unknown")</f>
        <v>Suffolk</v>
      </c>
      <c r="AO519" s="120" t="str">
        <f>IFERROR(VLOOKUP(Table1[RespondentID],'All Data'!$A$3:$CO$999,90,FALSE),"unknown")</f>
        <v>Huntington, 11743</v>
      </c>
      <c r="AP519" s="120">
        <f>IFERROR(VLOOKUP(Table1[RespondentID],'All Data'!$A$3:$CO$999,91,FALSE),"unknown")</f>
        <v>0</v>
      </c>
      <c r="AQ519" s="120" t="str">
        <f>IFERROR(VLOOKUP(Table1[RespondentID],'All Data'!$A$3:$CO$999,92,FALSE),"unknown")</f>
        <v>Hispanic or Latino</v>
      </c>
      <c r="AR519" s="120" t="str">
        <f>IFERROR(VLOOKUP(Table1[RespondentID],'All Data'!$A$3:$CO$999,93,FALSE),"unknown")</f>
        <v>Spanish</v>
      </c>
      <c r="AS519" s="120" t="str">
        <f>IFERROR(VLOOKUP(Table1[RespondentID],'All Data'!$A$3:$CW$999,94,FALSE),"unknown")</f>
        <v>$20,000 to $34,999</v>
      </c>
      <c r="AT519" s="120" t="str">
        <f>IFERROR(VLOOKUP(Table1[RespondentID],'All Data'!$A$3:$CW$999,95,FALSE),"unknown")</f>
        <v>K-8 grade</v>
      </c>
      <c r="AU519" s="120" t="str">
        <f>IFERROR(VLOOKUP(Table1[RespondentID],'All Data'!$A$3:$CW$999,96,FALSE),"unknown")</f>
        <v>Self-employed</v>
      </c>
      <c r="AV519" s="120" t="str">
        <f>IFERROR(VLOOKUP(Table1[RespondentID],'All Data'!$A$3:$CW$999,97,FALSE),"unknown")</f>
        <v>Yes</v>
      </c>
      <c r="AW519" s="120" t="str">
        <f>IFERROR(VLOOKUP(Table1[RespondentID],'All Data'!$A$3:$CW$999,98,FALSE),"unknown")</f>
        <v>Private/Commercial</v>
      </c>
      <c r="AX519" s="120" t="str">
        <f>IFERROR(VLOOKUP(Table1[RespondentID],'All Data'!$A$3:$CW$999,99,FALSE),"unknown")</f>
        <v>Yes</v>
      </c>
    </row>
    <row r="520" spans="1:50">
      <c r="A520" s="124">
        <v>18031750066</v>
      </c>
      <c r="B520" s="168" t="s">
        <v>16</v>
      </c>
      <c r="C520" s="169" t="s">
        <v>17</v>
      </c>
      <c r="D520" s="169" t="s">
        <v>18</v>
      </c>
      <c r="E520" s="169"/>
      <c r="F520" s="169" t="s">
        <v>20</v>
      </c>
      <c r="G520" s="169" t="s">
        <v>21</v>
      </c>
      <c r="H520" s="169" t="s">
        <v>22</v>
      </c>
      <c r="I520" s="169"/>
      <c r="J520" s="169" t="s">
        <v>24</v>
      </c>
      <c r="K520" s="169" t="s">
        <v>25</v>
      </c>
      <c r="L520" s="169" t="s">
        <v>26</v>
      </c>
      <c r="M520" s="169" t="s">
        <v>27</v>
      </c>
      <c r="N520" s="169" t="s">
        <v>28</v>
      </c>
      <c r="O520" s="169"/>
      <c r="P520" s="161">
        <f t="shared" si="162"/>
        <v>11</v>
      </c>
      <c r="Q520" s="170">
        <f t="shared" si="163"/>
        <v>0.27272727272727271</v>
      </c>
      <c r="R520" s="161"/>
      <c r="S520" s="161">
        <f t="shared" si="164"/>
        <v>0.27272727272727271</v>
      </c>
      <c r="T520" s="161">
        <f t="shared" si="165"/>
        <v>0.27272727272727271</v>
      </c>
      <c r="U520" s="161">
        <f t="shared" si="166"/>
        <v>0.27272727272727271</v>
      </c>
      <c r="V520" s="162">
        <f t="shared" si="167"/>
        <v>0</v>
      </c>
      <c r="W520" s="162">
        <f t="shared" si="168"/>
        <v>0.27272727272727271</v>
      </c>
      <c r="X520" s="162">
        <f t="shared" si="169"/>
        <v>0.27272727272727271</v>
      </c>
      <c r="Y520" s="162">
        <f t="shared" si="170"/>
        <v>0.27272727272727271</v>
      </c>
      <c r="Z520" s="162">
        <f t="shared" si="171"/>
        <v>0</v>
      </c>
      <c r="AA520" s="162">
        <f t="shared" si="172"/>
        <v>0.27272727272727271</v>
      </c>
      <c r="AB520" s="162">
        <f t="shared" si="173"/>
        <v>0.27272727272727271</v>
      </c>
      <c r="AC520" s="162">
        <f t="shared" si="174"/>
        <v>0.27272727272727271</v>
      </c>
      <c r="AD520" s="162">
        <f t="shared" si="175"/>
        <v>0.27272727272727271</v>
      </c>
      <c r="AE520" s="162">
        <f t="shared" si="176"/>
        <v>0.27272727272727271</v>
      </c>
      <c r="AF520" s="161"/>
      <c r="AG520" s="161"/>
      <c r="AH520" s="161">
        <f t="shared" si="177"/>
        <v>2.9999999999999991</v>
      </c>
      <c r="AI520" s="161">
        <f t="shared" si="178"/>
        <v>11</v>
      </c>
      <c r="AJ520" s="161" t="str">
        <f t="shared" si="179"/>
        <v>Correct</v>
      </c>
      <c r="AK520" s="124"/>
      <c r="AL520" s="120" t="str">
        <f>IFERROR(VLOOKUP(Table1[RespondentID],'All Data'!$A$3:$CO$999,87,FALSE),"unknown")</f>
        <v>Man</v>
      </c>
      <c r="AM520" s="120">
        <f>IFERROR(VLOOKUP(Table1[RespondentID],'All Data'!$A$3:$CO$999,88,FALSE),"unknown")</f>
        <v>44</v>
      </c>
      <c r="AN520" s="120" t="str">
        <f>IFERROR(VLOOKUP(Table1[RespondentID],'All Data'!$A$3:$CO$999,89,FALSE),"unknown")</f>
        <v>Suffolk</v>
      </c>
      <c r="AO520" s="120" t="str">
        <f>IFERROR(VLOOKUP(Table1[RespondentID],'All Data'!$A$3:$CO$999,90,FALSE),"unknown")</f>
        <v>Huntington, 11743</v>
      </c>
      <c r="AP520" s="120" t="str">
        <f>IFERROR(VLOOKUP(Table1[RespondentID],'All Data'!$A$3:$CO$999,91,FALSE),"unknown")</f>
        <v>White</v>
      </c>
      <c r="AQ520" s="120" t="str">
        <f>IFERROR(VLOOKUP(Table1[RespondentID],'All Data'!$A$3:$CO$999,92,FALSE),"unknown")</f>
        <v>Hispanic or Latino</v>
      </c>
      <c r="AR520" s="120" t="str">
        <f>IFERROR(VLOOKUP(Table1[RespondentID],'All Data'!$A$3:$CO$999,93,FALSE),"unknown")</f>
        <v>Spanish</v>
      </c>
      <c r="AS520" s="120" t="str">
        <f>IFERROR(VLOOKUP(Table1[RespondentID],'All Data'!$A$3:$CW$999,94,FALSE),"unknown")</f>
        <v>$20,000 to $34,999</v>
      </c>
      <c r="AT520" s="120" t="str">
        <f>IFERROR(VLOOKUP(Table1[RespondentID],'All Data'!$A$3:$CW$999,95,FALSE),"unknown")</f>
        <v>Some high school</v>
      </c>
      <c r="AU520" s="120" t="str">
        <f>IFERROR(VLOOKUP(Table1[RespondentID],'All Data'!$A$3:$CW$999,96,FALSE),"unknown")</f>
        <v>Employed for wages</v>
      </c>
      <c r="AV520" s="120" t="str">
        <f>IFERROR(VLOOKUP(Table1[RespondentID],'All Data'!$A$3:$CW$999,97,FALSE),"unknown")</f>
        <v>No</v>
      </c>
      <c r="AW520" s="120" t="str">
        <f>IFERROR(VLOOKUP(Table1[RespondentID],'All Data'!$A$3:$CW$999,98,FALSE),"unknown")</f>
        <v>No Insurance</v>
      </c>
      <c r="AX520" s="120" t="str">
        <f>IFERROR(VLOOKUP(Table1[RespondentID],'All Data'!$A$3:$CW$999,99,FALSE),"unknown")</f>
        <v>Yes</v>
      </c>
    </row>
    <row r="521" spans="1:50">
      <c r="A521" s="124">
        <v>18031749313</v>
      </c>
      <c r="B521" s="168" t="s">
        <v>16</v>
      </c>
      <c r="C521" s="169" t="s">
        <v>17</v>
      </c>
      <c r="D521" s="169"/>
      <c r="E521" s="169"/>
      <c r="F521" s="169"/>
      <c r="G521" s="169"/>
      <c r="H521" s="169"/>
      <c r="I521" s="169"/>
      <c r="J521" s="169"/>
      <c r="K521" s="169"/>
      <c r="L521" s="169"/>
      <c r="M521" s="169"/>
      <c r="N521" s="169"/>
      <c r="O521" s="169"/>
      <c r="P521" s="161">
        <f t="shared" si="162"/>
        <v>2</v>
      </c>
      <c r="Q521" s="170">
        <f t="shared" si="163"/>
        <v>1.5</v>
      </c>
      <c r="R521" s="161"/>
      <c r="S521" s="161">
        <f t="shared" si="164"/>
        <v>1</v>
      </c>
      <c r="T521" s="161">
        <f t="shared" si="165"/>
        <v>1</v>
      </c>
      <c r="U521" s="161">
        <f t="shared" si="166"/>
        <v>0</v>
      </c>
      <c r="V521" s="162">
        <f t="shared" si="167"/>
        <v>0</v>
      </c>
      <c r="W521" s="162">
        <f t="shared" si="168"/>
        <v>0</v>
      </c>
      <c r="X521" s="162">
        <f t="shared" si="169"/>
        <v>0</v>
      </c>
      <c r="Y521" s="162">
        <f t="shared" si="170"/>
        <v>0</v>
      </c>
      <c r="Z521" s="162">
        <f t="shared" si="171"/>
        <v>0</v>
      </c>
      <c r="AA521" s="162">
        <f t="shared" si="172"/>
        <v>0</v>
      </c>
      <c r="AB521" s="162">
        <f t="shared" si="173"/>
        <v>0</v>
      </c>
      <c r="AC521" s="162">
        <f t="shared" si="174"/>
        <v>0</v>
      </c>
      <c r="AD521" s="162">
        <f t="shared" si="175"/>
        <v>0</v>
      </c>
      <c r="AE521" s="162">
        <f t="shared" si="176"/>
        <v>0</v>
      </c>
      <c r="AF521" s="161"/>
      <c r="AG521" s="161"/>
      <c r="AH521" s="161">
        <f t="shared" si="177"/>
        <v>2</v>
      </c>
      <c r="AI521" s="161">
        <f t="shared" si="178"/>
        <v>2</v>
      </c>
      <c r="AJ521" s="161" t="str">
        <f t="shared" si="179"/>
        <v>Correct</v>
      </c>
      <c r="AK521" s="124"/>
      <c r="AL521" s="120">
        <f>IFERROR(VLOOKUP(Table1[RespondentID],'All Data'!$A$3:$CO$999,87,FALSE),"unknown")</f>
        <v>0</v>
      </c>
      <c r="AM521" s="120">
        <f>IFERROR(VLOOKUP(Table1[RespondentID],'All Data'!$A$3:$CO$999,88,FALSE),"unknown")</f>
        <v>0</v>
      </c>
      <c r="AN521" s="120">
        <f>IFERROR(VLOOKUP(Table1[RespondentID],'All Data'!$A$3:$CO$999,89,FALSE),"unknown")</f>
        <v>0</v>
      </c>
      <c r="AO521" s="120">
        <f>IFERROR(VLOOKUP(Table1[RespondentID],'All Data'!$A$3:$CO$999,90,FALSE),"unknown")</f>
        <v>0</v>
      </c>
      <c r="AP521" s="120">
        <f>IFERROR(VLOOKUP(Table1[RespondentID],'All Data'!$A$3:$CO$999,91,FALSE),"unknown")</f>
        <v>0</v>
      </c>
      <c r="AQ521" s="120" t="str">
        <f>IFERROR(VLOOKUP(Table1[RespondentID],'All Data'!$A$3:$CO$999,92,FALSE),"unknown")</f>
        <v>Hispanic or Latino</v>
      </c>
      <c r="AR521" s="120" t="str">
        <f>IFERROR(VLOOKUP(Table1[RespondentID],'All Data'!$A$3:$CO$999,93,FALSE),"unknown")</f>
        <v>Spanish</v>
      </c>
      <c r="AS521" s="120" t="str">
        <f>IFERROR(VLOOKUP(Table1[RespondentID],'All Data'!$A$3:$CW$999,94,FALSE),"unknown")</f>
        <v>$20,000 to $34,999</v>
      </c>
      <c r="AT521" s="120" t="str">
        <f>IFERROR(VLOOKUP(Table1[RespondentID],'All Data'!$A$3:$CW$999,95,FALSE),"unknown")</f>
        <v>Some high school</v>
      </c>
      <c r="AU521" s="120">
        <f>IFERROR(VLOOKUP(Table1[RespondentID],'All Data'!$A$3:$CW$999,96,FALSE),"unknown")</f>
        <v>0</v>
      </c>
      <c r="AV521" s="120" t="str">
        <f>IFERROR(VLOOKUP(Table1[RespondentID],'All Data'!$A$3:$CW$999,97,FALSE),"unknown")</f>
        <v>No</v>
      </c>
      <c r="AW521" s="120" t="str">
        <f>IFERROR(VLOOKUP(Table1[RespondentID],'All Data'!$A$3:$CW$999,98,FALSE),"unknown")</f>
        <v>No Insurance</v>
      </c>
      <c r="AX521" s="120" t="str">
        <f>IFERROR(VLOOKUP(Table1[RespondentID],'All Data'!$A$3:$CW$999,99,FALSE),"unknown")</f>
        <v>Yes</v>
      </c>
    </row>
    <row r="522" spans="1:50">
      <c r="A522" s="124">
        <v>18031746891</v>
      </c>
      <c r="B522" s="168"/>
      <c r="C522" s="169"/>
      <c r="D522" s="169"/>
      <c r="E522" s="169"/>
      <c r="F522" s="169"/>
      <c r="G522" s="169"/>
      <c r="H522" s="169"/>
      <c r="I522" s="169" t="s">
        <v>23</v>
      </c>
      <c r="J522" s="169" t="s">
        <v>24</v>
      </c>
      <c r="K522" s="169"/>
      <c r="L522" s="169"/>
      <c r="M522" s="169"/>
      <c r="N522" s="169" t="s">
        <v>28</v>
      </c>
      <c r="O522" s="169"/>
      <c r="P522" s="161">
        <f t="shared" si="162"/>
        <v>3</v>
      </c>
      <c r="Q522" s="170">
        <f t="shared" si="163"/>
        <v>1</v>
      </c>
      <c r="R522" s="161"/>
      <c r="S522" s="161">
        <f t="shared" si="164"/>
        <v>0</v>
      </c>
      <c r="T522" s="161">
        <f t="shared" si="165"/>
        <v>0</v>
      </c>
      <c r="U522" s="161">
        <f t="shared" si="166"/>
        <v>0</v>
      </c>
      <c r="V522" s="162">
        <f t="shared" si="167"/>
        <v>0</v>
      </c>
      <c r="W522" s="162">
        <f t="shared" si="168"/>
        <v>0</v>
      </c>
      <c r="X522" s="162">
        <f t="shared" si="169"/>
        <v>0</v>
      </c>
      <c r="Y522" s="162">
        <f t="shared" si="170"/>
        <v>0</v>
      </c>
      <c r="Z522" s="162">
        <f t="shared" si="171"/>
        <v>1</v>
      </c>
      <c r="AA522" s="162">
        <f t="shared" si="172"/>
        <v>1</v>
      </c>
      <c r="AB522" s="162">
        <f t="shared" si="173"/>
        <v>0</v>
      </c>
      <c r="AC522" s="162">
        <f t="shared" si="174"/>
        <v>0</v>
      </c>
      <c r="AD522" s="162">
        <f t="shared" si="175"/>
        <v>0</v>
      </c>
      <c r="AE522" s="162">
        <f t="shared" si="176"/>
        <v>1</v>
      </c>
      <c r="AF522" s="161"/>
      <c r="AG522" s="161"/>
      <c r="AH522" s="161">
        <f t="shared" si="177"/>
        <v>3</v>
      </c>
      <c r="AI522" s="161">
        <f t="shared" si="178"/>
        <v>3</v>
      </c>
      <c r="AJ522" s="161" t="str">
        <f t="shared" si="179"/>
        <v>Correct</v>
      </c>
      <c r="AK522" s="124"/>
      <c r="AL522" s="120" t="str">
        <f>IFERROR(VLOOKUP(Table1[RespondentID],'All Data'!$A$3:$CO$999,87,FALSE),"unknown")</f>
        <v>Woman</v>
      </c>
      <c r="AM522" s="120">
        <f>IFERROR(VLOOKUP(Table1[RespondentID],'All Data'!$A$3:$CO$999,88,FALSE),"unknown")</f>
        <v>65</v>
      </c>
      <c r="AN522" s="120" t="str">
        <f>IFERROR(VLOOKUP(Table1[RespondentID],'All Data'!$A$3:$CO$999,89,FALSE),"unknown")</f>
        <v>Nassau</v>
      </c>
      <c r="AO522" s="120" t="str">
        <f>IFERROR(VLOOKUP(Table1[RespondentID],'All Data'!$A$3:$CO$999,90,FALSE),"unknown")</f>
        <v>Freeport, 11520</v>
      </c>
      <c r="AP522" s="120">
        <f>IFERROR(VLOOKUP(Table1[RespondentID],'All Data'!$A$3:$CO$999,91,FALSE),"unknown")</f>
        <v>0</v>
      </c>
      <c r="AQ522" s="120" t="str">
        <f>IFERROR(VLOOKUP(Table1[RespondentID],'All Data'!$A$3:$CO$999,92,FALSE),"unknown")</f>
        <v>Hispanic or Latino</v>
      </c>
      <c r="AR522" s="120" t="str">
        <f>IFERROR(VLOOKUP(Table1[RespondentID],'All Data'!$A$3:$CO$999,93,FALSE),"unknown")</f>
        <v>Spanish</v>
      </c>
      <c r="AS522" s="120">
        <f>IFERROR(VLOOKUP(Table1[RespondentID],'All Data'!$A$3:$CW$999,94,FALSE),"unknown")</f>
        <v>0</v>
      </c>
      <c r="AT522" s="120">
        <f>IFERROR(VLOOKUP(Table1[RespondentID],'All Data'!$A$3:$CW$999,95,FALSE),"unknown")</f>
        <v>0</v>
      </c>
      <c r="AU522" s="120" t="str">
        <f>IFERROR(VLOOKUP(Table1[RespondentID],'All Data'!$A$3:$CW$999,96,FALSE),"unknown")</f>
        <v>Retired</v>
      </c>
      <c r="AV522" s="120" t="str">
        <f>IFERROR(VLOOKUP(Table1[RespondentID],'All Data'!$A$3:$CW$999,97,FALSE),"unknown")</f>
        <v>Yes</v>
      </c>
      <c r="AW522" s="120" t="str">
        <f>IFERROR(VLOOKUP(Table1[RespondentID],'All Data'!$A$3:$CW$999,98,FALSE),"unknown")</f>
        <v>Medicaid,Medicare</v>
      </c>
      <c r="AX522" s="120" t="str">
        <f>IFERROR(VLOOKUP(Table1[RespondentID],'All Data'!$A$3:$CW$999,99,FALSE),"unknown")</f>
        <v>Yes</v>
      </c>
    </row>
    <row r="523" spans="1:50">
      <c r="A523" s="124">
        <v>18031746567</v>
      </c>
      <c r="B523" s="168"/>
      <c r="C523" s="169"/>
      <c r="D523" s="169"/>
      <c r="E523" s="169"/>
      <c r="F523" s="169"/>
      <c r="G523" s="169"/>
      <c r="H523" s="169"/>
      <c r="I523" s="169" t="s">
        <v>23</v>
      </c>
      <c r="J523" s="169" t="s">
        <v>24</v>
      </c>
      <c r="K523" s="169"/>
      <c r="L523" s="169"/>
      <c r="M523" s="169"/>
      <c r="N523" s="169" t="s">
        <v>28</v>
      </c>
      <c r="O523" s="169"/>
      <c r="P523" s="161">
        <f t="shared" si="162"/>
        <v>3</v>
      </c>
      <c r="Q523" s="170">
        <f t="shared" si="163"/>
        <v>1</v>
      </c>
      <c r="R523" s="161"/>
      <c r="S523" s="161">
        <f t="shared" si="164"/>
        <v>0</v>
      </c>
      <c r="T523" s="161">
        <f t="shared" si="165"/>
        <v>0</v>
      </c>
      <c r="U523" s="161">
        <f t="shared" si="166"/>
        <v>0</v>
      </c>
      <c r="V523" s="162">
        <f t="shared" si="167"/>
        <v>0</v>
      </c>
      <c r="W523" s="162">
        <f t="shared" si="168"/>
        <v>0</v>
      </c>
      <c r="X523" s="162">
        <f t="shared" si="169"/>
        <v>0</v>
      </c>
      <c r="Y523" s="162">
        <f t="shared" si="170"/>
        <v>0</v>
      </c>
      <c r="Z523" s="162">
        <f t="shared" si="171"/>
        <v>1</v>
      </c>
      <c r="AA523" s="162">
        <f t="shared" si="172"/>
        <v>1</v>
      </c>
      <c r="AB523" s="162">
        <f t="shared" si="173"/>
        <v>0</v>
      </c>
      <c r="AC523" s="162">
        <f t="shared" si="174"/>
        <v>0</v>
      </c>
      <c r="AD523" s="162">
        <f t="shared" si="175"/>
        <v>0</v>
      </c>
      <c r="AE523" s="162">
        <f t="shared" si="176"/>
        <v>1</v>
      </c>
      <c r="AF523" s="161"/>
      <c r="AG523" s="161"/>
      <c r="AH523" s="161">
        <f t="shared" si="177"/>
        <v>3</v>
      </c>
      <c r="AI523" s="161">
        <f t="shared" si="178"/>
        <v>3</v>
      </c>
      <c r="AJ523" s="161" t="str">
        <f t="shared" si="179"/>
        <v>Correct</v>
      </c>
      <c r="AK523" s="124"/>
      <c r="AL523" s="120" t="str">
        <f>IFERROR(VLOOKUP(Table1[RespondentID],'All Data'!$A$3:$CO$999,87,FALSE),"unknown")</f>
        <v>Woman</v>
      </c>
      <c r="AM523" s="120">
        <f>IFERROR(VLOOKUP(Table1[RespondentID],'All Data'!$A$3:$CO$999,88,FALSE),"unknown")</f>
        <v>65</v>
      </c>
      <c r="AN523" s="120" t="str">
        <f>IFERROR(VLOOKUP(Table1[RespondentID],'All Data'!$A$3:$CO$999,89,FALSE),"unknown")</f>
        <v>Nassau</v>
      </c>
      <c r="AO523" s="120" t="str">
        <f>IFERROR(VLOOKUP(Table1[RespondentID],'All Data'!$A$3:$CO$999,90,FALSE),"unknown")</f>
        <v>Freeport, 11520</v>
      </c>
      <c r="AP523" s="120">
        <f>IFERROR(VLOOKUP(Table1[RespondentID],'All Data'!$A$3:$CO$999,91,FALSE),"unknown")</f>
        <v>0</v>
      </c>
      <c r="AQ523" s="120">
        <f>IFERROR(VLOOKUP(Table1[RespondentID],'All Data'!$A$3:$CO$999,92,FALSE),"unknown")</f>
        <v>0</v>
      </c>
      <c r="AR523" s="120">
        <f>IFERROR(VLOOKUP(Table1[RespondentID],'All Data'!$A$3:$CO$999,93,FALSE),"unknown")</f>
        <v>0</v>
      </c>
      <c r="AS523" s="120">
        <f>IFERROR(VLOOKUP(Table1[RespondentID],'All Data'!$A$3:$CW$999,94,FALSE),"unknown")</f>
        <v>0</v>
      </c>
      <c r="AT523" s="120">
        <f>IFERROR(VLOOKUP(Table1[RespondentID],'All Data'!$A$3:$CW$999,95,FALSE),"unknown")</f>
        <v>0</v>
      </c>
      <c r="AU523" s="120">
        <f>IFERROR(VLOOKUP(Table1[RespondentID],'All Data'!$A$3:$CW$999,96,FALSE),"unknown")</f>
        <v>0</v>
      </c>
      <c r="AV523" s="120">
        <f>IFERROR(VLOOKUP(Table1[RespondentID],'All Data'!$A$3:$CW$999,97,FALSE),"unknown")</f>
        <v>0</v>
      </c>
      <c r="AW523" s="120">
        <f>IFERROR(VLOOKUP(Table1[RespondentID],'All Data'!$A$3:$CW$999,98,FALSE),"unknown")</f>
        <v>0</v>
      </c>
      <c r="AX523" s="120">
        <f>IFERROR(VLOOKUP(Table1[RespondentID],'All Data'!$A$3:$CW$999,99,FALSE),"unknown")</f>
        <v>0</v>
      </c>
    </row>
    <row r="524" spans="1:50">
      <c r="A524" s="124">
        <v>18031743313</v>
      </c>
      <c r="B524" s="168"/>
      <c r="C524" s="169"/>
      <c r="D524" s="169"/>
      <c r="E524" s="169"/>
      <c r="F524" s="169"/>
      <c r="G524" s="169"/>
      <c r="H524" s="169"/>
      <c r="I524" s="169" t="s">
        <v>23</v>
      </c>
      <c r="J524" s="169" t="s">
        <v>24</v>
      </c>
      <c r="K524" s="169"/>
      <c r="L524" s="169"/>
      <c r="M524" s="169"/>
      <c r="N524" s="169" t="s">
        <v>28</v>
      </c>
      <c r="O524" s="169"/>
      <c r="P524" s="161">
        <f t="shared" si="162"/>
        <v>3</v>
      </c>
      <c r="Q524" s="170">
        <f t="shared" si="163"/>
        <v>1</v>
      </c>
      <c r="R524" s="161"/>
      <c r="S524" s="161">
        <f t="shared" si="164"/>
        <v>0</v>
      </c>
      <c r="T524" s="161">
        <f t="shared" si="165"/>
        <v>0</v>
      </c>
      <c r="U524" s="161">
        <f t="shared" si="166"/>
        <v>0</v>
      </c>
      <c r="V524" s="162">
        <f t="shared" si="167"/>
        <v>0</v>
      </c>
      <c r="W524" s="162">
        <f t="shared" si="168"/>
        <v>0</v>
      </c>
      <c r="X524" s="162">
        <f t="shared" si="169"/>
        <v>0</v>
      </c>
      <c r="Y524" s="162">
        <f t="shared" si="170"/>
        <v>0</v>
      </c>
      <c r="Z524" s="162">
        <f t="shared" si="171"/>
        <v>1</v>
      </c>
      <c r="AA524" s="162">
        <f t="shared" si="172"/>
        <v>1</v>
      </c>
      <c r="AB524" s="162">
        <f t="shared" si="173"/>
        <v>0</v>
      </c>
      <c r="AC524" s="162">
        <f t="shared" si="174"/>
        <v>0</v>
      </c>
      <c r="AD524" s="162">
        <f t="shared" si="175"/>
        <v>0</v>
      </c>
      <c r="AE524" s="162">
        <f t="shared" si="176"/>
        <v>1</v>
      </c>
      <c r="AF524" s="161"/>
      <c r="AG524" s="161"/>
      <c r="AH524" s="161">
        <f t="shared" si="177"/>
        <v>3</v>
      </c>
      <c r="AI524" s="161">
        <f t="shared" si="178"/>
        <v>3</v>
      </c>
      <c r="AJ524" s="161" t="str">
        <f t="shared" si="179"/>
        <v>Correct</v>
      </c>
      <c r="AK524" s="124"/>
      <c r="AL524" s="120" t="str">
        <f>IFERROR(VLOOKUP(Table1[RespondentID],'All Data'!$A$3:$CO$999,87,FALSE),"unknown")</f>
        <v>Woman</v>
      </c>
      <c r="AM524" s="120">
        <f>IFERROR(VLOOKUP(Table1[RespondentID],'All Data'!$A$3:$CO$999,88,FALSE),"unknown")</f>
        <v>65</v>
      </c>
      <c r="AN524" s="120" t="str">
        <f>IFERROR(VLOOKUP(Table1[RespondentID],'All Data'!$A$3:$CO$999,89,FALSE),"unknown")</f>
        <v>Nassau</v>
      </c>
      <c r="AO524" s="120" t="str">
        <f>IFERROR(VLOOKUP(Table1[RespondentID],'All Data'!$A$3:$CO$999,90,FALSE),"unknown")</f>
        <v>Freeport, 11520</v>
      </c>
      <c r="AP524" s="120">
        <f>IFERROR(VLOOKUP(Table1[RespondentID],'All Data'!$A$3:$CO$999,91,FALSE),"unknown")</f>
        <v>0</v>
      </c>
      <c r="AQ524" s="120">
        <f>IFERROR(VLOOKUP(Table1[RespondentID],'All Data'!$A$3:$CO$999,92,FALSE),"unknown")</f>
        <v>0</v>
      </c>
      <c r="AR524" s="120">
        <f>IFERROR(VLOOKUP(Table1[RespondentID],'All Data'!$A$3:$CO$999,93,FALSE),"unknown")</f>
        <v>0</v>
      </c>
      <c r="AS524" s="120">
        <f>IFERROR(VLOOKUP(Table1[RespondentID],'All Data'!$A$3:$CW$999,94,FALSE),"unknown")</f>
        <v>0</v>
      </c>
      <c r="AT524" s="120">
        <f>IFERROR(VLOOKUP(Table1[RespondentID],'All Data'!$A$3:$CW$999,95,FALSE),"unknown")</f>
        <v>0</v>
      </c>
      <c r="AU524" s="120">
        <f>IFERROR(VLOOKUP(Table1[RespondentID],'All Data'!$A$3:$CW$999,96,FALSE),"unknown")</f>
        <v>0</v>
      </c>
      <c r="AV524" s="120">
        <f>IFERROR(VLOOKUP(Table1[RespondentID],'All Data'!$A$3:$CW$999,97,FALSE),"unknown")</f>
        <v>0</v>
      </c>
      <c r="AW524" s="120">
        <f>IFERROR(VLOOKUP(Table1[RespondentID],'All Data'!$A$3:$CW$999,98,FALSE),"unknown")</f>
        <v>0</v>
      </c>
      <c r="AX524" s="120">
        <f>IFERROR(VLOOKUP(Table1[RespondentID],'All Data'!$A$3:$CW$999,99,FALSE),"unknown")</f>
        <v>0</v>
      </c>
    </row>
    <row r="525" spans="1:50">
      <c r="A525" s="124">
        <v>18031103447</v>
      </c>
      <c r="B525" s="168"/>
      <c r="C525" s="169"/>
      <c r="D525" s="169"/>
      <c r="E525" s="169"/>
      <c r="F525" s="169"/>
      <c r="G525" s="169"/>
      <c r="H525" s="169"/>
      <c r="I525" s="169"/>
      <c r="J525" s="169"/>
      <c r="K525" s="169"/>
      <c r="L525" s="169"/>
      <c r="M525" s="169"/>
      <c r="N525" s="169"/>
      <c r="O525" s="169"/>
      <c r="P525" s="161">
        <f t="shared" si="162"/>
        <v>0</v>
      </c>
      <c r="Q525" s="170" t="e">
        <f t="shared" si="163"/>
        <v>#DIV/0!</v>
      </c>
      <c r="R525" s="161"/>
      <c r="S525" s="161">
        <f t="shared" si="164"/>
        <v>0</v>
      </c>
      <c r="T525" s="161">
        <f t="shared" si="165"/>
        <v>0</v>
      </c>
      <c r="U525" s="161">
        <f t="shared" si="166"/>
        <v>0</v>
      </c>
      <c r="V525" s="162">
        <f t="shared" si="167"/>
        <v>0</v>
      </c>
      <c r="W525" s="162">
        <f t="shared" si="168"/>
        <v>0</v>
      </c>
      <c r="X525" s="162">
        <f t="shared" si="169"/>
        <v>0</v>
      </c>
      <c r="Y525" s="162">
        <f t="shared" si="170"/>
        <v>0</v>
      </c>
      <c r="Z525" s="162">
        <f t="shared" si="171"/>
        <v>0</v>
      </c>
      <c r="AA525" s="162">
        <f t="shared" si="172"/>
        <v>0</v>
      </c>
      <c r="AB525" s="162">
        <f t="shared" si="173"/>
        <v>0</v>
      </c>
      <c r="AC525" s="162">
        <f t="shared" si="174"/>
        <v>0</v>
      </c>
      <c r="AD525" s="162">
        <f t="shared" si="175"/>
        <v>0</v>
      </c>
      <c r="AE525" s="162">
        <f t="shared" si="176"/>
        <v>0</v>
      </c>
      <c r="AF525" s="161"/>
      <c r="AG525" s="161"/>
      <c r="AH525" s="161">
        <f t="shared" si="177"/>
        <v>0</v>
      </c>
      <c r="AI525" s="161">
        <f t="shared" si="178"/>
        <v>0</v>
      </c>
      <c r="AJ525" s="161" t="str">
        <f t="shared" si="179"/>
        <v>Correct</v>
      </c>
      <c r="AK525" s="124"/>
      <c r="AL525" s="120">
        <f>IFERROR(VLOOKUP(Table1[RespondentID],'All Data'!$A$3:$CO$999,87,FALSE),"unknown")</f>
        <v>0</v>
      </c>
      <c r="AM525" s="120">
        <f>IFERROR(VLOOKUP(Table1[RespondentID],'All Data'!$A$3:$CO$999,88,FALSE),"unknown")</f>
        <v>0</v>
      </c>
      <c r="AN525" s="120">
        <f>IFERROR(VLOOKUP(Table1[RespondentID],'All Data'!$A$3:$CO$999,89,FALSE),"unknown")</f>
        <v>0</v>
      </c>
      <c r="AO525" s="120">
        <f>IFERROR(VLOOKUP(Table1[RespondentID],'All Data'!$A$3:$CO$999,90,FALSE),"unknown")</f>
        <v>0</v>
      </c>
      <c r="AP525" s="120">
        <f>IFERROR(VLOOKUP(Table1[RespondentID],'All Data'!$A$3:$CO$999,91,FALSE),"unknown")</f>
        <v>0</v>
      </c>
      <c r="AQ525" s="120">
        <f>IFERROR(VLOOKUP(Table1[RespondentID],'All Data'!$A$3:$CO$999,92,FALSE),"unknown")</f>
        <v>0</v>
      </c>
      <c r="AR525" s="120">
        <f>IFERROR(VLOOKUP(Table1[RespondentID],'All Data'!$A$3:$CO$999,93,FALSE),"unknown")</f>
        <v>0</v>
      </c>
      <c r="AS525" s="120">
        <f>IFERROR(VLOOKUP(Table1[RespondentID],'All Data'!$A$3:$CW$999,94,FALSE),"unknown")</f>
        <v>0</v>
      </c>
      <c r="AT525" s="120">
        <f>IFERROR(VLOOKUP(Table1[RespondentID],'All Data'!$A$3:$CW$999,95,FALSE),"unknown")</f>
        <v>0</v>
      </c>
      <c r="AU525" s="120">
        <f>IFERROR(VLOOKUP(Table1[RespondentID],'All Data'!$A$3:$CW$999,96,FALSE),"unknown")</f>
        <v>0</v>
      </c>
      <c r="AV525" s="120">
        <f>IFERROR(VLOOKUP(Table1[RespondentID],'All Data'!$A$3:$CW$999,97,FALSE),"unknown")</f>
        <v>0</v>
      </c>
      <c r="AW525" s="120">
        <f>IFERROR(VLOOKUP(Table1[RespondentID],'All Data'!$A$3:$CW$999,98,FALSE),"unknown")</f>
        <v>0</v>
      </c>
      <c r="AX525" s="120">
        <f>IFERROR(VLOOKUP(Table1[RespondentID],'All Data'!$A$3:$CW$999,99,FALSE),"unknown")</f>
        <v>0</v>
      </c>
    </row>
    <row r="526" spans="1:50">
      <c r="A526" s="124">
        <v>18030570632</v>
      </c>
      <c r="B526" s="168"/>
      <c r="C526" s="169" t="s">
        <v>17</v>
      </c>
      <c r="D526" s="169" t="s">
        <v>18</v>
      </c>
      <c r="E526" s="169"/>
      <c r="F526" s="169"/>
      <c r="G526" s="169"/>
      <c r="H526" s="169"/>
      <c r="I526" s="169"/>
      <c r="J526" s="169" t="s">
        <v>24</v>
      </c>
      <c r="K526" s="169" t="s">
        <v>25</v>
      </c>
      <c r="L526" s="169"/>
      <c r="M526" s="169" t="s">
        <v>27</v>
      </c>
      <c r="N526" s="169"/>
      <c r="O526" s="169"/>
      <c r="P526" s="161">
        <f t="shared" si="162"/>
        <v>5</v>
      </c>
      <c r="Q526" s="170">
        <f t="shared" ref="Q526:Q530" si="180">3/P526</f>
        <v>0.6</v>
      </c>
      <c r="R526" s="161"/>
      <c r="S526" s="161">
        <f t="shared" si="164"/>
        <v>0</v>
      </c>
      <c r="T526" s="161">
        <f t="shared" si="165"/>
        <v>0.6</v>
      </c>
      <c r="U526" s="161">
        <f t="shared" si="166"/>
        <v>0.6</v>
      </c>
      <c r="V526" s="162">
        <f t="shared" si="167"/>
        <v>0</v>
      </c>
      <c r="W526" s="162">
        <f t="shared" si="168"/>
        <v>0</v>
      </c>
      <c r="X526" s="162">
        <f t="shared" si="169"/>
        <v>0</v>
      </c>
      <c r="Y526" s="162">
        <f t="shared" si="170"/>
        <v>0</v>
      </c>
      <c r="Z526" s="162">
        <f t="shared" si="171"/>
        <v>0</v>
      </c>
      <c r="AA526" s="162">
        <f t="shared" si="172"/>
        <v>0.6</v>
      </c>
      <c r="AB526" s="162">
        <f t="shared" si="173"/>
        <v>0.6</v>
      </c>
      <c r="AC526" s="162">
        <f t="shared" si="174"/>
        <v>0</v>
      </c>
      <c r="AD526" s="162">
        <f t="shared" si="175"/>
        <v>0.6</v>
      </c>
      <c r="AE526" s="162">
        <f t="shared" si="176"/>
        <v>0</v>
      </c>
      <c r="AF526" s="161"/>
      <c r="AG526" s="161"/>
      <c r="AH526" s="161">
        <f t="shared" si="177"/>
        <v>3</v>
      </c>
      <c r="AI526" s="161">
        <f t="shared" si="178"/>
        <v>5</v>
      </c>
      <c r="AJ526" s="161" t="str">
        <f t="shared" ref="AJ526:AJ530" si="181">IF(AH526=AI526,"Correct",IF(AH526=3,"Correct","Wrong"))</f>
        <v>Correct</v>
      </c>
      <c r="AK526" s="124"/>
      <c r="AL526" s="120" t="str">
        <f>IFERROR(VLOOKUP(Table1[RespondentID],'All Data'!$A$3:$CO$999,87,FALSE),"unknown")</f>
        <v>Man</v>
      </c>
      <c r="AM526" s="120">
        <f>IFERROR(VLOOKUP(Table1[RespondentID],'All Data'!$A$3:$CO$999,88,FALSE),"unknown")</f>
        <v>0</v>
      </c>
      <c r="AN526" s="120">
        <f>IFERROR(VLOOKUP(Table1[RespondentID],'All Data'!$A$3:$CO$999,89,FALSE),"unknown")</f>
        <v>0</v>
      </c>
      <c r="AO526" s="120" t="str">
        <f>IFERROR(VLOOKUP(Table1[RespondentID],'All Data'!$A$3:$CO$999,90,FALSE),"unknown")</f>
        <v>Hempstead, 11549</v>
      </c>
      <c r="AP526" s="120" t="str">
        <f>IFERROR(VLOOKUP(Table1[RespondentID],'All Data'!$A$3:$CO$999,91,FALSE),"unknown")</f>
        <v>Black/African American</v>
      </c>
      <c r="AQ526" s="120">
        <f>IFERROR(VLOOKUP(Table1[RespondentID],'All Data'!$A$3:$CO$999,92,FALSE),"unknown")</f>
        <v>0</v>
      </c>
      <c r="AR526" s="120" t="str">
        <f>IFERROR(VLOOKUP(Table1[RespondentID],'All Data'!$A$3:$CO$999,93,FALSE),"unknown")</f>
        <v>Farsi,Polish</v>
      </c>
      <c r="AS526" s="120" t="str">
        <f>IFERROR(VLOOKUP(Table1[RespondentID],'All Data'!$A$3:$CW$999,94,FALSE),"unknown")</f>
        <v>$0-$19,999</v>
      </c>
      <c r="AT526" s="120" t="str">
        <f>IFERROR(VLOOKUP(Table1[RespondentID],'All Data'!$A$3:$CW$999,95,FALSE),"unknown")</f>
        <v>Graduate school</v>
      </c>
      <c r="AU526" s="120" t="str">
        <f>IFERROR(VLOOKUP(Table1[RespondentID],'All Data'!$A$3:$CW$999,96,FALSE),"unknown")</f>
        <v>Retired</v>
      </c>
      <c r="AV526" s="120" t="str">
        <f>IFERROR(VLOOKUP(Table1[RespondentID],'All Data'!$A$3:$CW$999,97,FALSE),"unknown")</f>
        <v>No, but I did in the past</v>
      </c>
      <c r="AW526" s="120">
        <f>IFERROR(VLOOKUP(Table1[RespondentID],'All Data'!$A$3:$CW$999,98,FALSE),"unknown")</f>
        <v>0</v>
      </c>
      <c r="AX526" s="120" t="str">
        <f>IFERROR(VLOOKUP(Table1[RespondentID],'All Data'!$A$3:$CW$999,99,FALSE),"unknown")</f>
        <v>Yes</v>
      </c>
    </row>
    <row r="527" spans="1:50">
      <c r="A527" s="124">
        <v>18030570608</v>
      </c>
      <c r="B527" s="168"/>
      <c r="C527" s="169"/>
      <c r="D527" s="169" t="s">
        <v>18</v>
      </c>
      <c r="E527" s="169"/>
      <c r="F527" s="169"/>
      <c r="G527" s="169"/>
      <c r="H527" s="169"/>
      <c r="I527" s="169"/>
      <c r="J527" s="169"/>
      <c r="K527" s="169" t="s">
        <v>25</v>
      </c>
      <c r="L527" s="169"/>
      <c r="M527" s="169" t="s">
        <v>27</v>
      </c>
      <c r="N527" s="169"/>
      <c r="O527" s="169"/>
      <c r="P527" s="161">
        <f t="shared" si="162"/>
        <v>3</v>
      </c>
      <c r="Q527" s="170">
        <f t="shared" si="180"/>
        <v>1</v>
      </c>
      <c r="R527" s="161"/>
      <c r="S527" s="161">
        <f t="shared" si="164"/>
        <v>0</v>
      </c>
      <c r="T527" s="161">
        <f t="shared" si="165"/>
        <v>0</v>
      </c>
      <c r="U527" s="161">
        <f t="shared" si="166"/>
        <v>1</v>
      </c>
      <c r="V527" s="162">
        <f t="shared" si="167"/>
        <v>0</v>
      </c>
      <c r="W527" s="162">
        <f t="shared" si="168"/>
        <v>0</v>
      </c>
      <c r="X527" s="162">
        <f t="shared" si="169"/>
        <v>0</v>
      </c>
      <c r="Y527" s="162">
        <f t="shared" si="170"/>
        <v>0</v>
      </c>
      <c r="Z527" s="162">
        <f t="shared" si="171"/>
        <v>0</v>
      </c>
      <c r="AA527" s="162">
        <f t="shared" si="172"/>
        <v>0</v>
      </c>
      <c r="AB527" s="162">
        <f t="shared" si="173"/>
        <v>1</v>
      </c>
      <c r="AC527" s="162">
        <f t="shared" si="174"/>
        <v>0</v>
      </c>
      <c r="AD527" s="162">
        <f t="shared" si="175"/>
        <v>1</v>
      </c>
      <c r="AE527" s="162">
        <f t="shared" si="176"/>
        <v>0</v>
      </c>
      <c r="AF527" s="161"/>
      <c r="AG527" s="161"/>
      <c r="AH527" s="161">
        <f t="shared" si="177"/>
        <v>3</v>
      </c>
      <c r="AI527" s="161">
        <f t="shared" si="178"/>
        <v>3</v>
      </c>
      <c r="AJ527" s="161" t="str">
        <f t="shared" si="181"/>
        <v>Correct</v>
      </c>
      <c r="AK527" s="124"/>
      <c r="AL527" s="120" t="str">
        <f>IFERROR(VLOOKUP(Table1[RespondentID],'All Data'!$A$3:$CO$999,87,FALSE),"unknown")</f>
        <v>Man</v>
      </c>
      <c r="AM527" s="120">
        <f>IFERROR(VLOOKUP(Table1[RespondentID],'All Data'!$A$3:$CO$999,88,FALSE),"unknown")</f>
        <v>26</v>
      </c>
      <c r="AN527" s="120" t="str">
        <f>IFERROR(VLOOKUP(Table1[RespondentID],'All Data'!$A$3:$CO$999,89,FALSE),"unknown")</f>
        <v>Nassau</v>
      </c>
      <c r="AO527" s="120">
        <f>IFERROR(VLOOKUP(Table1[RespondentID],'All Data'!$A$3:$CO$999,90,FALSE),"unknown")</f>
        <v>0</v>
      </c>
      <c r="AP527" s="120">
        <f>IFERROR(VLOOKUP(Table1[RespondentID],'All Data'!$A$3:$CO$999,91,FALSE),"unknown")</f>
        <v>0</v>
      </c>
      <c r="AQ527" s="120">
        <f>IFERROR(VLOOKUP(Table1[RespondentID],'All Data'!$A$3:$CO$999,92,FALSE),"unknown")</f>
        <v>0</v>
      </c>
      <c r="AR527" s="120">
        <f>IFERROR(VLOOKUP(Table1[RespondentID],'All Data'!$A$3:$CO$999,93,FALSE),"unknown")</f>
        <v>0</v>
      </c>
      <c r="AS527" s="120">
        <f>IFERROR(VLOOKUP(Table1[RespondentID],'All Data'!$A$3:$CW$999,94,FALSE),"unknown")</f>
        <v>0</v>
      </c>
      <c r="AT527" s="120">
        <f>IFERROR(VLOOKUP(Table1[RespondentID],'All Data'!$A$3:$CW$999,95,FALSE),"unknown")</f>
        <v>0</v>
      </c>
      <c r="AU527" s="120">
        <f>IFERROR(VLOOKUP(Table1[RespondentID],'All Data'!$A$3:$CW$999,96,FALSE),"unknown")</f>
        <v>0</v>
      </c>
      <c r="AV527" s="120">
        <f>IFERROR(VLOOKUP(Table1[RespondentID],'All Data'!$A$3:$CW$999,97,FALSE),"unknown")</f>
        <v>0</v>
      </c>
      <c r="AW527" s="120">
        <f>IFERROR(VLOOKUP(Table1[RespondentID],'All Data'!$A$3:$CW$999,98,FALSE),"unknown")</f>
        <v>0</v>
      </c>
      <c r="AX527" s="120">
        <f>IFERROR(VLOOKUP(Table1[RespondentID],'All Data'!$A$3:$CW$999,99,FALSE),"unknown")</f>
        <v>0</v>
      </c>
    </row>
    <row r="528" spans="1:50">
      <c r="A528" s="124">
        <v>18030569067</v>
      </c>
      <c r="B528" s="168"/>
      <c r="C528" s="169"/>
      <c r="D528" s="169"/>
      <c r="E528" s="169" t="s">
        <v>19</v>
      </c>
      <c r="F528" s="169"/>
      <c r="G528" s="169"/>
      <c r="H528" s="169"/>
      <c r="I528" s="169"/>
      <c r="J528" s="169" t="s">
        <v>24</v>
      </c>
      <c r="K528" s="169"/>
      <c r="L528" s="169"/>
      <c r="M528" s="169"/>
      <c r="N528" s="169"/>
      <c r="O528" s="169"/>
      <c r="P528" s="161">
        <f t="shared" si="162"/>
        <v>2</v>
      </c>
      <c r="Q528" s="170">
        <f t="shared" si="180"/>
        <v>1.5</v>
      </c>
      <c r="R528" s="161"/>
      <c r="S528" s="161">
        <f t="shared" si="164"/>
        <v>0</v>
      </c>
      <c r="T528" s="161">
        <f t="shared" si="165"/>
        <v>0</v>
      </c>
      <c r="U528" s="161">
        <f t="shared" si="166"/>
        <v>0</v>
      </c>
      <c r="V528" s="162">
        <f t="shared" si="167"/>
        <v>1</v>
      </c>
      <c r="W528" s="162">
        <f t="shared" si="168"/>
        <v>0</v>
      </c>
      <c r="X528" s="162">
        <f t="shared" si="169"/>
        <v>0</v>
      </c>
      <c r="Y528" s="162">
        <f t="shared" si="170"/>
        <v>0</v>
      </c>
      <c r="Z528" s="162">
        <f t="shared" si="171"/>
        <v>0</v>
      </c>
      <c r="AA528" s="162">
        <f t="shared" si="172"/>
        <v>1</v>
      </c>
      <c r="AB528" s="162">
        <f t="shared" si="173"/>
        <v>0</v>
      </c>
      <c r="AC528" s="162">
        <f t="shared" si="174"/>
        <v>0</v>
      </c>
      <c r="AD528" s="162">
        <f t="shared" si="175"/>
        <v>0</v>
      </c>
      <c r="AE528" s="162">
        <f t="shared" si="176"/>
        <v>0</v>
      </c>
      <c r="AF528" s="161"/>
      <c r="AG528" s="161"/>
      <c r="AH528" s="161">
        <f t="shared" si="177"/>
        <v>2</v>
      </c>
      <c r="AI528" s="161">
        <f t="shared" si="178"/>
        <v>2</v>
      </c>
      <c r="AJ528" s="161" t="str">
        <f t="shared" si="181"/>
        <v>Correct</v>
      </c>
      <c r="AK528" s="124"/>
      <c r="AL528" s="120">
        <f>IFERROR(VLOOKUP(Table1[RespondentID],'All Data'!$A$3:$CO$999,87,FALSE),"unknown")</f>
        <v>0</v>
      </c>
      <c r="AM528" s="120">
        <f>IFERROR(VLOOKUP(Table1[RespondentID],'All Data'!$A$3:$CO$999,88,FALSE),"unknown")</f>
        <v>0</v>
      </c>
      <c r="AN528" s="120">
        <f>IFERROR(VLOOKUP(Table1[RespondentID],'All Data'!$A$3:$CO$999,89,FALSE),"unknown")</f>
        <v>0</v>
      </c>
      <c r="AO528" s="120">
        <f>IFERROR(VLOOKUP(Table1[RespondentID],'All Data'!$A$3:$CO$999,90,FALSE),"unknown")</f>
        <v>0</v>
      </c>
      <c r="AP528" s="120">
        <f>IFERROR(VLOOKUP(Table1[RespondentID],'All Data'!$A$3:$CO$999,91,FALSE),"unknown")</f>
        <v>0</v>
      </c>
      <c r="AQ528" s="120">
        <f>IFERROR(VLOOKUP(Table1[RespondentID],'All Data'!$A$3:$CO$999,92,FALSE),"unknown")</f>
        <v>0</v>
      </c>
      <c r="AR528" s="120">
        <f>IFERROR(VLOOKUP(Table1[RespondentID],'All Data'!$A$3:$CO$999,93,FALSE),"unknown")</f>
        <v>0</v>
      </c>
      <c r="AS528" s="120">
        <f>IFERROR(VLOOKUP(Table1[RespondentID],'All Data'!$A$3:$CW$999,94,FALSE),"unknown")</f>
        <v>0</v>
      </c>
      <c r="AT528" s="120">
        <f>IFERROR(VLOOKUP(Table1[RespondentID],'All Data'!$A$3:$CW$999,95,FALSE),"unknown")</f>
        <v>0</v>
      </c>
      <c r="AU528" s="120">
        <f>IFERROR(VLOOKUP(Table1[RespondentID],'All Data'!$A$3:$CW$999,96,FALSE),"unknown")</f>
        <v>0</v>
      </c>
      <c r="AV528" s="120">
        <f>IFERROR(VLOOKUP(Table1[RespondentID],'All Data'!$A$3:$CW$999,97,FALSE),"unknown")</f>
        <v>0</v>
      </c>
      <c r="AW528" s="120">
        <f>IFERROR(VLOOKUP(Table1[RespondentID],'All Data'!$A$3:$CW$999,98,FALSE),"unknown")</f>
        <v>0</v>
      </c>
      <c r="AX528" s="120">
        <f>IFERROR(VLOOKUP(Table1[RespondentID],'All Data'!$A$3:$CW$999,99,FALSE),"unknown")</f>
        <v>0</v>
      </c>
    </row>
    <row r="529" spans="1:50">
      <c r="A529" s="124">
        <v>18030545755</v>
      </c>
      <c r="B529" s="168"/>
      <c r="C529" s="169"/>
      <c r="D529" s="169"/>
      <c r="E529" s="169"/>
      <c r="F529" s="169"/>
      <c r="G529" s="169"/>
      <c r="H529" s="169"/>
      <c r="I529" s="169"/>
      <c r="J529" s="169" t="s">
        <v>24</v>
      </c>
      <c r="K529" s="169" t="s">
        <v>25</v>
      </c>
      <c r="L529" s="169"/>
      <c r="M529" s="169"/>
      <c r="N529" s="169"/>
      <c r="O529" s="169"/>
      <c r="P529" s="161">
        <f t="shared" si="162"/>
        <v>2</v>
      </c>
      <c r="Q529" s="170">
        <f t="shared" si="180"/>
        <v>1.5</v>
      </c>
      <c r="R529" s="161"/>
      <c r="S529" s="161">
        <f t="shared" si="164"/>
        <v>0</v>
      </c>
      <c r="T529" s="161">
        <f t="shared" si="165"/>
        <v>0</v>
      </c>
      <c r="U529" s="161">
        <f t="shared" si="166"/>
        <v>0</v>
      </c>
      <c r="V529" s="162">
        <f t="shared" si="167"/>
        <v>0</v>
      </c>
      <c r="W529" s="162">
        <f t="shared" si="168"/>
        <v>0</v>
      </c>
      <c r="X529" s="162">
        <f t="shared" si="169"/>
        <v>0</v>
      </c>
      <c r="Y529" s="162">
        <f t="shared" si="170"/>
        <v>0</v>
      </c>
      <c r="Z529" s="162">
        <f t="shared" si="171"/>
        <v>0</v>
      </c>
      <c r="AA529" s="162">
        <f t="shared" si="172"/>
        <v>1</v>
      </c>
      <c r="AB529" s="162">
        <f t="shared" si="173"/>
        <v>1</v>
      </c>
      <c r="AC529" s="162">
        <f t="shared" si="174"/>
        <v>0</v>
      </c>
      <c r="AD529" s="162">
        <f t="shared" si="175"/>
        <v>0</v>
      </c>
      <c r="AE529" s="162">
        <f t="shared" si="176"/>
        <v>0</v>
      </c>
      <c r="AF529" s="161"/>
      <c r="AG529" s="161"/>
      <c r="AH529" s="161">
        <f t="shared" si="177"/>
        <v>2</v>
      </c>
      <c r="AI529" s="161">
        <f t="shared" si="178"/>
        <v>2</v>
      </c>
      <c r="AJ529" s="161" t="str">
        <f t="shared" si="181"/>
        <v>Correct</v>
      </c>
      <c r="AK529" s="124"/>
      <c r="AL529" s="120" t="str">
        <f>IFERROR(VLOOKUP(Table1[RespondentID],'All Data'!$A$3:$CO$999,87,FALSE),"unknown")</f>
        <v>Woman</v>
      </c>
      <c r="AM529" s="120">
        <f>IFERROR(VLOOKUP(Table1[RespondentID],'All Data'!$A$3:$CO$999,88,FALSE),"unknown")</f>
        <v>0</v>
      </c>
      <c r="AN529" s="120" t="str">
        <f>IFERROR(VLOOKUP(Table1[RespondentID],'All Data'!$A$3:$CO$999,89,FALSE),"unknown")</f>
        <v>Nassau</v>
      </c>
      <c r="AO529" s="120">
        <f>IFERROR(VLOOKUP(Table1[RespondentID],'All Data'!$A$3:$CO$999,90,FALSE),"unknown")</f>
        <v>0</v>
      </c>
      <c r="AP529" s="120">
        <f>IFERROR(VLOOKUP(Table1[RespondentID],'All Data'!$A$3:$CO$999,91,FALSE),"unknown")</f>
        <v>0</v>
      </c>
      <c r="AQ529" s="120">
        <f>IFERROR(VLOOKUP(Table1[RespondentID],'All Data'!$A$3:$CO$999,92,FALSE),"unknown")</f>
        <v>0</v>
      </c>
      <c r="AR529" s="120">
        <f>IFERROR(VLOOKUP(Table1[RespondentID],'All Data'!$A$3:$CO$999,93,FALSE),"unknown")</f>
        <v>0</v>
      </c>
      <c r="AS529" s="120">
        <f>IFERROR(VLOOKUP(Table1[RespondentID],'All Data'!$A$3:$CW$999,94,FALSE),"unknown")</f>
        <v>0</v>
      </c>
      <c r="AT529" s="120">
        <f>IFERROR(VLOOKUP(Table1[RespondentID],'All Data'!$A$3:$CW$999,95,FALSE),"unknown")</f>
        <v>0</v>
      </c>
      <c r="AU529" s="120">
        <f>IFERROR(VLOOKUP(Table1[RespondentID],'All Data'!$A$3:$CW$999,96,FALSE),"unknown")</f>
        <v>0</v>
      </c>
      <c r="AV529" s="120">
        <f>IFERROR(VLOOKUP(Table1[RespondentID],'All Data'!$A$3:$CW$999,97,FALSE),"unknown")</f>
        <v>0</v>
      </c>
      <c r="AW529" s="120">
        <f>IFERROR(VLOOKUP(Table1[RespondentID],'All Data'!$A$3:$CW$999,98,FALSE),"unknown")</f>
        <v>0</v>
      </c>
      <c r="AX529" s="120">
        <f>IFERROR(VLOOKUP(Table1[RespondentID],'All Data'!$A$3:$CW$999,99,FALSE),"unknown")</f>
        <v>0</v>
      </c>
    </row>
    <row r="530" spans="1:50">
      <c r="A530" s="130">
        <v>18029414524</v>
      </c>
      <c r="B530" s="168"/>
      <c r="C530" s="171"/>
      <c r="D530" s="171"/>
      <c r="E530" s="171"/>
      <c r="F530" s="171"/>
      <c r="G530" s="171"/>
      <c r="H530" s="171"/>
      <c r="I530" s="171"/>
      <c r="J530" s="171"/>
      <c r="K530" s="171"/>
      <c r="L530" s="171"/>
      <c r="M530" s="171"/>
      <c r="N530" s="171"/>
      <c r="O530" s="171"/>
      <c r="P530" s="166">
        <f t="shared" si="162"/>
        <v>0</v>
      </c>
      <c r="Q530" s="172" t="e">
        <f t="shared" si="180"/>
        <v>#DIV/0!</v>
      </c>
      <c r="R530" s="166"/>
      <c r="S530" s="166">
        <f t="shared" si="164"/>
        <v>0</v>
      </c>
      <c r="T530" s="166">
        <f t="shared" si="165"/>
        <v>0</v>
      </c>
      <c r="U530" s="166">
        <f t="shared" si="166"/>
        <v>0</v>
      </c>
      <c r="V530" s="162">
        <f t="shared" si="167"/>
        <v>0</v>
      </c>
      <c r="W530" s="162">
        <f t="shared" si="168"/>
        <v>0</v>
      </c>
      <c r="X530" s="162">
        <f t="shared" si="169"/>
        <v>0</v>
      </c>
      <c r="Y530" s="162">
        <f t="shared" si="170"/>
        <v>0</v>
      </c>
      <c r="Z530" s="162">
        <f t="shared" si="171"/>
        <v>0</v>
      </c>
      <c r="AA530" s="162">
        <f t="shared" si="172"/>
        <v>0</v>
      </c>
      <c r="AB530" s="162">
        <f t="shared" si="173"/>
        <v>0</v>
      </c>
      <c r="AC530" s="162">
        <f t="shared" si="174"/>
        <v>0</v>
      </c>
      <c r="AD530" s="162">
        <f t="shared" si="175"/>
        <v>0</v>
      </c>
      <c r="AE530" s="162">
        <f t="shared" si="176"/>
        <v>0</v>
      </c>
      <c r="AF530" s="166"/>
      <c r="AG530" s="166"/>
      <c r="AH530" s="166">
        <f t="shared" si="177"/>
        <v>0</v>
      </c>
      <c r="AI530" s="166">
        <f t="shared" si="178"/>
        <v>0</v>
      </c>
      <c r="AJ530" s="166" t="str">
        <f t="shared" si="181"/>
        <v>Correct</v>
      </c>
      <c r="AK530" s="130"/>
      <c r="AL530" s="120">
        <f>IFERROR(VLOOKUP(Table1[RespondentID],'All Data'!$A$3:$CO$999,87,FALSE),"unknown")</f>
        <v>0</v>
      </c>
      <c r="AM530" s="120">
        <f>IFERROR(VLOOKUP(Table1[RespondentID],'All Data'!$A$3:$CO$999,88,FALSE),"unknown")</f>
        <v>0</v>
      </c>
      <c r="AN530" s="120">
        <f>IFERROR(VLOOKUP(Table1[RespondentID],'All Data'!$A$3:$CO$999,89,FALSE),"unknown")</f>
        <v>0</v>
      </c>
      <c r="AO530" s="120" t="str">
        <f>IFERROR(VLOOKUP(Table1[RespondentID],'All Data'!$A$3:$CO$999,90,FALSE),"unknown")</f>
        <v>Floral Park, 11001</v>
      </c>
      <c r="AP530" s="120">
        <f>IFERROR(VLOOKUP(Table1[RespondentID],'All Data'!$A$3:$CO$999,91,FALSE),"unknown")</f>
        <v>0</v>
      </c>
      <c r="AQ530" s="120">
        <f>IFERROR(VLOOKUP(Table1[RespondentID],'All Data'!$A$3:$CO$999,92,FALSE),"unknown")</f>
        <v>0</v>
      </c>
      <c r="AR530" s="120">
        <f>IFERROR(VLOOKUP(Table1[RespondentID],'All Data'!$A$3:$CO$999,93,FALSE),"unknown")</f>
        <v>0</v>
      </c>
      <c r="AS530" s="120">
        <f>IFERROR(VLOOKUP(Table1[RespondentID],'All Data'!$A$3:$CW$999,94,FALSE),"unknown")</f>
        <v>0</v>
      </c>
      <c r="AT530" s="120">
        <f>IFERROR(VLOOKUP(Table1[RespondentID],'All Data'!$A$3:$CW$999,95,FALSE),"unknown")</f>
        <v>0</v>
      </c>
      <c r="AU530" s="120">
        <f>IFERROR(VLOOKUP(Table1[RespondentID],'All Data'!$A$3:$CW$999,96,FALSE),"unknown")</f>
        <v>0</v>
      </c>
      <c r="AV530" s="120">
        <f>IFERROR(VLOOKUP(Table1[RespondentID],'All Data'!$A$3:$CW$999,97,FALSE),"unknown")</f>
        <v>0</v>
      </c>
      <c r="AW530" s="120">
        <f>IFERROR(VLOOKUP(Table1[RespondentID],'All Data'!$A$3:$CW$999,98,FALSE),"unknown")</f>
        <v>0</v>
      </c>
      <c r="AX530" s="120">
        <f>IFERROR(VLOOKUP(Table1[RespondentID],'All Data'!$A$3:$CW$999,99,FALSE),"unknown")</f>
        <v>0</v>
      </c>
    </row>
  </sheetData>
  <conditionalFormatting sqref="AJ1">
    <cfRule type="containsText" dxfId="3" priority="5" stopIfTrue="1" operator="containsText" text="Wrong">
      <formula>NOT(ISERROR(SEARCH("Wrong",AJ1)))</formula>
    </cfRule>
    <cfRule type="containsText" dxfId="2" priority="6" stopIfTrue="1" operator="containsText" text="False">
      <formula>NOT(ISERROR(SEARCH("False",AJ1)))</formula>
    </cfRule>
  </conditionalFormatting>
  <conditionalFormatting sqref="AJ2:AJ530">
    <cfRule type="containsText" dxfId="1" priority="1" stopIfTrue="1" operator="containsText" text="Wrong">
      <formula>NOT(ISERROR(SEARCH("Wrong",AJ2)))</formula>
    </cfRule>
    <cfRule type="containsText" dxfId="0" priority="2" stopIfTrue="1" operator="containsText" text="False">
      <formula>NOT(ISERROR(SEARCH("False",AJ2)))</formula>
    </cfRule>
  </conditionalFormatting>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30"/>
  <sheetViews>
    <sheetView workbookViewId="0"/>
  </sheetViews>
  <sheetFormatPr defaultRowHeight="14.5"/>
  <cols>
    <col min="1" max="1" width="11" customWidth="1"/>
    <col min="2" max="2" width="23.54296875" customWidth="1"/>
    <col min="3" max="3" width="27" customWidth="1"/>
    <col min="4" max="4" width="32.26953125" customWidth="1"/>
    <col min="5" max="5" width="29.26953125" customWidth="1"/>
    <col min="6" max="6" width="16.7265625" customWidth="1"/>
    <col min="7" max="7" width="19.7265625" customWidth="1"/>
    <col min="8" max="8" width="35.7265625" customWidth="1"/>
    <col min="9" max="9" width="12.54296875" customWidth="1"/>
    <col min="10" max="10" width="14.1796875" customWidth="1"/>
    <col min="11" max="11" width="50.1796875" bestFit="1" customWidth="1"/>
    <col min="12" max="12" width="11" customWidth="1"/>
    <col min="13" max="13" width="19.08984375" style="100" bestFit="1" customWidth="1"/>
    <col min="14" max="14" width="12" style="100" bestFit="1" customWidth="1"/>
    <col min="15" max="15" width="11" style="100" customWidth="1"/>
    <col min="16" max="16" width="12" style="100" customWidth="1"/>
    <col min="17" max="17" width="5" style="100" customWidth="1"/>
    <col min="18" max="20" width="12" style="100" customWidth="1"/>
    <col min="21" max="21" width="5" style="100" customWidth="1"/>
    <col min="22" max="25" width="12" style="100" customWidth="1"/>
    <col min="26" max="27" width="11" style="100" customWidth="1"/>
    <col min="28" max="29" width="2" style="100" customWidth="1"/>
    <col min="30" max="30" width="7.453125" style="100" customWidth="1"/>
    <col min="31" max="31" width="11" customWidth="1"/>
    <col min="32" max="32" width="7.54296875" customWidth="1"/>
    <col min="33" max="33" width="3" customWidth="1"/>
    <col min="34" max="34" width="7.26953125" customWidth="1"/>
    <col min="35" max="35" width="26.7265625" customWidth="1"/>
    <col min="36" max="36" width="22.453125" customWidth="1"/>
    <col min="37" max="37" width="4" customWidth="1"/>
    <col min="38" max="38" width="88.7265625" bestFit="1" customWidth="1"/>
    <col min="39" max="39" width="18.1796875" customWidth="1"/>
    <col min="40" max="40" width="19.7265625" customWidth="1"/>
    <col min="41" max="41" width="35.1796875" customWidth="1"/>
    <col min="42" max="42" width="22" customWidth="1"/>
    <col min="43" max="43" width="4" customWidth="1"/>
  </cols>
  <sheetData>
    <row r="1" spans="1:44" ht="16">
      <c r="A1" s="30" t="s">
        <v>0</v>
      </c>
      <c r="B1" s="31" t="s">
        <v>29</v>
      </c>
      <c r="C1" s="30" t="s">
        <v>30</v>
      </c>
      <c r="D1" s="30" t="s">
        <v>31</v>
      </c>
      <c r="E1" s="30" t="s">
        <v>32</v>
      </c>
      <c r="F1" s="30" t="s">
        <v>33</v>
      </c>
      <c r="G1" s="30" t="s">
        <v>34</v>
      </c>
      <c r="H1" s="30" t="s">
        <v>35</v>
      </c>
      <c r="I1" s="30" t="s">
        <v>36</v>
      </c>
      <c r="J1" s="30" t="s">
        <v>37</v>
      </c>
      <c r="K1" s="103" t="s">
        <v>375</v>
      </c>
      <c r="L1" s="30" t="s">
        <v>395</v>
      </c>
      <c r="M1" s="113" t="s">
        <v>189</v>
      </c>
      <c r="N1" s="113" t="s">
        <v>190</v>
      </c>
      <c r="O1" s="113" t="s">
        <v>210</v>
      </c>
      <c r="P1" s="113" t="s">
        <v>212</v>
      </c>
      <c r="Q1" s="113" t="s">
        <v>213</v>
      </c>
      <c r="R1" s="113" t="s">
        <v>214</v>
      </c>
      <c r="S1" s="113" t="s">
        <v>215</v>
      </c>
      <c r="T1" s="113" t="s">
        <v>216</v>
      </c>
      <c r="U1" s="113" t="s">
        <v>217</v>
      </c>
      <c r="V1" s="113" t="s">
        <v>218</v>
      </c>
      <c r="W1" s="113" t="s">
        <v>219</v>
      </c>
      <c r="X1" s="113" t="s">
        <v>220</v>
      </c>
      <c r="Y1" s="113" t="s">
        <v>396</v>
      </c>
      <c r="Z1" s="113" t="s">
        <v>207</v>
      </c>
      <c r="AA1" s="113" t="s">
        <v>208</v>
      </c>
      <c r="AB1" s="113" t="s">
        <v>204</v>
      </c>
      <c r="AC1" s="113" t="s">
        <v>205</v>
      </c>
      <c r="AD1" s="113" t="s">
        <v>290</v>
      </c>
      <c r="AE1" s="30" t="s">
        <v>211</v>
      </c>
      <c r="AF1" s="13" t="s">
        <v>6</v>
      </c>
      <c r="AG1" s="12" t="s">
        <v>7</v>
      </c>
      <c r="AH1" s="12" t="s">
        <v>8</v>
      </c>
      <c r="AI1" s="12" t="s">
        <v>188</v>
      </c>
      <c r="AJ1" s="12" t="s">
        <v>9</v>
      </c>
      <c r="AK1" s="12" t="s">
        <v>10</v>
      </c>
      <c r="AL1" s="12" t="s">
        <v>11</v>
      </c>
      <c r="AM1" s="12" t="s">
        <v>12</v>
      </c>
      <c r="AN1" s="12" t="s">
        <v>13</v>
      </c>
      <c r="AO1" s="12" t="s">
        <v>14</v>
      </c>
      <c r="AP1" s="12" t="s">
        <v>15</v>
      </c>
      <c r="AQ1" s="12" t="s">
        <v>394</v>
      </c>
      <c r="AR1" s="12" t="s">
        <v>382</v>
      </c>
    </row>
    <row r="2" spans="1:44" ht="16">
      <c r="A2" s="5">
        <v>18025536856</v>
      </c>
      <c r="B2" s="5"/>
      <c r="C2" s="5"/>
      <c r="D2" s="5"/>
      <c r="E2" s="5"/>
      <c r="F2" s="5"/>
      <c r="G2" s="5"/>
      <c r="H2" s="5" t="s">
        <v>35</v>
      </c>
      <c r="I2" s="5"/>
      <c r="J2" s="5"/>
      <c r="K2" s="5"/>
      <c r="L2" s="8"/>
      <c r="M2" s="8">
        <f t="shared" ref="M2:M65" si="0">COUNTA(B2:L2)</f>
        <v>1</v>
      </c>
      <c r="N2" s="8">
        <f t="shared" ref="N2:N65" si="1">3/M2</f>
        <v>3</v>
      </c>
      <c r="O2" s="8"/>
      <c r="P2" s="8">
        <f t="shared" ref="P2:P65" si="2">IF($M2&lt;3,IF($B2=$B$1,1,0),IF($B2=$B$1,$N2,0))</f>
        <v>0</v>
      </c>
      <c r="Q2" s="8">
        <f t="shared" ref="Q2:Q65" si="3">IF($M2&lt;3,IF($C2=$C$1,1,0),IF($C2=$C$1,$N2,0))</f>
        <v>0</v>
      </c>
      <c r="R2" s="8">
        <f t="shared" ref="R2:R65" si="4">IF($M2&lt;3,IF($D2=$D$1,1,0),IF($D2=$D$1,$N2,0))</f>
        <v>0</v>
      </c>
      <c r="S2" s="8">
        <f t="shared" ref="S2:S65" si="5">IF($M2&lt;3,IF($E2=$E$1,1,0),IF($E2=$E$1,$N2,0))</f>
        <v>0</v>
      </c>
      <c r="T2" s="8">
        <f t="shared" ref="T2:T65" si="6">IF($M2&lt;3,IF($F2=$F$1,1,0),IF($F2=$F$1,$N2,0))</f>
        <v>0</v>
      </c>
      <c r="U2" s="8">
        <f t="shared" ref="U2:U65" si="7">IF($M2&lt;3,IF($G2=$G$1,1,0),IF($G2=$G$1,$N2,0))</f>
        <v>0</v>
      </c>
      <c r="V2" s="153">
        <f t="shared" ref="V2:V65" si="8">IF($M2&lt;3,IF($H2=$H$1,1,0),IF($H2=$H$1,$N2,0))</f>
        <v>1</v>
      </c>
      <c r="W2" s="8">
        <f t="shared" ref="W2:W65" si="9">IF($M2&lt;3,IF($I2=$I$1,1,0),IF($I2=$I$1,$N2,0))</f>
        <v>0</v>
      </c>
      <c r="X2" s="8">
        <f t="shared" ref="X2:X65" si="10">IF($M2&lt;3,IF($J2=$J$1,1,0),IF($J2=$J$1,$N2,0))</f>
        <v>0</v>
      </c>
      <c r="Y2" s="8">
        <f t="shared" ref="Y2:Y65" si="11">IF($M2&lt;3,IF($K2=$K$1,1,0),IF($K2=$K$1,$N2,0))</f>
        <v>0</v>
      </c>
      <c r="Z2" s="8"/>
      <c r="AA2" s="8"/>
      <c r="AB2" s="8">
        <f>SUM(P2:Z2)</f>
        <v>1</v>
      </c>
      <c r="AC2" s="8">
        <f t="shared" ref="AC2:AC65" si="12">M2</f>
        <v>1</v>
      </c>
      <c r="AD2" s="8" t="str">
        <f t="shared" ref="AD2:AD65" si="13">IF(AB2=AC2,"Correct",IF(AB2=3,"Correct","Wrong"))</f>
        <v>Correct</v>
      </c>
      <c r="AE2" s="8"/>
      <c r="AF2" s="120" t="str">
        <f>IFERROR(VLOOKUP(Table1[RespondentID],'All Data'!$A$3:$CO$999,87,FALSE),"unknown")</f>
        <v>Man</v>
      </c>
      <c r="AG2" s="120">
        <f>IFERROR(VLOOKUP(Table1[RespondentID],'All Data'!$A$3:$CO$999,88,FALSE),"unknown")</f>
        <v>41</v>
      </c>
      <c r="AH2" s="120" t="str">
        <f>IFERROR(VLOOKUP(Table1[RespondentID],'All Data'!$A$3:$CO$999,89,FALSE),"unknown")</f>
        <v>Suffolk</v>
      </c>
      <c r="AI2" s="120" t="str">
        <f>IFERROR(VLOOKUP(Table1[RespondentID],'All Data'!$A$3:$CO$999,90,FALSE),"unknown")</f>
        <v>Ridge, 11961</v>
      </c>
      <c r="AJ2" s="120" t="str">
        <f>IFERROR(VLOOKUP(Table1[RespondentID],'All Data'!$A$3:$CO$999,91,FALSE),"unknown")</f>
        <v>Asian</v>
      </c>
      <c r="AK2" s="120" t="str">
        <f>IFERROR(VLOOKUP(Table1[RespondentID],'All Data'!$A$3:$CO$999,92,FALSE),"unknown")</f>
        <v>Not Hispanic or Latino</v>
      </c>
      <c r="AL2" s="120">
        <f>IFERROR(VLOOKUP(Table1[RespondentID],'All Data'!$A$3:$CO$999,93,FALSE),"unknown")</f>
        <v>0</v>
      </c>
      <c r="AM2" s="120" t="str">
        <f>IFERROR(VLOOKUP(Table1[RespondentID],'All Data'!$A$3:$CW$999,94,FALSE),"unknown")</f>
        <v>$50,000 to $74,999</v>
      </c>
      <c r="AN2" s="120" t="str">
        <f>IFERROR(VLOOKUP(Table1[RespondentID],'All Data'!$A$3:$CW$999,95,FALSE),"unknown")</f>
        <v>Other (please specify)</v>
      </c>
      <c r="AO2" s="120" t="str">
        <f>IFERROR(VLOOKUP(Table1[RespondentID],'All Data'!$A$3:$CW$999,96,FALSE),"unknown")</f>
        <v>Self-employed</v>
      </c>
      <c r="AP2" s="120" t="str">
        <f>IFERROR(VLOOKUP(Table1[RespondentID],'All Data'!$A$3:$CW$999,97,FALSE),"unknown")</f>
        <v>Yes</v>
      </c>
      <c r="AQ2" s="120" t="str">
        <f>IFERROR(VLOOKUP(Table1[RespondentID],'All Data'!$A$3:$CW$999,98,FALSE),"unknown")</f>
        <v>Medicare</v>
      </c>
      <c r="AR2" s="120">
        <f>IFERROR(VLOOKUP(Table1[RespondentID],'All Data'!$A$3:$CW$999,99,FALSE),"unknown")</f>
        <v>0</v>
      </c>
    </row>
    <row r="3" spans="1:44" ht="16">
      <c r="A3" s="5">
        <v>18025536720</v>
      </c>
      <c r="B3" s="5"/>
      <c r="C3" s="5"/>
      <c r="D3" s="5"/>
      <c r="E3" s="5"/>
      <c r="F3" s="5"/>
      <c r="G3" s="5"/>
      <c r="H3" s="5"/>
      <c r="I3" s="5"/>
      <c r="J3" s="5"/>
      <c r="K3" s="5" t="s">
        <v>375</v>
      </c>
      <c r="L3" s="9"/>
      <c r="M3" s="9">
        <f t="shared" si="0"/>
        <v>1</v>
      </c>
      <c r="N3" s="9">
        <f t="shared" si="1"/>
        <v>3</v>
      </c>
      <c r="O3" s="9"/>
      <c r="P3" s="9">
        <f t="shared" si="2"/>
        <v>0</v>
      </c>
      <c r="Q3" s="9">
        <f t="shared" si="3"/>
        <v>0</v>
      </c>
      <c r="R3" s="9">
        <f t="shared" si="4"/>
        <v>0</v>
      </c>
      <c r="S3" s="9">
        <f t="shared" si="5"/>
        <v>0</v>
      </c>
      <c r="T3" s="9">
        <f t="shared" si="6"/>
        <v>0</v>
      </c>
      <c r="U3" s="9">
        <f t="shared" si="7"/>
        <v>0</v>
      </c>
      <c r="V3" s="153">
        <f t="shared" si="8"/>
        <v>0</v>
      </c>
      <c r="W3" s="9">
        <f t="shared" si="9"/>
        <v>0</v>
      </c>
      <c r="X3" s="9">
        <f t="shared" si="10"/>
        <v>0</v>
      </c>
      <c r="Y3" s="9">
        <f t="shared" si="11"/>
        <v>1</v>
      </c>
      <c r="Z3" s="9"/>
      <c r="AA3" s="9"/>
      <c r="AB3" s="9">
        <f t="shared" ref="AB3:AB66" si="14">SUM(P3:Z3)</f>
        <v>1</v>
      </c>
      <c r="AC3" s="9">
        <f t="shared" si="12"/>
        <v>1</v>
      </c>
      <c r="AD3" s="9" t="str">
        <f t="shared" si="13"/>
        <v>Correct</v>
      </c>
      <c r="AE3" s="9"/>
      <c r="AF3" s="120" t="str">
        <f>IFERROR(VLOOKUP(Table1[RespondentID],'All Data'!$A$3:$CO$999,87,FALSE),"unknown")</f>
        <v>Woman</v>
      </c>
      <c r="AG3" s="120">
        <f>IFERROR(VLOOKUP(Table1[RespondentID],'All Data'!$A$3:$CO$999,88,FALSE),"unknown")</f>
        <v>45</v>
      </c>
      <c r="AH3" s="120" t="str">
        <f>IFERROR(VLOOKUP(Table1[RespondentID],'All Data'!$A$3:$CO$999,89,FALSE),"unknown")</f>
        <v>Suffolk</v>
      </c>
      <c r="AI3" s="120" t="str">
        <f>IFERROR(VLOOKUP(Table1[RespondentID],'All Data'!$A$3:$CO$999,90,FALSE),"unknown")</f>
        <v>Middle Island, 11953</v>
      </c>
      <c r="AJ3" s="120" t="str">
        <f>IFERROR(VLOOKUP(Table1[RespondentID],'All Data'!$A$3:$CO$999,91,FALSE),"unknown")</f>
        <v>Other (please specify)</v>
      </c>
      <c r="AK3" s="120" t="str">
        <f>IFERROR(VLOOKUP(Table1[RespondentID],'All Data'!$A$3:$CO$999,92,FALSE),"unknown")</f>
        <v>Not Hispanic or Latino</v>
      </c>
      <c r="AL3" s="120">
        <f>IFERROR(VLOOKUP(Table1[RespondentID],'All Data'!$A$3:$CO$999,93,FALSE),"unknown")</f>
        <v>0</v>
      </c>
      <c r="AM3" s="120" t="str">
        <f>IFERROR(VLOOKUP(Table1[RespondentID],'All Data'!$A$3:$CW$999,94,FALSE),"unknown")</f>
        <v>$20,000 to $34,999</v>
      </c>
      <c r="AN3" s="120" t="str">
        <f>IFERROR(VLOOKUP(Table1[RespondentID],'All Data'!$A$3:$CW$999,95,FALSE),"unknown")</f>
        <v>College graduate</v>
      </c>
      <c r="AO3" s="120" t="str">
        <f>IFERROR(VLOOKUP(Table1[RespondentID],'All Data'!$A$3:$CW$999,96,FALSE),"unknown")</f>
        <v>Self-employed</v>
      </c>
      <c r="AP3" s="120" t="str">
        <f>IFERROR(VLOOKUP(Table1[RespondentID],'All Data'!$A$3:$CW$999,97,FALSE),"unknown")</f>
        <v>Yes</v>
      </c>
      <c r="AQ3" s="120" t="str">
        <f>IFERROR(VLOOKUP(Table1[RespondentID],'All Data'!$A$3:$CW$999,98,FALSE),"unknown")</f>
        <v>Medicare</v>
      </c>
      <c r="AR3" s="120">
        <f>IFERROR(VLOOKUP(Table1[RespondentID],'All Data'!$A$3:$CW$999,99,FALSE),"unknown")</f>
        <v>0</v>
      </c>
    </row>
    <row r="4" spans="1:44" ht="16">
      <c r="A4" s="5">
        <v>18025536611</v>
      </c>
      <c r="B4" s="5"/>
      <c r="C4" s="5"/>
      <c r="D4" s="5"/>
      <c r="E4" s="5"/>
      <c r="F4" s="5"/>
      <c r="G4" s="5"/>
      <c r="H4" s="5"/>
      <c r="I4" s="5"/>
      <c r="J4" s="5"/>
      <c r="K4" s="5" t="s">
        <v>375</v>
      </c>
      <c r="L4" s="8"/>
      <c r="M4" s="8">
        <f t="shared" si="0"/>
        <v>1</v>
      </c>
      <c r="N4" s="8">
        <f t="shared" si="1"/>
        <v>3</v>
      </c>
      <c r="O4" s="8"/>
      <c r="P4" s="8">
        <f t="shared" si="2"/>
        <v>0</v>
      </c>
      <c r="Q4" s="8">
        <f t="shared" si="3"/>
        <v>0</v>
      </c>
      <c r="R4" s="8">
        <f t="shared" si="4"/>
        <v>0</v>
      </c>
      <c r="S4" s="8">
        <f t="shared" si="5"/>
        <v>0</v>
      </c>
      <c r="T4" s="8">
        <f t="shared" si="6"/>
        <v>0</v>
      </c>
      <c r="U4" s="8">
        <f t="shared" si="7"/>
        <v>0</v>
      </c>
      <c r="V4" s="153">
        <f t="shared" si="8"/>
        <v>0</v>
      </c>
      <c r="W4" s="8">
        <f t="shared" si="9"/>
        <v>0</v>
      </c>
      <c r="X4" s="8">
        <f t="shared" si="10"/>
        <v>0</v>
      </c>
      <c r="Y4" s="8">
        <f t="shared" si="11"/>
        <v>1</v>
      </c>
      <c r="Z4" s="8"/>
      <c r="AA4" s="8"/>
      <c r="AB4" s="8">
        <f t="shared" si="14"/>
        <v>1</v>
      </c>
      <c r="AC4" s="8">
        <f t="shared" si="12"/>
        <v>1</v>
      </c>
      <c r="AD4" s="8" t="str">
        <f t="shared" si="13"/>
        <v>Correct</v>
      </c>
      <c r="AE4" s="8"/>
      <c r="AF4" s="120" t="str">
        <f>IFERROR(VLOOKUP(Table1[RespondentID],'All Data'!$A$3:$CO$999,87,FALSE),"unknown")</f>
        <v>Woman</v>
      </c>
      <c r="AG4" s="120">
        <f>IFERROR(VLOOKUP(Table1[RespondentID],'All Data'!$A$3:$CO$999,88,FALSE),"unknown")</f>
        <v>41</v>
      </c>
      <c r="AH4" s="120" t="str">
        <f>IFERROR(VLOOKUP(Table1[RespondentID],'All Data'!$A$3:$CO$999,89,FALSE),"unknown")</f>
        <v>Suffolk</v>
      </c>
      <c r="AI4" s="120" t="str">
        <f>IFERROR(VLOOKUP(Table1[RespondentID],'All Data'!$A$3:$CO$999,90,FALSE),"unknown")</f>
        <v>Ridge, 11961</v>
      </c>
      <c r="AJ4" s="120" t="str">
        <f>IFERROR(VLOOKUP(Table1[RespondentID],'All Data'!$A$3:$CO$999,91,FALSE),"unknown")</f>
        <v>Asian</v>
      </c>
      <c r="AK4" s="120" t="str">
        <f>IFERROR(VLOOKUP(Table1[RespondentID],'All Data'!$A$3:$CO$999,92,FALSE),"unknown")</f>
        <v>Not Hispanic or Latino</v>
      </c>
      <c r="AL4" s="120">
        <f>IFERROR(VLOOKUP(Table1[RespondentID],'All Data'!$A$3:$CO$999,93,FALSE),"unknown")</f>
        <v>0</v>
      </c>
      <c r="AM4" s="120" t="str">
        <f>IFERROR(VLOOKUP(Table1[RespondentID],'All Data'!$A$3:$CW$999,94,FALSE),"unknown")</f>
        <v>$20,000 to $34,999</v>
      </c>
      <c r="AN4" s="120" t="str">
        <f>IFERROR(VLOOKUP(Table1[RespondentID],'All Data'!$A$3:$CW$999,95,FALSE),"unknown")</f>
        <v>Graduate school</v>
      </c>
      <c r="AO4" s="120" t="str">
        <f>IFERROR(VLOOKUP(Table1[RespondentID],'All Data'!$A$3:$CW$999,96,FALSE),"unknown")</f>
        <v>Self-employed</v>
      </c>
      <c r="AP4" s="120">
        <f>IFERROR(VLOOKUP(Table1[RespondentID],'All Data'!$A$3:$CW$999,97,FALSE),"unknown")</f>
        <v>0</v>
      </c>
      <c r="AQ4" s="120" t="str">
        <f>IFERROR(VLOOKUP(Table1[RespondentID],'All Data'!$A$3:$CW$999,98,FALSE),"unknown")</f>
        <v>Private/Commercial</v>
      </c>
      <c r="AR4" s="120">
        <f>IFERROR(VLOOKUP(Table1[RespondentID],'All Data'!$A$3:$CW$999,99,FALSE),"unknown")</f>
        <v>0</v>
      </c>
    </row>
    <row r="5" spans="1:44" ht="16">
      <c r="A5" s="5">
        <v>18025536366</v>
      </c>
      <c r="B5" s="5"/>
      <c r="C5" s="5"/>
      <c r="D5" s="5"/>
      <c r="E5" s="5"/>
      <c r="F5" s="5"/>
      <c r="G5" s="5" t="s">
        <v>34</v>
      </c>
      <c r="H5" s="5"/>
      <c r="I5" s="5"/>
      <c r="J5" s="5"/>
      <c r="K5" s="5"/>
      <c r="L5" s="9"/>
      <c r="M5" s="9">
        <f t="shared" si="0"/>
        <v>1</v>
      </c>
      <c r="N5" s="9">
        <f t="shared" si="1"/>
        <v>3</v>
      </c>
      <c r="O5" s="9"/>
      <c r="P5" s="9">
        <f t="shared" si="2"/>
        <v>0</v>
      </c>
      <c r="Q5" s="9">
        <f t="shared" si="3"/>
        <v>0</v>
      </c>
      <c r="R5" s="9">
        <f t="shared" si="4"/>
        <v>0</v>
      </c>
      <c r="S5" s="9">
        <f t="shared" si="5"/>
        <v>0</v>
      </c>
      <c r="T5" s="9">
        <f t="shared" si="6"/>
        <v>0</v>
      </c>
      <c r="U5" s="9">
        <f t="shared" si="7"/>
        <v>1</v>
      </c>
      <c r="V5" s="153">
        <f t="shared" si="8"/>
        <v>0</v>
      </c>
      <c r="W5" s="9">
        <f t="shared" si="9"/>
        <v>0</v>
      </c>
      <c r="X5" s="9">
        <f t="shared" si="10"/>
        <v>0</v>
      </c>
      <c r="Y5" s="9">
        <f t="shared" si="11"/>
        <v>0</v>
      </c>
      <c r="Z5" s="9"/>
      <c r="AA5" s="9"/>
      <c r="AB5" s="9">
        <f t="shared" si="14"/>
        <v>1</v>
      </c>
      <c r="AC5" s="9">
        <f t="shared" si="12"/>
        <v>1</v>
      </c>
      <c r="AD5" s="9" t="str">
        <f t="shared" si="13"/>
        <v>Correct</v>
      </c>
      <c r="AE5" s="9"/>
      <c r="AF5" s="120" t="str">
        <f>IFERROR(VLOOKUP(Table1[RespondentID],'All Data'!$A$3:$CO$999,87,FALSE),"unknown")</f>
        <v>Woman</v>
      </c>
      <c r="AG5" s="120">
        <f>IFERROR(VLOOKUP(Table1[RespondentID],'All Data'!$A$3:$CO$999,88,FALSE),"unknown")</f>
        <v>49</v>
      </c>
      <c r="AH5" s="120" t="str">
        <f>IFERROR(VLOOKUP(Table1[RespondentID],'All Data'!$A$3:$CO$999,89,FALSE),"unknown")</f>
        <v>Suffolk</v>
      </c>
      <c r="AI5" s="120" t="str">
        <f>IFERROR(VLOOKUP(Table1[RespondentID],'All Data'!$A$3:$CO$999,90,FALSE),"unknown")</f>
        <v>Middle Island, 11953</v>
      </c>
      <c r="AJ5" s="120" t="str">
        <f>IFERROR(VLOOKUP(Table1[RespondentID],'All Data'!$A$3:$CO$999,91,FALSE),"unknown")</f>
        <v>White</v>
      </c>
      <c r="AK5" s="120" t="str">
        <f>IFERROR(VLOOKUP(Table1[RespondentID],'All Data'!$A$3:$CO$999,92,FALSE),"unknown")</f>
        <v>Not Hispanic or Latino</v>
      </c>
      <c r="AL5" s="120" t="str">
        <f>IFERROR(VLOOKUP(Table1[RespondentID],'All Data'!$A$3:$CO$999,93,FALSE),"unknown")</f>
        <v>English</v>
      </c>
      <c r="AM5" s="120" t="str">
        <f>IFERROR(VLOOKUP(Table1[RespondentID],'All Data'!$A$3:$CW$999,94,FALSE),"unknown")</f>
        <v>$20,000 to $34,999</v>
      </c>
      <c r="AN5" s="120" t="str">
        <f>IFERROR(VLOOKUP(Table1[RespondentID],'All Data'!$A$3:$CW$999,95,FALSE),"unknown")</f>
        <v>College graduate</v>
      </c>
      <c r="AO5" s="120" t="str">
        <f>IFERROR(VLOOKUP(Table1[RespondentID],'All Data'!$A$3:$CW$999,96,FALSE),"unknown")</f>
        <v>Self-employed</v>
      </c>
      <c r="AP5" s="120" t="str">
        <f>IFERROR(VLOOKUP(Table1[RespondentID],'All Data'!$A$3:$CW$999,97,FALSE),"unknown")</f>
        <v>Yes</v>
      </c>
      <c r="AQ5" s="120" t="str">
        <f>IFERROR(VLOOKUP(Table1[RespondentID],'All Data'!$A$3:$CW$999,98,FALSE),"unknown")</f>
        <v>Medicaid</v>
      </c>
      <c r="AR5" s="120">
        <f>IFERROR(VLOOKUP(Table1[RespondentID],'All Data'!$A$3:$CW$999,99,FALSE),"unknown")</f>
        <v>0</v>
      </c>
    </row>
    <row r="6" spans="1:44" ht="16">
      <c r="A6" s="5">
        <v>18025536248</v>
      </c>
      <c r="B6" s="5"/>
      <c r="C6" s="5"/>
      <c r="D6" s="5"/>
      <c r="E6" s="5"/>
      <c r="F6" s="5"/>
      <c r="G6" s="5"/>
      <c r="H6" s="5"/>
      <c r="I6" s="5"/>
      <c r="J6" s="5" t="s">
        <v>37</v>
      </c>
      <c r="K6" s="5" t="s">
        <v>375</v>
      </c>
      <c r="L6" s="8"/>
      <c r="M6" s="8">
        <f t="shared" si="0"/>
        <v>2</v>
      </c>
      <c r="N6" s="8">
        <f t="shared" si="1"/>
        <v>1.5</v>
      </c>
      <c r="O6" s="8"/>
      <c r="P6" s="8">
        <f t="shared" si="2"/>
        <v>0</v>
      </c>
      <c r="Q6" s="8">
        <f t="shared" si="3"/>
        <v>0</v>
      </c>
      <c r="R6" s="8">
        <f t="shared" si="4"/>
        <v>0</v>
      </c>
      <c r="S6" s="8">
        <f t="shared" si="5"/>
        <v>0</v>
      </c>
      <c r="T6" s="8">
        <f t="shared" si="6"/>
        <v>0</v>
      </c>
      <c r="U6" s="8">
        <f t="shared" si="7"/>
        <v>0</v>
      </c>
      <c r="V6" s="153">
        <f t="shared" si="8"/>
        <v>0</v>
      </c>
      <c r="W6" s="8">
        <f t="shared" si="9"/>
        <v>0</v>
      </c>
      <c r="X6" s="8">
        <f t="shared" si="10"/>
        <v>1</v>
      </c>
      <c r="Y6" s="8">
        <f t="shared" si="11"/>
        <v>1</v>
      </c>
      <c r="Z6" s="8"/>
      <c r="AA6" s="8"/>
      <c r="AB6" s="8">
        <f t="shared" si="14"/>
        <v>2</v>
      </c>
      <c r="AC6" s="8">
        <f t="shared" si="12"/>
        <v>2</v>
      </c>
      <c r="AD6" s="8" t="str">
        <f t="shared" si="13"/>
        <v>Correct</v>
      </c>
      <c r="AE6" s="8"/>
      <c r="AF6" s="120" t="str">
        <f>IFERROR(VLOOKUP(Table1[RespondentID],'All Data'!$A$3:$CO$999,87,FALSE),"unknown")</f>
        <v>Man</v>
      </c>
      <c r="AG6" s="120">
        <f>IFERROR(VLOOKUP(Table1[RespondentID],'All Data'!$A$3:$CO$999,88,FALSE),"unknown")</f>
        <v>36</v>
      </c>
      <c r="AH6" s="120" t="str">
        <f>IFERROR(VLOOKUP(Table1[RespondentID],'All Data'!$A$3:$CO$999,89,FALSE),"unknown")</f>
        <v>Suffolk</v>
      </c>
      <c r="AI6" s="120" t="str">
        <f>IFERROR(VLOOKUP(Table1[RespondentID],'All Data'!$A$3:$CO$999,90,FALSE),"unknown")</f>
        <v>Middle Island, 11953</v>
      </c>
      <c r="AJ6" s="120" t="str">
        <f>IFERROR(VLOOKUP(Table1[RespondentID],'All Data'!$A$3:$CO$999,91,FALSE),"unknown")</f>
        <v>Other (please specify)</v>
      </c>
      <c r="AK6" s="120" t="str">
        <f>IFERROR(VLOOKUP(Table1[RespondentID],'All Data'!$A$3:$CO$999,92,FALSE),"unknown")</f>
        <v>Hispanic or Latino</v>
      </c>
      <c r="AL6" s="120" t="str">
        <f>IFERROR(VLOOKUP(Table1[RespondentID],'All Data'!$A$3:$CO$999,93,FALSE),"unknown")</f>
        <v>Spanish</v>
      </c>
      <c r="AM6" s="120" t="str">
        <f>IFERROR(VLOOKUP(Table1[RespondentID],'All Data'!$A$3:$CW$999,94,FALSE),"unknown")</f>
        <v>$0-$19,999</v>
      </c>
      <c r="AN6" s="120" t="str">
        <f>IFERROR(VLOOKUP(Table1[RespondentID],'All Data'!$A$3:$CW$999,95,FALSE),"unknown")</f>
        <v>Technical school</v>
      </c>
      <c r="AO6" s="120" t="str">
        <f>IFERROR(VLOOKUP(Table1[RespondentID],'All Data'!$A$3:$CW$999,96,FALSE),"unknown")</f>
        <v>Out of work and looking for work</v>
      </c>
      <c r="AP6" s="120" t="str">
        <f>IFERROR(VLOOKUP(Table1[RespondentID],'All Data'!$A$3:$CW$999,97,FALSE),"unknown")</f>
        <v>Yes</v>
      </c>
      <c r="AQ6" s="120" t="str">
        <f>IFERROR(VLOOKUP(Table1[RespondentID],'All Data'!$A$3:$CW$999,98,FALSE),"unknown")</f>
        <v>Medicaid</v>
      </c>
      <c r="AR6" s="120">
        <f>IFERROR(VLOOKUP(Table1[RespondentID],'All Data'!$A$3:$CW$999,99,FALSE),"unknown")</f>
        <v>0</v>
      </c>
    </row>
    <row r="7" spans="1:44" ht="16">
      <c r="A7" s="5">
        <v>18025536153</v>
      </c>
      <c r="B7" s="5"/>
      <c r="C7" s="5"/>
      <c r="D7" s="5"/>
      <c r="E7" s="5"/>
      <c r="F7" s="5"/>
      <c r="G7" s="5" t="s">
        <v>34</v>
      </c>
      <c r="H7" s="5"/>
      <c r="I7" s="5"/>
      <c r="J7" s="5"/>
      <c r="K7" s="5"/>
      <c r="L7" s="9"/>
      <c r="M7" s="9">
        <f t="shared" si="0"/>
        <v>1</v>
      </c>
      <c r="N7" s="9">
        <f t="shared" si="1"/>
        <v>3</v>
      </c>
      <c r="O7" s="9"/>
      <c r="P7" s="9">
        <f t="shared" si="2"/>
        <v>0</v>
      </c>
      <c r="Q7" s="9">
        <f t="shared" si="3"/>
        <v>0</v>
      </c>
      <c r="R7" s="9">
        <f t="shared" si="4"/>
        <v>0</v>
      </c>
      <c r="S7" s="9">
        <f t="shared" si="5"/>
        <v>0</v>
      </c>
      <c r="T7" s="9">
        <f t="shared" si="6"/>
        <v>0</v>
      </c>
      <c r="U7" s="9">
        <f t="shared" si="7"/>
        <v>1</v>
      </c>
      <c r="V7" s="153">
        <f t="shared" si="8"/>
        <v>0</v>
      </c>
      <c r="W7" s="9">
        <f t="shared" si="9"/>
        <v>0</v>
      </c>
      <c r="X7" s="9">
        <f t="shared" si="10"/>
        <v>0</v>
      </c>
      <c r="Y7" s="9">
        <f t="shared" si="11"/>
        <v>0</v>
      </c>
      <c r="Z7" s="9"/>
      <c r="AA7" s="9"/>
      <c r="AB7" s="9">
        <f t="shared" si="14"/>
        <v>1</v>
      </c>
      <c r="AC7" s="9">
        <f t="shared" si="12"/>
        <v>1</v>
      </c>
      <c r="AD7" s="9" t="str">
        <f t="shared" si="13"/>
        <v>Correct</v>
      </c>
      <c r="AE7" s="9"/>
      <c r="AF7" s="120" t="str">
        <f>IFERROR(VLOOKUP(Table1[RespondentID],'All Data'!$A$3:$CO$999,87,FALSE),"unknown")</f>
        <v>Woman</v>
      </c>
      <c r="AG7" s="120">
        <f>IFERROR(VLOOKUP(Table1[RespondentID],'All Data'!$A$3:$CO$999,88,FALSE),"unknown")</f>
        <v>34</v>
      </c>
      <c r="AH7" s="120" t="str">
        <f>IFERROR(VLOOKUP(Table1[RespondentID],'All Data'!$A$3:$CO$999,89,FALSE),"unknown")</f>
        <v>Suffolk</v>
      </c>
      <c r="AI7" s="120" t="str">
        <f>IFERROR(VLOOKUP(Table1[RespondentID],'All Data'!$A$3:$CO$999,90,FALSE),"unknown")</f>
        <v>Ridge, 11961</v>
      </c>
      <c r="AJ7" s="120" t="str">
        <f>IFERROR(VLOOKUP(Table1[RespondentID],'All Data'!$A$3:$CO$999,91,FALSE),"unknown")</f>
        <v>Asian</v>
      </c>
      <c r="AK7" s="120" t="str">
        <f>IFERROR(VLOOKUP(Table1[RespondentID],'All Data'!$A$3:$CO$999,92,FALSE),"unknown")</f>
        <v>Not Hispanic or Latino</v>
      </c>
      <c r="AL7" s="120">
        <f>IFERROR(VLOOKUP(Table1[RespondentID],'All Data'!$A$3:$CO$999,93,FALSE),"unknown")</f>
        <v>0</v>
      </c>
      <c r="AM7" s="120" t="str">
        <f>IFERROR(VLOOKUP(Table1[RespondentID],'All Data'!$A$3:$CW$999,94,FALSE),"unknown")</f>
        <v>$0-$19,999</v>
      </c>
      <c r="AN7" s="120" t="str">
        <f>IFERROR(VLOOKUP(Table1[RespondentID],'All Data'!$A$3:$CW$999,95,FALSE),"unknown")</f>
        <v>Graduate school</v>
      </c>
      <c r="AO7" s="120">
        <f>IFERROR(VLOOKUP(Table1[RespondentID],'All Data'!$A$3:$CW$999,96,FALSE),"unknown")</f>
        <v>0</v>
      </c>
      <c r="AP7" s="120" t="str">
        <f>IFERROR(VLOOKUP(Table1[RespondentID],'All Data'!$A$3:$CW$999,97,FALSE),"unknown")</f>
        <v>Yes</v>
      </c>
      <c r="AQ7" s="120" t="str">
        <f>IFERROR(VLOOKUP(Table1[RespondentID],'All Data'!$A$3:$CW$999,98,FALSE),"unknown")</f>
        <v>Private/Commercial</v>
      </c>
      <c r="AR7" s="120">
        <f>IFERROR(VLOOKUP(Table1[RespondentID],'All Data'!$A$3:$CW$999,99,FALSE),"unknown")</f>
        <v>0</v>
      </c>
    </row>
    <row r="8" spans="1:44" ht="16">
      <c r="A8" s="5">
        <v>18025536056</v>
      </c>
      <c r="B8" s="5"/>
      <c r="C8" s="5"/>
      <c r="D8" s="5"/>
      <c r="E8" s="5"/>
      <c r="F8" s="5"/>
      <c r="G8" s="5" t="s">
        <v>34</v>
      </c>
      <c r="H8" s="5"/>
      <c r="I8" s="5"/>
      <c r="J8" s="5"/>
      <c r="K8" s="5"/>
      <c r="L8" s="8"/>
      <c r="M8" s="8">
        <f t="shared" si="0"/>
        <v>1</v>
      </c>
      <c r="N8" s="8">
        <f t="shared" si="1"/>
        <v>3</v>
      </c>
      <c r="O8" s="8"/>
      <c r="P8" s="8">
        <f t="shared" si="2"/>
        <v>0</v>
      </c>
      <c r="Q8" s="8">
        <f t="shared" si="3"/>
        <v>0</v>
      </c>
      <c r="R8" s="8">
        <f t="shared" si="4"/>
        <v>0</v>
      </c>
      <c r="S8" s="8">
        <f t="shared" si="5"/>
        <v>0</v>
      </c>
      <c r="T8" s="8">
        <f t="shared" si="6"/>
        <v>0</v>
      </c>
      <c r="U8" s="8">
        <f t="shared" si="7"/>
        <v>1</v>
      </c>
      <c r="V8" s="153">
        <f t="shared" si="8"/>
        <v>0</v>
      </c>
      <c r="W8" s="8">
        <f t="shared" si="9"/>
        <v>0</v>
      </c>
      <c r="X8" s="8">
        <f t="shared" si="10"/>
        <v>0</v>
      </c>
      <c r="Y8" s="8">
        <f t="shared" si="11"/>
        <v>0</v>
      </c>
      <c r="Z8" s="8"/>
      <c r="AA8" s="8"/>
      <c r="AB8" s="8">
        <f t="shared" si="14"/>
        <v>1</v>
      </c>
      <c r="AC8" s="8">
        <f t="shared" si="12"/>
        <v>1</v>
      </c>
      <c r="AD8" s="8" t="str">
        <f t="shared" si="13"/>
        <v>Correct</v>
      </c>
      <c r="AE8" s="8"/>
      <c r="AF8" s="120" t="str">
        <f>IFERROR(VLOOKUP(Table1[RespondentID],'All Data'!$A$3:$CO$999,87,FALSE),"unknown")</f>
        <v>Man</v>
      </c>
      <c r="AG8" s="120">
        <f>IFERROR(VLOOKUP(Table1[RespondentID],'All Data'!$A$3:$CO$999,88,FALSE),"unknown")</f>
        <v>30</v>
      </c>
      <c r="AH8" s="120" t="str">
        <f>IFERROR(VLOOKUP(Table1[RespondentID],'All Data'!$A$3:$CO$999,89,FALSE),"unknown")</f>
        <v>Suffolk</v>
      </c>
      <c r="AI8" s="120" t="str">
        <f>IFERROR(VLOOKUP(Table1[RespondentID],'All Data'!$A$3:$CO$999,90,FALSE),"unknown")</f>
        <v>Ridge, 11961</v>
      </c>
      <c r="AJ8" s="120" t="str">
        <f>IFERROR(VLOOKUP(Table1[RespondentID],'All Data'!$A$3:$CO$999,91,FALSE),"unknown")</f>
        <v>Two or more races</v>
      </c>
      <c r="AK8" s="120" t="str">
        <f>IFERROR(VLOOKUP(Table1[RespondentID],'All Data'!$A$3:$CO$999,92,FALSE),"unknown")</f>
        <v>Not Hispanic or Latino</v>
      </c>
      <c r="AL8" s="120" t="str">
        <f>IFERROR(VLOOKUP(Table1[RespondentID],'All Data'!$A$3:$CO$999,93,FALSE),"unknown")</f>
        <v>English</v>
      </c>
      <c r="AM8" s="120" t="str">
        <f>IFERROR(VLOOKUP(Table1[RespondentID],'All Data'!$A$3:$CW$999,94,FALSE),"unknown")</f>
        <v>$50,000 to $74,999</v>
      </c>
      <c r="AN8" s="120" t="str">
        <f>IFERROR(VLOOKUP(Table1[RespondentID],'All Data'!$A$3:$CW$999,95,FALSE),"unknown")</f>
        <v>Some college</v>
      </c>
      <c r="AO8" s="120" t="str">
        <f>IFERROR(VLOOKUP(Table1[RespondentID],'All Data'!$A$3:$CW$999,96,FALSE),"unknown")</f>
        <v>Self-employed</v>
      </c>
      <c r="AP8" s="120" t="str">
        <f>IFERROR(VLOOKUP(Table1[RespondentID],'All Data'!$A$3:$CW$999,97,FALSE),"unknown")</f>
        <v>Yes</v>
      </c>
      <c r="AQ8" s="120" t="str">
        <f>IFERROR(VLOOKUP(Table1[RespondentID],'All Data'!$A$3:$CW$999,98,FALSE),"unknown")</f>
        <v>Medicare</v>
      </c>
      <c r="AR8" s="120">
        <f>IFERROR(VLOOKUP(Table1[RespondentID],'All Data'!$A$3:$CW$999,99,FALSE),"unknown")</f>
        <v>0</v>
      </c>
    </row>
    <row r="9" spans="1:44" ht="16">
      <c r="A9" s="5">
        <v>18025535944</v>
      </c>
      <c r="B9" s="5"/>
      <c r="C9" s="5"/>
      <c r="D9" s="5" t="s">
        <v>31</v>
      </c>
      <c r="E9" s="5"/>
      <c r="F9" s="5"/>
      <c r="G9" s="5"/>
      <c r="H9" s="5"/>
      <c r="I9" s="5"/>
      <c r="J9" s="5"/>
      <c r="K9" s="5"/>
      <c r="L9" s="9"/>
      <c r="M9" s="9">
        <f t="shared" si="0"/>
        <v>1</v>
      </c>
      <c r="N9" s="9">
        <f t="shared" si="1"/>
        <v>3</v>
      </c>
      <c r="O9" s="9"/>
      <c r="P9" s="9">
        <f t="shared" si="2"/>
        <v>0</v>
      </c>
      <c r="Q9" s="9">
        <f t="shared" si="3"/>
        <v>0</v>
      </c>
      <c r="R9" s="9">
        <f t="shared" si="4"/>
        <v>1</v>
      </c>
      <c r="S9" s="9">
        <f t="shared" si="5"/>
        <v>0</v>
      </c>
      <c r="T9" s="9">
        <f t="shared" si="6"/>
        <v>0</v>
      </c>
      <c r="U9" s="9">
        <f t="shared" si="7"/>
        <v>0</v>
      </c>
      <c r="V9" s="153">
        <f t="shared" si="8"/>
        <v>0</v>
      </c>
      <c r="W9" s="9">
        <f t="shared" si="9"/>
        <v>0</v>
      </c>
      <c r="X9" s="9">
        <f t="shared" si="10"/>
        <v>0</v>
      </c>
      <c r="Y9" s="9">
        <f t="shared" si="11"/>
        <v>0</v>
      </c>
      <c r="Z9" s="9"/>
      <c r="AA9" s="9"/>
      <c r="AB9" s="9">
        <f t="shared" si="14"/>
        <v>1</v>
      </c>
      <c r="AC9" s="9">
        <f t="shared" si="12"/>
        <v>1</v>
      </c>
      <c r="AD9" s="9" t="str">
        <f t="shared" si="13"/>
        <v>Correct</v>
      </c>
      <c r="AE9" s="9"/>
      <c r="AF9" s="120" t="str">
        <f>IFERROR(VLOOKUP(Table1[RespondentID],'All Data'!$A$3:$CO$999,87,FALSE),"unknown")</f>
        <v>Woman</v>
      </c>
      <c r="AG9" s="120">
        <f>IFERROR(VLOOKUP(Table1[RespondentID],'All Data'!$A$3:$CO$999,88,FALSE),"unknown")</f>
        <v>43</v>
      </c>
      <c r="AH9" s="120" t="str">
        <f>IFERROR(VLOOKUP(Table1[RespondentID],'All Data'!$A$3:$CO$999,89,FALSE),"unknown")</f>
        <v>Suffolk</v>
      </c>
      <c r="AI9" s="120" t="str">
        <f>IFERROR(VLOOKUP(Table1[RespondentID],'All Data'!$A$3:$CO$999,90,FALSE),"unknown")</f>
        <v>Ridge, 11961</v>
      </c>
      <c r="AJ9" s="120" t="str">
        <f>IFERROR(VLOOKUP(Table1[RespondentID],'All Data'!$A$3:$CO$999,91,FALSE),"unknown")</f>
        <v>Asian</v>
      </c>
      <c r="AK9" s="120" t="str">
        <f>IFERROR(VLOOKUP(Table1[RespondentID],'All Data'!$A$3:$CO$999,92,FALSE),"unknown")</f>
        <v>Not Hispanic or Latino</v>
      </c>
      <c r="AL9" s="120">
        <f>IFERROR(VLOOKUP(Table1[RespondentID],'All Data'!$A$3:$CO$999,93,FALSE),"unknown")</f>
        <v>0</v>
      </c>
      <c r="AM9" s="120" t="str">
        <f>IFERROR(VLOOKUP(Table1[RespondentID],'All Data'!$A$3:$CW$999,94,FALSE),"unknown")</f>
        <v>$75,000 to $125,000</v>
      </c>
      <c r="AN9" s="120" t="str">
        <f>IFERROR(VLOOKUP(Table1[RespondentID],'All Data'!$A$3:$CW$999,95,FALSE),"unknown")</f>
        <v>Other (please specify)</v>
      </c>
      <c r="AO9" s="120" t="str">
        <f>IFERROR(VLOOKUP(Table1[RespondentID],'All Data'!$A$3:$CW$999,96,FALSE),"unknown")</f>
        <v>Out of work and looking for work</v>
      </c>
      <c r="AP9" s="120" t="str">
        <f>IFERROR(VLOOKUP(Table1[RespondentID],'All Data'!$A$3:$CW$999,97,FALSE),"unknown")</f>
        <v>Yes</v>
      </c>
      <c r="AQ9" s="120" t="str">
        <f>IFERROR(VLOOKUP(Table1[RespondentID],'All Data'!$A$3:$CW$999,98,FALSE),"unknown")</f>
        <v>Private/Commercial</v>
      </c>
      <c r="AR9" s="120">
        <f>IFERROR(VLOOKUP(Table1[RespondentID],'All Data'!$A$3:$CW$999,99,FALSE),"unknown")</f>
        <v>0</v>
      </c>
    </row>
    <row r="10" spans="1:44" ht="16">
      <c r="A10" s="5">
        <v>18025535832</v>
      </c>
      <c r="B10" s="5"/>
      <c r="C10" s="5"/>
      <c r="D10" s="5"/>
      <c r="E10" s="5"/>
      <c r="F10" s="5"/>
      <c r="G10" s="5" t="s">
        <v>34</v>
      </c>
      <c r="H10" s="5"/>
      <c r="I10" s="5"/>
      <c r="J10" s="5"/>
      <c r="K10" s="5"/>
      <c r="L10" s="8"/>
      <c r="M10" s="8">
        <f t="shared" si="0"/>
        <v>1</v>
      </c>
      <c r="N10" s="8">
        <f t="shared" si="1"/>
        <v>3</v>
      </c>
      <c r="O10" s="8"/>
      <c r="P10" s="8">
        <f t="shared" si="2"/>
        <v>0</v>
      </c>
      <c r="Q10" s="8">
        <f t="shared" si="3"/>
        <v>0</v>
      </c>
      <c r="R10" s="8">
        <f t="shared" si="4"/>
        <v>0</v>
      </c>
      <c r="S10" s="8">
        <f t="shared" si="5"/>
        <v>0</v>
      </c>
      <c r="T10" s="8">
        <f t="shared" si="6"/>
        <v>0</v>
      </c>
      <c r="U10" s="8">
        <f t="shared" si="7"/>
        <v>1</v>
      </c>
      <c r="V10" s="153">
        <f t="shared" si="8"/>
        <v>0</v>
      </c>
      <c r="W10" s="8">
        <f t="shared" si="9"/>
        <v>0</v>
      </c>
      <c r="X10" s="8">
        <f t="shared" si="10"/>
        <v>0</v>
      </c>
      <c r="Y10" s="8">
        <f t="shared" si="11"/>
        <v>0</v>
      </c>
      <c r="Z10" s="8"/>
      <c r="AA10" s="8"/>
      <c r="AB10" s="8">
        <f t="shared" si="14"/>
        <v>1</v>
      </c>
      <c r="AC10" s="8">
        <f t="shared" si="12"/>
        <v>1</v>
      </c>
      <c r="AD10" s="8" t="str">
        <f t="shared" si="13"/>
        <v>Correct</v>
      </c>
      <c r="AE10" s="8"/>
      <c r="AF10" s="120" t="str">
        <f>IFERROR(VLOOKUP(Table1[RespondentID],'All Data'!$A$3:$CO$999,87,FALSE),"unknown")</f>
        <v>Woman</v>
      </c>
      <c r="AG10" s="120">
        <f>IFERROR(VLOOKUP(Table1[RespondentID],'All Data'!$A$3:$CO$999,88,FALSE),"unknown")</f>
        <v>20</v>
      </c>
      <c r="AH10" s="120" t="str">
        <f>IFERROR(VLOOKUP(Table1[RespondentID],'All Data'!$A$3:$CO$999,89,FALSE),"unknown")</f>
        <v>Suffolk</v>
      </c>
      <c r="AI10" s="120" t="str">
        <f>IFERROR(VLOOKUP(Table1[RespondentID],'All Data'!$A$3:$CO$999,90,FALSE),"unknown")</f>
        <v>Ridge, 11961</v>
      </c>
      <c r="AJ10" s="120" t="str">
        <f>IFERROR(VLOOKUP(Table1[RespondentID],'All Data'!$A$3:$CO$999,91,FALSE),"unknown")</f>
        <v>Asian</v>
      </c>
      <c r="AK10" s="120">
        <f>IFERROR(VLOOKUP(Table1[RespondentID],'All Data'!$A$3:$CO$999,92,FALSE),"unknown")</f>
        <v>0</v>
      </c>
      <c r="AL10" s="120">
        <f>IFERROR(VLOOKUP(Table1[RespondentID],'All Data'!$A$3:$CO$999,93,FALSE),"unknown")</f>
        <v>0</v>
      </c>
      <c r="AM10" s="120" t="str">
        <f>IFERROR(VLOOKUP(Table1[RespondentID],'All Data'!$A$3:$CW$999,94,FALSE),"unknown")</f>
        <v>$0-$19,999</v>
      </c>
      <c r="AN10" s="120" t="str">
        <f>IFERROR(VLOOKUP(Table1[RespondentID],'All Data'!$A$3:$CW$999,95,FALSE),"unknown")</f>
        <v>High school graduate</v>
      </c>
      <c r="AO10" s="120" t="str">
        <f>IFERROR(VLOOKUP(Table1[RespondentID],'All Data'!$A$3:$CW$999,96,FALSE),"unknown")</f>
        <v>Student</v>
      </c>
      <c r="AP10" s="120" t="str">
        <f>IFERROR(VLOOKUP(Table1[RespondentID],'All Data'!$A$3:$CW$999,97,FALSE),"unknown")</f>
        <v>Yes</v>
      </c>
      <c r="AQ10" s="120" t="str">
        <f>IFERROR(VLOOKUP(Table1[RespondentID],'All Data'!$A$3:$CW$999,98,FALSE),"unknown")</f>
        <v>Medicare</v>
      </c>
      <c r="AR10" s="120">
        <f>IFERROR(VLOOKUP(Table1[RespondentID],'All Data'!$A$3:$CW$999,99,FALSE),"unknown")</f>
        <v>0</v>
      </c>
    </row>
    <row r="11" spans="1:44" ht="16">
      <c r="A11" s="5">
        <v>18025535657</v>
      </c>
      <c r="B11" s="5"/>
      <c r="C11" s="5"/>
      <c r="D11" s="5"/>
      <c r="E11" s="5"/>
      <c r="F11" s="5"/>
      <c r="G11" s="5"/>
      <c r="H11" s="5"/>
      <c r="I11" s="5"/>
      <c r="J11" s="5"/>
      <c r="K11" s="5" t="s">
        <v>375</v>
      </c>
      <c r="L11" s="9"/>
      <c r="M11" s="9">
        <f t="shared" si="0"/>
        <v>1</v>
      </c>
      <c r="N11" s="9">
        <f t="shared" si="1"/>
        <v>3</v>
      </c>
      <c r="O11" s="9"/>
      <c r="P11" s="9">
        <f t="shared" si="2"/>
        <v>0</v>
      </c>
      <c r="Q11" s="9">
        <f t="shared" si="3"/>
        <v>0</v>
      </c>
      <c r="R11" s="9">
        <f t="shared" si="4"/>
        <v>0</v>
      </c>
      <c r="S11" s="9">
        <f t="shared" si="5"/>
        <v>0</v>
      </c>
      <c r="T11" s="9">
        <f t="shared" si="6"/>
        <v>0</v>
      </c>
      <c r="U11" s="9">
        <f t="shared" si="7"/>
        <v>0</v>
      </c>
      <c r="V11" s="153">
        <f t="shared" si="8"/>
        <v>0</v>
      </c>
      <c r="W11" s="9">
        <f t="shared" si="9"/>
        <v>0</v>
      </c>
      <c r="X11" s="9">
        <f t="shared" si="10"/>
        <v>0</v>
      </c>
      <c r="Y11" s="9">
        <f t="shared" si="11"/>
        <v>1</v>
      </c>
      <c r="Z11" s="9"/>
      <c r="AA11" s="9"/>
      <c r="AB11" s="9">
        <f t="shared" si="14"/>
        <v>1</v>
      </c>
      <c r="AC11" s="9">
        <f t="shared" si="12"/>
        <v>1</v>
      </c>
      <c r="AD11" s="9" t="str">
        <f t="shared" si="13"/>
        <v>Correct</v>
      </c>
      <c r="AE11" s="9"/>
      <c r="AF11" s="120">
        <f>IFERROR(VLOOKUP(Table1[RespondentID],'All Data'!$A$3:$CO$999,87,FALSE),"unknown")</f>
        <v>0</v>
      </c>
      <c r="AG11" s="120">
        <f>IFERROR(VLOOKUP(Table1[RespondentID],'All Data'!$A$3:$CO$999,88,FALSE),"unknown")</f>
        <v>17</v>
      </c>
      <c r="AH11" s="120" t="str">
        <f>IFERROR(VLOOKUP(Table1[RespondentID],'All Data'!$A$3:$CO$999,89,FALSE),"unknown")</f>
        <v>Suffolk</v>
      </c>
      <c r="AI11" s="120" t="str">
        <f>IFERROR(VLOOKUP(Table1[RespondentID],'All Data'!$A$3:$CO$999,90,FALSE),"unknown")</f>
        <v>Ridge, 11961</v>
      </c>
      <c r="AJ11" s="120" t="str">
        <f>IFERROR(VLOOKUP(Table1[RespondentID],'All Data'!$A$3:$CO$999,91,FALSE),"unknown")</f>
        <v>Asian</v>
      </c>
      <c r="AK11" s="120" t="str">
        <f>IFERROR(VLOOKUP(Table1[RespondentID],'All Data'!$A$3:$CO$999,92,FALSE),"unknown")</f>
        <v>Not Hispanic or Latino</v>
      </c>
      <c r="AL11" s="120">
        <f>IFERROR(VLOOKUP(Table1[RespondentID],'All Data'!$A$3:$CO$999,93,FALSE),"unknown")</f>
        <v>0</v>
      </c>
      <c r="AM11" s="120" t="str">
        <f>IFERROR(VLOOKUP(Table1[RespondentID],'All Data'!$A$3:$CW$999,94,FALSE),"unknown")</f>
        <v>$0-$19,999</v>
      </c>
      <c r="AN11" s="120" t="str">
        <f>IFERROR(VLOOKUP(Table1[RespondentID],'All Data'!$A$3:$CW$999,95,FALSE),"unknown")</f>
        <v>Some high school</v>
      </c>
      <c r="AO11" s="120" t="str">
        <f>IFERROR(VLOOKUP(Table1[RespondentID],'All Data'!$A$3:$CW$999,96,FALSE),"unknown")</f>
        <v>Out of work, but not currently looking</v>
      </c>
      <c r="AP11" s="120" t="str">
        <f>IFERROR(VLOOKUP(Table1[RespondentID],'All Data'!$A$3:$CW$999,97,FALSE),"unknown")</f>
        <v>Yes</v>
      </c>
      <c r="AQ11" s="120" t="str">
        <f>IFERROR(VLOOKUP(Table1[RespondentID],'All Data'!$A$3:$CW$999,98,FALSE),"unknown")</f>
        <v>Medicare</v>
      </c>
      <c r="AR11" s="120">
        <f>IFERROR(VLOOKUP(Table1[RespondentID],'All Data'!$A$3:$CW$999,99,FALSE),"unknown")</f>
        <v>0</v>
      </c>
    </row>
    <row r="12" spans="1:44" ht="16">
      <c r="A12" s="5">
        <v>18025535535</v>
      </c>
      <c r="B12" s="5"/>
      <c r="C12" s="5" t="s">
        <v>30</v>
      </c>
      <c r="D12" s="5" t="s">
        <v>31</v>
      </c>
      <c r="E12" s="5"/>
      <c r="F12" s="5"/>
      <c r="G12" s="5"/>
      <c r="H12" s="5"/>
      <c r="I12" s="5" t="s">
        <v>36</v>
      </c>
      <c r="J12" s="5"/>
      <c r="K12" s="5"/>
      <c r="L12" s="8"/>
      <c r="M12" s="8">
        <f t="shared" si="0"/>
        <v>3</v>
      </c>
      <c r="N12" s="8">
        <f t="shared" si="1"/>
        <v>1</v>
      </c>
      <c r="O12" s="8"/>
      <c r="P12" s="8">
        <f t="shared" si="2"/>
        <v>0</v>
      </c>
      <c r="Q12" s="8">
        <f t="shared" si="3"/>
        <v>1</v>
      </c>
      <c r="R12" s="8">
        <f t="shared" si="4"/>
        <v>1</v>
      </c>
      <c r="S12" s="8">
        <f t="shared" si="5"/>
        <v>0</v>
      </c>
      <c r="T12" s="8">
        <f t="shared" si="6"/>
        <v>0</v>
      </c>
      <c r="U12" s="8">
        <f t="shared" si="7"/>
        <v>0</v>
      </c>
      <c r="V12" s="153">
        <f t="shared" si="8"/>
        <v>0</v>
      </c>
      <c r="W12" s="8">
        <f t="shared" si="9"/>
        <v>1</v>
      </c>
      <c r="X12" s="8">
        <f t="shared" si="10"/>
        <v>0</v>
      </c>
      <c r="Y12" s="8">
        <f t="shared" si="11"/>
        <v>0</v>
      </c>
      <c r="Z12" s="8"/>
      <c r="AA12" s="8"/>
      <c r="AB12" s="8">
        <f t="shared" si="14"/>
        <v>3</v>
      </c>
      <c r="AC12" s="8">
        <f t="shared" si="12"/>
        <v>3</v>
      </c>
      <c r="AD12" s="8" t="str">
        <f t="shared" si="13"/>
        <v>Correct</v>
      </c>
      <c r="AE12" s="8"/>
      <c r="AF12" s="120" t="str">
        <f>IFERROR(VLOOKUP(Table1[RespondentID],'All Data'!$A$3:$CO$999,87,FALSE),"unknown")</f>
        <v>Woman</v>
      </c>
      <c r="AG12" s="120">
        <f>IFERROR(VLOOKUP(Table1[RespondentID],'All Data'!$A$3:$CO$999,88,FALSE),"unknown")</f>
        <v>38</v>
      </c>
      <c r="AH12" s="120" t="str">
        <f>IFERROR(VLOOKUP(Table1[RespondentID],'All Data'!$A$3:$CO$999,89,FALSE),"unknown")</f>
        <v>Suffolk</v>
      </c>
      <c r="AI12" s="120" t="str">
        <f>IFERROR(VLOOKUP(Table1[RespondentID],'All Data'!$A$3:$CO$999,90,FALSE),"unknown")</f>
        <v>Baiting Hollow, 11933</v>
      </c>
      <c r="AJ12" s="120" t="str">
        <f>IFERROR(VLOOKUP(Table1[RespondentID],'All Data'!$A$3:$CO$999,91,FALSE),"unknown")</f>
        <v>White</v>
      </c>
      <c r="AK12" s="120" t="str">
        <f>IFERROR(VLOOKUP(Table1[RespondentID],'All Data'!$A$3:$CO$999,92,FALSE),"unknown")</f>
        <v>Not Hispanic or Latino</v>
      </c>
      <c r="AL12" s="120" t="str">
        <f>IFERROR(VLOOKUP(Table1[RespondentID],'All Data'!$A$3:$CO$999,93,FALSE),"unknown")</f>
        <v>English</v>
      </c>
      <c r="AM12" s="120" t="str">
        <f>IFERROR(VLOOKUP(Table1[RespondentID],'All Data'!$A$3:$CW$999,94,FALSE),"unknown")</f>
        <v>Over $125,000</v>
      </c>
      <c r="AN12" s="120" t="str">
        <f>IFERROR(VLOOKUP(Table1[RespondentID],'All Data'!$A$3:$CW$999,95,FALSE),"unknown")</f>
        <v>Some college</v>
      </c>
      <c r="AO12" s="120" t="str">
        <f>IFERROR(VLOOKUP(Table1[RespondentID],'All Data'!$A$3:$CW$999,96,FALSE),"unknown")</f>
        <v>Employed for wages</v>
      </c>
      <c r="AP12" s="120" t="str">
        <f>IFERROR(VLOOKUP(Table1[RespondentID],'All Data'!$A$3:$CW$999,97,FALSE),"unknown")</f>
        <v>No</v>
      </c>
      <c r="AQ12" s="120" t="str">
        <f>IFERROR(VLOOKUP(Table1[RespondentID],'All Data'!$A$3:$CW$999,98,FALSE),"unknown")</f>
        <v>Private/Commercial</v>
      </c>
      <c r="AR12" s="120">
        <f>IFERROR(VLOOKUP(Table1[RespondentID],'All Data'!$A$3:$CW$999,99,FALSE),"unknown")</f>
        <v>0</v>
      </c>
    </row>
    <row r="13" spans="1:44" ht="16">
      <c r="A13" s="5">
        <v>18025535409</v>
      </c>
      <c r="B13" s="5"/>
      <c r="C13" s="5"/>
      <c r="D13" s="5" t="s">
        <v>31</v>
      </c>
      <c r="E13" s="5"/>
      <c r="F13" s="5"/>
      <c r="G13" s="5"/>
      <c r="H13" s="5"/>
      <c r="I13" s="5" t="s">
        <v>36</v>
      </c>
      <c r="J13" s="5"/>
      <c r="K13" s="5" t="s">
        <v>375</v>
      </c>
      <c r="L13" s="9"/>
      <c r="M13" s="9">
        <f t="shared" si="0"/>
        <v>3</v>
      </c>
      <c r="N13" s="9">
        <f t="shared" si="1"/>
        <v>1</v>
      </c>
      <c r="O13" s="9"/>
      <c r="P13" s="9">
        <f t="shared" si="2"/>
        <v>0</v>
      </c>
      <c r="Q13" s="9">
        <f t="shared" si="3"/>
        <v>0</v>
      </c>
      <c r="R13" s="9">
        <f t="shared" si="4"/>
        <v>1</v>
      </c>
      <c r="S13" s="9">
        <f t="shared" si="5"/>
        <v>0</v>
      </c>
      <c r="T13" s="9">
        <f t="shared" si="6"/>
        <v>0</v>
      </c>
      <c r="U13" s="9">
        <f t="shared" si="7"/>
        <v>0</v>
      </c>
      <c r="V13" s="153">
        <f t="shared" si="8"/>
        <v>0</v>
      </c>
      <c r="W13" s="9">
        <f t="shared" si="9"/>
        <v>1</v>
      </c>
      <c r="X13" s="9">
        <f t="shared" si="10"/>
        <v>0</v>
      </c>
      <c r="Y13" s="9">
        <f t="shared" si="11"/>
        <v>1</v>
      </c>
      <c r="Z13" s="9"/>
      <c r="AA13" s="9"/>
      <c r="AB13" s="9">
        <f t="shared" si="14"/>
        <v>3</v>
      </c>
      <c r="AC13" s="9">
        <f t="shared" si="12"/>
        <v>3</v>
      </c>
      <c r="AD13" s="9" t="str">
        <f t="shared" si="13"/>
        <v>Correct</v>
      </c>
      <c r="AE13" s="9"/>
      <c r="AF13" s="120" t="str">
        <f>IFERROR(VLOOKUP(Table1[RespondentID],'All Data'!$A$3:$CO$999,87,FALSE),"unknown")</f>
        <v>Woman</v>
      </c>
      <c r="AG13" s="120">
        <f>IFERROR(VLOOKUP(Table1[RespondentID],'All Data'!$A$3:$CO$999,88,FALSE),"unknown")</f>
        <v>51</v>
      </c>
      <c r="AH13" s="120" t="str">
        <f>IFERROR(VLOOKUP(Table1[RespondentID],'All Data'!$A$3:$CO$999,89,FALSE),"unknown")</f>
        <v>Suffolk</v>
      </c>
      <c r="AI13" s="120" t="str">
        <f>IFERROR(VLOOKUP(Table1[RespondentID],'All Data'!$A$3:$CO$999,90,FALSE),"unknown")</f>
        <v>Ridge, 11961</v>
      </c>
      <c r="AJ13" s="120" t="str">
        <f>IFERROR(VLOOKUP(Table1[RespondentID],'All Data'!$A$3:$CO$999,91,FALSE),"unknown")</f>
        <v>White</v>
      </c>
      <c r="AK13" s="120" t="str">
        <f>IFERROR(VLOOKUP(Table1[RespondentID],'All Data'!$A$3:$CO$999,92,FALSE),"unknown")</f>
        <v>Not Hispanic or Latino</v>
      </c>
      <c r="AL13" s="120" t="str">
        <f>IFERROR(VLOOKUP(Table1[RespondentID],'All Data'!$A$3:$CO$999,93,FALSE),"unknown")</f>
        <v>English</v>
      </c>
      <c r="AM13" s="120" t="str">
        <f>IFERROR(VLOOKUP(Table1[RespondentID],'All Data'!$A$3:$CW$999,94,FALSE),"unknown")</f>
        <v>Over $125,000</v>
      </c>
      <c r="AN13" s="120" t="str">
        <f>IFERROR(VLOOKUP(Table1[RespondentID],'All Data'!$A$3:$CW$999,95,FALSE),"unknown")</f>
        <v>High school graduate</v>
      </c>
      <c r="AO13" s="120" t="str">
        <f>IFERROR(VLOOKUP(Table1[RespondentID],'All Data'!$A$3:$CW$999,96,FALSE),"unknown")</f>
        <v>Employed for wages</v>
      </c>
      <c r="AP13" s="120" t="str">
        <f>IFERROR(VLOOKUP(Table1[RespondentID],'All Data'!$A$3:$CW$999,97,FALSE),"unknown")</f>
        <v>Yes</v>
      </c>
      <c r="AQ13" s="120" t="str">
        <f>IFERROR(VLOOKUP(Table1[RespondentID],'All Data'!$A$3:$CW$999,98,FALSE),"unknown")</f>
        <v>Private/Commercial</v>
      </c>
      <c r="AR13" s="120">
        <f>IFERROR(VLOOKUP(Table1[RespondentID],'All Data'!$A$3:$CW$999,99,FALSE),"unknown")</f>
        <v>0</v>
      </c>
    </row>
    <row r="14" spans="1:44" ht="16">
      <c r="A14" s="5">
        <v>18025535294</v>
      </c>
      <c r="B14" s="5"/>
      <c r="C14" s="5" t="s">
        <v>30</v>
      </c>
      <c r="D14" s="5" t="s">
        <v>31</v>
      </c>
      <c r="E14" s="5"/>
      <c r="F14" s="5"/>
      <c r="G14" s="5"/>
      <c r="H14" s="5"/>
      <c r="I14" s="5" t="s">
        <v>36</v>
      </c>
      <c r="J14" s="5"/>
      <c r="K14" s="5"/>
      <c r="L14" s="8"/>
      <c r="M14" s="8">
        <f t="shared" si="0"/>
        <v>3</v>
      </c>
      <c r="N14" s="8">
        <f t="shared" si="1"/>
        <v>1</v>
      </c>
      <c r="O14" s="8"/>
      <c r="P14" s="8">
        <f t="shared" si="2"/>
        <v>0</v>
      </c>
      <c r="Q14" s="8">
        <f t="shared" si="3"/>
        <v>1</v>
      </c>
      <c r="R14" s="8">
        <f t="shared" si="4"/>
        <v>1</v>
      </c>
      <c r="S14" s="8">
        <f t="shared" si="5"/>
        <v>0</v>
      </c>
      <c r="T14" s="8">
        <f t="shared" si="6"/>
        <v>0</v>
      </c>
      <c r="U14" s="8">
        <f t="shared" si="7"/>
        <v>0</v>
      </c>
      <c r="V14" s="153">
        <f t="shared" si="8"/>
        <v>0</v>
      </c>
      <c r="W14" s="8">
        <f t="shared" si="9"/>
        <v>1</v>
      </c>
      <c r="X14" s="8">
        <f t="shared" si="10"/>
        <v>0</v>
      </c>
      <c r="Y14" s="8">
        <f t="shared" si="11"/>
        <v>0</v>
      </c>
      <c r="Z14" s="8"/>
      <c r="AA14" s="8"/>
      <c r="AB14" s="8">
        <f t="shared" si="14"/>
        <v>3</v>
      </c>
      <c r="AC14" s="8">
        <f t="shared" si="12"/>
        <v>3</v>
      </c>
      <c r="AD14" s="8" t="str">
        <f t="shared" si="13"/>
        <v>Correct</v>
      </c>
      <c r="AE14" s="8"/>
      <c r="AF14" s="120" t="str">
        <f>IFERROR(VLOOKUP(Table1[RespondentID],'All Data'!$A$3:$CO$999,87,FALSE),"unknown")</f>
        <v>Woman</v>
      </c>
      <c r="AG14" s="120">
        <f>IFERROR(VLOOKUP(Table1[RespondentID],'All Data'!$A$3:$CO$999,88,FALSE),"unknown")</f>
        <v>59</v>
      </c>
      <c r="AH14" s="120" t="str">
        <f>IFERROR(VLOOKUP(Table1[RespondentID],'All Data'!$A$3:$CO$999,89,FALSE),"unknown")</f>
        <v>Suffolk</v>
      </c>
      <c r="AI14" s="120" t="str">
        <f>IFERROR(VLOOKUP(Table1[RespondentID],'All Data'!$A$3:$CO$999,90,FALSE),"unknown")</f>
        <v>Ridge, 11961</v>
      </c>
      <c r="AJ14" s="120" t="str">
        <f>IFERROR(VLOOKUP(Table1[RespondentID],'All Data'!$A$3:$CO$999,91,FALSE),"unknown")</f>
        <v>White</v>
      </c>
      <c r="AK14" s="120">
        <f>IFERROR(VLOOKUP(Table1[RespondentID],'All Data'!$A$3:$CO$999,92,FALSE),"unknown")</f>
        <v>0</v>
      </c>
      <c r="AL14" s="120" t="str">
        <f>IFERROR(VLOOKUP(Table1[RespondentID],'All Data'!$A$3:$CO$999,93,FALSE),"unknown")</f>
        <v>English</v>
      </c>
      <c r="AM14" s="120" t="str">
        <f>IFERROR(VLOOKUP(Table1[RespondentID],'All Data'!$A$3:$CW$999,94,FALSE),"unknown")</f>
        <v>$50,000 to $74,999</v>
      </c>
      <c r="AN14" s="120" t="str">
        <f>IFERROR(VLOOKUP(Table1[RespondentID],'All Data'!$A$3:$CW$999,95,FALSE),"unknown")</f>
        <v>High school graduate</v>
      </c>
      <c r="AO14" s="120" t="str">
        <f>IFERROR(VLOOKUP(Table1[RespondentID],'All Data'!$A$3:$CW$999,96,FALSE),"unknown")</f>
        <v>Retired</v>
      </c>
      <c r="AP14" s="120" t="str">
        <f>IFERROR(VLOOKUP(Table1[RespondentID],'All Data'!$A$3:$CW$999,97,FALSE),"unknown")</f>
        <v>Yes</v>
      </c>
      <c r="AQ14" s="120" t="str">
        <f>IFERROR(VLOOKUP(Table1[RespondentID],'All Data'!$A$3:$CW$999,98,FALSE),"unknown")</f>
        <v>Medicare</v>
      </c>
      <c r="AR14" s="120">
        <f>IFERROR(VLOOKUP(Table1[RespondentID],'All Data'!$A$3:$CW$999,99,FALSE),"unknown")</f>
        <v>0</v>
      </c>
    </row>
    <row r="15" spans="1:44" ht="16">
      <c r="A15" s="5">
        <v>18025535123</v>
      </c>
      <c r="B15" s="5"/>
      <c r="C15" s="5"/>
      <c r="D15" s="5"/>
      <c r="E15" s="5"/>
      <c r="F15" s="5"/>
      <c r="G15" s="5"/>
      <c r="H15" s="5"/>
      <c r="I15" s="5" t="s">
        <v>36</v>
      </c>
      <c r="J15" s="5"/>
      <c r="K15" s="5"/>
      <c r="L15" s="9"/>
      <c r="M15" s="9">
        <f t="shared" si="0"/>
        <v>1</v>
      </c>
      <c r="N15" s="9">
        <f t="shared" si="1"/>
        <v>3</v>
      </c>
      <c r="O15" s="9"/>
      <c r="P15" s="9">
        <f t="shared" si="2"/>
        <v>0</v>
      </c>
      <c r="Q15" s="9">
        <f t="shared" si="3"/>
        <v>0</v>
      </c>
      <c r="R15" s="9">
        <f t="shared" si="4"/>
        <v>0</v>
      </c>
      <c r="S15" s="9">
        <f t="shared" si="5"/>
        <v>0</v>
      </c>
      <c r="T15" s="9">
        <f t="shared" si="6"/>
        <v>0</v>
      </c>
      <c r="U15" s="9">
        <f t="shared" si="7"/>
        <v>0</v>
      </c>
      <c r="V15" s="153">
        <f t="shared" si="8"/>
        <v>0</v>
      </c>
      <c r="W15" s="9">
        <f t="shared" si="9"/>
        <v>1</v>
      </c>
      <c r="X15" s="9">
        <f t="shared" si="10"/>
        <v>0</v>
      </c>
      <c r="Y15" s="9">
        <f t="shared" si="11"/>
        <v>0</v>
      </c>
      <c r="Z15" s="9"/>
      <c r="AA15" s="9"/>
      <c r="AB15" s="9">
        <f t="shared" si="14"/>
        <v>1</v>
      </c>
      <c r="AC15" s="9">
        <f t="shared" si="12"/>
        <v>1</v>
      </c>
      <c r="AD15" s="9" t="str">
        <f t="shared" si="13"/>
        <v>Correct</v>
      </c>
      <c r="AE15" s="9"/>
      <c r="AF15" s="120" t="str">
        <f>IFERROR(VLOOKUP(Table1[RespondentID],'All Data'!$A$3:$CO$999,87,FALSE),"unknown")</f>
        <v>Woman</v>
      </c>
      <c r="AG15" s="120">
        <f>IFERROR(VLOOKUP(Table1[RespondentID],'All Data'!$A$3:$CO$999,88,FALSE),"unknown")</f>
        <v>24</v>
      </c>
      <c r="AH15" s="120" t="str">
        <f>IFERROR(VLOOKUP(Table1[RespondentID],'All Data'!$A$3:$CO$999,89,FALSE),"unknown")</f>
        <v>Suffolk</v>
      </c>
      <c r="AI15" s="120" t="str">
        <f>IFERROR(VLOOKUP(Table1[RespondentID],'All Data'!$A$3:$CO$999,90,FALSE),"unknown")</f>
        <v>Peconic, 11958</v>
      </c>
      <c r="AJ15" s="120" t="str">
        <f>IFERROR(VLOOKUP(Table1[RespondentID],'All Data'!$A$3:$CO$999,91,FALSE),"unknown")</f>
        <v>Two or more races</v>
      </c>
      <c r="AK15" s="120" t="str">
        <f>IFERROR(VLOOKUP(Table1[RespondentID],'All Data'!$A$3:$CO$999,92,FALSE),"unknown")</f>
        <v>Not Hispanic or Latino</v>
      </c>
      <c r="AL15" s="120" t="str">
        <f>IFERROR(VLOOKUP(Table1[RespondentID],'All Data'!$A$3:$CO$999,93,FALSE),"unknown")</f>
        <v>French Creole</v>
      </c>
      <c r="AM15" s="120" t="str">
        <f>IFERROR(VLOOKUP(Table1[RespondentID],'All Data'!$A$3:$CW$999,94,FALSE),"unknown")</f>
        <v>$75,000 to $125,000</v>
      </c>
      <c r="AN15" s="120" t="str">
        <f>IFERROR(VLOOKUP(Table1[RespondentID],'All Data'!$A$3:$CW$999,95,FALSE),"unknown")</f>
        <v>Doctorate</v>
      </c>
      <c r="AO15" s="120" t="str">
        <f>IFERROR(VLOOKUP(Table1[RespondentID],'All Data'!$A$3:$CW$999,96,FALSE),"unknown")</f>
        <v>Employed for wages</v>
      </c>
      <c r="AP15" s="120" t="str">
        <f>IFERROR(VLOOKUP(Table1[RespondentID],'All Data'!$A$3:$CW$999,97,FALSE),"unknown")</f>
        <v>Yes</v>
      </c>
      <c r="AQ15" s="120">
        <f>IFERROR(VLOOKUP(Table1[RespondentID],'All Data'!$A$3:$CW$999,98,FALSE),"unknown")</f>
        <v>0</v>
      </c>
      <c r="AR15" s="120">
        <f>IFERROR(VLOOKUP(Table1[RespondentID],'All Data'!$A$3:$CW$999,99,FALSE),"unknown")</f>
        <v>0</v>
      </c>
    </row>
    <row r="16" spans="1:44" ht="16">
      <c r="A16" s="5">
        <v>18025534952</v>
      </c>
      <c r="B16" s="5"/>
      <c r="C16" s="5"/>
      <c r="D16" s="5"/>
      <c r="E16" s="5"/>
      <c r="F16" s="5"/>
      <c r="G16" s="5"/>
      <c r="H16" s="5"/>
      <c r="I16" s="5" t="s">
        <v>36</v>
      </c>
      <c r="J16" s="5"/>
      <c r="K16" s="5" t="s">
        <v>375</v>
      </c>
      <c r="L16" s="8"/>
      <c r="M16" s="8">
        <f t="shared" si="0"/>
        <v>2</v>
      </c>
      <c r="N16" s="8">
        <f t="shared" si="1"/>
        <v>1.5</v>
      </c>
      <c r="O16" s="8"/>
      <c r="P16" s="8">
        <f t="shared" si="2"/>
        <v>0</v>
      </c>
      <c r="Q16" s="8">
        <f t="shared" si="3"/>
        <v>0</v>
      </c>
      <c r="R16" s="8">
        <f t="shared" si="4"/>
        <v>0</v>
      </c>
      <c r="S16" s="8">
        <f t="shared" si="5"/>
        <v>0</v>
      </c>
      <c r="T16" s="8">
        <f t="shared" si="6"/>
        <v>0</v>
      </c>
      <c r="U16" s="8">
        <f t="shared" si="7"/>
        <v>0</v>
      </c>
      <c r="V16" s="153">
        <f t="shared" si="8"/>
        <v>0</v>
      </c>
      <c r="W16" s="8">
        <f t="shared" si="9"/>
        <v>1</v>
      </c>
      <c r="X16" s="8">
        <f t="shared" si="10"/>
        <v>0</v>
      </c>
      <c r="Y16" s="8">
        <f t="shared" si="11"/>
        <v>1</v>
      </c>
      <c r="Z16" s="8"/>
      <c r="AA16" s="8"/>
      <c r="AB16" s="8">
        <f t="shared" si="14"/>
        <v>2</v>
      </c>
      <c r="AC16" s="8">
        <f t="shared" si="12"/>
        <v>2</v>
      </c>
      <c r="AD16" s="8" t="str">
        <f t="shared" si="13"/>
        <v>Correct</v>
      </c>
      <c r="AE16" s="8"/>
      <c r="AF16" s="120" t="str">
        <f>IFERROR(VLOOKUP(Table1[RespondentID],'All Data'!$A$3:$CO$999,87,FALSE),"unknown")</f>
        <v>Woman</v>
      </c>
      <c r="AG16" s="120">
        <f>IFERROR(VLOOKUP(Table1[RespondentID],'All Data'!$A$3:$CO$999,88,FALSE),"unknown")</f>
        <v>31</v>
      </c>
      <c r="AH16" s="120" t="str">
        <f>IFERROR(VLOOKUP(Table1[RespondentID],'All Data'!$A$3:$CO$999,89,FALSE),"unknown")</f>
        <v>Suffolk</v>
      </c>
      <c r="AI16" s="120" t="str">
        <f>IFERROR(VLOOKUP(Table1[RespondentID],'All Data'!$A$3:$CO$999,90,FALSE),"unknown")</f>
        <v>Patchogue, 11772</v>
      </c>
      <c r="AJ16" s="120" t="str">
        <f>IFERROR(VLOOKUP(Table1[RespondentID],'All Data'!$A$3:$CO$999,91,FALSE),"unknown")</f>
        <v>White</v>
      </c>
      <c r="AK16" s="120">
        <f>IFERROR(VLOOKUP(Table1[RespondentID],'All Data'!$A$3:$CO$999,92,FALSE),"unknown")</f>
        <v>0</v>
      </c>
      <c r="AL16" s="120" t="str">
        <f>IFERROR(VLOOKUP(Table1[RespondentID],'All Data'!$A$3:$CO$999,93,FALSE),"unknown")</f>
        <v>English</v>
      </c>
      <c r="AM16" s="120" t="str">
        <f>IFERROR(VLOOKUP(Table1[RespondentID],'All Data'!$A$3:$CW$999,94,FALSE),"unknown")</f>
        <v>Over $125,000</v>
      </c>
      <c r="AN16" s="120" t="str">
        <f>IFERROR(VLOOKUP(Table1[RespondentID],'All Data'!$A$3:$CW$999,95,FALSE),"unknown")</f>
        <v>College graduate</v>
      </c>
      <c r="AO16" s="120" t="str">
        <f>IFERROR(VLOOKUP(Table1[RespondentID],'All Data'!$A$3:$CW$999,96,FALSE),"unknown")</f>
        <v>Employed for wages</v>
      </c>
      <c r="AP16" s="120" t="str">
        <f>IFERROR(VLOOKUP(Table1[RespondentID],'All Data'!$A$3:$CW$999,97,FALSE),"unknown")</f>
        <v>Yes</v>
      </c>
      <c r="AQ16" s="120" t="str">
        <f>IFERROR(VLOOKUP(Table1[RespondentID],'All Data'!$A$3:$CW$999,98,FALSE),"unknown")</f>
        <v>Private/Commercial</v>
      </c>
      <c r="AR16" s="120">
        <f>IFERROR(VLOOKUP(Table1[RespondentID],'All Data'!$A$3:$CW$999,99,FALSE),"unknown")</f>
        <v>0</v>
      </c>
    </row>
    <row r="17" spans="1:44" ht="16">
      <c r="A17" s="5">
        <v>18025534839</v>
      </c>
      <c r="B17" s="5"/>
      <c r="C17" s="5"/>
      <c r="D17" s="5" t="s">
        <v>31</v>
      </c>
      <c r="E17" s="5" t="s">
        <v>32</v>
      </c>
      <c r="F17" s="5"/>
      <c r="G17" s="5"/>
      <c r="H17" s="5"/>
      <c r="I17" s="5" t="s">
        <v>36</v>
      </c>
      <c r="J17" s="5"/>
      <c r="K17" s="5"/>
      <c r="L17" s="9"/>
      <c r="M17" s="9">
        <f t="shared" si="0"/>
        <v>3</v>
      </c>
      <c r="N17" s="9">
        <f t="shared" si="1"/>
        <v>1</v>
      </c>
      <c r="O17" s="9"/>
      <c r="P17" s="9">
        <f t="shared" si="2"/>
        <v>0</v>
      </c>
      <c r="Q17" s="9">
        <f t="shared" si="3"/>
        <v>0</v>
      </c>
      <c r="R17" s="9">
        <f t="shared" si="4"/>
        <v>1</v>
      </c>
      <c r="S17" s="9">
        <f t="shared" si="5"/>
        <v>1</v>
      </c>
      <c r="T17" s="9">
        <f t="shared" si="6"/>
        <v>0</v>
      </c>
      <c r="U17" s="9">
        <f t="shared" si="7"/>
        <v>0</v>
      </c>
      <c r="V17" s="153">
        <f t="shared" si="8"/>
        <v>0</v>
      </c>
      <c r="W17" s="9">
        <f t="shared" si="9"/>
        <v>1</v>
      </c>
      <c r="X17" s="9">
        <f t="shared" si="10"/>
        <v>0</v>
      </c>
      <c r="Y17" s="9">
        <f t="shared" si="11"/>
        <v>0</v>
      </c>
      <c r="Z17" s="9"/>
      <c r="AA17" s="9"/>
      <c r="AB17" s="9">
        <f t="shared" si="14"/>
        <v>3</v>
      </c>
      <c r="AC17" s="9">
        <f t="shared" si="12"/>
        <v>3</v>
      </c>
      <c r="AD17" s="9" t="str">
        <f t="shared" si="13"/>
        <v>Correct</v>
      </c>
      <c r="AE17" s="9"/>
      <c r="AF17" s="120" t="str">
        <f>IFERROR(VLOOKUP(Table1[RespondentID],'All Data'!$A$3:$CO$999,87,FALSE),"unknown")</f>
        <v>Woman</v>
      </c>
      <c r="AG17" s="120">
        <f>IFERROR(VLOOKUP(Table1[RespondentID],'All Data'!$A$3:$CO$999,88,FALSE),"unknown")</f>
        <v>57</v>
      </c>
      <c r="AH17" s="120" t="str">
        <f>IFERROR(VLOOKUP(Table1[RespondentID],'All Data'!$A$3:$CO$999,89,FALSE),"unknown")</f>
        <v>Suffolk</v>
      </c>
      <c r="AI17" s="120" t="str">
        <f>IFERROR(VLOOKUP(Table1[RespondentID],'All Data'!$A$3:$CO$999,90,FALSE),"unknown")</f>
        <v>Ronkonkoma, 11779</v>
      </c>
      <c r="AJ17" s="120" t="str">
        <f>IFERROR(VLOOKUP(Table1[RespondentID],'All Data'!$A$3:$CO$999,91,FALSE),"unknown")</f>
        <v>White</v>
      </c>
      <c r="AK17" s="120" t="str">
        <f>IFERROR(VLOOKUP(Table1[RespondentID],'All Data'!$A$3:$CO$999,92,FALSE),"unknown")</f>
        <v>Not Hispanic or Latino</v>
      </c>
      <c r="AL17" s="120" t="str">
        <f>IFERROR(VLOOKUP(Table1[RespondentID],'All Data'!$A$3:$CO$999,93,FALSE),"unknown")</f>
        <v>English</v>
      </c>
      <c r="AM17" s="120" t="str">
        <f>IFERROR(VLOOKUP(Table1[RespondentID],'All Data'!$A$3:$CW$999,94,FALSE),"unknown")</f>
        <v>Over $125,000</v>
      </c>
      <c r="AN17" s="120" t="str">
        <f>IFERROR(VLOOKUP(Table1[RespondentID],'All Data'!$A$3:$CW$999,95,FALSE),"unknown")</f>
        <v>Technical school</v>
      </c>
      <c r="AO17" s="120" t="str">
        <f>IFERROR(VLOOKUP(Table1[RespondentID],'All Data'!$A$3:$CW$999,96,FALSE),"unknown")</f>
        <v>Employed for wages</v>
      </c>
      <c r="AP17" s="120" t="str">
        <f>IFERROR(VLOOKUP(Table1[RespondentID],'All Data'!$A$3:$CW$999,97,FALSE),"unknown")</f>
        <v>Yes</v>
      </c>
      <c r="AQ17" s="120" t="str">
        <f>IFERROR(VLOOKUP(Table1[RespondentID],'All Data'!$A$3:$CW$999,98,FALSE),"unknown")</f>
        <v>Private/Commercial</v>
      </c>
      <c r="AR17" s="120">
        <f>IFERROR(VLOOKUP(Table1[RespondentID],'All Data'!$A$3:$CW$999,99,FALSE),"unknown")</f>
        <v>0</v>
      </c>
    </row>
    <row r="18" spans="1:44" ht="16">
      <c r="A18" s="5">
        <v>18025534704</v>
      </c>
      <c r="B18" s="5"/>
      <c r="C18" s="5"/>
      <c r="D18" s="5"/>
      <c r="E18" s="5"/>
      <c r="F18" s="5"/>
      <c r="G18" s="5" t="s">
        <v>34</v>
      </c>
      <c r="H18" s="5"/>
      <c r="I18" s="5"/>
      <c r="J18" s="5"/>
      <c r="K18" s="5"/>
      <c r="L18" s="8"/>
      <c r="M18" s="8">
        <f t="shared" si="0"/>
        <v>1</v>
      </c>
      <c r="N18" s="8">
        <f t="shared" si="1"/>
        <v>3</v>
      </c>
      <c r="O18" s="8"/>
      <c r="P18" s="8">
        <f t="shared" si="2"/>
        <v>0</v>
      </c>
      <c r="Q18" s="8">
        <f t="shared" si="3"/>
        <v>0</v>
      </c>
      <c r="R18" s="8">
        <f t="shared" si="4"/>
        <v>0</v>
      </c>
      <c r="S18" s="8">
        <f t="shared" si="5"/>
        <v>0</v>
      </c>
      <c r="T18" s="8">
        <f t="shared" si="6"/>
        <v>0</v>
      </c>
      <c r="U18" s="8">
        <f t="shared" si="7"/>
        <v>1</v>
      </c>
      <c r="V18" s="153">
        <f t="shared" si="8"/>
        <v>0</v>
      </c>
      <c r="W18" s="8">
        <f t="shared" si="9"/>
        <v>0</v>
      </c>
      <c r="X18" s="8">
        <f t="shared" si="10"/>
        <v>0</v>
      </c>
      <c r="Y18" s="8">
        <f t="shared" si="11"/>
        <v>0</v>
      </c>
      <c r="Z18" s="8"/>
      <c r="AA18" s="8"/>
      <c r="AB18" s="8">
        <f t="shared" si="14"/>
        <v>1</v>
      </c>
      <c r="AC18" s="8">
        <f t="shared" si="12"/>
        <v>1</v>
      </c>
      <c r="AD18" s="8" t="str">
        <f t="shared" si="13"/>
        <v>Correct</v>
      </c>
      <c r="AE18" s="8"/>
      <c r="AF18" s="120" t="str">
        <f>IFERROR(VLOOKUP(Table1[RespondentID],'All Data'!$A$3:$CO$999,87,FALSE),"unknown")</f>
        <v>Man</v>
      </c>
      <c r="AG18" s="120">
        <f>IFERROR(VLOOKUP(Table1[RespondentID],'All Data'!$A$3:$CO$999,88,FALSE),"unknown")</f>
        <v>48</v>
      </c>
      <c r="AH18" s="120" t="str">
        <f>IFERROR(VLOOKUP(Table1[RespondentID],'All Data'!$A$3:$CO$999,89,FALSE),"unknown")</f>
        <v>Suffolk</v>
      </c>
      <c r="AI18" s="120" t="str">
        <f>IFERROR(VLOOKUP(Table1[RespondentID],'All Data'!$A$3:$CO$999,90,FALSE),"unknown")</f>
        <v>Ridge, 11961</v>
      </c>
      <c r="AJ18" s="120" t="str">
        <f>IFERROR(VLOOKUP(Table1[RespondentID],'All Data'!$A$3:$CO$999,91,FALSE),"unknown")</f>
        <v>White</v>
      </c>
      <c r="AK18" s="120" t="str">
        <f>IFERROR(VLOOKUP(Table1[RespondentID],'All Data'!$A$3:$CO$999,92,FALSE),"unknown")</f>
        <v>Not Hispanic or Latino</v>
      </c>
      <c r="AL18" s="120" t="str">
        <f>IFERROR(VLOOKUP(Table1[RespondentID],'All Data'!$A$3:$CO$999,93,FALSE),"unknown")</f>
        <v>English</v>
      </c>
      <c r="AM18" s="120" t="str">
        <f>IFERROR(VLOOKUP(Table1[RespondentID],'All Data'!$A$3:$CW$999,94,FALSE),"unknown")</f>
        <v>Over $125,000</v>
      </c>
      <c r="AN18" s="120" t="str">
        <f>IFERROR(VLOOKUP(Table1[RespondentID],'All Data'!$A$3:$CW$999,95,FALSE),"unknown")</f>
        <v>High school graduate</v>
      </c>
      <c r="AO18" s="120" t="str">
        <f>IFERROR(VLOOKUP(Table1[RespondentID],'All Data'!$A$3:$CW$999,96,FALSE),"unknown")</f>
        <v>Retired</v>
      </c>
      <c r="AP18" s="120" t="str">
        <f>IFERROR(VLOOKUP(Table1[RespondentID],'All Data'!$A$3:$CW$999,97,FALSE),"unknown")</f>
        <v>Yes</v>
      </c>
      <c r="AQ18" s="120" t="str">
        <f>IFERROR(VLOOKUP(Table1[RespondentID],'All Data'!$A$3:$CW$999,98,FALSE),"unknown")</f>
        <v>Private/Commercial</v>
      </c>
      <c r="AR18" s="120">
        <f>IFERROR(VLOOKUP(Table1[RespondentID],'All Data'!$A$3:$CW$999,99,FALSE),"unknown")</f>
        <v>0</v>
      </c>
    </row>
    <row r="19" spans="1:44" ht="16">
      <c r="A19" s="5">
        <v>18025534585</v>
      </c>
      <c r="B19" s="5"/>
      <c r="C19" s="5" t="s">
        <v>30</v>
      </c>
      <c r="D19" s="5"/>
      <c r="E19" s="5" t="s">
        <v>32</v>
      </c>
      <c r="F19" s="5"/>
      <c r="G19" s="5"/>
      <c r="H19" s="5"/>
      <c r="I19" s="5"/>
      <c r="J19" s="5" t="s">
        <v>37</v>
      </c>
      <c r="K19" s="5"/>
      <c r="L19" s="9"/>
      <c r="M19" s="9">
        <f t="shared" si="0"/>
        <v>3</v>
      </c>
      <c r="N19" s="9">
        <f t="shared" si="1"/>
        <v>1</v>
      </c>
      <c r="O19" s="9"/>
      <c r="P19" s="9">
        <f t="shared" si="2"/>
        <v>0</v>
      </c>
      <c r="Q19" s="9">
        <f t="shared" si="3"/>
        <v>1</v>
      </c>
      <c r="R19" s="9">
        <f t="shared" si="4"/>
        <v>0</v>
      </c>
      <c r="S19" s="9">
        <f t="shared" si="5"/>
        <v>1</v>
      </c>
      <c r="T19" s="9">
        <f t="shared" si="6"/>
        <v>0</v>
      </c>
      <c r="U19" s="9">
        <f t="shared" si="7"/>
        <v>0</v>
      </c>
      <c r="V19" s="153">
        <f t="shared" si="8"/>
        <v>0</v>
      </c>
      <c r="W19" s="9">
        <f t="shared" si="9"/>
        <v>0</v>
      </c>
      <c r="X19" s="9">
        <f t="shared" si="10"/>
        <v>1</v>
      </c>
      <c r="Y19" s="9">
        <f t="shared" si="11"/>
        <v>0</v>
      </c>
      <c r="Z19" s="9"/>
      <c r="AA19" s="9"/>
      <c r="AB19" s="9">
        <f t="shared" si="14"/>
        <v>3</v>
      </c>
      <c r="AC19" s="9">
        <f t="shared" si="12"/>
        <v>3</v>
      </c>
      <c r="AD19" s="9" t="str">
        <f t="shared" si="13"/>
        <v>Correct</v>
      </c>
      <c r="AE19" s="9"/>
      <c r="AF19" s="120" t="str">
        <f>IFERROR(VLOOKUP(Table1[RespondentID],'All Data'!$A$3:$CO$999,87,FALSE),"unknown")</f>
        <v>Woman</v>
      </c>
      <c r="AG19" s="120">
        <f>IFERROR(VLOOKUP(Table1[RespondentID],'All Data'!$A$3:$CO$999,88,FALSE),"unknown")</f>
        <v>84</v>
      </c>
      <c r="AH19" s="120" t="str">
        <f>IFERROR(VLOOKUP(Table1[RespondentID],'All Data'!$A$3:$CO$999,89,FALSE),"unknown")</f>
        <v>Suffolk</v>
      </c>
      <c r="AI19" s="120" t="str">
        <f>IFERROR(VLOOKUP(Table1[RespondentID],'All Data'!$A$3:$CO$999,90,FALSE),"unknown")</f>
        <v>Selden, 11784</v>
      </c>
      <c r="AJ19" s="120">
        <f>IFERROR(VLOOKUP(Table1[RespondentID],'All Data'!$A$3:$CO$999,91,FALSE),"unknown")</f>
        <v>0</v>
      </c>
      <c r="AK19" s="120">
        <f>IFERROR(VLOOKUP(Table1[RespondentID],'All Data'!$A$3:$CO$999,92,FALSE),"unknown")</f>
        <v>0</v>
      </c>
      <c r="AL19" s="120" t="str">
        <f>IFERROR(VLOOKUP(Table1[RespondentID],'All Data'!$A$3:$CO$999,93,FALSE),"unknown")</f>
        <v>English</v>
      </c>
      <c r="AM19" s="120" t="str">
        <f>IFERROR(VLOOKUP(Table1[RespondentID],'All Data'!$A$3:$CW$999,94,FALSE),"unknown")</f>
        <v>$0-$19,999</v>
      </c>
      <c r="AN19" s="120" t="str">
        <f>IFERROR(VLOOKUP(Table1[RespondentID],'All Data'!$A$3:$CW$999,95,FALSE),"unknown")</f>
        <v>Technical school</v>
      </c>
      <c r="AO19" s="120" t="str">
        <f>IFERROR(VLOOKUP(Table1[RespondentID],'All Data'!$A$3:$CW$999,96,FALSE),"unknown")</f>
        <v>Retired</v>
      </c>
      <c r="AP19" s="120" t="str">
        <f>IFERROR(VLOOKUP(Table1[RespondentID],'All Data'!$A$3:$CW$999,97,FALSE),"unknown")</f>
        <v>Yes</v>
      </c>
      <c r="AQ19" s="120" t="str">
        <f>IFERROR(VLOOKUP(Table1[RespondentID],'All Data'!$A$3:$CW$999,98,FALSE),"unknown")</f>
        <v>Medicare</v>
      </c>
      <c r="AR19" s="120">
        <f>IFERROR(VLOOKUP(Table1[RespondentID],'All Data'!$A$3:$CW$999,99,FALSE),"unknown")</f>
        <v>0</v>
      </c>
    </row>
    <row r="20" spans="1:44" ht="16">
      <c r="A20" s="5">
        <v>18025500754</v>
      </c>
      <c r="B20" s="5"/>
      <c r="C20" s="5"/>
      <c r="D20" s="5"/>
      <c r="E20" s="5"/>
      <c r="F20" s="5"/>
      <c r="G20" s="5"/>
      <c r="H20" s="5"/>
      <c r="I20" s="5"/>
      <c r="J20" s="5"/>
      <c r="K20" s="5" t="s">
        <v>375</v>
      </c>
      <c r="L20" s="8"/>
      <c r="M20" s="8">
        <f t="shared" si="0"/>
        <v>1</v>
      </c>
      <c r="N20" s="8">
        <f t="shared" si="1"/>
        <v>3</v>
      </c>
      <c r="O20" s="8"/>
      <c r="P20" s="8">
        <f t="shared" si="2"/>
        <v>0</v>
      </c>
      <c r="Q20" s="8">
        <f t="shared" si="3"/>
        <v>0</v>
      </c>
      <c r="R20" s="8">
        <f t="shared" si="4"/>
        <v>0</v>
      </c>
      <c r="S20" s="8">
        <f t="shared" si="5"/>
        <v>0</v>
      </c>
      <c r="T20" s="8">
        <f t="shared" si="6"/>
        <v>0</v>
      </c>
      <c r="U20" s="8">
        <f t="shared" si="7"/>
        <v>0</v>
      </c>
      <c r="V20" s="153">
        <f t="shared" si="8"/>
        <v>0</v>
      </c>
      <c r="W20" s="8">
        <f t="shared" si="9"/>
        <v>0</v>
      </c>
      <c r="X20" s="8">
        <f t="shared" si="10"/>
        <v>0</v>
      </c>
      <c r="Y20" s="8">
        <f t="shared" si="11"/>
        <v>1</v>
      </c>
      <c r="Z20" s="8"/>
      <c r="AA20" s="8"/>
      <c r="AB20" s="8">
        <f t="shared" si="14"/>
        <v>1</v>
      </c>
      <c r="AC20" s="8">
        <f t="shared" si="12"/>
        <v>1</v>
      </c>
      <c r="AD20" s="8" t="str">
        <f t="shared" si="13"/>
        <v>Correct</v>
      </c>
      <c r="AE20" s="8"/>
      <c r="AF20" s="120">
        <f>IFERROR(VLOOKUP(Table1[RespondentID],'All Data'!$A$3:$CO$999,87,FALSE),"unknown")</f>
        <v>0</v>
      </c>
      <c r="AG20" s="120">
        <f>IFERROR(VLOOKUP(Table1[RespondentID],'All Data'!$A$3:$CO$999,88,FALSE),"unknown")</f>
        <v>0</v>
      </c>
      <c r="AH20" s="120">
        <f>IFERROR(VLOOKUP(Table1[RespondentID],'All Data'!$A$3:$CO$999,89,FALSE),"unknown")</f>
        <v>0</v>
      </c>
      <c r="AI20" s="120">
        <f>IFERROR(VLOOKUP(Table1[RespondentID],'All Data'!$A$3:$CO$999,90,FALSE),"unknown")</f>
        <v>0</v>
      </c>
      <c r="AJ20" s="120">
        <f>IFERROR(VLOOKUP(Table1[RespondentID],'All Data'!$A$3:$CO$999,91,FALSE),"unknown")</f>
        <v>0</v>
      </c>
      <c r="AK20" s="120">
        <f>IFERROR(VLOOKUP(Table1[RespondentID],'All Data'!$A$3:$CO$999,92,FALSE),"unknown")</f>
        <v>0</v>
      </c>
      <c r="AL20" s="120">
        <f>IFERROR(VLOOKUP(Table1[RespondentID],'All Data'!$A$3:$CO$999,93,FALSE),"unknown")</f>
        <v>0</v>
      </c>
      <c r="AM20" s="120">
        <f>IFERROR(VLOOKUP(Table1[RespondentID],'All Data'!$A$3:$CW$999,94,FALSE),"unknown")</f>
        <v>0</v>
      </c>
      <c r="AN20" s="120">
        <f>IFERROR(VLOOKUP(Table1[RespondentID],'All Data'!$A$3:$CW$999,95,FALSE),"unknown")</f>
        <v>0</v>
      </c>
      <c r="AO20" s="120">
        <f>IFERROR(VLOOKUP(Table1[RespondentID],'All Data'!$A$3:$CW$999,96,FALSE),"unknown")</f>
        <v>0</v>
      </c>
      <c r="AP20" s="120">
        <f>IFERROR(VLOOKUP(Table1[RespondentID],'All Data'!$A$3:$CW$999,97,FALSE),"unknown")</f>
        <v>0</v>
      </c>
      <c r="AQ20" s="120">
        <f>IFERROR(VLOOKUP(Table1[RespondentID],'All Data'!$A$3:$CW$999,98,FALSE),"unknown")</f>
        <v>0</v>
      </c>
      <c r="AR20" s="120">
        <f>IFERROR(VLOOKUP(Table1[RespondentID],'All Data'!$A$3:$CW$999,99,FALSE),"unknown")</f>
        <v>0</v>
      </c>
    </row>
    <row r="21" spans="1:44" ht="16">
      <c r="A21" s="5">
        <v>18025435174</v>
      </c>
      <c r="B21" s="5"/>
      <c r="C21" s="5"/>
      <c r="D21" s="5"/>
      <c r="E21" s="5"/>
      <c r="F21" s="5"/>
      <c r="G21" s="5"/>
      <c r="H21" s="5"/>
      <c r="I21" s="5"/>
      <c r="J21" s="5"/>
      <c r="K21" s="5"/>
      <c r="L21" s="9"/>
      <c r="M21" s="9">
        <f t="shared" si="0"/>
        <v>0</v>
      </c>
      <c r="N21" s="9" t="e">
        <f t="shared" si="1"/>
        <v>#DIV/0!</v>
      </c>
      <c r="O21" s="9"/>
      <c r="P21" s="9">
        <f t="shared" si="2"/>
        <v>0</v>
      </c>
      <c r="Q21" s="9">
        <f t="shared" si="3"/>
        <v>0</v>
      </c>
      <c r="R21" s="9">
        <f t="shared" si="4"/>
        <v>0</v>
      </c>
      <c r="S21" s="9">
        <f t="shared" si="5"/>
        <v>0</v>
      </c>
      <c r="T21" s="9">
        <f t="shared" si="6"/>
        <v>0</v>
      </c>
      <c r="U21" s="9">
        <f t="shared" si="7"/>
        <v>0</v>
      </c>
      <c r="V21" s="153">
        <f t="shared" si="8"/>
        <v>0</v>
      </c>
      <c r="W21" s="9">
        <f t="shared" si="9"/>
        <v>0</v>
      </c>
      <c r="X21" s="9">
        <f t="shared" si="10"/>
        <v>0</v>
      </c>
      <c r="Y21" s="9">
        <f t="shared" si="11"/>
        <v>0</v>
      </c>
      <c r="Z21" s="9"/>
      <c r="AA21" s="9"/>
      <c r="AB21" s="9">
        <f t="shared" si="14"/>
        <v>0</v>
      </c>
      <c r="AC21" s="9">
        <f t="shared" si="12"/>
        <v>0</v>
      </c>
      <c r="AD21" s="9" t="str">
        <f t="shared" si="13"/>
        <v>Correct</v>
      </c>
      <c r="AE21" s="9"/>
      <c r="AF21" s="120">
        <f>IFERROR(VLOOKUP(Table1[RespondentID],'All Data'!$A$3:$CO$999,87,FALSE),"unknown")</f>
        <v>0</v>
      </c>
      <c r="AG21" s="120">
        <f>IFERROR(VLOOKUP(Table1[RespondentID],'All Data'!$A$3:$CO$999,88,FALSE),"unknown")</f>
        <v>0</v>
      </c>
      <c r="AH21" s="120">
        <f>IFERROR(VLOOKUP(Table1[RespondentID],'All Data'!$A$3:$CO$999,89,FALSE),"unknown")</f>
        <v>0</v>
      </c>
      <c r="AI21" s="120" t="str">
        <f>IFERROR(VLOOKUP(Table1[RespondentID],'All Data'!$A$3:$CO$999,90,FALSE),"unknown")</f>
        <v>Albertson, 11507</v>
      </c>
      <c r="AJ21" s="120">
        <f>IFERROR(VLOOKUP(Table1[RespondentID],'All Data'!$A$3:$CO$999,91,FALSE),"unknown")</f>
        <v>0</v>
      </c>
      <c r="AK21" s="120">
        <f>IFERROR(VLOOKUP(Table1[RespondentID],'All Data'!$A$3:$CO$999,92,FALSE),"unknown")</f>
        <v>0</v>
      </c>
      <c r="AL21" s="120">
        <f>IFERROR(VLOOKUP(Table1[RespondentID],'All Data'!$A$3:$CO$999,93,FALSE),"unknown")</f>
        <v>0</v>
      </c>
      <c r="AM21" s="120">
        <f>IFERROR(VLOOKUP(Table1[RespondentID],'All Data'!$A$3:$CW$999,94,FALSE),"unknown")</f>
        <v>0</v>
      </c>
      <c r="AN21" s="120">
        <f>IFERROR(VLOOKUP(Table1[RespondentID],'All Data'!$A$3:$CW$999,95,FALSE),"unknown")</f>
        <v>0</v>
      </c>
      <c r="AO21" s="120">
        <f>IFERROR(VLOOKUP(Table1[RespondentID],'All Data'!$A$3:$CW$999,96,FALSE),"unknown")</f>
        <v>0</v>
      </c>
      <c r="AP21" s="120">
        <f>IFERROR(VLOOKUP(Table1[RespondentID],'All Data'!$A$3:$CW$999,97,FALSE),"unknown")</f>
        <v>0</v>
      </c>
      <c r="AQ21" s="120">
        <f>IFERROR(VLOOKUP(Table1[RespondentID],'All Data'!$A$3:$CW$999,98,FALSE),"unknown")</f>
        <v>0</v>
      </c>
      <c r="AR21" s="120">
        <f>IFERROR(VLOOKUP(Table1[RespondentID],'All Data'!$A$3:$CW$999,99,FALSE),"unknown")</f>
        <v>0</v>
      </c>
    </row>
    <row r="22" spans="1:44" ht="16">
      <c r="A22" s="5">
        <v>18025209840</v>
      </c>
      <c r="B22" s="5"/>
      <c r="C22" s="5"/>
      <c r="D22" s="5" t="s">
        <v>31</v>
      </c>
      <c r="E22" s="5"/>
      <c r="F22" s="5"/>
      <c r="G22" s="5" t="s">
        <v>34</v>
      </c>
      <c r="H22" s="5"/>
      <c r="I22" s="5"/>
      <c r="J22" s="5"/>
      <c r="K22" s="5" t="s">
        <v>375</v>
      </c>
      <c r="L22" s="8"/>
      <c r="M22" s="8">
        <f t="shared" si="0"/>
        <v>3</v>
      </c>
      <c r="N22" s="8">
        <f t="shared" si="1"/>
        <v>1</v>
      </c>
      <c r="O22" s="8"/>
      <c r="P22" s="8">
        <f t="shared" si="2"/>
        <v>0</v>
      </c>
      <c r="Q22" s="8">
        <f t="shared" si="3"/>
        <v>0</v>
      </c>
      <c r="R22" s="8">
        <f t="shared" si="4"/>
        <v>1</v>
      </c>
      <c r="S22" s="8">
        <f t="shared" si="5"/>
        <v>0</v>
      </c>
      <c r="T22" s="8">
        <f t="shared" si="6"/>
        <v>0</v>
      </c>
      <c r="U22" s="8">
        <f t="shared" si="7"/>
        <v>1</v>
      </c>
      <c r="V22" s="153">
        <f t="shared" si="8"/>
        <v>0</v>
      </c>
      <c r="W22" s="8">
        <f t="shared" si="9"/>
        <v>0</v>
      </c>
      <c r="X22" s="8">
        <f t="shared" si="10"/>
        <v>0</v>
      </c>
      <c r="Y22" s="8">
        <f t="shared" si="11"/>
        <v>1</v>
      </c>
      <c r="Z22" s="8"/>
      <c r="AA22" s="8"/>
      <c r="AB22" s="8">
        <f t="shared" si="14"/>
        <v>3</v>
      </c>
      <c r="AC22" s="8">
        <f t="shared" si="12"/>
        <v>3</v>
      </c>
      <c r="AD22" s="8" t="str">
        <f t="shared" si="13"/>
        <v>Correct</v>
      </c>
      <c r="AE22" s="8"/>
      <c r="AF22" s="120" t="str">
        <f>IFERROR(VLOOKUP(Table1[RespondentID],'All Data'!$A$3:$CO$999,87,FALSE),"unknown")</f>
        <v>Woman</v>
      </c>
      <c r="AG22" s="120">
        <f>IFERROR(VLOOKUP(Table1[RespondentID],'All Data'!$A$3:$CO$999,88,FALSE),"unknown")</f>
        <v>60</v>
      </c>
      <c r="AH22" s="120" t="str">
        <f>IFERROR(VLOOKUP(Table1[RespondentID],'All Data'!$A$3:$CO$999,89,FALSE),"unknown")</f>
        <v>Nassau</v>
      </c>
      <c r="AI22" s="120" t="str">
        <f>IFERROR(VLOOKUP(Table1[RespondentID],'All Data'!$A$3:$CO$999,90,FALSE),"unknown")</f>
        <v>Seaford, 11783</v>
      </c>
      <c r="AJ22" s="120" t="str">
        <f>IFERROR(VLOOKUP(Table1[RespondentID],'All Data'!$A$3:$CO$999,91,FALSE),"unknown")</f>
        <v>White</v>
      </c>
      <c r="AK22" s="120" t="str">
        <f>IFERROR(VLOOKUP(Table1[RespondentID],'All Data'!$A$3:$CO$999,92,FALSE),"unknown")</f>
        <v>Not Hispanic or Latino</v>
      </c>
      <c r="AL22" s="120" t="str">
        <f>IFERROR(VLOOKUP(Table1[RespondentID],'All Data'!$A$3:$CO$999,93,FALSE),"unknown")</f>
        <v>English</v>
      </c>
      <c r="AM22" s="120" t="str">
        <f>IFERROR(VLOOKUP(Table1[RespondentID],'All Data'!$A$3:$CW$999,94,FALSE),"unknown")</f>
        <v>$35,000 to $49,999</v>
      </c>
      <c r="AN22" s="120" t="str">
        <f>IFERROR(VLOOKUP(Table1[RespondentID],'All Data'!$A$3:$CW$999,95,FALSE),"unknown")</f>
        <v>Doctorate</v>
      </c>
      <c r="AO22" s="120" t="str">
        <f>IFERROR(VLOOKUP(Table1[RespondentID],'All Data'!$A$3:$CW$999,96,FALSE),"unknown")</f>
        <v>Out of work and looking for work</v>
      </c>
      <c r="AP22" s="120" t="str">
        <f>IFERROR(VLOOKUP(Table1[RespondentID],'All Data'!$A$3:$CW$999,97,FALSE),"unknown")</f>
        <v>Yes</v>
      </c>
      <c r="AQ22" s="120" t="str">
        <f>IFERROR(VLOOKUP(Table1[RespondentID],'All Data'!$A$3:$CW$999,98,FALSE),"unknown")</f>
        <v>Private/Commercial</v>
      </c>
      <c r="AR22" s="120" t="str">
        <f>IFERROR(VLOOKUP(Table1[RespondentID],'All Data'!$A$3:$CW$999,99,FALSE),"unknown")</f>
        <v>Yes</v>
      </c>
    </row>
    <row r="23" spans="1:44" ht="16">
      <c r="A23" s="5">
        <v>18025186517</v>
      </c>
      <c r="B23" s="5"/>
      <c r="C23" s="5" t="s">
        <v>30</v>
      </c>
      <c r="D23" s="5"/>
      <c r="E23" s="5"/>
      <c r="F23" s="5"/>
      <c r="G23" s="5"/>
      <c r="H23" s="5"/>
      <c r="I23" s="5" t="s">
        <v>36</v>
      </c>
      <c r="J23" s="5"/>
      <c r="K23" s="5" t="s">
        <v>375</v>
      </c>
      <c r="L23" s="9"/>
      <c r="M23" s="9">
        <f t="shared" si="0"/>
        <v>3</v>
      </c>
      <c r="N23" s="9">
        <f t="shared" si="1"/>
        <v>1</v>
      </c>
      <c r="O23" s="9"/>
      <c r="P23" s="9">
        <f t="shared" si="2"/>
        <v>0</v>
      </c>
      <c r="Q23" s="9">
        <f t="shared" si="3"/>
        <v>1</v>
      </c>
      <c r="R23" s="9">
        <f t="shared" si="4"/>
        <v>0</v>
      </c>
      <c r="S23" s="9">
        <f t="shared" si="5"/>
        <v>0</v>
      </c>
      <c r="T23" s="9">
        <f t="shared" si="6"/>
        <v>0</v>
      </c>
      <c r="U23" s="9">
        <f t="shared" si="7"/>
        <v>0</v>
      </c>
      <c r="V23" s="153">
        <f t="shared" si="8"/>
        <v>0</v>
      </c>
      <c r="W23" s="9">
        <f t="shared" si="9"/>
        <v>1</v>
      </c>
      <c r="X23" s="9">
        <f t="shared" si="10"/>
        <v>0</v>
      </c>
      <c r="Y23" s="9">
        <f t="shared" si="11"/>
        <v>1</v>
      </c>
      <c r="Z23" s="9"/>
      <c r="AA23" s="9"/>
      <c r="AB23" s="9">
        <f t="shared" si="14"/>
        <v>3</v>
      </c>
      <c r="AC23" s="9">
        <f t="shared" si="12"/>
        <v>3</v>
      </c>
      <c r="AD23" s="9" t="str">
        <f t="shared" si="13"/>
        <v>Correct</v>
      </c>
      <c r="AE23" s="9"/>
      <c r="AF23" s="120" t="str">
        <f>IFERROR(VLOOKUP(Table1[RespondentID],'All Data'!$A$3:$CO$999,87,FALSE),"unknown")</f>
        <v>Woman</v>
      </c>
      <c r="AG23" s="120">
        <f>IFERROR(VLOOKUP(Table1[RespondentID],'All Data'!$A$3:$CO$999,88,FALSE),"unknown")</f>
        <v>21</v>
      </c>
      <c r="AH23" s="120" t="str">
        <f>IFERROR(VLOOKUP(Table1[RespondentID],'All Data'!$A$3:$CO$999,89,FALSE),"unknown")</f>
        <v>Suffolk</v>
      </c>
      <c r="AI23" s="120" t="str">
        <f>IFERROR(VLOOKUP(Table1[RespondentID],'All Data'!$A$3:$CO$999,90,FALSE),"unknown")</f>
        <v>Centerport, 11721</v>
      </c>
      <c r="AJ23" s="120" t="str">
        <f>IFERROR(VLOOKUP(Table1[RespondentID],'All Data'!$A$3:$CO$999,91,FALSE),"unknown")</f>
        <v>White</v>
      </c>
      <c r="AK23" s="120" t="str">
        <f>IFERROR(VLOOKUP(Table1[RespondentID],'All Data'!$A$3:$CO$999,92,FALSE),"unknown")</f>
        <v>Not Hispanic or Latino</v>
      </c>
      <c r="AL23" s="120" t="str">
        <f>IFERROR(VLOOKUP(Table1[RespondentID],'All Data'!$A$3:$CO$999,93,FALSE),"unknown")</f>
        <v>English</v>
      </c>
      <c r="AM23" s="120" t="str">
        <f>IFERROR(VLOOKUP(Table1[RespondentID],'All Data'!$A$3:$CW$999,94,FALSE),"unknown")</f>
        <v>$75,000 to $125,000</v>
      </c>
      <c r="AN23" s="120" t="str">
        <f>IFERROR(VLOOKUP(Table1[RespondentID],'All Data'!$A$3:$CW$999,95,FALSE),"unknown")</f>
        <v>Some college</v>
      </c>
      <c r="AO23" s="120" t="str">
        <f>IFERROR(VLOOKUP(Table1[RespondentID],'All Data'!$A$3:$CW$999,96,FALSE),"unknown")</f>
        <v>Employed for wages</v>
      </c>
      <c r="AP23" s="120" t="str">
        <f>IFERROR(VLOOKUP(Table1[RespondentID],'All Data'!$A$3:$CW$999,97,FALSE),"unknown")</f>
        <v>Yes</v>
      </c>
      <c r="AQ23" s="120">
        <f>IFERROR(VLOOKUP(Table1[RespondentID],'All Data'!$A$3:$CW$999,98,FALSE),"unknown")</f>
        <v>0</v>
      </c>
      <c r="AR23" s="120">
        <f>IFERROR(VLOOKUP(Table1[RespondentID],'All Data'!$A$3:$CW$999,99,FALSE),"unknown")</f>
        <v>0</v>
      </c>
    </row>
    <row r="24" spans="1:44" ht="16">
      <c r="A24" s="5">
        <v>18025186406</v>
      </c>
      <c r="B24" s="5"/>
      <c r="C24" s="5"/>
      <c r="D24" s="5"/>
      <c r="E24" s="5"/>
      <c r="F24" s="5"/>
      <c r="G24" s="5" t="s">
        <v>34</v>
      </c>
      <c r="H24" s="5"/>
      <c r="I24" s="5"/>
      <c r="J24" s="5"/>
      <c r="K24" s="5"/>
      <c r="L24" s="8"/>
      <c r="M24" s="8">
        <f t="shared" si="0"/>
        <v>1</v>
      </c>
      <c r="N24" s="8">
        <f t="shared" si="1"/>
        <v>3</v>
      </c>
      <c r="O24" s="8"/>
      <c r="P24" s="8">
        <f t="shared" si="2"/>
        <v>0</v>
      </c>
      <c r="Q24" s="8">
        <f t="shared" si="3"/>
        <v>0</v>
      </c>
      <c r="R24" s="8">
        <f t="shared" si="4"/>
        <v>0</v>
      </c>
      <c r="S24" s="8">
        <f t="shared" si="5"/>
        <v>0</v>
      </c>
      <c r="T24" s="8">
        <f t="shared" si="6"/>
        <v>0</v>
      </c>
      <c r="U24" s="8">
        <f t="shared" si="7"/>
        <v>1</v>
      </c>
      <c r="V24" s="153">
        <f t="shared" si="8"/>
        <v>0</v>
      </c>
      <c r="W24" s="8">
        <f t="shared" si="9"/>
        <v>0</v>
      </c>
      <c r="X24" s="8">
        <f t="shared" si="10"/>
        <v>0</v>
      </c>
      <c r="Y24" s="8">
        <f t="shared" si="11"/>
        <v>0</v>
      </c>
      <c r="Z24" s="8"/>
      <c r="AA24" s="8"/>
      <c r="AB24" s="8">
        <f t="shared" si="14"/>
        <v>1</v>
      </c>
      <c r="AC24" s="8">
        <f t="shared" si="12"/>
        <v>1</v>
      </c>
      <c r="AD24" s="8" t="str">
        <f t="shared" si="13"/>
        <v>Correct</v>
      </c>
      <c r="AE24" s="8"/>
      <c r="AF24" s="120" t="str">
        <f>IFERROR(VLOOKUP(Table1[RespondentID],'All Data'!$A$3:$CO$999,87,FALSE),"unknown")</f>
        <v>Man</v>
      </c>
      <c r="AG24" s="120">
        <f>IFERROR(VLOOKUP(Table1[RespondentID],'All Data'!$A$3:$CO$999,88,FALSE),"unknown")</f>
        <v>56</v>
      </c>
      <c r="AH24" s="120" t="str">
        <f>IFERROR(VLOOKUP(Table1[RespondentID],'All Data'!$A$3:$CO$999,89,FALSE),"unknown")</f>
        <v>Suffolk</v>
      </c>
      <c r="AI24" s="120" t="str">
        <f>IFERROR(VLOOKUP(Table1[RespondentID],'All Data'!$A$3:$CO$999,90,FALSE),"unknown")</f>
        <v>Smithtown, 11787</v>
      </c>
      <c r="AJ24" s="120" t="str">
        <f>IFERROR(VLOOKUP(Table1[RespondentID],'All Data'!$A$3:$CO$999,91,FALSE),"unknown")</f>
        <v>White</v>
      </c>
      <c r="AK24" s="120" t="str">
        <f>IFERROR(VLOOKUP(Table1[RespondentID],'All Data'!$A$3:$CO$999,92,FALSE),"unknown")</f>
        <v>Not Hispanic or Latino</v>
      </c>
      <c r="AL24" s="120" t="str">
        <f>IFERROR(VLOOKUP(Table1[RespondentID],'All Data'!$A$3:$CO$999,93,FALSE),"unknown")</f>
        <v>English</v>
      </c>
      <c r="AM24" s="120" t="str">
        <f>IFERROR(VLOOKUP(Table1[RespondentID],'All Data'!$A$3:$CW$999,94,FALSE),"unknown")</f>
        <v>Over $125,000</v>
      </c>
      <c r="AN24" s="120" t="str">
        <f>IFERROR(VLOOKUP(Table1[RespondentID],'All Data'!$A$3:$CW$999,95,FALSE),"unknown")</f>
        <v>Doctorate</v>
      </c>
      <c r="AO24" s="120" t="str">
        <f>IFERROR(VLOOKUP(Table1[RespondentID],'All Data'!$A$3:$CW$999,96,FALSE),"unknown")</f>
        <v>Employed for wages</v>
      </c>
      <c r="AP24" s="120" t="str">
        <f>IFERROR(VLOOKUP(Table1[RespondentID],'All Data'!$A$3:$CW$999,97,FALSE),"unknown")</f>
        <v>Yes</v>
      </c>
      <c r="AQ24" s="120">
        <f>IFERROR(VLOOKUP(Table1[RespondentID],'All Data'!$A$3:$CW$999,98,FALSE),"unknown")</f>
        <v>0</v>
      </c>
      <c r="AR24" s="120">
        <f>IFERROR(VLOOKUP(Table1[RespondentID],'All Data'!$A$3:$CW$999,99,FALSE),"unknown")</f>
        <v>0</v>
      </c>
    </row>
    <row r="25" spans="1:44" ht="16">
      <c r="A25" s="5">
        <v>18025186288</v>
      </c>
      <c r="B25" s="5"/>
      <c r="C25" s="5" t="s">
        <v>30</v>
      </c>
      <c r="D25" s="5"/>
      <c r="E25" s="5"/>
      <c r="F25" s="5"/>
      <c r="G25" s="5"/>
      <c r="H25" s="5"/>
      <c r="I25" s="5"/>
      <c r="J25" s="5" t="s">
        <v>37</v>
      </c>
      <c r="K25" s="5"/>
      <c r="L25" s="9"/>
      <c r="M25" s="9">
        <f t="shared" si="0"/>
        <v>2</v>
      </c>
      <c r="N25" s="9">
        <f t="shared" si="1"/>
        <v>1.5</v>
      </c>
      <c r="O25" s="9"/>
      <c r="P25" s="9">
        <f t="shared" si="2"/>
        <v>0</v>
      </c>
      <c r="Q25" s="9">
        <f t="shared" si="3"/>
        <v>1</v>
      </c>
      <c r="R25" s="9">
        <f t="shared" si="4"/>
        <v>0</v>
      </c>
      <c r="S25" s="9">
        <f t="shared" si="5"/>
        <v>0</v>
      </c>
      <c r="T25" s="9">
        <f t="shared" si="6"/>
        <v>0</v>
      </c>
      <c r="U25" s="9">
        <f t="shared" si="7"/>
        <v>0</v>
      </c>
      <c r="V25" s="153">
        <f t="shared" si="8"/>
        <v>0</v>
      </c>
      <c r="W25" s="9">
        <f t="shared" si="9"/>
        <v>0</v>
      </c>
      <c r="X25" s="9">
        <f t="shared" si="10"/>
        <v>1</v>
      </c>
      <c r="Y25" s="9">
        <f t="shared" si="11"/>
        <v>0</v>
      </c>
      <c r="Z25" s="9"/>
      <c r="AA25" s="9"/>
      <c r="AB25" s="9">
        <f t="shared" si="14"/>
        <v>2</v>
      </c>
      <c r="AC25" s="9">
        <f t="shared" si="12"/>
        <v>2</v>
      </c>
      <c r="AD25" s="9" t="str">
        <f t="shared" si="13"/>
        <v>Correct</v>
      </c>
      <c r="AE25" s="9"/>
      <c r="AF25" s="120" t="str">
        <f>IFERROR(VLOOKUP(Table1[RespondentID],'All Data'!$A$3:$CO$999,87,FALSE),"unknown")</f>
        <v>Woman</v>
      </c>
      <c r="AG25" s="120">
        <f>IFERROR(VLOOKUP(Table1[RespondentID],'All Data'!$A$3:$CO$999,88,FALSE),"unknown")</f>
        <v>78</v>
      </c>
      <c r="AH25" s="120" t="str">
        <f>IFERROR(VLOOKUP(Table1[RespondentID],'All Data'!$A$3:$CO$999,89,FALSE),"unknown")</f>
        <v>Suffolk</v>
      </c>
      <c r="AI25" s="120" t="str">
        <f>IFERROR(VLOOKUP(Table1[RespondentID],'All Data'!$A$3:$CO$999,90,FALSE),"unknown")</f>
        <v>Smithtown, 11787</v>
      </c>
      <c r="AJ25" s="120" t="str">
        <f>IFERROR(VLOOKUP(Table1[RespondentID],'All Data'!$A$3:$CO$999,91,FALSE),"unknown")</f>
        <v>White</v>
      </c>
      <c r="AK25" s="120" t="str">
        <f>IFERROR(VLOOKUP(Table1[RespondentID],'All Data'!$A$3:$CO$999,92,FALSE),"unknown")</f>
        <v>Not Hispanic or Latino</v>
      </c>
      <c r="AL25" s="120" t="str">
        <f>IFERROR(VLOOKUP(Table1[RespondentID],'All Data'!$A$3:$CO$999,93,FALSE),"unknown")</f>
        <v>English</v>
      </c>
      <c r="AM25" s="120" t="str">
        <f>IFERROR(VLOOKUP(Table1[RespondentID],'All Data'!$A$3:$CW$999,94,FALSE),"unknown")</f>
        <v>$35,000 to $49,999</v>
      </c>
      <c r="AN25" s="120" t="str">
        <f>IFERROR(VLOOKUP(Table1[RespondentID],'All Data'!$A$3:$CW$999,95,FALSE),"unknown")</f>
        <v>Some college</v>
      </c>
      <c r="AO25" s="120" t="str">
        <f>IFERROR(VLOOKUP(Table1[RespondentID],'All Data'!$A$3:$CW$999,96,FALSE),"unknown")</f>
        <v>Retired</v>
      </c>
      <c r="AP25" s="120" t="str">
        <f>IFERROR(VLOOKUP(Table1[RespondentID],'All Data'!$A$3:$CW$999,97,FALSE),"unknown")</f>
        <v>Yes</v>
      </c>
      <c r="AQ25" s="120">
        <f>IFERROR(VLOOKUP(Table1[RespondentID],'All Data'!$A$3:$CW$999,98,FALSE),"unknown")</f>
        <v>0</v>
      </c>
      <c r="AR25" s="120">
        <f>IFERROR(VLOOKUP(Table1[RespondentID],'All Data'!$A$3:$CW$999,99,FALSE),"unknown")</f>
        <v>0</v>
      </c>
    </row>
    <row r="26" spans="1:44" ht="16">
      <c r="A26" s="5">
        <v>18025186085</v>
      </c>
      <c r="B26" s="5"/>
      <c r="C26" s="5"/>
      <c r="D26" s="5" t="s">
        <v>31</v>
      </c>
      <c r="E26" s="5"/>
      <c r="F26" s="5"/>
      <c r="G26" s="5"/>
      <c r="H26" s="5" t="s">
        <v>35</v>
      </c>
      <c r="I26" s="5" t="s">
        <v>36</v>
      </c>
      <c r="J26" s="5"/>
      <c r="K26" s="5"/>
      <c r="L26" s="8"/>
      <c r="M26" s="8">
        <f t="shared" si="0"/>
        <v>3</v>
      </c>
      <c r="N26" s="8">
        <f t="shared" si="1"/>
        <v>1</v>
      </c>
      <c r="O26" s="8"/>
      <c r="P26" s="8">
        <f t="shared" si="2"/>
        <v>0</v>
      </c>
      <c r="Q26" s="8">
        <f t="shared" si="3"/>
        <v>0</v>
      </c>
      <c r="R26" s="8">
        <f t="shared" si="4"/>
        <v>1</v>
      </c>
      <c r="S26" s="8">
        <f t="shared" si="5"/>
        <v>0</v>
      </c>
      <c r="T26" s="8">
        <f t="shared" si="6"/>
        <v>0</v>
      </c>
      <c r="U26" s="8">
        <f t="shared" si="7"/>
        <v>0</v>
      </c>
      <c r="V26" s="153">
        <f t="shared" si="8"/>
        <v>1</v>
      </c>
      <c r="W26" s="8">
        <f t="shared" si="9"/>
        <v>1</v>
      </c>
      <c r="X26" s="8">
        <f t="shared" si="10"/>
        <v>0</v>
      </c>
      <c r="Y26" s="8">
        <f t="shared" si="11"/>
        <v>0</v>
      </c>
      <c r="Z26" s="8"/>
      <c r="AA26" s="8"/>
      <c r="AB26" s="8">
        <f t="shared" si="14"/>
        <v>3</v>
      </c>
      <c r="AC26" s="8">
        <f t="shared" si="12"/>
        <v>3</v>
      </c>
      <c r="AD26" s="8" t="str">
        <f t="shared" si="13"/>
        <v>Correct</v>
      </c>
      <c r="AE26" s="8"/>
      <c r="AF26" s="120" t="str">
        <f>IFERROR(VLOOKUP(Table1[RespondentID],'All Data'!$A$3:$CO$999,87,FALSE),"unknown")</f>
        <v>Man</v>
      </c>
      <c r="AG26" s="120">
        <f>IFERROR(VLOOKUP(Table1[RespondentID],'All Data'!$A$3:$CO$999,88,FALSE),"unknown")</f>
        <v>56</v>
      </c>
      <c r="AH26" s="120" t="str">
        <f>IFERROR(VLOOKUP(Table1[RespondentID],'All Data'!$A$3:$CO$999,89,FALSE),"unknown")</f>
        <v>Suffolk</v>
      </c>
      <c r="AI26" s="120" t="str">
        <f>IFERROR(VLOOKUP(Table1[RespondentID],'All Data'!$A$3:$CO$999,90,FALSE),"unknown")</f>
        <v>Centerport, 11721</v>
      </c>
      <c r="AJ26" s="120" t="str">
        <f>IFERROR(VLOOKUP(Table1[RespondentID],'All Data'!$A$3:$CO$999,91,FALSE),"unknown")</f>
        <v>White</v>
      </c>
      <c r="AK26" s="120" t="str">
        <f>IFERROR(VLOOKUP(Table1[RespondentID],'All Data'!$A$3:$CO$999,92,FALSE),"unknown")</f>
        <v>Not Hispanic or Latino</v>
      </c>
      <c r="AL26" s="120" t="str">
        <f>IFERROR(VLOOKUP(Table1[RespondentID],'All Data'!$A$3:$CO$999,93,FALSE),"unknown")</f>
        <v>English</v>
      </c>
      <c r="AM26" s="120" t="str">
        <f>IFERROR(VLOOKUP(Table1[RespondentID],'All Data'!$A$3:$CW$999,94,FALSE),"unknown")</f>
        <v>$75,000 to $125,000</v>
      </c>
      <c r="AN26" s="120" t="str">
        <f>IFERROR(VLOOKUP(Table1[RespondentID],'All Data'!$A$3:$CW$999,95,FALSE),"unknown")</f>
        <v>Doctorate</v>
      </c>
      <c r="AO26" s="120" t="str">
        <f>IFERROR(VLOOKUP(Table1[RespondentID],'All Data'!$A$3:$CW$999,96,FALSE),"unknown")</f>
        <v>Employed for wages</v>
      </c>
      <c r="AP26" s="120" t="str">
        <f>IFERROR(VLOOKUP(Table1[RespondentID],'All Data'!$A$3:$CW$999,97,FALSE),"unknown")</f>
        <v>Yes</v>
      </c>
      <c r="AQ26" s="120">
        <f>IFERROR(VLOOKUP(Table1[RespondentID],'All Data'!$A$3:$CW$999,98,FALSE),"unknown")</f>
        <v>0</v>
      </c>
      <c r="AR26" s="120">
        <f>IFERROR(VLOOKUP(Table1[RespondentID],'All Data'!$A$3:$CW$999,99,FALSE),"unknown")</f>
        <v>0</v>
      </c>
    </row>
    <row r="27" spans="1:44" ht="16">
      <c r="A27" s="5">
        <v>18025185956</v>
      </c>
      <c r="B27" s="5"/>
      <c r="C27" s="5"/>
      <c r="D27" s="5"/>
      <c r="E27" s="5"/>
      <c r="F27" s="5"/>
      <c r="G27" s="5" t="s">
        <v>34</v>
      </c>
      <c r="H27" s="5"/>
      <c r="I27" s="5"/>
      <c r="J27" s="5"/>
      <c r="K27" s="5"/>
      <c r="L27" s="9"/>
      <c r="M27" s="9">
        <f t="shared" si="0"/>
        <v>1</v>
      </c>
      <c r="N27" s="9">
        <f t="shared" si="1"/>
        <v>3</v>
      </c>
      <c r="O27" s="9"/>
      <c r="P27" s="9">
        <f t="shared" si="2"/>
        <v>0</v>
      </c>
      <c r="Q27" s="9">
        <f t="shared" si="3"/>
        <v>0</v>
      </c>
      <c r="R27" s="9">
        <f t="shared" si="4"/>
        <v>0</v>
      </c>
      <c r="S27" s="9">
        <f t="shared" si="5"/>
        <v>0</v>
      </c>
      <c r="T27" s="9">
        <f t="shared" si="6"/>
        <v>0</v>
      </c>
      <c r="U27" s="9">
        <f t="shared" si="7"/>
        <v>1</v>
      </c>
      <c r="V27" s="153">
        <f t="shared" si="8"/>
        <v>0</v>
      </c>
      <c r="W27" s="9">
        <f t="shared" si="9"/>
        <v>0</v>
      </c>
      <c r="X27" s="9">
        <f t="shared" si="10"/>
        <v>0</v>
      </c>
      <c r="Y27" s="9">
        <f t="shared" si="11"/>
        <v>0</v>
      </c>
      <c r="Z27" s="9"/>
      <c r="AA27" s="9"/>
      <c r="AB27" s="9">
        <f t="shared" si="14"/>
        <v>1</v>
      </c>
      <c r="AC27" s="9">
        <f t="shared" si="12"/>
        <v>1</v>
      </c>
      <c r="AD27" s="9" t="str">
        <f t="shared" si="13"/>
        <v>Correct</v>
      </c>
      <c r="AE27" s="9"/>
      <c r="AF27" s="120" t="str">
        <f>IFERROR(VLOOKUP(Table1[RespondentID],'All Data'!$A$3:$CO$999,87,FALSE),"unknown")</f>
        <v>Man</v>
      </c>
      <c r="AG27" s="120">
        <f>IFERROR(VLOOKUP(Table1[RespondentID],'All Data'!$A$3:$CO$999,88,FALSE),"unknown")</f>
        <v>19</v>
      </c>
      <c r="AH27" s="120" t="str">
        <f>IFERROR(VLOOKUP(Table1[RespondentID],'All Data'!$A$3:$CO$999,89,FALSE),"unknown")</f>
        <v>Suffolk</v>
      </c>
      <c r="AI27" s="120" t="str">
        <f>IFERROR(VLOOKUP(Table1[RespondentID],'All Data'!$A$3:$CO$999,90,FALSE),"unknown")</f>
        <v>Centerport, 11721</v>
      </c>
      <c r="AJ27" s="120" t="str">
        <f>IFERROR(VLOOKUP(Table1[RespondentID],'All Data'!$A$3:$CO$999,91,FALSE),"unknown")</f>
        <v>White</v>
      </c>
      <c r="AK27" s="120" t="str">
        <f>IFERROR(VLOOKUP(Table1[RespondentID],'All Data'!$A$3:$CO$999,92,FALSE),"unknown")</f>
        <v>Not Hispanic or Latino</v>
      </c>
      <c r="AL27" s="120" t="str">
        <f>IFERROR(VLOOKUP(Table1[RespondentID],'All Data'!$A$3:$CO$999,93,FALSE),"unknown")</f>
        <v>English</v>
      </c>
      <c r="AM27" s="120" t="str">
        <f>IFERROR(VLOOKUP(Table1[RespondentID],'All Data'!$A$3:$CW$999,94,FALSE),"unknown")</f>
        <v>Over $125,000</v>
      </c>
      <c r="AN27" s="120" t="str">
        <f>IFERROR(VLOOKUP(Table1[RespondentID],'All Data'!$A$3:$CW$999,95,FALSE),"unknown")</f>
        <v>Some college</v>
      </c>
      <c r="AO27" s="120" t="str">
        <f>IFERROR(VLOOKUP(Table1[RespondentID],'All Data'!$A$3:$CW$999,96,FALSE),"unknown")</f>
        <v>Student</v>
      </c>
      <c r="AP27" s="120" t="str">
        <f>IFERROR(VLOOKUP(Table1[RespondentID],'All Data'!$A$3:$CW$999,97,FALSE),"unknown")</f>
        <v>Yes</v>
      </c>
      <c r="AQ27" s="120">
        <f>IFERROR(VLOOKUP(Table1[RespondentID],'All Data'!$A$3:$CW$999,98,FALSE),"unknown")</f>
        <v>0</v>
      </c>
      <c r="AR27" s="120">
        <f>IFERROR(VLOOKUP(Table1[RespondentID],'All Data'!$A$3:$CW$999,99,FALSE),"unknown")</f>
        <v>0</v>
      </c>
    </row>
    <row r="28" spans="1:44" ht="16">
      <c r="A28" s="5">
        <v>18025185799</v>
      </c>
      <c r="B28" s="5" t="s">
        <v>29</v>
      </c>
      <c r="C28" s="5"/>
      <c r="D28" s="5"/>
      <c r="E28" s="5"/>
      <c r="F28" s="5"/>
      <c r="G28" s="5"/>
      <c r="H28" s="5"/>
      <c r="I28" s="5"/>
      <c r="J28" s="5"/>
      <c r="K28" s="5"/>
      <c r="L28" s="8"/>
      <c r="M28" s="8">
        <f t="shared" si="0"/>
        <v>1</v>
      </c>
      <c r="N28" s="8">
        <f t="shared" si="1"/>
        <v>3</v>
      </c>
      <c r="O28" s="8"/>
      <c r="P28" s="8">
        <f t="shared" si="2"/>
        <v>1</v>
      </c>
      <c r="Q28" s="8">
        <f t="shared" si="3"/>
        <v>0</v>
      </c>
      <c r="R28" s="8">
        <f t="shared" si="4"/>
        <v>0</v>
      </c>
      <c r="S28" s="8">
        <f t="shared" si="5"/>
        <v>0</v>
      </c>
      <c r="T28" s="8">
        <f t="shared" si="6"/>
        <v>0</v>
      </c>
      <c r="U28" s="8">
        <f t="shared" si="7"/>
        <v>0</v>
      </c>
      <c r="V28" s="153">
        <f t="shared" si="8"/>
        <v>0</v>
      </c>
      <c r="W28" s="8">
        <f t="shared" si="9"/>
        <v>0</v>
      </c>
      <c r="X28" s="8">
        <f t="shared" si="10"/>
        <v>0</v>
      </c>
      <c r="Y28" s="8">
        <f t="shared" si="11"/>
        <v>0</v>
      </c>
      <c r="Z28" s="8"/>
      <c r="AA28" s="8"/>
      <c r="AB28" s="8">
        <f t="shared" si="14"/>
        <v>1</v>
      </c>
      <c r="AC28" s="8">
        <f t="shared" si="12"/>
        <v>1</v>
      </c>
      <c r="AD28" s="8" t="str">
        <f t="shared" si="13"/>
        <v>Correct</v>
      </c>
      <c r="AE28" s="8"/>
      <c r="AF28" s="120" t="str">
        <f>IFERROR(VLOOKUP(Table1[RespondentID],'All Data'!$A$3:$CO$999,87,FALSE),"unknown")</f>
        <v>Woman</v>
      </c>
      <c r="AG28" s="120">
        <f>IFERROR(VLOOKUP(Table1[RespondentID],'All Data'!$A$3:$CO$999,88,FALSE),"unknown")</f>
        <v>26</v>
      </c>
      <c r="AH28" s="120" t="str">
        <f>IFERROR(VLOOKUP(Table1[RespondentID],'All Data'!$A$3:$CO$999,89,FALSE),"unknown")</f>
        <v>Suffolk</v>
      </c>
      <c r="AI28" s="120" t="str">
        <f>IFERROR(VLOOKUP(Table1[RespondentID],'All Data'!$A$3:$CO$999,90,FALSE),"unknown")</f>
        <v>Greenlawn, 11740</v>
      </c>
      <c r="AJ28" s="120" t="str">
        <f>IFERROR(VLOOKUP(Table1[RespondentID],'All Data'!$A$3:$CO$999,91,FALSE),"unknown")</f>
        <v>Black or African American</v>
      </c>
      <c r="AK28" s="120" t="str">
        <f>IFERROR(VLOOKUP(Table1[RespondentID],'All Data'!$A$3:$CO$999,92,FALSE),"unknown")</f>
        <v>Not Hispanic or Latino</v>
      </c>
      <c r="AL28" s="120" t="str">
        <f>IFERROR(VLOOKUP(Table1[RespondentID],'All Data'!$A$3:$CO$999,93,FALSE),"unknown")</f>
        <v>English, Haitian Creole</v>
      </c>
      <c r="AM28" s="120" t="str">
        <f>IFERROR(VLOOKUP(Table1[RespondentID],'All Data'!$A$3:$CW$999,94,FALSE),"unknown")</f>
        <v>$50,000 to $74,999</v>
      </c>
      <c r="AN28" s="120" t="str">
        <f>IFERROR(VLOOKUP(Table1[RespondentID],'All Data'!$A$3:$CW$999,95,FALSE),"unknown")</f>
        <v>College graduate</v>
      </c>
      <c r="AO28" s="120" t="str">
        <f>IFERROR(VLOOKUP(Table1[RespondentID],'All Data'!$A$3:$CW$999,96,FALSE),"unknown")</f>
        <v>Self-employed</v>
      </c>
      <c r="AP28" s="120" t="str">
        <f>IFERROR(VLOOKUP(Table1[RespondentID],'All Data'!$A$3:$CW$999,97,FALSE),"unknown")</f>
        <v>Yes</v>
      </c>
      <c r="AQ28" s="120">
        <f>IFERROR(VLOOKUP(Table1[RespondentID],'All Data'!$A$3:$CW$999,98,FALSE),"unknown")</f>
        <v>0</v>
      </c>
      <c r="AR28" s="120">
        <f>IFERROR(VLOOKUP(Table1[RespondentID],'All Data'!$A$3:$CW$999,99,FALSE),"unknown")</f>
        <v>0</v>
      </c>
    </row>
    <row r="29" spans="1:44" ht="16">
      <c r="A29" s="5">
        <v>18025185651</v>
      </c>
      <c r="B29" s="5"/>
      <c r="C29" s="5"/>
      <c r="D29" s="5"/>
      <c r="E29" s="5"/>
      <c r="F29" s="5"/>
      <c r="G29" s="5" t="s">
        <v>34</v>
      </c>
      <c r="H29" s="5"/>
      <c r="I29" s="5"/>
      <c r="J29" s="5"/>
      <c r="K29" s="5"/>
      <c r="L29" s="9"/>
      <c r="M29" s="9">
        <f t="shared" si="0"/>
        <v>1</v>
      </c>
      <c r="N29" s="9">
        <f t="shared" si="1"/>
        <v>3</v>
      </c>
      <c r="O29" s="9"/>
      <c r="P29" s="9">
        <f t="shared" si="2"/>
        <v>0</v>
      </c>
      <c r="Q29" s="9">
        <f t="shared" si="3"/>
        <v>0</v>
      </c>
      <c r="R29" s="9">
        <f t="shared" si="4"/>
        <v>0</v>
      </c>
      <c r="S29" s="9">
        <f t="shared" si="5"/>
        <v>0</v>
      </c>
      <c r="T29" s="9">
        <f t="shared" si="6"/>
        <v>0</v>
      </c>
      <c r="U29" s="9">
        <f t="shared" si="7"/>
        <v>1</v>
      </c>
      <c r="V29" s="153">
        <f t="shared" si="8"/>
        <v>0</v>
      </c>
      <c r="W29" s="9">
        <f t="shared" si="9"/>
        <v>0</v>
      </c>
      <c r="X29" s="9">
        <f t="shared" si="10"/>
        <v>0</v>
      </c>
      <c r="Y29" s="9">
        <f t="shared" si="11"/>
        <v>0</v>
      </c>
      <c r="Z29" s="9"/>
      <c r="AA29" s="9"/>
      <c r="AB29" s="9">
        <f t="shared" si="14"/>
        <v>1</v>
      </c>
      <c r="AC29" s="9">
        <f t="shared" si="12"/>
        <v>1</v>
      </c>
      <c r="AD29" s="9" t="str">
        <f t="shared" si="13"/>
        <v>Correct</v>
      </c>
      <c r="AE29" s="9"/>
      <c r="AF29" s="120" t="str">
        <f>IFERROR(VLOOKUP(Table1[RespondentID],'All Data'!$A$3:$CO$999,87,FALSE),"unknown")</f>
        <v>Woman</v>
      </c>
      <c r="AG29" s="120">
        <f>IFERROR(VLOOKUP(Table1[RespondentID],'All Data'!$A$3:$CO$999,88,FALSE),"unknown")</f>
        <v>17</v>
      </c>
      <c r="AH29" s="120" t="str">
        <f>IFERROR(VLOOKUP(Table1[RespondentID],'All Data'!$A$3:$CO$999,89,FALSE),"unknown")</f>
        <v>Suffolk</v>
      </c>
      <c r="AI29" s="120" t="str">
        <f>IFERROR(VLOOKUP(Table1[RespondentID],'All Data'!$A$3:$CO$999,90,FALSE),"unknown")</f>
        <v>Centerport, 11721</v>
      </c>
      <c r="AJ29" s="120" t="str">
        <f>IFERROR(VLOOKUP(Table1[RespondentID],'All Data'!$A$3:$CO$999,91,FALSE),"unknown")</f>
        <v>White</v>
      </c>
      <c r="AK29" s="120" t="str">
        <f>IFERROR(VLOOKUP(Table1[RespondentID],'All Data'!$A$3:$CO$999,92,FALSE),"unknown")</f>
        <v>Not Hispanic or Latino</v>
      </c>
      <c r="AL29" s="120" t="str">
        <f>IFERROR(VLOOKUP(Table1[RespondentID],'All Data'!$A$3:$CO$999,93,FALSE),"unknown")</f>
        <v>English</v>
      </c>
      <c r="AM29" s="120" t="str">
        <f>IFERROR(VLOOKUP(Table1[RespondentID],'All Data'!$A$3:$CW$999,94,FALSE),"unknown")</f>
        <v>Over $125,000</v>
      </c>
      <c r="AN29" s="120" t="str">
        <f>IFERROR(VLOOKUP(Table1[RespondentID],'All Data'!$A$3:$CW$999,95,FALSE),"unknown")</f>
        <v>Some high school</v>
      </c>
      <c r="AO29" s="120" t="str">
        <f>IFERROR(VLOOKUP(Table1[RespondentID],'All Data'!$A$3:$CW$999,96,FALSE),"unknown")</f>
        <v>Student</v>
      </c>
      <c r="AP29" s="120" t="str">
        <f>IFERROR(VLOOKUP(Table1[RespondentID],'All Data'!$A$3:$CW$999,97,FALSE),"unknown")</f>
        <v>Yes</v>
      </c>
      <c r="AQ29" s="120">
        <f>IFERROR(VLOOKUP(Table1[RespondentID],'All Data'!$A$3:$CW$999,98,FALSE),"unknown")</f>
        <v>0</v>
      </c>
      <c r="AR29" s="120">
        <f>IFERROR(VLOOKUP(Table1[RespondentID],'All Data'!$A$3:$CW$999,99,FALSE),"unknown")</f>
        <v>0</v>
      </c>
    </row>
    <row r="30" spans="1:44" ht="16">
      <c r="A30" s="5">
        <v>18025185458</v>
      </c>
      <c r="B30" s="5"/>
      <c r="C30" s="5"/>
      <c r="D30" s="5"/>
      <c r="E30" s="5"/>
      <c r="F30" s="5"/>
      <c r="G30" s="5" t="s">
        <v>34</v>
      </c>
      <c r="H30" s="5"/>
      <c r="I30" s="5"/>
      <c r="J30" s="5"/>
      <c r="K30" s="5"/>
      <c r="L30" s="8"/>
      <c r="M30" s="8">
        <f t="shared" si="0"/>
        <v>1</v>
      </c>
      <c r="N30" s="8">
        <f t="shared" si="1"/>
        <v>3</v>
      </c>
      <c r="O30" s="8"/>
      <c r="P30" s="8">
        <f t="shared" si="2"/>
        <v>0</v>
      </c>
      <c r="Q30" s="8">
        <f t="shared" si="3"/>
        <v>0</v>
      </c>
      <c r="R30" s="8">
        <f t="shared" si="4"/>
        <v>0</v>
      </c>
      <c r="S30" s="8">
        <f t="shared" si="5"/>
        <v>0</v>
      </c>
      <c r="T30" s="8">
        <f t="shared" si="6"/>
        <v>0</v>
      </c>
      <c r="U30" s="8">
        <f t="shared" si="7"/>
        <v>1</v>
      </c>
      <c r="V30" s="153">
        <f t="shared" si="8"/>
        <v>0</v>
      </c>
      <c r="W30" s="8">
        <f t="shared" si="9"/>
        <v>0</v>
      </c>
      <c r="X30" s="8">
        <f t="shared" si="10"/>
        <v>0</v>
      </c>
      <c r="Y30" s="8">
        <f t="shared" si="11"/>
        <v>0</v>
      </c>
      <c r="Z30" s="8"/>
      <c r="AA30" s="8"/>
      <c r="AB30" s="8">
        <f t="shared" si="14"/>
        <v>1</v>
      </c>
      <c r="AC30" s="8">
        <f t="shared" si="12"/>
        <v>1</v>
      </c>
      <c r="AD30" s="8" t="str">
        <f t="shared" si="13"/>
        <v>Correct</v>
      </c>
      <c r="AE30" s="8"/>
      <c r="AF30" s="120" t="str">
        <f>IFERROR(VLOOKUP(Table1[RespondentID],'All Data'!$A$3:$CO$999,87,FALSE),"unknown")</f>
        <v>Man</v>
      </c>
      <c r="AG30" s="120">
        <f>IFERROR(VLOOKUP(Table1[RespondentID],'All Data'!$A$3:$CO$999,88,FALSE),"unknown")</f>
        <v>38</v>
      </c>
      <c r="AH30" s="120" t="str">
        <f>IFERROR(VLOOKUP(Table1[RespondentID],'All Data'!$A$3:$CO$999,89,FALSE),"unknown")</f>
        <v>Suffolk</v>
      </c>
      <c r="AI30" s="120" t="str">
        <f>IFERROR(VLOOKUP(Table1[RespondentID],'All Data'!$A$3:$CO$999,90,FALSE),"unknown")</f>
        <v>Cold Spring Harbor, 11724</v>
      </c>
      <c r="AJ30" s="120" t="str">
        <f>IFERROR(VLOOKUP(Table1[RespondentID],'All Data'!$A$3:$CO$999,91,FALSE),"unknown")</f>
        <v>White</v>
      </c>
      <c r="AK30" s="120" t="str">
        <f>IFERROR(VLOOKUP(Table1[RespondentID],'All Data'!$A$3:$CO$999,92,FALSE),"unknown")</f>
        <v>Not Hispanic or Latino</v>
      </c>
      <c r="AL30" s="120" t="str">
        <f>IFERROR(VLOOKUP(Table1[RespondentID],'All Data'!$A$3:$CO$999,93,FALSE),"unknown")</f>
        <v>English</v>
      </c>
      <c r="AM30" s="120" t="str">
        <f>IFERROR(VLOOKUP(Table1[RespondentID],'All Data'!$A$3:$CW$999,94,FALSE),"unknown")</f>
        <v>$35,000 to $49,999</v>
      </c>
      <c r="AN30" s="120" t="str">
        <f>IFERROR(VLOOKUP(Table1[RespondentID],'All Data'!$A$3:$CW$999,95,FALSE),"unknown")</f>
        <v>College graduate</v>
      </c>
      <c r="AO30" s="120" t="str">
        <f>IFERROR(VLOOKUP(Table1[RespondentID],'All Data'!$A$3:$CW$999,96,FALSE),"unknown")</f>
        <v>Employed for wages</v>
      </c>
      <c r="AP30" s="120" t="str">
        <f>IFERROR(VLOOKUP(Table1[RespondentID],'All Data'!$A$3:$CW$999,97,FALSE),"unknown")</f>
        <v>Yes</v>
      </c>
      <c r="AQ30" s="120">
        <f>IFERROR(VLOOKUP(Table1[RespondentID],'All Data'!$A$3:$CW$999,98,FALSE),"unknown")</f>
        <v>0</v>
      </c>
      <c r="AR30" s="120">
        <f>IFERROR(VLOOKUP(Table1[RespondentID],'All Data'!$A$3:$CW$999,99,FALSE),"unknown")</f>
        <v>0</v>
      </c>
    </row>
    <row r="31" spans="1:44" ht="16">
      <c r="A31" s="5">
        <v>18025185352</v>
      </c>
      <c r="B31" s="5"/>
      <c r="C31" s="5"/>
      <c r="D31" s="5"/>
      <c r="E31" s="5"/>
      <c r="F31" s="5"/>
      <c r="G31" s="5"/>
      <c r="H31" s="5"/>
      <c r="I31" s="5" t="s">
        <v>36</v>
      </c>
      <c r="J31" s="5"/>
      <c r="K31" s="5" t="s">
        <v>375</v>
      </c>
      <c r="L31" s="9"/>
      <c r="M31" s="9">
        <f t="shared" si="0"/>
        <v>2</v>
      </c>
      <c r="N31" s="9">
        <f t="shared" si="1"/>
        <v>1.5</v>
      </c>
      <c r="O31" s="9"/>
      <c r="P31" s="9">
        <f t="shared" si="2"/>
        <v>0</v>
      </c>
      <c r="Q31" s="9">
        <f t="shared" si="3"/>
        <v>0</v>
      </c>
      <c r="R31" s="9">
        <f t="shared" si="4"/>
        <v>0</v>
      </c>
      <c r="S31" s="9">
        <f t="shared" si="5"/>
        <v>0</v>
      </c>
      <c r="T31" s="9">
        <f t="shared" si="6"/>
        <v>0</v>
      </c>
      <c r="U31" s="9">
        <f t="shared" si="7"/>
        <v>0</v>
      </c>
      <c r="V31" s="153">
        <f t="shared" si="8"/>
        <v>0</v>
      </c>
      <c r="W31" s="9">
        <f t="shared" si="9"/>
        <v>1</v>
      </c>
      <c r="X31" s="9">
        <f t="shared" si="10"/>
        <v>0</v>
      </c>
      <c r="Y31" s="9">
        <f t="shared" si="11"/>
        <v>1</v>
      </c>
      <c r="Z31" s="9"/>
      <c r="AA31" s="9"/>
      <c r="AB31" s="9">
        <f t="shared" si="14"/>
        <v>2</v>
      </c>
      <c r="AC31" s="9">
        <f t="shared" si="12"/>
        <v>2</v>
      </c>
      <c r="AD31" s="9" t="str">
        <f t="shared" si="13"/>
        <v>Correct</v>
      </c>
      <c r="AE31" s="9"/>
      <c r="AF31" s="120" t="str">
        <f>IFERROR(VLOOKUP(Table1[RespondentID],'All Data'!$A$3:$CO$999,87,FALSE),"unknown")</f>
        <v>Man</v>
      </c>
      <c r="AG31" s="120">
        <f>IFERROR(VLOOKUP(Table1[RespondentID],'All Data'!$A$3:$CO$999,88,FALSE),"unknown")</f>
        <v>53</v>
      </c>
      <c r="AH31" s="120" t="str">
        <f>IFERROR(VLOOKUP(Table1[RespondentID],'All Data'!$A$3:$CO$999,89,FALSE),"unknown")</f>
        <v>Suffolk</v>
      </c>
      <c r="AI31" s="120" t="str">
        <f>IFERROR(VLOOKUP(Table1[RespondentID],'All Data'!$A$3:$CO$999,90,FALSE),"unknown")</f>
        <v>Saint James, 11780</v>
      </c>
      <c r="AJ31" s="120" t="str">
        <f>IFERROR(VLOOKUP(Table1[RespondentID],'All Data'!$A$3:$CO$999,91,FALSE),"unknown")</f>
        <v>White</v>
      </c>
      <c r="AK31" s="120" t="str">
        <f>IFERROR(VLOOKUP(Table1[RespondentID],'All Data'!$A$3:$CO$999,92,FALSE),"unknown")</f>
        <v>Not Hispanic or Latino</v>
      </c>
      <c r="AL31" s="120" t="str">
        <f>IFERROR(VLOOKUP(Table1[RespondentID],'All Data'!$A$3:$CO$999,93,FALSE),"unknown")</f>
        <v>English</v>
      </c>
      <c r="AM31" s="120" t="str">
        <f>IFERROR(VLOOKUP(Table1[RespondentID],'All Data'!$A$3:$CW$999,94,FALSE),"unknown")</f>
        <v>Over $125,000</v>
      </c>
      <c r="AN31" s="120" t="str">
        <f>IFERROR(VLOOKUP(Table1[RespondentID],'All Data'!$A$3:$CW$999,95,FALSE),"unknown")</f>
        <v>College graduate</v>
      </c>
      <c r="AO31" s="120" t="str">
        <f>IFERROR(VLOOKUP(Table1[RespondentID],'All Data'!$A$3:$CW$999,96,FALSE),"unknown")</f>
        <v>Employed for wages</v>
      </c>
      <c r="AP31" s="120" t="str">
        <f>IFERROR(VLOOKUP(Table1[RespondentID],'All Data'!$A$3:$CW$999,97,FALSE),"unknown")</f>
        <v>Yes</v>
      </c>
      <c r="AQ31" s="120">
        <f>IFERROR(VLOOKUP(Table1[RespondentID],'All Data'!$A$3:$CW$999,98,FALSE),"unknown")</f>
        <v>0</v>
      </c>
      <c r="AR31" s="120">
        <f>IFERROR(VLOOKUP(Table1[RespondentID],'All Data'!$A$3:$CW$999,99,FALSE),"unknown")</f>
        <v>0</v>
      </c>
    </row>
    <row r="32" spans="1:44" ht="16">
      <c r="A32" s="5">
        <v>18025185219</v>
      </c>
      <c r="B32" s="5"/>
      <c r="C32" s="5"/>
      <c r="D32" s="5"/>
      <c r="E32" s="5"/>
      <c r="F32" s="5"/>
      <c r="G32" s="5"/>
      <c r="H32" s="5" t="s">
        <v>35</v>
      </c>
      <c r="I32" s="5"/>
      <c r="J32" s="5"/>
      <c r="K32" s="5"/>
      <c r="L32" s="8"/>
      <c r="M32" s="8">
        <f t="shared" si="0"/>
        <v>1</v>
      </c>
      <c r="N32" s="8">
        <f t="shared" si="1"/>
        <v>3</v>
      </c>
      <c r="O32" s="8"/>
      <c r="P32" s="8">
        <f t="shared" si="2"/>
        <v>0</v>
      </c>
      <c r="Q32" s="8">
        <f t="shared" si="3"/>
        <v>0</v>
      </c>
      <c r="R32" s="8">
        <f t="shared" si="4"/>
        <v>0</v>
      </c>
      <c r="S32" s="8">
        <f t="shared" si="5"/>
        <v>0</v>
      </c>
      <c r="T32" s="8">
        <f t="shared" si="6"/>
        <v>0</v>
      </c>
      <c r="U32" s="8">
        <f t="shared" si="7"/>
        <v>0</v>
      </c>
      <c r="V32" s="153">
        <f t="shared" si="8"/>
        <v>1</v>
      </c>
      <c r="W32" s="8">
        <f t="shared" si="9"/>
        <v>0</v>
      </c>
      <c r="X32" s="8">
        <f t="shared" si="10"/>
        <v>0</v>
      </c>
      <c r="Y32" s="8">
        <f t="shared" si="11"/>
        <v>0</v>
      </c>
      <c r="Z32" s="8"/>
      <c r="AA32" s="8"/>
      <c r="AB32" s="8">
        <f t="shared" si="14"/>
        <v>1</v>
      </c>
      <c r="AC32" s="8">
        <f t="shared" si="12"/>
        <v>1</v>
      </c>
      <c r="AD32" s="8" t="str">
        <f t="shared" si="13"/>
        <v>Correct</v>
      </c>
      <c r="AE32" s="8"/>
      <c r="AF32" s="120" t="str">
        <f>IFERROR(VLOOKUP(Table1[RespondentID],'All Data'!$A$3:$CO$999,87,FALSE),"unknown")</f>
        <v>Man</v>
      </c>
      <c r="AG32" s="120">
        <f>IFERROR(VLOOKUP(Table1[RespondentID],'All Data'!$A$3:$CO$999,88,FALSE),"unknown")</f>
        <v>40</v>
      </c>
      <c r="AH32" s="120" t="str">
        <f>IFERROR(VLOOKUP(Table1[RespondentID],'All Data'!$A$3:$CO$999,89,FALSE),"unknown")</f>
        <v>Suffolk</v>
      </c>
      <c r="AI32" s="120" t="str">
        <f>IFERROR(VLOOKUP(Table1[RespondentID],'All Data'!$A$3:$CO$999,90,FALSE),"unknown")</f>
        <v>Kings Park, 11754</v>
      </c>
      <c r="AJ32" s="120" t="str">
        <f>IFERROR(VLOOKUP(Table1[RespondentID],'All Data'!$A$3:$CO$999,91,FALSE),"unknown")</f>
        <v>White</v>
      </c>
      <c r="AK32" s="120" t="str">
        <f>IFERROR(VLOOKUP(Table1[RespondentID],'All Data'!$A$3:$CO$999,92,FALSE),"unknown")</f>
        <v>Hispanic or Latino</v>
      </c>
      <c r="AL32" s="120" t="str">
        <f>IFERROR(VLOOKUP(Table1[RespondentID],'All Data'!$A$3:$CO$999,93,FALSE),"unknown")</f>
        <v>English</v>
      </c>
      <c r="AM32" s="120" t="str">
        <f>IFERROR(VLOOKUP(Table1[RespondentID],'All Data'!$A$3:$CW$999,94,FALSE),"unknown")</f>
        <v>Over $125,000</v>
      </c>
      <c r="AN32" s="120" t="str">
        <f>IFERROR(VLOOKUP(Table1[RespondentID],'All Data'!$A$3:$CW$999,95,FALSE),"unknown")</f>
        <v>Graduate school</v>
      </c>
      <c r="AO32" s="120" t="str">
        <f>IFERROR(VLOOKUP(Table1[RespondentID],'All Data'!$A$3:$CW$999,96,FALSE),"unknown")</f>
        <v>Employed for wages</v>
      </c>
      <c r="AP32" s="120" t="str">
        <f>IFERROR(VLOOKUP(Table1[RespondentID],'All Data'!$A$3:$CW$999,97,FALSE),"unknown")</f>
        <v>Yes</v>
      </c>
      <c r="AQ32" s="120">
        <f>IFERROR(VLOOKUP(Table1[RespondentID],'All Data'!$A$3:$CW$999,98,FALSE),"unknown")</f>
        <v>0</v>
      </c>
      <c r="AR32" s="120">
        <f>IFERROR(VLOOKUP(Table1[RespondentID],'All Data'!$A$3:$CW$999,99,FALSE),"unknown")</f>
        <v>0</v>
      </c>
    </row>
    <row r="33" spans="1:44" ht="16">
      <c r="A33" s="5">
        <v>18025185091</v>
      </c>
      <c r="B33" s="5"/>
      <c r="C33" s="5"/>
      <c r="D33" s="5"/>
      <c r="E33" s="5"/>
      <c r="F33" s="5"/>
      <c r="G33" s="5"/>
      <c r="H33" s="5"/>
      <c r="I33" s="5" t="s">
        <v>36</v>
      </c>
      <c r="J33" s="5"/>
      <c r="K33" s="5"/>
      <c r="L33" s="9"/>
      <c r="M33" s="9">
        <f t="shared" si="0"/>
        <v>1</v>
      </c>
      <c r="N33" s="9">
        <f t="shared" si="1"/>
        <v>3</v>
      </c>
      <c r="O33" s="9"/>
      <c r="P33" s="9">
        <f t="shared" si="2"/>
        <v>0</v>
      </c>
      <c r="Q33" s="9">
        <f t="shared" si="3"/>
        <v>0</v>
      </c>
      <c r="R33" s="9">
        <f t="shared" si="4"/>
        <v>0</v>
      </c>
      <c r="S33" s="9">
        <f t="shared" si="5"/>
        <v>0</v>
      </c>
      <c r="T33" s="9">
        <f t="shared" si="6"/>
        <v>0</v>
      </c>
      <c r="U33" s="9">
        <f t="shared" si="7"/>
        <v>0</v>
      </c>
      <c r="V33" s="153">
        <f t="shared" si="8"/>
        <v>0</v>
      </c>
      <c r="W33" s="9">
        <f t="shared" si="9"/>
        <v>1</v>
      </c>
      <c r="X33" s="9">
        <f t="shared" si="10"/>
        <v>0</v>
      </c>
      <c r="Y33" s="9">
        <f t="shared" si="11"/>
        <v>0</v>
      </c>
      <c r="Z33" s="9"/>
      <c r="AA33" s="9"/>
      <c r="AB33" s="9">
        <f t="shared" si="14"/>
        <v>1</v>
      </c>
      <c r="AC33" s="9">
        <f t="shared" si="12"/>
        <v>1</v>
      </c>
      <c r="AD33" s="9" t="str">
        <f t="shared" si="13"/>
        <v>Correct</v>
      </c>
      <c r="AE33" s="9"/>
      <c r="AF33" s="120" t="str">
        <f>IFERROR(VLOOKUP(Table1[RespondentID],'All Data'!$A$3:$CO$999,87,FALSE),"unknown")</f>
        <v>Woman</v>
      </c>
      <c r="AG33" s="120">
        <f>IFERROR(VLOOKUP(Table1[RespondentID],'All Data'!$A$3:$CO$999,88,FALSE),"unknown")</f>
        <v>25</v>
      </c>
      <c r="AH33" s="120" t="str">
        <f>IFERROR(VLOOKUP(Table1[RespondentID],'All Data'!$A$3:$CO$999,89,FALSE),"unknown")</f>
        <v>Suffolk</v>
      </c>
      <c r="AI33" s="120" t="str">
        <f>IFERROR(VLOOKUP(Table1[RespondentID],'All Data'!$A$3:$CO$999,90,FALSE),"unknown")</f>
        <v>Smithtown, 11787</v>
      </c>
      <c r="AJ33" s="120" t="str">
        <f>IFERROR(VLOOKUP(Table1[RespondentID],'All Data'!$A$3:$CO$999,91,FALSE),"unknown")</f>
        <v>White</v>
      </c>
      <c r="AK33" s="120" t="str">
        <f>IFERROR(VLOOKUP(Table1[RespondentID],'All Data'!$A$3:$CO$999,92,FALSE),"unknown")</f>
        <v>Not Hispanic or Latino</v>
      </c>
      <c r="AL33" s="120" t="str">
        <f>IFERROR(VLOOKUP(Table1[RespondentID],'All Data'!$A$3:$CO$999,93,FALSE),"unknown")</f>
        <v>English</v>
      </c>
      <c r="AM33" s="120" t="str">
        <f>IFERROR(VLOOKUP(Table1[RespondentID],'All Data'!$A$3:$CW$999,94,FALSE),"unknown")</f>
        <v>Over $125,000</v>
      </c>
      <c r="AN33" s="120" t="str">
        <f>IFERROR(VLOOKUP(Table1[RespondentID],'All Data'!$A$3:$CW$999,95,FALSE),"unknown")</f>
        <v>Graduate school</v>
      </c>
      <c r="AO33" s="120" t="str">
        <f>IFERROR(VLOOKUP(Table1[RespondentID],'All Data'!$A$3:$CW$999,96,FALSE),"unknown")</f>
        <v>Employed for wages</v>
      </c>
      <c r="AP33" s="120" t="str">
        <f>IFERROR(VLOOKUP(Table1[RespondentID],'All Data'!$A$3:$CW$999,97,FALSE),"unknown")</f>
        <v>Yes</v>
      </c>
      <c r="AQ33" s="120">
        <f>IFERROR(VLOOKUP(Table1[RespondentID],'All Data'!$A$3:$CW$999,98,FALSE),"unknown")</f>
        <v>0</v>
      </c>
      <c r="AR33" s="120">
        <f>IFERROR(VLOOKUP(Table1[RespondentID],'All Data'!$A$3:$CW$999,99,FALSE),"unknown")</f>
        <v>0</v>
      </c>
    </row>
    <row r="34" spans="1:44" ht="16">
      <c r="A34" s="5">
        <v>18025184990</v>
      </c>
      <c r="B34" s="5"/>
      <c r="C34" s="5"/>
      <c r="D34" s="5"/>
      <c r="E34" s="5"/>
      <c r="F34" s="5"/>
      <c r="G34" s="5"/>
      <c r="H34" s="5"/>
      <c r="I34" s="5" t="s">
        <v>36</v>
      </c>
      <c r="J34" s="5"/>
      <c r="K34" s="5" t="s">
        <v>375</v>
      </c>
      <c r="L34" s="8"/>
      <c r="M34" s="8">
        <f t="shared" si="0"/>
        <v>2</v>
      </c>
      <c r="N34" s="8">
        <f t="shared" si="1"/>
        <v>1.5</v>
      </c>
      <c r="O34" s="8"/>
      <c r="P34" s="8">
        <f t="shared" si="2"/>
        <v>0</v>
      </c>
      <c r="Q34" s="8">
        <f t="shared" si="3"/>
        <v>0</v>
      </c>
      <c r="R34" s="8">
        <f t="shared" si="4"/>
        <v>0</v>
      </c>
      <c r="S34" s="8">
        <f t="shared" si="5"/>
        <v>0</v>
      </c>
      <c r="T34" s="8">
        <f t="shared" si="6"/>
        <v>0</v>
      </c>
      <c r="U34" s="8">
        <f t="shared" si="7"/>
        <v>0</v>
      </c>
      <c r="V34" s="153">
        <f t="shared" si="8"/>
        <v>0</v>
      </c>
      <c r="W34" s="8">
        <f t="shared" si="9"/>
        <v>1</v>
      </c>
      <c r="X34" s="8">
        <f t="shared" si="10"/>
        <v>0</v>
      </c>
      <c r="Y34" s="8">
        <f t="shared" si="11"/>
        <v>1</v>
      </c>
      <c r="Z34" s="8"/>
      <c r="AA34" s="8"/>
      <c r="AB34" s="8">
        <f t="shared" si="14"/>
        <v>2</v>
      </c>
      <c r="AC34" s="8">
        <f t="shared" si="12"/>
        <v>2</v>
      </c>
      <c r="AD34" s="8" t="str">
        <f t="shared" si="13"/>
        <v>Correct</v>
      </c>
      <c r="AE34" s="8"/>
      <c r="AF34" s="120" t="str">
        <f>IFERROR(VLOOKUP(Table1[RespondentID],'All Data'!$A$3:$CO$999,87,FALSE),"unknown")</f>
        <v>Woman</v>
      </c>
      <c r="AG34" s="120">
        <f>IFERROR(VLOOKUP(Table1[RespondentID],'All Data'!$A$3:$CO$999,88,FALSE),"unknown")</f>
        <v>26</v>
      </c>
      <c r="AH34" s="120" t="str">
        <f>IFERROR(VLOOKUP(Table1[RespondentID],'All Data'!$A$3:$CO$999,89,FALSE),"unknown")</f>
        <v>Suffolk</v>
      </c>
      <c r="AI34" s="120" t="str">
        <f>IFERROR(VLOOKUP(Table1[RespondentID],'All Data'!$A$3:$CO$999,90,FALSE),"unknown")</f>
        <v>Saint James, 11780</v>
      </c>
      <c r="AJ34" s="120" t="str">
        <f>IFERROR(VLOOKUP(Table1[RespondentID],'All Data'!$A$3:$CO$999,91,FALSE),"unknown")</f>
        <v>White</v>
      </c>
      <c r="AK34" s="120" t="str">
        <f>IFERROR(VLOOKUP(Table1[RespondentID],'All Data'!$A$3:$CO$999,92,FALSE),"unknown")</f>
        <v>Not Hispanic or Latino</v>
      </c>
      <c r="AL34" s="120" t="str">
        <f>IFERROR(VLOOKUP(Table1[RespondentID],'All Data'!$A$3:$CO$999,93,FALSE),"unknown")</f>
        <v>English</v>
      </c>
      <c r="AM34" s="120" t="str">
        <f>IFERROR(VLOOKUP(Table1[RespondentID],'All Data'!$A$3:$CW$999,94,FALSE),"unknown")</f>
        <v>$75,000 to $125,000</v>
      </c>
      <c r="AN34" s="120" t="str">
        <f>IFERROR(VLOOKUP(Table1[RespondentID],'All Data'!$A$3:$CW$999,95,FALSE),"unknown")</f>
        <v>College graduate</v>
      </c>
      <c r="AO34" s="120" t="str">
        <f>IFERROR(VLOOKUP(Table1[RespondentID],'All Data'!$A$3:$CW$999,96,FALSE),"unknown")</f>
        <v>Employed for wages</v>
      </c>
      <c r="AP34" s="120" t="str">
        <f>IFERROR(VLOOKUP(Table1[RespondentID],'All Data'!$A$3:$CW$999,97,FALSE),"unknown")</f>
        <v>Yes</v>
      </c>
      <c r="AQ34" s="120">
        <f>IFERROR(VLOOKUP(Table1[RespondentID],'All Data'!$A$3:$CW$999,98,FALSE),"unknown")</f>
        <v>0</v>
      </c>
      <c r="AR34" s="120">
        <f>IFERROR(VLOOKUP(Table1[RespondentID],'All Data'!$A$3:$CW$999,99,FALSE),"unknown")</f>
        <v>0</v>
      </c>
    </row>
    <row r="35" spans="1:44" ht="16">
      <c r="A35" s="5">
        <v>18025184829</v>
      </c>
      <c r="B35" s="5" t="s">
        <v>29</v>
      </c>
      <c r="C35" s="5" t="s">
        <v>30</v>
      </c>
      <c r="D35" s="5"/>
      <c r="E35" s="5"/>
      <c r="F35" s="5"/>
      <c r="G35" s="5"/>
      <c r="H35" s="5"/>
      <c r="I35" s="5" t="s">
        <v>36</v>
      </c>
      <c r="J35" s="5"/>
      <c r="K35" s="5"/>
      <c r="L35" s="9"/>
      <c r="M35" s="9">
        <f t="shared" si="0"/>
        <v>3</v>
      </c>
      <c r="N35" s="9">
        <f t="shared" si="1"/>
        <v>1</v>
      </c>
      <c r="O35" s="9"/>
      <c r="P35" s="9">
        <f t="shared" si="2"/>
        <v>1</v>
      </c>
      <c r="Q35" s="9">
        <f t="shared" si="3"/>
        <v>1</v>
      </c>
      <c r="R35" s="9">
        <f t="shared" si="4"/>
        <v>0</v>
      </c>
      <c r="S35" s="9">
        <f t="shared" si="5"/>
        <v>0</v>
      </c>
      <c r="T35" s="9">
        <f t="shared" si="6"/>
        <v>0</v>
      </c>
      <c r="U35" s="9">
        <f t="shared" si="7"/>
        <v>0</v>
      </c>
      <c r="V35" s="153">
        <f t="shared" si="8"/>
        <v>0</v>
      </c>
      <c r="W35" s="9">
        <f t="shared" si="9"/>
        <v>1</v>
      </c>
      <c r="X35" s="9">
        <f t="shared" si="10"/>
        <v>0</v>
      </c>
      <c r="Y35" s="9">
        <f t="shared" si="11"/>
        <v>0</v>
      </c>
      <c r="Z35" s="9"/>
      <c r="AA35" s="9"/>
      <c r="AB35" s="9">
        <f t="shared" si="14"/>
        <v>3</v>
      </c>
      <c r="AC35" s="9">
        <f t="shared" si="12"/>
        <v>3</v>
      </c>
      <c r="AD35" s="9" t="str">
        <f t="shared" si="13"/>
        <v>Correct</v>
      </c>
      <c r="AE35" s="9"/>
      <c r="AF35" s="120" t="str">
        <f>IFERROR(VLOOKUP(Table1[RespondentID],'All Data'!$A$3:$CO$999,87,FALSE),"unknown")</f>
        <v>Woman</v>
      </c>
      <c r="AG35" s="120">
        <f>IFERROR(VLOOKUP(Table1[RespondentID],'All Data'!$A$3:$CO$999,88,FALSE),"unknown")</f>
        <v>48</v>
      </c>
      <c r="AH35" s="120" t="str">
        <f>IFERROR(VLOOKUP(Table1[RespondentID],'All Data'!$A$3:$CO$999,89,FALSE),"unknown")</f>
        <v>Suffolk</v>
      </c>
      <c r="AI35" s="120" t="str">
        <f>IFERROR(VLOOKUP(Table1[RespondentID],'All Data'!$A$3:$CO$999,90,FALSE),"unknown")</f>
        <v>Smithtown, 11787</v>
      </c>
      <c r="AJ35" s="120" t="str">
        <f>IFERROR(VLOOKUP(Table1[RespondentID],'All Data'!$A$3:$CO$999,91,FALSE),"unknown")</f>
        <v>White</v>
      </c>
      <c r="AK35" s="120" t="str">
        <f>IFERROR(VLOOKUP(Table1[RespondentID],'All Data'!$A$3:$CO$999,92,FALSE),"unknown")</f>
        <v>Not Hispanic or Latino</v>
      </c>
      <c r="AL35" s="120" t="str">
        <f>IFERROR(VLOOKUP(Table1[RespondentID],'All Data'!$A$3:$CO$999,93,FALSE),"unknown")</f>
        <v>English, Italian</v>
      </c>
      <c r="AM35" s="120" t="str">
        <f>IFERROR(VLOOKUP(Table1[RespondentID],'All Data'!$A$3:$CW$999,94,FALSE),"unknown")</f>
        <v>Over $125,000</v>
      </c>
      <c r="AN35" s="120" t="str">
        <f>IFERROR(VLOOKUP(Table1[RespondentID],'All Data'!$A$3:$CW$999,95,FALSE),"unknown")</f>
        <v>Graduate school</v>
      </c>
      <c r="AO35" s="120" t="str">
        <f>IFERROR(VLOOKUP(Table1[RespondentID],'All Data'!$A$3:$CW$999,96,FALSE),"unknown")</f>
        <v>Employed for wages</v>
      </c>
      <c r="AP35" s="120" t="str">
        <f>IFERROR(VLOOKUP(Table1[RespondentID],'All Data'!$A$3:$CW$999,97,FALSE),"unknown")</f>
        <v>Yes</v>
      </c>
      <c r="AQ35" s="120">
        <f>IFERROR(VLOOKUP(Table1[RespondentID],'All Data'!$A$3:$CW$999,98,FALSE),"unknown")</f>
        <v>0</v>
      </c>
      <c r="AR35" s="120">
        <f>IFERROR(VLOOKUP(Table1[RespondentID],'All Data'!$A$3:$CW$999,99,FALSE),"unknown")</f>
        <v>0</v>
      </c>
    </row>
    <row r="36" spans="1:44" ht="16">
      <c r="A36" s="5">
        <v>18025184660</v>
      </c>
      <c r="B36" s="5"/>
      <c r="C36" s="5"/>
      <c r="D36" s="5"/>
      <c r="E36" s="5"/>
      <c r="F36" s="5" t="s">
        <v>33</v>
      </c>
      <c r="G36" s="5"/>
      <c r="H36" s="5"/>
      <c r="I36" s="5" t="s">
        <v>36</v>
      </c>
      <c r="J36" s="5"/>
      <c r="K36" s="5"/>
      <c r="L36" s="8"/>
      <c r="M36" s="8">
        <f t="shared" si="0"/>
        <v>2</v>
      </c>
      <c r="N36" s="8">
        <f t="shared" si="1"/>
        <v>1.5</v>
      </c>
      <c r="O36" s="8"/>
      <c r="P36" s="8">
        <f t="shared" si="2"/>
        <v>0</v>
      </c>
      <c r="Q36" s="8">
        <f t="shared" si="3"/>
        <v>0</v>
      </c>
      <c r="R36" s="8">
        <f t="shared" si="4"/>
        <v>0</v>
      </c>
      <c r="S36" s="8">
        <f t="shared" si="5"/>
        <v>0</v>
      </c>
      <c r="T36" s="8">
        <f t="shared" si="6"/>
        <v>1</v>
      </c>
      <c r="U36" s="8">
        <f t="shared" si="7"/>
        <v>0</v>
      </c>
      <c r="V36" s="153">
        <f t="shared" si="8"/>
        <v>0</v>
      </c>
      <c r="W36" s="8">
        <f t="shared" si="9"/>
        <v>1</v>
      </c>
      <c r="X36" s="8">
        <f t="shared" si="10"/>
        <v>0</v>
      </c>
      <c r="Y36" s="8">
        <f t="shared" si="11"/>
        <v>0</v>
      </c>
      <c r="Z36" s="8"/>
      <c r="AA36" s="8"/>
      <c r="AB36" s="8">
        <f t="shared" si="14"/>
        <v>2</v>
      </c>
      <c r="AC36" s="8">
        <f t="shared" si="12"/>
        <v>2</v>
      </c>
      <c r="AD36" s="8" t="str">
        <f t="shared" si="13"/>
        <v>Correct</v>
      </c>
      <c r="AE36" s="8"/>
      <c r="AF36" s="120" t="str">
        <f>IFERROR(VLOOKUP(Table1[RespondentID],'All Data'!$A$3:$CO$999,87,FALSE),"unknown")</f>
        <v>Man</v>
      </c>
      <c r="AG36" s="120">
        <f>IFERROR(VLOOKUP(Table1[RespondentID],'All Data'!$A$3:$CO$999,88,FALSE),"unknown")</f>
        <v>47</v>
      </c>
      <c r="AH36" s="120" t="str">
        <f>IFERROR(VLOOKUP(Table1[RespondentID],'All Data'!$A$3:$CO$999,89,FALSE),"unknown")</f>
        <v>Suffolk</v>
      </c>
      <c r="AI36" s="120" t="str">
        <f>IFERROR(VLOOKUP(Table1[RespondentID],'All Data'!$A$3:$CO$999,90,FALSE),"unknown")</f>
        <v>Saint James, 11780</v>
      </c>
      <c r="AJ36" s="120" t="str">
        <f>IFERROR(VLOOKUP(Table1[RespondentID],'All Data'!$A$3:$CO$999,91,FALSE),"unknown")</f>
        <v>White</v>
      </c>
      <c r="AK36" s="120" t="str">
        <f>IFERROR(VLOOKUP(Table1[RespondentID],'All Data'!$A$3:$CO$999,92,FALSE),"unknown")</f>
        <v>Not Hispanic or Latino</v>
      </c>
      <c r="AL36" s="120" t="str">
        <f>IFERROR(VLOOKUP(Table1[RespondentID],'All Data'!$A$3:$CO$999,93,FALSE),"unknown")</f>
        <v>English</v>
      </c>
      <c r="AM36" s="120" t="str">
        <f>IFERROR(VLOOKUP(Table1[RespondentID],'All Data'!$A$3:$CW$999,94,FALSE),"unknown")</f>
        <v>Over $125,000</v>
      </c>
      <c r="AN36" s="120" t="str">
        <f>IFERROR(VLOOKUP(Table1[RespondentID],'All Data'!$A$3:$CW$999,95,FALSE),"unknown")</f>
        <v>Graduate school</v>
      </c>
      <c r="AO36" s="120" t="str">
        <f>IFERROR(VLOOKUP(Table1[RespondentID],'All Data'!$A$3:$CW$999,96,FALSE),"unknown")</f>
        <v>Employed for wages</v>
      </c>
      <c r="AP36" s="120" t="str">
        <f>IFERROR(VLOOKUP(Table1[RespondentID],'All Data'!$A$3:$CW$999,97,FALSE),"unknown")</f>
        <v>Yes</v>
      </c>
      <c r="AQ36" s="120">
        <f>IFERROR(VLOOKUP(Table1[RespondentID],'All Data'!$A$3:$CW$999,98,FALSE),"unknown")</f>
        <v>0</v>
      </c>
      <c r="AR36" s="120">
        <f>IFERROR(VLOOKUP(Table1[RespondentID],'All Data'!$A$3:$CW$999,99,FALSE),"unknown")</f>
        <v>0</v>
      </c>
    </row>
    <row r="37" spans="1:44" ht="16">
      <c r="A37" s="5">
        <v>18025184519</v>
      </c>
      <c r="B37" s="5"/>
      <c r="C37" s="5"/>
      <c r="D37" s="5" t="s">
        <v>31</v>
      </c>
      <c r="E37" s="5"/>
      <c r="F37" s="5"/>
      <c r="G37" s="5"/>
      <c r="H37" s="5" t="s">
        <v>35</v>
      </c>
      <c r="I37" s="5"/>
      <c r="J37" s="5"/>
      <c r="K37" s="5" t="s">
        <v>375</v>
      </c>
      <c r="L37" s="9"/>
      <c r="M37" s="9">
        <f t="shared" si="0"/>
        <v>3</v>
      </c>
      <c r="N37" s="9">
        <f t="shared" si="1"/>
        <v>1</v>
      </c>
      <c r="O37" s="9"/>
      <c r="P37" s="9">
        <f t="shared" si="2"/>
        <v>0</v>
      </c>
      <c r="Q37" s="9">
        <f t="shared" si="3"/>
        <v>0</v>
      </c>
      <c r="R37" s="9">
        <f t="shared" si="4"/>
        <v>1</v>
      </c>
      <c r="S37" s="9">
        <f t="shared" si="5"/>
        <v>0</v>
      </c>
      <c r="T37" s="9">
        <f t="shared" si="6"/>
        <v>0</v>
      </c>
      <c r="U37" s="9">
        <f t="shared" si="7"/>
        <v>0</v>
      </c>
      <c r="V37" s="153">
        <f t="shared" si="8"/>
        <v>1</v>
      </c>
      <c r="W37" s="9">
        <f t="shared" si="9"/>
        <v>0</v>
      </c>
      <c r="X37" s="9">
        <f t="shared" si="10"/>
        <v>0</v>
      </c>
      <c r="Y37" s="9">
        <f t="shared" si="11"/>
        <v>1</v>
      </c>
      <c r="Z37" s="9"/>
      <c r="AA37" s="9"/>
      <c r="AB37" s="9">
        <f t="shared" si="14"/>
        <v>3</v>
      </c>
      <c r="AC37" s="9">
        <f t="shared" si="12"/>
        <v>3</v>
      </c>
      <c r="AD37" s="9" t="str">
        <f t="shared" si="13"/>
        <v>Correct</v>
      </c>
      <c r="AE37" s="9"/>
      <c r="AF37" s="120" t="str">
        <f>IFERROR(VLOOKUP(Table1[RespondentID],'All Data'!$A$3:$CO$999,87,FALSE),"unknown")</f>
        <v>Woman</v>
      </c>
      <c r="AG37" s="120">
        <f>IFERROR(VLOOKUP(Table1[RespondentID],'All Data'!$A$3:$CO$999,88,FALSE),"unknown")</f>
        <v>39</v>
      </c>
      <c r="AH37" s="120" t="str">
        <f>IFERROR(VLOOKUP(Table1[RespondentID],'All Data'!$A$3:$CO$999,89,FALSE),"unknown")</f>
        <v>Suffolk</v>
      </c>
      <c r="AI37" s="120" t="str">
        <f>IFERROR(VLOOKUP(Table1[RespondentID],'All Data'!$A$3:$CO$999,90,FALSE),"unknown")</f>
        <v>Nesconset, 11767</v>
      </c>
      <c r="AJ37" s="120" t="str">
        <f>IFERROR(VLOOKUP(Table1[RespondentID],'All Data'!$A$3:$CO$999,91,FALSE),"unknown")</f>
        <v>White</v>
      </c>
      <c r="AK37" s="120" t="str">
        <f>IFERROR(VLOOKUP(Table1[RespondentID],'All Data'!$A$3:$CO$999,92,FALSE),"unknown")</f>
        <v>Not Hispanic or Latino</v>
      </c>
      <c r="AL37" s="120" t="str">
        <f>IFERROR(VLOOKUP(Table1[RespondentID],'All Data'!$A$3:$CO$999,93,FALSE),"unknown")</f>
        <v>English</v>
      </c>
      <c r="AM37" s="120" t="str">
        <f>IFERROR(VLOOKUP(Table1[RespondentID],'All Data'!$A$3:$CW$999,94,FALSE),"unknown")</f>
        <v>Over $125,000</v>
      </c>
      <c r="AN37" s="120" t="str">
        <f>IFERROR(VLOOKUP(Table1[RespondentID],'All Data'!$A$3:$CW$999,95,FALSE),"unknown")</f>
        <v>Graduate school</v>
      </c>
      <c r="AO37" s="120" t="str">
        <f>IFERROR(VLOOKUP(Table1[RespondentID],'All Data'!$A$3:$CW$999,96,FALSE),"unknown")</f>
        <v>Employed for wages</v>
      </c>
      <c r="AP37" s="120" t="str">
        <f>IFERROR(VLOOKUP(Table1[RespondentID],'All Data'!$A$3:$CW$999,97,FALSE),"unknown")</f>
        <v>Yes</v>
      </c>
      <c r="AQ37" s="120">
        <f>IFERROR(VLOOKUP(Table1[RespondentID],'All Data'!$A$3:$CW$999,98,FALSE),"unknown")</f>
        <v>0</v>
      </c>
      <c r="AR37" s="120">
        <f>IFERROR(VLOOKUP(Table1[RespondentID],'All Data'!$A$3:$CW$999,99,FALSE),"unknown")</f>
        <v>0</v>
      </c>
    </row>
    <row r="38" spans="1:44" ht="16">
      <c r="A38" s="5">
        <v>18025184369</v>
      </c>
      <c r="B38" s="5"/>
      <c r="C38" s="5"/>
      <c r="D38" s="5" t="s">
        <v>31</v>
      </c>
      <c r="E38" s="5"/>
      <c r="F38" s="5" t="s">
        <v>33</v>
      </c>
      <c r="G38" s="5"/>
      <c r="H38" s="5"/>
      <c r="I38" s="5"/>
      <c r="J38" s="5"/>
      <c r="K38" s="5" t="s">
        <v>375</v>
      </c>
      <c r="L38" s="8"/>
      <c r="M38" s="8">
        <f t="shared" si="0"/>
        <v>3</v>
      </c>
      <c r="N38" s="8">
        <f t="shared" si="1"/>
        <v>1</v>
      </c>
      <c r="O38" s="8"/>
      <c r="P38" s="8">
        <f t="shared" si="2"/>
        <v>0</v>
      </c>
      <c r="Q38" s="8">
        <f t="shared" si="3"/>
        <v>0</v>
      </c>
      <c r="R38" s="8">
        <f t="shared" si="4"/>
        <v>1</v>
      </c>
      <c r="S38" s="8">
        <f t="shared" si="5"/>
        <v>0</v>
      </c>
      <c r="T38" s="8">
        <f t="shared" si="6"/>
        <v>1</v>
      </c>
      <c r="U38" s="8">
        <f t="shared" si="7"/>
        <v>0</v>
      </c>
      <c r="V38" s="153">
        <f t="shared" si="8"/>
        <v>0</v>
      </c>
      <c r="W38" s="8">
        <f t="shared" si="9"/>
        <v>0</v>
      </c>
      <c r="X38" s="8">
        <f t="shared" si="10"/>
        <v>0</v>
      </c>
      <c r="Y38" s="8">
        <f t="shared" si="11"/>
        <v>1</v>
      </c>
      <c r="Z38" s="8"/>
      <c r="AA38" s="8"/>
      <c r="AB38" s="8">
        <f t="shared" si="14"/>
        <v>3</v>
      </c>
      <c r="AC38" s="8">
        <f t="shared" si="12"/>
        <v>3</v>
      </c>
      <c r="AD38" s="8" t="str">
        <f t="shared" si="13"/>
        <v>Correct</v>
      </c>
      <c r="AE38" s="8"/>
      <c r="AF38" s="120" t="str">
        <f>IFERROR(VLOOKUP(Table1[RespondentID],'All Data'!$A$3:$CO$999,87,FALSE),"unknown")</f>
        <v>Woman</v>
      </c>
      <c r="AG38" s="120">
        <f>IFERROR(VLOOKUP(Table1[RespondentID],'All Data'!$A$3:$CO$999,88,FALSE),"unknown")</f>
        <v>52</v>
      </c>
      <c r="AH38" s="120" t="str">
        <f>IFERROR(VLOOKUP(Table1[RespondentID],'All Data'!$A$3:$CO$999,89,FALSE),"unknown")</f>
        <v>Suffolk</v>
      </c>
      <c r="AI38" s="120" t="str">
        <f>IFERROR(VLOOKUP(Table1[RespondentID],'All Data'!$A$3:$CO$999,90,FALSE),"unknown")</f>
        <v>Smithtown, 11787</v>
      </c>
      <c r="AJ38" s="120" t="str">
        <f>IFERROR(VLOOKUP(Table1[RespondentID],'All Data'!$A$3:$CO$999,91,FALSE),"unknown")</f>
        <v>White</v>
      </c>
      <c r="AK38" s="120" t="str">
        <f>IFERROR(VLOOKUP(Table1[RespondentID],'All Data'!$A$3:$CO$999,92,FALSE),"unknown")</f>
        <v>Hispanic or Latino</v>
      </c>
      <c r="AL38" s="120" t="str">
        <f>IFERROR(VLOOKUP(Table1[RespondentID],'All Data'!$A$3:$CO$999,93,FALSE),"unknown")</f>
        <v>English, Spanish</v>
      </c>
      <c r="AM38" s="120" t="str">
        <f>IFERROR(VLOOKUP(Table1[RespondentID],'All Data'!$A$3:$CW$999,94,FALSE),"unknown")</f>
        <v>$75,000 to $125,000</v>
      </c>
      <c r="AN38" s="120" t="str">
        <f>IFERROR(VLOOKUP(Table1[RespondentID],'All Data'!$A$3:$CW$999,95,FALSE),"unknown")</f>
        <v>Graduate school</v>
      </c>
      <c r="AO38" s="120" t="str">
        <f>IFERROR(VLOOKUP(Table1[RespondentID],'All Data'!$A$3:$CW$999,96,FALSE),"unknown")</f>
        <v>Employed for wages</v>
      </c>
      <c r="AP38" s="120" t="str">
        <f>IFERROR(VLOOKUP(Table1[RespondentID],'All Data'!$A$3:$CW$999,97,FALSE),"unknown")</f>
        <v>Yes</v>
      </c>
      <c r="AQ38" s="120">
        <f>IFERROR(VLOOKUP(Table1[RespondentID],'All Data'!$A$3:$CW$999,98,FALSE),"unknown")</f>
        <v>0</v>
      </c>
      <c r="AR38" s="120">
        <f>IFERROR(VLOOKUP(Table1[RespondentID],'All Data'!$A$3:$CW$999,99,FALSE),"unknown")</f>
        <v>0</v>
      </c>
    </row>
    <row r="39" spans="1:44" ht="16">
      <c r="A39" s="5">
        <v>18025184067</v>
      </c>
      <c r="B39" s="5"/>
      <c r="C39" s="5"/>
      <c r="D39" s="5" t="s">
        <v>31</v>
      </c>
      <c r="E39" s="5"/>
      <c r="F39" s="5"/>
      <c r="G39" s="5"/>
      <c r="H39" s="5"/>
      <c r="I39" s="5" t="s">
        <v>36</v>
      </c>
      <c r="J39" s="5"/>
      <c r="K39" s="5"/>
      <c r="L39" s="9"/>
      <c r="M39" s="9">
        <f t="shared" si="0"/>
        <v>2</v>
      </c>
      <c r="N39" s="9">
        <f t="shared" si="1"/>
        <v>1.5</v>
      </c>
      <c r="O39" s="9"/>
      <c r="P39" s="9">
        <f t="shared" si="2"/>
        <v>0</v>
      </c>
      <c r="Q39" s="9">
        <f t="shared" si="3"/>
        <v>0</v>
      </c>
      <c r="R39" s="9">
        <f t="shared" si="4"/>
        <v>1</v>
      </c>
      <c r="S39" s="9">
        <f t="shared" si="5"/>
        <v>0</v>
      </c>
      <c r="T39" s="9">
        <f t="shared" si="6"/>
        <v>0</v>
      </c>
      <c r="U39" s="9">
        <f t="shared" si="7"/>
        <v>0</v>
      </c>
      <c r="V39" s="153">
        <f t="shared" si="8"/>
        <v>0</v>
      </c>
      <c r="W39" s="9">
        <f t="shared" si="9"/>
        <v>1</v>
      </c>
      <c r="X39" s="9">
        <f t="shared" si="10"/>
        <v>0</v>
      </c>
      <c r="Y39" s="9">
        <f t="shared" si="11"/>
        <v>0</v>
      </c>
      <c r="Z39" s="9"/>
      <c r="AA39" s="9"/>
      <c r="AB39" s="9">
        <f t="shared" si="14"/>
        <v>2</v>
      </c>
      <c r="AC39" s="9">
        <f t="shared" si="12"/>
        <v>2</v>
      </c>
      <c r="AD39" s="9" t="str">
        <f t="shared" si="13"/>
        <v>Correct</v>
      </c>
      <c r="AE39" s="9"/>
      <c r="AF39" s="120" t="str">
        <f>IFERROR(VLOOKUP(Table1[RespondentID],'All Data'!$A$3:$CO$999,87,FALSE),"unknown")</f>
        <v>Woman</v>
      </c>
      <c r="AG39" s="120">
        <f>IFERROR(VLOOKUP(Table1[RespondentID],'All Data'!$A$3:$CO$999,88,FALSE),"unknown")</f>
        <v>40</v>
      </c>
      <c r="AH39" s="120" t="str">
        <f>IFERROR(VLOOKUP(Table1[RespondentID],'All Data'!$A$3:$CO$999,89,FALSE),"unknown")</f>
        <v>Suffolk</v>
      </c>
      <c r="AI39" s="120" t="str">
        <f>IFERROR(VLOOKUP(Table1[RespondentID],'All Data'!$A$3:$CO$999,90,FALSE),"unknown")</f>
        <v>Baiting Hollow, 11933</v>
      </c>
      <c r="AJ39" s="120" t="str">
        <f>IFERROR(VLOOKUP(Table1[RespondentID],'All Data'!$A$3:$CO$999,91,FALSE),"unknown")</f>
        <v>White</v>
      </c>
      <c r="AK39" s="120" t="str">
        <f>IFERROR(VLOOKUP(Table1[RespondentID],'All Data'!$A$3:$CO$999,92,FALSE),"unknown")</f>
        <v>Not Hispanic or Latino</v>
      </c>
      <c r="AL39" s="120" t="str">
        <f>IFERROR(VLOOKUP(Table1[RespondentID],'All Data'!$A$3:$CO$999,93,FALSE),"unknown")</f>
        <v>English</v>
      </c>
      <c r="AM39" s="120" t="str">
        <f>IFERROR(VLOOKUP(Table1[RespondentID],'All Data'!$A$3:$CW$999,94,FALSE),"unknown")</f>
        <v>Over $125,000</v>
      </c>
      <c r="AN39" s="120" t="str">
        <f>IFERROR(VLOOKUP(Table1[RespondentID],'All Data'!$A$3:$CW$999,95,FALSE),"unknown")</f>
        <v>Other (please specify)</v>
      </c>
      <c r="AO39" s="120" t="str">
        <f>IFERROR(VLOOKUP(Table1[RespondentID],'All Data'!$A$3:$CW$999,96,FALSE),"unknown")</f>
        <v>Employed for wages</v>
      </c>
      <c r="AP39" s="120" t="str">
        <f>IFERROR(VLOOKUP(Table1[RespondentID],'All Data'!$A$3:$CW$999,97,FALSE),"unknown")</f>
        <v>Yes</v>
      </c>
      <c r="AQ39" s="120">
        <f>IFERROR(VLOOKUP(Table1[RespondentID],'All Data'!$A$3:$CW$999,98,FALSE),"unknown")</f>
        <v>0</v>
      </c>
      <c r="AR39" s="120">
        <f>IFERROR(VLOOKUP(Table1[RespondentID],'All Data'!$A$3:$CW$999,99,FALSE),"unknown")</f>
        <v>0</v>
      </c>
    </row>
    <row r="40" spans="1:44" ht="16">
      <c r="A40" s="5">
        <v>18025183911</v>
      </c>
      <c r="B40" s="5"/>
      <c r="C40" s="5"/>
      <c r="D40" s="5"/>
      <c r="E40" s="5" t="s">
        <v>32</v>
      </c>
      <c r="F40" s="5"/>
      <c r="G40" s="5"/>
      <c r="H40" s="5" t="s">
        <v>35</v>
      </c>
      <c r="I40" s="5"/>
      <c r="J40" s="5"/>
      <c r="K40" s="5" t="s">
        <v>375</v>
      </c>
      <c r="L40" s="8"/>
      <c r="M40" s="8">
        <f t="shared" si="0"/>
        <v>3</v>
      </c>
      <c r="N40" s="8">
        <f t="shared" si="1"/>
        <v>1</v>
      </c>
      <c r="O40" s="8"/>
      <c r="P40" s="8">
        <f t="shared" si="2"/>
        <v>0</v>
      </c>
      <c r="Q40" s="8">
        <f t="shared" si="3"/>
        <v>0</v>
      </c>
      <c r="R40" s="8">
        <f t="shared" si="4"/>
        <v>0</v>
      </c>
      <c r="S40" s="8">
        <f t="shared" si="5"/>
        <v>1</v>
      </c>
      <c r="T40" s="8">
        <f t="shared" si="6"/>
        <v>0</v>
      </c>
      <c r="U40" s="8">
        <f t="shared" si="7"/>
        <v>0</v>
      </c>
      <c r="V40" s="153">
        <f t="shared" si="8"/>
        <v>1</v>
      </c>
      <c r="W40" s="8">
        <f t="shared" si="9"/>
        <v>0</v>
      </c>
      <c r="X40" s="8">
        <f t="shared" si="10"/>
        <v>0</v>
      </c>
      <c r="Y40" s="8">
        <f t="shared" si="11"/>
        <v>1</v>
      </c>
      <c r="Z40" s="8"/>
      <c r="AA40" s="8"/>
      <c r="AB40" s="8">
        <f t="shared" si="14"/>
        <v>3</v>
      </c>
      <c r="AC40" s="8">
        <f t="shared" si="12"/>
        <v>3</v>
      </c>
      <c r="AD40" s="8" t="str">
        <f t="shared" si="13"/>
        <v>Correct</v>
      </c>
      <c r="AE40" s="8"/>
      <c r="AF40" s="120" t="str">
        <f>IFERROR(VLOOKUP(Table1[RespondentID],'All Data'!$A$3:$CO$999,87,FALSE),"unknown")</f>
        <v>Man</v>
      </c>
      <c r="AG40" s="120">
        <f>IFERROR(VLOOKUP(Table1[RespondentID],'All Data'!$A$3:$CO$999,88,FALSE),"unknown")</f>
        <v>46</v>
      </c>
      <c r="AH40" s="120" t="str">
        <f>IFERROR(VLOOKUP(Table1[RespondentID],'All Data'!$A$3:$CO$999,89,FALSE),"unknown")</f>
        <v>Suffolk</v>
      </c>
      <c r="AI40" s="120" t="str">
        <f>IFERROR(VLOOKUP(Table1[RespondentID],'All Data'!$A$3:$CO$999,90,FALSE),"unknown")</f>
        <v>Smithtown, 11787</v>
      </c>
      <c r="AJ40" s="120" t="str">
        <f>IFERROR(VLOOKUP(Table1[RespondentID],'All Data'!$A$3:$CO$999,91,FALSE),"unknown")</f>
        <v>White</v>
      </c>
      <c r="AK40" s="120" t="str">
        <f>IFERROR(VLOOKUP(Table1[RespondentID],'All Data'!$A$3:$CO$999,92,FALSE),"unknown")</f>
        <v>Not Hispanic or Latino</v>
      </c>
      <c r="AL40" s="120" t="str">
        <f>IFERROR(VLOOKUP(Table1[RespondentID],'All Data'!$A$3:$CO$999,93,FALSE),"unknown")</f>
        <v>English</v>
      </c>
      <c r="AM40" s="120" t="str">
        <f>IFERROR(VLOOKUP(Table1[RespondentID],'All Data'!$A$3:$CW$999,94,FALSE),"unknown")</f>
        <v>$75,000 to $125,000</v>
      </c>
      <c r="AN40" s="120" t="str">
        <f>IFERROR(VLOOKUP(Table1[RespondentID],'All Data'!$A$3:$CW$999,95,FALSE),"unknown")</f>
        <v>College graduate</v>
      </c>
      <c r="AO40" s="120" t="str">
        <f>IFERROR(VLOOKUP(Table1[RespondentID],'All Data'!$A$3:$CW$999,96,FALSE),"unknown")</f>
        <v>Employed for wages</v>
      </c>
      <c r="AP40" s="120" t="str">
        <f>IFERROR(VLOOKUP(Table1[RespondentID],'All Data'!$A$3:$CW$999,97,FALSE),"unknown")</f>
        <v>Yes</v>
      </c>
      <c r="AQ40" s="120">
        <f>IFERROR(VLOOKUP(Table1[RespondentID],'All Data'!$A$3:$CW$999,98,FALSE),"unknown")</f>
        <v>0</v>
      </c>
      <c r="AR40" s="120">
        <f>IFERROR(VLOOKUP(Table1[RespondentID],'All Data'!$A$3:$CW$999,99,FALSE),"unknown")</f>
        <v>0</v>
      </c>
    </row>
    <row r="41" spans="1:44" ht="16">
      <c r="A41" s="5">
        <v>18025183737</v>
      </c>
      <c r="B41" s="5"/>
      <c r="C41" s="5"/>
      <c r="D41" s="5" t="s">
        <v>31</v>
      </c>
      <c r="E41" s="5"/>
      <c r="F41" s="5"/>
      <c r="G41" s="5"/>
      <c r="H41" s="5"/>
      <c r="I41" s="5" t="s">
        <v>36</v>
      </c>
      <c r="J41" s="5"/>
      <c r="K41" s="5"/>
      <c r="L41" s="9"/>
      <c r="M41" s="9">
        <f t="shared" si="0"/>
        <v>2</v>
      </c>
      <c r="N41" s="9">
        <f t="shared" si="1"/>
        <v>1.5</v>
      </c>
      <c r="O41" s="9"/>
      <c r="P41" s="9">
        <f t="shared" si="2"/>
        <v>0</v>
      </c>
      <c r="Q41" s="9">
        <f t="shared" si="3"/>
        <v>0</v>
      </c>
      <c r="R41" s="9">
        <f t="shared" si="4"/>
        <v>1</v>
      </c>
      <c r="S41" s="9">
        <f t="shared" si="5"/>
        <v>0</v>
      </c>
      <c r="T41" s="9">
        <f t="shared" si="6"/>
        <v>0</v>
      </c>
      <c r="U41" s="9">
        <f t="shared" si="7"/>
        <v>0</v>
      </c>
      <c r="V41" s="153">
        <f t="shared" si="8"/>
        <v>0</v>
      </c>
      <c r="W41" s="9">
        <f t="shared" si="9"/>
        <v>1</v>
      </c>
      <c r="X41" s="9">
        <f t="shared" si="10"/>
        <v>0</v>
      </c>
      <c r="Y41" s="9">
        <f t="shared" si="11"/>
        <v>0</v>
      </c>
      <c r="Z41" s="9"/>
      <c r="AA41" s="9"/>
      <c r="AB41" s="9">
        <f t="shared" si="14"/>
        <v>2</v>
      </c>
      <c r="AC41" s="9">
        <f t="shared" si="12"/>
        <v>2</v>
      </c>
      <c r="AD41" s="9" t="str">
        <f t="shared" si="13"/>
        <v>Correct</v>
      </c>
      <c r="AE41" s="9"/>
      <c r="AF41" s="120" t="str">
        <f>IFERROR(VLOOKUP(Table1[RespondentID],'All Data'!$A$3:$CO$999,87,FALSE),"unknown")</f>
        <v>Woman</v>
      </c>
      <c r="AG41" s="120">
        <f>IFERROR(VLOOKUP(Table1[RespondentID],'All Data'!$A$3:$CO$999,88,FALSE),"unknown")</f>
        <v>39</v>
      </c>
      <c r="AH41" s="120" t="str">
        <f>IFERROR(VLOOKUP(Table1[RespondentID],'All Data'!$A$3:$CO$999,89,FALSE),"unknown")</f>
        <v>Suffolk</v>
      </c>
      <c r="AI41" s="120" t="str">
        <f>IFERROR(VLOOKUP(Table1[RespondentID],'All Data'!$A$3:$CO$999,90,FALSE),"unknown")</f>
        <v>Ronkonkoma, 11779</v>
      </c>
      <c r="AJ41" s="120" t="str">
        <f>IFERROR(VLOOKUP(Table1[RespondentID],'All Data'!$A$3:$CO$999,91,FALSE),"unknown")</f>
        <v>Two or more races</v>
      </c>
      <c r="AK41" s="120" t="str">
        <f>IFERROR(VLOOKUP(Table1[RespondentID],'All Data'!$A$3:$CO$999,92,FALSE),"unknown")</f>
        <v>Hispanic or Latino</v>
      </c>
      <c r="AL41" s="120" t="str">
        <f>IFERROR(VLOOKUP(Table1[RespondentID],'All Data'!$A$3:$CO$999,93,FALSE),"unknown")</f>
        <v>English, Spanish</v>
      </c>
      <c r="AM41" s="120" t="str">
        <f>IFERROR(VLOOKUP(Table1[RespondentID],'All Data'!$A$3:$CW$999,94,FALSE),"unknown")</f>
        <v>$50,000 to $74,999</v>
      </c>
      <c r="AN41" s="120" t="str">
        <f>IFERROR(VLOOKUP(Table1[RespondentID],'All Data'!$A$3:$CW$999,95,FALSE),"unknown")</f>
        <v>Technical school</v>
      </c>
      <c r="AO41" s="120" t="str">
        <f>IFERROR(VLOOKUP(Table1[RespondentID],'All Data'!$A$3:$CW$999,96,FALSE),"unknown")</f>
        <v>Employed for wages</v>
      </c>
      <c r="AP41" s="120" t="str">
        <f>IFERROR(VLOOKUP(Table1[RespondentID],'All Data'!$A$3:$CW$999,97,FALSE),"unknown")</f>
        <v>Yes</v>
      </c>
      <c r="AQ41" s="120">
        <f>IFERROR(VLOOKUP(Table1[RespondentID],'All Data'!$A$3:$CW$999,98,FALSE),"unknown")</f>
        <v>0</v>
      </c>
      <c r="AR41" s="120">
        <f>IFERROR(VLOOKUP(Table1[RespondentID],'All Data'!$A$3:$CW$999,99,FALSE),"unknown")</f>
        <v>0</v>
      </c>
    </row>
    <row r="42" spans="1:44" ht="16">
      <c r="A42" s="5">
        <v>18025183581</v>
      </c>
      <c r="B42" s="5"/>
      <c r="C42" s="5"/>
      <c r="D42" s="5"/>
      <c r="E42" s="5"/>
      <c r="F42" s="5"/>
      <c r="G42" s="5" t="s">
        <v>34</v>
      </c>
      <c r="H42" s="5"/>
      <c r="I42" s="5"/>
      <c r="J42" s="5"/>
      <c r="K42" s="5"/>
      <c r="L42" s="8"/>
      <c r="M42" s="8">
        <f t="shared" si="0"/>
        <v>1</v>
      </c>
      <c r="N42" s="8">
        <f t="shared" si="1"/>
        <v>3</v>
      </c>
      <c r="O42" s="8"/>
      <c r="P42" s="8">
        <f t="shared" si="2"/>
        <v>0</v>
      </c>
      <c r="Q42" s="8">
        <f t="shared" si="3"/>
        <v>0</v>
      </c>
      <c r="R42" s="8">
        <f t="shared" si="4"/>
        <v>0</v>
      </c>
      <c r="S42" s="8">
        <f t="shared" si="5"/>
        <v>0</v>
      </c>
      <c r="T42" s="8">
        <f t="shared" si="6"/>
        <v>0</v>
      </c>
      <c r="U42" s="8">
        <f t="shared" si="7"/>
        <v>1</v>
      </c>
      <c r="V42" s="153">
        <f t="shared" si="8"/>
        <v>0</v>
      </c>
      <c r="W42" s="8">
        <f t="shared" si="9"/>
        <v>0</v>
      </c>
      <c r="X42" s="8">
        <f t="shared" si="10"/>
        <v>0</v>
      </c>
      <c r="Y42" s="8">
        <f t="shared" si="11"/>
        <v>0</v>
      </c>
      <c r="Z42" s="8"/>
      <c r="AA42" s="8"/>
      <c r="AB42" s="8">
        <f t="shared" si="14"/>
        <v>1</v>
      </c>
      <c r="AC42" s="8">
        <f t="shared" si="12"/>
        <v>1</v>
      </c>
      <c r="AD42" s="8" t="str">
        <f t="shared" si="13"/>
        <v>Correct</v>
      </c>
      <c r="AE42" s="8"/>
      <c r="AF42" s="120" t="str">
        <f>IFERROR(VLOOKUP(Table1[RespondentID],'All Data'!$A$3:$CO$999,87,FALSE),"unknown")</f>
        <v>Man</v>
      </c>
      <c r="AG42" s="120">
        <f>IFERROR(VLOOKUP(Table1[RespondentID],'All Data'!$A$3:$CO$999,88,FALSE),"unknown")</f>
        <v>56</v>
      </c>
      <c r="AH42" s="120" t="str">
        <f>IFERROR(VLOOKUP(Table1[RespondentID],'All Data'!$A$3:$CO$999,89,FALSE),"unknown")</f>
        <v>Suffolk</v>
      </c>
      <c r="AI42" s="120" t="str">
        <f>IFERROR(VLOOKUP(Table1[RespondentID],'All Data'!$A$3:$CO$999,90,FALSE),"unknown")</f>
        <v>Smithtown, 11787</v>
      </c>
      <c r="AJ42" s="120" t="str">
        <f>IFERROR(VLOOKUP(Table1[RespondentID],'All Data'!$A$3:$CO$999,91,FALSE),"unknown")</f>
        <v>White</v>
      </c>
      <c r="AK42" s="120" t="str">
        <f>IFERROR(VLOOKUP(Table1[RespondentID],'All Data'!$A$3:$CO$999,92,FALSE),"unknown")</f>
        <v>Not Hispanic or Latino</v>
      </c>
      <c r="AL42" s="120" t="str">
        <f>IFERROR(VLOOKUP(Table1[RespondentID],'All Data'!$A$3:$CO$999,93,FALSE),"unknown")</f>
        <v>English</v>
      </c>
      <c r="AM42" s="120" t="str">
        <f>IFERROR(VLOOKUP(Table1[RespondentID],'All Data'!$A$3:$CW$999,94,FALSE),"unknown")</f>
        <v>Over $125,000</v>
      </c>
      <c r="AN42" s="120" t="str">
        <f>IFERROR(VLOOKUP(Table1[RespondentID],'All Data'!$A$3:$CW$999,95,FALSE),"unknown")</f>
        <v>Doctorate</v>
      </c>
      <c r="AO42" s="120" t="str">
        <f>IFERROR(VLOOKUP(Table1[RespondentID],'All Data'!$A$3:$CW$999,96,FALSE),"unknown")</f>
        <v>Employed for wages</v>
      </c>
      <c r="AP42" s="120" t="str">
        <f>IFERROR(VLOOKUP(Table1[RespondentID],'All Data'!$A$3:$CW$999,97,FALSE),"unknown")</f>
        <v>Yes</v>
      </c>
      <c r="AQ42" s="120">
        <f>IFERROR(VLOOKUP(Table1[RespondentID],'All Data'!$A$3:$CW$999,98,FALSE),"unknown")</f>
        <v>0</v>
      </c>
      <c r="AR42" s="120">
        <f>IFERROR(VLOOKUP(Table1[RespondentID],'All Data'!$A$3:$CW$999,99,FALSE),"unknown")</f>
        <v>0</v>
      </c>
    </row>
    <row r="43" spans="1:44" ht="16">
      <c r="A43" s="5">
        <v>18025183430</v>
      </c>
      <c r="B43" s="5" t="s">
        <v>29</v>
      </c>
      <c r="C43" s="5"/>
      <c r="D43" s="5"/>
      <c r="E43" s="5" t="s">
        <v>32</v>
      </c>
      <c r="F43" s="5"/>
      <c r="G43" s="5"/>
      <c r="H43" s="5"/>
      <c r="I43" s="5" t="s">
        <v>36</v>
      </c>
      <c r="J43" s="5"/>
      <c r="K43" s="5"/>
      <c r="L43" s="9"/>
      <c r="M43" s="9">
        <f t="shared" si="0"/>
        <v>3</v>
      </c>
      <c r="N43" s="9">
        <f t="shared" si="1"/>
        <v>1</v>
      </c>
      <c r="O43" s="9"/>
      <c r="P43" s="9">
        <f t="shared" si="2"/>
        <v>1</v>
      </c>
      <c r="Q43" s="9">
        <f t="shared" si="3"/>
        <v>0</v>
      </c>
      <c r="R43" s="9">
        <f t="shared" si="4"/>
        <v>0</v>
      </c>
      <c r="S43" s="9">
        <f t="shared" si="5"/>
        <v>1</v>
      </c>
      <c r="T43" s="9">
        <f t="shared" si="6"/>
        <v>0</v>
      </c>
      <c r="U43" s="9">
        <f t="shared" si="7"/>
        <v>0</v>
      </c>
      <c r="V43" s="153">
        <f t="shared" si="8"/>
        <v>0</v>
      </c>
      <c r="W43" s="9">
        <f t="shared" si="9"/>
        <v>1</v>
      </c>
      <c r="X43" s="9">
        <f t="shared" si="10"/>
        <v>0</v>
      </c>
      <c r="Y43" s="9">
        <f t="shared" si="11"/>
        <v>0</v>
      </c>
      <c r="Z43" s="9"/>
      <c r="AA43" s="9"/>
      <c r="AB43" s="9">
        <f t="shared" si="14"/>
        <v>3</v>
      </c>
      <c r="AC43" s="9">
        <f t="shared" si="12"/>
        <v>3</v>
      </c>
      <c r="AD43" s="9" t="str">
        <f t="shared" si="13"/>
        <v>Correct</v>
      </c>
      <c r="AE43" s="9"/>
      <c r="AF43" s="120" t="str">
        <f>IFERROR(VLOOKUP(Table1[RespondentID],'All Data'!$A$3:$CO$999,87,FALSE),"unknown")</f>
        <v>Woman</v>
      </c>
      <c r="AG43" s="120">
        <f>IFERROR(VLOOKUP(Table1[RespondentID],'All Data'!$A$3:$CO$999,88,FALSE),"unknown")</f>
        <v>22</v>
      </c>
      <c r="AH43" s="120" t="str">
        <f>IFERROR(VLOOKUP(Table1[RespondentID],'All Data'!$A$3:$CO$999,89,FALSE),"unknown")</f>
        <v>Suffolk</v>
      </c>
      <c r="AI43" s="120" t="str">
        <f>IFERROR(VLOOKUP(Table1[RespondentID],'All Data'!$A$3:$CO$999,90,FALSE),"unknown")</f>
        <v>Brentwood, 11717</v>
      </c>
      <c r="AJ43" s="120" t="str">
        <f>IFERROR(VLOOKUP(Table1[RespondentID],'All Data'!$A$3:$CO$999,91,FALSE),"unknown")</f>
        <v>Two or more races</v>
      </c>
      <c r="AK43" s="120">
        <f>IFERROR(VLOOKUP(Table1[RespondentID],'All Data'!$A$3:$CO$999,92,FALSE),"unknown")</f>
        <v>0</v>
      </c>
      <c r="AL43" s="120" t="str">
        <f>IFERROR(VLOOKUP(Table1[RespondentID],'All Data'!$A$3:$CO$999,93,FALSE),"unknown")</f>
        <v>English</v>
      </c>
      <c r="AM43" s="120" t="str">
        <f>IFERROR(VLOOKUP(Table1[RespondentID],'All Data'!$A$3:$CW$999,94,FALSE),"unknown")</f>
        <v>$35,000 to $49,999</v>
      </c>
      <c r="AN43" s="120" t="str">
        <f>IFERROR(VLOOKUP(Table1[RespondentID],'All Data'!$A$3:$CW$999,95,FALSE),"unknown")</f>
        <v>College graduate</v>
      </c>
      <c r="AO43" s="120" t="str">
        <f>IFERROR(VLOOKUP(Table1[RespondentID],'All Data'!$A$3:$CW$999,96,FALSE),"unknown")</f>
        <v>Employed for wages</v>
      </c>
      <c r="AP43" s="120" t="str">
        <f>IFERROR(VLOOKUP(Table1[RespondentID],'All Data'!$A$3:$CW$999,97,FALSE),"unknown")</f>
        <v>Yes</v>
      </c>
      <c r="AQ43" s="120" t="str">
        <f>IFERROR(VLOOKUP(Table1[RespondentID],'All Data'!$A$3:$CW$999,98,FALSE),"unknown")</f>
        <v>Private/Commercial</v>
      </c>
      <c r="AR43" s="120">
        <f>IFERROR(VLOOKUP(Table1[RespondentID],'All Data'!$A$3:$CW$999,99,FALSE),"unknown")</f>
        <v>0</v>
      </c>
    </row>
    <row r="44" spans="1:44" ht="16">
      <c r="A44" s="5">
        <v>18025183271</v>
      </c>
      <c r="B44" s="5" t="s">
        <v>29</v>
      </c>
      <c r="C44" s="5"/>
      <c r="D44" s="5"/>
      <c r="E44" s="5" t="s">
        <v>32</v>
      </c>
      <c r="F44" s="5" t="s">
        <v>33</v>
      </c>
      <c r="G44" s="5"/>
      <c r="H44" s="5"/>
      <c r="I44" s="5"/>
      <c r="J44" s="5"/>
      <c r="K44" s="5"/>
      <c r="L44" s="8"/>
      <c r="M44" s="8">
        <f t="shared" si="0"/>
        <v>3</v>
      </c>
      <c r="N44" s="8">
        <f t="shared" si="1"/>
        <v>1</v>
      </c>
      <c r="O44" s="8"/>
      <c r="P44" s="8">
        <f t="shared" si="2"/>
        <v>1</v>
      </c>
      <c r="Q44" s="8">
        <f t="shared" si="3"/>
        <v>0</v>
      </c>
      <c r="R44" s="8">
        <f t="shared" si="4"/>
        <v>0</v>
      </c>
      <c r="S44" s="8">
        <f t="shared" si="5"/>
        <v>1</v>
      </c>
      <c r="T44" s="8">
        <f t="shared" si="6"/>
        <v>1</v>
      </c>
      <c r="U44" s="8">
        <f t="shared" si="7"/>
        <v>0</v>
      </c>
      <c r="V44" s="153">
        <f t="shared" si="8"/>
        <v>0</v>
      </c>
      <c r="W44" s="8">
        <f t="shared" si="9"/>
        <v>0</v>
      </c>
      <c r="X44" s="8">
        <f t="shared" si="10"/>
        <v>0</v>
      </c>
      <c r="Y44" s="8">
        <f t="shared" si="11"/>
        <v>0</v>
      </c>
      <c r="Z44" s="8"/>
      <c r="AA44" s="8"/>
      <c r="AB44" s="8">
        <f t="shared" si="14"/>
        <v>3</v>
      </c>
      <c r="AC44" s="8">
        <f t="shared" si="12"/>
        <v>3</v>
      </c>
      <c r="AD44" s="8" t="str">
        <f t="shared" si="13"/>
        <v>Correct</v>
      </c>
      <c r="AE44" s="8"/>
      <c r="AF44" s="120" t="str">
        <f>IFERROR(VLOOKUP(Table1[RespondentID],'All Data'!$A$3:$CO$999,87,FALSE),"unknown")</f>
        <v>Woman</v>
      </c>
      <c r="AG44" s="120">
        <f>IFERROR(VLOOKUP(Table1[RespondentID],'All Data'!$A$3:$CO$999,88,FALSE),"unknown")</f>
        <v>28</v>
      </c>
      <c r="AH44" s="120" t="str">
        <f>IFERROR(VLOOKUP(Table1[RespondentID],'All Data'!$A$3:$CO$999,89,FALSE),"unknown")</f>
        <v>Suffolk</v>
      </c>
      <c r="AI44" s="120" t="str">
        <f>IFERROR(VLOOKUP(Table1[RespondentID],'All Data'!$A$3:$CO$999,90,FALSE),"unknown")</f>
        <v>Hauppauge, 11788</v>
      </c>
      <c r="AJ44" s="120" t="str">
        <f>IFERROR(VLOOKUP(Table1[RespondentID],'All Data'!$A$3:$CO$999,91,FALSE),"unknown")</f>
        <v>White</v>
      </c>
      <c r="AK44" s="120">
        <f>IFERROR(VLOOKUP(Table1[RespondentID],'All Data'!$A$3:$CO$999,92,FALSE),"unknown")</f>
        <v>0</v>
      </c>
      <c r="AL44" s="120" t="str">
        <f>IFERROR(VLOOKUP(Table1[RespondentID],'All Data'!$A$3:$CO$999,93,FALSE),"unknown")</f>
        <v>English</v>
      </c>
      <c r="AM44" s="120" t="str">
        <f>IFERROR(VLOOKUP(Table1[RespondentID],'All Data'!$A$3:$CW$999,94,FALSE),"unknown")</f>
        <v>$50,000 to $74,999</v>
      </c>
      <c r="AN44" s="120" t="str">
        <f>IFERROR(VLOOKUP(Table1[RespondentID],'All Data'!$A$3:$CW$999,95,FALSE),"unknown")</f>
        <v>College graduate</v>
      </c>
      <c r="AO44" s="120" t="str">
        <f>IFERROR(VLOOKUP(Table1[RespondentID],'All Data'!$A$3:$CW$999,96,FALSE),"unknown")</f>
        <v>Self-employed</v>
      </c>
      <c r="AP44" s="120" t="str">
        <f>IFERROR(VLOOKUP(Table1[RespondentID],'All Data'!$A$3:$CW$999,97,FALSE),"unknown")</f>
        <v>Yes</v>
      </c>
      <c r="AQ44" s="120" t="str">
        <f>IFERROR(VLOOKUP(Table1[RespondentID],'All Data'!$A$3:$CW$999,98,FALSE),"unknown")</f>
        <v>Private/Commercial</v>
      </c>
      <c r="AR44" s="120">
        <f>IFERROR(VLOOKUP(Table1[RespondentID],'All Data'!$A$3:$CW$999,99,FALSE),"unknown")</f>
        <v>0</v>
      </c>
    </row>
    <row r="45" spans="1:44" ht="16">
      <c r="A45" s="5">
        <v>18025183125</v>
      </c>
      <c r="B45" s="5"/>
      <c r="C45" s="5" t="s">
        <v>30</v>
      </c>
      <c r="D45" s="5"/>
      <c r="E45" s="5"/>
      <c r="F45" s="5"/>
      <c r="G45" s="5"/>
      <c r="H45" s="5"/>
      <c r="I45" s="5"/>
      <c r="J45" s="5"/>
      <c r="K45" s="5"/>
      <c r="L45" s="9"/>
      <c r="M45" s="9">
        <f t="shared" si="0"/>
        <v>1</v>
      </c>
      <c r="N45" s="9">
        <f t="shared" si="1"/>
        <v>3</v>
      </c>
      <c r="O45" s="9"/>
      <c r="P45" s="9">
        <f t="shared" si="2"/>
        <v>0</v>
      </c>
      <c r="Q45" s="9">
        <f t="shared" si="3"/>
        <v>1</v>
      </c>
      <c r="R45" s="9">
        <f t="shared" si="4"/>
        <v>0</v>
      </c>
      <c r="S45" s="9">
        <f t="shared" si="5"/>
        <v>0</v>
      </c>
      <c r="T45" s="9">
        <f t="shared" si="6"/>
        <v>0</v>
      </c>
      <c r="U45" s="9">
        <f t="shared" si="7"/>
        <v>0</v>
      </c>
      <c r="V45" s="153">
        <f t="shared" si="8"/>
        <v>0</v>
      </c>
      <c r="W45" s="9">
        <f t="shared" si="9"/>
        <v>0</v>
      </c>
      <c r="X45" s="9">
        <f t="shared" si="10"/>
        <v>0</v>
      </c>
      <c r="Y45" s="9">
        <f t="shared" si="11"/>
        <v>0</v>
      </c>
      <c r="Z45" s="9"/>
      <c r="AA45" s="9"/>
      <c r="AB45" s="9">
        <f t="shared" si="14"/>
        <v>1</v>
      </c>
      <c r="AC45" s="9">
        <f t="shared" si="12"/>
        <v>1</v>
      </c>
      <c r="AD45" s="9" t="str">
        <f t="shared" si="13"/>
        <v>Correct</v>
      </c>
      <c r="AE45" s="9"/>
      <c r="AF45" s="120" t="str">
        <f>IFERROR(VLOOKUP(Table1[RespondentID],'All Data'!$A$3:$CO$999,87,FALSE),"unknown")</f>
        <v>Man</v>
      </c>
      <c r="AG45" s="120">
        <f>IFERROR(VLOOKUP(Table1[RespondentID],'All Data'!$A$3:$CO$999,88,FALSE),"unknown")</f>
        <v>28</v>
      </c>
      <c r="AH45" s="120" t="str">
        <f>IFERROR(VLOOKUP(Table1[RespondentID],'All Data'!$A$3:$CO$999,89,FALSE),"unknown")</f>
        <v>Suffolk</v>
      </c>
      <c r="AI45" s="120" t="str">
        <f>IFERROR(VLOOKUP(Table1[RespondentID],'All Data'!$A$3:$CO$999,90,FALSE),"unknown")</f>
        <v>Greenlawn, 11740</v>
      </c>
      <c r="AJ45" s="120" t="str">
        <f>IFERROR(VLOOKUP(Table1[RespondentID],'All Data'!$A$3:$CO$999,91,FALSE),"unknown")</f>
        <v>White</v>
      </c>
      <c r="AK45" s="120" t="str">
        <f>IFERROR(VLOOKUP(Table1[RespondentID],'All Data'!$A$3:$CO$999,92,FALSE),"unknown")</f>
        <v>Not Hispanic or Latino</v>
      </c>
      <c r="AL45" s="120" t="str">
        <f>IFERROR(VLOOKUP(Table1[RespondentID],'All Data'!$A$3:$CO$999,93,FALSE),"unknown")</f>
        <v>English</v>
      </c>
      <c r="AM45" s="120" t="str">
        <f>IFERROR(VLOOKUP(Table1[RespondentID],'All Data'!$A$3:$CW$999,94,FALSE),"unknown")</f>
        <v>$75,000 to $125,000</v>
      </c>
      <c r="AN45" s="120" t="str">
        <f>IFERROR(VLOOKUP(Table1[RespondentID],'All Data'!$A$3:$CW$999,95,FALSE),"unknown")</f>
        <v>Some college</v>
      </c>
      <c r="AO45" s="120" t="str">
        <f>IFERROR(VLOOKUP(Table1[RespondentID],'All Data'!$A$3:$CW$999,96,FALSE),"unknown")</f>
        <v>Out of work and looking for work</v>
      </c>
      <c r="AP45" s="120">
        <f>IFERROR(VLOOKUP(Table1[RespondentID],'All Data'!$A$3:$CW$999,97,FALSE),"unknown")</f>
        <v>0</v>
      </c>
      <c r="AQ45" s="120">
        <f>IFERROR(VLOOKUP(Table1[RespondentID],'All Data'!$A$3:$CW$999,98,FALSE),"unknown")</f>
        <v>0</v>
      </c>
      <c r="AR45" s="120">
        <f>IFERROR(VLOOKUP(Table1[RespondentID],'All Data'!$A$3:$CW$999,99,FALSE),"unknown")</f>
        <v>0</v>
      </c>
    </row>
    <row r="46" spans="1:44" ht="16">
      <c r="A46" s="5">
        <v>18025182993</v>
      </c>
      <c r="B46" s="5"/>
      <c r="C46" s="5"/>
      <c r="D46" s="5"/>
      <c r="E46" s="5"/>
      <c r="F46" s="5"/>
      <c r="G46" s="5" t="s">
        <v>34</v>
      </c>
      <c r="H46" s="5"/>
      <c r="I46" s="5"/>
      <c r="J46" s="5"/>
      <c r="K46" s="5"/>
      <c r="L46" s="8"/>
      <c r="M46" s="8">
        <f t="shared" si="0"/>
        <v>1</v>
      </c>
      <c r="N46" s="8">
        <f t="shared" si="1"/>
        <v>3</v>
      </c>
      <c r="O46" s="8"/>
      <c r="P46" s="8">
        <f t="shared" si="2"/>
        <v>0</v>
      </c>
      <c r="Q46" s="8">
        <f t="shared" si="3"/>
        <v>0</v>
      </c>
      <c r="R46" s="8">
        <f t="shared" si="4"/>
        <v>0</v>
      </c>
      <c r="S46" s="8">
        <f t="shared" si="5"/>
        <v>0</v>
      </c>
      <c r="T46" s="8">
        <f t="shared" si="6"/>
        <v>0</v>
      </c>
      <c r="U46" s="8">
        <f t="shared" si="7"/>
        <v>1</v>
      </c>
      <c r="V46" s="153">
        <f t="shared" si="8"/>
        <v>0</v>
      </c>
      <c r="W46" s="8">
        <f t="shared" si="9"/>
        <v>0</v>
      </c>
      <c r="X46" s="8">
        <f t="shared" si="10"/>
        <v>0</v>
      </c>
      <c r="Y46" s="8">
        <f t="shared" si="11"/>
        <v>0</v>
      </c>
      <c r="Z46" s="8"/>
      <c r="AA46" s="8"/>
      <c r="AB46" s="8">
        <f t="shared" si="14"/>
        <v>1</v>
      </c>
      <c r="AC46" s="8">
        <f t="shared" si="12"/>
        <v>1</v>
      </c>
      <c r="AD46" s="8" t="str">
        <f t="shared" si="13"/>
        <v>Correct</v>
      </c>
      <c r="AE46" s="8"/>
      <c r="AF46" s="120" t="str">
        <f>IFERROR(VLOOKUP(Table1[RespondentID],'All Data'!$A$3:$CO$999,87,FALSE),"unknown")</f>
        <v>Man</v>
      </c>
      <c r="AG46" s="120">
        <f>IFERROR(VLOOKUP(Table1[RespondentID],'All Data'!$A$3:$CO$999,88,FALSE),"unknown")</f>
        <v>60</v>
      </c>
      <c r="AH46" s="120" t="str">
        <f>IFERROR(VLOOKUP(Table1[RespondentID],'All Data'!$A$3:$CO$999,89,FALSE),"unknown")</f>
        <v>Suffolk</v>
      </c>
      <c r="AI46" s="120" t="str">
        <f>IFERROR(VLOOKUP(Table1[RespondentID],'All Data'!$A$3:$CO$999,90,FALSE),"unknown")</f>
        <v>Greenlawn, 11740</v>
      </c>
      <c r="AJ46" s="120" t="str">
        <f>IFERROR(VLOOKUP(Table1[RespondentID],'All Data'!$A$3:$CO$999,91,FALSE),"unknown")</f>
        <v>Two or more races</v>
      </c>
      <c r="AK46" s="120" t="str">
        <f>IFERROR(VLOOKUP(Table1[RespondentID],'All Data'!$A$3:$CO$999,92,FALSE),"unknown")</f>
        <v>Hispanic or Latino</v>
      </c>
      <c r="AL46" s="120" t="str">
        <f>IFERROR(VLOOKUP(Table1[RespondentID],'All Data'!$A$3:$CO$999,93,FALSE),"unknown")</f>
        <v>English</v>
      </c>
      <c r="AM46" s="120" t="str">
        <f>IFERROR(VLOOKUP(Table1[RespondentID],'All Data'!$A$3:$CW$999,94,FALSE),"unknown")</f>
        <v>Over $125,000</v>
      </c>
      <c r="AN46" s="120" t="str">
        <f>IFERROR(VLOOKUP(Table1[RespondentID],'All Data'!$A$3:$CW$999,95,FALSE),"unknown")</f>
        <v>Graduate school</v>
      </c>
      <c r="AO46" s="120" t="str">
        <f>IFERROR(VLOOKUP(Table1[RespondentID],'All Data'!$A$3:$CW$999,96,FALSE),"unknown")</f>
        <v>Retired</v>
      </c>
      <c r="AP46" s="120" t="str">
        <f>IFERROR(VLOOKUP(Table1[RespondentID],'All Data'!$A$3:$CW$999,97,FALSE),"unknown")</f>
        <v>Yes</v>
      </c>
      <c r="AQ46" s="120" t="str">
        <f>IFERROR(VLOOKUP(Table1[RespondentID],'All Data'!$A$3:$CW$999,98,FALSE),"unknown")</f>
        <v>Private/Commercial</v>
      </c>
      <c r="AR46" s="120">
        <f>IFERROR(VLOOKUP(Table1[RespondentID],'All Data'!$A$3:$CW$999,99,FALSE),"unknown")</f>
        <v>0</v>
      </c>
    </row>
    <row r="47" spans="1:44" ht="16">
      <c r="A47" s="5">
        <v>18025182885</v>
      </c>
      <c r="B47" s="5"/>
      <c r="C47" s="5"/>
      <c r="D47" s="5"/>
      <c r="E47" s="5" t="s">
        <v>32</v>
      </c>
      <c r="F47" s="5"/>
      <c r="G47" s="5"/>
      <c r="H47" s="5"/>
      <c r="I47" s="5" t="s">
        <v>36</v>
      </c>
      <c r="J47" s="5" t="s">
        <v>37</v>
      </c>
      <c r="K47" s="5"/>
      <c r="L47" s="9"/>
      <c r="M47" s="9">
        <f t="shared" si="0"/>
        <v>3</v>
      </c>
      <c r="N47" s="9">
        <f t="shared" si="1"/>
        <v>1</v>
      </c>
      <c r="O47" s="9"/>
      <c r="P47" s="9">
        <f t="shared" si="2"/>
        <v>0</v>
      </c>
      <c r="Q47" s="9">
        <f t="shared" si="3"/>
        <v>0</v>
      </c>
      <c r="R47" s="9">
        <f t="shared" si="4"/>
        <v>0</v>
      </c>
      <c r="S47" s="9">
        <f t="shared" si="5"/>
        <v>1</v>
      </c>
      <c r="T47" s="9">
        <f t="shared" si="6"/>
        <v>0</v>
      </c>
      <c r="U47" s="9">
        <f t="shared" si="7"/>
        <v>0</v>
      </c>
      <c r="V47" s="153">
        <f t="shared" si="8"/>
        <v>0</v>
      </c>
      <c r="W47" s="9">
        <f t="shared" si="9"/>
        <v>1</v>
      </c>
      <c r="X47" s="9">
        <f t="shared" si="10"/>
        <v>1</v>
      </c>
      <c r="Y47" s="9">
        <f t="shared" si="11"/>
        <v>0</v>
      </c>
      <c r="Z47" s="9"/>
      <c r="AA47" s="9"/>
      <c r="AB47" s="9">
        <f t="shared" si="14"/>
        <v>3</v>
      </c>
      <c r="AC47" s="9">
        <f t="shared" si="12"/>
        <v>3</v>
      </c>
      <c r="AD47" s="9" t="str">
        <f t="shared" si="13"/>
        <v>Correct</v>
      </c>
      <c r="AE47" s="9"/>
      <c r="AF47" s="120">
        <f>IFERROR(VLOOKUP(Table1[RespondentID],'All Data'!$A$3:$CO$999,87,FALSE),"unknown")</f>
        <v>0</v>
      </c>
      <c r="AG47" s="120">
        <f>IFERROR(VLOOKUP(Table1[RespondentID],'All Data'!$A$3:$CO$999,88,FALSE),"unknown")</f>
        <v>55</v>
      </c>
      <c r="AH47" s="120" t="str">
        <f>IFERROR(VLOOKUP(Table1[RespondentID],'All Data'!$A$3:$CO$999,89,FALSE),"unknown")</f>
        <v>Suffolk</v>
      </c>
      <c r="AI47" s="120" t="str">
        <f>IFERROR(VLOOKUP(Table1[RespondentID],'All Data'!$A$3:$CO$999,90,FALSE),"unknown")</f>
        <v>Greenlawn, 11740</v>
      </c>
      <c r="AJ47" s="120" t="str">
        <f>IFERROR(VLOOKUP(Table1[RespondentID],'All Data'!$A$3:$CO$999,91,FALSE),"unknown")</f>
        <v>White</v>
      </c>
      <c r="AK47" s="120" t="str">
        <f>IFERROR(VLOOKUP(Table1[RespondentID],'All Data'!$A$3:$CO$999,92,FALSE),"unknown")</f>
        <v>Not Hispanic or Latino</v>
      </c>
      <c r="AL47" s="120" t="str">
        <f>IFERROR(VLOOKUP(Table1[RespondentID],'All Data'!$A$3:$CO$999,93,FALSE),"unknown")</f>
        <v>English</v>
      </c>
      <c r="AM47" s="120" t="str">
        <f>IFERROR(VLOOKUP(Table1[RespondentID],'All Data'!$A$3:$CW$999,94,FALSE),"unknown")</f>
        <v>Over $125,000</v>
      </c>
      <c r="AN47" s="120" t="str">
        <f>IFERROR(VLOOKUP(Table1[RespondentID],'All Data'!$A$3:$CW$999,95,FALSE),"unknown")</f>
        <v>College graduate</v>
      </c>
      <c r="AO47" s="120" t="str">
        <f>IFERROR(VLOOKUP(Table1[RespondentID],'All Data'!$A$3:$CW$999,96,FALSE),"unknown")</f>
        <v>Employed for wages</v>
      </c>
      <c r="AP47" s="120" t="str">
        <f>IFERROR(VLOOKUP(Table1[RespondentID],'All Data'!$A$3:$CW$999,97,FALSE),"unknown")</f>
        <v>Yes</v>
      </c>
      <c r="AQ47" s="120">
        <f>IFERROR(VLOOKUP(Table1[RespondentID],'All Data'!$A$3:$CW$999,98,FALSE),"unknown")</f>
        <v>0</v>
      </c>
      <c r="AR47" s="120">
        <f>IFERROR(VLOOKUP(Table1[RespondentID],'All Data'!$A$3:$CW$999,99,FALSE),"unknown")</f>
        <v>0</v>
      </c>
    </row>
    <row r="48" spans="1:44" ht="16">
      <c r="A48" s="5">
        <v>18025182704</v>
      </c>
      <c r="B48" s="5"/>
      <c r="C48" s="5"/>
      <c r="D48" s="5"/>
      <c r="E48" s="5"/>
      <c r="F48" s="5"/>
      <c r="G48" s="5" t="s">
        <v>34</v>
      </c>
      <c r="H48" s="5"/>
      <c r="I48" s="5"/>
      <c r="J48" s="5"/>
      <c r="K48" s="5"/>
      <c r="L48" s="8"/>
      <c r="M48" s="8">
        <f t="shared" si="0"/>
        <v>1</v>
      </c>
      <c r="N48" s="8">
        <f t="shared" si="1"/>
        <v>3</v>
      </c>
      <c r="O48" s="8"/>
      <c r="P48" s="8">
        <f t="shared" si="2"/>
        <v>0</v>
      </c>
      <c r="Q48" s="8">
        <f t="shared" si="3"/>
        <v>0</v>
      </c>
      <c r="R48" s="8">
        <f t="shared" si="4"/>
        <v>0</v>
      </c>
      <c r="S48" s="8">
        <f t="shared" si="5"/>
        <v>0</v>
      </c>
      <c r="T48" s="8">
        <f t="shared" si="6"/>
        <v>0</v>
      </c>
      <c r="U48" s="8">
        <f t="shared" si="7"/>
        <v>1</v>
      </c>
      <c r="V48" s="153">
        <f t="shared" si="8"/>
        <v>0</v>
      </c>
      <c r="W48" s="8">
        <f t="shared" si="9"/>
        <v>0</v>
      </c>
      <c r="X48" s="8">
        <f t="shared" si="10"/>
        <v>0</v>
      </c>
      <c r="Y48" s="8">
        <f t="shared" si="11"/>
        <v>0</v>
      </c>
      <c r="Z48" s="8"/>
      <c r="AA48" s="8"/>
      <c r="AB48" s="8">
        <f t="shared" si="14"/>
        <v>1</v>
      </c>
      <c r="AC48" s="8">
        <f t="shared" si="12"/>
        <v>1</v>
      </c>
      <c r="AD48" s="8" t="str">
        <f t="shared" si="13"/>
        <v>Correct</v>
      </c>
      <c r="AE48" s="8"/>
      <c r="AF48" s="120" t="str">
        <f>IFERROR(VLOOKUP(Table1[RespondentID],'All Data'!$A$3:$CO$999,87,FALSE),"unknown")</f>
        <v>Man</v>
      </c>
      <c r="AG48" s="120">
        <f>IFERROR(VLOOKUP(Table1[RespondentID],'All Data'!$A$3:$CO$999,88,FALSE),"unknown")</f>
        <v>19</v>
      </c>
      <c r="AH48" s="120" t="str">
        <f>IFERROR(VLOOKUP(Table1[RespondentID],'All Data'!$A$3:$CO$999,89,FALSE),"unknown")</f>
        <v>Nassau</v>
      </c>
      <c r="AI48" s="120" t="str">
        <f>IFERROR(VLOOKUP(Table1[RespondentID],'All Data'!$A$3:$CO$999,90,FALSE),"unknown")</f>
        <v>Hicksville, 11801</v>
      </c>
      <c r="AJ48" s="120" t="str">
        <f>IFERROR(VLOOKUP(Table1[RespondentID],'All Data'!$A$3:$CO$999,91,FALSE),"unknown")</f>
        <v>White</v>
      </c>
      <c r="AK48" s="120">
        <f>IFERROR(VLOOKUP(Table1[RespondentID],'All Data'!$A$3:$CO$999,92,FALSE),"unknown")</f>
        <v>0</v>
      </c>
      <c r="AL48" s="120" t="str">
        <f>IFERROR(VLOOKUP(Table1[RespondentID],'All Data'!$A$3:$CO$999,93,FALSE),"unknown")</f>
        <v>English</v>
      </c>
      <c r="AM48" s="120" t="str">
        <f>IFERROR(VLOOKUP(Table1[RespondentID],'All Data'!$A$3:$CW$999,94,FALSE),"unknown")</f>
        <v>$35,000 to $49,999</v>
      </c>
      <c r="AN48" s="120" t="str">
        <f>IFERROR(VLOOKUP(Table1[RespondentID],'All Data'!$A$3:$CW$999,95,FALSE),"unknown")</f>
        <v>Some college</v>
      </c>
      <c r="AO48" s="120" t="str">
        <f>IFERROR(VLOOKUP(Table1[RespondentID],'All Data'!$A$3:$CW$999,96,FALSE),"unknown")</f>
        <v>Student</v>
      </c>
      <c r="AP48" s="120" t="str">
        <f>IFERROR(VLOOKUP(Table1[RespondentID],'All Data'!$A$3:$CW$999,97,FALSE),"unknown")</f>
        <v>Yes</v>
      </c>
      <c r="AQ48" s="120" t="str">
        <f>IFERROR(VLOOKUP(Table1[RespondentID],'All Data'!$A$3:$CW$999,98,FALSE),"unknown")</f>
        <v>Private/Commercial</v>
      </c>
      <c r="AR48" s="120">
        <f>IFERROR(VLOOKUP(Table1[RespondentID],'All Data'!$A$3:$CW$999,99,FALSE),"unknown")</f>
        <v>0</v>
      </c>
    </row>
    <row r="49" spans="1:44" ht="16">
      <c r="A49" s="5">
        <v>18025182523</v>
      </c>
      <c r="B49" s="5" t="s">
        <v>29</v>
      </c>
      <c r="C49" s="5"/>
      <c r="D49" s="5"/>
      <c r="E49" s="5"/>
      <c r="F49" s="5" t="s">
        <v>33</v>
      </c>
      <c r="G49" s="5"/>
      <c r="H49" s="5"/>
      <c r="I49" s="5"/>
      <c r="J49" s="5"/>
      <c r="K49" s="5"/>
      <c r="L49" s="9"/>
      <c r="M49" s="9">
        <f t="shared" si="0"/>
        <v>2</v>
      </c>
      <c r="N49" s="9">
        <f t="shared" si="1"/>
        <v>1.5</v>
      </c>
      <c r="O49" s="9"/>
      <c r="P49" s="9">
        <f t="shared" si="2"/>
        <v>1</v>
      </c>
      <c r="Q49" s="9">
        <f t="shared" si="3"/>
        <v>0</v>
      </c>
      <c r="R49" s="9">
        <f t="shared" si="4"/>
        <v>0</v>
      </c>
      <c r="S49" s="9">
        <f t="shared" si="5"/>
        <v>0</v>
      </c>
      <c r="T49" s="9">
        <f t="shared" si="6"/>
        <v>1</v>
      </c>
      <c r="U49" s="9">
        <f t="shared" si="7"/>
        <v>0</v>
      </c>
      <c r="V49" s="153">
        <f t="shared" si="8"/>
        <v>0</v>
      </c>
      <c r="W49" s="9">
        <f t="shared" si="9"/>
        <v>0</v>
      </c>
      <c r="X49" s="9">
        <f t="shared" si="10"/>
        <v>0</v>
      </c>
      <c r="Y49" s="9">
        <f t="shared" si="11"/>
        <v>0</v>
      </c>
      <c r="Z49" s="9"/>
      <c r="AA49" s="9"/>
      <c r="AB49" s="9">
        <f t="shared" si="14"/>
        <v>2</v>
      </c>
      <c r="AC49" s="9">
        <f t="shared" si="12"/>
        <v>2</v>
      </c>
      <c r="AD49" s="9" t="str">
        <f t="shared" si="13"/>
        <v>Correct</v>
      </c>
      <c r="AE49" s="9"/>
      <c r="AF49" s="120">
        <f>IFERROR(VLOOKUP(Table1[RespondentID],'All Data'!$A$3:$CO$999,87,FALSE),"unknown")</f>
        <v>0</v>
      </c>
      <c r="AG49" s="120">
        <f>IFERROR(VLOOKUP(Table1[RespondentID],'All Data'!$A$3:$CO$999,88,FALSE),"unknown")</f>
        <v>65</v>
      </c>
      <c r="AH49" s="120" t="str">
        <f>IFERROR(VLOOKUP(Table1[RespondentID],'All Data'!$A$3:$CO$999,89,FALSE),"unknown")</f>
        <v>Nassau</v>
      </c>
      <c r="AI49" s="120" t="str">
        <f>IFERROR(VLOOKUP(Table1[RespondentID],'All Data'!$A$3:$CO$999,90,FALSE),"unknown")</f>
        <v>Floral Park, 11001</v>
      </c>
      <c r="AJ49" s="120" t="str">
        <f>IFERROR(VLOOKUP(Table1[RespondentID],'All Data'!$A$3:$CO$999,91,FALSE),"unknown")</f>
        <v>White</v>
      </c>
      <c r="AK49" s="120">
        <f>IFERROR(VLOOKUP(Table1[RespondentID],'All Data'!$A$3:$CO$999,92,FALSE),"unknown")</f>
        <v>0</v>
      </c>
      <c r="AL49" s="120" t="str">
        <f>IFERROR(VLOOKUP(Table1[RespondentID],'All Data'!$A$3:$CO$999,93,FALSE),"unknown")</f>
        <v>English</v>
      </c>
      <c r="AM49" s="120" t="str">
        <f>IFERROR(VLOOKUP(Table1[RespondentID],'All Data'!$A$3:$CW$999,94,FALSE),"unknown")</f>
        <v>$50,000 to $74,999</v>
      </c>
      <c r="AN49" s="120" t="str">
        <f>IFERROR(VLOOKUP(Table1[RespondentID],'All Data'!$A$3:$CW$999,95,FALSE),"unknown")</f>
        <v>College graduate</v>
      </c>
      <c r="AO49" s="120" t="str">
        <f>IFERROR(VLOOKUP(Table1[RespondentID],'All Data'!$A$3:$CW$999,96,FALSE),"unknown")</f>
        <v>Retired</v>
      </c>
      <c r="AP49" s="120" t="str">
        <f>IFERROR(VLOOKUP(Table1[RespondentID],'All Data'!$A$3:$CW$999,97,FALSE),"unknown")</f>
        <v>Yes</v>
      </c>
      <c r="AQ49" s="120" t="str">
        <f>IFERROR(VLOOKUP(Table1[RespondentID],'All Data'!$A$3:$CW$999,98,FALSE),"unknown")</f>
        <v>Private/Commercial</v>
      </c>
      <c r="AR49" s="120">
        <f>IFERROR(VLOOKUP(Table1[RespondentID],'All Data'!$A$3:$CW$999,99,FALSE),"unknown")</f>
        <v>0</v>
      </c>
    </row>
    <row r="50" spans="1:44" ht="16">
      <c r="A50" s="5">
        <v>18025182362</v>
      </c>
      <c r="B50" s="5" t="s">
        <v>29</v>
      </c>
      <c r="C50" s="5"/>
      <c r="D50" s="5"/>
      <c r="E50" s="5"/>
      <c r="F50" s="5" t="s">
        <v>33</v>
      </c>
      <c r="G50" s="5"/>
      <c r="H50" s="5"/>
      <c r="I50" s="5" t="s">
        <v>36</v>
      </c>
      <c r="J50" s="5"/>
      <c r="K50" s="5"/>
      <c r="L50" s="8"/>
      <c r="M50" s="8">
        <f t="shared" si="0"/>
        <v>3</v>
      </c>
      <c r="N50" s="8">
        <f t="shared" si="1"/>
        <v>1</v>
      </c>
      <c r="O50" s="8"/>
      <c r="P50" s="8">
        <f t="shared" si="2"/>
        <v>1</v>
      </c>
      <c r="Q50" s="8">
        <f t="shared" si="3"/>
        <v>0</v>
      </c>
      <c r="R50" s="8">
        <f t="shared" si="4"/>
        <v>0</v>
      </c>
      <c r="S50" s="8">
        <f t="shared" si="5"/>
        <v>0</v>
      </c>
      <c r="T50" s="8">
        <f t="shared" si="6"/>
        <v>1</v>
      </c>
      <c r="U50" s="8">
        <f t="shared" si="7"/>
        <v>0</v>
      </c>
      <c r="V50" s="153">
        <f t="shared" si="8"/>
        <v>0</v>
      </c>
      <c r="W50" s="8">
        <f t="shared" si="9"/>
        <v>1</v>
      </c>
      <c r="X50" s="8">
        <f t="shared" si="10"/>
        <v>0</v>
      </c>
      <c r="Y50" s="8">
        <f t="shared" si="11"/>
        <v>0</v>
      </c>
      <c r="Z50" s="8"/>
      <c r="AA50" s="8"/>
      <c r="AB50" s="8">
        <f t="shared" si="14"/>
        <v>3</v>
      </c>
      <c r="AC50" s="8">
        <f t="shared" si="12"/>
        <v>3</v>
      </c>
      <c r="AD50" s="8" t="str">
        <f t="shared" si="13"/>
        <v>Correct</v>
      </c>
      <c r="AE50" s="8"/>
      <c r="AF50" s="120" t="str">
        <f>IFERROR(VLOOKUP(Table1[RespondentID],'All Data'!$A$3:$CO$999,87,FALSE),"unknown")</f>
        <v>Man</v>
      </c>
      <c r="AG50" s="120">
        <f>IFERROR(VLOOKUP(Table1[RespondentID],'All Data'!$A$3:$CO$999,88,FALSE),"unknown")</f>
        <v>30</v>
      </c>
      <c r="AH50" s="120" t="str">
        <f>IFERROR(VLOOKUP(Table1[RespondentID],'All Data'!$A$3:$CO$999,89,FALSE),"unknown")</f>
        <v>Suffolk</v>
      </c>
      <c r="AI50" s="120" t="str">
        <f>IFERROR(VLOOKUP(Table1[RespondentID],'All Data'!$A$3:$CO$999,90,FALSE),"unknown")</f>
        <v>Huntington, 11743</v>
      </c>
      <c r="AJ50" s="120">
        <f>IFERROR(VLOOKUP(Table1[RespondentID],'All Data'!$A$3:$CO$999,91,FALSE),"unknown")</f>
        <v>0</v>
      </c>
      <c r="AK50" s="120">
        <f>IFERROR(VLOOKUP(Table1[RespondentID],'All Data'!$A$3:$CO$999,92,FALSE),"unknown")</f>
        <v>0</v>
      </c>
      <c r="AL50" s="120" t="str">
        <f>IFERROR(VLOOKUP(Table1[RespondentID],'All Data'!$A$3:$CO$999,93,FALSE),"unknown")</f>
        <v>Spanish</v>
      </c>
      <c r="AM50" s="120" t="str">
        <f>IFERROR(VLOOKUP(Table1[RespondentID],'All Data'!$A$3:$CW$999,94,FALSE),"unknown")</f>
        <v>$35,000 to $49,999</v>
      </c>
      <c r="AN50" s="120" t="str">
        <f>IFERROR(VLOOKUP(Table1[RespondentID],'All Data'!$A$3:$CW$999,95,FALSE),"unknown")</f>
        <v>Some college</v>
      </c>
      <c r="AO50" s="120" t="str">
        <f>IFERROR(VLOOKUP(Table1[RespondentID],'All Data'!$A$3:$CW$999,96,FALSE),"unknown")</f>
        <v>Out of work and looking for work</v>
      </c>
      <c r="AP50" s="120" t="str">
        <f>IFERROR(VLOOKUP(Table1[RespondentID],'All Data'!$A$3:$CW$999,97,FALSE),"unknown")</f>
        <v>No</v>
      </c>
      <c r="AQ50" s="120">
        <f>IFERROR(VLOOKUP(Table1[RespondentID],'All Data'!$A$3:$CW$999,98,FALSE),"unknown")</f>
        <v>0</v>
      </c>
      <c r="AR50" s="120">
        <f>IFERROR(VLOOKUP(Table1[RespondentID],'All Data'!$A$3:$CW$999,99,FALSE),"unknown")</f>
        <v>0</v>
      </c>
    </row>
    <row r="51" spans="1:44" ht="16">
      <c r="A51" s="5">
        <v>18025182185</v>
      </c>
      <c r="B51" s="5" t="s">
        <v>29</v>
      </c>
      <c r="C51" s="5"/>
      <c r="D51" s="5"/>
      <c r="E51" s="5"/>
      <c r="F51" s="5"/>
      <c r="G51" s="5"/>
      <c r="H51" s="5"/>
      <c r="I51" s="5"/>
      <c r="J51" s="5" t="s">
        <v>37</v>
      </c>
      <c r="K51" s="5"/>
      <c r="L51" s="9"/>
      <c r="M51" s="9">
        <f t="shared" si="0"/>
        <v>2</v>
      </c>
      <c r="N51" s="9">
        <f t="shared" si="1"/>
        <v>1.5</v>
      </c>
      <c r="O51" s="9"/>
      <c r="P51" s="9">
        <f t="shared" si="2"/>
        <v>1</v>
      </c>
      <c r="Q51" s="9">
        <f t="shared" si="3"/>
        <v>0</v>
      </c>
      <c r="R51" s="9">
        <f t="shared" si="4"/>
        <v>0</v>
      </c>
      <c r="S51" s="9">
        <f t="shared" si="5"/>
        <v>0</v>
      </c>
      <c r="T51" s="9">
        <f t="shared" si="6"/>
        <v>0</v>
      </c>
      <c r="U51" s="9">
        <f t="shared" si="7"/>
        <v>0</v>
      </c>
      <c r="V51" s="153">
        <f t="shared" si="8"/>
        <v>0</v>
      </c>
      <c r="W51" s="9">
        <f t="shared" si="9"/>
        <v>0</v>
      </c>
      <c r="X51" s="9">
        <f t="shared" si="10"/>
        <v>1</v>
      </c>
      <c r="Y51" s="9">
        <f t="shared" si="11"/>
        <v>0</v>
      </c>
      <c r="Z51" s="9"/>
      <c r="AA51" s="9"/>
      <c r="AB51" s="9">
        <f t="shared" si="14"/>
        <v>2</v>
      </c>
      <c r="AC51" s="9">
        <f t="shared" si="12"/>
        <v>2</v>
      </c>
      <c r="AD51" s="9" t="str">
        <f t="shared" si="13"/>
        <v>Correct</v>
      </c>
      <c r="AE51" s="9"/>
      <c r="AF51" s="120" t="str">
        <f>IFERROR(VLOOKUP(Table1[RespondentID],'All Data'!$A$3:$CO$999,87,FALSE),"unknown")</f>
        <v>Woman</v>
      </c>
      <c r="AG51" s="120">
        <f>IFERROR(VLOOKUP(Table1[RespondentID],'All Data'!$A$3:$CO$999,88,FALSE),"unknown")</f>
        <v>37</v>
      </c>
      <c r="AH51" s="120" t="str">
        <f>IFERROR(VLOOKUP(Table1[RespondentID],'All Data'!$A$3:$CO$999,89,FALSE),"unknown")</f>
        <v>Suffolk</v>
      </c>
      <c r="AI51" s="120" t="str">
        <f>IFERROR(VLOOKUP(Table1[RespondentID],'All Data'!$A$3:$CO$999,90,FALSE),"unknown")</f>
        <v>Huntington, 11743</v>
      </c>
      <c r="AJ51" s="120">
        <f>IFERROR(VLOOKUP(Table1[RespondentID],'All Data'!$A$3:$CO$999,91,FALSE),"unknown")</f>
        <v>0</v>
      </c>
      <c r="AK51" s="120">
        <f>IFERROR(VLOOKUP(Table1[RespondentID],'All Data'!$A$3:$CO$999,92,FALSE),"unknown")</f>
        <v>0</v>
      </c>
      <c r="AL51" s="120" t="str">
        <f>IFERROR(VLOOKUP(Table1[RespondentID],'All Data'!$A$3:$CO$999,93,FALSE),"unknown")</f>
        <v>English, Spanish</v>
      </c>
      <c r="AM51" s="120">
        <f>IFERROR(VLOOKUP(Table1[RespondentID],'All Data'!$A$3:$CW$999,94,FALSE),"unknown")</f>
        <v>0</v>
      </c>
      <c r="AN51" s="120" t="str">
        <f>IFERROR(VLOOKUP(Table1[RespondentID],'All Data'!$A$3:$CW$999,95,FALSE),"unknown")</f>
        <v>Graduate school</v>
      </c>
      <c r="AO51" s="120" t="str">
        <f>IFERROR(VLOOKUP(Table1[RespondentID],'All Data'!$A$3:$CW$999,96,FALSE),"unknown")</f>
        <v>Employed for wages</v>
      </c>
      <c r="AP51" s="120" t="str">
        <f>IFERROR(VLOOKUP(Table1[RespondentID],'All Data'!$A$3:$CW$999,97,FALSE),"unknown")</f>
        <v>Yes</v>
      </c>
      <c r="AQ51" s="120" t="str">
        <f>IFERROR(VLOOKUP(Table1[RespondentID],'All Data'!$A$3:$CW$999,98,FALSE),"unknown")</f>
        <v>Private/Commercial</v>
      </c>
      <c r="AR51" s="120">
        <f>IFERROR(VLOOKUP(Table1[RespondentID],'All Data'!$A$3:$CW$999,99,FALSE),"unknown")</f>
        <v>0</v>
      </c>
    </row>
    <row r="52" spans="1:44" ht="16">
      <c r="A52" s="5">
        <v>18025182059</v>
      </c>
      <c r="B52" s="5" t="s">
        <v>29</v>
      </c>
      <c r="C52" s="5"/>
      <c r="D52" s="5" t="s">
        <v>31</v>
      </c>
      <c r="E52" s="5"/>
      <c r="F52" s="5"/>
      <c r="G52" s="5"/>
      <c r="H52" s="5"/>
      <c r="I52" s="5"/>
      <c r="J52" s="5"/>
      <c r="K52" s="5" t="s">
        <v>375</v>
      </c>
      <c r="L52" s="8"/>
      <c r="M52" s="8">
        <f t="shared" si="0"/>
        <v>3</v>
      </c>
      <c r="N52" s="8">
        <f t="shared" si="1"/>
        <v>1</v>
      </c>
      <c r="O52" s="8"/>
      <c r="P52" s="8">
        <f t="shared" si="2"/>
        <v>1</v>
      </c>
      <c r="Q52" s="8">
        <f t="shared" si="3"/>
        <v>0</v>
      </c>
      <c r="R52" s="8">
        <f t="shared" si="4"/>
        <v>1</v>
      </c>
      <c r="S52" s="8">
        <f t="shared" si="5"/>
        <v>0</v>
      </c>
      <c r="T52" s="8">
        <f t="shared" si="6"/>
        <v>0</v>
      </c>
      <c r="U52" s="8">
        <f t="shared" si="7"/>
        <v>0</v>
      </c>
      <c r="V52" s="153">
        <f t="shared" si="8"/>
        <v>0</v>
      </c>
      <c r="W52" s="8">
        <f t="shared" si="9"/>
        <v>0</v>
      </c>
      <c r="X52" s="8">
        <f t="shared" si="10"/>
        <v>0</v>
      </c>
      <c r="Y52" s="8">
        <f t="shared" si="11"/>
        <v>1</v>
      </c>
      <c r="Z52" s="8"/>
      <c r="AA52" s="8"/>
      <c r="AB52" s="8">
        <f t="shared" si="14"/>
        <v>3</v>
      </c>
      <c r="AC52" s="8">
        <f t="shared" si="12"/>
        <v>3</v>
      </c>
      <c r="AD52" s="8" t="str">
        <f t="shared" si="13"/>
        <v>Correct</v>
      </c>
      <c r="AE52" s="8"/>
      <c r="AF52" s="120" t="str">
        <f>IFERROR(VLOOKUP(Table1[RespondentID],'All Data'!$A$3:$CO$999,87,FALSE),"unknown")</f>
        <v>Man</v>
      </c>
      <c r="AG52" s="120">
        <f>IFERROR(VLOOKUP(Table1[RespondentID],'All Data'!$A$3:$CO$999,88,FALSE),"unknown")</f>
        <v>58</v>
      </c>
      <c r="AH52" s="120" t="str">
        <f>IFERROR(VLOOKUP(Table1[RespondentID],'All Data'!$A$3:$CO$999,89,FALSE),"unknown")</f>
        <v>Suffolk</v>
      </c>
      <c r="AI52" s="120" t="str">
        <f>IFERROR(VLOOKUP(Table1[RespondentID],'All Data'!$A$3:$CO$999,90,FALSE),"unknown")</f>
        <v>Centerport, 11721</v>
      </c>
      <c r="AJ52" s="120" t="str">
        <f>IFERROR(VLOOKUP(Table1[RespondentID],'All Data'!$A$3:$CO$999,91,FALSE),"unknown")</f>
        <v>White</v>
      </c>
      <c r="AK52" s="120" t="str">
        <f>IFERROR(VLOOKUP(Table1[RespondentID],'All Data'!$A$3:$CO$999,92,FALSE),"unknown")</f>
        <v>Not Hispanic or Latino</v>
      </c>
      <c r="AL52" s="120" t="str">
        <f>IFERROR(VLOOKUP(Table1[RespondentID],'All Data'!$A$3:$CO$999,93,FALSE),"unknown")</f>
        <v>English</v>
      </c>
      <c r="AM52" s="120" t="str">
        <f>IFERROR(VLOOKUP(Table1[RespondentID],'All Data'!$A$3:$CW$999,94,FALSE),"unknown")</f>
        <v>Over $125,000</v>
      </c>
      <c r="AN52" s="120" t="str">
        <f>IFERROR(VLOOKUP(Table1[RespondentID],'All Data'!$A$3:$CW$999,95,FALSE),"unknown")</f>
        <v>Doctorate</v>
      </c>
      <c r="AO52" s="120" t="str">
        <f>IFERROR(VLOOKUP(Table1[RespondentID],'All Data'!$A$3:$CW$999,96,FALSE),"unknown")</f>
        <v>Self-employed</v>
      </c>
      <c r="AP52" s="120" t="str">
        <f>IFERROR(VLOOKUP(Table1[RespondentID],'All Data'!$A$3:$CW$999,97,FALSE),"unknown")</f>
        <v>Yes</v>
      </c>
      <c r="AQ52" s="120">
        <f>IFERROR(VLOOKUP(Table1[RespondentID],'All Data'!$A$3:$CW$999,98,FALSE),"unknown")</f>
        <v>0</v>
      </c>
      <c r="AR52" s="120">
        <f>IFERROR(VLOOKUP(Table1[RespondentID],'All Data'!$A$3:$CW$999,99,FALSE),"unknown")</f>
        <v>0</v>
      </c>
    </row>
    <row r="53" spans="1:44" ht="16">
      <c r="A53" s="5">
        <v>18025181795</v>
      </c>
      <c r="B53" s="5" t="s">
        <v>29</v>
      </c>
      <c r="C53" s="5"/>
      <c r="D53" s="5" t="s">
        <v>31</v>
      </c>
      <c r="E53" s="5"/>
      <c r="F53" s="5"/>
      <c r="G53" s="5"/>
      <c r="H53" s="5"/>
      <c r="I53" s="5"/>
      <c r="J53" s="5"/>
      <c r="K53" s="5" t="s">
        <v>375</v>
      </c>
      <c r="L53" s="9"/>
      <c r="M53" s="9">
        <f t="shared" si="0"/>
        <v>3</v>
      </c>
      <c r="N53" s="9">
        <f t="shared" si="1"/>
        <v>1</v>
      </c>
      <c r="O53" s="9"/>
      <c r="P53" s="9">
        <f t="shared" si="2"/>
        <v>1</v>
      </c>
      <c r="Q53" s="9">
        <f t="shared" si="3"/>
        <v>0</v>
      </c>
      <c r="R53" s="9">
        <f t="shared" si="4"/>
        <v>1</v>
      </c>
      <c r="S53" s="9">
        <f t="shared" si="5"/>
        <v>0</v>
      </c>
      <c r="T53" s="9">
        <f t="shared" si="6"/>
        <v>0</v>
      </c>
      <c r="U53" s="9">
        <f t="shared" si="7"/>
        <v>0</v>
      </c>
      <c r="V53" s="153">
        <f t="shared" si="8"/>
        <v>0</v>
      </c>
      <c r="W53" s="9">
        <f t="shared" si="9"/>
        <v>0</v>
      </c>
      <c r="X53" s="9">
        <f t="shared" si="10"/>
        <v>0</v>
      </c>
      <c r="Y53" s="9">
        <f t="shared" si="11"/>
        <v>1</v>
      </c>
      <c r="Z53" s="9"/>
      <c r="AA53" s="9"/>
      <c r="AB53" s="9">
        <f t="shared" si="14"/>
        <v>3</v>
      </c>
      <c r="AC53" s="9">
        <f t="shared" si="12"/>
        <v>3</v>
      </c>
      <c r="AD53" s="9" t="str">
        <f t="shared" si="13"/>
        <v>Correct</v>
      </c>
      <c r="AE53" s="9"/>
      <c r="AF53" s="120" t="str">
        <f>IFERROR(VLOOKUP(Table1[RespondentID],'All Data'!$A$3:$CO$999,87,FALSE),"unknown")</f>
        <v>Man</v>
      </c>
      <c r="AG53" s="120">
        <f>IFERROR(VLOOKUP(Table1[RespondentID],'All Data'!$A$3:$CO$999,88,FALSE),"unknown")</f>
        <v>58</v>
      </c>
      <c r="AH53" s="120" t="str">
        <f>IFERROR(VLOOKUP(Table1[RespondentID],'All Data'!$A$3:$CO$999,89,FALSE),"unknown")</f>
        <v>Suffolk</v>
      </c>
      <c r="AI53" s="120" t="str">
        <f>IFERROR(VLOOKUP(Table1[RespondentID],'All Data'!$A$3:$CO$999,90,FALSE),"unknown")</f>
        <v>Centerport, 11721</v>
      </c>
      <c r="AJ53" s="120" t="str">
        <f>IFERROR(VLOOKUP(Table1[RespondentID],'All Data'!$A$3:$CO$999,91,FALSE),"unknown")</f>
        <v>White</v>
      </c>
      <c r="AK53" s="120" t="str">
        <f>IFERROR(VLOOKUP(Table1[RespondentID],'All Data'!$A$3:$CO$999,92,FALSE),"unknown")</f>
        <v>Not Hispanic or Latino</v>
      </c>
      <c r="AL53" s="120" t="str">
        <f>IFERROR(VLOOKUP(Table1[RespondentID],'All Data'!$A$3:$CO$999,93,FALSE),"unknown")</f>
        <v>English</v>
      </c>
      <c r="AM53" s="120" t="str">
        <f>IFERROR(VLOOKUP(Table1[RespondentID],'All Data'!$A$3:$CW$999,94,FALSE),"unknown")</f>
        <v>Over $125,000</v>
      </c>
      <c r="AN53" s="120" t="str">
        <f>IFERROR(VLOOKUP(Table1[RespondentID],'All Data'!$A$3:$CW$999,95,FALSE),"unknown")</f>
        <v>Doctorate</v>
      </c>
      <c r="AO53" s="120" t="str">
        <f>IFERROR(VLOOKUP(Table1[RespondentID],'All Data'!$A$3:$CW$999,96,FALSE),"unknown")</f>
        <v>Employed for wages</v>
      </c>
      <c r="AP53" s="120" t="str">
        <f>IFERROR(VLOOKUP(Table1[RespondentID],'All Data'!$A$3:$CW$999,97,FALSE),"unknown")</f>
        <v>Yes</v>
      </c>
      <c r="AQ53" s="120">
        <f>IFERROR(VLOOKUP(Table1[RespondentID],'All Data'!$A$3:$CW$999,98,FALSE),"unknown")</f>
        <v>0</v>
      </c>
      <c r="AR53" s="120">
        <f>IFERROR(VLOOKUP(Table1[RespondentID],'All Data'!$A$3:$CW$999,99,FALSE),"unknown")</f>
        <v>0</v>
      </c>
    </row>
    <row r="54" spans="1:44" ht="16">
      <c r="A54" s="5">
        <v>18025181633</v>
      </c>
      <c r="B54" s="5"/>
      <c r="C54" s="5"/>
      <c r="D54" s="5" t="s">
        <v>31</v>
      </c>
      <c r="E54" s="5"/>
      <c r="F54" s="5"/>
      <c r="G54" s="5"/>
      <c r="H54" s="5" t="s">
        <v>35</v>
      </c>
      <c r="I54" s="5" t="s">
        <v>36</v>
      </c>
      <c r="J54" s="5"/>
      <c r="K54" s="5"/>
      <c r="L54" s="8"/>
      <c r="M54" s="8">
        <f t="shared" si="0"/>
        <v>3</v>
      </c>
      <c r="N54" s="8">
        <f t="shared" si="1"/>
        <v>1</v>
      </c>
      <c r="O54" s="8"/>
      <c r="P54" s="8">
        <f t="shared" si="2"/>
        <v>0</v>
      </c>
      <c r="Q54" s="8">
        <f t="shared" si="3"/>
        <v>0</v>
      </c>
      <c r="R54" s="8">
        <f t="shared" si="4"/>
        <v>1</v>
      </c>
      <c r="S54" s="8">
        <f t="shared" si="5"/>
        <v>0</v>
      </c>
      <c r="T54" s="8">
        <f t="shared" si="6"/>
        <v>0</v>
      </c>
      <c r="U54" s="8">
        <f t="shared" si="7"/>
        <v>0</v>
      </c>
      <c r="V54" s="153">
        <f t="shared" si="8"/>
        <v>1</v>
      </c>
      <c r="W54" s="8">
        <f t="shared" si="9"/>
        <v>1</v>
      </c>
      <c r="X54" s="8">
        <f t="shared" si="10"/>
        <v>0</v>
      </c>
      <c r="Y54" s="8">
        <f t="shared" si="11"/>
        <v>0</v>
      </c>
      <c r="Z54" s="8"/>
      <c r="AA54" s="8"/>
      <c r="AB54" s="8">
        <f t="shared" si="14"/>
        <v>3</v>
      </c>
      <c r="AC54" s="8">
        <f t="shared" si="12"/>
        <v>3</v>
      </c>
      <c r="AD54" s="8" t="str">
        <f t="shared" si="13"/>
        <v>Correct</v>
      </c>
      <c r="AE54" s="8"/>
      <c r="AF54" s="120" t="str">
        <f>IFERROR(VLOOKUP(Table1[RespondentID],'All Data'!$A$3:$CO$999,87,FALSE),"unknown")</f>
        <v>Man</v>
      </c>
      <c r="AG54" s="120">
        <f>IFERROR(VLOOKUP(Table1[RespondentID],'All Data'!$A$3:$CO$999,88,FALSE),"unknown")</f>
        <v>26</v>
      </c>
      <c r="AH54" s="120" t="str">
        <f>IFERROR(VLOOKUP(Table1[RespondentID],'All Data'!$A$3:$CO$999,89,FALSE),"unknown")</f>
        <v>Queens</v>
      </c>
      <c r="AI54" s="120">
        <f>IFERROR(VLOOKUP(Table1[RespondentID],'All Data'!$A$3:$CO$999,90,FALSE),"unknown")</f>
        <v>11231</v>
      </c>
      <c r="AJ54" s="120" t="str">
        <f>IFERROR(VLOOKUP(Table1[RespondentID],'All Data'!$A$3:$CO$999,91,FALSE),"unknown")</f>
        <v>White</v>
      </c>
      <c r="AK54" s="120" t="str">
        <f>IFERROR(VLOOKUP(Table1[RespondentID],'All Data'!$A$3:$CO$999,92,FALSE),"unknown")</f>
        <v>Hispanic or Latino</v>
      </c>
      <c r="AL54" s="120" t="str">
        <f>IFERROR(VLOOKUP(Table1[RespondentID],'All Data'!$A$3:$CO$999,93,FALSE),"unknown")</f>
        <v>English</v>
      </c>
      <c r="AM54" s="120" t="str">
        <f>IFERROR(VLOOKUP(Table1[RespondentID],'All Data'!$A$3:$CW$999,94,FALSE),"unknown")</f>
        <v>$75,000 to $125,000</v>
      </c>
      <c r="AN54" s="120" t="str">
        <f>IFERROR(VLOOKUP(Table1[RespondentID],'All Data'!$A$3:$CW$999,95,FALSE),"unknown")</f>
        <v>College graduate</v>
      </c>
      <c r="AO54" s="120" t="str">
        <f>IFERROR(VLOOKUP(Table1[RespondentID],'All Data'!$A$3:$CW$999,96,FALSE),"unknown")</f>
        <v>Employed for wages</v>
      </c>
      <c r="AP54" s="120" t="str">
        <f>IFERROR(VLOOKUP(Table1[RespondentID],'All Data'!$A$3:$CW$999,97,FALSE),"unknown")</f>
        <v>Yes</v>
      </c>
      <c r="AQ54" s="120" t="str">
        <f>IFERROR(VLOOKUP(Table1[RespondentID],'All Data'!$A$3:$CW$999,98,FALSE),"unknown")</f>
        <v>Private/Commercial</v>
      </c>
      <c r="AR54" s="120">
        <f>IFERROR(VLOOKUP(Table1[RespondentID],'All Data'!$A$3:$CW$999,99,FALSE),"unknown")</f>
        <v>0</v>
      </c>
    </row>
    <row r="55" spans="1:44" ht="16">
      <c r="A55" s="5">
        <v>18025180780</v>
      </c>
      <c r="B55" s="5"/>
      <c r="C55" s="5"/>
      <c r="D55" s="5"/>
      <c r="E55" s="5"/>
      <c r="F55" s="5" t="s">
        <v>33</v>
      </c>
      <c r="G55" s="5"/>
      <c r="H55" s="5"/>
      <c r="I55" s="5" t="s">
        <v>36</v>
      </c>
      <c r="J55" s="5" t="s">
        <v>37</v>
      </c>
      <c r="K55" s="5"/>
      <c r="L55" s="9"/>
      <c r="M55" s="9">
        <f t="shared" si="0"/>
        <v>3</v>
      </c>
      <c r="N55" s="9">
        <f t="shared" si="1"/>
        <v>1</v>
      </c>
      <c r="O55" s="9"/>
      <c r="P55" s="9">
        <f t="shared" si="2"/>
        <v>0</v>
      </c>
      <c r="Q55" s="9">
        <f t="shared" si="3"/>
        <v>0</v>
      </c>
      <c r="R55" s="9">
        <f t="shared" si="4"/>
        <v>0</v>
      </c>
      <c r="S55" s="9">
        <f t="shared" si="5"/>
        <v>0</v>
      </c>
      <c r="T55" s="9">
        <f t="shared" si="6"/>
        <v>1</v>
      </c>
      <c r="U55" s="9">
        <f t="shared" si="7"/>
        <v>0</v>
      </c>
      <c r="V55" s="153">
        <f t="shared" si="8"/>
        <v>0</v>
      </c>
      <c r="W55" s="9">
        <f t="shared" si="9"/>
        <v>1</v>
      </c>
      <c r="X55" s="9">
        <f t="shared" si="10"/>
        <v>1</v>
      </c>
      <c r="Y55" s="9">
        <f t="shared" si="11"/>
        <v>0</v>
      </c>
      <c r="Z55" s="9"/>
      <c r="AA55" s="9"/>
      <c r="AB55" s="9">
        <f t="shared" si="14"/>
        <v>3</v>
      </c>
      <c r="AC55" s="9">
        <f t="shared" si="12"/>
        <v>3</v>
      </c>
      <c r="AD55" s="9" t="str">
        <f t="shared" si="13"/>
        <v>Correct</v>
      </c>
      <c r="AE55" s="9"/>
      <c r="AF55" s="120" t="str">
        <f>IFERROR(VLOOKUP(Table1[RespondentID],'All Data'!$A$3:$CO$999,87,FALSE),"unknown")</f>
        <v>Man</v>
      </c>
      <c r="AG55" s="120">
        <f>IFERROR(VLOOKUP(Table1[RespondentID],'All Data'!$A$3:$CO$999,88,FALSE),"unknown")</f>
        <v>42</v>
      </c>
      <c r="AH55" s="120" t="str">
        <f>IFERROR(VLOOKUP(Table1[RespondentID],'All Data'!$A$3:$CO$999,89,FALSE),"unknown")</f>
        <v>Nassau</v>
      </c>
      <c r="AI55" s="120" t="str">
        <f>IFERROR(VLOOKUP(Table1[RespondentID],'All Data'!$A$3:$CO$999,90,FALSE),"unknown")</f>
        <v>Jericho, 11753</v>
      </c>
      <c r="AJ55" s="120" t="str">
        <f>IFERROR(VLOOKUP(Table1[RespondentID],'All Data'!$A$3:$CO$999,91,FALSE),"unknown")</f>
        <v>Asian</v>
      </c>
      <c r="AK55" s="120" t="str">
        <f>IFERROR(VLOOKUP(Table1[RespondentID],'All Data'!$A$3:$CO$999,92,FALSE),"unknown")</f>
        <v>Not Hispanic or Latino</v>
      </c>
      <c r="AL55" s="120" t="str">
        <f>IFERROR(VLOOKUP(Table1[RespondentID],'All Data'!$A$3:$CO$999,93,FALSE),"unknown")</f>
        <v>English, Hindi</v>
      </c>
      <c r="AM55" s="120" t="str">
        <f>IFERROR(VLOOKUP(Table1[RespondentID],'All Data'!$A$3:$CW$999,94,FALSE),"unknown")</f>
        <v>$50,000 to $74,999</v>
      </c>
      <c r="AN55" s="120" t="str">
        <f>IFERROR(VLOOKUP(Table1[RespondentID],'All Data'!$A$3:$CW$999,95,FALSE),"unknown")</f>
        <v>High school graduate</v>
      </c>
      <c r="AO55" s="120" t="str">
        <f>IFERROR(VLOOKUP(Table1[RespondentID],'All Data'!$A$3:$CW$999,96,FALSE),"unknown")</f>
        <v>Self-employed</v>
      </c>
      <c r="AP55" s="120" t="str">
        <f>IFERROR(VLOOKUP(Table1[RespondentID],'All Data'!$A$3:$CW$999,97,FALSE),"unknown")</f>
        <v>Yes</v>
      </c>
      <c r="AQ55" s="120">
        <f>IFERROR(VLOOKUP(Table1[RespondentID],'All Data'!$A$3:$CW$999,98,FALSE),"unknown")</f>
        <v>0</v>
      </c>
      <c r="AR55" s="120">
        <f>IFERROR(VLOOKUP(Table1[RespondentID],'All Data'!$A$3:$CW$999,99,FALSE),"unknown")</f>
        <v>0</v>
      </c>
    </row>
    <row r="56" spans="1:44" ht="16">
      <c r="A56" s="5">
        <v>18025180610</v>
      </c>
      <c r="B56" s="5"/>
      <c r="C56" s="5"/>
      <c r="D56" s="5" t="s">
        <v>31</v>
      </c>
      <c r="E56" s="5"/>
      <c r="F56" s="5"/>
      <c r="G56" s="5"/>
      <c r="H56" s="5"/>
      <c r="I56" s="5" t="s">
        <v>36</v>
      </c>
      <c r="J56" s="5" t="s">
        <v>37</v>
      </c>
      <c r="K56" s="5"/>
      <c r="L56" s="8"/>
      <c r="M56" s="8">
        <f t="shared" si="0"/>
        <v>3</v>
      </c>
      <c r="N56" s="8">
        <f t="shared" si="1"/>
        <v>1</v>
      </c>
      <c r="O56" s="8"/>
      <c r="P56" s="8">
        <f t="shared" si="2"/>
        <v>0</v>
      </c>
      <c r="Q56" s="8">
        <f t="shared" si="3"/>
        <v>0</v>
      </c>
      <c r="R56" s="8">
        <f t="shared" si="4"/>
        <v>1</v>
      </c>
      <c r="S56" s="8">
        <f t="shared" si="5"/>
        <v>0</v>
      </c>
      <c r="T56" s="8">
        <f t="shared" si="6"/>
        <v>0</v>
      </c>
      <c r="U56" s="8">
        <f t="shared" si="7"/>
        <v>0</v>
      </c>
      <c r="V56" s="153">
        <f t="shared" si="8"/>
        <v>0</v>
      </c>
      <c r="W56" s="8">
        <f t="shared" si="9"/>
        <v>1</v>
      </c>
      <c r="X56" s="8">
        <f t="shared" si="10"/>
        <v>1</v>
      </c>
      <c r="Y56" s="8">
        <f t="shared" si="11"/>
        <v>0</v>
      </c>
      <c r="Z56" s="8"/>
      <c r="AA56" s="8"/>
      <c r="AB56" s="8">
        <f t="shared" si="14"/>
        <v>3</v>
      </c>
      <c r="AC56" s="8">
        <f t="shared" si="12"/>
        <v>3</v>
      </c>
      <c r="AD56" s="8" t="str">
        <f t="shared" si="13"/>
        <v>Correct</v>
      </c>
      <c r="AE56" s="8"/>
      <c r="AF56" s="120" t="str">
        <f>IFERROR(VLOOKUP(Table1[RespondentID],'All Data'!$A$3:$CO$999,87,FALSE),"unknown")</f>
        <v>Woman</v>
      </c>
      <c r="AG56" s="120">
        <f>IFERROR(VLOOKUP(Table1[RespondentID],'All Data'!$A$3:$CO$999,88,FALSE),"unknown")</f>
        <v>44</v>
      </c>
      <c r="AH56" s="120" t="str">
        <f>IFERROR(VLOOKUP(Table1[RespondentID],'All Data'!$A$3:$CO$999,89,FALSE),"unknown")</f>
        <v>Suffolk</v>
      </c>
      <c r="AI56" s="120" t="str">
        <f>IFERROR(VLOOKUP(Table1[RespondentID],'All Data'!$A$3:$CO$999,90,FALSE),"unknown")</f>
        <v>Huntington, 11743</v>
      </c>
      <c r="AJ56" s="120" t="str">
        <f>IFERROR(VLOOKUP(Table1[RespondentID],'All Data'!$A$3:$CO$999,91,FALSE),"unknown")</f>
        <v>Asian</v>
      </c>
      <c r="AK56" s="120" t="str">
        <f>IFERROR(VLOOKUP(Table1[RespondentID],'All Data'!$A$3:$CO$999,92,FALSE),"unknown")</f>
        <v>Not Hispanic or Latino</v>
      </c>
      <c r="AL56" s="120" t="str">
        <f>IFERROR(VLOOKUP(Table1[RespondentID],'All Data'!$A$3:$CO$999,93,FALSE),"unknown")</f>
        <v>Hindi</v>
      </c>
      <c r="AM56" s="120" t="str">
        <f>IFERROR(VLOOKUP(Table1[RespondentID],'All Data'!$A$3:$CW$999,94,FALSE),"unknown")</f>
        <v>$50,000 to $74,999</v>
      </c>
      <c r="AN56" s="120" t="str">
        <f>IFERROR(VLOOKUP(Table1[RespondentID],'All Data'!$A$3:$CW$999,95,FALSE),"unknown")</f>
        <v>College graduate</v>
      </c>
      <c r="AO56" s="120" t="str">
        <f>IFERROR(VLOOKUP(Table1[RespondentID],'All Data'!$A$3:$CW$999,96,FALSE),"unknown")</f>
        <v>Employed for wages</v>
      </c>
      <c r="AP56" s="120" t="str">
        <f>IFERROR(VLOOKUP(Table1[RespondentID],'All Data'!$A$3:$CW$999,97,FALSE),"unknown")</f>
        <v>Yes</v>
      </c>
      <c r="AQ56" s="120">
        <f>IFERROR(VLOOKUP(Table1[RespondentID],'All Data'!$A$3:$CW$999,98,FALSE),"unknown")</f>
        <v>0</v>
      </c>
      <c r="AR56" s="120">
        <f>IFERROR(VLOOKUP(Table1[RespondentID],'All Data'!$A$3:$CW$999,99,FALSE),"unknown")</f>
        <v>0</v>
      </c>
    </row>
    <row r="57" spans="1:44" ht="16">
      <c r="A57" s="5">
        <v>18025180456</v>
      </c>
      <c r="B57" s="5"/>
      <c r="C57" s="5"/>
      <c r="D57" s="5"/>
      <c r="E57" s="5"/>
      <c r="F57" s="5" t="s">
        <v>33</v>
      </c>
      <c r="G57" s="5"/>
      <c r="H57" s="5"/>
      <c r="I57" s="5" t="s">
        <v>36</v>
      </c>
      <c r="J57" s="5" t="s">
        <v>37</v>
      </c>
      <c r="K57" s="5"/>
      <c r="L57" s="9"/>
      <c r="M57" s="9">
        <f t="shared" si="0"/>
        <v>3</v>
      </c>
      <c r="N57" s="9">
        <f t="shared" si="1"/>
        <v>1</v>
      </c>
      <c r="O57" s="9"/>
      <c r="P57" s="9">
        <f t="shared" si="2"/>
        <v>0</v>
      </c>
      <c r="Q57" s="9">
        <f t="shared" si="3"/>
        <v>0</v>
      </c>
      <c r="R57" s="9">
        <f t="shared" si="4"/>
        <v>0</v>
      </c>
      <c r="S57" s="9">
        <f t="shared" si="5"/>
        <v>0</v>
      </c>
      <c r="T57" s="9">
        <f t="shared" si="6"/>
        <v>1</v>
      </c>
      <c r="U57" s="9">
        <f t="shared" si="7"/>
        <v>0</v>
      </c>
      <c r="V57" s="153">
        <f t="shared" si="8"/>
        <v>0</v>
      </c>
      <c r="W57" s="9">
        <f t="shared" si="9"/>
        <v>1</v>
      </c>
      <c r="X57" s="9">
        <f t="shared" si="10"/>
        <v>1</v>
      </c>
      <c r="Y57" s="9">
        <f t="shared" si="11"/>
        <v>0</v>
      </c>
      <c r="Z57" s="9"/>
      <c r="AA57" s="9"/>
      <c r="AB57" s="9">
        <f t="shared" si="14"/>
        <v>3</v>
      </c>
      <c r="AC57" s="9">
        <f t="shared" si="12"/>
        <v>3</v>
      </c>
      <c r="AD57" s="9" t="str">
        <f t="shared" si="13"/>
        <v>Correct</v>
      </c>
      <c r="AE57" s="9"/>
      <c r="AF57" s="120" t="str">
        <f>IFERROR(VLOOKUP(Table1[RespondentID],'All Data'!$A$3:$CO$999,87,FALSE),"unknown")</f>
        <v>Man</v>
      </c>
      <c r="AG57" s="120">
        <f>IFERROR(VLOOKUP(Table1[RespondentID],'All Data'!$A$3:$CO$999,88,FALSE),"unknown")</f>
        <v>65</v>
      </c>
      <c r="AH57" s="120" t="str">
        <f>IFERROR(VLOOKUP(Table1[RespondentID],'All Data'!$A$3:$CO$999,89,FALSE),"unknown")</f>
        <v>Suffolk</v>
      </c>
      <c r="AI57" s="120" t="str">
        <f>IFERROR(VLOOKUP(Table1[RespondentID],'All Data'!$A$3:$CO$999,90,FALSE),"unknown")</f>
        <v>Huntington, 11743</v>
      </c>
      <c r="AJ57" s="120" t="str">
        <f>IFERROR(VLOOKUP(Table1[RespondentID],'All Data'!$A$3:$CO$999,91,FALSE),"unknown")</f>
        <v>Asian</v>
      </c>
      <c r="AK57" s="120" t="str">
        <f>IFERROR(VLOOKUP(Table1[RespondentID],'All Data'!$A$3:$CO$999,92,FALSE),"unknown")</f>
        <v>Not Hispanic or Latino</v>
      </c>
      <c r="AL57" s="120" t="str">
        <f>IFERROR(VLOOKUP(Table1[RespondentID],'All Data'!$A$3:$CO$999,93,FALSE),"unknown")</f>
        <v>Hindi</v>
      </c>
      <c r="AM57" s="120" t="str">
        <f>IFERROR(VLOOKUP(Table1[RespondentID],'All Data'!$A$3:$CW$999,94,FALSE),"unknown")</f>
        <v>$50,000 to $74,999</v>
      </c>
      <c r="AN57" s="120" t="str">
        <f>IFERROR(VLOOKUP(Table1[RespondentID],'All Data'!$A$3:$CW$999,95,FALSE),"unknown")</f>
        <v>Some high school</v>
      </c>
      <c r="AO57" s="120" t="str">
        <f>IFERROR(VLOOKUP(Table1[RespondentID],'All Data'!$A$3:$CW$999,96,FALSE),"unknown")</f>
        <v>Self-employed</v>
      </c>
      <c r="AP57" s="120" t="str">
        <f>IFERROR(VLOOKUP(Table1[RespondentID],'All Data'!$A$3:$CW$999,97,FALSE),"unknown")</f>
        <v>Yes</v>
      </c>
      <c r="AQ57" s="120">
        <f>IFERROR(VLOOKUP(Table1[RespondentID],'All Data'!$A$3:$CW$999,98,FALSE),"unknown")</f>
        <v>0</v>
      </c>
      <c r="AR57" s="120">
        <f>IFERROR(VLOOKUP(Table1[RespondentID],'All Data'!$A$3:$CW$999,99,FALSE),"unknown")</f>
        <v>0</v>
      </c>
    </row>
    <row r="58" spans="1:44" ht="16">
      <c r="A58" s="5">
        <v>18025180354</v>
      </c>
      <c r="B58" s="5"/>
      <c r="C58" s="5"/>
      <c r="D58" s="5" t="s">
        <v>31</v>
      </c>
      <c r="E58" s="5"/>
      <c r="F58" s="5"/>
      <c r="G58" s="5"/>
      <c r="H58" s="5"/>
      <c r="I58" s="5" t="s">
        <v>36</v>
      </c>
      <c r="J58" s="5"/>
      <c r="K58" s="5" t="s">
        <v>375</v>
      </c>
      <c r="L58" s="8"/>
      <c r="M58" s="8">
        <f t="shared" si="0"/>
        <v>3</v>
      </c>
      <c r="N58" s="8">
        <f t="shared" si="1"/>
        <v>1</v>
      </c>
      <c r="O58" s="8"/>
      <c r="P58" s="8">
        <f t="shared" si="2"/>
        <v>0</v>
      </c>
      <c r="Q58" s="8">
        <f t="shared" si="3"/>
        <v>0</v>
      </c>
      <c r="R58" s="8">
        <f t="shared" si="4"/>
        <v>1</v>
      </c>
      <c r="S58" s="8">
        <f t="shared" si="5"/>
        <v>0</v>
      </c>
      <c r="T58" s="8">
        <f t="shared" si="6"/>
        <v>0</v>
      </c>
      <c r="U58" s="8">
        <f t="shared" si="7"/>
        <v>0</v>
      </c>
      <c r="V58" s="153">
        <f t="shared" si="8"/>
        <v>0</v>
      </c>
      <c r="W58" s="8">
        <f t="shared" si="9"/>
        <v>1</v>
      </c>
      <c r="X58" s="8">
        <f t="shared" si="10"/>
        <v>0</v>
      </c>
      <c r="Y58" s="8">
        <f t="shared" si="11"/>
        <v>1</v>
      </c>
      <c r="Z58" s="8"/>
      <c r="AA58" s="8"/>
      <c r="AB58" s="8">
        <f t="shared" si="14"/>
        <v>3</v>
      </c>
      <c r="AC58" s="8">
        <f t="shared" si="12"/>
        <v>3</v>
      </c>
      <c r="AD58" s="8" t="str">
        <f t="shared" si="13"/>
        <v>Correct</v>
      </c>
      <c r="AE58" s="8"/>
      <c r="AF58" s="120" t="str">
        <f>IFERROR(VLOOKUP(Table1[RespondentID],'All Data'!$A$3:$CO$999,87,FALSE),"unknown")</f>
        <v>Man</v>
      </c>
      <c r="AG58" s="120">
        <f>IFERROR(VLOOKUP(Table1[RespondentID],'All Data'!$A$3:$CO$999,88,FALSE),"unknown")</f>
        <v>18</v>
      </c>
      <c r="AH58" s="120" t="str">
        <f>IFERROR(VLOOKUP(Table1[RespondentID],'All Data'!$A$3:$CO$999,89,FALSE),"unknown")</f>
        <v>Suffolk</v>
      </c>
      <c r="AI58" s="120" t="str">
        <f>IFERROR(VLOOKUP(Table1[RespondentID],'All Data'!$A$3:$CO$999,90,FALSE),"unknown")</f>
        <v>Huntington, 11743</v>
      </c>
      <c r="AJ58" s="120" t="str">
        <f>IFERROR(VLOOKUP(Table1[RespondentID],'All Data'!$A$3:$CO$999,91,FALSE),"unknown")</f>
        <v>White</v>
      </c>
      <c r="AK58" s="120" t="str">
        <f>IFERROR(VLOOKUP(Table1[RespondentID],'All Data'!$A$3:$CO$999,92,FALSE),"unknown")</f>
        <v>Not Hispanic or Latino</v>
      </c>
      <c r="AL58" s="120" t="str">
        <f>IFERROR(VLOOKUP(Table1[RespondentID],'All Data'!$A$3:$CO$999,93,FALSE),"unknown")</f>
        <v>English</v>
      </c>
      <c r="AM58" s="120" t="str">
        <f>IFERROR(VLOOKUP(Table1[RespondentID],'All Data'!$A$3:$CW$999,94,FALSE),"unknown")</f>
        <v>$75,000 to $125,000</v>
      </c>
      <c r="AN58" s="120" t="str">
        <f>IFERROR(VLOOKUP(Table1[RespondentID],'All Data'!$A$3:$CW$999,95,FALSE),"unknown")</f>
        <v>High school graduate</v>
      </c>
      <c r="AO58" s="120" t="str">
        <f>IFERROR(VLOOKUP(Table1[RespondentID],'All Data'!$A$3:$CW$999,96,FALSE),"unknown")</f>
        <v>Employed for wages</v>
      </c>
      <c r="AP58" s="120" t="str">
        <f>IFERROR(VLOOKUP(Table1[RespondentID],'All Data'!$A$3:$CW$999,97,FALSE),"unknown")</f>
        <v>Yes</v>
      </c>
      <c r="AQ58" s="120">
        <f>IFERROR(VLOOKUP(Table1[RespondentID],'All Data'!$A$3:$CW$999,98,FALSE),"unknown")</f>
        <v>0</v>
      </c>
      <c r="AR58" s="120">
        <f>IFERROR(VLOOKUP(Table1[RespondentID],'All Data'!$A$3:$CW$999,99,FALSE),"unknown")</f>
        <v>0</v>
      </c>
    </row>
    <row r="59" spans="1:44" ht="16">
      <c r="A59" s="5">
        <v>18025180228</v>
      </c>
      <c r="B59" s="5"/>
      <c r="C59" s="5"/>
      <c r="D59" s="5"/>
      <c r="E59" s="5"/>
      <c r="F59" s="5"/>
      <c r="G59" s="5"/>
      <c r="H59" s="5" t="s">
        <v>35</v>
      </c>
      <c r="I59" s="5" t="s">
        <v>36</v>
      </c>
      <c r="J59" s="5"/>
      <c r="K59" s="5" t="s">
        <v>375</v>
      </c>
      <c r="L59" s="9"/>
      <c r="M59" s="9">
        <f t="shared" si="0"/>
        <v>3</v>
      </c>
      <c r="N59" s="9">
        <f t="shared" si="1"/>
        <v>1</v>
      </c>
      <c r="O59" s="9"/>
      <c r="P59" s="9">
        <f t="shared" si="2"/>
        <v>0</v>
      </c>
      <c r="Q59" s="9">
        <f t="shared" si="3"/>
        <v>0</v>
      </c>
      <c r="R59" s="9">
        <f t="shared" si="4"/>
        <v>0</v>
      </c>
      <c r="S59" s="9">
        <f t="shared" si="5"/>
        <v>0</v>
      </c>
      <c r="T59" s="9">
        <f t="shared" si="6"/>
        <v>0</v>
      </c>
      <c r="U59" s="9">
        <f t="shared" si="7"/>
        <v>0</v>
      </c>
      <c r="V59" s="153">
        <f t="shared" si="8"/>
        <v>1</v>
      </c>
      <c r="W59" s="9">
        <f t="shared" si="9"/>
        <v>1</v>
      </c>
      <c r="X59" s="9">
        <f t="shared" si="10"/>
        <v>0</v>
      </c>
      <c r="Y59" s="9">
        <f t="shared" si="11"/>
        <v>1</v>
      </c>
      <c r="Z59" s="9"/>
      <c r="AA59" s="9"/>
      <c r="AB59" s="9">
        <f t="shared" si="14"/>
        <v>3</v>
      </c>
      <c r="AC59" s="9">
        <f t="shared" si="12"/>
        <v>3</v>
      </c>
      <c r="AD59" s="9" t="str">
        <f t="shared" si="13"/>
        <v>Correct</v>
      </c>
      <c r="AE59" s="9"/>
      <c r="AF59" s="120" t="str">
        <f>IFERROR(VLOOKUP(Table1[RespondentID],'All Data'!$A$3:$CO$999,87,FALSE),"unknown")</f>
        <v>Woman</v>
      </c>
      <c r="AG59" s="120">
        <f>IFERROR(VLOOKUP(Table1[RespondentID],'All Data'!$A$3:$CO$999,88,FALSE),"unknown")</f>
        <v>18</v>
      </c>
      <c r="AH59" s="120" t="str">
        <f>IFERROR(VLOOKUP(Table1[RespondentID],'All Data'!$A$3:$CO$999,89,FALSE),"unknown")</f>
        <v>Suffolk</v>
      </c>
      <c r="AI59" s="120" t="str">
        <f>IFERROR(VLOOKUP(Table1[RespondentID],'All Data'!$A$3:$CO$999,90,FALSE),"unknown")</f>
        <v>Centerport, 11721</v>
      </c>
      <c r="AJ59" s="120" t="str">
        <f>IFERROR(VLOOKUP(Table1[RespondentID],'All Data'!$A$3:$CO$999,91,FALSE),"unknown")</f>
        <v>White</v>
      </c>
      <c r="AK59" s="120" t="str">
        <f>IFERROR(VLOOKUP(Table1[RespondentID],'All Data'!$A$3:$CO$999,92,FALSE),"unknown")</f>
        <v>Not Hispanic or Latino</v>
      </c>
      <c r="AL59" s="120" t="str">
        <f>IFERROR(VLOOKUP(Table1[RespondentID],'All Data'!$A$3:$CO$999,93,FALSE),"unknown")</f>
        <v>English</v>
      </c>
      <c r="AM59" s="120" t="str">
        <f>IFERROR(VLOOKUP(Table1[RespondentID],'All Data'!$A$3:$CW$999,94,FALSE),"unknown")</f>
        <v>$75,000 to $125,000</v>
      </c>
      <c r="AN59" s="120" t="str">
        <f>IFERROR(VLOOKUP(Table1[RespondentID],'All Data'!$A$3:$CW$999,95,FALSE),"unknown")</f>
        <v>High school graduate</v>
      </c>
      <c r="AO59" s="120" t="str">
        <f>IFERROR(VLOOKUP(Table1[RespondentID],'All Data'!$A$3:$CW$999,96,FALSE),"unknown")</f>
        <v>Student</v>
      </c>
      <c r="AP59" s="120" t="str">
        <f>IFERROR(VLOOKUP(Table1[RespondentID],'All Data'!$A$3:$CW$999,97,FALSE),"unknown")</f>
        <v>Yes</v>
      </c>
      <c r="AQ59" s="120">
        <f>IFERROR(VLOOKUP(Table1[RespondentID],'All Data'!$A$3:$CW$999,98,FALSE),"unknown")</f>
        <v>0</v>
      </c>
      <c r="AR59" s="120">
        <f>IFERROR(VLOOKUP(Table1[RespondentID],'All Data'!$A$3:$CW$999,99,FALSE),"unknown")</f>
        <v>0</v>
      </c>
    </row>
    <row r="60" spans="1:44" ht="16">
      <c r="A60" s="5">
        <v>18025180094</v>
      </c>
      <c r="B60" s="5"/>
      <c r="C60" s="5"/>
      <c r="D60" s="5" t="s">
        <v>31</v>
      </c>
      <c r="E60" s="5"/>
      <c r="F60" s="5" t="s">
        <v>33</v>
      </c>
      <c r="G60" s="5"/>
      <c r="H60" s="5"/>
      <c r="I60" s="5"/>
      <c r="J60" s="5"/>
      <c r="K60" s="5" t="s">
        <v>375</v>
      </c>
      <c r="L60" s="8"/>
      <c r="M60" s="8">
        <f t="shared" si="0"/>
        <v>3</v>
      </c>
      <c r="N60" s="8">
        <f t="shared" si="1"/>
        <v>1</v>
      </c>
      <c r="O60" s="8"/>
      <c r="P60" s="8">
        <f t="shared" si="2"/>
        <v>0</v>
      </c>
      <c r="Q60" s="8">
        <f t="shared" si="3"/>
        <v>0</v>
      </c>
      <c r="R60" s="8">
        <f t="shared" si="4"/>
        <v>1</v>
      </c>
      <c r="S60" s="8">
        <f t="shared" si="5"/>
        <v>0</v>
      </c>
      <c r="T60" s="8">
        <f t="shared" si="6"/>
        <v>1</v>
      </c>
      <c r="U60" s="8">
        <f t="shared" si="7"/>
        <v>0</v>
      </c>
      <c r="V60" s="153">
        <f t="shared" si="8"/>
        <v>0</v>
      </c>
      <c r="W60" s="8">
        <f t="shared" si="9"/>
        <v>0</v>
      </c>
      <c r="X60" s="8">
        <f t="shared" si="10"/>
        <v>0</v>
      </c>
      <c r="Y60" s="8">
        <f t="shared" si="11"/>
        <v>1</v>
      </c>
      <c r="Z60" s="8"/>
      <c r="AA60" s="8"/>
      <c r="AB60" s="8">
        <f t="shared" si="14"/>
        <v>3</v>
      </c>
      <c r="AC60" s="8">
        <f t="shared" si="12"/>
        <v>3</v>
      </c>
      <c r="AD60" s="8" t="str">
        <f t="shared" si="13"/>
        <v>Correct</v>
      </c>
      <c r="AE60" s="8"/>
      <c r="AF60" s="120" t="str">
        <f>IFERROR(VLOOKUP(Table1[RespondentID],'All Data'!$A$3:$CO$999,87,FALSE),"unknown")</f>
        <v>Woman</v>
      </c>
      <c r="AG60" s="120">
        <f>IFERROR(VLOOKUP(Table1[RespondentID],'All Data'!$A$3:$CO$999,88,FALSE),"unknown")</f>
        <v>46</v>
      </c>
      <c r="AH60" s="120" t="str">
        <f>IFERROR(VLOOKUP(Table1[RespondentID],'All Data'!$A$3:$CO$999,89,FALSE),"unknown")</f>
        <v>Suffolk</v>
      </c>
      <c r="AI60" s="120" t="str">
        <f>IFERROR(VLOOKUP(Table1[RespondentID],'All Data'!$A$3:$CO$999,90,FALSE),"unknown")</f>
        <v>Brightwaters, 11718</v>
      </c>
      <c r="AJ60" s="120" t="str">
        <f>IFERROR(VLOOKUP(Table1[RespondentID],'All Data'!$A$3:$CO$999,91,FALSE),"unknown")</f>
        <v>White</v>
      </c>
      <c r="AK60" s="120" t="str">
        <f>IFERROR(VLOOKUP(Table1[RespondentID],'All Data'!$A$3:$CO$999,92,FALSE),"unknown")</f>
        <v>Not Hispanic or Latino</v>
      </c>
      <c r="AL60" s="120" t="str">
        <f>IFERROR(VLOOKUP(Table1[RespondentID],'All Data'!$A$3:$CO$999,93,FALSE),"unknown")</f>
        <v>English</v>
      </c>
      <c r="AM60" s="120" t="str">
        <f>IFERROR(VLOOKUP(Table1[RespondentID],'All Data'!$A$3:$CW$999,94,FALSE),"unknown")</f>
        <v>$75,000 to $125,000</v>
      </c>
      <c r="AN60" s="120" t="str">
        <f>IFERROR(VLOOKUP(Table1[RespondentID],'All Data'!$A$3:$CW$999,95,FALSE),"unknown")</f>
        <v>Graduate school</v>
      </c>
      <c r="AO60" s="120" t="str">
        <f>IFERROR(VLOOKUP(Table1[RespondentID],'All Data'!$A$3:$CW$999,96,FALSE),"unknown")</f>
        <v>Employed for wages</v>
      </c>
      <c r="AP60" s="120" t="str">
        <f>IFERROR(VLOOKUP(Table1[RespondentID],'All Data'!$A$3:$CW$999,97,FALSE),"unknown")</f>
        <v>Yes</v>
      </c>
      <c r="AQ60" s="120">
        <f>IFERROR(VLOOKUP(Table1[RespondentID],'All Data'!$A$3:$CW$999,98,FALSE),"unknown")</f>
        <v>0</v>
      </c>
      <c r="AR60" s="120">
        <f>IFERROR(VLOOKUP(Table1[RespondentID],'All Data'!$A$3:$CW$999,99,FALSE),"unknown")</f>
        <v>0</v>
      </c>
    </row>
    <row r="61" spans="1:44" ht="16">
      <c r="A61" s="5">
        <v>18025179894</v>
      </c>
      <c r="B61" s="5" t="s">
        <v>29</v>
      </c>
      <c r="C61" s="5"/>
      <c r="D61" s="5" t="s">
        <v>31</v>
      </c>
      <c r="E61" s="5"/>
      <c r="F61" s="5"/>
      <c r="G61" s="5"/>
      <c r="H61" s="5"/>
      <c r="I61" s="5"/>
      <c r="J61" s="5"/>
      <c r="K61" s="5" t="s">
        <v>375</v>
      </c>
      <c r="L61" s="9"/>
      <c r="M61" s="9">
        <f t="shared" si="0"/>
        <v>3</v>
      </c>
      <c r="N61" s="9">
        <f t="shared" si="1"/>
        <v>1</v>
      </c>
      <c r="O61" s="9"/>
      <c r="P61" s="9">
        <f t="shared" si="2"/>
        <v>1</v>
      </c>
      <c r="Q61" s="9">
        <f t="shared" si="3"/>
        <v>0</v>
      </c>
      <c r="R61" s="9">
        <f t="shared" si="4"/>
        <v>1</v>
      </c>
      <c r="S61" s="9">
        <f t="shared" si="5"/>
        <v>0</v>
      </c>
      <c r="T61" s="9">
        <f t="shared" si="6"/>
        <v>0</v>
      </c>
      <c r="U61" s="9">
        <f t="shared" si="7"/>
        <v>0</v>
      </c>
      <c r="V61" s="153">
        <f t="shared" si="8"/>
        <v>0</v>
      </c>
      <c r="W61" s="9">
        <f t="shared" si="9"/>
        <v>0</v>
      </c>
      <c r="X61" s="9">
        <f t="shared" si="10"/>
        <v>0</v>
      </c>
      <c r="Y61" s="9">
        <f t="shared" si="11"/>
        <v>1</v>
      </c>
      <c r="Z61" s="9"/>
      <c r="AA61" s="9"/>
      <c r="AB61" s="9">
        <f t="shared" si="14"/>
        <v>3</v>
      </c>
      <c r="AC61" s="9">
        <f t="shared" si="12"/>
        <v>3</v>
      </c>
      <c r="AD61" s="9" t="str">
        <f t="shared" si="13"/>
        <v>Correct</v>
      </c>
      <c r="AE61" s="9"/>
      <c r="AF61" s="120" t="str">
        <f>IFERROR(VLOOKUP(Table1[RespondentID],'All Data'!$A$3:$CO$999,87,FALSE),"unknown")</f>
        <v>Man</v>
      </c>
      <c r="AG61" s="120">
        <f>IFERROR(VLOOKUP(Table1[RespondentID],'All Data'!$A$3:$CO$999,88,FALSE),"unknown")</f>
        <v>18</v>
      </c>
      <c r="AH61" s="120" t="str">
        <f>IFERROR(VLOOKUP(Table1[RespondentID],'All Data'!$A$3:$CO$999,89,FALSE),"unknown")</f>
        <v>Suffolk</v>
      </c>
      <c r="AI61" s="120" t="str">
        <f>IFERROR(VLOOKUP(Table1[RespondentID],'All Data'!$A$3:$CO$999,90,FALSE),"unknown")</f>
        <v>Centerport, 11721</v>
      </c>
      <c r="AJ61" s="120" t="str">
        <f>IFERROR(VLOOKUP(Table1[RespondentID],'All Data'!$A$3:$CO$999,91,FALSE),"unknown")</f>
        <v>White</v>
      </c>
      <c r="AK61" s="120" t="str">
        <f>IFERROR(VLOOKUP(Table1[RespondentID],'All Data'!$A$3:$CO$999,92,FALSE),"unknown")</f>
        <v>Not Hispanic or Latino</v>
      </c>
      <c r="AL61" s="120" t="str">
        <f>IFERROR(VLOOKUP(Table1[RespondentID],'All Data'!$A$3:$CO$999,93,FALSE),"unknown")</f>
        <v>English</v>
      </c>
      <c r="AM61" s="120" t="str">
        <f>IFERROR(VLOOKUP(Table1[RespondentID],'All Data'!$A$3:$CW$999,94,FALSE),"unknown")</f>
        <v>Over $125,000</v>
      </c>
      <c r="AN61" s="120" t="str">
        <f>IFERROR(VLOOKUP(Table1[RespondentID],'All Data'!$A$3:$CW$999,95,FALSE),"unknown")</f>
        <v>High school graduate</v>
      </c>
      <c r="AO61" s="120" t="str">
        <f>IFERROR(VLOOKUP(Table1[RespondentID],'All Data'!$A$3:$CW$999,96,FALSE),"unknown")</f>
        <v>Student</v>
      </c>
      <c r="AP61" s="120" t="str">
        <f>IFERROR(VLOOKUP(Table1[RespondentID],'All Data'!$A$3:$CW$999,97,FALSE),"unknown")</f>
        <v>Yes</v>
      </c>
      <c r="AQ61" s="120">
        <f>IFERROR(VLOOKUP(Table1[RespondentID],'All Data'!$A$3:$CW$999,98,FALSE),"unknown")</f>
        <v>0</v>
      </c>
      <c r="AR61" s="120">
        <f>IFERROR(VLOOKUP(Table1[RespondentID],'All Data'!$A$3:$CW$999,99,FALSE),"unknown")</f>
        <v>0</v>
      </c>
    </row>
    <row r="62" spans="1:44" ht="16">
      <c r="A62" s="5">
        <v>18025179745</v>
      </c>
      <c r="B62" s="5"/>
      <c r="C62" s="5"/>
      <c r="D62" s="5"/>
      <c r="E62" s="5"/>
      <c r="F62" s="5" t="s">
        <v>33</v>
      </c>
      <c r="G62" s="5"/>
      <c r="H62" s="5"/>
      <c r="I62" s="5" t="s">
        <v>36</v>
      </c>
      <c r="J62" s="5" t="s">
        <v>37</v>
      </c>
      <c r="K62" s="5"/>
      <c r="L62" s="8"/>
      <c r="M62" s="8">
        <f t="shared" si="0"/>
        <v>3</v>
      </c>
      <c r="N62" s="8">
        <f t="shared" si="1"/>
        <v>1</v>
      </c>
      <c r="O62" s="8"/>
      <c r="P62" s="8">
        <f t="shared" si="2"/>
        <v>0</v>
      </c>
      <c r="Q62" s="8">
        <f t="shared" si="3"/>
        <v>0</v>
      </c>
      <c r="R62" s="8">
        <f t="shared" si="4"/>
        <v>0</v>
      </c>
      <c r="S62" s="8">
        <f t="shared" si="5"/>
        <v>0</v>
      </c>
      <c r="T62" s="8">
        <f t="shared" si="6"/>
        <v>1</v>
      </c>
      <c r="U62" s="8">
        <f t="shared" si="7"/>
        <v>0</v>
      </c>
      <c r="V62" s="153">
        <f t="shared" si="8"/>
        <v>0</v>
      </c>
      <c r="W62" s="8">
        <f t="shared" si="9"/>
        <v>1</v>
      </c>
      <c r="X62" s="8">
        <f t="shared" si="10"/>
        <v>1</v>
      </c>
      <c r="Y62" s="8">
        <f t="shared" si="11"/>
        <v>0</v>
      </c>
      <c r="Z62" s="8"/>
      <c r="AA62" s="8"/>
      <c r="AB62" s="8">
        <f t="shared" si="14"/>
        <v>3</v>
      </c>
      <c r="AC62" s="8">
        <f t="shared" si="12"/>
        <v>3</v>
      </c>
      <c r="AD62" s="8" t="str">
        <f t="shared" si="13"/>
        <v>Correct</v>
      </c>
      <c r="AE62" s="8"/>
      <c r="AF62" s="120" t="str">
        <f>IFERROR(VLOOKUP(Table1[RespondentID],'All Data'!$A$3:$CO$999,87,FALSE),"unknown")</f>
        <v>Man</v>
      </c>
      <c r="AG62" s="120">
        <f>IFERROR(VLOOKUP(Table1[RespondentID],'All Data'!$A$3:$CO$999,88,FALSE),"unknown")</f>
        <v>39</v>
      </c>
      <c r="AH62" s="120" t="str">
        <f>IFERROR(VLOOKUP(Table1[RespondentID],'All Data'!$A$3:$CO$999,89,FALSE),"unknown")</f>
        <v>Suffolk</v>
      </c>
      <c r="AI62" s="120" t="str">
        <f>IFERROR(VLOOKUP(Table1[RespondentID],'All Data'!$A$3:$CO$999,90,FALSE),"unknown")</f>
        <v>Northport, 11768</v>
      </c>
      <c r="AJ62" s="120" t="str">
        <f>IFERROR(VLOOKUP(Table1[RespondentID],'All Data'!$A$3:$CO$999,91,FALSE),"unknown")</f>
        <v>White</v>
      </c>
      <c r="AK62" s="120" t="str">
        <f>IFERROR(VLOOKUP(Table1[RespondentID],'All Data'!$A$3:$CO$999,92,FALSE),"unknown")</f>
        <v>Not Hispanic or Latino</v>
      </c>
      <c r="AL62" s="120" t="str">
        <f>IFERROR(VLOOKUP(Table1[RespondentID],'All Data'!$A$3:$CO$999,93,FALSE),"unknown")</f>
        <v>English</v>
      </c>
      <c r="AM62" s="120" t="str">
        <f>IFERROR(VLOOKUP(Table1[RespondentID],'All Data'!$A$3:$CW$999,94,FALSE),"unknown")</f>
        <v>Over $125,000</v>
      </c>
      <c r="AN62" s="120" t="str">
        <f>IFERROR(VLOOKUP(Table1[RespondentID],'All Data'!$A$3:$CW$999,95,FALSE),"unknown")</f>
        <v>Graduate school</v>
      </c>
      <c r="AO62" s="120" t="str">
        <f>IFERROR(VLOOKUP(Table1[RespondentID],'All Data'!$A$3:$CW$999,96,FALSE),"unknown")</f>
        <v>Employed for wages</v>
      </c>
      <c r="AP62" s="120" t="str">
        <f>IFERROR(VLOOKUP(Table1[RespondentID],'All Data'!$A$3:$CW$999,97,FALSE),"unknown")</f>
        <v>Yes</v>
      </c>
      <c r="AQ62" s="120">
        <f>IFERROR(VLOOKUP(Table1[RespondentID],'All Data'!$A$3:$CW$999,98,FALSE),"unknown")</f>
        <v>0</v>
      </c>
      <c r="AR62" s="120">
        <f>IFERROR(VLOOKUP(Table1[RespondentID],'All Data'!$A$3:$CW$999,99,FALSE),"unknown")</f>
        <v>0</v>
      </c>
    </row>
    <row r="63" spans="1:44" ht="16">
      <c r="A63" s="5">
        <v>18025179616</v>
      </c>
      <c r="B63" s="5"/>
      <c r="C63" s="5"/>
      <c r="D63" s="5"/>
      <c r="E63" s="5"/>
      <c r="F63" s="5" t="s">
        <v>33</v>
      </c>
      <c r="G63" s="5"/>
      <c r="H63" s="5"/>
      <c r="I63" s="5" t="s">
        <v>36</v>
      </c>
      <c r="J63" s="5" t="s">
        <v>37</v>
      </c>
      <c r="K63" s="5"/>
      <c r="L63" s="9"/>
      <c r="M63" s="9">
        <f t="shared" si="0"/>
        <v>3</v>
      </c>
      <c r="N63" s="9">
        <f t="shared" si="1"/>
        <v>1</v>
      </c>
      <c r="O63" s="9"/>
      <c r="P63" s="9">
        <f t="shared" si="2"/>
        <v>0</v>
      </c>
      <c r="Q63" s="9">
        <f t="shared" si="3"/>
        <v>0</v>
      </c>
      <c r="R63" s="9">
        <f t="shared" si="4"/>
        <v>0</v>
      </c>
      <c r="S63" s="9">
        <f t="shared" si="5"/>
        <v>0</v>
      </c>
      <c r="T63" s="9">
        <f t="shared" si="6"/>
        <v>1</v>
      </c>
      <c r="U63" s="9">
        <f t="shared" si="7"/>
        <v>0</v>
      </c>
      <c r="V63" s="153">
        <f t="shared" si="8"/>
        <v>0</v>
      </c>
      <c r="W63" s="9">
        <f t="shared" si="9"/>
        <v>1</v>
      </c>
      <c r="X63" s="9">
        <f t="shared" si="10"/>
        <v>1</v>
      </c>
      <c r="Y63" s="9">
        <f t="shared" si="11"/>
        <v>0</v>
      </c>
      <c r="Z63" s="9"/>
      <c r="AA63" s="9"/>
      <c r="AB63" s="9">
        <f t="shared" si="14"/>
        <v>3</v>
      </c>
      <c r="AC63" s="9">
        <f t="shared" si="12"/>
        <v>3</v>
      </c>
      <c r="AD63" s="9" t="str">
        <f t="shared" si="13"/>
        <v>Correct</v>
      </c>
      <c r="AE63" s="9"/>
      <c r="AF63" s="120" t="str">
        <f>IFERROR(VLOOKUP(Table1[RespondentID],'All Data'!$A$3:$CO$999,87,FALSE),"unknown")</f>
        <v>Woman</v>
      </c>
      <c r="AG63" s="120">
        <f>IFERROR(VLOOKUP(Table1[RespondentID],'All Data'!$A$3:$CO$999,88,FALSE),"unknown")</f>
        <v>40</v>
      </c>
      <c r="AH63" s="120" t="str">
        <f>IFERROR(VLOOKUP(Table1[RespondentID],'All Data'!$A$3:$CO$999,89,FALSE),"unknown")</f>
        <v>Suffolk</v>
      </c>
      <c r="AI63" s="120" t="str">
        <f>IFERROR(VLOOKUP(Table1[RespondentID],'All Data'!$A$3:$CO$999,90,FALSE),"unknown")</f>
        <v>South Huntington, 11746</v>
      </c>
      <c r="AJ63" s="120" t="str">
        <f>IFERROR(VLOOKUP(Table1[RespondentID],'All Data'!$A$3:$CO$999,91,FALSE),"unknown")</f>
        <v>Asian</v>
      </c>
      <c r="AK63" s="120" t="str">
        <f>IFERROR(VLOOKUP(Table1[RespondentID],'All Data'!$A$3:$CO$999,92,FALSE),"unknown")</f>
        <v>Not Hispanic or Latino</v>
      </c>
      <c r="AL63" s="120" t="str">
        <f>IFERROR(VLOOKUP(Table1[RespondentID],'All Data'!$A$3:$CO$999,93,FALSE),"unknown")</f>
        <v>English, Hindi</v>
      </c>
      <c r="AM63" s="120" t="str">
        <f>IFERROR(VLOOKUP(Table1[RespondentID],'All Data'!$A$3:$CW$999,94,FALSE),"unknown")</f>
        <v>$75,000 to $125,000</v>
      </c>
      <c r="AN63" s="120" t="str">
        <f>IFERROR(VLOOKUP(Table1[RespondentID],'All Data'!$A$3:$CW$999,95,FALSE),"unknown")</f>
        <v>College graduate</v>
      </c>
      <c r="AO63" s="120" t="str">
        <f>IFERROR(VLOOKUP(Table1[RespondentID],'All Data'!$A$3:$CW$999,96,FALSE),"unknown")</f>
        <v>Employed for wages</v>
      </c>
      <c r="AP63" s="120" t="str">
        <f>IFERROR(VLOOKUP(Table1[RespondentID],'All Data'!$A$3:$CW$999,97,FALSE),"unknown")</f>
        <v>Yes</v>
      </c>
      <c r="AQ63" s="120">
        <f>IFERROR(VLOOKUP(Table1[RespondentID],'All Data'!$A$3:$CW$999,98,FALSE),"unknown")</f>
        <v>0</v>
      </c>
      <c r="AR63" s="120">
        <f>IFERROR(VLOOKUP(Table1[RespondentID],'All Data'!$A$3:$CW$999,99,FALSE),"unknown")</f>
        <v>0</v>
      </c>
    </row>
    <row r="64" spans="1:44" ht="16">
      <c r="A64" s="5">
        <v>18025179232</v>
      </c>
      <c r="B64" s="5"/>
      <c r="C64" s="5"/>
      <c r="D64" s="5"/>
      <c r="E64" s="5"/>
      <c r="F64" s="5"/>
      <c r="G64" s="5"/>
      <c r="H64" s="5"/>
      <c r="I64" s="5" t="s">
        <v>36</v>
      </c>
      <c r="J64" s="5"/>
      <c r="K64" s="5"/>
      <c r="L64" s="8"/>
      <c r="M64" s="8">
        <f t="shared" si="0"/>
        <v>1</v>
      </c>
      <c r="N64" s="8">
        <f t="shared" si="1"/>
        <v>3</v>
      </c>
      <c r="O64" s="8"/>
      <c r="P64" s="8">
        <f t="shared" si="2"/>
        <v>0</v>
      </c>
      <c r="Q64" s="8">
        <f t="shared" si="3"/>
        <v>0</v>
      </c>
      <c r="R64" s="8">
        <f t="shared" si="4"/>
        <v>0</v>
      </c>
      <c r="S64" s="8">
        <f t="shared" si="5"/>
        <v>0</v>
      </c>
      <c r="T64" s="8">
        <f t="shared" si="6"/>
        <v>0</v>
      </c>
      <c r="U64" s="8">
        <f t="shared" si="7"/>
        <v>0</v>
      </c>
      <c r="V64" s="153">
        <f t="shared" si="8"/>
        <v>0</v>
      </c>
      <c r="W64" s="8">
        <f t="shared" si="9"/>
        <v>1</v>
      </c>
      <c r="X64" s="8">
        <f t="shared" si="10"/>
        <v>0</v>
      </c>
      <c r="Y64" s="8">
        <f t="shared" si="11"/>
        <v>0</v>
      </c>
      <c r="Z64" s="8"/>
      <c r="AA64" s="8"/>
      <c r="AB64" s="8">
        <f t="shared" si="14"/>
        <v>1</v>
      </c>
      <c r="AC64" s="8">
        <f t="shared" si="12"/>
        <v>1</v>
      </c>
      <c r="AD64" s="8" t="str">
        <f t="shared" si="13"/>
        <v>Correct</v>
      </c>
      <c r="AE64" s="8"/>
      <c r="AF64" s="120" t="str">
        <f>IFERROR(VLOOKUP(Table1[RespondentID],'All Data'!$A$3:$CO$999,87,FALSE),"unknown")</f>
        <v>Woman</v>
      </c>
      <c r="AG64" s="120">
        <f>IFERROR(VLOOKUP(Table1[RespondentID],'All Data'!$A$3:$CO$999,88,FALSE),"unknown")</f>
        <v>44</v>
      </c>
      <c r="AH64" s="120" t="str">
        <f>IFERROR(VLOOKUP(Table1[RespondentID],'All Data'!$A$3:$CO$999,89,FALSE),"unknown")</f>
        <v>Suffolk</v>
      </c>
      <c r="AI64" s="120" t="str">
        <f>IFERROR(VLOOKUP(Table1[RespondentID],'All Data'!$A$3:$CO$999,90,FALSE),"unknown")</f>
        <v>Deer Park, 11729</v>
      </c>
      <c r="AJ64" s="120" t="str">
        <f>IFERROR(VLOOKUP(Table1[RespondentID],'All Data'!$A$3:$CO$999,91,FALSE),"unknown")</f>
        <v>Asian</v>
      </c>
      <c r="AK64" s="120" t="str">
        <f>IFERROR(VLOOKUP(Table1[RespondentID],'All Data'!$A$3:$CO$999,92,FALSE),"unknown")</f>
        <v>Not Hispanic or Latino</v>
      </c>
      <c r="AL64" s="120" t="str">
        <f>IFERROR(VLOOKUP(Table1[RespondentID],'All Data'!$A$3:$CO$999,93,FALSE),"unknown")</f>
        <v>English, Farsi</v>
      </c>
      <c r="AM64" s="120" t="str">
        <f>IFERROR(VLOOKUP(Table1[RespondentID],'All Data'!$A$3:$CW$999,94,FALSE),"unknown")</f>
        <v>$75,000 to $125,000</v>
      </c>
      <c r="AN64" s="120" t="str">
        <f>IFERROR(VLOOKUP(Table1[RespondentID],'All Data'!$A$3:$CW$999,95,FALSE),"unknown")</f>
        <v>College graduate</v>
      </c>
      <c r="AO64" s="120" t="str">
        <f>IFERROR(VLOOKUP(Table1[RespondentID],'All Data'!$A$3:$CW$999,96,FALSE),"unknown")</f>
        <v>Self-employed</v>
      </c>
      <c r="AP64" s="120" t="str">
        <f>IFERROR(VLOOKUP(Table1[RespondentID],'All Data'!$A$3:$CW$999,97,FALSE),"unknown")</f>
        <v>Yes</v>
      </c>
      <c r="AQ64" s="120">
        <f>IFERROR(VLOOKUP(Table1[RespondentID],'All Data'!$A$3:$CW$999,98,FALSE),"unknown")</f>
        <v>0</v>
      </c>
      <c r="AR64" s="120">
        <f>IFERROR(VLOOKUP(Table1[RespondentID],'All Data'!$A$3:$CW$999,99,FALSE),"unknown")</f>
        <v>0</v>
      </c>
    </row>
    <row r="65" spans="1:44" ht="16">
      <c r="A65" s="5">
        <v>18025179113</v>
      </c>
      <c r="B65" s="5"/>
      <c r="C65" s="5"/>
      <c r="D65" s="5" t="s">
        <v>31</v>
      </c>
      <c r="E65" s="5"/>
      <c r="F65" s="5"/>
      <c r="G65" s="5"/>
      <c r="H65" s="5"/>
      <c r="I65" s="5"/>
      <c r="J65" s="5"/>
      <c r="K65" s="5"/>
      <c r="L65" s="9"/>
      <c r="M65" s="9">
        <f t="shared" si="0"/>
        <v>1</v>
      </c>
      <c r="N65" s="9">
        <f t="shared" si="1"/>
        <v>3</v>
      </c>
      <c r="O65" s="9"/>
      <c r="P65" s="9">
        <f t="shared" si="2"/>
        <v>0</v>
      </c>
      <c r="Q65" s="9">
        <f t="shared" si="3"/>
        <v>0</v>
      </c>
      <c r="R65" s="9">
        <f t="shared" si="4"/>
        <v>1</v>
      </c>
      <c r="S65" s="9">
        <f t="shared" si="5"/>
        <v>0</v>
      </c>
      <c r="T65" s="9">
        <f t="shared" si="6"/>
        <v>0</v>
      </c>
      <c r="U65" s="9">
        <f t="shared" si="7"/>
        <v>0</v>
      </c>
      <c r="V65" s="153">
        <f t="shared" si="8"/>
        <v>0</v>
      </c>
      <c r="W65" s="9">
        <f t="shared" si="9"/>
        <v>0</v>
      </c>
      <c r="X65" s="9">
        <f t="shared" si="10"/>
        <v>0</v>
      </c>
      <c r="Y65" s="9">
        <f t="shared" si="11"/>
        <v>0</v>
      </c>
      <c r="Z65" s="9"/>
      <c r="AA65" s="9"/>
      <c r="AB65" s="9">
        <f t="shared" si="14"/>
        <v>1</v>
      </c>
      <c r="AC65" s="9">
        <f t="shared" si="12"/>
        <v>1</v>
      </c>
      <c r="AD65" s="9" t="str">
        <f t="shared" si="13"/>
        <v>Correct</v>
      </c>
      <c r="AE65" s="9"/>
      <c r="AF65" s="120" t="str">
        <f>IFERROR(VLOOKUP(Table1[RespondentID],'All Data'!$A$3:$CO$999,87,FALSE),"unknown")</f>
        <v>Woman</v>
      </c>
      <c r="AG65" s="120">
        <f>IFERROR(VLOOKUP(Table1[RespondentID],'All Data'!$A$3:$CO$999,88,FALSE),"unknown")</f>
        <v>53</v>
      </c>
      <c r="AH65" s="120" t="str">
        <f>IFERROR(VLOOKUP(Table1[RespondentID],'All Data'!$A$3:$CO$999,89,FALSE),"unknown")</f>
        <v>Suffolk</v>
      </c>
      <c r="AI65" s="120" t="str">
        <f>IFERROR(VLOOKUP(Table1[RespondentID],'All Data'!$A$3:$CO$999,90,FALSE),"unknown")</f>
        <v>Kings Park, 11754</v>
      </c>
      <c r="AJ65" s="120" t="str">
        <f>IFERROR(VLOOKUP(Table1[RespondentID],'All Data'!$A$3:$CO$999,91,FALSE),"unknown")</f>
        <v>Asian</v>
      </c>
      <c r="AK65" s="120" t="str">
        <f>IFERROR(VLOOKUP(Table1[RespondentID],'All Data'!$A$3:$CO$999,92,FALSE),"unknown")</f>
        <v>Not Hispanic or Latino</v>
      </c>
      <c r="AL65" s="120" t="str">
        <f>IFERROR(VLOOKUP(Table1[RespondentID],'All Data'!$A$3:$CO$999,93,FALSE),"unknown")</f>
        <v>English</v>
      </c>
      <c r="AM65" s="120" t="str">
        <f>IFERROR(VLOOKUP(Table1[RespondentID],'All Data'!$A$3:$CW$999,94,FALSE),"unknown")</f>
        <v>$75,000 to $125,000</v>
      </c>
      <c r="AN65" s="120" t="str">
        <f>IFERROR(VLOOKUP(Table1[RespondentID],'All Data'!$A$3:$CW$999,95,FALSE),"unknown")</f>
        <v>High school graduate</v>
      </c>
      <c r="AO65" s="120" t="str">
        <f>IFERROR(VLOOKUP(Table1[RespondentID],'All Data'!$A$3:$CW$999,96,FALSE),"unknown")</f>
        <v>Out of work, but not currently looking</v>
      </c>
      <c r="AP65" s="120" t="str">
        <f>IFERROR(VLOOKUP(Table1[RespondentID],'All Data'!$A$3:$CW$999,97,FALSE),"unknown")</f>
        <v>Yes</v>
      </c>
      <c r="AQ65" s="120">
        <f>IFERROR(VLOOKUP(Table1[RespondentID],'All Data'!$A$3:$CW$999,98,FALSE),"unknown")</f>
        <v>0</v>
      </c>
      <c r="AR65" s="120">
        <f>IFERROR(VLOOKUP(Table1[RespondentID],'All Data'!$A$3:$CW$999,99,FALSE),"unknown")</f>
        <v>0</v>
      </c>
    </row>
    <row r="66" spans="1:44" ht="16">
      <c r="A66" s="5">
        <v>18025179000</v>
      </c>
      <c r="B66" s="5" t="s">
        <v>29</v>
      </c>
      <c r="C66" s="5"/>
      <c r="D66" s="5"/>
      <c r="E66" s="5"/>
      <c r="F66" s="5" t="s">
        <v>33</v>
      </c>
      <c r="G66" s="5"/>
      <c r="H66" s="5" t="s">
        <v>35</v>
      </c>
      <c r="I66" s="5" t="s">
        <v>36</v>
      </c>
      <c r="J66" s="5"/>
      <c r="K66" s="5"/>
      <c r="L66" s="8"/>
      <c r="M66" s="8">
        <f t="shared" ref="M66:M129" si="15">COUNTA(B66:L66)</f>
        <v>4</v>
      </c>
      <c r="N66" s="8">
        <f t="shared" ref="N66:N129" si="16">3/M66</f>
        <v>0.75</v>
      </c>
      <c r="O66" s="8"/>
      <c r="P66" s="8">
        <f t="shared" ref="P66:P129" si="17">IF($M66&lt;3,IF($B66=$B$1,1,0),IF($B66=$B$1,$N66,0))</f>
        <v>0.75</v>
      </c>
      <c r="Q66" s="8">
        <f t="shared" ref="Q66:Q129" si="18">IF($M66&lt;3,IF($C66=$C$1,1,0),IF($C66=$C$1,$N66,0))</f>
        <v>0</v>
      </c>
      <c r="R66" s="8">
        <f t="shared" ref="R66:R129" si="19">IF($M66&lt;3,IF($D66=$D$1,1,0),IF($D66=$D$1,$N66,0))</f>
        <v>0</v>
      </c>
      <c r="S66" s="8">
        <f t="shared" ref="S66:S129" si="20">IF($M66&lt;3,IF($E66=$E$1,1,0),IF($E66=$E$1,$N66,0))</f>
        <v>0</v>
      </c>
      <c r="T66" s="8">
        <f t="shared" ref="T66:T129" si="21">IF($M66&lt;3,IF($F66=$F$1,1,0),IF($F66=$F$1,$N66,0))</f>
        <v>0.75</v>
      </c>
      <c r="U66" s="8">
        <f t="shared" ref="U66:U129" si="22">IF($M66&lt;3,IF($G66=$G$1,1,0),IF($G66=$G$1,$N66,0))</f>
        <v>0</v>
      </c>
      <c r="V66" s="153">
        <f t="shared" ref="V66:V129" si="23">IF($M66&lt;3,IF($H66=$H$1,1,0),IF($H66=$H$1,$N66,0))</f>
        <v>0.75</v>
      </c>
      <c r="W66" s="8">
        <f t="shared" ref="W66:W129" si="24">IF($M66&lt;3,IF($I66=$I$1,1,0),IF($I66=$I$1,$N66,0))</f>
        <v>0.75</v>
      </c>
      <c r="X66" s="8">
        <f t="shared" ref="X66:X129" si="25">IF($M66&lt;3,IF($J66=$J$1,1,0),IF($J66=$J$1,$N66,0))</f>
        <v>0</v>
      </c>
      <c r="Y66" s="8">
        <f t="shared" ref="Y66:Y129" si="26">IF($M66&lt;3,IF($K66=$K$1,1,0),IF($K66=$K$1,$N66,0))</f>
        <v>0</v>
      </c>
      <c r="Z66" s="8"/>
      <c r="AA66" s="8"/>
      <c r="AB66" s="8">
        <f t="shared" si="14"/>
        <v>3</v>
      </c>
      <c r="AC66" s="8">
        <f t="shared" ref="AC66:AC129" si="27">M66</f>
        <v>4</v>
      </c>
      <c r="AD66" s="8" t="str">
        <f t="shared" ref="AD66:AD129" si="28">IF(AB66=AC66,"Correct",IF(AB66=3,"Correct","Wrong"))</f>
        <v>Correct</v>
      </c>
      <c r="AE66" s="8"/>
      <c r="AF66" s="120" t="str">
        <f>IFERROR(VLOOKUP(Table1[RespondentID],'All Data'!$A$3:$CO$999,87,FALSE),"unknown")</f>
        <v>Man</v>
      </c>
      <c r="AG66" s="120">
        <f>IFERROR(VLOOKUP(Table1[RespondentID],'All Data'!$A$3:$CO$999,88,FALSE),"unknown")</f>
        <v>0</v>
      </c>
      <c r="AH66" s="120" t="str">
        <f>IFERROR(VLOOKUP(Table1[RespondentID],'All Data'!$A$3:$CO$999,89,FALSE),"unknown")</f>
        <v>Suffolk</v>
      </c>
      <c r="AI66" s="120" t="str">
        <f>IFERROR(VLOOKUP(Table1[RespondentID],'All Data'!$A$3:$CO$999,90,FALSE),"unknown")</f>
        <v>East Northport, 11731</v>
      </c>
      <c r="AJ66" s="120" t="str">
        <f>IFERROR(VLOOKUP(Table1[RespondentID],'All Data'!$A$3:$CO$999,91,FALSE),"unknown")</f>
        <v>Asian</v>
      </c>
      <c r="AK66" s="120" t="str">
        <f>IFERROR(VLOOKUP(Table1[RespondentID],'All Data'!$A$3:$CO$999,92,FALSE),"unknown")</f>
        <v>Not Hispanic or Latino</v>
      </c>
      <c r="AL66" s="120" t="str">
        <f>IFERROR(VLOOKUP(Table1[RespondentID],'All Data'!$A$3:$CO$999,93,FALSE),"unknown")</f>
        <v>English</v>
      </c>
      <c r="AM66" s="120">
        <f>IFERROR(VLOOKUP(Table1[RespondentID],'All Data'!$A$3:$CW$999,94,FALSE),"unknown")</f>
        <v>0</v>
      </c>
      <c r="AN66" s="120" t="str">
        <f>IFERROR(VLOOKUP(Table1[RespondentID],'All Data'!$A$3:$CW$999,95,FALSE),"unknown")</f>
        <v>College graduate</v>
      </c>
      <c r="AO66" s="120" t="str">
        <f>IFERROR(VLOOKUP(Table1[RespondentID],'All Data'!$A$3:$CW$999,96,FALSE),"unknown")</f>
        <v>Self-employed</v>
      </c>
      <c r="AP66" s="120" t="str">
        <f>IFERROR(VLOOKUP(Table1[RespondentID],'All Data'!$A$3:$CW$999,97,FALSE),"unknown")</f>
        <v>Yes</v>
      </c>
      <c r="AQ66" s="120">
        <f>IFERROR(VLOOKUP(Table1[RespondentID],'All Data'!$A$3:$CW$999,98,FALSE),"unknown")</f>
        <v>0</v>
      </c>
      <c r="AR66" s="120">
        <f>IFERROR(VLOOKUP(Table1[RespondentID],'All Data'!$A$3:$CW$999,99,FALSE),"unknown")</f>
        <v>0</v>
      </c>
    </row>
    <row r="67" spans="1:44" ht="16">
      <c r="A67" s="5">
        <v>18025178810</v>
      </c>
      <c r="B67" s="5"/>
      <c r="C67" s="5"/>
      <c r="D67" s="5"/>
      <c r="E67" s="5"/>
      <c r="F67" s="5" t="s">
        <v>33</v>
      </c>
      <c r="G67" s="5"/>
      <c r="H67" s="5"/>
      <c r="I67" s="5" t="s">
        <v>36</v>
      </c>
      <c r="J67" s="5"/>
      <c r="K67" s="5"/>
      <c r="L67" s="9"/>
      <c r="M67" s="9">
        <f t="shared" si="15"/>
        <v>2</v>
      </c>
      <c r="N67" s="9">
        <f t="shared" si="16"/>
        <v>1.5</v>
      </c>
      <c r="O67" s="9"/>
      <c r="P67" s="9">
        <f t="shared" si="17"/>
        <v>0</v>
      </c>
      <c r="Q67" s="9">
        <f t="shared" si="18"/>
        <v>0</v>
      </c>
      <c r="R67" s="9">
        <f t="shared" si="19"/>
        <v>0</v>
      </c>
      <c r="S67" s="9">
        <f t="shared" si="20"/>
        <v>0</v>
      </c>
      <c r="T67" s="9">
        <f t="shared" si="21"/>
        <v>1</v>
      </c>
      <c r="U67" s="9">
        <f t="shared" si="22"/>
        <v>0</v>
      </c>
      <c r="V67" s="153">
        <f t="shared" si="23"/>
        <v>0</v>
      </c>
      <c r="W67" s="9">
        <f t="shared" si="24"/>
        <v>1</v>
      </c>
      <c r="X67" s="9">
        <f t="shared" si="25"/>
        <v>0</v>
      </c>
      <c r="Y67" s="9">
        <f t="shared" si="26"/>
        <v>0</v>
      </c>
      <c r="Z67" s="9"/>
      <c r="AA67" s="9"/>
      <c r="AB67" s="9">
        <f t="shared" ref="AB67:AB130" si="29">SUM(P67:Z67)</f>
        <v>2</v>
      </c>
      <c r="AC67" s="9">
        <f t="shared" si="27"/>
        <v>2</v>
      </c>
      <c r="AD67" s="9" t="str">
        <f t="shared" si="28"/>
        <v>Correct</v>
      </c>
      <c r="AE67" s="9"/>
      <c r="AF67" s="120" t="str">
        <f>IFERROR(VLOOKUP(Table1[RespondentID],'All Data'!$A$3:$CO$999,87,FALSE),"unknown")</f>
        <v>Woman</v>
      </c>
      <c r="AG67" s="120">
        <f>IFERROR(VLOOKUP(Table1[RespondentID],'All Data'!$A$3:$CO$999,88,FALSE),"unknown")</f>
        <v>32</v>
      </c>
      <c r="AH67" s="120" t="str">
        <f>IFERROR(VLOOKUP(Table1[RespondentID],'All Data'!$A$3:$CO$999,89,FALSE),"unknown")</f>
        <v>Suffolk</v>
      </c>
      <c r="AI67" s="120" t="str">
        <f>IFERROR(VLOOKUP(Table1[RespondentID],'All Data'!$A$3:$CO$999,90,FALSE),"unknown")</f>
        <v>Kings Park, 11754</v>
      </c>
      <c r="AJ67" s="120" t="str">
        <f>IFERROR(VLOOKUP(Table1[RespondentID],'All Data'!$A$3:$CO$999,91,FALSE),"unknown")</f>
        <v>Two or more races</v>
      </c>
      <c r="AK67" s="120" t="str">
        <f>IFERROR(VLOOKUP(Table1[RespondentID],'All Data'!$A$3:$CO$999,92,FALSE),"unknown")</f>
        <v>Hispanic or Latino</v>
      </c>
      <c r="AL67" s="120" t="str">
        <f>IFERROR(VLOOKUP(Table1[RespondentID],'All Data'!$A$3:$CO$999,93,FALSE),"unknown")</f>
        <v>English, Spanish</v>
      </c>
      <c r="AM67" s="120" t="str">
        <f>IFERROR(VLOOKUP(Table1[RespondentID],'All Data'!$A$3:$CW$999,94,FALSE),"unknown")</f>
        <v>Over $125,000</v>
      </c>
      <c r="AN67" s="120" t="str">
        <f>IFERROR(VLOOKUP(Table1[RespondentID],'All Data'!$A$3:$CW$999,95,FALSE),"unknown")</f>
        <v>Doctorate</v>
      </c>
      <c r="AO67" s="120" t="str">
        <f>IFERROR(VLOOKUP(Table1[RespondentID],'All Data'!$A$3:$CW$999,96,FALSE),"unknown")</f>
        <v>Out of work, but not currently looking</v>
      </c>
      <c r="AP67" s="120" t="str">
        <f>IFERROR(VLOOKUP(Table1[RespondentID],'All Data'!$A$3:$CW$999,97,FALSE),"unknown")</f>
        <v>Yes</v>
      </c>
      <c r="AQ67" s="120">
        <f>IFERROR(VLOOKUP(Table1[RespondentID],'All Data'!$A$3:$CW$999,98,FALSE),"unknown")</f>
        <v>0</v>
      </c>
      <c r="AR67" s="120">
        <f>IFERROR(VLOOKUP(Table1[RespondentID],'All Data'!$A$3:$CW$999,99,FALSE),"unknown")</f>
        <v>0</v>
      </c>
    </row>
    <row r="68" spans="1:44" ht="16">
      <c r="A68" s="5">
        <v>18025178531</v>
      </c>
      <c r="B68" s="5"/>
      <c r="C68" s="5" t="s">
        <v>30</v>
      </c>
      <c r="D68" s="5" t="s">
        <v>31</v>
      </c>
      <c r="E68" s="5"/>
      <c r="F68" s="5" t="s">
        <v>33</v>
      </c>
      <c r="G68" s="5"/>
      <c r="H68" s="5"/>
      <c r="I68" s="5"/>
      <c r="J68" s="5"/>
      <c r="K68" s="5"/>
      <c r="L68" s="8"/>
      <c r="M68" s="8">
        <f t="shared" si="15"/>
        <v>3</v>
      </c>
      <c r="N68" s="8">
        <f t="shared" si="16"/>
        <v>1</v>
      </c>
      <c r="O68" s="8"/>
      <c r="P68" s="8">
        <f t="shared" si="17"/>
        <v>0</v>
      </c>
      <c r="Q68" s="8">
        <f t="shared" si="18"/>
        <v>1</v>
      </c>
      <c r="R68" s="8">
        <f t="shared" si="19"/>
        <v>1</v>
      </c>
      <c r="S68" s="8">
        <f t="shared" si="20"/>
        <v>0</v>
      </c>
      <c r="T68" s="8">
        <f t="shared" si="21"/>
        <v>1</v>
      </c>
      <c r="U68" s="8">
        <f t="shared" si="22"/>
        <v>0</v>
      </c>
      <c r="V68" s="153">
        <f t="shared" si="23"/>
        <v>0</v>
      </c>
      <c r="W68" s="8">
        <f t="shared" si="24"/>
        <v>0</v>
      </c>
      <c r="X68" s="8">
        <f t="shared" si="25"/>
        <v>0</v>
      </c>
      <c r="Y68" s="8">
        <f t="shared" si="26"/>
        <v>0</v>
      </c>
      <c r="Z68" s="8"/>
      <c r="AA68" s="8"/>
      <c r="AB68" s="8">
        <f t="shared" si="29"/>
        <v>3</v>
      </c>
      <c r="AC68" s="8">
        <f t="shared" si="27"/>
        <v>3</v>
      </c>
      <c r="AD68" s="8" t="str">
        <f t="shared" si="28"/>
        <v>Correct</v>
      </c>
      <c r="AE68" s="8"/>
      <c r="AF68" s="120" t="str">
        <f>IFERROR(VLOOKUP(Table1[RespondentID],'All Data'!$A$3:$CO$999,87,FALSE),"unknown")</f>
        <v>Man</v>
      </c>
      <c r="AG68" s="120">
        <f>IFERROR(VLOOKUP(Table1[RespondentID],'All Data'!$A$3:$CO$999,88,FALSE),"unknown")</f>
        <v>39</v>
      </c>
      <c r="AH68" s="120" t="str">
        <f>IFERROR(VLOOKUP(Table1[RespondentID],'All Data'!$A$3:$CO$999,89,FALSE),"unknown")</f>
        <v>Suffolk</v>
      </c>
      <c r="AI68" s="120" t="str">
        <f>IFERROR(VLOOKUP(Table1[RespondentID],'All Data'!$A$3:$CO$999,90,FALSE),"unknown")</f>
        <v>Commack, 11725</v>
      </c>
      <c r="AJ68" s="120" t="str">
        <f>IFERROR(VLOOKUP(Table1[RespondentID],'All Data'!$A$3:$CO$999,91,FALSE),"unknown")</f>
        <v>White</v>
      </c>
      <c r="AK68" s="120">
        <f>IFERROR(VLOOKUP(Table1[RespondentID],'All Data'!$A$3:$CO$999,92,FALSE),"unknown")</f>
        <v>0</v>
      </c>
      <c r="AL68" s="120" t="str">
        <f>IFERROR(VLOOKUP(Table1[RespondentID],'All Data'!$A$3:$CO$999,93,FALSE),"unknown")</f>
        <v>English</v>
      </c>
      <c r="AM68" s="120" t="str">
        <f>IFERROR(VLOOKUP(Table1[RespondentID],'All Data'!$A$3:$CW$999,94,FALSE),"unknown")</f>
        <v>$75,000 to $125,000</v>
      </c>
      <c r="AN68" s="120" t="str">
        <f>IFERROR(VLOOKUP(Table1[RespondentID],'All Data'!$A$3:$CW$999,95,FALSE),"unknown")</f>
        <v>College graduate</v>
      </c>
      <c r="AO68" s="120" t="str">
        <f>IFERROR(VLOOKUP(Table1[RespondentID],'All Data'!$A$3:$CW$999,96,FALSE),"unknown")</f>
        <v>Employed for wages</v>
      </c>
      <c r="AP68" s="120" t="str">
        <f>IFERROR(VLOOKUP(Table1[RespondentID],'All Data'!$A$3:$CW$999,97,FALSE),"unknown")</f>
        <v>Yes</v>
      </c>
      <c r="AQ68" s="120">
        <f>IFERROR(VLOOKUP(Table1[RespondentID],'All Data'!$A$3:$CW$999,98,FALSE),"unknown")</f>
        <v>0</v>
      </c>
      <c r="AR68" s="120">
        <f>IFERROR(VLOOKUP(Table1[RespondentID],'All Data'!$A$3:$CW$999,99,FALSE),"unknown")</f>
        <v>0</v>
      </c>
    </row>
    <row r="69" spans="1:44" ht="16">
      <c r="A69" s="5">
        <v>18025178424</v>
      </c>
      <c r="B69" s="5"/>
      <c r="C69" s="5"/>
      <c r="D69" s="5" t="s">
        <v>31</v>
      </c>
      <c r="E69" s="5"/>
      <c r="F69" s="5"/>
      <c r="G69" s="5"/>
      <c r="H69" s="5"/>
      <c r="I69" s="5" t="s">
        <v>36</v>
      </c>
      <c r="J69" s="5"/>
      <c r="K69" s="5" t="s">
        <v>375</v>
      </c>
      <c r="L69" s="9"/>
      <c r="M69" s="9">
        <f t="shared" si="15"/>
        <v>3</v>
      </c>
      <c r="N69" s="9">
        <f t="shared" si="16"/>
        <v>1</v>
      </c>
      <c r="O69" s="9"/>
      <c r="P69" s="9">
        <f t="shared" si="17"/>
        <v>0</v>
      </c>
      <c r="Q69" s="9">
        <f t="shared" si="18"/>
        <v>0</v>
      </c>
      <c r="R69" s="9">
        <f t="shared" si="19"/>
        <v>1</v>
      </c>
      <c r="S69" s="9">
        <f t="shared" si="20"/>
        <v>0</v>
      </c>
      <c r="T69" s="9">
        <f t="shared" si="21"/>
        <v>0</v>
      </c>
      <c r="U69" s="9">
        <f t="shared" si="22"/>
        <v>0</v>
      </c>
      <c r="V69" s="153">
        <f t="shared" si="23"/>
        <v>0</v>
      </c>
      <c r="W69" s="9">
        <f t="shared" si="24"/>
        <v>1</v>
      </c>
      <c r="X69" s="9">
        <f t="shared" si="25"/>
        <v>0</v>
      </c>
      <c r="Y69" s="9">
        <f t="shared" si="26"/>
        <v>1</v>
      </c>
      <c r="Z69" s="9"/>
      <c r="AA69" s="9"/>
      <c r="AB69" s="9">
        <f t="shared" si="29"/>
        <v>3</v>
      </c>
      <c r="AC69" s="9">
        <f t="shared" si="27"/>
        <v>3</v>
      </c>
      <c r="AD69" s="9" t="str">
        <f t="shared" si="28"/>
        <v>Correct</v>
      </c>
      <c r="AE69" s="9"/>
      <c r="AF69" s="120" t="str">
        <f>IFERROR(VLOOKUP(Table1[RespondentID],'All Data'!$A$3:$CO$999,87,FALSE),"unknown")</f>
        <v>Woman</v>
      </c>
      <c r="AG69" s="120">
        <f>IFERROR(VLOOKUP(Table1[RespondentID],'All Data'!$A$3:$CO$999,88,FALSE),"unknown")</f>
        <v>59</v>
      </c>
      <c r="AH69" s="120" t="str">
        <f>IFERROR(VLOOKUP(Table1[RespondentID],'All Data'!$A$3:$CO$999,89,FALSE),"unknown")</f>
        <v>Suffolk</v>
      </c>
      <c r="AI69" s="120" t="str">
        <f>IFERROR(VLOOKUP(Table1[RespondentID],'All Data'!$A$3:$CO$999,90,FALSE),"unknown")</f>
        <v>Saint James, 11780</v>
      </c>
      <c r="AJ69" s="120" t="str">
        <f>IFERROR(VLOOKUP(Table1[RespondentID],'All Data'!$A$3:$CO$999,91,FALSE),"unknown")</f>
        <v>White</v>
      </c>
      <c r="AK69" s="120" t="str">
        <f>IFERROR(VLOOKUP(Table1[RespondentID],'All Data'!$A$3:$CO$999,92,FALSE),"unknown")</f>
        <v>Not Hispanic or Latino</v>
      </c>
      <c r="AL69" s="120" t="str">
        <f>IFERROR(VLOOKUP(Table1[RespondentID],'All Data'!$A$3:$CO$999,93,FALSE),"unknown")</f>
        <v>English</v>
      </c>
      <c r="AM69" s="120" t="str">
        <f>IFERROR(VLOOKUP(Table1[RespondentID],'All Data'!$A$3:$CW$999,94,FALSE),"unknown")</f>
        <v>Over $125,000</v>
      </c>
      <c r="AN69" s="120" t="str">
        <f>IFERROR(VLOOKUP(Table1[RespondentID],'All Data'!$A$3:$CW$999,95,FALSE),"unknown")</f>
        <v>College graduate</v>
      </c>
      <c r="AO69" s="120" t="str">
        <f>IFERROR(VLOOKUP(Table1[RespondentID],'All Data'!$A$3:$CW$999,96,FALSE),"unknown")</f>
        <v>Employed for wages</v>
      </c>
      <c r="AP69" s="120" t="str">
        <f>IFERROR(VLOOKUP(Table1[RespondentID],'All Data'!$A$3:$CW$999,97,FALSE),"unknown")</f>
        <v>Yes</v>
      </c>
      <c r="AQ69" s="120" t="str">
        <f>IFERROR(VLOOKUP(Table1[RespondentID],'All Data'!$A$3:$CW$999,98,FALSE),"unknown")</f>
        <v>Private/Commercial</v>
      </c>
      <c r="AR69" s="120">
        <f>IFERROR(VLOOKUP(Table1[RespondentID],'All Data'!$A$3:$CW$999,99,FALSE),"unknown")</f>
        <v>0</v>
      </c>
    </row>
    <row r="70" spans="1:44" ht="16">
      <c r="A70" s="5">
        <v>18025178298</v>
      </c>
      <c r="B70" s="5"/>
      <c r="C70" s="5"/>
      <c r="D70" s="5"/>
      <c r="E70" s="5"/>
      <c r="F70" s="5" t="s">
        <v>33</v>
      </c>
      <c r="G70" s="5"/>
      <c r="H70" s="5"/>
      <c r="I70" s="5" t="s">
        <v>36</v>
      </c>
      <c r="J70" s="5"/>
      <c r="K70" s="5"/>
      <c r="L70" s="8"/>
      <c r="M70" s="8">
        <f t="shared" si="15"/>
        <v>2</v>
      </c>
      <c r="N70" s="8">
        <f t="shared" si="16"/>
        <v>1.5</v>
      </c>
      <c r="O70" s="8"/>
      <c r="P70" s="8">
        <f t="shared" si="17"/>
        <v>0</v>
      </c>
      <c r="Q70" s="8">
        <f t="shared" si="18"/>
        <v>0</v>
      </c>
      <c r="R70" s="8">
        <f t="shared" si="19"/>
        <v>0</v>
      </c>
      <c r="S70" s="8">
        <f t="shared" si="20"/>
        <v>0</v>
      </c>
      <c r="T70" s="8">
        <f t="shared" si="21"/>
        <v>1</v>
      </c>
      <c r="U70" s="8">
        <f t="shared" si="22"/>
        <v>0</v>
      </c>
      <c r="V70" s="153">
        <f t="shared" si="23"/>
        <v>0</v>
      </c>
      <c r="W70" s="8">
        <f t="shared" si="24"/>
        <v>1</v>
      </c>
      <c r="X70" s="8">
        <f t="shared" si="25"/>
        <v>0</v>
      </c>
      <c r="Y70" s="8">
        <f t="shared" si="26"/>
        <v>0</v>
      </c>
      <c r="Z70" s="8"/>
      <c r="AA70" s="8"/>
      <c r="AB70" s="8">
        <f t="shared" si="29"/>
        <v>2</v>
      </c>
      <c r="AC70" s="8">
        <f t="shared" si="27"/>
        <v>2</v>
      </c>
      <c r="AD70" s="8" t="str">
        <f t="shared" si="28"/>
        <v>Correct</v>
      </c>
      <c r="AE70" s="8"/>
      <c r="AF70" s="120" t="str">
        <f>IFERROR(VLOOKUP(Table1[RespondentID],'All Data'!$A$3:$CO$999,87,FALSE),"unknown")</f>
        <v>Woman</v>
      </c>
      <c r="AG70" s="120">
        <f>IFERROR(VLOOKUP(Table1[RespondentID],'All Data'!$A$3:$CO$999,88,FALSE),"unknown")</f>
        <v>42</v>
      </c>
      <c r="AH70" s="120" t="str">
        <f>IFERROR(VLOOKUP(Table1[RespondentID],'All Data'!$A$3:$CO$999,89,FALSE),"unknown")</f>
        <v>Suffolk</v>
      </c>
      <c r="AI70" s="120" t="str">
        <f>IFERROR(VLOOKUP(Table1[RespondentID],'All Data'!$A$3:$CO$999,90,FALSE),"unknown")</f>
        <v>Commack, 11725</v>
      </c>
      <c r="AJ70" s="120" t="str">
        <f>IFERROR(VLOOKUP(Table1[RespondentID],'All Data'!$A$3:$CO$999,91,FALSE),"unknown")</f>
        <v>Asian</v>
      </c>
      <c r="AK70" s="120">
        <f>IFERROR(VLOOKUP(Table1[RespondentID],'All Data'!$A$3:$CO$999,92,FALSE),"unknown")</f>
        <v>0</v>
      </c>
      <c r="AL70" s="120">
        <f>IFERROR(VLOOKUP(Table1[RespondentID],'All Data'!$A$3:$CO$999,93,FALSE),"unknown")</f>
        <v>0</v>
      </c>
      <c r="AM70" s="120" t="str">
        <f>IFERROR(VLOOKUP(Table1[RespondentID],'All Data'!$A$3:$CW$999,94,FALSE),"unknown")</f>
        <v>Over $125,000</v>
      </c>
      <c r="AN70" s="120" t="str">
        <f>IFERROR(VLOOKUP(Table1[RespondentID],'All Data'!$A$3:$CW$999,95,FALSE),"unknown")</f>
        <v>Graduate school</v>
      </c>
      <c r="AO70" s="120" t="str">
        <f>IFERROR(VLOOKUP(Table1[RespondentID],'All Data'!$A$3:$CW$999,96,FALSE),"unknown")</f>
        <v>Out of work, but not currently looking</v>
      </c>
      <c r="AP70" s="120" t="str">
        <f>IFERROR(VLOOKUP(Table1[RespondentID],'All Data'!$A$3:$CW$999,97,FALSE),"unknown")</f>
        <v>Yes</v>
      </c>
      <c r="AQ70" s="120">
        <f>IFERROR(VLOOKUP(Table1[RespondentID],'All Data'!$A$3:$CW$999,98,FALSE),"unknown")</f>
        <v>0</v>
      </c>
      <c r="AR70" s="120">
        <f>IFERROR(VLOOKUP(Table1[RespondentID],'All Data'!$A$3:$CW$999,99,FALSE),"unknown")</f>
        <v>0</v>
      </c>
    </row>
    <row r="71" spans="1:44" ht="16">
      <c r="A71" s="5">
        <v>18025178212</v>
      </c>
      <c r="B71" s="5"/>
      <c r="C71" s="5"/>
      <c r="D71" s="5" t="s">
        <v>31</v>
      </c>
      <c r="E71" s="5"/>
      <c r="F71" s="5" t="s">
        <v>33</v>
      </c>
      <c r="G71" s="5"/>
      <c r="H71" s="5"/>
      <c r="I71" s="5"/>
      <c r="J71" s="5"/>
      <c r="K71" s="5"/>
      <c r="L71" s="9"/>
      <c r="M71" s="9">
        <f t="shared" si="15"/>
        <v>2</v>
      </c>
      <c r="N71" s="9">
        <f t="shared" si="16"/>
        <v>1.5</v>
      </c>
      <c r="O71" s="9"/>
      <c r="P71" s="9">
        <f t="shared" si="17"/>
        <v>0</v>
      </c>
      <c r="Q71" s="9">
        <f t="shared" si="18"/>
        <v>0</v>
      </c>
      <c r="R71" s="9">
        <f t="shared" si="19"/>
        <v>1</v>
      </c>
      <c r="S71" s="9">
        <f t="shared" si="20"/>
        <v>0</v>
      </c>
      <c r="T71" s="9">
        <f t="shared" si="21"/>
        <v>1</v>
      </c>
      <c r="U71" s="9">
        <f t="shared" si="22"/>
        <v>0</v>
      </c>
      <c r="V71" s="153">
        <f t="shared" si="23"/>
        <v>0</v>
      </c>
      <c r="W71" s="9">
        <f t="shared" si="24"/>
        <v>0</v>
      </c>
      <c r="X71" s="9">
        <f t="shared" si="25"/>
        <v>0</v>
      </c>
      <c r="Y71" s="9">
        <f t="shared" si="26"/>
        <v>0</v>
      </c>
      <c r="Z71" s="9"/>
      <c r="AA71" s="9"/>
      <c r="AB71" s="9">
        <f t="shared" si="29"/>
        <v>2</v>
      </c>
      <c r="AC71" s="9">
        <f t="shared" si="27"/>
        <v>2</v>
      </c>
      <c r="AD71" s="9" t="str">
        <f t="shared" si="28"/>
        <v>Correct</v>
      </c>
      <c r="AE71" s="9"/>
      <c r="AF71" s="120" t="str">
        <f>IFERROR(VLOOKUP(Table1[RespondentID],'All Data'!$A$3:$CO$999,87,FALSE),"unknown")</f>
        <v>Woman</v>
      </c>
      <c r="AG71" s="120">
        <f>IFERROR(VLOOKUP(Table1[RespondentID],'All Data'!$A$3:$CO$999,88,FALSE),"unknown")</f>
        <v>46</v>
      </c>
      <c r="AH71" s="120" t="str">
        <f>IFERROR(VLOOKUP(Table1[RespondentID],'All Data'!$A$3:$CO$999,89,FALSE),"unknown")</f>
        <v>Suffolk</v>
      </c>
      <c r="AI71" s="120" t="str">
        <f>IFERROR(VLOOKUP(Table1[RespondentID],'All Data'!$A$3:$CO$999,90,FALSE),"unknown")</f>
        <v>East Northport, 11731</v>
      </c>
      <c r="AJ71" s="120" t="str">
        <f>IFERROR(VLOOKUP(Table1[RespondentID],'All Data'!$A$3:$CO$999,91,FALSE),"unknown")</f>
        <v>Asian</v>
      </c>
      <c r="AK71" s="120" t="str">
        <f>IFERROR(VLOOKUP(Table1[RespondentID],'All Data'!$A$3:$CO$999,92,FALSE),"unknown")</f>
        <v>Not Hispanic or Latino</v>
      </c>
      <c r="AL71" s="120">
        <f>IFERROR(VLOOKUP(Table1[RespondentID],'All Data'!$A$3:$CO$999,93,FALSE),"unknown")</f>
        <v>0</v>
      </c>
      <c r="AM71" s="120" t="str">
        <f>IFERROR(VLOOKUP(Table1[RespondentID],'All Data'!$A$3:$CW$999,94,FALSE),"unknown")</f>
        <v>$75,000 to $125,000</v>
      </c>
      <c r="AN71" s="120" t="str">
        <f>IFERROR(VLOOKUP(Table1[RespondentID],'All Data'!$A$3:$CW$999,95,FALSE),"unknown")</f>
        <v>Graduate school</v>
      </c>
      <c r="AO71" s="120" t="str">
        <f>IFERROR(VLOOKUP(Table1[RespondentID],'All Data'!$A$3:$CW$999,96,FALSE),"unknown")</f>
        <v>Out of work, but not currently looking</v>
      </c>
      <c r="AP71" s="120" t="str">
        <f>IFERROR(VLOOKUP(Table1[RespondentID],'All Data'!$A$3:$CW$999,97,FALSE),"unknown")</f>
        <v>Yes</v>
      </c>
      <c r="AQ71" s="120">
        <f>IFERROR(VLOOKUP(Table1[RespondentID],'All Data'!$A$3:$CW$999,98,FALSE),"unknown")</f>
        <v>0</v>
      </c>
      <c r="AR71" s="120">
        <f>IFERROR(VLOOKUP(Table1[RespondentID],'All Data'!$A$3:$CW$999,99,FALSE),"unknown")</f>
        <v>0</v>
      </c>
    </row>
    <row r="72" spans="1:44" ht="16">
      <c r="A72" s="5">
        <v>18025178011</v>
      </c>
      <c r="B72" s="5"/>
      <c r="C72" s="5"/>
      <c r="D72" s="5"/>
      <c r="E72" s="5"/>
      <c r="F72" s="5" t="s">
        <v>33</v>
      </c>
      <c r="G72" s="5"/>
      <c r="H72" s="5"/>
      <c r="I72" s="5"/>
      <c r="J72" s="5"/>
      <c r="K72" s="5" t="s">
        <v>375</v>
      </c>
      <c r="L72" s="8"/>
      <c r="M72" s="8">
        <f t="shared" si="15"/>
        <v>2</v>
      </c>
      <c r="N72" s="8">
        <f t="shared" si="16"/>
        <v>1.5</v>
      </c>
      <c r="O72" s="8"/>
      <c r="P72" s="8">
        <f t="shared" si="17"/>
        <v>0</v>
      </c>
      <c r="Q72" s="8">
        <f t="shared" si="18"/>
        <v>0</v>
      </c>
      <c r="R72" s="8">
        <f t="shared" si="19"/>
        <v>0</v>
      </c>
      <c r="S72" s="8">
        <f t="shared" si="20"/>
        <v>0</v>
      </c>
      <c r="T72" s="8">
        <f t="shared" si="21"/>
        <v>1</v>
      </c>
      <c r="U72" s="8">
        <f t="shared" si="22"/>
        <v>0</v>
      </c>
      <c r="V72" s="153">
        <f t="shared" si="23"/>
        <v>0</v>
      </c>
      <c r="W72" s="8">
        <f t="shared" si="24"/>
        <v>0</v>
      </c>
      <c r="X72" s="8">
        <f t="shared" si="25"/>
        <v>0</v>
      </c>
      <c r="Y72" s="8">
        <f t="shared" si="26"/>
        <v>1</v>
      </c>
      <c r="Z72" s="8"/>
      <c r="AA72" s="8"/>
      <c r="AB72" s="8">
        <f t="shared" si="29"/>
        <v>2</v>
      </c>
      <c r="AC72" s="8">
        <f t="shared" si="27"/>
        <v>2</v>
      </c>
      <c r="AD72" s="8" t="str">
        <f t="shared" si="28"/>
        <v>Correct</v>
      </c>
      <c r="AE72" s="8"/>
      <c r="AF72" s="120" t="str">
        <f>IFERROR(VLOOKUP(Table1[RespondentID],'All Data'!$A$3:$CO$999,87,FALSE),"unknown")</f>
        <v>Man</v>
      </c>
      <c r="AG72" s="120">
        <f>IFERROR(VLOOKUP(Table1[RespondentID],'All Data'!$A$3:$CO$999,88,FALSE),"unknown")</f>
        <v>52</v>
      </c>
      <c r="AH72" s="120" t="str">
        <f>IFERROR(VLOOKUP(Table1[RespondentID],'All Data'!$A$3:$CO$999,89,FALSE),"unknown")</f>
        <v>Suffolk</v>
      </c>
      <c r="AI72" s="120" t="str">
        <f>IFERROR(VLOOKUP(Table1[RespondentID],'All Data'!$A$3:$CO$999,90,FALSE),"unknown")</f>
        <v>East Northport, 11731</v>
      </c>
      <c r="AJ72" s="120" t="str">
        <f>IFERROR(VLOOKUP(Table1[RespondentID],'All Data'!$A$3:$CO$999,91,FALSE),"unknown")</f>
        <v>Asian</v>
      </c>
      <c r="AK72" s="120" t="str">
        <f>IFERROR(VLOOKUP(Table1[RespondentID],'All Data'!$A$3:$CO$999,92,FALSE),"unknown")</f>
        <v>Not Hispanic or Latino</v>
      </c>
      <c r="AL72" s="120">
        <f>IFERROR(VLOOKUP(Table1[RespondentID],'All Data'!$A$3:$CO$999,93,FALSE),"unknown")</f>
        <v>0</v>
      </c>
      <c r="AM72" s="120" t="str">
        <f>IFERROR(VLOOKUP(Table1[RespondentID],'All Data'!$A$3:$CW$999,94,FALSE),"unknown")</f>
        <v>Over $125,000</v>
      </c>
      <c r="AN72" s="120" t="str">
        <f>IFERROR(VLOOKUP(Table1[RespondentID],'All Data'!$A$3:$CW$999,95,FALSE),"unknown")</f>
        <v>College graduate</v>
      </c>
      <c r="AO72" s="120" t="str">
        <f>IFERROR(VLOOKUP(Table1[RespondentID],'All Data'!$A$3:$CW$999,96,FALSE),"unknown")</f>
        <v>Self-employed</v>
      </c>
      <c r="AP72" s="120" t="str">
        <f>IFERROR(VLOOKUP(Table1[RespondentID],'All Data'!$A$3:$CW$999,97,FALSE),"unknown")</f>
        <v>Yes</v>
      </c>
      <c r="AQ72" s="120">
        <f>IFERROR(VLOOKUP(Table1[RespondentID],'All Data'!$A$3:$CW$999,98,FALSE),"unknown")</f>
        <v>0</v>
      </c>
      <c r="AR72" s="120">
        <f>IFERROR(VLOOKUP(Table1[RespondentID],'All Data'!$A$3:$CW$999,99,FALSE),"unknown")</f>
        <v>0</v>
      </c>
    </row>
    <row r="73" spans="1:44" ht="16">
      <c r="A73" s="5">
        <v>18025177820</v>
      </c>
      <c r="B73" s="5"/>
      <c r="C73" s="5"/>
      <c r="D73" s="5" t="s">
        <v>31</v>
      </c>
      <c r="E73" s="5"/>
      <c r="F73" s="5" t="s">
        <v>33</v>
      </c>
      <c r="G73" s="5"/>
      <c r="H73" s="5"/>
      <c r="I73" s="5"/>
      <c r="J73" s="5"/>
      <c r="K73" s="5" t="s">
        <v>375</v>
      </c>
      <c r="L73" s="9"/>
      <c r="M73" s="9">
        <f t="shared" si="15"/>
        <v>3</v>
      </c>
      <c r="N73" s="9">
        <f t="shared" si="16"/>
        <v>1</v>
      </c>
      <c r="O73" s="9"/>
      <c r="P73" s="9">
        <f t="shared" si="17"/>
        <v>0</v>
      </c>
      <c r="Q73" s="9">
        <f t="shared" si="18"/>
        <v>0</v>
      </c>
      <c r="R73" s="9">
        <f t="shared" si="19"/>
        <v>1</v>
      </c>
      <c r="S73" s="9">
        <f t="shared" si="20"/>
        <v>0</v>
      </c>
      <c r="T73" s="9">
        <f t="shared" si="21"/>
        <v>1</v>
      </c>
      <c r="U73" s="9">
        <f t="shared" si="22"/>
        <v>0</v>
      </c>
      <c r="V73" s="153">
        <f t="shared" si="23"/>
        <v>0</v>
      </c>
      <c r="W73" s="9">
        <f t="shared" si="24"/>
        <v>0</v>
      </c>
      <c r="X73" s="9">
        <f t="shared" si="25"/>
        <v>0</v>
      </c>
      <c r="Y73" s="9">
        <f t="shared" si="26"/>
        <v>1</v>
      </c>
      <c r="Z73" s="9"/>
      <c r="AA73" s="9"/>
      <c r="AB73" s="9">
        <f t="shared" si="29"/>
        <v>3</v>
      </c>
      <c r="AC73" s="9">
        <f t="shared" si="27"/>
        <v>3</v>
      </c>
      <c r="AD73" s="9" t="str">
        <f t="shared" si="28"/>
        <v>Correct</v>
      </c>
      <c r="AE73" s="9"/>
      <c r="AF73" s="120" t="str">
        <f>IFERROR(VLOOKUP(Table1[RespondentID],'All Data'!$A$3:$CO$999,87,FALSE),"unknown")</f>
        <v>Woman</v>
      </c>
      <c r="AG73" s="120">
        <f>IFERROR(VLOOKUP(Table1[RespondentID],'All Data'!$A$3:$CO$999,88,FALSE),"unknown")</f>
        <v>18</v>
      </c>
      <c r="AH73" s="120" t="str">
        <f>IFERROR(VLOOKUP(Table1[RespondentID],'All Data'!$A$3:$CO$999,89,FALSE),"unknown")</f>
        <v>Suffolk</v>
      </c>
      <c r="AI73" s="120" t="str">
        <f>IFERROR(VLOOKUP(Table1[RespondentID],'All Data'!$A$3:$CO$999,90,FALSE),"unknown")</f>
        <v>East Northport, 11731</v>
      </c>
      <c r="AJ73" s="120" t="str">
        <f>IFERROR(VLOOKUP(Table1[RespondentID],'All Data'!$A$3:$CO$999,91,FALSE),"unknown")</f>
        <v>Asian</v>
      </c>
      <c r="AK73" s="120" t="str">
        <f>IFERROR(VLOOKUP(Table1[RespondentID],'All Data'!$A$3:$CO$999,92,FALSE),"unknown")</f>
        <v>Not Hispanic or Latino</v>
      </c>
      <c r="AL73" s="120">
        <f>IFERROR(VLOOKUP(Table1[RespondentID],'All Data'!$A$3:$CO$999,93,FALSE),"unknown")</f>
        <v>0</v>
      </c>
      <c r="AM73" s="120" t="str">
        <f>IFERROR(VLOOKUP(Table1[RespondentID],'All Data'!$A$3:$CW$999,94,FALSE),"unknown")</f>
        <v>Over $125,000</v>
      </c>
      <c r="AN73" s="120" t="str">
        <f>IFERROR(VLOOKUP(Table1[RespondentID],'All Data'!$A$3:$CW$999,95,FALSE),"unknown")</f>
        <v>Some high school</v>
      </c>
      <c r="AO73" s="120" t="str">
        <f>IFERROR(VLOOKUP(Table1[RespondentID],'All Data'!$A$3:$CW$999,96,FALSE),"unknown")</f>
        <v>Student</v>
      </c>
      <c r="AP73" s="120" t="str">
        <f>IFERROR(VLOOKUP(Table1[RespondentID],'All Data'!$A$3:$CW$999,97,FALSE),"unknown")</f>
        <v>Yes</v>
      </c>
      <c r="AQ73" s="120">
        <f>IFERROR(VLOOKUP(Table1[RespondentID],'All Data'!$A$3:$CW$999,98,FALSE),"unknown")</f>
        <v>0</v>
      </c>
      <c r="AR73" s="120">
        <f>IFERROR(VLOOKUP(Table1[RespondentID],'All Data'!$A$3:$CW$999,99,FALSE),"unknown")</f>
        <v>0</v>
      </c>
    </row>
    <row r="74" spans="1:44" ht="16">
      <c r="A74" s="5">
        <v>18025177600</v>
      </c>
      <c r="B74" s="5"/>
      <c r="C74" s="5"/>
      <c r="D74" s="5"/>
      <c r="E74" s="5"/>
      <c r="F74" s="5"/>
      <c r="G74" s="5"/>
      <c r="H74" s="5"/>
      <c r="I74" s="5"/>
      <c r="J74" s="5"/>
      <c r="K74" s="5" t="s">
        <v>375</v>
      </c>
      <c r="L74" s="8"/>
      <c r="M74" s="8">
        <f t="shared" si="15"/>
        <v>1</v>
      </c>
      <c r="N74" s="8">
        <f t="shared" si="16"/>
        <v>3</v>
      </c>
      <c r="O74" s="8"/>
      <c r="P74" s="8">
        <f t="shared" si="17"/>
        <v>0</v>
      </c>
      <c r="Q74" s="8">
        <f t="shared" si="18"/>
        <v>0</v>
      </c>
      <c r="R74" s="8">
        <f t="shared" si="19"/>
        <v>0</v>
      </c>
      <c r="S74" s="8">
        <f t="shared" si="20"/>
        <v>0</v>
      </c>
      <c r="T74" s="8">
        <f t="shared" si="21"/>
        <v>0</v>
      </c>
      <c r="U74" s="8">
        <f t="shared" si="22"/>
        <v>0</v>
      </c>
      <c r="V74" s="153">
        <f t="shared" si="23"/>
        <v>0</v>
      </c>
      <c r="W74" s="8">
        <f t="shared" si="24"/>
        <v>0</v>
      </c>
      <c r="X74" s="8">
        <f t="shared" si="25"/>
        <v>0</v>
      </c>
      <c r="Y74" s="8">
        <f t="shared" si="26"/>
        <v>1</v>
      </c>
      <c r="Z74" s="8"/>
      <c r="AA74" s="8"/>
      <c r="AB74" s="8">
        <f t="shared" si="29"/>
        <v>1</v>
      </c>
      <c r="AC74" s="8">
        <f t="shared" si="27"/>
        <v>1</v>
      </c>
      <c r="AD74" s="8" t="str">
        <f t="shared" si="28"/>
        <v>Correct</v>
      </c>
      <c r="AE74" s="8"/>
      <c r="AF74" s="120" t="str">
        <f>IFERROR(VLOOKUP(Table1[RespondentID],'All Data'!$A$3:$CO$999,87,FALSE),"unknown")</f>
        <v>Woman</v>
      </c>
      <c r="AG74" s="120">
        <f>IFERROR(VLOOKUP(Table1[RespondentID],'All Data'!$A$3:$CO$999,88,FALSE),"unknown")</f>
        <v>62</v>
      </c>
      <c r="AH74" s="120" t="str">
        <f>IFERROR(VLOOKUP(Table1[RespondentID],'All Data'!$A$3:$CO$999,89,FALSE),"unknown")</f>
        <v>Suffolk</v>
      </c>
      <c r="AI74" s="120" t="str">
        <f>IFERROR(VLOOKUP(Table1[RespondentID],'All Data'!$A$3:$CO$999,90,FALSE),"unknown")</f>
        <v>Kings Park, 11754</v>
      </c>
      <c r="AJ74" s="120" t="str">
        <f>IFERROR(VLOOKUP(Table1[RespondentID],'All Data'!$A$3:$CO$999,91,FALSE),"unknown")</f>
        <v>White</v>
      </c>
      <c r="AK74" s="120" t="str">
        <f>IFERROR(VLOOKUP(Table1[RespondentID],'All Data'!$A$3:$CO$999,92,FALSE),"unknown")</f>
        <v>Not Hispanic or Latino</v>
      </c>
      <c r="AL74" s="120">
        <f>IFERROR(VLOOKUP(Table1[RespondentID],'All Data'!$A$3:$CO$999,93,FALSE),"unknown")</f>
        <v>0</v>
      </c>
      <c r="AM74" s="120" t="str">
        <f>IFERROR(VLOOKUP(Table1[RespondentID],'All Data'!$A$3:$CW$999,94,FALSE),"unknown")</f>
        <v>Over $125,000</v>
      </c>
      <c r="AN74" s="120" t="str">
        <f>IFERROR(VLOOKUP(Table1[RespondentID],'All Data'!$A$3:$CW$999,95,FALSE),"unknown")</f>
        <v>Some college</v>
      </c>
      <c r="AO74" s="120" t="str">
        <f>IFERROR(VLOOKUP(Table1[RespondentID],'All Data'!$A$3:$CW$999,96,FALSE),"unknown")</f>
        <v>Self-employed</v>
      </c>
      <c r="AP74" s="120" t="str">
        <f>IFERROR(VLOOKUP(Table1[RespondentID],'All Data'!$A$3:$CW$999,97,FALSE),"unknown")</f>
        <v>Yes</v>
      </c>
      <c r="AQ74" s="120" t="str">
        <f>IFERROR(VLOOKUP(Table1[RespondentID],'All Data'!$A$3:$CW$999,98,FALSE),"unknown")</f>
        <v>Private/Commercial</v>
      </c>
      <c r="AR74" s="120">
        <f>IFERROR(VLOOKUP(Table1[RespondentID],'All Data'!$A$3:$CW$999,99,FALSE),"unknown")</f>
        <v>0</v>
      </c>
    </row>
    <row r="75" spans="1:44" ht="16">
      <c r="A75" s="5">
        <v>18025177479</v>
      </c>
      <c r="B75" s="5"/>
      <c r="C75" s="5"/>
      <c r="D75" s="5" t="s">
        <v>31</v>
      </c>
      <c r="E75" s="5"/>
      <c r="F75" s="5"/>
      <c r="G75" s="5"/>
      <c r="H75" s="5" t="s">
        <v>35</v>
      </c>
      <c r="I75" s="5" t="s">
        <v>36</v>
      </c>
      <c r="J75" s="5"/>
      <c r="K75" s="5"/>
      <c r="L75" s="9"/>
      <c r="M75" s="9">
        <f t="shared" si="15"/>
        <v>3</v>
      </c>
      <c r="N75" s="9">
        <f t="shared" si="16"/>
        <v>1</v>
      </c>
      <c r="O75" s="9"/>
      <c r="P75" s="9">
        <f t="shared" si="17"/>
        <v>0</v>
      </c>
      <c r="Q75" s="9">
        <f t="shared" si="18"/>
        <v>0</v>
      </c>
      <c r="R75" s="9">
        <f t="shared" si="19"/>
        <v>1</v>
      </c>
      <c r="S75" s="9">
        <f t="shared" si="20"/>
        <v>0</v>
      </c>
      <c r="T75" s="9">
        <f t="shared" si="21"/>
        <v>0</v>
      </c>
      <c r="U75" s="9">
        <f t="shared" si="22"/>
        <v>0</v>
      </c>
      <c r="V75" s="153">
        <f t="shared" si="23"/>
        <v>1</v>
      </c>
      <c r="W75" s="9">
        <f t="shared" si="24"/>
        <v>1</v>
      </c>
      <c r="X75" s="9">
        <f t="shared" si="25"/>
        <v>0</v>
      </c>
      <c r="Y75" s="9">
        <f t="shared" si="26"/>
        <v>0</v>
      </c>
      <c r="Z75" s="9"/>
      <c r="AA75" s="9"/>
      <c r="AB75" s="9">
        <f t="shared" si="29"/>
        <v>3</v>
      </c>
      <c r="AC75" s="9">
        <f t="shared" si="27"/>
        <v>3</v>
      </c>
      <c r="AD75" s="9" t="str">
        <f t="shared" si="28"/>
        <v>Correct</v>
      </c>
      <c r="AE75" s="9"/>
      <c r="AF75" s="120" t="str">
        <f>IFERROR(VLOOKUP(Table1[RespondentID],'All Data'!$A$3:$CO$999,87,FALSE),"unknown")</f>
        <v>Man</v>
      </c>
      <c r="AG75" s="120">
        <f>IFERROR(VLOOKUP(Table1[RespondentID],'All Data'!$A$3:$CO$999,88,FALSE),"unknown")</f>
        <v>64</v>
      </c>
      <c r="AH75" s="120" t="str">
        <f>IFERROR(VLOOKUP(Table1[RespondentID],'All Data'!$A$3:$CO$999,89,FALSE),"unknown")</f>
        <v>Suffolk</v>
      </c>
      <c r="AI75" s="120" t="str">
        <f>IFERROR(VLOOKUP(Table1[RespondentID],'All Data'!$A$3:$CO$999,90,FALSE),"unknown")</f>
        <v>Farmingville, 11738</v>
      </c>
      <c r="AJ75" s="120" t="str">
        <f>IFERROR(VLOOKUP(Table1[RespondentID],'All Data'!$A$3:$CO$999,91,FALSE),"unknown")</f>
        <v>White</v>
      </c>
      <c r="AK75" s="120" t="str">
        <f>IFERROR(VLOOKUP(Table1[RespondentID],'All Data'!$A$3:$CO$999,92,FALSE),"unknown")</f>
        <v>Not Hispanic or Latino</v>
      </c>
      <c r="AL75" s="120" t="str">
        <f>IFERROR(VLOOKUP(Table1[RespondentID],'All Data'!$A$3:$CO$999,93,FALSE),"unknown")</f>
        <v>English</v>
      </c>
      <c r="AM75" s="120" t="str">
        <f>IFERROR(VLOOKUP(Table1[RespondentID],'All Data'!$A$3:$CW$999,94,FALSE),"unknown")</f>
        <v>$75,000 to $125,000</v>
      </c>
      <c r="AN75" s="120" t="str">
        <f>IFERROR(VLOOKUP(Table1[RespondentID],'All Data'!$A$3:$CW$999,95,FALSE),"unknown")</f>
        <v>Graduate school</v>
      </c>
      <c r="AO75" s="120" t="str">
        <f>IFERROR(VLOOKUP(Table1[RespondentID],'All Data'!$A$3:$CW$999,96,FALSE),"unknown")</f>
        <v>Retired</v>
      </c>
      <c r="AP75" s="120" t="str">
        <f>IFERROR(VLOOKUP(Table1[RespondentID],'All Data'!$A$3:$CW$999,97,FALSE),"unknown")</f>
        <v>Yes</v>
      </c>
      <c r="AQ75" s="120" t="str">
        <f>IFERROR(VLOOKUP(Table1[RespondentID],'All Data'!$A$3:$CW$999,98,FALSE),"unknown")</f>
        <v>Medicare</v>
      </c>
      <c r="AR75" s="120">
        <f>IFERROR(VLOOKUP(Table1[RespondentID],'All Data'!$A$3:$CW$999,99,FALSE),"unknown")</f>
        <v>0</v>
      </c>
    </row>
    <row r="76" spans="1:44" ht="16">
      <c r="A76" s="5">
        <v>18025177067</v>
      </c>
      <c r="B76" s="5"/>
      <c r="C76" s="5"/>
      <c r="D76" s="5"/>
      <c r="E76" s="5"/>
      <c r="F76" s="5"/>
      <c r="G76" s="5"/>
      <c r="H76" s="5"/>
      <c r="I76" s="5" t="s">
        <v>36</v>
      </c>
      <c r="J76" s="5"/>
      <c r="K76" s="5"/>
      <c r="L76" s="8"/>
      <c r="M76" s="8">
        <f t="shared" si="15"/>
        <v>1</v>
      </c>
      <c r="N76" s="8">
        <f t="shared" si="16"/>
        <v>3</v>
      </c>
      <c r="O76" s="8"/>
      <c r="P76" s="8">
        <f t="shared" si="17"/>
        <v>0</v>
      </c>
      <c r="Q76" s="8">
        <f t="shared" si="18"/>
        <v>0</v>
      </c>
      <c r="R76" s="8">
        <f t="shared" si="19"/>
        <v>0</v>
      </c>
      <c r="S76" s="8">
        <f t="shared" si="20"/>
        <v>0</v>
      </c>
      <c r="T76" s="8">
        <f t="shared" si="21"/>
        <v>0</v>
      </c>
      <c r="U76" s="8">
        <f t="shared" si="22"/>
        <v>0</v>
      </c>
      <c r="V76" s="153">
        <f t="shared" si="23"/>
        <v>0</v>
      </c>
      <c r="W76" s="8">
        <f t="shared" si="24"/>
        <v>1</v>
      </c>
      <c r="X76" s="8">
        <f t="shared" si="25"/>
        <v>0</v>
      </c>
      <c r="Y76" s="8">
        <f t="shared" si="26"/>
        <v>0</v>
      </c>
      <c r="Z76" s="8"/>
      <c r="AA76" s="8"/>
      <c r="AB76" s="8">
        <f t="shared" si="29"/>
        <v>1</v>
      </c>
      <c r="AC76" s="8">
        <f t="shared" si="27"/>
        <v>1</v>
      </c>
      <c r="AD76" s="8" t="str">
        <f t="shared" si="28"/>
        <v>Correct</v>
      </c>
      <c r="AE76" s="8"/>
      <c r="AF76" s="120" t="str">
        <f>IFERROR(VLOOKUP(Table1[RespondentID],'All Data'!$A$3:$CO$999,87,FALSE),"unknown")</f>
        <v>Man</v>
      </c>
      <c r="AG76" s="120">
        <f>IFERROR(VLOOKUP(Table1[RespondentID],'All Data'!$A$3:$CO$999,88,FALSE),"unknown")</f>
        <v>36</v>
      </c>
      <c r="AH76" s="120" t="str">
        <f>IFERROR(VLOOKUP(Table1[RespondentID],'All Data'!$A$3:$CO$999,89,FALSE),"unknown")</f>
        <v>Suffolk</v>
      </c>
      <c r="AI76" s="120" t="str">
        <f>IFERROR(VLOOKUP(Table1[RespondentID],'All Data'!$A$3:$CO$999,90,FALSE),"unknown")</f>
        <v>Wading River, 11792</v>
      </c>
      <c r="AJ76" s="120" t="str">
        <f>IFERROR(VLOOKUP(Table1[RespondentID],'All Data'!$A$3:$CO$999,91,FALSE),"unknown")</f>
        <v>Two or more races</v>
      </c>
      <c r="AK76" s="120" t="str">
        <f>IFERROR(VLOOKUP(Table1[RespondentID],'All Data'!$A$3:$CO$999,92,FALSE),"unknown")</f>
        <v>Hispanic or Latino</v>
      </c>
      <c r="AL76" s="120" t="str">
        <f>IFERROR(VLOOKUP(Table1[RespondentID],'All Data'!$A$3:$CO$999,93,FALSE),"unknown")</f>
        <v>English</v>
      </c>
      <c r="AM76" s="120" t="str">
        <f>IFERROR(VLOOKUP(Table1[RespondentID],'All Data'!$A$3:$CW$999,94,FALSE),"unknown")</f>
        <v>$50,000 to $74,999</v>
      </c>
      <c r="AN76" s="120" t="str">
        <f>IFERROR(VLOOKUP(Table1[RespondentID],'All Data'!$A$3:$CW$999,95,FALSE),"unknown")</f>
        <v>College graduate</v>
      </c>
      <c r="AO76" s="120" t="str">
        <f>IFERROR(VLOOKUP(Table1[RespondentID],'All Data'!$A$3:$CW$999,96,FALSE),"unknown")</f>
        <v>Self-employed</v>
      </c>
      <c r="AP76" s="120" t="str">
        <f>IFERROR(VLOOKUP(Table1[RespondentID],'All Data'!$A$3:$CW$999,97,FALSE),"unknown")</f>
        <v>Yes</v>
      </c>
      <c r="AQ76" s="120" t="str">
        <f>IFERROR(VLOOKUP(Table1[RespondentID],'All Data'!$A$3:$CW$999,98,FALSE),"unknown")</f>
        <v>Private/Commercial</v>
      </c>
      <c r="AR76" s="120">
        <f>IFERROR(VLOOKUP(Table1[RespondentID],'All Data'!$A$3:$CW$999,99,FALSE),"unknown")</f>
        <v>0</v>
      </c>
    </row>
    <row r="77" spans="1:44" ht="16">
      <c r="A77" s="5">
        <v>18024285770</v>
      </c>
      <c r="B77" s="5"/>
      <c r="C77" s="5" t="s">
        <v>30</v>
      </c>
      <c r="D77" s="5"/>
      <c r="E77" s="5"/>
      <c r="F77" s="5"/>
      <c r="G77" s="5"/>
      <c r="H77" s="5"/>
      <c r="I77" s="5"/>
      <c r="J77" s="5"/>
      <c r="K77" s="5"/>
      <c r="L77" s="9"/>
      <c r="M77" s="9">
        <f t="shared" si="15"/>
        <v>1</v>
      </c>
      <c r="N77" s="9">
        <f t="shared" si="16"/>
        <v>3</v>
      </c>
      <c r="O77" s="9"/>
      <c r="P77" s="9">
        <f t="shared" si="17"/>
        <v>0</v>
      </c>
      <c r="Q77" s="9">
        <f t="shared" si="18"/>
        <v>1</v>
      </c>
      <c r="R77" s="9">
        <f t="shared" si="19"/>
        <v>0</v>
      </c>
      <c r="S77" s="9">
        <f t="shared" si="20"/>
        <v>0</v>
      </c>
      <c r="T77" s="9">
        <f t="shared" si="21"/>
        <v>0</v>
      </c>
      <c r="U77" s="9">
        <f t="shared" si="22"/>
        <v>0</v>
      </c>
      <c r="V77" s="153">
        <f t="shared" si="23"/>
        <v>0</v>
      </c>
      <c r="W77" s="9">
        <f t="shared" si="24"/>
        <v>0</v>
      </c>
      <c r="X77" s="9">
        <f t="shared" si="25"/>
        <v>0</v>
      </c>
      <c r="Y77" s="9">
        <f t="shared" si="26"/>
        <v>0</v>
      </c>
      <c r="Z77" s="9"/>
      <c r="AA77" s="9"/>
      <c r="AB77" s="9">
        <f t="shared" si="29"/>
        <v>1</v>
      </c>
      <c r="AC77" s="9">
        <f t="shared" si="27"/>
        <v>1</v>
      </c>
      <c r="AD77" s="9" t="str">
        <f t="shared" si="28"/>
        <v>Correct</v>
      </c>
      <c r="AE77" s="9"/>
      <c r="AF77" s="120" t="str">
        <f>IFERROR(VLOOKUP(Table1[RespondentID],'All Data'!$A$3:$CO$999,87,FALSE),"unknown")</f>
        <v>Man</v>
      </c>
      <c r="AG77" s="120">
        <f>IFERROR(VLOOKUP(Table1[RespondentID],'All Data'!$A$3:$CO$999,88,FALSE),"unknown")</f>
        <v>0</v>
      </c>
      <c r="AH77" s="120" t="str">
        <f>IFERROR(VLOOKUP(Table1[RespondentID],'All Data'!$A$3:$CO$999,89,FALSE),"unknown")</f>
        <v>Suffolk</v>
      </c>
      <c r="AI77" s="120" t="str">
        <f>IFERROR(VLOOKUP(Table1[RespondentID],'All Data'!$A$3:$CO$999,90,FALSE),"unknown")</f>
        <v>Smithtown, 11787</v>
      </c>
      <c r="AJ77" s="120" t="str">
        <f>IFERROR(VLOOKUP(Table1[RespondentID],'All Data'!$A$3:$CO$999,91,FALSE),"unknown")</f>
        <v>White</v>
      </c>
      <c r="AK77" s="120" t="str">
        <f>IFERROR(VLOOKUP(Table1[RespondentID],'All Data'!$A$3:$CO$999,92,FALSE),"unknown")</f>
        <v>Not Hispanic or Latino</v>
      </c>
      <c r="AL77" s="120" t="str">
        <f>IFERROR(VLOOKUP(Table1[RespondentID],'All Data'!$A$3:$CO$999,93,FALSE),"unknown")</f>
        <v>English</v>
      </c>
      <c r="AM77" s="120" t="str">
        <f>IFERROR(VLOOKUP(Table1[RespondentID],'All Data'!$A$3:$CW$999,94,FALSE),"unknown")</f>
        <v>$0-$19,999</v>
      </c>
      <c r="AN77" s="120" t="str">
        <f>IFERROR(VLOOKUP(Table1[RespondentID],'All Data'!$A$3:$CW$999,95,FALSE),"unknown")</f>
        <v>High school graduate</v>
      </c>
      <c r="AO77" s="120" t="str">
        <f>IFERROR(VLOOKUP(Table1[RespondentID],'All Data'!$A$3:$CW$999,96,FALSE),"unknown")</f>
        <v>Out of work, but not currently looking</v>
      </c>
      <c r="AP77" s="120" t="str">
        <f>IFERROR(VLOOKUP(Table1[RespondentID],'All Data'!$A$3:$CW$999,97,FALSE),"unknown")</f>
        <v>Yes</v>
      </c>
      <c r="AQ77" s="120" t="str">
        <f>IFERROR(VLOOKUP(Table1[RespondentID],'All Data'!$A$3:$CW$999,98,FALSE),"unknown")</f>
        <v>Medicaid</v>
      </c>
      <c r="AR77" s="120" t="str">
        <f>IFERROR(VLOOKUP(Table1[RespondentID],'All Data'!$A$3:$CW$999,99,FALSE),"unknown")</f>
        <v>Yes</v>
      </c>
    </row>
    <row r="78" spans="1:44" ht="16">
      <c r="A78" s="5">
        <v>18024204548</v>
      </c>
      <c r="B78" s="5"/>
      <c r="C78" s="5"/>
      <c r="D78" s="5"/>
      <c r="E78" s="5"/>
      <c r="F78" s="5"/>
      <c r="G78" s="5"/>
      <c r="H78" s="5"/>
      <c r="I78" s="5"/>
      <c r="J78" s="5"/>
      <c r="K78" s="5"/>
      <c r="L78" s="8"/>
      <c r="M78" s="8">
        <f t="shared" si="15"/>
        <v>0</v>
      </c>
      <c r="N78" s="8" t="e">
        <f t="shared" si="16"/>
        <v>#DIV/0!</v>
      </c>
      <c r="O78" s="8"/>
      <c r="P78" s="8">
        <f t="shared" si="17"/>
        <v>0</v>
      </c>
      <c r="Q78" s="8">
        <f t="shared" si="18"/>
        <v>0</v>
      </c>
      <c r="R78" s="8">
        <f t="shared" si="19"/>
        <v>0</v>
      </c>
      <c r="S78" s="8">
        <f t="shared" si="20"/>
        <v>0</v>
      </c>
      <c r="T78" s="8">
        <f t="shared" si="21"/>
        <v>0</v>
      </c>
      <c r="U78" s="8">
        <f t="shared" si="22"/>
        <v>0</v>
      </c>
      <c r="V78" s="153">
        <f t="shared" si="23"/>
        <v>0</v>
      </c>
      <c r="W78" s="8">
        <f t="shared" si="24"/>
        <v>0</v>
      </c>
      <c r="X78" s="8">
        <f t="shared" si="25"/>
        <v>0</v>
      </c>
      <c r="Y78" s="8">
        <f t="shared" si="26"/>
        <v>0</v>
      </c>
      <c r="Z78" s="8"/>
      <c r="AA78" s="8"/>
      <c r="AB78" s="8">
        <f t="shared" si="29"/>
        <v>0</v>
      </c>
      <c r="AC78" s="8">
        <f t="shared" si="27"/>
        <v>0</v>
      </c>
      <c r="AD78" s="8" t="str">
        <f t="shared" si="28"/>
        <v>Correct</v>
      </c>
      <c r="AE78" s="8"/>
      <c r="AF78" s="120">
        <f>IFERROR(VLOOKUP(Table1[RespondentID],'All Data'!$A$3:$CO$999,87,FALSE),"unknown")</f>
        <v>0</v>
      </c>
      <c r="AG78" s="120">
        <f>IFERROR(VLOOKUP(Table1[RespondentID],'All Data'!$A$3:$CO$999,88,FALSE),"unknown")</f>
        <v>0</v>
      </c>
      <c r="AH78" s="120">
        <f>IFERROR(VLOOKUP(Table1[RespondentID],'All Data'!$A$3:$CO$999,89,FALSE),"unknown")</f>
        <v>0</v>
      </c>
      <c r="AI78" s="120" t="str">
        <f>IFERROR(VLOOKUP(Table1[RespondentID],'All Data'!$A$3:$CO$999,90,FALSE),"unknown")</f>
        <v>Allenwood, 11021</v>
      </c>
      <c r="AJ78" s="120">
        <f>IFERROR(VLOOKUP(Table1[RespondentID],'All Data'!$A$3:$CO$999,91,FALSE),"unknown")</f>
        <v>0</v>
      </c>
      <c r="AK78" s="120">
        <f>IFERROR(VLOOKUP(Table1[RespondentID],'All Data'!$A$3:$CO$999,92,FALSE),"unknown")</f>
        <v>0</v>
      </c>
      <c r="AL78" s="120">
        <f>IFERROR(VLOOKUP(Table1[RespondentID],'All Data'!$A$3:$CO$999,93,FALSE),"unknown")</f>
        <v>0</v>
      </c>
      <c r="AM78" s="120">
        <f>IFERROR(VLOOKUP(Table1[RespondentID],'All Data'!$A$3:$CW$999,94,FALSE),"unknown")</f>
        <v>0</v>
      </c>
      <c r="AN78" s="120">
        <f>IFERROR(VLOOKUP(Table1[RespondentID],'All Data'!$A$3:$CW$999,95,FALSE),"unknown")</f>
        <v>0</v>
      </c>
      <c r="AO78" s="120">
        <f>IFERROR(VLOOKUP(Table1[RespondentID],'All Data'!$A$3:$CW$999,96,FALSE),"unknown")</f>
        <v>0</v>
      </c>
      <c r="AP78" s="120">
        <f>IFERROR(VLOOKUP(Table1[RespondentID],'All Data'!$A$3:$CW$999,97,FALSE),"unknown")</f>
        <v>0</v>
      </c>
      <c r="AQ78" s="120">
        <f>IFERROR(VLOOKUP(Table1[RespondentID],'All Data'!$A$3:$CW$999,98,FALSE),"unknown")</f>
        <v>0</v>
      </c>
      <c r="AR78" s="120">
        <f>IFERROR(VLOOKUP(Table1[RespondentID],'All Data'!$A$3:$CW$999,99,FALSE),"unknown")</f>
        <v>0</v>
      </c>
    </row>
    <row r="79" spans="1:44" ht="16">
      <c r="A79" s="5">
        <v>18024007695</v>
      </c>
      <c r="B79" s="5"/>
      <c r="C79" s="5"/>
      <c r="D79" s="5"/>
      <c r="E79" s="5"/>
      <c r="F79" s="5"/>
      <c r="G79" s="5"/>
      <c r="H79" s="5"/>
      <c r="I79" s="5"/>
      <c r="J79" s="5"/>
      <c r="K79" s="5"/>
      <c r="L79" s="9"/>
      <c r="M79" s="9">
        <f t="shared" si="15"/>
        <v>0</v>
      </c>
      <c r="N79" s="9" t="e">
        <f t="shared" si="16"/>
        <v>#DIV/0!</v>
      </c>
      <c r="O79" s="9"/>
      <c r="P79" s="9">
        <f t="shared" si="17"/>
        <v>0</v>
      </c>
      <c r="Q79" s="9">
        <f t="shared" si="18"/>
        <v>0</v>
      </c>
      <c r="R79" s="9">
        <f t="shared" si="19"/>
        <v>0</v>
      </c>
      <c r="S79" s="9">
        <f t="shared" si="20"/>
        <v>0</v>
      </c>
      <c r="T79" s="9">
        <f t="shared" si="21"/>
        <v>0</v>
      </c>
      <c r="U79" s="9">
        <f t="shared" si="22"/>
        <v>0</v>
      </c>
      <c r="V79" s="153">
        <f t="shared" si="23"/>
        <v>0</v>
      </c>
      <c r="W79" s="9">
        <f t="shared" si="24"/>
        <v>0</v>
      </c>
      <c r="X79" s="9">
        <f t="shared" si="25"/>
        <v>0</v>
      </c>
      <c r="Y79" s="9">
        <f t="shared" si="26"/>
        <v>0</v>
      </c>
      <c r="Z79" s="9"/>
      <c r="AA79" s="9"/>
      <c r="AB79" s="9">
        <f t="shared" si="29"/>
        <v>0</v>
      </c>
      <c r="AC79" s="9">
        <f t="shared" si="27"/>
        <v>0</v>
      </c>
      <c r="AD79" s="9" t="str">
        <f t="shared" si="28"/>
        <v>Correct</v>
      </c>
      <c r="AE79" s="9"/>
      <c r="AF79" s="120">
        <f>IFERROR(VLOOKUP(Table1[RespondentID],'All Data'!$A$3:$CO$999,87,FALSE),"unknown")</f>
        <v>0</v>
      </c>
      <c r="AG79" s="120">
        <f>IFERROR(VLOOKUP(Table1[RespondentID],'All Data'!$A$3:$CO$999,88,FALSE),"unknown")</f>
        <v>0</v>
      </c>
      <c r="AH79" s="120">
        <f>IFERROR(VLOOKUP(Table1[RespondentID],'All Data'!$A$3:$CO$999,89,FALSE),"unknown")</f>
        <v>0</v>
      </c>
      <c r="AI79" s="120" t="str">
        <f>IFERROR(VLOOKUP(Table1[RespondentID],'All Data'!$A$3:$CO$999,90,FALSE),"unknown")</f>
        <v>Albertson, 11507</v>
      </c>
      <c r="AJ79" s="120">
        <f>IFERROR(VLOOKUP(Table1[RespondentID],'All Data'!$A$3:$CO$999,91,FALSE),"unknown")</f>
        <v>0</v>
      </c>
      <c r="AK79" s="120">
        <f>IFERROR(VLOOKUP(Table1[RespondentID],'All Data'!$A$3:$CO$999,92,FALSE),"unknown")</f>
        <v>0</v>
      </c>
      <c r="AL79" s="120">
        <f>IFERROR(VLOOKUP(Table1[RespondentID],'All Data'!$A$3:$CO$999,93,FALSE),"unknown")</f>
        <v>0</v>
      </c>
      <c r="AM79" s="120">
        <f>IFERROR(VLOOKUP(Table1[RespondentID],'All Data'!$A$3:$CW$999,94,FALSE),"unknown")</f>
        <v>0</v>
      </c>
      <c r="AN79" s="120">
        <f>IFERROR(VLOOKUP(Table1[RespondentID],'All Data'!$A$3:$CW$999,95,FALSE),"unknown")</f>
        <v>0</v>
      </c>
      <c r="AO79" s="120">
        <f>IFERROR(VLOOKUP(Table1[RespondentID],'All Data'!$A$3:$CW$999,96,FALSE),"unknown")</f>
        <v>0</v>
      </c>
      <c r="AP79" s="120">
        <f>IFERROR(VLOOKUP(Table1[RespondentID],'All Data'!$A$3:$CW$999,97,FALSE),"unknown")</f>
        <v>0</v>
      </c>
      <c r="AQ79" s="120">
        <f>IFERROR(VLOOKUP(Table1[RespondentID],'All Data'!$A$3:$CW$999,98,FALSE),"unknown")</f>
        <v>0</v>
      </c>
      <c r="AR79" s="120">
        <f>IFERROR(VLOOKUP(Table1[RespondentID],'All Data'!$A$3:$CW$999,99,FALSE),"unknown")</f>
        <v>0</v>
      </c>
    </row>
    <row r="80" spans="1:44" ht="16">
      <c r="A80" s="5">
        <v>18023492246</v>
      </c>
      <c r="B80" s="5"/>
      <c r="C80" s="5"/>
      <c r="D80" s="5"/>
      <c r="E80" s="5"/>
      <c r="F80" s="5"/>
      <c r="G80" s="5"/>
      <c r="H80" s="5"/>
      <c r="I80" s="5"/>
      <c r="J80" s="5"/>
      <c r="K80" s="5"/>
      <c r="L80" s="8"/>
      <c r="M80" s="8">
        <f t="shared" si="15"/>
        <v>0</v>
      </c>
      <c r="N80" s="8" t="e">
        <f t="shared" si="16"/>
        <v>#DIV/0!</v>
      </c>
      <c r="O80" s="8"/>
      <c r="P80" s="8">
        <f t="shared" si="17"/>
        <v>0</v>
      </c>
      <c r="Q80" s="8">
        <f t="shared" si="18"/>
        <v>0</v>
      </c>
      <c r="R80" s="8">
        <f t="shared" si="19"/>
        <v>0</v>
      </c>
      <c r="S80" s="8">
        <f t="shared" si="20"/>
        <v>0</v>
      </c>
      <c r="T80" s="8">
        <f t="shared" si="21"/>
        <v>0</v>
      </c>
      <c r="U80" s="8">
        <f t="shared" si="22"/>
        <v>0</v>
      </c>
      <c r="V80" s="153">
        <f t="shared" si="23"/>
        <v>0</v>
      </c>
      <c r="W80" s="8">
        <f t="shared" si="24"/>
        <v>0</v>
      </c>
      <c r="X80" s="8">
        <f t="shared" si="25"/>
        <v>0</v>
      </c>
      <c r="Y80" s="8">
        <f t="shared" si="26"/>
        <v>0</v>
      </c>
      <c r="Z80" s="8"/>
      <c r="AA80" s="8"/>
      <c r="AB80" s="8">
        <f t="shared" si="29"/>
        <v>0</v>
      </c>
      <c r="AC80" s="8">
        <f t="shared" si="27"/>
        <v>0</v>
      </c>
      <c r="AD80" s="8" t="str">
        <f t="shared" si="28"/>
        <v>Correct</v>
      </c>
      <c r="AE80" s="8"/>
      <c r="AF80" s="120">
        <f>IFERROR(VLOOKUP(Table1[RespondentID],'All Data'!$A$3:$CO$999,87,FALSE),"unknown")</f>
        <v>0</v>
      </c>
      <c r="AG80" s="120">
        <f>IFERROR(VLOOKUP(Table1[RespondentID],'All Data'!$A$3:$CO$999,88,FALSE),"unknown")</f>
        <v>0</v>
      </c>
      <c r="AH80" s="120">
        <f>IFERROR(VLOOKUP(Table1[RespondentID],'All Data'!$A$3:$CO$999,89,FALSE),"unknown")</f>
        <v>0</v>
      </c>
      <c r="AI80" s="120">
        <f>IFERROR(VLOOKUP(Table1[RespondentID],'All Data'!$A$3:$CO$999,90,FALSE),"unknown")</f>
        <v>0</v>
      </c>
      <c r="AJ80" s="120">
        <f>IFERROR(VLOOKUP(Table1[RespondentID],'All Data'!$A$3:$CO$999,91,FALSE),"unknown")</f>
        <v>0</v>
      </c>
      <c r="AK80" s="120">
        <f>IFERROR(VLOOKUP(Table1[RespondentID],'All Data'!$A$3:$CO$999,92,FALSE),"unknown")</f>
        <v>0</v>
      </c>
      <c r="AL80" s="120">
        <f>IFERROR(VLOOKUP(Table1[RespondentID],'All Data'!$A$3:$CO$999,93,FALSE),"unknown")</f>
        <v>0</v>
      </c>
      <c r="AM80" s="120">
        <f>IFERROR(VLOOKUP(Table1[RespondentID],'All Data'!$A$3:$CW$999,94,FALSE),"unknown")</f>
        <v>0</v>
      </c>
      <c r="AN80" s="120">
        <f>IFERROR(VLOOKUP(Table1[RespondentID],'All Data'!$A$3:$CW$999,95,FALSE),"unknown")</f>
        <v>0</v>
      </c>
      <c r="AO80" s="120">
        <f>IFERROR(VLOOKUP(Table1[RespondentID],'All Data'!$A$3:$CW$999,96,FALSE),"unknown")</f>
        <v>0</v>
      </c>
      <c r="AP80" s="120">
        <f>IFERROR(VLOOKUP(Table1[RespondentID],'All Data'!$A$3:$CW$999,97,FALSE),"unknown")</f>
        <v>0</v>
      </c>
      <c r="AQ80" s="120">
        <f>IFERROR(VLOOKUP(Table1[RespondentID],'All Data'!$A$3:$CW$999,98,FALSE),"unknown")</f>
        <v>0</v>
      </c>
      <c r="AR80" s="120">
        <f>IFERROR(VLOOKUP(Table1[RespondentID],'All Data'!$A$3:$CW$999,99,FALSE),"unknown")</f>
        <v>0</v>
      </c>
    </row>
    <row r="81" spans="1:44" ht="16">
      <c r="A81" s="5">
        <v>18023288956</v>
      </c>
      <c r="B81" s="5"/>
      <c r="C81" s="5"/>
      <c r="D81" s="5"/>
      <c r="E81" s="5" t="s">
        <v>32</v>
      </c>
      <c r="F81" s="5"/>
      <c r="G81" s="5"/>
      <c r="H81" s="5"/>
      <c r="I81" s="5" t="s">
        <v>36</v>
      </c>
      <c r="J81" s="5"/>
      <c r="K81" s="5" t="s">
        <v>375</v>
      </c>
      <c r="L81" s="9"/>
      <c r="M81" s="9">
        <f t="shared" si="15"/>
        <v>3</v>
      </c>
      <c r="N81" s="9">
        <f t="shared" si="16"/>
        <v>1</v>
      </c>
      <c r="O81" s="9"/>
      <c r="P81" s="9">
        <f t="shared" si="17"/>
        <v>0</v>
      </c>
      <c r="Q81" s="9">
        <f t="shared" si="18"/>
        <v>0</v>
      </c>
      <c r="R81" s="9">
        <f t="shared" si="19"/>
        <v>0</v>
      </c>
      <c r="S81" s="9">
        <f t="shared" si="20"/>
        <v>1</v>
      </c>
      <c r="T81" s="9">
        <f t="shared" si="21"/>
        <v>0</v>
      </c>
      <c r="U81" s="9">
        <f t="shared" si="22"/>
        <v>0</v>
      </c>
      <c r="V81" s="153">
        <f t="shared" si="23"/>
        <v>0</v>
      </c>
      <c r="W81" s="9">
        <f t="shared" si="24"/>
        <v>1</v>
      </c>
      <c r="X81" s="9">
        <f t="shared" si="25"/>
        <v>0</v>
      </c>
      <c r="Y81" s="9">
        <f t="shared" si="26"/>
        <v>1</v>
      </c>
      <c r="Z81" s="9"/>
      <c r="AA81" s="9"/>
      <c r="AB81" s="9">
        <f t="shared" si="29"/>
        <v>3</v>
      </c>
      <c r="AC81" s="9">
        <f t="shared" si="27"/>
        <v>3</v>
      </c>
      <c r="AD81" s="9" t="str">
        <f t="shared" si="28"/>
        <v>Correct</v>
      </c>
      <c r="AE81" s="9"/>
      <c r="AF81" s="120" t="str">
        <f>IFERROR(VLOOKUP(Table1[RespondentID],'All Data'!$A$3:$CO$999,87,FALSE),"unknown")</f>
        <v>Woman</v>
      </c>
      <c r="AG81" s="120">
        <f>IFERROR(VLOOKUP(Table1[RespondentID],'All Data'!$A$3:$CO$999,88,FALSE),"unknown")</f>
        <v>33</v>
      </c>
      <c r="AH81" s="120" t="str">
        <f>IFERROR(VLOOKUP(Table1[RespondentID],'All Data'!$A$3:$CO$999,89,FALSE),"unknown")</f>
        <v>Suffolk</v>
      </c>
      <c r="AI81" s="120" t="str">
        <f>IFERROR(VLOOKUP(Table1[RespondentID],'All Data'!$A$3:$CO$999,90,FALSE),"unknown")</f>
        <v>Deer Park, 11729</v>
      </c>
      <c r="AJ81" s="120" t="str">
        <f>IFERROR(VLOOKUP(Table1[RespondentID],'All Data'!$A$3:$CO$999,91,FALSE),"unknown")</f>
        <v>Asian</v>
      </c>
      <c r="AK81" s="120">
        <f>IFERROR(VLOOKUP(Table1[RespondentID],'All Data'!$A$3:$CO$999,92,FALSE),"unknown")</f>
        <v>0</v>
      </c>
      <c r="AL81" s="120" t="str">
        <f>IFERROR(VLOOKUP(Table1[RespondentID],'All Data'!$A$3:$CO$999,93,FALSE),"unknown")</f>
        <v>English</v>
      </c>
      <c r="AM81" s="120" t="str">
        <f>IFERROR(VLOOKUP(Table1[RespondentID],'All Data'!$A$3:$CW$999,94,FALSE),"unknown")</f>
        <v>$50,000 to $74,999</v>
      </c>
      <c r="AN81" s="120" t="str">
        <f>IFERROR(VLOOKUP(Table1[RespondentID],'All Data'!$A$3:$CW$999,95,FALSE),"unknown")</f>
        <v>Some college</v>
      </c>
      <c r="AO81" s="120" t="str">
        <f>IFERROR(VLOOKUP(Table1[RespondentID],'All Data'!$A$3:$CW$999,96,FALSE),"unknown")</f>
        <v>Employed for wages</v>
      </c>
      <c r="AP81" s="120" t="str">
        <f>IFERROR(VLOOKUP(Table1[RespondentID],'All Data'!$A$3:$CW$999,97,FALSE),"unknown")</f>
        <v>Yes</v>
      </c>
      <c r="AQ81" s="120">
        <f>IFERROR(VLOOKUP(Table1[RespondentID],'All Data'!$A$3:$CW$999,98,FALSE),"unknown")</f>
        <v>0</v>
      </c>
      <c r="AR81" s="120">
        <f>IFERROR(VLOOKUP(Table1[RespondentID],'All Data'!$A$3:$CW$999,99,FALSE),"unknown")</f>
        <v>0</v>
      </c>
    </row>
    <row r="82" spans="1:44" ht="16">
      <c r="A82" s="5">
        <v>18023288812</v>
      </c>
      <c r="B82" s="5"/>
      <c r="C82" s="5"/>
      <c r="D82" s="5" t="s">
        <v>31</v>
      </c>
      <c r="E82" s="5"/>
      <c r="F82" s="5"/>
      <c r="G82" s="5"/>
      <c r="H82" s="5"/>
      <c r="I82" s="5" t="s">
        <v>36</v>
      </c>
      <c r="J82" s="5"/>
      <c r="K82" s="5"/>
      <c r="L82" s="8"/>
      <c r="M82" s="8">
        <f t="shared" si="15"/>
        <v>2</v>
      </c>
      <c r="N82" s="8">
        <f t="shared" si="16"/>
        <v>1.5</v>
      </c>
      <c r="O82" s="8"/>
      <c r="P82" s="8">
        <f t="shared" si="17"/>
        <v>0</v>
      </c>
      <c r="Q82" s="8">
        <f t="shared" si="18"/>
        <v>0</v>
      </c>
      <c r="R82" s="8">
        <f t="shared" si="19"/>
        <v>1</v>
      </c>
      <c r="S82" s="8">
        <f t="shared" si="20"/>
        <v>0</v>
      </c>
      <c r="T82" s="8">
        <f t="shared" si="21"/>
        <v>0</v>
      </c>
      <c r="U82" s="8">
        <f t="shared" si="22"/>
        <v>0</v>
      </c>
      <c r="V82" s="153">
        <f t="shared" si="23"/>
        <v>0</v>
      </c>
      <c r="W82" s="8">
        <f t="shared" si="24"/>
        <v>1</v>
      </c>
      <c r="X82" s="8">
        <f t="shared" si="25"/>
        <v>0</v>
      </c>
      <c r="Y82" s="8">
        <f t="shared" si="26"/>
        <v>0</v>
      </c>
      <c r="Z82" s="8"/>
      <c r="AA82" s="8"/>
      <c r="AB82" s="8">
        <f t="shared" si="29"/>
        <v>2</v>
      </c>
      <c r="AC82" s="8">
        <f t="shared" si="27"/>
        <v>2</v>
      </c>
      <c r="AD82" s="8" t="str">
        <f t="shared" si="28"/>
        <v>Correct</v>
      </c>
      <c r="AE82" s="8"/>
      <c r="AF82" s="120" t="str">
        <f>IFERROR(VLOOKUP(Table1[RespondentID],'All Data'!$A$3:$CO$999,87,FALSE),"unknown")</f>
        <v>Man</v>
      </c>
      <c r="AG82" s="120">
        <f>IFERROR(VLOOKUP(Table1[RespondentID],'All Data'!$A$3:$CO$999,88,FALSE),"unknown")</f>
        <v>18</v>
      </c>
      <c r="AH82" s="120" t="str">
        <f>IFERROR(VLOOKUP(Table1[RespondentID],'All Data'!$A$3:$CO$999,89,FALSE),"unknown")</f>
        <v>Suffolk</v>
      </c>
      <c r="AI82" s="120" t="str">
        <f>IFERROR(VLOOKUP(Table1[RespondentID],'All Data'!$A$3:$CO$999,90,FALSE),"unknown")</f>
        <v>Huntington Station, 11746</v>
      </c>
      <c r="AJ82" s="120" t="str">
        <f>IFERROR(VLOOKUP(Table1[RespondentID],'All Data'!$A$3:$CO$999,91,FALSE),"unknown")</f>
        <v>White</v>
      </c>
      <c r="AK82" s="120" t="str">
        <f>IFERROR(VLOOKUP(Table1[RespondentID],'All Data'!$A$3:$CO$999,92,FALSE),"unknown")</f>
        <v>Hispanic or Latino</v>
      </c>
      <c r="AL82" s="120" t="str">
        <f>IFERROR(VLOOKUP(Table1[RespondentID],'All Data'!$A$3:$CO$999,93,FALSE),"unknown")</f>
        <v>English</v>
      </c>
      <c r="AM82" s="120" t="str">
        <f>IFERROR(VLOOKUP(Table1[RespondentID],'All Data'!$A$3:$CW$999,94,FALSE),"unknown")</f>
        <v>Over $125,000</v>
      </c>
      <c r="AN82" s="120" t="str">
        <f>IFERROR(VLOOKUP(Table1[RespondentID],'All Data'!$A$3:$CW$999,95,FALSE),"unknown")</f>
        <v>High school graduate</v>
      </c>
      <c r="AO82" s="120" t="str">
        <f>IFERROR(VLOOKUP(Table1[RespondentID],'All Data'!$A$3:$CW$999,96,FALSE),"unknown")</f>
        <v>Out of work, but not currently looking</v>
      </c>
      <c r="AP82" s="120" t="str">
        <f>IFERROR(VLOOKUP(Table1[RespondentID],'All Data'!$A$3:$CW$999,97,FALSE),"unknown")</f>
        <v>Yes</v>
      </c>
      <c r="AQ82" s="120" t="str">
        <f>IFERROR(VLOOKUP(Table1[RespondentID],'All Data'!$A$3:$CW$999,98,FALSE),"unknown")</f>
        <v>Medicaid</v>
      </c>
      <c r="AR82" s="120">
        <f>IFERROR(VLOOKUP(Table1[RespondentID],'All Data'!$A$3:$CW$999,99,FALSE),"unknown")</f>
        <v>0</v>
      </c>
    </row>
    <row r="83" spans="1:44" ht="16">
      <c r="A83" s="5">
        <v>18023288714</v>
      </c>
      <c r="B83" s="5"/>
      <c r="C83" s="5"/>
      <c r="D83" s="5" t="s">
        <v>31</v>
      </c>
      <c r="E83" s="5"/>
      <c r="F83" s="5"/>
      <c r="G83" s="5"/>
      <c r="H83" s="5"/>
      <c r="I83" s="5" t="s">
        <v>36</v>
      </c>
      <c r="J83" s="5"/>
      <c r="K83" s="5" t="s">
        <v>375</v>
      </c>
      <c r="L83" s="9"/>
      <c r="M83" s="9">
        <f t="shared" si="15"/>
        <v>3</v>
      </c>
      <c r="N83" s="9">
        <f t="shared" si="16"/>
        <v>1</v>
      </c>
      <c r="O83" s="9"/>
      <c r="P83" s="9">
        <f t="shared" si="17"/>
        <v>0</v>
      </c>
      <c r="Q83" s="9">
        <f t="shared" si="18"/>
        <v>0</v>
      </c>
      <c r="R83" s="9">
        <f t="shared" si="19"/>
        <v>1</v>
      </c>
      <c r="S83" s="9">
        <f t="shared" si="20"/>
        <v>0</v>
      </c>
      <c r="T83" s="9">
        <f t="shared" si="21"/>
        <v>0</v>
      </c>
      <c r="U83" s="9">
        <f t="shared" si="22"/>
        <v>0</v>
      </c>
      <c r="V83" s="153">
        <f t="shared" si="23"/>
        <v>0</v>
      </c>
      <c r="W83" s="9">
        <f t="shared" si="24"/>
        <v>1</v>
      </c>
      <c r="X83" s="9">
        <f t="shared" si="25"/>
        <v>0</v>
      </c>
      <c r="Y83" s="9">
        <f t="shared" si="26"/>
        <v>1</v>
      </c>
      <c r="Z83" s="9"/>
      <c r="AA83" s="9"/>
      <c r="AB83" s="9">
        <f t="shared" si="29"/>
        <v>3</v>
      </c>
      <c r="AC83" s="9">
        <f t="shared" si="27"/>
        <v>3</v>
      </c>
      <c r="AD83" s="9" t="str">
        <f t="shared" si="28"/>
        <v>Correct</v>
      </c>
      <c r="AE83" s="9"/>
      <c r="AF83" s="120" t="str">
        <f>IFERROR(VLOOKUP(Table1[RespondentID],'All Data'!$A$3:$CO$999,87,FALSE),"unknown")</f>
        <v>Woman</v>
      </c>
      <c r="AG83" s="120">
        <f>IFERROR(VLOOKUP(Table1[RespondentID],'All Data'!$A$3:$CO$999,88,FALSE),"unknown")</f>
        <v>53</v>
      </c>
      <c r="AH83" s="120" t="str">
        <f>IFERROR(VLOOKUP(Table1[RespondentID],'All Data'!$A$3:$CO$999,89,FALSE),"unknown")</f>
        <v>Suffolk</v>
      </c>
      <c r="AI83" s="120" t="str">
        <f>IFERROR(VLOOKUP(Table1[RespondentID],'All Data'!$A$3:$CO$999,90,FALSE),"unknown")</f>
        <v>Huntington Station, 11746</v>
      </c>
      <c r="AJ83" s="120" t="str">
        <f>IFERROR(VLOOKUP(Table1[RespondentID],'All Data'!$A$3:$CO$999,91,FALSE),"unknown")</f>
        <v>White</v>
      </c>
      <c r="AK83" s="120" t="str">
        <f>IFERROR(VLOOKUP(Table1[RespondentID],'All Data'!$A$3:$CO$999,92,FALSE),"unknown")</f>
        <v>Hispanic or Latino</v>
      </c>
      <c r="AL83" s="120" t="str">
        <f>IFERROR(VLOOKUP(Table1[RespondentID],'All Data'!$A$3:$CO$999,93,FALSE),"unknown")</f>
        <v>English</v>
      </c>
      <c r="AM83" s="120" t="str">
        <f>IFERROR(VLOOKUP(Table1[RespondentID],'All Data'!$A$3:$CW$999,94,FALSE),"unknown")</f>
        <v>Over $125,000</v>
      </c>
      <c r="AN83" s="120" t="str">
        <f>IFERROR(VLOOKUP(Table1[RespondentID],'All Data'!$A$3:$CW$999,95,FALSE),"unknown")</f>
        <v>College graduate</v>
      </c>
      <c r="AO83" s="120" t="str">
        <f>IFERROR(VLOOKUP(Table1[RespondentID],'All Data'!$A$3:$CW$999,96,FALSE),"unknown")</f>
        <v>Employed for wages</v>
      </c>
      <c r="AP83" s="120" t="str">
        <f>IFERROR(VLOOKUP(Table1[RespondentID],'All Data'!$A$3:$CW$999,97,FALSE),"unknown")</f>
        <v>Yes</v>
      </c>
      <c r="AQ83" s="120" t="str">
        <f>IFERROR(VLOOKUP(Table1[RespondentID],'All Data'!$A$3:$CW$999,98,FALSE),"unknown")</f>
        <v>Private/Commercial</v>
      </c>
      <c r="AR83" s="120">
        <f>IFERROR(VLOOKUP(Table1[RespondentID],'All Data'!$A$3:$CW$999,99,FALSE),"unknown")</f>
        <v>0</v>
      </c>
    </row>
    <row r="84" spans="1:44" ht="16">
      <c r="A84" s="5">
        <v>18023288631</v>
      </c>
      <c r="B84" s="5" t="s">
        <v>29</v>
      </c>
      <c r="C84" s="5"/>
      <c r="D84" s="5"/>
      <c r="E84" s="5"/>
      <c r="F84" s="5"/>
      <c r="G84" s="5" t="s">
        <v>34</v>
      </c>
      <c r="H84" s="5"/>
      <c r="I84" s="5"/>
      <c r="J84" s="5"/>
      <c r="K84" s="5"/>
      <c r="L84" s="8"/>
      <c r="M84" s="8">
        <f t="shared" si="15"/>
        <v>2</v>
      </c>
      <c r="N84" s="8">
        <f t="shared" si="16"/>
        <v>1.5</v>
      </c>
      <c r="O84" s="8"/>
      <c r="P84" s="8">
        <f t="shared" si="17"/>
        <v>1</v>
      </c>
      <c r="Q84" s="8">
        <f t="shared" si="18"/>
        <v>0</v>
      </c>
      <c r="R84" s="8">
        <f t="shared" si="19"/>
        <v>0</v>
      </c>
      <c r="S84" s="8">
        <f t="shared" si="20"/>
        <v>0</v>
      </c>
      <c r="T84" s="8">
        <f t="shared" si="21"/>
        <v>0</v>
      </c>
      <c r="U84" s="8">
        <f t="shared" si="22"/>
        <v>1</v>
      </c>
      <c r="V84" s="153">
        <f t="shared" si="23"/>
        <v>0</v>
      </c>
      <c r="W84" s="8">
        <f t="shared" si="24"/>
        <v>0</v>
      </c>
      <c r="X84" s="8">
        <f t="shared" si="25"/>
        <v>0</v>
      </c>
      <c r="Y84" s="8">
        <f t="shared" si="26"/>
        <v>0</v>
      </c>
      <c r="Z84" s="8"/>
      <c r="AA84" s="8"/>
      <c r="AB84" s="8">
        <f t="shared" si="29"/>
        <v>2</v>
      </c>
      <c r="AC84" s="8">
        <f t="shared" si="27"/>
        <v>2</v>
      </c>
      <c r="AD84" s="8" t="str">
        <f t="shared" si="28"/>
        <v>Correct</v>
      </c>
      <c r="AE84" s="8"/>
      <c r="AF84" s="120" t="str">
        <f>IFERROR(VLOOKUP(Table1[RespondentID],'All Data'!$A$3:$CO$999,87,FALSE),"unknown")</f>
        <v>Man</v>
      </c>
      <c r="AG84" s="120">
        <f>IFERROR(VLOOKUP(Table1[RespondentID],'All Data'!$A$3:$CO$999,88,FALSE),"unknown")</f>
        <v>49</v>
      </c>
      <c r="AH84" s="120" t="str">
        <f>IFERROR(VLOOKUP(Table1[RespondentID],'All Data'!$A$3:$CO$999,89,FALSE),"unknown")</f>
        <v>Suffolk</v>
      </c>
      <c r="AI84" s="120" t="str">
        <f>IFERROR(VLOOKUP(Table1[RespondentID],'All Data'!$A$3:$CO$999,90,FALSE),"unknown")</f>
        <v>Kings Park, 11754</v>
      </c>
      <c r="AJ84" s="120" t="str">
        <f>IFERROR(VLOOKUP(Table1[RespondentID],'All Data'!$A$3:$CO$999,91,FALSE),"unknown")</f>
        <v>White</v>
      </c>
      <c r="AK84" s="120" t="str">
        <f>IFERROR(VLOOKUP(Table1[RespondentID],'All Data'!$A$3:$CO$999,92,FALSE),"unknown")</f>
        <v>Hispanic or Latino</v>
      </c>
      <c r="AL84" s="120" t="str">
        <f>IFERROR(VLOOKUP(Table1[RespondentID],'All Data'!$A$3:$CO$999,93,FALSE),"unknown")</f>
        <v>English</v>
      </c>
      <c r="AM84" s="120" t="str">
        <f>IFERROR(VLOOKUP(Table1[RespondentID],'All Data'!$A$3:$CW$999,94,FALSE),"unknown")</f>
        <v>Over $125,000</v>
      </c>
      <c r="AN84" s="120" t="str">
        <f>IFERROR(VLOOKUP(Table1[RespondentID],'All Data'!$A$3:$CW$999,95,FALSE),"unknown")</f>
        <v>Graduate school</v>
      </c>
      <c r="AO84" s="120" t="str">
        <f>IFERROR(VLOOKUP(Table1[RespondentID],'All Data'!$A$3:$CW$999,96,FALSE),"unknown")</f>
        <v>Employed for wages</v>
      </c>
      <c r="AP84" s="120" t="str">
        <f>IFERROR(VLOOKUP(Table1[RespondentID],'All Data'!$A$3:$CW$999,97,FALSE),"unknown")</f>
        <v>Yes</v>
      </c>
      <c r="AQ84" s="120" t="str">
        <f>IFERROR(VLOOKUP(Table1[RespondentID],'All Data'!$A$3:$CW$999,98,FALSE),"unknown")</f>
        <v>Private/Commercial</v>
      </c>
      <c r="AR84" s="120">
        <f>IFERROR(VLOOKUP(Table1[RespondentID],'All Data'!$A$3:$CW$999,99,FALSE),"unknown")</f>
        <v>0</v>
      </c>
    </row>
    <row r="85" spans="1:44" ht="16">
      <c r="A85" s="5">
        <v>18023288504</v>
      </c>
      <c r="B85" s="5" t="s">
        <v>29</v>
      </c>
      <c r="C85" s="5"/>
      <c r="D85" s="5" t="s">
        <v>31</v>
      </c>
      <c r="E85" s="5"/>
      <c r="F85" s="5"/>
      <c r="G85" s="5"/>
      <c r="H85" s="5"/>
      <c r="I85" s="5"/>
      <c r="J85" s="5"/>
      <c r="K85" s="5"/>
      <c r="L85" s="9"/>
      <c r="M85" s="9">
        <f t="shared" si="15"/>
        <v>2</v>
      </c>
      <c r="N85" s="9">
        <f t="shared" si="16"/>
        <v>1.5</v>
      </c>
      <c r="O85" s="9"/>
      <c r="P85" s="9">
        <f t="shared" si="17"/>
        <v>1</v>
      </c>
      <c r="Q85" s="9">
        <f t="shared" si="18"/>
        <v>0</v>
      </c>
      <c r="R85" s="9">
        <f t="shared" si="19"/>
        <v>1</v>
      </c>
      <c r="S85" s="9">
        <f t="shared" si="20"/>
        <v>0</v>
      </c>
      <c r="T85" s="9">
        <f t="shared" si="21"/>
        <v>0</v>
      </c>
      <c r="U85" s="9">
        <f t="shared" si="22"/>
        <v>0</v>
      </c>
      <c r="V85" s="153">
        <f t="shared" si="23"/>
        <v>0</v>
      </c>
      <c r="W85" s="9">
        <f t="shared" si="24"/>
        <v>0</v>
      </c>
      <c r="X85" s="9">
        <f t="shared" si="25"/>
        <v>0</v>
      </c>
      <c r="Y85" s="9">
        <f t="shared" si="26"/>
        <v>0</v>
      </c>
      <c r="Z85" s="9"/>
      <c r="AA85" s="9"/>
      <c r="AB85" s="9">
        <f t="shared" si="29"/>
        <v>2</v>
      </c>
      <c r="AC85" s="9">
        <f t="shared" si="27"/>
        <v>2</v>
      </c>
      <c r="AD85" s="9" t="str">
        <f t="shared" si="28"/>
        <v>Correct</v>
      </c>
      <c r="AE85" s="9"/>
      <c r="AF85" s="120" t="str">
        <f>IFERROR(VLOOKUP(Table1[RespondentID],'All Data'!$A$3:$CO$999,87,FALSE),"unknown")</f>
        <v>Man</v>
      </c>
      <c r="AG85" s="120">
        <f>IFERROR(VLOOKUP(Table1[RespondentID],'All Data'!$A$3:$CO$999,88,FALSE),"unknown")</f>
        <v>59</v>
      </c>
      <c r="AH85" s="120" t="str">
        <f>IFERROR(VLOOKUP(Table1[RespondentID],'All Data'!$A$3:$CO$999,89,FALSE),"unknown")</f>
        <v>Suffolk</v>
      </c>
      <c r="AI85" s="120" t="str">
        <f>IFERROR(VLOOKUP(Table1[RespondentID],'All Data'!$A$3:$CO$999,90,FALSE),"unknown")</f>
        <v>Deer Park, 11729</v>
      </c>
      <c r="AJ85" s="120" t="str">
        <f>IFERROR(VLOOKUP(Table1[RespondentID],'All Data'!$A$3:$CO$999,91,FALSE),"unknown")</f>
        <v>White</v>
      </c>
      <c r="AK85" s="120" t="str">
        <f>IFERROR(VLOOKUP(Table1[RespondentID],'All Data'!$A$3:$CO$999,92,FALSE),"unknown")</f>
        <v>Hispanic or Latino</v>
      </c>
      <c r="AL85" s="120" t="str">
        <f>IFERROR(VLOOKUP(Table1[RespondentID],'All Data'!$A$3:$CO$999,93,FALSE),"unknown")</f>
        <v>English</v>
      </c>
      <c r="AM85" s="120" t="str">
        <f>IFERROR(VLOOKUP(Table1[RespondentID],'All Data'!$A$3:$CW$999,94,FALSE),"unknown")</f>
        <v>Over $125,000</v>
      </c>
      <c r="AN85" s="120" t="str">
        <f>IFERROR(VLOOKUP(Table1[RespondentID],'All Data'!$A$3:$CW$999,95,FALSE),"unknown")</f>
        <v>Graduate school</v>
      </c>
      <c r="AO85" s="120" t="str">
        <f>IFERROR(VLOOKUP(Table1[RespondentID],'All Data'!$A$3:$CW$999,96,FALSE),"unknown")</f>
        <v>Employed for wages</v>
      </c>
      <c r="AP85" s="120" t="str">
        <f>IFERROR(VLOOKUP(Table1[RespondentID],'All Data'!$A$3:$CW$999,97,FALSE),"unknown")</f>
        <v>Yes</v>
      </c>
      <c r="AQ85" s="120" t="str">
        <f>IFERROR(VLOOKUP(Table1[RespondentID],'All Data'!$A$3:$CW$999,98,FALSE),"unknown")</f>
        <v>Private/Commercial</v>
      </c>
      <c r="AR85" s="120">
        <f>IFERROR(VLOOKUP(Table1[RespondentID],'All Data'!$A$3:$CW$999,99,FALSE),"unknown")</f>
        <v>0</v>
      </c>
    </row>
    <row r="86" spans="1:44" ht="16">
      <c r="A86" s="5">
        <v>18023288405</v>
      </c>
      <c r="B86" s="5"/>
      <c r="C86" s="5"/>
      <c r="D86" s="5"/>
      <c r="E86" s="5"/>
      <c r="F86" s="5"/>
      <c r="G86" s="5"/>
      <c r="H86" s="5"/>
      <c r="I86" s="5"/>
      <c r="J86" s="5"/>
      <c r="K86" s="5" t="s">
        <v>375</v>
      </c>
      <c r="L86" s="8"/>
      <c r="M86" s="8">
        <f t="shared" si="15"/>
        <v>1</v>
      </c>
      <c r="N86" s="8">
        <f t="shared" si="16"/>
        <v>3</v>
      </c>
      <c r="O86" s="8"/>
      <c r="P86" s="8">
        <f t="shared" si="17"/>
        <v>0</v>
      </c>
      <c r="Q86" s="8">
        <f t="shared" si="18"/>
        <v>0</v>
      </c>
      <c r="R86" s="8">
        <f t="shared" si="19"/>
        <v>0</v>
      </c>
      <c r="S86" s="8">
        <f t="shared" si="20"/>
        <v>0</v>
      </c>
      <c r="T86" s="8">
        <f t="shared" si="21"/>
        <v>0</v>
      </c>
      <c r="U86" s="8">
        <f t="shared" si="22"/>
        <v>0</v>
      </c>
      <c r="V86" s="153">
        <f t="shared" si="23"/>
        <v>0</v>
      </c>
      <c r="W86" s="8">
        <f t="shared" si="24"/>
        <v>0</v>
      </c>
      <c r="X86" s="8">
        <f t="shared" si="25"/>
        <v>0</v>
      </c>
      <c r="Y86" s="8">
        <f t="shared" si="26"/>
        <v>1</v>
      </c>
      <c r="Z86" s="8"/>
      <c r="AA86" s="8"/>
      <c r="AB86" s="8">
        <f t="shared" si="29"/>
        <v>1</v>
      </c>
      <c r="AC86" s="8">
        <f t="shared" si="27"/>
        <v>1</v>
      </c>
      <c r="AD86" s="8" t="str">
        <f t="shared" si="28"/>
        <v>Correct</v>
      </c>
      <c r="AE86" s="8"/>
      <c r="AF86" s="120" t="str">
        <f>IFERROR(VLOOKUP(Table1[RespondentID],'All Data'!$A$3:$CO$999,87,FALSE),"unknown")</f>
        <v>Man</v>
      </c>
      <c r="AG86" s="120">
        <f>IFERROR(VLOOKUP(Table1[RespondentID],'All Data'!$A$3:$CO$999,88,FALSE),"unknown")</f>
        <v>57</v>
      </c>
      <c r="AH86" s="120" t="str">
        <f>IFERROR(VLOOKUP(Table1[RespondentID],'All Data'!$A$3:$CO$999,89,FALSE),"unknown")</f>
        <v>Suffolk</v>
      </c>
      <c r="AI86" s="120" t="str">
        <f>IFERROR(VLOOKUP(Table1[RespondentID],'All Data'!$A$3:$CO$999,90,FALSE),"unknown")</f>
        <v>Kings Park, 11754</v>
      </c>
      <c r="AJ86" s="120" t="str">
        <f>IFERROR(VLOOKUP(Table1[RespondentID],'All Data'!$A$3:$CO$999,91,FALSE),"unknown")</f>
        <v>White</v>
      </c>
      <c r="AK86" s="120" t="str">
        <f>IFERROR(VLOOKUP(Table1[RespondentID],'All Data'!$A$3:$CO$999,92,FALSE),"unknown")</f>
        <v>Hispanic or Latino</v>
      </c>
      <c r="AL86" s="120" t="str">
        <f>IFERROR(VLOOKUP(Table1[RespondentID],'All Data'!$A$3:$CO$999,93,FALSE),"unknown")</f>
        <v>English</v>
      </c>
      <c r="AM86" s="120" t="str">
        <f>IFERROR(VLOOKUP(Table1[RespondentID],'All Data'!$A$3:$CW$999,94,FALSE),"unknown")</f>
        <v>Over $125,000</v>
      </c>
      <c r="AN86" s="120" t="str">
        <f>IFERROR(VLOOKUP(Table1[RespondentID],'All Data'!$A$3:$CW$999,95,FALSE),"unknown")</f>
        <v>Graduate school</v>
      </c>
      <c r="AO86" s="120" t="str">
        <f>IFERROR(VLOOKUP(Table1[RespondentID],'All Data'!$A$3:$CW$999,96,FALSE),"unknown")</f>
        <v>Employed for wages</v>
      </c>
      <c r="AP86" s="120" t="str">
        <f>IFERROR(VLOOKUP(Table1[RespondentID],'All Data'!$A$3:$CW$999,97,FALSE),"unknown")</f>
        <v>Yes</v>
      </c>
      <c r="AQ86" s="120" t="str">
        <f>IFERROR(VLOOKUP(Table1[RespondentID],'All Data'!$A$3:$CW$999,98,FALSE),"unknown")</f>
        <v>Private/Commercial</v>
      </c>
      <c r="AR86" s="120">
        <f>IFERROR(VLOOKUP(Table1[RespondentID],'All Data'!$A$3:$CW$999,99,FALSE),"unknown")</f>
        <v>0</v>
      </c>
    </row>
    <row r="87" spans="1:44" ht="16">
      <c r="A87" s="5">
        <v>18023288287</v>
      </c>
      <c r="B87" s="5"/>
      <c r="C87" s="5"/>
      <c r="D87" s="5"/>
      <c r="E87" s="5"/>
      <c r="F87" s="5" t="s">
        <v>33</v>
      </c>
      <c r="G87" s="5"/>
      <c r="H87" s="5" t="s">
        <v>35</v>
      </c>
      <c r="I87" s="5"/>
      <c r="J87" s="5"/>
      <c r="K87" s="5" t="s">
        <v>375</v>
      </c>
      <c r="L87" s="9"/>
      <c r="M87" s="9">
        <f t="shared" si="15"/>
        <v>3</v>
      </c>
      <c r="N87" s="9">
        <f t="shared" si="16"/>
        <v>1</v>
      </c>
      <c r="O87" s="9"/>
      <c r="P87" s="9">
        <f t="shared" si="17"/>
        <v>0</v>
      </c>
      <c r="Q87" s="9">
        <f t="shared" si="18"/>
        <v>0</v>
      </c>
      <c r="R87" s="9">
        <f t="shared" si="19"/>
        <v>0</v>
      </c>
      <c r="S87" s="9">
        <f t="shared" si="20"/>
        <v>0</v>
      </c>
      <c r="T87" s="9">
        <f t="shared" si="21"/>
        <v>1</v>
      </c>
      <c r="U87" s="9">
        <f t="shared" si="22"/>
        <v>0</v>
      </c>
      <c r="V87" s="153">
        <f t="shared" si="23"/>
        <v>1</v>
      </c>
      <c r="W87" s="9">
        <f t="shared" si="24"/>
        <v>0</v>
      </c>
      <c r="X87" s="9">
        <f t="shared" si="25"/>
        <v>0</v>
      </c>
      <c r="Y87" s="9">
        <f t="shared" si="26"/>
        <v>1</v>
      </c>
      <c r="Z87" s="9"/>
      <c r="AA87" s="9"/>
      <c r="AB87" s="9">
        <f t="shared" si="29"/>
        <v>3</v>
      </c>
      <c r="AC87" s="9">
        <f t="shared" si="27"/>
        <v>3</v>
      </c>
      <c r="AD87" s="9" t="str">
        <f t="shared" si="28"/>
        <v>Correct</v>
      </c>
      <c r="AE87" s="9"/>
      <c r="AF87" s="120" t="str">
        <f>IFERROR(VLOOKUP(Table1[RespondentID],'All Data'!$A$3:$CO$999,87,FALSE),"unknown")</f>
        <v>Man</v>
      </c>
      <c r="AG87" s="120">
        <f>IFERROR(VLOOKUP(Table1[RespondentID],'All Data'!$A$3:$CO$999,88,FALSE),"unknown")</f>
        <v>50</v>
      </c>
      <c r="AH87" s="120" t="str">
        <f>IFERROR(VLOOKUP(Table1[RespondentID],'All Data'!$A$3:$CO$999,89,FALSE),"unknown")</f>
        <v>Suffolk</v>
      </c>
      <c r="AI87" s="120" t="str">
        <f>IFERROR(VLOOKUP(Table1[RespondentID],'All Data'!$A$3:$CO$999,90,FALSE),"unknown")</f>
        <v>Melville, 11747</v>
      </c>
      <c r="AJ87" s="120" t="str">
        <f>IFERROR(VLOOKUP(Table1[RespondentID],'All Data'!$A$3:$CO$999,91,FALSE),"unknown")</f>
        <v>White</v>
      </c>
      <c r="AK87" s="120" t="str">
        <f>IFERROR(VLOOKUP(Table1[RespondentID],'All Data'!$A$3:$CO$999,92,FALSE),"unknown")</f>
        <v>Not Hispanic or Latino</v>
      </c>
      <c r="AL87" s="120" t="str">
        <f>IFERROR(VLOOKUP(Table1[RespondentID],'All Data'!$A$3:$CO$999,93,FALSE),"unknown")</f>
        <v>English, Spanish</v>
      </c>
      <c r="AM87" s="120" t="str">
        <f>IFERROR(VLOOKUP(Table1[RespondentID],'All Data'!$A$3:$CW$999,94,FALSE),"unknown")</f>
        <v>Over $125,000</v>
      </c>
      <c r="AN87" s="120" t="str">
        <f>IFERROR(VLOOKUP(Table1[RespondentID],'All Data'!$A$3:$CW$999,95,FALSE),"unknown")</f>
        <v>Graduate school</v>
      </c>
      <c r="AO87" s="120" t="str">
        <f>IFERROR(VLOOKUP(Table1[RespondentID],'All Data'!$A$3:$CW$999,96,FALSE),"unknown")</f>
        <v>Employed for wages</v>
      </c>
      <c r="AP87" s="120" t="str">
        <f>IFERROR(VLOOKUP(Table1[RespondentID],'All Data'!$A$3:$CW$999,97,FALSE),"unknown")</f>
        <v>Yes</v>
      </c>
      <c r="AQ87" s="120" t="str">
        <f>IFERROR(VLOOKUP(Table1[RespondentID],'All Data'!$A$3:$CW$999,98,FALSE),"unknown")</f>
        <v>Private/Commercial</v>
      </c>
      <c r="AR87" s="120">
        <f>IFERROR(VLOOKUP(Table1[RespondentID],'All Data'!$A$3:$CW$999,99,FALSE),"unknown")</f>
        <v>0</v>
      </c>
    </row>
    <row r="88" spans="1:44" ht="16">
      <c r="A88" s="5">
        <v>18023288205</v>
      </c>
      <c r="B88" s="5"/>
      <c r="C88" s="5" t="s">
        <v>30</v>
      </c>
      <c r="D88" s="5" t="s">
        <v>31</v>
      </c>
      <c r="E88" s="5"/>
      <c r="F88" s="5"/>
      <c r="G88" s="5"/>
      <c r="H88" s="5"/>
      <c r="I88" s="5"/>
      <c r="J88" s="5"/>
      <c r="K88" s="5" t="s">
        <v>375</v>
      </c>
      <c r="L88" s="8"/>
      <c r="M88" s="8">
        <f t="shared" si="15"/>
        <v>3</v>
      </c>
      <c r="N88" s="8">
        <f t="shared" si="16"/>
        <v>1</v>
      </c>
      <c r="O88" s="8"/>
      <c r="P88" s="8">
        <f t="shared" si="17"/>
        <v>0</v>
      </c>
      <c r="Q88" s="8">
        <f t="shared" si="18"/>
        <v>1</v>
      </c>
      <c r="R88" s="8">
        <f t="shared" si="19"/>
        <v>1</v>
      </c>
      <c r="S88" s="8">
        <f t="shared" si="20"/>
        <v>0</v>
      </c>
      <c r="T88" s="8">
        <f t="shared" si="21"/>
        <v>0</v>
      </c>
      <c r="U88" s="8">
        <f t="shared" si="22"/>
        <v>0</v>
      </c>
      <c r="V88" s="153">
        <f t="shared" si="23"/>
        <v>0</v>
      </c>
      <c r="W88" s="8">
        <f t="shared" si="24"/>
        <v>0</v>
      </c>
      <c r="X88" s="8">
        <f t="shared" si="25"/>
        <v>0</v>
      </c>
      <c r="Y88" s="8">
        <f t="shared" si="26"/>
        <v>1</v>
      </c>
      <c r="Z88" s="8"/>
      <c r="AA88" s="8"/>
      <c r="AB88" s="8">
        <f t="shared" si="29"/>
        <v>3</v>
      </c>
      <c r="AC88" s="8">
        <f t="shared" si="27"/>
        <v>3</v>
      </c>
      <c r="AD88" s="8" t="str">
        <f t="shared" si="28"/>
        <v>Correct</v>
      </c>
      <c r="AE88" s="8"/>
      <c r="AF88" s="120" t="str">
        <f>IFERROR(VLOOKUP(Table1[RespondentID],'All Data'!$A$3:$CO$999,87,FALSE),"unknown")</f>
        <v>Man</v>
      </c>
      <c r="AG88" s="120">
        <f>IFERROR(VLOOKUP(Table1[RespondentID],'All Data'!$A$3:$CO$999,88,FALSE),"unknown")</f>
        <v>52</v>
      </c>
      <c r="AH88" s="120" t="str">
        <f>IFERROR(VLOOKUP(Table1[RespondentID],'All Data'!$A$3:$CO$999,89,FALSE),"unknown")</f>
        <v>Suffolk</v>
      </c>
      <c r="AI88" s="120" t="str">
        <f>IFERROR(VLOOKUP(Table1[RespondentID],'All Data'!$A$3:$CO$999,90,FALSE),"unknown")</f>
        <v>Huntington Station, 11746</v>
      </c>
      <c r="AJ88" s="120" t="str">
        <f>IFERROR(VLOOKUP(Table1[RespondentID],'All Data'!$A$3:$CO$999,91,FALSE),"unknown")</f>
        <v>White</v>
      </c>
      <c r="AK88" s="120" t="str">
        <f>IFERROR(VLOOKUP(Table1[RespondentID],'All Data'!$A$3:$CO$999,92,FALSE),"unknown")</f>
        <v>Hispanic or Latino</v>
      </c>
      <c r="AL88" s="120" t="str">
        <f>IFERROR(VLOOKUP(Table1[RespondentID],'All Data'!$A$3:$CO$999,93,FALSE),"unknown")</f>
        <v>English</v>
      </c>
      <c r="AM88" s="120" t="str">
        <f>IFERROR(VLOOKUP(Table1[RespondentID],'All Data'!$A$3:$CW$999,94,FALSE),"unknown")</f>
        <v>Over $125,000</v>
      </c>
      <c r="AN88" s="120" t="str">
        <f>IFERROR(VLOOKUP(Table1[RespondentID],'All Data'!$A$3:$CW$999,95,FALSE),"unknown")</f>
        <v>Graduate school</v>
      </c>
      <c r="AO88" s="120" t="str">
        <f>IFERROR(VLOOKUP(Table1[RespondentID],'All Data'!$A$3:$CW$999,96,FALSE),"unknown")</f>
        <v>Employed for wages</v>
      </c>
      <c r="AP88" s="120" t="str">
        <f>IFERROR(VLOOKUP(Table1[RespondentID],'All Data'!$A$3:$CW$999,97,FALSE),"unknown")</f>
        <v>Yes</v>
      </c>
      <c r="AQ88" s="120" t="str">
        <f>IFERROR(VLOOKUP(Table1[RespondentID],'All Data'!$A$3:$CW$999,98,FALSE),"unknown")</f>
        <v>Private/Commercial</v>
      </c>
      <c r="AR88" s="120">
        <f>IFERROR(VLOOKUP(Table1[RespondentID],'All Data'!$A$3:$CW$999,99,FALSE),"unknown")</f>
        <v>0</v>
      </c>
    </row>
    <row r="89" spans="1:44" ht="16">
      <c r="A89" s="5">
        <v>18023288112</v>
      </c>
      <c r="B89" s="5"/>
      <c r="C89" s="5" t="s">
        <v>30</v>
      </c>
      <c r="D89" s="5" t="s">
        <v>31</v>
      </c>
      <c r="E89" s="5"/>
      <c r="F89" s="5"/>
      <c r="G89" s="5"/>
      <c r="H89" s="5"/>
      <c r="I89" s="5"/>
      <c r="J89" s="5"/>
      <c r="K89" s="5" t="s">
        <v>375</v>
      </c>
      <c r="L89" s="9"/>
      <c r="M89" s="9">
        <f t="shared" si="15"/>
        <v>3</v>
      </c>
      <c r="N89" s="9">
        <f t="shared" si="16"/>
        <v>1</v>
      </c>
      <c r="O89" s="9"/>
      <c r="P89" s="9">
        <f t="shared" si="17"/>
        <v>0</v>
      </c>
      <c r="Q89" s="9">
        <f t="shared" si="18"/>
        <v>1</v>
      </c>
      <c r="R89" s="9">
        <f t="shared" si="19"/>
        <v>1</v>
      </c>
      <c r="S89" s="9">
        <f t="shared" si="20"/>
        <v>0</v>
      </c>
      <c r="T89" s="9">
        <f t="shared" si="21"/>
        <v>0</v>
      </c>
      <c r="U89" s="9">
        <f t="shared" si="22"/>
        <v>0</v>
      </c>
      <c r="V89" s="153">
        <f t="shared" si="23"/>
        <v>0</v>
      </c>
      <c r="W89" s="9">
        <f t="shared" si="24"/>
        <v>0</v>
      </c>
      <c r="X89" s="9">
        <f t="shared" si="25"/>
        <v>0</v>
      </c>
      <c r="Y89" s="9">
        <f t="shared" si="26"/>
        <v>1</v>
      </c>
      <c r="Z89" s="9"/>
      <c r="AA89" s="9"/>
      <c r="AB89" s="9">
        <f t="shared" si="29"/>
        <v>3</v>
      </c>
      <c r="AC89" s="9">
        <f t="shared" si="27"/>
        <v>3</v>
      </c>
      <c r="AD89" s="9" t="str">
        <f t="shared" si="28"/>
        <v>Correct</v>
      </c>
      <c r="AE89" s="9"/>
      <c r="AF89" s="120" t="str">
        <f>IFERROR(VLOOKUP(Table1[RespondentID],'All Data'!$A$3:$CO$999,87,FALSE),"unknown")</f>
        <v>Man</v>
      </c>
      <c r="AG89" s="120">
        <f>IFERROR(VLOOKUP(Table1[RespondentID],'All Data'!$A$3:$CO$999,88,FALSE),"unknown")</f>
        <v>48</v>
      </c>
      <c r="AH89" s="120" t="str">
        <f>IFERROR(VLOOKUP(Table1[RespondentID],'All Data'!$A$3:$CO$999,89,FALSE),"unknown")</f>
        <v>Suffolk</v>
      </c>
      <c r="AI89" s="120" t="str">
        <f>IFERROR(VLOOKUP(Table1[RespondentID],'All Data'!$A$3:$CO$999,90,FALSE),"unknown")</f>
        <v>East Northport, 11731</v>
      </c>
      <c r="AJ89" s="120" t="str">
        <f>IFERROR(VLOOKUP(Table1[RespondentID],'All Data'!$A$3:$CO$999,91,FALSE),"unknown")</f>
        <v>White</v>
      </c>
      <c r="AK89" s="120" t="str">
        <f>IFERROR(VLOOKUP(Table1[RespondentID],'All Data'!$A$3:$CO$999,92,FALSE),"unknown")</f>
        <v>Hispanic or Latino</v>
      </c>
      <c r="AL89" s="120" t="str">
        <f>IFERROR(VLOOKUP(Table1[RespondentID],'All Data'!$A$3:$CO$999,93,FALSE),"unknown")</f>
        <v>English</v>
      </c>
      <c r="AM89" s="120" t="str">
        <f>IFERROR(VLOOKUP(Table1[RespondentID],'All Data'!$A$3:$CW$999,94,FALSE),"unknown")</f>
        <v>Over $125,000</v>
      </c>
      <c r="AN89" s="120" t="str">
        <f>IFERROR(VLOOKUP(Table1[RespondentID],'All Data'!$A$3:$CW$999,95,FALSE),"unknown")</f>
        <v>Graduate school</v>
      </c>
      <c r="AO89" s="120" t="str">
        <f>IFERROR(VLOOKUP(Table1[RespondentID],'All Data'!$A$3:$CW$999,96,FALSE),"unknown")</f>
        <v>Employed for wages</v>
      </c>
      <c r="AP89" s="120">
        <f>IFERROR(VLOOKUP(Table1[RespondentID],'All Data'!$A$3:$CW$999,97,FALSE),"unknown")</f>
        <v>0</v>
      </c>
      <c r="AQ89" s="120" t="str">
        <f>IFERROR(VLOOKUP(Table1[RespondentID],'All Data'!$A$3:$CW$999,98,FALSE),"unknown")</f>
        <v>Private/Commercial</v>
      </c>
      <c r="AR89" s="120">
        <f>IFERROR(VLOOKUP(Table1[RespondentID],'All Data'!$A$3:$CW$999,99,FALSE),"unknown")</f>
        <v>0</v>
      </c>
    </row>
    <row r="90" spans="1:44" ht="16">
      <c r="A90" s="5">
        <v>18023288040</v>
      </c>
      <c r="B90" s="5"/>
      <c r="C90" s="5"/>
      <c r="D90" s="5"/>
      <c r="E90" s="5"/>
      <c r="F90" s="5"/>
      <c r="G90" s="5"/>
      <c r="H90" s="5"/>
      <c r="I90" s="5"/>
      <c r="J90" s="5"/>
      <c r="K90" s="5" t="s">
        <v>375</v>
      </c>
      <c r="L90" s="8"/>
      <c r="M90" s="8">
        <f t="shared" si="15"/>
        <v>1</v>
      </c>
      <c r="N90" s="8">
        <f t="shared" si="16"/>
        <v>3</v>
      </c>
      <c r="O90" s="8"/>
      <c r="P90" s="8">
        <f t="shared" si="17"/>
        <v>0</v>
      </c>
      <c r="Q90" s="8">
        <f t="shared" si="18"/>
        <v>0</v>
      </c>
      <c r="R90" s="8">
        <f t="shared" si="19"/>
        <v>0</v>
      </c>
      <c r="S90" s="8">
        <f t="shared" si="20"/>
        <v>0</v>
      </c>
      <c r="T90" s="8">
        <f t="shared" si="21"/>
        <v>0</v>
      </c>
      <c r="U90" s="8">
        <f t="shared" si="22"/>
        <v>0</v>
      </c>
      <c r="V90" s="153">
        <f t="shared" si="23"/>
        <v>0</v>
      </c>
      <c r="W90" s="8">
        <f t="shared" si="24"/>
        <v>0</v>
      </c>
      <c r="X90" s="8">
        <f t="shared" si="25"/>
        <v>0</v>
      </c>
      <c r="Y90" s="8">
        <f t="shared" si="26"/>
        <v>1</v>
      </c>
      <c r="Z90" s="8"/>
      <c r="AA90" s="8"/>
      <c r="AB90" s="8">
        <f t="shared" si="29"/>
        <v>1</v>
      </c>
      <c r="AC90" s="8">
        <f t="shared" si="27"/>
        <v>1</v>
      </c>
      <c r="AD90" s="8" t="str">
        <f t="shared" si="28"/>
        <v>Correct</v>
      </c>
      <c r="AE90" s="8"/>
      <c r="AF90" s="120" t="str">
        <f>IFERROR(VLOOKUP(Table1[RespondentID],'All Data'!$A$3:$CO$999,87,FALSE),"unknown")</f>
        <v>Man</v>
      </c>
      <c r="AG90" s="120">
        <f>IFERROR(VLOOKUP(Table1[RespondentID],'All Data'!$A$3:$CO$999,88,FALSE),"unknown")</f>
        <v>49</v>
      </c>
      <c r="AH90" s="120" t="str">
        <f>IFERROR(VLOOKUP(Table1[RespondentID],'All Data'!$A$3:$CO$999,89,FALSE),"unknown")</f>
        <v>Suffolk</v>
      </c>
      <c r="AI90" s="120" t="str">
        <f>IFERROR(VLOOKUP(Table1[RespondentID],'All Data'!$A$3:$CO$999,90,FALSE),"unknown")</f>
        <v>Smithtown, 11787</v>
      </c>
      <c r="AJ90" s="120" t="str">
        <f>IFERROR(VLOOKUP(Table1[RespondentID],'All Data'!$A$3:$CO$999,91,FALSE),"unknown")</f>
        <v>White</v>
      </c>
      <c r="AK90" s="120" t="str">
        <f>IFERROR(VLOOKUP(Table1[RespondentID],'All Data'!$A$3:$CO$999,92,FALSE),"unknown")</f>
        <v>Hispanic or Latino</v>
      </c>
      <c r="AL90" s="120" t="str">
        <f>IFERROR(VLOOKUP(Table1[RespondentID],'All Data'!$A$3:$CO$999,93,FALSE),"unknown")</f>
        <v>English</v>
      </c>
      <c r="AM90" s="120" t="str">
        <f>IFERROR(VLOOKUP(Table1[RespondentID],'All Data'!$A$3:$CW$999,94,FALSE),"unknown")</f>
        <v>Over $125,000</v>
      </c>
      <c r="AN90" s="120" t="str">
        <f>IFERROR(VLOOKUP(Table1[RespondentID],'All Data'!$A$3:$CW$999,95,FALSE),"unknown")</f>
        <v>Graduate school</v>
      </c>
      <c r="AO90" s="120" t="str">
        <f>IFERROR(VLOOKUP(Table1[RespondentID],'All Data'!$A$3:$CW$999,96,FALSE),"unknown")</f>
        <v>Employed for wages</v>
      </c>
      <c r="AP90" s="120">
        <f>IFERROR(VLOOKUP(Table1[RespondentID],'All Data'!$A$3:$CW$999,97,FALSE),"unknown")</f>
        <v>0</v>
      </c>
      <c r="AQ90" s="120" t="str">
        <f>IFERROR(VLOOKUP(Table1[RespondentID],'All Data'!$A$3:$CW$999,98,FALSE),"unknown")</f>
        <v>Private/Commercial</v>
      </c>
      <c r="AR90" s="120">
        <f>IFERROR(VLOOKUP(Table1[RespondentID],'All Data'!$A$3:$CW$999,99,FALSE),"unknown")</f>
        <v>0</v>
      </c>
    </row>
    <row r="91" spans="1:44" ht="16">
      <c r="A91" s="5">
        <v>18023287912</v>
      </c>
      <c r="B91" s="5"/>
      <c r="C91" s="5"/>
      <c r="D91" s="5"/>
      <c r="E91" s="5"/>
      <c r="F91" s="5"/>
      <c r="G91" s="5"/>
      <c r="H91" s="5"/>
      <c r="I91" s="5"/>
      <c r="J91" s="5"/>
      <c r="K91" s="5" t="s">
        <v>375</v>
      </c>
      <c r="L91" s="9"/>
      <c r="M91" s="9">
        <f t="shared" si="15"/>
        <v>1</v>
      </c>
      <c r="N91" s="9">
        <f t="shared" si="16"/>
        <v>3</v>
      </c>
      <c r="O91" s="9"/>
      <c r="P91" s="9">
        <f t="shared" si="17"/>
        <v>0</v>
      </c>
      <c r="Q91" s="9">
        <f t="shared" si="18"/>
        <v>0</v>
      </c>
      <c r="R91" s="9">
        <f t="shared" si="19"/>
        <v>0</v>
      </c>
      <c r="S91" s="9">
        <f t="shared" si="20"/>
        <v>0</v>
      </c>
      <c r="T91" s="9">
        <f t="shared" si="21"/>
        <v>0</v>
      </c>
      <c r="U91" s="9">
        <f t="shared" si="22"/>
        <v>0</v>
      </c>
      <c r="V91" s="153">
        <f t="shared" si="23"/>
        <v>0</v>
      </c>
      <c r="W91" s="9">
        <f t="shared" si="24"/>
        <v>0</v>
      </c>
      <c r="X91" s="9">
        <f t="shared" si="25"/>
        <v>0</v>
      </c>
      <c r="Y91" s="9">
        <f t="shared" si="26"/>
        <v>1</v>
      </c>
      <c r="Z91" s="9"/>
      <c r="AA91" s="9"/>
      <c r="AB91" s="9">
        <f t="shared" si="29"/>
        <v>1</v>
      </c>
      <c r="AC91" s="9">
        <f t="shared" si="27"/>
        <v>1</v>
      </c>
      <c r="AD91" s="9" t="str">
        <f t="shared" si="28"/>
        <v>Correct</v>
      </c>
      <c r="AE91" s="9"/>
      <c r="AF91" s="120" t="str">
        <f>IFERROR(VLOOKUP(Table1[RespondentID],'All Data'!$A$3:$CO$999,87,FALSE),"unknown")</f>
        <v>Man</v>
      </c>
      <c r="AG91" s="120">
        <f>IFERROR(VLOOKUP(Table1[RespondentID],'All Data'!$A$3:$CO$999,88,FALSE),"unknown")</f>
        <v>47</v>
      </c>
      <c r="AH91" s="120" t="str">
        <f>IFERROR(VLOOKUP(Table1[RespondentID],'All Data'!$A$3:$CO$999,89,FALSE),"unknown")</f>
        <v>Suffolk</v>
      </c>
      <c r="AI91" s="120" t="str">
        <f>IFERROR(VLOOKUP(Table1[RespondentID],'All Data'!$A$3:$CO$999,90,FALSE),"unknown")</f>
        <v>Stony Brook, 11790</v>
      </c>
      <c r="AJ91" s="120" t="str">
        <f>IFERROR(VLOOKUP(Table1[RespondentID],'All Data'!$A$3:$CO$999,91,FALSE),"unknown")</f>
        <v>White</v>
      </c>
      <c r="AK91" s="120" t="str">
        <f>IFERROR(VLOOKUP(Table1[RespondentID],'All Data'!$A$3:$CO$999,92,FALSE),"unknown")</f>
        <v>Hispanic or Latino</v>
      </c>
      <c r="AL91" s="120" t="str">
        <f>IFERROR(VLOOKUP(Table1[RespondentID],'All Data'!$A$3:$CO$999,93,FALSE),"unknown")</f>
        <v>English</v>
      </c>
      <c r="AM91" s="120" t="str">
        <f>IFERROR(VLOOKUP(Table1[RespondentID],'All Data'!$A$3:$CW$999,94,FALSE),"unknown")</f>
        <v>Over $125,000</v>
      </c>
      <c r="AN91" s="120" t="str">
        <f>IFERROR(VLOOKUP(Table1[RespondentID],'All Data'!$A$3:$CW$999,95,FALSE),"unknown")</f>
        <v>Graduate school</v>
      </c>
      <c r="AO91" s="120" t="str">
        <f>IFERROR(VLOOKUP(Table1[RespondentID],'All Data'!$A$3:$CW$999,96,FALSE),"unknown")</f>
        <v>Employed for wages</v>
      </c>
      <c r="AP91" s="120" t="str">
        <f>IFERROR(VLOOKUP(Table1[RespondentID],'All Data'!$A$3:$CW$999,97,FALSE),"unknown")</f>
        <v>Yes</v>
      </c>
      <c r="AQ91" s="120" t="str">
        <f>IFERROR(VLOOKUP(Table1[RespondentID],'All Data'!$A$3:$CW$999,98,FALSE),"unknown")</f>
        <v>Private/Commercial</v>
      </c>
      <c r="AR91" s="120">
        <f>IFERROR(VLOOKUP(Table1[RespondentID],'All Data'!$A$3:$CW$999,99,FALSE),"unknown")</f>
        <v>0</v>
      </c>
    </row>
    <row r="92" spans="1:44" ht="16">
      <c r="A92" s="5">
        <v>18023287497</v>
      </c>
      <c r="B92" s="5" t="s">
        <v>29</v>
      </c>
      <c r="C92" s="5"/>
      <c r="D92" s="5"/>
      <c r="E92" s="5"/>
      <c r="F92" s="5"/>
      <c r="G92" s="5"/>
      <c r="H92" s="5"/>
      <c r="I92" s="5"/>
      <c r="J92" s="5"/>
      <c r="K92" s="5" t="s">
        <v>375</v>
      </c>
      <c r="L92" s="8"/>
      <c r="M92" s="8">
        <f t="shared" si="15"/>
        <v>2</v>
      </c>
      <c r="N92" s="8">
        <f t="shared" si="16"/>
        <v>1.5</v>
      </c>
      <c r="O92" s="8"/>
      <c r="P92" s="8">
        <f t="shared" si="17"/>
        <v>1</v>
      </c>
      <c r="Q92" s="8">
        <f t="shared" si="18"/>
        <v>0</v>
      </c>
      <c r="R92" s="8">
        <f t="shared" si="19"/>
        <v>0</v>
      </c>
      <c r="S92" s="8">
        <f t="shared" si="20"/>
        <v>0</v>
      </c>
      <c r="T92" s="8">
        <f t="shared" si="21"/>
        <v>0</v>
      </c>
      <c r="U92" s="8">
        <f t="shared" si="22"/>
        <v>0</v>
      </c>
      <c r="V92" s="153">
        <f t="shared" si="23"/>
        <v>0</v>
      </c>
      <c r="W92" s="8">
        <f t="shared" si="24"/>
        <v>0</v>
      </c>
      <c r="X92" s="8">
        <f t="shared" si="25"/>
        <v>0</v>
      </c>
      <c r="Y92" s="8">
        <f t="shared" si="26"/>
        <v>1</v>
      </c>
      <c r="Z92" s="8"/>
      <c r="AA92" s="8"/>
      <c r="AB92" s="8">
        <f t="shared" si="29"/>
        <v>2</v>
      </c>
      <c r="AC92" s="8">
        <f t="shared" si="27"/>
        <v>2</v>
      </c>
      <c r="AD92" s="8" t="str">
        <f t="shared" si="28"/>
        <v>Correct</v>
      </c>
      <c r="AE92" s="8"/>
      <c r="AF92" s="120" t="str">
        <f>IFERROR(VLOOKUP(Table1[RespondentID],'All Data'!$A$3:$CO$999,87,FALSE),"unknown")</f>
        <v>Woman</v>
      </c>
      <c r="AG92" s="120">
        <f>IFERROR(VLOOKUP(Table1[RespondentID],'All Data'!$A$3:$CO$999,88,FALSE),"unknown")</f>
        <v>52</v>
      </c>
      <c r="AH92" s="120" t="str">
        <f>IFERROR(VLOOKUP(Table1[RespondentID],'All Data'!$A$3:$CO$999,89,FALSE),"unknown")</f>
        <v>Suffolk</v>
      </c>
      <c r="AI92" s="120" t="str">
        <f>IFERROR(VLOOKUP(Table1[RespondentID],'All Data'!$A$3:$CO$999,90,FALSE),"unknown")</f>
        <v>Smithtown, 11787</v>
      </c>
      <c r="AJ92" s="120" t="str">
        <f>IFERROR(VLOOKUP(Table1[RespondentID],'All Data'!$A$3:$CO$999,91,FALSE),"unknown")</f>
        <v>White</v>
      </c>
      <c r="AK92" s="120" t="str">
        <f>IFERROR(VLOOKUP(Table1[RespondentID],'All Data'!$A$3:$CO$999,92,FALSE),"unknown")</f>
        <v>Hispanic or Latino</v>
      </c>
      <c r="AL92" s="120" t="str">
        <f>IFERROR(VLOOKUP(Table1[RespondentID],'All Data'!$A$3:$CO$999,93,FALSE),"unknown")</f>
        <v>English</v>
      </c>
      <c r="AM92" s="120" t="str">
        <f>IFERROR(VLOOKUP(Table1[RespondentID],'All Data'!$A$3:$CW$999,94,FALSE),"unknown")</f>
        <v>Over $125,000</v>
      </c>
      <c r="AN92" s="120" t="str">
        <f>IFERROR(VLOOKUP(Table1[RespondentID],'All Data'!$A$3:$CW$999,95,FALSE),"unknown")</f>
        <v>College graduate</v>
      </c>
      <c r="AO92" s="120" t="str">
        <f>IFERROR(VLOOKUP(Table1[RespondentID],'All Data'!$A$3:$CW$999,96,FALSE),"unknown")</f>
        <v>Employed for wages</v>
      </c>
      <c r="AP92" s="120">
        <f>IFERROR(VLOOKUP(Table1[RespondentID],'All Data'!$A$3:$CW$999,97,FALSE),"unknown")</f>
        <v>0</v>
      </c>
      <c r="AQ92" s="120">
        <f>IFERROR(VLOOKUP(Table1[RespondentID],'All Data'!$A$3:$CW$999,98,FALSE),"unknown")</f>
        <v>0</v>
      </c>
      <c r="AR92" s="120">
        <f>IFERROR(VLOOKUP(Table1[RespondentID],'All Data'!$A$3:$CW$999,99,FALSE),"unknown")</f>
        <v>0</v>
      </c>
    </row>
    <row r="93" spans="1:44" ht="16">
      <c r="A93" s="5">
        <v>18023287370</v>
      </c>
      <c r="B93" s="5"/>
      <c r="C93" s="5"/>
      <c r="D93" s="5"/>
      <c r="E93" s="5"/>
      <c r="F93" s="5" t="s">
        <v>33</v>
      </c>
      <c r="G93" s="5"/>
      <c r="H93" s="5" t="s">
        <v>35</v>
      </c>
      <c r="I93" s="5" t="s">
        <v>36</v>
      </c>
      <c r="J93" s="5"/>
      <c r="K93" s="5"/>
      <c r="L93" s="9"/>
      <c r="M93" s="9">
        <f t="shared" si="15"/>
        <v>3</v>
      </c>
      <c r="N93" s="9">
        <f t="shared" si="16"/>
        <v>1</v>
      </c>
      <c r="O93" s="9"/>
      <c r="P93" s="9">
        <f t="shared" si="17"/>
        <v>0</v>
      </c>
      <c r="Q93" s="9">
        <f t="shared" si="18"/>
        <v>0</v>
      </c>
      <c r="R93" s="9">
        <f t="shared" si="19"/>
        <v>0</v>
      </c>
      <c r="S93" s="9">
        <f t="shared" si="20"/>
        <v>0</v>
      </c>
      <c r="T93" s="9">
        <f t="shared" si="21"/>
        <v>1</v>
      </c>
      <c r="U93" s="9">
        <f t="shared" si="22"/>
        <v>0</v>
      </c>
      <c r="V93" s="153">
        <f t="shared" si="23"/>
        <v>1</v>
      </c>
      <c r="W93" s="9">
        <f t="shared" si="24"/>
        <v>1</v>
      </c>
      <c r="X93" s="9">
        <f t="shared" si="25"/>
        <v>0</v>
      </c>
      <c r="Y93" s="9">
        <f t="shared" si="26"/>
        <v>0</v>
      </c>
      <c r="Z93" s="9"/>
      <c r="AA93" s="9"/>
      <c r="AB93" s="9">
        <f t="shared" si="29"/>
        <v>3</v>
      </c>
      <c r="AC93" s="9">
        <f t="shared" si="27"/>
        <v>3</v>
      </c>
      <c r="AD93" s="9" t="str">
        <f t="shared" si="28"/>
        <v>Correct</v>
      </c>
      <c r="AE93" s="9"/>
      <c r="AF93" s="120" t="str">
        <f>IFERROR(VLOOKUP(Table1[RespondentID],'All Data'!$A$3:$CO$999,87,FALSE),"unknown")</f>
        <v>Man</v>
      </c>
      <c r="AG93" s="120">
        <f>IFERROR(VLOOKUP(Table1[RespondentID],'All Data'!$A$3:$CO$999,88,FALSE),"unknown")</f>
        <v>23</v>
      </c>
      <c r="AH93" s="120" t="str">
        <f>IFERROR(VLOOKUP(Table1[RespondentID],'All Data'!$A$3:$CO$999,89,FALSE),"unknown")</f>
        <v>Suffolk</v>
      </c>
      <c r="AI93" s="120" t="str">
        <f>IFERROR(VLOOKUP(Table1[RespondentID],'All Data'!$A$3:$CO$999,90,FALSE),"unknown")</f>
        <v>Central Islip, 11722</v>
      </c>
      <c r="AJ93" s="120">
        <f>IFERROR(VLOOKUP(Table1[RespondentID],'All Data'!$A$3:$CO$999,91,FALSE),"unknown")</f>
        <v>0</v>
      </c>
      <c r="AK93" s="120" t="str">
        <f>IFERROR(VLOOKUP(Table1[RespondentID],'All Data'!$A$3:$CO$999,92,FALSE),"unknown")</f>
        <v>Not Hispanic or Latino</v>
      </c>
      <c r="AL93" s="120" t="str">
        <f>IFERROR(VLOOKUP(Table1[RespondentID],'All Data'!$A$3:$CO$999,93,FALSE),"unknown")</f>
        <v>Spanish</v>
      </c>
      <c r="AM93" s="120" t="str">
        <f>IFERROR(VLOOKUP(Table1[RespondentID],'All Data'!$A$3:$CW$999,94,FALSE),"unknown")</f>
        <v>$20,000 to $34,999</v>
      </c>
      <c r="AN93" s="120" t="str">
        <f>IFERROR(VLOOKUP(Table1[RespondentID],'All Data'!$A$3:$CW$999,95,FALSE),"unknown")</f>
        <v>Some college</v>
      </c>
      <c r="AO93" s="120" t="str">
        <f>IFERROR(VLOOKUP(Table1[RespondentID],'All Data'!$A$3:$CW$999,96,FALSE),"unknown")</f>
        <v>Employed for wages</v>
      </c>
      <c r="AP93" s="120" t="str">
        <f>IFERROR(VLOOKUP(Table1[RespondentID],'All Data'!$A$3:$CW$999,97,FALSE),"unknown")</f>
        <v>Yes</v>
      </c>
      <c r="AQ93" s="120">
        <f>IFERROR(VLOOKUP(Table1[RespondentID],'All Data'!$A$3:$CW$999,98,FALSE),"unknown")</f>
        <v>0</v>
      </c>
      <c r="AR93" s="120">
        <f>IFERROR(VLOOKUP(Table1[RespondentID],'All Data'!$A$3:$CW$999,99,FALSE),"unknown")</f>
        <v>0</v>
      </c>
    </row>
    <row r="94" spans="1:44" ht="16">
      <c r="A94" s="5">
        <v>18023287265</v>
      </c>
      <c r="B94" s="5"/>
      <c r="C94" s="5"/>
      <c r="D94" s="5" t="s">
        <v>31</v>
      </c>
      <c r="E94" s="5"/>
      <c r="F94" s="5"/>
      <c r="G94" s="5"/>
      <c r="H94" s="5"/>
      <c r="I94" s="5" t="s">
        <v>36</v>
      </c>
      <c r="J94" s="5"/>
      <c r="K94" s="5" t="s">
        <v>375</v>
      </c>
      <c r="L94" s="8"/>
      <c r="M94" s="8">
        <f t="shared" si="15"/>
        <v>3</v>
      </c>
      <c r="N94" s="8">
        <f t="shared" si="16"/>
        <v>1</v>
      </c>
      <c r="O94" s="8"/>
      <c r="P94" s="8">
        <f t="shared" si="17"/>
        <v>0</v>
      </c>
      <c r="Q94" s="8">
        <f t="shared" si="18"/>
        <v>0</v>
      </c>
      <c r="R94" s="8">
        <f t="shared" si="19"/>
        <v>1</v>
      </c>
      <c r="S94" s="8">
        <f t="shared" si="20"/>
        <v>0</v>
      </c>
      <c r="T94" s="8">
        <f t="shared" si="21"/>
        <v>0</v>
      </c>
      <c r="U94" s="8">
        <f t="shared" si="22"/>
        <v>0</v>
      </c>
      <c r="V94" s="153">
        <f t="shared" si="23"/>
        <v>0</v>
      </c>
      <c r="W94" s="8">
        <f t="shared" si="24"/>
        <v>1</v>
      </c>
      <c r="X94" s="8">
        <f t="shared" si="25"/>
        <v>0</v>
      </c>
      <c r="Y94" s="8">
        <f t="shared" si="26"/>
        <v>1</v>
      </c>
      <c r="Z94" s="8"/>
      <c r="AA94" s="8"/>
      <c r="AB94" s="8">
        <f t="shared" si="29"/>
        <v>3</v>
      </c>
      <c r="AC94" s="8">
        <f t="shared" si="27"/>
        <v>3</v>
      </c>
      <c r="AD94" s="8" t="str">
        <f t="shared" si="28"/>
        <v>Correct</v>
      </c>
      <c r="AE94" s="8"/>
      <c r="AF94" s="120" t="str">
        <f>IFERROR(VLOOKUP(Table1[RespondentID],'All Data'!$A$3:$CO$999,87,FALSE),"unknown")</f>
        <v>Woman</v>
      </c>
      <c r="AG94" s="120">
        <f>IFERROR(VLOOKUP(Table1[RespondentID],'All Data'!$A$3:$CO$999,88,FALSE),"unknown")</f>
        <v>33</v>
      </c>
      <c r="AH94" s="120" t="str">
        <f>IFERROR(VLOOKUP(Table1[RespondentID],'All Data'!$A$3:$CO$999,89,FALSE),"unknown")</f>
        <v>Suffolk</v>
      </c>
      <c r="AI94" s="120" t="str">
        <f>IFERROR(VLOOKUP(Table1[RespondentID],'All Data'!$A$3:$CO$999,90,FALSE),"unknown")</f>
        <v>North Babylon, 11703</v>
      </c>
      <c r="AJ94" s="120" t="str">
        <f>IFERROR(VLOOKUP(Table1[RespondentID],'All Data'!$A$3:$CO$999,91,FALSE),"unknown")</f>
        <v>White</v>
      </c>
      <c r="AK94" s="120" t="str">
        <f>IFERROR(VLOOKUP(Table1[RespondentID],'All Data'!$A$3:$CO$999,92,FALSE),"unknown")</f>
        <v>Not Hispanic or Latino</v>
      </c>
      <c r="AL94" s="120" t="str">
        <f>IFERROR(VLOOKUP(Table1[RespondentID],'All Data'!$A$3:$CO$999,93,FALSE),"unknown")</f>
        <v>English</v>
      </c>
      <c r="AM94" s="120" t="str">
        <f>IFERROR(VLOOKUP(Table1[RespondentID],'All Data'!$A$3:$CW$999,94,FALSE),"unknown")</f>
        <v>Over $125,000</v>
      </c>
      <c r="AN94" s="120" t="str">
        <f>IFERROR(VLOOKUP(Table1[RespondentID],'All Data'!$A$3:$CW$999,95,FALSE),"unknown")</f>
        <v>College graduate</v>
      </c>
      <c r="AO94" s="120" t="str">
        <f>IFERROR(VLOOKUP(Table1[RespondentID],'All Data'!$A$3:$CW$999,96,FALSE),"unknown")</f>
        <v>Employed for wages</v>
      </c>
      <c r="AP94" s="120" t="str">
        <f>IFERROR(VLOOKUP(Table1[RespondentID],'All Data'!$A$3:$CW$999,97,FALSE),"unknown")</f>
        <v>Yes</v>
      </c>
      <c r="AQ94" s="120">
        <f>IFERROR(VLOOKUP(Table1[RespondentID],'All Data'!$A$3:$CW$999,98,FALSE),"unknown")</f>
        <v>0</v>
      </c>
      <c r="AR94" s="120">
        <f>IFERROR(VLOOKUP(Table1[RespondentID],'All Data'!$A$3:$CW$999,99,FALSE),"unknown")</f>
        <v>0</v>
      </c>
    </row>
    <row r="95" spans="1:44" ht="16">
      <c r="A95" s="5">
        <v>18023287153</v>
      </c>
      <c r="B95" s="5"/>
      <c r="C95" s="5" t="s">
        <v>30</v>
      </c>
      <c r="D95" s="5" t="s">
        <v>31</v>
      </c>
      <c r="E95" s="5"/>
      <c r="F95" s="5"/>
      <c r="G95" s="5"/>
      <c r="H95" s="5"/>
      <c r="I95" s="5"/>
      <c r="J95" s="5"/>
      <c r="K95" s="5" t="s">
        <v>375</v>
      </c>
      <c r="L95" s="9"/>
      <c r="M95" s="9">
        <f t="shared" si="15"/>
        <v>3</v>
      </c>
      <c r="N95" s="9">
        <f t="shared" si="16"/>
        <v>1</v>
      </c>
      <c r="O95" s="9"/>
      <c r="P95" s="9">
        <f t="shared" si="17"/>
        <v>0</v>
      </c>
      <c r="Q95" s="9">
        <f t="shared" si="18"/>
        <v>1</v>
      </c>
      <c r="R95" s="9">
        <f t="shared" si="19"/>
        <v>1</v>
      </c>
      <c r="S95" s="9">
        <f t="shared" si="20"/>
        <v>0</v>
      </c>
      <c r="T95" s="9">
        <f t="shared" si="21"/>
        <v>0</v>
      </c>
      <c r="U95" s="9">
        <f t="shared" si="22"/>
        <v>0</v>
      </c>
      <c r="V95" s="153">
        <f t="shared" si="23"/>
        <v>0</v>
      </c>
      <c r="W95" s="9">
        <f t="shared" si="24"/>
        <v>0</v>
      </c>
      <c r="X95" s="9">
        <f t="shared" si="25"/>
        <v>0</v>
      </c>
      <c r="Y95" s="9">
        <f t="shared" si="26"/>
        <v>1</v>
      </c>
      <c r="Z95" s="9"/>
      <c r="AA95" s="9"/>
      <c r="AB95" s="9">
        <f t="shared" si="29"/>
        <v>3</v>
      </c>
      <c r="AC95" s="9">
        <f t="shared" si="27"/>
        <v>3</v>
      </c>
      <c r="AD95" s="9" t="str">
        <f t="shared" si="28"/>
        <v>Correct</v>
      </c>
      <c r="AE95" s="9"/>
      <c r="AF95" s="120" t="str">
        <f>IFERROR(VLOOKUP(Table1[RespondentID],'All Data'!$A$3:$CO$999,87,FALSE),"unknown")</f>
        <v>Woman</v>
      </c>
      <c r="AG95" s="120">
        <f>IFERROR(VLOOKUP(Table1[RespondentID],'All Data'!$A$3:$CO$999,88,FALSE),"unknown")</f>
        <v>60</v>
      </c>
      <c r="AH95" s="120" t="str">
        <f>IFERROR(VLOOKUP(Table1[RespondentID],'All Data'!$A$3:$CO$999,89,FALSE),"unknown")</f>
        <v>Suffolk</v>
      </c>
      <c r="AI95" s="120" t="str">
        <f>IFERROR(VLOOKUP(Table1[RespondentID],'All Data'!$A$3:$CO$999,90,FALSE),"unknown")</f>
        <v>Smithtown, 11787</v>
      </c>
      <c r="AJ95" s="120" t="str">
        <f>IFERROR(VLOOKUP(Table1[RespondentID],'All Data'!$A$3:$CO$999,91,FALSE),"unknown")</f>
        <v>White</v>
      </c>
      <c r="AK95" s="120" t="str">
        <f>IFERROR(VLOOKUP(Table1[RespondentID],'All Data'!$A$3:$CO$999,92,FALSE),"unknown")</f>
        <v>Hispanic or Latino</v>
      </c>
      <c r="AL95" s="120" t="str">
        <f>IFERROR(VLOOKUP(Table1[RespondentID],'All Data'!$A$3:$CO$999,93,FALSE),"unknown")</f>
        <v>English</v>
      </c>
      <c r="AM95" s="120" t="str">
        <f>IFERROR(VLOOKUP(Table1[RespondentID],'All Data'!$A$3:$CW$999,94,FALSE),"unknown")</f>
        <v>$75,000 to $125,000</v>
      </c>
      <c r="AN95" s="120" t="str">
        <f>IFERROR(VLOOKUP(Table1[RespondentID],'All Data'!$A$3:$CW$999,95,FALSE),"unknown")</f>
        <v>College graduate</v>
      </c>
      <c r="AO95" s="120" t="str">
        <f>IFERROR(VLOOKUP(Table1[RespondentID],'All Data'!$A$3:$CW$999,96,FALSE),"unknown")</f>
        <v>Employed for wages</v>
      </c>
      <c r="AP95" s="120" t="str">
        <f>IFERROR(VLOOKUP(Table1[RespondentID],'All Data'!$A$3:$CW$999,97,FALSE),"unknown")</f>
        <v>Yes</v>
      </c>
      <c r="AQ95" s="120">
        <f>IFERROR(VLOOKUP(Table1[RespondentID],'All Data'!$A$3:$CW$999,98,FALSE),"unknown")</f>
        <v>0</v>
      </c>
      <c r="AR95" s="120">
        <f>IFERROR(VLOOKUP(Table1[RespondentID],'All Data'!$A$3:$CW$999,99,FALSE),"unknown")</f>
        <v>0</v>
      </c>
    </row>
    <row r="96" spans="1:44" ht="16">
      <c r="A96" s="5">
        <v>18023287064</v>
      </c>
      <c r="B96" s="5"/>
      <c r="C96" s="5"/>
      <c r="D96" s="5" t="s">
        <v>31</v>
      </c>
      <c r="E96" s="5"/>
      <c r="F96" s="5"/>
      <c r="G96" s="5"/>
      <c r="H96" s="5"/>
      <c r="I96" s="5"/>
      <c r="J96" s="5"/>
      <c r="K96" s="5"/>
      <c r="L96" s="8"/>
      <c r="M96" s="8">
        <f t="shared" si="15"/>
        <v>1</v>
      </c>
      <c r="N96" s="8">
        <f t="shared" si="16"/>
        <v>3</v>
      </c>
      <c r="O96" s="8"/>
      <c r="P96" s="8">
        <f t="shared" si="17"/>
        <v>0</v>
      </c>
      <c r="Q96" s="8">
        <f t="shared" si="18"/>
        <v>0</v>
      </c>
      <c r="R96" s="8">
        <f t="shared" si="19"/>
        <v>1</v>
      </c>
      <c r="S96" s="8">
        <f t="shared" si="20"/>
        <v>0</v>
      </c>
      <c r="T96" s="8">
        <f t="shared" si="21"/>
        <v>0</v>
      </c>
      <c r="U96" s="8">
        <f t="shared" si="22"/>
        <v>0</v>
      </c>
      <c r="V96" s="153">
        <f t="shared" si="23"/>
        <v>0</v>
      </c>
      <c r="W96" s="8">
        <f t="shared" si="24"/>
        <v>0</v>
      </c>
      <c r="X96" s="8">
        <f t="shared" si="25"/>
        <v>0</v>
      </c>
      <c r="Y96" s="8">
        <f t="shared" si="26"/>
        <v>0</v>
      </c>
      <c r="Z96" s="8"/>
      <c r="AA96" s="8"/>
      <c r="AB96" s="8">
        <f t="shared" si="29"/>
        <v>1</v>
      </c>
      <c r="AC96" s="8">
        <f t="shared" si="27"/>
        <v>1</v>
      </c>
      <c r="AD96" s="8" t="str">
        <f t="shared" si="28"/>
        <v>Correct</v>
      </c>
      <c r="AE96" s="8"/>
      <c r="AF96" s="120" t="str">
        <f>IFERROR(VLOOKUP(Table1[RespondentID],'All Data'!$A$3:$CO$999,87,FALSE),"unknown")</f>
        <v>Man</v>
      </c>
      <c r="AG96" s="120">
        <f>IFERROR(VLOOKUP(Table1[RespondentID],'All Data'!$A$3:$CO$999,88,FALSE),"unknown")</f>
        <v>60</v>
      </c>
      <c r="AH96" s="120" t="str">
        <f>IFERROR(VLOOKUP(Table1[RespondentID],'All Data'!$A$3:$CO$999,89,FALSE),"unknown")</f>
        <v>Suffolk</v>
      </c>
      <c r="AI96" s="120" t="str">
        <f>IFERROR(VLOOKUP(Table1[RespondentID],'All Data'!$A$3:$CO$999,90,FALSE),"unknown")</f>
        <v>Holtsville, 11742</v>
      </c>
      <c r="AJ96" s="120" t="str">
        <f>IFERROR(VLOOKUP(Table1[RespondentID],'All Data'!$A$3:$CO$999,91,FALSE),"unknown")</f>
        <v>White</v>
      </c>
      <c r="AK96" s="120" t="str">
        <f>IFERROR(VLOOKUP(Table1[RespondentID],'All Data'!$A$3:$CO$999,92,FALSE),"unknown")</f>
        <v>Hispanic or Latino</v>
      </c>
      <c r="AL96" s="120" t="str">
        <f>IFERROR(VLOOKUP(Table1[RespondentID],'All Data'!$A$3:$CO$999,93,FALSE),"unknown")</f>
        <v>English</v>
      </c>
      <c r="AM96" s="120" t="str">
        <f>IFERROR(VLOOKUP(Table1[RespondentID],'All Data'!$A$3:$CW$999,94,FALSE),"unknown")</f>
        <v>$75,000 to $125,000</v>
      </c>
      <c r="AN96" s="120" t="str">
        <f>IFERROR(VLOOKUP(Table1[RespondentID],'All Data'!$A$3:$CW$999,95,FALSE),"unknown")</f>
        <v>Technical school</v>
      </c>
      <c r="AO96" s="120" t="str">
        <f>IFERROR(VLOOKUP(Table1[RespondentID],'All Data'!$A$3:$CW$999,96,FALSE),"unknown")</f>
        <v>Employed for wages</v>
      </c>
      <c r="AP96" s="120" t="str">
        <f>IFERROR(VLOOKUP(Table1[RespondentID],'All Data'!$A$3:$CW$999,97,FALSE),"unknown")</f>
        <v>Yes</v>
      </c>
      <c r="AQ96" s="120">
        <f>IFERROR(VLOOKUP(Table1[RespondentID],'All Data'!$A$3:$CW$999,98,FALSE),"unknown")</f>
        <v>0</v>
      </c>
      <c r="AR96" s="120">
        <f>IFERROR(VLOOKUP(Table1[RespondentID],'All Data'!$A$3:$CW$999,99,FALSE),"unknown")</f>
        <v>0</v>
      </c>
    </row>
    <row r="97" spans="1:44" ht="16">
      <c r="A97" s="5">
        <v>18023286963</v>
      </c>
      <c r="B97" s="5"/>
      <c r="C97" s="5"/>
      <c r="D97" s="5" t="s">
        <v>31</v>
      </c>
      <c r="E97" s="5"/>
      <c r="F97" s="5"/>
      <c r="G97" s="5"/>
      <c r="H97" s="5"/>
      <c r="I97" s="5" t="s">
        <v>36</v>
      </c>
      <c r="J97" s="5"/>
      <c r="K97" s="5" t="s">
        <v>375</v>
      </c>
      <c r="L97" s="9"/>
      <c r="M97" s="9">
        <f t="shared" si="15"/>
        <v>3</v>
      </c>
      <c r="N97" s="9">
        <f t="shared" si="16"/>
        <v>1</v>
      </c>
      <c r="O97" s="9"/>
      <c r="P97" s="9">
        <f t="shared" si="17"/>
        <v>0</v>
      </c>
      <c r="Q97" s="9">
        <f t="shared" si="18"/>
        <v>0</v>
      </c>
      <c r="R97" s="9">
        <f t="shared" si="19"/>
        <v>1</v>
      </c>
      <c r="S97" s="9">
        <f t="shared" si="20"/>
        <v>0</v>
      </c>
      <c r="T97" s="9">
        <f t="shared" si="21"/>
        <v>0</v>
      </c>
      <c r="U97" s="9">
        <f t="shared" si="22"/>
        <v>0</v>
      </c>
      <c r="V97" s="153">
        <f t="shared" si="23"/>
        <v>0</v>
      </c>
      <c r="W97" s="9">
        <f t="shared" si="24"/>
        <v>1</v>
      </c>
      <c r="X97" s="9">
        <f t="shared" si="25"/>
        <v>0</v>
      </c>
      <c r="Y97" s="9">
        <f t="shared" si="26"/>
        <v>1</v>
      </c>
      <c r="Z97" s="9"/>
      <c r="AA97" s="9"/>
      <c r="AB97" s="9">
        <f t="shared" si="29"/>
        <v>3</v>
      </c>
      <c r="AC97" s="9">
        <f t="shared" si="27"/>
        <v>3</v>
      </c>
      <c r="AD97" s="9" t="str">
        <f t="shared" si="28"/>
        <v>Correct</v>
      </c>
      <c r="AE97" s="9"/>
      <c r="AF97" s="120" t="str">
        <f>IFERROR(VLOOKUP(Table1[RespondentID],'All Data'!$A$3:$CO$999,87,FALSE),"unknown")</f>
        <v>Man</v>
      </c>
      <c r="AG97" s="120">
        <f>IFERROR(VLOOKUP(Table1[RespondentID],'All Data'!$A$3:$CO$999,88,FALSE),"unknown")</f>
        <v>50</v>
      </c>
      <c r="AH97" s="120" t="str">
        <f>IFERROR(VLOOKUP(Table1[RespondentID],'All Data'!$A$3:$CO$999,89,FALSE),"unknown")</f>
        <v>Suffolk</v>
      </c>
      <c r="AI97" s="120" t="str">
        <f>IFERROR(VLOOKUP(Table1[RespondentID],'All Data'!$A$3:$CO$999,90,FALSE),"unknown")</f>
        <v>Smithtown, 11787</v>
      </c>
      <c r="AJ97" s="120" t="str">
        <f>IFERROR(VLOOKUP(Table1[RespondentID],'All Data'!$A$3:$CO$999,91,FALSE),"unknown")</f>
        <v>White</v>
      </c>
      <c r="AK97" s="120" t="str">
        <f>IFERROR(VLOOKUP(Table1[RespondentID],'All Data'!$A$3:$CO$999,92,FALSE),"unknown")</f>
        <v>Hispanic or Latino</v>
      </c>
      <c r="AL97" s="120" t="str">
        <f>IFERROR(VLOOKUP(Table1[RespondentID],'All Data'!$A$3:$CO$999,93,FALSE),"unknown")</f>
        <v>English</v>
      </c>
      <c r="AM97" s="120" t="str">
        <f>IFERROR(VLOOKUP(Table1[RespondentID],'All Data'!$A$3:$CW$999,94,FALSE),"unknown")</f>
        <v>Over $125,000</v>
      </c>
      <c r="AN97" s="120" t="str">
        <f>IFERROR(VLOOKUP(Table1[RespondentID],'All Data'!$A$3:$CW$999,95,FALSE),"unknown")</f>
        <v>Some college</v>
      </c>
      <c r="AO97" s="120" t="str">
        <f>IFERROR(VLOOKUP(Table1[RespondentID],'All Data'!$A$3:$CW$999,96,FALSE),"unknown")</f>
        <v>Employed for wages</v>
      </c>
      <c r="AP97" s="120" t="str">
        <f>IFERROR(VLOOKUP(Table1[RespondentID],'All Data'!$A$3:$CW$999,97,FALSE),"unknown")</f>
        <v>Yes</v>
      </c>
      <c r="AQ97" s="120">
        <f>IFERROR(VLOOKUP(Table1[RespondentID],'All Data'!$A$3:$CW$999,98,FALSE),"unknown")</f>
        <v>0</v>
      </c>
      <c r="AR97" s="120">
        <f>IFERROR(VLOOKUP(Table1[RespondentID],'All Data'!$A$3:$CW$999,99,FALSE),"unknown")</f>
        <v>0</v>
      </c>
    </row>
    <row r="98" spans="1:44" ht="16">
      <c r="A98" s="5">
        <v>18023286873</v>
      </c>
      <c r="B98" s="5"/>
      <c r="C98" s="5"/>
      <c r="D98" s="5" t="s">
        <v>31</v>
      </c>
      <c r="E98" s="5"/>
      <c r="F98" s="5"/>
      <c r="G98" s="5"/>
      <c r="H98" s="5"/>
      <c r="I98" s="5"/>
      <c r="J98" s="5"/>
      <c r="K98" s="5"/>
      <c r="L98" s="8"/>
      <c r="M98" s="8">
        <f t="shared" si="15"/>
        <v>1</v>
      </c>
      <c r="N98" s="8">
        <f t="shared" si="16"/>
        <v>3</v>
      </c>
      <c r="O98" s="8"/>
      <c r="P98" s="8">
        <f t="shared" si="17"/>
        <v>0</v>
      </c>
      <c r="Q98" s="8">
        <f t="shared" si="18"/>
        <v>0</v>
      </c>
      <c r="R98" s="8">
        <f t="shared" si="19"/>
        <v>1</v>
      </c>
      <c r="S98" s="8">
        <f t="shared" si="20"/>
        <v>0</v>
      </c>
      <c r="T98" s="8">
        <f t="shared" si="21"/>
        <v>0</v>
      </c>
      <c r="U98" s="8">
        <f t="shared" si="22"/>
        <v>0</v>
      </c>
      <c r="V98" s="153">
        <f t="shared" si="23"/>
        <v>0</v>
      </c>
      <c r="W98" s="8">
        <f t="shared" si="24"/>
        <v>0</v>
      </c>
      <c r="X98" s="8">
        <f t="shared" si="25"/>
        <v>0</v>
      </c>
      <c r="Y98" s="8">
        <f t="shared" si="26"/>
        <v>0</v>
      </c>
      <c r="Z98" s="8"/>
      <c r="AA98" s="8"/>
      <c r="AB98" s="8">
        <f t="shared" si="29"/>
        <v>1</v>
      </c>
      <c r="AC98" s="8">
        <f t="shared" si="27"/>
        <v>1</v>
      </c>
      <c r="AD98" s="8" t="str">
        <f t="shared" si="28"/>
        <v>Correct</v>
      </c>
      <c r="AE98" s="8"/>
      <c r="AF98" s="120" t="str">
        <f>IFERROR(VLOOKUP(Table1[RespondentID],'All Data'!$A$3:$CO$999,87,FALSE),"unknown")</f>
        <v>Man</v>
      </c>
      <c r="AG98" s="120">
        <f>IFERROR(VLOOKUP(Table1[RespondentID],'All Data'!$A$3:$CO$999,88,FALSE),"unknown")</f>
        <v>34</v>
      </c>
      <c r="AH98" s="120" t="str">
        <f>IFERROR(VLOOKUP(Table1[RespondentID],'All Data'!$A$3:$CO$999,89,FALSE),"unknown")</f>
        <v>Suffolk</v>
      </c>
      <c r="AI98" s="120" t="str">
        <f>IFERROR(VLOOKUP(Table1[RespondentID],'All Data'!$A$3:$CO$999,90,FALSE),"unknown")</f>
        <v>Rocky Point, 11778</v>
      </c>
      <c r="AJ98" s="120" t="str">
        <f>IFERROR(VLOOKUP(Table1[RespondentID],'All Data'!$A$3:$CO$999,91,FALSE),"unknown")</f>
        <v>White</v>
      </c>
      <c r="AK98" s="120" t="str">
        <f>IFERROR(VLOOKUP(Table1[RespondentID],'All Data'!$A$3:$CO$999,92,FALSE),"unknown")</f>
        <v>Hispanic or Latino</v>
      </c>
      <c r="AL98" s="120" t="str">
        <f>IFERROR(VLOOKUP(Table1[RespondentID],'All Data'!$A$3:$CO$999,93,FALSE),"unknown")</f>
        <v>English</v>
      </c>
      <c r="AM98" s="120" t="str">
        <f>IFERROR(VLOOKUP(Table1[RespondentID],'All Data'!$A$3:$CW$999,94,FALSE),"unknown")</f>
        <v>$50,000 to $74,999</v>
      </c>
      <c r="AN98" s="120" t="str">
        <f>IFERROR(VLOOKUP(Table1[RespondentID],'All Data'!$A$3:$CW$999,95,FALSE),"unknown")</f>
        <v>College graduate</v>
      </c>
      <c r="AO98" s="120" t="str">
        <f>IFERROR(VLOOKUP(Table1[RespondentID],'All Data'!$A$3:$CW$999,96,FALSE),"unknown")</f>
        <v>Employed for wages</v>
      </c>
      <c r="AP98" s="120" t="str">
        <f>IFERROR(VLOOKUP(Table1[RespondentID],'All Data'!$A$3:$CW$999,97,FALSE),"unknown")</f>
        <v>Yes</v>
      </c>
      <c r="AQ98" s="120">
        <f>IFERROR(VLOOKUP(Table1[RespondentID],'All Data'!$A$3:$CW$999,98,FALSE),"unknown")</f>
        <v>0</v>
      </c>
      <c r="AR98" s="120">
        <f>IFERROR(VLOOKUP(Table1[RespondentID],'All Data'!$A$3:$CW$999,99,FALSE),"unknown")</f>
        <v>0</v>
      </c>
    </row>
    <row r="99" spans="1:44" ht="16">
      <c r="A99" s="5">
        <v>18023000376</v>
      </c>
      <c r="B99" s="5"/>
      <c r="C99" s="5"/>
      <c r="D99" s="5" t="s">
        <v>31</v>
      </c>
      <c r="E99" s="5" t="s">
        <v>32</v>
      </c>
      <c r="F99" s="5"/>
      <c r="G99" s="5"/>
      <c r="H99" s="5"/>
      <c r="I99" s="5"/>
      <c r="J99" s="5"/>
      <c r="K99" s="5" t="s">
        <v>375</v>
      </c>
      <c r="L99" s="9"/>
      <c r="M99" s="9">
        <f t="shared" si="15"/>
        <v>3</v>
      </c>
      <c r="N99" s="9">
        <f t="shared" si="16"/>
        <v>1</v>
      </c>
      <c r="O99" s="9"/>
      <c r="P99" s="9">
        <f t="shared" si="17"/>
        <v>0</v>
      </c>
      <c r="Q99" s="9">
        <f t="shared" si="18"/>
        <v>0</v>
      </c>
      <c r="R99" s="9">
        <f t="shared" si="19"/>
        <v>1</v>
      </c>
      <c r="S99" s="9">
        <f t="shared" si="20"/>
        <v>1</v>
      </c>
      <c r="T99" s="9">
        <f t="shared" si="21"/>
        <v>0</v>
      </c>
      <c r="U99" s="9">
        <f t="shared" si="22"/>
        <v>0</v>
      </c>
      <c r="V99" s="153">
        <f t="shared" si="23"/>
        <v>0</v>
      </c>
      <c r="W99" s="9">
        <f t="shared" si="24"/>
        <v>0</v>
      </c>
      <c r="X99" s="9">
        <f t="shared" si="25"/>
        <v>0</v>
      </c>
      <c r="Y99" s="9">
        <f t="shared" si="26"/>
        <v>1</v>
      </c>
      <c r="Z99" s="9"/>
      <c r="AA99" s="9"/>
      <c r="AB99" s="9">
        <f t="shared" si="29"/>
        <v>3</v>
      </c>
      <c r="AC99" s="9">
        <f t="shared" si="27"/>
        <v>3</v>
      </c>
      <c r="AD99" s="9" t="str">
        <f t="shared" si="28"/>
        <v>Correct</v>
      </c>
      <c r="AE99" s="9"/>
      <c r="AF99" s="120" t="str">
        <f>IFERROR(VLOOKUP(Table1[RespondentID],'All Data'!$A$3:$CO$999,87,FALSE),"unknown")</f>
        <v>Man</v>
      </c>
      <c r="AG99" s="120">
        <f>IFERROR(VLOOKUP(Table1[RespondentID],'All Data'!$A$3:$CO$999,88,FALSE),"unknown")</f>
        <v>30</v>
      </c>
      <c r="AH99" s="120" t="str">
        <f>IFERROR(VLOOKUP(Table1[RespondentID],'All Data'!$A$3:$CO$999,89,FALSE),"unknown")</f>
        <v>Suffolk</v>
      </c>
      <c r="AI99" s="120" t="str">
        <f>IFERROR(VLOOKUP(Table1[RespondentID],'All Data'!$A$3:$CO$999,90,FALSE),"unknown")</f>
        <v>Miller Place, 11764</v>
      </c>
      <c r="AJ99" s="120" t="str">
        <f>IFERROR(VLOOKUP(Table1[RespondentID],'All Data'!$A$3:$CO$999,91,FALSE),"unknown")</f>
        <v>White</v>
      </c>
      <c r="AK99" s="120" t="str">
        <f>IFERROR(VLOOKUP(Table1[RespondentID],'All Data'!$A$3:$CO$999,92,FALSE),"unknown")</f>
        <v>Hispanic or Latino</v>
      </c>
      <c r="AL99" s="120" t="str">
        <f>IFERROR(VLOOKUP(Table1[RespondentID],'All Data'!$A$3:$CO$999,93,FALSE),"unknown")</f>
        <v>English</v>
      </c>
      <c r="AM99" s="120" t="str">
        <f>IFERROR(VLOOKUP(Table1[RespondentID],'All Data'!$A$3:$CW$999,94,FALSE),"unknown")</f>
        <v>$75,000 to $125,000</v>
      </c>
      <c r="AN99" s="120" t="str">
        <f>IFERROR(VLOOKUP(Table1[RespondentID],'All Data'!$A$3:$CW$999,95,FALSE),"unknown")</f>
        <v>College graduate</v>
      </c>
      <c r="AO99" s="120" t="str">
        <f>IFERROR(VLOOKUP(Table1[RespondentID],'All Data'!$A$3:$CW$999,96,FALSE),"unknown")</f>
        <v>Employed for wages</v>
      </c>
      <c r="AP99" s="120" t="str">
        <f>IFERROR(VLOOKUP(Table1[RespondentID],'All Data'!$A$3:$CW$999,97,FALSE),"unknown")</f>
        <v>Yes</v>
      </c>
      <c r="AQ99" s="120" t="str">
        <f>IFERROR(VLOOKUP(Table1[RespondentID],'All Data'!$A$3:$CW$999,98,FALSE),"unknown")</f>
        <v>Private/Commercial</v>
      </c>
      <c r="AR99" s="120" t="str">
        <f>IFERROR(VLOOKUP(Table1[RespondentID],'All Data'!$A$3:$CW$999,99,FALSE),"unknown")</f>
        <v>Yes</v>
      </c>
    </row>
    <row r="100" spans="1:44" ht="16">
      <c r="A100" s="5">
        <v>18022999885</v>
      </c>
      <c r="B100" s="5"/>
      <c r="C100" s="5" t="s">
        <v>30</v>
      </c>
      <c r="D100" s="5" t="s">
        <v>31</v>
      </c>
      <c r="E100" s="5"/>
      <c r="F100" s="5"/>
      <c r="G100" s="5"/>
      <c r="H100" s="5" t="s">
        <v>35</v>
      </c>
      <c r="I100" s="5"/>
      <c r="J100" s="5"/>
      <c r="K100" s="5" t="s">
        <v>375</v>
      </c>
      <c r="L100" s="8"/>
      <c r="M100" s="8">
        <f t="shared" si="15"/>
        <v>4</v>
      </c>
      <c r="N100" s="8">
        <f t="shared" si="16"/>
        <v>0.75</v>
      </c>
      <c r="O100" s="8"/>
      <c r="P100" s="8">
        <f t="shared" si="17"/>
        <v>0</v>
      </c>
      <c r="Q100" s="8">
        <f t="shared" si="18"/>
        <v>0.75</v>
      </c>
      <c r="R100" s="8">
        <f t="shared" si="19"/>
        <v>0.75</v>
      </c>
      <c r="S100" s="8">
        <f t="shared" si="20"/>
        <v>0</v>
      </c>
      <c r="T100" s="8">
        <f t="shared" si="21"/>
        <v>0</v>
      </c>
      <c r="U100" s="8">
        <f t="shared" si="22"/>
        <v>0</v>
      </c>
      <c r="V100" s="153">
        <f t="shared" si="23"/>
        <v>0.75</v>
      </c>
      <c r="W100" s="8">
        <f t="shared" si="24"/>
        <v>0</v>
      </c>
      <c r="X100" s="8">
        <f t="shared" si="25"/>
        <v>0</v>
      </c>
      <c r="Y100" s="8">
        <f t="shared" si="26"/>
        <v>0.75</v>
      </c>
      <c r="Z100" s="8"/>
      <c r="AA100" s="8"/>
      <c r="AB100" s="8">
        <f t="shared" si="29"/>
        <v>3</v>
      </c>
      <c r="AC100" s="8">
        <f t="shared" si="27"/>
        <v>4</v>
      </c>
      <c r="AD100" s="8" t="str">
        <f t="shared" si="28"/>
        <v>Correct</v>
      </c>
      <c r="AE100" s="8"/>
      <c r="AF100" s="120" t="str">
        <f>IFERROR(VLOOKUP(Table1[RespondentID],'All Data'!$A$3:$CO$999,87,FALSE),"unknown")</f>
        <v>Man</v>
      </c>
      <c r="AG100" s="120">
        <f>IFERROR(VLOOKUP(Table1[RespondentID],'All Data'!$A$3:$CO$999,88,FALSE),"unknown")</f>
        <v>24</v>
      </c>
      <c r="AH100" s="120" t="str">
        <f>IFERROR(VLOOKUP(Table1[RespondentID],'All Data'!$A$3:$CO$999,89,FALSE),"unknown")</f>
        <v>Suffolk</v>
      </c>
      <c r="AI100" s="120" t="str">
        <f>IFERROR(VLOOKUP(Table1[RespondentID],'All Data'!$A$3:$CO$999,90,FALSE),"unknown")</f>
        <v>Coram, 11727</v>
      </c>
      <c r="AJ100" s="120" t="str">
        <f>IFERROR(VLOOKUP(Table1[RespondentID],'All Data'!$A$3:$CO$999,91,FALSE),"unknown")</f>
        <v>White</v>
      </c>
      <c r="AK100" s="120" t="str">
        <f>IFERROR(VLOOKUP(Table1[RespondentID],'All Data'!$A$3:$CO$999,92,FALSE),"unknown")</f>
        <v>Hispanic or Latino</v>
      </c>
      <c r="AL100" s="120" t="str">
        <f>IFERROR(VLOOKUP(Table1[RespondentID],'All Data'!$A$3:$CO$999,93,FALSE),"unknown")</f>
        <v>English</v>
      </c>
      <c r="AM100" s="120" t="str">
        <f>IFERROR(VLOOKUP(Table1[RespondentID],'All Data'!$A$3:$CW$999,94,FALSE),"unknown")</f>
        <v>$75,000 to $125,000</v>
      </c>
      <c r="AN100" s="120" t="str">
        <f>IFERROR(VLOOKUP(Table1[RespondentID],'All Data'!$A$3:$CW$999,95,FALSE),"unknown")</f>
        <v>College graduate</v>
      </c>
      <c r="AO100" s="120" t="str">
        <f>IFERROR(VLOOKUP(Table1[RespondentID],'All Data'!$A$3:$CW$999,96,FALSE),"unknown")</f>
        <v>Employed for wages</v>
      </c>
      <c r="AP100" s="120" t="str">
        <f>IFERROR(VLOOKUP(Table1[RespondentID],'All Data'!$A$3:$CW$999,97,FALSE),"unknown")</f>
        <v>Yes</v>
      </c>
      <c r="AQ100" s="120" t="str">
        <f>IFERROR(VLOOKUP(Table1[RespondentID],'All Data'!$A$3:$CW$999,98,FALSE),"unknown")</f>
        <v>Private/Commercial</v>
      </c>
      <c r="AR100" s="120" t="str">
        <f>IFERROR(VLOOKUP(Table1[RespondentID],'All Data'!$A$3:$CW$999,99,FALSE),"unknown")</f>
        <v>Yes</v>
      </c>
    </row>
    <row r="101" spans="1:44" ht="16">
      <c r="A101" s="5">
        <v>18022879421</v>
      </c>
      <c r="B101" s="5" t="s">
        <v>29</v>
      </c>
      <c r="C101" s="5"/>
      <c r="D101" s="5"/>
      <c r="E101" s="5"/>
      <c r="F101" s="5"/>
      <c r="G101" s="5"/>
      <c r="H101" s="5"/>
      <c r="I101" s="5" t="s">
        <v>36</v>
      </c>
      <c r="J101" s="5"/>
      <c r="K101" s="5" t="s">
        <v>375</v>
      </c>
      <c r="L101" s="9"/>
      <c r="M101" s="9">
        <f t="shared" si="15"/>
        <v>3</v>
      </c>
      <c r="N101" s="9">
        <f t="shared" si="16"/>
        <v>1</v>
      </c>
      <c r="O101" s="9"/>
      <c r="P101" s="9">
        <f t="shared" si="17"/>
        <v>1</v>
      </c>
      <c r="Q101" s="9">
        <f t="shared" si="18"/>
        <v>0</v>
      </c>
      <c r="R101" s="9">
        <f t="shared" si="19"/>
        <v>0</v>
      </c>
      <c r="S101" s="9">
        <f t="shared" si="20"/>
        <v>0</v>
      </c>
      <c r="T101" s="9">
        <f t="shared" si="21"/>
        <v>0</v>
      </c>
      <c r="U101" s="9">
        <f t="shared" si="22"/>
        <v>0</v>
      </c>
      <c r="V101" s="153">
        <f t="shared" si="23"/>
        <v>0</v>
      </c>
      <c r="W101" s="9">
        <f t="shared" si="24"/>
        <v>1</v>
      </c>
      <c r="X101" s="9">
        <f t="shared" si="25"/>
        <v>0</v>
      </c>
      <c r="Y101" s="9">
        <f t="shared" si="26"/>
        <v>1</v>
      </c>
      <c r="Z101" s="9"/>
      <c r="AA101" s="9"/>
      <c r="AB101" s="9">
        <f t="shared" si="29"/>
        <v>3</v>
      </c>
      <c r="AC101" s="9">
        <f t="shared" si="27"/>
        <v>3</v>
      </c>
      <c r="AD101" s="9" t="str">
        <f t="shared" si="28"/>
        <v>Correct</v>
      </c>
      <c r="AE101" s="9"/>
      <c r="AF101" s="120" t="str">
        <f>IFERROR(VLOOKUP(Table1[RespondentID],'All Data'!$A$3:$CO$999,87,FALSE),"unknown")</f>
        <v>Man</v>
      </c>
      <c r="AG101" s="120">
        <f>IFERROR(VLOOKUP(Table1[RespondentID],'All Data'!$A$3:$CO$999,88,FALSE),"unknown")</f>
        <v>52</v>
      </c>
      <c r="AH101" s="120" t="str">
        <f>IFERROR(VLOOKUP(Table1[RespondentID],'All Data'!$A$3:$CO$999,89,FALSE),"unknown")</f>
        <v>Suffolk</v>
      </c>
      <c r="AI101" s="120" t="str">
        <f>IFERROR(VLOOKUP(Table1[RespondentID],'All Data'!$A$3:$CO$999,90,FALSE),"unknown")</f>
        <v>Smithtown, 11787</v>
      </c>
      <c r="AJ101" s="120" t="str">
        <f>IFERROR(VLOOKUP(Table1[RespondentID],'All Data'!$A$3:$CO$999,91,FALSE),"unknown")</f>
        <v>White</v>
      </c>
      <c r="AK101" s="120" t="str">
        <f>IFERROR(VLOOKUP(Table1[RespondentID],'All Data'!$A$3:$CO$999,92,FALSE),"unknown")</f>
        <v>Hispanic or Latino</v>
      </c>
      <c r="AL101" s="120" t="str">
        <f>IFERROR(VLOOKUP(Table1[RespondentID],'All Data'!$A$3:$CO$999,93,FALSE),"unknown")</f>
        <v>English</v>
      </c>
      <c r="AM101" s="120" t="str">
        <f>IFERROR(VLOOKUP(Table1[RespondentID],'All Data'!$A$3:$CW$999,94,FALSE),"unknown")</f>
        <v>Over $125,000</v>
      </c>
      <c r="AN101" s="120" t="str">
        <f>IFERROR(VLOOKUP(Table1[RespondentID],'All Data'!$A$3:$CW$999,95,FALSE),"unknown")</f>
        <v>College graduate</v>
      </c>
      <c r="AO101" s="120" t="str">
        <f>IFERROR(VLOOKUP(Table1[RespondentID],'All Data'!$A$3:$CW$999,96,FALSE),"unknown")</f>
        <v>Employed for wages</v>
      </c>
      <c r="AP101" s="120" t="str">
        <f>IFERROR(VLOOKUP(Table1[RespondentID],'All Data'!$A$3:$CW$999,97,FALSE),"unknown")</f>
        <v>Yes</v>
      </c>
      <c r="AQ101" s="120">
        <f>IFERROR(VLOOKUP(Table1[RespondentID],'All Data'!$A$3:$CW$999,98,FALSE),"unknown")</f>
        <v>0</v>
      </c>
      <c r="AR101" s="120">
        <f>IFERROR(VLOOKUP(Table1[RespondentID],'All Data'!$A$3:$CW$999,99,FALSE),"unknown")</f>
        <v>0</v>
      </c>
    </row>
    <row r="102" spans="1:44" ht="16">
      <c r="A102" s="5">
        <v>18022879253</v>
      </c>
      <c r="B102" s="5"/>
      <c r="C102" s="5"/>
      <c r="D102" s="5"/>
      <c r="E102" s="5"/>
      <c r="F102" s="5"/>
      <c r="G102" s="5"/>
      <c r="H102" s="5"/>
      <c r="I102" s="5" t="s">
        <v>36</v>
      </c>
      <c r="J102" s="5"/>
      <c r="K102" s="5" t="s">
        <v>375</v>
      </c>
      <c r="L102" s="8"/>
      <c r="M102" s="8">
        <f t="shared" si="15"/>
        <v>2</v>
      </c>
      <c r="N102" s="8">
        <f t="shared" si="16"/>
        <v>1.5</v>
      </c>
      <c r="O102" s="8"/>
      <c r="P102" s="8">
        <f t="shared" si="17"/>
        <v>0</v>
      </c>
      <c r="Q102" s="8">
        <f t="shared" si="18"/>
        <v>0</v>
      </c>
      <c r="R102" s="8">
        <f t="shared" si="19"/>
        <v>0</v>
      </c>
      <c r="S102" s="8">
        <f t="shared" si="20"/>
        <v>0</v>
      </c>
      <c r="T102" s="8">
        <f t="shared" si="21"/>
        <v>0</v>
      </c>
      <c r="U102" s="8">
        <f t="shared" si="22"/>
        <v>0</v>
      </c>
      <c r="V102" s="153">
        <f t="shared" si="23"/>
        <v>0</v>
      </c>
      <c r="W102" s="8">
        <f t="shared" si="24"/>
        <v>1</v>
      </c>
      <c r="X102" s="8">
        <f t="shared" si="25"/>
        <v>0</v>
      </c>
      <c r="Y102" s="8">
        <f t="shared" si="26"/>
        <v>1</v>
      </c>
      <c r="Z102" s="8"/>
      <c r="AA102" s="8"/>
      <c r="AB102" s="8">
        <f t="shared" si="29"/>
        <v>2</v>
      </c>
      <c r="AC102" s="8">
        <f t="shared" si="27"/>
        <v>2</v>
      </c>
      <c r="AD102" s="8" t="str">
        <f t="shared" si="28"/>
        <v>Correct</v>
      </c>
      <c r="AE102" s="8"/>
      <c r="AF102" s="120" t="str">
        <f>IFERROR(VLOOKUP(Table1[RespondentID],'All Data'!$A$3:$CO$999,87,FALSE),"unknown")</f>
        <v>Woman</v>
      </c>
      <c r="AG102" s="120">
        <f>IFERROR(VLOOKUP(Table1[RespondentID],'All Data'!$A$3:$CO$999,88,FALSE),"unknown")</f>
        <v>60</v>
      </c>
      <c r="AH102" s="120" t="str">
        <f>IFERROR(VLOOKUP(Table1[RespondentID],'All Data'!$A$3:$CO$999,89,FALSE),"unknown")</f>
        <v>Suffolk</v>
      </c>
      <c r="AI102" s="120" t="str">
        <f>IFERROR(VLOOKUP(Table1[RespondentID],'All Data'!$A$3:$CO$999,90,FALSE),"unknown")</f>
        <v>Lake Ronkonkoma, 11779</v>
      </c>
      <c r="AJ102" s="120" t="str">
        <f>IFERROR(VLOOKUP(Table1[RespondentID],'All Data'!$A$3:$CO$999,91,FALSE),"unknown")</f>
        <v>White</v>
      </c>
      <c r="AK102" s="120" t="str">
        <f>IFERROR(VLOOKUP(Table1[RespondentID],'All Data'!$A$3:$CO$999,92,FALSE),"unknown")</f>
        <v>Hispanic or Latino</v>
      </c>
      <c r="AL102" s="120" t="str">
        <f>IFERROR(VLOOKUP(Table1[RespondentID],'All Data'!$A$3:$CO$999,93,FALSE),"unknown")</f>
        <v>English, Italian</v>
      </c>
      <c r="AM102" s="120" t="str">
        <f>IFERROR(VLOOKUP(Table1[RespondentID],'All Data'!$A$3:$CW$999,94,FALSE),"unknown")</f>
        <v>$50,000 to $74,999</v>
      </c>
      <c r="AN102" s="120" t="str">
        <f>IFERROR(VLOOKUP(Table1[RespondentID],'All Data'!$A$3:$CW$999,95,FALSE),"unknown")</f>
        <v>Some college</v>
      </c>
      <c r="AO102" s="120" t="str">
        <f>IFERROR(VLOOKUP(Table1[RespondentID],'All Data'!$A$3:$CW$999,96,FALSE),"unknown")</f>
        <v>Employed for wages</v>
      </c>
      <c r="AP102" s="120" t="str">
        <f>IFERROR(VLOOKUP(Table1[RespondentID],'All Data'!$A$3:$CW$999,97,FALSE),"unknown")</f>
        <v>No</v>
      </c>
      <c r="AQ102" s="120">
        <f>IFERROR(VLOOKUP(Table1[RespondentID],'All Data'!$A$3:$CW$999,98,FALSE),"unknown")</f>
        <v>0</v>
      </c>
      <c r="AR102" s="120">
        <f>IFERROR(VLOOKUP(Table1[RespondentID],'All Data'!$A$3:$CW$999,99,FALSE),"unknown")</f>
        <v>0</v>
      </c>
    </row>
    <row r="103" spans="1:44" ht="16">
      <c r="A103" s="5">
        <v>18022879053</v>
      </c>
      <c r="B103" s="5"/>
      <c r="C103" s="5"/>
      <c r="D103" s="5" t="s">
        <v>31</v>
      </c>
      <c r="E103" s="5"/>
      <c r="F103" s="5"/>
      <c r="G103" s="5"/>
      <c r="H103" s="5"/>
      <c r="I103" s="5" t="s">
        <v>36</v>
      </c>
      <c r="J103" s="5" t="s">
        <v>37</v>
      </c>
      <c r="K103" s="5"/>
      <c r="L103" s="9"/>
      <c r="M103" s="9">
        <f t="shared" si="15"/>
        <v>3</v>
      </c>
      <c r="N103" s="9">
        <f t="shared" si="16"/>
        <v>1</v>
      </c>
      <c r="O103" s="9"/>
      <c r="P103" s="9">
        <f t="shared" si="17"/>
        <v>0</v>
      </c>
      <c r="Q103" s="9">
        <f t="shared" si="18"/>
        <v>0</v>
      </c>
      <c r="R103" s="9">
        <f t="shared" si="19"/>
        <v>1</v>
      </c>
      <c r="S103" s="9">
        <f t="shared" si="20"/>
        <v>0</v>
      </c>
      <c r="T103" s="9">
        <f t="shared" si="21"/>
        <v>0</v>
      </c>
      <c r="U103" s="9">
        <f t="shared" si="22"/>
        <v>0</v>
      </c>
      <c r="V103" s="153">
        <f t="shared" si="23"/>
        <v>0</v>
      </c>
      <c r="W103" s="9">
        <f t="shared" si="24"/>
        <v>1</v>
      </c>
      <c r="X103" s="9">
        <f t="shared" si="25"/>
        <v>1</v>
      </c>
      <c r="Y103" s="9">
        <f t="shared" si="26"/>
        <v>0</v>
      </c>
      <c r="Z103" s="9"/>
      <c r="AA103" s="9"/>
      <c r="AB103" s="9">
        <f t="shared" si="29"/>
        <v>3</v>
      </c>
      <c r="AC103" s="9">
        <f t="shared" si="27"/>
        <v>3</v>
      </c>
      <c r="AD103" s="9" t="str">
        <f t="shared" si="28"/>
        <v>Correct</v>
      </c>
      <c r="AE103" s="9"/>
      <c r="AF103" s="120" t="str">
        <f>IFERROR(VLOOKUP(Table1[RespondentID],'All Data'!$A$3:$CO$999,87,FALSE),"unknown")</f>
        <v>Man</v>
      </c>
      <c r="AG103" s="120">
        <f>IFERROR(VLOOKUP(Table1[RespondentID],'All Data'!$A$3:$CO$999,88,FALSE),"unknown")</f>
        <v>54</v>
      </c>
      <c r="AH103" s="120" t="str">
        <f>IFERROR(VLOOKUP(Table1[RespondentID],'All Data'!$A$3:$CO$999,89,FALSE),"unknown")</f>
        <v>Suffolk</v>
      </c>
      <c r="AI103" s="120" t="str">
        <f>IFERROR(VLOOKUP(Table1[RespondentID],'All Data'!$A$3:$CO$999,90,FALSE),"unknown")</f>
        <v>Ronkonkoma, 11779</v>
      </c>
      <c r="AJ103" s="120" t="str">
        <f>IFERROR(VLOOKUP(Table1[RespondentID],'All Data'!$A$3:$CO$999,91,FALSE),"unknown")</f>
        <v>White</v>
      </c>
      <c r="AK103" s="120" t="str">
        <f>IFERROR(VLOOKUP(Table1[RespondentID],'All Data'!$A$3:$CO$999,92,FALSE),"unknown")</f>
        <v>Hispanic or Latino</v>
      </c>
      <c r="AL103" s="120" t="str">
        <f>IFERROR(VLOOKUP(Table1[RespondentID],'All Data'!$A$3:$CO$999,93,FALSE),"unknown")</f>
        <v>English</v>
      </c>
      <c r="AM103" s="120" t="str">
        <f>IFERROR(VLOOKUP(Table1[RespondentID],'All Data'!$A$3:$CW$999,94,FALSE),"unknown")</f>
        <v>$50,000 to $74,999</v>
      </c>
      <c r="AN103" s="120" t="str">
        <f>IFERROR(VLOOKUP(Table1[RespondentID],'All Data'!$A$3:$CW$999,95,FALSE),"unknown")</f>
        <v>High school graduate</v>
      </c>
      <c r="AO103" s="120" t="str">
        <f>IFERROR(VLOOKUP(Table1[RespondentID],'All Data'!$A$3:$CW$999,96,FALSE),"unknown")</f>
        <v>Employed for wages</v>
      </c>
      <c r="AP103" s="120" t="str">
        <f>IFERROR(VLOOKUP(Table1[RespondentID],'All Data'!$A$3:$CW$999,97,FALSE),"unknown")</f>
        <v>Yes</v>
      </c>
      <c r="AQ103" s="120">
        <f>IFERROR(VLOOKUP(Table1[RespondentID],'All Data'!$A$3:$CW$999,98,FALSE),"unknown")</f>
        <v>0</v>
      </c>
      <c r="AR103" s="120">
        <f>IFERROR(VLOOKUP(Table1[RespondentID],'All Data'!$A$3:$CW$999,99,FALSE),"unknown")</f>
        <v>0</v>
      </c>
    </row>
    <row r="104" spans="1:44" ht="16">
      <c r="A104" s="5">
        <v>18022878819</v>
      </c>
      <c r="B104" s="5"/>
      <c r="C104" s="5"/>
      <c r="D104" s="5" t="s">
        <v>31</v>
      </c>
      <c r="E104" s="5"/>
      <c r="F104" s="5"/>
      <c r="G104" s="5"/>
      <c r="H104" s="5"/>
      <c r="I104" s="5" t="s">
        <v>36</v>
      </c>
      <c r="J104" s="5"/>
      <c r="K104" s="5"/>
      <c r="L104" s="8"/>
      <c r="M104" s="8">
        <f t="shared" si="15"/>
        <v>2</v>
      </c>
      <c r="N104" s="8">
        <f t="shared" si="16"/>
        <v>1.5</v>
      </c>
      <c r="O104" s="8"/>
      <c r="P104" s="8">
        <f t="shared" si="17"/>
        <v>0</v>
      </c>
      <c r="Q104" s="8">
        <f t="shared" si="18"/>
        <v>0</v>
      </c>
      <c r="R104" s="8">
        <f t="shared" si="19"/>
        <v>1</v>
      </c>
      <c r="S104" s="8">
        <f t="shared" si="20"/>
        <v>0</v>
      </c>
      <c r="T104" s="8">
        <f t="shared" si="21"/>
        <v>0</v>
      </c>
      <c r="U104" s="8">
        <f t="shared" si="22"/>
        <v>0</v>
      </c>
      <c r="V104" s="153">
        <f t="shared" si="23"/>
        <v>0</v>
      </c>
      <c r="W104" s="8">
        <f t="shared" si="24"/>
        <v>1</v>
      </c>
      <c r="X104" s="8">
        <f t="shared" si="25"/>
        <v>0</v>
      </c>
      <c r="Y104" s="8">
        <f t="shared" si="26"/>
        <v>0</v>
      </c>
      <c r="Z104" s="8"/>
      <c r="AA104" s="8"/>
      <c r="AB104" s="8">
        <f t="shared" si="29"/>
        <v>2</v>
      </c>
      <c r="AC104" s="8">
        <f t="shared" si="27"/>
        <v>2</v>
      </c>
      <c r="AD104" s="8" t="str">
        <f t="shared" si="28"/>
        <v>Correct</v>
      </c>
      <c r="AE104" s="8"/>
      <c r="AF104" s="120" t="str">
        <f>IFERROR(VLOOKUP(Table1[RespondentID],'All Data'!$A$3:$CO$999,87,FALSE),"unknown")</f>
        <v>Woman</v>
      </c>
      <c r="AG104" s="120">
        <f>IFERROR(VLOOKUP(Table1[RespondentID],'All Data'!$A$3:$CO$999,88,FALSE),"unknown")</f>
        <v>25</v>
      </c>
      <c r="AH104" s="120" t="str">
        <f>IFERROR(VLOOKUP(Table1[RespondentID],'All Data'!$A$3:$CO$999,89,FALSE),"unknown")</f>
        <v>Suffolk</v>
      </c>
      <c r="AI104" s="120" t="str">
        <f>IFERROR(VLOOKUP(Table1[RespondentID],'All Data'!$A$3:$CO$999,90,FALSE),"unknown")</f>
        <v>Mastic, 11950</v>
      </c>
      <c r="AJ104" s="120" t="str">
        <f>IFERROR(VLOOKUP(Table1[RespondentID],'All Data'!$A$3:$CO$999,91,FALSE),"unknown")</f>
        <v>White</v>
      </c>
      <c r="AK104" s="120" t="str">
        <f>IFERROR(VLOOKUP(Table1[RespondentID],'All Data'!$A$3:$CO$999,92,FALSE),"unknown")</f>
        <v>Hispanic or Latino</v>
      </c>
      <c r="AL104" s="120" t="str">
        <f>IFERROR(VLOOKUP(Table1[RespondentID],'All Data'!$A$3:$CO$999,93,FALSE),"unknown")</f>
        <v>English</v>
      </c>
      <c r="AM104" s="120" t="str">
        <f>IFERROR(VLOOKUP(Table1[RespondentID],'All Data'!$A$3:$CW$999,94,FALSE),"unknown")</f>
        <v>$75,000 to $125,000</v>
      </c>
      <c r="AN104" s="120" t="str">
        <f>IFERROR(VLOOKUP(Table1[RespondentID],'All Data'!$A$3:$CW$999,95,FALSE),"unknown")</f>
        <v>College graduate</v>
      </c>
      <c r="AO104" s="120" t="str">
        <f>IFERROR(VLOOKUP(Table1[RespondentID],'All Data'!$A$3:$CW$999,96,FALSE),"unknown")</f>
        <v>Employed for wages</v>
      </c>
      <c r="AP104" s="120" t="str">
        <f>IFERROR(VLOOKUP(Table1[RespondentID],'All Data'!$A$3:$CW$999,97,FALSE),"unknown")</f>
        <v>Yes</v>
      </c>
      <c r="AQ104" s="120">
        <f>IFERROR(VLOOKUP(Table1[RespondentID],'All Data'!$A$3:$CW$999,98,FALSE),"unknown")</f>
        <v>0</v>
      </c>
      <c r="AR104" s="120">
        <f>IFERROR(VLOOKUP(Table1[RespondentID],'All Data'!$A$3:$CW$999,99,FALSE),"unknown")</f>
        <v>0</v>
      </c>
    </row>
    <row r="105" spans="1:44" ht="16">
      <c r="A105" s="5">
        <v>18022878706</v>
      </c>
      <c r="B105" s="5"/>
      <c r="C105" s="5"/>
      <c r="D105" s="5"/>
      <c r="E105" s="5"/>
      <c r="F105" s="5"/>
      <c r="G105" s="5"/>
      <c r="H105" s="5"/>
      <c r="I105" s="5" t="s">
        <v>36</v>
      </c>
      <c r="J105" s="5"/>
      <c r="K105" s="5" t="s">
        <v>375</v>
      </c>
      <c r="L105" s="9"/>
      <c r="M105" s="9">
        <f t="shared" si="15"/>
        <v>2</v>
      </c>
      <c r="N105" s="9">
        <f t="shared" si="16"/>
        <v>1.5</v>
      </c>
      <c r="O105" s="9"/>
      <c r="P105" s="9">
        <f t="shared" si="17"/>
        <v>0</v>
      </c>
      <c r="Q105" s="9">
        <f t="shared" si="18"/>
        <v>0</v>
      </c>
      <c r="R105" s="9">
        <f t="shared" si="19"/>
        <v>0</v>
      </c>
      <c r="S105" s="9">
        <f t="shared" si="20"/>
        <v>0</v>
      </c>
      <c r="T105" s="9">
        <f t="shared" si="21"/>
        <v>0</v>
      </c>
      <c r="U105" s="9">
        <f t="shared" si="22"/>
        <v>0</v>
      </c>
      <c r="V105" s="153">
        <f t="shared" si="23"/>
        <v>0</v>
      </c>
      <c r="W105" s="9">
        <f t="shared" si="24"/>
        <v>1</v>
      </c>
      <c r="X105" s="9">
        <f t="shared" si="25"/>
        <v>0</v>
      </c>
      <c r="Y105" s="9">
        <f t="shared" si="26"/>
        <v>1</v>
      </c>
      <c r="Z105" s="9"/>
      <c r="AA105" s="9"/>
      <c r="AB105" s="9">
        <f t="shared" si="29"/>
        <v>2</v>
      </c>
      <c r="AC105" s="9">
        <f t="shared" si="27"/>
        <v>2</v>
      </c>
      <c r="AD105" s="9" t="str">
        <f t="shared" si="28"/>
        <v>Correct</v>
      </c>
      <c r="AE105" s="9"/>
      <c r="AF105" s="120" t="str">
        <f>IFERROR(VLOOKUP(Table1[RespondentID],'All Data'!$A$3:$CO$999,87,FALSE),"unknown")</f>
        <v>Man</v>
      </c>
      <c r="AG105" s="120">
        <f>IFERROR(VLOOKUP(Table1[RespondentID],'All Data'!$A$3:$CO$999,88,FALSE),"unknown")</f>
        <v>32</v>
      </c>
      <c r="AH105" s="120" t="str">
        <f>IFERROR(VLOOKUP(Table1[RespondentID],'All Data'!$A$3:$CO$999,89,FALSE),"unknown")</f>
        <v>Suffolk</v>
      </c>
      <c r="AI105" s="120" t="str">
        <f>IFERROR(VLOOKUP(Table1[RespondentID],'All Data'!$A$3:$CO$999,90,FALSE),"unknown")</f>
        <v>Smithtown, 11787</v>
      </c>
      <c r="AJ105" s="120" t="str">
        <f>IFERROR(VLOOKUP(Table1[RespondentID],'All Data'!$A$3:$CO$999,91,FALSE),"unknown")</f>
        <v>White</v>
      </c>
      <c r="AK105" s="120" t="str">
        <f>IFERROR(VLOOKUP(Table1[RespondentID],'All Data'!$A$3:$CO$999,92,FALSE),"unknown")</f>
        <v>Hispanic or Latino</v>
      </c>
      <c r="AL105" s="120" t="str">
        <f>IFERROR(VLOOKUP(Table1[RespondentID],'All Data'!$A$3:$CO$999,93,FALSE),"unknown")</f>
        <v>English</v>
      </c>
      <c r="AM105" s="120" t="str">
        <f>IFERROR(VLOOKUP(Table1[RespondentID],'All Data'!$A$3:$CW$999,94,FALSE),"unknown")</f>
        <v>Over $125,000</v>
      </c>
      <c r="AN105" s="120" t="str">
        <f>IFERROR(VLOOKUP(Table1[RespondentID],'All Data'!$A$3:$CW$999,95,FALSE),"unknown")</f>
        <v>High school graduate</v>
      </c>
      <c r="AO105" s="120" t="str">
        <f>IFERROR(VLOOKUP(Table1[RespondentID],'All Data'!$A$3:$CW$999,96,FALSE),"unknown")</f>
        <v>Employed for wages</v>
      </c>
      <c r="AP105" s="120">
        <f>IFERROR(VLOOKUP(Table1[RespondentID],'All Data'!$A$3:$CW$999,97,FALSE),"unknown")</f>
        <v>0</v>
      </c>
      <c r="AQ105" s="120">
        <f>IFERROR(VLOOKUP(Table1[RespondentID],'All Data'!$A$3:$CW$999,98,FALSE),"unknown")</f>
        <v>0</v>
      </c>
      <c r="AR105" s="120">
        <f>IFERROR(VLOOKUP(Table1[RespondentID],'All Data'!$A$3:$CW$999,99,FALSE),"unknown")</f>
        <v>0</v>
      </c>
    </row>
    <row r="106" spans="1:44" ht="16">
      <c r="A106" s="5">
        <v>18022878547</v>
      </c>
      <c r="B106" s="5"/>
      <c r="C106" s="5"/>
      <c r="D106" s="5"/>
      <c r="E106" s="5" t="s">
        <v>32</v>
      </c>
      <c r="F106" s="5"/>
      <c r="G106" s="5"/>
      <c r="H106" s="5"/>
      <c r="I106" s="5" t="s">
        <v>36</v>
      </c>
      <c r="J106" s="5"/>
      <c r="K106" s="5" t="s">
        <v>375</v>
      </c>
      <c r="L106" s="8"/>
      <c r="M106" s="8">
        <f t="shared" si="15"/>
        <v>3</v>
      </c>
      <c r="N106" s="8">
        <f t="shared" si="16"/>
        <v>1</v>
      </c>
      <c r="O106" s="8"/>
      <c r="P106" s="8">
        <f t="shared" si="17"/>
        <v>0</v>
      </c>
      <c r="Q106" s="8">
        <f t="shared" si="18"/>
        <v>0</v>
      </c>
      <c r="R106" s="8">
        <f t="shared" si="19"/>
        <v>0</v>
      </c>
      <c r="S106" s="8">
        <f t="shared" si="20"/>
        <v>1</v>
      </c>
      <c r="T106" s="8">
        <f t="shared" si="21"/>
        <v>0</v>
      </c>
      <c r="U106" s="8">
        <f t="shared" si="22"/>
        <v>0</v>
      </c>
      <c r="V106" s="153">
        <f t="shared" si="23"/>
        <v>0</v>
      </c>
      <c r="W106" s="8">
        <f t="shared" si="24"/>
        <v>1</v>
      </c>
      <c r="X106" s="8">
        <f t="shared" si="25"/>
        <v>0</v>
      </c>
      <c r="Y106" s="8">
        <f t="shared" si="26"/>
        <v>1</v>
      </c>
      <c r="Z106" s="8"/>
      <c r="AA106" s="8"/>
      <c r="AB106" s="8">
        <f t="shared" si="29"/>
        <v>3</v>
      </c>
      <c r="AC106" s="8">
        <f t="shared" si="27"/>
        <v>3</v>
      </c>
      <c r="AD106" s="8" t="str">
        <f t="shared" si="28"/>
        <v>Correct</v>
      </c>
      <c r="AE106" s="8"/>
      <c r="AF106" s="120" t="str">
        <f>IFERROR(VLOOKUP(Table1[RespondentID],'All Data'!$A$3:$CO$999,87,FALSE),"unknown")</f>
        <v>Man</v>
      </c>
      <c r="AG106" s="120">
        <f>IFERROR(VLOOKUP(Table1[RespondentID],'All Data'!$A$3:$CO$999,88,FALSE),"unknown")</f>
        <v>50</v>
      </c>
      <c r="AH106" s="120" t="str">
        <f>IFERROR(VLOOKUP(Table1[RespondentID],'All Data'!$A$3:$CO$999,89,FALSE),"unknown")</f>
        <v>Suffolk</v>
      </c>
      <c r="AI106" s="120" t="str">
        <f>IFERROR(VLOOKUP(Table1[RespondentID],'All Data'!$A$3:$CO$999,90,FALSE),"unknown")</f>
        <v>Shirley, 11967</v>
      </c>
      <c r="AJ106" s="120" t="str">
        <f>IFERROR(VLOOKUP(Table1[RespondentID],'All Data'!$A$3:$CO$999,91,FALSE),"unknown")</f>
        <v>White</v>
      </c>
      <c r="AK106" s="120" t="str">
        <f>IFERROR(VLOOKUP(Table1[RespondentID],'All Data'!$A$3:$CO$999,92,FALSE),"unknown")</f>
        <v>Hispanic or Latino</v>
      </c>
      <c r="AL106" s="120" t="str">
        <f>IFERROR(VLOOKUP(Table1[RespondentID],'All Data'!$A$3:$CO$999,93,FALSE),"unknown")</f>
        <v>English</v>
      </c>
      <c r="AM106" s="120" t="str">
        <f>IFERROR(VLOOKUP(Table1[RespondentID],'All Data'!$A$3:$CW$999,94,FALSE),"unknown")</f>
        <v>$0-$19,999</v>
      </c>
      <c r="AN106" s="120" t="str">
        <f>IFERROR(VLOOKUP(Table1[RespondentID],'All Data'!$A$3:$CW$999,95,FALSE),"unknown")</f>
        <v>High school graduate</v>
      </c>
      <c r="AO106" s="120" t="str">
        <f>IFERROR(VLOOKUP(Table1[RespondentID],'All Data'!$A$3:$CW$999,96,FALSE),"unknown")</f>
        <v>Out of work, but not currently looking</v>
      </c>
      <c r="AP106" s="120" t="str">
        <f>IFERROR(VLOOKUP(Table1[RespondentID],'All Data'!$A$3:$CW$999,97,FALSE),"unknown")</f>
        <v>Yes</v>
      </c>
      <c r="AQ106" s="120">
        <f>IFERROR(VLOOKUP(Table1[RespondentID],'All Data'!$A$3:$CW$999,98,FALSE),"unknown")</f>
        <v>0</v>
      </c>
      <c r="AR106" s="120">
        <f>IFERROR(VLOOKUP(Table1[RespondentID],'All Data'!$A$3:$CW$999,99,FALSE),"unknown")</f>
        <v>0</v>
      </c>
    </row>
    <row r="107" spans="1:44" ht="16">
      <c r="A107" s="5">
        <v>18022878424</v>
      </c>
      <c r="B107" s="5"/>
      <c r="C107" s="5"/>
      <c r="D107" s="5" t="s">
        <v>31</v>
      </c>
      <c r="E107" s="5"/>
      <c r="F107" s="5"/>
      <c r="G107" s="5"/>
      <c r="H107" s="5"/>
      <c r="I107" s="5" t="s">
        <v>36</v>
      </c>
      <c r="J107" s="5"/>
      <c r="K107" s="5" t="s">
        <v>375</v>
      </c>
      <c r="L107" s="9"/>
      <c r="M107" s="9">
        <f t="shared" si="15"/>
        <v>3</v>
      </c>
      <c r="N107" s="9">
        <f t="shared" si="16"/>
        <v>1</v>
      </c>
      <c r="O107" s="9"/>
      <c r="P107" s="9">
        <f t="shared" si="17"/>
        <v>0</v>
      </c>
      <c r="Q107" s="9">
        <f t="shared" si="18"/>
        <v>0</v>
      </c>
      <c r="R107" s="9">
        <f t="shared" si="19"/>
        <v>1</v>
      </c>
      <c r="S107" s="9">
        <f t="shared" si="20"/>
        <v>0</v>
      </c>
      <c r="T107" s="9">
        <f t="shared" si="21"/>
        <v>0</v>
      </c>
      <c r="U107" s="9">
        <f t="shared" si="22"/>
        <v>0</v>
      </c>
      <c r="V107" s="153">
        <f t="shared" si="23"/>
        <v>0</v>
      </c>
      <c r="W107" s="9">
        <f t="shared" si="24"/>
        <v>1</v>
      </c>
      <c r="X107" s="9">
        <f t="shared" si="25"/>
        <v>0</v>
      </c>
      <c r="Y107" s="9">
        <f t="shared" si="26"/>
        <v>1</v>
      </c>
      <c r="Z107" s="9"/>
      <c r="AA107" s="9"/>
      <c r="AB107" s="9">
        <f t="shared" si="29"/>
        <v>3</v>
      </c>
      <c r="AC107" s="9">
        <f t="shared" si="27"/>
        <v>3</v>
      </c>
      <c r="AD107" s="9" t="str">
        <f t="shared" si="28"/>
        <v>Correct</v>
      </c>
      <c r="AE107" s="9"/>
      <c r="AF107" s="120" t="str">
        <f>IFERROR(VLOOKUP(Table1[RespondentID],'All Data'!$A$3:$CO$999,87,FALSE),"unknown")</f>
        <v>Man</v>
      </c>
      <c r="AG107" s="120">
        <f>IFERROR(VLOOKUP(Table1[RespondentID],'All Data'!$A$3:$CO$999,88,FALSE),"unknown")</f>
        <v>26</v>
      </c>
      <c r="AH107" s="120" t="str">
        <f>IFERROR(VLOOKUP(Table1[RespondentID],'All Data'!$A$3:$CO$999,89,FALSE),"unknown")</f>
        <v>Suffolk</v>
      </c>
      <c r="AI107" s="120" t="str">
        <f>IFERROR(VLOOKUP(Table1[RespondentID],'All Data'!$A$3:$CO$999,90,FALSE),"unknown")</f>
        <v>Moriches, 11955</v>
      </c>
      <c r="AJ107" s="120" t="str">
        <f>IFERROR(VLOOKUP(Table1[RespondentID],'All Data'!$A$3:$CO$999,91,FALSE),"unknown")</f>
        <v>White</v>
      </c>
      <c r="AK107" s="120" t="str">
        <f>IFERROR(VLOOKUP(Table1[RespondentID],'All Data'!$A$3:$CO$999,92,FALSE),"unknown")</f>
        <v>Hispanic or Latino</v>
      </c>
      <c r="AL107" s="120" t="str">
        <f>IFERROR(VLOOKUP(Table1[RespondentID],'All Data'!$A$3:$CO$999,93,FALSE),"unknown")</f>
        <v>English</v>
      </c>
      <c r="AM107" s="120" t="str">
        <f>IFERROR(VLOOKUP(Table1[RespondentID],'All Data'!$A$3:$CW$999,94,FALSE),"unknown")</f>
        <v>Over $125,000</v>
      </c>
      <c r="AN107" s="120" t="str">
        <f>IFERROR(VLOOKUP(Table1[RespondentID],'All Data'!$A$3:$CW$999,95,FALSE),"unknown")</f>
        <v>Technical school</v>
      </c>
      <c r="AO107" s="120" t="str">
        <f>IFERROR(VLOOKUP(Table1[RespondentID],'All Data'!$A$3:$CW$999,96,FALSE),"unknown")</f>
        <v>Employed for wages</v>
      </c>
      <c r="AP107" s="120" t="str">
        <f>IFERROR(VLOOKUP(Table1[RespondentID],'All Data'!$A$3:$CW$999,97,FALSE),"unknown")</f>
        <v>Yes</v>
      </c>
      <c r="AQ107" s="120">
        <f>IFERROR(VLOOKUP(Table1[RespondentID],'All Data'!$A$3:$CW$999,98,FALSE),"unknown")</f>
        <v>0</v>
      </c>
      <c r="AR107" s="120">
        <f>IFERROR(VLOOKUP(Table1[RespondentID],'All Data'!$A$3:$CW$999,99,FALSE),"unknown")</f>
        <v>0</v>
      </c>
    </row>
    <row r="108" spans="1:44" ht="16">
      <c r="A108" s="5">
        <v>18022878292</v>
      </c>
      <c r="B108" s="5"/>
      <c r="C108" s="5"/>
      <c r="D108" s="5" t="s">
        <v>31</v>
      </c>
      <c r="E108" s="5"/>
      <c r="F108" s="5"/>
      <c r="G108" s="5"/>
      <c r="H108" s="5" t="s">
        <v>35</v>
      </c>
      <c r="I108" s="5"/>
      <c r="J108" s="5"/>
      <c r="K108" s="5" t="s">
        <v>375</v>
      </c>
      <c r="L108" s="8"/>
      <c r="M108" s="8">
        <f t="shared" si="15"/>
        <v>3</v>
      </c>
      <c r="N108" s="8">
        <f t="shared" si="16"/>
        <v>1</v>
      </c>
      <c r="O108" s="8"/>
      <c r="P108" s="8">
        <f t="shared" si="17"/>
        <v>0</v>
      </c>
      <c r="Q108" s="8">
        <f t="shared" si="18"/>
        <v>0</v>
      </c>
      <c r="R108" s="8">
        <f t="shared" si="19"/>
        <v>1</v>
      </c>
      <c r="S108" s="8">
        <f t="shared" si="20"/>
        <v>0</v>
      </c>
      <c r="T108" s="8">
        <f t="shared" si="21"/>
        <v>0</v>
      </c>
      <c r="U108" s="8">
        <f t="shared" si="22"/>
        <v>0</v>
      </c>
      <c r="V108" s="153">
        <f t="shared" si="23"/>
        <v>1</v>
      </c>
      <c r="W108" s="8">
        <f t="shared" si="24"/>
        <v>0</v>
      </c>
      <c r="X108" s="8">
        <f t="shared" si="25"/>
        <v>0</v>
      </c>
      <c r="Y108" s="8">
        <f t="shared" si="26"/>
        <v>1</v>
      </c>
      <c r="Z108" s="8"/>
      <c r="AA108" s="8"/>
      <c r="AB108" s="8">
        <f t="shared" si="29"/>
        <v>3</v>
      </c>
      <c r="AC108" s="8">
        <f t="shared" si="27"/>
        <v>3</v>
      </c>
      <c r="AD108" s="8" t="str">
        <f t="shared" si="28"/>
        <v>Correct</v>
      </c>
      <c r="AE108" s="8"/>
      <c r="AF108" s="120" t="str">
        <f>IFERROR(VLOOKUP(Table1[RespondentID],'All Data'!$A$3:$CO$999,87,FALSE),"unknown")</f>
        <v>Man</v>
      </c>
      <c r="AG108" s="120">
        <f>IFERROR(VLOOKUP(Table1[RespondentID],'All Data'!$A$3:$CO$999,88,FALSE),"unknown")</f>
        <v>47</v>
      </c>
      <c r="AH108" s="120" t="str">
        <f>IFERROR(VLOOKUP(Table1[RespondentID],'All Data'!$A$3:$CO$999,89,FALSE),"unknown")</f>
        <v>Suffolk</v>
      </c>
      <c r="AI108" s="120" t="str">
        <f>IFERROR(VLOOKUP(Table1[RespondentID],'All Data'!$A$3:$CO$999,90,FALSE),"unknown")</f>
        <v>Smithtown, 11787</v>
      </c>
      <c r="AJ108" s="120" t="str">
        <f>IFERROR(VLOOKUP(Table1[RespondentID],'All Data'!$A$3:$CO$999,91,FALSE),"unknown")</f>
        <v>White</v>
      </c>
      <c r="AK108" s="120" t="str">
        <f>IFERROR(VLOOKUP(Table1[RespondentID],'All Data'!$A$3:$CO$999,92,FALSE),"unknown")</f>
        <v>Hispanic or Latino</v>
      </c>
      <c r="AL108" s="120" t="str">
        <f>IFERROR(VLOOKUP(Table1[RespondentID],'All Data'!$A$3:$CO$999,93,FALSE),"unknown")</f>
        <v>English</v>
      </c>
      <c r="AM108" s="120" t="str">
        <f>IFERROR(VLOOKUP(Table1[RespondentID],'All Data'!$A$3:$CW$999,94,FALSE),"unknown")</f>
        <v>Over $125,000</v>
      </c>
      <c r="AN108" s="120" t="str">
        <f>IFERROR(VLOOKUP(Table1[RespondentID],'All Data'!$A$3:$CW$999,95,FALSE),"unknown")</f>
        <v>Some college</v>
      </c>
      <c r="AO108" s="120" t="str">
        <f>IFERROR(VLOOKUP(Table1[RespondentID],'All Data'!$A$3:$CW$999,96,FALSE),"unknown")</f>
        <v>Employed for wages</v>
      </c>
      <c r="AP108" s="120" t="str">
        <f>IFERROR(VLOOKUP(Table1[RespondentID],'All Data'!$A$3:$CW$999,97,FALSE),"unknown")</f>
        <v>Yes</v>
      </c>
      <c r="AQ108" s="120">
        <f>IFERROR(VLOOKUP(Table1[RespondentID],'All Data'!$A$3:$CW$999,98,FALSE),"unknown")</f>
        <v>0</v>
      </c>
      <c r="AR108" s="120">
        <f>IFERROR(VLOOKUP(Table1[RespondentID],'All Data'!$A$3:$CW$999,99,FALSE),"unknown")</f>
        <v>0</v>
      </c>
    </row>
    <row r="109" spans="1:44" ht="16">
      <c r="A109" s="5">
        <v>18022878149</v>
      </c>
      <c r="B109" s="5"/>
      <c r="C109" s="5"/>
      <c r="D109" s="5" t="s">
        <v>31</v>
      </c>
      <c r="E109" s="5"/>
      <c r="F109" s="5"/>
      <c r="G109" s="5"/>
      <c r="H109" s="5"/>
      <c r="I109" s="5" t="s">
        <v>36</v>
      </c>
      <c r="J109" s="5"/>
      <c r="K109" s="5"/>
      <c r="L109" s="9"/>
      <c r="M109" s="9">
        <f t="shared" si="15"/>
        <v>2</v>
      </c>
      <c r="N109" s="9">
        <f t="shared" si="16"/>
        <v>1.5</v>
      </c>
      <c r="O109" s="9"/>
      <c r="P109" s="9">
        <f t="shared" si="17"/>
        <v>0</v>
      </c>
      <c r="Q109" s="9">
        <f t="shared" si="18"/>
        <v>0</v>
      </c>
      <c r="R109" s="9">
        <f t="shared" si="19"/>
        <v>1</v>
      </c>
      <c r="S109" s="9">
        <f t="shared" si="20"/>
        <v>0</v>
      </c>
      <c r="T109" s="9">
        <f t="shared" si="21"/>
        <v>0</v>
      </c>
      <c r="U109" s="9">
        <f t="shared" si="22"/>
        <v>0</v>
      </c>
      <c r="V109" s="153">
        <f t="shared" si="23"/>
        <v>0</v>
      </c>
      <c r="W109" s="9">
        <f t="shared" si="24"/>
        <v>1</v>
      </c>
      <c r="X109" s="9">
        <f t="shared" si="25"/>
        <v>0</v>
      </c>
      <c r="Y109" s="9">
        <f t="shared" si="26"/>
        <v>0</v>
      </c>
      <c r="Z109" s="9"/>
      <c r="AA109" s="9"/>
      <c r="AB109" s="9">
        <f t="shared" si="29"/>
        <v>2</v>
      </c>
      <c r="AC109" s="9">
        <f t="shared" si="27"/>
        <v>2</v>
      </c>
      <c r="AD109" s="9" t="str">
        <f t="shared" si="28"/>
        <v>Correct</v>
      </c>
      <c r="AE109" s="9"/>
      <c r="AF109" s="120" t="str">
        <f>IFERROR(VLOOKUP(Table1[RespondentID],'All Data'!$A$3:$CO$999,87,FALSE),"unknown")</f>
        <v>Woman</v>
      </c>
      <c r="AG109" s="120">
        <f>IFERROR(VLOOKUP(Table1[RespondentID],'All Data'!$A$3:$CO$999,88,FALSE),"unknown")</f>
        <v>49</v>
      </c>
      <c r="AH109" s="120" t="str">
        <f>IFERROR(VLOOKUP(Table1[RespondentID],'All Data'!$A$3:$CO$999,89,FALSE),"unknown")</f>
        <v>Suffolk</v>
      </c>
      <c r="AI109" s="120" t="str">
        <f>IFERROR(VLOOKUP(Table1[RespondentID],'All Data'!$A$3:$CO$999,90,FALSE),"unknown")</f>
        <v>Smithtown, 11787</v>
      </c>
      <c r="AJ109" s="120" t="str">
        <f>IFERROR(VLOOKUP(Table1[RespondentID],'All Data'!$A$3:$CO$999,91,FALSE),"unknown")</f>
        <v>White</v>
      </c>
      <c r="AK109" s="120">
        <f>IFERROR(VLOOKUP(Table1[RespondentID],'All Data'!$A$3:$CO$999,92,FALSE),"unknown")</f>
        <v>0</v>
      </c>
      <c r="AL109" s="120" t="str">
        <f>IFERROR(VLOOKUP(Table1[RespondentID],'All Data'!$A$3:$CO$999,93,FALSE),"unknown")</f>
        <v>English</v>
      </c>
      <c r="AM109" s="120" t="str">
        <f>IFERROR(VLOOKUP(Table1[RespondentID],'All Data'!$A$3:$CW$999,94,FALSE),"unknown")</f>
        <v>Over $125,000</v>
      </c>
      <c r="AN109" s="120" t="str">
        <f>IFERROR(VLOOKUP(Table1[RespondentID],'All Data'!$A$3:$CW$999,95,FALSE),"unknown")</f>
        <v>Technical school</v>
      </c>
      <c r="AO109" s="120" t="str">
        <f>IFERROR(VLOOKUP(Table1[RespondentID],'All Data'!$A$3:$CW$999,96,FALSE),"unknown")</f>
        <v>Self-employed</v>
      </c>
      <c r="AP109" s="120" t="str">
        <f>IFERROR(VLOOKUP(Table1[RespondentID],'All Data'!$A$3:$CW$999,97,FALSE),"unknown")</f>
        <v>Yes</v>
      </c>
      <c r="AQ109" s="120">
        <f>IFERROR(VLOOKUP(Table1[RespondentID],'All Data'!$A$3:$CW$999,98,FALSE),"unknown")</f>
        <v>0</v>
      </c>
      <c r="AR109" s="120">
        <f>IFERROR(VLOOKUP(Table1[RespondentID],'All Data'!$A$3:$CW$999,99,FALSE),"unknown")</f>
        <v>0</v>
      </c>
    </row>
    <row r="110" spans="1:44" ht="16">
      <c r="A110" s="5">
        <v>18022878031</v>
      </c>
      <c r="B110" s="5" t="s">
        <v>29</v>
      </c>
      <c r="C110" s="5"/>
      <c r="D110" s="5"/>
      <c r="E110" s="5"/>
      <c r="F110" s="5"/>
      <c r="G110" s="5"/>
      <c r="H110" s="5" t="s">
        <v>35</v>
      </c>
      <c r="I110" s="5"/>
      <c r="J110" s="5"/>
      <c r="K110" s="5" t="s">
        <v>375</v>
      </c>
      <c r="L110" s="8"/>
      <c r="M110" s="8">
        <f t="shared" si="15"/>
        <v>3</v>
      </c>
      <c r="N110" s="8">
        <f t="shared" si="16"/>
        <v>1</v>
      </c>
      <c r="O110" s="8"/>
      <c r="P110" s="8">
        <f t="shared" si="17"/>
        <v>1</v>
      </c>
      <c r="Q110" s="8">
        <f t="shared" si="18"/>
        <v>0</v>
      </c>
      <c r="R110" s="8">
        <f t="shared" si="19"/>
        <v>0</v>
      </c>
      <c r="S110" s="8">
        <f t="shared" si="20"/>
        <v>0</v>
      </c>
      <c r="T110" s="8">
        <f t="shared" si="21"/>
        <v>0</v>
      </c>
      <c r="U110" s="8">
        <f t="shared" si="22"/>
        <v>0</v>
      </c>
      <c r="V110" s="153">
        <f t="shared" si="23"/>
        <v>1</v>
      </c>
      <c r="W110" s="8">
        <f t="shared" si="24"/>
        <v>0</v>
      </c>
      <c r="X110" s="8">
        <f t="shared" si="25"/>
        <v>0</v>
      </c>
      <c r="Y110" s="8">
        <f t="shared" si="26"/>
        <v>1</v>
      </c>
      <c r="Z110" s="8"/>
      <c r="AA110" s="8"/>
      <c r="AB110" s="8">
        <f t="shared" si="29"/>
        <v>3</v>
      </c>
      <c r="AC110" s="8">
        <f t="shared" si="27"/>
        <v>3</v>
      </c>
      <c r="AD110" s="8" t="str">
        <f t="shared" si="28"/>
        <v>Correct</v>
      </c>
      <c r="AE110" s="8"/>
      <c r="AF110" s="120" t="str">
        <f>IFERROR(VLOOKUP(Table1[RespondentID],'All Data'!$A$3:$CO$999,87,FALSE),"unknown")</f>
        <v>Man</v>
      </c>
      <c r="AG110" s="120">
        <f>IFERROR(VLOOKUP(Table1[RespondentID],'All Data'!$A$3:$CO$999,88,FALSE),"unknown")</f>
        <v>23</v>
      </c>
      <c r="AH110" s="120" t="str">
        <f>IFERROR(VLOOKUP(Table1[RespondentID],'All Data'!$A$3:$CO$999,89,FALSE),"unknown")</f>
        <v>Suffolk</v>
      </c>
      <c r="AI110" s="120" t="str">
        <f>IFERROR(VLOOKUP(Table1[RespondentID],'All Data'!$A$3:$CO$999,90,FALSE),"unknown")</f>
        <v>Selden, 11784</v>
      </c>
      <c r="AJ110" s="120" t="str">
        <f>IFERROR(VLOOKUP(Table1[RespondentID],'All Data'!$A$3:$CO$999,91,FALSE),"unknown")</f>
        <v>White</v>
      </c>
      <c r="AK110" s="120" t="str">
        <f>IFERROR(VLOOKUP(Table1[RespondentID],'All Data'!$A$3:$CO$999,92,FALSE),"unknown")</f>
        <v>Hispanic or Latino</v>
      </c>
      <c r="AL110" s="120" t="str">
        <f>IFERROR(VLOOKUP(Table1[RespondentID],'All Data'!$A$3:$CO$999,93,FALSE),"unknown")</f>
        <v>English</v>
      </c>
      <c r="AM110" s="120" t="str">
        <f>IFERROR(VLOOKUP(Table1[RespondentID],'All Data'!$A$3:$CW$999,94,FALSE),"unknown")</f>
        <v>$35,000 to $49,999</v>
      </c>
      <c r="AN110" s="120" t="str">
        <f>IFERROR(VLOOKUP(Table1[RespondentID],'All Data'!$A$3:$CW$999,95,FALSE),"unknown")</f>
        <v>Some college</v>
      </c>
      <c r="AO110" s="120" t="str">
        <f>IFERROR(VLOOKUP(Table1[RespondentID],'All Data'!$A$3:$CW$999,96,FALSE),"unknown")</f>
        <v>Student</v>
      </c>
      <c r="AP110" s="120" t="str">
        <f>IFERROR(VLOOKUP(Table1[RespondentID],'All Data'!$A$3:$CW$999,97,FALSE),"unknown")</f>
        <v>Yes</v>
      </c>
      <c r="AQ110" s="120">
        <f>IFERROR(VLOOKUP(Table1[RespondentID],'All Data'!$A$3:$CW$999,98,FALSE),"unknown")</f>
        <v>0</v>
      </c>
      <c r="AR110" s="120">
        <f>IFERROR(VLOOKUP(Table1[RespondentID],'All Data'!$A$3:$CW$999,99,FALSE),"unknown")</f>
        <v>0</v>
      </c>
    </row>
    <row r="111" spans="1:44" ht="16">
      <c r="A111" s="5">
        <v>18022877886</v>
      </c>
      <c r="B111" s="5" t="s">
        <v>29</v>
      </c>
      <c r="C111" s="5"/>
      <c r="D111" s="5" t="s">
        <v>31</v>
      </c>
      <c r="E111" s="5"/>
      <c r="F111" s="5"/>
      <c r="G111" s="5"/>
      <c r="H111" s="5"/>
      <c r="I111" s="5"/>
      <c r="J111" s="5"/>
      <c r="K111" s="5" t="s">
        <v>375</v>
      </c>
      <c r="L111" s="9"/>
      <c r="M111" s="9">
        <f t="shared" si="15"/>
        <v>3</v>
      </c>
      <c r="N111" s="9">
        <f t="shared" si="16"/>
        <v>1</v>
      </c>
      <c r="O111" s="9"/>
      <c r="P111" s="9">
        <f t="shared" si="17"/>
        <v>1</v>
      </c>
      <c r="Q111" s="9">
        <f t="shared" si="18"/>
        <v>0</v>
      </c>
      <c r="R111" s="9">
        <f t="shared" si="19"/>
        <v>1</v>
      </c>
      <c r="S111" s="9">
        <f t="shared" si="20"/>
        <v>0</v>
      </c>
      <c r="T111" s="9">
        <f t="shared" si="21"/>
        <v>0</v>
      </c>
      <c r="U111" s="9">
        <f t="shared" si="22"/>
        <v>0</v>
      </c>
      <c r="V111" s="153">
        <f t="shared" si="23"/>
        <v>0</v>
      </c>
      <c r="W111" s="9">
        <f t="shared" si="24"/>
        <v>0</v>
      </c>
      <c r="X111" s="9">
        <f t="shared" si="25"/>
        <v>0</v>
      </c>
      <c r="Y111" s="9">
        <f t="shared" si="26"/>
        <v>1</v>
      </c>
      <c r="Z111" s="9"/>
      <c r="AA111" s="9"/>
      <c r="AB111" s="9">
        <f t="shared" si="29"/>
        <v>3</v>
      </c>
      <c r="AC111" s="9">
        <f t="shared" si="27"/>
        <v>3</v>
      </c>
      <c r="AD111" s="9" t="str">
        <f t="shared" si="28"/>
        <v>Correct</v>
      </c>
      <c r="AE111" s="9"/>
      <c r="AF111" s="120" t="str">
        <f>IFERROR(VLOOKUP(Table1[RespondentID],'All Data'!$A$3:$CO$999,87,FALSE),"unknown")</f>
        <v>Man</v>
      </c>
      <c r="AG111" s="120">
        <f>IFERROR(VLOOKUP(Table1[RespondentID],'All Data'!$A$3:$CO$999,88,FALSE),"unknown")</f>
        <v>18</v>
      </c>
      <c r="AH111" s="120" t="str">
        <f>IFERROR(VLOOKUP(Table1[RespondentID],'All Data'!$A$3:$CO$999,89,FALSE),"unknown")</f>
        <v>Suffolk</v>
      </c>
      <c r="AI111" s="120" t="str">
        <f>IFERROR(VLOOKUP(Table1[RespondentID],'All Data'!$A$3:$CO$999,90,FALSE),"unknown")</f>
        <v>Centereach, 11720</v>
      </c>
      <c r="AJ111" s="120" t="str">
        <f>IFERROR(VLOOKUP(Table1[RespondentID],'All Data'!$A$3:$CO$999,91,FALSE),"unknown")</f>
        <v>White</v>
      </c>
      <c r="AK111" s="120" t="str">
        <f>IFERROR(VLOOKUP(Table1[RespondentID],'All Data'!$A$3:$CO$999,92,FALSE),"unknown")</f>
        <v>Hispanic or Latino</v>
      </c>
      <c r="AL111" s="120" t="str">
        <f>IFERROR(VLOOKUP(Table1[RespondentID],'All Data'!$A$3:$CO$999,93,FALSE),"unknown")</f>
        <v>English</v>
      </c>
      <c r="AM111" s="120" t="str">
        <f>IFERROR(VLOOKUP(Table1[RespondentID],'All Data'!$A$3:$CW$999,94,FALSE),"unknown")</f>
        <v>$75,000 to $125,000</v>
      </c>
      <c r="AN111" s="120" t="str">
        <f>IFERROR(VLOOKUP(Table1[RespondentID],'All Data'!$A$3:$CW$999,95,FALSE),"unknown")</f>
        <v>College graduate</v>
      </c>
      <c r="AO111" s="120" t="str">
        <f>IFERROR(VLOOKUP(Table1[RespondentID],'All Data'!$A$3:$CW$999,96,FALSE),"unknown")</f>
        <v>Student</v>
      </c>
      <c r="AP111" s="120" t="str">
        <f>IFERROR(VLOOKUP(Table1[RespondentID],'All Data'!$A$3:$CW$999,97,FALSE),"unknown")</f>
        <v>Yes</v>
      </c>
      <c r="AQ111" s="120">
        <f>IFERROR(VLOOKUP(Table1[RespondentID],'All Data'!$A$3:$CW$999,98,FALSE),"unknown")</f>
        <v>0</v>
      </c>
      <c r="AR111" s="120">
        <f>IFERROR(VLOOKUP(Table1[RespondentID],'All Data'!$A$3:$CW$999,99,FALSE),"unknown")</f>
        <v>0</v>
      </c>
    </row>
    <row r="112" spans="1:44" ht="16">
      <c r="A112" s="5">
        <v>18022877779</v>
      </c>
      <c r="B112" s="5" t="s">
        <v>29</v>
      </c>
      <c r="C112" s="5"/>
      <c r="D112" s="5"/>
      <c r="E112" s="5"/>
      <c r="F112" s="5"/>
      <c r="G112" s="5"/>
      <c r="H112" s="5" t="s">
        <v>35</v>
      </c>
      <c r="I112" s="5"/>
      <c r="J112" s="5"/>
      <c r="K112" s="5" t="s">
        <v>375</v>
      </c>
      <c r="L112" s="8"/>
      <c r="M112" s="8">
        <f t="shared" si="15"/>
        <v>3</v>
      </c>
      <c r="N112" s="8">
        <f t="shared" si="16"/>
        <v>1</v>
      </c>
      <c r="O112" s="8"/>
      <c r="P112" s="8">
        <f t="shared" si="17"/>
        <v>1</v>
      </c>
      <c r="Q112" s="8">
        <f t="shared" si="18"/>
        <v>0</v>
      </c>
      <c r="R112" s="8">
        <f t="shared" si="19"/>
        <v>0</v>
      </c>
      <c r="S112" s="8">
        <f t="shared" si="20"/>
        <v>0</v>
      </c>
      <c r="T112" s="8">
        <f t="shared" si="21"/>
        <v>0</v>
      </c>
      <c r="U112" s="8">
        <f t="shared" si="22"/>
        <v>0</v>
      </c>
      <c r="V112" s="153">
        <f t="shared" si="23"/>
        <v>1</v>
      </c>
      <c r="W112" s="8">
        <f t="shared" si="24"/>
        <v>0</v>
      </c>
      <c r="X112" s="8">
        <f t="shared" si="25"/>
        <v>0</v>
      </c>
      <c r="Y112" s="8">
        <f t="shared" si="26"/>
        <v>1</v>
      </c>
      <c r="Z112" s="8"/>
      <c r="AA112" s="8"/>
      <c r="AB112" s="8">
        <f t="shared" si="29"/>
        <v>3</v>
      </c>
      <c r="AC112" s="8">
        <f t="shared" si="27"/>
        <v>3</v>
      </c>
      <c r="AD112" s="8" t="str">
        <f t="shared" si="28"/>
        <v>Correct</v>
      </c>
      <c r="AE112" s="8"/>
      <c r="AF112" s="120">
        <f>IFERROR(VLOOKUP(Table1[RespondentID],'All Data'!$A$3:$CO$999,87,FALSE),"unknown")</f>
        <v>0</v>
      </c>
      <c r="AG112" s="120">
        <f>IFERROR(VLOOKUP(Table1[RespondentID],'All Data'!$A$3:$CO$999,88,FALSE),"unknown")</f>
        <v>21</v>
      </c>
      <c r="AH112" s="120" t="str">
        <f>IFERROR(VLOOKUP(Table1[RespondentID],'All Data'!$A$3:$CO$999,89,FALSE),"unknown")</f>
        <v>Suffolk</v>
      </c>
      <c r="AI112" s="120" t="str">
        <f>IFERROR(VLOOKUP(Table1[RespondentID],'All Data'!$A$3:$CO$999,90,FALSE),"unknown")</f>
        <v>Saint James, 11780</v>
      </c>
      <c r="AJ112" s="120" t="str">
        <f>IFERROR(VLOOKUP(Table1[RespondentID],'All Data'!$A$3:$CO$999,91,FALSE),"unknown")</f>
        <v>White</v>
      </c>
      <c r="AK112" s="120">
        <f>IFERROR(VLOOKUP(Table1[RespondentID],'All Data'!$A$3:$CO$999,92,FALSE),"unknown")</f>
        <v>0</v>
      </c>
      <c r="AL112" s="120" t="str">
        <f>IFERROR(VLOOKUP(Table1[RespondentID],'All Data'!$A$3:$CO$999,93,FALSE),"unknown")</f>
        <v>English</v>
      </c>
      <c r="AM112" s="120" t="str">
        <f>IFERROR(VLOOKUP(Table1[RespondentID],'All Data'!$A$3:$CW$999,94,FALSE),"unknown")</f>
        <v>$75,000 to $125,000</v>
      </c>
      <c r="AN112" s="120" t="str">
        <f>IFERROR(VLOOKUP(Table1[RespondentID],'All Data'!$A$3:$CW$999,95,FALSE),"unknown")</f>
        <v>Technical school</v>
      </c>
      <c r="AO112" s="120" t="str">
        <f>IFERROR(VLOOKUP(Table1[RespondentID],'All Data'!$A$3:$CW$999,96,FALSE),"unknown")</f>
        <v>Employed for wages</v>
      </c>
      <c r="AP112" s="120" t="str">
        <f>IFERROR(VLOOKUP(Table1[RespondentID],'All Data'!$A$3:$CW$999,97,FALSE),"unknown")</f>
        <v>Yes</v>
      </c>
      <c r="AQ112" s="120">
        <f>IFERROR(VLOOKUP(Table1[RespondentID],'All Data'!$A$3:$CW$999,98,FALSE),"unknown")</f>
        <v>0</v>
      </c>
      <c r="AR112" s="120">
        <f>IFERROR(VLOOKUP(Table1[RespondentID],'All Data'!$A$3:$CW$999,99,FALSE),"unknown")</f>
        <v>0</v>
      </c>
    </row>
    <row r="113" spans="1:44" ht="16">
      <c r="A113" s="5">
        <v>18022877531</v>
      </c>
      <c r="B113" s="5"/>
      <c r="C113" s="5"/>
      <c r="D113" s="5"/>
      <c r="E113" s="5"/>
      <c r="F113" s="5"/>
      <c r="G113" s="5"/>
      <c r="H113" s="5"/>
      <c r="I113" s="5" t="s">
        <v>36</v>
      </c>
      <c r="J113" s="5"/>
      <c r="K113" s="5"/>
      <c r="L113" s="9"/>
      <c r="M113" s="9">
        <f t="shared" si="15"/>
        <v>1</v>
      </c>
      <c r="N113" s="9">
        <f t="shared" si="16"/>
        <v>3</v>
      </c>
      <c r="O113" s="9"/>
      <c r="P113" s="9">
        <f t="shared" si="17"/>
        <v>0</v>
      </c>
      <c r="Q113" s="9">
        <f t="shared" si="18"/>
        <v>0</v>
      </c>
      <c r="R113" s="9">
        <f t="shared" si="19"/>
        <v>0</v>
      </c>
      <c r="S113" s="9">
        <f t="shared" si="20"/>
        <v>0</v>
      </c>
      <c r="T113" s="9">
        <f t="shared" si="21"/>
        <v>0</v>
      </c>
      <c r="U113" s="9">
        <f t="shared" si="22"/>
        <v>0</v>
      </c>
      <c r="V113" s="153">
        <f t="shared" si="23"/>
        <v>0</v>
      </c>
      <c r="W113" s="9">
        <f t="shared" si="24"/>
        <v>1</v>
      </c>
      <c r="X113" s="9">
        <f t="shared" si="25"/>
        <v>0</v>
      </c>
      <c r="Y113" s="9">
        <f t="shared" si="26"/>
        <v>0</v>
      </c>
      <c r="Z113" s="9"/>
      <c r="AA113" s="9"/>
      <c r="AB113" s="9">
        <f t="shared" si="29"/>
        <v>1</v>
      </c>
      <c r="AC113" s="9">
        <f t="shared" si="27"/>
        <v>1</v>
      </c>
      <c r="AD113" s="9" t="str">
        <f t="shared" si="28"/>
        <v>Correct</v>
      </c>
      <c r="AE113" s="9"/>
      <c r="AF113" s="120" t="str">
        <f>IFERROR(VLOOKUP(Table1[RespondentID],'All Data'!$A$3:$CO$999,87,FALSE),"unknown")</f>
        <v>Man</v>
      </c>
      <c r="AG113" s="120">
        <f>IFERROR(VLOOKUP(Table1[RespondentID],'All Data'!$A$3:$CO$999,88,FALSE),"unknown")</f>
        <v>37</v>
      </c>
      <c r="AH113" s="120" t="str">
        <f>IFERROR(VLOOKUP(Table1[RespondentID],'All Data'!$A$3:$CO$999,89,FALSE),"unknown")</f>
        <v>Suffolk</v>
      </c>
      <c r="AI113" s="120" t="str">
        <f>IFERROR(VLOOKUP(Table1[RespondentID],'All Data'!$A$3:$CO$999,90,FALSE),"unknown")</f>
        <v>Smithtown, 11787</v>
      </c>
      <c r="AJ113" s="120" t="str">
        <f>IFERROR(VLOOKUP(Table1[RespondentID],'All Data'!$A$3:$CO$999,91,FALSE),"unknown")</f>
        <v>White</v>
      </c>
      <c r="AK113" s="120" t="str">
        <f>IFERROR(VLOOKUP(Table1[RespondentID],'All Data'!$A$3:$CO$999,92,FALSE),"unknown")</f>
        <v>Hispanic or Latino</v>
      </c>
      <c r="AL113" s="120" t="str">
        <f>IFERROR(VLOOKUP(Table1[RespondentID],'All Data'!$A$3:$CO$999,93,FALSE),"unknown")</f>
        <v>English</v>
      </c>
      <c r="AM113" s="120" t="str">
        <f>IFERROR(VLOOKUP(Table1[RespondentID],'All Data'!$A$3:$CW$999,94,FALSE),"unknown")</f>
        <v>$75,000 to $125,000</v>
      </c>
      <c r="AN113" s="120" t="str">
        <f>IFERROR(VLOOKUP(Table1[RespondentID],'All Data'!$A$3:$CW$999,95,FALSE),"unknown")</f>
        <v>High school graduate</v>
      </c>
      <c r="AO113" s="120" t="str">
        <f>IFERROR(VLOOKUP(Table1[RespondentID],'All Data'!$A$3:$CW$999,96,FALSE),"unknown")</f>
        <v>Self-employed</v>
      </c>
      <c r="AP113" s="120" t="str">
        <f>IFERROR(VLOOKUP(Table1[RespondentID],'All Data'!$A$3:$CW$999,97,FALSE),"unknown")</f>
        <v>No</v>
      </c>
      <c r="AQ113" s="120">
        <f>IFERROR(VLOOKUP(Table1[RespondentID],'All Data'!$A$3:$CW$999,98,FALSE),"unknown")</f>
        <v>0</v>
      </c>
      <c r="AR113" s="120">
        <f>IFERROR(VLOOKUP(Table1[RespondentID],'All Data'!$A$3:$CW$999,99,FALSE),"unknown")</f>
        <v>0</v>
      </c>
    </row>
    <row r="114" spans="1:44" ht="16">
      <c r="A114" s="5">
        <v>18022877402</v>
      </c>
      <c r="B114" s="5"/>
      <c r="C114" s="5"/>
      <c r="D114" s="5"/>
      <c r="E114" s="5"/>
      <c r="F114" s="5"/>
      <c r="G114" s="5"/>
      <c r="H114" s="5"/>
      <c r="I114" s="5" t="s">
        <v>36</v>
      </c>
      <c r="J114" s="5"/>
      <c r="K114" s="5"/>
      <c r="L114" s="8"/>
      <c r="M114" s="8">
        <f t="shared" si="15"/>
        <v>1</v>
      </c>
      <c r="N114" s="8">
        <f t="shared" si="16"/>
        <v>3</v>
      </c>
      <c r="O114" s="8"/>
      <c r="P114" s="8">
        <f t="shared" si="17"/>
        <v>0</v>
      </c>
      <c r="Q114" s="8">
        <f t="shared" si="18"/>
        <v>0</v>
      </c>
      <c r="R114" s="8">
        <f t="shared" si="19"/>
        <v>0</v>
      </c>
      <c r="S114" s="8">
        <f t="shared" si="20"/>
        <v>0</v>
      </c>
      <c r="T114" s="8">
        <f t="shared" si="21"/>
        <v>0</v>
      </c>
      <c r="U114" s="8">
        <f t="shared" si="22"/>
        <v>0</v>
      </c>
      <c r="V114" s="153">
        <f t="shared" si="23"/>
        <v>0</v>
      </c>
      <c r="W114" s="8">
        <f t="shared" si="24"/>
        <v>1</v>
      </c>
      <c r="X114" s="8">
        <f t="shared" si="25"/>
        <v>0</v>
      </c>
      <c r="Y114" s="8">
        <f t="shared" si="26"/>
        <v>0</v>
      </c>
      <c r="Z114" s="8"/>
      <c r="AA114" s="8"/>
      <c r="AB114" s="8">
        <f t="shared" si="29"/>
        <v>1</v>
      </c>
      <c r="AC114" s="8">
        <f t="shared" si="27"/>
        <v>1</v>
      </c>
      <c r="AD114" s="8" t="str">
        <f t="shared" si="28"/>
        <v>Correct</v>
      </c>
      <c r="AE114" s="8"/>
      <c r="AF114" s="120" t="str">
        <f>IFERROR(VLOOKUP(Table1[RespondentID],'All Data'!$A$3:$CO$999,87,FALSE),"unknown")</f>
        <v>Man</v>
      </c>
      <c r="AG114" s="120">
        <f>IFERROR(VLOOKUP(Table1[RespondentID],'All Data'!$A$3:$CO$999,88,FALSE),"unknown")</f>
        <v>32</v>
      </c>
      <c r="AH114" s="120" t="str">
        <f>IFERROR(VLOOKUP(Table1[RespondentID],'All Data'!$A$3:$CO$999,89,FALSE),"unknown")</f>
        <v>Suffolk</v>
      </c>
      <c r="AI114" s="120" t="str">
        <f>IFERROR(VLOOKUP(Table1[RespondentID],'All Data'!$A$3:$CO$999,90,FALSE),"unknown")</f>
        <v>Smithtown, 11787</v>
      </c>
      <c r="AJ114" s="120" t="str">
        <f>IFERROR(VLOOKUP(Table1[RespondentID],'All Data'!$A$3:$CO$999,91,FALSE),"unknown")</f>
        <v>White</v>
      </c>
      <c r="AK114" s="120" t="str">
        <f>IFERROR(VLOOKUP(Table1[RespondentID],'All Data'!$A$3:$CO$999,92,FALSE),"unknown")</f>
        <v>Hispanic or Latino</v>
      </c>
      <c r="AL114" s="120" t="str">
        <f>IFERROR(VLOOKUP(Table1[RespondentID],'All Data'!$A$3:$CO$999,93,FALSE),"unknown")</f>
        <v>English</v>
      </c>
      <c r="AM114" s="120" t="str">
        <f>IFERROR(VLOOKUP(Table1[RespondentID],'All Data'!$A$3:$CW$999,94,FALSE),"unknown")</f>
        <v>$35,000 to $49,999</v>
      </c>
      <c r="AN114" s="120">
        <f>IFERROR(VLOOKUP(Table1[RespondentID],'All Data'!$A$3:$CW$999,95,FALSE),"unknown")</f>
        <v>0</v>
      </c>
      <c r="AO114" s="120" t="str">
        <f>IFERROR(VLOOKUP(Table1[RespondentID],'All Data'!$A$3:$CW$999,96,FALSE),"unknown")</f>
        <v>Employed for wages</v>
      </c>
      <c r="AP114" s="120" t="str">
        <f>IFERROR(VLOOKUP(Table1[RespondentID],'All Data'!$A$3:$CW$999,97,FALSE),"unknown")</f>
        <v>No</v>
      </c>
      <c r="AQ114" s="120">
        <f>IFERROR(VLOOKUP(Table1[RespondentID],'All Data'!$A$3:$CW$999,98,FALSE),"unknown")</f>
        <v>0</v>
      </c>
      <c r="AR114" s="120">
        <f>IFERROR(VLOOKUP(Table1[RespondentID],'All Data'!$A$3:$CW$999,99,FALSE),"unknown")</f>
        <v>0</v>
      </c>
    </row>
    <row r="115" spans="1:44" ht="16">
      <c r="A115" s="5">
        <v>18022877220</v>
      </c>
      <c r="B115" s="5"/>
      <c r="C115" s="5"/>
      <c r="D115" s="5"/>
      <c r="E115" s="5"/>
      <c r="F115" s="5"/>
      <c r="G115" s="5"/>
      <c r="H115" s="5"/>
      <c r="I115" s="5"/>
      <c r="J115" s="5"/>
      <c r="K115" s="5"/>
      <c r="L115" s="9"/>
      <c r="M115" s="9">
        <f t="shared" si="15"/>
        <v>0</v>
      </c>
      <c r="N115" s="9" t="e">
        <f t="shared" si="16"/>
        <v>#DIV/0!</v>
      </c>
      <c r="O115" s="9"/>
      <c r="P115" s="9">
        <f t="shared" si="17"/>
        <v>0</v>
      </c>
      <c r="Q115" s="9">
        <f t="shared" si="18"/>
        <v>0</v>
      </c>
      <c r="R115" s="9">
        <f t="shared" si="19"/>
        <v>0</v>
      </c>
      <c r="S115" s="9">
        <f t="shared" si="20"/>
        <v>0</v>
      </c>
      <c r="T115" s="9">
        <f t="shared" si="21"/>
        <v>0</v>
      </c>
      <c r="U115" s="9">
        <f t="shared" si="22"/>
        <v>0</v>
      </c>
      <c r="V115" s="153">
        <f t="shared" si="23"/>
        <v>0</v>
      </c>
      <c r="W115" s="9">
        <f t="shared" si="24"/>
        <v>0</v>
      </c>
      <c r="X115" s="9">
        <f t="shared" si="25"/>
        <v>0</v>
      </c>
      <c r="Y115" s="9">
        <f t="shared" si="26"/>
        <v>0</v>
      </c>
      <c r="Z115" s="9"/>
      <c r="AA115" s="9"/>
      <c r="AB115" s="9">
        <f t="shared" si="29"/>
        <v>0</v>
      </c>
      <c r="AC115" s="9">
        <f t="shared" si="27"/>
        <v>0</v>
      </c>
      <c r="AD115" s="9" t="str">
        <f t="shared" si="28"/>
        <v>Correct</v>
      </c>
      <c r="AE115" s="9"/>
      <c r="AF115" s="120" t="str">
        <f>IFERROR(VLOOKUP(Table1[RespondentID],'All Data'!$A$3:$CO$999,87,FALSE),"unknown")</f>
        <v>Man</v>
      </c>
      <c r="AG115" s="120">
        <f>IFERROR(VLOOKUP(Table1[RespondentID],'All Data'!$A$3:$CO$999,88,FALSE),"unknown")</f>
        <v>63</v>
      </c>
      <c r="AH115" s="120" t="str">
        <f>IFERROR(VLOOKUP(Table1[RespondentID],'All Data'!$A$3:$CO$999,89,FALSE),"unknown")</f>
        <v>Suffolk</v>
      </c>
      <c r="AI115" s="120" t="str">
        <f>IFERROR(VLOOKUP(Table1[RespondentID],'All Data'!$A$3:$CO$999,90,FALSE),"unknown")</f>
        <v>Kings Park, 11754</v>
      </c>
      <c r="AJ115" s="120" t="str">
        <f>IFERROR(VLOOKUP(Table1[RespondentID],'All Data'!$A$3:$CO$999,91,FALSE),"unknown")</f>
        <v>White</v>
      </c>
      <c r="AK115" s="120" t="str">
        <f>IFERROR(VLOOKUP(Table1[RespondentID],'All Data'!$A$3:$CO$999,92,FALSE),"unknown")</f>
        <v>Hispanic or Latino</v>
      </c>
      <c r="AL115" s="120" t="str">
        <f>IFERROR(VLOOKUP(Table1[RespondentID],'All Data'!$A$3:$CO$999,93,FALSE),"unknown")</f>
        <v>English</v>
      </c>
      <c r="AM115" s="120" t="str">
        <f>IFERROR(VLOOKUP(Table1[RespondentID],'All Data'!$A$3:$CW$999,94,FALSE),"unknown")</f>
        <v>Over $125,000</v>
      </c>
      <c r="AN115" s="120" t="str">
        <f>IFERROR(VLOOKUP(Table1[RespondentID],'All Data'!$A$3:$CW$999,95,FALSE),"unknown")</f>
        <v>High school graduate</v>
      </c>
      <c r="AO115" s="120" t="str">
        <f>IFERROR(VLOOKUP(Table1[RespondentID],'All Data'!$A$3:$CW$999,96,FALSE),"unknown")</f>
        <v>Retired</v>
      </c>
      <c r="AP115" s="120" t="str">
        <f>IFERROR(VLOOKUP(Table1[RespondentID],'All Data'!$A$3:$CW$999,97,FALSE),"unknown")</f>
        <v>Yes</v>
      </c>
      <c r="AQ115" s="120">
        <f>IFERROR(VLOOKUP(Table1[RespondentID],'All Data'!$A$3:$CW$999,98,FALSE),"unknown")</f>
        <v>0</v>
      </c>
      <c r="AR115" s="120">
        <f>IFERROR(VLOOKUP(Table1[RespondentID],'All Data'!$A$3:$CW$999,99,FALSE),"unknown")</f>
        <v>0</v>
      </c>
    </row>
    <row r="116" spans="1:44" ht="16">
      <c r="A116" s="5">
        <v>18022760139</v>
      </c>
      <c r="B116" s="5"/>
      <c r="C116" s="5"/>
      <c r="D116" s="5"/>
      <c r="E116" s="5"/>
      <c r="F116" s="5"/>
      <c r="G116" s="5" t="s">
        <v>34</v>
      </c>
      <c r="H116" s="5"/>
      <c r="I116" s="5"/>
      <c r="J116" s="5"/>
      <c r="K116" s="5"/>
      <c r="L116" s="8"/>
      <c r="M116" s="8">
        <f t="shared" si="15"/>
        <v>1</v>
      </c>
      <c r="N116" s="8">
        <f t="shared" si="16"/>
        <v>3</v>
      </c>
      <c r="O116" s="8"/>
      <c r="P116" s="8">
        <f t="shared" si="17"/>
        <v>0</v>
      </c>
      <c r="Q116" s="8">
        <f t="shared" si="18"/>
        <v>0</v>
      </c>
      <c r="R116" s="8">
        <f t="shared" si="19"/>
        <v>0</v>
      </c>
      <c r="S116" s="8">
        <f t="shared" si="20"/>
        <v>0</v>
      </c>
      <c r="T116" s="8">
        <f t="shared" si="21"/>
        <v>0</v>
      </c>
      <c r="U116" s="8">
        <f t="shared" si="22"/>
        <v>1</v>
      </c>
      <c r="V116" s="153">
        <f t="shared" si="23"/>
        <v>0</v>
      </c>
      <c r="W116" s="8">
        <f t="shared" si="24"/>
        <v>0</v>
      </c>
      <c r="X116" s="8">
        <f t="shared" si="25"/>
        <v>0</v>
      </c>
      <c r="Y116" s="8">
        <f t="shared" si="26"/>
        <v>0</v>
      </c>
      <c r="Z116" s="8"/>
      <c r="AA116" s="8"/>
      <c r="AB116" s="8">
        <f t="shared" si="29"/>
        <v>1</v>
      </c>
      <c r="AC116" s="8">
        <f t="shared" si="27"/>
        <v>1</v>
      </c>
      <c r="AD116" s="8" t="str">
        <f t="shared" si="28"/>
        <v>Correct</v>
      </c>
      <c r="AE116" s="8"/>
      <c r="AF116" s="120" t="str">
        <f>IFERROR(VLOOKUP(Table1[RespondentID],'All Data'!$A$3:$CO$999,87,FALSE),"unknown")</f>
        <v>Man</v>
      </c>
      <c r="AG116" s="120">
        <f>IFERROR(VLOOKUP(Table1[RespondentID],'All Data'!$A$3:$CO$999,88,FALSE),"unknown")</f>
        <v>66</v>
      </c>
      <c r="AH116" s="120" t="str">
        <f>IFERROR(VLOOKUP(Table1[RespondentID],'All Data'!$A$3:$CO$999,89,FALSE),"unknown")</f>
        <v>Nassau</v>
      </c>
      <c r="AI116" s="120" t="str">
        <f>IFERROR(VLOOKUP(Table1[RespondentID],'All Data'!$A$3:$CO$999,90,FALSE),"unknown")</f>
        <v>Merrick, 11566</v>
      </c>
      <c r="AJ116" s="120" t="str">
        <f>IFERROR(VLOOKUP(Table1[RespondentID],'All Data'!$A$3:$CO$999,91,FALSE),"unknown")</f>
        <v>White</v>
      </c>
      <c r="AK116" s="120" t="str">
        <f>IFERROR(VLOOKUP(Table1[RespondentID],'All Data'!$A$3:$CO$999,92,FALSE),"unknown")</f>
        <v>Hispanic or Latino</v>
      </c>
      <c r="AL116" s="120" t="str">
        <f>IFERROR(VLOOKUP(Table1[RespondentID],'All Data'!$A$3:$CO$999,93,FALSE),"unknown")</f>
        <v>English</v>
      </c>
      <c r="AM116" s="120" t="str">
        <f>IFERROR(VLOOKUP(Table1[RespondentID],'All Data'!$A$3:$CW$999,94,FALSE),"unknown")</f>
        <v>Over $125,000</v>
      </c>
      <c r="AN116" s="120" t="str">
        <f>IFERROR(VLOOKUP(Table1[RespondentID],'All Data'!$A$3:$CW$999,95,FALSE),"unknown")</f>
        <v>Graduate school</v>
      </c>
      <c r="AO116" s="120" t="str">
        <f>IFERROR(VLOOKUP(Table1[RespondentID],'All Data'!$A$3:$CW$999,96,FALSE),"unknown")</f>
        <v>Employed for wages</v>
      </c>
      <c r="AP116" s="120" t="str">
        <f>IFERROR(VLOOKUP(Table1[RespondentID],'All Data'!$A$3:$CW$999,97,FALSE),"unknown")</f>
        <v>Yes</v>
      </c>
      <c r="AQ116" s="120" t="str">
        <f>IFERROR(VLOOKUP(Table1[RespondentID],'All Data'!$A$3:$CW$999,98,FALSE),"unknown")</f>
        <v>Medicare, Private/Commercial</v>
      </c>
      <c r="AR116" s="120" t="str">
        <f>IFERROR(VLOOKUP(Table1[RespondentID],'All Data'!$A$3:$CW$999,99,FALSE),"unknown")</f>
        <v>Yes</v>
      </c>
    </row>
    <row r="117" spans="1:44" ht="16">
      <c r="A117" s="5">
        <v>18022520402</v>
      </c>
      <c r="B117" s="5"/>
      <c r="C117" s="5"/>
      <c r="D117" s="5" t="s">
        <v>31</v>
      </c>
      <c r="E117" s="5"/>
      <c r="F117" s="5"/>
      <c r="G117" s="5"/>
      <c r="H117" s="5"/>
      <c r="I117" s="5"/>
      <c r="J117" s="5"/>
      <c r="K117" s="5" t="s">
        <v>375</v>
      </c>
      <c r="L117" s="9"/>
      <c r="M117" s="9">
        <f t="shared" si="15"/>
        <v>2</v>
      </c>
      <c r="N117" s="9">
        <f t="shared" si="16"/>
        <v>1.5</v>
      </c>
      <c r="O117" s="9"/>
      <c r="P117" s="9">
        <f t="shared" si="17"/>
        <v>0</v>
      </c>
      <c r="Q117" s="9">
        <f t="shared" si="18"/>
        <v>0</v>
      </c>
      <c r="R117" s="9">
        <f t="shared" si="19"/>
        <v>1</v>
      </c>
      <c r="S117" s="9">
        <f t="shared" si="20"/>
        <v>0</v>
      </c>
      <c r="T117" s="9">
        <f t="shared" si="21"/>
        <v>0</v>
      </c>
      <c r="U117" s="9">
        <f t="shared" si="22"/>
        <v>0</v>
      </c>
      <c r="V117" s="153">
        <f t="shared" si="23"/>
        <v>0</v>
      </c>
      <c r="W117" s="9">
        <f t="shared" si="24"/>
        <v>0</v>
      </c>
      <c r="X117" s="9">
        <f t="shared" si="25"/>
        <v>0</v>
      </c>
      <c r="Y117" s="9">
        <f t="shared" si="26"/>
        <v>1</v>
      </c>
      <c r="Z117" s="9"/>
      <c r="AA117" s="9"/>
      <c r="AB117" s="9">
        <f t="shared" si="29"/>
        <v>2</v>
      </c>
      <c r="AC117" s="9">
        <f t="shared" si="27"/>
        <v>2</v>
      </c>
      <c r="AD117" s="9" t="str">
        <f t="shared" si="28"/>
        <v>Correct</v>
      </c>
      <c r="AE117" s="9"/>
      <c r="AF117" s="120" t="str">
        <f>IFERROR(VLOOKUP(Table1[RespondentID],'All Data'!$A$3:$CO$999,87,FALSE),"unknown")</f>
        <v>Man</v>
      </c>
      <c r="AG117" s="120">
        <f>IFERROR(VLOOKUP(Table1[RespondentID],'All Data'!$A$3:$CO$999,88,FALSE),"unknown")</f>
        <v>55</v>
      </c>
      <c r="AH117" s="120" t="str">
        <f>IFERROR(VLOOKUP(Table1[RespondentID],'All Data'!$A$3:$CO$999,89,FALSE),"unknown")</f>
        <v>Suffolk</v>
      </c>
      <c r="AI117" s="120" t="str">
        <f>IFERROR(VLOOKUP(Table1[RespondentID],'All Data'!$A$3:$CO$999,90,FALSE),"unknown")</f>
        <v>East Northport, 11731</v>
      </c>
      <c r="AJ117" s="120" t="str">
        <f>IFERROR(VLOOKUP(Table1[RespondentID],'All Data'!$A$3:$CO$999,91,FALSE),"unknown")</f>
        <v>White</v>
      </c>
      <c r="AK117" s="120" t="str">
        <f>IFERROR(VLOOKUP(Table1[RespondentID],'All Data'!$A$3:$CO$999,92,FALSE),"unknown")</f>
        <v>Hispanic or Latino</v>
      </c>
      <c r="AL117" s="120" t="str">
        <f>IFERROR(VLOOKUP(Table1[RespondentID],'All Data'!$A$3:$CO$999,93,FALSE),"unknown")</f>
        <v>English</v>
      </c>
      <c r="AM117" s="120" t="str">
        <f>IFERROR(VLOOKUP(Table1[RespondentID],'All Data'!$A$3:$CW$999,94,FALSE),"unknown")</f>
        <v>Over $125,000</v>
      </c>
      <c r="AN117" s="120" t="str">
        <f>IFERROR(VLOOKUP(Table1[RespondentID],'All Data'!$A$3:$CW$999,95,FALSE),"unknown")</f>
        <v>College graduate</v>
      </c>
      <c r="AO117" s="120" t="str">
        <f>IFERROR(VLOOKUP(Table1[RespondentID],'All Data'!$A$3:$CW$999,96,FALSE),"unknown")</f>
        <v>Employed for wages</v>
      </c>
      <c r="AP117" s="120" t="str">
        <f>IFERROR(VLOOKUP(Table1[RespondentID],'All Data'!$A$3:$CW$999,97,FALSE),"unknown")</f>
        <v>Yes</v>
      </c>
      <c r="AQ117" s="120">
        <f>IFERROR(VLOOKUP(Table1[RespondentID],'All Data'!$A$3:$CW$999,98,FALSE),"unknown")</f>
        <v>0</v>
      </c>
      <c r="AR117" s="120">
        <f>IFERROR(VLOOKUP(Table1[RespondentID],'All Data'!$A$3:$CW$999,99,FALSE),"unknown")</f>
        <v>0</v>
      </c>
    </row>
    <row r="118" spans="1:44" ht="16">
      <c r="A118" s="5">
        <v>18022520259</v>
      </c>
      <c r="B118" s="5"/>
      <c r="C118" s="5"/>
      <c r="D118" s="5" t="s">
        <v>31</v>
      </c>
      <c r="E118" s="5"/>
      <c r="F118" s="5"/>
      <c r="G118" s="5"/>
      <c r="H118" s="5"/>
      <c r="I118" s="5" t="s">
        <v>36</v>
      </c>
      <c r="J118" s="5"/>
      <c r="K118" s="5" t="s">
        <v>375</v>
      </c>
      <c r="L118" s="8"/>
      <c r="M118" s="8">
        <f t="shared" si="15"/>
        <v>3</v>
      </c>
      <c r="N118" s="8">
        <f t="shared" si="16"/>
        <v>1</v>
      </c>
      <c r="O118" s="8"/>
      <c r="P118" s="8">
        <f t="shared" si="17"/>
        <v>0</v>
      </c>
      <c r="Q118" s="8">
        <f t="shared" si="18"/>
        <v>0</v>
      </c>
      <c r="R118" s="8">
        <f t="shared" si="19"/>
        <v>1</v>
      </c>
      <c r="S118" s="8">
        <f t="shared" si="20"/>
        <v>0</v>
      </c>
      <c r="T118" s="8">
        <f t="shared" si="21"/>
        <v>0</v>
      </c>
      <c r="U118" s="8">
        <f t="shared" si="22"/>
        <v>0</v>
      </c>
      <c r="V118" s="153">
        <f t="shared" si="23"/>
        <v>0</v>
      </c>
      <c r="W118" s="8">
        <f t="shared" si="24"/>
        <v>1</v>
      </c>
      <c r="X118" s="8">
        <f t="shared" si="25"/>
        <v>0</v>
      </c>
      <c r="Y118" s="8">
        <f t="shared" si="26"/>
        <v>1</v>
      </c>
      <c r="Z118" s="8"/>
      <c r="AA118" s="8"/>
      <c r="AB118" s="8">
        <f t="shared" si="29"/>
        <v>3</v>
      </c>
      <c r="AC118" s="8">
        <f t="shared" si="27"/>
        <v>3</v>
      </c>
      <c r="AD118" s="8" t="str">
        <f t="shared" si="28"/>
        <v>Correct</v>
      </c>
      <c r="AE118" s="8"/>
      <c r="AF118" s="120" t="str">
        <f>IFERROR(VLOOKUP(Table1[RespondentID],'All Data'!$A$3:$CO$999,87,FALSE),"unknown")</f>
        <v>Transgender</v>
      </c>
      <c r="AG118" s="120">
        <f>IFERROR(VLOOKUP(Table1[RespondentID],'All Data'!$A$3:$CO$999,88,FALSE),"unknown")</f>
        <v>52</v>
      </c>
      <c r="AH118" s="120" t="str">
        <f>IFERROR(VLOOKUP(Table1[RespondentID],'All Data'!$A$3:$CO$999,89,FALSE),"unknown")</f>
        <v>Suffolk</v>
      </c>
      <c r="AI118" s="120" t="str">
        <f>IFERROR(VLOOKUP(Table1[RespondentID],'All Data'!$A$3:$CO$999,90,FALSE),"unknown")</f>
        <v>Commack, 11725</v>
      </c>
      <c r="AJ118" s="120" t="str">
        <f>IFERROR(VLOOKUP(Table1[RespondentID],'All Data'!$A$3:$CO$999,91,FALSE),"unknown")</f>
        <v>Asian</v>
      </c>
      <c r="AK118" s="120" t="str">
        <f>IFERROR(VLOOKUP(Table1[RespondentID],'All Data'!$A$3:$CO$999,92,FALSE),"unknown")</f>
        <v>Hispanic or Latino</v>
      </c>
      <c r="AL118" s="120" t="str">
        <f>IFERROR(VLOOKUP(Table1[RespondentID],'All Data'!$A$3:$CO$999,93,FALSE),"unknown")</f>
        <v>English, Spanish, Farsi, Polish, Korean, Hindi</v>
      </c>
      <c r="AM118" s="120" t="str">
        <f>IFERROR(VLOOKUP(Table1[RespondentID],'All Data'!$A$3:$CW$999,94,FALSE),"unknown")</f>
        <v>Over $125,000</v>
      </c>
      <c r="AN118" s="120" t="str">
        <f>IFERROR(VLOOKUP(Table1[RespondentID],'All Data'!$A$3:$CW$999,95,FALSE),"unknown")</f>
        <v>Doctorate</v>
      </c>
      <c r="AO118" s="120" t="str">
        <f>IFERROR(VLOOKUP(Table1[RespondentID],'All Data'!$A$3:$CW$999,96,FALSE),"unknown")</f>
        <v>Self-employed</v>
      </c>
      <c r="AP118" s="120" t="str">
        <f>IFERROR(VLOOKUP(Table1[RespondentID],'All Data'!$A$3:$CW$999,97,FALSE),"unknown")</f>
        <v>Yes</v>
      </c>
      <c r="AQ118" s="120">
        <f>IFERROR(VLOOKUP(Table1[RespondentID],'All Data'!$A$3:$CW$999,98,FALSE),"unknown")</f>
        <v>0</v>
      </c>
      <c r="AR118" s="120">
        <f>IFERROR(VLOOKUP(Table1[RespondentID],'All Data'!$A$3:$CW$999,99,FALSE),"unknown")</f>
        <v>0</v>
      </c>
    </row>
    <row r="119" spans="1:44" ht="16">
      <c r="A119" s="5">
        <v>18022520086</v>
      </c>
      <c r="B119" s="5" t="s">
        <v>29</v>
      </c>
      <c r="C119" s="5"/>
      <c r="D119" s="5"/>
      <c r="E119" s="5"/>
      <c r="F119" s="5"/>
      <c r="G119" s="5"/>
      <c r="H119" s="5" t="s">
        <v>35</v>
      </c>
      <c r="I119" s="5"/>
      <c r="J119" s="5"/>
      <c r="K119" s="5" t="s">
        <v>375</v>
      </c>
      <c r="L119" s="9"/>
      <c r="M119" s="9">
        <f t="shared" si="15"/>
        <v>3</v>
      </c>
      <c r="N119" s="9">
        <f t="shared" si="16"/>
        <v>1</v>
      </c>
      <c r="O119" s="9"/>
      <c r="P119" s="9">
        <f t="shared" si="17"/>
        <v>1</v>
      </c>
      <c r="Q119" s="9">
        <f t="shared" si="18"/>
        <v>0</v>
      </c>
      <c r="R119" s="9">
        <f t="shared" si="19"/>
        <v>0</v>
      </c>
      <c r="S119" s="9">
        <f t="shared" si="20"/>
        <v>0</v>
      </c>
      <c r="T119" s="9">
        <f t="shared" si="21"/>
        <v>0</v>
      </c>
      <c r="U119" s="9">
        <f t="shared" si="22"/>
        <v>0</v>
      </c>
      <c r="V119" s="153">
        <f t="shared" si="23"/>
        <v>1</v>
      </c>
      <c r="W119" s="9">
        <f t="shared" si="24"/>
        <v>0</v>
      </c>
      <c r="X119" s="9">
        <f t="shared" si="25"/>
        <v>0</v>
      </c>
      <c r="Y119" s="9">
        <f t="shared" si="26"/>
        <v>1</v>
      </c>
      <c r="Z119" s="9"/>
      <c r="AA119" s="9"/>
      <c r="AB119" s="9">
        <f t="shared" si="29"/>
        <v>3</v>
      </c>
      <c r="AC119" s="9">
        <f t="shared" si="27"/>
        <v>3</v>
      </c>
      <c r="AD119" s="9" t="str">
        <f t="shared" si="28"/>
        <v>Correct</v>
      </c>
      <c r="AE119" s="9"/>
      <c r="AF119" s="120" t="str">
        <f>IFERROR(VLOOKUP(Table1[RespondentID],'All Data'!$A$3:$CO$999,87,FALSE),"unknown")</f>
        <v>Man</v>
      </c>
      <c r="AG119" s="120">
        <f>IFERROR(VLOOKUP(Table1[RespondentID],'All Data'!$A$3:$CO$999,88,FALSE),"unknown")</f>
        <v>29</v>
      </c>
      <c r="AH119" s="120" t="str">
        <f>IFERROR(VLOOKUP(Table1[RespondentID],'All Data'!$A$3:$CO$999,89,FALSE),"unknown")</f>
        <v>Suffolk</v>
      </c>
      <c r="AI119" s="120" t="str">
        <f>IFERROR(VLOOKUP(Table1[RespondentID],'All Data'!$A$3:$CO$999,90,FALSE),"unknown")</f>
        <v>Commack, 11725</v>
      </c>
      <c r="AJ119" s="120" t="str">
        <f>IFERROR(VLOOKUP(Table1[RespondentID],'All Data'!$A$3:$CO$999,91,FALSE),"unknown")</f>
        <v>American Indian and Alaska Native</v>
      </c>
      <c r="AK119" s="120" t="str">
        <f>IFERROR(VLOOKUP(Table1[RespondentID],'All Data'!$A$3:$CO$999,92,FALSE),"unknown")</f>
        <v>Hispanic or Latino</v>
      </c>
      <c r="AL119" s="120" t="str">
        <f>IFERROR(VLOOKUP(Table1[RespondentID],'All Data'!$A$3:$CO$999,93,FALSE),"unknown")</f>
        <v>English, Spanish, Hindi</v>
      </c>
      <c r="AM119" s="120" t="str">
        <f>IFERROR(VLOOKUP(Table1[RespondentID],'All Data'!$A$3:$CW$999,94,FALSE),"unknown")</f>
        <v>Over $125,000</v>
      </c>
      <c r="AN119" s="120" t="str">
        <f>IFERROR(VLOOKUP(Table1[RespondentID],'All Data'!$A$3:$CW$999,95,FALSE),"unknown")</f>
        <v>Graduate school</v>
      </c>
      <c r="AO119" s="120" t="str">
        <f>IFERROR(VLOOKUP(Table1[RespondentID],'All Data'!$A$3:$CW$999,96,FALSE),"unknown")</f>
        <v>Employed for wages</v>
      </c>
      <c r="AP119" s="120" t="str">
        <f>IFERROR(VLOOKUP(Table1[RespondentID],'All Data'!$A$3:$CW$999,97,FALSE),"unknown")</f>
        <v>Yes</v>
      </c>
      <c r="AQ119" s="120">
        <f>IFERROR(VLOOKUP(Table1[RespondentID],'All Data'!$A$3:$CW$999,98,FALSE),"unknown")</f>
        <v>0</v>
      </c>
      <c r="AR119" s="120">
        <f>IFERROR(VLOOKUP(Table1[RespondentID],'All Data'!$A$3:$CW$999,99,FALSE),"unknown")</f>
        <v>0</v>
      </c>
    </row>
    <row r="120" spans="1:44" ht="16">
      <c r="A120" s="5">
        <v>18022519957</v>
      </c>
      <c r="B120" s="5"/>
      <c r="C120" s="5" t="s">
        <v>30</v>
      </c>
      <c r="D120" s="5"/>
      <c r="E120" s="5"/>
      <c r="F120" s="5"/>
      <c r="G120" s="5"/>
      <c r="H120" s="5" t="s">
        <v>35</v>
      </c>
      <c r="I120" s="5" t="s">
        <v>36</v>
      </c>
      <c r="J120" s="5"/>
      <c r="K120" s="5"/>
      <c r="L120" s="8"/>
      <c r="M120" s="8">
        <f t="shared" si="15"/>
        <v>3</v>
      </c>
      <c r="N120" s="8">
        <f t="shared" si="16"/>
        <v>1</v>
      </c>
      <c r="O120" s="8"/>
      <c r="P120" s="8">
        <f t="shared" si="17"/>
        <v>0</v>
      </c>
      <c r="Q120" s="8">
        <f t="shared" si="18"/>
        <v>1</v>
      </c>
      <c r="R120" s="8">
        <f t="shared" si="19"/>
        <v>0</v>
      </c>
      <c r="S120" s="8">
        <f t="shared" si="20"/>
        <v>0</v>
      </c>
      <c r="T120" s="8">
        <f t="shared" si="21"/>
        <v>0</v>
      </c>
      <c r="U120" s="8">
        <f t="shared" si="22"/>
        <v>0</v>
      </c>
      <c r="V120" s="153">
        <f t="shared" si="23"/>
        <v>1</v>
      </c>
      <c r="W120" s="8">
        <f t="shared" si="24"/>
        <v>1</v>
      </c>
      <c r="X120" s="8">
        <f t="shared" si="25"/>
        <v>0</v>
      </c>
      <c r="Y120" s="8">
        <f t="shared" si="26"/>
        <v>0</v>
      </c>
      <c r="Z120" s="8"/>
      <c r="AA120" s="8"/>
      <c r="AB120" s="8">
        <f t="shared" si="29"/>
        <v>3</v>
      </c>
      <c r="AC120" s="8">
        <f t="shared" si="27"/>
        <v>3</v>
      </c>
      <c r="AD120" s="8" t="str">
        <f t="shared" si="28"/>
        <v>Correct</v>
      </c>
      <c r="AE120" s="8"/>
      <c r="AF120" s="120" t="str">
        <f>IFERROR(VLOOKUP(Table1[RespondentID],'All Data'!$A$3:$CO$999,87,FALSE),"unknown")</f>
        <v>Man</v>
      </c>
      <c r="AG120" s="120">
        <f>IFERROR(VLOOKUP(Table1[RespondentID],'All Data'!$A$3:$CO$999,88,FALSE),"unknown")</f>
        <v>18</v>
      </c>
      <c r="AH120" s="120" t="str">
        <f>IFERROR(VLOOKUP(Table1[RespondentID],'All Data'!$A$3:$CO$999,89,FALSE),"unknown")</f>
        <v>Suffolk</v>
      </c>
      <c r="AI120" s="120" t="str">
        <f>IFERROR(VLOOKUP(Table1[RespondentID],'All Data'!$A$3:$CO$999,90,FALSE),"unknown")</f>
        <v>Dix Hills, 11746</v>
      </c>
      <c r="AJ120" s="120" t="str">
        <f>IFERROR(VLOOKUP(Table1[RespondentID],'All Data'!$A$3:$CO$999,91,FALSE),"unknown")</f>
        <v>White</v>
      </c>
      <c r="AK120" s="120" t="str">
        <f>IFERROR(VLOOKUP(Table1[RespondentID],'All Data'!$A$3:$CO$999,92,FALSE),"unknown")</f>
        <v>Hispanic or Latino</v>
      </c>
      <c r="AL120" s="120" t="str">
        <f>IFERROR(VLOOKUP(Table1[RespondentID],'All Data'!$A$3:$CO$999,93,FALSE),"unknown")</f>
        <v>English</v>
      </c>
      <c r="AM120" s="120" t="str">
        <f>IFERROR(VLOOKUP(Table1[RespondentID],'All Data'!$A$3:$CW$999,94,FALSE),"unknown")</f>
        <v>$75,000 to $125,000</v>
      </c>
      <c r="AN120" s="120" t="str">
        <f>IFERROR(VLOOKUP(Table1[RespondentID],'All Data'!$A$3:$CW$999,95,FALSE),"unknown")</f>
        <v>High school graduate</v>
      </c>
      <c r="AO120" s="120" t="str">
        <f>IFERROR(VLOOKUP(Table1[RespondentID],'All Data'!$A$3:$CW$999,96,FALSE),"unknown")</f>
        <v>Student</v>
      </c>
      <c r="AP120" s="120" t="str">
        <f>IFERROR(VLOOKUP(Table1[RespondentID],'All Data'!$A$3:$CW$999,97,FALSE),"unknown")</f>
        <v>Yes</v>
      </c>
      <c r="AQ120" s="120">
        <f>IFERROR(VLOOKUP(Table1[RespondentID],'All Data'!$A$3:$CW$999,98,FALSE),"unknown")</f>
        <v>0</v>
      </c>
      <c r="AR120" s="120">
        <f>IFERROR(VLOOKUP(Table1[RespondentID],'All Data'!$A$3:$CW$999,99,FALSE),"unknown")</f>
        <v>0</v>
      </c>
    </row>
    <row r="121" spans="1:44" ht="16">
      <c r="A121" s="5">
        <v>18022519838</v>
      </c>
      <c r="B121" s="5"/>
      <c r="C121" s="5"/>
      <c r="D121" s="5"/>
      <c r="E121" s="5"/>
      <c r="F121" s="5"/>
      <c r="G121" s="5"/>
      <c r="H121" s="5" t="s">
        <v>35</v>
      </c>
      <c r="I121" s="5"/>
      <c r="J121" s="5"/>
      <c r="K121" s="5" t="s">
        <v>375</v>
      </c>
      <c r="L121" s="9"/>
      <c r="M121" s="9">
        <f t="shared" si="15"/>
        <v>2</v>
      </c>
      <c r="N121" s="9">
        <f t="shared" si="16"/>
        <v>1.5</v>
      </c>
      <c r="O121" s="9"/>
      <c r="P121" s="9">
        <f t="shared" si="17"/>
        <v>0</v>
      </c>
      <c r="Q121" s="9">
        <f t="shared" si="18"/>
        <v>0</v>
      </c>
      <c r="R121" s="9">
        <f t="shared" si="19"/>
        <v>0</v>
      </c>
      <c r="S121" s="9">
        <f t="shared" si="20"/>
        <v>0</v>
      </c>
      <c r="T121" s="9">
        <f t="shared" si="21"/>
        <v>0</v>
      </c>
      <c r="U121" s="9">
        <f t="shared" si="22"/>
        <v>0</v>
      </c>
      <c r="V121" s="153">
        <f t="shared" si="23"/>
        <v>1</v>
      </c>
      <c r="W121" s="9">
        <f t="shared" si="24"/>
        <v>0</v>
      </c>
      <c r="X121" s="9">
        <f t="shared" si="25"/>
        <v>0</v>
      </c>
      <c r="Y121" s="9">
        <f t="shared" si="26"/>
        <v>1</v>
      </c>
      <c r="Z121" s="9"/>
      <c r="AA121" s="9"/>
      <c r="AB121" s="9">
        <f t="shared" si="29"/>
        <v>2</v>
      </c>
      <c r="AC121" s="9">
        <f t="shared" si="27"/>
        <v>2</v>
      </c>
      <c r="AD121" s="9" t="str">
        <f t="shared" si="28"/>
        <v>Correct</v>
      </c>
      <c r="AE121" s="9"/>
      <c r="AF121" s="120" t="str">
        <f>IFERROR(VLOOKUP(Table1[RespondentID],'All Data'!$A$3:$CO$999,87,FALSE),"unknown")</f>
        <v>Man</v>
      </c>
      <c r="AG121" s="120">
        <f>IFERROR(VLOOKUP(Table1[RespondentID],'All Data'!$A$3:$CO$999,88,FALSE),"unknown")</f>
        <v>0</v>
      </c>
      <c r="AH121" s="120" t="str">
        <f>IFERROR(VLOOKUP(Table1[RespondentID],'All Data'!$A$3:$CO$999,89,FALSE),"unknown")</f>
        <v>Suffolk</v>
      </c>
      <c r="AI121" s="120" t="str">
        <f>IFERROR(VLOOKUP(Table1[RespondentID],'All Data'!$A$3:$CO$999,90,FALSE),"unknown")</f>
        <v>Commack, 11725</v>
      </c>
      <c r="AJ121" s="120" t="str">
        <f>IFERROR(VLOOKUP(Table1[RespondentID],'All Data'!$A$3:$CO$999,91,FALSE),"unknown")</f>
        <v>White</v>
      </c>
      <c r="AK121" s="120">
        <f>IFERROR(VLOOKUP(Table1[RespondentID],'All Data'!$A$3:$CO$999,92,FALSE),"unknown")</f>
        <v>0</v>
      </c>
      <c r="AL121" s="120" t="str">
        <f>IFERROR(VLOOKUP(Table1[RespondentID],'All Data'!$A$3:$CO$999,93,FALSE),"unknown")</f>
        <v>English</v>
      </c>
      <c r="AM121" s="120">
        <f>IFERROR(VLOOKUP(Table1[RespondentID],'All Data'!$A$3:$CW$999,94,FALSE),"unknown")</f>
        <v>0</v>
      </c>
      <c r="AN121" s="120" t="str">
        <f>IFERROR(VLOOKUP(Table1[RespondentID],'All Data'!$A$3:$CW$999,95,FALSE),"unknown")</f>
        <v>College graduate</v>
      </c>
      <c r="AO121" s="120" t="str">
        <f>IFERROR(VLOOKUP(Table1[RespondentID],'All Data'!$A$3:$CW$999,96,FALSE),"unknown")</f>
        <v>Employed for wages</v>
      </c>
      <c r="AP121" s="120" t="str">
        <f>IFERROR(VLOOKUP(Table1[RespondentID],'All Data'!$A$3:$CW$999,97,FALSE),"unknown")</f>
        <v>Yes</v>
      </c>
      <c r="AQ121" s="120">
        <f>IFERROR(VLOOKUP(Table1[RespondentID],'All Data'!$A$3:$CW$999,98,FALSE),"unknown")</f>
        <v>0</v>
      </c>
      <c r="AR121" s="120">
        <f>IFERROR(VLOOKUP(Table1[RespondentID],'All Data'!$A$3:$CW$999,99,FALSE),"unknown")</f>
        <v>0</v>
      </c>
    </row>
    <row r="122" spans="1:44" ht="16">
      <c r="A122" s="5">
        <v>18022519606</v>
      </c>
      <c r="B122" s="5"/>
      <c r="C122" s="5" t="s">
        <v>30</v>
      </c>
      <c r="D122" s="5"/>
      <c r="E122" s="5" t="s">
        <v>32</v>
      </c>
      <c r="F122" s="5"/>
      <c r="G122" s="5"/>
      <c r="H122" s="5"/>
      <c r="I122" s="5"/>
      <c r="J122" s="5"/>
      <c r="K122" s="5" t="s">
        <v>375</v>
      </c>
      <c r="L122" s="8"/>
      <c r="M122" s="8">
        <f t="shared" si="15"/>
        <v>3</v>
      </c>
      <c r="N122" s="8">
        <f t="shared" si="16"/>
        <v>1</v>
      </c>
      <c r="O122" s="8"/>
      <c r="P122" s="8">
        <f t="shared" si="17"/>
        <v>0</v>
      </c>
      <c r="Q122" s="8">
        <f t="shared" si="18"/>
        <v>1</v>
      </c>
      <c r="R122" s="8">
        <f t="shared" si="19"/>
        <v>0</v>
      </c>
      <c r="S122" s="8">
        <f t="shared" si="20"/>
        <v>1</v>
      </c>
      <c r="T122" s="8">
        <f t="shared" si="21"/>
        <v>0</v>
      </c>
      <c r="U122" s="8">
        <f t="shared" si="22"/>
        <v>0</v>
      </c>
      <c r="V122" s="153">
        <f t="shared" si="23"/>
        <v>0</v>
      </c>
      <c r="W122" s="8">
        <f t="shared" si="24"/>
        <v>0</v>
      </c>
      <c r="X122" s="8">
        <f t="shared" si="25"/>
        <v>0</v>
      </c>
      <c r="Y122" s="8">
        <f t="shared" si="26"/>
        <v>1</v>
      </c>
      <c r="Z122" s="8"/>
      <c r="AA122" s="8"/>
      <c r="AB122" s="8">
        <f t="shared" si="29"/>
        <v>3</v>
      </c>
      <c r="AC122" s="8">
        <f t="shared" si="27"/>
        <v>3</v>
      </c>
      <c r="AD122" s="8" t="str">
        <f t="shared" si="28"/>
        <v>Correct</v>
      </c>
      <c r="AE122" s="8"/>
      <c r="AF122" s="120" t="str">
        <f>IFERROR(VLOOKUP(Table1[RespondentID],'All Data'!$A$3:$CO$999,87,FALSE),"unknown")</f>
        <v>Woman</v>
      </c>
      <c r="AG122" s="120">
        <f>IFERROR(VLOOKUP(Table1[RespondentID],'All Data'!$A$3:$CO$999,88,FALSE),"unknown")</f>
        <v>32</v>
      </c>
      <c r="AH122" s="120" t="str">
        <f>IFERROR(VLOOKUP(Table1[RespondentID],'All Data'!$A$3:$CO$999,89,FALSE),"unknown")</f>
        <v>Suffolk</v>
      </c>
      <c r="AI122" s="120" t="str">
        <f>IFERROR(VLOOKUP(Table1[RespondentID],'All Data'!$A$3:$CO$999,90,FALSE),"unknown")</f>
        <v>West Islip, 11795</v>
      </c>
      <c r="AJ122" s="120" t="str">
        <f>IFERROR(VLOOKUP(Table1[RespondentID],'All Data'!$A$3:$CO$999,91,FALSE),"unknown")</f>
        <v>White</v>
      </c>
      <c r="AK122" s="120" t="str">
        <f>IFERROR(VLOOKUP(Table1[RespondentID],'All Data'!$A$3:$CO$999,92,FALSE),"unknown")</f>
        <v>Hispanic or Latino</v>
      </c>
      <c r="AL122" s="120" t="str">
        <f>IFERROR(VLOOKUP(Table1[RespondentID],'All Data'!$A$3:$CO$999,93,FALSE),"unknown")</f>
        <v>English</v>
      </c>
      <c r="AM122" s="120" t="str">
        <f>IFERROR(VLOOKUP(Table1[RespondentID],'All Data'!$A$3:$CW$999,94,FALSE),"unknown")</f>
        <v>$50,000 to $74,999</v>
      </c>
      <c r="AN122" s="120" t="str">
        <f>IFERROR(VLOOKUP(Table1[RespondentID],'All Data'!$A$3:$CW$999,95,FALSE),"unknown")</f>
        <v>Graduate school</v>
      </c>
      <c r="AO122" s="120" t="str">
        <f>IFERROR(VLOOKUP(Table1[RespondentID],'All Data'!$A$3:$CW$999,96,FALSE),"unknown")</f>
        <v>Employed for wages</v>
      </c>
      <c r="AP122" s="120" t="str">
        <f>IFERROR(VLOOKUP(Table1[RespondentID],'All Data'!$A$3:$CW$999,97,FALSE),"unknown")</f>
        <v>Yes</v>
      </c>
      <c r="AQ122" s="120">
        <f>IFERROR(VLOOKUP(Table1[RespondentID],'All Data'!$A$3:$CW$999,98,FALSE),"unknown")</f>
        <v>0</v>
      </c>
      <c r="AR122" s="120">
        <f>IFERROR(VLOOKUP(Table1[RespondentID],'All Data'!$A$3:$CW$999,99,FALSE),"unknown")</f>
        <v>0</v>
      </c>
    </row>
    <row r="123" spans="1:44" ht="16">
      <c r="A123" s="5">
        <v>18022519229</v>
      </c>
      <c r="B123" s="5"/>
      <c r="C123" s="5"/>
      <c r="D123" s="5"/>
      <c r="E123" s="5"/>
      <c r="F123" s="5"/>
      <c r="G123" s="5" t="s">
        <v>34</v>
      </c>
      <c r="H123" s="5"/>
      <c r="I123" s="5"/>
      <c r="J123" s="5"/>
      <c r="K123" s="5"/>
      <c r="L123" s="9"/>
      <c r="M123" s="9">
        <f t="shared" si="15"/>
        <v>1</v>
      </c>
      <c r="N123" s="9">
        <f t="shared" si="16"/>
        <v>3</v>
      </c>
      <c r="O123" s="9"/>
      <c r="P123" s="9">
        <f t="shared" si="17"/>
        <v>0</v>
      </c>
      <c r="Q123" s="9">
        <f t="shared" si="18"/>
        <v>0</v>
      </c>
      <c r="R123" s="9">
        <f t="shared" si="19"/>
        <v>0</v>
      </c>
      <c r="S123" s="9">
        <f t="shared" si="20"/>
        <v>0</v>
      </c>
      <c r="T123" s="9">
        <f t="shared" si="21"/>
        <v>0</v>
      </c>
      <c r="U123" s="9">
        <f t="shared" si="22"/>
        <v>1</v>
      </c>
      <c r="V123" s="153">
        <f t="shared" si="23"/>
        <v>0</v>
      </c>
      <c r="W123" s="9">
        <f t="shared" si="24"/>
        <v>0</v>
      </c>
      <c r="X123" s="9">
        <f t="shared" si="25"/>
        <v>0</v>
      </c>
      <c r="Y123" s="9">
        <f t="shared" si="26"/>
        <v>0</v>
      </c>
      <c r="Z123" s="9"/>
      <c r="AA123" s="9"/>
      <c r="AB123" s="9">
        <f t="shared" si="29"/>
        <v>1</v>
      </c>
      <c r="AC123" s="9">
        <f t="shared" si="27"/>
        <v>1</v>
      </c>
      <c r="AD123" s="9" t="str">
        <f t="shared" si="28"/>
        <v>Correct</v>
      </c>
      <c r="AE123" s="9"/>
      <c r="AF123" s="120" t="str">
        <f>IFERROR(VLOOKUP(Table1[RespondentID],'All Data'!$A$3:$CO$999,87,FALSE),"unknown")</f>
        <v>Man</v>
      </c>
      <c r="AG123" s="120">
        <f>IFERROR(VLOOKUP(Table1[RespondentID],'All Data'!$A$3:$CO$999,88,FALSE),"unknown")</f>
        <v>45</v>
      </c>
      <c r="AH123" s="120" t="str">
        <f>IFERROR(VLOOKUP(Table1[RespondentID],'All Data'!$A$3:$CO$999,89,FALSE),"unknown")</f>
        <v>Suffolk</v>
      </c>
      <c r="AI123" s="120" t="str">
        <f>IFERROR(VLOOKUP(Table1[RespondentID],'All Data'!$A$3:$CO$999,90,FALSE),"unknown")</f>
        <v>Commack, 11725</v>
      </c>
      <c r="AJ123" s="120" t="str">
        <f>IFERROR(VLOOKUP(Table1[RespondentID],'All Data'!$A$3:$CO$999,91,FALSE),"unknown")</f>
        <v>White</v>
      </c>
      <c r="AK123" s="120">
        <f>IFERROR(VLOOKUP(Table1[RespondentID],'All Data'!$A$3:$CO$999,92,FALSE),"unknown")</f>
        <v>0</v>
      </c>
      <c r="AL123" s="120" t="str">
        <f>IFERROR(VLOOKUP(Table1[RespondentID],'All Data'!$A$3:$CO$999,93,FALSE),"unknown")</f>
        <v>English</v>
      </c>
      <c r="AM123" s="120" t="str">
        <f>IFERROR(VLOOKUP(Table1[RespondentID],'All Data'!$A$3:$CW$999,94,FALSE),"unknown")</f>
        <v>$50,000 to $74,999</v>
      </c>
      <c r="AN123" s="120" t="str">
        <f>IFERROR(VLOOKUP(Table1[RespondentID],'All Data'!$A$3:$CW$999,95,FALSE),"unknown")</f>
        <v>Graduate school</v>
      </c>
      <c r="AO123" s="120" t="str">
        <f>IFERROR(VLOOKUP(Table1[RespondentID],'All Data'!$A$3:$CW$999,96,FALSE),"unknown")</f>
        <v>Employed for wages</v>
      </c>
      <c r="AP123" s="120" t="str">
        <f>IFERROR(VLOOKUP(Table1[RespondentID],'All Data'!$A$3:$CW$999,97,FALSE),"unknown")</f>
        <v>Yes</v>
      </c>
      <c r="AQ123" s="120">
        <f>IFERROR(VLOOKUP(Table1[RespondentID],'All Data'!$A$3:$CW$999,98,FALSE),"unknown")</f>
        <v>0</v>
      </c>
      <c r="AR123" s="120">
        <f>IFERROR(VLOOKUP(Table1[RespondentID],'All Data'!$A$3:$CW$999,99,FALSE),"unknown")</f>
        <v>0</v>
      </c>
    </row>
    <row r="124" spans="1:44" ht="16">
      <c r="A124" s="5">
        <v>18022519049</v>
      </c>
      <c r="B124" s="5"/>
      <c r="C124" s="5"/>
      <c r="D124" s="5"/>
      <c r="E124" s="5"/>
      <c r="F124" s="5"/>
      <c r="G124" s="5"/>
      <c r="H124" s="5"/>
      <c r="I124" s="5"/>
      <c r="J124" s="5"/>
      <c r="K124" s="5"/>
      <c r="L124" s="8"/>
      <c r="M124" s="8">
        <f t="shared" si="15"/>
        <v>0</v>
      </c>
      <c r="N124" s="8" t="e">
        <f t="shared" si="16"/>
        <v>#DIV/0!</v>
      </c>
      <c r="O124" s="8"/>
      <c r="P124" s="8">
        <f t="shared" si="17"/>
        <v>0</v>
      </c>
      <c r="Q124" s="8">
        <f t="shared" si="18"/>
        <v>0</v>
      </c>
      <c r="R124" s="8">
        <f t="shared" si="19"/>
        <v>0</v>
      </c>
      <c r="S124" s="8">
        <f t="shared" si="20"/>
        <v>0</v>
      </c>
      <c r="T124" s="8">
        <f t="shared" si="21"/>
        <v>0</v>
      </c>
      <c r="U124" s="8">
        <f t="shared" si="22"/>
        <v>0</v>
      </c>
      <c r="V124" s="153">
        <f t="shared" si="23"/>
        <v>0</v>
      </c>
      <c r="W124" s="8">
        <f t="shared" si="24"/>
        <v>0</v>
      </c>
      <c r="X124" s="8">
        <f t="shared" si="25"/>
        <v>0</v>
      </c>
      <c r="Y124" s="8">
        <f t="shared" si="26"/>
        <v>0</v>
      </c>
      <c r="Z124" s="8"/>
      <c r="AA124" s="8"/>
      <c r="AB124" s="8">
        <f t="shared" si="29"/>
        <v>0</v>
      </c>
      <c r="AC124" s="8">
        <f t="shared" si="27"/>
        <v>0</v>
      </c>
      <c r="AD124" s="8" t="str">
        <f t="shared" si="28"/>
        <v>Correct</v>
      </c>
      <c r="AE124" s="8"/>
      <c r="AF124" s="120" t="str">
        <f>IFERROR(VLOOKUP(Table1[RespondentID],'All Data'!$A$3:$CO$999,87,FALSE),"unknown")</f>
        <v>Man</v>
      </c>
      <c r="AG124" s="120">
        <f>IFERROR(VLOOKUP(Table1[RespondentID],'All Data'!$A$3:$CO$999,88,FALSE),"unknown")</f>
        <v>44</v>
      </c>
      <c r="AH124" s="120" t="str">
        <f>IFERROR(VLOOKUP(Table1[RespondentID],'All Data'!$A$3:$CO$999,89,FALSE),"unknown")</f>
        <v>Suffolk</v>
      </c>
      <c r="AI124" s="120" t="str">
        <f>IFERROR(VLOOKUP(Table1[RespondentID],'All Data'!$A$3:$CO$999,90,FALSE),"unknown")</f>
        <v>Commack, 11725</v>
      </c>
      <c r="AJ124" s="120" t="str">
        <f>IFERROR(VLOOKUP(Table1[RespondentID],'All Data'!$A$3:$CO$999,91,FALSE),"unknown")</f>
        <v>White</v>
      </c>
      <c r="AK124" s="120" t="str">
        <f>IFERROR(VLOOKUP(Table1[RespondentID],'All Data'!$A$3:$CO$999,92,FALSE),"unknown")</f>
        <v>Hispanic or Latino</v>
      </c>
      <c r="AL124" s="120" t="str">
        <f>IFERROR(VLOOKUP(Table1[RespondentID],'All Data'!$A$3:$CO$999,93,FALSE),"unknown")</f>
        <v>English</v>
      </c>
      <c r="AM124" s="120" t="str">
        <f>IFERROR(VLOOKUP(Table1[RespondentID],'All Data'!$A$3:$CW$999,94,FALSE),"unknown")</f>
        <v>Over $125,000</v>
      </c>
      <c r="AN124" s="120" t="str">
        <f>IFERROR(VLOOKUP(Table1[RespondentID],'All Data'!$A$3:$CW$999,95,FALSE),"unknown")</f>
        <v>Some college</v>
      </c>
      <c r="AO124" s="120">
        <f>IFERROR(VLOOKUP(Table1[RespondentID],'All Data'!$A$3:$CW$999,96,FALSE),"unknown")</f>
        <v>0</v>
      </c>
      <c r="AP124" s="120" t="str">
        <f>IFERROR(VLOOKUP(Table1[RespondentID],'All Data'!$A$3:$CW$999,97,FALSE),"unknown")</f>
        <v>Yes</v>
      </c>
      <c r="AQ124" s="120">
        <f>IFERROR(VLOOKUP(Table1[RespondentID],'All Data'!$A$3:$CW$999,98,FALSE),"unknown")</f>
        <v>0</v>
      </c>
      <c r="AR124" s="120">
        <f>IFERROR(VLOOKUP(Table1[RespondentID],'All Data'!$A$3:$CW$999,99,FALSE),"unknown")</f>
        <v>0</v>
      </c>
    </row>
    <row r="125" spans="1:44" ht="16">
      <c r="A125" s="5">
        <v>18022518816</v>
      </c>
      <c r="B125" s="5"/>
      <c r="C125" s="5"/>
      <c r="D125" s="5" t="s">
        <v>31</v>
      </c>
      <c r="E125" s="5"/>
      <c r="F125" s="5"/>
      <c r="G125" s="5"/>
      <c r="H125" s="5" t="s">
        <v>35</v>
      </c>
      <c r="I125" s="5" t="s">
        <v>36</v>
      </c>
      <c r="J125" s="5"/>
      <c r="K125" s="5"/>
      <c r="L125" s="9"/>
      <c r="M125" s="9">
        <f t="shared" si="15"/>
        <v>3</v>
      </c>
      <c r="N125" s="9">
        <f t="shared" si="16"/>
        <v>1</v>
      </c>
      <c r="O125" s="9"/>
      <c r="P125" s="9">
        <f t="shared" si="17"/>
        <v>0</v>
      </c>
      <c r="Q125" s="9">
        <f t="shared" si="18"/>
        <v>0</v>
      </c>
      <c r="R125" s="9">
        <f t="shared" si="19"/>
        <v>1</v>
      </c>
      <c r="S125" s="9">
        <f t="shared" si="20"/>
        <v>0</v>
      </c>
      <c r="T125" s="9">
        <f t="shared" si="21"/>
        <v>0</v>
      </c>
      <c r="U125" s="9">
        <f t="shared" si="22"/>
        <v>0</v>
      </c>
      <c r="V125" s="153">
        <f t="shared" si="23"/>
        <v>1</v>
      </c>
      <c r="W125" s="9">
        <f t="shared" si="24"/>
        <v>1</v>
      </c>
      <c r="X125" s="9">
        <f t="shared" si="25"/>
        <v>0</v>
      </c>
      <c r="Y125" s="9">
        <f t="shared" si="26"/>
        <v>0</v>
      </c>
      <c r="Z125" s="9"/>
      <c r="AA125" s="9"/>
      <c r="AB125" s="9">
        <f t="shared" si="29"/>
        <v>3</v>
      </c>
      <c r="AC125" s="9">
        <f t="shared" si="27"/>
        <v>3</v>
      </c>
      <c r="AD125" s="9" t="str">
        <f t="shared" si="28"/>
        <v>Correct</v>
      </c>
      <c r="AE125" s="9"/>
      <c r="AF125" s="120" t="str">
        <f>IFERROR(VLOOKUP(Table1[RespondentID],'All Data'!$A$3:$CO$999,87,FALSE),"unknown")</f>
        <v>Man</v>
      </c>
      <c r="AG125" s="120">
        <f>IFERROR(VLOOKUP(Table1[RespondentID],'All Data'!$A$3:$CO$999,88,FALSE),"unknown")</f>
        <v>18</v>
      </c>
      <c r="AH125" s="120" t="str">
        <f>IFERROR(VLOOKUP(Table1[RespondentID],'All Data'!$A$3:$CO$999,89,FALSE),"unknown")</f>
        <v>Suffolk</v>
      </c>
      <c r="AI125" s="120" t="str">
        <f>IFERROR(VLOOKUP(Table1[RespondentID],'All Data'!$A$3:$CO$999,90,FALSE),"unknown")</f>
        <v>Smithtown, 11787</v>
      </c>
      <c r="AJ125" s="120" t="str">
        <f>IFERROR(VLOOKUP(Table1[RespondentID],'All Data'!$A$3:$CO$999,91,FALSE),"unknown")</f>
        <v>White</v>
      </c>
      <c r="AK125" s="120">
        <f>IFERROR(VLOOKUP(Table1[RespondentID],'All Data'!$A$3:$CO$999,92,FALSE),"unknown")</f>
        <v>0</v>
      </c>
      <c r="AL125" s="120" t="str">
        <f>IFERROR(VLOOKUP(Table1[RespondentID],'All Data'!$A$3:$CO$999,93,FALSE),"unknown")</f>
        <v>English</v>
      </c>
      <c r="AM125" s="120" t="str">
        <f>IFERROR(VLOOKUP(Table1[RespondentID],'All Data'!$A$3:$CW$999,94,FALSE),"unknown")</f>
        <v>$75,000 to $125,000</v>
      </c>
      <c r="AN125" s="120" t="str">
        <f>IFERROR(VLOOKUP(Table1[RespondentID],'All Data'!$A$3:$CW$999,95,FALSE),"unknown")</f>
        <v>Some high school</v>
      </c>
      <c r="AO125" s="120">
        <f>IFERROR(VLOOKUP(Table1[RespondentID],'All Data'!$A$3:$CW$999,96,FALSE),"unknown")</f>
        <v>0</v>
      </c>
      <c r="AP125" s="120" t="str">
        <f>IFERROR(VLOOKUP(Table1[RespondentID],'All Data'!$A$3:$CW$999,97,FALSE),"unknown")</f>
        <v>Yes</v>
      </c>
      <c r="AQ125" s="120">
        <f>IFERROR(VLOOKUP(Table1[RespondentID],'All Data'!$A$3:$CW$999,98,FALSE),"unknown")</f>
        <v>0</v>
      </c>
      <c r="AR125" s="120">
        <f>IFERROR(VLOOKUP(Table1[RespondentID],'All Data'!$A$3:$CW$999,99,FALSE),"unknown")</f>
        <v>0</v>
      </c>
    </row>
    <row r="126" spans="1:44" ht="16">
      <c r="A126" s="5">
        <v>18022518632</v>
      </c>
      <c r="B126" s="5"/>
      <c r="C126" s="5" t="s">
        <v>30</v>
      </c>
      <c r="D126" s="5"/>
      <c r="E126" s="5"/>
      <c r="F126" s="5"/>
      <c r="G126" s="5"/>
      <c r="H126" s="5"/>
      <c r="I126" s="5"/>
      <c r="J126" s="5"/>
      <c r="K126" s="5"/>
      <c r="L126" s="8"/>
      <c r="M126" s="8">
        <f t="shared" si="15"/>
        <v>1</v>
      </c>
      <c r="N126" s="8">
        <f t="shared" si="16"/>
        <v>3</v>
      </c>
      <c r="O126" s="8"/>
      <c r="P126" s="8">
        <f t="shared" si="17"/>
        <v>0</v>
      </c>
      <c r="Q126" s="8">
        <f t="shared" si="18"/>
        <v>1</v>
      </c>
      <c r="R126" s="8">
        <f t="shared" si="19"/>
        <v>0</v>
      </c>
      <c r="S126" s="8">
        <f t="shared" si="20"/>
        <v>0</v>
      </c>
      <c r="T126" s="8">
        <f t="shared" si="21"/>
        <v>0</v>
      </c>
      <c r="U126" s="8">
        <f t="shared" si="22"/>
        <v>0</v>
      </c>
      <c r="V126" s="153">
        <f t="shared" si="23"/>
        <v>0</v>
      </c>
      <c r="W126" s="8">
        <f t="shared" si="24"/>
        <v>0</v>
      </c>
      <c r="X126" s="8">
        <f t="shared" si="25"/>
        <v>0</v>
      </c>
      <c r="Y126" s="8">
        <f t="shared" si="26"/>
        <v>0</v>
      </c>
      <c r="Z126" s="8"/>
      <c r="AA126" s="8"/>
      <c r="AB126" s="8">
        <f t="shared" si="29"/>
        <v>1</v>
      </c>
      <c r="AC126" s="8">
        <f t="shared" si="27"/>
        <v>1</v>
      </c>
      <c r="AD126" s="8" t="str">
        <f t="shared" si="28"/>
        <v>Correct</v>
      </c>
      <c r="AE126" s="8"/>
      <c r="AF126" s="120" t="str">
        <f>IFERROR(VLOOKUP(Table1[RespondentID],'All Data'!$A$3:$CO$999,87,FALSE),"unknown")</f>
        <v>Man</v>
      </c>
      <c r="AG126" s="120">
        <f>IFERROR(VLOOKUP(Table1[RespondentID],'All Data'!$A$3:$CO$999,88,FALSE),"unknown")</f>
        <v>18</v>
      </c>
      <c r="AH126" s="120" t="str">
        <f>IFERROR(VLOOKUP(Table1[RespondentID],'All Data'!$A$3:$CO$999,89,FALSE),"unknown")</f>
        <v>Suffolk</v>
      </c>
      <c r="AI126" s="120" t="str">
        <f>IFERROR(VLOOKUP(Table1[RespondentID],'All Data'!$A$3:$CO$999,90,FALSE),"unknown")</f>
        <v>East Northport, 11731</v>
      </c>
      <c r="AJ126" s="120" t="str">
        <f>IFERROR(VLOOKUP(Table1[RespondentID],'All Data'!$A$3:$CO$999,91,FALSE),"unknown")</f>
        <v>White</v>
      </c>
      <c r="AK126" s="120" t="str">
        <f>IFERROR(VLOOKUP(Table1[RespondentID],'All Data'!$A$3:$CO$999,92,FALSE),"unknown")</f>
        <v>Hispanic or Latino</v>
      </c>
      <c r="AL126" s="120" t="str">
        <f>IFERROR(VLOOKUP(Table1[RespondentID],'All Data'!$A$3:$CO$999,93,FALSE),"unknown")</f>
        <v>English</v>
      </c>
      <c r="AM126" s="120">
        <f>IFERROR(VLOOKUP(Table1[RespondentID],'All Data'!$A$3:$CW$999,94,FALSE),"unknown")</f>
        <v>0</v>
      </c>
      <c r="AN126" s="120" t="str">
        <f>IFERROR(VLOOKUP(Table1[RespondentID],'All Data'!$A$3:$CW$999,95,FALSE),"unknown")</f>
        <v>Some high school</v>
      </c>
      <c r="AO126" s="120" t="str">
        <f>IFERROR(VLOOKUP(Table1[RespondentID],'All Data'!$A$3:$CW$999,96,FALSE),"unknown")</f>
        <v>Student</v>
      </c>
      <c r="AP126" s="120" t="str">
        <f>IFERROR(VLOOKUP(Table1[RespondentID],'All Data'!$A$3:$CW$999,97,FALSE),"unknown")</f>
        <v>Yes</v>
      </c>
      <c r="AQ126" s="120">
        <f>IFERROR(VLOOKUP(Table1[RespondentID],'All Data'!$A$3:$CW$999,98,FALSE),"unknown")</f>
        <v>0</v>
      </c>
      <c r="AR126" s="120">
        <f>IFERROR(VLOOKUP(Table1[RespondentID],'All Data'!$A$3:$CW$999,99,FALSE),"unknown")</f>
        <v>0</v>
      </c>
    </row>
    <row r="127" spans="1:44" ht="16">
      <c r="A127" s="5">
        <v>18022518486</v>
      </c>
      <c r="B127" s="5"/>
      <c r="C127" s="5"/>
      <c r="D127" s="5"/>
      <c r="E127" s="5"/>
      <c r="F127" s="5"/>
      <c r="G127" s="5"/>
      <c r="H127" s="5" t="s">
        <v>35</v>
      </c>
      <c r="I127" s="5"/>
      <c r="J127" s="5"/>
      <c r="K127" s="5"/>
      <c r="L127" s="9"/>
      <c r="M127" s="9">
        <f t="shared" si="15"/>
        <v>1</v>
      </c>
      <c r="N127" s="9">
        <f t="shared" si="16"/>
        <v>3</v>
      </c>
      <c r="O127" s="9"/>
      <c r="P127" s="9">
        <f t="shared" si="17"/>
        <v>0</v>
      </c>
      <c r="Q127" s="9">
        <f t="shared" si="18"/>
        <v>0</v>
      </c>
      <c r="R127" s="9">
        <f t="shared" si="19"/>
        <v>0</v>
      </c>
      <c r="S127" s="9">
        <f t="shared" si="20"/>
        <v>0</v>
      </c>
      <c r="T127" s="9">
        <f t="shared" si="21"/>
        <v>0</v>
      </c>
      <c r="U127" s="9">
        <f t="shared" si="22"/>
        <v>0</v>
      </c>
      <c r="V127" s="153">
        <f t="shared" si="23"/>
        <v>1</v>
      </c>
      <c r="W127" s="9">
        <f t="shared" si="24"/>
        <v>0</v>
      </c>
      <c r="X127" s="9">
        <f t="shared" si="25"/>
        <v>0</v>
      </c>
      <c r="Y127" s="9">
        <f t="shared" si="26"/>
        <v>0</v>
      </c>
      <c r="Z127" s="9"/>
      <c r="AA127" s="9"/>
      <c r="AB127" s="9">
        <f t="shared" si="29"/>
        <v>1</v>
      </c>
      <c r="AC127" s="9">
        <f t="shared" si="27"/>
        <v>1</v>
      </c>
      <c r="AD127" s="9" t="str">
        <f t="shared" si="28"/>
        <v>Correct</v>
      </c>
      <c r="AE127" s="9"/>
      <c r="AF127" s="120" t="str">
        <f>IFERROR(VLOOKUP(Table1[RespondentID],'All Data'!$A$3:$CO$999,87,FALSE),"unknown")</f>
        <v>Man</v>
      </c>
      <c r="AG127" s="120">
        <f>IFERROR(VLOOKUP(Table1[RespondentID],'All Data'!$A$3:$CO$999,88,FALSE),"unknown")</f>
        <v>18</v>
      </c>
      <c r="AH127" s="120" t="str">
        <f>IFERROR(VLOOKUP(Table1[RespondentID],'All Data'!$A$3:$CO$999,89,FALSE),"unknown")</f>
        <v>Suffolk</v>
      </c>
      <c r="AI127" s="120" t="str">
        <f>IFERROR(VLOOKUP(Table1[RespondentID],'All Data'!$A$3:$CO$999,90,FALSE),"unknown")</f>
        <v>Commack, 11725</v>
      </c>
      <c r="AJ127" s="120" t="str">
        <f>IFERROR(VLOOKUP(Table1[RespondentID],'All Data'!$A$3:$CO$999,91,FALSE),"unknown")</f>
        <v>White</v>
      </c>
      <c r="AK127" s="120" t="str">
        <f>IFERROR(VLOOKUP(Table1[RespondentID],'All Data'!$A$3:$CO$999,92,FALSE),"unknown")</f>
        <v>Not Hispanic or Latino</v>
      </c>
      <c r="AL127" s="120" t="str">
        <f>IFERROR(VLOOKUP(Table1[RespondentID],'All Data'!$A$3:$CO$999,93,FALSE),"unknown")</f>
        <v>English, Spanish</v>
      </c>
      <c r="AM127" s="120">
        <f>IFERROR(VLOOKUP(Table1[RespondentID],'All Data'!$A$3:$CW$999,94,FALSE),"unknown")</f>
        <v>0</v>
      </c>
      <c r="AN127" s="120" t="str">
        <f>IFERROR(VLOOKUP(Table1[RespondentID],'All Data'!$A$3:$CW$999,95,FALSE),"unknown")</f>
        <v>Some high school</v>
      </c>
      <c r="AO127" s="120" t="str">
        <f>IFERROR(VLOOKUP(Table1[RespondentID],'All Data'!$A$3:$CW$999,96,FALSE),"unknown")</f>
        <v>Employed for wages</v>
      </c>
      <c r="AP127" s="120" t="str">
        <f>IFERROR(VLOOKUP(Table1[RespondentID],'All Data'!$A$3:$CW$999,97,FALSE),"unknown")</f>
        <v>Yes</v>
      </c>
      <c r="AQ127" s="120">
        <f>IFERROR(VLOOKUP(Table1[RespondentID],'All Data'!$A$3:$CW$999,98,FALSE),"unknown")</f>
        <v>0</v>
      </c>
      <c r="AR127" s="120">
        <f>IFERROR(VLOOKUP(Table1[RespondentID],'All Data'!$A$3:$CW$999,99,FALSE),"unknown")</f>
        <v>0</v>
      </c>
    </row>
    <row r="128" spans="1:44" ht="16">
      <c r="A128" s="5">
        <v>18022518320</v>
      </c>
      <c r="B128" s="5"/>
      <c r="C128" s="5"/>
      <c r="D128" s="5" t="s">
        <v>31</v>
      </c>
      <c r="E128" s="5"/>
      <c r="F128" s="5"/>
      <c r="G128" s="5"/>
      <c r="H128" s="5"/>
      <c r="I128" s="5" t="s">
        <v>36</v>
      </c>
      <c r="J128" s="5" t="s">
        <v>37</v>
      </c>
      <c r="K128" s="5"/>
      <c r="L128" s="8"/>
      <c r="M128" s="8">
        <f t="shared" si="15"/>
        <v>3</v>
      </c>
      <c r="N128" s="8">
        <f t="shared" si="16"/>
        <v>1</v>
      </c>
      <c r="O128" s="8"/>
      <c r="P128" s="8">
        <f t="shared" si="17"/>
        <v>0</v>
      </c>
      <c r="Q128" s="8">
        <f t="shared" si="18"/>
        <v>0</v>
      </c>
      <c r="R128" s="8">
        <f t="shared" si="19"/>
        <v>1</v>
      </c>
      <c r="S128" s="8">
        <f t="shared" si="20"/>
        <v>0</v>
      </c>
      <c r="T128" s="8">
        <f t="shared" si="21"/>
        <v>0</v>
      </c>
      <c r="U128" s="8">
        <f t="shared" si="22"/>
        <v>0</v>
      </c>
      <c r="V128" s="153">
        <f t="shared" si="23"/>
        <v>0</v>
      </c>
      <c r="W128" s="8">
        <f t="shared" si="24"/>
        <v>1</v>
      </c>
      <c r="X128" s="8">
        <f t="shared" si="25"/>
        <v>1</v>
      </c>
      <c r="Y128" s="8">
        <f t="shared" si="26"/>
        <v>0</v>
      </c>
      <c r="Z128" s="8"/>
      <c r="AA128" s="8"/>
      <c r="AB128" s="8">
        <f t="shared" si="29"/>
        <v>3</v>
      </c>
      <c r="AC128" s="8">
        <f t="shared" si="27"/>
        <v>3</v>
      </c>
      <c r="AD128" s="8" t="str">
        <f t="shared" si="28"/>
        <v>Correct</v>
      </c>
      <c r="AE128" s="8"/>
      <c r="AF128" s="120" t="str">
        <f>IFERROR(VLOOKUP(Table1[RespondentID],'All Data'!$A$3:$CO$999,87,FALSE),"unknown")</f>
        <v>Woman</v>
      </c>
      <c r="AG128" s="120">
        <f>IFERROR(VLOOKUP(Table1[RespondentID],'All Data'!$A$3:$CO$999,88,FALSE),"unknown")</f>
        <v>18</v>
      </c>
      <c r="AH128" s="120" t="str">
        <f>IFERROR(VLOOKUP(Table1[RespondentID],'All Data'!$A$3:$CO$999,89,FALSE),"unknown")</f>
        <v>Suffolk</v>
      </c>
      <c r="AI128" s="120" t="str">
        <f>IFERROR(VLOOKUP(Table1[RespondentID],'All Data'!$A$3:$CO$999,90,FALSE),"unknown")</f>
        <v>Commack, 11725</v>
      </c>
      <c r="AJ128" s="120" t="str">
        <f>IFERROR(VLOOKUP(Table1[RespondentID],'All Data'!$A$3:$CO$999,91,FALSE),"unknown")</f>
        <v>White</v>
      </c>
      <c r="AK128" s="120" t="str">
        <f>IFERROR(VLOOKUP(Table1[RespondentID],'All Data'!$A$3:$CO$999,92,FALSE),"unknown")</f>
        <v>Hispanic or Latino</v>
      </c>
      <c r="AL128" s="120" t="str">
        <f>IFERROR(VLOOKUP(Table1[RespondentID],'All Data'!$A$3:$CO$999,93,FALSE),"unknown")</f>
        <v>English</v>
      </c>
      <c r="AM128" s="120" t="str">
        <f>IFERROR(VLOOKUP(Table1[RespondentID],'All Data'!$A$3:$CW$999,94,FALSE),"unknown")</f>
        <v>$50,000 to $74,999</v>
      </c>
      <c r="AN128" s="120" t="str">
        <f>IFERROR(VLOOKUP(Table1[RespondentID],'All Data'!$A$3:$CW$999,95,FALSE),"unknown")</f>
        <v>Some high school</v>
      </c>
      <c r="AO128" s="120">
        <f>IFERROR(VLOOKUP(Table1[RespondentID],'All Data'!$A$3:$CW$999,96,FALSE),"unknown")</f>
        <v>0</v>
      </c>
      <c r="AP128" s="120" t="str">
        <f>IFERROR(VLOOKUP(Table1[RespondentID],'All Data'!$A$3:$CW$999,97,FALSE),"unknown")</f>
        <v>Yes</v>
      </c>
      <c r="AQ128" s="120">
        <f>IFERROR(VLOOKUP(Table1[RespondentID],'All Data'!$A$3:$CW$999,98,FALSE),"unknown")</f>
        <v>0</v>
      </c>
      <c r="AR128" s="120">
        <f>IFERROR(VLOOKUP(Table1[RespondentID],'All Data'!$A$3:$CW$999,99,FALSE),"unknown")</f>
        <v>0</v>
      </c>
    </row>
    <row r="129" spans="1:44" ht="16">
      <c r="A129" s="5">
        <v>18022518124</v>
      </c>
      <c r="B129" s="5" t="s">
        <v>29</v>
      </c>
      <c r="C129" s="5"/>
      <c r="D129" s="5"/>
      <c r="E129" s="5"/>
      <c r="F129" s="5"/>
      <c r="G129" s="5"/>
      <c r="H129" s="5" t="s">
        <v>35</v>
      </c>
      <c r="I129" s="5"/>
      <c r="J129" s="5"/>
      <c r="K129" s="5" t="s">
        <v>375</v>
      </c>
      <c r="L129" s="9"/>
      <c r="M129" s="9">
        <f t="shared" si="15"/>
        <v>3</v>
      </c>
      <c r="N129" s="9">
        <f t="shared" si="16"/>
        <v>1</v>
      </c>
      <c r="O129" s="9"/>
      <c r="P129" s="9">
        <f t="shared" si="17"/>
        <v>1</v>
      </c>
      <c r="Q129" s="9">
        <f t="shared" si="18"/>
        <v>0</v>
      </c>
      <c r="R129" s="9">
        <f t="shared" si="19"/>
        <v>0</v>
      </c>
      <c r="S129" s="9">
        <f t="shared" si="20"/>
        <v>0</v>
      </c>
      <c r="T129" s="9">
        <f t="shared" si="21"/>
        <v>0</v>
      </c>
      <c r="U129" s="9">
        <f t="shared" si="22"/>
        <v>0</v>
      </c>
      <c r="V129" s="153">
        <f t="shared" si="23"/>
        <v>1</v>
      </c>
      <c r="W129" s="9">
        <f t="shared" si="24"/>
        <v>0</v>
      </c>
      <c r="X129" s="9">
        <f t="shared" si="25"/>
        <v>0</v>
      </c>
      <c r="Y129" s="9">
        <f t="shared" si="26"/>
        <v>1</v>
      </c>
      <c r="Z129" s="9"/>
      <c r="AA129" s="9"/>
      <c r="AB129" s="9">
        <f t="shared" si="29"/>
        <v>3</v>
      </c>
      <c r="AC129" s="9">
        <f t="shared" si="27"/>
        <v>3</v>
      </c>
      <c r="AD129" s="9" t="str">
        <f t="shared" si="28"/>
        <v>Correct</v>
      </c>
      <c r="AE129" s="9"/>
      <c r="AF129" s="120" t="str">
        <f>IFERROR(VLOOKUP(Table1[RespondentID],'All Data'!$A$3:$CO$999,87,FALSE),"unknown")</f>
        <v>Woman</v>
      </c>
      <c r="AG129" s="120">
        <f>IFERROR(VLOOKUP(Table1[RespondentID],'All Data'!$A$3:$CO$999,88,FALSE),"unknown")</f>
        <v>42</v>
      </c>
      <c r="AH129" s="120" t="str">
        <f>IFERROR(VLOOKUP(Table1[RespondentID],'All Data'!$A$3:$CO$999,89,FALSE),"unknown")</f>
        <v>Nassau</v>
      </c>
      <c r="AI129" s="120" t="str">
        <f>IFERROR(VLOOKUP(Table1[RespondentID],'All Data'!$A$3:$CO$999,90,FALSE),"unknown")</f>
        <v>Westbury, 11590</v>
      </c>
      <c r="AJ129" s="120" t="str">
        <f>IFERROR(VLOOKUP(Table1[RespondentID],'All Data'!$A$3:$CO$999,91,FALSE),"unknown")</f>
        <v>White</v>
      </c>
      <c r="AK129" s="120">
        <f>IFERROR(VLOOKUP(Table1[RespondentID],'All Data'!$A$3:$CO$999,92,FALSE),"unknown")</f>
        <v>0</v>
      </c>
      <c r="AL129" s="120" t="str">
        <f>IFERROR(VLOOKUP(Table1[RespondentID],'All Data'!$A$3:$CO$999,93,FALSE),"unknown")</f>
        <v>English</v>
      </c>
      <c r="AM129" s="120" t="str">
        <f>IFERROR(VLOOKUP(Table1[RespondentID],'All Data'!$A$3:$CW$999,94,FALSE),"unknown")</f>
        <v>Over $125,000</v>
      </c>
      <c r="AN129" s="120" t="str">
        <f>IFERROR(VLOOKUP(Table1[RespondentID],'All Data'!$A$3:$CW$999,95,FALSE),"unknown")</f>
        <v>Doctorate</v>
      </c>
      <c r="AO129" s="120" t="str">
        <f>IFERROR(VLOOKUP(Table1[RespondentID],'All Data'!$A$3:$CW$999,96,FALSE),"unknown")</f>
        <v>Employed for wages</v>
      </c>
      <c r="AP129" s="120" t="str">
        <f>IFERROR(VLOOKUP(Table1[RespondentID],'All Data'!$A$3:$CW$999,97,FALSE),"unknown")</f>
        <v>Yes</v>
      </c>
      <c r="AQ129" s="120">
        <f>IFERROR(VLOOKUP(Table1[RespondentID],'All Data'!$A$3:$CW$999,98,FALSE),"unknown")</f>
        <v>0</v>
      </c>
      <c r="AR129" s="120">
        <f>IFERROR(VLOOKUP(Table1[RespondentID],'All Data'!$A$3:$CW$999,99,FALSE),"unknown")</f>
        <v>0</v>
      </c>
    </row>
    <row r="130" spans="1:44" ht="16">
      <c r="A130" s="5">
        <v>18022517936</v>
      </c>
      <c r="B130" s="5"/>
      <c r="C130" s="5"/>
      <c r="D130" s="5" t="s">
        <v>31</v>
      </c>
      <c r="E130" s="5"/>
      <c r="F130" s="5"/>
      <c r="G130" s="5"/>
      <c r="H130" s="5" t="s">
        <v>35</v>
      </c>
      <c r="I130" s="5"/>
      <c r="J130" s="5"/>
      <c r="K130" s="5"/>
      <c r="L130" s="8"/>
      <c r="M130" s="8">
        <f t="shared" ref="M130:M193" si="30">COUNTA(B130:L130)</f>
        <v>2</v>
      </c>
      <c r="N130" s="8">
        <f t="shared" ref="N130:N193" si="31">3/M130</f>
        <v>1.5</v>
      </c>
      <c r="O130" s="8"/>
      <c r="P130" s="8">
        <f t="shared" ref="P130:P193" si="32">IF($M130&lt;3,IF($B130=$B$1,1,0),IF($B130=$B$1,$N130,0))</f>
        <v>0</v>
      </c>
      <c r="Q130" s="8">
        <f t="shared" ref="Q130:Q193" si="33">IF($M130&lt;3,IF($C130=$C$1,1,0),IF($C130=$C$1,$N130,0))</f>
        <v>0</v>
      </c>
      <c r="R130" s="8">
        <f t="shared" ref="R130:R193" si="34">IF($M130&lt;3,IF($D130=$D$1,1,0),IF($D130=$D$1,$N130,0))</f>
        <v>1</v>
      </c>
      <c r="S130" s="8">
        <f t="shared" ref="S130:S193" si="35">IF($M130&lt;3,IF($E130=$E$1,1,0),IF($E130=$E$1,$N130,0))</f>
        <v>0</v>
      </c>
      <c r="T130" s="8">
        <f t="shared" ref="T130:T193" si="36">IF($M130&lt;3,IF($F130=$F$1,1,0),IF($F130=$F$1,$N130,0))</f>
        <v>0</v>
      </c>
      <c r="U130" s="8">
        <f t="shared" ref="U130:U193" si="37">IF($M130&lt;3,IF($G130=$G$1,1,0),IF($G130=$G$1,$N130,0))</f>
        <v>0</v>
      </c>
      <c r="V130" s="153">
        <f t="shared" ref="V130:V193" si="38">IF($M130&lt;3,IF($H130=$H$1,1,0),IF($H130=$H$1,$N130,0))</f>
        <v>1</v>
      </c>
      <c r="W130" s="8">
        <f t="shared" ref="W130:W193" si="39">IF($M130&lt;3,IF($I130=$I$1,1,0),IF($I130=$I$1,$N130,0))</f>
        <v>0</v>
      </c>
      <c r="X130" s="8">
        <f t="shared" ref="X130:X193" si="40">IF($M130&lt;3,IF($J130=$J$1,1,0),IF($J130=$J$1,$N130,0))</f>
        <v>0</v>
      </c>
      <c r="Y130" s="8">
        <f t="shared" ref="Y130:Y193" si="41">IF($M130&lt;3,IF($K130=$K$1,1,0),IF($K130=$K$1,$N130,0))</f>
        <v>0</v>
      </c>
      <c r="Z130" s="8"/>
      <c r="AA130" s="8"/>
      <c r="AB130" s="8">
        <f t="shared" si="29"/>
        <v>2</v>
      </c>
      <c r="AC130" s="8">
        <f t="shared" ref="AC130:AC193" si="42">M130</f>
        <v>2</v>
      </c>
      <c r="AD130" s="8" t="str">
        <f t="shared" ref="AD130:AD193" si="43">IF(AB130=AC130,"Correct",IF(AB130=3,"Correct","Wrong"))</f>
        <v>Correct</v>
      </c>
      <c r="AE130" s="8"/>
      <c r="AF130" s="120" t="str">
        <f>IFERROR(VLOOKUP(Table1[RespondentID],'All Data'!$A$3:$CO$999,87,FALSE),"unknown")</f>
        <v>Man</v>
      </c>
      <c r="AG130" s="120">
        <f>IFERROR(VLOOKUP(Table1[RespondentID],'All Data'!$A$3:$CO$999,88,FALSE),"unknown")</f>
        <v>18</v>
      </c>
      <c r="AH130" s="120" t="str">
        <f>IFERROR(VLOOKUP(Table1[RespondentID],'All Data'!$A$3:$CO$999,89,FALSE),"unknown")</f>
        <v>Suffolk</v>
      </c>
      <c r="AI130" s="120" t="str">
        <f>IFERROR(VLOOKUP(Table1[RespondentID],'All Data'!$A$3:$CO$999,90,FALSE),"unknown")</f>
        <v>Dix Hills, 11746</v>
      </c>
      <c r="AJ130" s="120" t="str">
        <f>IFERROR(VLOOKUP(Table1[RespondentID],'All Data'!$A$3:$CO$999,91,FALSE),"unknown")</f>
        <v>White</v>
      </c>
      <c r="AK130" s="120" t="str">
        <f>IFERROR(VLOOKUP(Table1[RespondentID],'All Data'!$A$3:$CO$999,92,FALSE),"unknown")</f>
        <v>Hispanic or Latino</v>
      </c>
      <c r="AL130" s="120" t="str">
        <f>IFERROR(VLOOKUP(Table1[RespondentID],'All Data'!$A$3:$CO$999,93,FALSE),"unknown")</f>
        <v>English</v>
      </c>
      <c r="AM130" s="120" t="str">
        <f>IFERROR(VLOOKUP(Table1[RespondentID],'All Data'!$A$3:$CW$999,94,FALSE),"unknown")</f>
        <v>$75,000 to $125,000</v>
      </c>
      <c r="AN130" s="120" t="str">
        <f>IFERROR(VLOOKUP(Table1[RespondentID],'All Data'!$A$3:$CW$999,95,FALSE),"unknown")</f>
        <v>High school graduate</v>
      </c>
      <c r="AO130" s="120">
        <f>IFERROR(VLOOKUP(Table1[RespondentID],'All Data'!$A$3:$CW$999,96,FALSE),"unknown")</f>
        <v>0</v>
      </c>
      <c r="AP130" s="120" t="str">
        <f>IFERROR(VLOOKUP(Table1[RespondentID],'All Data'!$A$3:$CW$999,97,FALSE),"unknown")</f>
        <v>Yes</v>
      </c>
      <c r="AQ130" s="120">
        <f>IFERROR(VLOOKUP(Table1[RespondentID],'All Data'!$A$3:$CW$999,98,FALSE),"unknown")</f>
        <v>0</v>
      </c>
      <c r="AR130" s="120">
        <f>IFERROR(VLOOKUP(Table1[RespondentID],'All Data'!$A$3:$CW$999,99,FALSE),"unknown")</f>
        <v>0</v>
      </c>
    </row>
    <row r="131" spans="1:44" ht="16">
      <c r="A131" s="5">
        <v>18022517728</v>
      </c>
      <c r="B131" s="5"/>
      <c r="C131" s="5"/>
      <c r="D131" s="5"/>
      <c r="E131" s="5" t="s">
        <v>32</v>
      </c>
      <c r="F131" s="5"/>
      <c r="G131" s="5"/>
      <c r="H131" s="5" t="s">
        <v>35</v>
      </c>
      <c r="I131" s="5" t="s">
        <v>36</v>
      </c>
      <c r="J131" s="5"/>
      <c r="K131" s="5"/>
      <c r="L131" s="9"/>
      <c r="M131" s="9">
        <f t="shared" si="30"/>
        <v>3</v>
      </c>
      <c r="N131" s="9">
        <f t="shared" si="31"/>
        <v>1</v>
      </c>
      <c r="O131" s="9"/>
      <c r="P131" s="9">
        <f t="shared" si="32"/>
        <v>0</v>
      </c>
      <c r="Q131" s="9">
        <f t="shared" si="33"/>
        <v>0</v>
      </c>
      <c r="R131" s="9">
        <f t="shared" si="34"/>
        <v>0</v>
      </c>
      <c r="S131" s="9">
        <f t="shared" si="35"/>
        <v>1</v>
      </c>
      <c r="T131" s="9">
        <f t="shared" si="36"/>
        <v>0</v>
      </c>
      <c r="U131" s="9">
        <f t="shared" si="37"/>
        <v>0</v>
      </c>
      <c r="V131" s="153">
        <f t="shared" si="38"/>
        <v>1</v>
      </c>
      <c r="W131" s="9">
        <f t="shared" si="39"/>
        <v>1</v>
      </c>
      <c r="X131" s="9">
        <f t="shared" si="40"/>
        <v>0</v>
      </c>
      <c r="Y131" s="9">
        <f t="shared" si="41"/>
        <v>0</v>
      </c>
      <c r="Z131" s="9"/>
      <c r="AA131" s="9"/>
      <c r="AB131" s="9">
        <f t="shared" ref="AB131:AB194" si="44">SUM(P131:Z131)</f>
        <v>3</v>
      </c>
      <c r="AC131" s="9">
        <f t="shared" si="42"/>
        <v>3</v>
      </c>
      <c r="AD131" s="9" t="str">
        <f t="shared" si="43"/>
        <v>Correct</v>
      </c>
      <c r="AE131" s="9"/>
      <c r="AF131" s="120" t="str">
        <f>IFERROR(VLOOKUP(Table1[RespondentID],'All Data'!$A$3:$CO$999,87,FALSE),"unknown")</f>
        <v>Man</v>
      </c>
      <c r="AG131" s="120">
        <f>IFERROR(VLOOKUP(Table1[RespondentID],'All Data'!$A$3:$CO$999,88,FALSE),"unknown")</f>
        <v>18</v>
      </c>
      <c r="AH131" s="120" t="str">
        <f>IFERROR(VLOOKUP(Table1[RespondentID],'All Data'!$A$3:$CO$999,89,FALSE),"unknown")</f>
        <v>Suffolk</v>
      </c>
      <c r="AI131" s="120" t="str">
        <f>IFERROR(VLOOKUP(Table1[RespondentID],'All Data'!$A$3:$CO$999,90,FALSE),"unknown")</f>
        <v>Commack, 11725</v>
      </c>
      <c r="AJ131" s="120" t="str">
        <f>IFERROR(VLOOKUP(Table1[RespondentID],'All Data'!$A$3:$CO$999,91,FALSE),"unknown")</f>
        <v>White</v>
      </c>
      <c r="AK131" s="120" t="str">
        <f>IFERROR(VLOOKUP(Table1[RespondentID],'All Data'!$A$3:$CO$999,92,FALSE),"unknown")</f>
        <v>Not Hispanic or Latino</v>
      </c>
      <c r="AL131" s="120" t="str">
        <f>IFERROR(VLOOKUP(Table1[RespondentID],'All Data'!$A$3:$CO$999,93,FALSE),"unknown")</f>
        <v>English</v>
      </c>
      <c r="AM131" s="120" t="str">
        <f>IFERROR(VLOOKUP(Table1[RespondentID],'All Data'!$A$3:$CW$999,94,FALSE),"unknown")</f>
        <v>$20,000 to $34,999</v>
      </c>
      <c r="AN131" s="120" t="str">
        <f>IFERROR(VLOOKUP(Table1[RespondentID],'All Data'!$A$3:$CW$999,95,FALSE),"unknown")</f>
        <v>High school graduate</v>
      </c>
      <c r="AO131" s="120" t="str">
        <f>IFERROR(VLOOKUP(Table1[RespondentID],'All Data'!$A$3:$CW$999,96,FALSE),"unknown")</f>
        <v>Student</v>
      </c>
      <c r="AP131" s="120" t="str">
        <f>IFERROR(VLOOKUP(Table1[RespondentID],'All Data'!$A$3:$CW$999,97,FALSE),"unknown")</f>
        <v>Yes</v>
      </c>
      <c r="AQ131" s="120">
        <f>IFERROR(VLOOKUP(Table1[RespondentID],'All Data'!$A$3:$CW$999,98,FALSE),"unknown")</f>
        <v>0</v>
      </c>
      <c r="AR131" s="120">
        <f>IFERROR(VLOOKUP(Table1[RespondentID],'All Data'!$A$3:$CW$999,99,FALSE),"unknown")</f>
        <v>0</v>
      </c>
    </row>
    <row r="132" spans="1:44" ht="16">
      <c r="A132" s="5">
        <v>18022517350</v>
      </c>
      <c r="B132" s="5"/>
      <c r="C132" s="5"/>
      <c r="D132" s="5" t="s">
        <v>31</v>
      </c>
      <c r="E132" s="5"/>
      <c r="F132" s="5"/>
      <c r="G132" s="5"/>
      <c r="H132" s="5"/>
      <c r="I132" s="5" t="s">
        <v>36</v>
      </c>
      <c r="J132" s="5"/>
      <c r="K132" s="5"/>
      <c r="L132" s="8"/>
      <c r="M132" s="8">
        <f t="shared" si="30"/>
        <v>2</v>
      </c>
      <c r="N132" s="8">
        <f t="shared" si="31"/>
        <v>1.5</v>
      </c>
      <c r="O132" s="8"/>
      <c r="P132" s="8">
        <f t="shared" si="32"/>
        <v>0</v>
      </c>
      <c r="Q132" s="8">
        <f t="shared" si="33"/>
        <v>0</v>
      </c>
      <c r="R132" s="8">
        <f t="shared" si="34"/>
        <v>1</v>
      </c>
      <c r="S132" s="8">
        <f t="shared" si="35"/>
        <v>0</v>
      </c>
      <c r="T132" s="8">
        <f t="shared" si="36"/>
        <v>0</v>
      </c>
      <c r="U132" s="8">
        <f t="shared" si="37"/>
        <v>0</v>
      </c>
      <c r="V132" s="153">
        <f t="shared" si="38"/>
        <v>0</v>
      </c>
      <c r="W132" s="8">
        <f t="shared" si="39"/>
        <v>1</v>
      </c>
      <c r="X132" s="8">
        <f t="shared" si="40"/>
        <v>0</v>
      </c>
      <c r="Y132" s="8">
        <f t="shared" si="41"/>
        <v>0</v>
      </c>
      <c r="Z132" s="8"/>
      <c r="AA132" s="8"/>
      <c r="AB132" s="8">
        <f t="shared" si="44"/>
        <v>2</v>
      </c>
      <c r="AC132" s="8">
        <f t="shared" si="42"/>
        <v>2</v>
      </c>
      <c r="AD132" s="8" t="str">
        <f t="shared" si="43"/>
        <v>Correct</v>
      </c>
      <c r="AE132" s="8"/>
      <c r="AF132" s="120" t="str">
        <f>IFERROR(VLOOKUP(Table1[RespondentID],'All Data'!$A$3:$CO$999,87,FALSE),"unknown")</f>
        <v>Man</v>
      </c>
      <c r="AG132" s="120">
        <f>IFERROR(VLOOKUP(Table1[RespondentID],'All Data'!$A$3:$CO$999,88,FALSE),"unknown")</f>
        <v>18</v>
      </c>
      <c r="AH132" s="120" t="str">
        <f>IFERROR(VLOOKUP(Table1[RespondentID],'All Data'!$A$3:$CO$999,89,FALSE),"unknown")</f>
        <v>Suffolk</v>
      </c>
      <c r="AI132" s="120" t="str">
        <f>IFERROR(VLOOKUP(Table1[RespondentID],'All Data'!$A$3:$CO$999,90,FALSE),"unknown")</f>
        <v>Commack, 11725</v>
      </c>
      <c r="AJ132" s="120" t="str">
        <f>IFERROR(VLOOKUP(Table1[RespondentID],'All Data'!$A$3:$CO$999,91,FALSE),"unknown")</f>
        <v>White</v>
      </c>
      <c r="AK132" s="120" t="str">
        <f>IFERROR(VLOOKUP(Table1[RespondentID],'All Data'!$A$3:$CO$999,92,FALSE),"unknown")</f>
        <v>Hispanic or Latino</v>
      </c>
      <c r="AL132" s="120" t="str">
        <f>IFERROR(VLOOKUP(Table1[RespondentID],'All Data'!$A$3:$CO$999,93,FALSE),"unknown")</f>
        <v>English</v>
      </c>
      <c r="AM132" s="120" t="str">
        <f>IFERROR(VLOOKUP(Table1[RespondentID],'All Data'!$A$3:$CW$999,94,FALSE),"unknown")</f>
        <v>Over $125,000</v>
      </c>
      <c r="AN132" s="120" t="str">
        <f>IFERROR(VLOOKUP(Table1[RespondentID],'All Data'!$A$3:$CW$999,95,FALSE),"unknown")</f>
        <v>High school graduate</v>
      </c>
      <c r="AO132" s="120" t="str">
        <f>IFERROR(VLOOKUP(Table1[RespondentID],'All Data'!$A$3:$CW$999,96,FALSE),"unknown")</f>
        <v>Student</v>
      </c>
      <c r="AP132" s="120" t="str">
        <f>IFERROR(VLOOKUP(Table1[RespondentID],'All Data'!$A$3:$CW$999,97,FALSE),"unknown")</f>
        <v>Yes</v>
      </c>
      <c r="AQ132" s="120">
        <f>IFERROR(VLOOKUP(Table1[RespondentID],'All Data'!$A$3:$CW$999,98,FALSE),"unknown")</f>
        <v>0</v>
      </c>
      <c r="AR132" s="120">
        <f>IFERROR(VLOOKUP(Table1[RespondentID],'All Data'!$A$3:$CW$999,99,FALSE),"unknown")</f>
        <v>0</v>
      </c>
    </row>
    <row r="133" spans="1:44" ht="16">
      <c r="A133" s="5">
        <v>18022517003</v>
      </c>
      <c r="B133" s="5"/>
      <c r="C133" s="5"/>
      <c r="D133" s="5"/>
      <c r="E133" s="5"/>
      <c r="F133" s="5"/>
      <c r="G133" s="5" t="s">
        <v>34</v>
      </c>
      <c r="H133" s="5"/>
      <c r="I133" s="5"/>
      <c r="J133" s="5"/>
      <c r="K133" s="5"/>
      <c r="L133" s="9"/>
      <c r="M133" s="9">
        <f t="shared" si="30"/>
        <v>1</v>
      </c>
      <c r="N133" s="9">
        <f t="shared" si="31"/>
        <v>3</v>
      </c>
      <c r="O133" s="9"/>
      <c r="P133" s="9">
        <f t="shared" si="32"/>
        <v>0</v>
      </c>
      <c r="Q133" s="9">
        <f t="shared" si="33"/>
        <v>0</v>
      </c>
      <c r="R133" s="9">
        <f t="shared" si="34"/>
        <v>0</v>
      </c>
      <c r="S133" s="9">
        <f t="shared" si="35"/>
        <v>0</v>
      </c>
      <c r="T133" s="9">
        <f t="shared" si="36"/>
        <v>0</v>
      </c>
      <c r="U133" s="9">
        <f t="shared" si="37"/>
        <v>1</v>
      </c>
      <c r="V133" s="153">
        <f t="shared" si="38"/>
        <v>0</v>
      </c>
      <c r="W133" s="9">
        <f t="shared" si="39"/>
        <v>0</v>
      </c>
      <c r="X133" s="9">
        <f t="shared" si="40"/>
        <v>0</v>
      </c>
      <c r="Y133" s="9">
        <f t="shared" si="41"/>
        <v>0</v>
      </c>
      <c r="Z133" s="9"/>
      <c r="AA133" s="9"/>
      <c r="AB133" s="9">
        <f t="shared" si="44"/>
        <v>1</v>
      </c>
      <c r="AC133" s="9">
        <f t="shared" si="42"/>
        <v>1</v>
      </c>
      <c r="AD133" s="9" t="str">
        <f t="shared" si="43"/>
        <v>Correct</v>
      </c>
      <c r="AE133" s="9"/>
      <c r="AF133" s="120" t="str">
        <f>IFERROR(VLOOKUP(Table1[RespondentID],'All Data'!$A$3:$CO$999,87,FALSE),"unknown")</f>
        <v>Woman</v>
      </c>
      <c r="AG133" s="120">
        <f>IFERROR(VLOOKUP(Table1[RespondentID],'All Data'!$A$3:$CO$999,88,FALSE),"unknown")</f>
        <v>52</v>
      </c>
      <c r="AH133" s="120" t="str">
        <f>IFERROR(VLOOKUP(Table1[RespondentID],'All Data'!$A$3:$CO$999,89,FALSE),"unknown")</f>
        <v>Suffolk</v>
      </c>
      <c r="AI133" s="120" t="str">
        <f>IFERROR(VLOOKUP(Table1[RespondentID],'All Data'!$A$3:$CO$999,90,FALSE),"unknown")</f>
        <v>Kings Park, 11754</v>
      </c>
      <c r="AJ133" s="120" t="str">
        <f>IFERROR(VLOOKUP(Table1[RespondentID],'All Data'!$A$3:$CO$999,91,FALSE),"unknown")</f>
        <v>White</v>
      </c>
      <c r="AK133" s="120" t="str">
        <f>IFERROR(VLOOKUP(Table1[RespondentID],'All Data'!$A$3:$CO$999,92,FALSE),"unknown")</f>
        <v>Hispanic or Latino</v>
      </c>
      <c r="AL133" s="120" t="str">
        <f>IFERROR(VLOOKUP(Table1[RespondentID],'All Data'!$A$3:$CO$999,93,FALSE),"unknown")</f>
        <v>English</v>
      </c>
      <c r="AM133" s="120" t="str">
        <f>IFERROR(VLOOKUP(Table1[RespondentID],'All Data'!$A$3:$CW$999,94,FALSE),"unknown")</f>
        <v>Over $125,000</v>
      </c>
      <c r="AN133" s="120" t="str">
        <f>IFERROR(VLOOKUP(Table1[RespondentID],'All Data'!$A$3:$CW$999,95,FALSE),"unknown")</f>
        <v>Graduate school</v>
      </c>
      <c r="AO133" s="120" t="str">
        <f>IFERROR(VLOOKUP(Table1[RespondentID],'All Data'!$A$3:$CW$999,96,FALSE),"unknown")</f>
        <v>Employed for wages</v>
      </c>
      <c r="AP133" s="120" t="str">
        <f>IFERROR(VLOOKUP(Table1[RespondentID],'All Data'!$A$3:$CW$999,97,FALSE),"unknown")</f>
        <v>Yes</v>
      </c>
      <c r="AQ133" s="120" t="str">
        <f>IFERROR(VLOOKUP(Table1[RespondentID],'All Data'!$A$3:$CW$999,98,FALSE),"unknown")</f>
        <v>Private/Commercial</v>
      </c>
      <c r="AR133" s="120">
        <f>IFERROR(VLOOKUP(Table1[RespondentID],'All Data'!$A$3:$CW$999,99,FALSE),"unknown")</f>
        <v>0</v>
      </c>
    </row>
    <row r="134" spans="1:44" ht="16">
      <c r="A134" s="5">
        <v>18022515327</v>
      </c>
      <c r="B134" s="5"/>
      <c r="C134" s="5"/>
      <c r="D134" s="5"/>
      <c r="E134" s="5"/>
      <c r="F134" s="5"/>
      <c r="G134" s="5" t="s">
        <v>34</v>
      </c>
      <c r="H134" s="5"/>
      <c r="I134" s="5" t="s">
        <v>36</v>
      </c>
      <c r="J134" s="5"/>
      <c r="K134" s="5" t="s">
        <v>375</v>
      </c>
      <c r="L134" s="8"/>
      <c r="M134" s="8">
        <f t="shared" si="30"/>
        <v>3</v>
      </c>
      <c r="N134" s="8">
        <f t="shared" si="31"/>
        <v>1</v>
      </c>
      <c r="O134" s="8"/>
      <c r="P134" s="8">
        <f t="shared" si="32"/>
        <v>0</v>
      </c>
      <c r="Q134" s="8">
        <f t="shared" si="33"/>
        <v>0</v>
      </c>
      <c r="R134" s="8">
        <f t="shared" si="34"/>
        <v>0</v>
      </c>
      <c r="S134" s="8">
        <f t="shared" si="35"/>
        <v>0</v>
      </c>
      <c r="T134" s="8">
        <f t="shared" si="36"/>
        <v>0</v>
      </c>
      <c r="U134" s="8">
        <f t="shared" si="37"/>
        <v>1</v>
      </c>
      <c r="V134" s="153">
        <f t="shared" si="38"/>
        <v>0</v>
      </c>
      <c r="W134" s="8">
        <f t="shared" si="39"/>
        <v>1</v>
      </c>
      <c r="X134" s="8">
        <f t="shared" si="40"/>
        <v>0</v>
      </c>
      <c r="Y134" s="8">
        <f t="shared" si="41"/>
        <v>1</v>
      </c>
      <c r="Z134" s="8"/>
      <c r="AA134" s="8"/>
      <c r="AB134" s="8">
        <f t="shared" si="44"/>
        <v>3</v>
      </c>
      <c r="AC134" s="8">
        <f t="shared" si="42"/>
        <v>3</v>
      </c>
      <c r="AD134" s="8" t="str">
        <f t="shared" si="43"/>
        <v>Correct</v>
      </c>
      <c r="AE134" s="8"/>
      <c r="AF134" s="120" t="str">
        <f>IFERROR(VLOOKUP(Table1[RespondentID],'All Data'!$A$3:$CO$999,87,FALSE),"unknown")</f>
        <v>Woman</v>
      </c>
      <c r="AG134" s="120">
        <f>IFERROR(VLOOKUP(Table1[RespondentID],'All Data'!$A$3:$CO$999,88,FALSE),"unknown")</f>
        <v>47</v>
      </c>
      <c r="AH134" s="120" t="str">
        <f>IFERROR(VLOOKUP(Table1[RespondentID],'All Data'!$A$3:$CO$999,89,FALSE),"unknown")</f>
        <v>Suffolk</v>
      </c>
      <c r="AI134" s="120" t="str">
        <f>IFERROR(VLOOKUP(Table1[RespondentID],'All Data'!$A$3:$CO$999,90,FALSE),"unknown")</f>
        <v>Smithtown, 11787</v>
      </c>
      <c r="AJ134" s="120" t="str">
        <f>IFERROR(VLOOKUP(Table1[RespondentID],'All Data'!$A$3:$CO$999,91,FALSE),"unknown")</f>
        <v>American Indian and Alaska Native</v>
      </c>
      <c r="AK134" s="120" t="str">
        <f>IFERROR(VLOOKUP(Table1[RespondentID],'All Data'!$A$3:$CO$999,92,FALSE),"unknown")</f>
        <v>Hispanic or Latino</v>
      </c>
      <c r="AL134" s="120" t="str">
        <f>IFERROR(VLOOKUP(Table1[RespondentID],'All Data'!$A$3:$CO$999,93,FALSE),"unknown")</f>
        <v>Korean</v>
      </c>
      <c r="AM134" s="120" t="str">
        <f>IFERROR(VLOOKUP(Table1[RespondentID],'All Data'!$A$3:$CW$999,94,FALSE),"unknown")</f>
        <v>$75,000 to $125,000</v>
      </c>
      <c r="AN134" s="120" t="str">
        <f>IFERROR(VLOOKUP(Table1[RespondentID],'All Data'!$A$3:$CW$999,95,FALSE),"unknown")</f>
        <v>College graduate</v>
      </c>
      <c r="AO134" s="120" t="str">
        <f>IFERROR(VLOOKUP(Table1[RespondentID],'All Data'!$A$3:$CW$999,96,FALSE),"unknown")</f>
        <v>Employed for wages</v>
      </c>
      <c r="AP134" s="120" t="str">
        <f>IFERROR(VLOOKUP(Table1[RespondentID],'All Data'!$A$3:$CW$999,97,FALSE),"unknown")</f>
        <v>Yes</v>
      </c>
      <c r="AQ134" s="120" t="str">
        <f>IFERROR(VLOOKUP(Table1[RespondentID],'All Data'!$A$3:$CW$999,98,FALSE),"unknown")</f>
        <v>Private/Commercial</v>
      </c>
      <c r="AR134" s="120" t="str">
        <f>IFERROR(VLOOKUP(Table1[RespondentID],'All Data'!$A$3:$CW$999,99,FALSE),"unknown")</f>
        <v>Yes</v>
      </c>
    </row>
    <row r="135" spans="1:44" ht="16">
      <c r="A135" s="5">
        <v>18022426389</v>
      </c>
      <c r="B135" s="5"/>
      <c r="C135" s="5" t="s">
        <v>30</v>
      </c>
      <c r="D135" s="5"/>
      <c r="E135" s="5"/>
      <c r="F135" s="5"/>
      <c r="G135" s="5"/>
      <c r="H135" s="5"/>
      <c r="I135" s="5"/>
      <c r="J135" s="5"/>
      <c r="K135" s="5"/>
      <c r="L135" s="9"/>
      <c r="M135" s="9">
        <f t="shared" si="30"/>
        <v>1</v>
      </c>
      <c r="N135" s="9">
        <f t="shared" si="31"/>
        <v>3</v>
      </c>
      <c r="O135" s="9"/>
      <c r="P135" s="9">
        <f t="shared" si="32"/>
        <v>0</v>
      </c>
      <c r="Q135" s="9">
        <f t="shared" si="33"/>
        <v>1</v>
      </c>
      <c r="R135" s="9">
        <f t="shared" si="34"/>
        <v>0</v>
      </c>
      <c r="S135" s="9">
        <f t="shared" si="35"/>
        <v>0</v>
      </c>
      <c r="T135" s="9">
        <f t="shared" si="36"/>
        <v>0</v>
      </c>
      <c r="U135" s="9">
        <f t="shared" si="37"/>
        <v>0</v>
      </c>
      <c r="V135" s="153">
        <f t="shared" si="38"/>
        <v>0</v>
      </c>
      <c r="W135" s="9">
        <f t="shared" si="39"/>
        <v>0</v>
      </c>
      <c r="X135" s="9">
        <f t="shared" si="40"/>
        <v>0</v>
      </c>
      <c r="Y135" s="9">
        <f t="shared" si="41"/>
        <v>0</v>
      </c>
      <c r="Z135" s="9"/>
      <c r="AA135" s="9"/>
      <c r="AB135" s="9">
        <f t="shared" si="44"/>
        <v>1</v>
      </c>
      <c r="AC135" s="9">
        <f t="shared" si="42"/>
        <v>1</v>
      </c>
      <c r="AD135" s="9" t="str">
        <f t="shared" si="43"/>
        <v>Correct</v>
      </c>
      <c r="AE135" s="9"/>
      <c r="AF135" s="120" t="str">
        <f>IFERROR(VLOOKUP(Table1[RespondentID],'All Data'!$A$3:$CO$999,87,FALSE),"unknown")</f>
        <v>Man</v>
      </c>
      <c r="AG135" s="120">
        <f>IFERROR(VLOOKUP(Table1[RespondentID],'All Data'!$A$3:$CO$999,88,FALSE),"unknown")</f>
        <v>48</v>
      </c>
      <c r="AH135" s="120" t="str">
        <f>IFERROR(VLOOKUP(Table1[RespondentID],'All Data'!$A$3:$CO$999,89,FALSE),"unknown")</f>
        <v>Suffolk</v>
      </c>
      <c r="AI135" s="120" t="str">
        <f>IFERROR(VLOOKUP(Table1[RespondentID],'All Data'!$A$3:$CO$999,90,FALSE),"unknown")</f>
        <v>Kings Park, 11754</v>
      </c>
      <c r="AJ135" s="120" t="str">
        <f>IFERROR(VLOOKUP(Table1[RespondentID],'All Data'!$A$3:$CO$999,91,FALSE),"unknown")</f>
        <v>White</v>
      </c>
      <c r="AK135" s="120" t="str">
        <f>IFERROR(VLOOKUP(Table1[RespondentID],'All Data'!$A$3:$CO$999,92,FALSE),"unknown")</f>
        <v>Hispanic or Latino</v>
      </c>
      <c r="AL135" s="120" t="str">
        <f>IFERROR(VLOOKUP(Table1[RespondentID],'All Data'!$A$3:$CO$999,93,FALSE),"unknown")</f>
        <v>English</v>
      </c>
      <c r="AM135" s="120" t="str">
        <f>IFERROR(VLOOKUP(Table1[RespondentID],'All Data'!$A$3:$CW$999,94,FALSE),"unknown")</f>
        <v>Over $125,000</v>
      </c>
      <c r="AN135" s="120" t="str">
        <f>IFERROR(VLOOKUP(Table1[RespondentID],'All Data'!$A$3:$CW$999,95,FALSE),"unknown")</f>
        <v>Other (please specify)</v>
      </c>
      <c r="AO135" s="120" t="str">
        <f>IFERROR(VLOOKUP(Table1[RespondentID],'All Data'!$A$3:$CW$999,96,FALSE),"unknown")</f>
        <v>Employed for wages</v>
      </c>
      <c r="AP135" s="120" t="str">
        <f>IFERROR(VLOOKUP(Table1[RespondentID],'All Data'!$A$3:$CW$999,97,FALSE),"unknown")</f>
        <v>Yes</v>
      </c>
      <c r="AQ135" s="120" t="str">
        <f>IFERROR(VLOOKUP(Table1[RespondentID],'All Data'!$A$3:$CW$999,98,FALSE),"unknown")</f>
        <v>Private/Commercial</v>
      </c>
      <c r="AR135" s="120" t="str">
        <f>IFERROR(VLOOKUP(Table1[RespondentID],'All Data'!$A$3:$CW$999,99,FALSE),"unknown")</f>
        <v>Yes</v>
      </c>
    </row>
    <row r="136" spans="1:44" ht="16">
      <c r="A136" s="5">
        <v>18022425382</v>
      </c>
      <c r="B136" s="5"/>
      <c r="C136" s="5"/>
      <c r="D136" s="5"/>
      <c r="E136" s="5"/>
      <c r="F136" s="5"/>
      <c r="G136" s="5" t="s">
        <v>34</v>
      </c>
      <c r="H136" s="5"/>
      <c r="I136" s="5"/>
      <c r="J136" s="5"/>
      <c r="K136" s="5"/>
      <c r="L136" s="8"/>
      <c r="M136" s="8">
        <f t="shared" si="30"/>
        <v>1</v>
      </c>
      <c r="N136" s="8">
        <f t="shared" si="31"/>
        <v>3</v>
      </c>
      <c r="O136" s="8"/>
      <c r="P136" s="8">
        <f t="shared" si="32"/>
        <v>0</v>
      </c>
      <c r="Q136" s="8">
        <f t="shared" si="33"/>
        <v>0</v>
      </c>
      <c r="R136" s="8">
        <f t="shared" si="34"/>
        <v>0</v>
      </c>
      <c r="S136" s="8">
        <f t="shared" si="35"/>
        <v>0</v>
      </c>
      <c r="T136" s="8">
        <f t="shared" si="36"/>
        <v>0</v>
      </c>
      <c r="U136" s="8">
        <f t="shared" si="37"/>
        <v>1</v>
      </c>
      <c r="V136" s="153">
        <f t="shared" si="38"/>
        <v>0</v>
      </c>
      <c r="W136" s="8">
        <f t="shared" si="39"/>
        <v>0</v>
      </c>
      <c r="X136" s="8">
        <f t="shared" si="40"/>
        <v>0</v>
      </c>
      <c r="Y136" s="8">
        <f t="shared" si="41"/>
        <v>0</v>
      </c>
      <c r="Z136" s="8"/>
      <c r="AA136" s="8"/>
      <c r="AB136" s="8">
        <f t="shared" si="44"/>
        <v>1</v>
      </c>
      <c r="AC136" s="8">
        <f t="shared" si="42"/>
        <v>1</v>
      </c>
      <c r="AD136" s="8" t="str">
        <f t="shared" si="43"/>
        <v>Correct</v>
      </c>
      <c r="AE136" s="8"/>
      <c r="AF136" s="120" t="str">
        <f>IFERROR(VLOOKUP(Table1[RespondentID],'All Data'!$A$3:$CO$999,87,FALSE),"unknown")</f>
        <v>Woman</v>
      </c>
      <c r="AG136" s="120">
        <f>IFERROR(VLOOKUP(Table1[RespondentID],'All Data'!$A$3:$CO$999,88,FALSE),"unknown")</f>
        <v>50</v>
      </c>
      <c r="AH136" s="120" t="str">
        <f>IFERROR(VLOOKUP(Table1[RespondentID],'All Data'!$A$3:$CO$999,89,FALSE),"unknown")</f>
        <v>Suffolk</v>
      </c>
      <c r="AI136" s="120" t="str">
        <f>IFERROR(VLOOKUP(Table1[RespondentID],'All Data'!$A$3:$CO$999,90,FALSE),"unknown")</f>
        <v>Hauppauge, 11788</v>
      </c>
      <c r="AJ136" s="120" t="str">
        <f>IFERROR(VLOOKUP(Table1[RespondentID],'All Data'!$A$3:$CO$999,91,FALSE),"unknown")</f>
        <v>White</v>
      </c>
      <c r="AK136" s="120" t="str">
        <f>IFERROR(VLOOKUP(Table1[RespondentID],'All Data'!$A$3:$CO$999,92,FALSE),"unknown")</f>
        <v>Hispanic or Latino</v>
      </c>
      <c r="AL136" s="120" t="str">
        <f>IFERROR(VLOOKUP(Table1[RespondentID],'All Data'!$A$3:$CO$999,93,FALSE),"unknown")</f>
        <v>English</v>
      </c>
      <c r="AM136" s="120" t="str">
        <f>IFERROR(VLOOKUP(Table1[RespondentID],'All Data'!$A$3:$CW$999,94,FALSE),"unknown")</f>
        <v>Over $125,000</v>
      </c>
      <c r="AN136" s="120" t="str">
        <f>IFERROR(VLOOKUP(Table1[RespondentID],'All Data'!$A$3:$CW$999,95,FALSE),"unknown")</f>
        <v>College graduate</v>
      </c>
      <c r="AO136" s="120" t="str">
        <f>IFERROR(VLOOKUP(Table1[RespondentID],'All Data'!$A$3:$CW$999,96,FALSE),"unknown")</f>
        <v>Employed for wages</v>
      </c>
      <c r="AP136" s="120" t="str">
        <f>IFERROR(VLOOKUP(Table1[RespondentID],'All Data'!$A$3:$CW$999,97,FALSE),"unknown")</f>
        <v>Yes</v>
      </c>
      <c r="AQ136" s="120" t="str">
        <f>IFERROR(VLOOKUP(Table1[RespondentID],'All Data'!$A$3:$CW$999,98,FALSE),"unknown")</f>
        <v>Private/Commercial</v>
      </c>
      <c r="AR136" s="120" t="str">
        <f>IFERROR(VLOOKUP(Table1[RespondentID],'All Data'!$A$3:$CW$999,99,FALSE),"unknown")</f>
        <v>Yes</v>
      </c>
    </row>
    <row r="137" spans="1:44" ht="16">
      <c r="A137" s="5">
        <v>18022420665</v>
      </c>
      <c r="B137" s="5"/>
      <c r="C137" s="5"/>
      <c r="D137" s="5"/>
      <c r="E137" s="5"/>
      <c r="F137" s="5"/>
      <c r="G137" s="5"/>
      <c r="H137" s="5" t="s">
        <v>35</v>
      </c>
      <c r="I137" s="5" t="s">
        <v>36</v>
      </c>
      <c r="J137" s="5"/>
      <c r="K137" s="5" t="s">
        <v>375</v>
      </c>
      <c r="L137" s="9"/>
      <c r="M137" s="9">
        <f t="shared" si="30"/>
        <v>3</v>
      </c>
      <c r="N137" s="9">
        <f t="shared" si="31"/>
        <v>1</v>
      </c>
      <c r="O137" s="9"/>
      <c r="P137" s="9">
        <f t="shared" si="32"/>
        <v>0</v>
      </c>
      <c r="Q137" s="9">
        <f t="shared" si="33"/>
        <v>0</v>
      </c>
      <c r="R137" s="9">
        <f t="shared" si="34"/>
        <v>0</v>
      </c>
      <c r="S137" s="9">
        <f t="shared" si="35"/>
        <v>0</v>
      </c>
      <c r="T137" s="9">
        <f t="shared" si="36"/>
        <v>0</v>
      </c>
      <c r="U137" s="9">
        <f t="shared" si="37"/>
        <v>0</v>
      </c>
      <c r="V137" s="153">
        <f t="shared" si="38"/>
        <v>1</v>
      </c>
      <c r="W137" s="9">
        <f t="shared" si="39"/>
        <v>1</v>
      </c>
      <c r="X137" s="9">
        <f t="shared" si="40"/>
        <v>0</v>
      </c>
      <c r="Y137" s="9">
        <f t="shared" si="41"/>
        <v>1</v>
      </c>
      <c r="Z137" s="9"/>
      <c r="AA137" s="9"/>
      <c r="AB137" s="9">
        <f t="shared" si="44"/>
        <v>3</v>
      </c>
      <c r="AC137" s="9">
        <f t="shared" si="42"/>
        <v>3</v>
      </c>
      <c r="AD137" s="9" t="str">
        <f t="shared" si="43"/>
        <v>Correct</v>
      </c>
      <c r="AE137" s="9"/>
      <c r="AF137" s="120" t="str">
        <f>IFERROR(VLOOKUP(Table1[RespondentID],'All Data'!$A$3:$CO$999,87,FALSE),"unknown")</f>
        <v>Man</v>
      </c>
      <c r="AG137" s="120">
        <f>IFERROR(VLOOKUP(Table1[RespondentID],'All Data'!$A$3:$CO$999,88,FALSE),"unknown")</f>
        <v>55</v>
      </c>
      <c r="AH137" s="120" t="str">
        <f>IFERROR(VLOOKUP(Table1[RespondentID],'All Data'!$A$3:$CO$999,89,FALSE),"unknown")</f>
        <v>Suffolk</v>
      </c>
      <c r="AI137" s="120" t="str">
        <f>IFERROR(VLOOKUP(Table1[RespondentID],'All Data'!$A$3:$CO$999,90,FALSE),"unknown")</f>
        <v>Commack, 11725</v>
      </c>
      <c r="AJ137" s="120" t="str">
        <f>IFERROR(VLOOKUP(Table1[RespondentID],'All Data'!$A$3:$CO$999,91,FALSE),"unknown")</f>
        <v>White</v>
      </c>
      <c r="AK137" s="120" t="str">
        <f>IFERROR(VLOOKUP(Table1[RespondentID],'All Data'!$A$3:$CO$999,92,FALSE),"unknown")</f>
        <v>Hispanic or Latino</v>
      </c>
      <c r="AL137" s="120" t="str">
        <f>IFERROR(VLOOKUP(Table1[RespondentID],'All Data'!$A$3:$CO$999,93,FALSE),"unknown")</f>
        <v>English</v>
      </c>
      <c r="AM137" s="120" t="str">
        <f>IFERROR(VLOOKUP(Table1[RespondentID],'All Data'!$A$3:$CW$999,94,FALSE),"unknown")</f>
        <v>$50,000 to $74,999</v>
      </c>
      <c r="AN137" s="120" t="str">
        <f>IFERROR(VLOOKUP(Table1[RespondentID],'All Data'!$A$3:$CW$999,95,FALSE),"unknown")</f>
        <v>College graduate</v>
      </c>
      <c r="AO137" s="120" t="str">
        <f>IFERROR(VLOOKUP(Table1[RespondentID],'All Data'!$A$3:$CW$999,96,FALSE),"unknown")</f>
        <v>Employed for wages</v>
      </c>
      <c r="AP137" s="120" t="str">
        <f>IFERROR(VLOOKUP(Table1[RespondentID],'All Data'!$A$3:$CW$999,97,FALSE),"unknown")</f>
        <v>Yes</v>
      </c>
      <c r="AQ137" s="120" t="str">
        <f>IFERROR(VLOOKUP(Table1[RespondentID],'All Data'!$A$3:$CW$999,98,FALSE),"unknown")</f>
        <v>Private/Commercial</v>
      </c>
      <c r="AR137" s="120" t="str">
        <f>IFERROR(VLOOKUP(Table1[RespondentID],'All Data'!$A$3:$CW$999,99,FALSE),"unknown")</f>
        <v>Yes</v>
      </c>
    </row>
    <row r="138" spans="1:44" ht="16">
      <c r="A138" s="5">
        <v>18022420608</v>
      </c>
      <c r="B138" s="5"/>
      <c r="C138" s="5"/>
      <c r="D138" s="5"/>
      <c r="E138" s="5"/>
      <c r="F138" s="5"/>
      <c r="G138" s="5" t="s">
        <v>34</v>
      </c>
      <c r="H138" s="5"/>
      <c r="I138" s="5"/>
      <c r="J138" s="5"/>
      <c r="K138" s="5"/>
      <c r="L138" s="8"/>
      <c r="M138" s="8">
        <f t="shared" si="30"/>
        <v>1</v>
      </c>
      <c r="N138" s="8">
        <f t="shared" si="31"/>
        <v>3</v>
      </c>
      <c r="O138" s="8"/>
      <c r="P138" s="8">
        <f t="shared" si="32"/>
        <v>0</v>
      </c>
      <c r="Q138" s="8">
        <f t="shared" si="33"/>
        <v>0</v>
      </c>
      <c r="R138" s="8">
        <f t="shared" si="34"/>
        <v>0</v>
      </c>
      <c r="S138" s="8">
        <f t="shared" si="35"/>
        <v>0</v>
      </c>
      <c r="T138" s="8">
        <f t="shared" si="36"/>
        <v>0</v>
      </c>
      <c r="U138" s="8">
        <f t="shared" si="37"/>
        <v>1</v>
      </c>
      <c r="V138" s="153">
        <f t="shared" si="38"/>
        <v>0</v>
      </c>
      <c r="W138" s="8">
        <f t="shared" si="39"/>
        <v>0</v>
      </c>
      <c r="X138" s="8">
        <f t="shared" si="40"/>
        <v>0</v>
      </c>
      <c r="Y138" s="8">
        <f t="shared" si="41"/>
        <v>0</v>
      </c>
      <c r="Z138" s="8"/>
      <c r="AA138" s="8"/>
      <c r="AB138" s="8">
        <f t="shared" si="44"/>
        <v>1</v>
      </c>
      <c r="AC138" s="8">
        <f t="shared" si="42"/>
        <v>1</v>
      </c>
      <c r="AD138" s="8" t="str">
        <f t="shared" si="43"/>
        <v>Correct</v>
      </c>
      <c r="AE138" s="8"/>
      <c r="AF138" s="120" t="str">
        <f>IFERROR(VLOOKUP(Table1[RespondentID],'All Data'!$A$3:$CO$999,87,FALSE),"unknown")</f>
        <v>Man</v>
      </c>
      <c r="AG138" s="120">
        <f>IFERROR(VLOOKUP(Table1[RespondentID],'All Data'!$A$3:$CO$999,88,FALSE),"unknown")</f>
        <v>81</v>
      </c>
      <c r="AH138" s="120" t="str">
        <f>IFERROR(VLOOKUP(Table1[RespondentID],'All Data'!$A$3:$CO$999,89,FALSE),"unknown")</f>
        <v>Suffolk</v>
      </c>
      <c r="AI138" s="120" t="str">
        <f>IFERROR(VLOOKUP(Table1[RespondentID],'All Data'!$A$3:$CO$999,90,FALSE),"unknown")</f>
        <v>Ridge, 11961</v>
      </c>
      <c r="AJ138" s="120" t="str">
        <f>IFERROR(VLOOKUP(Table1[RespondentID],'All Data'!$A$3:$CO$999,91,FALSE),"unknown")</f>
        <v>White</v>
      </c>
      <c r="AK138" s="120" t="str">
        <f>IFERROR(VLOOKUP(Table1[RespondentID],'All Data'!$A$3:$CO$999,92,FALSE),"unknown")</f>
        <v>Not Hispanic or Latino</v>
      </c>
      <c r="AL138" s="120" t="str">
        <f>IFERROR(VLOOKUP(Table1[RespondentID],'All Data'!$A$3:$CO$999,93,FALSE),"unknown")</f>
        <v>English, Spanish</v>
      </c>
      <c r="AM138" s="120" t="str">
        <f>IFERROR(VLOOKUP(Table1[RespondentID],'All Data'!$A$3:$CW$999,94,FALSE),"unknown")</f>
        <v>Over $125,000</v>
      </c>
      <c r="AN138" s="120" t="str">
        <f>IFERROR(VLOOKUP(Table1[RespondentID],'All Data'!$A$3:$CW$999,95,FALSE),"unknown")</f>
        <v>College graduate</v>
      </c>
      <c r="AO138" s="120" t="str">
        <f>IFERROR(VLOOKUP(Table1[RespondentID],'All Data'!$A$3:$CW$999,96,FALSE),"unknown")</f>
        <v>Retired</v>
      </c>
      <c r="AP138" s="120" t="str">
        <f>IFERROR(VLOOKUP(Table1[RespondentID],'All Data'!$A$3:$CW$999,97,FALSE),"unknown")</f>
        <v>Yes</v>
      </c>
      <c r="AQ138" s="120" t="str">
        <f>IFERROR(VLOOKUP(Table1[RespondentID],'All Data'!$A$3:$CW$999,98,FALSE),"unknown")</f>
        <v>Medicare</v>
      </c>
      <c r="AR138" s="120" t="str">
        <f>IFERROR(VLOOKUP(Table1[RespondentID],'All Data'!$A$3:$CW$999,99,FALSE),"unknown")</f>
        <v>Yes</v>
      </c>
    </row>
    <row r="139" spans="1:44" ht="16">
      <c r="A139" s="5">
        <v>18022392509</v>
      </c>
      <c r="B139" s="5"/>
      <c r="C139" s="5"/>
      <c r="D139" s="5"/>
      <c r="E139" s="5"/>
      <c r="F139" s="5"/>
      <c r="G139" s="5" t="s">
        <v>34</v>
      </c>
      <c r="H139" s="5" t="s">
        <v>35</v>
      </c>
      <c r="I139" s="5"/>
      <c r="J139" s="5"/>
      <c r="K139" s="5"/>
      <c r="L139" s="9"/>
      <c r="M139" s="9">
        <f t="shared" si="30"/>
        <v>2</v>
      </c>
      <c r="N139" s="9">
        <f t="shared" si="31"/>
        <v>1.5</v>
      </c>
      <c r="O139" s="9"/>
      <c r="P139" s="9">
        <f t="shared" si="32"/>
        <v>0</v>
      </c>
      <c r="Q139" s="9">
        <f t="shared" si="33"/>
        <v>0</v>
      </c>
      <c r="R139" s="9">
        <f t="shared" si="34"/>
        <v>0</v>
      </c>
      <c r="S139" s="9">
        <f t="shared" si="35"/>
        <v>0</v>
      </c>
      <c r="T139" s="9">
        <f t="shared" si="36"/>
        <v>0</v>
      </c>
      <c r="U139" s="9">
        <f t="shared" si="37"/>
        <v>1</v>
      </c>
      <c r="V139" s="153">
        <f t="shared" si="38"/>
        <v>1</v>
      </c>
      <c r="W139" s="9">
        <f t="shared" si="39"/>
        <v>0</v>
      </c>
      <c r="X139" s="9">
        <f t="shared" si="40"/>
        <v>0</v>
      </c>
      <c r="Y139" s="9">
        <f t="shared" si="41"/>
        <v>0</v>
      </c>
      <c r="Z139" s="9"/>
      <c r="AA139" s="9"/>
      <c r="AB139" s="9">
        <f t="shared" si="44"/>
        <v>2</v>
      </c>
      <c r="AC139" s="9">
        <f t="shared" si="42"/>
        <v>2</v>
      </c>
      <c r="AD139" s="9" t="str">
        <f t="shared" si="43"/>
        <v>Correct</v>
      </c>
      <c r="AE139" s="9"/>
      <c r="AF139" s="120" t="str">
        <f>IFERROR(VLOOKUP(Table1[RespondentID],'All Data'!$A$3:$CO$999,87,FALSE),"unknown")</f>
        <v>Woman</v>
      </c>
      <c r="AG139" s="120">
        <f>IFERROR(VLOOKUP(Table1[RespondentID],'All Data'!$A$3:$CO$999,88,FALSE),"unknown")</f>
        <v>64</v>
      </c>
      <c r="AH139" s="120" t="str">
        <f>IFERROR(VLOOKUP(Table1[RespondentID],'All Data'!$A$3:$CO$999,89,FALSE),"unknown")</f>
        <v>Suffolk</v>
      </c>
      <c r="AI139" s="120" t="str">
        <f>IFERROR(VLOOKUP(Table1[RespondentID],'All Data'!$A$3:$CO$999,90,FALSE),"unknown")</f>
        <v>West Sayville, 11796</v>
      </c>
      <c r="AJ139" s="120" t="str">
        <f>IFERROR(VLOOKUP(Table1[RespondentID],'All Data'!$A$3:$CO$999,91,FALSE),"unknown")</f>
        <v>White</v>
      </c>
      <c r="AK139" s="120" t="str">
        <f>IFERROR(VLOOKUP(Table1[RespondentID],'All Data'!$A$3:$CO$999,92,FALSE),"unknown")</f>
        <v>Hispanic or Latino</v>
      </c>
      <c r="AL139" s="120" t="str">
        <f>IFERROR(VLOOKUP(Table1[RespondentID],'All Data'!$A$3:$CO$999,93,FALSE),"unknown")</f>
        <v>English</v>
      </c>
      <c r="AM139" s="120" t="str">
        <f>IFERROR(VLOOKUP(Table1[RespondentID],'All Data'!$A$3:$CW$999,94,FALSE),"unknown")</f>
        <v>$75,000 to $125,000</v>
      </c>
      <c r="AN139" s="120" t="str">
        <f>IFERROR(VLOOKUP(Table1[RespondentID],'All Data'!$A$3:$CW$999,95,FALSE),"unknown")</f>
        <v>High school graduate</v>
      </c>
      <c r="AO139" s="120" t="str">
        <f>IFERROR(VLOOKUP(Table1[RespondentID],'All Data'!$A$3:$CW$999,96,FALSE),"unknown")</f>
        <v>Employed for wages</v>
      </c>
      <c r="AP139" s="120" t="str">
        <f>IFERROR(VLOOKUP(Table1[RespondentID],'All Data'!$A$3:$CW$999,97,FALSE),"unknown")</f>
        <v>Yes</v>
      </c>
      <c r="AQ139" s="120" t="str">
        <f>IFERROR(VLOOKUP(Table1[RespondentID],'All Data'!$A$3:$CW$999,98,FALSE),"unknown")</f>
        <v>Private/Commercial</v>
      </c>
      <c r="AR139" s="120" t="str">
        <f>IFERROR(VLOOKUP(Table1[RespondentID],'All Data'!$A$3:$CW$999,99,FALSE),"unknown")</f>
        <v>Yes</v>
      </c>
    </row>
    <row r="140" spans="1:44" ht="16">
      <c r="A140" s="5">
        <v>18022346650</v>
      </c>
      <c r="B140" s="5"/>
      <c r="C140" s="5"/>
      <c r="D140" s="5"/>
      <c r="E140" s="5"/>
      <c r="F140" s="5"/>
      <c r="G140" s="5" t="s">
        <v>34</v>
      </c>
      <c r="H140" s="5"/>
      <c r="I140" s="5"/>
      <c r="J140" s="5"/>
      <c r="K140" s="5"/>
      <c r="L140" s="8"/>
      <c r="M140" s="8">
        <f t="shared" si="30"/>
        <v>1</v>
      </c>
      <c r="N140" s="8">
        <f t="shared" si="31"/>
        <v>3</v>
      </c>
      <c r="O140" s="8"/>
      <c r="P140" s="8">
        <f t="shared" si="32"/>
        <v>0</v>
      </c>
      <c r="Q140" s="8">
        <f t="shared" si="33"/>
        <v>0</v>
      </c>
      <c r="R140" s="8">
        <f t="shared" si="34"/>
        <v>0</v>
      </c>
      <c r="S140" s="8">
        <f t="shared" si="35"/>
        <v>0</v>
      </c>
      <c r="T140" s="8">
        <f t="shared" si="36"/>
        <v>0</v>
      </c>
      <c r="U140" s="8">
        <f t="shared" si="37"/>
        <v>1</v>
      </c>
      <c r="V140" s="153">
        <f t="shared" si="38"/>
        <v>0</v>
      </c>
      <c r="W140" s="8">
        <f t="shared" si="39"/>
        <v>0</v>
      </c>
      <c r="X140" s="8">
        <f t="shared" si="40"/>
        <v>0</v>
      </c>
      <c r="Y140" s="8">
        <f t="shared" si="41"/>
        <v>0</v>
      </c>
      <c r="Z140" s="8"/>
      <c r="AA140" s="8"/>
      <c r="AB140" s="8">
        <f t="shared" si="44"/>
        <v>1</v>
      </c>
      <c r="AC140" s="8">
        <f t="shared" si="42"/>
        <v>1</v>
      </c>
      <c r="AD140" s="8" t="str">
        <f t="shared" si="43"/>
        <v>Correct</v>
      </c>
      <c r="AE140" s="8"/>
      <c r="AF140" s="120" t="str">
        <f>IFERROR(VLOOKUP(Table1[RespondentID],'All Data'!$A$3:$CO$999,87,FALSE),"unknown")</f>
        <v>Man</v>
      </c>
      <c r="AG140" s="120">
        <f>IFERROR(VLOOKUP(Table1[RespondentID],'All Data'!$A$3:$CO$999,88,FALSE),"unknown")</f>
        <v>37</v>
      </c>
      <c r="AH140" s="120" t="str">
        <f>IFERROR(VLOOKUP(Table1[RespondentID],'All Data'!$A$3:$CO$999,89,FALSE),"unknown")</f>
        <v>Suffolk</v>
      </c>
      <c r="AI140" s="120" t="str">
        <f>IFERROR(VLOOKUP(Table1[RespondentID],'All Data'!$A$3:$CO$999,90,FALSE),"unknown")</f>
        <v>Lake Grove, 11755</v>
      </c>
      <c r="AJ140" s="120" t="str">
        <f>IFERROR(VLOOKUP(Table1[RespondentID],'All Data'!$A$3:$CO$999,91,FALSE),"unknown")</f>
        <v>Other (please specify)</v>
      </c>
      <c r="AK140" s="120" t="str">
        <f>IFERROR(VLOOKUP(Table1[RespondentID],'All Data'!$A$3:$CO$999,92,FALSE),"unknown")</f>
        <v>Not Hispanic or Latino</v>
      </c>
      <c r="AL140" s="120" t="str">
        <f>IFERROR(VLOOKUP(Table1[RespondentID],'All Data'!$A$3:$CO$999,93,FALSE),"unknown")</f>
        <v>English, Spanish</v>
      </c>
      <c r="AM140" s="120" t="str">
        <f>IFERROR(VLOOKUP(Table1[RespondentID],'All Data'!$A$3:$CW$999,94,FALSE),"unknown")</f>
        <v>Over $125,000</v>
      </c>
      <c r="AN140" s="120">
        <f>IFERROR(VLOOKUP(Table1[RespondentID],'All Data'!$A$3:$CW$999,95,FALSE),"unknown")</f>
        <v>0</v>
      </c>
      <c r="AO140" s="120" t="str">
        <f>IFERROR(VLOOKUP(Table1[RespondentID],'All Data'!$A$3:$CW$999,96,FALSE),"unknown")</f>
        <v>Employed for wages</v>
      </c>
      <c r="AP140" s="120" t="str">
        <f>IFERROR(VLOOKUP(Table1[RespondentID],'All Data'!$A$3:$CW$999,97,FALSE),"unknown")</f>
        <v>Yes</v>
      </c>
      <c r="AQ140" s="120" t="str">
        <f>IFERROR(VLOOKUP(Table1[RespondentID],'All Data'!$A$3:$CW$999,98,FALSE),"unknown")</f>
        <v>Private/Commercial</v>
      </c>
      <c r="AR140" s="120" t="str">
        <f>IFERROR(VLOOKUP(Table1[RespondentID],'All Data'!$A$3:$CW$999,99,FALSE),"unknown")</f>
        <v>Yes</v>
      </c>
    </row>
    <row r="141" spans="1:44" ht="16">
      <c r="A141" s="5">
        <v>18022301049</v>
      </c>
      <c r="B141" s="5"/>
      <c r="C141" s="5"/>
      <c r="D141" s="5"/>
      <c r="E141" s="5"/>
      <c r="F141" s="5"/>
      <c r="G141" s="5" t="s">
        <v>34</v>
      </c>
      <c r="H141" s="5"/>
      <c r="I141" s="5"/>
      <c r="J141" s="5"/>
      <c r="K141" s="5"/>
      <c r="L141" s="9"/>
      <c r="M141" s="9">
        <f t="shared" si="30"/>
        <v>1</v>
      </c>
      <c r="N141" s="9">
        <f t="shared" si="31"/>
        <v>3</v>
      </c>
      <c r="O141" s="9"/>
      <c r="P141" s="9">
        <f t="shared" si="32"/>
        <v>0</v>
      </c>
      <c r="Q141" s="9">
        <f t="shared" si="33"/>
        <v>0</v>
      </c>
      <c r="R141" s="9">
        <f t="shared" si="34"/>
        <v>0</v>
      </c>
      <c r="S141" s="9">
        <f t="shared" si="35"/>
        <v>0</v>
      </c>
      <c r="T141" s="9">
        <f t="shared" si="36"/>
        <v>0</v>
      </c>
      <c r="U141" s="9">
        <f t="shared" si="37"/>
        <v>1</v>
      </c>
      <c r="V141" s="153">
        <f t="shared" si="38"/>
        <v>0</v>
      </c>
      <c r="W141" s="9">
        <f t="shared" si="39"/>
        <v>0</v>
      </c>
      <c r="X141" s="9">
        <f t="shared" si="40"/>
        <v>0</v>
      </c>
      <c r="Y141" s="9">
        <f t="shared" si="41"/>
        <v>0</v>
      </c>
      <c r="Z141" s="9"/>
      <c r="AA141" s="9"/>
      <c r="AB141" s="9">
        <f t="shared" si="44"/>
        <v>1</v>
      </c>
      <c r="AC141" s="9">
        <f t="shared" si="42"/>
        <v>1</v>
      </c>
      <c r="AD141" s="9" t="str">
        <f t="shared" si="43"/>
        <v>Correct</v>
      </c>
      <c r="AE141" s="9"/>
      <c r="AF141" s="120" t="str">
        <f>IFERROR(VLOOKUP(Table1[RespondentID],'All Data'!$A$3:$CO$999,87,FALSE),"unknown")</f>
        <v>Man</v>
      </c>
      <c r="AG141" s="120">
        <f>IFERROR(VLOOKUP(Table1[RespondentID],'All Data'!$A$3:$CO$999,88,FALSE),"unknown")</f>
        <v>16</v>
      </c>
      <c r="AH141" s="120" t="str">
        <f>IFERROR(VLOOKUP(Table1[RespondentID],'All Data'!$A$3:$CO$999,89,FALSE),"unknown")</f>
        <v>Suffolk</v>
      </c>
      <c r="AI141" s="120" t="str">
        <f>IFERROR(VLOOKUP(Table1[RespondentID],'All Data'!$A$3:$CO$999,90,FALSE),"unknown")</f>
        <v>Dix Hills, 11746</v>
      </c>
      <c r="AJ141" s="120" t="str">
        <f>IFERROR(VLOOKUP(Table1[RespondentID],'All Data'!$A$3:$CO$999,91,FALSE),"unknown")</f>
        <v>White</v>
      </c>
      <c r="AK141" s="120" t="str">
        <f>IFERROR(VLOOKUP(Table1[RespondentID],'All Data'!$A$3:$CO$999,92,FALSE),"unknown")</f>
        <v>Not Hispanic or Latino</v>
      </c>
      <c r="AL141" s="120" t="str">
        <f>IFERROR(VLOOKUP(Table1[RespondentID],'All Data'!$A$3:$CO$999,93,FALSE),"unknown")</f>
        <v>English</v>
      </c>
      <c r="AM141" s="120" t="str">
        <f>IFERROR(VLOOKUP(Table1[RespondentID],'All Data'!$A$3:$CW$999,94,FALSE),"unknown")</f>
        <v>Over $125,000</v>
      </c>
      <c r="AN141" s="120" t="str">
        <f>IFERROR(VLOOKUP(Table1[RespondentID],'All Data'!$A$3:$CW$999,95,FALSE),"unknown")</f>
        <v>Some high school</v>
      </c>
      <c r="AO141" s="120" t="str">
        <f>IFERROR(VLOOKUP(Table1[RespondentID],'All Data'!$A$3:$CW$999,96,FALSE),"unknown")</f>
        <v>Student</v>
      </c>
      <c r="AP141" s="120" t="str">
        <f>IFERROR(VLOOKUP(Table1[RespondentID],'All Data'!$A$3:$CW$999,97,FALSE),"unknown")</f>
        <v>Yes</v>
      </c>
      <c r="AQ141" s="120" t="str">
        <f>IFERROR(VLOOKUP(Table1[RespondentID],'All Data'!$A$3:$CW$999,98,FALSE),"unknown")</f>
        <v>Medicaid</v>
      </c>
      <c r="AR141" s="120" t="str">
        <f>IFERROR(VLOOKUP(Table1[RespondentID],'All Data'!$A$3:$CW$999,99,FALSE),"unknown")</f>
        <v>Yes</v>
      </c>
    </row>
    <row r="142" spans="1:44" ht="16">
      <c r="A142" s="5">
        <v>18022218440</v>
      </c>
      <c r="B142" s="5"/>
      <c r="C142" s="5" t="s">
        <v>30</v>
      </c>
      <c r="D142" s="5"/>
      <c r="E142" s="5"/>
      <c r="F142" s="5"/>
      <c r="G142" s="5"/>
      <c r="H142" s="5"/>
      <c r="I142" s="5"/>
      <c r="J142" s="5"/>
      <c r="K142" s="5"/>
      <c r="L142" s="8"/>
      <c r="M142" s="8">
        <f t="shared" si="30"/>
        <v>1</v>
      </c>
      <c r="N142" s="8">
        <f t="shared" si="31"/>
        <v>3</v>
      </c>
      <c r="O142" s="8"/>
      <c r="P142" s="8">
        <f t="shared" si="32"/>
        <v>0</v>
      </c>
      <c r="Q142" s="8">
        <f t="shared" si="33"/>
        <v>1</v>
      </c>
      <c r="R142" s="8">
        <f t="shared" si="34"/>
        <v>0</v>
      </c>
      <c r="S142" s="8">
        <f t="shared" si="35"/>
        <v>0</v>
      </c>
      <c r="T142" s="8">
        <f t="shared" si="36"/>
        <v>0</v>
      </c>
      <c r="U142" s="8">
        <f t="shared" si="37"/>
        <v>0</v>
      </c>
      <c r="V142" s="153">
        <f t="shared" si="38"/>
        <v>0</v>
      </c>
      <c r="W142" s="8">
        <f t="shared" si="39"/>
        <v>0</v>
      </c>
      <c r="X142" s="8">
        <f t="shared" si="40"/>
        <v>0</v>
      </c>
      <c r="Y142" s="8">
        <f t="shared" si="41"/>
        <v>0</v>
      </c>
      <c r="Z142" s="8"/>
      <c r="AA142" s="8"/>
      <c r="AB142" s="8">
        <f t="shared" si="44"/>
        <v>1</v>
      </c>
      <c r="AC142" s="8">
        <f t="shared" si="42"/>
        <v>1</v>
      </c>
      <c r="AD142" s="8" t="str">
        <f t="shared" si="43"/>
        <v>Correct</v>
      </c>
      <c r="AE142" s="8"/>
      <c r="AF142" s="120" t="str">
        <f>IFERROR(VLOOKUP(Table1[RespondentID],'All Data'!$A$3:$CO$999,87,FALSE),"unknown")</f>
        <v>Woman</v>
      </c>
      <c r="AG142" s="120">
        <f>IFERROR(VLOOKUP(Table1[RespondentID],'All Data'!$A$3:$CO$999,88,FALSE),"unknown")</f>
        <v>42</v>
      </c>
      <c r="AH142" s="120" t="str">
        <f>IFERROR(VLOOKUP(Table1[RespondentID],'All Data'!$A$3:$CO$999,89,FALSE),"unknown")</f>
        <v>Suffolk</v>
      </c>
      <c r="AI142" s="120" t="str">
        <f>IFERROR(VLOOKUP(Table1[RespondentID],'All Data'!$A$3:$CO$999,90,FALSE),"unknown")</f>
        <v>East Northport, 11731</v>
      </c>
      <c r="AJ142" s="120" t="str">
        <f>IFERROR(VLOOKUP(Table1[RespondentID],'All Data'!$A$3:$CO$999,91,FALSE),"unknown")</f>
        <v>White</v>
      </c>
      <c r="AK142" s="120" t="str">
        <f>IFERROR(VLOOKUP(Table1[RespondentID],'All Data'!$A$3:$CO$999,92,FALSE),"unknown")</f>
        <v>Hispanic or Latino</v>
      </c>
      <c r="AL142" s="120">
        <f>IFERROR(VLOOKUP(Table1[RespondentID],'All Data'!$A$3:$CO$999,93,FALSE),"unknown")</f>
        <v>0</v>
      </c>
      <c r="AM142" s="120" t="str">
        <f>IFERROR(VLOOKUP(Table1[RespondentID],'All Data'!$A$3:$CW$999,94,FALSE),"unknown")</f>
        <v>Over $125,000</v>
      </c>
      <c r="AN142" s="120" t="str">
        <f>IFERROR(VLOOKUP(Table1[RespondentID],'All Data'!$A$3:$CW$999,95,FALSE),"unknown")</f>
        <v>Graduate school</v>
      </c>
      <c r="AO142" s="120" t="str">
        <f>IFERROR(VLOOKUP(Table1[RespondentID],'All Data'!$A$3:$CW$999,96,FALSE),"unknown")</f>
        <v>Employed for wages</v>
      </c>
      <c r="AP142" s="120" t="str">
        <f>IFERROR(VLOOKUP(Table1[RespondentID],'All Data'!$A$3:$CW$999,97,FALSE),"unknown")</f>
        <v>Yes</v>
      </c>
      <c r="AQ142" s="120" t="str">
        <f>IFERROR(VLOOKUP(Table1[RespondentID],'All Data'!$A$3:$CW$999,98,FALSE),"unknown")</f>
        <v>Private/Commercial</v>
      </c>
      <c r="AR142" s="120" t="str">
        <f>IFERROR(VLOOKUP(Table1[RespondentID],'All Data'!$A$3:$CW$999,99,FALSE),"unknown")</f>
        <v>Yes</v>
      </c>
    </row>
    <row r="143" spans="1:44" ht="16">
      <c r="A143" s="5">
        <v>18022157625</v>
      </c>
      <c r="B143" s="5"/>
      <c r="C143" s="5"/>
      <c r="D143" s="5" t="s">
        <v>31</v>
      </c>
      <c r="E143" s="5"/>
      <c r="F143" s="5" t="s">
        <v>33</v>
      </c>
      <c r="G143" s="5"/>
      <c r="H143" s="5"/>
      <c r="I143" s="5" t="s">
        <v>36</v>
      </c>
      <c r="J143" s="5"/>
      <c r="K143" s="5"/>
      <c r="L143" s="9"/>
      <c r="M143" s="9">
        <f t="shared" si="30"/>
        <v>3</v>
      </c>
      <c r="N143" s="9">
        <f t="shared" si="31"/>
        <v>1</v>
      </c>
      <c r="O143" s="9"/>
      <c r="P143" s="9">
        <f t="shared" si="32"/>
        <v>0</v>
      </c>
      <c r="Q143" s="9">
        <f t="shared" si="33"/>
        <v>0</v>
      </c>
      <c r="R143" s="9">
        <f t="shared" si="34"/>
        <v>1</v>
      </c>
      <c r="S143" s="9">
        <f t="shared" si="35"/>
        <v>0</v>
      </c>
      <c r="T143" s="9">
        <f t="shared" si="36"/>
        <v>1</v>
      </c>
      <c r="U143" s="9">
        <f t="shared" si="37"/>
        <v>0</v>
      </c>
      <c r="V143" s="153">
        <f t="shared" si="38"/>
        <v>0</v>
      </c>
      <c r="W143" s="9">
        <f t="shared" si="39"/>
        <v>1</v>
      </c>
      <c r="X143" s="9">
        <f t="shared" si="40"/>
        <v>0</v>
      </c>
      <c r="Y143" s="9">
        <f t="shared" si="41"/>
        <v>0</v>
      </c>
      <c r="Z143" s="9"/>
      <c r="AA143" s="9"/>
      <c r="AB143" s="9">
        <f t="shared" si="44"/>
        <v>3</v>
      </c>
      <c r="AC143" s="9">
        <f t="shared" si="42"/>
        <v>3</v>
      </c>
      <c r="AD143" s="9" t="str">
        <f t="shared" si="43"/>
        <v>Correct</v>
      </c>
      <c r="AE143" s="9"/>
      <c r="AF143" s="120" t="str">
        <f>IFERROR(VLOOKUP(Table1[RespondentID],'All Data'!$A$3:$CO$999,87,FALSE),"unknown")</f>
        <v>Man</v>
      </c>
      <c r="AG143" s="120">
        <f>IFERROR(VLOOKUP(Table1[RespondentID],'All Data'!$A$3:$CO$999,88,FALSE),"unknown")</f>
        <v>20</v>
      </c>
      <c r="AH143" s="120" t="str">
        <f>IFERROR(VLOOKUP(Table1[RespondentID],'All Data'!$A$3:$CO$999,89,FALSE),"unknown")</f>
        <v>Suffolk</v>
      </c>
      <c r="AI143" s="120" t="str">
        <f>IFERROR(VLOOKUP(Table1[RespondentID],'All Data'!$A$3:$CO$999,90,FALSE),"unknown")</f>
        <v>Kings Park, 11754</v>
      </c>
      <c r="AJ143" s="120" t="str">
        <f>IFERROR(VLOOKUP(Table1[RespondentID],'All Data'!$A$3:$CO$999,91,FALSE),"unknown")</f>
        <v>White</v>
      </c>
      <c r="AK143" s="120" t="str">
        <f>IFERROR(VLOOKUP(Table1[RespondentID],'All Data'!$A$3:$CO$999,92,FALSE),"unknown")</f>
        <v>Hispanic or Latino</v>
      </c>
      <c r="AL143" s="120" t="str">
        <f>IFERROR(VLOOKUP(Table1[RespondentID],'All Data'!$A$3:$CO$999,93,FALSE),"unknown")</f>
        <v>English</v>
      </c>
      <c r="AM143" s="120" t="str">
        <f>IFERROR(VLOOKUP(Table1[RespondentID],'All Data'!$A$3:$CW$999,94,FALSE),"unknown")</f>
        <v>Over $125,000</v>
      </c>
      <c r="AN143" s="120" t="str">
        <f>IFERROR(VLOOKUP(Table1[RespondentID],'All Data'!$A$3:$CW$999,95,FALSE),"unknown")</f>
        <v>High school graduate</v>
      </c>
      <c r="AO143" s="120" t="str">
        <f>IFERROR(VLOOKUP(Table1[RespondentID],'All Data'!$A$3:$CW$999,96,FALSE),"unknown")</f>
        <v>Employed for wages</v>
      </c>
      <c r="AP143" s="120" t="str">
        <f>IFERROR(VLOOKUP(Table1[RespondentID],'All Data'!$A$3:$CW$999,97,FALSE),"unknown")</f>
        <v>Yes</v>
      </c>
      <c r="AQ143" s="120" t="str">
        <f>IFERROR(VLOOKUP(Table1[RespondentID],'All Data'!$A$3:$CW$999,98,FALSE),"unknown")</f>
        <v>Medicare</v>
      </c>
      <c r="AR143" s="120">
        <f>IFERROR(VLOOKUP(Table1[RespondentID],'All Data'!$A$3:$CW$999,99,FALSE),"unknown")</f>
        <v>0</v>
      </c>
    </row>
    <row r="144" spans="1:44" ht="16">
      <c r="A144" s="5">
        <v>18022157486</v>
      </c>
      <c r="B144" s="5"/>
      <c r="C144" s="5" t="s">
        <v>30</v>
      </c>
      <c r="D144" s="5" t="s">
        <v>31</v>
      </c>
      <c r="E144" s="5"/>
      <c r="F144" s="5" t="s">
        <v>33</v>
      </c>
      <c r="G144" s="5"/>
      <c r="H144" s="5"/>
      <c r="I144" s="5"/>
      <c r="J144" s="5"/>
      <c r="K144" s="5"/>
      <c r="L144" s="8"/>
      <c r="M144" s="8">
        <f t="shared" si="30"/>
        <v>3</v>
      </c>
      <c r="N144" s="8">
        <f t="shared" si="31"/>
        <v>1</v>
      </c>
      <c r="O144" s="8"/>
      <c r="P144" s="8">
        <f t="shared" si="32"/>
        <v>0</v>
      </c>
      <c r="Q144" s="8">
        <f t="shared" si="33"/>
        <v>1</v>
      </c>
      <c r="R144" s="8">
        <f t="shared" si="34"/>
        <v>1</v>
      </c>
      <c r="S144" s="8">
        <f t="shared" si="35"/>
        <v>0</v>
      </c>
      <c r="T144" s="8">
        <f t="shared" si="36"/>
        <v>1</v>
      </c>
      <c r="U144" s="8">
        <f t="shared" si="37"/>
        <v>0</v>
      </c>
      <c r="V144" s="153">
        <f t="shared" si="38"/>
        <v>0</v>
      </c>
      <c r="W144" s="8">
        <f t="shared" si="39"/>
        <v>0</v>
      </c>
      <c r="X144" s="8">
        <f t="shared" si="40"/>
        <v>0</v>
      </c>
      <c r="Y144" s="8">
        <f t="shared" si="41"/>
        <v>0</v>
      </c>
      <c r="Z144" s="8"/>
      <c r="AA144" s="8"/>
      <c r="AB144" s="8">
        <f t="shared" si="44"/>
        <v>3</v>
      </c>
      <c r="AC144" s="8">
        <f t="shared" si="42"/>
        <v>3</v>
      </c>
      <c r="AD144" s="8" t="str">
        <f t="shared" si="43"/>
        <v>Correct</v>
      </c>
      <c r="AE144" s="8"/>
      <c r="AF144" s="120" t="str">
        <f>IFERROR(VLOOKUP(Table1[RespondentID],'All Data'!$A$3:$CO$999,87,FALSE),"unknown")</f>
        <v>Woman</v>
      </c>
      <c r="AG144" s="120">
        <f>IFERROR(VLOOKUP(Table1[RespondentID],'All Data'!$A$3:$CO$999,88,FALSE),"unknown")</f>
        <v>18</v>
      </c>
      <c r="AH144" s="120" t="str">
        <f>IFERROR(VLOOKUP(Table1[RespondentID],'All Data'!$A$3:$CO$999,89,FALSE),"unknown")</f>
        <v>Suffolk</v>
      </c>
      <c r="AI144" s="120" t="str">
        <f>IFERROR(VLOOKUP(Table1[RespondentID],'All Data'!$A$3:$CO$999,90,FALSE),"unknown")</f>
        <v>Kings Park, 11754</v>
      </c>
      <c r="AJ144" s="120" t="str">
        <f>IFERROR(VLOOKUP(Table1[RespondentID],'All Data'!$A$3:$CO$999,91,FALSE),"unknown")</f>
        <v>White</v>
      </c>
      <c r="AK144" s="120">
        <f>IFERROR(VLOOKUP(Table1[RespondentID],'All Data'!$A$3:$CO$999,92,FALSE),"unknown")</f>
        <v>0</v>
      </c>
      <c r="AL144" s="120" t="str">
        <f>IFERROR(VLOOKUP(Table1[RespondentID],'All Data'!$A$3:$CO$999,93,FALSE),"unknown")</f>
        <v>English, Spanish</v>
      </c>
      <c r="AM144" s="120" t="str">
        <f>IFERROR(VLOOKUP(Table1[RespondentID],'All Data'!$A$3:$CW$999,94,FALSE),"unknown")</f>
        <v>$0-$19,999</v>
      </c>
      <c r="AN144" s="120" t="str">
        <f>IFERROR(VLOOKUP(Table1[RespondentID],'All Data'!$A$3:$CW$999,95,FALSE),"unknown")</f>
        <v>High school graduate</v>
      </c>
      <c r="AO144" s="120" t="str">
        <f>IFERROR(VLOOKUP(Table1[RespondentID],'All Data'!$A$3:$CW$999,96,FALSE),"unknown")</f>
        <v>Employed for wages</v>
      </c>
      <c r="AP144" s="120">
        <f>IFERROR(VLOOKUP(Table1[RespondentID],'All Data'!$A$3:$CW$999,97,FALSE),"unknown")</f>
        <v>0</v>
      </c>
      <c r="AQ144" s="120" t="str">
        <f>IFERROR(VLOOKUP(Table1[RespondentID],'All Data'!$A$3:$CW$999,98,FALSE),"unknown")</f>
        <v>Private/Commercial</v>
      </c>
      <c r="AR144" s="120">
        <f>IFERROR(VLOOKUP(Table1[RespondentID],'All Data'!$A$3:$CW$999,99,FALSE),"unknown")</f>
        <v>0</v>
      </c>
    </row>
    <row r="145" spans="1:44" ht="16">
      <c r="A145" s="5">
        <v>18022157371</v>
      </c>
      <c r="B145" s="5"/>
      <c r="C145" s="5"/>
      <c r="D145" s="5"/>
      <c r="E145" s="5"/>
      <c r="F145" s="5"/>
      <c r="G145" s="5"/>
      <c r="H145" s="5"/>
      <c r="I145" s="5" t="s">
        <v>36</v>
      </c>
      <c r="J145" s="5"/>
      <c r="K145" s="5"/>
      <c r="L145" s="9"/>
      <c r="M145" s="9">
        <f t="shared" si="30"/>
        <v>1</v>
      </c>
      <c r="N145" s="9">
        <f t="shared" si="31"/>
        <v>3</v>
      </c>
      <c r="O145" s="9"/>
      <c r="P145" s="9">
        <f t="shared" si="32"/>
        <v>0</v>
      </c>
      <c r="Q145" s="9">
        <f t="shared" si="33"/>
        <v>0</v>
      </c>
      <c r="R145" s="9">
        <f t="shared" si="34"/>
        <v>0</v>
      </c>
      <c r="S145" s="9">
        <f t="shared" si="35"/>
        <v>0</v>
      </c>
      <c r="T145" s="9">
        <f t="shared" si="36"/>
        <v>0</v>
      </c>
      <c r="U145" s="9">
        <f t="shared" si="37"/>
        <v>0</v>
      </c>
      <c r="V145" s="153">
        <f t="shared" si="38"/>
        <v>0</v>
      </c>
      <c r="W145" s="9">
        <f t="shared" si="39"/>
        <v>1</v>
      </c>
      <c r="X145" s="9">
        <f t="shared" si="40"/>
        <v>0</v>
      </c>
      <c r="Y145" s="9">
        <f t="shared" si="41"/>
        <v>0</v>
      </c>
      <c r="Z145" s="9"/>
      <c r="AA145" s="9"/>
      <c r="AB145" s="9">
        <f t="shared" si="44"/>
        <v>1</v>
      </c>
      <c r="AC145" s="9">
        <f t="shared" si="42"/>
        <v>1</v>
      </c>
      <c r="AD145" s="9" t="str">
        <f t="shared" si="43"/>
        <v>Correct</v>
      </c>
      <c r="AE145" s="9"/>
      <c r="AF145" s="120" t="str">
        <f>IFERROR(VLOOKUP(Table1[RespondentID],'All Data'!$A$3:$CO$999,87,FALSE),"unknown")</f>
        <v>Man</v>
      </c>
      <c r="AG145" s="120">
        <f>IFERROR(VLOOKUP(Table1[RespondentID],'All Data'!$A$3:$CO$999,88,FALSE),"unknown")</f>
        <v>42</v>
      </c>
      <c r="AH145" s="120" t="str">
        <f>IFERROR(VLOOKUP(Table1[RespondentID],'All Data'!$A$3:$CO$999,89,FALSE),"unknown")</f>
        <v>Suffolk</v>
      </c>
      <c r="AI145" s="120" t="str">
        <f>IFERROR(VLOOKUP(Table1[RespondentID],'All Data'!$A$3:$CO$999,90,FALSE),"unknown")</f>
        <v>Hauppauge, 11788</v>
      </c>
      <c r="AJ145" s="120" t="str">
        <f>IFERROR(VLOOKUP(Table1[RespondentID],'All Data'!$A$3:$CO$999,91,FALSE),"unknown")</f>
        <v>White</v>
      </c>
      <c r="AK145" s="120" t="str">
        <f>IFERROR(VLOOKUP(Table1[RespondentID],'All Data'!$A$3:$CO$999,92,FALSE),"unknown")</f>
        <v>Hispanic or Latino</v>
      </c>
      <c r="AL145" s="120" t="str">
        <f>IFERROR(VLOOKUP(Table1[RespondentID],'All Data'!$A$3:$CO$999,93,FALSE),"unknown")</f>
        <v>English</v>
      </c>
      <c r="AM145" s="120" t="str">
        <f>IFERROR(VLOOKUP(Table1[RespondentID],'All Data'!$A$3:$CW$999,94,FALSE),"unknown")</f>
        <v>Over $125,000</v>
      </c>
      <c r="AN145" s="120" t="str">
        <f>IFERROR(VLOOKUP(Table1[RespondentID],'All Data'!$A$3:$CW$999,95,FALSE),"unknown")</f>
        <v>Graduate school</v>
      </c>
      <c r="AO145" s="120" t="str">
        <f>IFERROR(VLOOKUP(Table1[RespondentID],'All Data'!$A$3:$CW$999,96,FALSE),"unknown")</f>
        <v>Employed for wages</v>
      </c>
      <c r="AP145" s="120" t="str">
        <f>IFERROR(VLOOKUP(Table1[RespondentID],'All Data'!$A$3:$CW$999,97,FALSE),"unknown")</f>
        <v>Yes</v>
      </c>
      <c r="AQ145" s="120" t="str">
        <f>IFERROR(VLOOKUP(Table1[RespondentID],'All Data'!$A$3:$CW$999,98,FALSE),"unknown")</f>
        <v>Private/Commercial</v>
      </c>
      <c r="AR145" s="120">
        <f>IFERROR(VLOOKUP(Table1[RespondentID],'All Data'!$A$3:$CW$999,99,FALSE),"unknown")</f>
        <v>0</v>
      </c>
    </row>
    <row r="146" spans="1:44" ht="16">
      <c r="A146" s="5">
        <v>18022157215</v>
      </c>
      <c r="B146" s="5" t="s">
        <v>29</v>
      </c>
      <c r="C146" s="5"/>
      <c r="D146" s="5" t="s">
        <v>31</v>
      </c>
      <c r="E146" s="5"/>
      <c r="F146" s="5"/>
      <c r="G146" s="5"/>
      <c r="H146" s="5"/>
      <c r="I146" s="5" t="s">
        <v>36</v>
      </c>
      <c r="J146" s="5"/>
      <c r="K146" s="5"/>
      <c r="L146" s="8"/>
      <c r="M146" s="8">
        <f t="shared" si="30"/>
        <v>3</v>
      </c>
      <c r="N146" s="8">
        <f t="shared" si="31"/>
        <v>1</v>
      </c>
      <c r="O146" s="8"/>
      <c r="P146" s="8">
        <f t="shared" si="32"/>
        <v>1</v>
      </c>
      <c r="Q146" s="8">
        <f t="shared" si="33"/>
        <v>0</v>
      </c>
      <c r="R146" s="8">
        <f t="shared" si="34"/>
        <v>1</v>
      </c>
      <c r="S146" s="8">
        <f t="shared" si="35"/>
        <v>0</v>
      </c>
      <c r="T146" s="8">
        <f t="shared" si="36"/>
        <v>0</v>
      </c>
      <c r="U146" s="8">
        <f t="shared" si="37"/>
        <v>0</v>
      </c>
      <c r="V146" s="153">
        <f t="shared" si="38"/>
        <v>0</v>
      </c>
      <c r="W146" s="8">
        <f t="shared" si="39"/>
        <v>1</v>
      </c>
      <c r="X146" s="8">
        <f t="shared" si="40"/>
        <v>0</v>
      </c>
      <c r="Y146" s="8">
        <f t="shared" si="41"/>
        <v>0</v>
      </c>
      <c r="Z146" s="8"/>
      <c r="AA146" s="8"/>
      <c r="AB146" s="8">
        <f t="shared" si="44"/>
        <v>3</v>
      </c>
      <c r="AC146" s="8">
        <f t="shared" si="42"/>
        <v>3</v>
      </c>
      <c r="AD146" s="8" t="str">
        <f t="shared" si="43"/>
        <v>Correct</v>
      </c>
      <c r="AE146" s="8"/>
      <c r="AF146" s="120" t="str">
        <f>IFERROR(VLOOKUP(Table1[RespondentID],'All Data'!$A$3:$CO$999,87,FALSE),"unknown")</f>
        <v>Man</v>
      </c>
      <c r="AG146" s="120">
        <f>IFERROR(VLOOKUP(Table1[RespondentID],'All Data'!$A$3:$CO$999,88,FALSE),"unknown")</f>
        <v>18</v>
      </c>
      <c r="AH146" s="120" t="str">
        <f>IFERROR(VLOOKUP(Table1[RespondentID],'All Data'!$A$3:$CO$999,89,FALSE),"unknown")</f>
        <v>Suffolk</v>
      </c>
      <c r="AI146" s="120" t="str">
        <f>IFERROR(VLOOKUP(Table1[RespondentID],'All Data'!$A$3:$CO$999,90,FALSE),"unknown")</f>
        <v>Kings Park, 11754</v>
      </c>
      <c r="AJ146" s="120" t="str">
        <f>IFERROR(VLOOKUP(Table1[RespondentID],'All Data'!$A$3:$CO$999,91,FALSE),"unknown")</f>
        <v>White</v>
      </c>
      <c r="AK146" s="120" t="str">
        <f>IFERROR(VLOOKUP(Table1[RespondentID],'All Data'!$A$3:$CO$999,92,FALSE),"unknown")</f>
        <v>Hispanic or Latino</v>
      </c>
      <c r="AL146" s="120" t="str">
        <f>IFERROR(VLOOKUP(Table1[RespondentID],'All Data'!$A$3:$CO$999,93,FALSE),"unknown")</f>
        <v>English</v>
      </c>
      <c r="AM146" s="120" t="str">
        <f>IFERROR(VLOOKUP(Table1[RespondentID],'All Data'!$A$3:$CW$999,94,FALSE),"unknown")</f>
        <v>Over $125,000</v>
      </c>
      <c r="AN146" s="120" t="str">
        <f>IFERROR(VLOOKUP(Table1[RespondentID],'All Data'!$A$3:$CW$999,95,FALSE),"unknown")</f>
        <v>High school graduate</v>
      </c>
      <c r="AO146" s="120" t="str">
        <f>IFERROR(VLOOKUP(Table1[RespondentID],'All Data'!$A$3:$CW$999,96,FALSE),"unknown")</f>
        <v>Student</v>
      </c>
      <c r="AP146" s="120">
        <f>IFERROR(VLOOKUP(Table1[RespondentID],'All Data'!$A$3:$CW$999,97,FALSE),"unknown")</f>
        <v>0</v>
      </c>
      <c r="AQ146" s="120" t="str">
        <f>IFERROR(VLOOKUP(Table1[RespondentID],'All Data'!$A$3:$CW$999,98,FALSE),"unknown")</f>
        <v>Medicare</v>
      </c>
      <c r="AR146" s="120">
        <f>IFERROR(VLOOKUP(Table1[RespondentID],'All Data'!$A$3:$CW$999,99,FALSE),"unknown")</f>
        <v>0</v>
      </c>
    </row>
    <row r="147" spans="1:44" ht="16">
      <c r="A147" s="5">
        <v>18022157058</v>
      </c>
      <c r="B147" s="5"/>
      <c r="C147" s="5" t="s">
        <v>30</v>
      </c>
      <c r="D147" s="5"/>
      <c r="E147" s="5"/>
      <c r="F147" s="5"/>
      <c r="G147" s="5"/>
      <c r="H147" s="5"/>
      <c r="I147" s="5" t="s">
        <v>36</v>
      </c>
      <c r="J147" s="5"/>
      <c r="K147" s="5"/>
      <c r="L147" s="9"/>
      <c r="M147" s="9">
        <f t="shared" si="30"/>
        <v>2</v>
      </c>
      <c r="N147" s="9">
        <f t="shared" si="31"/>
        <v>1.5</v>
      </c>
      <c r="O147" s="9"/>
      <c r="P147" s="9">
        <f t="shared" si="32"/>
        <v>0</v>
      </c>
      <c r="Q147" s="9">
        <f t="shared" si="33"/>
        <v>1</v>
      </c>
      <c r="R147" s="9">
        <f t="shared" si="34"/>
        <v>0</v>
      </c>
      <c r="S147" s="9">
        <f t="shared" si="35"/>
        <v>0</v>
      </c>
      <c r="T147" s="9">
        <f t="shared" si="36"/>
        <v>0</v>
      </c>
      <c r="U147" s="9">
        <f t="shared" si="37"/>
        <v>0</v>
      </c>
      <c r="V147" s="153">
        <f t="shared" si="38"/>
        <v>0</v>
      </c>
      <c r="W147" s="9">
        <f t="shared" si="39"/>
        <v>1</v>
      </c>
      <c r="X147" s="9">
        <f t="shared" si="40"/>
        <v>0</v>
      </c>
      <c r="Y147" s="9">
        <f t="shared" si="41"/>
        <v>0</v>
      </c>
      <c r="Z147" s="9"/>
      <c r="AA147" s="9"/>
      <c r="AB147" s="9">
        <f t="shared" si="44"/>
        <v>2</v>
      </c>
      <c r="AC147" s="9">
        <f t="shared" si="42"/>
        <v>2</v>
      </c>
      <c r="AD147" s="9" t="str">
        <f t="shared" si="43"/>
        <v>Correct</v>
      </c>
      <c r="AE147" s="9"/>
      <c r="AF147" s="120" t="str">
        <f>IFERROR(VLOOKUP(Table1[RespondentID],'All Data'!$A$3:$CO$999,87,FALSE),"unknown")</f>
        <v>Man</v>
      </c>
      <c r="AG147" s="120">
        <f>IFERROR(VLOOKUP(Table1[RespondentID],'All Data'!$A$3:$CO$999,88,FALSE),"unknown")</f>
        <v>18</v>
      </c>
      <c r="AH147" s="120" t="str">
        <f>IFERROR(VLOOKUP(Table1[RespondentID],'All Data'!$A$3:$CO$999,89,FALSE),"unknown")</f>
        <v>Suffolk</v>
      </c>
      <c r="AI147" s="120" t="str">
        <f>IFERROR(VLOOKUP(Table1[RespondentID],'All Data'!$A$3:$CO$999,90,FALSE),"unknown")</f>
        <v>Kings Park, 11754</v>
      </c>
      <c r="AJ147" s="120" t="str">
        <f>IFERROR(VLOOKUP(Table1[RespondentID],'All Data'!$A$3:$CO$999,91,FALSE),"unknown")</f>
        <v>White</v>
      </c>
      <c r="AK147" s="120" t="str">
        <f>IFERROR(VLOOKUP(Table1[RespondentID],'All Data'!$A$3:$CO$999,92,FALSE),"unknown")</f>
        <v>Hispanic or Latino</v>
      </c>
      <c r="AL147" s="120" t="str">
        <f>IFERROR(VLOOKUP(Table1[RespondentID],'All Data'!$A$3:$CO$999,93,FALSE),"unknown")</f>
        <v>English</v>
      </c>
      <c r="AM147" s="120" t="str">
        <f>IFERROR(VLOOKUP(Table1[RespondentID],'All Data'!$A$3:$CW$999,94,FALSE),"unknown")</f>
        <v>$75,000 to $125,000</v>
      </c>
      <c r="AN147" s="120" t="str">
        <f>IFERROR(VLOOKUP(Table1[RespondentID],'All Data'!$A$3:$CW$999,95,FALSE),"unknown")</f>
        <v>Some high school</v>
      </c>
      <c r="AO147" s="120" t="str">
        <f>IFERROR(VLOOKUP(Table1[RespondentID],'All Data'!$A$3:$CW$999,96,FALSE),"unknown")</f>
        <v>Self-employed</v>
      </c>
      <c r="AP147" s="120" t="str">
        <f>IFERROR(VLOOKUP(Table1[RespondentID],'All Data'!$A$3:$CW$999,97,FALSE),"unknown")</f>
        <v>Yes</v>
      </c>
      <c r="AQ147" s="120">
        <f>IFERROR(VLOOKUP(Table1[RespondentID],'All Data'!$A$3:$CW$999,98,FALSE),"unknown")</f>
        <v>0</v>
      </c>
      <c r="AR147" s="120">
        <f>IFERROR(VLOOKUP(Table1[RespondentID],'All Data'!$A$3:$CW$999,99,FALSE),"unknown")</f>
        <v>0</v>
      </c>
    </row>
    <row r="148" spans="1:44" ht="16">
      <c r="A148" s="5">
        <v>18022156869</v>
      </c>
      <c r="B148" s="5"/>
      <c r="C148" s="5"/>
      <c r="D148" s="5"/>
      <c r="E148" s="5"/>
      <c r="F148" s="5"/>
      <c r="G148" s="5"/>
      <c r="H148" s="5" t="s">
        <v>35</v>
      </c>
      <c r="I148" s="5"/>
      <c r="J148" s="5"/>
      <c r="K148" s="5" t="s">
        <v>375</v>
      </c>
      <c r="L148" s="8"/>
      <c r="M148" s="8">
        <f t="shared" si="30"/>
        <v>2</v>
      </c>
      <c r="N148" s="8">
        <f t="shared" si="31"/>
        <v>1.5</v>
      </c>
      <c r="O148" s="8"/>
      <c r="P148" s="8">
        <f t="shared" si="32"/>
        <v>0</v>
      </c>
      <c r="Q148" s="8">
        <f t="shared" si="33"/>
        <v>0</v>
      </c>
      <c r="R148" s="8">
        <f t="shared" si="34"/>
        <v>0</v>
      </c>
      <c r="S148" s="8">
        <f t="shared" si="35"/>
        <v>0</v>
      </c>
      <c r="T148" s="8">
        <f t="shared" si="36"/>
        <v>0</v>
      </c>
      <c r="U148" s="8">
        <f t="shared" si="37"/>
        <v>0</v>
      </c>
      <c r="V148" s="153">
        <f t="shared" si="38"/>
        <v>1</v>
      </c>
      <c r="W148" s="8">
        <f t="shared" si="39"/>
        <v>0</v>
      </c>
      <c r="X148" s="8">
        <f t="shared" si="40"/>
        <v>0</v>
      </c>
      <c r="Y148" s="8">
        <f t="shared" si="41"/>
        <v>1</v>
      </c>
      <c r="Z148" s="8"/>
      <c r="AA148" s="8"/>
      <c r="AB148" s="8">
        <f t="shared" si="44"/>
        <v>2</v>
      </c>
      <c r="AC148" s="8">
        <f t="shared" si="42"/>
        <v>2</v>
      </c>
      <c r="AD148" s="8" t="str">
        <f t="shared" si="43"/>
        <v>Correct</v>
      </c>
      <c r="AE148" s="8"/>
      <c r="AF148" s="120" t="str">
        <f>IFERROR(VLOOKUP(Table1[RespondentID],'All Data'!$A$3:$CO$999,87,FALSE),"unknown")</f>
        <v>Man</v>
      </c>
      <c r="AG148" s="120">
        <f>IFERROR(VLOOKUP(Table1[RespondentID],'All Data'!$A$3:$CO$999,88,FALSE),"unknown")</f>
        <v>18</v>
      </c>
      <c r="AH148" s="120" t="str">
        <f>IFERROR(VLOOKUP(Table1[RespondentID],'All Data'!$A$3:$CO$999,89,FALSE),"unknown")</f>
        <v>Suffolk</v>
      </c>
      <c r="AI148" s="120" t="str">
        <f>IFERROR(VLOOKUP(Table1[RespondentID],'All Data'!$A$3:$CO$999,90,FALSE),"unknown")</f>
        <v>Kings Park, 11754</v>
      </c>
      <c r="AJ148" s="120" t="str">
        <f>IFERROR(VLOOKUP(Table1[RespondentID],'All Data'!$A$3:$CO$999,91,FALSE),"unknown")</f>
        <v>White</v>
      </c>
      <c r="AK148" s="120" t="str">
        <f>IFERROR(VLOOKUP(Table1[RespondentID],'All Data'!$A$3:$CO$999,92,FALSE),"unknown")</f>
        <v>Hispanic or Latino</v>
      </c>
      <c r="AL148" s="120" t="str">
        <f>IFERROR(VLOOKUP(Table1[RespondentID],'All Data'!$A$3:$CO$999,93,FALSE),"unknown")</f>
        <v>English</v>
      </c>
      <c r="AM148" s="120" t="str">
        <f>IFERROR(VLOOKUP(Table1[RespondentID],'All Data'!$A$3:$CW$999,94,FALSE),"unknown")</f>
        <v>Over $125,000</v>
      </c>
      <c r="AN148" s="120" t="str">
        <f>IFERROR(VLOOKUP(Table1[RespondentID],'All Data'!$A$3:$CW$999,95,FALSE),"unknown")</f>
        <v>Other (please specify)</v>
      </c>
      <c r="AO148" s="120" t="str">
        <f>IFERROR(VLOOKUP(Table1[RespondentID],'All Data'!$A$3:$CW$999,96,FALSE),"unknown")</f>
        <v>Employed for wages</v>
      </c>
      <c r="AP148" s="120" t="str">
        <f>IFERROR(VLOOKUP(Table1[RespondentID],'All Data'!$A$3:$CW$999,97,FALSE),"unknown")</f>
        <v>Yes</v>
      </c>
      <c r="AQ148" s="120" t="str">
        <f>IFERROR(VLOOKUP(Table1[RespondentID],'All Data'!$A$3:$CW$999,98,FALSE),"unknown")</f>
        <v>Medicare</v>
      </c>
      <c r="AR148" s="120">
        <f>IFERROR(VLOOKUP(Table1[RespondentID],'All Data'!$A$3:$CW$999,99,FALSE),"unknown")</f>
        <v>0</v>
      </c>
    </row>
    <row r="149" spans="1:44" ht="16">
      <c r="A149" s="5">
        <v>18022156726</v>
      </c>
      <c r="B149" s="5"/>
      <c r="C149" s="5"/>
      <c r="D149" s="5"/>
      <c r="E149" s="5"/>
      <c r="F149" s="5"/>
      <c r="G149" s="5" t="s">
        <v>34</v>
      </c>
      <c r="H149" s="5"/>
      <c r="I149" s="5"/>
      <c r="J149" s="5"/>
      <c r="K149" s="5"/>
      <c r="L149" s="9"/>
      <c r="M149" s="9">
        <f t="shared" si="30"/>
        <v>1</v>
      </c>
      <c r="N149" s="9">
        <f t="shared" si="31"/>
        <v>3</v>
      </c>
      <c r="O149" s="9"/>
      <c r="P149" s="9">
        <f t="shared" si="32"/>
        <v>0</v>
      </c>
      <c r="Q149" s="9">
        <f t="shared" si="33"/>
        <v>0</v>
      </c>
      <c r="R149" s="9">
        <f t="shared" si="34"/>
        <v>0</v>
      </c>
      <c r="S149" s="9">
        <f t="shared" si="35"/>
        <v>0</v>
      </c>
      <c r="T149" s="9">
        <f t="shared" si="36"/>
        <v>0</v>
      </c>
      <c r="U149" s="9">
        <f t="shared" si="37"/>
        <v>1</v>
      </c>
      <c r="V149" s="153">
        <f t="shared" si="38"/>
        <v>0</v>
      </c>
      <c r="W149" s="9">
        <f t="shared" si="39"/>
        <v>0</v>
      </c>
      <c r="X149" s="9">
        <f t="shared" si="40"/>
        <v>0</v>
      </c>
      <c r="Y149" s="9">
        <f t="shared" si="41"/>
        <v>0</v>
      </c>
      <c r="Z149" s="9"/>
      <c r="AA149" s="9"/>
      <c r="AB149" s="9">
        <f t="shared" si="44"/>
        <v>1</v>
      </c>
      <c r="AC149" s="9">
        <f t="shared" si="42"/>
        <v>1</v>
      </c>
      <c r="AD149" s="9" t="str">
        <f t="shared" si="43"/>
        <v>Correct</v>
      </c>
      <c r="AE149" s="9"/>
      <c r="AF149" s="120" t="str">
        <f>IFERROR(VLOOKUP(Table1[RespondentID],'All Data'!$A$3:$CO$999,87,FALSE),"unknown")</f>
        <v>Man</v>
      </c>
      <c r="AG149" s="120">
        <f>IFERROR(VLOOKUP(Table1[RespondentID],'All Data'!$A$3:$CO$999,88,FALSE),"unknown")</f>
        <v>39</v>
      </c>
      <c r="AH149" s="120" t="str">
        <f>IFERROR(VLOOKUP(Table1[RespondentID],'All Data'!$A$3:$CO$999,89,FALSE),"unknown")</f>
        <v>Suffolk</v>
      </c>
      <c r="AI149" s="120" t="str">
        <f>IFERROR(VLOOKUP(Table1[RespondentID],'All Data'!$A$3:$CO$999,90,FALSE),"unknown")</f>
        <v>Medford, 11763</v>
      </c>
      <c r="AJ149" s="120" t="str">
        <f>IFERROR(VLOOKUP(Table1[RespondentID],'All Data'!$A$3:$CO$999,91,FALSE),"unknown")</f>
        <v>White</v>
      </c>
      <c r="AK149" s="120" t="str">
        <f>IFERROR(VLOOKUP(Table1[RespondentID],'All Data'!$A$3:$CO$999,92,FALSE),"unknown")</f>
        <v>Hispanic or Latino</v>
      </c>
      <c r="AL149" s="120" t="str">
        <f>IFERROR(VLOOKUP(Table1[RespondentID],'All Data'!$A$3:$CO$999,93,FALSE),"unknown")</f>
        <v>English</v>
      </c>
      <c r="AM149" s="120" t="str">
        <f>IFERROR(VLOOKUP(Table1[RespondentID],'All Data'!$A$3:$CW$999,94,FALSE),"unknown")</f>
        <v>Over $125,000</v>
      </c>
      <c r="AN149" s="120" t="str">
        <f>IFERROR(VLOOKUP(Table1[RespondentID],'All Data'!$A$3:$CW$999,95,FALSE),"unknown")</f>
        <v>Graduate school</v>
      </c>
      <c r="AO149" s="120" t="str">
        <f>IFERROR(VLOOKUP(Table1[RespondentID],'All Data'!$A$3:$CW$999,96,FALSE),"unknown")</f>
        <v>Employed for wages</v>
      </c>
      <c r="AP149" s="120" t="str">
        <f>IFERROR(VLOOKUP(Table1[RespondentID],'All Data'!$A$3:$CW$999,97,FALSE),"unknown")</f>
        <v>Yes</v>
      </c>
      <c r="AQ149" s="120">
        <f>IFERROR(VLOOKUP(Table1[RespondentID],'All Data'!$A$3:$CW$999,98,FALSE),"unknown")</f>
        <v>0</v>
      </c>
      <c r="AR149" s="120">
        <f>IFERROR(VLOOKUP(Table1[RespondentID],'All Data'!$A$3:$CW$999,99,FALSE),"unknown")</f>
        <v>0</v>
      </c>
    </row>
    <row r="150" spans="1:44" ht="16">
      <c r="A150" s="5">
        <v>18022156601</v>
      </c>
      <c r="B150" s="5"/>
      <c r="C150" s="5"/>
      <c r="D150" s="5" t="s">
        <v>31</v>
      </c>
      <c r="E150" s="5"/>
      <c r="F150" s="5"/>
      <c r="G150" s="5"/>
      <c r="H150" s="5" t="s">
        <v>35</v>
      </c>
      <c r="I150" s="5"/>
      <c r="J150" s="5"/>
      <c r="K150" s="5"/>
      <c r="L150" s="8"/>
      <c r="M150" s="8">
        <f t="shared" si="30"/>
        <v>2</v>
      </c>
      <c r="N150" s="8">
        <f t="shared" si="31"/>
        <v>1.5</v>
      </c>
      <c r="O150" s="8"/>
      <c r="P150" s="8">
        <f t="shared" si="32"/>
        <v>0</v>
      </c>
      <c r="Q150" s="8">
        <f t="shared" si="33"/>
        <v>0</v>
      </c>
      <c r="R150" s="8">
        <f t="shared" si="34"/>
        <v>1</v>
      </c>
      <c r="S150" s="8">
        <f t="shared" si="35"/>
        <v>0</v>
      </c>
      <c r="T150" s="8">
        <f t="shared" si="36"/>
        <v>0</v>
      </c>
      <c r="U150" s="8">
        <f t="shared" si="37"/>
        <v>0</v>
      </c>
      <c r="V150" s="153">
        <f t="shared" si="38"/>
        <v>1</v>
      </c>
      <c r="W150" s="8">
        <f t="shared" si="39"/>
        <v>0</v>
      </c>
      <c r="X150" s="8">
        <f t="shared" si="40"/>
        <v>0</v>
      </c>
      <c r="Y150" s="8">
        <f t="shared" si="41"/>
        <v>0</v>
      </c>
      <c r="Z150" s="8"/>
      <c r="AA150" s="8"/>
      <c r="AB150" s="8">
        <f t="shared" si="44"/>
        <v>2</v>
      </c>
      <c r="AC150" s="8">
        <f t="shared" si="42"/>
        <v>2</v>
      </c>
      <c r="AD150" s="8" t="str">
        <f t="shared" si="43"/>
        <v>Correct</v>
      </c>
      <c r="AE150" s="8"/>
      <c r="AF150" s="120" t="str">
        <f>IFERROR(VLOOKUP(Table1[RespondentID],'All Data'!$A$3:$CO$999,87,FALSE),"unknown")</f>
        <v>Man</v>
      </c>
      <c r="AG150" s="120">
        <f>IFERROR(VLOOKUP(Table1[RespondentID],'All Data'!$A$3:$CO$999,88,FALSE),"unknown")</f>
        <v>49</v>
      </c>
      <c r="AH150" s="120" t="str">
        <f>IFERROR(VLOOKUP(Table1[RespondentID],'All Data'!$A$3:$CO$999,89,FALSE),"unknown")</f>
        <v>Suffolk</v>
      </c>
      <c r="AI150" s="120" t="str">
        <f>IFERROR(VLOOKUP(Table1[RespondentID],'All Data'!$A$3:$CO$999,90,FALSE),"unknown")</f>
        <v>Kings Park, 11754</v>
      </c>
      <c r="AJ150" s="120" t="str">
        <f>IFERROR(VLOOKUP(Table1[RespondentID],'All Data'!$A$3:$CO$999,91,FALSE),"unknown")</f>
        <v>White</v>
      </c>
      <c r="AK150" s="120" t="str">
        <f>IFERROR(VLOOKUP(Table1[RespondentID],'All Data'!$A$3:$CO$999,92,FALSE),"unknown")</f>
        <v>Hispanic or Latino</v>
      </c>
      <c r="AL150" s="120" t="str">
        <f>IFERROR(VLOOKUP(Table1[RespondentID],'All Data'!$A$3:$CO$999,93,FALSE),"unknown")</f>
        <v>English</v>
      </c>
      <c r="AM150" s="120" t="str">
        <f>IFERROR(VLOOKUP(Table1[RespondentID],'All Data'!$A$3:$CW$999,94,FALSE),"unknown")</f>
        <v>Over $125,000</v>
      </c>
      <c r="AN150" s="120" t="str">
        <f>IFERROR(VLOOKUP(Table1[RespondentID],'All Data'!$A$3:$CW$999,95,FALSE),"unknown")</f>
        <v>High school graduate</v>
      </c>
      <c r="AO150" s="120" t="str">
        <f>IFERROR(VLOOKUP(Table1[RespondentID],'All Data'!$A$3:$CW$999,96,FALSE),"unknown")</f>
        <v>Out of work, but not currently looking</v>
      </c>
      <c r="AP150" s="120" t="str">
        <f>IFERROR(VLOOKUP(Table1[RespondentID],'All Data'!$A$3:$CW$999,97,FALSE),"unknown")</f>
        <v>Yes</v>
      </c>
      <c r="AQ150" s="120" t="str">
        <f>IFERROR(VLOOKUP(Table1[RespondentID],'All Data'!$A$3:$CW$999,98,FALSE),"unknown")</f>
        <v>Private/Commercial</v>
      </c>
      <c r="AR150" s="120">
        <f>IFERROR(VLOOKUP(Table1[RespondentID],'All Data'!$A$3:$CW$999,99,FALSE),"unknown")</f>
        <v>0</v>
      </c>
    </row>
    <row r="151" spans="1:44" ht="16">
      <c r="A151" s="5">
        <v>18022142040</v>
      </c>
      <c r="B151" s="5"/>
      <c r="C151" s="5"/>
      <c r="D151" s="5"/>
      <c r="E151" s="5"/>
      <c r="F151" s="5"/>
      <c r="G151" s="5" t="s">
        <v>34</v>
      </c>
      <c r="H151" s="5"/>
      <c r="I151" s="5"/>
      <c r="J151" s="5"/>
      <c r="K151" s="5"/>
      <c r="L151" s="9"/>
      <c r="M151" s="9">
        <f t="shared" si="30"/>
        <v>1</v>
      </c>
      <c r="N151" s="9">
        <f t="shared" si="31"/>
        <v>3</v>
      </c>
      <c r="O151" s="9"/>
      <c r="P151" s="9">
        <f t="shared" si="32"/>
        <v>0</v>
      </c>
      <c r="Q151" s="9">
        <f t="shared" si="33"/>
        <v>0</v>
      </c>
      <c r="R151" s="9">
        <f t="shared" si="34"/>
        <v>0</v>
      </c>
      <c r="S151" s="9">
        <f t="shared" si="35"/>
        <v>0</v>
      </c>
      <c r="T151" s="9">
        <f t="shared" si="36"/>
        <v>0</v>
      </c>
      <c r="U151" s="9">
        <f t="shared" si="37"/>
        <v>1</v>
      </c>
      <c r="V151" s="153">
        <f t="shared" si="38"/>
        <v>0</v>
      </c>
      <c r="W151" s="9">
        <f t="shared" si="39"/>
        <v>0</v>
      </c>
      <c r="X151" s="9">
        <f t="shared" si="40"/>
        <v>0</v>
      </c>
      <c r="Y151" s="9">
        <f t="shared" si="41"/>
        <v>0</v>
      </c>
      <c r="Z151" s="9"/>
      <c r="AA151" s="9"/>
      <c r="AB151" s="9">
        <f t="shared" si="44"/>
        <v>1</v>
      </c>
      <c r="AC151" s="9">
        <f t="shared" si="42"/>
        <v>1</v>
      </c>
      <c r="AD151" s="9" t="str">
        <f t="shared" si="43"/>
        <v>Correct</v>
      </c>
      <c r="AE151" s="9"/>
      <c r="AF151" s="120" t="str">
        <f>IFERROR(VLOOKUP(Table1[RespondentID],'All Data'!$A$3:$CO$999,87,FALSE),"unknown")</f>
        <v>Woman</v>
      </c>
      <c r="AG151" s="120">
        <f>IFERROR(VLOOKUP(Table1[RespondentID],'All Data'!$A$3:$CO$999,88,FALSE),"unknown")</f>
        <v>37</v>
      </c>
      <c r="AH151" s="120" t="str">
        <f>IFERROR(VLOOKUP(Table1[RespondentID],'All Data'!$A$3:$CO$999,89,FALSE),"unknown")</f>
        <v>Suffolk</v>
      </c>
      <c r="AI151" s="120" t="str">
        <f>IFERROR(VLOOKUP(Table1[RespondentID],'All Data'!$A$3:$CO$999,90,FALSE),"unknown")</f>
        <v>Miller Place, 11764</v>
      </c>
      <c r="AJ151" s="120" t="str">
        <f>IFERROR(VLOOKUP(Table1[RespondentID],'All Data'!$A$3:$CO$999,91,FALSE),"unknown")</f>
        <v>White</v>
      </c>
      <c r="AK151" s="120" t="str">
        <f>IFERROR(VLOOKUP(Table1[RespondentID],'All Data'!$A$3:$CO$999,92,FALSE),"unknown")</f>
        <v>Hispanic or Latino</v>
      </c>
      <c r="AL151" s="120" t="str">
        <f>IFERROR(VLOOKUP(Table1[RespondentID],'All Data'!$A$3:$CO$999,93,FALSE),"unknown")</f>
        <v>English</v>
      </c>
      <c r="AM151" s="120" t="str">
        <f>IFERROR(VLOOKUP(Table1[RespondentID],'All Data'!$A$3:$CW$999,94,FALSE),"unknown")</f>
        <v>Over $125,000</v>
      </c>
      <c r="AN151" s="120" t="str">
        <f>IFERROR(VLOOKUP(Table1[RespondentID],'All Data'!$A$3:$CW$999,95,FALSE),"unknown")</f>
        <v>Graduate school</v>
      </c>
      <c r="AO151" s="120" t="str">
        <f>IFERROR(VLOOKUP(Table1[RespondentID],'All Data'!$A$3:$CW$999,96,FALSE),"unknown")</f>
        <v>Employed for wages</v>
      </c>
      <c r="AP151" s="120" t="str">
        <f>IFERROR(VLOOKUP(Table1[RespondentID],'All Data'!$A$3:$CW$999,97,FALSE),"unknown")</f>
        <v>Yes</v>
      </c>
      <c r="AQ151" s="120" t="str">
        <f>IFERROR(VLOOKUP(Table1[RespondentID],'All Data'!$A$3:$CW$999,98,FALSE),"unknown")</f>
        <v>Private/Commercial</v>
      </c>
      <c r="AR151" s="120" t="str">
        <f>IFERROR(VLOOKUP(Table1[RespondentID],'All Data'!$A$3:$CW$999,99,FALSE),"unknown")</f>
        <v>Yes</v>
      </c>
    </row>
    <row r="152" spans="1:44" ht="16">
      <c r="A152" s="5">
        <v>18022097237</v>
      </c>
      <c r="B152" s="5"/>
      <c r="C152" s="5"/>
      <c r="D152" s="5"/>
      <c r="E152" s="5"/>
      <c r="F152" s="5"/>
      <c r="G152" s="5" t="s">
        <v>34</v>
      </c>
      <c r="H152" s="5"/>
      <c r="I152" s="5"/>
      <c r="J152" s="5"/>
      <c r="K152" s="5"/>
      <c r="L152" s="8"/>
      <c r="M152" s="8">
        <f t="shared" si="30"/>
        <v>1</v>
      </c>
      <c r="N152" s="8">
        <f t="shared" si="31"/>
        <v>3</v>
      </c>
      <c r="O152" s="8"/>
      <c r="P152" s="8">
        <f t="shared" si="32"/>
        <v>0</v>
      </c>
      <c r="Q152" s="8">
        <f t="shared" si="33"/>
        <v>0</v>
      </c>
      <c r="R152" s="8">
        <f t="shared" si="34"/>
        <v>0</v>
      </c>
      <c r="S152" s="8">
        <f t="shared" si="35"/>
        <v>0</v>
      </c>
      <c r="T152" s="8">
        <f t="shared" si="36"/>
        <v>0</v>
      </c>
      <c r="U152" s="8">
        <f t="shared" si="37"/>
        <v>1</v>
      </c>
      <c r="V152" s="153">
        <f t="shared" si="38"/>
        <v>0</v>
      </c>
      <c r="W152" s="8">
        <f t="shared" si="39"/>
        <v>0</v>
      </c>
      <c r="X152" s="8">
        <f t="shared" si="40"/>
        <v>0</v>
      </c>
      <c r="Y152" s="8">
        <f t="shared" si="41"/>
        <v>0</v>
      </c>
      <c r="Z152" s="8"/>
      <c r="AA152" s="8"/>
      <c r="AB152" s="8">
        <f t="shared" si="44"/>
        <v>1</v>
      </c>
      <c r="AC152" s="8">
        <f t="shared" si="42"/>
        <v>1</v>
      </c>
      <c r="AD152" s="8" t="str">
        <f t="shared" si="43"/>
        <v>Correct</v>
      </c>
      <c r="AE152" s="8"/>
      <c r="AF152" s="120" t="str">
        <f>IFERROR(VLOOKUP(Table1[RespondentID],'All Data'!$A$3:$CO$999,87,FALSE),"unknown")</f>
        <v>Man</v>
      </c>
      <c r="AG152" s="120">
        <f>IFERROR(VLOOKUP(Table1[RespondentID],'All Data'!$A$3:$CO$999,88,FALSE),"unknown")</f>
        <v>38</v>
      </c>
      <c r="AH152" s="120" t="str">
        <f>IFERROR(VLOOKUP(Table1[RespondentID],'All Data'!$A$3:$CO$999,89,FALSE),"unknown")</f>
        <v>Suffolk</v>
      </c>
      <c r="AI152" s="120" t="str">
        <f>IFERROR(VLOOKUP(Table1[RespondentID],'All Data'!$A$3:$CO$999,90,FALSE),"unknown")</f>
        <v>Saint James, 11780</v>
      </c>
      <c r="AJ152" s="120" t="str">
        <f>IFERROR(VLOOKUP(Table1[RespondentID],'All Data'!$A$3:$CO$999,91,FALSE),"unknown")</f>
        <v>White</v>
      </c>
      <c r="AK152" s="120" t="str">
        <f>IFERROR(VLOOKUP(Table1[RespondentID],'All Data'!$A$3:$CO$999,92,FALSE),"unknown")</f>
        <v>Hispanic or Latino</v>
      </c>
      <c r="AL152" s="120" t="str">
        <f>IFERROR(VLOOKUP(Table1[RespondentID],'All Data'!$A$3:$CO$999,93,FALSE),"unknown")</f>
        <v>English</v>
      </c>
      <c r="AM152" s="120" t="str">
        <f>IFERROR(VLOOKUP(Table1[RespondentID],'All Data'!$A$3:$CW$999,94,FALSE),"unknown")</f>
        <v>Over $125,000</v>
      </c>
      <c r="AN152" s="120" t="str">
        <f>IFERROR(VLOOKUP(Table1[RespondentID],'All Data'!$A$3:$CW$999,95,FALSE),"unknown")</f>
        <v>Graduate school</v>
      </c>
      <c r="AO152" s="120" t="str">
        <f>IFERROR(VLOOKUP(Table1[RespondentID],'All Data'!$A$3:$CW$999,96,FALSE),"unknown")</f>
        <v>Employed for wages</v>
      </c>
      <c r="AP152" s="120" t="str">
        <f>IFERROR(VLOOKUP(Table1[RespondentID],'All Data'!$A$3:$CW$999,97,FALSE),"unknown")</f>
        <v>Yes</v>
      </c>
      <c r="AQ152" s="120" t="str">
        <f>IFERROR(VLOOKUP(Table1[RespondentID],'All Data'!$A$3:$CW$999,98,FALSE),"unknown")</f>
        <v>Private/Commercial</v>
      </c>
      <c r="AR152" s="120" t="str">
        <f>IFERROR(VLOOKUP(Table1[RespondentID],'All Data'!$A$3:$CW$999,99,FALSE),"unknown")</f>
        <v>Yes</v>
      </c>
    </row>
    <row r="153" spans="1:44" ht="16">
      <c r="A153" s="5">
        <v>18022088692</v>
      </c>
      <c r="B153" s="5"/>
      <c r="C153" s="5"/>
      <c r="D153" s="5"/>
      <c r="E153" s="5"/>
      <c r="F153" s="5"/>
      <c r="G153" s="5" t="s">
        <v>34</v>
      </c>
      <c r="H153" s="5"/>
      <c r="I153" s="5"/>
      <c r="J153" s="5"/>
      <c r="K153" s="5"/>
      <c r="L153" s="9"/>
      <c r="M153" s="9">
        <f t="shared" si="30"/>
        <v>1</v>
      </c>
      <c r="N153" s="9">
        <f t="shared" si="31"/>
        <v>3</v>
      </c>
      <c r="O153" s="9"/>
      <c r="P153" s="9">
        <f t="shared" si="32"/>
        <v>0</v>
      </c>
      <c r="Q153" s="9">
        <f t="shared" si="33"/>
        <v>0</v>
      </c>
      <c r="R153" s="9">
        <f t="shared" si="34"/>
        <v>0</v>
      </c>
      <c r="S153" s="9">
        <f t="shared" si="35"/>
        <v>0</v>
      </c>
      <c r="T153" s="9">
        <f t="shared" si="36"/>
        <v>0</v>
      </c>
      <c r="U153" s="9">
        <f t="shared" si="37"/>
        <v>1</v>
      </c>
      <c r="V153" s="153">
        <f t="shared" si="38"/>
        <v>0</v>
      </c>
      <c r="W153" s="9">
        <f t="shared" si="39"/>
        <v>0</v>
      </c>
      <c r="X153" s="9">
        <f t="shared" si="40"/>
        <v>0</v>
      </c>
      <c r="Y153" s="9">
        <f t="shared" si="41"/>
        <v>0</v>
      </c>
      <c r="Z153" s="9"/>
      <c r="AA153" s="9"/>
      <c r="AB153" s="9">
        <f t="shared" si="44"/>
        <v>1</v>
      </c>
      <c r="AC153" s="9">
        <f t="shared" si="42"/>
        <v>1</v>
      </c>
      <c r="AD153" s="9" t="str">
        <f t="shared" si="43"/>
        <v>Correct</v>
      </c>
      <c r="AE153" s="9"/>
      <c r="AF153" s="120" t="str">
        <f>IFERROR(VLOOKUP(Table1[RespondentID],'All Data'!$A$3:$CO$999,87,FALSE),"unknown")</f>
        <v>Man</v>
      </c>
      <c r="AG153" s="120">
        <f>IFERROR(VLOOKUP(Table1[RespondentID],'All Data'!$A$3:$CO$999,88,FALSE),"unknown")</f>
        <v>50</v>
      </c>
      <c r="AH153" s="120" t="str">
        <f>IFERROR(VLOOKUP(Table1[RespondentID],'All Data'!$A$3:$CO$999,89,FALSE),"unknown")</f>
        <v>Suffolk</v>
      </c>
      <c r="AI153" s="120" t="str">
        <f>IFERROR(VLOOKUP(Table1[RespondentID],'All Data'!$A$3:$CO$999,90,FALSE),"unknown")</f>
        <v>Saint James, 11780</v>
      </c>
      <c r="AJ153" s="120" t="str">
        <f>IFERROR(VLOOKUP(Table1[RespondentID],'All Data'!$A$3:$CO$999,91,FALSE),"unknown")</f>
        <v>White</v>
      </c>
      <c r="AK153" s="120" t="str">
        <f>IFERROR(VLOOKUP(Table1[RespondentID],'All Data'!$A$3:$CO$999,92,FALSE),"unknown")</f>
        <v>Hispanic or Latino</v>
      </c>
      <c r="AL153" s="120" t="str">
        <f>IFERROR(VLOOKUP(Table1[RespondentID],'All Data'!$A$3:$CO$999,93,FALSE),"unknown")</f>
        <v>English</v>
      </c>
      <c r="AM153" s="120" t="str">
        <f>IFERROR(VLOOKUP(Table1[RespondentID],'All Data'!$A$3:$CW$999,94,FALSE),"unknown")</f>
        <v>Over $125,000</v>
      </c>
      <c r="AN153" s="120" t="str">
        <f>IFERROR(VLOOKUP(Table1[RespondentID],'All Data'!$A$3:$CW$999,95,FALSE),"unknown")</f>
        <v>Graduate school</v>
      </c>
      <c r="AO153" s="120" t="str">
        <f>IFERROR(VLOOKUP(Table1[RespondentID],'All Data'!$A$3:$CW$999,96,FALSE),"unknown")</f>
        <v>Employed for wages</v>
      </c>
      <c r="AP153" s="120" t="str">
        <f>IFERROR(VLOOKUP(Table1[RespondentID],'All Data'!$A$3:$CW$999,97,FALSE),"unknown")</f>
        <v>Yes</v>
      </c>
      <c r="AQ153" s="120" t="str">
        <f>IFERROR(VLOOKUP(Table1[RespondentID],'All Data'!$A$3:$CW$999,98,FALSE),"unknown")</f>
        <v>Private/Commercial</v>
      </c>
      <c r="AR153" s="120" t="str">
        <f>IFERROR(VLOOKUP(Table1[RespondentID],'All Data'!$A$3:$CW$999,99,FALSE),"unknown")</f>
        <v>Yes</v>
      </c>
    </row>
    <row r="154" spans="1:44" ht="16">
      <c r="A154" s="5">
        <v>18022063568</v>
      </c>
      <c r="B154" s="5"/>
      <c r="C154" s="5"/>
      <c r="D154" s="5"/>
      <c r="E154" s="5"/>
      <c r="F154" s="5"/>
      <c r="G154" s="5" t="s">
        <v>34</v>
      </c>
      <c r="H154" s="5"/>
      <c r="I154" s="5"/>
      <c r="J154" s="5"/>
      <c r="K154" s="5"/>
      <c r="L154" s="8"/>
      <c r="M154" s="8">
        <f t="shared" si="30"/>
        <v>1</v>
      </c>
      <c r="N154" s="8">
        <f t="shared" si="31"/>
        <v>3</v>
      </c>
      <c r="O154" s="8"/>
      <c r="P154" s="8">
        <f t="shared" si="32"/>
        <v>0</v>
      </c>
      <c r="Q154" s="8">
        <f t="shared" si="33"/>
        <v>0</v>
      </c>
      <c r="R154" s="8">
        <f t="shared" si="34"/>
        <v>0</v>
      </c>
      <c r="S154" s="8">
        <f t="shared" si="35"/>
        <v>0</v>
      </c>
      <c r="T154" s="8">
        <f t="shared" si="36"/>
        <v>0</v>
      </c>
      <c r="U154" s="8">
        <f t="shared" si="37"/>
        <v>1</v>
      </c>
      <c r="V154" s="153">
        <f t="shared" si="38"/>
        <v>0</v>
      </c>
      <c r="W154" s="8">
        <f t="shared" si="39"/>
        <v>0</v>
      </c>
      <c r="X154" s="8">
        <f t="shared" si="40"/>
        <v>0</v>
      </c>
      <c r="Y154" s="8">
        <f t="shared" si="41"/>
        <v>0</v>
      </c>
      <c r="Z154" s="8"/>
      <c r="AA154" s="8"/>
      <c r="AB154" s="8">
        <f t="shared" si="44"/>
        <v>1</v>
      </c>
      <c r="AC154" s="8">
        <f t="shared" si="42"/>
        <v>1</v>
      </c>
      <c r="AD154" s="8" t="str">
        <f t="shared" si="43"/>
        <v>Correct</v>
      </c>
      <c r="AE154" s="8"/>
      <c r="AF154" s="120" t="str">
        <f>IFERROR(VLOOKUP(Table1[RespondentID],'All Data'!$A$3:$CO$999,87,FALSE),"unknown")</f>
        <v>Man</v>
      </c>
      <c r="AG154" s="120">
        <f>IFERROR(VLOOKUP(Table1[RespondentID],'All Data'!$A$3:$CO$999,88,FALSE),"unknown")</f>
        <v>66</v>
      </c>
      <c r="AH154" s="120" t="str">
        <f>IFERROR(VLOOKUP(Table1[RespondentID],'All Data'!$A$3:$CO$999,89,FALSE),"unknown")</f>
        <v>Suffolk</v>
      </c>
      <c r="AI154" s="120" t="str">
        <f>IFERROR(VLOOKUP(Table1[RespondentID],'All Data'!$A$3:$CO$999,90,FALSE),"unknown")</f>
        <v>Islip Manor, 11751</v>
      </c>
      <c r="AJ154" s="120" t="str">
        <f>IFERROR(VLOOKUP(Table1[RespondentID],'All Data'!$A$3:$CO$999,91,FALSE),"unknown")</f>
        <v>White</v>
      </c>
      <c r="AK154" s="120" t="str">
        <f>IFERROR(VLOOKUP(Table1[RespondentID],'All Data'!$A$3:$CO$999,92,FALSE),"unknown")</f>
        <v>Hispanic or Latino</v>
      </c>
      <c r="AL154" s="120" t="str">
        <f>IFERROR(VLOOKUP(Table1[RespondentID],'All Data'!$A$3:$CO$999,93,FALSE),"unknown")</f>
        <v>English</v>
      </c>
      <c r="AM154" s="120" t="str">
        <f>IFERROR(VLOOKUP(Table1[RespondentID],'All Data'!$A$3:$CW$999,94,FALSE),"unknown")</f>
        <v>$75,000 to $125,000</v>
      </c>
      <c r="AN154" s="120" t="str">
        <f>IFERROR(VLOOKUP(Table1[RespondentID],'All Data'!$A$3:$CW$999,95,FALSE),"unknown")</f>
        <v>College graduate</v>
      </c>
      <c r="AO154" s="120" t="str">
        <f>IFERROR(VLOOKUP(Table1[RespondentID],'All Data'!$A$3:$CW$999,96,FALSE),"unknown")</f>
        <v>Retired</v>
      </c>
      <c r="AP154" s="120" t="str">
        <f>IFERROR(VLOOKUP(Table1[RespondentID],'All Data'!$A$3:$CW$999,97,FALSE),"unknown")</f>
        <v>Yes</v>
      </c>
      <c r="AQ154" s="120" t="str">
        <f>IFERROR(VLOOKUP(Table1[RespondentID],'All Data'!$A$3:$CW$999,98,FALSE),"unknown")</f>
        <v>Medicare, Private/Commercial</v>
      </c>
      <c r="AR154" s="120" t="str">
        <f>IFERROR(VLOOKUP(Table1[RespondentID],'All Data'!$A$3:$CW$999,99,FALSE),"unknown")</f>
        <v>Yes</v>
      </c>
    </row>
    <row r="155" spans="1:44" ht="16">
      <c r="A155" s="5">
        <v>18021911363</v>
      </c>
      <c r="B155" s="5"/>
      <c r="C155" s="5"/>
      <c r="D155" s="5"/>
      <c r="E155" s="5"/>
      <c r="F155" s="5"/>
      <c r="G155" s="5"/>
      <c r="H155" s="5"/>
      <c r="I155" s="5"/>
      <c r="J155" s="5"/>
      <c r="K155" s="5"/>
      <c r="L155" s="9"/>
      <c r="M155" s="9">
        <f t="shared" si="30"/>
        <v>0</v>
      </c>
      <c r="N155" s="9" t="e">
        <f t="shared" si="31"/>
        <v>#DIV/0!</v>
      </c>
      <c r="O155" s="9"/>
      <c r="P155" s="9">
        <f t="shared" si="32"/>
        <v>0</v>
      </c>
      <c r="Q155" s="9">
        <f t="shared" si="33"/>
        <v>0</v>
      </c>
      <c r="R155" s="9">
        <f t="shared" si="34"/>
        <v>0</v>
      </c>
      <c r="S155" s="9">
        <f t="shared" si="35"/>
        <v>0</v>
      </c>
      <c r="T155" s="9">
        <f t="shared" si="36"/>
        <v>0</v>
      </c>
      <c r="U155" s="9">
        <f t="shared" si="37"/>
        <v>0</v>
      </c>
      <c r="V155" s="153">
        <f t="shared" si="38"/>
        <v>0</v>
      </c>
      <c r="W155" s="9">
        <f t="shared" si="39"/>
        <v>0</v>
      </c>
      <c r="X155" s="9">
        <f t="shared" si="40"/>
        <v>0</v>
      </c>
      <c r="Y155" s="9">
        <f t="shared" si="41"/>
        <v>0</v>
      </c>
      <c r="Z155" s="9"/>
      <c r="AA155" s="9"/>
      <c r="AB155" s="9">
        <f t="shared" si="44"/>
        <v>0</v>
      </c>
      <c r="AC155" s="9">
        <f t="shared" si="42"/>
        <v>0</v>
      </c>
      <c r="AD155" s="9" t="str">
        <f t="shared" si="43"/>
        <v>Correct</v>
      </c>
      <c r="AE155" s="9"/>
      <c r="AF155" s="120" t="str">
        <f>IFERROR(VLOOKUP(Table1[RespondentID],'All Data'!$A$3:$CO$999,87,FALSE),"unknown")</f>
        <v>Man</v>
      </c>
      <c r="AG155" s="120">
        <f>IFERROR(VLOOKUP(Table1[RespondentID],'All Data'!$A$3:$CO$999,88,FALSE),"unknown")</f>
        <v>40</v>
      </c>
      <c r="AH155" s="120" t="str">
        <f>IFERROR(VLOOKUP(Table1[RespondentID],'All Data'!$A$3:$CO$999,89,FALSE),"unknown")</f>
        <v>Suffolk</v>
      </c>
      <c r="AI155" s="120" t="str">
        <f>IFERROR(VLOOKUP(Table1[RespondentID],'All Data'!$A$3:$CO$999,90,FALSE),"unknown")</f>
        <v>Deer Park, 11729</v>
      </c>
      <c r="AJ155" s="120" t="str">
        <f>IFERROR(VLOOKUP(Table1[RespondentID],'All Data'!$A$3:$CO$999,91,FALSE),"unknown")</f>
        <v>White</v>
      </c>
      <c r="AK155" s="120" t="str">
        <f>IFERROR(VLOOKUP(Table1[RespondentID],'All Data'!$A$3:$CO$999,92,FALSE),"unknown")</f>
        <v>Hispanic or Latino</v>
      </c>
      <c r="AL155" s="120" t="str">
        <f>IFERROR(VLOOKUP(Table1[RespondentID],'All Data'!$A$3:$CO$999,93,FALSE),"unknown")</f>
        <v>English</v>
      </c>
      <c r="AM155" s="120" t="str">
        <f>IFERROR(VLOOKUP(Table1[RespondentID],'All Data'!$A$3:$CW$999,94,FALSE),"unknown")</f>
        <v>$75,000 to $125,000</v>
      </c>
      <c r="AN155" s="120" t="str">
        <f>IFERROR(VLOOKUP(Table1[RespondentID],'All Data'!$A$3:$CW$999,95,FALSE),"unknown")</f>
        <v>Graduate school</v>
      </c>
      <c r="AO155" s="120" t="str">
        <f>IFERROR(VLOOKUP(Table1[RespondentID],'All Data'!$A$3:$CW$999,96,FALSE),"unknown")</f>
        <v>Employed for wages</v>
      </c>
      <c r="AP155" s="120" t="str">
        <f>IFERROR(VLOOKUP(Table1[RespondentID],'All Data'!$A$3:$CW$999,97,FALSE),"unknown")</f>
        <v>Yes</v>
      </c>
      <c r="AQ155" s="120" t="str">
        <f>IFERROR(VLOOKUP(Table1[RespondentID],'All Data'!$A$3:$CW$999,98,FALSE),"unknown")</f>
        <v>Private/Commercial</v>
      </c>
      <c r="AR155" s="120" t="str">
        <f>IFERROR(VLOOKUP(Table1[RespondentID],'All Data'!$A$3:$CW$999,99,FALSE),"unknown")</f>
        <v>Yes</v>
      </c>
    </row>
    <row r="156" spans="1:44" ht="16">
      <c r="A156" s="5">
        <v>18021903702</v>
      </c>
      <c r="B156" s="5"/>
      <c r="C156" s="5"/>
      <c r="D156" s="5" t="s">
        <v>31</v>
      </c>
      <c r="E156" s="5"/>
      <c r="F156" s="5"/>
      <c r="G156" s="5"/>
      <c r="H156" s="5"/>
      <c r="I156" s="5"/>
      <c r="J156" s="5"/>
      <c r="K156" s="5"/>
      <c r="L156" s="8"/>
      <c r="M156" s="8">
        <f t="shared" si="30"/>
        <v>1</v>
      </c>
      <c r="N156" s="8">
        <f t="shared" si="31"/>
        <v>3</v>
      </c>
      <c r="O156" s="8"/>
      <c r="P156" s="8">
        <f t="shared" si="32"/>
        <v>0</v>
      </c>
      <c r="Q156" s="8">
        <f t="shared" si="33"/>
        <v>0</v>
      </c>
      <c r="R156" s="8">
        <f t="shared" si="34"/>
        <v>1</v>
      </c>
      <c r="S156" s="8">
        <f t="shared" si="35"/>
        <v>0</v>
      </c>
      <c r="T156" s="8">
        <f t="shared" si="36"/>
        <v>0</v>
      </c>
      <c r="U156" s="8">
        <f t="shared" si="37"/>
        <v>0</v>
      </c>
      <c r="V156" s="153">
        <f t="shared" si="38"/>
        <v>0</v>
      </c>
      <c r="W156" s="8">
        <f t="shared" si="39"/>
        <v>0</v>
      </c>
      <c r="X156" s="8">
        <f t="shared" si="40"/>
        <v>0</v>
      </c>
      <c r="Y156" s="8">
        <f t="shared" si="41"/>
        <v>0</v>
      </c>
      <c r="Z156" s="8"/>
      <c r="AA156" s="8"/>
      <c r="AB156" s="8">
        <f t="shared" si="44"/>
        <v>1</v>
      </c>
      <c r="AC156" s="8">
        <f t="shared" si="42"/>
        <v>1</v>
      </c>
      <c r="AD156" s="8" t="str">
        <f t="shared" si="43"/>
        <v>Correct</v>
      </c>
      <c r="AE156" s="8"/>
      <c r="AF156" s="120" t="str">
        <f>IFERROR(VLOOKUP(Table1[RespondentID],'All Data'!$A$3:$CO$999,87,FALSE),"unknown")</f>
        <v>Man</v>
      </c>
      <c r="AG156" s="120">
        <f>IFERROR(VLOOKUP(Table1[RespondentID],'All Data'!$A$3:$CO$999,88,FALSE),"unknown")</f>
        <v>49</v>
      </c>
      <c r="AH156" s="120" t="str">
        <f>IFERROR(VLOOKUP(Table1[RespondentID],'All Data'!$A$3:$CO$999,89,FALSE),"unknown")</f>
        <v>Suffolk</v>
      </c>
      <c r="AI156" s="120" t="str">
        <f>IFERROR(VLOOKUP(Table1[RespondentID],'All Data'!$A$3:$CO$999,90,FALSE),"unknown")</f>
        <v>Copiague, 11726</v>
      </c>
      <c r="AJ156" s="120" t="str">
        <f>IFERROR(VLOOKUP(Table1[RespondentID],'All Data'!$A$3:$CO$999,91,FALSE),"unknown")</f>
        <v>Other (please specify)</v>
      </c>
      <c r="AK156" s="120" t="str">
        <f>IFERROR(VLOOKUP(Table1[RespondentID],'All Data'!$A$3:$CO$999,92,FALSE),"unknown")</f>
        <v>Not Hispanic or Latino</v>
      </c>
      <c r="AL156" s="120" t="str">
        <f>IFERROR(VLOOKUP(Table1[RespondentID],'All Data'!$A$3:$CO$999,93,FALSE),"unknown")</f>
        <v>English</v>
      </c>
      <c r="AM156" s="120" t="str">
        <f>IFERROR(VLOOKUP(Table1[RespondentID],'All Data'!$A$3:$CW$999,94,FALSE),"unknown")</f>
        <v>Over $125,000</v>
      </c>
      <c r="AN156" s="120" t="str">
        <f>IFERROR(VLOOKUP(Table1[RespondentID],'All Data'!$A$3:$CW$999,95,FALSE),"unknown")</f>
        <v>College graduate</v>
      </c>
      <c r="AO156" s="120" t="str">
        <f>IFERROR(VLOOKUP(Table1[RespondentID],'All Data'!$A$3:$CW$999,96,FALSE),"unknown")</f>
        <v>Employed for wages</v>
      </c>
      <c r="AP156" s="120" t="str">
        <f>IFERROR(VLOOKUP(Table1[RespondentID],'All Data'!$A$3:$CW$999,97,FALSE),"unknown")</f>
        <v>Yes</v>
      </c>
      <c r="AQ156" s="120" t="str">
        <f>IFERROR(VLOOKUP(Table1[RespondentID],'All Data'!$A$3:$CW$999,98,FALSE),"unknown")</f>
        <v>Private/Commercial</v>
      </c>
      <c r="AR156" s="120" t="str">
        <f>IFERROR(VLOOKUP(Table1[RespondentID],'All Data'!$A$3:$CW$999,99,FALSE),"unknown")</f>
        <v>Yes</v>
      </c>
    </row>
    <row r="157" spans="1:44" ht="16">
      <c r="A157" s="5">
        <v>18021801473</v>
      </c>
      <c r="B157" s="5"/>
      <c r="C157" s="5"/>
      <c r="D157" s="5" t="s">
        <v>31</v>
      </c>
      <c r="E157" s="5"/>
      <c r="F157" s="5"/>
      <c r="G157" s="5"/>
      <c r="H157" s="5"/>
      <c r="I157" s="5"/>
      <c r="J157" s="5"/>
      <c r="K157" s="5"/>
      <c r="L157" s="9"/>
      <c r="M157" s="9">
        <f t="shared" si="30"/>
        <v>1</v>
      </c>
      <c r="N157" s="9">
        <f t="shared" si="31"/>
        <v>3</v>
      </c>
      <c r="O157" s="9"/>
      <c r="P157" s="9">
        <f t="shared" si="32"/>
        <v>0</v>
      </c>
      <c r="Q157" s="9">
        <f t="shared" si="33"/>
        <v>0</v>
      </c>
      <c r="R157" s="9">
        <f t="shared" si="34"/>
        <v>1</v>
      </c>
      <c r="S157" s="9">
        <f t="shared" si="35"/>
        <v>0</v>
      </c>
      <c r="T157" s="9">
        <f t="shared" si="36"/>
        <v>0</v>
      </c>
      <c r="U157" s="9">
        <f t="shared" si="37"/>
        <v>0</v>
      </c>
      <c r="V157" s="153">
        <f t="shared" si="38"/>
        <v>0</v>
      </c>
      <c r="W157" s="9">
        <f t="shared" si="39"/>
        <v>0</v>
      </c>
      <c r="X157" s="9">
        <f t="shared" si="40"/>
        <v>0</v>
      </c>
      <c r="Y157" s="9">
        <f t="shared" si="41"/>
        <v>0</v>
      </c>
      <c r="Z157" s="9"/>
      <c r="AA157" s="9"/>
      <c r="AB157" s="9">
        <f t="shared" si="44"/>
        <v>1</v>
      </c>
      <c r="AC157" s="9">
        <f t="shared" si="42"/>
        <v>1</v>
      </c>
      <c r="AD157" s="9" t="str">
        <f t="shared" si="43"/>
        <v>Correct</v>
      </c>
      <c r="AE157" s="9"/>
      <c r="AF157" s="120" t="str">
        <f>IFERROR(VLOOKUP(Table1[RespondentID],'All Data'!$A$3:$CO$999,87,FALSE),"unknown")</f>
        <v>Man</v>
      </c>
      <c r="AG157" s="120">
        <f>IFERROR(VLOOKUP(Table1[RespondentID],'All Data'!$A$3:$CO$999,88,FALSE),"unknown")</f>
        <v>18</v>
      </c>
      <c r="AH157" s="120">
        <f>IFERROR(VLOOKUP(Table1[RespondentID],'All Data'!$A$3:$CO$999,89,FALSE),"unknown")</f>
        <v>0</v>
      </c>
      <c r="AI157" s="120">
        <f>IFERROR(VLOOKUP(Table1[RespondentID],'All Data'!$A$3:$CO$999,90,FALSE),"unknown")</f>
        <v>0</v>
      </c>
      <c r="AJ157" s="120">
        <f>IFERROR(VLOOKUP(Table1[RespondentID],'All Data'!$A$3:$CO$999,91,FALSE),"unknown")</f>
        <v>0</v>
      </c>
      <c r="AK157" s="120">
        <f>IFERROR(VLOOKUP(Table1[RespondentID],'All Data'!$A$3:$CO$999,92,FALSE),"unknown")</f>
        <v>0</v>
      </c>
      <c r="AL157" s="120">
        <f>IFERROR(VLOOKUP(Table1[RespondentID],'All Data'!$A$3:$CO$999,93,FALSE),"unknown")</f>
        <v>0</v>
      </c>
      <c r="AM157" s="120">
        <f>IFERROR(VLOOKUP(Table1[RespondentID],'All Data'!$A$3:$CW$999,94,FALSE),"unknown")</f>
        <v>0</v>
      </c>
      <c r="AN157" s="120">
        <f>IFERROR(VLOOKUP(Table1[RespondentID],'All Data'!$A$3:$CW$999,95,FALSE),"unknown")</f>
        <v>0</v>
      </c>
      <c r="AO157" s="120">
        <f>IFERROR(VLOOKUP(Table1[RespondentID],'All Data'!$A$3:$CW$999,96,FALSE),"unknown")</f>
        <v>0</v>
      </c>
      <c r="AP157" s="120">
        <f>IFERROR(VLOOKUP(Table1[RespondentID],'All Data'!$A$3:$CW$999,97,FALSE),"unknown")</f>
        <v>0</v>
      </c>
      <c r="AQ157" s="120">
        <f>IFERROR(VLOOKUP(Table1[RespondentID],'All Data'!$A$3:$CW$999,98,FALSE),"unknown")</f>
        <v>0</v>
      </c>
      <c r="AR157" s="120">
        <f>IFERROR(VLOOKUP(Table1[RespondentID],'All Data'!$A$3:$CW$999,99,FALSE),"unknown")</f>
        <v>0</v>
      </c>
    </row>
    <row r="158" spans="1:44" ht="16">
      <c r="A158" s="5">
        <v>18021801305</v>
      </c>
      <c r="B158" s="5" t="s">
        <v>29</v>
      </c>
      <c r="C158" s="5"/>
      <c r="D158" s="5"/>
      <c r="E158" s="5"/>
      <c r="F158" s="5"/>
      <c r="G158" s="5"/>
      <c r="H158" s="5" t="s">
        <v>35</v>
      </c>
      <c r="I158" s="5" t="s">
        <v>36</v>
      </c>
      <c r="J158" s="5"/>
      <c r="K158" s="5"/>
      <c r="L158" s="8"/>
      <c r="M158" s="8">
        <f t="shared" si="30"/>
        <v>3</v>
      </c>
      <c r="N158" s="8">
        <f t="shared" si="31"/>
        <v>1</v>
      </c>
      <c r="O158" s="8"/>
      <c r="P158" s="8">
        <f t="shared" si="32"/>
        <v>1</v>
      </c>
      <c r="Q158" s="8">
        <f t="shared" si="33"/>
        <v>0</v>
      </c>
      <c r="R158" s="8">
        <f t="shared" si="34"/>
        <v>0</v>
      </c>
      <c r="S158" s="8">
        <f t="shared" si="35"/>
        <v>0</v>
      </c>
      <c r="T158" s="8">
        <f t="shared" si="36"/>
        <v>0</v>
      </c>
      <c r="U158" s="8">
        <f t="shared" si="37"/>
        <v>0</v>
      </c>
      <c r="V158" s="153">
        <f t="shared" si="38"/>
        <v>1</v>
      </c>
      <c r="W158" s="8">
        <f t="shared" si="39"/>
        <v>1</v>
      </c>
      <c r="X158" s="8">
        <f t="shared" si="40"/>
        <v>0</v>
      </c>
      <c r="Y158" s="8">
        <f t="shared" si="41"/>
        <v>0</v>
      </c>
      <c r="Z158" s="8"/>
      <c r="AA158" s="8"/>
      <c r="AB158" s="8">
        <f t="shared" si="44"/>
        <v>3</v>
      </c>
      <c r="AC158" s="8">
        <f t="shared" si="42"/>
        <v>3</v>
      </c>
      <c r="AD158" s="8" t="str">
        <f t="shared" si="43"/>
        <v>Correct</v>
      </c>
      <c r="AE158" s="8"/>
      <c r="AF158" s="120" t="str">
        <f>IFERROR(VLOOKUP(Table1[RespondentID],'All Data'!$A$3:$CO$999,87,FALSE),"unknown")</f>
        <v>Woman</v>
      </c>
      <c r="AG158" s="120">
        <f>IFERROR(VLOOKUP(Table1[RespondentID],'All Data'!$A$3:$CO$999,88,FALSE),"unknown")</f>
        <v>18</v>
      </c>
      <c r="AH158" s="120" t="str">
        <f>IFERROR(VLOOKUP(Table1[RespondentID],'All Data'!$A$3:$CO$999,89,FALSE),"unknown")</f>
        <v>Suffolk</v>
      </c>
      <c r="AI158" s="120" t="str">
        <f>IFERROR(VLOOKUP(Table1[RespondentID],'All Data'!$A$3:$CO$999,90,FALSE),"unknown")</f>
        <v>Commack, 11725</v>
      </c>
      <c r="AJ158" s="120" t="str">
        <f>IFERROR(VLOOKUP(Table1[RespondentID],'All Data'!$A$3:$CO$999,91,FALSE),"unknown")</f>
        <v>American Indian and Alaska Native</v>
      </c>
      <c r="AK158" s="120" t="str">
        <f>IFERROR(VLOOKUP(Table1[RespondentID],'All Data'!$A$3:$CO$999,92,FALSE),"unknown")</f>
        <v>Hispanic or Latino</v>
      </c>
      <c r="AL158" s="120" t="str">
        <f>IFERROR(VLOOKUP(Table1[RespondentID],'All Data'!$A$3:$CO$999,93,FALSE),"unknown")</f>
        <v>English</v>
      </c>
      <c r="AM158" s="120" t="str">
        <f>IFERROR(VLOOKUP(Table1[RespondentID],'All Data'!$A$3:$CW$999,94,FALSE),"unknown")</f>
        <v>Over $125,000</v>
      </c>
      <c r="AN158" s="120" t="str">
        <f>IFERROR(VLOOKUP(Table1[RespondentID],'All Data'!$A$3:$CW$999,95,FALSE),"unknown")</f>
        <v>High school graduate</v>
      </c>
      <c r="AO158" s="120" t="str">
        <f>IFERROR(VLOOKUP(Table1[RespondentID],'All Data'!$A$3:$CW$999,96,FALSE),"unknown")</f>
        <v>Student</v>
      </c>
      <c r="AP158" s="120" t="str">
        <f>IFERROR(VLOOKUP(Table1[RespondentID],'All Data'!$A$3:$CW$999,97,FALSE),"unknown")</f>
        <v>Yes</v>
      </c>
      <c r="AQ158" s="120">
        <f>IFERROR(VLOOKUP(Table1[RespondentID],'All Data'!$A$3:$CW$999,98,FALSE),"unknown")</f>
        <v>0</v>
      </c>
      <c r="AR158" s="120">
        <f>IFERROR(VLOOKUP(Table1[RespondentID],'All Data'!$A$3:$CW$999,99,FALSE),"unknown")</f>
        <v>0</v>
      </c>
    </row>
    <row r="159" spans="1:44" ht="16">
      <c r="A159" s="5">
        <v>18021801172</v>
      </c>
      <c r="B159" s="5"/>
      <c r="C159" s="5"/>
      <c r="D159" s="5"/>
      <c r="E159" s="5" t="s">
        <v>32</v>
      </c>
      <c r="F159" s="5"/>
      <c r="G159" s="5"/>
      <c r="H159" s="5" t="s">
        <v>35</v>
      </c>
      <c r="I159" s="5"/>
      <c r="J159" s="5" t="s">
        <v>37</v>
      </c>
      <c r="K159" s="5"/>
      <c r="L159" s="9"/>
      <c r="M159" s="9">
        <f t="shared" si="30"/>
        <v>3</v>
      </c>
      <c r="N159" s="9">
        <f t="shared" si="31"/>
        <v>1</v>
      </c>
      <c r="O159" s="9"/>
      <c r="P159" s="9">
        <f t="shared" si="32"/>
        <v>0</v>
      </c>
      <c r="Q159" s="9">
        <f t="shared" si="33"/>
        <v>0</v>
      </c>
      <c r="R159" s="9">
        <f t="shared" si="34"/>
        <v>0</v>
      </c>
      <c r="S159" s="9">
        <f t="shared" si="35"/>
        <v>1</v>
      </c>
      <c r="T159" s="9">
        <f t="shared" si="36"/>
        <v>0</v>
      </c>
      <c r="U159" s="9">
        <f t="shared" si="37"/>
        <v>0</v>
      </c>
      <c r="V159" s="153">
        <f t="shared" si="38"/>
        <v>1</v>
      </c>
      <c r="W159" s="9">
        <f t="shared" si="39"/>
        <v>0</v>
      </c>
      <c r="X159" s="9">
        <f t="shared" si="40"/>
        <v>1</v>
      </c>
      <c r="Y159" s="9">
        <f t="shared" si="41"/>
        <v>0</v>
      </c>
      <c r="Z159" s="9"/>
      <c r="AA159" s="9"/>
      <c r="AB159" s="9">
        <f t="shared" si="44"/>
        <v>3</v>
      </c>
      <c r="AC159" s="9">
        <f t="shared" si="42"/>
        <v>3</v>
      </c>
      <c r="AD159" s="9" t="str">
        <f t="shared" si="43"/>
        <v>Correct</v>
      </c>
      <c r="AE159" s="9"/>
      <c r="AF159" s="120" t="str">
        <f>IFERROR(VLOOKUP(Table1[RespondentID],'All Data'!$A$3:$CO$999,87,FALSE),"unknown")</f>
        <v>Transgender</v>
      </c>
      <c r="AG159" s="120">
        <f>IFERROR(VLOOKUP(Table1[RespondentID],'All Data'!$A$3:$CO$999,88,FALSE),"unknown")</f>
        <v>27</v>
      </c>
      <c r="AH159" s="120" t="str">
        <f>IFERROR(VLOOKUP(Table1[RespondentID],'All Data'!$A$3:$CO$999,89,FALSE),"unknown")</f>
        <v>Suffolk</v>
      </c>
      <c r="AI159" s="120" t="str">
        <f>IFERROR(VLOOKUP(Table1[RespondentID],'All Data'!$A$3:$CO$999,90,FALSE),"unknown")</f>
        <v>Commack, 11725</v>
      </c>
      <c r="AJ159" s="120" t="str">
        <f>IFERROR(VLOOKUP(Table1[RespondentID],'All Data'!$A$3:$CO$999,91,FALSE),"unknown")</f>
        <v>American Indian and Alaska Native</v>
      </c>
      <c r="AK159" s="120" t="str">
        <f>IFERROR(VLOOKUP(Table1[RespondentID],'All Data'!$A$3:$CO$999,92,FALSE),"unknown")</f>
        <v>Not Hispanic or Latino</v>
      </c>
      <c r="AL159" s="120" t="str">
        <f>IFERROR(VLOOKUP(Table1[RespondentID],'All Data'!$A$3:$CO$999,93,FALSE),"unknown")</f>
        <v>English</v>
      </c>
      <c r="AM159" s="120" t="str">
        <f>IFERROR(VLOOKUP(Table1[RespondentID],'All Data'!$A$3:$CW$999,94,FALSE),"unknown")</f>
        <v>Over $125,000</v>
      </c>
      <c r="AN159" s="120" t="str">
        <f>IFERROR(VLOOKUP(Table1[RespondentID],'All Data'!$A$3:$CW$999,95,FALSE),"unknown")</f>
        <v>Some college</v>
      </c>
      <c r="AO159" s="120" t="str">
        <f>IFERROR(VLOOKUP(Table1[RespondentID],'All Data'!$A$3:$CW$999,96,FALSE),"unknown")</f>
        <v>Self-employed</v>
      </c>
      <c r="AP159" s="120" t="str">
        <f>IFERROR(VLOOKUP(Table1[RespondentID],'All Data'!$A$3:$CW$999,97,FALSE),"unknown")</f>
        <v>Yes</v>
      </c>
      <c r="AQ159" s="120">
        <f>IFERROR(VLOOKUP(Table1[RespondentID],'All Data'!$A$3:$CW$999,98,FALSE),"unknown")</f>
        <v>0</v>
      </c>
      <c r="AR159" s="120">
        <f>IFERROR(VLOOKUP(Table1[RespondentID],'All Data'!$A$3:$CW$999,99,FALSE),"unknown")</f>
        <v>0</v>
      </c>
    </row>
    <row r="160" spans="1:44" ht="16">
      <c r="A160" s="5">
        <v>18021800907</v>
      </c>
      <c r="B160" s="5"/>
      <c r="C160" s="5"/>
      <c r="D160" s="5"/>
      <c r="E160" s="5"/>
      <c r="F160" s="5"/>
      <c r="G160" s="5"/>
      <c r="H160" s="5"/>
      <c r="I160" s="5" t="s">
        <v>36</v>
      </c>
      <c r="J160" s="5" t="s">
        <v>37</v>
      </c>
      <c r="K160" s="5" t="s">
        <v>375</v>
      </c>
      <c r="L160" s="8"/>
      <c r="M160" s="8">
        <f t="shared" si="30"/>
        <v>3</v>
      </c>
      <c r="N160" s="8">
        <f t="shared" si="31"/>
        <v>1</v>
      </c>
      <c r="O160" s="8"/>
      <c r="P160" s="8">
        <f t="shared" si="32"/>
        <v>0</v>
      </c>
      <c r="Q160" s="8">
        <f t="shared" si="33"/>
        <v>0</v>
      </c>
      <c r="R160" s="8">
        <f t="shared" si="34"/>
        <v>0</v>
      </c>
      <c r="S160" s="8">
        <f t="shared" si="35"/>
        <v>0</v>
      </c>
      <c r="T160" s="8">
        <f t="shared" si="36"/>
        <v>0</v>
      </c>
      <c r="U160" s="8">
        <f t="shared" si="37"/>
        <v>0</v>
      </c>
      <c r="V160" s="153">
        <f t="shared" si="38"/>
        <v>0</v>
      </c>
      <c r="W160" s="8">
        <f t="shared" si="39"/>
        <v>1</v>
      </c>
      <c r="X160" s="8">
        <f t="shared" si="40"/>
        <v>1</v>
      </c>
      <c r="Y160" s="8">
        <f t="shared" si="41"/>
        <v>1</v>
      </c>
      <c r="Z160" s="8"/>
      <c r="AA160" s="8"/>
      <c r="AB160" s="8">
        <f t="shared" si="44"/>
        <v>3</v>
      </c>
      <c r="AC160" s="8">
        <f t="shared" si="42"/>
        <v>3</v>
      </c>
      <c r="AD160" s="8" t="str">
        <f t="shared" si="43"/>
        <v>Correct</v>
      </c>
      <c r="AE160" s="8"/>
      <c r="AF160" s="120" t="str">
        <f>IFERROR(VLOOKUP(Table1[RespondentID],'All Data'!$A$3:$CO$999,87,FALSE),"unknown")</f>
        <v>Man</v>
      </c>
      <c r="AG160" s="120">
        <f>IFERROR(VLOOKUP(Table1[RespondentID],'All Data'!$A$3:$CO$999,88,FALSE),"unknown")</f>
        <v>43</v>
      </c>
      <c r="AH160" s="120" t="str">
        <f>IFERROR(VLOOKUP(Table1[RespondentID],'All Data'!$A$3:$CO$999,89,FALSE),"unknown")</f>
        <v>Suffolk</v>
      </c>
      <c r="AI160" s="120" t="str">
        <f>IFERROR(VLOOKUP(Table1[RespondentID],'All Data'!$A$3:$CO$999,90,FALSE),"unknown")</f>
        <v>Commack, 11725</v>
      </c>
      <c r="AJ160" s="120" t="str">
        <f>IFERROR(VLOOKUP(Table1[RespondentID],'All Data'!$A$3:$CO$999,91,FALSE),"unknown")</f>
        <v>American Indian and Alaska Native</v>
      </c>
      <c r="AK160" s="120" t="str">
        <f>IFERROR(VLOOKUP(Table1[RespondentID],'All Data'!$A$3:$CO$999,92,FALSE),"unknown")</f>
        <v>Hispanic or Latino</v>
      </c>
      <c r="AL160" s="120" t="str">
        <f>IFERROR(VLOOKUP(Table1[RespondentID],'All Data'!$A$3:$CO$999,93,FALSE),"unknown")</f>
        <v>English, Hindi</v>
      </c>
      <c r="AM160" s="120" t="str">
        <f>IFERROR(VLOOKUP(Table1[RespondentID],'All Data'!$A$3:$CW$999,94,FALSE),"unknown")</f>
        <v>$50,000 to $74,999</v>
      </c>
      <c r="AN160" s="120" t="str">
        <f>IFERROR(VLOOKUP(Table1[RespondentID],'All Data'!$A$3:$CW$999,95,FALSE),"unknown")</f>
        <v>Some high school</v>
      </c>
      <c r="AO160" s="120" t="str">
        <f>IFERROR(VLOOKUP(Table1[RespondentID],'All Data'!$A$3:$CW$999,96,FALSE),"unknown")</f>
        <v>Employed for wages</v>
      </c>
      <c r="AP160" s="120" t="str">
        <f>IFERROR(VLOOKUP(Table1[RespondentID],'All Data'!$A$3:$CW$999,97,FALSE),"unknown")</f>
        <v>Yes</v>
      </c>
      <c r="AQ160" s="120">
        <f>IFERROR(VLOOKUP(Table1[RespondentID],'All Data'!$A$3:$CW$999,98,FALSE),"unknown")</f>
        <v>0</v>
      </c>
      <c r="AR160" s="120">
        <f>IFERROR(VLOOKUP(Table1[RespondentID],'All Data'!$A$3:$CW$999,99,FALSE),"unknown")</f>
        <v>0</v>
      </c>
    </row>
    <row r="161" spans="1:44" ht="16">
      <c r="A161" s="5">
        <v>18021800772</v>
      </c>
      <c r="B161" s="5"/>
      <c r="C161" s="5"/>
      <c r="D161" s="5" t="s">
        <v>31</v>
      </c>
      <c r="E161" s="5"/>
      <c r="F161" s="5"/>
      <c r="G161" s="5"/>
      <c r="H161" s="5"/>
      <c r="I161" s="5"/>
      <c r="J161" s="5"/>
      <c r="K161" s="5" t="s">
        <v>375</v>
      </c>
      <c r="L161" s="9"/>
      <c r="M161" s="9">
        <f t="shared" si="30"/>
        <v>2</v>
      </c>
      <c r="N161" s="9">
        <f t="shared" si="31"/>
        <v>1.5</v>
      </c>
      <c r="O161" s="9"/>
      <c r="P161" s="9">
        <f t="shared" si="32"/>
        <v>0</v>
      </c>
      <c r="Q161" s="9">
        <f t="shared" si="33"/>
        <v>0</v>
      </c>
      <c r="R161" s="9">
        <f t="shared" si="34"/>
        <v>1</v>
      </c>
      <c r="S161" s="9">
        <f t="shared" si="35"/>
        <v>0</v>
      </c>
      <c r="T161" s="9">
        <f t="shared" si="36"/>
        <v>0</v>
      </c>
      <c r="U161" s="9">
        <f t="shared" si="37"/>
        <v>0</v>
      </c>
      <c r="V161" s="153">
        <f t="shared" si="38"/>
        <v>0</v>
      </c>
      <c r="W161" s="9">
        <f t="shared" si="39"/>
        <v>0</v>
      </c>
      <c r="X161" s="9">
        <f t="shared" si="40"/>
        <v>0</v>
      </c>
      <c r="Y161" s="9">
        <f t="shared" si="41"/>
        <v>1</v>
      </c>
      <c r="Z161" s="9"/>
      <c r="AA161" s="9"/>
      <c r="AB161" s="9">
        <f t="shared" si="44"/>
        <v>2</v>
      </c>
      <c r="AC161" s="9">
        <f t="shared" si="42"/>
        <v>2</v>
      </c>
      <c r="AD161" s="9" t="str">
        <f t="shared" si="43"/>
        <v>Correct</v>
      </c>
      <c r="AE161" s="9"/>
      <c r="AF161" s="120" t="str">
        <f>IFERROR(VLOOKUP(Table1[RespondentID],'All Data'!$A$3:$CO$999,87,FALSE),"unknown")</f>
        <v>Woman</v>
      </c>
      <c r="AG161" s="120">
        <f>IFERROR(VLOOKUP(Table1[RespondentID],'All Data'!$A$3:$CO$999,88,FALSE),"unknown")</f>
        <v>42</v>
      </c>
      <c r="AH161" s="120" t="str">
        <f>IFERROR(VLOOKUP(Table1[RespondentID],'All Data'!$A$3:$CO$999,89,FALSE),"unknown")</f>
        <v>Nassau</v>
      </c>
      <c r="AI161" s="120" t="str">
        <f>IFERROR(VLOOKUP(Table1[RespondentID],'All Data'!$A$3:$CO$999,90,FALSE),"unknown")</f>
        <v>Westbury, 11590</v>
      </c>
      <c r="AJ161" s="120" t="str">
        <f>IFERROR(VLOOKUP(Table1[RespondentID],'All Data'!$A$3:$CO$999,91,FALSE),"unknown")</f>
        <v>White</v>
      </c>
      <c r="AK161" s="120" t="str">
        <f>IFERROR(VLOOKUP(Table1[RespondentID],'All Data'!$A$3:$CO$999,92,FALSE),"unknown")</f>
        <v>Hispanic or Latino</v>
      </c>
      <c r="AL161" s="120" t="str">
        <f>IFERROR(VLOOKUP(Table1[RespondentID],'All Data'!$A$3:$CO$999,93,FALSE),"unknown")</f>
        <v>English</v>
      </c>
      <c r="AM161" s="120" t="str">
        <f>IFERROR(VLOOKUP(Table1[RespondentID],'All Data'!$A$3:$CW$999,94,FALSE),"unknown")</f>
        <v>Over $125,000</v>
      </c>
      <c r="AN161" s="120" t="str">
        <f>IFERROR(VLOOKUP(Table1[RespondentID],'All Data'!$A$3:$CW$999,95,FALSE),"unknown")</f>
        <v>Doctorate</v>
      </c>
      <c r="AO161" s="120" t="str">
        <f>IFERROR(VLOOKUP(Table1[RespondentID],'All Data'!$A$3:$CW$999,96,FALSE),"unknown")</f>
        <v>Employed for wages</v>
      </c>
      <c r="AP161" s="120" t="str">
        <f>IFERROR(VLOOKUP(Table1[RespondentID],'All Data'!$A$3:$CW$999,97,FALSE),"unknown")</f>
        <v>Yes</v>
      </c>
      <c r="AQ161" s="120">
        <f>IFERROR(VLOOKUP(Table1[RespondentID],'All Data'!$A$3:$CW$999,98,FALSE),"unknown")</f>
        <v>0</v>
      </c>
      <c r="AR161" s="120">
        <f>IFERROR(VLOOKUP(Table1[RespondentID],'All Data'!$A$3:$CW$999,99,FALSE),"unknown")</f>
        <v>0</v>
      </c>
    </row>
    <row r="162" spans="1:44" ht="16">
      <c r="A162" s="5">
        <v>18021800631</v>
      </c>
      <c r="B162" s="5"/>
      <c r="C162" s="5"/>
      <c r="D162" s="5"/>
      <c r="E162" s="5"/>
      <c r="F162" s="5"/>
      <c r="G162" s="5" t="s">
        <v>34</v>
      </c>
      <c r="H162" s="5" t="s">
        <v>35</v>
      </c>
      <c r="I162" s="5"/>
      <c r="J162" s="5"/>
      <c r="K162" s="5" t="s">
        <v>375</v>
      </c>
      <c r="L162" s="8"/>
      <c r="M162" s="8">
        <f t="shared" si="30"/>
        <v>3</v>
      </c>
      <c r="N162" s="8">
        <f t="shared" si="31"/>
        <v>1</v>
      </c>
      <c r="O162" s="8"/>
      <c r="P162" s="8">
        <f t="shared" si="32"/>
        <v>0</v>
      </c>
      <c r="Q162" s="8">
        <f t="shared" si="33"/>
        <v>0</v>
      </c>
      <c r="R162" s="8">
        <f t="shared" si="34"/>
        <v>0</v>
      </c>
      <c r="S162" s="8">
        <f t="shared" si="35"/>
        <v>0</v>
      </c>
      <c r="T162" s="8">
        <f t="shared" si="36"/>
        <v>0</v>
      </c>
      <c r="U162" s="8">
        <f t="shared" si="37"/>
        <v>1</v>
      </c>
      <c r="V162" s="153">
        <f t="shared" si="38"/>
        <v>1</v>
      </c>
      <c r="W162" s="8">
        <f t="shared" si="39"/>
        <v>0</v>
      </c>
      <c r="X162" s="8">
        <f t="shared" si="40"/>
        <v>0</v>
      </c>
      <c r="Y162" s="8">
        <f t="shared" si="41"/>
        <v>1</v>
      </c>
      <c r="Z162" s="8"/>
      <c r="AA162" s="8"/>
      <c r="AB162" s="8">
        <f t="shared" si="44"/>
        <v>3</v>
      </c>
      <c r="AC162" s="8">
        <f t="shared" si="42"/>
        <v>3</v>
      </c>
      <c r="AD162" s="8" t="str">
        <f t="shared" si="43"/>
        <v>Correct</v>
      </c>
      <c r="AE162" s="8"/>
      <c r="AF162" s="120" t="str">
        <f>IFERROR(VLOOKUP(Table1[RespondentID],'All Data'!$A$3:$CO$999,87,FALSE),"unknown")</f>
        <v>Man</v>
      </c>
      <c r="AG162" s="120">
        <f>IFERROR(VLOOKUP(Table1[RespondentID],'All Data'!$A$3:$CO$999,88,FALSE),"unknown")</f>
        <v>54</v>
      </c>
      <c r="AH162" s="120" t="str">
        <f>IFERROR(VLOOKUP(Table1[RespondentID],'All Data'!$A$3:$CO$999,89,FALSE),"unknown")</f>
        <v>Nassau</v>
      </c>
      <c r="AI162" s="120" t="str">
        <f>IFERROR(VLOOKUP(Table1[RespondentID],'All Data'!$A$3:$CO$999,90,FALSE),"unknown")</f>
        <v>Bethpage, 11714</v>
      </c>
      <c r="AJ162" s="120" t="str">
        <f>IFERROR(VLOOKUP(Table1[RespondentID],'All Data'!$A$3:$CO$999,91,FALSE),"unknown")</f>
        <v>White</v>
      </c>
      <c r="AK162" s="120" t="str">
        <f>IFERROR(VLOOKUP(Table1[RespondentID],'All Data'!$A$3:$CO$999,92,FALSE),"unknown")</f>
        <v>Hispanic or Latino</v>
      </c>
      <c r="AL162" s="120" t="str">
        <f>IFERROR(VLOOKUP(Table1[RespondentID],'All Data'!$A$3:$CO$999,93,FALSE),"unknown")</f>
        <v>English</v>
      </c>
      <c r="AM162" s="120" t="str">
        <f>IFERROR(VLOOKUP(Table1[RespondentID],'All Data'!$A$3:$CW$999,94,FALSE),"unknown")</f>
        <v>Over $125,000</v>
      </c>
      <c r="AN162" s="120" t="str">
        <f>IFERROR(VLOOKUP(Table1[RespondentID],'All Data'!$A$3:$CW$999,95,FALSE),"unknown")</f>
        <v>Graduate school</v>
      </c>
      <c r="AO162" s="120" t="str">
        <f>IFERROR(VLOOKUP(Table1[RespondentID],'All Data'!$A$3:$CW$999,96,FALSE),"unknown")</f>
        <v>Employed for wages</v>
      </c>
      <c r="AP162" s="120" t="str">
        <f>IFERROR(VLOOKUP(Table1[RespondentID],'All Data'!$A$3:$CW$999,97,FALSE),"unknown")</f>
        <v>Yes</v>
      </c>
      <c r="AQ162" s="120">
        <f>IFERROR(VLOOKUP(Table1[RespondentID],'All Data'!$A$3:$CW$999,98,FALSE),"unknown")</f>
        <v>0</v>
      </c>
      <c r="AR162" s="120">
        <f>IFERROR(VLOOKUP(Table1[RespondentID],'All Data'!$A$3:$CW$999,99,FALSE),"unknown")</f>
        <v>0</v>
      </c>
    </row>
    <row r="163" spans="1:44" ht="16">
      <c r="A163" s="5">
        <v>18021800480</v>
      </c>
      <c r="B163" s="5"/>
      <c r="C163" s="5"/>
      <c r="D163" s="5"/>
      <c r="E163" s="5"/>
      <c r="F163" s="5"/>
      <c r="G163" s="5"/>
      <c r="H163" s="5"/>
      <c r="I163" s="5" t="s">
        <v>36</v>
      </c>
      <c r="J163" s="5" t="s">
        <v>37</v>
      </c>
      <c r="K163" s="5"/>
      <c r="L163" s="9"/>
      <c r="M163" s="9">
        <f t="shared" si="30"/>
        <v>2</v>
      </c>
      <c r="N163" s="9">
        <f t="shared" si="31"/>
        <v>1.5</v>
      </c>
      <c r="O163" s="9"/>
      <c r="P163" s="9">
        <f t="shared" si="32"/>
        <v>0</v>
      </c>
      <c r="Q163" s="9">
        <f t="shared" si="33"/>
        <v>0</v>
      </c>
      <c r="R163" s="9">
        <f t="shared" si="34"/>
        <v>0</v>
      </c>
      <c r="S163" s="9">
        <f t="shared" si="35"/>
        <v>0</v>
      </c>
      <c r="T163" s="9">
        <f t="shared" si="36"/>
        <v>0</v>
      </c>
      <c r="U163" s="9">
        <f t="shared" si="37"/>
        <v>0</v>
      </c>
      <c r="V163" s="153">
        <f t="shared" si="38"/>
        <v>0</v>
      </c>
      <c r="W163" s="9">
        <f t="shared" si="39"/>
        <v>1</v>
      </c>
      <c r="X163" s="9">
        <f t="shared" si="40"/>
        <v>1</v>
      </c>
      <c r="Y163" s="9">
        <f t="shared" si="41"/>
        <v>0</v>
      </c>
      <c r="Z163" s="9"/>
      <c r="AA163" s="9"/>
      <c r="AB163" s="9">
        <f t="shared" si="44"/>
        <v>2</v>
      </c>
      <c r="AC163" s="9">
        <f t="shared" si="42"/>
        <v>2</v>
      </c>
      <c r="AD163" s="9" t="str">
        <f t="shared" si="43"/>
        <v>Correct</v>
      </c>
      <c r="AE163" s="9"/>
      <c r="AF163" s="120" t="str">
        <f>IFERROR(VLOOKUP(Table1[RespondentID],'All Data'!$A$3:$CO$999,87,FALSE),"unknown")</f>
        <v>Woman</v>
      </c>
      <c r="AG163" s="120">
        <f>IFERROR(VLOOKUP(Table1[RespondentID],'All Data'!$A$3:$CO$999,88,FALSE),"unknown")</f>
        <v>18</v>
      </c>
      <c r="AH163" s="120" t="str">
        <f>IFERROR(VLOOKUP(Table1[RespondentID],'All Data'!$A$3:$CO$999,89,FALSE),"unknown")</f>
        <v>Suffolk</v>
      </c>
      <c r="AI163" s="120" t="str">
        <f>IFERROR(VLOOKUP(Table1[RespondentID],'All Data'!$A$3:$CO$999,90,FALSE),"unknown")</f>
        <v>Commack, 11725</v>
      </c>
      <c r="AJ163" s="120" t="str">
        <f>IFERROR(VLOOKUP(Table1[RespondentID],'All Data'!$A$3:$CO$999,91,FALSE),"unknown")</f>
        <v>White</v>
      </c>
      <c r="AK163" s="120" t="str">
        <f>IFERROR(VLOOKUP(Table1[RespondentID],'All Data'!$A$3:$CO$999,92,FALSE),"unknown")</f>
        <v>Hispanic or Latino</v>
      </c>
      <c r="AL163" s="120" t="str">
        <f>IFERROR(VLOOKUP(Table1[RespondentID],'All Data'!$A$3:$CO$999,93,FALSE),"unknown")</f>
        <v>English</v>
      </c>
      <c r="AM163" s="120" t="str">
        <f>IFERROR(VLOOKUP(Table1[RespondentID],'All Data'!$A$3:$CW$999,94,FALSE),"unknown")</f>
        <v>Over $125,000</v>
      </c>
      <c r="AN163" s="120" t="str">
        <f>IFERROR(VLOOKUP(Table1[RespondentID],'All Data'!$A$3:$CW$999,95,FALSE),"unknown")</f>
        <v>High school graduate</v>
      </c>
      <c r="AO163" s="120" t="str">
        <f>IFERROR(VLOOKUP(Table1[RespondentID],'All Data'!$A$3:$CW$999,96,FALSE),"unknown")</f>
        <v>Employed for wages</v>
      </c>
      <c r="AP163" s="120" t="str">
        <f>IFERROR(VLOOKUP(Table1[RespondentID],'All Data'!$A$3:$CW$999,97,FALSE),"unknown")</f>
        <v>Yes</v>
      </c>
      <c r="AQ163" s="120">
        <f>IFERROR(VLOOKUP(Table1[RespondentID],'All Data'!$A$3:$CW$999,98,FALSE),"unknown")</f>
        <v>0</v>
      </c>
      <c r="AR163" s="120">
        <f>IFERROR(VLOOKUP(Table1[RespondentID],'All Data'!$A$3:$CW$999,99,FALSE),"unknown")</f>
        <v>0</v>
      </c>
    </row>
    <row r="164" spans="1:44" ht="16">
      <c r="A164" s="5">
        <v>18021800333</v>
      </c>
      <c r="B164" s="5" t="s">
        <v>29</v>
      </c>
      <c r="C164" s="5"/>
      <c r="D164" s="5"/>
      <c r="E164" s="5"/>
      <c r="F164" s="5"/>
      <c r="G164" s="5"/>
      <c r="H164" s="5" t="s">
        <v>35</v>
      </c>
      <c r="I164" s="5" t="s">
        <v>36</v>
      </c>
      <c r="J164" s="5"/>
      <c r="K164" s="5"/>
      <c r="L164" s="8"/>
      <c r="M164" s="8">
        <f t="shared" si="30"/>
        <v>3</v>
      </c>
      <c r="N164" s="8">
        <f t="shared" si="31"/>
        <v>1</v>
      </c>
      <c r="O164" s="8"/>
      <c r="P164" s="8">
        <f t="shared" si="32"/>
        <v>1</v>
      </c>
      <c r="Q164" s="8">
        <f t="shared" si="33"/>
        <v>0</v>
      </c>
      <c r="R164" s="8">
        <f t="shared" si="34"/>
        <v>0</v>
      </c>
      <c r="S164" s="8">
        <f t="shared" si="35"/>
        <v>0</v>
      </c>
      <c r="T164" s="8">
        <f t="shared" si="36"/>
        <v>0</v>
      </c>
      <c r="U164" s="8">
        <f t="shared" si="37"/>
        <v>0</v>
      </c>
      <c r="V164" s="153">
        <f t="shared" si="38"/>
        <v>1</v>
      </c>
      <c r="W164" s="8">
        <f t="shared" si="39"/>
        <v>1</v>
      </c>
      <c r="X164" s="8">
        <f t="shared" si="40"/>
        <v>0</v>
      </c>
      <c r="Y164" s="8">
        <f t="shared" si="41"/>
        <v>0</v>
      </c>
      <c r="Z164" s="8"/>
      <c r="AA164" s="8"/>
      <c r="AB164" s="8">
        <f t="shared" si="44"/>
        <v>3</v>
      </c>
      <c r="AC164" s="8">
        <f t="shared" si="42"/>
        <v>3</v>
      </c>
      <c r="AD164" s="8" t="str">
        <f t="shared" si="43"/>
        <v>Correct</v>
      </c>
      <c r="AE164" s="8"/>
      <c r="AF164" s="120" t="str">
        <f>IFERROR(VLOOKUP(Table1[RespondentID],'All Data'!$A$3:$CO$999,87,FALSE),"unknown")</f>
        <v>Woman</v>
      </c>
      <c r="AG164" s="120">
        <f>IFERROR(VLOOKUP(Table1[RespondentID],'All Data'!$A$3:$CO$999,88,FALSE),"unknown")</f>
        <v>18</v>
      </c>
      <c r="AH164" s="120" t="str">
        <f>IFERROR(VLOOKUP(Table1[RespondentID],'All Data'!$A$3:$CO$999,89,FALSE),"unknown")</f>
        <v>Suffolk</v>
      </c>
      <c r="AI164" s="120" t="str">
        <f>IFERROR(VLOOKUP(Table1[RespondentID],'All Data'!$A$3:$CO$999,90,FALSE),"unknown")</f>
        <v>Dix Hills, 11746</v>
      </c>
      <c r="AJ164" s="120" t="str">
        <f>IFERROR(VLOOKUP(Table1[RespondentID],'All Data'!$A$3:$CO$999,91,FALSE),"unknown")</f>
        <v>American Indian and Alaska Native</v>
      </c>
      <c r="AK164" s="120" t="str">
        <f>IFERROR(VLOOKUP(Table1[RespondentID],'All Data'!$A$3:$CO$999,92,FALSE),"unknown")</f>
        <v>Hispanic or Latino</v>
      </c>
      <c r="AL164" s="120" t="str">
        <f>IFERROR(VLOOKUP(Table1[RespondentID],'All Data'!$A$3:$CO$999,93,FALSE),"unknown")</f>
        <v>English, Korean</v>
      </c>
      <c r="AM164" s="120" t="str">
        <f>IFERROR(VLOOKUP(Table1[RespondentID],'All Data'!$A$3:$CW$999,94,FALSE),"unknown")</f>
        <v>Over $125,000</v>
      </c>
      <c r="AN164" s="120" t="str">
        <f>IFERROR(VLOOKUP(Table1[RespondentID],'All Data'!$A$3:$CW$999,95,FALSE),"unknown")</f>
        <v>Some high school</v>
      </c>
      <c r="AO164" s="120" t="str">
        <f>IFERROR(VLOOKUP(Table1[RespondentID],'All Data'!$A$3:$CW$999,96,FALSE),"unknown")</f>
        <v>Self-employed</v>
      </c>
      <c r="AP164" s="120" t="str">
        <f>IFERROR(VLOOKUP(Table1[RespondentID],'All Data'!$A$3:$CW$999,97,FALSE),"unknown")</f>
        <v>Yes</v>
      </c>
      <c r="AQ164" s="120">
        <f>IFERROR(VLOOKUP(Table1[RespondentID],'All Data'!$A$3:$CW$999,98,FALSE),"unknown")</f>
        <v>0</v>
      </c>
      <c r="AR164" s="120">
        <f>IFERROR(VLOOKUP(Table1[RespondentID],'All Data'!$A$3:$CW$999,99,FALSE),"unknown")</f>
        <v>0</v>
      </c>
    </row>
    <row r="165" spans="1:44" ht="16">
      <c r="A165" s="5">
        <v>18021800200</v>
      </c>
      <c r="B165" s="5"/>
      <c r="C165" s="5"/>
      <c r="D165" s="5"/>
      <c r="E165" s="5"/>
      <c r="F165" s="5"/>
      <c r="G165" s="5"/>
      <c r="H165" s="5"/>
      <c r="I165" s="5"/>
      <c r="J165" s="5"/>
      <c r="K165" s="5" t="s">
        <v>375</v>
      </c>
      <c r="L165" s="9"/>
      <c r="M165" s="9">
        <f t="shared" si="30"/>
        <v>1</v>
      </c>
      <c r="N165" s="9">
        <f t="shared" si="31"/>
        <v>3</v>
      </c>
      <c r="O165" s="9"/>
      <c r="P165" s="9">
        <f t="shared" si="32"/>
        <v>0</v>
      </c>
      <c r="Q165" s="9">
        <f t="shared" si="33"/>
        <v>0</v>
      </c>
      <c r="R165" s="9">
        <f t="shared" si="34"/>
        <v>0</v>
      </c>
      <c r="S165" s="9">
        <f t="shared" si="35"/>
        <v>0</v>
      </c>
      <c r="T165" s="9">
        <f t="shared" si="36"/>
        <v>0</v>
      </c>
      <c r="U165" s="9">
        <f t="shared" si="37"/>
        <v>0</v>
      </c>
      <c r="V165" s="153">
        <f t="shared" si="38"/>
        <v>0</v>
      </c>
      <c r="W165" s="9">
        <f t="shared" si="39"/>
        <v>0</v>
      </c>
      <c r="X165" s="9">
        <f t="shared" si="40"/>
        <v>0</v>
      </c>
      <c r="Y165" s="9">
        <f t="shared" si="41"/>
        <v>1</v>
      </c>
      <c r="Z165" s="9"/>
      <c r="AA165" s="9"/>
      <c r="AB165" s="9">
        <f t="shared" si="44"/>
        <v>1</v>
      </c>
      <c r="AC165" s="9">
        <f t="shared" si="42"/>
        <v>1</v>
      </c>
      <c r="AD165" s="9" t="str">
        <f t="shared" si="43"/>
        <v>Correct</v>
      </c>
      <c r="AE165" s="9"/>
      <c r="AF165" s="120" t="str">
        <f>IFERROR(VLOOKUP(Table1[RespondentID],'All Data'!$A$3:$CO$999,87,FALSE),"unknown")</f>
        <v>Woman</v>
      </c>
      <c r="AG165" s="120">
        <f>IFERROR(VLOOKUP(Table1[RespondentID],'All Data'!$A$3:$CO$999,88,FALSE),"unknown")</f>
        <v>18</v>
      </c>
      <c r="AH165" s="120" t="str">
        <f>IFERROR(VLOOKUP(Table1[RespondentID],'All Data'!$A$3:$CO$999,89,FALSE),"unknown")</f>
        <v>Suffolk</v>
      </c>
      <c r="AI165" s="120" t="str">
        <f>IFERROR(VLOOKUP(Table1[RespondentID],'All Data'!$A$3:$CO$999,90,FALSE),"unknown")</f>
        <v>Commack, 11725</v>
      </c>
      <c r="AJ165" s="120" t="str">
        <f>IFERROR(VLOOKUP(Table1[RespondentID],'All Data'!$A$3:$CO$999,91,FALSE),"unknown")</f>
        <v>American Indian and Alaska Native</v>
      </c>
      <c r="AK165" s="120" t="str">
        <f>IFERROR(VLOOKUP(Table1[RespondentID],'All Data'!$A$3:$CO$999,92,FALSE),"unknown")</f>
        <v>Hispanic or Latino</v>
      </c>
      <c r="AL165" s="120" t="str">
        <f>IFERROR(VLOOKUP(Table1[RespondentID],'All Data'!$A$3:$CO$999,93,FALSE),"unknown")</f>
        <v>English, Korean</v>
      </c>
      <c r="AM165" s="120" t="str">
        <f>IFERROR(VLOOKUP(Table1[RespondentID],'All Data'!$A$3:$CW$999,94,FALSE),"unknown")</f>
        <v>$75,000 to $125,000</v>
      </c>
      <c r="AN165" s="120" t="str">
        <f>IFERROR(VLOOKUP(Table1[RespondentID],'All Data'!$A$3:$CW$999,95,FALSE),"unknown")</f>
        <v>Some high school</v>
      </c>
      <c r="AO165" s="120" t="str">
        <f>IFERROR(VLOOKUP(Table1[RespondentID],'All Data'!$A$3:$CW$999,96,FALSE),"unknown")</f>
        <v>Student</v>
      </c>
      <c r="AP165" s="120" t="str">
        <f>IFERROR(VLOOKUP(Table1[RespondentID],'All Data'!$A$3:$CW$999,97,FALSE),"unknown")</f>
        <v>Yes</v>
      </c>
      <c r="AQ165" s="120">
        <f>IFERROR(VLOOKUP(Table1[RespondentID],'All Data'!$A$3:$CW$999,98,FALSE),"unknown")</f>
        <v>0</v>
      </c>
      <c r="AR165" s="120">
        <f>IFERROR(VLOOKUP(Table1[RespondentID],'All Data'!$A$3:$CW$999,99,FALSE),"unknown")</f>
        <v>0</v>
      </c>
    </row>
    <row r="166" spans="1:44" ht="16">
      <c r="A166" s="5">
        <v>18021800054</v>
      </c>
      <c r="B166" s="5"/>
      <c r="C166" s="5"/>
      <c r="D166" s="5"/>
      <c r="E166" s="5" t="s">
        <v>32</v>
      </c>
      <c r="F166" s="5"/>
      <c r="G166" s="5"/>
      <c r="H166" s="5"/>
      <c r="I166" s="5" t="s">
        <v>36</v>
      </c>
      <c r="J166" s="5"/>
      <c r="K166" s="5" t="s">
        <v>375</v>
      </c>
      <c r="L166" s="8"/>
      <c r="M166" s="8">
        <f t="shared" si="30"/>
        <v>3</v>
      </c>
      <c r="N166" s="8">
        <f t="shared" si="31"/>
        <v>1</v>
      </c>
      <c r="O166" s="8"/>
      <c r="P166" s="8">
        <f t="shared" si="32"/>
        <v>0</v>
      </c>
      <c r="Q166" s="8">
        <f t="shared" si="33"/>
        <v>0</v>
      </c>
      <c r="R166" s="8">
        <f t="shared" si="34"/>
        <v>0</v>
      </c>
      <c r="S166" s="8">
        <f t="shared" si="35"/>
        <v>1</v>
      </c>
      <c r="T166" s="8">
        <f t="shared" si="36"/>
        <v>0</v>
      </c>
      <c r="U166" s="8">
        <f t="shared" si="37"/>
        <v>0</v>
      </c>
      <c r="V166" s="153">
        <f t="shared" si="38"/>
        <v>0</v>
      </c>
      <c r="W166" s="8">
        <f t="shared" si="39"/>
        <v>1</v>
      </c>
      <c r="X166" s="8">
        <f t="shared" si="40"/>
        <v>0</v>
      </c>
      <c r="Y166" s="8">
        <f t="shared" si="41"/>
        <v>1</v>
      </c>
      <c r="Z166" s="8"/>
      <c r="AA166" s="8"/>
      <c r="AB166" s="8">
        <f t="shared" si="44"/>
        <v>3</v>
      </c>
      <c r="AC166" s="8">
        <f t="shared" si="42"/>
        <v>3</v>
      </c>
      <c r="AD166" s="8" t="str">
        <f t="shared" si="43"/>
        <v>Correct</v>
      </c>
      <c r="AE166" s="8"/>
      <c r="AF166" s="120" t="str">
        <f>IFERROR(VLOOKUP(Table1[RespondentID],'All Data'!$A$3:$CO$999,87,FALSE),"unknown")</f>
        <v>Woman</v>
      </c>
      <c r="AG166" s="120">
        <f>IFERROR(VLOOKUP(Table1[RespondentID],'All Data'!$A$3:$CO$999,88,FALSE),"unknown")</f>
        <v>18</v>
      </c>
      <c r="AH166" s="120" t="str">
        <f>IFERROR(VLOOKUP(Table1[RespondentID],'All Data'!$A$3:$CO$999,89,FALSE),"unknown")</f>
        <v>Suffolk</v>
      </c>
      <c r="AI166" s="120" t="str">
        <f>IFERROR(VLOOKUP(Table1[RespondentID],'All Data'!$A$3:$CO$999,90,FALSE),"unknown")</f>
        <v>Commack, 11725</v>
      </c>
      <c r="AJ166" s="120" t="str">
        <f>IFERROR(VLOOKUP(Table1[RespondentID],'All Data'!$A$3:$CO$999,91,FALSE),"unknown")</f>
        <v>White</v>
      </c>
      <c r="AK166" s="120" t="str">
        <f>IFERROR(VLOOKUP(Table1[RespondentID],'All Data'!$A$3:$CO$999,92,FALSE),"unknown")</f>
        <v>Hispanic or Latino</v>
      </c>
      <c r="AL166" s="120" t="str">
        <f>IFERROR(VLOOKUP(Table1[RespondentID],'All Data'!$A$3:$CO$999,93,FALSE),"unknown")</f>
        <v>English</v>
      </c>
      <c r="AM166" s="120" t="str">
        <f>IFERROR(VLOOKUP(Table1[RespondentID],'All Data'!$A$3:$CW$999,94,FALSE),"unknown")</f>
        <v>Over $125,000</v>
      </c>
      <c r="AN166" s="120" t="str">
        <f>IFERROR(VLOOKUP(Table1[RespondentID],'All Data'!$A$3:$CW$999,95,FALSE),"unknown")</f>
        <v>High school graduate</v>
      </c>
      <c r="AO166" s="120" t="str">
        <f>IFERROR(VLOOKUP(Table1[RespondentID],'All Data'!$A$3:$CW$999,96,FALSE),"unknown")</f>
        <v>Employed for wages</v>
      </c>
      <c r="AP166" s="120" t="str">
        <f>IFERROR(VLOOKUP(Table1[RespondentID],'All Data'!$A$3:$CW$999,97,FALSE),"unknown")</f>
        <v>Yes</v>
      </c>
      <c r="AQ166" s="120">
        <f>IFERROR(VLOOKUP(Table1[RespondentID],'All Data'!$A$3:$CW$999,98,FALSE),"unknown")</f>
        <v>0</v>
      </c>
      <c r="AR166" s="120">
        <f>IFERROR(VLOOKUP(Table1[RespondentID],'All Data'!$A$3:$CW$999,99,FALSE),"unknown")</f>
        <v>0</v>
      </c>
    </row>
    <row r="167" spans="1:44" ht="16">
      <c r="A167" s="5">
        <v>18021799930</v>
      </c>
      <c r="B167" s="5"/>
      <c r="C167" s="5"/>
      <c r="D167" s="5" t="s">
        <v>31</v>
      </c>
      <c r="E167" s="5"/>
      <c r="F167" s="5"/>
      <c r="G167" s="5"/>
      <c r="H167" s="5"/>
      <c r="I167" s="5"/>
      <c r="J167" s="5"/>
      <c r="K167" s="5"/>
      <c r="L167" s="9"/>
      <c r="M167" s="9">
        <f t="shared" si="30"/>
        <v>1</v>
      </c>
      <c r="N167" s="9">
        <f t="shared" si="31"/>
        <v>3</v>
      </c>
      <c r="O167" s="9"/>
      <c r="P167" s="9">
        <f t="shared" si="32"/>
        <v>0</v>
      </c>
      <c r="Q167" s="9">
        <f t="shared" si="33"/>
        <v>0</v>
      </c>
      <c r="R167" s="9">
        <f t="shared" si="34"/>
        <v>1</v>
      </c>
      <c r="S167" s="9">
        <f t="shared" si="35"/>
        <v>0</v>
      </c>
      <c r="T167" s="9">
        <f t="shared" si="36"/>
        <v>0</v>
      </c>
      <c r="U167" s="9">
        <f t="shared" si="37"/>
        <v>0</v>
      </c>
      <c r="V167" s="153">
        <f t="shared" si="38"/>
        <v>0</v>
      </c>
      <c r="W167" s="9">
        <f t="shared" si="39"/>
        <v>0</v>
      </c>
      <c r="X167" s="9">
        <f t="shared" si="40"/>
        <v>0</v>
      </c>
      <c r="Y167" s="9">
        <f t="shared" si="41"/>
        <v>0</v>
      </c>
      <c r="Z167" s="9"/>
      <c r="AA167" s="9"/>
      <c r="AB167" s="9">
        <f t="shared" si="44"/>
        <v>1</v>
      </c>
      <c r="AC167" s="9">
        <f t="shared" si="42"/>
        <v>1</v>
      </c>
      <c r="AD167" s="9" t="str">
        <f t="shared" si="43"/>
        <v>Correct</v>
      </c>
      <c r="AE167" s="9"/>
      <c r="AF167" s="120" t="str">
        <f>IFERROR(VLOOKUP(Table1[RespondentID],'All Data'!$A$3:$CO$999,87,FALSE),"unknown")</f>
        <v>Woman</v>
      </c>
      <c r="AG167" s="120">
        <f>IFERROR(VLOOKUP(Table1[RespondentID],'All Data'!$A$3:$CO$999,88,FALSE),"unknown")</f>
        <v>18</v>
      </c>
      <c r="AH167" s="120" t="str">
        <f>IFERROR(VLOOKUP(Table1[RespondentID],'All Data'!$A$3:$CO$999,89,FALSE),"unknown")</f>
        <v>Suffolk</v>
      </c>
      <c r="AI167" s="120" t="str">
        <f>IFERROR(VLOOKUP(Table1[RespondentID],'All Data'!$A$3:$CO$999,90,FALSE),"unknown")</f>
        <v>Commack, 11725</v>
      </c>
      <c r="AJ167" s="120" t="str">
        <f>IFERROR(VLOOKUP(Table1[RespondentID],'All Data'!$A$3:$CO$999,91,FALSE),"unknown")</f>
        <v>American Indian and Alaska Native</v>
      </c>
      <c r="AK167" s="120" t="str">
        <f>IFERROR(VLOOKUP(Table1[RespondentID],'All Data'!$A$3:$CO$999,92,FALSE),"unknown")</f>
        <v>Hispanic or Latino</v>
      </c>
      <c r="AL167" s="120" t="str">
        <f>IFERROR(VLOOKUP(Table1[RespondentID],'All Data'!$A$3:$CO$999,93,FALSE),"unknown")</f>
        <v>English, Korean</v>
      </c>
      <c r="AM167" s="120" t="str">
        <f>IFERROR(VLOOKUP(Table1[RespondentID],'All Data'!$A$3:$CW$999,94,FALSE),"unknown")</f>
        <v>$20,000 to $34,999</v>
      </c>
      <c r="AN167" s="120" t="str">
        <f>IFERROR(VLOOKUP(Table1[RespondentID],'All Data'!$A$3:$CW$999,95,FALSE),"unknown")</f>
        <v>Some high school</v>
      </c>
      <c r="AO167" s="120" t="str">
        <f>IFERROR(VLOOKUP(Table1[RespondentID],'All Data'!$A$3:$CW$999,96,FALSE),"unknown")</f>
        <v>Employed for wages</v>
      </c>
      <c r="AP167" s="120" t="str">
        <f>IFERROR(VLOOKUP(Table1[RespondentID],'All Data'!$A$3:$CW$999,97,FALSE),"unknown")</f>
        <v>Yes</v>
      </c>
      <c r="AQ167" s="120">
        <f>IFERROR(VLOOKUP(Table1[RespondentID],'All Data'!$A$3:$CW$999,98,FALSE),"unknown")</f>
        <v>0</v>
      </c>
      <c r="AR167" s="120">
        <f>IFERROR(VLOOKUP(Table1[RespondentID],'All Data'!$A$3:$CW$999,99,FALSE),"unknown")</f>
        <v>0</v>
      </c>
    </row>
    <row r="168" spans="1:44" ht="16">
      <c r="A168" s="5">
        <v>18021799815</v>
      </c>
      <c r="B168" s="5"/>
      <c r="C168" s="5"/>
      <c r="D168" s="5"/>
      <c r="E168" s="5"/>
      <c r="F168" s="5"/>
      <c r="G168" s="5"/>
      <c r="H168" s="5"/>
      <c r="I168" s="5" t="s">
        <v>36</v>
      </c>
      <c r="J168" s="5" t="s">
        <v>37</v>
      </c>
      <c r="K168" s="5" t="s">
        <v>375</v>
      </c>
      <c r="L168" s="8"/>
      <c r="M168" s="8">
        <f t="shared" si="30"/>
        <v>3</v>
      </c>
      <c r="N168" s="8">
        <f t="shared" si="31"/>
        <v>1</v>
      </c>
      <c r="O168" s="8"/>
      <c r="P168" s="8">
        <f t="shared" si="32"/>
        <v>0</v>
      </c>
      <c r="Q168" s="8">
        <f t="shared" si="33"/>
        <v>0</v>
      </c>
      <c r="R168" s="8">
        <f t="shared" si="34"/>
        <v>0</v>
      </c>
      <c r="S168" s="8">
        <f t="shared" si="35"/>
        <v>0</v>
      </c>
      <c r="T168" s="8">
        <f t="shared" si="36"/>
        <v>0</v>
      </c>
      <c r="U168" s="8">
        <f t="shared" si="37"/>
        <v>0</v>
      </c>
      <c r="V168" s="153">
        <f t="shared" si="38"/>
        <v>0</v>
      </c>
      <c r="W168" s="8">
        <f t="shared" si="39"/>
        <v>1</v>
      </c>
      <c r="X168" s="8">
        <f t="shared" si="40"/>
        <v>1</v>
      </c>
      <c r="Y168" s="8">
        <f t="shared" si="41"/>
        <v>1</v>
      </c>
      <c r="Z168" s="8"/>
      <c r="AA168" s="8"/>
      <c r="AB168" s="8">
        <f t="shared" si="44"/>
        <v>3</v>
      </c>
      <c r="AC168" s="8">
        <f t="shared" si="42"/>
        <v>3</v>
      </c>
      <c r="AD168" s="8" t="str">
        <f t="shared" si="43"/>
        <v>Correct</v>
      </c>
      <c r="AE168" s="8"/>
      <c r="AF168" s="120" t="str">
        <f>IFERROR(VLOOKUP(Table1[RespondentID],'All Data'!$A$3:$CO$999,87,FALSE),"unknown")</f>
        <v>Woman</v>
      </c>
      <c r="AG168" s="120">
        <f>IFERROR(VLOOKUP(Table1[RespondentID],'All Data'!$A$3:$CO$999,88,FALSE),"unknown")</f>
        <v>18</v>
      </c>
      <c r="AH168" s="120" t="str">
        <f>IFERROR(VLOOKUP(Table1[RespondentID],'All Data'!$A$3:$CO$999,89,FALSE),"unknown")</f>
        <v>Suffolk</v>
      </c>
      <c r="AI168" s="120" t="str">
        <f>IFERROR(VLOOKUP(Table1[RespondentID],'All Data'!$A$3:$CO$999,90,FALSE),"unknown")</f>
        <v>Commack, 11725</v>
      </c>
      <c r="AJ168" s="120" t="str">
        <f>IFERROR(VLOOKUP(Table1[RespondentID],'All Data'!$A$3:$CO$999,91,FALSE),"unknown")</f>
        <v>White</v>
      </c>
      <c r="AK168" s="120" t="str">
        <f>IFERROR(VLOOKUP(Table1[RespondentID],'All Data'!$A$3:$CO$999,92,FALSE),"unknown")</f>
        <v>Hispanic or Latino</v>
      </c>
      <c r="AL168" s="120" t="str">
        <f>IFERROR(VLOOKUP(Table1[RespondentID],'All Data'!$A$3:$CO$999,93,FALSE),"unknown")</f>
        <v>English</v>
      </c>
      <c r="AM168" s="120" t="str">
        <f>IFERROR(VLOOKUP(Table1[RespondentID],'All Data'!$A$3:$CW$999,94,FALSE),"unknown")</f>
        <v>Over $125,000</v>
      </c>
      <c r="AN168" s="120" t="str">
        <f>IFERROR(VLOOKUP(Table1[RespondentID],'All Data'!$A$3:$CW$999,95,FALSE),"unknown")</f>
        <v>Some high school</v>
      </c>
      <c r="AO168" s="120" t="str">
        <f>IFERROR(VLOOKUP(Table1[RespondentID],'All Data'!$A$3:$CW$999,96,FALSE),"unknown")</f>
        <v>Employed for wages</v>
      </c>
      <c r="AP168" s="120" t="str">
        <f>IFERROR(VLOOKUP(Table1[RespondentID],'All Data'!$A$3:$CW$999,97,FALSE),"unknown")</f>
        <v>No</v>
      </c>
      <c r="AQ168" s="120">
        <f>IFERROR(VLOOKUP(Table1[RespondentID],'All Data'!$A$3:$CW$999,98,FALSE),"unknown")</f>
        <v>0</v>
      </c>
      <c r="AR168" s="120">
        <f>IFERROR(VLOOKUP(Table1[RespondentID],'All Data'!$A$3:$CW$999,99,FALSE),"unknown")</f>
        <v>0</v>
      </c>
    </row>
    <row r="169" spans="1:44" ht="16">
      <c r="A169" s="5">
        <v>18021799565</v>
      </c>
      <c r="B169" s="5" t="s">
        <v>29</v>
      </c>
      <c r="C169" s="5"/>
      <c r="D169" s="5"/>
      <c r="E169" s="5"/>
      <c r="F169" s="5"/>
      <c r="G169" s="5"/>
      <c r="H169" s="5"/>
      <c r="I169" s="5"/>
      <c r="J169" s="5"/>
      <c r="K169" s="5"/>
      <c r="L169" s="9"/>
      <c r="M169" s="9">
        <f t="shared" si="30"/>
        <v>1</v>
      </c>
      <c r="N169" s="9">
        <f t="shared" si="31"/>
        <v>3</v>
      </c>
      <c r="O169" s="9"/>
      <c r="P169" s="9">
        <f t="shared" si="32"/>
        <v>1</v>
      </c>
      <c r="Q169" s="9">
        <f t="shared" si="33"/>
        <v>0</v>
      </c>
      <c r="R169" s="9">
        <f t="shared" si="34"/>
        <v>0</v>
      </c>
      <c r="S169" s="9">
        <f t="shared" si="35"/>
        <v>0</v>
      </c>
      <c r="T169" s="9">
        <f t="shared" si="36"/>
        <v>0</v>
      </c>
      <c r="U169" s="9">
        <f t="shared" si="37"/>
        <v>0</v>
      </c>
      <c r="V169" s="153">
        <f t="shared" si="38"/>
        <v>0</v>
      </c>
      <c r="W169" s="9">
        <f t="shared" si="39"/>
        <v>0</v>
      </c>
      <c r="X169" s="9">
        <f t="shared" si="40"/>
        <v>0</v>
      </c>
      <c r="Y169" s="9">
        <f t="shared" si="41"/>
        <v>0</v>
      </c>
      <c r="Z169" s="9"/>
      <c r="AA169" s="9"/>
      <c r="AB169" s="9">
        <f t="shared" si="44"/>
        <v>1</v>
      </c>
      <c r="AC169" s="9">
        <f t="shared" si="42"/>
        <v>1</v>
      </c>
      <c r="AD169" s="9" t="str">
        <f t="shared" si="43"/>
        <v>Correct</v>
      </c>
      <c r="AE169" s="9"/>
      <c r="AF169" s="120" t="str">
        <f>IFERROR(VLOOKUP(Table1[RespondentID],'All Data'!$A$3:$CO$999,87,FALSE),"unknown")</f>
        <v>Woman</v>
      </c>
      <c r="AG169" s="120">
        <f>IFERROR(VLOOKUP(Table1[RespondentID],'All Data'!$A$3:$CO$999,88,FALSE),"unknown")</f>
        <v>43</v>
      </c>
      <c r="AH169" s="120" t="str">
        <f>IFERROR(VLOOKUP(Table1[RespondentID],'All Data'!$A$3:$CO$999,89,FALSE),"unknown")</f>
        <v>Suffolk</v>
      </c>
      <c r="AI169" s="120" t="str">
        <f>IFERROR(VLOOKUP(Table1[RespondentID],'All Data'!$A$3:$CO$999,90,FALSE),"unknown")</f>
        <v>Smithtown, 11787</v>
      </c>
      <c r="AJ169" s="120" t="str">
        <f>IFERROR(VLOOKUP(Table1[RespondentID],'All Data'!$A$3:$CO$999,91,FALSE),"unknown")</f>
        <v>White</v>
      </c>
      <c r="AK169" s="120" t="str">
        <f>IFERROR(VLOOKUP(Table1[RespondentID],'All Data'!$A$3:$CO$999,92,FALSE),"unknown")</f>
        <v>Hispanic or Latino</v>
      </c>
      <c r="AL169" s="120" t="str">
        <f>IFERROR(VLOOKUP(Table1[RespondentID],'All Data'!$A$3:$CO$999,93,FALSE),"unknown")</f>
        <v>English</v>
      </c>
      <c r="AM169" s="120" t="str">
        <f>IFERROR(VLOOKUP(Table1[RespondentID],'All Data'!$A$3:$CW$999,94,FALSE),"unknown")</f>
        <v>$75,000 to $125,000</v>
      </c>
      <c r="AN169" s="120" t="str">
        <f>IFERROR(VLOOKUP(Table1[RespondentID],'All Data'!$A$3:$CW$999,95,FALSE),"unknown")</f>
        <v>Doctorate</v>
      </c>
      <c r="AO169" s="120" t="str">
        <f>IFERROR(VLOOKUP(Table1[RespondentID],'All Data'!$A$3:$CW$999,96,FALSE),"unknown")</f>
        <v>Employed for wages</v>
      </c>
      <c r="AP169" s="120" t="str">
        <f>IFERROR(VLOOKUP(Table1[RespondentID],'All Data'!$A$3:$CW$999,97,FALSE),"unknown")</f>
        <v>Yes</v>
      </c>
      <c r="AQ169" s="120">
        <f>IFERROR(VLOOKUP(Table1[RespondentID],'All Data'!$A$3:$CW$999,98,FALSE),"unknown")</f>
        <v>0</v>
      </c>
      <c r="AR169" s="120">
        <f>IFERROR(VLOOKUP(Table1[RespondentID],'All Data'!$A$3:$CW$999,99,FALSE),"unknown")</f>
        <v>0</v>
      </c>
    </row>
    <row r="170" spans="1:44" ht="16">
      <c r="A170" s="5">
        <v>18021799358</v>
      </c>
      <c r="B170" s="5" t="s">
        <v>29</v>
      </c>
      <c r="C170" s="5"/>
      <c r="D170" s="5"/>
      <c r="E170" s="5"/>
      <c r="F170" s="5"/>
      <c r="G170" s="5"/>
      <c r="H170" s="5" t="s">
        <v>35</v>
      </c>
      <c r="I170" s="5"/>
      <c r="J170" s="5"/>
      <c r="K170" s="5"/>
      <c r="L170" s="8"/>
      <c r="M170" s="8">
        <f t="shared" si="30"/>
        <v>2</v>
      </c>
      <c r="N170" s="8">
        <f t="shared" si="31"/>
        <v>1.5</v>
      </c>
      <c r="O170" s="8"/>
      <c r="P170" s="8">
        <f t="shared" si="32"/>
        <v>1</v>
      </c>
      <c r="Q170" s="8">
        <f t="shared" si="33"/>
        <v>0</v>
      </c>
      <c r="R170" s="8">
        <f t="shared" si="34"/>
        <v>0</v>
      </c>
      <c r="S170" s="8">
        <f t="shared" si="35"/>
        <v>0</v>
      </c>
      <c r="T170" s="8">
        <f t="shared" si="36"/>
        <v>0</v>
      </c>
      <c r="U170" s="8">
        <f t="shared" si="37"/>
        <v>0</v>
      </c>
      <c r="V170" s="153">
        <f t="shared" si="38"/>
        <v>1</v>
      </c>
      <c r="W170" s="8">
        <f t="shared" si="39"/>
        <v>0</v>
      </c>
      <c r="X170" s="8">
        <f t="shared" si="40"/>
        <v>0</v>
      </c>
      <c r="Y170" s="8">
        <f t="shared" si="41"/>
        <v>0</v>
      </c>
      <c r="Z170" s="8"/>
      <c r="AA170" s="8"/>
      <c r="AB170" s="8">
        <f t="shared" si="44"/>
        <v>2</v>
      </c>
      <c r="AC170" s="8">
        <f t="shared" si="42"/>
        <v>2</v>
      </c>
      <c r="AD170" s="8" t="str">
        <f t="shared" si="43"/>
        <v>Correct</v>
      </c>
      <c r="AE170" s="8"/>
      <c r="AF170" s="120" t="str">
        <f>IFERROR(VLOOKUP(Table1[RespondentID],'All Data'!$A$3:$CO$999,87,FALSE),"unknown")</f>
        <v>Man</v>
      </c>
      <c r="AG170" s="120">
        <f>IFERROR(VLOOKUP(Table1[RespondentID],'All Data'!$A$3:$CO$999,88,FALSE),"unknown")</f>
        <v>29</v>
      </c>
      <c r="AH170" s="120" t="str">
        <f>IFERROR(VLOOKUP(Table1[RespondentID],'All Data'!$A$3:$CO$999,89,FALSE),"unknown")</f>
        <v>Suffolk</v>
      </c>
      <c r="AI170" s="120" t="str">
        <f>IFERROR(VLOOKUP(Table1[RespondentID],'All Data'!$A$3:$CO$999,90,FALSE),"unknown")</f>
        <v>Lake Grove, 11755</v>
      </c>
      <c r="AJ170" s="120" t="str">
        <f>IFERROR(VLOOKUP(Table1[RespondentID],'All Data'!$A$3:$CO$999,91,FALSE),"unknown")</f>
        <v>Native Hawaiian and Other Pacific Islander</v>
      </c>
      <c r="AK170" s="120">
        <f>IFERROR(VLOOKUP(Table1[RespondentID],'All Data'!$A$3:$CO$999,92,FALSE),"unknown")</f>
        <v>0</v>
      </c>
      <c r="AL170" s="120" t="str">
        <f>IFERROR(VLOOKUP(Table1[RespondentID],'All Data'!$A$3:$CO$999,93,FALSE),"unknown")</f>
        <v>Portuguese</v>
      </c>
      <c r="AM170" s="120">
        <f>IFERROR(VLOOKUP(Table1[RespondentID],'All Data'!$A$3:$CW$999,94,FALSE),"unknown")</f>
        <v>0</v>
      </c>
      <c r="AN170" s="120" t="str">
        <f>IFERROR(VLOOKUP(Table1[RespondentID],'All Data'!$A$3:$CW$999,95,FALSE),"unknown")</f>
        <v>Technical school</v>
      </c>
      <c r="AO170" s="120">
        <f>IFERROR(VLOOKUP(Table1[RespondentID],'All Data'!$A$3:$CW$999,96,FALSE),"unknown")</f>
        <v>0</v>
      </c>
      <c r="AP170" s="120" t="str">
        <f>IFERROR(VLOOKUP(Table1[RespondentID],'All Data'!$A$3:$CW$999,97,FALSE),"unknown")</f>
        <v>No, but I did in the past</v>
      </c>
      <c r="AQ170" s="120">
        <f>IFERROR(VLOOKUP(Table1[RespondentID],'All Data'!$A$3:$CW$999,98,FALSE),"unknown")</f>
        <v>0</v>
      </c>
      <c r="AR170" s="120">
        <f>IFERROR(VLOOKUP(Table1[RespondentID],'All Data'!$A$3:$CW$999,99,FALSE),"unknown")</f>
        <v>0</v>
      </c>
    </row>
    <row r="171" spans="1:44" ht="16">
      <c r="A171" s="5">
        <v>18021799148</v>
      </c>
      <c r="B171" s="5"/>
      <c r="C171" s="5"/>
      <c r="D171" s="5"/>
      <c r="E171" s="5"/>
      <c r="F171" s="5"/>
      <c r="G171" s="5"/>
      <c r="H171" s="5"/>
      <c r="I171" s="5" t="s">
        <v>36</v>
      </c>
      <c r="J171" s="5"/>
      <c r="K171" s="5"/>
      <c r="L171" s="9"/>
      <c r="M171" s="9">
        <f t="shared" si="30"/>
        <v>1</v>
      </c>
      <c r="N171" s="9">
        <f t="shared" si="31"/>
        <v>3</v>
      </c>
      <c r="O171" s="9"/>
      <c r="P171" s="9">
        <f t="shared" si="32"/>
        <v>0</v>
      </c>
      <c r="Q171" s="9">
        <f t="shared" si="33"/>
        <v>0</v>
      </c>
      <c r="R171" s="9">
        <f t="shared" si="34"/>
        <v>0</v>
      </c>
      <c r="S171" s="9">
        <f t="shared" si="35"/>
        <v>0</v>
      </c>
      <c r="T171" s="9">
        <f t="shared" si="36"/>
        <v>0</v>
      </c>
      <c r="U171" s="9">
        <f t="shared" si="37"/>
        <v>0</v>
      </c>
      <c r="V171" s="153">
        <f t="shared" si="38"/>
        <v>0</v>
      </c>
      <c r="W171" s="9">
        <f t="shared" si="39"/>
        <v>1</v>
      </c>
      <c r="X171" s="9">
        <f t="shared" si="40"/>
        <v>0</v>
      </c>
      <c r="Y171" s="9">
        <f t="shared" si="41"/>
        <v>0</v>
      </c>
      <c r="Z171" s="9"/>
      <c r="AA171" s="9"/>
      <c r="AB171" s="9">
        <f t="shared" si="44"/>
        <v>1</v>
      </c>
      <c r="AC171" s="9">
        <f t="shared" si="42"/>
        <v>1</v>
      </c>
      <c r="AD171" s="9" t="str">
        <f t="shared" si="43"/>
        <v>Correct</v>
      </c>
      <c r="AE171" s="9"/>
      <c r="AF171" s="120">
        <f>IFERROR(VLOOKUP(Table1[RespondentID],'All Data'!$A$3:$CO$999,87,FALSE),"unknown")</f>
        <v>0</v>
      </c>
      <c r="AG171" s="120">
        <f>IFERROR(VLOOKUP(Table1[RespondentID],'All Data'!$A$3:$CO$999,88,FALSE),"unknown")</f>
        <v>18</v>
      </c>
      <c r="AH171" s="120" t="str">
        <f>IFERROR(VLOOKUP(Table1[RespondentID],'All Data'!$A$3:$CO$999,89,FALSE),"unknown")</f>
        <v>Suffolk</v>
      </c>
      <c r="AI171" s="120" t="str">
        <f>IFERROR(VLOOKUP(Table1[RespondentID],'All Data'!$A$3:$CO$999,90,FALSE),"unknown")</f>
        <v>Kings Park, 11754</v>
      </c>
      <c r="AJ171" s="120" t="str">
        <f>IFERROR(VLOOKUP(Table1[RespondentID],'All Data'!$A$3:$CO$999,91,FALSE),"unknown")</f>
        <v>American Indian and Alaska Native</v>
      </c>
      <c r="AK171" s="120">
        <f>IFERROR(VLOOKUP(Table1[RespondentID],'All Data'!$A$3:$CO$999,92,FALSE),"unknown")</f>
        <v>0</v>
      </c>
      <c r="AL171" s="120" t="str">
        <f>IFERROR(VLOOKUP(Table1[RespondentID],'All Data'!$A$3:$CO$999,93,FALSE),"unknown")</f>
        <v>Polish, Korean</v>
      </c>
      <c r="AM171" s="120">
        <f>IFERROR(VLOOKUP(Table1[RespondentID],'All Data'!$A$3:$CW$999,94,FALSE),"unknown")</f>
        <v>0</v>
      </c>
      <c r="AN171" s="120" t="str">
        <f>IFERROR(VLOOKUP(Table1[RespondentID],'All Data'!$A$3:$CW$999,95,FALSE),"unknown")</f>
        <v>Some high school</v>
      </c>
      <c r="AO171" s="120">
        <f>IFERROR(VLOOKUP(Table1[RespondentID],'All Data'!$A$3:$CW$999,96,FALSE),"unknown")</f>
        <v>0</v>
      </c>
      <c r="AP171" s="120">
        <f>IFERROR(VLOOKUP(Table1[RespondentID],'All Data'!$A$3:$CW$999,97,FALSE),"unknown")</f>
        <v>0</v>
      </c>
      <c r="AQ171" s="120">
        <f>IFERROR(VLOOKUP(Table1[RespondentID],'All Data'!$A$3:$CW$999,98,FALSE),"unknown")</f>
        <v>0</v>
      </c>
      <c r="AR171" s="120">
        <f>IFERROR(VLOOKUP(Table1[RespondentID],'All Data'!$A$3:$CW$999,99,FALSE),"unknown")</f>
        <v>0</v>
      </c>
    </row>
    <row r="172" spans="1:44" ht="16">
      <c r="A172" s="5">
        <v>18021798948</v>
      </c>
      <c r="B172" s="5" t="s">
        <v>29</v>
      </c>
      <c r="C172" s="5"/>
      <c r="D172" s="5"/>
      <c r="E172" s="5"/>
      <c r="F172" s="5"/>
      <c r="G172" s="5"/>
      <c r="H172" s="5" t="s">
        <v>35</v>
      </c>
      <c r="I172" s="5"/>
      <c r="J172" s="5"/>
      <c r="K172" s="5"/>
      <c r="L172" s="8"/>
      <c r="M172" s="8">
        <f t="shared" si="30"/>
        <v>2</v>
      </c>
      <c r="N172" s="8">
        <f t="shared" si="31"/>
        <v>1.5</v>
      </c>
      <c r="O172" s="8"/>
      <c r="P172" s="8">
        <f t="shared" si="32"/>
        <v>1</v>
      </c>
      <c r="Q172" s="8">
        <f t="shared" si="33"/>
        <v>0</v>
      </c>
      <c r="R172" s="8">
        <f t="shared" si="34"/>
        <v>0</v>
      </c>
      <c r="S172" s="8">
        <f t="shared" si="35"/>
        <v>0</v>
      </c>
      <c r="T172" s="8">
        <f t="shared" si="36"/>
        <v>0</v>
      </c>
      <c r="U172" s="8">
        <f t="shared" si="37"/>
        <v>0</v>
      </c>
      <c r="V172" s="153">
        <f t="shared" si="38"/>
        <v>1</v>
      </c>
      <c r="W172" s="8">
        <f t="shared" si="39"/>
        <v>0</v>
      </c>
      <c r="X172" s="8">
        <f t="shared" si="40"/>
        <v>0</v>
      </c>
      <c r="Y172" s="8">
        <f t="shared" si="41"/>
        <v>0</v>
      </c>
      <c r="Z172" s="8"/>
      <c r="AA172" s="8"/>
      <c r="AB172" s="8">
        <f t="shared" si="44"/>
        <v>2</v>
      </c>
      <c r="AC172" s="8">
        <f t="shared" si="42"/>
        <v>2</v>
      </c>
      <c r="AD172" s="8" t="str">
        <f t="shared" si="43"/>
        <v>Correct</v>
      </c>
      <c r="AE172" s="8"/>
      <c r="AF172" s="120" t="str">
        <f>IFERROR(VLOOKUP(Table1[RespondentID],'All Data'!$A$3:$CO$999,87,FALSE),"unknown")</f>
        <v>Man</v>
      </c>
      <c r="AG172" s="120">
        <f>IFERROR(VLOOKUP(Table1[RespondentID],'All Data'!$A$3:$CO$999,88,FALSE),"unknown")</f>
        <v>29</v>
      </c>
      <c r="AH172" s="120" t="str">
        <f>IFERROR(VLOOKUP(Table1[RespondentID],'All Data'!$A$3:$CO$999,89,FALSE),"unknown")</f>
        <v>Suffolk</v>
      </c>
      <c r="AI172" s="120" t="str">
        <f>IFERROR(VLOOKUP(Table1[RespondentID],'All Data'!$A$3:$CO$999,90,FALSE),"unknown")</f>
        <v>Lake Grove, 11755</v>
      </c>
      <c r="AJ172" s="120" t="str">
        <f>IFERROR(VLOOKUP(Table1[RespondentID],'All Data'!$A$3:$CO$999,91,FALSE),"unknown")</f>
        <v>Native Hawaiian and Other Pacific Islander</v>
      </c>
      <c r="AK172" s="120">
        <f>IFERROR(VLOOKUP(Table1[RespondentID],'All Data'!$A$3:$CO$999,92,FALSE),"unknown")</f>
        <v>0</v>
      </c>
      <c r="AL172" s="120" t="str">
        <f>IFERROR(VLOOKUP(Table1[RespondentID],'All Data'!$A$3:$CO$999,93,FALSE),"unknown")</f>
        <v>Portuguese</v>
      </c>
      <c r="AM172" s="120">
        <f>IFERROR(VLOOKUP(Table1[RespondentID],'All Data'!$A$3:$CW$999,94,FALSE),"unknown")</f>
        <v>0</v>
      </c>
      <c r="AN172" s="120" t="str">
        <f>IFERROR(VLOOKUP(Table1[RespondentID],'All Data'!$A$3:$CW$999,95,FALSE),"unknown")</f>
        <v>Technical school</v>
      </c>
      <c r="AO172" s="120">
        <f>IFERROR(VLOOKUP(Table1[RespondentID],'All Data'!$A$3:$CW$999,96,FALSE),"unknown")</f>
        <v>0</v>
      </c>
      <c r="AP172" s="120" t="str">
        <f>IFERROR(VLOOKUP(Table1[RespondentID],'All Data'!$A$3:$CW$999,97,FALSE),"unknown")</f>
        <v>No, but I did in the past</v>
      </c>
      <c r="AQ172" s="120">
        <f>IFERROR(VLOOKUP(Table1[RespondentID],'All Data'!$A$3:$CW$999,98,FALSE),"unknown")</f>
        <v>0</v>
      </c>
      <c r="AR172" s="120">
        <f>IFERROR(VLOOKUP(Table1[RespondentID],'All Data'!$A$3:$CW$999,99,FALSE),"unknown")</f>
        <v>0</v>
      </c>
    </row>
    <row r="173" spans="1:44" ht="16">
      <c r="A173" s="5">
        <v>18021798764</v>
      </c>
      <c r="B173" s="5"/>
      <c r="C173" s="5"/>
      <c r="D173" s="5" t="s">
        <v>31</v>
      </c>
      <c r="E173" s="5"/>
      <c r="F173" s="5"/>
      <c r="G173" s="5"/>
      <c r="H173" s="5"/>
      <c r="I173" s="5"/>
      <c r="J173" s="5"/>
      <c r="K173" s="5"/>
      <c r="L173" s="9"/>
      <c r="M173" s="9">
        <f t="shared" si="30"/>
        <v>1</v>
      </c>
      <c r="N173" s="9">
        <f t="shared" si="31"/>
        <v>3</v>
      </c>
      <c r="O173" s="9"/>
      <c r="P173" s="9">
        <f t="shared" si="32"/>
        <v>0</v>
      </c>
      <c r="Q173" s="9">
        <f t="shared" si="33"/>
        <v>0</v>
      </c>
      <c r="R173" s="9">
        <f t="shared" si="34"/>
        <v>1</v>
      </c>
      <c r="S173" s="9">
        <f t="shared" si="35"/>
        <v>0</v>
      </c>
      <c r="T173" s="9">
        <f t="shared" si="36"/>
        <v>0</v>
      </c>
      <c r="U173" s="9">
        <f t="shared" si="37"/>
        <v>0</v>
      </c>
      <c r="V173" s="153">
        <f t="shared" si="38"/>
        <v>0</v>
      </c>
      <c r="W173" s="9">
        <f t="shared" si="39"/>
        <v>0</v>
      </c>
      <c r="X173" s="9">
        <f t="shared" si="40"/>
        <v>0</v>
      </c>
      <c r="Y173" s="9">
        <f t="shared" si="41"/>
        <v>0</v>
      </c>
      <c r="Z173" s="9"/>
      <c r="AA173" s="9"/>
      <c r="AB173" s="9">
        <f t="shared" si="44"/>
        <v>1</v>
      </c>
      <c r="AC173" s="9">
        <f t="shared" si="42"/>
        <v>1</v>
      </c>
      <c r="AD173" s="9" t="str">
        <f t="shared" si="43"/>
        <v>Correct</v>
      </c>
      <c r="AE173" s="9"/>
      <c r="AF173" s="120" t="str">
        <f>IFERROR(VLOOKUP(Table1[RespondentID],'All Data'!$A$3:$CO$999,87,FALSE),"unknown")</f>
        <v>Woman</v>
      </c>
      <c r="AG173" s="120">
        <f>IFERROR(VLOOKUP(Table1[RespondentID],'All Data'!$A$3:$CO$999,88,FALSE),"unknown")</f>
        <v>18</v>
      </c>
      <c r="AH173" s="120" t="str">
        <f>IFERROR(VLOOKUP(Table1[RespondentID],'All Data'!$A$3:$CO$999,89,FALSE),"unknown")</f>
        <v>Suffolk</v>
      </c>
      <c r="AI173" s="120" t="str">
        <f>IFERROR(VLOOKUP(Table1[RespondentID],'All Data'!$A$3:$CO$999,90,FALSE),"unknown")</f>
        <v>Lake Grove, 11755</v>
      </c>
      <c r="AJ173" s="120" t="str">
        <f>IFERROR(VLOOKUP(Table1[RespondentID],'All Data'!$A$3:$CO$999,91,FALSE),"unknown")</f>
        <v>Black or African American</v>
      </c>
      <c r="AK173" s="120">
        <f>IFERROR(VLOOKUP(Table1[RespondentID],'All Data'!$A$3:$CO$999,92,FALSE),"unknown")</f>
        <v>0</v>
      </c>
      <c r="AL173" s="120" t="str">
        <f>IFERROR(VLOOKUP(Table1[RespondentID],'All Data'!$A$3:$CO$999,93,FALSE),"unknown")</f>
        <v>Portuguese</v>
      </c>
      <c r="AM173" s="120" t="str">
        <f>IFERROR(VLOOKUP(Table1[RespondentID],'All Data'!$A$3:$CW$999,94,FALSE),"unknown")</f>
        <v>$50,000 to $74,999</v>
      </c>
      <c r="AN173" s="120" t="str">
        <f>IFERROR(VLOOKUP(Table1[RespondentID],'All Data'!$A$3:$CW$999,95,FALSE),"unknown")</f>
        <v>Some high school</v>
      </c>
      <c r="AO173" s="120">
        <f>IFERROR(VLOOKUP(Table1[RespondentID],'All Data'!$A$3:$CW$999,96,FALSE),"unknown")</f>
        <v>0</v>
      </c>
      <c r="AP173" s="120" t="str">
        <f>IFERROR(VLOOKUP(Table1[RespondentID],'All Data'!$A$3:$CW$999,97,FALSE),"unknown")</f>
        <v>No, but I did in the past</v>
      </c>
      <c r="AQ173" s="120">
        <f>IFERROR(VLOOKUP(Table1[RespondentID],'All Data'!$A$3:$CW$999,98,FALSE),"unknown")</f>
        <v>0</v>
      </c>
      <c r="AR173" s="120">
        <f>IFERROR(VLOOKUP(Table1[RespondentID],'All Data'!$A$3:$CW$999,99,FALSE),"unknown")</f>
        <v>0</v>
      </c>
    </row>
    <row r="174" spans="1:44" ht="16">
      <c r="A174" s="5">
        <v>18021798571</v>
      </c>
      <c r="B174" s="5" t="s">
        <v>29</v>
      </c>
      <c r="C174" s="5"/>
      <c r="D174" s="5"/>
      <c r="E174" s="5"/>
      <c r="F174" s="5"/>
      <c r="G174" s="5"/>
      <c r="H174" s="5"/>
      <c r="I174" s="5"/>
      <c r="J174" s="5"/>
      <c r="K174" s="5"/>
      <c r="L174" s="8"/>
      <c r="M174" s="8">
        <f t="shared" si="30"/>
        <v>1</v>
      </c>
      <c r="N174" s="8">
        <f t="shared" si="31"/>
        <v>3</v>
      </c>
      <c r="O174" s="8"/>
      <c r="P174" s="8">
        <f t="shared" si="32"/>
        <v>1</v>
      </c>
      <c r="Q174" s="8">
        <f t="shared" si="33"/>
        <v>0</v>
      </c>
      <c r="R174" s="8">
        <f t="shared" si="34"/>
        <v>0</v>
      </c>
      <c r="S174" s="8">
        <f t="shared" si="35"/>
        <v>0</v>
      </c>
      <c r="T174" s="8">
        <f t="shared" si="36"/>
        <v>0</v>
      </c>
      <c r="U174" s="8">
        <f t="shared" si="37"/>
        <v>0</v>
      </c>
      <c r="V174" s="153">
        <f t="shared" si="38"/>
        <v>0</v>
      </c>
      <c r="W174" s="8">
        <f t="shared" si="39"/>
        <v>0</v>
      </c>
      <c r="X174" s="8">
        <f t="shared" si="40"/>
        <v>0</v>
      </c>
      <c r="Y174" s="8">
        <f t="shared" si="41"/>
        <v>0</v>
      </c>
      <c r="Z174" s="8"/>
      <c r="AA174" s="8"/>
      <c r="AB174" s="8">
        <f t="shared" si="44"/>
        <v>1</v>
      </c>
      <c r="AC174" s="8">
        <f t="shared" si="42"/>
        <v>1</v>
      </c>
      <c r="AD174" s="8" t="str">
        <f t="shared" si="43"/>
        <v>Correct</v>
      </c>
      <c r="AE174" s="8"/>
      <c r="AF174" s="120" t="str">
        <f>IFERROR(VLOOKUP(Table1[RespondentID],'All Data'!$A$3:$CO$999,87,FALSE),"unknown")</f>
        <v>Man</v>
      </c>
      <c r="AG174" s="120">
        <f>IFERROR(VLOOKUP(Table1[RespondentID],'All Data'!$A$3:$CO$999,88,FALSE),"unknown")</f>
        <v>21</v>
      </c>
      <c r="AH174" s="120" t="str">
        <f>IFERROR(VLOOKUP(Table1[RespondentID],'All Data'!$A$3:$CO$999,89,FALSE),"unknown")</f>
        <v>Nassau</v>
      </c>
      <c r="AI174" s="120" t="str">
        <f>IFERROR(VLOOKUP(Table1[RespondentID],'All Data'!$A$3:$CO$999,90,FALSE),"unknown")</f>
        <v>Syosset, 11773</v>
      </c>
      <c r="AJ174" s="120" t="str">
        <f>IFERROR(VLOOKUP(Table1[RespondentID],'All Data'!$A$3:$CO$999,91,FALSE),"unknown")</f>
        <v>White</v>
      </c>
      <c r="AK174" s="120">
        <f>IFERROR(VLOOKUP(Table1[RespondentID],'All Data'!$A$3:$CO$999,92,FALSE),"unknown")</f>
        <v>0</v>
      </c>
      <c r="AL174" s="120" t="str">
        <f>IFERROR(VLOOKUP(Table1[RespondentID],'All Data'!$A$3:$CO$999,93,FALSE),"unknown")</f>
        <v>Korean</v>
      </c>
      <c r="AM174" s="120" t="str">
        <f>IFERROR(VLOOKUP(Table1[RespondentID],'All Data'!$A$3:$CW$999,94,FALSE),"unknown")</f>
        <v>$75,000 to $125,000</v>
      </c>
      <c r="AN174" s="120" t="str">
        <f>IFERROR(VLOOKUP(Table1[RespondentID],'All Data'!$A$3:$CW$999,95,FALSE),"unknown")</f>
        <v>Some high school</v>
      </c>
      <c r="AO174" s="120" t="str">
        <f>IFERROR(VLOOKUP(Table1[RespondentID],'All Data'!$A$3:$CW$999,96,FALSE),"unknown")</f>
        <v>Student</v>
      </c>
      <c r="AP174" s="120" t="str">
        <f>IFERROR(VLOOKUP(Table1[RespondentID],'All Data'!$A$3:$CW$999,97,FALSE),"unknown")</f>
        <v>No, but I did in the past</v>
      </c>
      <c r="AQ174" s="120">
        <f>IFERROR(VLOOKUP(Table1[RespondentID],'All Data'!$A$3:$CW$999,98,FALSE),"unknown")</f>
        <v>0</v>
      </c>
      <c r="AR174" s="120">
        <f>IFERROR(VLOOKUP(Table1[RespondentID],'All Data'!$A$3:$CW$999,99,FALSE),"unknown")</f>
        <v>0</v>
      </c>
    </row>
    <row r="175" spans="1:44" ht="16">
      <c r="A175" s="5">
        <v>18021798337</v>
      </c>
      <c r="B175" s="5" t="s">
        <v>29</v>
      </c>
      <c r="C175" s="5"/>
      <c r="D175" s="5"/>
      <c r="E175" s="5"/>
      <c r="F175" s="5"/>
      <c r="G175" s="5"/>
      <c r="H175" s="5"/>
      <c r="I175" s="5"/>
      <c r="J175" s="5"/>
      <c r="K175" s="5"/>
      <c r="L175" s="9"/>
      <c r="M175" s="9">
        <f t="shared" si="30"/>
        <v>1</v>
      </c>
      <c r="N175" s="9">
        <f t="shared" si="31"/>
        <v>3</v>
      </c>
      <c r="O175" s="9"/>
      <c r="P175" s="9">
        <f t="shared" si="32"/>
        <v>1</v>
      </c>
      <c r="Q175" s="9">
        <f t="shared" si="33"/>
        <v>0</v>
      </c>
      <c r="R175" s="9">
        <f t="shared" si="34"/>
        <v>0</v>
      </c>
      <c r="S175" s="9">
        <f t="shared" si="35"/>
        <v>0</v>
      </c>
      <c r="T175" s="9">
        <f t="shared" si="36"/>
        <v>0</v>
      </c>
      <c r="U175" s="9">
        <f t="shared" si="37"/>
        <v>0</v>
      </c>
      <c r="V175" s="153">
        <f t="shared" si="38"/>
        <v>0</v>
      </c>
      <c r="W175" s="9">
        <f t="shared" si="39"/>
        <v>0</v>
      </c>
      <c r="X175" s="9">
        <f t="shared" si="40"/>
        <v>0</v>
      </c>
      <c r="Y175" s="9">
        <f t="shared" si="41"/>
        <v>0</v>
      </c>
      <c r="Z175" s="9"/>
      <c r="AA175" s="9"/>
      <c r="AB175" s="9">
        <f t="shared" si="44"/>
        <v>1</v>
      </c>
      <c r="AC175" s="9">
        <f t="shared" si="42"/>
        <v>1</v>
      </c>
      <c r="AD175" s="9" t="str">
        <f t="shared" si="43"/>
        <v>Correct</v>
      </c>
      <c r="AE175" s="9"/>
      <c r="AF175" s="120" t="str">
        <f>IFERROR(VLOOKUP(Table1[RespondentID],'All Data'!$A$3:$CO$999,87,FALSE),"unknown")</f>
        <v>Woman</v>
      </c>
      <c r="AG175" s="120">
        <f>IFERROR(VLOOKUP(Table1[RespondentID],'All Data'!$A$3:$CO$999,88,FALSE),"unknown")</f>
        <v>17</v>
      </c>
      <c r="AH175" s="120" t="str">
        <f>IFERROR(VLOOKUP(Table1[RespondentID],'All Data'!$A$3:$CO$999,89,FALSE),"unknown")</f>
        <v>Nassau</v>
      </c>
      <c r="AI175" s="120" t="str">
        <f>IFERROR(VLOOKUP(Table1[RespondentID],'All Data'!$A$3:$CO$999,90,FALSE),"unknown")</f>
        <v>Syosset, 11791</v>
      </c>
      <c r="AJ175" s="120" t="str">
        <f>IFERROR(VLOOKUP(Table1[RespondentID],'All Data'!$A$3:$CO$999,91,FALSE),"unknown")</f>
        <v>White</v>
      </c>
      <c r="AK175" s="120">
        <f>IFERROR(VLOOKUP(Table1[RespondentID],'All Data'!$A$3:$CO$999,92,FALSE),"unknown")</f>
        <v>0</v>
      </c>
      <c r="AL175" s="120" t="str">
        <f>IFERROR(VLOOKUP(Table1[RespondentID],'All Data'!$A$3:$CO$999,93,FALSE),"unknown")</f>
        <v>Korean</v>
      </c>
      <c r="AM175" s="120" t="str">
        <f>IFERROR(VLOOKUP(Table1[RespondentID],'All Data'!$A$3:$CW$999,94,FALSE),"unknown")</f>
        <v>$75,000 to $125,000</v>
      </c>
      <c r="AN175" s="120" t="str">
        <f>IFERROR(VLOOKUP(Table1[RespondentID],'All Data'!$A$3:$CW$999,95,FALSE),"unknown")</f>
        <v>Some high school</v>
      </c>
      <c r="AO175" s="120" t="str">
        <f>IFERROR(VLOOKUP(Table1[RespondentID],'All Data'!$A$3:$CW$999,96,FALSE),"unknown")</f>
        <v>Student</v>
      </c>
      <c r="AP175" s="120" t="str">
        <f>IFERROR(VLOOKUP(Table1[RespondentID],'All Data'!$A$3:$CW$999,97,FALSE),"unknown")</f>
        <v>No, but I did in the past</v>
      </c>
      <c r="AQ175" s="120">
        <f>IFERROR(VLOOKUP(Table1[RespondentID],'All Data'!$A$3:$CW$999,98,FALSE),"unknown")</f>
        <v>0</v>
      </c>
      <c r="AR175" s="120">
        <f>IFERROR(VLOOKUP(Table1[RespondentID],'All Data'!$A$3:$CW$999,99,FALSE),"unknown")</f>
        <v>0</v>
      </c>
    </row>
    <row r="176" spans="1:44" ht="16">
      <c r="A176" s="5">
        <v>18021797894</v>
      </c>
      <c r="B176" s="5"/>
      <c r="C176" s="5"/>
      <c r="D176" s="5"/>
      <c r="E176" s="5"/>
      <c r="F176" s="5"/>
      <c r="G176" s="5" t="s">
        <v>34</v>
      </c>
      <c r="H176" s="5"/>
      <c r="I176" s="5"/>
      <c r="J176" s="5"/>
      <c r="K176" s="5"/>
      <c r="L176" s="8"/>
      <c r="M176" s="8">
        <f t="shared" si="30"/>
        <v>1</v>
      </c>
      <c r="N176" s="8">
        <f t="shared" si="31"/>
        <v>3</v>
      </c>
      <c r="O176" s="8"/>
      <c r="P176" s="8">
        <f t="shared" si="32"/>
        <v>0</v>
      </c>
      <c r="Q176" s="8">
        <f t="shared" si="33"/>
        <v>0</v>
      </c>
      <c r="R176" s="8">
        <f t="shared" si="34"/>
        <v>0</v>
      </c>
      <c r="S176" s="8">
        <f t="shared" si="35"/>
        <v>0</v>
      </c>
      <c r="T176" s="8">
        <f t="shared" si="36"/>
        <v>0</v>
      </c>
      <c r="U176" s="8">
        <f t="shared" si="37"/>
        <v>1</v>
      </c>
      <c r="V176" s="153">
        <f t="shared" si="38"/>
        <v>0</v>
      </c>
      <c r="W176" s="8">
        <f t="shared" si="39"/>
        <v>0</v>
      </c>
      <c r="X176" s="8">
        <f t="shared" si="40"/>
        <v>0</v>
      </c>
      <c r="Y176" s="8">
        <f t="shared" si="41"/>
        <v>0</v>
      </c>
      <c r="Z176" s="8"/>
      <c r="AA176" s="8"/>
      <c r="AB176" s="8">
        <f t="shared" si="44"/>
        <v>1</v>
      </c>
      <c r="AC176" s="8">
        <f t="shared" si="42"/>
        <v>1</v>
      </c>
      <c r="AD176" s="8" t="str">
        <f t="shared" si="43"/>
        <v>Correct</v>
      </c>
      <c r="AE176" s="8"/>
      <c r="AF176" s="120" t="str">
        <f>IFERROR(VLOOKUP(Table1[RespondentID],'All Data'!$A$3:$CO$999,87,FALSE),"unknown")</f>
        <v>Woman</v>
      </c>
      <c r="AG176" s="120">
        <f>IFERROR(VLOOKUP(Table1[RespondentID],'All Data'!$A$3:$CO$999,88,FALSE),"unknown")</f>
        <v>18</v>
      </c>
      <c r="AH176" s="120" t="str">
        <f>IFERROR(VLOOKUP(Table1[RespondentID],'All Data'!$A$3:$CO$999,89,FALSE),"unknown")</f>
        <v>Suffolk</v>
      </c>
      <c r="AI176" s="120" t="str">
        <f>IFERROR(VLOOKUP(Table1[RespondentID],'All Data'!$A$3:$CO$999,90,FALSE),"unknown")</f>
        <v>Commack, 11725</v>
      </c>
      <c r="AJ176" s="120" t="str">
        <f>IFERROR(VLOOKUP(Table1[RespondentID],'All Data'!$A$3:$CO$999,91,FALSE),"unknown")</f>
        <v>Black or African American</v>
      </c>
      <c r="AK176" s="120">
        <f>IFERROR(VLOOKUP(Table1[RespondentID],'All Data'!$A$3:$CO$999,92,FALSE),"unknown")</f>
        <v>0</v>
      </c>
      <c r="AL176" s="120" t="str">
        <f>IFERROR(VLOOKUP(Table1[RespondentID],'All Data'!$A$3:$CO$999,93,FALSE),"unknown")</f>
        <v>Korean</v>
      </c>
      <c r="AM176" s="120" t="str">
        <f>IFERROR(VLOOKUP(Table1[RespondentID],'All Data'!$A$3:$CW$999,94,FALSE),"unknown")</f>
        <v>$75,000 to $125,000</v>
      </c>
      <c r="AN176" s="120" t="str">
        <f>IFERROR(VLOOKUP(Table1[RespondentID],'All Data'!$A$3:$CW$999,95,FALSE),"unknown")</f>
        <v>Some high school</v>
      </c>
      <c r="AO176" s="120" t="str">
        <f>IFERROR(VLOOKUP(Table1[RespondentID],'All Data'!$A$3:$CW$999,96,FALSE),"unknown")</f>
        <v>Student</v>
      </c>
      <c r="AP176" s="120" t="str">
        <f>IFERROR(VLOOKUP(Table1[RespondentID],'All Data'!$A$3:$CW$999,97,FALSE),"unknown")</f>
        <v>No, but I did in the past</v>
      </c>
      <c r="AQ176" s="120">
        <f>IFERROR(VLOOKUP(Table1[RespondentID],'All Data'!$A$3:$CW$999,98,FALSE),"unknown")</f>
        <v>0</v>
      </c>
      <c r="AR176" s="120">
        <f>IFERROR(VLOOKUP(Table1[RespondentID],'All Data'!$A$3:$CW$999,99,FALSE),"unknown")</f>
        <v>0</v>
      </c>
    </row>
    <row r="177" spans="1:44" ht="16">
      <c r="A177" s="5">
        <v>18021797663</v>
      </c>
      <c r="B177" s="5" t="s">
        <v>29</v>
      </c>
      <c r="C177" s="5"/>
      <c r="D177" s="5"/>
      <c r="E177" s="5"/>
      <c r="F177" s="5" t="s">
        <v>33</v>
      </c>
      <c r="G177" s="5"/>
      <c r="H177" s="5" t="s">
        <v>35</v>
      </c>
      <c r="I177" s="5"/>
      <c r="J177" s="5"/>
      <c r="K177" s="5"/>
      <c r="L177" s="9"/>
      <c r="M177" s="9">
        <f t="shared" si="30"/>
        <v>3</v>
      </c>
      <c r="N177" s="9">
        <f t="shared" si="31"/>
        <v>1</v>
      </c>
      <c r="O177" s="9"/>
      <c r="P177" s="9">
        <f t="shared" si="32"/>
        <v>1</v>
      </c>
      <c r="Q177" s="9">
        <f t="shared" si="33"/>
        <v>0</v>
      </c>
      <c r="R177" s="9">
        <f t="shared" si="34"/>
        <v>0</v>
      </c>
      <c r="S177" s="9">
        <f t="shared" si="35"/>
        <v>0</v>
      </c>
      <c r="T177" s="9">
        <f t="shared" si="36"/>
        <v>1</v>
      </c>
      <c r="U177" s="9">
        <f t="shared" si="37"/>
        <v>0</v>
      </c>
      <c r="V177" s="153">
        <f t="shared" si="38"/>
        <v>1</v>
      </c>
      <c r="W177" s="9">
        <f t="shared" si="39"/>
        <v>0</v>
      </c>
      <c r="X177" s="9">
        <f t="shared" si="40"/>
        <v>0</v>
      </c>
      <c r="Y177" s="9">
        <f t="shared" si="41"/>
        <v>0</v>
      </c>
      <c r="Z177" s="9"/>
      <c r="AA177" s="9"/>
      <c r="AB177" s="9">
        <f t="shared" si="44"/>
        <v>3</v>
      </c>
      <c r="AC177" s="9">
        <f t="shared" si="42"/>
        <v>3</v>
      </c>
      <c r="AD177" s="9" t="str">
        <f t="shared" si="43"/>
        <v>Correct</v>
      </c>
      <c r="AE177" s="9"/>
      <c r="AF177" s="120" t="str">
        <f>IFERROR(VLOOKUP(Table1[RespondentID],'All Data'!$A$3:$CO$999,87,FALSE),"unknown")</f>
        <v>Man</v>
      </c>
      <c r="AG177" s="120">
        <f>IFERROR(VLOOKUP(Table1[RespondentID],'All Data'!$A$3:$CO$999,88,FALSE),"unknown")</f>
        <v>18</v>
      </c>
      <c r="AH177" s="120" t="str">
        <f>IFERROR(VLOOKUP(Table1[RespondentID],'All Data'!$A$3:$CO$999,89,FALSE),"unknown")</f>
        <v>Suffolk</v>
      </c>
      <c r="AI177" s="120" t="str">
        <f>IFERROR(VLOOKUP(Table1[RespondentID],'All Data'!$A$3:$CO$999,90,FALSE),"unknown")</f>
        <v>Commack, 11725</v>
      </c>
      <c r="AJ177" s="120" t="str">
        <f>IFERROR(VLOOKUP(Table1[RespondentID],'All Data'!$A$3:$CO$999,91,FALSE),"unknown")</f>
        <v>White</v>
      </c>
      <c r="AK177" s="120" t="str">
        <f>IFERROR(VLOOKUP(Table1[RespondentID],'All Data'!$A$3:$CO$999,92,FALSE),"unknown")</f>
        <v>Hispanic or Latino</v>
      </c>
      <c r="AL177" s="120" t="str">
        <f>IFERROR(VLOOKUP(Table1[RespondentID],'All Data'!$A$3:$CO$999,93,FALSE),"unknown")</f>
        <v>Chinese</v>
      </c>
      <c r="AM177" s="120">
        <f>IFERROR(VLOOKUP(Table1[RespondentID],'All Data'!$A$3:$CW$999,94,FALSE),"unknown")</f>
        <v>0</v>
      </c>
      <c r="AN177" s="120">
        <f>IFERROR(VLOOKUP(Table1[RespondentID],'All Data'!$A$3:$CW$999,95,FALSE),"unknown")</f>
        <v>0</v>
      </c>
      <c r="AO177" s="120" t="str">
        <f>IFERROR(VLOOKUP(Table1[RespondentID],'All Data'!$A$3:$CW$999,96,FALSE),"unknown")</f>
        <v>Student</v>
      </c>
      <c r="AP177" s="120">
        <f>IFERROR(VLOOKUP(Table1[RespondentID],'All Data'!$A$3:$CW$999,97,FALSE),"unknown")</f>
        <v>0</v>
      </c>
      <c r="AQ177" s="120">
        <f>IFERROR(VLOOKUP(Table1[RespondentID],'All Data'!$A$3:$CW$999,98,FALSE),"unknown")</f>
        <v>0</v>
      </c>
      <c r="AR177" s="120">
        <f>IFERROR(VLOOKUP(Table1[RespondentID],'All Data'!$A$3:$CW$999,99,FALSE),"unknown")</f>
        <v>0</v>
      </c>
    </row>
    <row r="178" spans="1:44" ht="16">
      <c r="A178" s="5">
        <v>18021797480</v>
      </c>
      <c r="B178" s="5"/>
      <c r="C178" s="5"/>
      <c r="D178" s="5"/>
      <c r="E178" s="5"/>
      <c r="F178" s="5" t="s">
        <v>33</v>
      </c>
      <c r="G178" s="5"/>
      <c r="H178" s="5"/>
      <c r="I178" s="5"/>
      <c r="J178" s="5"/>
      <c r="K178" s="5"/>
      <c r="L178" s="8"/>
      <c r="M178" s="8">
        <f t="shared" si="30"/>
        <v>1</v>
      </c>
      <c r="N178" s="8">
        <f t="shared" si="31"/>
        <v>3</v>
      </c>
      <c r="O178" s="8"/>
      <c r="P178" s="8">
        <f t="shared" si="32"/>
        <v>0</v>
      </c>
      <c r="Q178" s="8">
        <f t="shared" si="33"/>
        <v>0</v>
      </c>
      <c r="R178" s="8">
        <f t="shared" si="34"/>
        <v>0</v>
      </c>
      <c r="S178" s="8">
        <f t="shared" si="35"/>
        <v>0</v>
      </c>
      <c r="T178" s="8">
        <f t="shared" si="36"/>
        <v>1</v>
      </c>
      <c r="U178" s="8">
        <f t="shared" si="37"/>
        <v>0</v>
      </c>
      <c r="V178" s="153">
        <f t="shared" si="38"/>
        <v>0</v>
      </c>
      <c r="W178" s="8">
        <f t="shared" si="39"/>
        <v>0</v>
      </c>
      <c r="X178" s="8">
        <f t="shared" si="40"/>
        <v>0</v>
      </c>
      <c r="Y178" s="8">
        <f t="shared" si="41"/>
        <v>0</v>
      </c>
      <c r="Z178" s="8"/>
      <c r="AA178" s="8"/>
      <c r="AB178" s="8">
        <f t="shared" si="44"/>
        <v>1</v>
      </c>
      <c r="AC178" s="8">
        <f t="shared" si="42"/>
        <v>1</v>
      </c>
      <c r="AD178" s="8" t="str">
        <f t="shared" si="43"/>
        <v>Correct</v>
      </c>
      <c r="AE178" s="8"/>
      <c r="AF178" s="120" t="str">
        <f>IFERROR(VLOOKUP(Table1[RespondentID],'All Data'!$A$3:$CO$999,87,FALSE),"unknown")</f>
        <v>Woman</v>
      </c>
      <c r="AG178" s="120">
        <f>IFERROR(VLOOKUP(Table1[RespondentID],'All Data'!$A$3:$CO$999,88,FALSE),"unknown")</f>
        <v>61</v>
      </c>
      <c r="AH178" s="120" t="str">
        <f>IFERROR(VLOOKUP(Table1[RespondentID],'All Data'!$A$3:$CO$999,89,FALSE),"unknown")</f>
        <v>Suffolk</v>
      </c>
      <c r="AI178" s="120" t="str">
        <f>IFERROR(VLOOKUP(Table1[RespondentID],'All Data'!$A$3:$CO$999,90,FALSE),"unknown")</f>
        <v>East Northport, 11731</v>
      </c>
      <c r="AJ178" s="120" t="str">
        <f>IFERROR(VLOOKUP(Table1[RespondentID],'All Data'!$A$3:$CO$999,91,FALSE),"unknown")</f>
        <v>American Indian and Alaska Native</v>
      </c>
      <c r="AK178" s="120">
        <f>IFERROR(VLOOKUP(Table1[RespondentID],'All Data'!$A$3:$CO$999,92,FALSE),"unknown")</f>
        <v>0</v>
      </c>
      <c r="AL178" s="120" t="str">
        <f>IFERROR(VLOOKUP(Table1[RespondentID],'All Data'!$A$3:$CO$999,93,FALSE),"unknown")</f>
        <v>Korean</v>
      </c>
      <c r="AM178" s="120" t="str">
        <f>IFERROR(VLOOKUP(Table1[RespondentID],'All Data'!$A$3:$CW$999,94,FALSE),"unknown")</f>
        <v>$0-$19,999</v>
      </c>
      <c r="AN178" s="120" t="str">
        <f>IFERROR(VLOOKUP(Table1[RespondentID],'All Data'!$A$3:$CW$999,95,FALSE),"unknown")</f>
        <v>College graduate</v>
      </c>
      <c r="AO178" s="120" t="str">
        <f>IFERROR(VLOOKUP(Table1[RespondentID],'All Data'!$A$3:$CW$999,96,FALSE),"unknown")</f>
        <v>Employed for wages</v>
      </c>
      <c r="AP178" s="120" t="str">
        <f>IFERROR(VLOOKUP(Table1[RespondentID],'All Data'!$A$3:$CW$999,97,FALSE),"unknown")</f>
        <v>Yes</v>
      </c>
      <c r="AQ178" s="120">
        <f>IFERROR(VLOOKUP(Table1[RespondentID],'All Data'!$A$3:$CW$999,98,FALSE),"unknown")</f>
        <v>0</v>
      </c>
      <c r="AR178" s="120">
        <f>IFERROR(VLOOKUP(Table1[RespondentID],'All Data'!$A$3:$CW$999,99,FALSE),"unknown")</f>
        <v>0</v>
      </c>
    </row>
    <row r="179" spans="1:44" ht="16">
      <c r="A179" s="5">
        <v>18021796836</v>
      </c>
      <c r="B179" s="5"/>
      <c r="C179" s="5"/>
      <c r="D179" s="5"/>
      <c r="E179" s="5"/>
      <c r="F179" s="5" t="s">
        <v>33</v>
      </c>
      <c r="G179" s="5"/>
      <c r="H179" s="5"/>
      <c r="I179" s="5"/>
      <c r="J179" s="5"/>
      <c r="K179" s="5"/>
      <c r="L179" s="9"/>
      <c r="M179" s="9">
        <f t="shared" si="30"/>
        <v>1</v>
      </c>
      <c r="N179" s="9">
        <f t="shared" si="31"/>
        <v>3</v>
      </c>
      <c r="O179" s="9"/>
      <c r="P179" s="9">
        <f t="shared" si="32"/>
        <v>0</v>
      </c>
      <c r="Q179" s="9">
        <f t="shared" si="33"/>
        <v>0</v>
      </c>
      <c r="R179" s="9">
        <f t="shared" si="34"/>
        <v>0</v>
      </c>
      <c r="S179" s="9">
        <f t="shared" si="35"/>
        <v>0</v>
      </c>
      <c r="T179" s="9">
        <f t="shared" si="36"/>
        <v>1</v>
      </c>
      <c r="U179" s="9">
        <f t="shared" si="37"/>
        <v>0</v>
      </c>
      <c r="V179" s="153">
        <f t="shared" si="38"/>
        <v>0</v>
      </c>
      <c r="W179" s="9">
        <f t="shared" si="39"/>
        <v>0</v>
      </c>
      <c r="X179" s="9">
        <f t="shared" si="40"/>
        <v>0</v>
      </c>
      <c r="Y179" s="9">
        <f t="shared" si="41"/>
        <v>0</v>
      </c>
      <c r="Z179" s="9"/>
      <c r="AA179" s="9"/>
      <c r="AB179" s="9">
        <f t="shared" si="44"/>
        <v>1</v>
      </c>
      <c r="AC179" s="9">
        <f t="shared" si="42"/>
        <v>1</v>
      </c>
      <c r="AD179" s="9" t="str">
        <f t="shared" si="43"/>
        <v>Correct</v>
      </c>
      <c r="AE179" s="9"/>
      <c r="AF179" s="120" t="str">
        <f>IFERROR(VLOOKUP(Table1[RespondentID],'All Data'!$A$3:$CO$999,87,FALSE),"unknown")</f>
        <v>Man</v>
      </c>
      <c r="AG179" s="120">
        <f>IFERROR(VLOOKUP(Table1[RespondentID],'All Data'!$A$3:$CO$999,88,FALSE),"unknown")</f>
        <v>60</v>
      </c>
      <c r="AH179" s="120" t="str">
        <f>IFERROR(VLOOKUP(Table1[RespondentID],'All Data'!$A$3:$CO$999,89,FALSE),"unknown")</f>
        <v>Suffolk</v>
      </c>
      <c r="AI179" s="120" t="str">
        <f>IFERROR(VLOOKUP(Table1[RespondentID],'All Data'!$A$3:$CO$999,90,FALSE),"unknown")</f>
        <v>Commack, 11725</v>
      </c>
      <c r="AJ179" s="120" t="str">
        <f>IFERROR(VLOOKUP(Table1[RespondentID],'All Data'!$A$3:$CO$999,91,FALSE),"unknown")</f>
        <v>American Indian and Alaska Native</v>
      </c>
      <c r="AK179" s="120">
        <f>IFERROR(VLOOKUP(Table1[RespondentID],'All Data'!$A$3:$CO$999,92,FALSE),"unknown")</f>
        <v>0</v>
      </c>
      <c r="AL179" s="120" t="str">
        <f>IFERROR(VLOOKUP(Table1[RespondentID],'All Data'!$A$3:$CO$999,93,FALSE),"unknown")</f>
        <v>Korean</v>
      </c>
      <c r="AM179" s="120" t="str">
        <f>IFERROR(VLOOKUP(Table1[RespondentID],'All Data'!$A$3:$CW$999,94,FALSE),"unknown")</f>
        <v>$0-$19,999</v>
      </c>
      <c r="AN179" s="120" t="str">
        <f>IFERROR(VLOOKUP(Table1[RespondentID],'All Data'!$A$3:$CW$999,95,FALSE),"unknown")</f>
        <v>College graduate</v>
      </c>
      <c r="AO179" s="120" t="str">
        <f>IFERROR(VLOOKUP(Table1[RespondentID],'All Data'!$A$3:$CW$999,96,FALSE),"unknown")</f>
        <v>Employed for wages</v>
      </c>
      <c r="AP179" s="120" t="str">
        <f>IFERROR(VLOOKUP(Table1[RespondentID],'All Data'!$A$3:$CW$999,97,FALSE),"unknown")</f>
        <v>Yes</v>
      </c>
      <c r="AQ179" s="120">
        <f>IFERROR(VLOOKUP(Table1[RespondentID],'All Data'!$A$3:$CW$999,98,FALSE),"unknown")</f>
        <v>0</v>
      </c>
      <c r="AR179" s="120">
        <f>IFERROR(VLOOKUP(Table1[RespondentID],'All Data'!$A$3:$CW$999,99,FALSE),"unknown")</f>
        <v>0</v>
      </c>
    </row>
    <row r="180" spans="1:44" ht="16">
      <c r="A180" s="5">
        <v>18021796390</v>
      </c>
      <c r="B180" s="5" t="s">
        <v>29</v>
      </c>
      <c r="C180" s="5"/>
      <c r="D180" s="5" t="s">
        <v>31</v>
      </c>
      <c r="E180" s="5"/>
      <c r="F180" s="5"/>
      <c r="G180" s="5"/>
      <c r="H180" s="5"/>
      <c r="I180" s="5" t="s">
        <v>36</v>
      </c>
      <c r="J180" s="5"/>
      <c r="K180" s="5"/>
      <c r="L180" s="8"/>
      <c r="M180" s="8">
        <f t="shared" si="30"/>
        <v>3</v>
      </c>
      <c r="N180" s="8">
        <f t="shared" si="31"/>
        <v>1</v>
      </c>
      <c r="O180" s="8"/>
      <c r="P180" s="8">
        <f t="shared" si="32"/>
        <v>1</v>
      </c>
      <c r="Q180" s="8">
        <f t="shared" si="33"/>
        <v>0</v>
      </c>
      <c r="R180" s="8">
        <f t="shared" si="34"/>
        <v>1</v>
      </c>
      <c r="S180" s="8">
        <f t="shared" si="35"/>
        <v>0</v>
      </c>
      <c r="T180" s="8">
        <f t="shared" si="36"/>
        <v>0</v>
      </c>
      <c r="U180" s="8">
        <f t="shared" si="37"/>
        <v>0</v>
      </c>
      <c r="V180" s="153">
        <f t="shared" si="38"/>
        <v>0</v>
      </c>
      <c r="W180" s="8">
        <f t="shared" si="39"/>
        <v>1</v>
      </c>
      <c r="X180" s="8">
        <f t="shared" si="40"/>
        <v>0</v>
      </c>
      <c r="Y180" s="8">
        <f t="shared" si="41"/>
        <v>0</v>
      </c>
      <c r="Z180" s="8"/>
      <c r="AA180" s="8"/>
      <c r="AB180" s="8">
        <f t="shared" si="44"/>
        <v>3</v>
      </c>
      <c r="AC180" s="8">
        <f t="shared" si="42"/>
        <v>3</v>
      </c>
      <c r="AD180" s="8" t="str">
        <f t="shared" si="43"/>
        <v>Correct</v>
      </c>
      <c r="AE180" s="8"/>
      <c r="AF180" s="120" t="str">
        <f>IFERROR(VLOOKUP(Table1[RespondentID],'All Data'!$A$3:$CO$999,87,FALSE),"unknown")</f>
        <v>Man</v>
      </c>
      <c r="AG180" s="120">
        <f>IFERROR(VLOOKUP(Table1[RespondentID],'All Data'!$A$3:$CO$999,88,FALSE),"unknown")</f>
        <v>26</v>
      </c>
      <c r="AH180" s="120" t="str">
        <f>IFERROR(VLOOKUP(Table1[RespondentID],'All Data'!$A$3:$CO$999,89,FALSE),"unknown")</f>
        <v>Suffolk</v>
      </c>
      <c r="AI180" s="120" t="str">
        <f>IFERROR(VLOOKUP(Table1[RespondentID],'All Data'!$A$3:$CO$999,90,FALSE),"unknown")</f>
        <v>Port Jefferson Station, 11776</v>
      </c>
      <c r="AJ180" s="120" t="str">
        <f>IFERROR(VLOOKUP(Table1[RespondentID],'All Data'!$A$3:$CO$999,91,FALSE),"unknown")</f>
        <v>White</v>
      </c>
      <c r="AK180" s="120" t="str">
        <f>IFERROR(VLOOKUP(Table1[RespondentID],'All Data'!$A$3:$CO$999,92,FALSE),"unknown")</f>
        <v>Hispanic or Latino</v>
      </c>
      <c r="AL180" s="120" t="str">
        <f>IFERROR(VLOOKUP(Table1[RespondentID],'All Data'!$A$3:$CO$999,93,FALSE),"unknown")</f>
        <v>English</v>
      </c>
      <c r="AM180" s="120" t="str">
        <f>IFERROR(VLOOKUP(Table1[RespondentID],'All Data'!$A$3:$CW$999,94,FALSE),"unknown")</f>
        <v>Over $125,000</v>
      </c>
      <c r="AN180" s="120" t="str">
        <f>IFERROR(VLOOKUP(Table1[RespondentID],'All Data'!$A$3:$CW$999,95,FALSE),"unknown")</f>
        <v>Some college</v>
      </c>
      <c r="AO180" s="120" t="str">
        <f>IFERROR(VLOOKUP(Table1[RespondentID],'All Data'!$A$3:$CW$999,96,FALSE),"unknown")</f>
        <v>Out of work and looking for work</v>
      </c>
      <c r="AP180" s="120" t="str">
        <f>IFERROR(VLOOKUP(Table1[RespondentID],'All Data'!$A$3:$CW$999,97,FALSE),"unknown")</f>
        <v>Yes</v>
      </c>
      <c r="AQ180" s="120">
        <f>IFERROR(VLOOKUP(Table1[RespondentID],'All Data'!$A$3:$CW$999,98,FALSE),"unknown")</f>
        <v>0</v>
      </c>
      <c r="AR180" s="120">
        <f>IFERROR(VLOOKUP(Table1[RespondentID],'All Data'!$A$3:$CW$999,99,FALSE),"unknown")</f>
        <v>0</v>
      </c>
    </row>
    <row r="181" spans="1:44" ht="16">
      <c r="A181" s="5">
        <v>18021796214</v>
      </c>
      <c r="B181" s="5" t="s">
        <v>29</v>
      </c>
      <c r="C181" s="5"/>
      <c r="D181" s="5"/>
      <c r="E181" s="5"/>
      <c r="F181" s="5"/>
      <c r="G181" s="5" t="s">
        <v>34</v>
      </c>
      <c r="H181" s="5"/>
      <c r="I181" s="5" t="s">
        <v>36</v>
      </c>
      <c r="J181" s="5"/>
      <c r="K181" s="5"/>
      <c r="L181" s="9"/>
      <c r="M181" s="9">
        <f t="shared" si="30"/>
        <v>3</v>
      </c>
      <c r="N181" s="9">
        <f t="shared" si="31"/>
        <v>1</v>
      </c>
      <c r="O181" s="9"/>
      <c r="P181" s="9">
        <f t="shared" si="32"/>
        <v>1</v>
      </c>
      <c r="Q181" s="9">
        <f t="shared" si="33"/>
        <v>0</v>
      </c>
      <c r="R181" s="9">
        <f t="shared" si="34"/>
        <v>0</v>
      </c>
      <c r="S181" s="9">
        <f t="shared" si="35"/>
        <v>0</v>
      </c>
      <c r="T181" s="9">
        <f t="shared" si="36"/>
        <v>0</v>
      </c>
      <c r="U181" s="9">
        <f t="shared" si="37"/>
        <v>1</v>
      </c>
      <c r="V181" s="153">
        <f t="shared" si="38"/>
        <v>0</v>
      </c>
      <c r="W181" s="9">
        <f t="shared" si="39"/>
        <v>1</v>
      </c>
      <c r="X181" s="9">
        <f t="shared" si="40"/>
        <v>0</v>
      </c>
      <c r="Y181" s="9">
        <f t="shared" si="41"/>
        <v>0</v>
      </c>
      <c r="Z181" s="9"/>
      <c r="AA181" s="9"/>
      <c r="AB181" s="9">
        <f t="shared" si="44"/>
        <v>3</v>
      </c>
      <c r="AC181" s="9">
        <f t="shared" si="42"/>
        <v>3</v>
      </c>
      <c r="AD181" s="9" t="str">
        <f t="shared" si="43"/>
        <v>Correct</v>
      </c>
      <c r="AE181" s="9"/>
      <c r="AF181" s="120" t="str">
        <f>IFERROR(VLOOKUP(Table1[RespondentID],'All Data'!$A$3:$CO$999,87,FALSE),"unknown")</f>
        <v>Woman</v>
      </c>
      <c r="AG181" s="120">
        <f>IFERROR(VLOOKUP(Table1[RespondentID],'All Data'!$A$3:$CO$999,88,FALSE),"unknown")</f>
        <v>46</v>
      </c>
      <c r="AH181" s="120" t="str">
        <f>IFERROR(VLOOKUP(Table1[RespondentID],'All Data'!$A$3:$CO$999,89,FALSE),"unknown")</f>
        <v>Nassau</v>
      </c>
      <c r="AI181" s="120" t="str">
        <f>IFERROR(VLOOKUP(Table1[RespondentID],'All Data'!$A$3:$CO$999,90,FALSE),"unknown")</f>
        <v>Long Beach, 11561</v>
      </c>
      <c r="AJ181" s="120" t="str">
        <f>IFERROR(VLOOKUP(Table1[RespondentID],'All Data'!$A$3:$CO$999,91,FALSE),"unknown")</f>
        <v>White</v>
      </c>
      <c r="AK181" s="120" t="str">
        <f>IFERROR(VLOOKUP(Table1[RespondentID],'All Data'!$A$3:$CO$999,92,FALSE),"unknown")</f>
        <v>Hispanic or Latino</v>
      </c>
      <c r="AL181" s="120" t="str">
        <f>IFERROR(VLOOKUP(Table1[RespondentID],'All Data'!$A$3:$CO$999,93,FALSE),"unknown")</f>
        <v>English</v>
      </c>
      <c r="AM181" s="120" t="str">
        <f>IFERROR(VLOOKUP(Table1[RespondentID],'All Data'!$A$3:$CW$999,94,FALSE),"unknown")</f>
        <v>Over $125,000</v>
      </c>
      <c r="AN181" s="120" t="str">
        <f>IFERROR(VLOOKUP(Table1[RespondentID],'All Data'!$A$3:$CW$999,95,FALSE),"unknown")</f>
        <v>Graduate school</v>
      </c>
      <c r="AO181" s="120" t="str">
        <f>IFERROR(VLOOKUP(Table1[RespondentID],'All Data'!$A$3:$CW$999,96,FALSE),"unknown")</f>
        <v>Employed for wages</v>
      </c>
      <c r="AP181" s="120" t="str">
        <f>IFERROR(VLOOKUP(Table1[RespondentID],'All Data'!$A$3:$CW$999,97,FALSE),"unknown")</f>
        <v>Yes</v>
      </c>
      <c r="AQ181" s="120">
        <f>IFERROR(VLOOKUP(Table1[RespondentID],'All Data'!$A$3:$CW$999,98,FALSE),"unknown")</f>
        <v>0</v>
      </c>
      <c r="AR181" s="120">
        <f>IFERROR(VLOOKUP(Table1[RespondentID],'All Data'!$A$3:$CW$999,99,FALSE),"unknown")</f>
        <v>0</v>
      </c>
    </row>
    <row r="182" spans="1:44" ht="16">
      <c r="A182" s="5">
        <v>18021795979</v>
      </c>
      <c r="B182" s="5"/>
      <c r="C182" s="5"/>
      <c r="D182" s="5" t="s">
        <v>31</v>
      </c>
      <c r="E182" s="5"/>
      <c r="F182" s="5"/>
      <c r="G182" s="5"/>
      <c r="H182" s="5" t="s">
        <v>35</v>
      </c>
      <c r="I182" s="5"/>
      <c r="J182" s="5"/>
      <c r="K182" s="5" t="s">
        <v>375</v>
      </c>
      <c r="L182" s="8"/>
      <c r="M182" s="8">
        <f t="shared" si="30"/>
        <v>3</v>
      </c>
      <c r="N182" s="8">
        <f t="shared" si="31"/>
        <v>1</v>
      </c>
      <c r="O182" s="8"/>
      <c r="P182" s="8">
        <f t="shared" si="32"/>
        <v>0</v>
      </c>
      <c r="Q182" s="8">
        <f t="shared" si="33"/>
        <v>0</v>
      </c>
      <c r="R182" s="8">
        <f t="shared" si="34"/>
        <v>1</v>
      </c>
      <c r="S182" s="8">
        <f t="shared" si="35"/>
        <v>0</v>
      </c>
      <c r="T182" s="8">
        <f t="shared" si="36"/>
        <v>0</v>
      </c>
      <c r="U182" s="8">
        <f t="shared" si="37"/>
        <v>0</v>
      </c>
      <c r="V182" s="153">
        <f t="shared" si="38"/>
        <v>1</v>
      </c>
      <c r="W182" s="8">
        <f t="shared" si="39"/>
        <v>0</v>
      </c>
      <c r="X182" s="8">
        <f t="shared" si="40"/>
        <v>0</v>
      </c>
      <c r="Y182" s="8">
        <f t="shared" si="41"/>
        <v>1</v>
      </c>
      <c r="Z182" s="8"/>
      <c r="AA182" s="8"/>
      <c r="AB182" s="8">
        <f t="shared" si="44"/>
        <v>3</v>
      </c>
      <c r="AC182" s="8">
        <f t="shared" si="42"/>
        <v>3</v>
      </c>
      <c r="AD182" s="8" t="str">
        <f t="shared" si="43"/>
        <v>Correct</v>
      </c>
      <c r="AE182" s="8"/>
      <c r="AF182" s="120" t="str">
        <f>IFERROR(VLOOKUP(Table1[RespondentID],'All Data'!$A$3:$CO$999,87,FALSE),"unknown")</f>
        <v>Man</v>
      </c>
      <c r="AG182" s="120">
        <f>IFERROR(VLOOKUP(Table1[RespondentID],'All Data'!$A$3:$CO$999,88,FALSE),"unknown")</f>
        <v>34</v>
      </c>
      <c r="AH182" s="120" t="str">
        <f>IFERROR(VLOOKUP(Table1[RespondentID],'All Data'!$A$3:$CO$999,89,FALSE),"unknown")</f>
        <v>Suffolk</v>
      </c>
      <c r="AI182" s="120" t="str">
        <f>IFERROR(VLOOKUP(Table1[RespondentID],'All Data'!$A$3:$CO$999,90,FALSE),"unknown")</f>
        <v>Stony Brook, 11790</v>
      </c>
      <c r="AJ182" s="120" t="str">
        <f>IFERROR(VLOOKUP(Table1[RespondentID],'All Data'!$A$3:$CO$999,91,FALSE),"unknown")</f>
        <v>White</v>
      </c>
      <c r="AK182" s="120" t="str">
        <f>IFERROR(VLOOKUP(Table1[RespondentID],'All Data'!$A$3:$CO$999,92,FALSE),"unknown")</f>
        <v>Hispanic or Latino</v>
      </c>
      <c r="AL182" s="120" t="str">
        <f>IFERROR(VLOOKUP(Table1[RespondentID],'All Data'!$A$3:$CO$999,93,FALSE),"unknown")</f>
        <v>English</v>
      </c>
      <c r="AM182" s="120" t="str">
        <f>IFERROR(VLOOKUP(Table1[RespondentID],'All Data'!$A$3:$CW$999,94,FALSE),"unknown")</f>
        <v>$35,000 to $49,999</v>
      </c>
      <c r="AN182" s="120" t="str">
        <f>IFERROR(VLOOKUP(Table1[RespondentID],'All Data'!$A$3:$CW$999,95,FALSE),"unknown")</f>
        <v>Some college</v>
      </c>
      <c r="AO182" s="120" t="str">
        <f>IFERROR(VLOOKUP(Table1[RespondentID],'All Data'!$A$3:$CW$999,96,FALSE),"unknown")</f>
        <v>Employed for wages</v>
      </c>
      <c r="AP182" s="120" t="str">
        <f>IFERROR(VLOOKUP(Table1[RespondentID],'All Data'!$A$3:$CW$999,97,FALSE),"unknown")</f>
        <v>Yes</v>
      </c>
      <c r="AQ182" s="120">
        <f>IFERROR(VLOOKUP(Table1[RespondentID],'All Data'!$A$3:$CW$999,98,FALSE),"unknown")</f>
        <v>0</v>
      </c>
      <c r="AR182" s="120">
        <f>IFERROR(VLOOKUP(Table1[RespondentID],'All Data'!$A$3:$CW$999,99,FALSE),"unknown")</f>
        <v>0</v>
      </c>
    </row>
    <row r="183" spans="1:44" ht="16">
      <c r="A183" s="5">
        <v>18021795763</v>
      </c>
      <c r="B183" s="5" t="s">
        <v>29</v>
      </c>
      <c r="C183" s="5"/>
      <c r="D183" s="5"/>
      <c r="E183" s="5"/>
      <c r="F183" s="5"/>
      <c r="G183" s="5"/>
      <c r="H183" s="5"/>
      <c r="I183" s="5"/>
      <c r="J183" s="5"/>
      <c r="K183" s="5"/>
      <c r="L183" s="9"/>
      <c r="M183" s="9">
        <f t="shared" si="30"/>
        <v>1</v>
      </c>
      <c r="N183" s="9">
        <f t="shared" si="31"/>
        <v>3</v>
      </c>
      <c r="O183" s="9"/>
      <c r="P183" s="9">
        <f t="shared" si="32"/>
        <v>1</v>
      </c>
      <c r="Q183" s="9">
        <f t="shared" si="33"/>
        <v>0</v>
      </c>
      <c r="R183" s="9">
        <f t="shared" si="34"/>
        <v>0</v>
      </c>
      <c r="S183" s="9">
        <f t="shared" si="35"/>
        <v>0</v>
      </c>
      <c r="T183" s="9">
        <f t="shared" si="36"/>
        <v>0</v>
      </c>
      <c r="U183" s="9">
        <f t="shared" si="37"/>
        <v>0</v>
      </c>
      <c r="V183" s="153">
        <f t="shared" si="38"/>
        <v>0</v>
      </c>
      <c r="W183" s="9">
        <f t="shared" si="39"/>
        <v>0</v>
      </c>
      <c r="X183" s="9">
        <f t="shared" si="40"/>
        <v>0</v>
      </c>
      <c r="Y183" s="9">
        <f t="shared" si="41"/>
        <v>0</v>
      </c>
      <c r="Z183" s="9"/>
      <c r="AA183" s="9"/>
      <c r="AB183" s="9">
        <f t="shared" si="44"/>
        <v>1</v>
      </c>
      <c r="AC183" s="9">
        <f t="shared" si="42"/>
        <v>1</v>
      </c>
      <c r="AD183" s="9" t="str">
        <f t="shared" si="43"/>
        <v>Correct</v>
      </c>
      <c r="AE183" s="9"/>
      <c r="AF183" s="120" t="str">
        <f>IFERROR(VLOOKUP(Table1[RespondentID],'All Data'!$A$3:$CO$999,87,FALSE),"unknown")</f>
        <v>Man</v>
      </c>
      <c r="AG183" s="120">
        <f>IFERROR(VLOOKUP(Table1[RespondentID],'All Data'!$A$3:$CO$999,88,FALSE),"unknown")</f>
        <v>18</v>
      </c>
      <c r="AH183" s="120" t="str">
        <f>IFERROR(VLOOKUP(Table1[RespondentID],'All Data'!$A$3:$CO$999,89,FALSE),"unknown")</f>
        <v>Suffolk</v>
      </c>
      <c r="AI183" s="120" t="str">
        <f>IFERROR(VLOOKUP(Table1[RespondentID],'All Data'!$A$3:$CO$999,90,FALSE),"unknown")</f>
        <v>Commack, 11725</v>
      </c>
      <c r="AJ183" s="120" t="str">
        <f>IFERROR(VLOOKUP(Table1[RespondentID],'All Data'!$A$3:$CO$999,91,FALSE),"unknown")</f>
        <v>White</v>
      </c>
      <c r="AK183" s="120" t="str">
        <f>IFERROR(VLOOKUP(Table1[RespondentID],'All Data'!$A$3:$CO$999,92,FALSE),"unknown")</f>
        <v>Hispanic or Latino</v>
      </c>
      <c r="AL183" s="120" t="str">
        <f>IFERROR(VLOOKUP(Table1[RespondentID],'All Data'!$A$3:$CO$999,93,FALSE),"unknown")</f>
        <v>English</v>
      </c>
      <c r="AM183" s="120" t="str">
        <f>IFERROR(VLOOKUP(Table1[RespondentID],'All Data'!$A$3:$CW$999,94,FALSE),"unknown")</f>
        <v>$50,000 to $74,999</v>
      </c>
      <c r="AN183" s="120" t="str">
        <f>IFERROR(VLOOKUP(Table1[RespondentID],'All Data'!$A$3:$CW$999,95,FALSE),"unknown")</f>
        <v>High school graduate</v>
      </c>
      <c r="AO183" s="120" t="str">
        <f>IFERROR(VLOOKUP(Table1[RespondentID],'All Data'!$A$3:$CW$999,96,FALSE),"unknown")</f>
        <v>Student</v>
      </c>
      <c r="AP183" s="120" t="str">
        <f>IFERROR(VLOOKUP(Table1[RespondentID],'All Data'!$A$3:$CW$999,97,FALSE),"unknown")</f>
        <v>Yes</v>
      </c>
      <c r="AQ183" s="120">
        <f>IFERROR(VLOOKUP(Table1[RespondentID],'All Data'!$A$3:$CW$999,98,FALSE),"unknown")</f>
        <v>0</v>
      </c>
      <c r="AR183" s="120">
        <f>IFERROR(VLOOKUP(Table1[RespondentID],'All Data'!$A$3:$CW$999,99,FALSE),"unknown")</f>
        <v>0</v>
      </c>
    </row>
    <row r="184" spans="1:44" ht="16">
      <c r="A184" s="5">
        <v>18021795588</v>
      </c>
      <c r="B184" s="5"/>
      <c r="C184" s="5"/>
      <c r="D184" s="5" t="s">
        <v>31</v>
      </c>
      <c r="E184" s="5"/>
      <c r="F184" s="5"/>
      <c r="G184" s="5"/>
      <c r="H184" s="5"/>
      <c r="I184" s="5" t="s">
        <v>36</v>
      </c>
      <c r="J184" s="5" t="s">
        <v>37</v>
      </c>
      <c r="K184" s="5"/>
      <c r="L184" s="8"/>
      <c r="M184" s="8">
        <f t="shared" si="30"/>
        <v>3</v>
      </c>
      <c r="N184" s="8">
        <f t="shared" si="31"/>
        <v>1</v>
      </c>
      <c r="O184" s="8"/>
      <c r="P184" s="8">
        <f t="shared" si="32"/>
        <v>0</v>
      </c>
      <c r="Q184" s="8">
        <f t="shared" si="33"/>
        <v>0</v>
      </c>
      <c r="R184" s="8">
        <f t="shared" si="34"/>
        <v>1</v>
      </c>
      <c r="S184" s="8">
        <f t="shared" si="35"/>
        <v>0</v>
      </c>
      <c r="T184" s="8">
        <f t="shared" si="36"/>
        <v>0</v>
      </c>
      <c r="U184" s="8">
        <f t="shared" si="37"/>
        <v>0</v>
      </c>
      <c r="V184" s="153">
        <f t="shared" si="38"/>
        <v>0</v>
      </c>
      <c r="W184" s="8">
        <f t="shared" si="39"/>
        <v>1</v>
      </c>
      <c r="X184" s="8">
        <f t="shared" si="40"/>
        <v>1</v>
      </c>
      <c r="Y184" s="8">
        <f t="shared" si="41"/>
        <v>0</v>
      </c>
      <c r="Z184" s="8"/>
      <c r="AA184" s="8"/>
      <c r="AB184" s="8">
        <f t="shared" si="44"/>
        <v>3</v>
      </c>
      <c r="AC184" s="8">
        <f t="shared" si="42"/>
        <v>3</v>
      </c>
      <c r="AD184" s="8" t="str">
        <f t="shared" si="43"/>
        <v>Correct</v>
      </c>
      <c r="AE184" s="8"/>
      <c r="AF184" s="120" t="str">
        <f>IFERROR(VLOOKUP(Table1[RespondentID],'All Data'!$A$3:$CO$999,87,FALSE),"unknown")</f>
        <v>Woman</v>
      </c>
      <c r="AG184" s="120">
        <f>IFERROR(VLOOKUP(Table1[RespondentID],'All Data'!$A$3:$CO$999,88,FALSE),"unknown")</f>
        <v>64</v>
      </c>
      <c r="AH184" s="120" t="str">
        <f>IFERROR(VLOOKUP(Table1[RespondentID],'All Data'!$A$3:$CO$999,89,FALSE),"unknown")</f>
        <v>Suffolk</v>
      </c>
      <c r="AI184" s="120" t="str">
        <f>IFERROR(VLOOKUP(Table1[RespondentID],'All Data'!$A$3:$CO$999,90,FALSE),"unknown")</f>
        <v>Northport, 11768</v>
      </c>
      <c r="AJ184" s="120" t="str">
        <f>IFERROR(VLOOKUP(Table1[RespondentID],'All Data'!$A$3:$CO$999,91,FALSE),"unknown")</f>
        <v>White</v>
      </c>
      <c r="AK184" s="120" t="str">
        <f>IFERROR(VLOOKUP(Table1[RespondentID],'All Data'!$A$3:$CO$999,92,FALSE),"unknown")</f>
        <v>Hispanic or Latino</v>
      </c>
      <c r="AL184" s="120" t="str">
        <f>IFERROR(VLOOKUP(Table1[RespondentID],'All Data'!$A$3:$CO$999,93,FALSE),"unknown")</f>
        <v>English</v>
      </c>
      <c r="AM184" s="120" t="str">
        <f>IFERROR(VLOOKUP(Table1[RespondentID],'All Data'!$A$3:$CW$999,94,FALSE),"unknown")</f>
        <v>Over $125,000</v>
      </c>
      <c r="AN184" s="120" t="str">
        <f>IFERROR(VLOOKUP(Table1[RespondentID],'All Data'!$A$3:$CW$999,95,FALSE),"unknown")</f>
        <v>Graduate school</v>
      </c>
      <c r="AO184" s="120" t="str">
        <f>IFERROR(VLOOKUP(Table1[RespondentID],'All Data'!$A$3:$CW$999,96,FALSE),"unknown")</f>
        <v>Employed for wages</v>
      </c>
      <c r="AP184" s="120" t="str">
        <f>IFERROR(VLOOKUP(Table1[RespondentID],'All Data'!$A$3:$CW$999,97,FALSE),"unknown")</f>
        <v>Yes</v>
      </c>
      <c r="AQ184" s="120">
        <f>IFERROR(VLOOKUP(Table1[RespondentID],'All Data'!$A$3:$CW$999,98,FALSE),"unknown")</f>
        <v>0</v>
      </c>
      <c r="AR184" s="120">
        <f>IFERROR(VLOOKUP(Table1[RespondentID],'All Data'!$A$3:$CW$999,99,FALSE),"unknown")</f>
        <v>0</v>
      </c>
    </row>
    <row r="185" spans="1:44" ht="16">
      <c r="A185" s="5">
        <v>18021795380</v>
      </c>
      <c r="B185" s="5" t="s">
        <v>29</v>
      </c>
      <c r="C185" s="5"/>
      <c r="D185" s="5" t="s">
        <v>31</v>
      </c>
      <c r="E185" s="5"/>
      <c r="F185" s="5"/>
      <c r="G185" s="5"/>
      <c r="H185" s="5" t="s">
        <v>35</v>
      </c>
      <c r="I185" s="5"/>
      <c r="J185" s="5"/>
      <c r="K185" s="5"/>
      <c r="L185" s="9"/>
      <c r="M185" s="9">
        <f t="shared" si="30"/>
        <v>3</v>
      </c>
      <c r="N185" s="9">
        <f t="shared" si="31"/>
        <v>1</v>
      </c>
      <c r="O185" s="9"/>
      <c r="P185" s="9">
        <f t="shared" si="32"/>
        <v>1</v>
      </c>
      <c r="Q185" s="9">
        <f t="shared" si="33"/>
        <v>0</v>
      </c>
      <c r="R185" s="9">
        <f t="shared" si="34"/>
        <v>1</v>
      </c>
      <c r="S185" s="9">
        <f t="shared" si="35"/>
        <v>0</v>
      </c>
      <c r="T185" s="9">
        <f t="shared" si="36"/>
        <v>0</v>
      </c>
      <c r="U185" s="9">
        <f t="shared" si="37"/>
        <v>0</v>
      </c>
      <c r="V185" s="153">
        <f t="shared" si="38"/>
        <v>1</v>
      </c>
      <c r="W185" s="9">
        <f t="shared" si="39"/>
        <v>0</v>
      </c>
      <c r="X185" s="9">
        <f t="shared" si="40"/>
        <v>0</v>
      </c>
      <c r="Y185" s="9">
        <f t="shared" si="41"/>
        <v>0</v>
      </c>
      <c r="Z185" s="9"/>
      <c r="AA185" s="9"/>
      <c r="AB185" s="9">
        <f t="shared" si="44"/>
        <v>3</v>
      </c>
      <c r="AC185" s="9">
        <f t="shared" si="42"/>
        <v>3</v>
      </c>
      <c r="AD185" s="9" t="str">
        <f t="shared" si="43"/>
        <v>Correct</v>
      </c>
      <c r="AE185" s="9"/>
      <c r="AF185" s="120" t="str">
        <f>IFERROR(VLOOKUP(Table1[RespondentID],'All Data'!$A$3:$CO$999,87,FALSE),"unknown")</f>
        <v>Woman</v>
      </c>
      <c r="AG185" s="120">
        <f>IFERROR(VLOOKUP(Table1[RespondentID],'All Data'!$A$3:$CO$999,88,FALSE),"unknown")</f>
        <v>50</v>
      </c>
      <c r="AH185" s="120" t="str">
        <f>IFERROR(VLOOKUP(Table1[RespondentID],'All Data'!$A$3:$CO$999,89,FALSE),"unknown")</f>
        <v>Suffolk</v>
      </c>
      <c r="AI185" s="120" t="str">
        <f>IFERROR(VLOOKUP(Table1[RespondentID],'All Data'!$A$3:$CO$999,90,FALSE),"unknown")</f>
        <v>Dix Hills, 11746</v>
      </c>
      <c r="AJ185" s="120" t="str">
        <f>IFERROR(VLOOKUP(Table1[RespondentID],'All Data'!$A$3:$CO$999,91,FALSE),"unknown")</f>
        <v>American Indian and Alaska Native</v>
      </c>
      <c r="AK185" s="120" t="str">
        <f>IFERROR(VLOOKUP(Table1[RespondentID],'All Data'!$A$3:$CO$999,92,FALSE),"unknown")</f>
        <v>Hispanic or Latino</v>
      </c>
      <c r="AL185" s="120" t="str">
        <f>IFERROR(VLOOKUP(Table1[RespondentID],'All Data'!$A$3:$CO$999,93,FALSE),"unknown")</f>
        <v>English</v>
      </c>
      <c r="AM185" s="120" t="str">
        <f>IFERROR(VLOOKUP(Table1[RespondentID],'All Data'!$A$3:$CW$999,94,FALSE),"unknown")</f>
        <v>$50,000 to $74,999</v>
      </c>
      <c r="AN185" s="120" t="str">
        <f>IFERROR(VLOOKUP(Table1[RespondentID],'All Data'!$A$3:$CW$999,95,FALSE),"unknown")</f>
        <v>Some college</v>
      </c>
      <c r="AO185" s="120" t="str">
        <f>IFERROR(VLOOKUP(Table1[RespondentID],'All Data'!$A$3:$CW$999,96,FALSE),"unknown")</f>
        <v>Employed for wages</v>
      </c>
      <c r="AP185" s="120" t="str">
        <f>IFERROR(VLOOKUP(Table1[RespondentID],'All Data'!$A$3:$CW$999,97,FALSE),"unknown")</f>
        <v>Yes</v>
      </c>
      <c r="AQ185" s="120">
        <f>IFERROR(VLOOKUP(Table1[RespondentID],'All Data'!$A$3:$CW$999,98,FALSE),"unknown")</f>
        <v>0</v>
      </c>
      <c r="AR185" s="120">
        <f>IFERROR(VLOOKUP(Table1[RespondentID],'All Data'!$A$3:$CW$999,99,FALSE),"unknown")</f>
        <v>0</v>
      </c>
    </row>
    <row r="186" spans="1:44" ht="16">
      <c r="A186" s="5">
        <v>18021795224</v>
      </c>
      <c r="B186" s="5" t="s">
        <v>29</v>
      </c>
      <c r="C186" s="5"/>
      <c r="D186" s="5" t="s">
        <v>31</v>
      </c>
      <c r="E186" s="5"/>
      <c r="F186" s="5"/>
      <c r="G186" s="5"/>
      <c r="H186" s="5"/>
      <c r="I186" s="5" t="s">
        <v>36</v>
      </c>
      <c r="J186" s="5"/>
      <c r="K186" s="5"/>
      <c r="L186" s="8"/>
      <c r="M186" s="8">
        <f t="shared" si="30"/>
        <v>3</v>
      </c>
      <c r="N186" s="8">
        <f t="shared" si="31"/>
        <v>1</v>
      </c>
      <c r="O186" s="8"/>
      <c r="P186" s="8">
        <f t="shared" si="32"/>
        <v>1</v>
      </c>
      <c r="Q186" s="8">
        <f t="shared" si="33"/>
        <v>0</v>
      </c>
      <c r="R186" s="8">
        <f t="shared" si="34"/>
        <v>1</v>
      </c>
      <c r="S186" s="8">
        <f t="shared" si="35"/>
        <v>0</v>
      </c>
      <c r="T186" s="8">
        <f t="shared" si="36"/>
        <v>0</v>
      </c>
      <c r="U186" s="8">
        <f t="shared" si="37"/>
        <v>0</v>
      </c>
      <c r="V186" s="153">
        <f t="shared" si="38"/>
        <v>0</v>
      </c>
      <c r="W186" s="8">
        <f t="shared" si="39"/>
        <v>1</v>
      </c>
      <c r="X186" s="8">
        <f t="shared" si="40"/>
        <v>0</v>
      </c>
      <c r="Y186" s="8">
        <f t="shared" si="41"/>
        <v>0</v>
      </c>
      <c r="Z186" s="8"/>
      <c r="AA186" s="8"/>
      <c r="AB186" s="8">
        <f t="shared" si="44"/>
        <v>3</v>
      </c>
      <c r="AC186" s="8">
        <f t="shared" si="42"/>
        <v>3</v>
      </c>
      <c r="AD186" s="8" t="str">
        <f t="shared" si="43"/>
        <v>Correct</v>
      </c>
      <c r="AE186" s="8"/>
      <c r="AF186" s="120" t="str">
        <f>IFERROR(VLOOKUP(Table1[RespondentID],'All Data'!$A$3:$CO$999,87,FALSE),"unknown")</f>
        <v>Man</v>
      </c>
      <c r="AG186" s="120">
        <f>IFERROR(VLOOKUP(Table1[RespondentID],'All Data'!$A$3:$CO$999,88,FALSE),"unknown")</f>
        <v>86</v>
      </c>
      <c r="AH186" s="120" t="str">
        <f>IFERROR(VLOOKUP(Table1[RespondentID],'All Data'!$A$3:$CO$999,89,FALSE),"unknown")</f>
        <v>Suffolk</v>
      </c>
      <c r="AI186" s="120" t="str">
        <f>IFERROR(VLOOKUP(Table1[RespondentID],'All Data'!$A$3:$CO$999,90,FALSE),"unknown")</f>
        <v>Dix Hills, 11746</v>
      </c>
      <c r="AJ186" s="120" t="str">
        <f>IFERROR(VLOOKUP(Table1[RespondentID],'All Data'!$A$3:$CO$999,91,FALSE),"unknown")</f>
        <v>American Indian and Alaska Native</v>
      </c>
      <c r="AK186" s="120" t="str">
        <f>IFERROR(VLOOKUP(Table1[RespondentID],'All Data'!$A$3:$CO$999,92,FALSE),"unknown")</f>
        <v>Hispanic or Latino</v>
      </c>
      <c r="AL186" s="120" t="str">
        <f>IFERROR(VLOOKUP(Table1[RespondentID],'All Data'!$A$3:$CO$999,93,FALSE),"unknown")</f>
        <v>English</v>
      </c>
      <c r="AM186" s="120" t="str">
        <f>IFERROR(VLOOKUP(Table1[RespondentID],'All Data'!$A$3:$CW$999,94,FALSE),"unknown")</f>
        <v>$50,000 to $74,999</v>
      </c>
      <c r="AN186" s="120" t="str">
        <f>IFERROR(VLOOKUP(Table1[RespondentID],'All Data'!$A$3:$CW$999,95,FALSE),"unknown")</f>
        <v>Some high school</v>
      </c>
      <c r="AO186" s="120" t="str">
        <f>IFERROR(VLOOKUP(Table1[RespondentID],'All Data'!$A$3:$CW$999,96,FALSE),"unknown")</f>
        <v>Retired</v>
      </c>
      <c r="AP186" s="120" t="str">
        <f>IFERROR(VLOOKUP(Table1[RespondentID],'All Data'!$A$3:$CW$999,97,FALSE),"unknown")</f>
        <v>Yes</v>
      </c>
      <c r="AQ186" s="120">
        <f>IFERROR(VLOOKUP(Table1[RespondentID],'All Data'!$A$3:$CW$999,98,FALSE),"unknown")</f>
        <v>0</v>
      </c>
      <c r="AR186" s="120">
        <f>IFERROR(VLOOKUP(Table1[RespondentID],'All Data'!$A$3:$CW$999,99,FALSE),"unknown")</f>
        <v>0</v>
      </c>
    </row>
    <row r="187" spans="1:44" ht="16">
      <c r="A187" s="5">
        <v>18021795037</v>
      </c>
      <c r="B187" s="5"/>
      <c r="C187" s="5"/>
      <c r="D187" s="5" t="s">
        <v>31</v>
      </c>
      <c r="E187" s="5" t="s">
        <v>32</v>
      </c>
      <c r="F187" s="5"/>
      <c r="G187" s="5"/>
      <c r="H187" s="5"/>
      <c r="I187" s="5" t="s">
        <v>36</v>
      </c>
      <c r="J187" s="5"/>
      <c r="K187" s="5"/>
      <c r="L187" s="9"/>
      <c r="M187" s="9">
        <f t="shared" si="30"/>
        <v>3</v>
      </c>
      <c r="N187" s="9">
        <f t="shared" si="31"/>
        <v>1</v>
      </c>
      <c r="O187" s="9"/>
      <c r="P187" s="9">
        <f t="shared" si="32"/>
        <v>0</v>
      </c>
      <c r="Q187" s="9">
        <f t="shared" si="33"/>
        <v>0</v>
      </c>
      <c r="R187" s="9">
        <f t="shared" si="34"/>
        <v>1</v>
      </c>
      <c r="S187" s="9">
        <f t="shared" si="35"/>
        <v>1</v>
      </c>
      <c r="T187" s="9">
        <f t="shared" si="36"/>
        <v>0</v>
      </c>
      <c r="U187" s="9">
        <f t="shared" si="37"/>
        <v>0</v>
      </c>
      <c r="V187" s="153">
        <f t="shared" si="38"/>
        <v>0</v>
      </c>
      <c r="W187" s="9">
        <f t="shared" si="39"/>
        <v>1</v>
      </c>
      <c r="X187" s="9">
        <f t="shared" si="40"/>
        <v>0</v>
      </c>
      <c r="Y187" s="9">
        <f t="shared" si="41"/>
        <v>0</v>
      </c>
      <c r="Z187" s="9"/>
      <c r="AA187" s="9"/>
      <c r="AB187" s="9">
        <f t="shared" si="44"/>
        <v>3</v>
      </c>
      <c r="AC187" s="9">
        <f t="shared" si="42"/>
        <v>3</v>
      </c>
      <c r="AD187" s="9" t="str">
        <f t="shared" si="43"/>
        <v>Correct</v>
      </c>
      <c r="AE187" s="9"/>
      <c r="AF187" s="120" t="str">
        <f>IFERROR(VLOOKUP(Table1[RespondentID],'All Data'!$A$3:$CO$999,87,FALSE),"unknown")</f>
        <v>Man</v>
      </c>
      <c r="AG187" s="120">
        <f>IFERROR(VLOOKUP(Table1[RespondentID],'All Data'!$A$3:$CO$999,88,FALSE),"unknown")</f>
        <v>46</v>
      </c>
      <c r="AH187" s="120" t="str">
        <f>IFERROR(VLOOKUP(Table1[RespondentID],'All Data'!$A$3:$CO$999,89,FALSE),"unknown")</f>
        <v>Suffolk</v>
      </c>
      <c r="AI187" s="120" t="str">
        <f>IFERROR(VLOOKUP(Table1[RespondentID],'All Data'!$A$3:$CO$999,90,FALSE),"unknown")</f>
        <v>Dix Hills, 11746</v>
      </c>
      <c r="AJ187" s="120" t="str">
        <f>IFERROR(VLOOKUP(Table1[RespondentID],'All Data'!$A$3:$CO$999,91,FALSE),"unknown")</f>
        <v>American Indian and Alaska Native</v>
      </c>
      <c r="AK187" s="120" t="str">
        <f>IFERROR(VLOOKUP(Table1[RespondentID],'All Data'!$A$3:$CO$999,92,FALSE),"unknown")</f>
        <v>Hispanic or Latino</v>
      </c>
      <c r="AL187" s="120" t="str">
        <f>IFERROR(VLOOKUP(Table1[RespondentID],'All Data'!$A$3:$CO$999,93,FALSE),"unknown")</f>
        <v>English</v>
      </c>
      <c r="AM187" s="120" t="str">
        <f>IFERROR(VLOOKUP(Table1[RespondentID],'All Data'!$A$3:$CW$999,94,FALSE),"unknown")</f>
        <v>$50,000 to $74,999</v>
      </c>
      <c r="AN187" s="120" t="str">
        <f>IFERROR(VLOOKUP(Table1[RespondentID],'All Data'!$A$3:$CW$999,95,FALSE),"unknown")</f>
        <v>Some college</v>
      </c>
      <c r="AO187" s="120" t="str">
        <f>IFERROR(VLOOKUP(Table1[RespondentID],'All Data'!$A$3:$CW$999,96,FALSE),"unknown")</f>
        <v>Employed for wages</v>
      </c>
      <c r="AP187" s="120" t="str">
        <f>IFERROR(VLOOKUP(Table1[RespondentID],'All Data'!$A$3:$CW$999,97,FALSE),"unknown")</f>
        <v>Yes</v>
      </c>
      <c r="AQ187" s="120">
        <f>IFERROR(VLOOKUP(Table1[RespondentID],'All Data'!$A$3:$CW$999,98,FALSE),"unknown")</f>
        <v>0</v>
      </c>
      <c r="AR187" s="120">
        <f>IFERROR(VLOOKUP(Table1[RespondentID],'All Data'!$A$3:$CW$999,99,FALSE),"unknown")</f>
        <v>0</v>
      </c>
    </row>
    <row r="188" spans="1:44" ht="16">
      <c r="A188" s="5">
        <v>18021794841</v>
      </c>
      <c r="B188" s="5"/>
      <c r="C188" s="5"/>
      <c r="D188" s="5"/>
      <c r="E188" s="5"/>
      <c r="F188" s="5"/>
      <c r="G188" s="5"/>
      <c r="H188" s="5"/>
      <c r="I188" s="5"/>
      <c r="J188" s="5" t="s">
        <v>37</v>
      </c>
      <c r="K188" s="5" t="s">
        <v>375</v>
      </c>
      <c r="L188" s="8"/>
      <c r="M188" s="8">
        <f t="shared" si="30"/>
        <v>2</v>
      </c>
      <c r="N188" s="8">
        <f t="shared" si="31"/>
        <v>1.5</v>
      </c>
      <c r="O188" s="8"/>
      <c r="P188" s="8">
        <f t="shared" si="32"/>
        <v>0</v>
      </c>
      <c r="Q188" s="8">
        <f t="shared" si="33"/>
        <v>0</v>
      </c>
      <c r="R188" s="8">
        <f t="shared" si="34"/>
        <v>0</v>
      </c>
      <c r="S188" s="8">
        <f t="shared" si="35"/>
        <v>0</v>
      </c>
      <c r="T188" s="8">
        <f t="shared" si="36"/>
        <v>0</v>
      </c>
      <c r="U188" s="8">
        <f t="shared" si="37"/>
        <v>0</v>
      </c>
      <c r="V188" s="153">
        <f t="shared" si="38"/>
        <v>0</v>
      </c>
      <c r="W188" s="8">
        <f t="shared" si="39"/>
        <v>0</v>
      </c>
      <c r="X188" s="8">
        <f t="shared" si="40"/>
        <v>1</v>
      </c>
      <c r="Y188" s="8">
        <f t="shared" si="41"/>
        <v>1</v>
      </c>
      <c r="Z188" s="8"/>
      <c r="AA188" s="8"/>
      <c r="AB188" s="8">
        <f t="shared" si="44"/>
        <v>2</v>
      </c>
      <c r="AC188" s="8">
        <f t="shared" si="42"/>
        <v>2</v>
      </c>
      <c r="AD188" s="8" t="str">
        <f t="shared" si="43"/>
        <v>Correct</v>
      </c>
      <c r="AE188" s="8"/>
      <c r="AF188" s="120" t="str">
        <f>IFERROR(VLOOKUP(Table1[RespondentID],'All Data'!$A$3:$CO$999,87,FALSE),"unknown")</f>
        <v>Woman</v>
      </c>
      <c r="AG188" s="120">
        <f>IFERROR(VLOOKUP(Table1[RespondentID],'All Data'!$A$3:$CO$999,88,FALSE),"unknown")</f>
        <v>18</v>
      </c>
      <c r="AH188" s="120" t="str">
        <f>IFERROR(VLOOKUP(Table1[RespondentID],'All Data'!$A$3:$CO$999,89,FALSE),"unknown")</f>
        <v>Suffolk</v>
      </c>
      <c r="AI188" s="120" t="str">
        <f>IFERROR(VLOOKUP(Table1[RespondentID],'All Data'!$A$3:$CO$999,90,FALSE),"unknown")</f>
        <v>East Northport, 11731</v>
      </c>
      <c r="AJ188" s="120" t="str">
        <f>IFERROR(VLOOKUP(Table1[RespondentID],'All Data'!$A$3:$CO$999,91,FALSE),"unknown")</f>
        <v>White</v>
      </c>
      <c r="AK188" s="120" t="str">
        <f>IFERROR(VLOOKUP(Table1[RespondentID],'All Data'!$A$3:$CO$999,92,FALSE),"unknown")</f>
        <v>Hispanic or Latino</v>
      </c>
      <c r="AL188" s="120" t="str">
        <f>IFERROR(VLOOKUP(Table1[RespondentID],'All Data'!$A$3:$CO$999,93,FALSE),"unknown")</f>
        <v>English</v>
      </c>
      <c r="AM188" s="120" t="str">
        <f>IFERROR(VLOOKUP(Table1[RespondentID],'All Data'!$A$3:$CW$999,94,FALSE),"unknown")</f>
        <v>Over $125,000</v>
      </c>
      <c r="AN188" s="120" t="str">
        <f>IFERROR(VLOOKUP(Table1[RespondentID],'All Data'!$A$3:$CW$999,95,FALSE),"unknown")</f>
        <v>High school graduate</v>
      </c>
      <c r="AO188" s="120" t="str">
        <f>IFERROR(VLOOKUP(Table1[RespondentID],'All Data'!$A$3:$CW$999,96,FALSE),"unknown")</f>
        <v>Student</v>
      </c>
      <c r="AP188" s="120" t="str">
        <f>IFERROR(VLOOKUP(Table1[RespondentID],'All Data'!$A$3:$CW$999,97,FALSE),"unknown")</f>
        <v>Yes</v>
      </c>
      <c r="AQ188" s="120">
        <f>IFERROR(VLOOKUP(Table1[RespondentID],'All Data'!$A$3:$CW$999,98,FALSE),"unknown")</f>
        <v>0</v>
      </c>
      <c r="AR188" s="120">
        <f>IFERROR(VLOOKUP(Table1[RespondentID],'All Data'!$A$3:$CW$999,99,FALSE),"unknown")</f>
        <v>0</v>
      </c>
    </row>
    <row r="189" spans="1:44" ht="16">
      <c r="A189" s="5">
        <v>18021794694</v>
      </c>
      <c r="B189" s="5"/>
      <c r="C189" s="5"/>
      <c r="D189" s="5"/>
      <c r="E189" s="5"/>
      <c r="F189" s="5" t="s">
        <v>33</v>
      </c>
      <c r="G189" s="5"/>
      <c r="H189" s="5"/>
      <c r="I189" s="5" t="s">
        <v>36</v>
      </c>
      <c r="J189" s="5"/>
      <c r="K189" s="5" t="s">
        <v>375</v>
      </c>
      <c r="L189" s="9"/>
      <c r="M189" s="9">
        <f t="shared" si="30"/>
        <v>3</v>
      </c>
      <c r="N189" s="9">
        <f t="shared" si="31"/>
        <v>1</v>
      </c>
      <c r="O189" s="9"/>
      <c r="P189" s="9">
        <f t="shared" si="32"/>
        <v>0</v>
      </c>
      <c r="Q189" s="9">
        <f t="shared" si="33"/>
        <v>0</v>
      </c>
      <c r="R189" s="9">
        <f t="shared" si="34"/>
        <v>0</v>
      </c>
      <c r="S189" s="9">
        <f t="shared" si="35"/>
        <v>0</v>
      </c>
      <c r="T189" s="9">
        <f t="shared" si="36"/>
        <v>1</v>
      </c>
      <c r="U189" s="9">
        <f t="shared" si="37"/>
        <v>0</v>
      </c>
      <c r="V189" s="153">
        <f t="shared" si="38"/>
        <v>0</v>
      </c>
      <c r="W189" s="9">
        <f t="shared" si="39"/>
        <v>1</v>
      </c>
      <c r="X189" s="9">
        <f t="shared" si="40"/>
        <v>0</v>
      </c>
      <c r="Y189" s="9">
        <f t="shared" si="41"/>
        <v>1</v>
      </c>
      <c r="Z189" s="9"/>
      <c r="AA189" s="9"/>
      <c r="AB189" s="9">
        <f t="shared" si="44"/>
        <v>3</v>
      </c>
      <c r="AC189" s="9">
        <f t="shared" si="42"/>
        <v>3</v>
      </c>
      <c r="AD189" s="9" t="str">
        <f t="shared" si="43"/>
        <v>Correct</v>
      </c>
      <c r="AE189" s="9"/>
      <c r="AF189" s="120" t="str">
        <f>IFERROR(VLOOKUP(Table1[RespondentID],'All Data'!$A$3:$CO$999,87,FALSE),"unknown")</f>
        <v>Woman</v>
      </c>
      <c r="AG189" s="120">
        <f>IFERROR(VLOOKUP(Table1[RespondentID],'All Data'!$A$3:$CO$999,88,FALSE),"unknown")</f>
        <v>49</v>
      </c>
      <c r="AH189" s="120" t="str">
        <f>IFERROR(VLOOKUP(Table1[RespondentID],'All Data'!$A$3:$CO$999,89,FALSE),"unknown")</f>
        <v>Queens</v>
      </c>
      <c r="AI189" s="120">
        <f>IFERROR(VLOOKUP(Table1[RespondentID],'All Data'!$A$3:$CO$999,90,FALSE),"unknown")</f>
        <v>11372</v>
      </c>
      <c r="AJ189" s="120">
        <f>IFERROR(VLOOKUP(Table1[RespondentID],'All Data'!$A$3:$CO$999,91,FALSE),"unknown")</f>
        <v>0</v>
      </c>
      <c r="AK189" s="120" t="str">
        <f>IFERROR(VLOOKUP(Table1[RespondentID],'All Data'!$A$3:$CO$999,92,FALSE),"unknown")</f>
        <v>Not Hispanic or Latino</v>
      </c>
      <c r="AL189" s="120" t="str">
        <f>IFERROR(VLOOKUP(Table1[RespondentID],'All Data'!$A$3:$CO$999,93,FALSE),"unknown")</f>
        <v>English, Spanish</v>
      </c>
      <c r="AM189" s="120" t="str">
        <f>IFERROR(VLOOKUP(Table1[RespondentID],'All Data'!$A$3:$CW$999,94,FALSE),"unknown")</f>
        <v>$75,000 to $125,000</v>
      </c>
      <c r="AN189" s="120" t="str">
        <f>IFERROR(VLOOKUP(Table1[RespondentID],'All Data'!$A$3:$CW$999,95,FALSE),"unknown")</f>
        <v>College graduate</v>
      </c>
      <c r="AO189" s="120" t="str">
        <f>IFERROR(VLOOKUP(Table1[RespondentID],'All Data'!$A$3:$CW$999,96,FALSE),"unknown")</f>
        <v>Employed for wages</v>
      </c>
      <c r="AP189" s="120" t="str">
        <f>IFERROR(VLOOKUP(Table1[RespondentID],'All Data'!$A$3:$CW$999,97,FALSE),"unknown")</f>
        <v>Yes</v>
      </c>
      <c r="AQ189" s="120">
        <f>IFERROR(VLOOKUP(Table1[RespondentID],'All Data'!$A$3:$CW$999,98,FALSE),"unknown")</f>
        <v>0</v>
      </c>
      <c r="AR189" s="120" t="str">
        <f>IFERROR(VLOOKUP(Table1[RespondentID],'All Data'!$A$3:$CW$999,99,FALSE),"unknown")</f>
        <v>Yes</v>
      </c>
    </row>
    <row r="190" spans="1:44" ht="16">
      <c r="A190" s="5">
        <v>18021794399</v>
      </c>
      <c r="B190" s="5"/>
      <c r="C190" s="5"/>
      <c r="D190" s="5" t="s">
        <v>31</v>
      </c>
      <c r="E190" s="5"/>
      <c r="F190" s="5" t="s">
        <v>33</v>
      </c>
      <c r="G190" s="5"/>
      <c r="H190" s="5"/>
      <c r="I190" s="5" t="s">
        <v>36</v>
      </c>
      <c r="J190" s="5"/>
      <c r="K190" s="5"/>
      <c r="L190" s="8"/>
      <c r="M190" s="8">
        <f t="shared" si="30"/>
        <v>3</v>
      </c>
      <c r="N190" s="8">
        <f t="shared" si="31"/>
        <v>1</v>
      </c>
      <c r="O190" s="8"/>
      <c r="P190" s="8">
        <f t="shared" si="32"/>
        <v>0</v>
      </c>
      <c r="Q190" s="8">
        <f t="shared" si="33"/>
        <v>0</v>
      </c>
      <c r="R190" s="8">
        <f t="shared" si="34"/>
        <v>1</v>
      </c>
      <c r="S190" s="8">
        <f t="shared" si="35"/>
        <v>0</v>
      </c>
      <c r="T190" s="8">
        <f t="shared" si="36"/>
        <v>1</v>
      </c>
      <c r="U190" s="8">
        <f t="shared" si="37"/>
        <v>0</v>
      </c>
      <c r="V190" s="153">
        <f t="shared" si="38"/>
        <v>0</v>
      </c>
      <c r="W190" s="8">
        <f t="shared" si="39"/>
        <v>1</v>
      </c>
      <c r="X190" s="8">
        <f t="shared" si="40"/>
        <v>0</v>
      </c>
      <c r="Y190" s="8">
        <f t="shared" si="41"/>
        <v>0</v>
      </c>
      <c r="Z190" s="8"/>
      <c r="AA190" s="8"/>
      <c r="AB190" s="8">
        <f t="shared" si="44"/>
        <v>3</v>
      </c>
      <c r="AC190" s="8">
        <f t="shared" si="42"/>
        <v>3</v>
      </c>
      <c r="AD190" s="8" t="str">
        <f t="shared" si="43"/>
        <v>Correct</v>
      </c>
      <c r="AE190" s="8"/>
      <c r="AF190" s="120" t="str">
        <f>IFERROR(VLOOKUP(Table1[RespondentID],'All Data'!$A$3:$CO$999,87,FALSE),"unknown")</f>
        <v>Man</v>
      </c>
      <c r="AG190" s="120">
        <f>IFERROR(VLOOKUP(Table1[RespondentID],'All Data'!$A$3:$CO$999,88,FALSE),"unknown")</f>
        <v>61</v>
      </c>
      <c r="AH190" s="120" t="str">
        <f>IFERROR(VLOOKUP(Table1[RespondentID],'All Data'!$A$3:$CO$999,89,FALSE),"unknown")</f>
        <v>Queens</v>
      </c>
      <c r="AI190" s="120">
        <f>IFERROR(VLOOKUP(Table1[RespondentID],'All Data'!$A$3:$CO$999,90,FALSE),"unknown")</f>
        <v>11372</v>
      </c>
      <c r="AJ190" s="120" t="str">
        <f>IFERROR(VLOOKUP(Table1[RespondentID],'All Data'!$A$3:$CO$999,91,FALSE),"unknown")</f>
        <v>American Indian and Alaska Native</v>
      </c>
      <c r="AK190" s="120" t="str">
        <f>IFERROR(VLOOKUP(Table1[RespondentID],'All Data'!$A$3:$CO$999,92,FALSE),"unknown")</f>
        <v>Hispanic or Latino</v>
      </c>
      <c r="AL190" s="120" t="str">
        <f>IFERROR(VLOOKUP(Table1[RespondentID],'All Data'!$A$3:$CO$999,93,FALSE),"unknown")</f>
        <v>English, Spanish</v>
      </c>
      <c r="AM190" s="120" t="str">
        <f>IFERROR(VLOOKUP(Table1[RespondentID],'All Data'!$A$3:$CW$999,94,FALSE),"unknown")</f>
        <v>$75,000 to $125,000</v>
      </c>
      <c r="AN190" s="120" t="str">
        <f>IFERROR(VLOOKUP(Table1[RespondentID],'All Data'!$A$3:$CW$999,95,FALSE),"unknown")</f>
        <v>Some college</v>
      </c>
      <c r="AO190" s="120" t="str">
        <f>IFERROR(VLOOKUP(Table1[RespondentID],'All Data'!$A$3:$CW$999,96,FALSE),"unknown")</f>
        <v>Employed for wages</v>
      </c>
      <c r="AP190" s="120" t="str">
        <f>IFERROR(VLOOKUP(Table1[RespondentID],'All Data'!$A$3:$CW$999,97,FALSE),"unknown")</f>
        <v>Yes</v>
      </c>
      <c r="AQ190" s="120">
        <f>IFERROR(VLOOKUP(Table1[RespondentID],'All Data'!$A$3:$CW$999,98,FALSE),"unknown")</f>
        <v>0</v>
      </c>
      <c r="AR190" s="120" t="str">
        <f>IFERROR(VLOOKUP(Table1[RespondentID],'All Data'!$A$3:$CW$999,99,FALSE),"unknown")</f>
        <v>Yes</v>
      </c>
    </row>
    <row r="191" spans="1:44" ht="16">
      <c r="A191" s="5">
        <v>18021794261</v>
      </c>
      <c r="B191" s="5"/>
      <c r="C191" s="5" t="s">
        <v>30</v>
      </c>
      <c r="D191" s="5"/>
      <c r="E191" s="5"/>
      <c r="F191" s="5"/>
      <c r="G191" s="5"/>
      <c r="H191" s="5"/>
      <c r="I191" s="5"/>
      <c r="J191" s="5"/>
      <c r="K191" s="5" t="s">
        <v>375</v>
      </c>
      <c r="L191" s="9"/>
      <c r="M191" s="9">
        <f t="shared" si="30"/>
        <v>2</v>
      </c>
      <c r="N191" s="9">
        <f t="shared" si="31"/>
        <v>1.5</v>
      </c>
      <c r="O191" s="9"/>
      <c r="P191" s="9">
        <f t="shared" si="32"/>
        <v>0</v>
      </c>
      <c r="Q191" s="9">
        <f t="shared" si="33"/>
        <v>1</v>
      </c>
      <c r="R191" s="9">
        <f t="shared" si="34"/>
        <v>0</v>
      </c>
      <c r="S191" s="9">
        <f t="shared" si="35"/>
        <v>0</v>
      </c>
      <c r="T191" s="9">
        <f t="shared" si="36"/>
        <v>0</v>
      </c>
      <c r="U191" s="9">
        <f t="shared" si="37"/>
        <v>0</v>
      </c>
      <c r="V191" s="153">
        <f t="shared" si="38"/>
        <v>0</v>
      </c>
      <c r="W191" s="9">
        <f t="shared" si="39"/>
        <v>0</v>
      </c>
      <c r="X191" s="9">
        <f t="shared" si="40"/>
        <v>0</v>
      </c>
      <c r="Y191" s="9">
        <f t="shared" si="41"/>
        <v>1</v>
      </c>
      <c r="Z191" s="9"/>
      <c r="AA191" s="9"/>
      <c r="AB191" s="9">
        <f t="shared" si="44"/>
        <v>2</v>
      </c>
      <c r="AC191" s="9">
        <f t="shared" si="42"/>
        <v>2</v>
      </c>
      <c r="AD191" s="9" t="str">
        <f t="shared" si="43"/>
        <v>Correct</v>
      </c>
      <c r="AE191" s="9"/>
      <c r="AF191" s="120" t="str">
        <f>IFERROR(VLOOKUP(Table1[RespondentID],'All Data'!$A$3:$CO$999,87,FALSE),"unknown")</f>
        <v>Man</v>
      </c>
      <c r="AG191" s="120">
        <f>IFERROR(VLOOKUP(Table1[RespondentID],'All Data'!$A$3:$CO$999,88,FALSE),"unknown")</f>
        <v>44</v>
      </c>
      <c r="AH191" s="120" t="str">
        <f>IFERROR(VLOOKUP(Table1[RespondentID],'All Data'!$A$3:$CO$999,89,FALSE),"unknown")</f>
        <v>Suffolk</v>
      </c>
      <c r="AI191" s="120" t="str">
        <f>IFERROR(VLOOKUP(Table1[RespondentID],'All Data'!$A$3:$CO$999,90,FALSE),"unknown")</f>
        <v>Port Jefferson Station, 11776</v>
      </c>
      <c r="AJ191" s="120" t="str">
        <f>IFERROR(VLOOKUP(Table1[RespondentID],'All Data'!$A$3:$CO$999,91,FALSE),"unknown")</f>
        <v>White</v>
      </c>
      <c r="AK191" s="120" t="str">
        <f>IFERROR(VLOOKUP(Table1[RespondentID],'All Data'!$A$3:$CO$999,92,FALSE),"unknown")</f>
        <v>Hispanic or Latino</v>
      </c>
      <c r="AL191" s="120" t="str">
        <f>IFERROR(VLOOKUP(Table1[RespondentID],'All Data'!$A$3:$CO$999,93,FALSE),"unknown")</f>
        <v>English</v>
      </c>
      <c r="AM191" s="120" t="str">
        <f>IFERROR(VLOOKUP(Table1[RespondentID],'All Data'!$A$3:$CW$999,94,FALSE),"unknown")</f>
        <v>Over $125,000</v>
      </c>
      <c r="AN191" s="120" t="str">
        <f>IFERROR(VLOOKUP(Table1[RespondentID],'All Data'!$A$3:$CW$999,95,FALSE),"unknown")</f>
        <v>Graduate school</v>
      </c>
      <c r="AO191" s="120" t="str">
        <f>IFERROR(VLOOKUP(Table1[RespondentID],'All Data'!$A$3:$CW$999,96,FALSE),"unknown")</f>
        <v>Employed for wages</v>
      </c>
      <c r="AP191" s="120" t="str">
        <f>IFERROR(VLOOKUP(Table1[RespondentID],'All Data'!$A$3:$CW$999,97,FALSE),"unknown")</f>
        <v>Yes</v>
      </c>
      <c r="AQ191" s="120">
        <f>IFERROR(VLOOKUP(Table1[RespondentID],'All Data'!$A$3:$CW$999,98,FALSE),"unknown")</f>
        <v>0</v>
      </c>
      <c r="AR191" s="120">
        <f>IFERROR(VLOOKUP(Table1[RespondentID],'All Data'!$A$3:$CW$999,99,FALSE),"unknown")</f>
        <v>0</v>
      </c>
    </row>
    <row r="192" spans="1:44" ht="16">
      <c r="A192" s="5">
        <v>18021634437</v>
      </c>
      <c r="B192" s="5"/>
      <c r="C192" s="5"/>
      <c r="D192" s="5"/>
      <c r="E192" s="5"/>
      <c r="F192" s="5"/>
      <c r="G192" s="5"/>
      <c r="H192" s="5"/>
      <c r="I192" s="5"/>
      <c r="J192" s="5"/>
      <c r="K192" s="5" t="s">
        <v>375</v>
      </c>
      <c r="L192" s="8"/>
      <c r="M192" s="8">
        <f t="shared" si="30"/>
        <v>1</v>
      </c>
      <c r="N192" s="8">
        <f t="shared" si="31"/>
        <v>3</v>
      </c>
      <c r="O192" s="8"/>
      <c r="P192" s="8">
        <f t="shared" si="32"/>
        <v>0</v>
      </c>
      <c r="Q192" s="8">
        <f t="shared" si="33"/>
        <v>0</v>
      </c>
      <c r="R192" s="8">
        <f t="shared" si="34"/>
        <v>0</v>
      </c>
      <c r="S192" s="8">
        <f t="shared" si="35"/>
        <v>0</v>
      </c>
      <c r="T192" s="8">
        <f t="shared" si="36"/>
        <v>0</v>
      </c>
      <c r="U192" s="8">
        <f t="shared" si="37"/>
        <v>0</v>
      </c>
      <c r="V192" s="153">
        <f t="shared" si="38"/>
        <v>0</v>
      </c>
      <c r="W192" s="8">
        <f t="shared" si="39"/>
        <v>0</v>
      </c>
      <c r="X192" s="8">
        <f t="shared" si="40"/>
        <v>0</v>
      </c>
      <c r="Y192" s="8">
        <f t="shared" si="41"/>
        <v>1</v>
      </c>
      <c r="Z192" s="8"/>
      <c r="AA192" s="8"/>
      <c r="AB192" s="8">
        <f t="shared" si="44"/>
        <v>1</v>
      </c>
      <c r="AC192" s="8">
        <f t="shared" si="42"/>
        <v>1</v>
      </c>
      <c r="AD192" s="8" t="str">
        <f t="shared" si="43"/>
        <v>Correct</v>
      </c>
      <c r="AE192" s="8"/>
      <c r="AF192" s="120" t="str">
        <f>IFERROR(VLOOKUP(Table1[RespondentID],'All Data'!$A$3:$CO$999,87,FALSE),"unknown")</f>
        <v>Woman</v>
      </c>
      <c r="AG192" s="120">
        <f>IFERROR(VLOOKUP(Table1[RespondentID],'All Data'!$A$3:$CO$999,88,FALSE),"unknown")</f>
        <v>47</v>
      </c>
      <c r="AH192" s="120" t="str">
        <f>IFERROR(VLOOKUP(Table1[RespondentID],'All Data'!$A$3:$CO$999,89,FALSE),"unknown")</f>
        <v>Suffolk</v>
      </c>
      <c r="AI192" s="120" t="str">
        <f>IFERROR(VLOOKUP(Table1[RespondentID],'All Data'!$A$3:$CO$999,90,FALSE),"unknown")</f>
        <v>Miller Place, 11764</v>
      </c>
      <c r="AJ192" s="120" t="str">
        <f>IFERROR(VLOOKUP(Table1[RespondentID],'All Data'!$A$3:$CO$999,91,FALSE),"unknown")</f>
        <v>White</v>
      </c>
      <c r="AK192" s="120" t="str">
        <f>IFERROR(VLOOKUP(Table1[RespondentID],'All Data'!$A$3:$CO$999,92,FALSE),"unknown")</f>
        <v>Hispanic or Latino</v>
      </c>
      <c r="AL192" s="120" t="str">
        <f>IFERROR(VLOOKUP(Table1[RespondentID],'All Data'!$A$3:$CO$999,93,FALSE),"unknown")</f>
        <v>English, Spanish</v>
      </c>
      <c r="AM192" s="120" t="str">
        <f>IFERROR(VLOOKUP(Table1[RespondentID],'All Data'!$A$3:$CW$999,94,FALSE),"unknown")</f>
        <v>Over $125,000</v>
      </c>
      <c r="AN192" s="120" t="str">
        <f>IFERROR(VLOOKUP(Table1[RespondentID],'All Data'!$A$3:$CW$999,95,FALSE),"unknown")</f>
        <v>College graduate</v>
      </c>
      <c r="AO192" s="120" t="str">
        <f>IFERROR(VLOOKUP(Table1[RespondentID],'All Data'!$A$3:$CW$999,96,FALSE),"unknown")</f>
        <v>Employed for wages</v>
      </c>
      <c r="AP192" s="120" t="str">
        <f>IFERROR(VLOOKUP(Table1[RespondentID],'All Data'!$A$3:$CW$999,97,FALSE),"unknown")</f>
        <v>Yes</v>
      </c>
      <c r="AQ192" s="120" t="str">
        <f>IFERROR(VLOOKUP(Table1[RespondentID],'All Data'!$A$3:$CW$999,98,FALSE),"unknown")</f>
        <v>Private/Commercial</v>
      </c>
      <c r="AR192" s="120" t="str">
        <f>IFERROR(VLOOKUP(Table1[RespondentID],'All Data'!$A$3:$CW$999,99,FALSE),"unknown")</f>
        <v>Yes</v>
      </c>
    </row>
    <row r="193" spans="1:44" ht="16">
      <c r="A193" s="5">
        <v>18021525704</v>
      </c>
      <c r="B193" s="5"/>
      <c r="C193" s="5"/>
      <c r="D193" s="5"/>
      <c r="E193" s="5" t="s">
        <v>32</v>
      </c>
      <c r="F193" s="5"/>
      <c r="G193" s="5"/>
      <c r="H193" s="5" t="s">
        <v>35</v>
      </c>
      <c r="I193" s="5"/>
      <c r="J193" s="5"/>
      <c r="K193" s="5" t="s">
        <v>375</v>
      </c>
      <c r="L193" s="9"/>
      <c r="M193" s="9">
        <f t="shared" si="30"/>
        <v>3</v>
      </c>
      <c r="N193" s="9">
        <f t="shared" si="31"/>
        <v>1</v>
      </c>
      <c r="O193" s="9"/>
      <c r="P193" s="9">
        <f t="shared" si="32"/>
        <v>0</v>
      </c>
      <c r="Q193" s="9">
        <f t="shared" si="33"/>
        <v>0</v>
      </c>
      <c r="R193" s="9">
        <f t="shared" si="34"/>
        <v>0</v>
      </c>
      <c r="S193" s="9">
        <f t="shared" si="35"/>
        <v>1</v>
      </c>
      <c r="T193" s="9">
        <f t="shared" si="36"/>
        <v>0</v>
      </c>
      <c r="U193" s="9">
        <f t="shared" si="37"/>
        <v>0</v>
      </c>
      <c r="V193" s="153">
        <f t="shared" si="38"/>
        <v>1</v>
      </c>
      <c r="W193" s="9">
        <f t="shared" si="39"/>
        <v>0</v>
      </c>
      <c r="X193" s="9">
        <f t="shared" si="40"/>
        <v>0</v>
      </c>
      <c r="Y193" s="9">
        <f t="shared" si="41"/>
        <v>1</v>
      </c>
      <c r="Z193" s="9"/>
      <c r="AA193" s="9"/>
      <c r="AB193" s="9">
        <f t="shared" si="44"/>
        <v>3</v>
      </c>
      <c r="AC193" s="9">
        <f t="shared" si="42"/>
        <v>3</v>
      </c>
      <c r="AD193" s="9" t="str">
        <f t="shared" si="43"/>
        <v>Correct</v>
      </c>
      <c r="AE193" s="9"/>
      <c r="AF193" s="120" t="str">
        <f>IFERROR(VLOOKUP(Table1[RespondentID],'All Data'!$A$3:$CO$999,87,FALSE),"unknown")</f>
        <v>Man</v>
      </c>
      <c r="AG193" s="120">
        <f>IFERROR(VLOOKUP(Table1[RespondentID],'All Data'!$A$3:$CO$999,88,FALSE),"unknown")</f>
        <v>0</v>
      </c>
      <c r="AH193" s="120" t="str">
        <f>IFERROR(VLOOKUP(Table1[RespondentID],'All Data'!$A$3:$CO$999,89,FALSE),"unknown")</f>
        <v>Suffolk</v>
      </c>
      <c r="AI193" s="120" t="str">
        <f>IFERROR(VLOOKUP(Table1[RespondentID],'All Data'!$A$3:$CO$999,90,FALSE),"unknown")</f>
        <v>Amityville, 11708</v>
      </c>
      <c r="AJ193" s="120" t="str">
        <f>IFERROR(VLOOKUP(Table1[RespondentID],'All Data'!$A$3:$CO$999,91,FALSE),"unknown")</f>
        <v>Native Hawaiian and Other Pacific Islander</v>
      </c>
      <c r="AK193" s="120" t="str">
        <f>IFERROR(VLOOKUP(Table1[RespondentID],'All Data'!$A$3:$CO$999,92,FALSE),"unknown")</f>
        <v>Not Hispanic or Latino</v>
      </c>
      <c r="AL193" s="120" t="str">
        <f>IFERROR(VLOOKUP(Table1[RespondentID],'All Data'!$A$3:$CO$999,93,FALSE),"unknown")</f>
        <v>English</v>
      </c>
      <c r="AM193" s="120" t="str">
        <f>IFERROR(VLOOKUP(Table1[RespondentID],'All Data'!$A$3:$CW$999,94,FALSE),"unknown")</f>
        <v>$75,000 to $125,000</v>
      </c>
      <c r="AN193" s="120" t="str">
        <f>IFERROR(VLOOKUP(Table1[RespondentID],'All Data'!$A$3:$CW$999,95,FALSE),"unknown")</f>
        <v>High school graduate</v>
      </c>
      <c r="AO193" s="120" t="str">
        <f>IFERROR(VLOOKUP(Table1[RespondentID],'All Data'!$A$3:$CW$999,96,FALSE),"unknown")</f>
        <v>Self-employed</v>
      </c>
      <c r="AP193" s="120" t="str">
        <f>IFERROR(VLOOKUP(Table1[RespondentID],'All Data'!$A$3:$CW$999,97,FALSE),"unknown")</f>
        <v>Yes</v>
      </c>
      <c r="AQ193" s="120" t="str">
        <f>IFERROR(VLOOKUP(Table1[RespondentID],'All Data'!$A$3:$CW$999,98,FALSE),"unknown")</f>
        <v>Medicaid</v>
      </c>
      <c r="AR193" s="120" t="str">
        <f>IFERROR(VLOOKUP(Table1[RespondentID],'All Data'!$A$3:$CW$999,99,FALSE),"unknown")</f>
        <v>Yes</v>
      </c>
    </row>
    <row r="194" spans="1:44" ht="16">
      <c r="A194" s="5">
        <v>18021525431</v>
      </c>
      <c r="B194" s="5" t="s">
        <v>29</v>
      </c>
      <c r="C194" s="5"/>
      <c r="D194" s="5"/>
      <c r="E194" s="5" t="s">
        <v>32</v>
      </c>
      <c r="F194" s="5"/>
      <c r="G194" s="5"/>
      <c r="H194" s="5" t="s">
        <v>35</v>
      </c>
      <c r="I194" s="5"/>
      <c r="J194" s="5"/>
      <c r="K194" s="5"/>
      <c r="L194" s="8"/>
      <c r="M194" s="8">
        <f t="shared" ref="M194:M257" si="45">COUNTA(B194:L194)</f>
        <v>3</v>
      </c>
      <c r="N194" s="8">
        <f t="shared" ref="N194:N257" si="46">3/M194</f>
        <v>1</v>
      </c>
      <c r="O194" s="8"/>
      <c r="P194" s="8">
        <f t="shared" ref="P194:P257" si="47">IF($M194&lt;3,IF($B194=$B$1,1,0),IF($B194=$B$1,$N194,0))</f>
        <v>1</v>
      </c>
      <c r="Q194" s="8">
        <f t="shared" ref="Q194:Q257" si="48">IF($M194&lt;3,IF($C194=$C$1,1,0),IF($C194=$C$1,$N194,0))</f>
        <v>0</v>
      </c>
      <c r="R194" s="8">
        <f t="shared" ref="R194:R257" si="49">IF($M194&lt;3,IF($D194=$D$1,1,0),IF($D194=$D$1,$N194,0))</f>
        <v>0</v>
      </c>
      <c r="S194" s="8">
        <f t="shared" ref="S194:S257" si="50">IF($M194&lt;3,IF($E194=$E$1,1,0),IF($E194=$E$1,$N194,0))</f>
        <v>1</v>
      </c>
      <c r="T194" s="8">
        <f t="shared" ref="T194:T257" si="51">IF($M194&lt;3,IF($F194=$F$1,1,0),IF($F194=$F$1,$N194,0))</f>
        <v>0</v>
      </c>
      <c r="U194" s="8">
        <f t="shared" ref="U194:U257" si="52">IF($M194&lt;3,IF($G194=$G$1,1,0),IF($G194=$G$1,$N194,0))</f>
        <v>0</v>
      </c>
      <c r="V194" s="153">
        <f t="shared" ref="V194:V257" si="53">IF($M194&lt;3,IF($H194=$H$1,1,0),IF($H194=$H$1,$N194,0))</f>
        <v>1</v>
      </c>
      <c r="W194" s="8">
        <f t="shared" ref="W194:W257" si="54">IF($M194&lt;3,IF($I194=$I$1,1,0),IF($I194=$I$1,$N194,0))</f>
        <v>0</v>
      </c>
      <c r="X194" s="8">
        <f t="shared" ref="X194:X257" si="55">IF($M194&lt;3,IF($J194=$J$1,1,0),IF($J194=$J$1,$N194,0))</f>
        <v>0</v>
      </c>
      <c r="Y194" s="8">
        <f t="shared" ref="Y194:Y257" si="56">IF($M194&lt;3,IF($K194=$K$1,1,0),IF($K194=$K$1,$N194,0))</f>
        <v>0</v>
      </c>
      <c r="Z194" s="8"/>
      <c r="AA194" s="8"/>
      <c r="AB194" s="8">
        <f t="shared" si="44"/>
        <v>3</v>
      </c>
      <c r="AC194" s="8">
        <f t="shared" ref="AC194:AC257" si="57">M194</f>
        <v>3</v>
      </c>
      <c r="AD194" s="8" t="str">
        <f t="shared" ref="AD194:AD257" si="58">IF(AB194=AC194,"Correct",IF(AB194=3,"Correct","Wrong"))</f>
        <v>Correct</v>
      </c>
      <c r="AE194" s="8"/>
      <c r="AF194" s="120" t="str">
        <f>IFERROR(VLOOKUP(Table1[RespondentID],'All Data'!$A$3:$CO$999,87,FALSE),"unknown")</f>
        <v>Man</v>
      </c>
      <c r="AG194" s="120">
        <f>IFERROR(VLOOKUP(Table1[RespondentID],'All Data'!$A$3:$CO$999,88,FALSE),"unknown")</f>
        <v>0</v>
      </c>
      <c r="AH194" s="120" t="str">
        <f>IFERROR(VLOOKUP(Table1[RespondentID],'All Data'!$A$3:$CO$999,89,FALSE),"unknown")</f>
        <v>Suffolk</v>
      </c>
      <c r="AI194" s="120" t="str">
        <f>IFERROR(VLOOKUP(Table1[RespondentID],'All Data'!$A$3:$CO$999,90,FALSE),"unknown")</f>
        <v>Amityville, 11701</v>
      </c>
      <c r="AJ194" s="120" t="str">
        <f>IFERROR(VLOOKUP(Table1[RespondentID],'All Data'!$A$3:$CO$999,91,FALSE),"unknown")</f>
        <v>Black or African American</v>
      </c>
      <c r="AK194" s="120" t="str">
        <f>IFERROR(VLOOKUP(Table1[RespondentID],'All Data'!$A$3:$CO$999,92,FALSE),"unknown")</f>
        <v>Not Hispanic or Latino</v>
      </c>
      <c r="AL194" s="120" t="str">
        <f>IFERROR(VLOOKUP(Table1[RespondentID],'All Data'!$A$3:$CO$999,93,FALSE),"unknown")</f>
        <v>Chinese</v>
      </c>
      <c r="AM194" s="120" t="str">
        <f>IFERROR(VLOOKUP(Table1[RespondentID],'All Data'!$A$3:$CW$999,94,FALSE),"unknown")</f>
        <v>$20,000 to $34,999</v>
      </c>
      <c r="AN194" s="120" t="str">
        <f>IFERROR(VLOOKUP(Table1[RespondentID],'All Data'!$A$3:$CW$999,95,FALSE),"unknown")</f>
        <v>Graduate school</v>
      </c>
      <c r="AO194" s="120" t="str">
        <f>IFERROR(VLOOKUP(Table1[RespondentID],'All Data'!$A$3:$CW$999,96,FALSE),"unknown")</f>
        <v>Employed for wages</v>
      </c>
      <c r="AP194" s="120" t="str">
        <f>IFERROR(VLOOKUP(Table1[RespondentID],'All Data'!$A$3:$CW$999,97,FALSE),"unknown")</f>
        <v>Yes</v>
      </c>
      <c r="AQ194" s="120" t="str">
        <f>IFERROR(VLOOKUP(Table1[RespondentID],'All Data'!$A$3:$CW$999,98,FALSE),"unknown")</f>
        <v>Medicare</v>
      </c>
      <c r="AR194" s="120" t="str">
        <f>IFERROR(VLOOKUP(Table1[RespondentID],'All Data'!$A$3:$CW$999,99,FALSE),"unknown")</f>
        <v>No</v>
      </c>
    </row>
    <row r="195" spans="1:44" ht="16">
      <c r="A195" s="5">
        <v>18021263997</v>
      </c>
      <c r="B195" s="5"/>
      <c r="C195" s="5"/>
      <c r="D195" s="5"/>
      <c r="E195" s="5"/>
      <c r="F195" s="5"/>
      <c r="G195" s="5" t="s">
        <v>34</v>
      </c>
      <c r="H195" s="5"/>
      <c r="I195" s="5"/>
      <c r="J195" s="5"/>
      <c r="K195" s="5"/>
      <c r="L195" s="9"/>
      <c r="M195" s="9">
        <f t="shared" si="45"/>
        <v>1</v>
      </c>
      <c r="N195" s="9">
        <f t="shared" si="46"/>
        <v>3</v>
      </c>
      <c r="O195" s="9"/>
      <c r="P195" s="9">
        <f t="shared" si="47"/>
        <v>0</v>
      </c>
      <c r="Q195" s="9">
        <f t="shared" si="48"/>
        <v>0</v>
      </c>
      <c r="R195" s="9">
        <f t="shared" si="49"/>
        <v>0</v>
      </c>
      <c r="S195" s="9">
        <f t="shared" si="50"/>
        <v>0</v>
      </c>
      <c r="T195" s="9">
        <f t="shared" si="51"/>
        <v>0</v>
      </c>
      <c r="U195" s="9">
        <f t="shared" si="52"/>
        <v>1</v>
      </c>
      <c r="V195" s="153">
        <f t="shared" si="53"/>
        <v>0</v>
      </c>
      <c r="W195" s="9">
        <f t="shared" si="54"/>
        <v>0</v>
      </c>
      <c r="X195" s="9">
        <f t="shared" si="55"/>
        <v>0</v>
      </c>
      <c r="Y195" s="9">
        <f t="shared" si="56"/>
        <v>0</v>
      </c>
      <c r="Z195" s="9"/>
      <c r="AA195" s="9"/>
      <c r="AB195" s="9">
        <f t="shared" ref="AB195:AB258" si="59">SUM(P195:Z195)</f>
        <v>1</v>
      </c>
      <c r="AC195" s="9">
        <f t="shared" si="57"/>
        <v>1</v>
      </c>
      <c r="AD195" s="9" t="str">
        <f t="shared" si="58"/>
        <v>Correct</v>
      </c>
      <c r="AE195" s="9"/>
      <c r="AF195" s="120" t="str">
        <f>IFERROR(VLOOKUP(Table1[RespondentID],'All Data'!$A$3:$CO$999,87,FALSE),"unknown")</f>
        <v>Man</v>
      </c>
      <c r="AG195" s="120">
        <f>IFERROR(VLOOKUP(Table1[RespondentID],'All Data'!$A$3:$CO$999,88,FALSE),"unknown")</f>
        <v>52</v>
      </c>
      <c r="AH195" s="120" t="str">
        <f>IFERROR(VLOOKUP(Table1[RespondentID],'All Data'!$A$3:$CO$999,89,FALSE),"unknown")</f>
        <v>Suffolk</v>
      </c>
      <c r="AI195" s="120" t="str">
        <f>IFERROR(VLOOKUP(Table1[RespondentID],'All Data'!$A$3:$CO$999,90,FALSE),"unknown")</f>
        <v>Northport, 11768</v>
      </c>
      <c r="AJ195" s="120" t="str">
        <f>IFERROR(VLOOKUP(Table1[RespondentID],'All Data'!$A$3:$CO$999,91,FALSE),"unknown")</f>
        <v>White</v>
      </c>
      <c r="AK195" s="120" t="str">
        <f>IFERROR(VLOOKUP(Table1[RespondentID],'All Data'!$A$3:$CO$999,92,FALSE),"unknown")</f>
        <v>Hispanic or Latino</v>
      </c>
      <c r="AL195" s="120" t="str">
        <f>IFERROR(VLOOKUP(Table1[RespondentID],'All Data'!$A$3:$CO$999,93,FALSE),"unknown")</f>
        <v>English</v>
      </c>
      <c r="AM195" s="120" t="str">
        <f>IFERROR(VLOOKUP(Table1[RespondentID],'All Data'!$A$3:$CW$999,94,FALSE),"unknown")</f>
        <v>Over $125,000</v>
      </c>
      <c r="AN195" s="120" t="str">
        <f>IFERROR(VLOOKUP(Table1[RespondentID],'All Data'!$A$3:$CW$999,95,FALSE),"unknown")</f>
        <v>Graduate school</v>
      </c>
      <c r="AO195" s="120" t="str">
        <f>IFERROR(VLOOKUP(Table1[RespondentID],'All Data'!$A$3:$CW$999,96,FALSE),"unknown")</f>
        <v>Employed for wages</v>
      </c>
      <c r="AP195" s="120" t="str">
        <f>IFERROR(VLOOKUP(Table1[RespondentID],'All Data'!$A$3:$CW$999,97,FALSE),"unknown")</f>
        <v>Yes</v>
      </c>
      <c r="AQ195" s="120" t="str">
        <f>IFERROR(VLOOKUP(Table1[RespondentID],'All Data'!$A$3:$CW$999,98,FALSE),"unknown")</f>
        <v>Private/Commercial</v>
      </c>
      <c r="AR195" s="120" t="str">
        <f>IFERROR(VLOOKUP(Table1[RespondentID],'All Data'!$A$3:$CW$999,99,FALSE),"unknown")</f>
        <v>Yes</v>
      </c>
    </row>
    <row r="196" spans="1:44" ht="16">
      <c r="A196" s="5">
        <v>18021096939</v>
      </c>
      <c r="B196" s="5" t="s">
        <v>29</v>
      </c>
      <c r="C196" s="5"/>
      <c r="D196" s="5" t="s">
        <v>31</v>
      </c>
      <c r="E196" s="5"/>
      <c r="F196" s="5"/>
      <c r="G196" s="5"/>
      <c r="H196" s="5" t="s">
        <v>35</v>
      </c>
      <c r="I196" s="5"/>
      <c r="J196" s="5"/>
      <c r="K196" s="5"/>
      <c r="L196" s="8"/>
      <c r="M196" s="8">
        <f t="shared" si="45"/>
        <v>3</v>
      </c>
      <c r="N196" s="8">
        <f t="shared" si="46"/>
        <v>1</v>
      </c>
      <c r="O196" s="8"/>
      <c r="P196" s="8">
        <f t="shared" si="47"/>
        <v>1</v>
      </c>
      <c r="Q196" s="8">
        <f t="shared" si="48"/>
        <v>0</v>
      </c>
      <c r="R196" s="8">
        <f t="shared" si="49"/>
        <v>1</v>
      </c>
      <c r="S196" s="8">
        <f t="shared" si="50"/>
        <v>0</v>
      </c>
      <c r="T196" s="8">
        <f t="shared" si="51"/>
        <v>0</v>
      </c>
      <c r="U196" s="8">
        <f t="shared" si="52"/>
        <v>0</v>
      </c>
      <c r="V196" s="153">
        <f t="shared" si="53"/>
        <v>1</v>
      </c>
      <c r="W196" s="8">
        <f t="shared" si="54"/>
        <v>0</v>
      </c>
      <c r="X196" s="8">
        <f t="shared" si="55"/>
        <v>0</v>
      </c>
      <c r="Y196" s="8">
        <f t="shared" si="56"/>
        <v>0</v>
      </c>
      <c r="Z196" s="8"/>
      <c r="AA196" s="8"/>
      <c r="AB196" s="8">
        <f t="shared" si="59"/>
        <v>3</v>
      </c>
      <c r="AC196" s="8">
        <f t="shared" si="57"/>
        <v>3</v>
      </c>
      <c r="AD196" s="8" t="str">
        <f t="shared" si="58"/>
        <v>Correct</v>
      </c>
      <c r="AE196" s="8"/>
      <c r="AF196" s="120" t="str">
        <f>IFERROR(VLOOKUP(Table1[RespondentID],'All Data'!$A$3:$CO$999,87,FALSE),"unknown")</f>
        <v>Man</v>
      </c>
      <c r="AG196" s="120">
        <f>IFERROR(VLOOKUP(Table1[RespondentID],'All Data'!$A$3:$CO$999,88,FALSE),"unknown")</f>
        <v>16</v>
      </c>
      <c r="AH196" s="120" t="str">
        <f>IFERROR(VLOOKUP(Table1[RespondentID],'All Data'!$A$3:$CO$999,89,FALSE),"unknown")</f>
        <v>Suffolk</v>
      </c>
      <c r="AI196" s="120" t="str">
        <f>IFERROR(VLOOKUP(Table1[RespondentID],'All Data'!$A$3:$CO$999,90,FALSE),"unknown")</f>
        <v>Nesconset, 11767</v>
      </c>
      <c r="AJ196" s="120" t="str">
        <f>IFERROR(VLOOKUP(Table1[RespondentID],'All Data'!$A$3:$CO$999,91,FALSE),"unknown")</f>
        <v>American Indian and Alaska Native</v>
      </c>
      <c r="AK196" s="120" t="str">
        <f>IFERROR(VLOOKUP(Table1[RespondentID],'All Data'!$A$3:$CO$999,92,FALSE),"unknown")</f>
        <v>Hispanic or Latino</v>
      </c>
      <c r="AL196" s="120" t="str">
        <f>IFERROR(VLOOKUP(Table1[RespondentID],'All Data'!$A$3:$CO$999,93,FALSE),"unknown")</f>
        <v>English, Hindi</v>
      </c>
      <c r="AM196" s="120" t="str">
        <f>IFERROR(VLOOKUP(Table1[RespondentID],'All Data'!$A$3:$CW$999,94,FALSE),"unknown")</f>
        <v>$75,000 to $125,000</v>
      </c>
      <c r="AN196" s="120" t="str">
        <f>IFERROR(VLOOKUP(Table1[RespondentID],'All Data'!$A$3:$CW$999,95,FALSE),"unknown")</f>
        <v>Some high school</v>
      </c>
      <c r="AO196" s="120" t="str">
        <f>IFERROR(VLOOKUP(Table1[RespondentID],'All Data'!$A$3:$CW$999,96,FALSE),"unknown")</f>
        <v>Out of work, but not currently looking</v>
      </c>
      <c r="AP196" s="120" t="str">
        <f>IFERROR(VLOOKUP(Table1[RespondentID],'All Data'!$A$3:$CW$999,97,FALSE),"unknown")</f>
        <v>Yes</v>
      </c>
      <c r="AQ196" s="120" t="str">
        <f>IFERROR(VLOOKUP(Table1[RespondentID],'All Data'!$A$3:$CW$999,98,FALSE),"unknown")</f>
        <v>Private/Commercial</v>
      </c>
      <c r="AR196" s="120" t="str">
        <f>IFERROR(VLOOKUP(Table1[RespondentID],'All Data'!$A$3:$CW$999,99,FALSE),"unknown")</f>
        <v>Yes</v>
      </c>
    </row>
    <row r="197" spans="1:44" ht="16">
      <c r="A197" s="5">
        <v>18020847868</v>
      </c>
      <c r="B197" s="5"/>
      <c r="C197" s="5"/>
      <c r="D197" s="5" t="s">
        <v>31</v>
      </c>
      <c r="E197" s="5"/>
      <c r="F197" s="5"/>
      <c r="G197" s="5"/>
      <c r="H197" s="5"/>
      <c r="I197" s="5"/>
      <c r="J197" s="5"/>
      <c r="K197" s="5"/>
      <c r="L197" s="9"/>
      <c r="M197" s="9">
        <f t="shared" si="45"/>
        <v>1</v>
      </c>
      <c r="N197" s="9">
        <f t="shared" si="46"/>
        <v>3</v>
      </c>
      <c r="O197" s="9"/>
      <c r="P197" s="9">
        <f t="shared" si="47"/>
        <v>0</v>
      </c>
      <c r="Q197" s="9">
        <f t="shared" si="48"/>
        <v>0</v>
      </c>
      <c r="R197" s="9">
        <f t="shared" si="49"/>
        <v>1</v>
      </c>
      <c r="S197" s="9">
        <f t="shared" si="50"/>
        <v>0</v>
      </c>
      <c r="T197" s="9">
        <f t="shared" si="51"/>
        <v>0</v>
      </c>
      <c r="U197" s="9">
        <f t="shared" si="52"/>
        <v>0</v>
      </c>
      <c r="V197" s="153">
        <f t="shared" si="53"/>
        <v>0</v>
      </c>
      <c r="W197" s="9">
        <f t="shared" si="54"/>
        <v>0</v>
      </c>
      <c r="X197" s="9">
        <f t="shared" si="55"/>
        <v>0</v>
      </c>
      <c r="Y197" s="9">
        <f t="shared" si="56"/>
        <v>0</v>
      </c>
      <c r="Z197" s="9"/>
      <c r="AA197" s="9"/>
      <c r="AB197" s="9">
        <f t="shared" si="59"/>
        <v>1</v>
      </c>
      <c r="AC197" s="9">
        <f t="shared" si="57"/>
        <v>1</v>
      </c>
      <c r="AD197" s="9" t="str">
        <f t="shared" si="58"/>
        <v>Correct</v>
      </c>
      <c r="AE197" s="9"/>
      <c r="AF197" s="120" t="str">
        <f>IFERROR(VLOOKUP(Table1[RespondentID],'All Data'!$A$3:$CO$999,87,FALSE),"unknown")</f>
        <v>Man</v>
      </c>
      <c r="AG197" s="120">
        <f>IFERROR(VLOOKUP(Table1[RespondentID],'All Data'!$A$3:$CO$999,88,FALSE),"unknown")</f>
        <v>21</v>
      </c>
      <c r="AH197" s="120" t="str">
        <f>IFERROR(VLOOKUP(Table1[RespondentID],'All Data'!$A$3:$CO$999,89,FALSE),"unknown")</f>
        <v>Suffolk</v>
      </c>
      <c r="AI197" s="120" t="str">
        <f>IFERROR(VLOOKUP(Table1[RespondentID],'All Data'!$A$3:$CO$999,90,FALSE),"unknown")</f>
        <v>East Northport, 11731</v>
      </c>
      <c r="AJ197" s="120" t="str">
        <f>IFERROR(VLOOKUP(Table1[RespondentID],'All Data'!$A$3:$CO$999,91,FALSE),"unknown")</f>
        <v>White</v>
      </c>
      <c r="AK197" s="120" t="str">
        <f>IFERROR(VLOOKUP(Table1[RespondentID],'All Data'!$A$3:$CO$999,92,FALSE),"unknown")</f>
        <v>Hispanic or Latino</v>
      </c>
      <c r="AL197" s="120" t="str">
        <f>IFERROR(VLOOKUP(Table1[RespondentID],'All Data'!$A$3:$CO$999,93,FALSE),"unknown")</f>
        <v>English</v>
      </c>
      <c r="AM197" s="120" t="str">
        <f>IFERROR(VLOOKUP(Table1[RespondentID],'All Data'!$A$3:$CW$999,94,FALSE),"unknown")</f>
        <v>$50,000 to $74,999</v>
      </c>
      <c r="AN197" s="120" t="str">
        <f>IFERROR(VLOOKUP(Table1[RespondentID],'All Data'!$A$3:$CW$999,95,FALSE),"unknown")</f>
        <v>Some college</v>
      </c>
      <c r="AO197" s="120" t="str">
        <f>IFERROR(VLOOKUP(Table1[RespondentID],'All Data'!$A$3:$CW$999,96,FALSE),"unknown")</f>
        <v>Employed for wages</v>
      </c>
      <c r="AP197" s="120" t="str">
        <f>IFERROR(VLOOKUP(Table1[RespondentID],'All Data'!$A$3:$CW$999,97,FALSE),"unknown")</f>
        <v>Yes</v>
      </c>
      <c r="AQ197" s="120" t="str">
        <f>IFERROR(VLOOKUP(Table1[RespondentID],'All Data'!$A$3:$CW$999,98,FALSE),"unknown")</f>
        <v>Medicaid, Medicare</v>
      </c>
      <c r="AR197" s="120" t="str">
        <f>IFERROR(VLOOKUP(Table1[RespondentID],'All Data'!$A$3:$CW$999,99,FALSE),"unknown")</f>
        <v>Yes</v>
      </c>
    </row>
    <row r="198" spans="1:44" ht="16">
      <c r="A198" s="5">
        <v>18020259192</v>
      </c>
      <c r="B198" s="5"/>
      <c r="C198" s="5"/>
      <c r="D198" s="5"/>
      <c r="E198" s="5"/>
      <c r="F198" s="5"/>
      <c r="G198" s="5" t="s">
        <v>34</v>
      </c>
      <c r="H198" s="5"/>
      <c r="I198" s="5"/>
      <c r="J198" s="5"/>
      <c r="K198" s="5"/>
      <c r="L198" s="8"/>
      <c r="M198" s="8">
        <f t="shared" si="45"/>
        <v>1</v>
      </c>
      <c r="N198" s="8">
        <f t="shared" si="46"/>
        <v>3</v>
      </c>
      <c r="O198" s="8"/>
      <c r="P198" s="8">
        <f t="shared" si="47"/>
        <v>0</v>
      </c>
      <c r="Q198" s="8">
        <f t="shared" si="48"/>
        <v>0</v>
      </c>
      <c r="R198" s="8">
        <f t="shared" si="49"/>
        <v>0</v>
      </c>
      <c r="S198" s="8">
        <f t="shared" si="50"/>
        <v>0</v>
      </c>
      <c r="T198" s="8">
        <f t="shared" si="51"/>
        <v>0</v>
      </c>
      <c r="U198" s="8">
        <f t="shared" si="52"/>
        <v>1</v>
      </c>
      <c r="V198" s="153">
        <f t="shared" si="53"/>
        <v>0</v>
      </c>
      <c r="W198" s="8">
        <f t="shared" si="54"/>
        <v>0</v>
      </c>
      <c r="X198" s="8">
        <f t="shared" si="55"/>
        <v>0</v>
      </c>
      <c r="Y198" s="8">
        <f t="shared" si="56"/>
        <v>0</v>
      </c>
      <c r="Z198" s="8"/>
      <c r="AA198" s="8"/>
      <c r="AB198" s="8">
        <f t="shared" si="59"/>
        <v>1</v>
      </c>
      <c r="AC198" s="8">
        <f t="shared" si="57"/>
        <v>1</v>
      </c>
      <c r="AD198" s="8" t="str">
        <f t="shared" si="58"/>
        <v>Correct</v>
      </c>
      <c r="AE198" s="8"/>
      <c r="AF198" s="120" t="str">
        <f>IFERROR(VLOOKUP(Table1[RespondentID],'All Data'!$A$3:$CO$999,87,FALSE),"unknown")</f>
        <v>Man</v>
      </c>
      <c r="AG198" s="120">
        <f>IFERROR(VLOOKUP(Table1[RespondentID],'All Data'!$A$3:$CO$999,88,FALSE),"unknown")</f>
        <v>39</v>
      </c>
      <c r="AH198" s="120" t="str">
        <f>IFERROR(VLOOKUP(Table1[RespondentID],'All Data'!$A$3:$CO$999,89,FALSE),"unknown")</f>
        <v>Nassau</v>
      </c>
      <c r="AI198" s="120" t="str">
        <f>IFERROR(VLOOKUP(Table1[RespondentID],'All Data'!$A$3:$CO$999,90,FALSE),"unknown")</f>
        <v>Williston Park, 11596</v>
      </c>
      <c r="AJ198" s="120" t="str">
        <f>IFERROR(VLOOKUP(Table1[RespondentID],'All Data'!$A$3:$CO$999,91,FALSE),"unknown")</f>
        <v>American Indian and Alaska Native</v>
      </c>
      <c r="AK198" s="120" t="str">
        <f>IFERROR(VLOOKUP(Table1[RespondentID],'All Data'!$A$3:$CO$999,92,FALSE),"unknown")</f>
        <v>Hispanic or Latino</v>
      </c>
      <c r="AL198" s="120" t="str">
        <f>IFERROR(VLOOKUP(Table1[RespondentID],'All Data'!$A$3:$CO$999,93,FALSE),"unknown")</f>
        <v>English</v>
      </c>
      <c r="AM198" s="120" t="str">
        <f>IFERROR(VLOOKUP(Table1[RespondentID],'All Data'!$A$3:$CW$999,94,FALSE),"unknown")</f>
        <v>Over $125,000</v>
      </c>
      <c r="AN198" s="120" t="str">
        <f>IFERROR(VLOOKUP(Table1[RespondentID],'All Data'!$A$3:$CW$999,95,FALSE),"unknown")</f>
        <v>College graduate</v>
      </c>
      <c r="AO198" s="120" t="str">
        <f>IFERROR(VLOOKUP(Table1[RespondentID],'All Data'!$A$3:$CW$999,96,FALSE),"unknown")</f>
        <v>Employed for wages</v>
      </c>
      <c r="AP198" s="120" t="str">
        <f>IFERROR(VLOOKUP(Table1[RespondentID],'All Data'!$A$3:$CW$999,97,FALSE),"unknown")</f>
        <v>Yes</v>
      </c>
      <c r="AQ198" s="120" t="str">
        <f>IFERROR(VLOOKUP(Table1[RespondentID],'All Data'!$A$3:$CW$999,98,FALSE),"unknown")</f>
        <v>Private/Commercial</v>
      </c>
      <c r="AR198" s="120" t="str">
        <f>IFERROR(VLOOKUP(Table1[RespondentID],'All Data'!$A$3:$CW$999,99,FALSE),"unknown")</f>
        <v>Yes</v>
      </c>
    </row>
    <row r="199" spans="1:44" ht="16">
      <c r="A199" s="5">
        <v>18020253334</v>
      </c>
      <c r="B199" s="5"/>
      <c r="C199" s="5"/>
      <c r="D199" s="5"/>
      <c r="E199" s="5"/>
      <c r="F199" s="5"/>
      <c r="G199" s="5" t="s">
        <v>34</v>
      </c>
      <c r="H199" s="5"/>
      <c r="I199" s="5"/>
      <c r="J199" s="5"/>
      <c r="K199" s="5"/>
      <c r="L199" s="9"/>
      <c r="M199" s="9">
        <f t="shared" si="45"/>
        <v>1</v>
      </c>
      <c r="N199" s="9">
        <f t="shared" si="46"/>
        <v>3</v>
      </c>
      <c r="O199" s="9"/>
      <c r="P199" s="9">
        <f t="shared" si="47"/>
        <v>0</v>
      </c>
      <c r="Q199" s="9">
        <f t="shared" si="48"/>
        <v>0</v>
      </c>
      <c r="R199" s="9">
        <f t="shared" si="49"/>
        <v>0</v>
      </c>
      <c r="S199" s="9">
        <f t="shared" si="50"/>
        <v>0</v>
      </c>
      <c r="T199" s="9">
        <f t="shared" si="51"/>
        <v>0</v>
      </c>
      <c r="U199" s="9">
        <f t="shared" si="52"/>
        <v>1</v>
      </c>
      <c r="V199" s="153">
        <f t="shared" si="53"/>
        <v>0</v>
      </c>
      <c r="W199" s="9">
        <f t="shared" si="54"/>
        <v>0</v>
      </c>
      <c r="X199" s="9">
        <f t="shared" si="55"/>
        <v>0</v>
      </c>
      <c r="Y199" s="9">
        <f t="shared" si="56"/>
        <v>0</v>
      </c>
      <c r="Z199" s="9"/>
      <c r="AA199" s="9"/>
      <c r="AB199" s="9">
        <f t="shared" si="59"/>
        <v>1</v>
      </c>
      <c r="AC199" s="9">
        <f t="shared" si="57"/>
        <v>1</v>
      </c>
      <c r="AD199" s="9" t="str">
        <f t="shared" si="58"/>
        <v>Correct</v>
      </c>
      <c r="AE199" s="9"/>
      <c r="AF199" s="120" t="str">
        <f>IFERROR(VLOOKUP(Table1[RespondentID],'All Data'!$A$3:$CO$999,87,FALSE),"unknown")</f>
        <v>Woman</v>
      </c>
      <c r="AG199" s="120">
        <f>IFERROR(VLOOKUP(Table1[RespondentID],'All Data'!$A$3:$CO$999,88,FALSE),"unknown")</f>
        <v>40</v>
      </c>
      <c r="AH199" s="120" t="str">
        <f>IFERROR(VLOOKUP(Table1[RespondentID],'All Data'!$A$3:$CO$999,89,FALSE),"unknown")</f>
        <v>Nassau</v>
      </c>
      <c r="AI199" s="120" t="str">
        <f>IFERROR(VLOOKUP(Table1[RespondentID],'All Data'!$A$3:$CO$999,90,FALSE),"unknown")</f>
        <v>Herricks, 11040</v>
      </c>
      <c r="AJ199" s="120" t="str">
        <f>IFERROR(VLOOKUP(Table1[RespondentID],'All Data'!$A$3:$CO$999,91,FALSE),"unknown")</f>
        <v>American Indian and Alaska Native</v>
      </c>
      <c r="AK199" s="120" t="str">
        <f>IFERROR(VLOOKUP(Table1[RespondentID],'All Data'!$A$3:$CO$999,92,FALSE),"unknown")</f>
        <v>Hispanic or Latino</v>
      </c>
      <c r="AL199" s="120" t="str">
        <f>IFERROR(VLOOKUP(Table1[RespondentID],'All Data'!$A$3:$CO$999,93,FALSE),"unknown")</f>
        <v>English</v>
      </c>
      <c r="AM199" s="120" t="str">
        <f>IFERROR(VLOOKUP(Table1[RespondentID],'All Data'!$A$3:$CW$999,94,FALSE),"unknown")</f>
        <v>$75,000 to $125,000</v>
      </c>
      <c r="AN199" s="120" t="str">
        <f>IFERROR(VLOOKUP(Table1[RespondentID],'All Data'!$A$3:$CW$999,95,FALSE),"unknown")</f>
        <v>College graduate</v>
      </c>
      <c r="AO199" s="120" t="str">
        <f>IFERROR(VLOOKUP(Table1[RespondentID],'All Data'!$A$3:$CW$999,96,FALSE),"unknown")</f>
        <v>Employed for wages</v>
      </c>
      <c r="AP199" s="120" t="str">
        <f>IFERROR(VLOOKUP(Table1[RespondentID],'All Data'!$A$3:$CW$999,97,FALSE),"unknown")</f>
        <v>Yes</v>
      </c>
      <c r="AQ199" s="120" t="str">
        <f>IFERROR(VLOOKUP(Table1[RespondentID],'All Data'!$A$3:$CW$999,98,FALSE),"unknown")</f>
        <v>Private/Commercial</v>
      </c>
      <c r="AR199" s="120" t="str">
        <f>IFERROR(VLOOKUP(Table1[RespondentID],'All Data'!$A$3:$CW$999,99,FALSE),"unknown")</f>
        <v>Yes</v>
      </c>
    </row>
    <row r="200" spans="1:44" ht="16">
      <c r="A200" s="5">
        <v>18020047097</v>
      </c>
      <c r="B200" s="5"/>
      <c r="C200" s="5"/>
      <c r="D200" s="5"/>
      <c r="E200" s="5"/>
      <c r="F200" s="5"/>
      <c r="G200" s="5"/>
      <c r="H200" s="5"/>
      <c r="I200" s="5"/>
      <c r="J200" s="5"/>
      <c r="K200" s="5"/>
      <c r="L200" s="8"/>
      <c r="M200" s="8">
        <f t="shared" si="45"/>
        <v>0</v>
      </c>
      <c r="N200" s="8" t="e">
        <f t="shared" si="46"/>
        <v>#DIV/0!</v>
      </c>
      <c r="O200" s="8"/>
      <c r="P200" s="8">
        <f t="shared" si="47"/>
        <v>0</v>
      </c>
      <c r="Q200" s="8">
        <f t="shared" si="48"/>
        <v>0</v>
      </c>
      <c r="R200" s="8">
        <f t="shared" si="49"/>
        <v>0</v>
      </c>
      <c r="S200" s="8">
        <f t="shared" si="50"/>
        <v>0</v>
      </c>
      <c r="T200" s="8">
        <f t="shared" si="51"/>
        <v>0</v>
      </c>
      <c r="U200" s="8">
        <f t="shared" si="52"/>
        <v>0</v>
      </c>
      <c r="V200" s="153">
        <f t="shared" si="53"/>
        <v>0</v>
      </c>
      <c r="W200" s="8">
        <f t="shared" si="54"/>
        <v>0</v>
      </c>
      <c r="X200" s="8">
        <f t="shared" si="55"/>
        <v>0</v>
      </c>
      <c r="Y200" s="8">
        <f t="shared" si="56"/>
        <v>0</v>
      </c>
      <c r="Z200" s="8"/>
      <c r="AA200" s="8"/>
      <c r="AB200" s="8">
        <f t="shared" si="59"/>
        <v>0</v>
      </c>
      <c r="AC200" s="8">
        <f t="shared" si="57"/>
        <v>0</v>
      </c>
      <c r="AD200" s="8" t="str">
        <f t="shared" si="58"/>
        <v>Correct</v>
      </c>
      <c r="AE200" s="8"/>
      <c r="AF200" s="120">
        <f>IFERROR(VLOOKUP(Table1[RespondentID],'All Data'!$A$3:$CO$999,87,FALSE),"unknown")</f>
        <v>0</v>
      </c>
      <c r="AG200" s="120">
        <f>IFERROR(VLOOKUP(Table1[RespondentID],'All Data'!$A$3:$CO$999,88,FALSE),"unknown")</f>
        <v>0</v>
      </c>
      <c r="AH200" s="120">
        <f>IFERROR(VLOOKUP(Table1[RespondentID],'All Data'!$A$3:$CO$999,89,FALSE),"unknown")</f>
        <v>0</v>
      </c>
      <c r="AI200" s="120" t="str">
        <f>IFERROR(VLOOKUP(Table1[RespondentID],'All Data'!$A$3:$CO$999,90,FALSE),"unknown")</f>
        <v>Alden Manor, 11003</v>
      </c>
      <c r="AJ200" s="120">
        <f>IFERROR(VLOOKUP(Table1[RespondentID],'All Data'!$A$3:$CO$999,91,FALSE),"unknown")</f>
        <v>0</v>
      </c>
      <c r="AK200" s="120">
        <f>IFERROR(VLOOKUP(Table1[RespondentID],'All Data'!$A$3:$CO$999,92,FALSE),"unknown")</f>
        <v>0</v>
      </c>
      <c r="AL200" s="120">
        <f>IFERROR(VLOOKUP(Table1[RespondentID],'All Data'!$A$3:$CO$999,93,FALSE),"unknown")</f>
        <v>0</v>
      </c>
      <c r="AM200" s="120">
        <f>IFERROR(VLOOKUP(Table1[RespondentID],'All Data'!$A$3:$CW$999,94,FALSE),"unknown")</f>
        <v>0</v>
      </c>
      <c r="AN200" s="120">
        <f>IFERROR(VLOOKUP(Table1[RespondentID],'All Data'!$A$3:$CW$999,95,FALSE),"unknown")</f>
        <v>0</v>
      </c>
      <c r="AO200" s="120">
        <f>IFERROR(VLOOKUP(Table1[RespondentID],'All Data'!$A$3:$CW$999,96,FALSE),"unknown")</f>
        <v>0</v>
      </c>
      <c r="AP200" s="120">
        <f>IFERROR(VLOOKUP(Table1[RespondentID],'All Data'!$A$3:$CW$999,97,FALSE),"unknown")</f>
        <v>0</v>
      </c>
      <c r="AQ200" s="120">
        <f>IFERROR(VLOOKUP(Table1[RespondentID],'All Data'!$A$3:$CW$999,98,FALSE),"unknown")</f>
        <v>0</v>
      </c>
      <c r="AR200" s="120">
        <f>IFERROR(VLOOKUP(Table1[RespondentID],'All Data'!$A$3:$CW$999,99,FALSE),"unknown")</f>
        <v>0</v>
      </c>
    </row>
    <row r="201" spans="1:44" ht="16">
      <c r="A201" s="5">
        <v>18019933763</v>
      </c>
      <c r="B201" s="5"/>
      <c r="C201" s="5"/>
      <c r="D201" s="5"/>
      <c r="E201" s="5"/>
      <c r="F201" s="5"/>
      <c r="G201" s="5" t="s">
        <v>34</v>
      </c>
      <c r="H201" s="5"/>
      <c r="I201" s="5"/>
      <c r="J201" s="5"/>
      <c r="K201" s="5"/>
      <c r="L201" s="9"/>
      <c r="M201" s="9">
        <f t="shared" si="45"/>
        <v>1</v>
      </c>
      <c r="N201" s="9">
        <f t="shared" si="46"/>
        <v>3</v>
      </c>
      <c r="O201" s="9"/>
      <c r="P201" s="9">
        <f t="shared" si="47"/>
        <v>0</v>
      </c>
      <c r="Q201" s="9">
        <f t="shared" si="48"/>
        <v>0</v>
      </c>
      <c r="R201" s="9">
        <f t="shared" si="49"/>
        <v>0</v>
      </c>
      <c r="S201" s="9">
        <f t="shared" si="50"/>
        <v>0</v>
      </c>
      <c r="T201" s="9">
        <f t="shared" si="51"/>
        <v>0</v>
      </c>
      <c r="U201" s="9">
        <f t="shared" si="52"/>
        <v>1</v>
      </c>
      <c r="V201" s="153">
        <f t="shared" si="53"/>
        <v>0</v>
      </c>
      <c r="W201" s="9">
        <f t="shared" si="54"/>
        <v>0</v>
      </c>
      <c r="X201" s="9">
        <f t="shared" si="55"/>
        <v>0</v>
      </c>
      <c r="Y201" s="9">
        <f t="shared" si="56"/>
        <v>0</v>
      </c>
      <c r="Z201" s="9"/>
      <c r="AA201" s="9"/>
      <c r="AB201" s="9">
        <f t="shared" si="59"/>
        <v>1</v>
      </c>
      <c r="AC201" s="9">
        <f t="shared" si="57"/>
        <v>1</v>
      </c>
      <c r="AD201" s="9" t="str">
        <f t="shared" si="58"/>
        <v>Correct</v>
      </c>
      <c r="AE201" s="9"/>
      <c r="AF201" s="120" t="str">
        <f>IFERROR(VLOOKUP(Table1[RespondentID],'All Data'!$A$3:$CO$999,87,FALSE),"unknown")</f>
        <v>Woman</v>
      </c>
      <c r="AG201" s="120">
        <f>IFERROR(VLOOKUP(Table1[RespondentID],'All Data'!$A$3:$CO$999,88,FALSE),"unknown")</f>
        <v>24</v>
      </c>
      <c r="AH201" s="120" t="str">
        <f>IFERROR(VLOOKUP(Table1[RespondentID],'All Data'!$A$3:$CO$999,89,FALSE),"unknown")</f>
        <v>Suffolk</v>
      </c>
      <c r="AI201" s="120" t="str">
        <f>IFERROR(VLOOKUP(Table1[RespondentID],'All Data'!$A$3:$CO$999,90,FALSE),"unknown")</f>
        <v>Selden, 11784</v>
      </c>
      <c r="AJ201" s="120" t="str">
        <f>IFERROR(VLOOKUP(Table1[RespondentID],'All Data'!$A$3:$CO$999,91,FALSE),"unknown")</f>
        <v>Native Hawaiian and Other Pacific Islander</v>
      </c>
      <c r="AK201" s="120" t="str">
        <f>IFERROR(VLOOKUP(Table1[RespondentID],'All Data'!$A$3:$CO$999,92,FALSE),"unknown")</f>
        <v>Hispanic or Latino</v>
      </c>
      <c r="AL201" s="120" t="str">
        <f>IFERROR(VLOOKUP(Table1[RespondentID],'All Data'!$A$3:$CO$999,93,FALSE),"unknown")</f>
        <v>English</v>
      </c>
      <c r="AM201" s="120" t="str">
        <f>IFERROR(VLOOKUP(Table1[RespondentID],'All Data'!$A$3:$CW$999,94,FALSE),"unknown")</f>
        <v>$75,000 to $125,000</v>
      </c>
      <c r="AN201" s="120" t="str">
        <f>IFERROR(VLOOKUP(Table1[RespondentID],'All Data'!$A$3:$CW$999,95,FALSE),"unknown")</f>
        <v>College graduate</v>
      </c>
      <c r="AO201" s="120" t="str">
        <f>IFERROR(VLOOKUP(Table1[RespondentID],'All Data'!$A$3:$CW$999,96,FALSE),"unknown")</f>
        <v>Employed for wages</v>
      </c>
      <c r="AP201" s="120" t="str">
        <f>IFERROR(VLOOKUP(Table1[RespondentID],'All Data'!$A$3:$CW$999,97,FALSE),"unknown")</f>
        <v>Yes</v>
      </c>
      <c r="AQ201" s="120" t="str">
        <f>IFERROR(VLOOKUP(Table1[RespondentID],'All Data'!$A$3:$CW$999,98,FALSE),"unknown")</f>
        <v>Medicare</v>
      </c>
      <c r="AR201" s="120" t="str">
        <f>IFERROR(VLOOKUP(Table1[RespondentID],'All Data'!$A$3:$CW$999,99,FALSE),"unknown")</f>
        <v>Yes</v>
      </c>
    </row>
    <row r="202" spans="1:44" ht="16">
      <c r="A202" s="5">
        <v>18019511473</v>
      </c>
      <c r="B202" s="5"/>
      <c r="C202" s="5"/>
      <c r="D202" s="5"/>
      <c r="E202" s="5"/>
      <c r="F202" s="5" t="s">
        <v>33</v>
      </c>
      <c r="G202" s="5"/>
      <c r="H202" s="5"/>
      <c r="I202" s="5"/>
      <c r="J202" s="5"/>
      <c r="K202" s="5" t="s">
        <v>375</v>
      </c>
      <c r="L202" s="8"/>
      <c r="M202" s="8">
        <f t="shared" si="45"/>
        <v>2</v>
      </c>
      <c r="N202" s="8">
        <f t="shared" si="46"/>
        <v>1.5</v>
      </c>
      <c r="O202" s="8"/>
      <c r="P202" s="8">
        <f t="shared" si="47"/>
        <v>0</v>
      </c>
      <c r="Q202" s="8">
        <f t="shared" si="48"/>
        <v>0</v>
      </c>
      <c r="R202" s="8">
        <f t="shared" si="49"/>
        <v>0</v>
      </c>
      <c r="S202" s="8">
        <f t="shared" si="50"/>
        <v>0</v>
      </c>
      <c r="T202" s="8">
        <f t="shared" si="51"/>
        <v>1</v>
      </c>
      <c r="U202" s="8">
        <f t="shared" si="52"/>
        <v>0</v>
      </c>
      <c r="V202" s="153">
        <f t="shared" si="53"/>
        <v>0</v>
      </c>
      <c r="W202" s="8">
        <f t="shared" si="54"/>
        <v>0</v>
      </c>
      <c r="X202" s="8">
        <f t="shared" si="55"/>
        <v>0</v>
      </c>
      <c r="Y202" s="8">
        <f t="shared" si="56"/>
        <v>1</v>
      </c>
      <c r="Z202" s="8"/>
      <c r="AA202" s="8"/>
      <c r="AB202" s="8">
        <f t="shared" si="59"/>
        <v>2</v>
      </c>
      <c r="AC202" s="8">
        <f t="shared" si="57"/>
        <v>2</v>
      </c>
      <c r="AD202" s="8" t="str">
        <f t="shared" si="58"/>
        <v>Correct</v>
      </c>
      <c r="AE202" s="8"/>
      <c r="AF202" s="120" t="str">
        <f>IFERROR(VLOOKUP(Table1[RespondentID],'All Data'!$A$3:$CO$999,87,FALSE),"unknown")</f>
        <v>Man</v>
      </c>
      <c r="AG202" s="120">
        <f>IFERROR(VLOOKUP(Table1[RespondentID],'All Data'!$A$3:$CO$999,88,FALSE),"unknown")</f>
        <v>0</v>
      </c>
      <c r="AH202" s="120" t="str">
        <f>IFERROR(VLOOKUP(Table1[RespondentID],'All Data'!$A$3:$CO$999,89,FALSE),"unknown")</f>
        <v>Suffolk</v>
      </c>
      <c r="AI202" s="120" t="str">
        <f>IFERROR(VLOOKUP(Table1[RespondentID],'All Data'!$A$3:$CO$999,90,FALSE),"unknown")</f>
        <v>Smithtown, 11787</v>
      </c>
      <c r="AJ202" s="120" t="str">
        <f>IFERROR(VLOOKUP(Table1[RespondentID],'All Data'!$A$3:$CO$999,91,FALSE),"unknown")</f>
        <v>White</v>
      </c>
      <c r="AK202" s="120" t="str">
        <f>IFERROR(VLOOKUP(Table1[RespondentID],'All Data'!$A$3:$CO$999,92,FALSE),"unknown")</f>
        <v>Hispanic or Latino</v>
      </c>
      <c r="AL202" s="120" t="str">
        <f>IFERROR(VLOOKUP(Table1[RespondentID],'All Data'!$A$3:$CO$999,93,FALSE),"unknown")</f>
        <v>English</v>
      </c>
      <c r="AM202" s="120" t="str">
        <f>IFERROR(VLOOKUP(Table1[RespondentID],'All Data'!$A$3:$CW$999,94,FALSE),"unknown")</f>
        <v>Over $125,000</v>
      </c>
      <c r="AN202" s="120" t="str">
        <f>IFERROR(VLOOKUP(Table1[RespondentID],'All Data'!$A$3:$CW$999,95,FALSE),"unknown")</f>
        <v>Some college</v>
      </c>
      <c r="AO202" s="120" t="str">
        <f>IFERROR(VLOOKUP(Table1[RespondentID],'All Data'!$A$3:$CW$999,96,FALSE),"unknown")</f>
        <v>Employed for wages</v>
      </c>
      <c r="AP202" s="120" t="str">
        <f>IFERROR(VLOOKUP(Table1[RespondentID],'All Data'!$A$3:$CW$999,97,FALSE),"unknown")</f>
        <v>No</v>
      </c>
      <c r="AQ202" s="120" t="str">
        <f>IFERROR(VLOOKUP(Table1[RespondentID],'All Data'!$A$3:$CW$999,98,FALSE),"unknown")</f>
        <v>No Insurance</v>
      </c>
      <c r="AR202" s="120" t="str">
        <f>IFERROR(VLOOKUP(Table1[RespondentID],'All Data'!$A$3:$CW$999,99,FALSE),"unknown")</f>
        <v>Yes</v>
      </c>
    </row>
    <row r="203" spans="1:44" ht="16">
      <c r="A203" s="5">
        <v>18019480989</v>
      </c>
      <c r="B203" s="5"/>
      <c r="C203" s="5"/>
      <c r="D203" s="5"/>
      <c r="E203" s="5"/>
      <c r="F203" s="5"/>
      <c r="G203" s="5"/>
      <c r="H203" s="5" t="s">
        <v>35</v>
      </c>
      <c r="I203" s="5"/>
      <c r="J203" s="5"/>
      <c r="K203" s="5"/>
      <c r="L203" s="9"/>
      <c r="M203" s="9">
        <f t="shared" si="45"/>
        <v>1</v>
      </c>
      <c r="N203" s="9">
        <f t="shared" si="46"/>
        <v>3</v>
      </c>
      <c r="O203" s="9"/>
      <c r="P203" s="9">
        <f t="shared" si="47"/>
        <v>0</v>
      </c>
      <c r="Q203" s="9">
        <f t="shared" si="48"/>
        <v>0</v>
      </c>
      <c r="R203" s="9">
        <f t="shared" si="49"/>
        <v>0</v>
      </c>
      <c r="S203" s="9">
        <f t="shared" si="50"/>
        <v>0</v>
      </c>
      <c r="T203" s="9">
        <f t="shared" si="51"/>
        <v>0</v>
      </c>
      <c r="U203" s="9">
        <f t="shared" si="52"/>
        <v>0</v>
      </c>
      <c r="V203" s="153">
        <f t="shared" si="53"/>
        <v>1</v>
      </c>
      <c r="W203" s="9">
        <f t="shared" si="54"/>
        <v>0</v>
      </c>
      <c r="X203" s="9">
        <f t="shared" si="55"/>
        <v>0</v>
      </c>
      <c r="Y203" s="9">
        <f t="shared" si="56"/>
        <v>0</v>
      </c>
      <c r="Z203" s="9"/>
      <c r="AA203" s="9"/>
      <c r="AB203" s="9">
        <f t="shared" si="59"/>
        <v>1</v>
      </c>
      <c r="AC203" s="9">
        <f t="shared" si="57"/>
        <v>1</v>
      </c>
      <c r="AD203" s="9" t="str">
        <f t="shared" si="58"/>
        <v>Correct</v>
      </c>
      <c r="AE203" s="9"/>
      <c r="AF203" s="120" t="str">
        <f>IFERROR(VLOOKUP(Table1[RespondentID],'All Data'!$A$3:$CO$999,87,FALSE),"unknown")</f>
        <v>Man</v>
      </c>
      <c r="AG203" s="120">
        <f>IFERROR(VLOOKUP(Table1[RespondentID],'All Data'!$A$3:$CO$999,88,FALSE),"unknown")</f>
        <v>23</v>
      </c>
      <c r="AH203" s="120" t="str">
        <f>IFERROR(VLOOKUP(Table1[RespondentID],'All Data'!$A$3:$CO$999,89,FALSE),"unknown")</f>
        <v>Suffolk</v>
      </c>
      <c r="AI203" s="120" t="str">
        <f>IFERROR(VLOOKUP(Table1[RespondentID],'All Data'!$A$3:$CO$999,90,FALSE),"unknown")</f>
        <v>Saint James, 11780</v>
      </c>
      <c r="AJ203" s="120" t="str">
        <f>IFERROR(VLOOKUP(Table1[RespondentID],'All Data'!$A$3:$CO$999,91,FALSE),"unknown")</f>
        <v>White</v>
      </c>
      <c r="AK203" s="120" t="str">
        <f>IFERROR(VLOOKUP(Table1[RespondentID],'All Data'!$A$3:$CO$999,92,FALSE),"unknown")</f>
        <v>Hispanic or Latino</v>
      </c>
      <c r="AL203" s="120" t="str">
        <f>IFERROR(VLOOKUP(Table1[RespondentID],'All Data'!$A$3:$CO$999,93,FALSE),"unknown")</f>
        <v>English</v>
      </c>
      <c r="AM203" s="120" t="str">
        <f>IFERROR(VLOOKUP(Table1[RespondentID],'All Data'!$A$3:$CW$999,94,FALSE),"unknown")</f>
        <v>$0-$19,999</v>
      </c>
      <c r="AN203" s="120" t="str">
        <f>IFERROR(VLOOKUP(Table1[RespondentID],'All Data'!$A$3:$CW$999,95,FALSE),"unknown")</f>
        <v>Graduate school</v>
      </c>
      <c r="AO203" s="120" t="str">
        <f>IFERROR(VLOOKUP(Table1[RespondentID],'All Data'!$A$3:$CW$999,96,FALSE),"unknown")</f>
        <v>Employed for wages</v>
      </c>
      <c r="AP203" s="120" t="str">
        <f>IFERROR(VLOOKUP(Table1[RespondentID],'All Data'!$A$3:$CW$999,97,FALSE),"unknown")</f>
        <v>Yes</v>
      </c>
      <c r="AQ203" s="120">
        <f>IFERROR(VLOOKUP(Table1[RespondentID],'All Data'!$A$3:$CW$999,98,FALSE),"unknown")</f>
        <v>0</v>
      </c>
      <c r="AR203" s="120">
        <f>IFERROR(VLOOKUP(Table1[RespondentID],'All Data'!$A$3:$CW$999,99,FALSE),"unknown")</f>
        <v>0</v>
      </c>
    </row>
    <row r="204" spans="1:44" ht="16">
      <c r="A204" s="5">
        <v>18019480837</v>
      </c>
      <c r="B204" s="5"/>
      <c r="C204" s="5"/>
      <c r="D204" s="5"/>
      <c r="E204" s="5"/>
      <c r="F204" s="5"/>
      <c r="G204" s="5"/>
      <c r="H204" s="5"/>
      <c r="I204" s="5" t="s">
        <v>36</v>
      </c>
      <c r="J204" s="5"/>
      <c r="K204" s="5"/>
      <c r="L204" s="8"/>
      <c r="M204" s="8">
        <f t="shared" si="45"/>
        <v>1</v>
      </c>
      <c r="N204" s="8">
        <f t="shared" si="46"/>
        <v>3</v>
      </c>
      <c r="O204" s="8"/>
      <c r="P204" s="8">
        <f t="shared" si="47"/>
        <v>0</v>
      </c>
      <c r="Q204" s="8">
        <f t="shared" si="48"/>
        <v>0</v>
      </c>
      <c r="R204" s="8">
        <f t="shared" si="49"/>
        <v>0</v>
      </c>
      <c r="S204" s="8">
        <f t="shared" si="50"/>
        <v>0</v>
      </c>
      <c r="T204" s="8">
        <f t="shared" si="51"/>
        <v>0</v>
      </c>
      <c r="U204" s="8">
        <f t="shared" si="52"/>
        <v>0</v>
      </c>
      <c r="V204" s="153">
        <f t="shared" si="53"/>
        <v>0</v>
      </c>
      <c r="W204" s="8">
        <f t="shared" si="54"/>
        <v>1</v>
      </c>
      <c r="X204" s="8">
        <f t="shared" si="55"/>
        <v>0</v>
      </c>
      <c r="Y204" s="8">
        <f t="shared" si="56"/>
        <v>0</v>
      </c>
      <c r="Z204" s="8"/>
      <c r="AA204" s="8"/>
      <c r="AB204" s="8">
        <f t="shared" si="59"/>
        <v>1</v>
      </c>
      <c r="AC204" s="8">
        <f t="shared" si="57"/>
        <v>1</v>
      </c>
      <c r="AD204" s="8" t="str">
        <f t="shared" si="58"/>
        <v>Correct</v>
      </c>
      <c r="AE204" s="8"/>
      <c r="AF204" s="120" t="str">
        <f>IFERROR(VLOOKUP(Table1[RespondentID],'All Data'!$A$3:$CO$999,87,FALSE),"unknown")</f>
        <v>Woman</v>
      </c>
      <c r="AG204" s="120">
        <f>IFERROR(VLOOKUP(Table1[RespondentID],'All Data'!$A$3:$CO$999,88,FALSE),"unknown")</f>
        <v>49</v>
      </c>
      <c r="AH204" s="120" t="str">
        <f>IFERROR(VLOOKUP(Table1[RespondentID],'All Data'!$A$3:$CO$999,89,FALSE),"unknown")</f>
        <v>Suffolk</v>
      </c>
      <c r="AI204" s="120" t="str">
        <f>IFERROR(VLOOKUP(Table1[RespondentID],'All Data'!$A$3:$CO$999,90,FALSE),"unknown")</f>
        <v>Smithtown, 11787</v>
      </c>
      <c r="AJ204" s="120" t="str">
        <f>IFERROR(VLOOKUP(Table1[RespondentID],'All Data'!$A$3:$CO$999,91,FALSE),"unknown")</f>
        <v>White</v>
      </c>
      <c r="AK204" s="120" t="str">
        <f>IFERROR(VLOOKUP(Table1[RespondentID],'All Data'!$A$3:$CO$999,92,FALSE),"unknown")</f>
        <v>Hispanic or Latino</v>
      </c>
      <c r="AL204" s="120" t="str">
        <f>IFERROR(VLOOKUP(Table1[RespondentID],'All Data'!$A$3:$CO$999,93,FALSE),"unknown")</f>
        <v>English</v>
      </c>
      <c r="AM204" s="120" t="str">
        <f>IFERROR(VLOOKUP(Table1[RespondentID],'All Data'!$A$3:$CW$999,94,FALSE),"unknown")</f>
        <v>$50,000 to $74,999</v>
      </c>
      <c r="AN204" s="120" t="str">
        <f>IFERROR(VLOOKUP(Table1[RespondentID],'All Data'!$A$3:$CW$999,95,FALSE),"unknown")</f>
        <v>High school graduate</v>
      </c>
      <c r="AO204" s="120" t="str">
        <f>IFERROR(VLOOKUP(Table1[RespondentID],'All Data'!$A$3:$CW$999,96,FALSE),"unknown")</f>
        <v>Self-employed</v>
      </c>
      <c r="AP204" s="120" t="str">
        <f>IFERROR(VLOOKUP(Table1[RespondentID],'All Data'!$A$3:$CW$999,97,FALSE),"unknown")</f>
        <v>Yes</v>
      </c>
      <c r="AQ204" s="120">
        <f>IFERROR(VLOOKUP(Table1[RespondentID],'All Data'!$A$3:$CW$999,98,FALSE),"unknown")</f>
        <v>0</v>
      </c>
      <c r="AR204" s="120">
        <f>IFERROR(VLOOKUP(Table1[RespondentID],'All Data'!$A$3:$CW$999,99,FALSE),"unknown")</f>
        <v>0</v>
      </c>
    </row>
    <row r="205" spans="1:44" ht="16">
      <c r="A205" s="5">
        <v>18019480727</v>
      </c>
      <c r="B205" s="5"/>
      <c r="C205" s="5"/>
      <c r="D205" s="5" t="s">
        <v>31</v>
      </c>
      <c r="E205" s="5"/>
      <c r="F205" s="5"/>
      <c r="G205" s="5"/>
      <c r="H205" s="5"/>
      <c r="I205" s="5" t="s">
        <v>36</v>
      </c>
      <c r="J205" s="5"/>
      <c r="K205" s="5"/>
      <c r="L205" s="9"/>
      <c r="M205" s="9">
        <f t="shared" si="45"/>
        <v>2</v>
      </c>
      <c r="N205" s="9">
        <f t="shared" si="46"/>
        <v>1.5</v>
      </c>
      <c r="O205" s="9"/>
      <c r="P205" s="9">
        <f t="shared" si="47"/>
        <v>0</v>
      </c>
      <c r="Q205" s="9">
        <f t="shared" si="48"/>
        <v>0</v>
      </c>
      <c r="R205" s="9">
        <f t="shared" si="49"/>
        <v>1</v>
      </c>
      <c r="S205" s="9">
        <f t="shared" si="50"/>
        <v>0</v>
      </c>
      <c r="T205" s="9">
        <f t="shared" si="51"/>
        <v>0</v>
      </c>
      <c r="U205" s="9">
        <f t="shared" si="52"/>
        <v>0</v>
      </c>
      <c r="V205" s="153">
        <f t="shared" si="53"/>
        <v>0</v>
      </c>
      <c r="W205" s="9">
        <f t="shared" si="54"/>
        <v>1</v>
      </c>
      <c r="X205" s="9">
        <f t="shared" si="55"/>
        <v>0</v>
      </c>
      <c r="Y205" s="9">
        <f t="shared" si="56"/>
        <v>0</v>
      </c>
      <c r="Z205" s="9"/>
      <c r="AA205" s="9"/>
      <c r="AB205" s="9">
        <f t="shared" si="59"/>
        <v>2</v>
      </c>
      <c r="AC205" s="9">
        <f t="shared" si="57"/>
        <v>2</v>
      </c>
      <c r="AD205" s="9" t="str">
        <f t="shared" si="58"/>
        <v>Correct</v>
      </c>
      <c r="AE205" s="9"/>
      <c r="AF205" s="120" t="str">
        <f>IFERROR(VLOOKUP(Table1[RespondentID],'All Data'!$A$3:$CO$999,87,FALSE),"unknown")</f>
        <v>Man</v>
      </c>
      <c r="AG205" s="120">
        <f>IFERROR(VLOOKUP(Table1[RespondentID],'All Data'!$A$3:$CO$999,88,FALSE),"unknown")</f>
        <v>50</v>
      </c>
      <c r="AH205" s="120" t="str">
        <f>IFERROR(VLOOKUP(Table1[RespondentID],'All Data'!$A$3:$CO$999,89,FALSE),"unknown")</f>
        <v>Suffolk</v>
      </c>
      <c r="AI205" s="120" t="str">
        <f>IFERROR(VLOOKUP(Table1[RespondentID],'All Data'!$A$3:$CO$999,90,FALSE),"unknown")</f>
        <v>Saint James, 11780</v>
      </c>
      <c r="AJ205" s="120" t="str">
        <f>IFERROR(VLOOKUP(Table1[RespondentID],'All Data'!$A$3:$CO$999,91,FALSE),"unknown")</f>
        <v>White</v>
      </c>
      <c r="AK205" s="120" t="str">
        <f>IFERROR(VLOOKUP(Table1[RespondentID],'All Data'!$A$3:$CO$999,92,FALSE),"unknown")</f>
        <v>Hispanic or Latino</v>
      </c>
      <c r="AL205" s="120" t="str">
        <f>IFERROR(VLOOKUP(Table1[RespondentID],'All Data'!$A$3:$CO$999,93,FALSE),"unknown")</f>
        <v>English</v>
      </c>
      <c r="AM205" s="120" t="str">
        <f>IFERROR(VLOOKUP(Table1[RespondentID],'All Data'!$A$3:$CW$999,94,FALSE),"unknown")</f>
        <v>$50,000 to $74,999</v>
      </c>
      <c r="AN205" s="120" t="str">
        <f>IFERROR(VLOOKUP(Table1[RespondentID],'All Data'!$A$3:$CW$999,95,FALSE),"unknown")</f>
        <v>Some college</v>
      </c>
      <c r="AO205" s="120" t="str">
        <f>IFERROR(VLOOKUP(Table1[RespondentID],'All Data'!$A$3:$CW$999,96,FALSE),"unknown")</f>
        <v>Out of work, but not currently looking</v>
      </c>
      <c r="AP205" s="120" t="str">
        <f>IFERROR(VLOOKUP(Table1[RespondentID],'All Data'!$A$3:$CW$999,97,FALSE),"unknown")</f>
        <v>Yes</v>
      </c>
      <c r="AQ205" s="120">
        <f>IFERROR(VLOOKUP(Table1[RespondentID],'All Data'!$A$3:$CW$999,98,FALSE),"unknown")</f>
        <v>0</v>
      </c>
      <c r="AR205" s="120">
        <f>IFERROR(VLOOKUP(Table1[RespondentID],'All Data'!$A$3:$CW$999,99,FALSE),"unknown")</f>
        <v>0</v>
      </c>
    </row>
    <row r="206" spans="1:44" ht="16">
      <c r="A206" s="5">
        <v>18019480579</v>
      </c>
      <c r="B206" s="5"/>
      <c r="C206" s="5"/>
      <c r="D206" s="5" t="s">
        <v>31</v>
      </c>
      <c r="E206" s="5" t="s">
        <v>32</v>
      </c>
      <c r="F206" s="5"/>
      <c r="G206" s="5"/>
      <c r="H206" s="5"/>
      <c r="I206" s="5" t="s">
        <v>36</v>
      </c>
      <c r="J206" s="5"/>
      <c r="K206" s="5"/>
      <c r="L206" s="8"/>
      <c r="M206" s="8">
        <f t="shared" si="45"/>
        <v>3</v>
      </c>
      <c r="N206" s="8">
        <f t="shared" si="46"/>
        <v>1</v>
      </c>
      <c r="O206" s="8"/>
      <c r="P206" s="8">
        <f t="shared" si="47"/>
        <v>0</v>
      </c>
      <c r="Q206" s="8">
        <f t="shared" si="48"/>
        <v>0</v>
      </c>
      <c r="R206" s="8">
        <f t="shared" si="49"/>
        <v>1</v>
      </c>
      <c r="S206" s="8">
        <f t="shared" si="50"/>
        <v>1</v>
      </c>
      <c r="T206" s="8">
        <f t="shared" si="51"/>
        <v>0</v>
      </c>
      <c r="U206" s="8">
        <f t="shared" si="52"/>
        <v>0</v>
      </c>
      <c r="V206" s="153">
        <f t="shared" si="53"/>
        <v>0</v>
      </c>
      <c r="W206" s="8">
        <f t="shared" si="54"/>
        <v>1</v>
      </c>
      <c r="X206" s="8">
        <f t="shared" si="55"/>
        <v>0</v>
      </c>
      <c r="Y206" s="8">
        <f t="shared" si="56"/>
        <v>0</v>
      </c>
      <c r="Z206" s="8"/>
      <c r="AA206" s="8"/>
      <c r="AB206" s="8">
        <f t="shared" si="59"/>
        <v>3</v>
      </c>
      <c r="AC206" s="8">
        <f t="shared" si="57"/>
        <v>3</v>
      </c>
      <c r="AD206" s="8" t="str">
        <f t="shared" si="58"/>
        <v>Correct</v>
      </c>
      <c r="AE206" s="8"/>
      <c r="AF206" s="120" t="str">
        <f>IFERROR(VLOOKUP(Table1[RespondentID],'All Data'!$A$3:$CO$999,87,FALSE),"unknown")</f>
        <v>Man</v>
      </c>
      <c r="AG206" s="120">
        <f>IFERROR(VLOOKUP(Table1[RespondentID],'All Data'!$A$3:$CO$999,88,FALSE),"unknown")</f>
        <v>45</v>
      </c>
      <c r="AH206" s="120" t="str">
        <f>IFERROR(VLOOKUP(Table1[RespondentID],'All Data'!$A$3:$CO$999,89,FALSE),"unknown")</f>
        <v>Suffolk</v>
      </c>
      <c r="AI206" s="120" t="str">
        <f>IFERROR(VLOOKUP(Table1[RespondentID],'All Data'!$A$3:$CO$999,90,FALSE),"unknown")</f>
        <v>Saint James, 11780</v>
      </c>
      <c r="AJ206" s="120" t="str">
        <f>IFERROR(VLOOKUP(Table1[RespondentID],'All Data'!$A$3:$CO$999,91,FALSE),"unknown")</f>
        <v>White</v>
      </c>
      <c r="AK206" s="120" t="str">
        <f>IFERROR(VLOOKUP(Table1[RespondentID],'All Data'!$A$3:$CO$999,92,FALSE),"unknown")</f>
        <v>Hispanic or Latino</v>
      </c>
      <c r="AL206" s="120" t="str">
        <f>IFERROR(VLOOKUP(Table1[RespondentID],'All Data'!$A$3:$CO$999,93,FALSE),"unknown")</f>
        <v>English</v>
      </c>
      <c r="AM206" s="120" t="str">
        <f>IFERROR(VLOOKUP(Table1[RespondentID],'All Data'!$A$3:$CW$999,94,FALSE),"unknown")</f>
        <v>$20,000 to $34,999</v>
      </c>
      <c r="AN206" s="120" t="str">
        <f>IFERROR(VLOOKUP(Table1[RespondentID],'All Data'!$A$3:$CW$999,95,FALSE),"unknown")</f>
        <v>High school graduate</v>
      </c>
      <c r="AO206" s="120" t="str">
        <f>IFERROR(VLOOKUP(Table1[RespondentID],'All Data'!$A$3:$CW$999,96,FALSE),"unknown")</f>
        <v>Employed for wages</v>
      </c>
      <c r="AP206" s="120" t="str">
        <f>IFERROR(VLOOKUP(Table1[RespondentID],'All Data'!$A$3:$CW$999,97,FALSE),"unknown")</f>
        <v>Yes</v>
      </c>
      <c r="AQ206" s="120">
        <f>IFERROR(VLOOKUP(Table1[RespondentID],'All Data'!$A$3:$CW$999,98,FALSE),"unknown")</f>
        <v>0</v>
      </c>
      <c r="AR206" s="120">
        <f>IFERROR(VLOOKUP(Table1[RespondentID],'All Data'!$A$3:$CW$999,99,FALSE),"unknown")</f>
        <v>0</v>
      </c>
    </row>
    <row r="207" spans="1:44" ht="16">
      <c r="A207" s="5">
        <v>18019480437</v>
      </c>
      <c r="B207" s="5"/>
      <c r="C207" s="5"/>
      <c r="D207" s="5"/>
      <c r="E207" s="5"/>
      <c r="F207" s="5"/>
      <c r="G207" s="5"/>
      <c r="H207" s="5" t="s">
        <v>35</v>
      </c>
      <c r="I207" s="5"/>
      <c r="J207" s="5"/>
      <c r="K207" s="5"/>
      <c r="L207" s="9"/>
      <c r="M207" s="9">
        <f t="shared" si="45"/>
        <v>1</v>
      </c>
      <c r="N207" s="9">
        <f t="shared" si="46"/>
        <v>3</v>
      </c>
      <c r="O207" s="9"/>
      <c r="P207" s="9">
        <f t="shared" si="47"/>
        <v>0</v>
      </c>
      <c r="Q207" s="9">
        <f t="shared" si="48"/>
        <v>0</v>
      </c>
      <c r="R207" s="9">
        <f t="shared" si="49"/>
        <v>0</v>
      </c>
      <c r="S207" s="9">
        <f t="shared" si="50"/>
        <v>0</v>
      </c>
      <c r="T207" s="9">
        <f t="shared" si="51"/>
        <v>0</v>
      </c>
      <c r="U207" s="9">
        <f t="shared" si="52"/>
        <v>0</v>
      </c>
      <c r="V207" s="153">
        <f t="shared" si="53"/>
        <v>1</v>
      </c>
      <c r="W207" s="9">
        <f t="shared" si="54"/>
        <v>0</v>
      </c>
      <c r="X207" s="9">
        <f t="shared" si="55"/>
        <v>0</v>
      </c>
      <c r="Y207" s="9">
        <f t="shared" si="56"/>
        <v>0</v>
      </c>
      <c r="Z207" s="9"/>
      <c r="AA207" s="9"/>
      <c r="AB207" s="9">
        <f t="shared" si="59"/>
        <v>1</v>
      </c>
      <c r="AC207" s="9">
        <f t="shared" si="57"/>
        <v>1</v>
      </c>
      <c r="AD207" s="9" t="str">
        <f t="shared" si="58"/>
        <v>Correct</v>
      </c>
      <c r="AE207" s="9"/>
      <c r="AF207" s="120" t="str">
        <f>IFERROR(VLOOKUP(Table1[RespondentID],'All Data'!$A$3:$CO$999,87,FALSE),"unknown")</f>
        <v>Woman</v>
      </c>
      <c r="AG207" s="120">
        <f>IFERROR(VLOOKUP(Table1[RespondentID],'All Data'!$A$3:$CO$999,88,FALSE),"unknown")</f>
        <v>47</v>
      </c>
      <c r="AH207" s="120" t="str">
        <f>IFERROR(VLOOKUP(Table1[RespondentID],'All Data'!$A$3:$CO$999,89,FALSE),"unknown")</f>
        <v>Suffolk</v>
      </c>
      <c r="AI207" s="120" t="str">
        <f>IFERROR(VLOOKUP(Table1[RespondentID],'All Data'!$A$3:$CO$999,90,FALSE),"unknown")</f>
        <v>Saint James, 11780</v>
      </c>
      <c r="AJ207" s="120" t="str">
        <f>IFERROR(VLOOKUP(Table1[RespondentID],'All Data'!$A$3:$CO$999,91,FALSE),"unknown")</f>
        <v>White</v>
      </c>
      <c r="AK207" s="120" t="str">
        <f>IFERROR(VLOOKUP(Table1[RespondentID],'All Data'!$A$3:$CO$999,92,FALSE),"unknown")</f>
        <v>Hispanic or Latino</v>
      </c>
      <c r="AL207" s="120" t="str">
        <f>IFERROR(VLOOKUP(Table1[RespondentID],'All Data'!$A$3:$CO$999,93,FALSE),"unknown")</f>
        <v>English</v>
      </c>
      <c r="AM207" s="120" t="str">
        <f>IFERROR(VLOOKUP(Table1[RespondentID],'All Data'!$A$3:$CW$999,94,FALSE),"unknown")</f>
        <v>$75,000 to $125,000</v>
      </c>
      <c r="AN207" s="120" t="str">
        <f>IFERROR(VLOOKUP(Table1[RespondentID],'All Data'!$A$3:$CW$999,95,FALSE),"unknown")</f>
        <v>High school graduate</v>
      </c>
      <c r="AO207" s="120" t="str">
        <f>IFERROR(VLOOKUP(Table1[RespondentID],'All Data'!$A$3:$CW$999,96,FALSE),"unknown")</f>
        <v>Self-employed</v>
      </c>
      <c r="AP207" s="120" t="str">
        <f>IFERROR(VLOOKUP(Table1[RespondentID],'All Data'!$A$3:$CW$999,97,FALSE),"unknown")</f>
        <v>No</v>
      </c>
      <c r="AQ207" s="120">
        <f>IFERROR(VLOOKUP(Table1[RespondentID],'All Data'!$A$3:$CW$999,98,FALSE),"unknown")</f>
        <v>0</v>
      </c>
      <c r="AR207" s="120">
        <f>IFERROR(VLOOKUP(Table1[RespondentID],'All Data'!$A$3:$CW$999,99,FALSE),"unknown")</f>
        <v>0</v>
      </c>
    </row>
    <row r="208" spans="1:44" ht="16">
      <c r="A208" s="5">
        <v>18019480319</v>
      </c>
      <c r="B208" s="5"/>
      <c r="C208" s="5"/>
      <c r="D208" s="5"/>
      <c r="E208" s="5"/>
      <c r="F208" s="5"/>
      <c r="G208" s="5" t="s">
        <v>34</v>
      </c>
      <c r="H208" s="5"/>
      <c r="I208" s="5"/>
      <c r="J208" s="5"/>
      <c r="K208" s="5"/>
      <c r="L208" s="8"/>
      <c r="M208" s="8">
        <f t="shared" si="45"/>
        <v>1</v>
      </c>
      <c r="N208" s="8">
        <f t="shared" si="46"/>
        <v>3</v>
      </c>
      <c r="O208" s="8"/>
      <c r="P208" s="8">
        <f t="shared" si="47"/>
        <v>0</v>
      </c>
      <c r="Q208" s="8">
        <f t="shared" si="48"/>
        <v>0</v>
      </c>
      <c r="R208" s="8">
        <f t="shared" si="49"/>
        <v>0</v>
      </c>
      <c r="S208" s="8">
        <f t="shared" si="50"/>
        <v>0</v>
      </c>
      <c r="T208" s="8">
        <f t="shared" si="51"/>
        <v>0</v>
      </c>
      <c r="U208" s="8">
        <f t="shared" si="52"/>
        <v>1</v>
      </c>
      <c r="V208" s="153">
        <f t="shared" si="53"/>
        <v>0</v>
      </c>
      <c r="W208" s="8">
        <f t="shared" si="54"/>
        <v>0</v>
      </c>
      <c r="X208" s="8">
        <f t="shared" si="55"/>
        <v>0</v>
      </c>
      <c r="Y208" s="8">
        <f t="shared" si="56"/>
        <v>0</v>
      </c>
      <c r="Z208" s="8"/>
      <c r="AA208" s="8"/>
      <c r="AB208" s="8">
        <f t="shared" si="59"/>
        <v>1</v>
      </c>
      <c r="AC208" s="8">
        <f t="shared" si="57"/>
        <v>1</v>
      </c>
      <c r="AD208" s="8" t="str">
        <f t="shared" si="58"/>
        <v>Correct</v>
      </c>
      <c r="AE208" s="8"/>
      <c r="AF208" s="120" t="str">
        <f>IFERROR(VLOOKUP(Table1[RespondentID],'All Data'!$A$3:$CO$999,87,FALSE),"unknown")</f>
        <v>Woman</v>
      </c>
      <c r="AG208" s="120">
        <f>IFERROR(VLOOKUP(Table1[RespondentID],'All Data'!$A$3:$CO$999,88,FALSE),"unknown")</f>
        <v>65</v>
      </c>
      <c r="AH208" s="120" t="str">
        <f>IFERROR(VLOOKUP(Table1[RespondentID],'All Data'!$A$3:$CO$999,89,FALSE),"unknown")</f>
        <v>Suffolk</v>
      </c>
      <c r="AI208" s="120" t="str">
        <f>IFERROR(VLOOKUP(Table1[RespondentID],'All Data'!$A$3:$CO$999,90,FALSE),"unknown")</f>
        <v>Kings Park, 11754</v>
      </c>
      <c r="AJ208" s="120" t="str">
        <f>IFERROR(VLOOKUP(Table1[RespondentID],'All Data'!$A$3:$CO$999,91,FALSE),"unknown")</f>
        <v>White</v>
      </c>
      <c r="AK208" s="120" t="str">
        <f>IFERROR(VLOOKUP(Table1[RespondentID],'All Data'!$A$3:$CO$999,92,FALSE),"unknown")</f>
        <v>Hispanic or Latino</v>
      </c>
      <c r="AL208" s="120" t="str">
        <f>IFERROR(VLOOKUP(Table1[RespondentID],'All Data'!$A$3:$CO$999,93,FALSE),"unknown")</f>
        <v>English</v>
      </c>
      <c r="AM208" s="120">
        <f>IFERROR(VLOOKUP(Table1[RespondentID],'All Data'!$A$3:$CW$999,94,FALSE),"unknown")</f>
        <v>0</v>
      </c>
      <c r="AN208" s="120" t="str">
        <f>IFERROR(VLOOKUP(Table1[RespondentID],'All Data'!$A$3:$CW$999,95,FALSE),"unknown")</f>
        <v>High school graduate</v>
      </c>
      <c r="AO208" s="120" t="str">
        <f>IFERROR(VLOOKUP(Table1[RespondentID],'All Data'!$A$3:$CW$999,96,FALSE),"unknown")</f>
        <v>Retired</v>
      </c>
      <c r="AP208" s="120" t="str">
        <f>IFERROR(VLOOKUP(Table1[RespondentID],'All Data'!$A$3:$CW$999,97,FALSE),"unknown")</f>
        <v>Yes</v>
      </c>
      <c r="AQ208" s="120">
        <f>IFERROR(VLOOKUP(Table1[RespondentID],'All Data'!$A$3:$CW$999,98,FALSE),"unknown")</f>
        <v>0</v>
      </c>
      <c r="AR208" s="120">
        <f>IFERROR(VLOOKUP(Table1[RespondentID],'All Data'!$A$3:$CW$999,99,FALSE),"unknown")</f>
        <v>0</v>
      </c>
    </row>
    <row r="209" spans="1:44" ht="16">
      <c r="A209" s="5">
        <v>18019480185</v>
      </c>
      <c r="B209" s="5"/>
      <c r="C209" s="5"/>
      <c r="D209" s="5"/>
      <c r="E209" s="5"/>
      <c r="F209" s="5"/>
      <c r="G209" s="5"/>
      <c r="H209" s="5"/>
      <c r="I209" s="5" t="s">
        <v>36</v>
      </c>
      <c r="J209" s="5"/>
      <c r="K209" s="5"/>
      <c r="L209" s="9"/>
      <c r="M209" s="9">
        <f t="shared" si="45"/>
        <v>1</v>
      </c>
      <c r="N209" s="9">
        <f t="shared" si="46"/>
        <v>3</v>
      </c>
      <c r="O209" s="9"/>
      <c r="P209" s="9">
        <f t="shared" si="47"/>
        <v>0</v>
      </c>
      <c r="Q209" s="9">
        <f t="shared" si="48"/>
        <v>0</v>
      </c>
      <c r="R209" s="9">
        <f t="shared" si="49"/>
        <v>0</v>
      </c>
      <c r="S209" s="9">
        <f t="shared" si="50"/>
        <v>0</v>
      </c>
      <c r="T209" s="9">
        <f t="shared" si="51"/>
        <v>0</v>
      </c>
      <c r="U209" s="9">
        <f t="shared" si="52"/>
        <v>0</v>
      </c>
      <c r="V209" s="153">
        <f t="shared" si="53"/>
        <v>0</v>
      </c>
      <c r="W209" s="9">
        <f t="shared" si="54"/>
        <v>1</v>
      </c>
      <c r="X209" s="9">
        <f t="shared" si="55"/>
        <v>0</v>
      </c>
      <c r="Y209" s="9">
        <f t="shared" si="56"/>
        <v>0</v>
      </c>
      <c r="Z209" s="9"/>
      <c r="AA209" s="9"/>
      <c r="AB209" s="9">
        <f t="shared" si="59"/>
        <v>1</v>
      </c>
      <c r="AC209" s="9">
        <f t="shared" si="57"/>
        <v>1</v>
      </c>
      <c r="AD209" s="9" t="str">
        <f t="shared" si="58"/>
        <v>Correct</v>
      </c>
      <c r="AE209" s="9"/>
      <c r="AF209" s="120" t="str">
        <f>IFERROR(VLOOKUP(Table1[RespondentID],'All Data'!$A$3:$CO$999,87,FALSE),"unknown")</f>
        <v>Woman</v>
      </c>
      <c r="AG209" s="120">
        <f>IFERROR(VLOOKUP(Table1[RespondentID],'All Data'!$A$3:$CO$999,88,FALSE),"unknown")</f>
        <v>44</v>
      </c>
      <c r="AH209" s="120" t="str">
        <f>IFERROR(VLOOKUP(Table1[RespondentID],'All Data'!$A$3:$CO$999,89,FALSE),"unknown")</f>
        <v>Suffolk</v>
      </c>
      <c r="AI209" s="120" t="str">
        <f>IFERROR(VLOOKUP(Table1[RespondentID],'All Data'!$A$3:$CO$999,90,FALSE),"unknown")</f>
        <v>Nesconset, 11767</v>
      </c>
      <c r="AJ209" s="120" t="str">
        <f>IFERROR(VLOOKUP(Table1[RespondentID],'All Data'!$A$3:$CO$999,91,FALSE),"unknown")</f>
        <v>White</v>
      </c>
      <c r="AK209" s="120" t="str">
        <f>IFERROR(VLOOKUP(Table1[RespondentID],'All Data'!$A$3:$CO$999,92,FALSE),"unknown")</f>
        <v>Hispanic or Latino</v>
      </c>
      <c r="AL209" s="120" t="str">
        <f>IFERROR(VLOOKUP(Table1[RespondentID],'All Data'!$A$3:$CO$999,93,FALSE),"unknown")</f>
        <v>English</v>
      </c>
      <c r="AM209" s="120" t="str">
        <f>IFERROR(VLOOKUP(Table1[RespondentID],'All Data'!$A$3:$CW$999,94,FALSE),"unknown")</f>
        <v>Over $125,000</v>
      </c>
      <c r="AN209" s="120" t="str">
        <f>IFERROR(VLOOKUP(Table1[RespondentID],'All Data'!$A$3:$CW$999,95,FALSE),"unknown")</f>
        <v>College graduate</v>
      </c>
      <c r="AO209" s="120" t="str">
        <f>IFERROR(VLOOKUP(Table1[RespondentID],'All Data'!$A$3:$CW$999,96,FALSE),"unknown")</f>
        <v>Self-employed</v>
      </c>
      <c r="AP209" s="120" t="str">
        <f>IFERROR(VLOOKUP(Table1[RespondentID],'All Data'!$A$3:$CW$999,97,FALSE),"unknown")</f>
        <v>Yes</v>
      </c>
      <c r="AQ209" s="120">
        <f>IFERROR(VLOOKUP(Table1[RespondentID],'All Data'!$A$3:$CW$999,98,FALSE),"unknown")</f>
        <v>0</v>
      </c>
      <c r="AR209" s="120">
        <f>IFERROR(VLOOKUP(Table1[RespondentID],'All Data'!$A$3:$CW$999,99,FALSE),"unknown")</f>
        <v>0</v>
      </c>
    </row>
    <row r="210" spans="1:44" ht="16">
      <c r="A210" s="5">
        <v>18019479995</v>
      </c>
      <c r="B210" s="5"/>
      <c r="C210" s="5"/>
      <c r="D210" s="5"/>
      <c r="E210" s="5"/>
      <c r="F210" s="5"/>
      <c r="G210" s="5" t="s">
        <v>34</v>
      </c>
      <c r="H210" s="5"/>
      <c r="I210" s="5"/>
      <c r="J210" s="5"/>
      <c r="K210" s="5"/>
      <c r="L210" s="8"/>
      <c r="M210" s="8">
        <f t="shared" si="45"/>
        <v>1</v>
      </c>
      <c r="N210" s="8">
        <f t="shared" si="46"/>
        <v>3</v>
      </c>
      <c r="O210" s="8"/>
      <c r="P210" s="8">
        <f t="shared" si="47"/>
        <v>0</v>
      </c>
      <c r="Q210" s="8">
        <f t="shared" si="48"/>
        <v>0</v>
      </c>
      <c r="R210" s="8">
        <f t="shared" si="49"/>
        <v>0</v>
      </c>
      <c r="S210" s="8">
        <f t="shared" si="50"/>
        <v>0</v>
      </c>
      <c r="T210" s="8">
        <f t="shared" si="51"/>
        <v>0</v>
      </c>
      <c r="U210" s="8">
        <f t="shared" si="52"/>
        <v>1</v>
      </c>
      <c r="V210" s="153">
        <f t="shared" si="53"/>
        <v>0</v>
      </c>
      <c r="W210" s="8">
        <f t="shared" si="54"/>
        <v>0</v>
      </c>
      <c r="X210" s="8">
        <f t="shared" si="55"/>
        <v>0</v>
      </c>
      <c r="Y210" s="8">
        <f t="shared" si="56"/>
        <v>0</v>
      </c>
      <c r="Z210" s="8"/>
      <c r="AA210" s="8"/>
      <c r="AB210" s="8">
        <f t="shared" si="59"/>
        <v>1</v>
      </c>
      <c r="AC210" s="8">
        <f t="shared" si="57"/>
        <v>1</v>
      </c>
      <c r="AD210" s="8" t="str">
        <f t="shared" si="58"/>
        <v>Correct</v>
      </c>
      <c r="AE210" s="8"/>
      <c r="AF210" s="120" t="str">
        <f>IFERROR(VLOOKUP(Table1[RespondentID],'All Data'!$A$3:$CO$999,87,FALSE),"unknown")</f>
        <v>Man</v>
      </c>
      <c r="AG210" s="120">
        <f>IFERROR(VLOOKUP(Table1[RespondentID],'All Data'!$A$3:$CO$999,88,FALSE),"unknown")</f>
        <v>50</v>
      </c>
      <c r="AH210" s="120" t="str">
        <f>IFERROR(VLOOKUP(Table1[RespondentID],'All Data'!$A$3:$CO$999,89,FALSE),"unknown")</f>
        <v>Suffolk</v>
      </c>
      <c r="AI210" s="120" t="str">
        <f>IFERROR(VLOOKUP(Table1[RespondentID],'All Data'!$A$3:$CO$999,90,FALSE),"unknown")</f>
        <v>Huntington, 11743</v>
      </c>
      <c r="AJ210" s="120" t="str">
        <f>IFERROR(VLOOKUP(Table1[RespondentID],'All Data'!$A$3:$CO$999,91,FALSE),"unknown")</f>
        <v>White</v>
      </c>
      <c r="AK210" s="120" t="str">
        <f>IFERROR(VLOOKUP(Table1[RespondentID],'All Data'!$A$3:$CO$999,92,FALSE),"unknown")</f>
        <v>Hispanic or Latino</v>
      </c>
      <c r="AL210" s="120" t="str">
        <f>IFERROR(VLOOKUP(Table1[RespondentID],'All Data'!$A$3:$CO$999,93,FALSE),"unknown")</f>
        <v>English</v>
      </c>
      <c r="AM210" s="120" t="str">
        <f>IFERROR(VLOOKUP(Table1[RespondentID],'All Data'!$A$3:$CW$999,94,FALSE),"unknown")</f>
        <v>Over $125,000</v>
      </c>
      <c r="AN210" s="120" t="str">
        <f>IFERROR(VLOOKUP(Table1[RespondentID],'All Data'!$A$3:$CW$999,95,FALSE),"unknown")</f>
        <v>College graduate</v>
      </c>
      <c r="AO210" s="120" t="str">
        <f>IFERROR(VLOOKUP(Table1[RespondentID],'All Data'!$A$3:$CW$999,96,FALSE),"unknown")</f>
        <v>Employed for wages</v>
      </c>
      <c r="AP210" s="120" t="str">
        <f>IFERROR(VLOOKUP(Table1[RespondentID],'All Data'!$A$3:$CW$999,97,FALSE),"unknown")</f>
        <v>Yes</v>
      </c>
      <c r="AQ210" s="120">
        <f>IFERROR(VLOOKUP(Table1[RespondentID],'All Data'!$A$3:$CW$999,98,FALSE),"unknown")</f>
        <v>0</v>
      </c>
      <c r="AR210" s="120">
        <f>IFERROR(VLOOKUP(Table1[RespondentID],'All Data'!$A$3:$CW$999,99,FALSE),"unknown")</f>
        <v>0</v>
      </c>
    </row>
    <row r="211" spans="1:44" ht="16">
      <c r="A211" s="5">
        <v>18019479757</v>
      </c>
      <c r="B211" s="5"/>
      <c r="C211" s="5" t="s">
        <v>30</v>
      </c>
      <c r="D211" s="5"/>
      <c r="E211" s="5"/>
      <c r="F211" s="5"/>
      <c r="G211" s="5" t="s">
        <v>34</v>
      </c>
      <c r="H211" s="5"/>
      <c r="I211" s="5" t="s">
        <v>36</v>
      </c>
      <c r="J211" s="5"/>
      <c r="K211" s="5"/>
      <c r="L211" s="9"/>
      <c r="M211" s="9">
        <f t="shared" si="45"/>
        <v>3</v>
      </c>
      <c r="N211" s="9">
        <f t="shared" si="46"/>
        <v>1</v>
      </c>
      <c r="O211" s="9"/>
      <c r="P211" s="9">
        <f t="shared" si="47"/>
        <v>0</v>
      </c>
      <c r="Q211" s="9">
        <f t="shared" si="48"/>
        <v>1</v>
      </c>
      <c r="R211" s="9">
        <f t="shared" si="49"/>
        <v>0</v>
      </c>
      <c r="S211" s="9">
        <f t="shared" si="50"/>
        <v>0</v>
      </c>
      <c r="T211" s="9">
        <f t="shared" si="51"/>
        <v>0</v>
      </c>
      <c r="U211" s="9">
        <f t="shared" si="52"/>
        <v>1</v>
      </c>
      <c r="V211" s="153">
        <f t="shared" si="53"/>
        <v>0</v>
      </c>
      <c r="W211" s="9">
        <f t="shared" si="54"/>
        <v>1</v>
      </c>
      <c r="X211" s="9">
        <f t="shared" si="55"/>
        <v>0</v>
      </c>
      <c r="Y211" s="9">
        <f t="shared" si="56"/>
        <v>0</v>
      </c>
      <c r="Z211" s="9"/>
      <c r="AA211" s="9"/>
      <c r="AB211" s="9">
        <f t="shared" si="59"/>
        <v>3</v>
      </c>
      <c r="AC211" s="9">
        <f t="shared" si="57"/>
        <v>3</v>
      </c>
      <c r="AD211" s="9" t="str">
        <f t="shared" si="58"/>
        <v>Correct</v>
      </c>
      <c r="AE211" s="9"/>
      <c r="AF211" s="120" t="str">
        <f>IFERROR(VLOOKUP(Table1[RespondentID],'All Data'!$A$3:$CO$999,87,FALSE),"unknown")</f>
        <v>Woman</v>
      </c>
      <c r="AG211" s="120">
        <f>IFERROR(VLOOKUP(Table1[RespondentID],'All Data'!$A$3:$CO$999,88,FALSE),"unknown")</f>
        <v>22</v>
      </c>
      <c r="AH211" s="120" t="str">
        <f>IFERROR(VLOOKUP(Table1[RespondentID],'All Data'!$A$3:$CO$999,89,FALSE),"unknown")</f>
        <v>Nassau</v>
      </c>
      <c r="AI211" s="120" t="str">
        <f>IFERROR(VLOOKUP(Table1[RespondentID],'All Data'!$A$3:$CO$999,90,FALSE),"unknown")</f>
        <v>Garden City, 11531</v>
      </c>
      <c r="AJ211" s="120">
        <f>IFERROR(VLOOKUP(Table1[RespondentID],'All Data'!$A$3:$CO$999,91,FALSE),"unknown")</f>
        <v>0</v>
      </c>
      <c r="AK211" s="120">
        <f>IFERROR(VLOOKUP(Table1[RespondentID],'All Data'!$A$3:$CO$999,92,FALSE),"unknown")</f>
        <v>0</v>
      </c>
      <c r="AL211" s="120">
        <f>IFERROR(VLOOKUP(Table1[RespondentID],'All Data'!$A$3:$CO$999,93,FALSE),"unknown")</f>
        <v>0</v>
      </c>
      <c r="AM211" s="120">
        <f>IFERROR(VLOOKUP(Table1[RespondentID],'All Data'!$A$3:$CW$999,94,FALSE),"unknown")</f>
        <v>0</v>
      </c>
      <c r="AN211" s="120">
        <f>IFERROR(VLOOKUP(Table1[RespondentID],'All Data'!$A$3:$CW$999,95,FALSE),"unknown")</f>
        <v>0</v>
      </c>
      <c r="AO211" s="120">
        <f>IFERROR(VLOOKUP(Table1[RespondentID],'All Data'!$A$3:$CW$999,96,FALSE),"unknown")</f>
        <v>0</v>
      </c>
      <c r="AP211" s="120">
        <f>IFERROR(VLOOKUP(Table1[RespondentID],'All Data'!$A$3:$CW$999,97,FALSE),"unknown")</f>
        <v>0</v>
      </c>
      <c r="AQ211" s="120">
        <f>IFERROR(VLOOKUP(Table1[RespondentID],'All Data'!$A$3:$CW$999,98,FALSE),"unknown")</f>
        <v>0</v>
      </c>
      <c r="AR211" s="120">
        <f>IFERROR(VLOOKUP(Table1[RespondentID],'All Data'!$A$3:$CW$999,99,FALSE),"unknown")</f>
        <v>0</v>
      </c>
    </row>
    <row r="212" spans="1:44" ht="16">
      <c r="A212" s="5">
        <v>18019479597</v>
      </c>
      <c r="B212" s="5"/>
      <c r="C212" s="5" t="s">
        <v>30</v>
      </c>
      <c r="D212" s="5"/>
      <c r="E212" s="5"/>
      <c r="F212" s="5"/>
      <c r="G212" s="5"/>
      <c r="H212" s="5"/>
      <c r="I212" s="5"/>
      <c r="J212" s="5"/>
      <c r="K212" s="5"/>
      <c r="L212" s="8"/>
      <c r="M212" s="8">
        <f t="shared" si="45"/>
        <v>1</v>
      </c>
      <c r="N212" s="8">
        <f t="shared" si="46"/>
        <v>3</v>
      </c>
      <c r="O212" s="8"/>
      <c r="P212" s="8">
        <f t="shared" si="47"/>
        <v>0</v>
      </c>
      <c r="Q212" s="8">
        <f t="shared" si="48"/>
        <v>1</v>
      </c>
      <c r="R212" s="8">
        <f t="shared" si="49"/>
        <v>0</v>
      </c>
      <c r="S212" s="8">
        <f t="shared" si="50"/>
        <v>0</v>
      </c>
      <c r="T212" s="8">
        <f t="shared" si="51"/>
        <v>0</v>
      </c>
      <c r="U212" s="8">
        <f t="shared" si="52"/>
        <v>0</v>
      </c>
      <c r="V212" s="153">
        <f t="shared" si="53"/>
        <v>0</v>
      </c>
      <c r="W212" s="8">
        <f t="shared" si="54"/>
        <v>0</v>
      </c>
      <c r="X212" s="8">
        <f t="shared" si="55"/>
        <v>0</v>
      </c>
      <c r="Y212" s="8">
        <f t="shared" si="56"/>
        <v>0</v>
      </c>
      <c r="Z212" s="8"/>
      <c r="AA212" s="8"/>
      <c r="AB212" s="8">
        <f t="shared" si="59"/>
        <v>1</v>
      </c>
      <c r="AC212" s="8">
        <f t="shared" si="57"/>
        <v>1</v>
      </c>
      <c r="AD212" s="8" t="str">
        <f t="shared" si="58"/>
        <v>Correct</v>
      </c>
      <c r="AE212" s="8"/>
      <c r="AF212" s="120" t="str">
        <f>IFERROR(VLOOKUP(Table1[RespondentID],'All Data'!$A$3:$CO$999,87,FALSE),"unknown")</f>
        <v>Man</v>
      </c>
      <c r="AG212" s="120">
        <f>IFERROR(VLOOKUP(Table1[RespondentID],'All Data'!$A$3:$CO$999,88,FALSE),"unknown")</f>
        <v>19</v>
      </c>
      <c r="AH212" s="120" t="str">
        <f>IFERROR(VLOOKUP(Table1[RespondentID],'All Data'!$A$3:$CO$999,89,FALSE),"unknown")</f>
        <v>Suffolk</v>
      </c>
      <c r="AI212" s="120" t="str">
        <f>IFERROR(VLOOKUP(Table1[RespondentID],'All Data'!$A$3:$CO$999,90,FALSE),"unknown")</f>
        <v>Commack, 11725</v>
      </c>
      <c r="AJ212" s="120" t="str">
        <f>IFERROR(VLOOKUP(Table1[RespondentID],'All Data'!$A$3:$CO$999,91,FALSE),"unknown")</f>
        <v>White</v>
      </c>
      <c r="AK212" s="120" t="str">
        <f>IFERROR(VLOOKUP(Table1[RespondentID],'All Data'!$A$3:$CO$999,92,FALSE),"unknown")</f>
        <v>Hispanic or Latino</v>
      </c>
      <c r="AL212" s="120" t="str">
        <f>IFERROR(VLOOKUP(Table1[RespondentID],'All Data'!$A$3:$CO$999,93,FALSE),"unknown")</f>
        <v>English</v>
      </c>
      <c r="AM212" s="120" t="str">
        <f>IFERROR(VLOOKUP(Table1[RespondentID],'All Data'!$A$3:$CW$999,94,FALSE),"unknown")</f>
        <v>Over $125,000</v>
      </c>
      <c r="AN212" s="120" t="str">
        <f>IFERROR(VLOOKUP(Table1[RespondentID],'All Data'!$A$3:$CW$999,95,FALSE),"unknown")</f>
        <v>Some college</v>
      </c>
      <c r="AO212" s="120" t="str">
        <f>IFERROR(VLOOKUP(Table1[RespondentID],'All Data'!$A$3:$CW$999,96,FALSE),"unknown")</f>
        <v>Out of work and looking for work</v>
      </c>
      <c r="AP212" s="120" t="str">
        <f>IFERROR(VLOOKUP(Table1[RespondentID],'All Data'!$A$3:$CW$999,97,FALSE),"unknown")</f>
        <v>No</v>
      </c>
      <c r="AQ212" s="120" t="str">
        <f>IFERROR(VLOOKUP(Table1[RespondentID],'All Data'!$A$3:$CW$999,98,FALSE),"unknown")</f>
        <v>No Insurance</v>
      </c>
      <c r="AR212" s="120" t="str">
        <f>IFERROR(VLOOKUP(Table1[RespondentID],'All Data'!$A$3:$CW$999,99,FALSE),"unknown")</f>
        <v>Yes</v>
      </c>
    </row>
    <row r="213" spans="1:44" ht="16">
      <c r="A213" s="5">
        <v>18019479451</v>
      </c>
      <c r="B213" s="5"/>
      <c r="C213" s="5"/>
      <c r="D213" s="5"/>
      <c r="E213" s="5"/>
      <c r="F213" s="5"/>
      <c r="G213" s="5" t="s">
        <v>34</v>
      </c>
      <c r="H213" s="5"/>
      <c r="I213" s="5"/>
      <c r="J213" s="5"/>
      <c r="K213" s="5"/>
      <c r="L213" s="9"/>
      <c r="M213" s="9">
        <f t="shared" si="45"/>
        <v>1</v>
      </c>
      <c r="N213" s="9">
        <f t="shared" si="46"/>
        <v>3</v>
      </c>
      <c r="O213" s="9"/>
      <c r="P213" s="9">
        <f t="shared" si="47"/>
        <v>0</v>
      </c>
      <c r="Q213" s="9">
        <f t="shared" si="48"/>
        <v>0</v>
      </c>
      <c r="R213" s="9">
        <f t="shared" si="49"/>
        <v>0</v>
      </c>
      <c r="S213" s="9">
        <f t="shared" si="50"/>
        <v>0</v>
      </c>
      <c r="T213" s="9">
        <f t="shared" si="51"/>
        <v>0</v>
      </c>
      <c r="U213" s="9">
        <f t="shared" si="52"/>
        <v>1</v>
      </c>
      <c r="V213" s="153">
        <f t="shared" si="53"/>
        <v>0</v>
      </c>
      <c r="W213" s="9">
        <f t="shared" si="54"/>
        <v>0</v>
      </c>
      <c r="X213" s="9">
        <f t="shared" si="55"/>
        <v>0</v>
      </c>
      <c r="Y213" s="9">
        <f t="shared" si="56"/>
        <v>0</v>
      </c>
      <c r="Z213" s="9"/>
      <c r="AA213" s="9"/>
      <c r="AB213" s="9">
        <f t="shared" si="59"/>
        <v>1</v>
      </c>
      <c r="AC213" s="9">
        <f t="shared" si="57"/>
        <v>1</v>
      </c>
      <c r="AD213" s="9" t="str">
        <f t="shared" si="58"/>
        <v>Correct</v>
      </c>
      <c r="AE213" s="9"/>
      <c r="AF213" s="120" t="str">
        <f>IFERROR(VLOOKUP(Table1[RespondentID],'All Data'!$A$3:$CO$999,87,FALSE),"unknown")</f>
        <v>Man</v>
      </c>
      <c r="AG213" s="120">
        <f>IFERROR(VLOOKUP(Table1[RespondentID],'All Data'!$A$3:$CO$999,88,FALSE),"unknown")</f>
        <v>54</v>
      </c>
      <c r="AH213" s="120" t="str">
        <f>IFERROR(VLOOKUP(Table1[RespondentID],'All Data'!$A$3:$CO$999,89,FALSE),"unknown")</f>
        <v>Suffolk</v>
      </c>
      <c r="AI213" s="120" t="str">
        <f>IFERROR(VLOOKUP(Table1[RespondentID],'All Data'!$A$3:$CO$999,90,FALSE),"unknown")</f>
        <v>Commack, 11725</v>
      </c>
      <c r="AJ213" s="120" t="str">
        <f>IFERROR(VLOOKUP(Table1[RespondentID],'All Data'!$A$3:$CO$999,91,FALSE),"unknown")</f>
        <v>White</v>
      </c>
      <c r="AK213" s="120" t="str">
        <f>IFERROR(VLOOKUP(Table1[RespondentID],'All Data'!$A$3:$CO$999,92,FALSE),"unknown")</f>
        <v>Hispanic or Latino</v>
      </c>
      <c r="AL213" s="120" t="str">
        <f>IFERROR(VLOOKUP(Table1[RespondentID],'All Data'!$A$3:$CO$999,93,FALSE),"unknown")</f>
        <v>English</v>
      </c>
      <c r="AM213" s="120" t="str">
        <f>IFERROR(VLOOKUP(Table1[RespondentID],'All Data'!$A$3:$CW$999,94,FALSE),"unknown")</f>
        <v>Over $125,000</v>
      </c>
      <c r="AN213" s="120" t="str">
        <f>IFERROR(VLOOKUP(Table1[RespondentID],'All Data'!$A$3:$CW$999,95,FALSE),"unknown")</f>
        <v>Graduate school</v>
      </c>
      <c r="AO213" s="120" t="str">
        <f>IFERROR(VLOOKUP(Table1[RespondentID],'All Data'!$A$3:$CW$999,96,FALSE),"unknown")</f>
        <v>Retired</v>
      </c>
      <c r="AP213" s="120" t="str">
        <f>IFERROR(VLOOKUP(Table1[RespondentID],'All Data'!$A$3:$CW$999,97,FALSE),"unknown")</f>
        <v>Yes</v>
      </c>
      <c r="AQ213" s="120" t="str">
        <f>IFERROR(VLOOKUP(Table1[RespondentID],'All Data'!$A$3:$CW$999,98,FALSE),"unknown")</f>
        <v>Medicare</v>
      </c>
      <c r="AR213" s="120" t="str">
        <f>IFERROR(VLOOKUP(Table1[RespondentID],'All Data'!$A$3:$CW$999,99,FALSE),"unknown")</f>
        <v>Yes</v>
      </c>
    </row>
    <row r="214" spans="1:44" ht="16">
      <c r="A214" s="5">
        <v>18019479157</v>
      </c>
      <c r="B214" s="5"/>
      <c r="C214" s="5"/>
      <c r="D214" s="5"/>
      <c r="E214" s="5"/>
      <c r="F214" s="5"/>
      <c r="G214" s="5" t="s">
        <v>34</v>
      </c>
      <c r="H214" s="5"/>
      <c r="I214" s="5"/>
      <c r="J214" s="5"/>
      <c r="K214" s="5"/>
      <c r="L214" s="8"/>
      <c r="M214" s="8">
        <f t="shared" si="45"/>
        <v>1</v>
      </c>
      <c r="N214" s="8">
        <f t="shared" si="46"/>
        <v>3</v>
      </c>
      <c r="O214" s="8"/>
      <c r="P214" s="8">
        <f t="shared" si="47"/>
        <v>0</v>
      </c>
      <c r="Q214" s="8">
        <f t="shared" si="48"/>
        <v>0</v>
      </c>
      <c r="R214" s="8">
        <f t="shared" si="49"/>
        <v>0</v>
      </c>
      <c r="S214" s="8">
        <f t="shared" si="50"/>
        <v>0</v>
      </c>
      <c r="T214" s="8">
        <f t="shared" si="51"/>
        <v>0</v>
      </c>
      <c r="U214" s="8">
        <f t="shared" si="52"/>
        <v>1</v>
      </c>
      <c r="V214" s="153">
        <f t="shared" si="53"/>
        <v>0</v>
      </c>
      <c r="W214" s="8">
        <f t="shared" si="54"/>
        <v>0</v>
      </c>
      <c r="X214" s="8">
        <f t="shared" si="55"/>
        <v>0</v>
      </c>
      <c r="Y214" s="8">
        <f t="shared" si="56"/>
        <v>0</v>
      </c>
      <c r="Z214" s="8"/>
      <c r="AA214" s="8"/>
      <c r="AB214" s="8">
        <f t="shared" si="59"/>
        <v>1</v>
      </c>
      <c r="AC214" s="8">
        <f t="shared" si="57"/>
        <v>1</v>
      </c>
      <c r="AD214" s="8" t="str">
        <f t="shared" si="58"/>
        <v>Correct</v>
      </c>
      <c r="AE214" s="8"/>
      <c r="AF214" s="120" t="str">
        <f>IFERROR(VLOOKUP(Table1[RespondentID],'All Data'!$A$3:$CO$999,87,FALSE),"unknown")</f>
        <v>Woman</v>
      </c>
      <c r="AG214" s="120">
        <f>IFERROR(VLOOKUP(Table1[RespondentID],'All Data'!$A$3:$CO$999,88,FALSE),"unknown")</f>
        <v>50</v>
      </c>
      <c r="AH214" s="120" t="str">
        <f>IFERROR(VLOOKUP(Table1[RespondentID],'All Data'!$A$3:$CO$999,89,FALSE),"unknown")</f>
        <v>Suffolk</v>
      </c>
      <c r="AI214" s="120" t="str">
        <f>IFERROR(VLOOKUP(Table1[RespondentID],'All Data'!$A$3:$CO$999,90,FALSE),"unknown")</f>
        <v>Commack, 11725</v>
      </c>
      <c r="AJ214" s="120" t="str">
        <f>IFERROR(VLOOKUP(Table1[RespondentID],'All Data'!$A$3:$CO$999,91,FALSE),"unknown")</f>
        <v>White</v>
      </c>
      <c r="AK214" s="120" t="str">
        <f>IFERROR(VLOOKUP(Table1[RespondentID],'All Data'!$A$3:$CO$999,92,FALSE),"unknown")</f>
        <v>Hispanic or Latino</v>
      </c>
      <c r="AL214" s="120" t="str">
        <f>IFERROR(VLOOKUP(Table1[RespondentID],'All Data'!$A$3:$CO$999,93,FALSE),"unknown")</f>
        <v>English</v>
      </c>
      <c r="AM214" s="120" t="str">
        <f>IFERROR(VLOOKUP(Table1[RespondentID],'All Data'!$A$3:$CW$999,94,FALSE),"unknown")</f>
        <v>Over $125,000</v>
      </c>
      <c r="AN214" s="120" t="str">
        <f>IFERROR(VLOOKUP(Table1[RespondentID],'All Data'!$A$3:$CW$999,95,FALSE),"unknown")</f>
        <v>College graduate</v>
      </c>
      <c r="AO214" s="120" t="str">
        <f>IFERROR(VLOOKUP(Table1[RespondentID],'All Data'!$A$3:$CW$999,96,FALSE),"unknown")</f>
        <v>Employed for wages</v>
      </c>
      <c r="AP214" s="120" t="str">
        <f>IFERROR(VLOOKUP(Table1[RespondentID],'All Data'!$A$3:$CW$999,97,FALSE),"unknown")</f>
        <v>Yes</v>
      </c>
      <c r="AQ214" s="120" t="str">
        <f>IFERROR(VLOOKUP(Table1[RespondentID],'All Data'!$A$3:$CW$999,98,FALSE),"unknown")</f>
        <v>Medicaid</v>
      </c>
      <c r="AR214" s="120" t="str">
        <f>IFERROR(VLOOKUP(Table1[RespondentID],'All Data'!$A$3:$CW$999,99,FALSE),"unknown")</f>
        <v>Yes</v>
      </c>
    </row>
    <row r="215" spans="1:44" ht="16">
      <c r="A215" s="5">
        <v>18019478995</v>
      </c>
      <c r="B215" s="5"/>
      <c r="C215" s="5"/>
      <c r="D215" s="5"/>
      <c r="E215" s="5"/>
      <c r="F215" s="5" t="s">
        <v>33</v>
      </c>
      <c r="G215" s="5"/>
      <c r="H215" s="5" t="s">
        <v>35</v>
      </c>
      <c r="I215" s="5"/>
      <c r="J215" s="5"/>
      <c r="K215" s="5" t="s">
        <v>375</v>
      </c>
      <c r="L215" s="9"/>
      <c r="M215" s="9">
        <f t="shared" si="45"/>
        <v>3</v>
      </c>
      <c r="N215" s="9">
        <f t="shared" si="46"/>
        <v>1</v>
      </c>
      <c r="O215" s="9"/>
      <c r="P215" s="9">
        <f t="shared" si="47"/>
        <v>0</v>
      </c>
      <c r="Q215" s="9">
        <f t="shared" si="48"/>
        <v>0</v>
      </c>
      <c r="R215" s="9">
        <f t="shared" si="49"/>
        <v>0</v>
      </c>
      <c r="S215" s="9">
        <f t="shared" si="50"/>
        <v>0</v>
      </c>
      <c r="T215" s="9">
        <f t="shared" si="51"/>
        <v>1</v>
      </c>
      <c r="U215" s="9">
        <f t="shared" si="52"/>
        <v>0</v>
      </c>
      <c r="V215" s="153">
        <f t="shared" si="53"/>
        <v>1</v>
      </c>
      <c r="W215" s="9">
        <f t="shared" si="54"/>
        <v>0</v>
      </c>
      <c r="X215" s="9">
        <f t="shared" si="55"/>
        <v>0</v>
      </c>
      <c r="Y215" s="9">
        <f t="shared" si="56"/>
        <v>1</v>
      </c>
      <c r="Z215" s="9"/>
      <c r="AA215" s="9"/>
      <c r="AB215" s="9">
        <f t="shared" si="59"/>
        <v>3</v>
      </c>
      <c r="AC215" s="9">
        <f t="shared" si="57"/>
        <v>3</v>
      </c>
      <c r="AD215" s="9" t="str">
        <f t="shared" si="58"/>
        <v>Correct</v>
      </c>
      <c r="AE215" s="9"/>
      <c r="AF215" s="120" t="str">
        <f>IFERROR(VLOOKUP(Table1[RespondentID],'All Data'!$A$3:$CO$999,87,FALSE),"unknown")</f>
        <v>Man</v>
      </c>
      <c r="AG215" s="120">
        <f>IFERROR(VLOOKUP(Table1[RespondentID],'All Data'!$A$3:$CO$999,88,FALSE),"unknown")</f>
        <v>0</v>
      </c>
      <c r="AH215" s="120" t="str">
        <f>IFERROR(VLOOKUP(Table1[RespondentID],'All Data'!$A$3:$CO$999,89,FALSE),"unknown")</f>
        <v>Suffolk</v>
      </c>
      <c r="AI215" s="120" t="str">
        <f>IFERROR(VLOOKUP(Table1[RespondentID],'All Data'!$A$3:$CO$999,90,FALSE),"unknown")</f>
        <v>East Northport, 11731</v>
      </c>
      <c r="AJ215" s="120" t="str">
        <f>IFERROR(VLOOKUP(Table1[RespondentID],'All Data'!$A$3:$CO$999,91,FALSE),"unknown")</f>
        <v>Asian</v>
      </c>
      <c r="AK215" s="120" t="str">
        <f>IFERROR(VLOOKUP(Table1[RespondentID],'All Data'!$A$3:$CO$999,92,FALSE),"unknown")</f>
        <v>Not Hispanic or Latino</v>
      </c>
      <c r="AL215" s="120" t="str">
        <f>IFERROR(VLOOKUP(Table1[RespondentID],'All Data'!$A$3:$CO$999,93,FALSE),"unknown")</f>
        <v>English</v>
      </c>
      <c r="AM215" s="120" t="str">
        <f>IFERROR(VLOOKUP(Table1[RespondentID],'All Data'!$A$3:$CW$999,94,FALSE),"unknown")</f>
        <v>$50,000 to $74,999</v>
      </c>
      <c r="AN215" s="120" t="str">
        <f>IFERROR(VLOOKUP(Table1[RespondentID],'All Data'!$A$3:$CW$999,95,FALSE),"unknown")</f>
        <v>Some college</v>
      </c>
      <c r="AO215" s="120" t="str">
        <f>IFERROR(VLOOKUP(Table1[RespondentID],'All Data'!$A$3:$CW$999,96,FALSE),"unknown")</f>
        <v>Employed for wages</v>
      </c>
      <c r="AP215" s="120" t="str">
        <f>IFERROR(VLOOKUP(Table1[RespondentID],'All Data'!$A$3:$CW$999,97,FALSE),"unknown")</f>
        <v>No</v>
      </c>
      <c r="AQ215" s="120" t="str">
        <f>IFERROR(VLOOKUP(Table1[RespondentID],'All Data'!$A$3:$CW$999,98,FALSE),"unknown")</f>
        <v>No Insurance</v>
      </c>
      <c r="AR215" s="120" t="str">
        <f>IFERROR(VLOOKUP(Table1[RespondentID],'All Data'!$A$3:$CW$999,99,FALSE),"unknown")</f>
        <v>Yes</v>
      </c>
    </row>
    <row r="216" spans="1:44" ht="16">
      <c r="A216" s="5">
        <v>18019349230</v>
      </c>
      <c r="B216" s="5"/>
      <c r="C216" s="5"/>
      <c r="D216" s="5"/>
      <c r="E216" s="5"/>
      <c r="F216" s="5"/>
      <c r="G216" s="5" t="s">
        <v>34</v>
      </c>
      <c r="H216" s="5"/>
      <c r="I216" s="5"/>
      <c r="J216" s="5"/>
      <c r="K216" s="5"/>
      <c r="L216" s="8"/>
      <c r="M216" s="8">
        <f t="shared" si="45"/>
        <v>1</v>
      </c>
      <c r="N216" s="8">
        <f t="shared" si="46"/>
        <v>3</v>
      </c>
      <c r="O216" s="8"/>
      <c r="P216" s="8">
        <f t="shared" si="47"/>
        <v>0</v>
      </c>
      <c r="Q216" s="8">
        <f t="shared" si="48"/>
        <v>0</v>
      </c>
      <c r="R216" s="8">
        <f t="shared" si="49"/>
        <v>0</v>
      </c>
      <c r="S216" s="8">
        <f t="shared" si="50"/>
        <v>0</v>
      </c>
      <c r="T216" s="8">
        <f t="shared" si="51"/>
        <v>0</v>
      </c>
      <c r="U216" s="8">
        <f t="shared" si="52"/>
        <v>1</v>
      </c>
      <c r="V216" s="153">
        <f t="shared" si="53"/>
        <v>0</v>
      </c>
      <c r="W216" s="8">
        <f t="shared" si="54"/>
        <v>0</v>
      </c>
      <c r="X216" s="8">
        <f t="shared" si="55"/>
        <v>0</v>
      </c>
      <c r="Y216" s="8">
        <f t="shared" si="56"/>
        <v>0</v>
      </c>
      <c r="Z216" s="8"/>
      <c r="AA216" s="8"/>
      <c r="AB216" s="8">
        <f t="shared" si="59"/>
        <v>1</v>
      </c>
      <c r="AC216" s="8">
        <f t="shared" si="57"/>
        <v>1</v>
      </c>
      <c r="AD216" s="8" t="str">
        <f t="shared" si="58"/>
        <v>Correct</v>
      </c>
      <c r="AE216" s="8"/>
      <c r="AF216" s="120" t="str">
        <f>IFERROR(VLOOKUP(Table1[RespondentID],'All Data'!$A$3:$CO$999,87,FALSE),"unknown")</f>
        <v>Man</v>
      </c>
      <c r="AG216" s="120">
        <f>IFERROR(VLOOKUP(Table1[RespondentID],'All Data'!$A$3:$CO$999,88,FALSE),"unknown")</f>
        <v>16</v>
      </c>
      <c r="AH216" s="120" t="str">
        <f>IFERROR(VLOOKUP(Table1[RespondentID],'All Data'!$A$3:$CO$999,89,FALSE),"unknown")</f>
        <v>Suffolk</v>
      </c>
      <c r="AI216" s="120" t="str">
        <f>IFERROR(VLOOKUP(Table1[RespondentID],'All Data'!$A$3:$CO$999,90,FALSE),"unknown")</f>
        <v>Centerport, 11721</v>
      </c>
      <c r="AJ216" s="120" t="str">
        <f>IFERROR(VLOOKUP(Table1[RespondentID],'All Data'!$A$3:$CO$999,91,FALSE),"unknown")</f>
        <v>Native Hawaiian and Other Pacific Islander</v>
      </c>
      <c r="AK216" s="120" t="str">
        <f>IFERROR(VLOOKUP(Table1[RespondentID],'All Data'!$A$3:$CO$999,92,FALSE),"unknown")</f>
        <v>Hispanic or Latino</v>
      </c>
      <c r="AL216" s="120" t="str">
        <f>IFERROR(VLOOKUP(Table1[RespondentID],'All Data'!$A$3:$CO$999,93,FALSE),"unknown")</f>
        <v>Haitian Creole</v>
      </c>
      <c r="AM216" s="120" t="str">
        <f>IFERROR(VLOOKUP(Table1[RespondentID],'All Data'!$A$3:$CW$999,94,FALSE),"unknown")</f>
        <v>$35,000 to $49,999</v>
      </c>
      <c r="AN216" s="120" t="str">
        <f>IFERROR(VLOOKUP(Table1[RespondentID],'All Data'!$A$3:$CW$999,95,FALSE),"unknown")</f>
        <v>Some high school</v>
      </c>
      <c r="AO216" s="120" t="str">
        <f>IFERROR(VLOOKUP(Table1[RespondentID],'All Data'!$A$3:$CW$999,96,FALSE),"unknown")</f>
        <v>Student</v>
      </c>
      <c r="AP216" s="120">
        <f>IFERROR(VLOOKUP(Table1[RespondentID],'All Data'!$A$3:$CW$999,97,FALSE),"unknown")</f>
        <v>0</v>
      </c>
      <c r="AQ216" s="120" t="str">
        <f>IFERROR(VLOOKUP(Table1[RespondentID],'All Data'!$A$3:$CW$999,98,FALSE),"unknown")</f>
        <v>Private/Commercial</v>
      </c>
      <c r="AR216" s="120" t="str">
        <f>IFERROR(VLOOKUP(Table1[RespondentID],'All Data'!$A$3:$CW$999,99,FALSE),"unknown")</f>
        <v>Yes</v>
      </c>
    </row>
    <row r="217" spans="1:44" ht="16">
      <c r="A217" s="5">
        <v>18019193765</v>
      </c>
      <c r="B217" s="5"/>
      <c r="C217" s="5"/>
      <c r="D217" s="5"/>
      <c r="E217" s="5"/>
      <c r="F217" s="5"/>
      <c r="G217" s="5"/>
      <c r="H217" s="5"/>
      <c r="I217" s="5"/>
      <c r="J217" s="5"/>
      <c r="K217" s="5"/>
      <c r="L217" s="9"/>
      <c r="M217" s="9">
        <f t="shared" si="45"/>
        <v>0</v>
      </c>
      <c r="N217" s="9" t="e">
        <f t="shared" si="46"/>
        <v>#DIV/0!</v>
      </c>
      <c r="O217" s="9"/>
      <c r="P217" s="9">
        <f t="shared" si="47"/>
        <v>0</v>
      </c>
      <c r="Q217" s="9">
        <f t="shared" si="48"/>
        <v>0</v>
      </c>
      <c r="R217" s="9">
        <f t="shared" si="49"/>
        <v>0</v>
      </c>
      <c r="S217" s="9">
        <f t="shared" si="50"/>
        <v>0</v>
      </c>
      <c r="T217" s="9">
        <f t="shared" si="51"/>
        <v>0</v>
      </c>
      <c r="U217" s="9">
        <f t="shared" si="52"/>
        <v>0</v>
      </c>
      <c r="V217" s="153">
        <f t="shared" si="53"/>
        <v>0</v>
      </c>
      <c r="W217" s="9">
        <f t="shared" si="54"/>
        <v>0</v>
      </c>
      <c r="X217" s="9">
        <f t="shared" si="55"/>
        <v>0</v>
      </c>
      <c r="Y217" s="9">
        <f t="shared" si="56"/>
        <v>0</v>
      </c>
      <c r="Z217" s="9"/>
      <c r="AA217" s="9"/>
      <c r="AB217" s="9">
        <f t="shared" si="59"/>
        <v>0</v>
      </c>
      <c r="AC217" s="9">
        <f t="shared" si="57"/>
        <v>0</v>
      </c>
      <c r="AD217" s="9" t="str">
        <f t="shared" si="58"/>
        <v>Correct</v>
      </c>
      <c r="AE217" s="9"/>
      <c r="AF217" s="120">
        <f>IFERROR(VLOOKUP(Table1[RespondentID],'All Data'!$A$3:$CO$999,87,FALSE),"unknown")</f>
        <v>0</v>
      </c>
      <c r="AG217" s="120">
        <f>IFERROR(VLOOKUP(Table1[RespondentID],'All Data'!$A$3:$CO$999,88,FALSE),"unknown")</f>
        <v>0</v>
      </c>
      <c r="AH217" s="120">
        <f>IFERROR(VLOOKUP(Table1[RespondentID],'All Data'!$A$3:$CO$999,89,FALSE),"unknown")</f>
        <v>0</v>
      </c>
      <c r="AI217" s="120" t="str">
        <f>IFERROR(VLOOKUP(Table1[RespondentID],'All Data'!$A$3:$CO$999,90,FALSE),"unknown")</f>
        <v>Brookville, 11545</v>
      </c>
      <c r="AJ217" s="120">
        <f>IFERROR(VLOOKUP(Table1[RespondentID],'All Data'!$A$3:$CO$999,91,FALSE),"unknown")</f>
        <v>0</v>
      </c>
      <c r="AK217" s="120">
        <f>IFERROR(VLOOKUP(Table1[RespondentID],'All Data'!$A$3:$CO$999,92,FALSE),"unknown")</f>
        <v>0</v>
      </c>
      <c r="AL217" s="120">
        <f>IFERROR(VLOOKUP(Table1[RespondentID],'All Data'!$A$3:$CO$999,93,FALSE),"unknown")</f>
        <v>0</v>
      </c>
      <c r="AM217" s="120">
        <f>IFERROR(VLOOKUP(Table1[RespondentID],'All Data'!$A$3:$CW$999,94,FALSE),"unknown")</f>
        <v>0</v>
      </c>
      <c r="AN217" s="120">
        <f>IFERROR(VLOOKUP(Table1[RespondentID],'All Data'!$A$3:$CW$999,95,FALSE),"unknown")</f>
        <v>0</v>
      </c>
      <c r="AO217" s="120">
        <f>IFERROR(VLOOKUP(Table1[RespondentID],'All Data'!$A$3:$CW$999,96,FALSE),"unknown")</f>
        <v>0</v>
      </c>
      <c r="AP217" s="120">
        <f>IFERROR(VLOOKUP(Table1[RespondentID],'All Data'!$A$3:$CW$999,97,FALSE),"unknown")</f>
        <v>0</v>
      </c>
      <c r="AQ217" s="120">
        <f>IFERROR(VLOOKUP(Table1[RespondentID],'All Data'!$A$3:$CW$999,98,FALSE),"unknown")</f>
        <v>0</v>
      </c>
      <c r="AR217" s="120">
        <f>IFERROR(VLOOKUP(Table1[RespondentID],'All Data'!$A$3:$CW$999,99,FALSE),"unknown")</f>
        <v>0</v>
      </c>
    </row>
    <row r="218" spans="1:44" ht="16">
      <c r="A218" s="5">
        <v>18019104432</v>
      </c>
      <c r="B218" s="5"/>
      <c r="C218" s="5"/>
      <c r="D218" s="5" t="s">
        <v>31</v>
      </c>
      <c r="E218" s="5"/>
      <c r="F218" s="5"/>
      <c r="G218" s="5"/>
      <c r="H218" s="5" t="s">
        <v>35</v>
      </c>
      <c r="I218" s="5" t="s">
        <v>36</v>
      </c>
      <c r="J218" s="5"/>
      <c r="K218" s="5"/>
      <c r="L218" s="8"/>
      <c r="M218" s="8">
        <f t="shared" si="45"/>
        <v>3</v>
      </c>
      <c r="N218" s="8">
        <f t="shared" si="46"/>
        <v>1</v>
      </c>
      <c r="O218" s="8"/>
      <c r="P218" s="8">
        <f t="shared" si="47"/>
        <v>0</v>
      </c>
      <c r="Q218" s="8">
        <f t="shared" si="48"/>
        <v>0</v>
      </c>
      <c r="R218" s="8">
        <f t="shared" si="49"/>
        <v>1</v>
      </c>
      <c r="S218" s="8">
        <f t="shared" si="50"/>
        <v>0</v>
      </c>
      <c r="T218" s="8">
        <f t="shared" si="51"/>
        <v>0</v>
      </c>
      <c r="U218" s="8">
        <f t="shared" si="52"/>
        <v>0</v>
      </c>
      <c r="V218" s="153">
        <f t="shared" si="53"/>
        <v>1</v>
      </c>
      <c r="W218" s="8">
        <f t="shared" si="54"/>
        <v>1</v>
      </c>
      <c r="X218" s="8">
        <f t="shared" si="55"/>
        <v>0</v>
      </c>
      <c r="Y218" s="8">
        <f t="shared" si="56"/>
        <v>0</v>
      </c>
      <c r="Z218" s="8"/>
      <c r="AA218" s="8"/>
      <c r="AB218" s="8">
        <f t="shared" si="59"/>
        <v>3</v>
      </c>
      <c r="AC218" s="8">
        <f t="shared" si="57"/>
        <v>3</v>
      </c>
      <c r="AD218" s="8" t="str">
        <f t="shared" si="58"/>
        <v>Correct</v>
      </c>
      <c r="AE218" s="8"/>
      <c r="AF218" s="120" t="str">
        <f>IFERROR(VLOOKUP(Table1[RespondentID],'All Data'!$A$3:$CO$999,87,FALSE),"unknown")</f>
        <v>Woman</v>
      </c>
      <c r="AG218" s="120">
        <f>IFERROR(VLOOKUP(Table1[RespondentID],'All Data'!$A$3:$CO$999,88,FALSE),"unknown")</f>
        <v>23</v>
      </c>
      <c r="AH218" s="120" t="str">
        <f>IFERROR(VLOOKUP(Table1[RespondentID],'All Data'!$A$3:$CO$999,89,FALSE),"unknown")</f>
        <v>Suffolk</v>
      </c>
      <c r="AI218" s="120" t="str">
        <f>IFERROR(VLOOKUP(Table1[RespondentID],'All Data'!$A$3:$CO$999,90,FALSE),"unknown")</f>
        <v>Commack, 11725</v>
      </c>
      <c r="AJ218" s="120" t="str">
        <f>IFERROR(VLOOKUP(Table1[RespondentID],'All Data'!$A$3:$CO$999,91,FALSE),"unknown")</f>
        <v>Native Hawaiian and Other Pacific Islander</v>
      </c>
      <c r="AK218" s="120" t="str">
        <f>IFERROR(VLOOKUP(Table1[RespondentID],'All Data'!$A$3:$CO$999,92,FALSE),"unknown")</f>
        <v>Hispanic or Latino</v>
      </c>
      <c r="AL218" s="120" t="str">
        <f>IFERROR(VLOOKUP(Table1[RespondentID],'All Data'!$A$3:$CO$999,93,FALSE),"unknown")</f>
        <v>English, Italian</v>
      </c>
      <c r="AM218" s="120" t="str">
        <f>IFERROR(VLOOKUP(Table1[RespondentID],'All Data'!$A$3:$CW$999,94,FALSE),"unknown")</f>
        <v>$35,000 to $49,999</v>
      </c>
      <c r="AN218" s="120" t="str">
        <f>IFERROR(VLOOKUP(Table1[RespondentID],'All Data'!$A$3:$CW$999,95,FALSE),"unknown")</f>
        <v>High school graduate</v>
      </c>
      <c r="AO218" s="120" t="str">
        <f>IFERROR(VLOOKUP(Table1[RespondentID],'All Data'!$A$3:$CW$999,96,FALSE),"unknown")</f>
        <v>Employed for wages</v>
      </c>
      <c r="AP218" s="120" t="str">
        <f>IFERROR(VLOOKUP(Table1[RespondentID],'All Data'!$A$3:$CW$999,97,FALSE),"unknown")</f>
        <v>Yes</v>
      </c>
      <c r="AQ218" s="120">
        <f>IFERROR(VLOOKUP(Table1[RespondentID],'All Data'!$A$3:$CW$999,98,FALSE),"unknown")</f>
        <v>0</v>
      </c>
      <c r="AR218" s="120">
        <f>IFERROR(VLOOKUP(Table1[RespondentID],'All Data'!$A$3:$CW$999,99,FALSE),"unknown")</f>
        <v>0</v>
      </c>
    </row>
    <row r="219" spans="1:44" ht="16">
      <c r="A219" s="5">
        <v>18019104294</v>
      </c>
      <c r="B219" s="5"/>
      <c r="C219" s="5" t="s">
        <v>30</v>
      </c>
      <c r="D219" s="5"/>
      <c r="E219" s="5" t="s">
        <v>32</v>
      </c>
      <c r="F219" s="5"/>
      <c r="G219" s="5"/>
      <c r="H219" s="5"/>
      <c r="I219" s="5"/>
      <c r="J219" s="5" t="s">
        <v>37</v>
      </c>
      <c r="K219" s="5"/>
      <c r="L219" s="9"/>
      <c r="M219" s="9">
        <f t="shared" si="45"/>
        <v>3</v>
      </c>
      <c r="N219" s="9">
        <f t="shared" si="46"/>
        <v>1</v>
      </c>
      <c r="O219" s="9"/>
      <c r="P219" s="9">
        <f t="shared" si="47"/>
        <v>0</v>
      </c>
      <c r="Q219" s="9">
        <f t="shared" si="48"/>
        <v>1</v>
      </c>
      <c r="R219" s="9">
        <f t="shared" si="49"/>
        <v>0</v>
      </c>
      <c r="S219" s="9">
        <f t="shared" si="50"/>
        <v>1</v>
      </c>
      <c r="T219" s="9">
        <f t="shared" si="51"/>
        <v>0</v>
      </c>
      <c r="U219" s="9">
        <f t="shared" si="52"/>
        <v>0</v>
      </c>
      <c r="V219" s="153">
        <f t="shared" si="53"/>
        <v>0</v>
      </c>
      <c r="W219" s="9">
        <f t="shared" si="54"/>
        <v>0</v>
      </c>
      <c r="X219" s="9">
        <f t="shared" si="55"/>
        <v>1</v>
      </c>
      <c r="Y219" s="9">
        <f t="shared" si="56"/>
        <v>0</v>
      </c>
      <c r="Z219" s="9"/>
      <c r="AA219" s="9"/>
      <c r="AB219" s="9">
        <f t="shared" si="59"/>
        <v>3</v>
      </c>
      <c r="AC219" s="9">
        <f t="shared" si="57"/>
        <v>3</v>
      </c>
      <c r="AD219" s="9" t="str">
        <f t="shared" si="58"/>
        <v>Correct</v>
      </c>
      <c r="AE219" s="9"/>
      <c r="AF219" s="120" t="str">
        <f>IFERROR(VLOOKUP(Table1[RespondentID],'All Data'!$A$3:$CO$999,87,FALSE),"unknown")</f>
        <v>Woman</v>
      </c>
      <c r="AG219" s="120">
        <f>IFERROR(VLOOKUP(Table1[RespondentID],'All Data'!$A$3:$CO$999,88,FALSE),"unknown")</f>
        <v>15</v>
      </c>
      <c r="AH219" s="120" t="str">
        <f>IFERROR(VLOOKUP(Table1[RespondentID],'All Data'!$A$3:$CO$999,89,FALSE),"unknown")</f>
        <v>Suffolk</v>
      </c>
      <c r="AI219" s="120" t="str">
        <f>IFERROR(VLOOKUP(Table1[RespondentID],'All Data'!$A$3:$CO$999,90,FALSE),"unknown")</f>
        <v>Commack, 11725</v>
      </c>
      <c r="AJ219" s="120" t="str">
        <f>IFERROR(VLOOKUP(Table1[RespondentID],'All Data'!$A$3:$CO$999,91,FALSE),"unknown")</f>
        <v>White</v>
      </c>
      <c r="AK219" s="120" t="str">
        <f>IFERROR(VLOOKUP(Table1[RespondentID],'All Data'!$A$3:$CO$999,92,FALSE),"unknown")</f>
        <v>Hispanic or Latino</v>
      </c>
      <c r="AL219" s="120" t="str">
        <f>IFERROR(VLOOKUP(Table1[RespondentID],'All Data'!$A$3:$CO$999,93,FALSE),"unknown")</f>
        <v>English</v>
      </c>
      <c r="AM219" s="120" t="str">
        <f>IFERROR(VLOOKUP(Table1[RespondentID],'All Data'!$A$3:$CW$999,94,FALSE),"unknown")</f>
        <v>$20,000 to $34,999</v>
      </c>
      <c r="AN219" s="120" t="str">
        <f>IFERROR(VLOOKUP(Table1[RespondentID],'All Data'!$A$3:$CW$999,95,FALSE),"unknown")</f>
        <v>Some high school</v>
      </c>
      <c r="AO219" s="120" t="str">
        <f>IFERROR(VLOOKUP(Table1[RespondentID],'All Data'!$A$3:$CW$999,96,FALSE),"unknown")</f>
        <v>Student</v>
      </c>
      <c r="AP219" s="120" t="str">
        <f>IFERROR(VLOOKUP(Table1[RespondentID],'All Data'!$A$3:$CW$999,97,FALSE),"unknown")</f>
        <v>No</v>
      </c>
      <c r="AQ219" s="120">
        <f>IFERROR(VLOOKUP(Table1[RespondentID],'All Data'!$A$3:$CW$999,98,FALSE),"unknown")</f>
        <v>0</v>
      </c>
      <c r="AR219" s="120">
        <f>IFERROR(VLOOKUP(Table1[RespondentID],'All Data'!$A$3:$CW$999,99,FALSE),"unknown")</f>
        <v>0</v>
      </c>
    </row>
    <row r="220" spans="1:44" ht="16">
      <c r="A220" s="5">
        <v>18019104165</v>
      </c>
      <c r="B220" s="5"/>
      <c r="C220" s="5"/>
      <c r="D220" s="5"/>
      <c r="E220" s="5"/>
      <c r="F220" s="5"/>
      <c r="G220" s="5"/>
      <c r="H220" s="5"/>
      <c r="I220" s="5"/>
      <c r="J220" s="5"/>
      <c r="K220" s="5"/>
      <c r="L220" s="8"/>
      <c r="M220" s="8">
        <f t="shared" si="45"/>
        <v>0</v>
      </c>
      <c r="N220" s="8" t="e">
        <f t="shared" si="46"/>
        <v>#DIV/0!</v>
      </c>
      <c r="O220" s="8"/>
      <c r="P220" s="8">
        <f t="shared" si="47"/>
        <v>0</v>
      </c>
      <c r="Q220" s="8">
        <f t="shared" si="48"/>
        <v>0</v>
      </c>
      <c r="R220" s="8">
        <f t="shared" si="49"/>
        <v>0</v>
      </c>
      <c r="S220" s="8">
        <f t="shared" si="50"/>
        <v>0</v>
      </c>
      <c r="T220" s="8">
        <f t="shared" si="51"/>
        <v>0</v>
      </c>
      <c r="U220" s="8">
        <f t="shared" si="52"/>
        <v>0</v>
      </c>
      <c r="V220" s="153">
        <f t="shared" si="53"/>
        <v>0</v>
      </c>
      <c r="W220" s="8">
        <f t="shared" si="54"/>
        <v>0</v>
      </c>
      <c r="X220" s="8">
        <f t="shared" si="55"/>
        <v>0</v>
      </c>
      <c r="Y220" s="8">
        <f t="shared" si="56"/>
        <v>0</v>
      </c>
      <c r="Z220" s="8"/>
      <c r="AA220" s="8"/>
      <c r="AB220" s="8">
        <f t="shared" si="59"/>
        <v>0</v>
      </c>
      <c r="AC220" s="8">
        <f t="shared" si="57"/>
        <v>0</v>
      </c>
      <c r="AD220" s="8" t="str">
        <f t="shared" si="58"/>
        <v>Correct</v>
      </c>
      <c r="AE220" s="8"/>
      <c r="AF220" s="120" t="str">
        <f>IFERROR(VLOOKUP(Table1[RespondentID],'All Data'!$A$3:$CO$999,87,FALSE),"unknown")</f>
        <v>Man</v>
      </c>
      <c r="AG220" s="120">
        <f>IFERROR(VLOOKUP(Table1[RespondentID],'All Data'!$A$3:$CO$999,88,FALSE),"unknown")</f>
        <v>17</v>
      </c>
      <c r="AH220" s="120" t="str">
        <f>IFERROR(VLOOKUP(Table1[RespondentID],'All Data'!$A$3:$CO$999,89,FALSE),"unknown")</f>
        <v>Suffolk</v>
      </c>
      <c r="AI220" s="120" t="str">
        <f>IFERROR(VLOOKUP(Table1[RespondentID],'All Data'!$A$3:$CO$999,90,FALSE),"unknown")</f>
        <v>Commack, 11725</v>
      </c>
      <c r="AJ220" s="120" t="str">
        <f>IFERROR(VLOOKUP(Table1[RespondentID],'All Data'!$A$3:$CO$999,91,FALSE),"unknown")</f>
        <v>American Indian and Alaska Native</v>
      </c>
      <c r="AK220" s="120" t="str">
        <f>IFERROR(VLOOKUP(Table1[RespondentID],'All Data'!$A$3:$CO$999,92,FALSE),"unknown")</f>
        <v>Hispanic or Latino</v>
      </c>
      <c r="AL220" s="120" t="str">
        <f>IFERROR(VLOOKUP(Table1[RespondentID],'All Data'!$A$3:$CO$999,93,FALSE),"unknown")</f>
        <v>English, Korean</v>
      </c>
      <c r="AM220" s="120" t="str">
        <f>IFERROR(VLOOKUP(Table1[RespondentID],'All Data'!$A$3:$CW$999,94,FALSE),"unknown")</f>
        <v>$35,000 to $49,999</v>
      </c>
      <c r="AN220" s="120" t="str">
        <f>IFERROR(VLOOKUP(Table1[RespondentID],'All Data'!$A$3:$CW$999,95,FALSE),"unknown")</f>
        <v>Some high school</v>
      </c>
      <c r="AO220" s="120" t="str">
        <f>IFERROR(VLOOKUP(Table1[RespondentID],'All Data'!$A$3:$CW$999,96,FALSE),"unknown")</f>
        <v>Student</v>
      </c>
      <c r="AP220" s="120">
        <f>IFERROR(VLOOKUP(Table1[RespondentID],'All Data'!$A$3:$CW$999,97,FALSE),"unknown")</f>
        <v>0</v>
      </c>
      <c r="AQ220" s="120">
        <f>IFERROR(VLOOKUP(Table1[RespondentID],'All Data'!$A$3:$CW$999,98,FALSE),"unknown")</f>
        <v>0</v>
      </c>
      <c r="AR220" s="120">
        <f>IFERROR(VLOOKUP(Table1[RespondentID],'All Data'!$A$3:$CW$999,99,FALSE),"unknown")</f>
        <v>0</v>
      </c>
    </row>
    <row r="221" spans="1:44" ht="16">
      <c r="A221" s="5">
        <v>18019103935</v>
      </c>
      <c r="B221" s="5"/>
      <c r="C221" s="5"/>
      <c r="D221" s="5"/>
      <c r="E221" s="5"/>
      <c r="F221" s="5" t="s">
        <v>33</v>
      </c>
      <c r="G221" s="5"/>
      <c r="H221" s="5" t="s">
        <v>35</v>
      </c>
      <c r="I221" s="5"/>
      <c r="J221" s="5" t="s">
        <v>37</v>
      </c>
      <c r="K221" s="5"/>
      <c r="L221" s="9"/>
      <c r="M221" s="9">
        <f t="shared" si="45"/>
        <v>3</v>
      </c>
      <c r="N221" s="9">
        <f t="shared" si="46"/>
        <v>1</v>
      </c>
      <c r="O221" s="9"/>
      <c r="P221" s="9">
        <f t="shared" si="47"/>
        <v>0</v>
      </c>
      <c r="Q221" s="9">
        <f t="shared" si="48"/>
        <v>0</v>
      </c>
      <c r="R221" s="9">
        <f t="shared" si="49"/>
        <v>0</v>
      </c>
      <c r="S221" s="9">
        <f t="shared" si="50"/>
        <v>0</v>
      </c>
      <c r="T221" s="9">
        <f t="shared" si="51"/>
        <v>1</v>
      </c>
      <c r="U221" s="9">
        <f t="shared" si="52"/>
        <v>0</v>
      </c>
      <c r="V221" s="153">
        <f t="shared" si="53"/>
        <v>1</v>
      </c>
      <c r="W221" s="9">
        <f t="shared" si="54"/>
        <v>0</v>
      </c>
      <c r="X221" s="9">
        <f t="shared" si="55"/>
        <v>1</v>
      </c>
      <c r="Y221" s="9">
        <f t="shared" si="56"/>
        <v>0</v>
      </c>
      <c r="Z221" s="9"/>
      <c r="AA221" s="9"/>
      <c r="AB221" s="9">
        <f t="shared" si="59"/>
        <v>3</v>
      </c>
      <c r="AC221" s="9">
        <f t="shared" si="57"/>
        <v>3</v>
      </c>
      <c r="AD221" s="9" t="str">
        <f t="shared" si="58"/>
        <v>Correct</v>
      </c>
      <c r="AE221" s="9"/>
      <c r="AF221" s="120" t="str">
        <f>IFERROR(VLOOKUP(Table1[RespondentID],'All Data'!$A$3:$CO$999,87,FALSE),"unknown")</f>
        <v>Woman</v>
      </c>
      <c r="AG221" s="120">
        <f>IFERROR(VLOOKUP(Table1[RespondentID],'All Data'!$A$3:$CO$999,88,FALSE),"unknown")</f>
        <v>42</v>
      </c>
      <c r="AH221" s="120" t="str">
        <f>IFERROR(VLOOKUP(Table1[RespondentID],'All Data'!$A$3:$CO$999,89,FALSE),"unknown")</f>
        <v>Suffolk</v>
      </c>
      <c r="AI221" s="120" t="str">
        <f>IFERROR(VLOOKUP(Table1[RespondentID],'All Data'!$A$3:$CO$999,90,FALSE),"unknown")</f>
        <v>Commack, 11725</v>
      </c>
      <c r="AJ221" s="120" t="str">
        <f>IFERROR(VLOOKUP(Table1[RespondentID],'All Data'!$A$3:$CO$999,91,FALSE),"unknown")</f>
        <v>Asian</v>
      </c>
      <c r="AK221" s="120" t="str">
        <f>IFERROR(VLOOKUP(Table1[RespondentID],'All Data'!$A$3:$CO$999,92,FALSE),"unknown")</f>
        <v>Not Hispanic or Latino</v>
      </c>
      <c r="AL221" s="120" t="str">
        <f>IFERROR(VLOOKUP(Table1[RespondentID],'All Data'!$A$3:$CO$999,93,FALSE),"unknown")</f>
        <v>English, Portuguese, Spanish</v>
      </c>
      <c r="AM221" s="120" t="str">
        <f>IFERROR(VLOOKUP(Table1[RespondentID],'All Data'!$A$3:$CW$999,94,FALSE),"unknown")</f>
        <v>$20,000 to $34,999</v>
      </c>
      <c r="AN221" s="120" t="str">
        <f>IFERROR(VLOOKUP(Table1[RespondentID],'All Data'!$A$3:$CW$999,95,FALSE),"unknown")</f>
        <v>College graduate</v>
      </c>
      <c r="AO221" s="120" t="str">
        <f>IFERROR(VLOOKUP(Table1[RespondentID],'All Data'!$A$3:$CW$999,96,FALSE),"unknown")</f>
        <v>Employed for wages</v>
      </c>
      <c r="AP221" s="120" t="str">
        <f>IFERROR(VLOOKUP(Table1[RespondentID],'All Data'!$A$3:$CW$999,97,FALSE),"unknown")</f>
        <v>Yes</v>
      </c>
      <c r="AQ221" s="120">
        <f>IFERROR(VLOOKUP(Table1[RespondentID],'All Data'!$A$3:$CW$999,98,FALSE),"unknown")</f>
        <v>0</v>
      </c>
      <c r="AR221" s="120">
        <f>IFERROR(VLOOKUP(Table1[RespondentID],'All Data'!$A$3:$CW$999,99,FALSE),"unknown")</f>
        <v>0</v>
      </c>
    </row>
    <row r="222" spans="1:44" ht="16">
      <c r="A222" s="5">
        <v>18019103724</v>
      </c>
      <c r="B222" s="5" t="s">
        <v>29</v>
      </c>
      <c r="C222" s="5"/>
      <c r="D222" s="5"/>
      <c r="E222" s="5"/>
      <c r="F222" s="5"/>
      <c r="G222" s="5"/>
      <c r="H222" s="5"/>
      <c r="I222" s="5" t="s">
        <v>36</v>
      </c>
      <c r="J222" s="5" t="s">
        <v>37</v>
      </c>
      <c r="K222" s="5"/>
      <c r="L222" s="8"/>
      <c r="M222" s="8">
        <f t="shared" si="45"/>
        <v>3</v>
      </c>
      <c r="N222" s="8">
        <f t="shared" si="46"/>
        <v>1</v>
      </c>
      <c r="O222" s="8"/>
      <c r="P222" s="8">
        <f t="shared" si="47"/>
        <v>1</v>
      </c>
      <c r="Q222" s="8">
        <f t="shared" si="48"/>
        <v>0</v>
      </c>
      <c r="R222" s="8">
        <f t="shared" si="49"/>
        <v>0</v>
      </c>
      <c r="S222" s="8">
        <f t="shared" si="50"/>
        <v>0</v>
      </c>
      <c r="T222" s="8">
        <f t="shared" si="51"/>
        <v>0</v>
      </c>
      <c r="U222" s="8">
        <f t="shared" si="52"/>
        <v>0</v>
      </c>
      <c r="V222" s="153">
        <f t="shared" si="53"/>
        <v>0</v>
      </c>
      <c r="W222" s="8">
        <f t="shared" si="54"/>
        <v>1</v>
      </c>
      <c r="X222" s="8">
        <f t="shared" si="55"/>
        <v>1</v>
      </c>
      <c r="Y222" s="8">
        <f t="shared" si="56"/>
        <v>0</v>
      </c>
      <c r="Z222" s="8"/>
      <c r="AA222" s="8"/>
      <c r="AB222" s="8">
        <f t="shared" si="59"/>
        <v>3</v>
      </c>
      <c r="AC222" s="8">
        <f t="shared" si="57"/>
        <v>3</v>
      </c>
      <c r="AD222" s="8" t="str">
        <f t="shared" si="58"/>
        <v>Correct</v>
      </c>
      <c r="AE222" s="8"/>
      <c r="AF222" s="120" t="str">
        <f>IFERROR(VLOOKUP(Table1[RespondentID],'All Data'!$A$3:$CO$999,87,FALSE),"unknown")</f>
        <v>Man</v>
      </c>
      <c r="AG222" s="120">
        <f>IFERROR(VLOOKUP(Table1[RespondentID],'All Data'!$A$3:$CO$999,88,FALSE),"unknown")</f>
        <v>52</v>
      </c>
      <c r="AH222" s="120" t="str">
        <f>IFERROR(VLOOKUP(Table1[RespondentID],'All Data'!$A$3:$CO$999,89,FALSE),"unknown")</f>
        <v>Suffolk</v>
      </c>
      <c r="AI222" s="120" t="str">
        <f>IFERROR(VLOOKUP(Table1[RespondentID],'All Data'!$A$3:$CO$999,90,FALSE),"unknown")</f>
        <v>Commack, 11725</v>
      </c>
      <c r="AJ222" s="120" t="str">
        <f>IFERROR(VLOOKUP(Table1[RespondentID],'All Data'!$A$3:$CO$999,91,FALSE),"unknown")</f>
        <v>Native Hawaiian and Other Pacific Islander</v>
      </c>
      <c r="AK222" s="120" t="str">
        <f>IFERROR(VLOOKUP(Table1[RespondentID],'All Data'!$A$3:$CO$999,92,FALSE),"unknown")</f>
        <v>Hispanic or Latino</v>
      </c>
      <c r="AL222" s="120" t="str">
        <f>IFERROR(VLOOKUP(Table1[RespondentID],'All Data'!$A$3:$CO$999,93,FALSE),"unknown")</f>
        <v>English, Spanish</v>
      </c>
      <c r="AM222" s="120" t="str">
        <f>IFERROR(VLOOKUP(Table1[RespondentID],'All Data'!$A$3:$CW$999,94,FALSE),"unknown")</f>
        <v>$35,000 to $49,999</v>
      </c>
      <c r="AN222" s="120" t="str">
        <f>IFERROR(VLOOKUP(Table1[RespondentID],'All Data'!$A$3:$CW$999,95,FALSE),"unknown")</f>
        <v>Graduate school</v>
      </c>
      <c r="AO222" s="120" t="str">
        <f>IFERROR(VLOOKUP(Table1[RespondentID],'All Data'!$A$3:$CW$999,96,FALSE),"unknown")</f>
        <v>Employed for wages</v>
      </c>
      <c r="AP222" s="120" t="str">
        <f>IFERROR(VLOOKUP(Table1[RespondentID],'All Data'!$A$3:$CW$999,97,FALSE),"unknown")</f>
        <v>Yes</v>
      </c>
      <c r="AQ222" s="120">
        <f>IFERROR(VLOOKUP(Table1[RespondentID],'All Data'!$A$3:$CW$999,98,FALSE),"unknown")</f>
        <v>0</v>
      </c>
      <c r="AR222" s="120">
        <f>IFERROR(VLOOKUP(Table1[RespondentID],'All Data'!$A$3:$CW$999,99,FALSE),"unknown")</f>
        <v>0</v>
      </c>
    </row>
    <row r="223" spans="1:44" ht="16">
      <c r="A223" s="5">
        <v>18019103593</v>
      </c>
      <c r="B223" s="5" t="s">
        <v>29</v>
      </c>
      <c r="C223" s="5" t="s">
        <v>30</v>
      </c>
      <c r="D223" s="5"/>
      <c r="E223" s="5"/>
      <c r="F223" s="5"/>
      <c r="G223" s="5" t="s">
        <v>34</v>
      </c>
      <c r="H223" s="5"/>
      <c r="I223" s="5"/>
      <c r="J223" s="5"/>
      <c r="K223" s="5"/>
      <c r="L223" s="9"/>
      <c r="M223" s="9">
        <f t="shared" si="45"/>
        <v>3</v>
      </c>
      <c r="N223" s="9">
        <f t="shared" si="46"/>
        <v>1</v>
      </c>
      <c r="O223" s="9"/>
      <c r="P223" s="9">
        <f t="shared" si="47"/>
        <v>1</v>
      </c>
      <c r="Q223" s="9">
        <f t="shared" si="48"/>
        <v>1</v>
      </c>
      <c r="R223" s="9">
        <f t="shared" si="49"/>
        <v>0</v>
      </c>
      <c r="S223" s="9">
        <f t="shared" si="50"/>
        <v>0</v>
      </c>
      <c r="T223" s="9">
        <f t="shared" si="51"/>
        <v>0</v>
      </c>
      <c r="U223" s="9">
        <f t="shared" si="52"/>
        <v>1</v>
      </c>
      <c r="V223" s="153">
        <f t="shared" si="53"/>
        <v>0</v>
      </c>
      <c r="W223" s="9">
        <f t="shared" si="54"/>
        <v>0</v>
      </c>
      <c r="X223" s="9">
        <f t="shared" si="55"/>
        <v>0</v>
      </c>
      <c r="Y223" s="9">
        <f t="shared" si="56"/>
        <v>0</v>
      </c>
      <c r="Z223" s="9"/>
      <c r="AA223" s="9"/>
      <c r="AB223" s="9">
        <f t="shared" si="59"/>
        <v>3</v>
      </c>
      <c r="AC223" s="9">
        <f t="shared" si="57"/>
        <v>3</v>
      </c>
      <c r="AD223" s="9" t="str">
        <f t="shared" si="58"/>
        <v>Correct</v>
      </c>
      <c r="AE223" s="9"/>
      <c r="AF223" s="120" t="str">
        <f>IFERROR(VLOOKUP(Table1[RespondentID],'All Data'!$A$3:$CO$999,87,FALSE),"unknown")</f>
        <v>Woman</v>
      </c>
      <c r="AG223" s="120">
        <f>IFERROR(VLOOKUP(Table1[RespondentID],'All Data'!$A$3:$CO$999,88,FALSE),"unknown")</f>
        <v>85</v>
      </c>
      <c r="AH223" s="120" t="str">
        <f>IFERROR(VLOOKUP(Table1[RespondentID],'All Data'!$A$3:$CO$999,89,FALSE),"unknown")</f>
        <v>Suffolk</v>
      </c>
      <c r="AI223" s="120" t="str">
        <f>IFERROR(VLOOKUP(Table1[RespondentID],'All Data'!$A$3:$CO$999,90,FALSE),"unknown")</f>
        <v>Commack, 11725</v>
      </c>
      <c r="AJ223" s="120" t="str">
        <f>IFERROR(VLOOKUP(Table1[RespondentID],'All Data'!$A$3:$CO$999,91,FALSE),"unknown")</f>
        <v>Black or African American</v>
      </c>
      <c r="AK223" s="120" t="str">
        <f>IFERROR(VLOOKUP(Table1[RespondentID],'All Data'!$A$3:$CO$999,92,FALSE),"unknown")</f>
        <v>Hispanic or Latino</v>
      </c>
      <c r="AL223" s="120" t="str">
        <f>IFERROR(VLOOKUP(Table1[RespondentID],'All Data'!$A$3:$CO$999,93,FALSE),"unknown")</f>
        <v>English</v>
      </c>
      <c r="AM223" s="120" t="str">
        <f>IFERROR(VLOOKUP(Table1[RespondentID],'All Data'!$A$3:$CW$999,94,FALSE),"unknown")</f>
        <v>$50,000 to $74,999</v>
      </c>
      <c r="AN223" s="120" t="str">
        <f>IFERROR(VLOOKUP(Table1[RespondentID],'All Data'!$A$3:$CW$999,95,FALSE),"unknown")</f>
        <v>College graduate</v>
      </c>
      <c r="AO223" s="120" t="str">
        <f>IFERROR(VLOOKUP(Table1[RespondentID],'All Data'!$A$3:$CW$999,96,FALSE),"unknown")</f>
        <v>Retired</v>
      </c>
      <c r="AP223" s="120" t="str">
        <f>IFERROR(VLOOKUP(Table1[RespondentID],'All Data'!$A$3:$CW$999,97,FALSE),"unknown")</f>
        <v>Yes</v>
      </c>
      <c r="AQ223" s="120">
        <f>IFERROR(VLOOKUP(Table1[RespondentID],'All Data'!$A$3:$CW$999,98,FALSE),"unknown")</f>
        <v>0</v>
      </c>
      <c r="AR223" s="120">
        <f>IFERROR(VLOOKUP(Table1[RespondentID],'All Data'!$A$3:$CW$999,99,FALSE),"unknown")</f>
        <v>0</v>
      </c>
    </row>
    <row r="224" spans="1:44" ht="16">
      <c r="A224" s="5">
        <v>18019103458</v>
      </c>
      <c r="B224" s="5"/>
      <c r="C224" s="5"/>
      <c r="D224" s="5"/>
      <c r="E224" s="5" t="s">
        <v>32</v>
      </c>
      <c r="F224" s="5"/>
      <c r="G224" s="5"/>
      <c r="H224" s="5"/>
      <c r="I224" s="5" t="s">
        <v>36</v>
      </c>
      <c r="J224" s="5"/>
      <c r="K224" s="5" t="s">
        <v>375</v>
      </c>
      <c r="L224" s="8"/>
      <c r="M224" s="8">
        <f t="shared" si="45"/>
        <v>3</v>
      </c>
      <c r="N224" s="8">
        <f t="shared" si="46"/>
        <v>1</v>
      </c>
      <c r="O224" s="8"/>
      <c r="P224" s="8">
        <f t="shared" si="47"/>
        <v>0</v>
      </c>
      <c r="Q224" s="8">
        <f t="shared" si="48"/>
        <v>0</v>
      </c>
      <c r="R224" s="8">
        <f t="shared" si="49"/>
        <v>0</v>
      </c>
      <c r="S224" s="8">
        <f t="shared" si="50"/>
        <v>1</v>
      </c>
      <c r="T224" s="8">
        <f t="shared" si="51"/>
        <v>0</v>
      </c>
      <c r="U224" s="8">
        <f t="shared" si="52"/>
        <v>0</v>
      </c>
      <c r="V224" s="153">
        <f t="shared" si="53"/>
        <v>0</v>
      </c>
      <c r="W224" s="8">
        <f t="shared" si="54"/>
        <v>1</v>
      </c>
      <c r="X224" s="8">
        <f t="shared" si="55"/>
        <v>0</v>
      </c>
      <c r="Y224" s="8">
        <f t="shared" si="56"/>
        <v>1</v>
      </c>
      <c r="Z224" s="8"/>
      <c r="AA224" s="8"/>
      <c r="AB224" s="8">
        <f t="shared" si="59"/>
        <v>3</v>
      </c>
      <c r="AC224" s="8">
        <f t="shared" si="57"/>
        <v>3</v>
      </c>
      <c r="AD224" s="8" t="str">
        <f t="shared" si="58"/>
        <v>Correct</v>
      </c>
      <c r="AE224" s="8"/>
      <c r="AF224" s="120" t="str">
        <f>IFERROR(VLOOKUP(Table1[RespondentID],'All Data'!$A$3:$CO$999,87,FALSE),"unknown")</f>
        <v>Woman</v>
      </c>
      <c r="AG224" s="120">
        <f>IFERROR(VLOOKUP(Table1[RespondentID],'All Data'!$A$3:$CO$999,88,FALSE),"unknown")</f>
        <v>14</v>
      </c>
      <c r="AH224" s="120" t="str">
        <f>IFERROR(VLOOKUP(Table1[RespondentID],'All Data'!$A$3:$CO$999,89,FALSE),"unknown")</f>
        <v>Suffolk</v>
      </c>
      <c r="AI224" s="120" t="str">
        <f>IFERROR(VLOOKUP(Table1[RespondentID],'All Data'!$A$3:$CO$999,90,FALSE),"unknown")</f>
        <v>Smithtown, 11787</v>
      </c>
      <c r="AJ224" s="120" t="str">
        <f>IFERROR(VLOOKUP(Table1[RespondentID],'All Data'!$A$3:$CO$999,91,FALSE),"unknown")</f>
        <v>Native Hawaiian and Other Pacific Islander</v>
      </c>
      <c r="AK224" s="120" t="str">
        <f>IFERROR(VLOOKUP(Table1[RespondentID],'All Data'!$A$3:$CO$999,92,FALSE),"unknown")</f>
        <v>Hispanic or Latino</v>
      </c>
      <c r="AL224" s="120" t="str">
        <f>IFERROR(VLOOKUP(Table1[RespondentID],'All Data'!$A$3:$CO$999,93,FALSE),"unknown")</f>
        <v>English</v>
      </c>
      <c r="AM224" s="120" t="str">
        <f>IFERROR(VLOOKUP(Table1[RespondentID],'All Data'!$A$3:$CW$999,94,FALSE),"unknown")</f>
        <v>$20,000 to $34,999</v>
      </c>
      <c r="AN224" s="120" t="str">
        <f>IFERROR(VLOOKUP(Table1[RespondentID],'All Data'!$A$3:$CW$999,95,FALSE),"unknown")</f>
        <v>K-8 grade</v>
      </c>
      <c r="AO224" s="120" t="str">
        <f>IFERROR(VLOOKUP(Table1[RespondentID],'All Data'!$A$3:$CW$999,96,FALSE),"unknown")</f>
        <v>Student</v>
      </c>
      <c r="AP224" s="120" t="str">
        <f>IFERROR(VLOOKUP(Table1[RespondentID],'All Data'!$A$3:$CW$999,97,FALSE),"unknown")</f>
        <v>No</v>
      </c>
      <c r="AQ224" s="120">
        <f>IFERROR(VLOOKUP(Table1[RespondentID],'All Data'!$A$3:$CW$999,98,FALSE),"unknown")</f>
        <v>0</v>
      </c>
      <c r="AR224" s="120">
        <f>IFERROR(VLOOKUP(Table1[RespondentID],'All Data'!$A$3:$CW$999,99,FALSE),"unknown")</f>
        <v>0</v>
      </c>
    </row>
    <row r="225" spans="1:44" ht="16">
      <c r="A225" s="5">
        <v>18019103288</v>
      </c>
      <c r="B225" s="5"/>
      <c r="C225" s="5" t="s">
        <v>30</v>
      </c>
      <c r="D225" s="5" t="s">
        <v>31</v>
      </c>
      <c r="E225" s="5"/>
      <c r="F225" s="5" t="s">
        <v>33</v>
      </c>
      <c r="G225" s="5"/>
      <c r="H225" s="5"/>
      <c r="I225" s="5"/>
      <c r="J225" s="5"/>
      <c r="K225" s="5"/>
      <c r="L225" s="9"/>
      <c r="M225" s="9">
        <f t="shared" si="45"/>
        <v>3</v>
      </c>
      <c r="N225" s="9">
        <f t="shared" si="46"/>
        <v>1</v>
      </c>
      <c r="O225" s="9"/>
      <c r="P225" s="9">
        <f t="shared" si="47"/>
        <v>0</v>
      </c>
      <c r="Q225" s="9">
        <f t="shared" si="48"/>
        <v>1</v>
      </c>
      <c r="R225" s="9">
        <f t="shared" si="49"/>
        <v>1</v>
      </c>
      <c r="S225" s="9">
        <f t="shared" si="50"/>
        <v>0</v>
      </c>
      <c r="T225" s="9">
        <f t="shared" si="51"/>
        <v>1</v>
      </c>
      <c r="U225" s="9">
        <f t="shared" si="52"/>
        <v>0</v>
      </c>
      <c r="V225" s="153">
        <f t="shared" si="53"/>
        <v>0</v>
      </c>
      <c r="W225" s="9">
        <f t="shared" si="54"/>
        <v>0</v>
      </c>
      <c r="X225" s="9">
        <f t="shared" si="55"/>
        <v>0</v>
      </c>
      <c r="Y225" s="9">
        <f t="shared" si="56"/>
        <v>0</v>
      </c>
      <c r="Z225" s="9"/>
      <c r="AA225" s="9"/>
      <c r="AB225" s="9">
        <f t="shared" si="59"/>
        <v>3</v>
      </c>
      <c r="AC225" s="9">
        <f t="shared" si="57"/>
        <v>3</v>
      </c>
      <c r="AD225" s="9" t="str">
        <f t="shared" si="58"/>
        <v>Correct</v>
      </c>
      <c r="AE225" s="9"/>
      <c r="AF225" s="120" t="str">
        <f>IFERROR(VLOOKUP(Table1[RespondentID],'All Data'!$A$3:$CO$999,87,FALSE),"unknown")</f>
        <v>Man</v>
      </c>
      <c r="AG225" s="120">
        <f>IFERROR(VLOOKUP(Table1[RespondentID],'All Data'!$A$3:$CO$999,88,FALSE),"unknown")</f>
        <v>42</v>
      </c>
      <c r="AH225" s="120" t="str">
        <f>IFERROR(VLOOKUP(Table1[RespondentID],'All Data'!$A$3:$CO$999,89,FALSE),"unknown")</f>
        <v>Suffolk</v>
      </c>
      <c r="AI225" s="120" t="str">
        <f>IFERROR(VLOOKUP(Table1[RespondentID],'All Data'!$A$3:$CO$999,90,FALSE),"unknown")</f>
        <v>Smithtown, 11787</v>
      </c>
      <c r="AJ225" s="120" t="str">
        <f>IFERROR(VLOOKUP(Table1[RespondentID],'All Data'!$A$3:$CO$999,91,FALSE),"unknown")</f>
        <v>Asian</v>
      </c>
      <c r="AK225" s="120" t="str">
        <f>IFERROR(VLOOKUP(Table1[RespondentID],'All Data'!$A$3:$CO$999,92,FALSE),"unknown")</f>
        <v>Not Hispanic or Latino</v>
      </c>
      <c r="AL225" s="120" t="str">
        <f>IFERROR(VLOOKUP(Table1[RespondentID],'All Data'!$A$3:$CO$999,93,FALSE),"unknown")</f>
        <v>English, Spanish</v>
      </c>
      <c r="AM225" s="120" t="str">
        <f>IFERROR(VLOOKUP(Table1[RespondentID],'All Data'!$A$3:$CW$999,94,FALSE),"unknown")</f>
        <v>$35,000 to $49,999</v>
      </c>
      <c r="AN225" s="120" t="str">
        <f>IFERROR(VLOOKUP(Table1[RespondentID],'All Data'!$A$3:$CW$999,95,FALSE),"unknown")</f>
        <v>College graduate</v>
      </c>
      <c r="AO225" s="120" t="str">
        <f>IFERROR(VLOOKUP(Table1[RespondentID],'All Data'!$A$3:$CW$999,96,FALSE),"unknown")</f>
        <v>Employed for wages</v>
      </c>
      <c r="AP225" s="120" t="str">
        <f>IFERROR(VLOOKUP(Table1[RespondentID],'All Data'!$A$3:$CW$999,97,FALSE),"unknown")</f>
        <v>Yes</v>
      </c>
      <c r="AQ225" s="120">
        <f>IFERROR(VLOOKUP(Table1[RespondentID],'All Data'!$A$3:$CW$999,98,FALSE),"unknown")</f>
        <v>0</v>
      </c>
      <c r="AR225" s="120">
        <f>IFERROR(VLOOKUP(Table1[RespondentID],'All Data'!$A$3:$CW$999,99,FALSE),"unknown")</f>
        <v>0</v>
      </c>
    </row>
    <row r="226" spans="1:44" ht="16">
      <c r="A226" s="5">
        <v>18019103154</v>
      </c>
      <c r="B226" s="5" t="s">
        <v>29</v>
      </c>
      <c r="C226" s="5"/>
      <c r="D226" s="5" t="s">
        <v>31</v>
      </c>
      <c r="E226" s="5" t="s">
        <v>32</v>
      </c>
      <c r="F226" s="5"/>
      <c r="G226" s="5"/>
      <c r="H226" s="5"/>
      <c r="I226" s="5"/>
      <c r="J226" s="5"/>
      <c r="K226" s="5"/>
      <c r="L226" s="8"/>
      <c r="M226" s="8">
        <f t="shared" si="45"/>
        <v>3</v>
      </c>
      <c r="N226" s="8">
        <f t="shared" si="46"/>
        <v>1</v>
      </c>
      <c r="O226" s="8"/>
      <c r="P226" s="8">
        <f t="shared" si="47"/>
        <v>1</v>
      </c>
      <c r="Q226" s="8">
        <f t="shared" si="48"/>
        <v>0</v>
      </c>
      <c r="R226" s="8">
        <f t="shared" si="49"/>
        <v>1</v>
      </c>
      <c r="S226" s="8">
        <f t="shared" si="50"/>
        <v>1</v>
      </c>
      <c r="T226" s="8">
        <f t="shared" si="51"/>
        <v>0</v>
      </c>
      <c r="U226" s="8">
        <f t="shared" si="52"/>
        <v>0</v>
      </c>
      <c r="V226" s="153">
        <f t="shared" si="53"/>
        <v>0</v>
      </c>
      <c r="W226" s="8">
        <f t="shared" si="54"/>
        <v>0</v>
      </c>
      <c r="X226" s="8">
        <f t="shared" si="55"/>
        <v>0</v>
      </c>
      <c r="Y226" s="8">
        <f t="shared" si="56"/>
        <v>0</v>
      </c>
      <c r="Z226" s="8"/>
      <c r="AA226" s="8"/>
      <c r="AB226" s="8">
        <f t="shared" si="59"/>
        <v>3</v>
      </c>
      <c r="AC226" s="8">
        <f t="shared" si="57"/>
        <v>3</v>
      </c>
      <c r="AD226" s="8" t="str">
        <f t="shared" si="58"/>
        <v>Correct</v>
      </c>
      <c r="AE226" s="8"/>
      <c r="AF226" s="120" t="str">
        <f>IFERROR(VLOOKUP(Table1[RespondentID],'All Data'!$A$3:$CO$999,87,FALSE),"unknown")</f>
        <v>Woman</v>
      </c>
      <c r="AG226" s="120">
        <f>IFERROR(VLOOKUP(Table1[RespondentID],'All Data'!$A$3:$CO$999,88,FALSE),"unknown")</f>
        <v>48</v>
      </c>
      <c r="AH226" s="120" t="str">
        <f>IFERROR(VLOOKUP(Table1[RespondentID],'All Data'!$A$3:$CO$999,89,FALSE),"unknown")</f>
        <v>Suffolk</v>
      </c>
      <c r="AI226" s="120" t="str">
        <f>IFERROR(VLOOKUP(Table1[RespondentID],'All Data'!$A$3:$CO$999,90,FALSE),"unknown")</f>
        <v>Commack, 11725</v>
      </c>
      <c r="AJ226" s="120" t="str">
        <f>IFERROR(VLOOKUP(Table1[RespondentID],'All Data'!$A$3:$CO$999,91,FALSE),"unknown")</f>
        <v>White</v>
      </c>
      <c r="AK226" s="120" t="str">
        <f>IFERROR(VLOOKUP(Table1[RespondentID],'All Data'!$A$3:$CO$999,92,FALSE),"unknown")</f>
        <v>Hispanic or Latino</v>
      </c>
      <c r="AL226" s="120" t="str">
        <f>IFERROR(VLOOKUP(Table1[RespondentID],'All Data'!$A$3:$CO$999,93,FALSE),"unknown")</f>
        <v>English</v>
      </c>
      <c r="AM226" s="120" t="str">
        <f>IFERROR(VLOOKUP(Table1[RespondentID],'All Data'!$A$3:$CW$999,94,FALSE),"unknown")</f>
        <v>$20,000 to $34,999</v>
      </c>
      <c r="AN226" s="120" t="str">
        <f>IFERROR(VLOOKUP(Table1[RespondentID],'All Data'!$A$3:$CW$999,95,FALSE),"unknown")</f>
        <v>Graduate school</v>
      </c>
      <c r="AO226" s="120" t="str">
        <f>IFERROR(VLOOKUP(Table1[RespondentID],'All Data'!$A$3:$CW$999,96,FALSE),"unknown")</f>
        <v>Employed for wages</v>
      </c>
      <c r="AP226" s="120" t="str">
        <f>IFERROR(VLOOKUP(Table1[RespondentID],'All Data'!$A$3:$CW$999,97,FALSE),"unknown")</f>
        <v>Yes</v>
      </c>
      <c r="AQ226" s="120">
        <f>IFERROR(VLOOKUP(Table1[RespondentID],'All Data'!$A$3:$CW$999,98,FALSE),"unknown")</f>
        <v>0</v>
      </c>
      <c r="AR226" s="120">
        <f>IFERROR(VLOOKUP(Table1[RespondentID],'All Data'!$A$3:$CW$999,99,FALSE),"unknown")</f>
        <v>0</v>
      </c>
    </row>
    <row r="227" spans="1:44" ht="16">
      <c r="A227" s="5">
        <v>18019102990</v>
      </c>
      <c r="B227" s="5"/>
      <c r="C227" s="5"/>
      <c r="D227" s="5"/>
      <c r="E227" s="5" t="s">
        <v>32</v>
      </c>
      <c r="F227" s="5" t="s">
        <v>33</v>
      </c>
      <c r="G227" s="5"/>
      <c r="H227" s="5"/>
      <c r="I227" s="5"/>
      <c r="J227" s="5"/>
      <c r="K227" s="5" t="s">
        <v>375</v>
      </c>
      <c r="L227" s="9"/>
      <c r="M227" s="9">
        <f t="shared" si="45"/>
        <v>3</v>
      </c>
      <c r="N227" s="9">
        <f t="shared" si="46"/>
        <v>1</v>
      </c>
      <c r="O227" s="9"/>
      <c r="P227" s="9">
        <f t="shared" si="47"/>
        <v>0</v>
      </c>
      <c r="Q227" s="9">
        <f t="shared" si="48"/>
        <v>0</v>
      </c>
      <c r="R227" s="9">
        <f t="shared" si="49"/>
        <v>0</v>
      </c>
      <c r="S227" s="9">
        <f t="shared" si="50"/>
        <v>1</v>
      </c>
      <c r="T227" s="9">
        <f t="shared" si="51"/>
        <v>1</v>
      </c>
      <c r="U227" s="9">
        <f t="shared" si="52"/>
        <v>0</v>
      </c>
      <c r="V227" s="153">
        <f t="shared" si="53"/>
        <v>0</v>
      </c>
      <c r="W227" s="9">
        <f t="shared" si="54"/>
        <v>0</v>
      </c>
      <c r="X227" s="9">
        <f t="shared" si="55"/>
        <v>0</v>
      </c>
      <c r="Y227" s="9">
        <f t="shared" si="56"/>
        <v>1</v>
      </c>
      <c r="Z227" s="9"/>
      <c r="AA227" s="9"/>
      <c r="AB227" s="9">
        <f t="shared" si="59"/>
        <v>3</v>
      </c>
      <c r="AC227" s="9">
        <f t="shared" si="57"/>
        <v>3</v>
      </c>
      <c r="AD227" s="9" t="str">
        <f t="shared" si="58"/>
        <v>Correct</v>
      </c>
      <c r="AE227" s="9"/>
      <c r="AF227" s="120" t="str">
        <f>IFERROR(VLOOKUP(Table1[RespondentID],'All Data'!$A$3:$CO$999,87,FALSE),"unknown")</f>
        <v>Man</v>
      </c>
      <c r="AG227" s="120">
        <f>IFERROR(VLOOKUP(Table1[RespondentID],'All Data'!$A$3:$CO$999,88,FALSE),"unknown")</f>
        <v>24</v>
      </c>
      <c r="AH227" s="120" t="str">
        <f>IFERROR(VLOOKUP(Table1[RespondentID],'All Data'!$A$3:$CO$999,89,FALSE),"unknown")</f>
        <v>Suffolk</v>
      </c>
      <c r="AI227" s="120" t="str">
        <f>IFERROR(VLOOKUP(Table1[RespondentID],'All Data'!$A$3:$CO$999,90,FALSE),"unknown")</f>
        <v>Commack, 11725</v>
      </c>
      <c r="AJ227" s="120" t="str">
        <f>IFERROR(VLOOKUP(Table1[RespondentID],'All Data'!$A$3:$CO$999,91,FALSE),"unknown")</f>
        <v>Black or African American</v>
      </c>
      <c r="AK227" s="120" t="str">
        <f>IFERROR(VLOOKUP(Table1[RespondentID],'All Data'!$A$3:$CO$999,92,FALSE),"unknown")</f>
        <v>Hispanic or Latino</v>
      </c>
      <c r="AL227" s="120" t="str">
        <f>IFERROR(VLOOKUP(Table1[RespondentID],'All Data'!$A$3:$CO$999,93,FALSE),"unknown")</f>
        <v>Polish</v>
      </c>
      <c r="AM227" s="120" t="str">
        <f>IFERROR(VLOOKUP(Table1[RespondentID],'All Data'!$A$3:$CW$999,94,FALSE),"unknown")</f>
        <v>$35,000 to $49,999</v>
      </c>
      <c r="AN227" s="120" t="str">
        <f>IFERROR(VLOOKUP(Table1[RespondentID],'All Data'!$A$3:$CW$999,95,FALSE),"unknown")</f>
        <v>Some college</v>
      </c>
      <c r="AO227" s="120" t="str">
        <f>IFERROR(VLOOKUP(Table1[RespondentID],'All Data'!$A$3:$CW$999,96,FALSE),"unknown")</f>
        <v>Employed for wages</v>
      </c>
      <c r="AP227" s="120" t="str">
        <f>IFERROR(VLOOKUP(Table1[RespondentID],'All Data'!$A$3:$CW$999,97,FALSE),"unknown")</f>
        <v>Yes</v>
      </c>
      <c r="AQ227" s="120">
        <f>IFERROR(VLOOKUP(Table1[RespondentID],'All Data'!$A$3:$CW$999,98,FALSE),"unknown")</f>
        <v>0</v>
      </c>
      <c r="AR227" s="120">
        <f>IFERROR(VLOOKUP(Table1[RespondentID],'All Data'!$A$3:$CW$999,99,FALSE),"unknown")</f>
        <v>0</v>
      </c>
    </row>
    <row r="228" spans="1:44" ht="16">
      <c r="A228" s="5">
        <v>18019102832</v>
      </c>
      <c r="B228" s="5" t="s">
        <v>29</v>
      </c>
      <c r="C228" s="5" t="s">
        <v>30</v>
      </c>
      <c r="D228" s="5"/>
      <c r="E228" s="5"/>
      <c r="F228" s="5"/>
      <c r="G228" s="5"/>
      <c r="H228" s="5"/>
      <c r="I228" s="5"/>
      <c r="J228" s="5"/>
      <c r="K228" s="5" t="s">
        <v>375</v>
      </c>
      <c r="L228" s="8"/>
      <c r="M228" s="8">
        <f t="shared" si="45"/>
        <v>3</v>
      </c>
      <c r="N228" s="8">
        <f t="shared" si="46"/>
        <v>1</v>
      </c>
      <c r="O228" s="8"/>
      <c r="P228" s="8">
        <f t="shared" si="47"/>
        <v>1</v>
      </c>
      <c r="Q228" s="8">
        <f t="shared" si="48"/>
        <v>1</v>
      </c>
      <c r="R228" s="8">
        <f t="shared" si="49"/>
        <v>0</v>
      </c>
      <c r="S228" s="8">
        <f t="shared" si="50"/>
        <v>0</v>
      </c>
      <c r="T228" s="8">
        <f t="shared" si="51"/>
        <v>0</v>
      </c>
      <c r="U228" s="8">
        <f t="shared" si="52"/>
        <v>0</v>
      </c>
      <c r="V228" s="153">
        <f t="shared" si="53"/>
        <v>0</v>
      </c>
      <c r="W228" s="8">
        <f t="shared" si="54"/>
        <v>0</v>
      </c>
      <c r="X228" s="8">
        <f t="shared" si="55"/>
        <v>0</v>
      </c>
      <c r="Y228" s="8">
        <f t="shared" si="56"/>
        <v>1</v>
      </c>
      <c r="Z228" s="8"/>
      <c r="AA228" s="8"/>
      <c r="AB228" s="8">
        <f t="shared" si="59"/>
        <v>3</v>
      </c>
      <c r="AC228" s="8">
        <f t="shared" si="57"/>
        <v>3</v>
      </c>
      <c r="AD228" s="8" t="str">
        <f t="shared" si="58"/>
        <v>Correct</v>
      </c>
      <c r="AE228" s="8"/>
      <c r="AF228" s="120" t="str">
        <f>IFERROR(VLOOKUP(Table1[RespondentID],'All Data'!$A$3:$CO$999,87,FALSE),"unknown")</f>
        <v>Man</v>
      </c>
      <c r="AG228" s="120">
        <f>IFERROR(VLOOKUP(Table1[RespondentID],'All Data'!$A$3:$CO$999,88,FALSE),"unknown")</f>
        <v>19</v>
      </c>
      <c r="AH228" s="120" t="str">
        <f>IFERROR(VLOOKUP(Table1[RespondentID],'All Data'!$A$3:$CO$999,89,FALSE),"unknown")</f>
        <v>Suffolk</v>
      </c>
      <c r="AI228" s="120" t="str">
        <f>IFERROR(VLOOKUP(Table1[RespondentID],'All Data'!$A$3:$CO$999,90,FALSE),"unknown")</f>
        <v>Commack, 11725</v>
      </c>
      <c r="AJ228" s="120" t="str">
        <f>IFERROR(VLOOKUP(Table1[RespondentID],'All Data'!$A$3:$CO$999,91,FALSE),"unknown")</f>
        <v>American Indian and Alaska Native</v>
      </c>
      <c r="AK228" s="120" t="str">
        <f>IFERROR(VLOOKUP(Table1[RespondentID],'All Data'!$A$3:$CO$999,92,FALSE),"unknown")</f>
        <v>Hispanic or Latino</v>
      </c>
      <c r="AL228" s="120" t="str">
        <f>IFERROR(VLOOKUP(Table1[RespondentID],'All Data'!$A$3:$CO$999,93,FALSE),"unknown")</f>
        <v>English, Chinese</v>
      </c>
      <c r="AM228" s="120" t="str">
        <f>IFERROR(VLOOKUP(Table1[RespondentID],'All Data'!$A$3:$CW$999,94,FALSE),"unknown")</f>
        <v>$20,000 to $34,999</v>
      </c>
      <c r="AN228" s="120" t="str">
        <f>IFERROR(VLOOKUP(Table1[RespondentID],'All Data'!$A$3:$CW$999,95,FALSE),"unknown")</f>
        <v>High school graduate</v>
      </c>
      <c r="AO228" s="120" t="str">
        <f>IFERROR(VLOOKUP(Table1[RespondentID],'All Data'!$A$3:$CW$999,96,FALSE),"unknown")</f>
        <v>Student</v>
      </c>
      <c r="AP228" s="120" t="str">
        <f>IFERROR(VLOOKUP(Table1[RespondentID],'All Data'!$A$3:$CW$999,97,FALSE),"unknown")</f>
        <v>Yes</v>
      </c>
      <c r="AQ228" s="120">
        <f>IFERROR(VLOOKUP(Table1[RespondentID],'All Data'!$A$3:$CW$999,98,FALSE),"unknown")</f>
        <v>0</v>
      </c>
      <c r="AR228" s="120">
        <f>IFERROR(VLOOKUP(Table1[RespondentID],'All Data'!$A$3:$CW$999,99,FALSE),"unknown")</f>
        <v>0</v>
      </c>
    </row>
    <row r="229" spans="1:44" ht="16">
      <c r="A229" s="5">
        <v>18019102674</v>
      </c>
      <c r="B229" s="5"/>
      <c r="C229" s="5" t="s">
        <v>30</v>
      </c>
      <c r="D229" s="5"/>
      <c r="E229" s="5"/>
      <c r="F229" s="5"/>
      <c r="G229" s="5"/>
      <c r="H229" s="5"/>
      <c r="I229" s="5" t="s">
        <v>36</v>
      </c>
      <c r="J229" s="5" t="s">
        <v>37</v>
      </c>
      <c r="K229" s="5"/>
      <c r="L229" s="9"/>
      <c r="M229" s="9">
        <f t="shared" si="45"/>
        <v>3</v>
      </c>
      <c r="N229" s="9">
        <f t="shared" si="46"/>
        <v>1</v>
      </c>
      <c r="O229" s="9"/>
      <c r="P229" s="9">
        <f t="shared" si="47"/>
        <v>0</v>
      </c>
      <c r="Q229" s="9">
        <f t="shared" si="48"/>
        <v>1</v>
      </c>
      <c r="R229" s="9">
        <f t="shared" si="49"/>
        <v>0</v>
      </c>
      <c r="S229" s="9">
        <f t="shared" si="50"/>
        <v>0</v>
      </c>
      <c r="T229" s="9">
        <f t="shared" si="51"/>
        <v>0</v>
      </c>
      <c r="U229" s="9">
        <f t="shared" si="52"/>
        <v>0</v>
      </c>
      <c r="V229" s="153">
        <f t="shared" si="53"/>
        <v>0</v>
      </c>
      <c r="W229" s="9">
        <f t="shared" si="54"/>
        <v>1</v>
      </c>
      <c r="X229" s="9">
        <f t="shared" si="55"/>
        <v>1</v>
      </c>
      <c r="Y229" s="9">
        <f t="shared" si="56"/>
        <v>0</v>
      </c>
      <c r="Z229" s="9"/>
      <c r="AA229" s="9"/>
      <c r="AB229" s="9">
        <f t="shared" si="59"/>
        <v>3</v>
      </c>
      <c r="AC229" s="9">
        <f t="shared" si="57"/>
        <v>3</v>
      </c>
      <c r="AD229" s="9" t="str">
        <f t="shared" si="58"/>
        <v>Correct</v>
      </c>
      <c r="AE229" s="9"/>
      <c r="AF229" s="120" t="str">
        <f>IFERROR(VLOOKUP(Table1[RespondentID],'All Data'!$A$3:$CO$999,87,FALSE),"unknown")</f>
        <v>Woman</v>
      </c>
      <c r="AG229" s="120">
        <f>IFERROR(VLOOKUP(Table1[RespondentID],'All Data'!$A$3:$CO$999,88,FALSE),"unknown")</f>
        <v>72</v>
      </c>
      <c r="AH229" s="120" t="str">
        <f>IFERROR(VLOOKUP(Table1[RespondentID],'All Data'!$A$3:$CO$999,89,FALSE),"unknown")</f>
        <v>Suffolk</v>
      </c>
      <c r="AI229" s="120" t="str">
        <f>IFERROR(VLOOKUP(Table1[RespondentID],'All Data'!$A$3:$CO$999,90,FALSE),"unknown")</f>
        <v>Commack, 11725</v>
      </c>
      <c r="AJ229" s="120" t="str">
        <f>IFERROR(VLOOKUP(Table1[RespondentID],'All Data'!$A$3:$CO$999,91,FALSE),"unknown")</f>
        <v>White</v>
      </c>
      <c r="AK229" s="120" t="str">
        <f>IFERROR(VLOOKUP(Table1[RespondentID],'All Data'!$A$3:$CO$999,92,FALSE),"unknown")</f>
        <v>Hispanic or Latino</v>
      </c>
      <c r="AL229" s="120" t="str">
        <f>IFERROR(VLOOKUP(Table1[RespondentID],'All Data'!$A$3:$CO$999,93,FALSE),"unknown")</f>
        <v>English</v>
      </c>
      <c r="AM229" s="120" t="str">
        <f>IFERROR(VLOOKUP(Table1[RespondentID],'All Data'!$A$3:$CW$999,94,FALSE),"unknown")</f>
        <v>$75,000 to $125,000</v>
      </c>
      <c r="AN229" s="120" t="str">
        <f>IFERROR(VLOOKUP(Table1[RespondentID],'All Data'!$A$3:$CW$999,95,FALSE),"unknown")</f>
        <v>College graduate</v>
      </c>
      <c r="AO229" s="120" t="str">
        <f>IFERROR(VLOOKUP(Table1[RespondentID],'All Data'!$A$3:$CW$999,96,FALSE),"unknown")</f>
        <v>Retired</v>
      </c>
      <c r="AP229" s="120" t="str">
        <f>IFERROR(VLOOKUP(Table1[RespondentID],'All Data'!$A$3:$CW$999,97,FALSE),"unknown")</f>
        <v>Yes</v>
      </c>
      <c r="AQ229" s="120">
        <f>IFERROR(VLOOKUP(Table1[RespondentID],'All Data'!$A$3:$CW$999,98,FALSE),"unknown")</f>
        <v>0</v>
      </c>
      <c r="AR229" s="120">
        <f>IFERROR(VLOOKUP(Table1[RespondentID],'All Data'!$A$3:$CW$999,99,FALSE),"unknown")</f>
        <v>0</v>
      </c>
    </row>
    <row r="230" spans="1:44" ht="16">
      <c r="A230" s="5">
        <v>18019102453</v>
      </c>
      <c r="B230" s="5"/>
      <c r="C230" s="5" t="s">
        <v>30</v>
      </c>
      <c r="D230" s="5"/>
      <c r="E230" s="5"/>
      <c r="F230" s="5" t="s">
        <v>33</v>
      </c>
      <c r="G230" s="5"/>
      <c r="H230" s="5" t="s">
        <v>35</v>
      </c>
      <c r="I230" s="5"/>
      <c r="J230" s="5"/>
      <c r="K230" s="5"/>
      <c r="L230" s="8"/>
      <c r="M230" s="8">
        <f t="shared" si="45"/>
        <v>3</v>
      </c>
      <c r="N230" s="8">
        <f t="shared" si="46"/>
        <v>1</v>
      </c>
      <c r="O230" s="8"/>
      <c r="P230" s="8">
        <f t="shared" si="47"/>
        <v>0</v>
      </c>
      <c r="Q230" s="8">
        <f t="shared" si="48"/>
        <v>1</v>
      </c>
      <c r="R230" s="8">
        <f t="shared" si="49"/>
        <v>0</v>
      </c>
      <c r="S230" s="8">
        <f t="shared" si="50"/>
        <v>0</v>
      </c>
      <c r="T230" s="8">
        <f t="shared" si="51"/>
        <v>1</v>
      </c>
      <c r="U230" s="8">
        <f t="shared" si="52"/>
        <v>0</v>
      </c>
      <c r="V230" s="153">
        <f t="shared" si="53"/>
        <v>1</v>
      </c>
      <c r="W230" s="8">
        <f t="shared" si="54"/>
        <v>0</v>
      </c>
      <c r="X230" s="8">
        <f t="shared" si="55"/>
        <v>0</v>
      </c>
      <c r="Y230" s="8">
        <f t="shared" si="56"/>
        <v>0</v>
      </c>
      <c r="Z230" s="8"/>
      <c r="AA230" s="8"/>
      <c r="AB230" s="8">
        <f t="shared" si="59"/>
        <v>3</v>
      </c>
      <c r="AC230" s="8">
        <f t="shared" si="57"/>
        <v>3</v>
      </c>
      <c r="AD230" s="8" t="str">
        <f t="shared" si="58"/>
        <v>Correct</v>
      </c>
      <c r="AE230" s="8"/>
      <c r="AF230" s="120" t="str">
        <f>IFERROR(VLOOKUP(Table1[RespondentID],'All Data'!$A$3:$CO$999,87,FALSE),"unknown")</f>
        <v>Woman</v>
      </c>
      <c r="AG230" s="120">
        <f>IFERROR(VLOOKUP(Table1[RespondentID],'All Data'!$A$3:$CO$999,88,FALSE),"unknown")</f>
        <v>17</v>
      </c>
      <c r="AH230" s="120" t="str">
        <f>IFERROR(VLOOKUP(Table1[RespondentID],'All Data'!$A$3:$CO$999,89,FALSE),"unknown")</f>
        <v>Suffolk</v>
      </c>
      <c r="AI230" s="120" t="str">
        <f>IFERROR(VLOOKUP(Table1[RespondentID],'All Data'!$A$3:$CO$999,90,FALSE),"unknown")</f>
        <v>Commack, 11725</v>
      </c>
      <c r="AJ230" s="120" t="str">
        <f>IFERROR(VLOOKUP(Table1[RespondentID],'All Data'!$A$3:$CO$999,91,FALSE),"unknown")</f>
        <v>White</v>
      </c>
      <c r="AK230" s="120" t="str">
        <f>IFERROR(VLOOKUP(Table1[RespondentID],'All Data'!$A$3:$CO$999,92,FALSE),"unknown")</f>
        <v>Hispanic or Latino</v>
      </c>
      <c r="AL230" s="120" t="str">
        <f>IFERROR(VLOOKUP(Table1[RespondentID],'All Data'!$A$3:$CO$999,93,FALSE),"unknown")</f>
        <v>English, Italian</v>
      </c>
      <c r="AM230" s="120" t="str">
        <f>IFERROR(VLOOKUP(Table1[RespondentID],'All Data'!$A$3:$CW$999,94,FALSE),"unknown")</f>
        <v>$75,000 to $125,000</v>
      </c>
      <c r="AN230" s="120" t="str">
        <f>IFERROR(VLOOKUP(Table1[RespondentID],'All Data'!$A$3:$CW$999,95,FALSE),"unknown")</f>
        <v>Some high school</v>
      </c>
      <c r="AO230" s="120" t="str">
        <f>IFERROR(VLOOKUP(Table1[RespondentID],'All Data'!$A$3:$CW$999,96,FALSE),"unknown")</f>
        <v>Student</v>
      </c>
      <c r="AP230" s="120" t="str">
        <f>IFERROR(VLOOKUP(Table1[RespondentID],'All Data'!$A$3:$CW$999,97,FALSE),"unknown")</f>
        <v>Yes</v>
      </c>
      <c r="AQ230" s="120">
        <f>IFERROR(VLOOKUP(Table1[RespondentID],'All Data'!$A$3:$CW$999,98,FALSE),"unknown")</f>
        <v>0</v>
      </c>
      <c r="AR230" s="120">
        <f>IFERROR(VLOOKUP(Table1[RespondentID],'All Data'!$A$3:$CW$999,99,FALSE),"unknown")</f>
        <v>0</v>
      </c>
    </row>
    <row r="231" spans="1:44" ht="16">
      <c r="A231" s="5">
        <v>18019102258</v>
      </c>
      <c r="B231" s="5"/>
      <c r="C231" s="5"/>
      <c r="D231" s="5" t="s">
        <v>31</v>
      </c>
      <c r="E231" s="5"/>
      <c r="F231" s="5" t="s">
        <v>33</v>
      </c>
      <c r="G231" s="5"/>
      <c r="H231" s="5"/>
      <c r="I231" s="5"/>
      <c r="J231" s="5"/>
      <c r="K231" s="5" t="s">
        <v>375</v>
      </c>
      <c r="L231" s="9"/>
      <c r="M231" s="9">
        <f t="shared" si="45"/>
        <v>3</v>
      </c>
      <c r="N231" s="9">
        <f t="shared" si="46"/>
        <v>1</v>
      </c>
      <c r="O231" s="9"/>
      <c r="P231" s="9">
        <f t="shared" si="47"/>
        <v>0</v>
      </c>
      <c r="Q231" s="9">
        <f t="shared" si="48"/>
        <v>0</v>
      </c>
      <c r="R231" s="9">
        <f t="shared" si="49"/>
        <v>1</v>
      </c>
      <c r="S231" s="9">
        <f t="shared" si="50"/>
        <v>0</v>
      </c>
      <c r="T231" s="9">
        <f t="shared" si="51"/>
        <v>1</v>
      </c>
      <c r="U231" s="9">
        <f t="shared" si="52"/>
        <v>0</v>
      </c>
      <c r="V231" s="153">
        <f t="shared" si="53"/>
        <v>0</v>
      </c>
      <c r="W231" s="9">
        <f t="shared" si="54"/>
        <v>0</v>
      </c>
      <c r="X231" s="9">
        <f t="shared" si="55"/>
        <v>0</v>
      </c>
      <c r="Y231" s="9">
        <f t="shared" si="56"/>
        <v>1</v>
      </c>
      <c r="Z231" s="9"/>
      <c r="AA231" s="9"/>
      <c r="AB231" s="9">
        <f t="shared" si="59"/>
        <v>3</v>
      </c>
      <c r="AC231" s="9">
        <f t="shared" si="57"/>
        <v>3</v>
      </c>
      <c r="AD231" s="9" t="str">
        <f t="shared" si="58"/>
        <v>Correct</v>
      </c>
      <c r="AE231" s="9"/>
      <c r="AF231" s="120" t="str">
        <f>IFERROR(VLOOKUP(Table1[RespondentID],'All Data'!$A$3:$CO$999,87,FALSE),"unknown")</f>
        <v>Woman</v>
      </c>
      <c r="AG231" s="120">
        <f>IFERROR(VLOOKUP(Table1[RespondentID],'All Data'!$A$3:$CO$999,88,FALSE),"unknown")</f>
        <v>84</v>
      </c>
      <c r="AH231" s="120" t="str">
        <f>IFERROR(VLOOKUP(Table1[RespondentID],'All Data'!$A$3:$CO$999,89,FALSE),"unknown")</f>
        <v>Suffolk</v>
      </c>
      <c r="AI231" s="120" t="str">
        <f>IFERROR(VLOOKUP(Table1[RespondentID],'All Data'!$A$3:$CO$999,90,FALSE),"unknown")</f>
        <v>Smithtown, 11787</v>
      </c>
      <c r="AJ231" s="120" t="str">
        <f>IFERROR(VLOOKUP(Table1[RespondentID],'All Data'!$A$3:$CO$999,91,FALSE),"unknown")</f>
        <v>Asian</v>
      </c>
      <c r="AK231" s="120" t="str">
        <f>IFERROR(VLOOKUP(Table1[RespondentID],'All Data'!$A$3:$CO$999,92,FALSE),"unknown")</f>
        <v>Not Hispanic or Latino</v>
      </c>
      <c r="AL231" s="120" t="str">
        <f>IFERROR(VLOOKUP(Table1[RespondentID],'All Data'!$A$3:$CO$999,93,FALSE),"unknown")</f>
        <v>English, Spanish</v>
      </c>
      <c r="AM231" s="120" t="str">
        <f>IFERROR(VLOOKUP(Table1[RespondentID],'All Data'!$A$3:$CW$999,94,FALSE),"unknown")</f>
        <v>$75,000 to $125,000</v>
      </c>
      <c r="AN231" s="120" t="str">
        <f>IFERROR(VLOOKUP(Table1[RespondentID],'All Data'!$A$3:$CW$999,95,FALSE),"unknown")</f>
        <v>College graduate</v>
      </c>
      <c r="AO231" s="120" t="str">
        <f>IFERROR(VLOOKUP(Table1[RespondentID],'All Data'!$A$3:$CW$999,96,FALSE),"unknown")</f>
        <v>Retired</v>
      </c>
      <c r="AP231" s="120" t="str">
        <f>IFERROR(VLOOKUP(Table1[RespondentID],'All Data'!$A$3:$CW$999,97,FALSE),"unknown")</f>
        <v>Yes</v>
      </c>
      <c r="AQ231" s="120">
        <f>IFERROR(VLOOKUP(Table1[RespondentID],'All Data'!$A$3:$CW$999,98,FALSE),"unknown")</f>
        <v>0</v>
      </c>
      <c r="AR231" s="120">
        <f>IFERROR(VLOOKUP(Table1[RespondentID],'All Data'!$A$3:$CW$999,99,FALSE),"unknown")</f>
        <v>0</v>
      </c>
    </row>
    <row r="232" spans="1:44" ht="16">
      <c r="A232" s="5">
        <v>18019102072</v>
      </c>
      <c r="B232" s="5" t="s">
        <v>29</v>
      </c>
      <c r="C232" s="5"/>
      <c r="D232" s="5" t="s">
        <v>31</v>
      </c>
      <c r="E232" s="5"/>
      <c r="F232" s="5"/>
      <c r="G232" s="5"/>
      <c r="H232" s="5"/>
      <c r="I232" s="5"/>
      <c r="J232" s="5"/>
      <c r="K232" s="5" t="s">
        <v>375</v>
      </c>
      <c r="L232" s="8"/>
      <c r="M232" s="8">
        <f t="shared" si="45"/>
        <v>3</v>
      </c>
      <c r="N232" s="8">
        <f t="shared" si="46"/>
        <v>1</v>
      </c>
      <c r="O232" s="8"/>
      <c r="P232" s="8">
        <f t="shared" si="47"/>
        <v>1</v>
      </c>
      <c r="Q232" s="8">
        <f t="shared" si="48"/>
        <v>0</v>
      </c>
      <c r="R232" s="8">
        <f t="shared" si="49"/>
        <v>1</v>
      </c>
      <c r="S232" s="8">
        <f t="shared" si="50"/>
        <v>0</v>
      </c>
      <c r="T232" s="8">
        <f t="shared" si="51"/>
        <v>0</v>
      </c>
      <c r="U232" s="8">
        <f t="shared" si="52"/>
        <v>0</v>
      </c>
      <c r="V232" s="153">
        <f t="shared" si="53"/>
        <v>0</v>
      </c>
      <c r="W232" s="8">
        <f t="shared" si="54"/>
        <v>0</v>
      </c>
      <c r="X232" s="8">
        <f t="shared" si="55"/>
        <v>0</v>
      </c>
      <c r="Y232" s="8">
        <f t="shared" si="56"/>
        <v>1</v>
      </c>
      <c r="Z232" s="8"/>
      <c r="AA232" s="8"/>
      <c r="AB232" s="8">
        <f t="shared" si="59"/>
        <v>3</v>
      </c>
      <c r="AC232" s="8">
        <f t="shared" si="57"/>
        <v>3</v>
      </c>
      <c r="AD232" s="8" t="str">
        <f t="shared" si="58"/>
        <v>Correct</v>
      </c>
      <c r="AE232" s="8"/>
      <c r="AF232" s="120" t="str">
        <f>IFERROR(VLOOKUP(Table1[RespondentID],'All Data'!$A$3:$CO$999,87,FALSE),"unknown")</f>
        <v>Man</v>
      </c>
      <c r="AG232" s="120">
        <f>IFERROR(VLOOKUP(Table1[RespondentID],'All Data'!$A$3:$CO$999,88,FALSE),"unknown")</f>
        <v>92</v>
      </c>
      <c r="AH232" s="120" t="str">
        <f>IFERROR(VLOOKUP(Table1[RespondentID],'All Data'!$A$3:$CO$999,89,FALSE),"unknown")</f>
        <v>Suffolk</v>
      </c>
      <c r="AI232" s="120" t="str">
        <f>IFERROR(VLOOKUP(Table1[RespondentID],'All Data'!$A$3:$CO$999,90,FALSE),"unknown")</f>
        <v>Commack, 11725</v>
      </c>
      <c r="AJ232" s="120" t="str">
        <f>IFERROR(VLOOKUP(Table1[RespondentID],'All Data'!$A$3:$CO$999,91,FALSE),"unknown")</f>
        <v>Asian</v>
      </c>
      <c r="AK232" s="120" t="str">
        <f>IFERROR(VLOOKUP(Table1[RespondentID],'All Data'!$A$3:$CO$999,92,FALSE),"unknown")</f>
        <v>Not Hispanic or Latino</v>
      </c>
      <c r="AL232" s="120" t="str">
        <f>IFERROR(VLOOKUP(Table1[RespondentID],'All Data'!$A$3:$CO$999,93,FALSE),"unknown")</f>
        <v>English, Spanish, Italian</v>
      </c>
      <c r="AM232" s="120" t="str">
        <f>IFERROR(VLOOKUP(Table1[RespondentID],'All Data'!$A$3:$CW$999,94,FALSE),"unknown")</f>
        <v>$35,000 to $49,999</v>
      </c>
      <c r="AN232" s="120" t="str">
        <f>IFERROR(VLOOKUP(Table1[RespondentID],'All Data'!$A$3:$CW$999,95,FALSE),"unknown")</f>
        <v>Graduate school</v>
      </c>
      <c r="AO232" s="120" t="str">
        <f>IFERROR(VLOOKUP(Table1[RespondentID],'All Data'!$A$3:$CW$999,96,FALSE),"unknown")</f>
        <v>Retired</v>
      </c>
      <c r="AP232" s="120" t="str">
        <f>IFERROR(VLOOKUP(Table1[RespondentID],'All Data'!$A$3:$CW$999,97,FALSE),"unknown")</f>
        <v>Yes</v>
      </c>
      <c r="AQ232" s="120">
        <f>IFERROR(VLOOKUP(Table1[RespondentID],'All Data'!$A$3:$CW$999,98,FALSE),"unknown")</f>
        <v>0</v>
      </c>
      <c r="AR232" s="120">
        <f>IFERROR(VLOOKUP(Table1[RespondentID],'All Data'!$A$3:$CW$999,99,FALSE),"unknown")</f>
        <v>0</v>
      </c>
    </row>
    <row r="233" spans="1:44" ht="16">
      <c r="A233" s="5">
        <v>18019101896</v>
      </c>
      <c r="B233" s="5"/>
      <c r="C233" s="5" t="s">
        <v>30</v>
      </c>
      <c r="D233" s="5"/>
      <c r="E233" s="5"/>
      <c r="F233" s="5" t="s">
        <v>33</v>
      </c>
      <c r="G233" s="5"/>
      <c r="H233" s="5"/>
      <c r="I233" s="5" t="s">
        <v>36</v>
      </c>
      <c r="J233" s="5"/>
      <c r="K233" s="5"/>
      <c r="L233" s="9"/>
      <c r="M233" s="9">
        <f t="shared" si="45"/>
        <v>3</v>
      </c>
      <c r="N233" s="9">
        <f t="shared" si="46"/>
        <v>1</v>
      </c>
      <c r="O233" s="9"/>
      <c r="P233" s="9">
        <f t="shared" si="47"/>
        <v>0</v>
      </c>
      <c r="Q233" s="9">
        <f t="shared" si="48"/>
        <v>1</v>
      </c>
      <c r="R233" s="9">
        <f t="shared" si="49"/>
        <v>0</v>
      </c>
      <c r="S233" s="9">
        <f t="shared" si="50"/>
        <v>0</v>
      </c>
      <c r="T233" s="9">
        <f t="shared" si="51"/>
        <v>1</v>
      </c>
      <c r="U233" s="9">
        <f t="shared" si="52"/>
        <v>0</v>
      </c>
      <c r="V233" s="153">
        <f t="shared" si="53"/>
        <v>0</v>
      </c>
      <c r="W233" s="9">
        <f t="shared" si="54"/>
        <v>1</v>
      </c>
      <c r="X233" s="9">
        <f t="shared" si="55"/>
        <v>0</v>
      </c>
      <c r="Y233" s="9">
        <f t="shared" si="56"/>
        <v>0</v>
      </c>
      <c r="Z233" s="9"/>
      <c r="AA233" s="9"/>
      <c r="AB233" s="9">
        <f t="shared" si="59"/>
        <v>3</v>
      </c>
      <c r="AC233" s="9">
        <f t="shared" si="57"/>
        <v>3</v>
      </c>
      <c r="AD233" s="9" t="str">
        <f t="shared" si="58"/>
        <v>Correct</v>
      </c>
      <c r="AE233" s="9"/>
      <c r="AF233" s="120" t="str">
        <f>IFERROR(VLOOKUP(Table1[RespondentID],'All Data'!$A$3:$CO$999,87,FALSE),"unknown")</f>
        <v>Man</v>
      </c>
      <c r="AG233" s="120">
        <f>IFERROR(VLOOKUP(Table1[RespondentID],'All Data'!$A$3:$CO$999,88,FALSE),"unknown")</f>
        <v>63</v>
      </c>
      <c r="AH233" s="120" t="str">
        <f>IFERROR(VLOOKUP(Table1[RespondentID],'All Data'!$A$3:$CO$999,89,FALSE),"unknown")</f>
        <v>Suffolk</v>
      </c>
      <c r="AI233" s="120" t="str">
        <f>IFERROR(VLOOKUP(Table1[RespondentID],'All Data'!$A$3:$CO$999,90,FALSE),"unknown")</f>
        <v>Smithtown, 11787</v>
      </c>
      <c r="AJ233" s="120" t="str">
        <f>IFERROR(VLOOKUP(Table1[RespondentID],'All Data'!$A$3:$CO$999,91,FALSE),"unknown")</f>
        <v>Native Hawaiian and Other Pacific Islander</v>
      </c>
      <c r="AK233" s="120" t="str">
        <f>IFERROR(VLOOKUP(Table1[RespondentID],'All Data'!$A$3:$CO$999,92,FALSE),"unknown")</f>
        <v>Hispanic or Latino</v>
      </c>
      <c r="AL233" s="120" t="str">
        <f>IFERROR(VLOOKUP(Table1[RespondentID],'All Data'!$A$3:$CO$999,93,FALSE),"unknown")</f>
        <v>English</v>
      </c>
      <c r="AM233" s="120" t="str">
        <f>IFERROR(VLOOKUP(Table1[RespondentID],'All Data'!$A$3:$CW$999,94,FALSE),"unknown")</f>
        <v>$75,000 to $125,000</v>
      </c>
      <c r="AN233" s="120" t="str">
        <f>IFERROR(VLOOKUP(Table1[RespondentID],'All Data'!$A$3:$CW$999,95,FALSE),"unknown")</f>
        <v>College graduate</v>
      </c>
      <c r="AO233" s="120" t="str">
        <f>IFERROR(VLOOKUP(Table1[RespondentID],'All Data'!$A$3:$CW$999,96,FALSE),"unknown")</f>
        <v>Employed for wages</v>
      </c>
      <c r="AP233" s="120" t="str">
        <f>IFERROR(VLOOKUP(Table1[RespondentID],'All Data'!$A$3:$CW$999,97,FALSE),"unknown")</f>
        <v>Yes</v>
      </c>
      <c r="AQ233" s="120">
        <f>IFERROR(VLOOKUP(Table1[RespondentID],'All Data'!$A$3:$CW$999,98,FALSE),"unknown")</f>
        <v>0</v>
      </c>
      <c r="AR233" s="120">
        <f>IFERROR(VLOOKUP(Table1[RespondentID],'All Data'!$A$3:$CW$999,99,FALSE),"unknown")</f>
        <v>0</v>
      </c>
    </row>
    <row r="234" spans="1:44" ht="16">
      <c r="A234" s="5">
        <v>18019101753</v>
      </c>
      <c r="B234" s="5"/>
      <c r="C234" s="5"/>
      <c r="D234" s="5" t="s">
        <v>31</v>
      </c>
      <c r="E234" s="5"/>
      <c r="F234" s="5"/>
      <c r="G234" s="5"/>
      <c r="H234" s="5" t="s">
        <v>35</v>
      </c>
      <c r="I234" s="5"/>
      <c r="J234" s="5" t="s">
        <v>37</v>
      </c>
      <c r="K234" s="5"/>
      <c r="L234" s="8"/>
      <c r="M234" s="8">
        <f t="shared" si="45"/>
        <v>3</v>
      </c>
      <c r="N234" s="8">
        <f t="shared" si="46"/>
        <v>1</v>
      </c>
      <c r="O234" s="8"/>
      <c r="P234" s="8">
        <f t="shared" si="47"/>
        <v>0</v>
      </c>
      <c r="Q234" s="8">
        <f t="shared" si="48"/>
        <v>0</v>
      </c>
      <c r="R234" s="8">
        <f t="shared" si="49"/>
        <v>1</v>
      </c>
      <c r="S234" s="8">
        <f t="shared" si="50"/>
        <v>0</v>
      </c>
      <c r="T234" s="8">
        <f t="shared" si="51"/>
        <v>0</v>
      </c>
      <c r="U234" s="8">
        <f t="shared" si="52"/>
        <v>0</v>
      </c>
      <c r="V234" s="153">
        <f t="shared" si="53"/>
        <v>1</v>
      </c>
      <c r="W234" s="8">
        <f t="shared" si="54"/>
        <v>0</v>
      </c>
      <c r="X234" s="8">
        <f t="shared" si="55"/>
        <v>1</v>
      </c>
      <c r="Y234" s="8">
        <f t="shared" si="56"/>
        <v>0</v>
      </c>
      <c r="Z234" s="8"/>
      <c r="AA234" s="8"/>
      <c r="AB234" s="8">
        <f t="shared" si="59"/>
        <v>3</v>
      </c>
      <c r="AC234" s="8">
        <f t="shared" si="57"/>
        <v>3</v>
      </c>
      <c r="AD234" s="8" t="str">
        <f t="shared" si="58"/>
        <v>Correct</v>
      </c>
      <c r="AE234" s="8"/>
      <c r="AF234" s="120" t="str">
        <f>IFERROR(VLOOKUP(Table1[RespondentID],'All Data'!$A$3:$CO$999,87,FALSE),"unknown")</f>
        <v>Woman</v>
      </c>
      <c r="AG234" s="120">
        <f>IFERROR(VLOOKUP(Table1[RespondentID],'All Data'!$A$3:$CO$999,88,FALSE),"unknown")</f>
        <v>22</v>
      </c>
      <c r="AH234" s="120" t="str">
        <f>IFERROR(VLOOKUP(Table1[RespondentID],'All Data'!$A$3:$CO$999,89,FALSE),"unknown")</f>
        <v>Suffolk</v>
      </c>
      <c r="AI234" s="120" t="str">
        <f>IFERROR(VLOOKUP(Table1[RespondentID],'All Data'!$A$3:$CO$999,90,FALSE),"unknown")</f>
        <v>Commack, 11725</v>
      </c>
      <c r="AJ234" s="120" t="str">
        <f>IFERROR(VLOOKUP(Table1[RespondentID],'All Data'!$A$3:$CO$999,91,FALSE),"unknown")</f>
        <v>Asian</v>
      </c>
      <c r="AK234" s="120" t="str">
        <f>IFERROR(VLOOKUP(Table1[RespondentID],'All Data'!$A$3:$CO$999,92,FALSE),"unknown")</f>
        <v>Not Hispanic or Latino</v>
      </c>
      <c r="AL234" s="120" t="str">
        <f>IFERROR(VLOOKUP(Table1[RespondentID],'All Data'!$A$3:$CO$999,93,FALSE),"unknown")</f>
        <v>English, Spanish, Polish</v>
      </c>
      <c r="AM234" s="120">
        <f>IFERROR(VLOOKUP(Table1[RespondentID],'All Data'!$A$3:$CW$999,94,FALSE),"unknown")</f>
        <v>0</v>
      </c>
      <c r="AN234" s="120" t="str">
        <f>IFERROR(VLOOKUP(Table1[RespondentID],'All Data'!$A$3:$CW$999,95,FALSE),"unknown")</f>
        <v>Some college</v>
      </c>
      <c r="AO234" s="120" t="str">
        <f>IFERROR(VLOOKUP(Table1[RespondentID],'All Data'!$A$3:$CW$999,96,FALSE),"unknown")</f>
        <v>Student</v>
      </c>
      <c r="AP234" s="120" t="str">
        <f>IFERROR(VLOOKUP(Table1[RespondentID],'All Data'!$A$3:$CW$999,97,FALSE),"unknown")</f>
        <v>Yes</v>
      </c>
      <c r="AQ234" s="120">
        <f>IFERROR(VLOOKUP(Table1[RespondentID],'All Data'!$A$3:$CW$999,98,FALSE),"unknown")</f>
        <v>0</v>
      </c>
      <c r="AR234" s="120">
        <f>IFERROR(VLOOKUP(Table1[RespondentID],'All Data'!$A$3:$CW$999,99,FALSE),"unknown")</f>
        <v>0</v>
      </c>
    </row>
    <row r="235" spans="1:44" ht="16">
      <c r="A235" s="5">
        <v>18019101576</v>
      </c>
      <c r="B235" s="5" t="s">
        <v>29</v>
      </c>
      <c r="C235" s="5"/>
      <c r="D235" s="5"/>
      <c r="E235" s="5"/>
      <c r="F235" s="5"/>
      <c r="G235" s="5"/>
      <c r="H235" s="5"/>
      <c r="I235" s="5"/>
      <c r="J235" s="5" t="s">
        <v>37</v>
      </c>
      <c r="K235" s="5" t="s">
        <v>375</v>
      </c>
      <c r="L235" s="9"/>
      <c r="M235" s="9">
        <f t="shared" si="45"/>
        <v>3</v>
      </c>
      <c r="N235" s="9">
        <f t="shared" si="46"/>
        <v>1</v>
      </c>
      <c r="O235" s="9"/>
      <c r="P235" s="9">
        <f t="shared" si="47"/>
        <v>1</v>
      </c>
      <c r="Q235" s="9">
        <f t="shared" si="48"/>
        <v>0</v>
      </c>
      <c r="R235" s="9">
        <f t="shared" si="49"/>
        <v>0</v>
      </c>
      <c r="S235" s="9">
        <f t="shared" si="50"/>
        <v>0</v>
      </c>
      <c r="T235" s="9">
        <f t="shared" si="51"/>
        <v>0</v>
      </c>
      <c r="U235" s="9">
        <f t="shared" si="52"/>
        <v>0</v>
      </c>
      <c r="V235" s="153">
        <f t="shared" si="53"/>
        <v>0</v>
      </c>
      <c r="W235" s="9">
        <f t="shared" si="54"/>
        <v>0</v>
      </c>
      <c r="X235" s="9">
        <f t="shared" si="55"/>
        <v>1</v>
      </c>
      <c r="Y235" s="9">
        <f t="shared" si="56"/>
        <v>1</v>
      </c>
      <c r="Z235" s="9"/>
      <c r="AA235" s="9"/>
      <c r="AB235" s="9">
        <f t="shared" si="59"/>
        <v>3</v>
      </c>
      <c r="AC235" s="9">
        <f t="shared" si="57"/>
        <v>3</v>
      </c>
      <c r="AD235" s="9" t="str">
        <f t="shared" si="58"/>
        <v>Correct</v>
      </c>
      <c r="AE235" s="9"/>
      <c r="AF235" s="120">
        <f>IFERROR(VLOOKUP(Table1[RespondentID],'All Data'!$A$3:$CO$999,87,FALSE),"unknown")</f>
        <v>0</v>
      </c>
      <c r="AG235" s="120">
        <f>IFERROR(VLOOKUP(Table1[RespondentID],'All Data'!$A$3:$CO$999,88,FALSE),"unknown")</f>
        <v>0</v>
      </c>
      <c r="AH235" s="120">
        <f>IFERROR(VLOOKUP(Table1[RespondentID],'All Data'!$A$3:$CO$999,89,FALSE),"unknown")</f>
        <v>0</v>
      </c>
      <c r="AI235" s="120">
        <f>IFERROR(VLOOKUP(Table1[RespondentID],'All Data'!$A$3:$CO$999,90,FALSE),"unknown")</f>
        <v>0</v>
      </c>
      <c r="AJ235" s="120">
        <f>IFERROR(VLOOKUP(Table1[RespondentID],'All Data'!$A$3:$CO$999,91,FALSE),"unknown")</f>
        <v>0</v>
      </c>
      <c r="AK235" s="120">
        <f>IFERROR(VLOOKUP(Table1[RespondentID],'All Data'!$A$3:$CO$999,92,FALSE),"unknown")</f>
        <v>0</v>
      </c>
      <c r="AL235" s="120">
        <f>IFERROR(VLOOKUP(Table1[RespondentID],'All Data'!$A$3:$CO$999,93,FALSE),"unknown")</f>
        <v>0</v>
      </c>
      <c r="AM235" s="120">
        <f>IFERROR(VLOOKUP(Table1[RespondentID],'All Data'!$A$3:$CW$999,94,FALSE),"unknown")</f>
        <v>0</v>
      </c>
      <c r="AN235" s="120">
        <f>IFERROR(VLOOKUP(Table1[RespondentID],'All Data'!$A$3:$CW$999,95,FALSE),"unknown")</f>
        <v>0</v>
      </c>
      <c r="AO235" s="120">
        <f>IFERROR(VLOOKUP(Table1[RespondentID],'All Data'!$A$3:$CW$999,96,FALSE),"unknown")</f>
        <v>0</v>
      </c>
      <c r="AP235" s="120">
        <f>IFERROR(VLOOKUP(Table1[RespondentID],'All Data'!$A$3:$CW$999,97,FALSE),"unknown")</f>
        <v>0</v>
      </c>
      <c r="AQ235" s="120">
        <f>IFERROR(VLOOKUP(Table1[RespondentID],'All Data'!$A$3:$CW$999,98,FALSE),"unknown")</f>
        <v>0</v>
      </c>
      <c r="AR235" s="120">
        <f>IFERROR(VLOOKUP(Table1[RespondentID],'All Data'!$A$3:$CW$999,99,FALSE),"unknown")</f>
        <v>0</v>
      </c>
    </row>
    <row r="236" spans="1:44" ht="16">
      <c r="A236" s="5">
        <v>18019101345</v>
      </c>
      <c r="B236" s="5"/>
      <c r="C236" s="5"/>
      <c r="D236" s="5" t="s">
        <v>31</v>
      </c>
      <c r="E236" s="5" t="s">
        <v>32</v>
      </c>
      <c r="F236" s="5"/>
      <c r="G236" s="5"/>
      <c r="H236" s="5"/>
      <c r="I236" s="5"/>
      <c r="J236" s="5"/>
      <c r="K236" s="5" t="s">
        <v>375</v>
      </c>
      <c r="L236" s="8"/>
      <c r="M236" s="8">
        <f t="shared" si="45"/>
        <v>3</v>
      </c>
      <c r="N236" s="8">
        <f t="shared" si="46"/>
        <v>1</v>
      </c>
      <c r="O236" s="8"/>
      <c r="P236" s="8">
        <f t="shared" si="47"/>
        <v>0</v>
      </c>
      <c r="Q236" s="8">
        <f t="shared" si="48"/>
        <v>0</v>
      </c>
      <c r="R236" s="8">
        <f t="shared" si="49"/>
        <v>1</v>
      </c>
      <c r="S236" s="8">
        <f t="shared" si="50"/>
        <v>1</v>
      </c>
      <c r="T236" s="8">
        <f t="shared" si="51"/>
        <v>0</v>
      </c>
      <c r="U236" s="8">
        <f t="shared" si="52"/>
        <v>0</v>
      </c>
      <c r="V236" s="153">
        <f t="shared" si="53"/>
        <v>0</v>
      </c>
      <c r="W236" s="8">
        <f t="shared" si="54"/>
        <v>0</v>
      </c>
      <c r="X236" s="8">
        <f t="shared" si="55"/>
        <v>0</v>
      </c>
      <c r="Y236" s="8">
        <f t="shared" si="56"/>
        <v>1</v>
      </c>
      <c r="Z236" s="8"/>
      <c r="AA236" s="8"/>
      <c r="AB236" s="8">
        <f t="shared" si="59"/>
        <v>3</v>
      </c>
      <c r="AC236" s="8">
        <f t="shared" si="57"/>
        <v>3</v>
      </c>
      <c r="AD236" s="8" t="str">
        <f t="shared" si="58"/>
        <v>Correct</v>
      </c>
      <c r="AE236" s="8"/>
      <c r="AF236" s="120" t="str">
        <f>IFERROR(VLOOKUP(Table1[RespondentID],'All Data'!$A$3:$CO$999,87,FALSE),"unknown")</f>
        <v>Man</v>
      </c>
      <c r="AG236" s="120">
        <f>IFERROR(VLOOKUP(Table1[RespondentID],'All Data'!$A$3:$CO$999,88,FALSE),"unknown")</f>
        <v>82</v>
      </c>
      <c r="AH236" s="120" t="str">
        <f>IFERROR(VLOOKUP(Table1[RespondentID],'All Data'!$A$3:$CO$999,89,FALSE),"unknown")</f>
        <v>Suffolk</v>
      </c>
      <c r="AI236" s="120" t="str">
        <f>IFERROR(VLOOKUP(Table1[RespondentID],'All Data'!$A$3:$CO$999,90,FALSE),"unknown")</f>
        <v>Smithtown, 11787</v>
      </c>
      <c r="AJ236" s="120" t="str">
        <f>IFERROR(VLOOKUP(Table1[RespondentID],'All Data'!$A$3:$CO$999,91,FALSE),"unknown")</f>
        <v>Black or African American</v>
      </c>
      <c r="AK236" s="120" t="str">
        <f>IFERROR(VLOOKUP(Table1[RespondentID],'All Data'!$A$3:$CO$999,92,FALSE),"unknown")</f>
        <v>Hispanic or Latino</v>
      </c>
      <c r="AL236" s="120" t="str">
        <f>IFERROR(VLOOKUP(Table1[RespondentID],'All Data'!$A$3:$CO$999,93,FALSE),"unknown")</f>
        <v>English</v>
      </c>
      <c r="AM236" s="120" t="str">
        <f>IFERROR(VLOOKUP(Table1[RespondentID],'All Data'!$A$3:$CW$999,94,FALSE),"unknown")</f>
        <v>$75,000 to $125,000</v>
      </c>
      <c r="AN236" s="120" t="str">
        <f>IFERROR(VLOOKUP(Table1[RespondentID],'All Data'!$A$3:$CW$999,95,FALSE),"unknown")</f>
        <v>Graduate school</v>
      </c>
      <c r="AO236" s="120" t="str">
        <f>IFERROR(VLOOKUP(Table1[RespondentID],'All Data'!$A$3:$CW$999,96,FALSE),"unknown")</f>
        <v>Retired</v>
      </c>
      <c r="AP236" s="120" t="str">
        <f>IFERROR(VLOOKUP(Table1[RespondentID],'All Data'!$A$3:$CW$999,97,FALSE),"unknown")</f>
        <v>Yes</v>
      </c>
      <c r="AQ236" s="120">
        <f>IFERROR(VLOOKUP(Table1[RespondentID],'All Data'!$A$3:$CW$999,98,FALSE),"unknown")</f>
        <v>0</v>
      </c>
      <c r="AR236" s="120">
        <f>IFERROR(VLOOKUP(Table1[RespondentID],'All Data'!$A$3:$CW$999,99,FALSE),"unknown")</f>
        <v>0</v>
      </c>
    </row>
    <row r="237" spans="1:44" ht="16">
      <c r="A237" s="5">
        <v>18019101072</v>
      </c>
      <c r="B237" s="5"/>
      <c r="C237" s="5"/>
      <c r="D237" s="5" t="s">
        <v>31</v>
      </c>
      <c r="E237" s="5"/>
      <c r="F237" s="5"/>
      <c r="G237" s="5"/>
      <c r="H237" s="5"/>
      <c r="I237" s="5" t="s">
        <v>36</v>
      </c>
      <c r="J237" s="5" t="s">
        <v>37</v>
      </c>
      <c r="K237" s="5"/>
      <c r="L237" s="9"/>
      <c r="M237" s="9">
        <f t="shared" si="45"/>
        <v>3</v>
      </c>
      <c r="N237" s="9">
        <f t="shared" si="46"/>
        <v>1</v>
      </c>
      <c r="O237" s="9"/>
      <c r="P237" s="9">
        <f t="shared" si="47"/>
        <v>0</v>
      </c>
      <c r="Q237" s="9">
        <f t="shared" si="48"/>
        <v>0</v>
      </c>
      <c r="R237" s="9">
        <f t="shared" si="49"/>
        <v>1</v>
      </c>
      <c r="S237" s="9">
        <f t="shared" si="50"/>
        <v>0</v>
      </c>
      <c r="T237" s="9">
        <f t="shared" si="51"/>
        <v>0</v>
      </c>
      <c r="U237" s="9">
        <f t="shared" si="52"/>
        <v>0</v>
      </c>
      <c r="V237" s="153">
        <f t="shared" si="53"/>
        <v>0</v>
      </c>
      <c r="W237" s="9">
        <f t="shared" si="54"/>
        <v>1</v>
      </c>
      <c r="X237" s="9">
        <f t="shared" si="55"/>
        <v>1</v>
      </c>
      <c r="Y237" s="9">
        <f t="shared" si="56"/>
        <v>0</v>
      </c>
      <c r="Z237" s="9"/>
      <c r="AA237" s="9"/>
      <c r="AB237" s="9">
        <f t="shared" si="59"/>
        <v>3</v>
      </c>
      <c r="AC237" s="9">
        <f t="shared" si="57"/>
        <v>3</v>
      </c>
      <c r="AD237" s="9" t="str">
        <f t="shared" si="58"/>
        <v>Correct</v>
      </c>
      <c r="AE237" s="9"/>
      <c r="AF237" s="120" t="str">
        <f>IFERROR(VLOOKUP(Table1[RespondentID],'All Data'!$A$3:$CO$999,87,FALSE),"unknown")</f>
        <v>Man</v>
      </c>
      <c r="AG237" s="120">
        <f>IFERROR(VLOOKUP(Table1[RespondentID],'All Data'!$A$3:$CO$999,88,FALSE),"unknown")</f>
        <v>18</v>
      </c>
      <c r="AH237" s="120" t="str">
        <f>IFERROR(VLOOKUP(Table1[RespondentID],'All Data'!$A$3:$CO$999,89,FALSE),"unknown")</f>
        <v>Suffolk</v>
      </c>
      <c r="AI237" s="120" t="str">
        <f>IFERROR(VLOOKUP(Table1[RespondentID],'All Data'!$A$3:$CO$999,90,FALSE),"unknown")</f>
        <v>Smithtown, 11787</v>
      </c>
      <c r="AJ237" s="120" t="str">
        <f>IFERROR(VLOOKUP(Table1[RespondentID],'All Data'!$A$3:$CO$999,91,FALSE),"unknown")</f>
        <v>White</v>
      </c>
      <c r="AK237" s="120" t="str">
        <f>IFERROR(VLOOKUP(Table1[RespondentID],'All Data'!$A$3:$CO$999,92,FALSE),"unknown")</f>
        <v>Hispanic or Latino</v>
      </c>
      <c r="AL237" s="120" t="str">
        <f>IFERROR(VLOOKUP(Table1[RespondentID],'All Data'!$A$3:$CO$999,93,FALSE),"unknown")</f>
        <v>English</v>
      </c>
      <c r="AM237" s="120" t="str">
        <f>IFERROR(VLOOKUP(Table1[RespondentID],'All Data'!$A$3:$CW$999,94,FALSE),"unknown")</f>
        <v>$20,000 to $34,999</v>
      </c>
      <c r="AN237" s="120" t="str">
        <f>IFERROR(VLOOKUP(Table1[RespondentID],'All Data'!$A$3:$CW$999,95,FALSE),"unknown")</f>
        <v>Some college</v>
      </c>
      <c r="AO237" s="120" t="str">
        <f>IFERROR(VLOOKUP(Table1[RespondentID],'All Data'!$A$3:$CW$999,96,FALSE),"unknown")</f>
        <v>Student</v>
      </c>
      <c r="AP237" s="120" t="str">
        <f>IFERROR(VLOOKUP(Table1[RespondentID],'All Data'!$A$3:$CW$999,97,FALSE),"unknown")</f>
        <v>Yes</v>
      </c>
      <c r="AQ237" s="120">
        <f>IFERROR(VLOOKUP(Table1[RespondentID],'All Data'!$A$3:$CW$999,98,FALSE),"unknown")</f>
        <v>0</v>
      </c>
      <c r="AR237" s="120">
        <f>IFERROR(VLOOKUP(Table1[RespondentID],'All Data'!$A$3:$CW$999,99,FALSE),"unknown")</f>
        <v>0</v>
      </c>
    </row>
    <row r="238" spans="1:44" ht="16">
      <c r="A238" s="5">
        <v>18019100917</v>
      </c>
      <c r="B238" s="5"/>
      <c r="C238" s="5"/>
      <c r="D238" s="5" t="s">
        <v>31</v>
      </c>
      <c r="E238" s="5" t="s">
        <v>32</v>
      </c>
      <c r="F238" s="5"/>
      <c r="G238" s="5"/>
      <c r="H238" s="5"/>
      <c r="I238" s="5"/>
      <c r="J238" s="5"/>
      <c r="K238" s="5"/>
      <c r="L238" s="8"/>
      <c r="M238" s="8">
        <f t="shared" si="45"/>
        <v>2</v>
      </c>
      <c r="N238" s="8">
        <f t="shared" si="46"/>
        <v>1.5</v>
      </c>
      <c r="O238" s="8"/>
      <c r="P238" s="8">
        <f t="shared" si="47"/>
        <v>0</v>
      </c>
      <c r="Q238" s="8">
        <f t="shared" si="48"/>
        <v>0</v>
      </c>
      <c r="R238" s="8">
        <f t="shared" si="49"/>
        <v>1</v>
      </c>
      <c r="S238" s="8">
        <f t="shared" si="50"/>
        <v>1</v>
      </c>
      <c r="T238" s="8">
        <f t="shared" si="51"/>
        <v>0</v>
      </c>
      <c r="U238" s="8">
        <f t="shared" si="52"/>
        <v>0</v>
      </c>
      <c r="V238" s="153">
        <f t="shared" si="53"/>
        <v>0</v>
      </c>
      <c r="W238" s="8">
        <f t="shared" si="54"/>
        <v>0</v>
      </c>
      <c r="X238" s="8">
        <f t="shared" si="55"/>
        <v>0</v>
      </c>
      <c r="Y238" s="8">
        <f t="shared" si="56"/>
        <v>0</v>
      </c>
      <c r="Z238" s="8"/>
      <c r="AA238" s="8"/>
      <c r="AB238" s="8">
        <f t="shared" si="59"/>
        <v>2</v>
      </c>
      <c r="AC238" s="8">
        <f t="shared" si="57"/>
        <v>2</v>
      </c>
      <c r="AD238" s="8" t="str">
        <f t="shared" si="58"/>
        <v>Correct</v>
      </c>
      <c r="AE238" s="8"/>
      <c r="AF238" s="120" t="str">
        <f>IFERROR(VLOOKUP(Table1[RespondentID],'All Data'!$A$3:$CO$999,87,FALSE),"unknown")</f>
        <v>Woman</v>
      </c>
      <c r="AG238" s="120">
        <f>IFERROR(VLOOKUP(Table1[RespondentID],'All Data'!$A$3:$CO$999,88,FALSE),"unknown")</f>
        <v>34</v>
      </c>
      <c r="AH238" s="120" t="str">
        <f>IFERROR(VLOOKUP(Table1[RespondentID],'All Data'!$A$3:$CO$999,89,FALSE),"unknown")</f>
        <v>Suffolk</v>
      </c>
      <c r="AI238" s="120" t="str">
        <f>IFERROR(VLOOKUP(Table1[RespondentID],'All Data'!$A$3:$CO$999,90,FALSE),"unknown")</f>
        <v>Huntington, 11743</v>
      </c>
      <c r="AJ238" s="120" t="str">
        <f>IFERROR(VLOOKUP(Table1[RespondentID],'All Data'!$A$3:$CO$999,91,FALSE),"unknown")</f>
        <v>Native Hawaiian and Other Pacific Islander</v>
      </c>
      <c r="AK238" s="120" t="str">
        <f>IFERROR(VLOOKUP(Table1[RespondentID],'All Data'!$A$3:$CO$999,92,FALSE),"unknown")</f>
        <v>Hispanic or Latino</v>
      </c>
      <c r="AL238" s="120" t="str">
        <f>IFERROR(VLOOKUP(Table1[RespondentID],'All Data'!$A$3:$CO$999,93,FALSE),"unknown")</f>
        <v>English</v>
      </c>
      <c r="AM238" s="120" t="str">
        <f>IFERROR(VLOOKUP(Table1[RespondentID],'All Data'!$A$3:$CW$999,94,FALSE),"unknown")</f>
        <v>$20,000 to $34,999</v>
      </c>
      <c r="AN238" s="120" t="str">
        <f>IFERROR(VLOOKUP(Table1[RespondentID],'All Data'!$A$3:$CW$999,95,FALSE),"unknown")</f>
        <v>Technical school</v>
      </c>
      <c r="AO238" s="120" t="str">
        <f>IFERROR(VLOOKUP(Table1[RespondentID],'All Data'!$A$3:$CW$999,96,FALSE),"unknown")</f>
        <v>Out of work and looking for work</v>
      </c>
      <c r="AP238" s="120" t="str">
        <f>IFERROR(VLOOKUP(Table1[RespondentID],'All Data'!$A$3:$CW$999,97,FALSE),"unknown")</f>
        <v>No</v>
      </c>
      <c r="AQ238" s="120">
        <f>IFERROR(VLOOKUP(Table1[RespondentID],'All Data'!$A$3:$CW$999,98,FALSE),"unknown")</f>
        <v>0</v>
      </c>
      <c r="AR238" s="120">
        <f>IFERROR(VLOOKUP(Table1[RespondentID],'All Data'!$A$3:$CW$999,99,FALSE),"unknown")</f>
        <v>0</v>
      </c>
    </row>
    <row r="239" spans="1:44" ht="16">
      <c r="A239" s="5">
        <v>18019100690</v>
      </c>
      <c r="B239" s="5"/>
      <c r="C239" s="5"/>
      <c r="D239" s="5"/>
      <c r="E239" s="5" t="s">
        <v>32</v>
      </c>
      <c r="F239" s="5"/>
      <c r="G239" s="5" t="s">
        <v>34</v>
      </c>
      <c r="H239" s="5"/>
      <c r="I239" s="5"/>
      <c r="J239" s="5"/>
      <c r="K239" s="5" t="s">
        <v>375</v>
      </c>
      <c r="L239" s="9"/>
      <c r="M239" s="9">
        <f t="shared" si="45"/>
        <v>3</v>
      </c>
      <c r="N239" s="9">
        <f t="shared" si="46"/>
        <v>1</v>
      </c>
      <c r="O239" s="9"/>
      <c r="P239" s="9">
        <f t="shared" si="47"/>
        <v>0</v>
      </c>
      <c r="Q239" s="9">
        <f t="shared" si="48"/>
        <v>0</v>
      </c>
      <c r="R239" s="9">
        <f t="shared" si="49"/>
        <v>0</v>
      </c>
      <c r="S239" s="9">
        <f t="shared" si="50"/>
        <v>1</v>
      </c>
      <c r="T239" s="9">
        <f t="shared" si="51"/>
        <v>0</v>
      </c>
      <c r="U239" s="9">
        <f t="shared" si="52"/>
        <v>1</v>
      </c>
      <c r="V239" s="153">
        <f t="shared" si="53"/>
        <v>0</v>
      </c>
      <c r="W239" s="9">
        <f t="shared" si="54"/>
        <v>0</v>
      </c>
      <c r="X239" s="9">
        <f t="shared" si="55"/>
        <v>0</v>
      </c>
      <c r="Y239" s="9">
        <f t="shared" si="56"/>
        <v>1</v>
      </c>
      <c r="Z239" s="9"/>
      <c r="AA239" s="9"/>
      <c r="AB239" s="9">
        <f t="shared" si="59"/>
        <v>3</v>
      </c>
      <c r="AC239" s="9">
        <f t="shared" si="57"/>
        <v>3</v>
      </c>
      <c r="AD239" s="9" t="str">
        <f t="shared" si="58"/>
        <v>Correct</v>
      </c>
      <c r="AE239" s="9"/>
      <c r="AF239" s="120" t="str">
        <f>IFERROR(VLOOKUP(Table1[RespondentID],'All Data'!$A$3:$CO$999,87,FALSE),"unknown")</f>
        <v>Woman</v>
      </c>
      <c r="AG239" s="120">
        <f>IFERROR(VLOOKUP(Table1[RespondentID],'All Data'!$A$3:$CO$999,88,FALSE),"unknown")</f>
        <v>28</v>
      </c>
      <c r="AH239" s="120" t="str">
        <f>IFERROR(VLOOKUP(Table1[RespondentID],'All Data'!$A$3:$CO$999,89,FALSE),"unknown")</f>
        <v>Suffolk</v>
      </c>
      <c r="AI239" s="120" t="str">
        <f>IFERROR(VLOOKUP(Table1[RespondentID],'All Data'!$A$3:$CO$999,90,FALSE),"unknown")</f>
        <v>Greenlawn, 11740</v>
      </c>
      <c r="AJ239" s="120" t="str">
        <f>IFERROR(VLOOKUP(Table1[RespondentID],'All Data'!$A$3:$CO$999,91,FALSE),"unknown")</f>
        <v>White</v>
      </c>
      <c r="AK239" s="120" t="str">
        <f>IFERROR(VLOOKUP(Table1[RespondentID],'All Data'!$A$3:$CO$999,92,FALSE),"unknown")</f>
        <v>Hispanic or Latino</v>
      </c>
      <c r="AL239" s="120" t="str">
        <f>IFERROR(VLOOKUP(Table1[RespondentID],'All Data'!$A$3:$CO$999,93,FALSE),"unknown")</f>
        <v>English</v>
      </c>
      <c r="AM239" s="120" t="str">
        <f>IFERROR(VLOOKUP(Table1[RespondentID],'All Data'!$A$3:$CW$999,94,FALSE),"unknown")</f>
        <v>$50,000 to $74,999</v>
      </c>
      <c r="AN239" s="120" t="str">
        <f>IFERROR(VLOOKUP(Table1[RespondentID],'All Data'!$A$3:$CW$999,95,FALSE),"unknown")</f>
        <v>College graduate</v>
      </c>
      <c r="AO239" s="120" t="str">
        <f>IFERROR(VLOOKUP(Table1[RespondentID],'All Data'!$A$3:$CW$999,96,FALSE),"unknown")</f>
        <v>Employed for wages</v>
      </c>
      <c r="AP239" s="120" t="str">
        <f>IFERROR(VLOOKUP(Table1[RespondentID],'All Data'!$A$3:$CW$999,97,FALSE),"unknown")</f>
        <v>Yes</v>
      </c>
      <c r="AQ239" s="120">
        <f>IFERROR(VLOOKUP(Table1[RespondentID],'All Data'!$A$3:$CW$999,98,FALSE),"unknown")</f>
        <v>0</v>
      </c>
      <c r="AR239" s="120">
        <f>IFERROR(VLOOKUP(Table1[RespondentID],'All Data'!$A$3:$CW$999,99,FALSE),"unknown")</f>
        <v>0</v>
      </c>
    </row>
    <row r="240" spans="1:44" ht="16">
      <c r="A240" s="5">
        <v>18019098685</v>
      </c>
      <c r="B240" s="5"/>
      <c r="C240" s="5"/>
      <c r="D240" s="5"/>
      <c r="E240" s="5"/>
      <c r="F240" s="5" t="s">
        <v>33</v>
      </c>
      <c r="G240" s="5" t="s">
        <v>34</v>
      </c>
      <c r="H240" s="5" t="s">
        <v>35</v>
      </c>
      <c r="I240" s="5"/>
      <c r="J240" s="5"/>
      <c r="K240" s="5"/>
      <c r="L240" s="8"/>
      <c r="M240" s="8">
        <f t="shared" si="45"/>
        <v>3</v>
      </c>
      <c r="N240" s="8">
        <f t="shared" si="46"/>
        <v>1</v>
      </c>
      <c r="O240" s="8"/>
      <c r="P240" s="8">
        <f t="shared" si="47"/>
        <v>0</v>
      </c>
      <c r="Q240" s="8">
        <f t="shared" si="48"/>
        <v>0</v>
      </c>
      <c r="R240" s="8">
        <f t="shared" si="49"/>
        <v>0</v>
      </c>
      <c r="S240" s="8">
        <f t="shared" si="50"/>
        <v>0</v>
      </c>
      <c r="T240" s="8">
        <f t="shared" si="51"/>
        <v>1</v>
      </c>
      <c r="U240" s="8">
        <f t="shared" si="52"/>
        <v>1</v>
      </c>
      <c r="V240" s="153">
        <f t="shared" si="53"/>
        <v>1</v>
      </c>
      <c r="W240" s="8">
        <f t="shared" si="54"/>
        <v>0</v>
      </c>
      <c r="X240" s="8">
        <f t="shared" si="55"/>
        <v>0</v>
      </c>
      <c r="Y240" s="8">
        <f t="shared" si="56"/>
        <v>0</v>
      </c>
      <c r="Z240" s="8"/>
      <c r="AA240" s="8"/>
      <c r="AB240" s="8">
        <f t="shared" si="59"/>
        <v>3</v>
      </c>
      <c r="AC240" s="8">
        <f t="shared" si="57"/>
        <v>3</v>
      </c>
      <c r="AD240" s="8" t="str">
        <f t="shared" si="58"/>
        <v>Correct</v>
      </c>
      <c r="AE240" s="8"/>
      <c r="AF240" s="120" t="str">
        <f>IFERROR(VLOOKUP(Table1[RespondentID],'All Data'!$A$3:$CO$999,87,FALSE),"unknown")</f>
        <v>Man</v>
      </c>
      <c r="AG240" s="120">
        <f>IFERROR(VLOOKUP(Table1[RespondentID],'All Data'!$A$3:$CO$999,88,FALSE),"unknown")</f>
        <v>27</v>
      </c>
      <c r="AH240" s="120" t="str">
        <f>IFERROR(VLOOKUP(Table1[RespondentID],'All Data'!$A$3:$CO$999,89,FALSE),"unknown")</f>
        <v>Suffolk</v>
      </c>
      <c r="AI240" s="120" t="str">
        <f>IFERROR(VLOOKUP(Table1[RespondentID],'All Data'!$A$3:$CO$999,90,FALSE),"unknown")</f>
        <v>Centerport, 11721</v>
      </c>
      <c r="AJ240" s="120" t="str">
        <f>IFERROR(VLOOKUP(Table1[RespondentID],'All Data'!$A$3:$CO$999,91,FALSE),"unknown")</f>
        <v>White</v>
      </c>
      <c r="AK240" s="120">
        <f>IFERROR(VLOOKUP(Table1[RespondentID],'All Data'!$A$3:$CO$999,92,FALSE),"unknown")</f>
        <v>0</v>
      </c>
      <c r="AL240" s="120" t="str">
        <f>IFERROR(VLOOKUP(Table1[RespondentID],'All Data'!$A$3:$CO$999,93,FALSE),"unknown")</f>
        <v>English, Spanish</v>
      </c>
      <c r="AM240" s="120" t="str">
        <f>IFERROR(VLOOKUP(Table1[RespondentID],'All Data'!$A$3:$CW$999,94,FALSE),"unknown")</f>
        <v>$75,000 to $125,000</v>
      </c>
      <c r="AN240" s="120" t="str">
        <f>IFERROR(VLOOKUP(Table1[RespondentID],'All Data'!$A$3:$CW$999,95,FALSE),"unknown")</f>
        <v>College graduate</v>
      </c>
      <c r="AO240" s="120" t="str">
        <f>IFERROR(VLOOKUP(Table1[RespondentID],'All Data'!$A$3:$CW$999,96,FALSE),"unknown")</f>
        <v>Student</v>
      </c>
      <c r="AP240" s="120" t="str">
        <f>IFERROR(VLOOKUP(Table1[RespondentID],'All Data'!$A$3:$CW$999,97,FALSE),"unknown")</f>
        <v>Yes</v>
      </c>
      <c r="AQ240" s="120">
        <f>IFERROR(VLOOKUP(Table1[RespondentID],'All Data'!$A$3:$CW$999,98,FALSE),"unknown")</f>
        <v>0</v>
      </c>
      <c r="AR240" s="120">
        <f>IFERROR(VLOOKUP(Table1[RespondentID],'All Data'!$A$3:$CW$999,99,FALSE),"unknown")</f>
        <v>0</v>
      </c>
    </row>
    <row r="241" spans="1:44" ht="16">
      <c r="A241" s="5">
        <v>18019098565</v>
      </c>
      <c r="B241" s="5"/>
      <c r="C241" s="5"/>
      <c r="D241" s="5"/>
      <c r="E241" s="5" t="s">
        <v>32</v>
      </c>
      <c r="F241" s="5"/>
      <c r="G241" s="5"/>
      <c r="H241" s="5"/>
      <c r="I241" s="5" t="s">
        <v>36</v>
      </c>
      <c r="J241" s="5"/>
      <c r="K241" s="5" t="s">
        <v>375</v>
      </c>
      <c r="L241" s="9"/>
      <c r="M241" s="9">
        <f t="shared" si="45"/>
        <v>3</v>
      </c>
      <c r="N241" s="9">
        <f t="shared" si="46"/>
        <v>1</v>
      </c>
      <c r="O241" s="9"/>
      <c r="P241" s="9">
        <f t="shared" si="47"/>
        <v>0</v>
      </c>
      <c r="Q241" s="9">
        <f t="shared" si="48"/>
        <v>0</v>
      </c>
      <c r="R241" s="9">
        <f t="shared" si="49"/>
        <v>0</v>
      </c>
      <c r="S241" s="9">
        <f t="shared" si="50"/>
        <v>1</v>
      </c>
      <c r="T241" s="9">
        <f t="shared" si="51"/>
        <v>0</v>
      </c>
      <c r="U241" s="9">
        <f t="shared" si="52"/>
        <v>0</v>
      </c>
      <c r="V241" s="153">
        <f t="shared" si="53"/>
        <v>0</v>
      </c>
      <c r="W241" s="9">
        <f t="shared" si="54"/>
        <v>1</v>
      </c>
      <c r="X241" s="9">
        <f t="shared" si="55"/>
        <v>0</v>
      </c>
      <c r="Y241" s="9">
        <f t="shared" si="56"/>
        <v>1</v>
      </c>
      <c r="Z241" s="9"/>
      <c r="AA241" s="9"/>
      <c r="AB241" s="9">
        <f t="shared" si="59"/>
        <v>3</v>
      </c>
      <c r="AC241" s="9">
        <f t="shared" si="57"/>
        <v>3</v>
      </c>
      <c r="AD241" s="9" t="str">
        <f t="shared" si="58"/>
        <v>Correct</v>
      </c>
      <c r="AE241" s="9"/>
      <c r="AF241" s="120" t="str">
        <f>IFERROR(VLOOKUP(Table1[RespondentID],'All Data'!$A$3:$CO$999,87,FALSE),"unknown")</f>
        <v>Man</v>
      </c>
      <c r="AG241" s="120">
        <f>IFERROR(VLOOKUP(Table1[RespondentID],'All Data'!$A$3:$CO$999,88,FALSE),"unknown")</f>
        <v>22</v>
      </c>
      <c r="AH241" s="120" t="str">
        <f>IFERROR(VLOOKUP(Table1[RespondentID],'All Data'!$A$3:$CO$999,89,FALSE),"unknown")</f>
        <v>Suffolk</v>
      </c>
      <c r="AI241" s="120" t="str">
        <f>IFERROR(VLOOKUP(Table1[RespondentID],'All Data'!$A$3:$CO$999,90,FALSE),"unknown")</f>
        <v>Centerport, 11721</v>
      </c>
      <c r="AJ241" s="120" t="str">
        <f>IFERROR(VLOOKUP(Table1[RespondentID],'All Data'!$A$3:$CO$999,91,FALSE),"unknown")</f>
        <v>White</v>
      </c>
      <c r="AK241" s="120" t="str">
        <f>IFERROR(VLOOKUP(Table1[RespondentID],'All Data'!$A$3:$CO$999,92,FALSE),"unknown")</f>
        <v>Hispanic or Latino</v>
      </c>
      <c r="AL241" s="120" t="str">
        <f>IFERROR(VLOOKUP(Table1[RespondentID],'All Data'!$A$3:$CO$999,93,FALSE),"unknown")</f>
        <v>English, Polish</v>
      </c>
      <c r="AM241" s="120" t="str">
        <f>IFERROR(VLOOKUP(Table1[RespondentID],'All Data'!$A$3:$CW$999,94,FALSE),"unknown")</f>
        <v>$75,000 to $125,000</v>
      </c>
      <c r="AN241" s="120" t="str">
        <f>IFERROR(VLOOKUP(Table1[RespondentID],'All Data'!$A$3:$CW$999,95,FALSE),"unknown")</f>
        <v>Some college</v>
      </c>
      <c r="AO241" s="120" t="str">
        <f>IFERROR(VLOOKUP(Table1[RespondentID],'All Data'!$A$3:$CW$999,96,FALSE),"unknown")</f>
        <v>Student</v>
      </c>
      <c r="AP241" s="120" t="str">
        <f>IFERROR(VLOOKUP(Table1[RespondentID],'All Data'!$A$3:$CW$999,97,FALSE),"unknown")</f>
        <v>No</v>
      </c>
      <c r="AQ241" s="120">
        <f>IFERROR(VLOOKUP(Table1[RespondentID],'All Data'!$A$3:$CW$999,98,FALSE),"unknown")</f>
        <v>0</v>
      </c>
      <c r="AR241" s="120">
        <f>IFERROR(VLOOKUP(Table1[RespondentID],'All Data'!$A$3:$CW$999,99,FALSE),"unknown")</f>
        <v>0</v>
      </c>
    </row>
    <row r="242" spans="1:44" ht="16">
      <c r="A242" s="5">
        <v>18019098372</v>
      </c>
      <c r="B242" s="5"/>
      <c r="C242" s="5"/>
      <c r="D242" s="5"/>
      <c r="E242" s="5"/>
      <c r="F242" s="5" t="s">
        <v>33</v>
      </c>
      <c r="G242" s="5"/>
      <c r="H242" s="5"/>
      <c r="I242" s="5" t="s">
        <v>36</v>
      </c>
      <c r="J242" s="5" t="s">
        <v>37</v>
      </c>
      <c r="K242" s="5"/>
      <c r="L242" s="8"/>
      <c r="M242" s="8">
        <f t="shared" si="45"/>
        <v>3</v>
      </c>
      <c r="N242" s="8">
        <f t="shared" si="46"/>
        <v>1</v>
      </c>
      <c r="O242" s="8"/>
      <c r="P242" s="8">
        <f t="shared" si="47"/>
        <v>0</v>
      </c>
      <c r="Q242" s="8">
        <f t="shared" si="48"/>
        <v>0</v>
      </c>
      <c r="R242" s="8">
        <f t="shared" si="49"/>
        <v>0</v>
      </c>
      <c r="S242" s="8">
        <f t="shared" si="50"/>
        <v>0</v>
      </c>
      <c r="T242" s="8">
        <f t="shared" si="51"/>
        <v>1</v>
      </c>
      <c r="U242" s="8">
        <f t="shared" si="52"/>
        <v>0</v>
      </c>
      <c r="V242" s="153">
        <f t="shared" si="53"/>
        <v>0</v>
      </c>
      <c r="W242" s="8">
        <f t="shared" si="54"/>
        <v>1</v>
      </c>
      <c r="X242" s="8">
        <f t="shared" si="55"/>
        <v>1</v>
      </c>
      <c r="Y242" s="8">
        <f t="shared" si="56"/>
        <v>0</v>
      </c>
      <c r="Z242" s="8"/>
      <c r="AA242" s="8"/>
      <c r="AB242" s="8">
        <f t="shared" si="59"/>
        <v>3</v>
      </c>
      <c r="AC242" s="8">
        <f t="shared" si="57"/>
        <v>3</v>
      </c>
      <c r="AD242" s="8" t="str">
        <f t="shared" si="58"/>
        <v>Correct</v>
      </c>
      <c r="AE242" s="8"/>
      <c r="AF242" s="120" t="str">
        <f>IFERROR(VLOOKUP(Table1[RespondentID],'All Data'!$A$3:$CO$999,87,FALSE),"unknown")</f>
        <v>Man</v>
      </c>
      <c r="AG242" s="120">
        <f>IFERROR(VLOOKUP(Table1[RespondentID],'All Data'!$A$3:$CO$999,88,FALSE),"unknown")</f>
        <v>59</v>
      </c>
      <c r="AH242" s="120" t="str">
        <f>IFERROR(VLOOKUP(Table1[RespondentID],'All Data'!$A$3:$CO$999,89,FALSE),"unknown")</f>
        <v>Suffolk</v>
      </c>
      <c r="AI242" s="120" t="str">
        <f>IFERROR(VLOOKUP(Table1[RespondentID],'All Data'!$A$3:$CO$999,90,FALSE),"unknown")</f>
        <v>Setauket, 11733</v>
      </c>
      <c r="AJ242" s="120" t="str">
        <f>IFERROR(VLOOKUP(Table1[RespondentID],'All Data'!$A$3:$CO$999,91,FALSE),"unknown")</f>
        <v>White</v>
      </c>
      <c r="AK242" s="120">
        <f>IFERROR(VLOOKUP(Table1[RespondentID],'All Data'!$A$3:$CO$999,92,FALSE),"unknown")</f>
        <v>0</v>
      </c>
      <c r="AL242" s="120" t="str">
        <f>IFERROR(VLOOKUP(Table1[RespondentID],'All Data'!$A$3:$CO$999,93,FALSE),"unknown")</f>
        <v>English</v>
      </c>
      <c r="AM242" s="120">
        <f>IFERROR(VLOOKUP(Table1[RespondentID],'All Data'!$A$3:$CW$999,94,FALSE),"unknown")</f>
        <v>0</v>
      </c>
      <c r="AN242" s="120" t="str">
        <f>IFERROR(VLOOKUP(Table1[RespondentID],'All Data'!$A$3:$CW$999,95,FALSE),"unknown")</f>
        <v>Some college</v>
      </c>
      <c r="AO242" s="120" t="str">
        <f>IFERROR(VLOOKUP(Table1[RespondentID],'All Data'!$A$3:$CW$999,96,FALSE),"unknown")</f>
        <v>Retired</v>
      </c>
      <c r="AP242" s="120" t="str">
        <f>IFERROR(VLOOKUP(Table1[RespondentID],'All Data'!$A$3:$CW$999,97,FALSE),"unknown")</f>
        <v>Yes</v>
      </c>
      <c r="AQ242" s="120">
        <f>IFERROR(VLOOKUP(Table1[RespondentID],'All Data'!$A$3:$CW$999,98,FALSE),"unknown")</f>
        <v>0</v>
      </c>
      <c r="AR242" s="120">
        <f>IFERROR(VLOOKUP(Table1[RespondentID],'All Data'!$A$3:$CW$999,99,FALSE),"unknown")</f>
        <v>0</v>
      </c>
    </row>
    <row r="243" spans="1:44" ht="16">
      <c r="A243" s="5">
        <v>18019098190</v>
      </c>
      <c r="B243" s="5"/>
      <c r="C243" s="5"/>
      <c r="D243" s="5" t="s">
        <v>31</v>
      </c>
      <c r="E243" s="5"/>
      <c r="F243" s="5" t="s">
        <v>33</v>
      </c>
      <c r="G243" s="5"/>
      <c r="H243" s="5"/>
      <c r="I243" s="5" t="s">
        <v>36</v>
      </c>
      <c r="J243" s="5"/>
      <c r="K243" s="5"/>
      <c r="L243" s="9"/>
      <c r="M243" s="9">
        <f t="shared" si="45"/>
        <v>3</v>
      </c>
      <c r="N243" s="9">
        <f t="shared" si="46"/>
        <v>1</v>
      </c>
      <c r="O243" s="9"/>
      <c r="P243" s="9">
        <f t="shared" si="47"/>
        <v>0</v>
      </c>
      <c r="Q243" s="9">
        <f t="shared" si="48"/>
        <v>0</v>
      </c>
      <c r="R243" s="9">
        <f t="shared" si="49"/>
        <v>1</v>
      </c>
      <c r="S243" s="9">
        <f t="shared" si="50"/>
        <v>0</v>
      </c>
      <c r="T243" s="9">
        <f t="shared" si="51"/>
        <v>1</v>
      </c>
      <c r="U243" s="9">
        <f t="shared" si="52"/>
        <v>0</v>
      </c>
      <c r="V243" s="153">
        <f t="shared" si="53"/>
        <v>0</v>
      </c>
      <c r="W243" s="9">
        <f t="shared" si="54"/>
        <v>1</v>
      </c>
      <c r="X243" s="9">
        <f t="shared" si="55"/>
        <v>0</v>
      </c>
      <c r="Y243" s="9">
        <f t="shared" si="56"/>
        <v>0</v>
      </c>
      <c r="Z243" s="9"/>
      <c r="AA243" s="9"/>
      <c r="AB243" s="9">
        <f t="shared" si="59"/>
        <v>3</v>
      </c>
      <c r="AC243" s="9">
        <f t="shared" si="57"/>
        <v>3</v>
      </c>
      <c r="AD243" s="9" t="str">
        <f t="shared" si="58"/>
        <v>Correct</v>
      </c>
      <c r="AE243" s="9"/>
      <c r="AF243" s="120" t="str">
        <f>IFERROR(VLOOKUP(Table1[RespondentID],'All Data'!$A$3:$CO$999,87,FALSE),"unknown")</f>
        <v>Man</v>
      </c>
      <c r="AG243" s="120">
        <f>IFERROR(VLOOKUP(Table1[RespondentID],'All Data'!$A$3:$CO$999,88,FALSE),"unknown")</f>
        <v>40</v>
      </c>
      <c r="AH243" s="120" t="str">
        <f>IFERROR(VLOOKUP(Table1[RespondentID],'All Data'!$A$3:$CO$999,89,FALSE),"unknown")</f>
        <v>Suffolk</v>
      </c>
      <c r="AI243" s="120" t="str">
        <f>IFERROR(VLOOKUP(Table1[RespondentID],'All Data'!$A$3:$CO$999,90,FALSE),"unknown")</f>
        <v>Port Jefferson Station, 11776</v>
      </c>
      <c r="AJ243" s="120" t="str">
        <f>IFERROR(VLOOKUP(Table1[RespondentID],'All Data'!$A$3:$CO$999,91,FALSE),"unknown")</f>
        <v>Other (please specify)</v>
      </c>
      <c r="AK243" s="120" t="str">
        <f>IFERROR(VLOOKUP(Table1[RespondentID],'All Data'!$A$3:$CO$999,92,FALSE),"unknown")</f>
        <v>Hispanic or Latino</v>
      </c>
      <c r="AL243" s="120">
        <f>IFERROR(VLOOKUP(Table1[RespondentID],'All Data'!$A$3:$CO$999,93,FALSE),"unknown")</f>
        <v>0</v>
      </c>
      <c r="AM243" s="120" t="str">
        <f>IFERROR(VLOOKUP(Table1[RespondentID],'All Data'!$A$3:$CW$999,94,FALSE),"unknown")</f>
        <v>$75,000 to $125,000</v>
      </c>
      <c r="AN243" s="120" t="str">
        <f>IFERROR(VLOOKUP(Table1[RespondentID],'All Data'!$A$3:$CW$999,95,FALSE),"unknown")</f>
        <v>College graduate</v>
      </c>
      <c r="AO243" s="120" t="str">
        <f>IFERROR(VLOOKUP(Table1[RespondentID],'All Data'!$A$3:$CW$999,96,FALSE),"unknown")</f>
        <v>Employed for wages</v>
      </c>
      <c r="AP243" s="120" t="str">
        <f>IFERROR(VLOOKUP(Table1[RespondentID],'All Data'!$A$3:$CW$999,97,FALSE),"unknown")</f>
        <v>Yes</v>
      </c>
      <c r="AQ243" s="120">
        <f>IFERROR(VLOOKUP(Table1[RespondentID],'All Data'!$A$3:$CW$999,98,FALSE),"unknown")</f>
        <v>0</v>
      </c>
      <c r="AR243" s="120">
        <f>IFERROR(VLOOKUP(Table1[RespondentID],'All Data'!$A$3:$CW$999,99,FALSE),"unknown")</f>
        <v>0</v>
      </c>
    </row>
    <row r="244" spans="1:44" ht="16">
      <c r="A244" s="5">
        <v>18019097991</v>
      </c>
      <c r="B244" s="5"/>
      <c r="C244" s="5"/>
      <c r="D244" s="5"/>
      <c r="E244" s="5"/>
      <c r="F244" s="5"/>
      <c r="G244" s="5"/>
      <c r="H244" s="5"/>
      <c r="I244" s="5" t="s">
        <v>36</v>
      </c>
      <c r="J244" s="5"/>
      <c r="K244" s="5"/>
      <c r="L244" s="8"/>
      <c r="M244" s="8">
        <f t="shared" si="45"/>
        <v>1</v>
      </c>
      <c r="N244" s="8">
        <f t="shared" si="46"/>
        <v>3</v>
      </c>
      <c r="O244" s="8"/>
      <c r="P244" s="8">
        <f t="shared" si="47"/>
        <v>0</v>
      </c>
      <c r="Q244" s="8">
        <f t="shared" si="48"/>
        <v>0</v>
      </c>
      <c r="R244" s="8">
        <f t="shared" si="49"/>
        <v>0</v>
      </c>
      <c r="S244" s="8">
        <f t="shared" si="50"/>
        <v>0</v>
      </c>
      <c r="T244" s="8">
        <f t="shared" si="51"/>
        <v>0</v>
      </c>
      <c r="U244" s="8">
        <f t="shared" si="52"/>
        <v>0</v>
      </c>
      <c r="V244" s="153">
        <f t="shared" si="53"/>
        <v>0</v>
      </c>
      <c r="W244" s="8">
        <f t="shared" si="54"/>
        <v>1</v>
      </c>
      <c r="X244" s="8">
        <f t="shared" si="55"/>
        <v>0</v>
      </c>
      <c r="Y244" s="8">
        <f t="shared" si="56"/>
        <v>0</v>
      </c>
      <c r="Z244" s="8"/>
      <c r="AA244" s="8"/>
      <c r="AB244" s="8">
        <f t="shared" si="59"/>
        <v>1</v>
      </c>
      <c r="AC244" s="8">
        <f t="shared" si="57"/>
        <v>1</v>
      </c>
      <c r="AD244" s="8" t="str">
        <f t="shared" si="58"/>
        <v>Correct</v>
      </c>
      <c r="AE244" s="8"/>
      <c r="AF244" s="120" t="str">
        <f>IFERROR(VLOOKUP(Table1[RespondentID],'All Data'!$A$3:$CO$999,87,FALSE),"unknown")</f>
        <v>Woman</v>
      </c>
      <c r="AG244" s="120">
        <f>IFERROR(VLOOKUP(Table1[RespondentID],'All Data'!$A$3:$CO$999,88,FALSE),"unknown")</f>
        <v>47</v>
      </c>
      <c r="AH244" s="120" t="str">
        <f>IFERROR(VLOOKUP(Table1[RespondentID],'All Data'!$A$3:$CO$999,89,FALSE),"unknown")</f>
        <v>Suffolk</v>
      </c>
      <c r="AI244" s="120" t="str">
        <f>IFERROR(VLOOKUP(Table1[RespondentID],'All Data'!$A$3:$CO$999,90,FALSE),"unknown")</f>
        <v>North Babylon, 11703</v>
      </c>
      <c r="AJ244" s="120" t="str">
        <f>IFERROR(VLOOKUP(Table1[RespondentID],'All Data'!$A$3:$CO$999,91,FALSE),"unknown")</f>
        <v>White</v>
      </c>
      <c r="AK244" s="120" t="str">
        <f>IFERROR(VLOOKUP(Table1[RespondentID],'All Data'!$A$3:$CO$999,92,FALSE),"unknown")</f>
        <v>Hispanic or Latino</v>
      </c>
      <c r="AL244" s="120" t="str">
        <f>IFERROR(VLOOKUP(Table1[RespondentID],'All Data'!$A$3:$CO$999,93,FALSE),"unknown")</f>
        <v>English</v>
      </c>
      <c r="AM244" s="120" t="str">
        <f>IFERROR(VLOOKUP(Table1[RespondentID],'All Data'!$A$3:$CW$999,94,FALSE),"unknown")</f>
        <v>Over $125,000</v>
      </c>
      <c r="AN244" s="120" t="str">
        <f>IFERROR(VLOOKUP(Table1[RespondentID],'All Data'!$A$3:$CW$999,95,FALSE),"unknown")</f>
        <v>Graduate school</v>
      </c>
      <c r="AO244" s="120" t="str">
        <f>IFERROR(VLOOKUP(Table1[RespondentID],'All Data'!$A$3:$CW$999,96,FALSE),"unknown")</f>
        <v>Employed for wages</v>
      </c>
      <c r="AP244" s="120" t="str">
        <f>IFERROR(VLOOKUP(Table1[RespondentID],'All Data'!$A$3:$CW$999,97,FALSE),"unknown")</f>
        <v>Yes</v>
      </c>
      <c r="AQ244" s="120">
        <f>IFERROR(VLOOKUP(Table1[RespondentID],'All Data'!$A$3:$CW$999,98,FALSE),"unknown")</f>
        <v>0</v>
      </c>
      <c r="AR244" s="120">
        <f>IFERROR(VLOOKUP(Table1[RespondentID],'All Data'!$A$3:$CW$999,99,FALSE),"unknown")</f>
        <v>0</v>
      </c>
    </row>
    <row r="245" spans="1:44" ht="16">
      <c r="A245" s="5">
        <v>18019097887</v>
      </c>
      <c r="B245" s="5"/>
      <c r="C245" s="5"/>
      <c r="D245" s="5" t="s">
        <v>31</v>
      </c>
      <c r="E245" s="5"/>
      <c r="F245" s="5"/>
      <c r="G245" s="5"/>
      <c r="H245" s="5" t="s">
        <v>35</v>
      </c>
      <c r="I245" s="5"/>
      <c r="J245" s="5"/>
      <c r="K245" s="5" t="s">
        <v>375</v>
      </c>
      <c r="L245" s="9"/>
      <c r="M245" s="9">
        <f t="shared" si="45"/>
        <v>3</v>
      </c>
      <c r="N245" s="9">
        <f t="shared" si="46"/>
        <v>1</v>
      </c>
      <c r="O245" s="9"/>
      <c r="P245" s="9">
        <f t="shared" si="47"/>
        <v>0</v>
      </c>
      <c r="Q245" s="9">
        <f t="shared" si="48"/>
        <v>0</v>
      </c>
      <c r="R245" s="9">
        <f t="shared" si="49"/>
        <v>1</v>
      </c>
      <c r="S245" s="9">
        <f t="shared" si="50"/>
        <v>0</v>
      </c>
      <c r="T245" s="9">
        <f t="shared" si="51"/>
        <v>0</v>
      </c>
      <c r="U245" s="9">
        <f t="shared" si="52"/>
        <v>0</v>
      </c>
      <c r="V245" s="153">
        <f t="shared" si="53"/>
        <v>1</v>
      </c>
      <c r="W245" s="9">
        <f t="shared" si="54"/>
        <v>0</v>
      </c>
      <c r="X245" s="9">
        <f t="shared" si="55"/>
        <v>0</v>
      </c>
      <c r="Y245" s="9">
        <f t="shared" si="56"/>
        <v>1</v>
      </c>
      <c r="Z245" s="9"/>
      <c r="AA245" s="9"/>
      <c r="AB245" s="9">
        <f t="shared" si="59"/>
        <v>3</v>
      </c>
      <c r="AC245" s="9">
        <f t="shared" si="57"/>
        <v>3</v>
      </c>
      <c r="AD245" s="9" t="str">
        <f t="shared" si="58"/>
        <v>Correct</v>
      </c>
      <c r="AE245" s="9"/>
      <c r="AF245" s="120" t="str">
        <f>IFERROR(VLOOKUP(Table1[RespondentID],'All Data'!$A$3:$CO$999,87,FALSE),"unknown")</f>
        <v>Man</v>
      </c>
      <c r="AG245" s="120">
        <f>IFERROR(VLOOKUP(Table1[RespondentID],'All Data'!$A$3:$CO$999,88,FALSE),"unknown")</f>
        <v>40</v>
      </c>
      <c r="AH245" s="120" t="str">
        <f>IFERROR(VLOOKUP(Table1[RespondentID],'All Data'!$A$3:$CO$999,89,FALSE),"unknown")</f>
        <v>Suffolk</v>
      </c>
      <c r="AI245" s="120" t="str">
        <f>IFERROR(VLOOKUP(Table1[RespondentID],'All Data'!$A$3:$CO$999,90,FALSE),"unknown")</f>
        <v>Rocky Point, 11778</v>
      </c>
      <c r="AJ245" s="120" t="str">
        <f>IFERROR(VLOOKUP(Table1[RespondentID],'All Data'!$A$3:$CO$999,91,FALSE),"unknown")</f>
        <v>White</v>
      </c>
      <c r="AK245" s="120" t="str">
        <f>IFERROR(VLOOKUP(Table1[RespondentID],'All Data'!$A$3:$CO$999,92,FALSE),"unknown")</f>
        <v>Hispanic or Latino</v>
      </c>
      <c r="AL245" s="120" t="str">
        <f>IFERROR(VLOOKUP(Table1[RespondentID],'All Data'!$A$3:$CO$999,93,FALSE),"unknown")</f>
        <v>English</v>
      </c>
      <c r="AM245" s="120">
        <f>IFERROR(VLOOKUP(Table1[RespondentID],'All Data'!$A$3:$CW$999,94,FALSE),"unknown")</f>
        <v>0</v>
      </c>
      <c r="AN245" s="120" t="str">
        <f>IFERROR(VLOOKUP(Table1[RespondentID],'All Data'!$A$3:$CW$999,95,FALSE),"unknown")</f>
        <v>Graduate school</v>
      </c>
      <c r="AO245" s="120" t="str">
        <f>IFERROR(VLOOKUP(Table1[RespondentID],'All Data'!$A$3:$CW$999,96,FALSE),"unknown")</f>
        <v>Employed for wages</v>
      </c>
      <c r="AP245" s="120" t="str">
        <f>IFERROR(VLOOKUP(Table1[RespondentID],'All Data'!$A$3:$CW$999,97,FALSE),"unknown")</f>
        <v>Yes</v>
      </c>
      <c r="AQ245" s="120">
        <f>IFERROR(VLOOKUP(Table1[RespondentID],'All Data'!$A$3:$CW$999,98,FALSE),"unknown")</f>
        <v>0</v>
      </c>
      <c r="AR245" s="120">
        <f>IFERROR(VLOOKUP(Table1[RespondentID],'All Data'!$A$3:$CW$999,99,FALSE),"unknown")</f>
        <v>0</v>
      </c>
    </row>
    <row r="246" spans="1:44" ht="16">
      <c r="A246" s="5">
        <v>18019097745</v>
      </c>
      <c r="B246" s="5"/>
      <c r="C246" s="5"/>
      <c r="D246" s="5" t="s">
        <v>31</v>
      </c>
      <c r="E246" s="5"/>
      <c r="F246" s="5"/>
      <c r="G246" s="5"/>
      <c r="H246" s="5"/>
      <c r="I246" s="5" t="s">
        <v>36</v>
      </c>
      <c r="J246" s="5"/>
      <c r="K246" s="5" t="s">
        <v>375</v>
      </c>
      <c r="L246" s="8"/>
      <c r="M246" s="8">
        <f t="shared" si="45"/>
        <v>3</v>
      </c>
      <c r="N246" s="8">
        <f t="shared" si="46"/>
        <v>1</v>
      </c>
      <c r="O246" s="8"/>
      <c r="P246" s="8">
        <f t="shared" si="47"/>
        <v>0</v>
      </c>
      <c r="Q246" s="8">
        <f t="shared" si="48"/>
        <v>0</v>
      </c>
      <c r="R246" s="8">
        <f t="shared" si="49"/>
        <v>1</v>
      </c>
      <c r="S246" s="8">
        <f t="shared" si="50"/>
        <v>0</v>
      </c>
      <c r="T246" s="8">
        <f t="shared" si="51"/>
        <v>0</v>
      </c>
      <c r="U246" s="8">
        <f t="shared" si="52"/>
        <v>0</v>
      </c>
      <c r="V246" s="153">
        <f t="shared" si="53"/>
        <v>0</v>
      </c>
      <c r="W246" s="8">
        <f t="shared" si="54"/>
        <v>1</v>
      </c>
      <c r="X246" s="8">
        <f t="shared" si="55"/>
        <v>0</v>
      </c>
      <c r="Y246" s="8">
        <f t="shared" si="56"/>
        <v>1</v>
      </c>
      <c r="Z246" s="8"/>
      <c r="AA246" s="8"/>
      <c r="AB246" s="8">
        <f t="shared" si="59"/>
        <v>3</v>
      </c>
      <c r="AC246" s="8">
        <f t="shared" si="57"/>
        <v>3</v>
      </c>
      <c r="AD246" s="8" t="str">
        <f t="shared" si="58"/>
        <v>Correct</v>
      </c>
      <c r="AE246" s="8"/>
      <c r="AF246" s="120" t="str">
        <f>IFERROR(VLOOKUP(Table1[RespondentID],'All Data'!$A$3:$CO$999,87,FALSE),"unknown")</f>
        <v>Woman</v>
      </c>
      <c r="AG246" s="120">
        <f>IFERROR(VLOOKUP(Table1[RespondentID],'All Data'!$A$3:$CO$999,88,FALSE),"unknown")</f>
        <v>39</v>
      </c>
      <c r="AH246" s="120" t="str">
        <f>IFERROR(VLOOKUP(Table1[RespondentID],'All Data'!$A$3:$CO$999,89,FALSE),"unknown")</f>
        <v>Suffolk</v>
      </c>
      <c r="AI246" s="120" t="str">
        <f>IFERROR(VLOOKUP(Table1[RespondentID],'All Data'!$A$3:$CO$999,90,FALSE),"unknown")</f>
        <v>Smithtown, 11787</v>
      </c>
      <c r="AJ246" s="120" t="str">
        <f>IFERROR(VLOOKUP(Table1[RespondentID],'All Data'!$A$3:$CO$999,91,FALSE),"unknown")</f>
        <v>White</v>
      </c>
      <c r="AK246" s="120" t="str">
        <f>IFERROR(VLOOKUP(Table1[RespondentID],'All Data'!$A$3:$CO$999,92,FALSE),"unknown")</f>
        <v>Hispanic or Latino</v>
      </c>
      <c r="AL246" s="120" t="str">
        <f>IFERROR(VLOOKUP(Table1[RespondentID],'All Data'!$A$3:$CO$999,93,FALSE),"unknown")</f>
        <v>English</v>
      </c>
      <c r="AM246" s="120" t="str">
        <f>IFERROR(VLOOKUP(Table1[RespondentID],'All Data'!$A$3:$CW$999,94,FALSE),"unknown")</f>
        <v>Over $125,000</v>
      </c>
      <c r="AN246" s="120" t="str">
        <f>IFERROR(VLOOKUP(Table1[RespondentID],'All Data'!$A$3:$CW$999,95,FALSE),"unknown")</f>
        <v>Graduate school</v>
      </c>
      <c r="AO246" s="120" t="str">
        <f>IFERROR(VLOOKUP(Table1[RespondentID],'All Data'!$A$3:$CW$999,96,FALSE),"unknown")</f>
        <v>Employed for wages</v>
      </c>
      <c r="AP246" s="120" t="str">
        <f>IFERROR(VLOOKUP(Table1[RespondentID],'All Data'!$A$3:$CW$999,97,FALSE),"unknown")</f>
        <v>Yes</v>
      </c>
      <c r="AQ246" s="120">
        <f>IFERROR(VLOOKUP(Table1[RespondentID],'All Data'!$A$3:$CW$999,98,FALSE),"unknown")</f>
        <v>0</v>
      </c>
      <c r="AR246" s="120">
        <f>IFERROR(VLOOKUP(Table1[RespondentID],'All Data'!$A$3:$CW$999,99,FALSE),"unknown")</f>
        <v>0</v>
      </c>
    </row>
    <row r="247" spans="1:44" ht="16">
      <c r="A247" s="5">
        <v>18019097274</v>
      </c>
      <c r="B247" s="5"/>
      <c r="C247" s="5"/>
      <c r="D247" s="5"/>
      <c r="E247" s="5" t="s">
        <v>32</v>
      </c>
      <c r="F247" s="5"/>
      <c r="G247" s="5"/>
      <c r="H247" s="5"/>
      <c r="I247" s="5"/>
      <c r="J247" s="5"/>
      <c r="K247" s="5" t="s">
        <v>375</v>
      </c>
      <c r="L247" s="9"/>
      <c r="M247" s="9">
        <f t="shared" si="45"/>
        <v>2</v>
      </c>
      <c r="N247" s="9">
        <f t="shared" si="46"/>
        <v>1.5</v>
      </c>
      <c r="O247" s="9"/>
      <c r="P247" s="9">
        <f t="shared" si="47"/>
        <v>0</v>
      </c>
      <c r="Q247" s="9">
        <f t="shared" si="48"/>
        <v>0</v>
      </c>
      <c r="R247" s="9">
        <f t="shared" si="49"/>
        <v>0</v>
      </c>
      <c r="S247" s="9">
        <f t="shared" si="50"/>
        <v>1</v>
      </c>
      <c r="T247" s="9">
        <f t="shared" si="51"/>
        <v>0</v>
      </c>
      <c r="U247" s="9">
        <f t="shared" si="52"/>
        <v>0</v>
      </c>
      <c r="V247" s="153">
        <f t="shared" si="53"/>
        <v>0</v>
      </c>
      <c r="W247" s="9">
        <f t="shared" si="54"/>
        <v>0</v>
      </c>
      <c r="X247" s="9">
        <f t="shared" si="55"/>
        <v>0</v>
      </c>
      <c r="Y247" s="9">
        <f t="shared" si="56"/>
        <v>1</v>
      </c>
      <c r="Z247" s="9"/>
      <c r="AA247" s="9"/>
      <c r="AB247" s="9">
        <f t="shared" si="59"/>
        <v>2</v>
      </c>
      <c r="AC247" s="9">
        <f t="shared" si="57"/>
        <v>2</v>
      </c>
      <c r="AD247" s="9" t="str">
        <f t="shared" si="58"/>
        <v>Correct</v>
      </c>
      <c r="AE247" s="9"/>
      <c r="AF247" s="120" t="str">
        <f>IFERROR(VLOOKUP(Table1[RespondentID],'All Data'!$A$3:$CO$999,87,FALSE),"unknown")</f>
        <v>Man</v>
      </c>
      <c r="AG247" s="120">
        <f>IFERROR(VLOOKUP(Table1[RespondentID],'All Data'!$A$3:$CO$999,88,FALSE),"unknown")</f>
        <v>39</v>
      </c>
      <c r="AH247" s="120" t="str">
        <f>IFERROR(VLOOKUP(Table1[RespondentID],'All Data'!$A$3:$CO$999,89,FALSE),"unknown")</f>
        <v>Suffolk</v>
      </c>
      <c r="AI247" s="120" t="str">
        <f>IFERROR(VLOOKUP(Table1[RespondentID],'All Data'!$A$3:$CO$999,90,FALSE),"unknown")</f>
        <v>Coram, 11727</v>
      </c>
      <c r="AJ247" s="120" t="str">
        <f>IFERROR(VLOOKUP(Table1[RespondentID],'All Data'!$A$3:$CO$999,91,FALSE),"unknown")</f>
        <v>White</v>
      </c>
      <c r="AK247" s="120">
        <f>IFERROR(VLOOKUP(Table1[RespondentID],'All Data'!$A$3:$CO$999,92,FALSE),"unknown")</f>
        <v>0</v>
      </c>
      <c r="AL247" s="120" t="str">
        <f>IFERROR(VLOOKUP(Table1[RespondentID],'All Data'!$A$3:$CO$999,93,FALSE),"unknown")</f>
        <v>English</v>
      </c>
      <c r="AM247" s="120" t="str">
        <f>IFERROR(VLOOKUP(Table1[RespondentID],'All Data'!$A$3:$CW$999,94,FALSE),"unknown")</f>
        <v>Over $125,000</v>
      </c>
      <c r="AN247" s="120" t="str">
        <f>IFERROR(VLOOKUP(Table1[RespondentID],'All Data'!$A$3:$CW$999,95,FALSE),"unknown")</f>
        <v>College graduate</v>
      </c>
      <c r="AO247" s="120" t="str">
        <f>IFERROR(VLOOKUP(Table1[RespondentID],'All Data'!$A$3:$CW$999,96,FALSE),"unknown")</f>
        <v>Employed for wages</v>
      </c>
      <c r="AP247" s="120" t="str">
        <f>IFERROR(VLOOKUP(Table1[RespondentID],'All Data'!$A$3:$CW$999,97,FALSE),"unknown")</f>
        <v>Yes</v>
      </c>
      <c r="AQ247" s="120">
        <f>IFERROR(VLOOKUP(Table1[RespondentID],'All Data'!$A$3:$CW$999,98,FALSE),"unknown")</f>
        <v>0</v>
      </c>
      <c r="AR247" s="120">
        <f>IFERROR(VLOOKUP(Table1[RespondentID],'All Data'!$A$3:$CW$999,99,FALSE),"unknown")</f>
        <v>0</v>
      </c>
    </row>
    <row r="248" spans="1:44" ht="16">
      <c r="A248" s="5">
        <v>18019097132</v>
      </c>
      <c r="B248" s="5"/>
      <c r="C248" s="5"/>
      <c r="D248" s="5"/>
      <c r="E248" s="5" t="s">
        <v>32</v>
      </c>
      <c r="F248" s="5"/>
      <c r="G248" s="5"/>
      <c r="H248" s="5"/>
      <c r="I248" s="5"/>
      <c r="J248" s="5"/>
      <c r="K248" s="5"/>
      <c r="L248" s="8"/>
      <c r="M248" s="8">
        <f t="shared" si="45"/>
        <v>1</v>
      </c>
      <c r="N248" s="8">
        <f t="shared" si="46"/>
        <v>3</v>
      </c>
      <c r="O248" s="8"/>
      <c r="P248" s="8">
        <f t="shared" si="47"/>
        <v>0</v>
      </c>
      <c r="Q248" s="8">
        <f t="shared" si="48"/>
        <v>0</v>
      </c>
      <c r="R248" s="8">
        <f t="shared" si="49"/>
        <v>0</v>
      </c>
      <c r="S248" s="8">
        <f t="shared" si="50"/>
        <v>1</v>
      </c>
      <c r="T248" s="8">
        <f t="shared" si="51"/>
        <v>0</v>
      </c>
      <c r="U248" s="8">
        <f t="shared" si="52"/>
        <v>0</v>
      </c>
      <c r="V248" s="153">
        <f t="shared" si="53"/>
        <v>0</v>
      </c>
      <c r="W248" s="8">
        <f t="shared" si="54"/>
        <v>0</v>
      </c>
      <c r="X248" s="8">
        <f t="shared" si="55"/>
        <v>0</v>
      </c>
      <c r="Y248" s="8">
        <f t="shared" si="56"/>
        <v>0</v>
      </c>
      <c r="Z248" s="8"/>
      <c r="AA248" s="8"/>
      <c r="AB248" s="8">
        <f t="shared" si="59"/>
        <v>1</v>
      </c>
      <c r="AC248" s="8">
        <f t="shared" si="57"/>
        <v>1</v>
      </c>
      <c r="AD248" s="8" t="str">
        <f t="shared" si="58"/>
        <v>Correct</v>
      </c>
      <c r="AE248" s="8"/>
      <c r="AF248" s="120" t="str">
        <f>IFERROR(VLOOKUP(Table1[RespondentID],'All Data'!$A$3:$CO$999,87,FALSE),"unknown")</f>
        <v>Woman</v>
      </c>
      <c r="AG248" s="120">
        <f>IFERROR(VLOOKUP(Table1[RespondentID],'All Data'!$A$3:$CO$999,88,FALSE),"unknown")</f>
        <v>50</v>
      </c>
      <c r="AH248" s="120" t="str">
        <f>IFERROR(VLOOKUP(Table1[RespondentID],'All Data'!$A$3:$CO$999,89,FALSE),"unknown")</f>
        <v>Suffolk</v>
      </c>
      <c r="AI248" s="120" t="str">
        <f>IFERROR(VLOOKUP(Table1[RespondentID],'All Data'!$A$3:$CO$999,90,FALSE),"unknown")</f>
        <v>West Islip, 11795</v>
      </c>
      <c r="AJ248" s="120" t="str">
        <f>IFERROR(VLOOKUP(Table1[RespondentID],'All Data'!$A$3:$CO$999,91,FALSE),"unknown")</f>
        <v>White</v>
      </c>
      <c r="AK248" s="120">
        <f>IFERROR(VLOOKUP(Table1[RespondentID],'All Data'!$A$3:$CO$999,92,FALSE),"unknown")</f>
        <v>0</v>
      </c>
      <c r="AL248" s="120" t="str">
        <f>IFERROR(VLOOKUP(Table1[RespondentID],'All Data'!$A$3:$CO$999,93,FALSE),"unknown")</f>
        <v>English</v>
      </c>
      <c r="AM248" s="120" t="str">
        <f>IFERROR(VLOOKUP(Table1[RespondentID],'All Data'!$A$3:$CW$999,94,FALSE),"unknown")</f>
        <v>Over $125,000</v>
      </c>
      <c r="AN248" s="120" t="str">
        <f>IFERROR(VLOOKUP(Table1[RespondentID],'All Data'!$A$3:$CW$999,95,FALSE),"unknown")</f>
        <v>College graduate</v>
      </c>
      <c r="AO248" s="120" t="str">
        <f>IFERROR(VLOOKUP(Table1[RespondentID],'All Data'!$A$3:$CW$999,96,FALSE),"unknown")</f>
        <v>Employed for wages</v>
      </c>
      <c r="AP248" s="120" t="str">
        <f>IFERROR(VLOOKUP(Table1[RespondentID],'All Data'!$A$3:$CW$999,97,FALSE),"unknown")</f>
        <v>Yes</v>
      </c>
      <c r="AQ248" s="120">
        <f>IFERROR(VLOOKUP(Table1[RespondentID],'All Data'!$A$3:$CW$999,98,FALSE),"unknown")</f>
        <v>0</v>
      </c>
      <c r="AR248" s="120">
        <f>IFERROR(VLOOKUP(Table1[RespondentID],'All Data'!$A$3:$CW$999,99,FALSE),"unknown")</f>
        <v>0</v>
      </c>
    </row>
    <row r="249" spans="1:44" ht="16">
      <c r="A249" s="5">
        <v>18019096838</v>
      </c>
      <c r="B249" s="5"/>
      <c r="C249" s="5" t="s">
        <v>30</v>
      </c>
      <c r="D249" s="5"/>
      <c r="E249" s="5" t="s">
        <v>32</v>
      </c>
      <c r="F249" s="5"/>
      <c r="G249" s="5"/>
      <c r="H249" s="5"/>
      <c r="I249" s="5"/>
      <c r="J249" s="5"/>
      <c r="K249" s="5" t="s">
        <v>375</v>
      </c>
      <c r="L249" s="9"/>
      <c r="M249" s="9">
        <f t="shared" si="45"/>
        <v>3</v>
      </c>
      <c r="N249" s="9">
        <f t="shared" si="46"/>
        <v>1</v>
      </c>
      <c r="O249" s="9"/>
      <c r="P249" s="9">
        <f t="shared" si="47"/>
        <v>0</v>
      </c>
      <c r="Q249" s="9">
        <f t="shared" si="48"/>
        <v>1</v>
      </c>
      <c r="R249" s="9">
        <f t="shared" si="49"/>
        <v>0</v>
      </c>
      <c r="S249" s="9">
        <f t="shared" si="50"/>
        <v>1</v>
      </c>
      <c r="T249" s="9">
        <f t="shared" si="51"/>
        <v>0</v>
      </c>
      <c r="U249" s="9">
        <f t="shared" si="52"/>
        <v>0</v>
      </c>
      <c r="V249" s="153">
        <f t="shared" si="53"/>
        <v>0</v>
      </c>
      <c r="W249" s="9">
        <f t="shared" si="54"/>
        <v>0</v>
      </c>
      <c r="X249" s="9">
        <f t="shared" si="55"/>
        <v>0</v>
      </c>
      <c r="Y249" s="9">
        <f t="shared" si="56"/>
        <v>1</v>
      </c>
      <c r="Z249" s="9"/>
      <c r="AA249" s="9"/>
      <c r="AB249" s="9">
        <f t="shared" si="59"/>
        <v>3</v>
      </c>
      <c r="AC249" s="9">
        <f t="shared" si="57"/>
        <v>3</v>
      </c>
      <c r="AD249" s="9" t="str">
        <f t="shared" si="58"/>
        <v>Correct</v>
      </c>
      <c r="AE249" s="9"/>
      <c r="AF249" s="120" t="str">
        <f>IFERROR(VLOOKUP(Table1[RespondentID],'All Data'!$A$3:$CO$999,87,FALSE),"unknown")</f>
        <v>Man</v>
      </c>
      <c r="AG249" s="120">
        <f>IFERROR(VLOOKUP(Table1[RespondentID],'All Data'!$A$3:$CO$999,88,FALSE),"unknown")</f>
        <v>69</v>
      </c>
      <c r="AH249" s="120">
        <f>IFERROR(VLOOKUP(Table1[RespondentID],'All Data'!$A$3:$CO$999,89,FALSE),"unknown")</f>
        <v>0</v>
      </c>
      <c r="AI249" s="120">
        <f>IFERROR(VLOOKUP(Table1[RespondentID],'All Data'!$A$3:$CO$999,90,FALSE),"unknown")</f>
        <v>0</v>
      </c>
      <c r="AJ249" s="120">
        <f>IFERROR(VLOOKUP(Table1[RespondentID],'All Data'!$A$3:$CO$999,91,FALSE),"unknown")</f>
        <v>0</v>
      </c>
      <c r="AK249" s="120">
        <f>IFERROR(VLOOKUP(Table1[RespondentID],'All Data'!$A$3:$CO$999,92,FALSE),"unknown")</f>
        <v>0</v>
      </c>
      <c r="AL249" s="120">
        <f>IFERROR(VLOOKUP(Table1[RespondentID],'All Data'!$A$3:$CO$999,93,FALSE),"unknown")</f>
        <v>0</v>
      </c>
      <c r="AM249" s="120">
        <f>IFERROR(VLOOKUP(Table1[RespondentID],'All Data'!$A$3:$CW$999,94,FALSE),"unknown")</f>
        <v>0</v>
      </c>
      <c r="AN249" s="120">
        <f>IFERROR(VLOOKUP(Table1[RespondentID],'All Data'!$A$3:$CW$999,95,FALSE),"unknown")</f>
        <v>0</v>
      </c>
      <c r="AO249" s="120">
        <f>IFERROR(VLOOKUP(Table1[RespondentID],'All Data'!$A$3:$CW$999,96,FALSE),"unknown")</f>
        <v>0</v>
      </c>
      <c r="AP249" s="120">
        <f>IFERROR(VLOOKUP(Table1[RespondentID],'All Data'!$A$3:$CW$999,97,FALSE),"unknown")</f>
        <v>0</v>
      </c>
      <c r="AQ249" s="120">
        <f>IFERROR(VLOOKUP(Table1[RespondentID],'All Data'!$A$3:$CW$999,98,FALSE),"unknown")</f>
        <v>0</v>
      </c>
      <c r="AR249" s="120">
        <f>IFERROR(VLOOKUP(Table1[RespondentID],'All Data'!$A$3:$CW$999,99,FALSE),"unknown")</f>
        <v>0</v>
      </c>
    </row>
    <row r="250" spans="1:44" ht="16">
      <c r="A250" s="5">
        <v>18019096349</v>
      </c>
      <c r="B250" s="5"/>
      <c r="C250" s="5"/>
      <c r="D250" s="5"/>
      <c r="E250" s="5" t="s">
        <v>32</v>
      </c>
      <c r="F250" s="5"/>
      <c r="G250" s="5"/>
      <c r="H250" s="5" t="s">
        <v>35</v>
      </c>
      <c r="I250" s="5"/>
      <c r="J250" s="5"/>
      <c r="K250" s="5" t="s">
        <v>375</v>
      </c>
      <c r="L250" s="8"/>
      <c r="M250" s="8">
        <f t="shared" si="45"/>
        <v>3</v>
      </c>
      <c r="N250" s="8">
        <f t="shared" si="46"/>
        <v>1</v>
      </c>
      <c r="O250" s="8"/>
      <c r="P250" s="8">
        <f t="shared" si="47"/>
        <v>0</v>
      </c>
      <c r="Q250" s="8">
        <f t="shared" si="48"/>
        <v>0</v>
      </c>
      <c r="R250" s="8">
        <f t="shared" si="49"/>
        <v>0</v>
      </c>
      <c r="S250" s="8">
        <f t="shared" si="50"/>
        <v>1</v>
      </c>
      <c r="T250" s="8">
        <f t="shared" si="51"/>
        <v>0</v>
      </c>
      <c r="U250" s="8">
        <f t="shared" si="52"/>
        <v>0</v>
      </c>
      <c r="V250" s="153">
        <f t="shared" si="53"/>
        <v>1</v>
      </c>
      <c r="W250" s="8">
        <f t="shared" si="54"/>
        <v>0</v>
      </c>
      <c r="X250" s="8">
        <f t="shared" si="55"/>
        <v>0</v>
      </c>
      <c r="Y250" s="8">
        <f t="shared" si="56"/>
        <v>1</v>
      </c>
      <c r="Z250" s="8"/>
      <c r="AA250" s="8"/>
      <c r="AB250" s="8">
        <f t="shared" si="59"/>
        <v>3</v>
      </c>
      <c r="AC250" s="8">
        <f t="shared" si="57"/>
        <v>3</v>
      </c>
      <c r="AD250" s="8" t="str">
        <f t="shared" si="58"/>
        <v>Correct</v>
      </c>
      <c r="AE250" s="8"/>
      <c r="AF250" s="120" t="str">
        <f>IFERROR(VLOOKUP(Table1[RespondentID],'All Data'!$A$3:$CO$999,87,FALSE),"unknown")</f>
        <v>Woman</v>
      </c>
      <c r="AG250" s="120">
        <f>IFERROR(VLOOKUP(Table1[RespondentID],'All Data'!$A$3:$CO$999,88,FALSE),"unknown")</f>
        <v>58</v>
      </c>
      <c r="AH250" s="120" t="str">
        <f>IFERROR(VLOOKUP(Table1[RespondentID],'All Data'!$A$3:$CO$999,89,FALSE),"unknown")</f>
        <v>Suffolk</v>
      </c>
      <c r="AI250" s="120" t="str">
        <f>IFERROR(VLOOKUP(Table1[RespondentID],'All Data'!$A$3:$CO$999,90,FALSE),"unknown")</f>
        <v>West Babylon, 11704</v>
      </c>
      <c r="AJ250" s="120" t="str">
        <f>IFERROR(VLOOKUP(Table1[RespondentID],'All Data'!$A$3:$CO$999,91,FALSE),"unknown")</f>
        <v>White</v>
      </c>
      <c r="AK250" s="120">
        <f>IFERROR(VLOOKUP(Table1[RespondentID],'All Data'!$A$3:$CO$999,92,FALSE),"unknown")</f>
        <v>0</v>
      </c>
      <c r="AL250" s="120" t="str">
        <f>IFERROR(VLOOKUP(Table1[RespondentID],'All Data'!$A$3:$CO$999,93,FALSE),"unknown")</f>
        <v>English</v>
      </c>
      <c r="AM250" s="120" t="str">
        <f>IFERROR(VLOOKUP(Table1[RespondentID],'All Data'!$A$3:$CW$999,94,FALSE),"unknown")</f>
        <v>Over $125,000</v>
      </c>
      <c r="AN250" s="120" t="str">
        <f>IFERROR(VLOOKUP(Table1[RespondentID],'All Data'!$A$3:$CW$999,95,FALSE),"unknown")</f>
        <v>Some college</v>
      </c>
      <c r="AO250" s="120" t="str">
        <f>IFERROR(VLOOKUP(Table1[RespondentID],'All Data'!$A$3:$CW$999,96,FALSE),"unknown")</f>
        <v>Employed for wages</v>
      </c>
      <c r="AP250" s="120" t="str">
        <f>IFERROR(VLOOKUP(Table1[RespondentID],'All Data'!$A$3:$CW$999,97,FALSE),"unknown")</f>
        <v>Yes</v>
      </c>
      <c r="AQ250" s="120">
        <f>IFERROR(VLOOKUP(Table1[RespondentID],'All Data'!$A$3:$CW$999,98,FALSE),"unknown")</f>
        <v>0</v>
      </c>
      <c r="AR250" s="120">
        <f>IFERROR(VLOOKUP(Table1[RespondentID],'All Data'!$A$3:$CW$999,99,FALSE),"unknown")</f>
        <v>0</v>
      </c>
    </row>
    <row r="251" spans="1:44" ht="16">
      <c r="A251" s="5">
        <v>18019096113</v>
      </c>
      <c r="B251" s="5"/>
      <c r="C251" s="5" t="s">
        <v>30</v>
      </c>
      <c r="D251" s="5"/>
      <c r="E251" s="5" t="s">
        <v>32</v>
      </c>
      <c r="F251" s="5"/>
      <c r="G251" s="5"/>
      <c r="H251" s="5" t="s">
        <v>35</v>
      </c>
      <c r="I251" s="5"/>
      <c r="J251" s="5"/>
      <c r="K251" s="5" t="s">
        <v>375</v>
      </c>
      <c r="L251" s="9"/>
      <c r="M251" s="9">
        <f t="shared" si="45"/>
        <v>4</v>
      </c>
      <c r="N251" s="9">
        <f t="shared" si="46"/>
        <v>0.75</v>
      </c>
      <c r="O251" s="9"/>
      <c r="P251" s="9">
        <f t="shared" si="47"/>
        <v>0</v>
      </c>
      <c r="Q251" s="9">
        <f t="shared" si="48"/>
        <v>0.75</v>
      </c>
      <c r="R251" s="9">
        <f t="shared" si="49"/>
        <v>0</v>
      </c>
      <c r="S251" s="9">
        <f t="shared" si="50"/>
        <v>0.75</v>
      </c>
      <c r="T251" s="9">
        <f t="shared" si="51"/>
        <v>0</v>
      </c>
      <c r="U251" s="9">
        <f t="shared" si="52"/>
        <v>0</v>
      </c>
      <c r="V251" s="153">
        <f t="shared" si="53"/>
        <v>0.75</v>
      </c>
      <c r="W251" s="9">
        <f t="shared" si="54"/>
        <v>0</v>
      </c>
      <c r="X251" s="9">
        <f t="shared" si="55"/>
        <v>0</v>
      </c>
      <c r="Y251" s="9">
        <f t="shared" si="56"/>
        <v>0.75</v>
      </c>
      <c r="Z251" s="9"/>
      <c r="AA251" s="9"/>
      <c r="AB251" s="9">
        <f t="shared" si="59"/>
        <v>3</v>
      </c>
      <c r="AC251" s="9">
        <f t="shared" si="57"/>
        <v>4</v>
      </c>
      <c r="AD251" s="9" t="str">
        <f t="shared" si="58"/>
        <v>Correct</v>
      </c>
      <c r="AE251" s="9"/>
      <c r="AF251" s="120" t="str">
        <f>IFERROR(VLOOKUP(Table1[RespondentID],'All Data'!$A$3:$CO$999,87,FALSE),"unknown")</f>
        <v>Man</v>
      </c>
      <c r="AG251" s="120">
        <f>IFERROR(VLOOKUP(Table1[RespondentID],'All Data'!$A$3:$CO$999,88,FALSE),"unknown")</f>
        <v>56</v>
      </c>
      <c r="AH251" s="120" t="str">
        <f>IFERROR(VLOOKUP(Table1[RespondentID],'All Data'!$A$3:$CO$999,89,FALSE),"unknown")</f>
        <v>Suffolk</v>
      </c>
      <c r="AI251" s="120" t="str">
        <f>IFERROR(VLOOKUP(Table1[RespondentID],'All Data'!$A$3:$CO$999,90,FALSE),"unknown")</f>
        <v>West Babylon, 11704</v>
      </c>
      <c r="AJ251" s="120" t="str">
        <f>IFERROR(VLOOKUP(Table1[RespondentID],'All Data'!$A$3:$CO$999,91,FALSE),"unknown")</f>
        <v>White</v>
      </c>
      <c r="AK251" s="120" t="str">
        <f>IFERROR(VLOOKUP(Table1[RespondentID],'All Data'!$A$3:$CO$999,92,FALSE),"unknown")</f>
        <v>Hispanic or Latino</v>
      </c>
      <c r="AL251" s="120" t="str">
        <f>IFERROR(VLOOKUP(Table1[RespondentID],'All Data'!$A$3:$CO$999,93,FALSE),"unknown")</f>
        <v>English</v>
      </c>
      <c r="AM251" s="120" t="str">
        <f>IFERROR(VLOOKUP(Table1[RespondentID],'All Data'!$A$3:$CW$999,94,FALSE),"unknown")</f>
        <v>Over $125,000</v>
      </c>
      <c r="AN251" s="120" t="str">
        <f>IFERROR(VLOOKUP(Table1[RespondentID],'All Data'!$A$3:$CW$999,95,FALSE),"unknown")</f>
        <v>Some college</v>
      </c>
      <c r="AO251" s="120" t="str">
        <f>IFERROR(VLOOKUP(Table1[RespondentID],'All Data'!$A$3:$CW$999,96,FALSE),"unknown")</f>
        <v>Employed for wages</v>
      </c>
      <c r="AP251" s="120" t="str">
        <f>IFERROR(VLOOKUP(Table1[RespondentID],'All Data'!$A$3:$CW$999,97,FALSE),"unknown")</f>
        <v>Yes</v>
      </c>
      <c r="AQ251" s="120">
        <f>IFERROR(VLOOKUP(Table1[RespondentID],'All Data'!$A$3:$CW$999,98,FALSE),"unknown")</f>
        <v>0</v>
      </c>
      <c r="AR251" s="120">
        <f>IFERROR(VLOOKUP(Table1[RespondentID],'All Data'!$A$3:$CW$999,99,FALSE),"unknown")</f>
        <v>0</v>
      </c>
    </row>
    <row r="252" spans="1:44" ht="16">
      <c r="A252" s="5">
        <v>18019095931</v>
      </c>
      <c r="B252" s="5"/>
      <c r="C252" s="5"/>
      <c r="D252" s="5"/>
      <c r="E252" s="5" t="s">
        <v>32</v>
      </c>
      <c r="F252" s="5"/>
      <c r="G252" s="5"/>
      <c r="H252" s="5" t="s">
        <v>35</v>
      </c>
      <c r="I252" s="5"/>
      <c r="J252" s="5"/>
      <c r="K252" s="5" t="s">
        <v>375</v>
      </c>
      <c r="L252" s="8"/>
      <c r="M252" s="8">
        <f t="shared" si="45"/>
        <v>3</v>
      </c>
      <c r="N252" s="8">
        <f t="shared" si="46"/>
        <v>1</v>
      </c>
      <c r="O252" s="8"/>
      <c r="P252" s="8">
        <f t="shared" si="47"/>
        <v>0</v>
      </c>
      <c r="Q252" s="8">
        <f t="shared" si="48"/>
        <v>0</v>
      </c>
      <c r="R252" s="8">
        <f t="shared" si="49"/>
        <v>0</v>
      </c>
      <c r="S252" s="8">
        <f t="shared" si="50"/>
        <v>1</v>
      </c>
      <c r="T252" s="8">
        <f t="shared" si="51"/>
        <v>0</v>
      </c>
      <c r="U252" s="8">
        <f t="shared" si="52"/>
        <v>0</v>
      </c>
      <c r="V252" s="153">
        <f t="shared" si="53"/>
        <v>1</v>
      </c>
      <c r="W252" s="8">
        <f t="shared" si="54"/>
        <v>0</v>
      </c>
      <c r="X252" s="8">
        <f t="shared" si="55"/>
        <v>0</v>
      </c>
      <c r="Y252" s="8">
        <f t="shared" si="56"/>
        <v>1</v>
      </c>
      <c r="Z252" s="8"/>
      <c r="AA252" s="8"/>
      <c r="AB252" s="8">
        <f t="shared" si="59"/>
        <v>3</v>
      </c>
      <c r="AC252" s="8">
        <f t="shared" si="57"/>
        <v>3</v>
      </c>
      <c r="AD252" s="8" t="str">
        <f t="shared" si="58"/>
        <v>Correct</v>
      </c>
      <c r="AE252" s="8"/>
      <c r="AF252" s="120" t="str">
        <f>IFERROR(VLOOKUP(Table1[RespondentID],'All Data'!$A$3:$CO$999,87,FALSE),"unknown")</f>
        <v>Man</v>
      </c>
      <c r="AG252" s="120">
        <f>IFERROR(VLOOKUP(Table1[RespondentID],'All Data'!$A$3:$CO$999,88,FALSE),"unknown")</f>
        <v>43</v>
      </c>
      <c r="AH252" s="120" t="str">
        <f>IFERROR(VLOOKUP(Table1[RespondentID],'All Data'!$A$3:$CO$999,89,FALSE),"unknown")</f>
        <v>Suffolk</v>
      </c>
      <c r="AI252" s="120" t="str">
        <f>IFERROR(VLOOKUP(Table1[RespondentID],'All Data'!$A$3:$CO$999,90,FALSE),"unknown")</f>
        <v>Commack, 11725</v>
      </c>
      <c r="AJ252" s="120" t="str">
        <f>IFERROR(VLOOKUP(Table1[RespondentID],'All Data'!$A$3:$CO$999,91,FALSE),"unknown")</f>
        <v>White</v>
      </c>
      <c r="AK252" s="120" t="str">
        <f>IFERROR(VLOOKUP(Table1[RespondentID],'All Data'!$A$3:$CO$999,92,FALSE),"unknown")</f>
        <v>Hispanic or Latino</v>
      </c>
      <c r="AL252" s="120" t="str">
        <f>IFERROR(VLOOKUP(Table1[RespondentID],'All Data'!$A$3:$CO$999,93,FALSE),"unknown")</f>
        <v>English</v>
      </c>
      <c r="AM252" s="120" t="str">
        <f>IFERROR(VLOOKUP(Table1[RespondentID],'All Data'!$A$3:$CW$999,94,FALSE),"unknown")</f>
        <v>Over $125,000</v>
      </c>
      <c r="AN252" s="120" t="str">
        <f>IFERROR(VLOOKUP(Table1[RespondentID],'All Data'!$A$3:$CW$999,95,FALSE),"unknown")</f>
        <v>Graduate school</v>
      </c>
      <c r="AO252" s="120" t="str">
        <f>IFERROR(VLOOKUP(Table1[RespondentID],'All Data'!$A$3:$CW$999,96,FALSE),"unknown")</f>
        <v>Self-employed</v>
      </c>
      <c r="AP252" s="120" t="str">
        <f>IFERROR(VLOOKUP(Table1[RespondentID],'All Data'!$A$3:$CW$999,97,FALSE),"unknown")</f>
        <v>Yes</v>
      </c>
      <c r="AQ252" s="120">
        <f>IFERROR(VLOOKUP(Table1[RespondentID],'All Data'!$A$3:$CW$999,98,FALSE),"unknown")</f>
        <v>0</v>
      </c>
      <c r="AR252" s="120">
        <f>IFERROR(VLOOKUP(Table1[RespondentID],'All Data'!$A$3:$CW$999,99,FALSE),"unknown")</f>
        <v>0</v>
      </c>
    </row>
    <row r="253" spans="1:44" ht="16">
      <c r="A253" s="5">
        <v>18019095788</v>
      </c>
      <c r="B253" s="5"/>
      <c r="C253" s="5" t="s">
        <v>30</v>
      </c>
      <c r="D253" s="5"/>
      <c r="E253" s="5" t="s">
        <v>32</v>
      </c>
      <c r="F253" s="5"/>
      <c r="G253" s="5"/>
      <c r="H253" s="5"/>
      <c r="I253" s="5"/>
      <c r="J253" s="5"/>
      <c r="K253" s="5" t="s">
        <v>375</v>
      </c>
      <c r="L253" s="9"/>
      <c r="M253" s="9">
        <f t="shared" si="45"/>
        <v>3</v>
      </c>
      <c r="N253" s="9">
        <f t="shared" si="46"/>
        <v>1</v>
      </c>
      <c r="O253" s="9"/>
      <c r="P253" s="9">
        <f t="shared" si="47"/>
        <v>0</v>
      </c>
      <c r="Q253" s="9">
        <f t="shared" si="48"/>
        <v>1</v>
      </c>
      <c r="R253" s="9">
        <f t="shared" si="49"/>
        <v>0</v>
      </c>
      <c r="S253" s="9">
        <f t="shared" si="50"/>
        <v>1</v>
      </c>
      <c r="T253" s="9">
        <f t="shared" si="51"/>
        <v>0</v>
      </c>
      <c r="U253" s="9">
        <f t="shared" si="52"/>
        <v>0</v>
      </c>
      <c r="V253" s="153">
        <f t="shared" si="53"/>
        <v>0</v>
      </c>
      <c r="W253" s="9">
        <f t="shared" si="54"/>
        <v>0</v>
      </c>
      <c r="X253" s="9">
        <f t="shared" si="55"/>
        <v>0</v>
      </c>
      <c r="Y253" s="9">
        <f t="shared" si="56"/>
        <v>1</v>
      </c>
      <c r="Z253" s="9"/>
      <c r="AA253" s="9"/>
      <c r="AB253" s="9">
        <f t="shared" si="59"/>
        <v>3</v>
      </c>
      <c r="AC253" s="9">
        <f t="shared" si="57"/>
        <v>3</v>
      </c>
      <c r="AD253" s="9" t="str">
        <f t="shared" si="58"/>
        <v>Correct</v>
      </c>
      <c r="AE253" s="9"/>
      <c r="AF253" s="120" t="str">
        <f>IFERROR(VLOOKUP(Table1[RespondentID],'All Data'!$A$3:$CO$999,87,FALSE),"unknown")</f>
        <v>Woman</v>
      </c>
      <c r="AG253" s="120">
        <f>IFERROR(VLOOKUP(Table1[RespondentID],'All Data'!$A$3:$CO$999,88,FALSE),"unknown")</f>
        <v>48</v>
      </c>
      <c r="AH253" s="120" t="str">
        <f>IFERROR(VLOOKUP(Table1[RespondentID],'All Data'!$A$3:$CO$999,89,FALSE),"unknown")</f>
        <v>Suffolk</v>
      </c>
      <c r="AI253" s="120" t="str">
        <f>IFERROR(VLOOKUP(Table1[RespondentID],'All Data'!$A$3:$CO$999,90,FALSE),"unknown")</f>
        <v>Commack, 11725</v>
      </c>
      <c r="AJ253" s="120" t="str">
        <f>IFERROR(VLOOKUP(Table1[RespondentID],'All Data'!$A$3:$CO$999,91,FALSE),"unknown")</f>
        <v>White</v>
      </c>
      <c r="AK253" s="120" t="str">
        <f>IFERROR(VLOOKUP(Table1[RespondentID],'All Data'!$A$3:$CO$999,92,FALSE),"unknown")</f>
        <v>Hispanic or Latino</v>
      </c>
      <c r="AL253" s="120" t="str">
        <f>IFERROR(VLOOKUP(Table1[RespondentID],'All Data'!$A$3:$CO$999,93,FALSE),"unknown")</f>
        <v>English</v>
      </c>
      <c r="AM253" s="120" t="str">
        <f>IFERROR(VLOOKUP(Table1[RespondentID],'All Data'!$A$3:$CW$999,94,FALSE),"unknown")</f>
        <v>Over $125,000</v>
      </c>
      <c r="AN253" s="120" t="str">
        <f>IFERROR(VLOOKUP(Table1[RespondentID],'All Data'!$A$3:$CW$999,95,FALSE),"unknown")</f>
        <v>Some college</v>
      </c>
      <c r="AO253" s="120" t="str">
        <f>IFERROR(VLOOKUP(Table1[RespondentID],'All Data'!$A$3:$CW$999,96,FALSE),"unknown")</f>
        <v>Employed for wages</v>
      </c>
      <c r="AP253" s="120" t="str">
        <f>IFERROR(VLOOKUP(Table1[RespondentID],'All Data'!$A$3:$CW$999,97,FALSE),"unknown")</f>
        <v>Yes</v>
      </c>
      <c r="AQ253" s="120">
        <f>IFERROR(VLOOKUP(Table1[RespondentID],'All Data'!$A$3:$CW$999,98,FALSE),"unknown")</f>
        <v>0</v>
      </c>
      <c r="AR253" s="120">
        <f>IFERROR(VLOOKUP(Table1[RespondentID],'All Data'!$A$3:$CW$999,99,FALSE),"unknown")</f>
        <v>0</v>
      </c>
    </row>
    <row r="254" spans="1:44" ht="16">
      <c r="A254" s="5">
        <v>18019095658</v>
      </c>
      <c r="B254" s="5"/>
      <c r="C254" s="5" t="s">
        <v>30</v>
      </c>
      <c r="D254" s="5"/>
      <c r="E254" s="5" t="s">
        <v>32</v>
      </c>
      <c r="F254" s="5"/>
      <c r="G254" s="5"/>
      <c r="H254" s="5" t="s">
        <v>35</v>
      </c>
      <c r="I254" s="5"/>
      <c r="J254" s="5"/>
      <c r="K254" s="5"/>
      <c r="L254" s="8"/>
      <c r="M254" s="8">
        <f t="shared" si="45"/>
        <v>3</v>
      </c>
      <c r="N254" s="8">
        <f t="shared" si="46"/>
        <v>1</v>
      </c>
      <c r="O254" s="8"/>
      <c r="P254" s="8">
        <f t="shared" si="47"/>
        <v>0</v>
      </c>
      <c r="Q254" s="8">
        <f t="shared" si="48"/>
        <v>1</v>
      </c>
      <c r="R254" s="8">
        <f t="shared" si="49"/>
        <v>0</v>
      </c>
      <c r="S254" s="8">
        <f t="shared" si="50"/>
        <v>1</v>
      </c>
      <c r="T254" s="8">
        <f t="shared" si="51"/>
        <v>0</v>
      </c>
      <c r="U254" s="8">
        <f t="shared" si="52"/>
        <v>0</v>
      </c>
      <c r="V254" s="153">
        <f t="shared" si="53"/>
        <v>1</v>
      </c>
      <c r="W254" s="8">
        <f t="shared" si="54"/>
        <v>0</v>
      </c>
      <c r="X254" s="8">
        <f t="shared" si="55"/>
        <v>0</v>
      </c>
      <c r="Y254" s="8">
        <f t="shared" si="56"/>
        <v>0</v>
      </c>
      <c r="Z254" s="8"/>
      <c r="AA254" s="8"/>
      <c r="AB254" s="8">
        <f t="shared" si="59"/>
        <v>3</v>
      </c>
      <c r="AC254" s="8">
        <f t="shared" si="57"/>
        <v>3</v>
      </c>
      <c r="AD254" s="8" t="str">
        <f t="shared" si="58"/>
        <v>Correct</v>
      </c>
      <c r="AE254" s="8"/>
      <c r="AF254" s="120" t="str">
        <f>IFERROR(VLOOKUP(Table1[RespondentID],'All Data'!$A$3:$CO$999,87,FALSE),"unknown")</f>
        <v>Man</v>
      </c>
      <c r="AG254" s="120">
        <f>IFERROR(VLOOKUP(Table1[RespondentID],'All Data'!$A$3:$CO$999,88,FALSE),"unknown")</f>
        <v>49</v>
      </c>
      <c r="AH254" s="120" t="str">
        <f>IFERROR(VLOOKUP(Table1[RespondentID],'All Data'!$A$3:$CO$999,89,FALSE),"unknown")</f>
        <v>Suffolk</v>
      </c>
      <c r="AI254" s="120" t="str">
        <f>IFERROR(VLOOKUP(Table1[RespondentID],'All Data'!$A$3:$CO$999,90,FALSE),"unknown")</f>
        <v>West Islip, 11795</v>
      </c>
      <c r="AJ254" s="120" t="str">
        <f>IFERROR(VLOOKUP(Table1[RespondentID],'All Data'!$A$3:$CO$999,91,FALSE),"unknown")</f>
        <v>White</v>
      </c>
      <c r="AK254" s="120" t="str">
        <f>IFERROR(VLOOKUP(Table1[RespondentID],'All Data'!$A$3:$CO$999,92,FALSE),"unknown")</f>
        <v>Hispanic or Latino</v>
      </c>
      <c r="AL254" s="120" t="str">
        <f>IFERROR(VLOOKUP(Table1[RespondentID],'All Data'!$A$3:$CO$999,93,FALSE),"unknown")</f>
        <v>English</v>
      </c>
      <c r="AM254" s="120" t="str">
        <f>IFERROR(VLOOKUP(Table1[RespondentID],'All Data'!$A$3:$CW$999,94,FALSE),"unknown")</f>
        <v>Over $125,000</v>
      </c>
      <c r="AN254" s="120" t="str">
        <f>IFERROR(VLOOKUP(Table1[RespondentID],'All Data'!$A$3:$CW$999,95,FALSE),"unknown")</f>
        <v>College graduate</v>
      </c>
      <c r="AO254" s="120" t="str">
        <f>IFERROR(VLOOKUP(Table1[RespondentID],'All Data'!$A$3:$CW$999,96,FALSE),"unknown")</f>
        <v>Employed for wages</v>
      </c>
      <c r="AP254" s="120" t="str">
        <f>IFERROR(VLOOKUP(Table1[RespondentID],'All Data'!$A$3:$CW$999,97,FALSE),"unknown")</f>
        <v>Yes</v>
      </c>
      <c r="AQ254" s="120">
        <f>IFERROR(VLOOKUP(Table1[RespondentID],'All Data'!$A$3:$CW$999,98,FALSE),"unknown")</f>
        <v>0</v>
      </c>
      <c r="AR254" s="120">
        <f>IFERROR(VLOOKUP(Table1[RespondentID],'All Data'!$A$3:$CW$999,99,FALSE),"unknown")</f>
        <v>0</v>
      </c>
    </row>
    <row r="255" spans="1:44" ht="16">
      <c r="A255" s="5">
        <v>18019095504</v>
      </c>
      <c r="B255" s="5"/>
      <c r="C255" s="5"/>
      <c r="D255" s="5"/>
      <c r="E255" s="5" t="s">
        <v>32</v>
      </c>
      <c r="F255" s="5" t="s">
        <v>33</v>
      </c>
      <c r="G255" s="5"/>
      <c r="H255" s="5" t="s">
        <v>35</v>
      </c>
      <c r="I255" s="5"/>
      <c r="J255" s="5"/>
      <c r="K255" s="5" t="s">
        <v>375</v>
      </c>
      <c r="L255" s="9"/>
      <c r="M255" s="9">
        <f t="shared" si="45"/>
        <v>4</v>
      </c>
      <c r="N255" s="9">
        <f t="shared" si="46"/>
        <v>0.75</v>
      </c>
      <c r="O255" s="9"/>
      <c r="P255" s="9">
        <f t="shared" si="47"/>
        <v>0</v>
      </c>
      <c r="Q255" s="9">
        <f t="shared" si="48"/>
        <v>0</v>
      </c>
      <c r="R255" s="9">
        <f t="shared" si="49"/>
        <v>0</v>
      </c>
      <c r="S255" s="9">
        <f t="shared" si="50"/>
        <v>0.75</v>
      </c>
      <c r="T255" s="9">
        <f t="shared" si="51"/>
        <v>0.75</v>
      </c>
      <c r="U255" s="9">
        <f t="shared" si="52"/>
        <v>0</v>
      </c>
      <c r="V255" s="153">
        <f t="shared" si="53"/>
        <v>0.75</v>
      </c>
      <c r="W255" s="9">
        <f t="shared" si="54"/>
        <v>0</v>
      </c>
      <c r="X255" s="9">
        <f t="shared" si="55"/>
        <v>0</v>
      </c>
      <c r="Y255" s="9">
        <f t="shared" si="56"/>
        <v>0.75</v>
      </c>
      <c r="Z255" s="9"/>
      <c r="AA255" s="9"/>
      <c r="AB255" s="9">
        <f t="shared" si="59"/>
        <v>3</v>
      </c>
      <c r="AC255" s="9">
        <f t="shared" si="57"/>
        <v>4</v>
      </c>
      <c r="AD255" s="9" t="str">
        <f t="shared" si="58"/>
        <v>Correct</v>
      </c>
      <c r="AE255" s="9"/>
      <c r="AF255" s="120" t="str">
        <f>IFERROR(VLOOKUP(Table1[RespondentID],'All Data'!$A$3:$CO$999,87,FALSE),"unknown")</f>
        <v>Woman</v>
      </c>
      <c r="AG255" s="120">
        <f>IFERROR(VLOOKUP(Table1[RespondentID],'All Data'!$A$3:$CO$999,88,FALSE),"unknown")</f>
        <v>49</v>
      </c>
      <c r="AH255" s="120" t="str">
        <f>IFERROR(VLOOKUP(Table1[RespondentID],'All Data'!$A$3:$CO$999,89,FALSE),"unknown")</f>
        <v>Suffolk</v>
      </c>
      <c r="AI255" s="120" t="str">
        <f>IFERROR(VLOOKUP(Table1[RespondentID],'All Data'!$A$3:$CO$999,90,FALSE),"unknown")</f>
        <v>Coram, 11727</v>
      </c>
      <c r="AJ255" s="120" t="str">
        <f>IFERROR(VLOOKUP(Table1[RespondentID],'All Data'!$A$3:$CO$999,91,FALSE),"unknown")</f>
        <v>White</v>
      </c>
      <c r="AK255" s="120">
        <f>IFERROR(VLOOKUP(Table1[RespondentID],'All Data'!$A$3:$CO$999,92,FALSE),"unknown")</f>
        <v>0</v>
      </c>
      <c r="AL255" s="120" t="str">
        <f>IFERROR(VLOOKUP(Table1[RespondentID],'All Data'!$A$3:$CO$999,93,FALSE),"unknown")</f>
        <v>English</v>
      </c>
      <c r="AM255" s="120" t="str">
        <f>IFERROR(VLOOKUP(Table1[RespondentID],'All Data'!$A$3:$CW$999,94,FALSE),"unknown")</f>
        <v>$75,000 to $125,000</v>
      </c>
      <c r="AN255" s="120" t="str">
        <f>IFERROR(VLOOKUP(Table1[RespondentID],'All Data'!$A$3:$CW$999,95,FALSE),"unknown")</f>
        <v>College graduate</v>
      </c>
      <c r="AO255" s="120" t="str">
        <f>IFERROR(VLOOKUP(Table1[RespondentID],'All Data'!$A$3:$CW$999,96,FALSE),"unknown")</f>
        <v>Employed for wages</v>
      </c>
      <c r="AP255" s="120" t="str">
        <f>IFERROR(VLOOKUP(Table1[RespondentID],'All Data'!$A$3:$CW$999,97,FALSE),"unknown")</f>
        <v>Yes</v>
      </c>
      <c r="AQ255" s="120">
        <f>IFERROR(VLOOKUP(Table1[RespondentID],'All Data'!$A$3:$CW$999,98,FALSE),"unknown")</f>
        <v>0</v>
      </c>
      <c r="AR255" s="120">
        <f>IFERROR(VLOOKUP(Table1[RespondentID],'All Data'!$A$3:$CW$999,99,FALSE),"unknown")</f>
        <v>0</v>
      </c>
    </row>
    <row r="256" spans="1:44" ht="16">
      <c r="A256" s="5">
        <v>18019095328</v>
      </c>
      <c r="B256" s="5"/>
      <c r="C256" s="5" t="s">
        <v>30</v>
      </c>
      <c r="D256" s="5"/>
      <c r="E256" s="5" t="s">
        <v>32</v>
      </c>
      <c r="F256" s="5"/>
      <c r="G256" s="5"/>
      <c r="H256" s="5" t="s">
        <v>35</v>
      </c>
      <c r="I256" s="5"/>
      <c r="J256" s="5"/>
      <c r="K256" s="5"/>
      <c r="L256" s="8"/>
      <c r="M256" s="8">
        <f t="shared" si="45"/>
        <v>3</v>
      </c>
      <c r="N256" s="8">
        <f t="shared" si="46"/>
        <v>1</v>
      </c>
      <c r="O256" s="8"/>
      <c r="P256" s="8">
        <f t="shared" si="47"/>
        <v>0</v>
      </c>
      <c r="Q256" s="8">
        <f t="shared" si="48"/>
        <v>1</v>
      </c>
      <c r="R256" s="8">
        <f t="shared" si="49"/>
        <v>0</v>
      </c>
      <c r="S256" s="8">
        <f t="shared" si="50"/>
        <v>1</v>
      </c>
      <c r="T256" s="8">
        <f t="shared" si="51"/>
        <v>0</v>
      </c>
      <c r="U256" s="8">
        <f t="shared" si="52"/>
        <v>0</v>
      </c>
      <c r="V256" s="153">
        <f t="shared" si="53"/>
        <v>1</v>
      </c>
      <c r="W256" s="8">
        <f t="shared" si="54"/>
        <v>0</v>
      </c>
      <c r="X256" s="8">
        <f t="shared" si="55"/>
        <v>0</v>
      </c>
      <c r="Y256" s="8">
        <f t="shared" si="56"/>
        <v>0</v>
      </c>
      <c r="Z256" s="8"/>
      <c r="AA256" s="8"/>
      <c r="AB256" s="8">
        <f t="shared" si="59"/>
        <v>3</v>
      </c>
      <c r="AC256" s="8">
        <f t="shared" si="57"/>
        <v>3</v>
      </c>
      <c r="AD256" s="8" t="str">
        <f t="shared" si="58"/>
        <v>Correct</v>
      </c>
      <c r="AE256" s="8"/>
      <c r="AF256" s="120" t="str">
        <f>IFERROR(VLOOKUP(Table1[RespondentID],'All Data'!$A$3:$CO$999,87,FALSE),"unknown")</f>
        <v>Man</v>
      </c>
      <c r="AG256" s="120">
        <f>IFERROR(VLOOKUP(Table1[RespondentID],'All Data'!$A$3:$CO$999,88,FALSE),"unknown")</f>
        <v>48</v>
      </c>
      <c r="AH256" s="120" t="str">
        <f>IFERROR(VLOOKUP(Table1[RespondentID],'All Data'!$A$3:$CO$999,89,FALSE),"unknown")</f>
        <v>Suffolk</v>
      </c>
      <c r="AI256" s="120" t="str">
        <f>IFERROR(VLOOKUP(Table1[RespondentID],'All Data'!$A$3:$CO$999,90,FALSE),"unknown")</f>
        <v>Commack, 11725</v>
      </c>
      <c r="AJ256" s="120" t="str">
        <f>IFERROR(VLOOKUP(Table1[RespondentID],'All Data'!$A$3:$CO$999,91,FALSE),"unknown")</f>
        <v>White</v>
      </c>
      <c r="AK256" s="120" t="str">
        <f>IFERROR(VLOOKUP(Table1[RespondentID],'All Data'!$A$3:$CO$999,92,FALSE),"unknown")</f>
        <v>Hispanic or Latino</v>
      </c>
      <c r="AL256" s="120" t="str">
        <f>IFERROR(VLOOKUP(Table1[RespondentID],'All Data'!$A$3:$CO$999,93,FALSE),"unknown")</f>
        <v>English</v>
      </c>
      <c r="AM256" s="120" t="str">
        <f>IFERROR(VLOOKUP(Table1[RespondentID],'All Data'!$A$3:$CW$999,94,FALSE),"unknown")</f>
        <v>Over $125,000</v>
      </c>
      <c r="AN256" s="120" t="str">
        <f>IFERROR(VLOOKUP(Table1[RespondentID],'All Data'!$A$3:$CW$999,95,FALSE),"unknown")</f>
        <v>College graduate</v>
      </c>
      <c r="AO256" s="120" t="str">
        <f>IFERROR(VLOOKUP(Table1[RespondentID],'All Data'!$A$3:$CW$999,96,FALSE),"unknown")</f>
        <v>Out of work, but not currently looking</v>
      </c>
      <c r="AP256" s="120" t="str">
        <f>IFERROR(VLOOKUP(Table1[RespondentID],'All Data'!$A$3:$CW$999,97,FALSE),"unknown")</f>
        <v>Yes</v>
      </c>
      <c r="AQ256" s="120">
        <f>IFERROR(VLOOKUP(Table1[RespondentID],'All Data'!$A$3:$CW$999,98,FALSE),"unknown")</f>
        <v>0</v>
      </c>
      <c r="AR256" s="120">
        <f>IFERROR(VLOOKUP(Table1[RespondentID],'All Data'!$A$3:$CW$999,99,FALSE),"unknown")</f>
        <v>0</v>
      </c>
    </row>
    <row r="257" spans="1:44" ht="16">
      <c r="A257" s="5">
        <v>18019095130</v>
      </c>
      <c r="B257" s="5"/>
      <c r="C257" s="5"/>
      <c r="D257" s="5" t="s">
        <v>31</v>
      </c>
      <c r="E257" s="5"/>
      <c r="F257" s="5" t="s">
        <v>33</v>
      </c>
      <c r="G257" s="5"/>
      <c r="H257" s="5"/>
      <c r="I257" s="5" t="s">
        <v>36</v>
      </c>
      <c r="J257" s="5"/>
      <c r="K257" s="5"/>
      <c r="L257" s="9"/>
      <c r="M257" s="9">
        <f t="shared" si="45"/>
        <v>3</v>
      </c>
      <c r="N257" s="9">
        <f t="shared" si="46"/>
        <v>1</v>
      </c>
      <c r="O257" s="9"/>
      <c r="P257" s="9">
        <f t="shared" si="47"/>
        <v>0</v>
      </c>
      <c r="Q257" s="9">
        <f t="shared" si="48"/>
        <v>0</v>
      </c>
      <c r="R257" s="9">
        <f t="shared" si="49"/>
        <v>1</v>
      </c>
      <c r="S257" s="9">
        <f t="shared" si="50"/>
        <v>0</v>
      </c>
      <c r="T257" s="9">
        <f t="shared" si="51"/>
        <v>1</v>
      </c>
      <c r="U257" s="9">
        <f t="shared" si="52"/>
        <v>0</v>
      </c>
      <c r="V257" s="153">
        <f t="shared" si="53"/>
        <v>0</v>
      </c>
      <c r="W257" s="9">
        <f t="shared" si="54"/>
        <v>1</v>
      </c>
      <c r="X257" s="9">
        <f t="shared" si="55"/>
        <v>0</v>
      </c>
      <c r="Y257" s="9">
        <f t="shared" si="56"/>
        <v>0</v>
      </c>
      <c r="Z257" s="9"/>
      <c r="AA257" s="9"/>
      <c r="AB257" s="9">
        <f t="shared" si="59"/>
        <v>3</v>
      </c>
      <c r="AC257" s="9">
        <f t="shared" si="57"/>
        <v>3</v>
      </c>
      <c r="AD257" s="9" t="str">
        <f t="shared" si="58"/>
        <v>Correct</v>
      </c>
      <c r="AE257" s="9"/>
      <c r="AF257" s="120" t="str">
        <f>IFERROR(VLOOKUP(Table1[RespondentID],'All Data'!$A$3:$CO$999,87,FALSE),"unknown")</f>
        <v>Woman</v>
      </c>
      <c r="AG257" s="120">
        <f>IFERROR(VLOOKUP(Table1[RespondentID],'All Data'!$A$3:$CO$999,88,FALSE),"unknown")</f>
        <v>50</v>
      </c>
      <c r="AH257" s="120" t="str">
        <f>IFERROR(VLOOKUP(Table1[RespondentID],'All Data'!$A$3:$CO$999,89,FALSE),"unknown")</f>
        <v>Suffolk</v>
      </c>
      <c r="AI257" s="120" t="str">
        <f>IFERROR(VLOOKUP(Table1[RespondentID],'All Data'!$A$3:$CO$999,90,FALSE),"unknown")</f>
        <v>Nesconset, 11767</v>
      </c>
      <c r="AJ257" s="120" t="str">
        <f>IFERROR(VLOOKUP(Table1[RespondentID],'All Data'!$A$3:$CO$999,91,FALSE),"unknown")</f>
        <v>White</v>
      </c>
      <c r="AK257" s="120" t="str">
        <f>IFERROR(VLOOKUP(Table1[RespondentID],'All Data'!$A$3:$CO$999,92,FALSE),"unknown")</f>
        <v>Hispanic or Latino</v>
      </c>
      <c r="AL257" s="120" t="str">
        <f>IFERROR(VLOOKUP(Table1[RespondentID],'All Data'!$A$3:$CO$999,93,FALSE),"unknown")</f>
        <v>English</v>
      </c>
      <c r="AM257" s="120" t="str">
        <f>IFERROR(VLOOKUP(Table1[RespondentID],'All Data'!$A$3:$CW$999,94,FALSE),"unknown")</f>
        <v>$75,000 to $125,000</v>
      </c>
      <c r="AN257" s="120" t="str">
        <f>IFERROR(VLOOKUP(Table1[RespondentID],'All Data'!$A$3:$CW$999,95,FALSE),"unknown")</f>
        <v>High school graduate</v>
      </c>
      <c r="AO257" s="120" t="str">
        <f>IFERROR(VLOOKUP(Table1[RespondentID],'All Data'!$A$3:$CW$999,96,FALSE),"unknown")</f>
        <v>Employed for wages</v>
      </c>
      <c r="AP257" s="120" t="str">
        <f>IFERROR(VLOOKUP(Table1[RespondentID],'All Data'!$A$3:$CW$999,97,FALSE),"unknown")</f>
        <v>Yes</v>
      </c>
      <c r="AQ257" s="120">
        <f>IFERROR(VLOOKUP(Table1[RespondentID],'All Data'!$A$3:$CW$999,98,FALSE),"unknown")</f>
        <v>0</v>
      </c>
      <c r="AR257" s="120">
        <f>IFERROR(VLOOKUP(Table1[RespondentID],'All Data'!$A$3:$CW$999,99,FALSE),"unknown")</f>
        <v>0</v>
      </c>
    </row>
    <row r="258" spans="1:44" ht="16">
      <c r="A258" s="5">
        <v>18019094934</v>
      </c>
      <c r="B258" s="5"/>
      <c r="C258" s="5"/>
      <c r="D258" s="5"/>
      <c r="E258" s="5"/>
      <c r="F258" s="5"/>
      <c r="G258" s="5"/>
      <c r="H258" s="5"/>
      <c r="I258" s="5"/>
      <c r="J258" s="5"/>
      <c r="K258" s="5"/>
      <c r="L258" s="8"/>
      <c r="M258" s="8">
        <f t="shared" ref="M258:M321" si="60">COUNTA(B258:L258)</f>
        <v>0</v>
      </c>
      <c r="N258" s="8" t="e">
        <f t="shared" ref="N258:N321" si="61">3/M258</f>
        <v>#DIV/0!</v>
      </c>
      <c r="O258" s="8"/>
      <c r="P258" s="8">
        <f t="shared" ref="P258:P321" si="62">IF($M258&lt;3,IF($B258=$B$1,1,0),IF($B258=$B$1,$N258,0))</f>
        <v>0</v>
      </c>
      <c r="Q258" s="8">
        <f t="shared" ref="Q258:Q321" si="63">IF($M258&lt;3,IF($C258=$C$1,1,0),IF($C258=$C$1,$N258,0))</f>
        <v>0</v>
      </c>
      <c r="R258" s="8">
        <f t="shared" ref="R258:R321" si="64">IF($M258&lt;3,IF($D258=$D$1,1,0),IF($D258=$D$1,$N258,0))</f>
        <v>0</v>
      </c>
      <c r="S258" s="8">
        <f t="shared" ref="S258:S321" si="65">IF($M258&lt;3,IF($E258=$E$1,1,0),IF($E258=$E$1,$N258,0))</f>
        <v>0</v>
      </c>
      <c r="T258" s="8">
        <f t="shared" ref="T258:T321" si="66">IF($M258&lt;3,IF($F258=$F$1,1,0),IF($F258=$F$1,$N258,0))</f>
        <v>0</v>
      </c>
      <c r="U258" s="8">
        <f t="shared" ref="U258:U321" si="67">IF($M258&lt;3,IF($G258=$G$1,1,0),IF($G258=$G$1,$N258,0))</f>
        <v>0</v>
      </c>
      <c r="V258" s="153">
        <f t="shared" ref="V258:V321" si="68">IF($M258&lt;3,IF($H258=$H$1,1,0),IF($H258=$H$1,$N258,0))</f>
        <v>0</v>
      </c>
      <c r="W258" s="8">
        <f t="shared" ref="W258:W321" si="69">IF($M258&lt;3,IF($I258=$I$1,1,0),IF($I258=$I$1,$N258,0))</f>
        <v>0</v>
      </c>
      <c r="X258" s="8">
        <f t="shared" ref="X258:X321" si="70">IF($M258&lt;3,IF($J258=$J$1,1,0),IF($J258=$J$1,$N258,0))</f>
        <v>0</v>
      </c>
      <c r="Y258" s="8">
        <f t="shared" ref="Y258:Y321" si="71">IF($M258&lt;3,IF($K258=$K$1,1,0),IF($K258=$K$1,$N258,0))</f>
        <v>0</v>
      </c>
      <c r="Z258" s="8"/>
      <c r="AA258" s="8"/>
      <c r="AB258" s="8">
        <f t="shared" si="59"/>
        <v>0</v>
      </c>
      <c r="AC258" s="8">
        <f t="shared" ref="AC258:AC321" si="72">M258</f>
        <v>0</v>
      </c>
      <c r="AD258" s="8" t="str">
        <f t="shared" ref="AD258:AD321" si="73">IF(AB258=AC258,"Correct",IF(AB258=3,"Correct","Wrong"))</f>
        <v>Correct</v>
      </c>
      <c r="AE258" s="8"/>
      <c r="AF258" s="120" t="str">
        <f>IFERROR(VLOOKUP(Table1[RespondentID],'All Data'!$A$3:$CO$999,87,FALSE),"unknown")</f>
        <v>Man</v>
      </c>
      <c r="AG258" s="120">
        <f>IFERROR(VLOOKUP(Table1[RespondentID],'All Data'!$A$3:$CO$999,88,FALSE),"unknown")</f>
        <v>50</v>
      </c>
      <c r="AH258" s="120" t="str">
        <f>IFERROR(VLOOKUP(Table1[RespondentID],'All Data'!$A$3:$CO$999,89,FALSE),"unknown")</f>
        <v>Suffolk</v>
      </c>
      <c r="AI258" s="120" t="str">
        <f>IFERROR(VLOOKUP(Table1[RespondentID],'All Data'!$A$3:$CO$999,90,FALSE),"unknown")</f>
        <v>Greenlawn, 11740</v>
      </c>
      <c r="AJ258" s="120" t="str">
        <f>IFERROR(VLOOKUP(Table1[RespondentID],'All Data'!$A$3:$CO$999,91,FALSE),"unknown")</f>
        <v>White</v>
      </c>
      <c r="AK258" s="120" t="str">
        <f>IFERROR(VLOOKUP(Table1[RespondentID],'All Data'!$A$3:$CO$999,92,FALSE),"unknown")</f>
        <v>Hispanic or Latino</v>
      </c>
      <c r="AL258" s="120" t="str">
        <f>IFERROR(VLOOKUP(Table1[RespondentID],'All Data'!$A$3:$CO$999,93,FALSE),"unknown")</f>
        <v>English</v>
      </c>
      <c r="AM258" s="120" t="str">
        <f>IFERROR(VLOOKUP(Table1[RespondentID],'All Data'!$A$3:$CW$999,94,FALSE),"unknown")</f>
        <v>Over $125,000</v>
      </c>
      <c r="AN258" s="120" t="str">
        <f>IFERROR(VLOOKUP(Table1[RespondentID],'All Data'!$A$3:$CW$999,95,FALSE),"unknown")</f>
        <v>College graduate</v>
      </c>
      <c r="AO258" s="120" t="str">
        <f>IFERROR(VLOOKUP(Table1[RespondentID],'All Data'!$A$3:$CW$999,96,FALSE),"unknown")</f>
        <v>Employed for wages</v>
      </c>
      <c r="AP258" s="120" t="str">
        <f>IFERROR(VLOOKUP(Table1[RespondentID],'All Data'!$A$3:$CW$999,97,FALSE),"unknown")</f>
        <v>Yes</v>
      </c>
      <c r="AQ258" s="120">
        <f>IFERROR(VLOOKUP(Table1[RespondentID],'All Data'!$A$3:$CW$999,98,FALSE),"unknown")</f>
        <v>0</v>
      </c>
      <c r="AR258" s="120">
        <f>IFERROR(VLOOKUP(Table1[RespondentID],'All Data'!$A$3:$CW$999,99,FALSE),"unknown")</f>
        <v>0</v>
      </c>
    </row>
    <row r="259" spans="1:44" ht="16">
      <c r="A259" s="5">
        <v>18019094740</v>
      </c>
      <c r="B259" s="5"/>
      <c r="C259" s="5"/>
      <c r="D259" s="5"/>
      <c r="E259" s="5"/>
      <c r="F259" s="5"/>
      <c r="G259" s="5" t="s">
        <v>34</v>
      </c>
      <c r="H259" s="5" t="s">
        <v>35</v>
      </c>
      <c r="I259" s="5" t="s">
        <v>36</v>
      </c>
      <c r="J259" s="5"/>
      <c r="K259" s="5"/>
      <c r="L259" s="9"/>
      <c r="M259" s="9">
        <f t="shared" si="60"/>
        <v>3</v>
      </c>
      <c r="N259" s="9">
        <f t="shared" si="61"/>
        <v>1</v>
      </c>
      <c r="O259" s="9"/>
      <c r="P259" s="9">
        <f t="shared" si="62"/>
        <v>0</v>
      </c>
      <c r="Q259" s="9">
        <f t="shared" si="63"/>
        <v>0</v>
      </c>
      <c r="R259" s="9">
        <f t="shared" si="64"/>
        <v>0</v>
      </c>
      <c r="S259" s="9">
        <f t="shared" si="65"/>
        <v>0</v>
      </c>
      <c r="T259" s="9">
        <f t="shared" si="66"/>
        <v>0</v>
      </c>
      <c r="U259" s="9">
        <f t="shared" si="67"/>
        <v>1</v>
      </c>
      <c r="V259" s="153">
        <f t="shared" si="68"/>
        <v>1</v>
      </c>
      <c r="W259" s="9">
        <f t="shared" si="69"/>
        <v>1</v>
      </c>
      <c r="X259" s="9">
        <f t="shared" si="70"/>
        <v>0</v>
      </c>
      <c r="Y259" s="9">
        <f t="shared" si="71"/>
        <v>0</v>
      </c>
      <c r="Z259" s="9"/>
      <c r="AA259" s="9"/>
      <c r="AB259" s="9">
        <f t="shared" ref="AB259:AB322" si="74">SUM(P259:Z259)</f>
        <v>3</v>
      </c>
      <c r="AC259" s="9">
        <f t="shared" si="72"/>
        <v>3</v>
      </c>
      <c r="AD259" s="9" t="str">
        <f t="shared" si="73"/>
        <v>Correct</v>
      </c>
      <c r="AE259" s="9"/>
      <c r="AF259" s="120" t="str">
        <f>IFERROR(VLOOKUP(Table1[RespondentID],'All Data'!$A$3:$CO$999,87,FALSE),"unknown")</f>
        <v>Man</v>
      </c>
      <c r="AG259" s="120">
        <f>IFERROR(VLOOKUP(Table1[RespondentID],'All Data'!$A$3:$CO$999,88,FALSE),"unknown")</f>
        <v>52</v>
      </c>
      <c r="AH259" s="120" t="str">
        <f>IFERROR(VLOOKUP(Table1[RespondentID],'All Data'!$A$3:$CO$999,89,FALSE),"unknown")</f>
        <v>Suffolk</v>
      </c>
      <c r="AI259" s="120" t="str">
        <f>IFERROR(VLOOKUP(Table1[RespondentID],'All Data'!$A$3:$CO$999,90,FALSE),"unknown")</f>
        <v>Centerport, 11721</v>
      </c>
      <c r="AJ259" s="120" t="str">
        <f>IFERROR(VLOOKUP(Table1[RespondentID],'All Data'!$A$3:$CO$999,91,FALSE),"unknown")</f>
        <v>White</v>
      </c>
      <c r="AK259" s="120" t="str">
        <f>IFERROR(VLOOKUP(Table1[RespondentID],'All Data'!$A$3:$CO$999,92,FALSE),"unknown")</f>
        <v>Hispanic or Latino</v>
      </c>
      <c r="AL259" s="120" t="str">
        <f>IFERROR(VLOOKUP(Table1[RespondentID],'All Data'!$A$3:$CO$999,93,FALSE),"unknown")</f>
        <v>English</v>
      </c>
      <c r="AM259" s="120" t="str">
        <f>IFERROR(VLOOKUP(Table1[RespondentID],'All Data'!$A$3:$CW$999,94,FALSE),"unknown")</f>
        <v>Over $125,000</v>
      </c>
      <c r="AN259" s="120" t="str">
        <f>IFERROR(VLOOKUP(Table1[RespondentID],'All Data'!$A$3:$CW$999,95,FALSE),"unknown")</f>
        <v>College graduate</v>
      </c>
      <c r="AO259" s="120" t="str">
        <f>IFERROR(VLOOKUP(Table1[RespondentID],'All Data'!$A$3:$CW$999,96,FALSE),"unknown")</f>
        <v>Self-employed</v>
      </c>
      <c r="AP259" s="120" t="str">
        <f>IFERROR(VLOOKUP(Table1[RespondentID],'All Data'!$A$3:$CW$999,97,FALSE),"unknown")</f>
        <v>Yes</v>
      </c>
      <c r="AQ259" s="120">
        <f>IFERROR(VLOOKUP(Table1[RespondentID],'All Data'!$A$3:$CW$999,98,FALSE),"unknown")</f>
        <v>0</v>
      </c>
      <c r="AR259" s="120">
        <f>IFERROR(VLOOKUP(Table1[RespondentID],'All Data'!$A$3:$CW$999,99,FALSE),"unknown")</f>
        <v>0</v>
      </c>
    </row>
    <row r="260" spans="1:44" ht="16">
      <c r="A260" s="5">
        <v>18018964801</v>
      </c>
      <c r="B260" s="5"/>
      <c r="C260" s="5"/>
      <c r="D260" s="5"/>
      <c r="E260" s="5"/>
      <c r="F260" s="5"/>
      <c r="G260" s="5" t="s">
        <v>34</v>
      </c>
      <c r="H260" s="5"/>
      <c r="I260" s="5"/>
      <c r="J260" s="5"/>
      <c r="K260" s="5"/>
      <c r="L260" s="8"/>
      <c r="M260" s="8">
        <f t="shared" si="60"/>
        <v>1</v>
      </c>
      <c r="N260" s="8">
        <f t="shared" si="61"/>
        <v>3</v>
      </c>
      <c r="O260" s="8"/>
      <c r="P260" s="8">
        <f t="shared" si="62"/>
        <v>0</v>
      </c>
      <c r="Q260" s="8">
        <f t="shared" si="63"/>
        <v>0</v>
      </c>
      <c r="R260" s="8">
        <f t="shared" si="64"/>
        <v>0</v>
      </c>
      <c r="S260" s="8">
        <f t="shared" si="65"/>
        <v>0</v>
      </c>
      <c r="T260" s="8">
        <f t="shared" si="66"/>
        <v>0</v>
      </c>
      <c r="U260" s="8">
        <f t="shared" si="67"/>
        <v>1</v>
      </c>
      <c r="V260" s="153">
        <f t="shared" si="68"/>
        <v>0</v>
      </c>
      <c r="W260" s="8">
        <f t="shared" si="69"/>
        <v>0</v>
      </c>
      <c r="X260" s="8">
        <f t="shared" si="70"/>
        <v>0</v>
      </c>
      <c r="Y260" s="8">
        <f t="shared" si="71"/>
        <v>0</v>
      </c>
      <c r="Z260" s="8"/>
      <c r="AA260" s="8"/>
      <c r="AB260" s="8">
        <f t="shared" si="74"/>
        <v>1</v>
      </c>
      <c r="AC260" s="8">
        <f t="shared" si="72"/>
        <v>1</v>
      </c>
      <c r="AD260" s="8" t="str">
        <f t="shared" si="73"/>
        <v>Correct</v>
      </c>
      <c r="AE260" s="8"/>
      <c r="AF260" s="120" t="str">
        <f>IFERROR(VLOOKUP(Table1[RespondentID],'All Data'!$A$3:$CO$999,87,FALSE),"unknown")</f>
        <v>Woman</v>
      </c>
      <c r="AG260" s="120">
        <f>IFERROR(VLOOKUP(Table1[RespondentID],'All Data'!$A$3:$CO$999,88,FALSE),"unknown")</f>
        <v>60</v>
      </c>
      <c r="AH260" s="120" t="str">
        <f>IFERROR(VLOOKUP(Table1[RespondentID],'All Data'!$A$3:$CO$999,89,FALSE),"unknown")</f>
        <v>Suffolk</v>
      </c>
      <c r="AI260" s="120" t="str">
        <f>IFERROR(VLOOKUP(Table1[RespondentID],'All Data'!$A$3:$CO$999,90,FALSE),"unknown")</f>
        <v>Yaphank, 11980</v>
      </c>
      <c r="AJ260" s="120" t="str">
        <f>IFERROR(VLOOKUP(Table1[RespondentID],'All Data'!$A$3:$CO$999,91,FALSE),"unknown")</f>
        <v>White</v>
      </c>
      <c r="AK260" s="120" t="str">
        <f>IFERROR(VLOOKUP(Table1[RespondentID],'All Data'!$A$3:$CO$999,92,FALSE),"unknown")</f>
        <v>Hispanic or Latino</v>
      </c>
      <c r="AL260" s="120" t="str">
        <f>IFERROR(VLOOKUP(Table1[RespondentID],'All Data'!$A$3:$CO$999,93,FALSE),"unknown")</f>
        <v>English</v>
      </c>
      <c r="AM260" s="120" t="str">
        <f>IFERROR(VLOOKUP(Table1[RespondentID],'All Data'!$A$3:$CW$999,94,FALSE),"unknown")</f>
        <v>Over $125,000</v>
      </c>
      <c r="AN260" s="120" t="str">
        <f>IFERROR(VLOOKUP(Table1[RespondentID],'All Data'!$A$3:$CW$999,95,FALSE),"unknown")</f>
        <v>Other (please specify)</v>
      </c>
      <c r="AO260" s="120" t="str">
        <f>IFERROR(VLOOKUP(Table1[RespondentID],'All Data'!$A$3:$CW$999,96,FALSE),"unknown")</f>
        <v>Employed for wages</v>
      </c>
      <c r="AP260" s="120" t="str">
        <f>IFERROR(VLOOKUP(Table1[RespondentID],'All Data'!$A$3:$CW$999,97,FALSE),"unknown")</f>
        <v>Yes</v>
      </c>
      <c r="AQ260" s="120" t="str">
        <f>IFERROR(VLOOKUP(Table1[RespondentID],'All Data'!$A$3:$CW$999,98,FALSE),"unknown")</f>
        <v>Private/Commercial</v>
      </c>
      <c r="AR260" s="120" t="str">
        <f>IFERROR(VLOOKUP(Table1[RespondentID],'All Data'!$A$3:$CW$999,99,FALSE),"unknown")</f>
        <v>Yes</v>
      </c>
    </row>
    <row r="261" spans="1:44" ht="16">
      <c r="A261" s="5">
        <v>18018757371</v>
      </c>
      <c r="B261" s="5"/>
      <c r="C261" s="5"/>
      <c r="D261" s="5"/>
      <c r="E261" s="5"/>
      <c r="F261" s="5"/>
      <c r="G261" s="5"/>
      <c r="H261" s="5"/>
      <c r="I261" s="5"/>
      <c r="J261" s="5"/>
      <c r="K261" s="5"/>
      <c r="L261" s="9"/>
      <c r="M261" s="9">
        <f t="shared" si="60"/>
        <v>0</v>
      </c>
      <c r="N261" s="9" t="e">
        <f t="shared" si="61"/>
        <v>#DIV/0!</v>
      </c>
      <c r="O261" s="9"/>
      <c r="P261" s="9">
        <f t="shared" si="62"/>
        <v>0</v>
      </c>
      <c r="Q261" s="9">
        <f t="shared" si="63"/>
        <v>0</v>
      </c>
      <c r="R261" s="9">
        <f t="shared" si="64"/>
        <v>0</v>
      </c>
      <c r="S261" s="9">
        <f t="shared" si="65"/>
        <v>0</v>
      </c>
      <c r="T261" s="9">
        <f t="shared" si="66"/>
        <v>0</v>
      </c>
      <c r="U261" s="9">
        <f t="shared" si="67"/>
        <v>0</v>
      </c>
      <c r="V261" s="153">
        <f t="shared" si="68"/>
        <v>0</v>
      </c>
      <c r="W261" s="9">
        <f t="shared" si="69"/>
        <v>0</v>
      </c>
      <c r="X261" s="9">
        <f t="shared" si="70"/>
        <v>0</v>
      </c>
      <c r="Y261" s="9">
        <f t="shared" si="71"/>
        <v>0</v>
      </c>
      <c r="Z261" s="9"/>
      <c r="AA261" s="9"/>
      <c r="AB261" s="9">
        <f t="shared" si="74"/>
        <v>0</v>
      </c>
      <c r="AC261" s="9">
        <f t="shared" si="72"/>
        <v>0</v>
      </c>
      <c r="AD261" s="9" t="str">
        <f t="shared" si="73"/>
        <v>Correct</v>
      </c>
      <c r="AE261" s="9"/>
      <c r="AF261" s="120" t="str">
        <f>IFERROR(VLOOKUP(Table1[RespondentID],'All Data'!$A$3:$CO$999,87,FALSE),"unknown")</f>
        <v>Man</v>
      </c>
      <c r="AG261" s="120">
        <f>IFERROR(VLOOKUP(Table1[RespondentID],'All Data'!$A$3:$CO$999,88,FALSE),"unknown")</f>
        <v>40</v>
      </c>
      <c r="AH261" s="120" t="str">
        <f>IFERROR(VLOOKUP(Table1[RespondentID],'All Data'!$A$3:$CO$999,89,FALSE),"unknown")</f>
        <v>Suffolk</v>
      </c>
      <c r="AI261" s="120" t="str">
        <f>IFERROR(VLOOKUP(Table1[RespondentID],'All Data'!$A$3:$CO$999,90,FALSE),"unknown")</f>
        <v>Babylon, 11703</v>
      </c>
      <c r="AJ261" s="120" t="str">
        <f>IFERROR(VLOOKUP(Table1[RespondentID],'All Data'!$A$3:$CO$999,91,FALSE),"unknown")</f>
        <v>White</v>
      </c>
      <c r="AK261" s="120" t="str">
        <f>IFERROR(VLOOKUP(Table1[RespondentID],'All Data'!$A$3:$CO$999,92,FALSE),"unknown")</f>
        <v>Hispanic or Latino</v>
      </c>
      <c r="AL261" s="120" t="str">
        <f>IFERROR(VLOOKUP(Table1[RespondentID],'All Data'!$A$3:$CO$999,93,FALSE),"unknown")</f>
        <v>English</v>
      </c>
      <c r="AM261" s="120" t="str">
        <f>IFERROR(VLOOKUP(Table1[RespondentID],'All Data'!$A$3:$CW$999,94,FALSE),"unknown")</f>
        <v>$50,000 to $74,999</v>
      </c>
      <c r="AN261" s="120" t="str">
        <f>IFERROR(VLOOKUP(Table1[RespondentID],'All Data'!$A$3:$CW$999,95,FALSE),"unknown")</f>
        <v>Some college</v>
      </c>
      <c r="AO261" s="120" t="str">
        <f>IFERROR(VLOOKUP(Table1[RespondentID],'All Data'!$A$3:$CW$999,96,FALSE),"unknown")</f>
        <v>Out of work and looking for work</v>
      </c>
      <c r="AP261" s="120" t="str">
        <f>IFERROR(VLOOKUP(Table1[RespondentID],'All Data'!$A$3:$CW$999,97,FALSE),"unknown")</f>
        <v>Yes</v>
      </c>
      <c r="AQ261" s="120" t="str">
        <f>IFERROR(VLOOKUP(Table1[RespondentID],'All Data'!$A$3:$CW$999,98,FALSE),"unknown")</f>
        <v>Medicaid</v>
      </c>
      <c r="AR261" s="120" t="str">
        <f>IFERROR(VLOOKUP(Table1[RespondentID],'All Data'!$A$3:$CW$999,99,FALSE),"unknown")</f>
        <v>No</v>
      </c>
    </row>
    <row r="262" spans="1:44" ht="16">
      <c r="A262" s="5">
        <v>18018472615</v>
      </c>
      <c r="B262" s="5"/>
      <c r="C262" s="5" t="s">
        <v>30</v>
      </c>
      <c r="D262" s="5"/>
      <c r="E262" s="5"/>
      <c r="F262" s="5"/>
      <c r="G262" s="5"/>
      <c r="H262" s="5"/>
      <c r="I262" s="5"/>
      <c r="J262" s="5"/>
      <c r="K262" s="5" t="s">
        <v>375</v>
      </c>
      <c r="L262" s="8"/>
      <c r="M262" s="8">
        <f t="shared" si="60"/>
        <v>2</v>
      </c>
      <c r="N262" s="8">
        <f t="shared" si="61"/>
        <v>1.5</v>
      </c>
      <c r="O262" s="8"/>
      <c r="P262" s="8">
        <f t="shared" si="62"/>
        <v>0</v>
      </c>
      <c r="Q262" s="8">
        <f t="shared" si="63"/>
        <v>1</v>
      </c>
      <c r="R262" s="8">
        <f t="shared" si="64"/>
        <v>0</v>
      </c>
      <c r="S262" s="8">
        <f t="shared" si="65"/>
        <v>0</v>
      </c>
      <c r="T262" s="8">
        <f t="shared" si="66"/>
        <v>0</v>
      </c>
      <c r="U262" s="8">
        <f t="shared" si="67"/>
        <v>0</v>
      </c>
      <c r="V262" s="153">
        <f t="shared" si="68"/>
        <v>0</v>
      </c>
      <c r="W262" s="8">
        <f t="shared" si="69"/>
        <v>0</v>
      </c>
      <c r="X262" s="8">
        <f t="shared" si="70"/>
        <v>0</v>
      </c>
      <c r="Y262" s="8">
        <f t="shared" si="71"/>
        <v>1</v>
      </c>
      <c r="Z262" s="8"/>
      <c r="AA262" s="8"/>
      <c r="AB262" s="8">
        <f t="shared" si="74"/>
        <v>2</v>
      </c>
      <c r="AC262" s="8">
        <f t="shared" si="72"/>
        <v>2</v>
      </c>
      <c r="AD262" s="8" t="str">
        <f t="shared" si="73"/>
        <v>Correct</v>
      </c>
      <c r="AE262" s="8"/>
      <c r="AF262" s="120" t="str">
        <f>IFERROR(VLOOKUP(Table1[RespondentID],'All Data'!$A$3:$CO$999,87,FALSE),"unknown")</f>
        <v>Man</v>
      </c>
      <c r="AG262" s="120">
        <f>IFERROR(VLOOKUP(Table1[RespondentID],'All Data'!$A$3:$CO$999,88,FALSE),"unknown")</f>
        <v>41</v>
      </c>
      <c r="AH262" s="120" t="str">
        <f>IFERROR(VLOOKUP(Table1[RespondentID],'All Data'!$A$3:$CO$999,89,FALSE),"unknown")</f>
        <v>Suffolk</v>
      </c>
      <c r="AI262" s="120" t="str">
        <f>IFERROR(VLOOKUP(Table1[RespondentID],'All Data'!$A$3:$CO$999,90,FALSE),"unknown")</f>
        <v>Lindenhurst, 11757</v>
      </c>
      <c r="AJ262" s="120" t="str">
        <f>IFERROR(VLOOKUP(Table1[RespondentID],'All Data'!$A$3:$CO$999,91,FALSE),"unknown")</f>
        <v>Other (please specify)</v>
      </c>
      <c r="AK262" s="120">
        <f>IFERROR(VLOOKUP(Table1[RespondentID],'All Data'!$A$3:$CO$999,92,FALSE),"unknown")</f>
        <v>0</v>
      </c>
      <c r="AL262" s="120" t="str">
        <f>IFERROR(VLOOKUP(Table1[RespondentID],'All Data'!$A$3:$CO$999,93,FALSE),"unknown")</f>
        <v>English</v>
      </c>
      <c r="AM262" s="120" t="str">
        <f>IFERROR(VLOOKUP(Table1[RespondentID],'All Data'!$A$3:$CW$999,94,FALSE),"unknown")</f>
        <v>$75,000 to $125,000</v>
      </c>
      <c r="AN262" s="120" t="str">
        <f>IFERROR(VLOOKUP(Table1[RespondentID],'All Data'!$A$3:$CW$999,95,FALSE),"unknown")</f>
        <v>College graduate</v>
      </c>
      <c r="AO262" s="120" t="str">
        <f>IFERROR(VLOOKUP(Table1[RespondentID],'All Data'!$A$3:$CW$999,96,FALSE),"unknown")</f>
        <v>Employed for wages</v>
      </c>
      <c r="AP262" s="120" t="str">
        <f>IFERROR(VLOOKUP(Table1[RespondentID],'All Data'!$A$3:$CW$999,97,FALSE),"unknown")</f>
        <v>Yes</v>
      </c>
      <c r="AQ262" s="120" t="str">
        <f>IFERROR(VLOOKUP(Table1[RespondentID],'All Data'!$A$3:$CW$999,98,FALSE),"unknown")</f>
        <v>Private/Commercial</v>
      </c>
      <c r="AR262" s="120" t="str">
        <f>IFERROR(VLOOKUP(Table1[RespondentID],'All Data'!$A$3:$CW$999,99,FALSE),"unknown")</f>
        <v>Yes</v>
      </c>
    </row>
    <row r="263" spans="1:44" ht="16">
      <c r="A263" s="5">
        <v>18018191958</v>
      </c>
      <c r="B263" s="5"/>
      <c r="C263" s="5"/>
      <c r="D263" s="5"/>
      <c r="E263" s="5"/>
      <c r="F263" s="5"/>
      <c r="G263" s="5"/>
      <c r="H263" s="5"/>
      <c r="I263" s="5"/>
      <c r="J263" s="5"/>
      <c r="K263" s="5"/>
      <c r="L263" s="9"/>
      <c r="M263" s="9">
        <f t="shared" si="60"/>
        <v>0</v>
      </c>
      <c r="N263" s="9" t="e">
        <f t="shared" si="61"/>
        <v>#DIV/0!</v>
      </c>
      <c r="O263" s="9"/>
      <c r="P263" s="9">
        <f t="shared" si="62"/>
        <v>0</v>
      </c>
      <c r="Q263" s="9">
        <f t="shared" si="63"/>
        <v>0</v>
      </c>
      <c r="R263" s="9">
        <f t="shared" si="64"/>
        <v>0</v>
      </c>
      <c r="S263" s="9">
        <f t="shared" si="65"/>
        <v>0</v>
      </c>
      <c r="T263" s="9">
        <f t="shared" si="66"/>
        <v>0</v>
      </c>
      <c r="U263" s="9">
        <f t="shared" si="67"/>
        <v>0</v>
      </c>
      <c r="V263" s="153">
        <f t="shared" si="68"/>
        <v>0</v>
      </c>
      <c r="W263" s="9">
        <f t="shared" si="69"/>
        <v>0</v>
      </c>
      <c r="X263" s="9">
        <f t="shared" si="70"/>
        <v>0</v>
      </c>
      <c r="Y263" s="9">
        <f t="shared" si="71"/>
        <v>0</v>
      </c>
      <c r="Z263" s="9"/>
      <c r="AA263" s="9"/>
      <c r="AB263" s="9">
        <f t="shared" si="74"/>
        <v>0</v>
      </c>
      <c r="AC263" s="9">
        <f t="shared" si="72"/>
        <v>0</v>
      </c>
      <c r="AD263" s="9" t="str">
        <f t="shared" si="73"/>
        <v>Correct</v>
      </c>
      <c r="AE263" s="9"/>
      <c r="AF263" s="120">
        <f>IFERROR(VLOOKUP(Table1[RespondentID],'All Data'!$A$3:$CO$999,87,FALSE),"unknown")</f>
        <v>0</v>
      </c>
      <c r="AG263" s="120">
        <f>IFERROR(VLOOKUP(Table1[RespondentID],'All Data'!$A$3:$CO$999,88,FALSE),"unknown")</f>
        <v>0</v>
      </c>
      <c r="AH263" s="120">
        <f>IFERROR(VLOOKUP(Table1[RespondentID],'All Data'!$A$3:$CO$999,89,FALSE),"unknown")</f>
        <v>0</v>
      </c>
      <c r="AI263" s="120" t="str">
        <f>IFERROR(VLOOKUP(Table1[RespondentID],'All Data'!$A$3:$CO$999,90,FALSE),"unknown")</f>
        <v>Levittown, 11756</v>
      </c>
      <c r="AJ263" s="120">
        <f>IFERROR(VLOOKUP(Table1[RespondentID],'All Data'!$A$3:$CO$999,91,FALSE),"unknown")</f>
        <v>0</v>
      </c>
      <c r="AK263" s="120">
        <f>IFERROR(VLOOKUP(Table1[RespondentID],'All Data'!$A$3:$CO$999,92,FALSE),"unknown")</f>
        <v>0</v>
      </c>
      <c r="AL263" s="120">
        <f>IFERROR(VLOOKUP(Table1[RespondentID],'All Data'!$A$3:$CO$999,93,FALSE),"unknown")</f>
        <v>0</v>
      </c>
      <c r="AM263" s="120">
        <f>IFERROR(VLOOKUP(Table1[RespondentID],'All Data'!$A$3:$CW$999,94,FALSE),"unknown")</f>
        <v>0</v>
      </c>
      <c r="AN263" s="120">
        <f>IFERROR(VLOOKUP(Table1[RespondentID],'All Data'!$A$3:$CW$999,95,FALSE),"unknown")</f>
        <v>0</v>
      </c>
      <c r="AO263" s="120">
        <f>IFERROR(VLOOKUP(Table1[RespondentID],'All Data'!$A$3:$CW$999,96,FALSE),"unknown")</f>
        <v>0</v>
      </c>
      <c r="AP263" s="120">
        <f>IFERROR(VLOOKUP(Table1[RespondentID],'All Data'!$A$3:$CW$999,97,FALSE),"unknown")</f>
        <v>0</v>
      </c>
      <c r="AQ263" s="120">
        <f>IFERROR(VLOOKUP(Table1[RespondentID],'All Data'!$A$3:$CW$999,98,FALSE),"unknown")</f>
        <v>0</v>
      </c>
      <c r="AR263" s="120">
        <f>IFERROR(VLOOKUP(Table1[RespondentID],'All Data'!$A$3:$CW$999,99,FALSE),"unknown")</f>
        <v>0</v>
      </c>
    </row>
    <row r="264" spans="1:44" ht="16">
      <c r="A264" s="5">
        <v>18018187534</v>
      </c>
      <c r="B264" s="5"/>
      <c r="C264" s="5"/>
      <c r="D264" s="5"/>
      <c r="E264" s="5"/>
      <c r="F264" s="5"/>
      <c r="G264" s="5" t="s">
        <v>34</v>
      </c>
      <c r="H264" s="5"/>
      <c r="I264" s="5"/>
      <c r="J264" s="5"/>
      <c r="K264" s="5"/>
      <c r="L264" s="8"/>
      <c r="M264" s="8">
        <f t="shared" si="60"/>
        <v>1</v>
      </c>
      <c r="N264" s="8">
        <f t="shared" si="61"/>
        <v>3</v>
      </c>
      <c r="O264" s="8"/>
      <c r="P264" s="8">
        <f t="shared" si="62"/>
        <v>0</v>
      </c>
      <c r="Q264" s="8">
        <f t="shared" si="63"/>
        <v>0</v>
      </c>
      <c r="R264" s="8">
        <f t="shared" si="64"/>
        <v>0</v>
      </c>
      <c r="S264" s="8">
        <f t="shared" si="65"/>
        <v>0</v>
      </c>
      <c r="T264" s="8">
        <f t="shared" si="66"/>
        <v>0</v>
      </c>
      <c r="U264" s="8">
        <f t="shared" si="67"/>
        <v>1</v>
      </c>
      <c r="V264" s="153">
        <f t="shared" si="68"/>
        <v>0</v>
      </c>
      <c r="W264" s="8">
        <f t="shared" si="69"/>
        <v>0</v>
      </c>
      <c r="X264" s="8">
        <f t="shared" si="70"/>
        <v>0</v>
      </c>
      <c r="Y264" s="8">
        <f t="shared" si="71"/>
        <v>0</v>
      </c>
      <c r="Z264" s="8"/>
      <c r="AA264" s="8"/>
      <c r="AB264" s="8">
        <f t="shared" si="74"/>
        <v>1</v>
      </c>
      <c r="AC264" s="8">
        <f t="shared" si="72"/>
        <v>1</v>
      </c>
      <c r="AD264" s="8" t="str">
        <f t="shared" si="73"/>
        <v>Correct</v>
      </c>
      <c r="AE264" s="8"/>
      <c r="AF264" s="120" t="str">
        <f>IFERROR(VLOOKUP(Table1[RespondentID],'All Data'!$A$3:$CO$999,87,FALSE),"unknown")</f>
        <v>Man</v>
      </c>
      <c r="AG264" s="120">
        <f>IFERROR(VLOOKUP(Table1[RespondentID],'All Data'!$A$3:$CO$999,88,FALSE),"unknown")</f>
        <v>32</v>
      </c>
      <c r="AH264" s="120" t="str">
        <f>IFERROR(VLOOKUP(Table1[RespondentID],'All Data'!$A$3:$CO$999,89,FALSE),"unknown")</f>
        <v>Nassau</v>
      </c>
      <c r="AI264" s="120" t="str">
        <f>IFERROR(VLOOKUP(Table1[RespondentID],'All Data'!$A$3:$CO$999,90,FALSE),"unknown")</f>
        <v>Great Neck, 11026</v>
      </c>
      <c r="AJ264" s="120" t="str">
        <f>IFERROR(VLOOKUP(Table1[RespondentID],'All Data'!$A$3:$CO$999,91,FALSE),"unknown")</f>
        <v>White</v>
      </c>
      <c r="AK264" s="120" t="str">
        <f>IFERROR(VLOOKUP(Table1[RespondentID],'All Data'!$A$3:$CO$999,92,FALSE),"unknown")</f>
        <v>Hispanic or Latino</v>
      </c>
      <c r="AL264" s="120" t="str">
        <f>IFERROR(VLOOKUP(Table1[RespondentID],'All Data'!$A$3:$CO$999,93,FALSE),"unknown")</f>
        <v>English</v>
      </c>
      <c r="AM264" s="120" t="str">
        <f>IFERROR(VLOOKUP(Table1[RespondentID],'All Data'!$A$3:$CW$999,94,FALSE),"unknown")</f>
        <v>$75,000 to $125,000</v>
      </c>
      <c r="AN264" s="120" t="str">
        <f>IFERROR(VLOOKUP(Table1[RespondentID],'All Data'!$A$3:$CW$999,95,FALSE),"unknown")</f>
        <v>College graduate</v>
      </c>
      <c r="AO264" s="120" t="str">
        <f>IFERROR(VLOOKUP(Table1[RespondentID],'All Data'!$A$3:$CW$999,96,FALSE),"unknown")</f>
        <v>Employed for wages</v>
      </c>
      <c r="AP264" s="120" t="str">
        <f>IFERROR(VLOOKUP(Table1[RespondentID],'All Data'!$A$3:$CW$999,97,FALSE),"unknown")</f>
        <v>Yes</v>
      </c>
      <c r="AQ264" s="120" t="str">
        <f>IFERROR(VLOOKUP(Table1[RespondentID],'All Data'!$A$3:$CW$999,98,FALSE),"unknown")</f>
        <v>Medicaid</v>
      </c>
      <c r="AR264" s="120" t="str">
        <f>IFERROR(VLOOKUP(Table1[RespondentID],'All Data'!$A$3:$CW$999,99,FALSE),"unknown")</f>
        <v>Yes</v>
      </c>
    </row>
    <row r="265" spans="1:44" ht="16">
      <c r="A265" s="5">
        <v>18018187458</v>
      </c>
      <c r="B265" s="5"/>
      <c r="C265" s="5"/>
      <c r="D265" s="5"/>
      <c r="E265" s="5"/>
      <c r="F265" s="5"/>
      <c r="G265" s="5" t="s">
        <v>34</v>
      </c>
      <c r="H265" s="5"/>
      <c r="I265" s="5"/>
      <c r="J265" s="5"/>
      <c r="K265" s="5"/>
      <c r="L265" s="9"/>
      <c r="M265" s="9">
        <f t="shared" si="60"/>
        <v>1</v>
      </c>
      <c r="N265" s="9">
        <f t="shared" si="61"/>
        <v>3</v>
      </c>
      <c r="O265" s="9"/>
      <c r="P265" s="9">
        <f t="shared" si="62"/>
        <v>0</v>
      </c>
      <c r="Q265" s="9">
        <f t="shared" si="63"/>
        <v>0</v>
      </c>
      <c r="R265" s="9">
        <f t="shared" si="64"/>
        <v>0</v>
      </c>
      <c r="S265" s="9">
        <f t="shared" si="65"/>
        <v>0</v>
      </c>
      <c r="T265" s="9">
        <f t="shared" si="66"/>
        <v>0</v>
      </c>
      <c r="U265" s="9">
        <f t="shared" si="67"/>
        <v>1</v>
      </c>
      <c r="V265" s="153">
        <f t="shared" si="68"/>
        <v>0</v>
      </c>
      <c r="W265" s="9">
        <f t="shared" si="69"/>
        <v>0</v>
      </c>
      <c r="X265" s="9">
        <f t="shared" si="70"/>
        <v>0</v>
      </c>
      <c r="Y265" s="9">
        <f t="shared" si="71"/>
        <v>0</v>
      </c>
      <c r="Z265" s="9"/>
      <c r="AA265" s="9"/>
      <c r="AB265" s="9">
        <f t="shared" si="74"/>
        <v>1</v>
      </c>
      <c r="AC265" s="9">
        <f t="shared" si="72"/>
        <v>1</v>
      </c>
      <c r="AD265" s="9" t="str">
        <f t="shared" si="73"/>
        <v>Correct</v>
      </c>
      <c r="AE265" s="9"/>
      <c r="AF265" s="120" t="str">
        <f>IFERROR(VLOOKUP(Table1[RespondentID],'All Data'!$A$3:$CO$999,87,FALSE),"unknown")</f>
        <v>Man</v>
      </c>
      <c r="AG265" s="120">
        <f>IFERROR(VLOOKUP(Table1[RespondentID],'All Data'!$A$3:$CO$999,88,FALSE),"unknown")</f>
        <v>32</v>
      </c>
      <c r="AH265" s="120" t="str">
        <f>IFERROR(VLOOKUP(Table1[RespondentID],'All Data'!$A$3:$CO$999,89,FALSE),"unknown")</f>
        <v>Nassau</v>
      </c>
      <c r="AI265" s="120">
        <f>IFERROR(VLOOKUP(Table1[RespondentID],'All Data'!$A$3:$CO$999,90,FALSE),"unknown")</f>
        <v>0</v>
      </c>
      <c r="AJ265" s="120">
        <f>IFERROR(VLOOKUP(Table1[RespondentID],'All Data'!$A$3:$CO$999,91,FALSE),"unknown")</f>
        <v>0</v>
      </c>
      <c r="AK265" s="120">
        <f>IFERROR(VLOOKUP(Table1[RespondentID],'All Data'!$A$3:$CO$999,92,FALSE),"unknown")</f>
        <v>0</v>
      </c>
      <c r="AL265" s="120">
        <f>IFERROR(VLOOKUP(Table1[RespondentID],'All Data'!$A$3:$CO$999,93,FALSE),"unknown")</f>
        <v>0</v>
      </c>
      <c r="AM265" s="120">
        <f>IFERROR(VLOOKUP(Table1[RespondentID],'All Data'!$A$3:$CW$999,94,FALSE),"unknown")</f>
        <v>0</v>
      </c>
      <c r="AN265" s="120">
        <f>IFERROR(VLOOKUP(Table1[RespondentID],'All Data'!$A$3:$CW$999,95,FALSE),"unknown")</f>
        <v>0</v>
      </c>
      <c r="AO265" s="120">
        <f>IFERROR(VLOOKUP(Table1[RespondentID],'All Data'!$A$3:$CW$999,96,FALSE),"unknown")</f>
        <v>0</v>
      </c>
      <c r="AP265" s="120">
        <f>IFERROR(VLOOKUP(Table1[RespondentID],'All Data'!$A$3:$CW$999,97,FALSE),"unknown")</f>
        <v>0</v>
      </c>
      <c r="AQ265" s="120">
        <f>IFERROR(VLOOKUP(Table1[RespondentID],'All Data'!$A$3:$CW$999,98,FALSE),"unknown")</f>
        <v>0</v>
      </c>
      <c r="AR265" s="120">
        <f>IFERROR(VLOOKUP(Table1[RespondentID],'All Data'!$A$3:$CW$999,99,FALSE),"unknown")</f>
        <v>0</v>
      </c>
    </row>
    <row r="266" spans="1:44" ht="16">
      <c r="A266" s="5">
        <v>18017707683</v>
      </c>
      <c r="B266" s="5"/>
      <c r="C266" s="5"/>
      <c r="D266" s="5"/>
      <c r="E266" s="5"/>
      <c r="F266" s="5"/>
      <c r="G266" s="5"/>
      <c r="H266" s="5"/>
      <c r="I266" s="5"/>
      <c r="J266" s="5"/>
      <c r="K266" s="5" t="s">
        <v>375</v>
      </c>
      <c r="L266" s="8"/>
      <c r="M266" s="8">
        <f t="shared" si="60"/>
        <v>1</v>
      </c>
      <c r="N266" s="8">
        <f t="shared" si="61"/>
        <v>3</v>
      </c>
      <c r="O266" s="8"/>
      <c r="P266" s="8">
        <f t="shared" si="62"/>
        <v>0</v>
      </c>
      <c r="Q266" s="8">
        <f t="shared" si="63"/>
        <v>0</v>
      </c>
      <c r="R266" s="8">
        <f t="shared" si="64"/>
        <v>0</v>
      </c>
      <c r="S266" s="8">
        <f t="shared" si="65"/>
        <v>0</v>
      </c>
      <c r="T266" s="8">
        <f t="shared" si="66"/>
        <v>0</v>
      </c>
      <c r="U266" s="8">
        <f t="shared" si="67"/>
        <v>0</v>
      </c>
      <c r="V266" s="153">
        <f t="shared" si="68"/>
        <v>0</v>
      </c>
      <c r="W266" s="8">
        <f t="shared" si="69"/>
        <v>0</v>
      </c>
      <c r="X266" s="8">
        <f t="shared" si="70"/>
        <v>0</v>
      </c>
      <c r="Y266" s="8">
        <f t="shared" si="71"/>
        <v>1</v>
      </c>
      <c r="Z266" s="8"/>
      <c r="AA266" s="8"/>
      <c r="AB266" s="8">
        <f t="shared" si="74"/>
        <v>1</v>
      </c>
      <c r="AC266" s="8">
        <f t="shared" si="72"/>
        <v>1</v>
      </c>
      <c r="AD266" s="8" t="str">
        <f t="shared" si="73"/>
        <v>Correct</v>
      </c>
      <c r="AE266" s="8"/>
      <c r="AF266" s="120" t="str">
        <f>IFERROR(VLOOKUP(Table1[RespondentID],'All Data'!$A$3:$CO$999,87,FALSE),"unknown")</f>
        <v>Man</v>
      </c>
      <c r="AG266" s="120">
        <f>IFERROR(VLOOKUP(Table1[RespondentID],'All Data'!$A$3:$CO$999,88,FALSE),"unknown")</f>
        <v>43</v>
      </c>
      <c r="AH266" s="120" t="str">
        <f>IFERROR(VLOOKUP(Table1[RespondentID],'All Data'!$A$3:$CO$999,89,FALSE),"unknown")</f>
        <v>Suffolk</v>
      </c>
      <c r="AI266" s="120" t="str">
        <f>IFERROR(VLOOKUP(Table1[RespondentID],'All Data'!$A$3:$CO$999,90,FALSE),"unknown")</f>
        <v>Nesconset, 11767</v>
      </c>
      <c r="AJ266" s="120" t="str">
        <f>IFERROR(VLOOKUP(Table1[RespondentID],'All Data'!$A$3:$CO$999,91,FALSE),"unknown")</f>
        <v>White</v>
      </c>
      <c r="AK266" s="120" t="str">
        <f>IFERROR(VLOOKUP(Table1[RespondentID],'All Data'!$A$3:$CO$999,92,FALSE),"unknown")</f>
        <v>Not Hispanic or Latino</v>
      </c>
      <c r="AL266" s="120" t="str">
        <f>IFERROR(VLOOKUP(Table1[RespondentID],'All Data'!$A$3:$CO$999,93,FALSE),"unknown")</f>
        <v>English</v>
      </c>
      <c r="AM266" s="120" t="str">
        <f>IFERROR(VLOOKUP(Table1[RespondentID],'All Data'!$A$3:$CW$999,94,FALSE),"unknown")</f>
        <v>$0-$19,999</v>
      </c>
      <c r="AN266" s="120" t="str">
        <f>IFERROR(VLOOKUP(Table1[RespondentID],'All Data'!$A$3:$CW$999,95,FALSE),"unknown")</f>
        <v>Some college</v>
      </c>
      <c r="AO266" s="120" t="str">
        <f>IFERROR(VLOOKUP(Table1[RespondentID],'All Data'!$A$3:$CW$999,96,FALSE),"unknown")</f>
        <v>Employed for wages</v>
      </c>
      <c r="AP266" s="120" t="str">
        <f>IFERROR(VLOOKUP(Table1[RespondentID],'All Data'!$A$3:$CW$999,97,FALSE),"unknown")</f>
        <v>Yes</v>
      </c>
      <c r="AQ266" s="120" t="str">
        <f>IFERROR(VLOOKUP(Table1[RespondentID],'All Data'!$A$3:$CW$999,98,FALSE),"unknown")</f>
        <v>Medicaid</v>
      </c>
      <c r="AR266" s="120" t="str">
        <f>IFERROR(VLOOKUP(Table1[RespondentID],'All Data'!$A$3:$CW$999,99,FALSE),"unknown")</f>
        <v>No</v>
      </c>
    </row>
    <row r="267" spans="1:44" ht="16">
      <c r="A267" s="5">
        <v>18017611415</v>
      </c>
      <c r="B267" s="5"/>
      <c r="C267" s="5"/>
      <c r="D267" s="5"/>
      <c r="E267" s="5"/>
      <c r="F267" s="5"/>
      <c r="G267" s="5" t="s">
        <v>34</v>
      </c>
      <c r="H267" s="5"/>
      <c r="I267" s="5"/>
      <c r="J267" s="5"/>
      <c r="K267" s="5"/>
      <c r="L267" s="9"/>
      <c r="M267" s="9">
        <f t="shared" si="60"/>
        <v>1</v>
      </c>
      <c r="N267" s="9">
        <f t="shared" si="61"/>
        <v>3</v>
      </c>
      <c r="O267" s="9"/>
      <c r="P267" s="9">
        <f t="shared" si="62"/>
        <v>0</v>
      </c>
      <c r="Q267" s="9">
        <f t="shared" si="63"/>
        <v>0</v>
      </c>
      <c r="R267" s="9">
        <f t="shared" si="64"/>
        <v>0</v>
      </c>
      <c r="S267" s="9">
        <f t="shared" si="65"/>
        <v>0</v>
      </c>
      <c r="T267" s="9">
        <f t="shared" si="66"/>
        <v>0</v>
      </c>
      <c r="U267" s="9">
        <f t="shared" si="67"/>
        <v>1</v>
      </c>
      <c r="V267" s="153">
        <f t="shared" si="68"/>
        <v>0</v>
      </c>
      <c r="W267" s="9">
        <f t="shared" si="69"/>
        <v>0</v>
      </c>
      <c r="X267" s="9">
        <f t="shared" si="70"/>
        <v>0</v>
      </c>
      <c r="Y267" s="9">
        <f t="shared" si="71"/>
        <v>0</v>
      </c>
      <c r="Z267" s="9"/>
      <c r="AA267" s="9"/>
      <c r="AB267" s="9">
        <f t="shared" si="74"/>
        <v>1</v>
      </c>
      <c r="AC267" s="9">
        <f t="shared" si="72"/>
        <v>1</v>
      </c>
      <c r="AD267" s="9" t="str">
        <f t="shared" si="73"/>
        <v>Correct</v>
      </c>
      <c r="AE267" s="9"/>
      <c r="AF267" s="120" t="str">
        <f>IFERROR(VLOOKUP(Table1[RespondentID],'All Data'!$A$3:$CO$999,87,FALSE),"unknown")</f>
        <v>Man</v>
      </c>
      <c r="AG267" s="120">
        <f>IFERROR(VLOOKUP(Table1[RespondentID],'All Data'!$A$3:$CO$999,88,FALSE),"unknown")</f>
        <v>68</v>
      </c>
      <c r="AH267" s="120" t="str">
        <f>IFERROR(VLOOKUP(Table1[RespondentID],'All Data'!$A$3:$CO$999,89,FALSE),"unknown")</f>
        <v>Suffolk</v>
      </c>
      <c r="AI267" s="120" t="str">
        <f>IFERROR(VLOOKUP(Table1[RespondentID],'All Data'!$A$3:$CO$999,90,FALSE),"unknown")</f>
        <v>Sayville, 11782</v>
      </c>
      <c r="AJ267" s="120" t="str">
        <f>IFERROR(VLOOKUP(Table1[RespondentID],'All Data'!$A$3:$CO$999,91,FALSE),"unknown")</f>
        <v>White</v>
      </c>
      <c r="AK267" s="120" t="str">
        <f>IFERROR(VLOOKUP(Table1[RespondentID],'All Data'!$A$3:$CO$999,92,FALSE),"unknown")</f>
        <v>Hispanic or Latino</v>
      </c>
      <c r="AL267" s="120" t="str">
        <f>IFERROR(VLOOKUP(Table1[RespondentID],'All Data'!$A$3:$CO$999,93,FALSE),"unknown")</f>
        <v>English</v>
      </c>
      <c r="AM267" s="120" t="str">
        <f>IFERROR(VLOOKUP(Table1[RespondentID],'All Data'!$A$3:$CW$999,94,FALSE),"unknown")</f>
        <v>$75,000 to $125,000</v>
      </c>
      <c r="AN267" s="120" t="str">
        <f>IFERROR(VLOOKUP(Table1[RespondentID],'All Data'!$A$3:$CW$999,95,FALSE),"unknown")</f>
        <v>College graduate</v>
      </c>
      <c r="AO267" s="120" t="str">
        <f>IFERROR(VLOOKUP(Table1[RespondentID],'All Data'!$A$3:$CW$999,96,FALSE),"unknown")</f>
        <v>Retired</v>
      </c>
      <c r="AP267" s="120" t="str">
        <f>IFERROR(VLOOKUP(Table1[RespondentID],'All Data'!$A$3:$CW$999,97,FALSE),"unknown")</f>
        <v>Yes</v>
      </c>
      <c r="AQ267" s="120" t="str">
        <f>IFERROR(VLOOKUP(Table1[RespondentID],'All Data'!$A$3:$CW$999,98,FALSE),"unknown")</f>
        <v>Medicaid, Private/Commercial</v>
      </c>
      <c r="AR267" s="120" t="str">
        <f>IFERROR(VLOOKUP(Table1[RespondentID],'All Data'!$A$3:$CW$999,99,FALSE),"unknown")</f>
        <v>Yes</v>
      </c>
    </row>
    <row r="268" spans="1:44" ht="16">
      <c r="A268" s="5">
        <v>18017568152</v>
      </c>
      <c r="B268" s="5"/>
      <c r="C268" s="5"/>
      <c r="D268" s="5"/>
      <c r="E268" s="5"/>
      <c r="F268" s="5"/>
      <c r="G268" s="5" t="s">
        <v>34</v>
      </c>
      <c r="H268" s="5"/>
      <c r="I268" s="5"/>
      <c r="J268" s="5"/>
      <c r="K268" s="5"/>
      <c r="L268" s="8"/>
      <c r="M268" s="8">
        <f t="shared" si="60"/>
        <v>1</v>
      </c>
      <c r="N268" s="8">
        <f t="shared" si="61"/>
        <v>3</v>
      </c>
      <c r="O268" s="8"/>
      <c r="P268" s="8">
        <f t="shared" si="62"/>
        <v>0</v>
      </c>
      <c r="Q268" s="8">
        <f t="shared" si="63"/>
        <v>0</v>
      </c>
      <c r="R268" s="8">
        <f t="shared" si="64"/>
        <v>0</v>
      </c>
      <c r="S268" s="8">
        <f t="shared" si="65"/>
        <v>0</v>
      </c>
      <c r="T268" s="8">
        <f t="shared" si="66"/>
        <v>0</v>
      </c>
      <c r="U268" s="8">
        <f t="shared" si="67"/>
        <v>1</v>
      </c>
      <c r="V268" s="153">
        <f t="shared" si="68"/>
        <v>0</v>
      </c>
      <c r="W268" s="8">
        <f t="shared" si="69"/>
        <v>0</v>
      </c>
      <c r="X268" s="8">
        <f t="shared" si="70"/>
        <v>0</v>
      </c>
      <c r="Y268" s="8">
        <f t="shared" si="71"/>
        <v>0</v>
      </c>
      <c r="Z268" s="8"/>
      <c r="AA268" s="8"/>
      <c r="AB268" s="8">
        <f t="shared" si="74"/>
        <v>1</v>
      </c>
      <c r="AC268" s="8">
        <f t="shared" si="72"/>
        <v>1</v>
      </c>
      <c r="AD268" s="8" t="str">
        <f t="shared" si="73"/>
        <v>Correct</v>
      </c>
      <c r="AE268" s="8"/>
      <c r="AF268" s="120" t="str">
        <f>IFERROR(VLOOKUP(Table1[RespondentID],'All Data'!$A$3:$CO$999,87,FALSE),"unknown")</f>
        <v>Man</v>
      </c>
      <c r="AG268" s="120">
        <f>IFERROR(VLOOKUP(Table1[RespondentID],'All Data'!$A$3:$CO$999,88,FALSE),"unknown")</f>
        <v>52</v>
      </c>
      <c r="AH268" s="120" t="str">
        <f>IFERROR(VLOOKUP(Table1[RespondentID],'All Data'!$A$3:$CO$999,89,FALSE),"unknown")</f>
        <v>Nassau</v>
      </c>
      <c r="AI268" s="120" t="str">
        <f>IFERROR(VLOOKUP(Table1[RespondentID],'All Data'!$A$3:$CO$999,90,FALSE),"unknown")</f>
        <v>Manhasset, 11030</v>
      </c>
      <c r="AJ268" s="120" t="str">
        <f>IFERROR(VLOOKUP(Table1[RespondentID],'All Data'!$A$3:$CO$999,91,FALSE),"unknown")</f>
        <v>White</v>
      </c>
      <c r="AK268" s="120" t="str">
        <f>IFERROR(VLOOKUP(Table1[RespondentID],'All Data'!$A$3:$CO$999,92,FALSE),"unknown")</f>
        <v>Hispanic or Latino</v>
      </c>
      <c r="AL268" s="120" t="str">
        <f>IFERROR(VLOOKUP(Table1[RespondentID],'All Data'!$A$3:$CO$999,93,FALSE),"unknown")</f>
        <v>English</v>
      </c>
      <c r="AM268" s="120" t="str">
        <f>IFERROR(VLOOKUP(Table1[RespondentID],'All Data'!$A$3:$CW$999,94,FALSE),"unknown")</f>
        <v>Over $125,000</v>
      </c>
      <c r="AN268" s="120" t="str">
        <f>IFERROR(VLOOKUP(Table1[RespondentID],'All Data'!$A$3:$CW$999,95,FALSE),"unknown")</f>
        <v>Graduate school</v>
      </c>
      <c r="AO268" s="120" t="str">
        <f>IFERROR(VLOOKUP(Table1[RespondentID],'All Data'!$A$3:$CW$999,96,FALSE),"unknown")</f>
        <v>Employed for wages</v>
      </c>
      <c r="AP268" s="120" t="str">
        <f>IFERROR(VLOOKUP(Table1[RespondentID],'All Data'!$A$3:$CW$999,97,FALSE),"unknown")</f>
        <v>Yes</v>
      </c>
      <c r="AQ268" s="120" t="str">
        <f>IFERROR(VLOOKUP(Table1[RespondentID],'All Data'!$A$3:$CW$999,98,FALSE),"unknown")</f>
        <v>Private/Commercial</v>
      </c>
      <c r="AR268" s="120" t="str">
        <f>IFERROR(VLOOKUP(Table1[RespondentID],'All Data'!$A$3:$CW$999,99,FALSE),"unknown")</f>
        <v>Yes</v>
      </c>
    </row>
    <row r="269" spans="1:44" ht="16">
      <c r="A269" s="5">
        <v>18017061305</v>
      </c>
      <c r="B269" s="5"/>
      <c r="C269" s="5" t="s">
        <v>30</v>
      </c>
      <c r="D269" s="5"/>
      <c r="E269" s="5" t="s">
        <v>32</v>
      </c>
      <c r="F269" s="5"/>
      <c r="G269" s="5"/>
      <c r="H269" s="5"/>
      <c r="I269" s="5"/>
      <c r="J269" s="5"/>
      <c r="K269" s="5" t="s">
        <v>375</v>
      </c>
      <c r="L269" s="9"/>
      <c r="M269" s="9">
        <f t="shared" si="60"/>
        <v>3</v>
      </c>
      <c r="N269" s="9">
        <f t="shared" si="61"/>
        <v>1</v>
      </c>
      <c r="O269" s="9"/>
      <c r="P269" s="9">
        <f t="shared" si="62"/>
        <v>0</v>
      </c>
      <c r="Q269" s="9">
        <f t="shared" si="63"/>
        <v>1</v>
      </c>
      <c r="R269" s="9">
        <f t="shared" si="64"/>
        <v>0</v>
      </c>
      <c r="S269" s="9">
        <f t="shared" si="65"/>
        <v>1</v>
      </c>
      <c r="T269" s="9">
        <f t="shared" si="66"/>
        <v>0</v>
      </c>
      <c r="U269" s="9">
        <f t="shared" si="67"/>
        <v>0</v>
      </c>
      <c r="V269" s="153">
        <f t="shared" si="68"/>
        <v>0</v>
      </c>
      <c r="W269" s="9">
        <f t="shared" si="69"/>
        <v>0</v>
      </c>
      <c r="X269" s="9">
        <f t="shared" si="70"/>
        <v>0</v>
      </c>
      <c r="Y269" s="9">
        <f t="shared" si="71"/>
        <v>1</v>
      </c>
      <c r="Z269" s="9"/>
      <c r="AA269" s="9"/>
      <c r="AB269" s="9">
        <f t="shared" si="74"/>
        <v>3</v>
      </c>
      <c r="AC269" s="9">
        <f t="shared" si="72"/>
        <v>3</v>
      </c>
      <c r="AD269" s="9" t="str">
        <f t="shared" si="73"/>
        <v>Correct</v>
      </c>
      <c r="AE269" s="9"/>
      <c r="AF269" s="120" t="str">
        <f>IFERROR(VLOOKUP(Table1[RespondentID],'All Data'!$A$3:$CO$999,87,FALSE),"unknown")</f>
        <v>Man</v>
      </c>
      <c r="AG269" s="120">
        <f>IFERROR(VLOOKUP(Table1[RespondentID],'All Data'!$A$3:$CO$999,88,FALSE),"unknown")</f>
        <v>44</v>
      </c>
      <c r="AH269" s="120" t="str">
        <f>IFERROR(VLOOKUP(Table1[RespondentID],'All Data'!$A$3:$CO$999,89,FALSE),"unknown")</f>
        <v>Suffolk</v>
      </c>
      <c r="AI269" s="120" t="str">
        <f>IFERROR(VLOOKUP(Table1[RespondentID],'All Data'!$A$3:$CO$999,90,FALSE),"unknown")</f>
        <v>Selden, 11784</v>
      </c>
      <c r="AJ269" s="120" t="str">
        <f>IFERROR(VLOOKUP(Table1[RespondentID],'All Data'!$A$3:$CO$999,91,FALSE),"unknown")</f>
        <v>White</v>
      </c>
      <c r="AK269" s="120" t="str">
        <f>IFERROR(VLOOKUP(Table1[RespondentID],'All Data'!$A$3:$CO$999,92,FALSE),"unknown")</f>
        <v>Hispanic or Latino</v>
      </c>
      <c r="AL269" s="120" t="str">
        <f>IFERROR(VLOOKUP(Table1[RespondentID],'All Data'!$A$3:$CO$999,93,FALSE),"unknown")</f>
        <v>English</v>
      </c>
      <c r="AM269" s="120" t="str">
        <f>IFERROR(VLOOKUP(Table1[RespondentID],'All Data'!$A$3:$CW$999,94,FALSE),"unknown")</f>
        <v>$50,000 to $74,999</v>
      </c>
      <c r="AN269" s="120" t="str">
        <f>IFERROR(VLOOKUP(Table1[RespondentID],'All Data'!$A$3:$CW$999,95,FALSE),"unknown")</f>
        <v>College graduate</v>
      </c>
      <c r="AO269" s="120" t="str">
        <f>IFERROR(VLOOKUP(Table1[RespondentID],'All Data'!$A$3:$CW$999,96,FALSE),"unknown")</f>
        <v>Employed for wages</v>
      </c>
      <c r="AP269" s="120" t="str">
        <f>IFERROR(VLOOKUP(Table1[RespondentID],'All Data'!$A$3:$CW$999,97,FALSE),"unknown")</f>
        <v>Yes</v>
      </c>
      <c r="AQ269" s="120" t="str">
        <f>IFERROR(VLOOKUP(Table1[RespondentID],'All Data'!$A$3:$CW$999,98,FALSE),"unknown")</f>
        <v>Private/Commercial</v>
      </c>
      <c r="AR269" s="120" t="str">
        <f>IFERROR(VLOOKUP(Table1[RespondentID],'All Data'!$A$3:$CW$999,99,FALSE),"unknown")</f>
        <v>Yes</v>
      </c>
    </row>
    <row r="270" spans="1:44" ht="16">
      <c r="A270" s="5">
        <v>18016902456</v>
      </c>
      <c r="B270" s="5"/>
      <c r="C270" s="5" t="s">
        <v>30</v>
      </c>
      <c r="D270" s="5"/>
      <c r="E270" s="5"/>
      <c r="F270" s="5"/>
      <c r="G270" s="5"/>
      <c r="H270" s="5"/>
      <c r="I270" s="5"/>
      <c r="J270" s="5"/>
      <c r="K270" s="5"/>
      <c r="L270" s="8"/>
      <c r="M270" s="8">
        <f t="shared" si="60"/>
        <v>1</v>
      </c>
      <c r="N270" s="8">
        <f t="shared" si="61"/>
        <v>3</v>
      </c>
      <c r="O270" s="8"/>
      <c r="P270" s="8">
        <f t="shared" si="62"/>
        <v>0</v>
      </c>
      <c r="Q270" s="8">
        <f t="shared" si="63"/>
        <v>1</v>
      </c>
      <c r="R270" s="8">
        <f t="shared" si="64"/>
        <v>0</v>
      </c>
      <c r="S270" s="8">
        <f t="shared" si="65"/>
        <v>0</v>
      </c>
      <c r="T270" s="8">
        <f t="shared" si="66"/>
        <v>0</v>
      </c>
      <c r="U270" s="8">
        <f t="shared" si="67"/>
        <v>0</v>
      </c>
      <c r="V270" s="153">
        <f t="shared" si="68"/>
        <v>0</v>
      </c>
      <c r="W270" s="8">
        <f t="shared" si="69"/>
        <v>0</v>
      </c>
      <c r="X270" s="8">
        <f t="shared" si="70"/>
        <v>0</v>
      </c>
      <c r="Y270" s="8">
        <f t="shared" si="71"/>
        <v>0</v>
      </c>
      <c r="Z270" s="8"/>
      <c r="AA270" s="8"/>
      <c r="AB270" s="8">
        <f t="shared" si="74"/>
        <v>1</v>
      </c>
      <c r="AC270" s="8">
        <f t="shared" si="72"/>
        <v>1</v>
      </c>
      <c r="AD270" s="8" t="str">
        <f t="shared" si="73"/>
        <v>Correct</v>
      </c>
      <c r="AE270" s="8"/>
      <c r="AF270" s="120" t="str">
        <f>IFERROR(VLOOKUP(Table1[RespondentID],'All Data'!$A$3:$CO$999,87,FALSE),"unknown")</f>
        <v>Man</v>
      </c>
      <c r="AG270" s="120">
        <f>IFERROR(VLOOKUP(Table1[RespondentID],'All Data'!$A$3:$CO$999,88,FALSE),"unknown")</f>
        <v>45</v>
      </c>
      <c r="AH270" s="120" t="str">
        <f>IFERROR(VLOOKUP(Table1[RespondentID],'All Data'!$A$3:$CO$999,89,FALSE),"unknown")</f>
        <v>Suffolk</v>
      </c>
      <c r="AI270" s="120" t="str">
        <f>IFERROR(VLOOKUP(Table1[RespondentID],'All Data'!$A$3:$CO$999,90,FALSE),"unknown")</f>
        <v>Mastic, 11950</v>
      </c>
      <c r="AJ270" s="120" t="str">
        <f>IFERROR(VLOOKUP(Table1[RespondentID],'All Data'!$A$3:$CO$999,91,FALSE),"unknown")</f>
        <v>White</v>
      </c>
      <c r="AK270" s="120" t="str">
        <f>IFERROR(VLOOKUP(Table1[RespondentID],'All Data'!$A$3:$CO$999,92,FALSE),"unknown")</f>
        <v>Hispanic or Latino</v>
      </c>
      <c r="AL270" s="120" t="str">
        <f>IFERROR(VLOOKUP(Table1[RespondentID],'All Data'!$A$3:$CO$999,93,FALSE),"unknown")</f>
        <v>English</v>
      </c>
      <c r="AM270" s="120" t="str">
        <f>IFERROR(VLOOKUP(Table1[RespondentID],'All Data'!$A$3:$CW$999,94,FALSE),"unknown")</f>
        <v>Over $125,000</v>
      </c>
      <c r="AN270" s="120" t="str">
        <f>IFERROR(VLOOKUP(Table1[RespondentID],'All Data'!$A$3:$CW$999,95,FALSE),"unknown")</f>
        <v>College graduate</v>
      </c>
      <c r="AO270" s="120" t="str">
        <f>IFERROR(VLOOKUP(Table1[RespondentID],'All Data'!$A$3:$CW$999,96,FALSE),"unknown")</f>
        <v>Employed for wages</v>
      </c>
      <c r="AP270" s="120" t="str">
        <f>IFERROR(VLOOKUP(Table1[RespondentID],'All Data'!$A$3:$CW$999,97,FALSE),"unknown")</f>
        <v>Yes</v>
      </c>
      <c r="AQ270" s="120" t="str">
        <f>IFERROR(VLOOKUP(Table1[RespondentID],'All Data'!$A$3:$CW$999,98,FALSE),"unknown")</f>
        <v>Private/Commercial</v>
      </c>
      <c r="AR270" s="120" t="str">
        <f>IFERROR(VLOOKUP(Table1[RespondentID],'All Data'!$A$3:$CW$999,99,FALSE),"unknown")</f>
        <v>Yes</v>
      </c>
    </row>
    <row r="271" spans="1:44" ht="16">
      <c r="A271" s="5">
        <v>18016880706</v>
      </c>
      <c r="B271" s="5"/>
      <c r="C271" s="5"/>
      <c r="D271" s="5"/>
      <c r="E271" s="5"/>
      <c r="F271" s="5"/>
      <c r="G271" s="5" t="s">
        <v>34</v>
      </c>
      <c r="H271" s="5"/>
      <c r="I271" s="5"/>
      <c r="J271" s="5"/>
      <c r="K271" s="5"/>
      <c r="L271" s="9"/>
      <c r="M271" s="9">
        <f t="shared" si="60"/>
        <v>1</v>
      </c>
      <c r="N271" s="9">
        <f t="shared" si="61"/>
        <v>3</v>
      </c>
      <c r="O271" s="9"/>
      <c r="P271" s="9">
        <f t="shared" si="62"/>
        <v>0</v>
      </c>
      <c r="Q271" s="9">
        <f t="shared" si="63"/>
        <v>0</v>
      </c>
      <c r="R271" s="9">
        <f t="shared" si="64"/>
        <v>0</v>
      </c>
      <c r="S271" s="9">
        <f t="shared" si="65"/>
        <v>0</v>
      </c>
      <c r="T271" s="9">
        <f t="shared" si="66"/>
        <v>0</v>
      </c>
      <c r="U271" s="9">
        <f t="shared" si="67"/>
        <v>1</v>
      </c>
      <c r="V271" s="153">
        <f t="shared" si="68"/>
        <v>0</v>
      </c>
      <c r="W271" s="9">
        <f t="shared" si="69"/>
        <v>0</v>
      </c>
      <c r="X271" s="9">
        <f t="shared" si="70"/>
        <v>0</v>
      </c>
      <c r="Y271" s="9">
        <f t="shared" si="71"/>
        <v>0</v>
      </c>
      <c r="Z271" s="9"/>
      <c r="AA271" s="9"/>
      <c r="AB271" s="9">
        <f t="shared" si="74"/>
        <v>1</v>
      </c>
      <c r="AC271" s="9">
        <f t="shared" si="72"/>
        <v>1</v>
      </c>
      <c r="AD271" s="9" t="str">
        <f t="shared" si="73"/>
        <v>Correct</v>
      </c>
      <c r="AE271" s="9"/>
      <c r="AF271" s="120" t="str">
        <f>IFERROR(VLOOKUP(Table1[RespondentID],'All Data'!$A$3:$CO$999,87,FALSE),"unknown")</f>
        <v>Man</v>
      </c>
      <c r="AG271" s="120">
        <f>IFERROR(VLOOKUP(Table1[RespondentID],'All Data'!$A$3:$CO$999,88,FALSE),"unknown")</f>
        <v>16</v>
      </c>
      <c r="AH271" s="120" t="str">
        <f>IFERROR(VLOOKUP(Table1[RespondentID],'All Data'!$A$3:$CO$999,89,FALSE),"unknown")</f>
        <v>Suffolk</v>
      </c>
      <c r="AI271" s="120" t="str">
        <f>IFERROR(VLOOKUP(Table1[RespondentID],'All Data'!$A$3:$CO$999,90,FALSE),"unknown")</f>
        <v>Nesconset, 11767</v>
      </c>
      <c r="AJ271" s="120" t="str">
        <f>IFERROR(VLOOKUP(Table1[RespondentID],'All Data'!$A$3:$CO$999,91,FALSE),"unknown")</f>
        <v>White</v>
      </c>
      <c r="AK271" s="120" t="str">
        <f>IFERROR(VLOOKUP(Table1[RespondentID],'All Data'!$A$3:$CO$999,92,FALSE),"unknown")</f>
        <v>Hispanic or Latino</v>
      </c>
      <c r="AL271" s="120" t="str">
        <f>IFERROR(VLOOKUP(Table1[RespondentID],'All Data'!$A$3:$CO$999,93,FALSE),"unknown")</f>
        <v>English</v>
      </c>
      <c r="AM271" s="120" t="str">
        <f>IFERROR(VLOOKUP(Table1[RespondentID],'All Data'!$A$3:$CW$999,94,FALSE),"unknown")</f>
        <v>Over $125,000</v>
      </c>
      <c r="AN271" s="120" t="str">
        <f>IFERROR(VLOOKUP(Table1[RespondentID],'All Data'!$A$3:$CW$999,95,FALSE),"unknown")</f>
        <v>Some high school</v>
      </c>
      <c r="AO271" s="120" t="str">
        <f>IFERROR(VLOOKUP(Table1[RespondentID],'All Data'!$A$3:$CW$999,96,FALSE),"unknown")</f>
        <v>Student</v>
      </c>
      <c r="AP271" s="120" t="str">
        <f>IFERROR(VLOOKUP(Table1[RespondentID],'All Data'!$A$3:$CW$999,97,FALSE),"unknown")</f>
        <v>Yes</v>
      </c>
      <c r="AQ271" s="120" t="str">
        <f>IFERROR(VLOOKUP(Table1[RespondentID],'All Data'!$A$3:$CW$999,98,FALSE),"unknown")</f>
        <v>Private/Commercial</v>
      </c>
      <c r="AR271" s="120" t="str">
        <f>IFERROR(VLOOKUP(Table1[RespondentID],'All Data'!$A$3:$CW$999,99,FALSE),"unknown")</f>
        <v>Yes</v>
      </c>
    </row>
    <row r="272" spans="1:44" ht="16">
      <c r="A272" s="5">
        <v>18016880667</v>
      </c>
      <c r="B272" s="5"/>
      <c r="C272" s="5"/>
      <c r="D272" s="5"/>
      <c r="E272" s="5"/>
      <c r="F272" s="5"/>
      <c r="G272" s="5" t="s">
        <v>34</v>
      </c>
      <c r="H272" s="5"/>
      <c r="I272" s="5"/>
      <c r="J272" s="5"/>
      <c r="K272" s="5"/>
      <c r="L272" s="8"/>
      <c r="M272" s="8">
        <f t="shared" si="60"/>
        <v>1</v>
      </c>
      <c r="N272" s="8">
        <f t="shared" si="61"/>
        <v>3</v>
      </c>
      <c r="O272" s="8"/>
      <c r="P272" s="8">
        <f t="shared" si="62"/>
        <v>0</v>
      </c>
      <c r="Q272" s="8">
        <f t="shared" si="63"/>
        <v>0</v>
      </c>
      <c r="R272" s="8">
        <f t="shared" si="64"/>
        <v>0</v>
      </c>
      <c r="S272" s="8">
        <f t="shared" si="65"/>
        <v>0</v>
      </c>
      <c r="T272" s="8">
        <f t="shared" si="66"/>
        <v>0</v>
      </c>
      <c r="U272" s="8">
        <f t="shared" si="67"/>
        <v>1</v>
      </c>
      <c r="V272" s="153">
        <f t="shared" si="68"/>
        <v>0</v>
      </c>
      <c r="W272" s="8">
        <f t="shared" si="69"/>
        <v>0</v>
      </c>
      <c r="X272" s="8">
        <f t="shared" si="70"/>
        <v>0</v>
      </c>
      <c r="Y272" s="8">
        <f t="shared" si="71"/>
        <v>0</v>
      </c>
      <c r="Z272" s="8"/>
      <c r="AA272" s="8"/>
      <c r="AB272" s="8">
        <f t="shared" si="74"/>
        <v>1</v>
      </c>
      <c r="AC272" s="8">
        <f t="shared" si="72"/>
        <v>1</v>
      </c>
      <c r="AD272" s="8" t="str">
        <f t="shared" si="73"/>
        <v>Correct</v>
      </c>
      <c r="AE272" s="8"/>
      <c r="AF272" s="120" t="str">
        <f>IFERROR(VLOOKUP(Table1[RespondentID],'All Data'!$A$3:$CO$999,87,FALSE),"unknown")</f>
        <v>Man</v>
      </c>
      <c r="AG272" s="120">
        <f>IFERROR(VLOOKUP(Table1[RespondentID],'All Data'!$A$3:$CO$999,88,FALSE),"unknown")</f>
        <v>16</v>
      </c>
      <c r="AH272" s="120" t="str">
        <f>IFERROR(VLOOKUP(Table1[RespondentID],'All Data'!$A$3:$CO$999,89,FALSE),"unknown")</f>
        <v>Suffolk</v>
      </c>
      <c r="AI272" s="120" t="str">
        <f>IFERROR(VLOOKUP(Table1[RespondentID],'All Data'!$A$3:$CO$999,90,FALSE),"unknown")</f>
        <v>Nesconset, 11767</v>
      </c>
      <c r="AJ272" s="120" t="str">
        <f>IFERROR(VLOOKUP(Table1[RespondentID],'All Data'!$A$3:$CO$999,91,FALSE),"unknown")</f>
        <v>White</v>
      </c>
      <c r="AK272" s="120" t="str">
        <f>IFERROR(VLOOKUP(Table1[RespondentID],'All Data'!$A$3:$CO$999,92,FALSE),"unknown")</f>
        <v>Hispanic or Latino</v>
      </c>
      <c r="AL272" s="120" t="str">
        <f>IFERROR(VLOOKUP(Table1[RespondentID],'All Data'!$A$3:$CO$999,93,FALSE),"unknown")</f>
        <v>English</v>
      </c>
      <c r="AM272" s="120" t="str">
        <f>IFERROR(VLOOKUP(Table1[RespondentID],'All Data'!$A$3:$CW$999,94,FALSE),"unknown")</f>
        <v>Over $125,000</v>
      </c>
      <c r="AN272" s="120" t="str">
        <f>IFERROR(VLOOKUP(Table1[RespondentID],'All Data'!$A$3:$CW$999,95,FALSE),"unknown")</f>
        <v>Some high school</v>
      </c>
      <c r="AO272" s="120" t="str">
        <f>IFERROR(VLOOKUP(Table1[RespondentID],'All Data'!$A$3:$CW$999,96,FALSE),"unknown")</f>
        <v>Student</v>
      </c>
      <c r="AP272" s="120" t="str">
        <f>IFERROR(VLOOKUP(Table1[RespondentID],'All Data'!$A$3:$CW$999,97,FALSE),"unknown")</f>
        <v>Yes</v>
      </c>
      <c r="AQ272" s="120" t="str">
        <f>IFERROR(VLOOKUP(Table1[RespondentID],'All Data'!$A$3:$CW$999,98,FALSE),"unknown")</f>
        <v>Private/Commercial</v>
      </c>
      <c r="AR272" s="120" t="str">
        <f>IFERROR(VLOOKUP(Table1[RespondentID],'All Data'!$A$3:$CW$999,99,FALSE),"unknown")</f>
        <v>Yes</v>
      </c>
    </row>
    <row r="273" spans="1:44" ht="16">
      <c r="A273" s="5">
        <v>18016880611</v>
      </c>
      <c r="B273" s="5"/>
      <c r="C273" s="5"/>
      <c r="D273" s="5"/>
      <c r="E273" s="5"/>
      <c r="F273" s="5"/>
      <c r="G273" s="5" t="s">
        <v>34</v>
      </c>
      <c r="H273" s="5"/>
      <c r="I273" s="5"/>
      <c r="J273" s="5"/>
      <c r="K273" s="5"/>
      <c r="L273" s="9"/>
      <c r="M273" s="9">
        <f t="shared" si="60"/>
        <v>1</v>
      </c>
      <c r="N273" s="9">
        <f t="shared" si="61"/>
        <v>3</v>
      </c>
      <c r="O273" s="9"/>
      <c r="P273" s="9">
        <f t="shared" si="62"/>
        <v>0</v>
      </c>
      <c r="Q273" s="9">
        <f t="shared" si="63"/>
        <v>0</v>
      </c>
      <c r="R273" s="9">
        <f t="shared" si="64"/>
        <v>0</v>
      </c>
      <c r="S273" s="9">
        <f t="shared" si="65"/>
        <v>0</v>
      </c>
      <c r="T273" s="9">
        <f t="shared" si="66"/>
        <v>0</v>
      </c>
      <c r="U273" s="9">
        <f t="shared" si="67"/>
        <v>1</v>
      </c>
      <c r="V273" s="153">
        <f t="shared" si="68"/>
        <v>0</v>
      </c>
      <c r="W273" s="9">
        <f t="shared" si="69"/>
        <v>0</v>
      </c>
      <c r="X273" s="9">
        <f t="shared" si="70"/>
        <v>0</v>
      </c>
      <c r="Y273" s="9">
        <f t="shared" si="71"/>
        <v>0</v>
      </c>
      <c r="Z273" s="9"/>
      <c r="AA273" s="9"/>
      <c r="AB273" s="9">
        <f t="shared" si="74"/>
        <v>1</v>
      </c>
      <c r="AC273" s="9">
        <f t="shared" si="72"/>
        <v>1</v>
      </c>
      <c r="AD273" s="9" t="str">
        <f t="shared" si="73"/>
        <v>Correct</v>
      </c>
      <c r="AE273" s="9"/>
      <c r="AF273" s="120" t="str">
        <f>IFERROR(VLOOKUP(Table1[RespondentID],'All Data'!$A$3:$CO$999,87,FALSE),"unknown")</f>
        <v>Man</v>
      </c>
      <c r="AG273" s="120">
        <f>IFERROR(VLOOKUP(Table1[RespondentID],'All Data'!$A$3:$CO$999,88,FALSE),"unknown")</f>
        <v>16</v>
      </c>
      <c r="AH273" s="120" t="str">
        <f>IFERROR(VLOOKUP(Table1[RespondentID],'All Data'!$A$3:$CO$999,89,FALSE),"unknown")</f>
        <v>Suffolk</v>
      </c>
      <c r="AI273" s="120" t="str">
        <f>IFERROR(VLOOKUP(Table1[RespondentID],'All Data'!$A$3:$CO$999,90,FALSE),"unknown")</f>
        <v>Nesconset, 11767</v>
      </c>
      <c r="AJ273" s="120" t="str">
        <f>IFERROR(VLOOKUP(Table1[RespondentID],'All Data'!$A$3:$CO$999,91,FALSE),"unknown")</f>
        <v>White</v>
      </c>
      <c r="AK273" s="120" t="str">
        <f>IFERROR(VLOOKUP(Table1[RespondentID],'All Data'!$A$3:$CO$999,92,FALSE),"unknown")</f>
        <v>Hispanic or Latino</v>
      </c>
      <c r="AL273" s="120" t="str">
        <f>IFERROR(VLOOKUP(Table1[RespondentID],'All Data'!$A$3:$CO$999,93,FALSE),"unknown")</f>
        <v>English</v>
      </c>
      <c r="AM273" s="120" t="str">
        <f>IFERROR(VLOOKUP(Table1[RespondentID],'All Data'!$A$3:$CW$999,94,FALSE),"unknown")</f>
        <v>Over $125,000</v>
      </c>
      <c r="AN273" s="120" t="str">
        <f>IFERROR(VLOOKUP(Table1[RespondentID],'All Data'!$A$3:$CW$999,95,FALSE),"unknown")</f>
        <v>Some high school</v>
      </c>
      <c r="AO273" s="120" t="str">
        <f>IFERROR(VLOOKUP(Table1[RespondentID],'All Data'!$A$3:$CW$999,96,FALSE),"unknown")</f>
        <v>Student</v>
      </c>
      <c r="AP273" s="120" t="str">
        <f>IFERROR(VLOOKUP(Table1[RespondentID],'All Data'!$A$3:$CW$999,97,FALSE),"unknown")</f>
        <v>Yes</v>
      </c>
      <c r="AQ273" s="120" t="str">
        <f>IFERROR(VLOOKUP(Table1[RespondentID],'All Data'!$A$3:$CW$999,98,FALSE),"unknown")</f>
        <v>Private/Commercial</v>
      </c>
      <c r="AR273" s="120" t="str">
        <f>IFERROR(VLOOKUP(Table1[RespondentID],'All Data'!$A$3:$CW$999,99,FALSE),"unknown")</f>
        <v>Yes</v>
      </c>
    </row>
    <row r="274" spans="1:44" ht="16">
      <c r="A274" s="5">
        <v>18016880556</v>
      </c>
      <c r="B274" s="5"/>
      <c r="C274" s="5"/>
      <c r="D274" s="5"/>
      <c r="E274" s="5"/>
      <c r="F274" s="5"/>
      <c r="G274" s="5" t="s">
        <v>34</v>
      </c>
      <c r="H274" s="5"/>
      <c r="I274" s="5"/>
      <c r="J274" s="5"/>
      <c r="K274" s="5"/>
      <c r="L274" s="8"/>
      <c r="M274" s="8">
        <f t="shared" si="60"/>
        <v>1</v>
      </c>
      <c r="N274" s="8">
        <f t="shared" si="61"/>
        <v>3</v>
      </c>
      <c r="O274" s="8"/>
      <c r="P274" s="8">
        <f t="shared" si="62"/>
        <v>0</v>
      </c>
      <c r="Q274" s="8">
        <f t="shared" si="63"/>
        <v>0</v>
      </c>
      <c r="R274" s="8">
        <f t="shared" si="64"/>
        <v>0</v>
      </c>
      <c r="S274" s="8">
        <f t="shared" si="65"/>
        <v>0</v>
      </c>
      <c r="T274" s="8">
        <f t="shared" si="66"/>
        <v>0</v>
      </c>
      <c r="U274" s="8">
        <f t="shared" si="67"/>
        <v>1</v>
      </c>
      <c r="V274" s="153">
        <f t="shared" si="68"/>
        <v>0</v>
      </c>
      <c r="W274" s="8">
        <f t="shared" si="69"/>
        <v>0</v>
      </c>
      <c r="X274" s="8">
        <f t="shared" si="70"/>
        <v>0</v>
      </c>
      <c r="Y274" s="8">
        <f t="shared" si="71"/>
        <v>0</v>
      </c>
      <c r="Z274" s="8"/>
      <c r="AA274" s="8"/>
      <c r="AB274" s="8">
        <f t="shared" si="74"/>
        <v>1</v>
      </c>
      <c r="AC274" s="8">
        <f t="shared" si="72"/>
        <v>1</v>
      </c>
      <c r="AD274" s="8" t="str">
        <f t="shared" si="73"/>
        <v>Correct</v>
      </c>
      <c r="AE274" s="8"/>
      <c r="AF274" s="120" t="str">
        <f>IFERROR(VLOOKUP(Table1[RespondentID],'All Data'!$A$3:$CO$999,87,FALSE),"unknown")</f>
        <v>Man</v>
      </c>
      <c r="AG274" s="120">
        <f>IFERROR(VLOOKUP(Table1[RespondentID],'All Data'!$A$3:$CO$999,88,FALSE),"unknown")</f>
        <v>16</v>
      </c>
      <c r="AH274" s="120" t="str">
        <f>IFERROR(VLOOKUP(Table1[RespondentID],'All Data'!$A$3:$CO$999,89,FALSE),"unknown")</f>
        <v>Suffolk</v>
      </c>
      <c r="AI274" s="120" t="str">
        <f>IFERROR(VLOOKUP(Table1[RespondentID],'All Data'!$A$3:$CO$999,90,FALSE),"unknown")</f>
        <v>Nesconset, 11767</v>
      </c>
      <c r="AJ274" s="120" t="str">
        <f>IFERROR(VLOOKUP(Table1[RespondentID],'All Data'!$A$3:$CO$999,91,FALSE),"unknown")</f>
        <v>White</v>
      </c>
      <c r="AK274" s="120" t="str">
        <f>IFERROR(VLOOKUP(Table1[RespondentID],'All Data'!$A$3:$CO$999,92,FALSE),"unknown")</f>
        <v>Hispanic or Latino</v>
      </c>
      <c r="AL274" s="120" t="str">
        <f>IFERROR(VLOOKUP(Table1[RespondentID],'All Data'!$A$3:$CO$999,93,FALSE),"unknown")</f>
        <v>English</v>
      </c>
      <c r="AM274" s="120" t="str">
        <f>IFERROR(VLOOKUP(Table1[RespondentID],'All Data'!$A$3:$CW$999,94,FALSE),"unknown")</f>
        <v>Over $125,000</v>
      </c>
      <c r="AN274" s="120" t="str">
        <f>IFERROR(VLOOKUP(Table1[RespondentID],'All Data'!$A$3:$CW$999,95,FALSE),"unknown")</f>
        <v>Some high school</v>
      </c>
      <c r="AO274" s="120" t="str">
        <f>IFERROR(VLOOKUP(Table1[RespondentID],'All Data'!$A$3:$CW$999,96,FALSE),"unknown")</f>
        <v>Student</v>
      </c>
      <c r="AP274" s="120" t="str">
        <f>IFERROR(VLOOKUP(Table1[RespondentID],'All Data'!$A$3:$CW$999,97,FALSE),"unknown")</f>
        <v>Yes</v>
      </c>
      <c r="AQ274" s="120" t="str">
        <f>IFERROR(VLOOKUP(Table1[RespondentID],'All Data'!$A$3:$CW$999,98,FALSE),"unknown")</f>
        <v>Private/Commercial</v>
      </c>
      <c r="AR274" s="120" t="str">
        <f>IFERROR(VLOOKUP(Table1[RespondentID],'All Data'!$A$3:$CW$999,99,FALSE),"unknown")</f>
        <v>Yes</v>
      </c>
    </row>
    <row r="275" spans="1:44" ht="16">
      <c r="A275" s="5">
        <v>18016880499</v>
      </c>
      <c r="B275" s="5"/>
      <c r="C275" s="5"/>
      <c r="D275" s="5"/>
      <c r="E275" s="5"/>
      <c r="F275" s="5"/>
      <c r="G275" s="5" t="s">
        <v>34</v>
      </c>
      <c r="H275" s="5"/>
      <c r="I275" s="5"/>
      <c r="J275" s="5"/>
      <c r="K275" s="5"/>
      <c r="L275" s="9"/>
      <c r="M275" s="9">
        <f t="shared" si="60"/>
        <v>1</v>
      </c>
      <c r="N275" s="9">
        <f t="shared" si="61"/>
        <v>3</v>
      </c>
      <c r="O275" s="9"/>
      <c r="P275" s="9">
        <f t="shared" si="62"/>
        <v>0</v>
      </c>
      <c r="Q275" s="9">
        <f t="shared" si="63"/>
        <v>0</v>
      </c>
      <c r="R275" s="9">
        <f t="shared" si="64"/>
        <v>0</v>
      </c>
      <c r="S275" s="9">
        <f t="shared" si="65"/>
        <v>0</v>
      </c>
      <c r="T275" s="9">
        <f t="shared" si="66"/>
        <v>0</v>
      </c>
      <c r="U275" s="9">
        <f t="shared" si="67"/>
        <v>1</v>
      </c>
      <c r="V275" s="153">
        <f t="shared" si="68"/>
        <v>0</v>
      </c>
      <c r="W275" s="9">
        <f t="shared" si="69"/>
        <v>0</v>
      </c>
      <c r="X275" s="9">
        <f t="shared" si="70"/>
        <v>0</v>
      </c>
      <c r="Y275" s="9">
        <f t="shared" si="71"/>
        <v>0</v>
      </c>
      <c r="Z275" s="9"/>
      <c r="AA275" s="9"/>
      <c r="AB275" s="9">
        <f t="shared" si="74"/>
        <v>1</v>
      </c>
      <c r="AC275" s="9">
        <f t="shared" si="72"/>
        <v>1</v>
      </c>
      <c r="AD275" s="9" t="str">
        <f t="shared" si="73"/>
        <v>Correct</v>
      </c>
      <c r="AE275" s="9"/>
      <c r="AF275" s="120" t="str">
        <f>IFERROR(VLOOKUP(Table1[RespondentID],'All Data'!$A$3:$CO$999,87,FALSE),"unknown")</f>
        <v>Man</v>
      </c>
      <c r="AG275" s="120">
        <f>IFERROR(VLOOKUP(Table1[RespondentID],'All Data'!$A$3:$CO$999,88,FALSE),"unknown")</f>
        <v>16</v>
      </c>
      <c r="AH275" s="120" t="str">
        <f>IFERROR(VLOOKUP(Table1[RespondentID],'All Data'!$A$3:$CO$999,89,FALSE),"unknown")</f>
        <v>Suffolk</v>
      </c>
      <c r="AI275" s="120" t="str">
        <f>IFERROR(VLOOKUP(Table1[RespondentID],'All Data'!$A$3:$CO$999,90,FALSE),"unknown")</f>
        <v>Nesconset, 11767</v>
      </c>
      <c r="AJ275" s="120" t="str">
        <f>IFERROR(VLOOKUP(Table1[RespondentID],'All Data'!$A$3:$CO$999,91,FALSE),"unknown")</f>
        <v>White</v>
      </c>
      <c r="AK275" s="120" t="str">
        <f>IFERROR(VLOOKUP(Table1[RespondentID],'All Data'!$A$3:$CO$999,92,FALSE),"unknown")</f>
        <v>Hispanic or Latino</v>
      </c>
      <c r="AL275" s="120" t="str">
        <f>IFERROR(VLOOKUP(Table1[RespondentID],'All Data'!$A$3:$CO$999,93,FALSE),"unknown")</f>
        <v>English</v>
      </c>
      <c r="AM275" s="120" t="str">
        <f>IFERROR(VLOOKUP(Table1[RespondentID],'All Data'!$A$3:$CW$999,94,FALSE),"unknown")</f>
        <v>Over $125,000</v>
      </c>
      <c r="AN275" s="120" t="str">
        <f>IFERROR(VLOOKUP(Table1[RespondentID],'All Data'!$A$3:$CW$999,95,FALSE),"unknown")</f>
        <v>Some high school</v>
      </c>
      <c r="AO275" s="120" t="str">
        <f>IFERROR(VLOOKUP(Table1[RespondentID],'All Data'!$A$3:$CW$999,96,FALSE),"unknown")</f>
        <v>Student</v>
      </c>
      <c r="AP275" s="120" t="str">
        <f>IFERROR(VLOOKUP(Table1[RespondentID],'All Data'!$A$3:$CW$999,97,FALSE),"unknown")</f>
        <v>Yes</v>
      </c>
      <c r="AQ275" s="120" t="str">
        <f>IFERROR(VLOOKUP(Table1[RespondentID],'All Data'!$A$3:$CW$999,98,FALSE),"unknown")</f>
        <v>Private/Commercial</v>
      </c>
      <c r="AR275" s="120" t="str">
        <f>IFERROR(VLOOKUP(Table1[RespondentID],'All Data'!$A$3:$CW$999,99,FALSE),"unknown")</f>
        <v>Yes</v>
      </c>
    </row>
    <row r="276" spans="1:44" ht="16">
      <c r="A276" s="5">
        <v>18016880433</v>
      </c>
      <c r="B276" s="5"/>
      <c r="C276" s="5" t="s">
        <v>30</v>
      </c>
      <c r="D276" s="5"/>
      <c r="E276" s="5"/>
      <c r="F276" s="5"/>
      <c r="G276" s="5"/>
      <c r="H276" s="5"/>
      <c r="I276" s="5"/>
      <c r="J276" s="5"/>
      <c r="K276" s="5"/>
      <c r="L276" s="8"/>
      <c r="M276" s="8">
        <f t="shared" si="60"/>
        <v>1</v>
      </c>
      <c r="N276" s="8">
        <f t="shared" si="61"/>
        <v>3</v>
      </c>
      <c r="O276" s="8"/>
      <c r="P276" s="8">
        <f t="shared" si="62"/>
        <v>0</v>
      </c>
      <c r="Q276" s="8">
        <f t="shared" si="63"/>
        <v>1</v>
      </c>
      <c r="R276" s="8">
        <f t="shared" si="64"/>
        <v>0</v>
      </c>
      <c r="S276" s="8">
        <f t="shared" si="65"/>
        <v>0</v>
      </c>
      <c r="T276" s="8">
        <f t="shared" si="66"/>
        <v>0</v>
      </c>
      <c r="U276" s="8">
        <f t="shared" si="67"/>
        <v>0</v>
      </c>
      <c r="V276" s="153">
        <f t="shared" si="68"/>
        <v>0</v>
      </c>
      <c r="W276" s="8">
        <f t="shared" si="69"/>
        <v>0</v>
      </c>
      <c r="X276" s="8">
        <f t="shared" si="70"/>
        <v>0</v>
      </c>
      <c r="Y276" s="8">
        <f t="shared" si="71"/>
        <v>0</v>
      </c>
      <c r="Z276" s="8"/>
      <c r="AA276" s="8"/>
      <c r="AB276" s="8">
        <f t="shared" si="74"/>
        <v>1</v>
      </c>
      <c r="AC276" s="8">
        <f t="shared" si="72"/>
        <v>1</v>
      </c>
      <c r="AD276" s="8" t="str">
        <f t="shared" si="73"/>
        <v>Correct</v>
      </c>
      <c r="AE276" s="8"/>
      <c r="AF276" s="120" t="str">
        <f>IFERROR(VLOOKUP(Table1[RespondentID],'All Data'!$A$3:$CO$999,87,FALSE),"unknown")</f>
        <v>Man</v>
      </c>
      <c r="AG276" s="120">
        <f>IFERROR(VLOOKUP(Table1[RespondentID],'All Data'!$A$3:$CO$999,88,FALSE),"unknown")</f>
        <v>16</v>
      </c>
      <c r="AH276" s="120" t="str">
        <f>IFERROR(VLOOKUP(Table1[RespondentID],'All Data'!$A$3:$CO$999,89,FALSE),"unknown")</f>
        <v>Suffolk</v>
      </c>
      <c r="AI276" s="120" t="str">
        <f>IFERROR(VLOOKUP(Table1[RespondentID],'All Data'!$A$3:$CO$999,90,FALSE),"unknown")</f>
        <v>Nesconset, 11767</v>
      </c>
      <c r="AJ276" s="120" t="str">
        <f>IFERROR(VLOOKUP(Table1[RespondentID],'All Data'!$A$3:$CO$999,91,FALSE),"unknown")</f>
        <v>White</v>
      </c>
      <c r="AK276" s="120" t="str">
        <f>IFERROR(VLOOKUP(Table1[RespondentID],'All Data'!$A$3:$CO$999,92,FALSE),"unknown")</f>
        <v>Hispanic or Latino</v>
      </c>
      <c r="AL276" s="120" t="str">
        <f>IFERROR(VLOOKUP(Table1[RespondentID],'All Data'!$A$3:$CO$999,93,FALSE),"unknown")</f>
        <v>English</v>
      </c>
      <c r="AM276" s="120" t="str">
        <f>IFERROR(VLOOKUP(Table1[RespondentID],'All Data'!$A$3:$CW$999,94,FALSE),"unknown")</f>
        <v>Over $125,000</v>
      </c>
      <c r="AN276" s="120" t="str">
        <f>IFERROR(VLOOKUP(Table1[RespondentID],'All Data'!$A$3:$CW$999,95,FALSE),"unknown")</f>
        <v>Some high school</v>
      </c>
      <c r="AO276" s="120" t="str">
        <f>IFERROR(VLOOKUP(Table1[RespondentID],'All Data'!$A$3:$CW$999,96,FALSE),"unknown")</f>
        <v>Student</v>
      </c>
      <c r="AP276" s="120" t="str">
        <f>IFERROR(VLOOKUP(Table1[RespondentID],'All Data'!$A$3:$CW$999,97,FALSE),"unknown")</f>
        <v>Yes</v>
      </c>
      <c r="AQ276" s="120" t="str">
        <f>IFERROR(VLOOKUP(Table1[RespondentID],'All Data'!$A$3:$CW$999,98,FALSE),"unknown")</f>
        <v>Private/Commercial</v>
      </c>
      <c r="AR276" s="120" t="str">
        <f>IFERROR(VLOOKUP(Table1[RespondentID],'All Data'!$A$3:$CW$999,99,FALSE),"unknown")</f>
        <v>Yes</v>
      </c>
    </row>
    <row r="277" spans="1:44" ht="16">
      <c r="A277" s="5">
        <v>18016880374</v>
      </c>
      <c r="B277" s="5"/>
      <c r="C277" s="5" t="s">
        <v>30</v>
      </c>
      <c r="D277" s="5"/>
      <c r="E277" s="5"/>
      <c r="F277" s="5"/>
      <c r="G277" s="5"/>
      <c r="H277" s="5"/>
      <c r="I277" s="5"/>
      <c r="J277" s="5"/>
      <c r="K277" s="5"/>
      <c r="L277" s="9"/>
      <c r="M277" s="9">
        <f t="shared" si="60"/>
        <v>1</v>
      </c>
      <c r="N277" s="9">
        <f t="shared" si="61"/>
        <v>3</v>
      </c>
      <c r="O277" s="9"/>
      <c r="P277" s="9">
        <f t="shared" si="62"/>
        <v>0</v>
      </c>
      <c r="Q277" s="9">
        <f t="shared" si="63"/>
        <v>1</v>
      </c>
      <c r="R277" s="9">
        <f t="shared" si="64"/>
        <v>0</v>
      </c>
      <c r="S277" s="9">
        <f t="shared" si="65"/>
        <v>0</v>
      </c>
      <c r="T277" s="9">
        <f t="shared" si="66"/>
        <v>0</v>
      </c>
      <c r="U277" s="9">
        <f t="shared" si="67"/>
        <v>0</v>
      </c>
      <c r="V277" s="153">
        <f t="shared" si="68"/>
        <v>0</v>
      </c>
      <c r="W277" s="9">
        <f t="shared" si="69"/>
        <v>0</v>
      </c>
      <c r="X277" s="9">
        <f t="shared" si="70"/>
        <v>0</v>
      </c>
      <c r="Y277" s="9">
        <f t="shared" si="71"/>
        <v>0</v>
      </c>
      <c r="Z277" s="9"/>
      <c r="AA277" s="9"/>
      <c r="AB277" s="9">
        <f t="shared" si="74"/>
        <v>1</v>
      </c>
      <c r="AC277" s="9">
        <f t="shared" si="72"/>
        <v>1</v>
      </c>
      <c r="AD277" s="9" t="str">
        <f t="shared" si="73"/>
        <v>Correct</v>
      </c>
      <c r="AE277" s="9"/>
      <c r="AF277" s="120" t="str">
        <f>IFERROR(VLOOKUP(Table1[RespondentID],'All Data'!$A$3:$CO$999,87,FALSE),"unknown")</f>
        <v>Man</v>
      </c>
      <c r="AG277" s="120">
        <f>IFERROR(VLOOKUP(Table1[RespondentID],'All Data'!$A$3:$CO$999,88,FALSE),"unknown")</f>
        <v>16</v>
      </c>
      <c r="AH277" s="120" t="str">
        <f>IFERROR(VLOOKUP(Table1[RespondentID],'All Data'!$A$3:$CO$999,89,FALSE),"unknown")</f>
        <v>Suffolk</v>
      </c>
      <c r="AI277" s="120" t="str">
        <f>IFERROR(VLOOKUP(Table1[RespondentID],'All Data'!$A$3:$CO$999,90,FALSE),"unknown")</f>
        <v>Nesconset, 11767</v>
      </c>
      <c r="AJ277" s="120" t="str">
        <f>IFERROR(VLOOKUP(Table1[RespondentID],'All Data'!$A$3:$CO$999,91,FALSE),"unknown")</f>
        <v>White</v>
      </c>
      <c r="AK277" s="120" t="str">
        <f>IFERROR(VLOOKUP(Table1[RespondentID],'All Data'!$A$3:$CO$999,92,FALSE),"unknown")</f>
        <v>Hispanic or Latino</v>
      </c>
      <c r="AL277" s="120" t="str">
        <f>IFERROR(VLOOKUP(Table1[RespondentID],'All Data'!$A$3:$CO$999,93,FALSE),"unknown")</f>
        <v>English</v>
      </c>
      <c r="AM277" s="120" t="str">
        <f>IFERROR(VLOOKUP(Table1[RespondentID],'All Data'!$A$3:$CW$999,94,FALSE),"unknown")</f>
        <v>Over $125,000</v>
      </c>
      <c r="AN277" s="120" t="str">
        <f>IFERROR(VLOOKUP(Table1[RespondentID],'All Data'!$A$3:$CW$999,95,FALSE),"unknown")</f>
        <v>Some high school</v>
      </c>
      <c r="AO277" s="120" t="str">
        <f>IFERROR(VLOOKUP(Table1[RespondentID],'All Data'!$A$3:$CW$999,96,FALSE),"unknown")</f>
        <v>Student</v>
      </c>
      <c r="AP277" s="120" t="str">
        <f>IFERROR(VLOOKUP(Table1[RespondentID],'All Data'!$A$3:$CW$999,97,FALSE),"unknown")</f>
        <v>Yes</v>
      </c>
      <c r="AQ277" s="120" t="str">
        <f>IFERROR(VLOOKUP(Table1[RespondentID],'All Data'!$A$3:$CW$999,98,FALSE),"unknown")</f>
        <v>Private/Commercial</v>
      </c>
      <c r="AR277" s="120" t="str">
        <f>IFERROR(VLOOKUP(Table1[RespondentID],'All Data'!$A$3:$CW$999,99,FALSE),"unknown")</f>
        <v>Yes</v>
      </c>
    </row>
    <row r="278" spans="1:44" ht="16">
      <c r="A278" s="5">
        <v>18016880299</v>
      </c>
      <c r="B278" s="5"/>
      <c r="C278" s="5" t="s">
        <v>30</v>
      </c>
      <c r="D278" s="5"/>
      <c r="E278" s="5"/>
      <c r="F278" s="5"/>
      <c r="G278" s="5"/>
      <c r="H278" s="5"/>
      <c r="I278" s="5"/>
      <c r="J278" s="5"/>
      <c r="K278" s="5"/>
      <c r="L278" s="8"/>
      <c r="M278" s="8">
        <f t="shared" si="60"/>
        <v>1</v>
      </c>
      <c r="N278" s="8">
        <f t="shared" si="61"/>
        <v>3</v>
      </c>
      <c r="O278" s="8"/>
      <c r="P278" s="8">
        <f t="shared" si="62"/>
        <v>0</v>
      </c>
      <c r="Q278" s="8">
        <f t="shared" si="63"/>
        <v>1</v>
      </c>
      <c r="R278" s="8">
        <f t="shared" si="64"/>
        <v>0</v>
      </c>
      <c r="S278" s="8">
        <f t="shared" si="65"/>
        <v>0</v>
      </c>
      <c r="T278" s="8">
        <f t="shared" si="66"/>
        <v>0</v>
      </c>
      <c r="U278" s="8">
        <f t="shared" si="67"/>
        <v>0</v>
      </c>
      <c r="V278" s="153">
        <f t="shared" si="68"/>
        <v>0</v>
      </c>
      <c r="W278" s="8">
        <f t="shared" si="69"/>
        <v>0</v>
      </c>
      <c r="X278" s="8">
        <f t="shared" si="70"/>
        <v>0</v>
      </c>
      <c r="Y278" s="8">
        <f t="shared" si="71"/>
        <v>0</v>
      </c>
      <c r="Z278" s="8"/>
      <c r="AA278" s="8"/>
      <c r="AB278" s="8">
        <f t="shared" si="74"/>
        <v>1</v>
      </c>
      <c r="AC278" s="8">
        <f t="shared" si="72"/>
        <v>1</v>
      </c>
      <c r="AD278" s="8" t="str">
        <f t="shared" si="73"/>
        <v>Correct</v>
      </c>
      <c r="AE278" s="8"/>
      <c r="AF278" s="120" t="str">
        <f>IFERROR(VLOOKUP(Table1[RespondentID],'All Data'!$A$3:$CO$999,87,FALSE),"unknown")</f>
        <v>Man</v>
      </c>
      <c r="AG278" s="120">
        <f>IFERROR(VLOOKUP(Table1[RespondentID],'All Data'!$A$3:$CO$999,88,FALSE),"unknown")</f>
        <v>16</v>
      </c>
      <c r="AH278" s="120" t="str">
        <f>IFERROR(VLOOKUP(Table1[RespondentID],'All Data'!$A$3:$CO$999,89,FALSE),"unknown")</f>
        <v>Suffolk</v>
      </c>
      <c r="AI278" s="120" t="str">
        <f>IFERROR(VLOOKUP(Table1[RespondentID],'All Data'!$A$3:$CO$999,90,FALSE),"unknown")</f>
        <v>Nesconset, 11767</v>
      </c>
      <c r="AJ278" s="120" t="str">
        <f>IFERROR(VLOOKUP(Table1[RespondentID],'All Data'!$A$3:$CO$999,91,FALSE),"unknown")</f>
        <v>White</v>
      </c>
      <c r="AK278" s="120" t="str">
        <f>IFERROR(VLOOKUP(Table1[RespondentID],'All Data'!$A$3:$CO$999,92,FALSE),"unknown")</f>
        <v>Hispanic or Latino</v>
      </c>
      <c r="AL278" s="120" t="str">
        <f>IFERROR(VLOOKUP(Table1[RespondentID],'All Data'!$A$3:$CO$999,93,FALSE),"unknown")</f>
        <v>English</v>
      </c>
      <c r="AM278" s="120" t="str">
        <f>IFERROR(VLOOKUP(Table1[RespondentID],'All Data'!$A$3:$CW$999,94,FALSE),"unknown")</f>
        <v>Over $125,000</v>
      </c>
      <c r="AN278" s="120" t="str">
        <f>IFERROR(VLOOKUP(Table1[RespondentID],'All Data'!$A$3:$CW$999,95,FALSE),"unknown")</f>
        <v>High school graduate</v>
      </c>
      <c r="AO278" s="120" t="str">
        <f>IFERROR(VLOOKUP(Table1[RespondentID],'All Data'!$A$3:$CW$999,96,FALSE),"unknown")</f>
        <v>Student</v>
      </c>
      <c r="AP278" s="120" t="str">
        <f>IFERROR(VLOOKUP(Table1[RespondentID],'All Data'!$A$3:$CW$999,97,FALSE),"unknown")</f>
        <v>Yes</v>
      </c>
      <c r="AQ278" s="120" t="str">
        <f>IFERROR(VLOOKUP(Table1[RespondentID],'All Data'!$A$3:$CW$999,98,FALSE),"unknown")</f>
        <v>Private/Commercial</v>
      </c>
      <c r="AR278" s="120" t="str">
        <f>IFERROR(VLOOKUP(Table1[RespondentID],'All Data'!$A$3:$CW$999,99,FALSE),"unknown")</f>
        <v>Yes</v>
      </c>
    </row>
    <row r="279" spans="1:44" ht="16">
      <c r="A279" s="5">
        <v>18016880225</v>
      </c>
      <c r="B279" s="5"/>
      <c r="C279" s="5" t="s">
        <v>30</v>
      </c>
      <c r="D279" s="5"/>
      <c r="E279" s="5"/>
      <c r="F279" s="5"/>
      <c r="G279" s="5"/>
      <c r="H279" s="5"/>
      <c r="I279" s="5"/>
      <c r="J279" s="5"/>
      <c r="K279" s="5"/>
      <c r="L279" s="9"/>
      <c r="M279" s="9">
        <f t="shared" si="60"/>
        <v>1</v>
      </c>
      <c r="N279" s="9">
        <f t="shared" si="61"/>
        <v>3</v>
      </c>
      <c r="O279" s="9"/>
      <c r="P279" s="9">
        <f t="shared" si="62"/>
        <v>0</v>
      </c>
      <c r="Q279" s="9">
        <f t="shared" si="63"/>
        <v>1</v>
      </c>
      <c r="R279" s="9">
        <f t="shared" si="64"/>
        <v>0</v>
      </c>
      <c r="S279" s="9">
        <f t="shared" si="65"/>
        <v>0</v>
      </c>
      <c r="T279" s="9">
        <f t="shared" si="66"/>
        <v>0</v>
      </c>
      <c r="U279" s="9">
        <f t="shared" si="67"/>
        <v>0</v>
      </c>
      <c r="V279" s="153">
        <f t="shared" si="68"/>
        <v>0</v>
      </c>
      <c r="W279" s="9">
        <f t="shared" si="69"/>
        <v>0</v>
      </c>
      <c r="X279" s="9">
        <f t="shared" si="70"/>
        <v>0</v>
      </c>
      <c r="Y279" s="9">
        <f t="shared" si="71"/>
        <v>0</v>
      </c>
      <c r="Z279" s="9"/>
      <c r="AA279" s="9"/>
      <c r="AB279" s="9">
        <f t="shared" si="74"/>
        <v>1</v>
      </c>
      <c r="AC279" s="9">
        <f t="shared" si="72"/>
        <v>1</v>
      </c>
      <c r="AD279" s="9" t="str">
        <f t="shared" si="73"/>
        <v>Correct</v>
      </c>
      <c r="AE279" s="9"/>
      <c r="AF279" s="120" t="str">
        <f>IFERROR(VLOOKUP(Table1[RespondentID],'All Data'!$A$3:$CO$999,87,FALSE),"unknown")</f>
        <v>Man</v>
      </c>
      <c r="AG279" s="120">
        <f>IFERROR(VLOOKUP(Table1[RespondentID],'All Data'!$A$3:$CO$999,88,FALSE),"unknown")</f>
        <v>16</v>
      </c>
      <c r="AH279" s="120" t="str">
        <f>IFERROR(VLOOKUP(Table1[RespondentID],'All Data'!$A$3:$CO$999,89,FALSE),"unknown")</f>
        <v>Suffolk</v>
      </c>
      <c r="AI279" s="120" t="str">
        <f>IFERROR(VLOOKUP(Table1[RespondentID],'All Data'!$A$3:$CO$999,90,FALSE),"unknown")</f>
        <v>Nesconset, 11767</v>
      </c>
      <c r="AJ279" s="120" t="str">
        <f>IFERROR(VLOOKUP(Table1[RespondentID],'All Data'!$A$3:$CO$999,91,FALSE),"unknown")</f>
        <v>White</v>
      </c>
      <c r="AK279" s="120" t="str">
        <f>IFERROR(VLOOKUP(Table1[RespondentID],'All Data'!$A$3:$CO$999,92,FALSE),"unknown")</f>
        <v>Hispanic or Latino</v>
      </c>
      <c r="AL279" s="120" t="str">
        <f>IFERROR(VLOOKUP(Table1[RespondentID],'All Data'!$A$3:$CO$999,93,FALSE),"unknown")</f>
        <v>English</v>
      </c>
      <c r="AM279" s="120" t="str">
        <f>IFERROR(VLOOKUP(Table1[RespondentID],'All Data'!$A$3:$CW$999,94,FALSE),"unknown")</f>
        <v>Over $125,000</v>
      </c>
      <c r="AN279" s="120" t="str">
        <f>IFERROR(VLOOKUP(Table1[RespondentID],'All Data'!$A$3:$CW$999,95,FALSE),"unknown")</f>
        <v>Doctorate</v>
      </c>
      <c r="AO279" s="120" t="str">
        <f>IFERROR(VLOOKUP(Table1[RespondentID],'All Data'!$A$3:$CW$999,96,FALSE),"unknown")</f>
        <v>Student</v>
      </c>
      <c r="AP279" s="120" t="str">
        <f>IFERROR(VLOOKUP(Table1[RespondentID],'All Data'!$A$3:$CW$999,97,FALSE),"unknown")</f>
        <v>Yes</v>
      </c>
      <c r="AQ279" s="120" t="str">
        <f>IFERROR(VLOOKUP(Table1[RespondentID],'All Data'!$A$3:$CW$999,98,FALSE),"unknown")</f>
        <v>Private/Commercial</v>
      </c>
      <c r="AR279" s="120" t="str">
        <f>IFERROR(VLOOKUP(Table1[RespondentID],'All Data'!$A$3:$CW$999,99,FALSE),"unknown")</f>
        <v>Yes</v>
      </c>
    </row>
    <row r="280" spans="1:44" ht="16">
      <c r="A280" s="5">
        <v>18016880137</v>
      </c>
      <c r="B280" s="5"/>
      <c r="C280" s="5" t="s">
        <v>30</v>
      </c>
      <c r="D280" s="5"/>
      <c r="E280" s="5"/>
      <c r="F280" s="5"/>
      <c r="G280" s="5"/>
      <c r="H280" s="5"/>
      <c r="I280" s="5"/>
      <c r="J280" s="5"/>
      <c r="K280" s="5"/>
      <c r="L280" s="8"/>
      <c r="M280" s="8">
        <f t="shared" si="60"/>
        <v>1</v>
      </c>
      <c r="N280" s="8">
        <f t="shared" si="61"/>
        <v>3</v>
      </c>
      <c r="O280" s="8"/>
      <c r="P280" s="8">
        <f t="shared" si="62"/>
        <v>0</v>
      </c>
      <c r="Q280" s="8">
        <f t="shared" si="63"/>
        <v>1</v>
      </c>
      <c r="R280" s="8">
        <f t="shared" si="64"/>
        <v>0</v>
      </c>
      <c r="S280" s="8">
        <f t="shared" si="65"/>
        <v>0</v>
      </c>
      <c r="T280" s="8">
        <f t="shared" si="66"/>
        <v>0</v>
      </c>
      <c r="U280" s="8">
        <f t="shared" si="67"/>
        <v>0</v>
      </c>
      <c r="V280" s="153">
        <f t="shared" si="68"/>
        <v>0</v>
      </c>
      <c r="W280" s="8">
        <f t="shared" si="69"/>
        <v>0</v>
      </c>
      <c r="X280" s="8">
        <f t="shared" si="70"/>
        <v>0</v>
      </c>
      <c r="Y280" s="8">
        <f t="shared" si="71"/>
        <v>0</v>
      </c>
      <c r="Z280" s="8"/>
      <c r="AA280" s="8"/>
      <c r="AB280" s="8">
        <f t="shared" si="74"/>
        <v>1</v>
      </c>
      <c r="AC280" s="8">
        <f t="shared" si="72"/>
        <v>1</v>
      </c>
      <c r="AD280" s="8" t="str">
        <f t="shared" si="73"/>
        <v>Correct</v>
      </c>
      <c r="AE280" s="8"/>
      <c r="AF280" s="120" t="str">
        <f>IFERROR(VLOOKUP(Table1[RespondentID],'All Data'!$A$3:$CO$999,87,FALSE),"unknown")</f>
        <v>Man</v>
      </c>
      <c r="AG280" s="120">
        <f>IFERROR(VLOOKUP(Table1[RespondentID],'All Data'!$A$3:$CO$999,88,FALSE),"unknown")</f>
        <v>16</v>
      </c>
      <c r="AH280" s="120" t="str">
        <f>IFERROR(VLOOKUP(Table1[RespondentID],'All Data'!$A$3:$CO$999,89,FALSE),"unknown")</f>
        <v>Suffolk</v>
      </c>
      <c r="AI280" s="120" t="str">
        <f>IFERROR(VLOOKUP(Table1[RespondentID],'All Data'!$A$3:$CO$999,90,FALSE),"unknown")</f>
        <v>Nesconset, 11767</v>
      </c>
      <c r="AJ280" s="120" t="str">
        <f>IFERROR(VLOOKUP(Table1[RespondentID],'All Data'!$A$3:$CO$999,91,FALSE),"unknown")</f>
        <v>White</v>
      </c>
      <c r="AK280" s="120" t="str">
        <f>IFERROR(VLOOKUP(Table1[RespondentID],'All Data'!$A$3:$CO$999,92,FALSE),"unknown")</f>
        <v>Hispanic or Latino</v>
      </c>
      <c r="AL280" s="120" t="str">
        <f>IFERROR(VLOOKUP(Table1[RespondentID],'All Data'!$A$3:$CO$999,93,FALSE),"unknown")</f>
        <v>English</v>
      </c>
      <c r="AM280" s="120" t="str">
        <f>IFERROR(VLOOKUP(Table1[RespondentID],'All Data'!$A$3:$CW$999,94,FALSE),"unknown")</f>
        <v>Over $125,000</v>
      </c>
      <c r="AN280" s="120" t="str">
        <f>IFERROR(VLOOKUP(Table1[RespondentID],'All Data'!$A$3:$CW$999,95,FALSE),"unknown")</f>
        <v>Doctorate</v>
      </c>
      <c r="AO280" s="120" t="str">
        <f>IFERROR(VLOOKUP(Table1[RespondentID],'All Data'!$A$3:$CW$999,96,FALSE),"unknown")</f>
        <v>Student</v>
      </c>
      <c r="AP280" s="120" t="str">
        <f>IFERROR(VLOOKUP(Table1[RespondentID],'All Data'!$A$3:$CW$999,97,FALSE),"unknown")</f>
        <v>Yes</v>
      </c>
      <c r="AQ280" s="120" t="str">
        <f>IFERROR(VLOOKUP(Table1[RespondentID],'All Data'!$A$3:$CW$999,98,FALSE),"unknown")</f>
        <v>Private/Commercial</v>
      </c>
      <c r="AR280" s="120" t="str">
        <f>IFERROR(VLOOKUP(Table1[RespondentID],'All Data'!$A$3:$CW$999,99,FALSE),"unknown")</f>
        <v>Yes</v>
      </c>
    </row>
    <row r="281" spans="1:44" ht="16">
      <c r="A281" s="5">
        <v>18016878205</v>
      </c>
      <c r="B281" s="5"/>
      <c r="C281" s="5"/>
      <c r="D281" s="5"/>
      <c r="E281" s="5"/>
      <c r="F281" s="5"/>
      <c r="G281" s="5"/>
      <c r="H281" s="5"/>
      <c r="I281" s="5"/>
      <c r="J281" s="5"/>
      <c r="K281" s="5"/>
      <c r="L281" s="9"/>
      <c r="M281" s="9">
        <f t="shared" si="60"/>
        <v>0</v>
      </c>
      <c r="N281" s="9" t="e">
        <f t="shared" si="61"/>
        <v>#DIV/0!</v>
      </c>
      <c r="O281" s="9"/>
      <c r="P281" s="9">
        <f t="shared" si="62"/>
        <v>0</v>
      </c>
      <c r="Q281" s="9">
        <f t="shared" si="63"/>
        <v>0</v>
      </c>
      <c r="R281" s="9">
        <f t="shared" si="64"/>
        <v>0</v>
      </c>
      <c r="S281" s="9">
        <f t="shared" si="65"/>
        <v>0</v>
      </c>
      <c r="T281" s="9">
        <f t="shared" si="66"/>
        <v>0</v>
      </c>
      <c r="U281" s="9">
        <f t="shared" si="67"/>
        <v>0</v>
      </c>
      <c r="V281" s="153">
        <f t="shared" si="68"/>
        <v>0</v>
      </c>
      <c r="W281" s="9">
        <f t="shared" si="69"/>
        <v>0</v>
      </c>
      <c r="X281" s="9">
        <f t="shared" si="70"/>
        <v>0</v>
      </c>
      <c r="Y281" s="9">
        <f t="shared" si="71"/>
        <v>0</v>
      </c>
      <c r="Z281" s="9"/>
      <c r="AA281" s="9"/>
      <c r="AB281" s="9">
        <f t="shared" si="74"/>
        <v>0</v>
      </c>
      <c r="AC281" s="9">
        <f t="shared" si="72"/>
        <v>0</v>
      </c>
      <c r="AD281" s="9" t="str">
        <f t="shared" si="73"/>
        <v>Correct</v>
      </c>
      <c r="AE281" s="9"/>
      <c r="AF281" s="120" t="str">
        <f>IFERROR(VLOOKUP(Table1[RespondentID],'All Data'!$A$3:$CO$999,87,FALSE),"unknown")</f>
        <v>Man</v>
      </c>
      <c r="AG281" s="120">
        <f>IFERROR(VLOOKUP(Table1[RespondentID],'All Data'!$A$3:$CO$999,88,FALSE),"unknown")</f>
        <v>54</v>
      </c>
      <c r="AH281" s="120" t="str">
        <f>IFERROR(VLOOKUP(Table1[RespondentID],'All Data'!$A$3:$CO$999,89,FALSE),"unknown")</f>
        <v>Suffolk</v>
      </c>
      <c r="AI281" s="120" t="str">
        <f>IFERROR(VLOOKUP(Table1[RespondentID],'All Data'!$A$3:$CO$999,90,FALSE),"unknown")</f>
        <v>Commack, 11725</v>
      </c>
      <c r="AJ281" s="120" t="str">
        <f>IFERROR(VLOOKUP(Table1[RespondentID],'All Data'!$A$3:$CO$999,91,FALSE),"unknown")</f>
        <v>White</v>
      </c>
      <c r="AK281" s="120" t="str">
        <f>IFERROR(VLOOKUP(Table1[RespondentID],'All Data'!$A$3:$CO$999,92,FALSE),"unknown")</f>
        <v>Hispanic or Latino</v>
      </c>
      <c r="AL281" s="120" t="str">
        <f>IFERROR(VLOOKUP(Table1[RespondentID],'All Data'!$A$3:$CO$999,93,FALSE),"unknown")</f>
        <v>English</v>
      </c>
      <c r="AM281" s="120" t="str">
        <f>IFERROR(VLOOKUP(Table1[RespondentID],'All Data'!$A$3:$CW$999,94,FALSE),"unknown")</f>
        <v>Over $125,000</v>
      </c>
      <c r="AN281" s="120" t="str">
        <f>IFERROR(VLOOKUP(Table1[RespondentID],'All Data'!$A$3:$CW$999,95,FALSE),"unknown")</f>
        <v>College graduate</v>
      </c>
      <c r="AO281" s="120" t="str">
        <f>IFERROR(VLOOKUP(Table1[RespondentID],'All Data'!$A$3:$CW$999,96,FALSE),"unknown")</f>
        <v>Retired</v>
      </c>
      <c r="AP281" s="120" t="str">
        <f>IFERROR(VLOOKUP(Table1[RespondentID],'All Data'!$A$3:$CW$999,97,FALSE),"unknown")</f>
        <v>Yes</v>
      </c>
      <c r="AQ281" s="120" t="str">
        <f>IFERROR(VLOOKUP(Table1[RespondentID],'All Data'!$A$3:$CW$999,98,FALSE),"unknown")</f>
        <v>Medicaid</v>
      </c>
      <c r="AR281" s="120" t="str">
        <f>IFERROR(VLOOKUP(Table1[RespondentID],'All Data'!$A$3:$CW$999,99,FALSE),"unknown")</f>
        <v>Yes</v>
      </c>
    </row>
    <row r="282" spans="1:44" ht="16">
      <c r="A282" s="5">
        <v>18016878064</v>
      </c>
      <c r="B282" s="5"/>
      <c r="C282" s="5"/>
      <c r="D282" s="5"/>
      <c r="E282" s="5"/>
      <c r="F282" s="5"/>
      <c r="G282" s="5"/>
      <c r="H282" s="5"/>
      <c r="I282" s="5"/>
      <c r="J282" s="5"/>
      <c r="K282" s="5"/>
      <c r="L282" s="8"/>
      <c r="M282" s="8">
        <f t="shared" si="60"/>
        <v>0</v>
      </c>
      <c r="N282" s="8" t="e">
        <f t="shared" si="61"/>
        <v>#DIV/0!</v>
      </c>
      <c r="O282" s="8"/>
      <c r="P282" s="8">
        <f t="shared" si="62"/>
        <v>0</v>
      </c>
      <c r="Q282" s="8">
        <f t="shared" si="63"/>
        <v>0</v>
      </c>
      <c r="R282" s="8">
        <f t="shared" si="64"/>
        <v>0</v>
      </c>
      <c r="S282" s="8">
        <f t="shared" si="65"/>
        <v>0</v>
      </c>
      <c r="T282" s="8">
        <f t="shared" si="66"/>
        <v>0</v>
      </c>
      <c r="U282" s="8">
        <f t="shared" si="67"/>
        <v>0</v>
      </c>
      <c r="V282" s="153">
        <f t="shared" si="68"/>
        <v>0</v>
      </c>
      <c r="W282" s="8">
        <f t="shared" si="69"/>
        <v>0</v>
      </c>
      <c r="X282" s="8">
        <f t="shared" si="70"/>
        <v>0</v>
      </c>
      <c r="Y282" s="8">
        <f t="shared" si="71"/>
        <v>0</v>
      </c>
      <c r="Z282" s="8"/>
      <c r="AA282" s="8"/>
      <c r="AB282" s="8">
        <f t="shared" si="74"/>
        <v>0</v>
      </c>
      <c r="AC282" s="8">
        <f t="shared" si="72"/>
        <v>0</v>
      </c>
      <c r="AD282" s="8" t="str">
        <f t="shared" si="73"/>
        <v>Correct</v>
      </c>
      <c r="AE282" s="8"/>
      <c r="AF282" s="120" t="str">
        <f>IFERROR(VLOOKUP(Table1[RespondentID],'All Data'!$A$3:$CO$999,87,FALSE),"unknown")</f>
        <v>Woman</v>
      </c>
      <c r="AG282" s="120">
        <f>IFERROR(VLOOKUP(Table1[RespondentID],'All Data'!$A$3:$CO$999,88,FALSE),"unknown")</f>
        <v>55</v>
      </c>
      <c r="AH282" s="120" t="str">
        <f>IFERROR(VLOOKUP(Table1[RespondentID],'All Data'!$A$3:$CO$999,89,FALSE),"unknown")</f>
        <v>Suffolk</v>
      </c>
      <c r="AI282" s="120" t="str">
        <f>IFERROR(VLOOKUP(Table1[RespondentID],'All Data'!$A$3:$CO$999,90,FALSE),"unknown")</f>
        <v>Commack, 11725</v>
      </c>
      <c r="AJ282" s="120" t="str">
        <f>IFERROR(VLOOKUP(Table1[RespondentID],'All Data'!$A$3:$CO$999,91,FALSE),"unknown")</f>
        <v>White</v>
      </c>
      <c r="AK282" s="120" t="str">
        <f>IFERROR(VLOOKUP(Table1[RespondentID],'All Data'!$A$3:$CO$999,92,FALSE),"unknown")</f>
        <v>Hispanic or Latino</v>
      </c>
      <c r="AL282" s="120" t="str">
        <f>IFERROR(VLOOKUP(Table1[RespondentID],'All Data'!$A$3:$CO$999,93,FALSE),"unknown")</f>
        <v>English, Farsi</v>
      </c>
      <c r="AM282" s="120" t="str">
        <f>IFERROR(VLOOKUP(Table1[RespondentID],'All Data'!$A$3:$CW$999,94,FALSE),"unknown")</f>
        <v>Over $125,000</v>
      </c>
      <c r="AN282" s="120" t="str">
        <f>IFERROR(VLOOKUP(Table1[RespondentID],'All Data'!$A$3:$CW$999,95,FALSE),"unknown")</f>
        <v>College graduate</v>
      </c>
      <c r="AO282" s="120" t="str">
        <f>IFERROR(VLOOKUP(Table1[RespondentID],'All Data'!$A$3:$CW$999,96,FALSE),"unknown")</f>
        <v>Employed for wages</v>
      </c>
      <c r="AP282" s="120" t="str">
        <f>IFERROR(VLOOKUP(Table1[RespondentID],'All Data'!$A$3:$CW$999,97,FALSE),"unknown")</f>
        <v>Yes</v>
      </c>
      <c r="AQ282" s="120" t="str">
        <f>IFERROR(VLOOKUP(Table1[RespondentID],'All Data'!$A$3:$CW$999,98,FALSE),"unknown")</f>
        <v>Medicare</v>
      </c>
      <c r="AR282" s="120" t="str">
        <f>IFERROR(VLOOKUP(Table1[RespondentID],'All Data'!$A$3:$CW$999,99,FALSE),"unknown")</f>
        <v>Yes</v>
      </c>
    </row>
    <row r="283" spans="1:44" ht="16">
      <c r="A283" s="5">
        <v>18016877876</v>
      </c>
      <c r="B283" s="5"/>
      <c r="C283" s="5" t="s">
        <v>30</v>
      </c>
      <c r="D283" s="5"/>
      <c r="E283" s="5"/>
      <c r="F283" s="5"/>
      <c r="G283" s="5" t="s">
        <v>34</v>
      </c>
      <c r="H283" s="5"/>
      <c r="I283" s="5"/>
      <c r="J283" s="5" t="s">
        <v>37</v>
      </c>
      <c r="K283" s="5"/>
      <c r="L283" s="9"/>
      <c r="M283" s="9">
        <f t="shared" si="60"/>
        <v>3</v>
      </c>
      <c r="N283" s="9">
        <f t="shared" si="61"/>
        <v>1</v>
      </c>
      <c r="O283" s="9"/>
      <c r="P283" s="9">
        <f t="shared" si="62"/>
        <v>0</v>
      </c>
      <c r="Q283" s="9">
        <f t="shared" si="63"/>
        <v>1</v>
      </c>
      <c r="R283" s="9">
        <f t="shared" si="64"/>
        <v>0</v>
      </c>
      <c r="S283" s="9">
        <f t="shared" si="65"/>
        <v>0</v>
      </c>
      <c r="T283" s="9">
        <f t="shared" si="66"/>
        <v>0</v>
      </c>
      <c r="U283" s="9">
        <f t="shared" si="67"/>
        <v>1</v>
      </c>
      <c r="V283" s="153">
        <f t="shared" si="68"/>
        <v>0</v>
      </c>
      <c r="W283" s="9">
        <f t="shared" si="69"/>
        <v>0</v>
      </c>
      <c r="X283" s="9">
        <f t="shared" si="70"/>
        <v>1</v>
      </c>
      <c r="Y283" s="9">
        <f t="shared" si="71"/>
        <v>0</v>
      </c>
      <c r="Z283" s="9"/>
      <c r="AA283" s="9"/>
      <c r="AB283" s="9">
        <f t="shared" si="74"/>
        <v>3</v>
      </c>
      <c r="AC283" s="9">
        <f t="shared" si="72"/>
        <v>3</v>
      </c>
      <c r="AD283" s="9" t="str">
        <f t="shared" si="73"/>
        <v>Correct</v>
      </c>
      <c r="AE283" s="9"/>
      <c r="AF283" s="120" t="str">
        <f>IFERROR(VLOOKUP(Table1[RespondentID],'All Data'!$A$3:$CO$999,87,FALSE),"unknown")</f>
        <v>Woman</v>
      </c>
      <c r="AG283" s="120">
        <f>IFERROR(VLOOKUP(Table1[RespondentID],'All Data'!$A$3:$CO$999,88,FALSE),"unknown")</f>
        <v>50</v>
      </c>
      <c r="AH283" s="120" t="str">
        <f>IFERROR(VLOOKUP(Table1[RespondentID],'All Data'!$A$3:$CO$999,89,FALSE),"unknown")</f>
        <v>Suffolk</v>
      </c>
      <c r="AI283" s="120" t="str">
        <f>IFERROR(VLOOKUP(Table1[RespondentID],'All Data'!$A$3:$CO$999,90,FALSE),"unknown")</f>
        <v>Commack, 11725</v>
      </c>
      <c r="AJ283" s="120" t="str">
        <f>IFERROR(VLOOKUP(Table1[RespondentID],'All Data'!$A$3:$CO$999,91,FALSE),"unknown")</f>
        <v>White</v>
      </c>
      <c r="AK283" s="120" t="str">
        <f>IFERROR(VLOOKUP(Table1[RespondentID],'All Data'!$A$3:$CO$999,92,FALSE),"unknown")</f>
        <v>Hispanic or Latino</v>
      </c>
      <c r="AL283" s="120" t="str">
        <f>IFERROR(VLOOKUP(Table1[RespondentID],'All Data'!$A$3:$CO$999,93,FALSE),"unknown")</f>
        <v>English</v>
      </c>
      <c r="AM283" s="120" t="str">
        <f>IFERROR(VLOOKUP(Table1[RespondentID],'All Data'!$A$3:$CW$999,94,FALSE),"unknown")</f>
        <v>Over $125,000</v>
      </c>
      <c r="AN283" s="120" t="str">
        <f>IFERROR(VLOOKUP(Table1[RespondentID],'All Data'!$A$3:$CW$999,95,FALSE),"unknown")</f>
        <v>College graduate</v>
      </c>
      <c r="AO283" s="120" t="str">
        <f>IFERROR(VLOOKUP(Table1[RespondentID],'All Data'!$A$3:$CW$999,96,FALSE),"unknown")</f>
        <v>Employed for wages</v>
      </c>
      <c r="AP283" s="120" t="str">
        <f>IFERROR(VLOOKUP(Table1[RespondentID],'All Data'!$A$3:$CW$999,97,FALSE),"unknown")</f>
        <v>Yes</v>
      </c>
      <c r="AQ283" s="120" t="str">
        <f>IFERROR(VLOOKUP(Table1[RespondentID],'All Data'!$A$3:$CW$999,98,FALSE),"unknown")</f>
        <v>Medicare</v>
      </c>
      <c r="AR283" s="120" t="str">
        <f>IFERROR(VLOOKUP(Table1[RespondentID],'All Data'!$A$3:$CW$999,99,FALSE),"unknown")</f>
        <v>Yes</v>
      </c>
    </row>
    <row r="284" spans="1:44" ht="16">
      <c r="A284" s="5">
        <v>18016806771</v>
      </c>
      <c r="B284" s="5"/>
      <c r="C284" s="5"/>
      <c r="D284" s="5"/>
      <c r="E284" s="5"/>
      <c r="F284" s="5"/>
      <c r="G284" s="5" t="s">
        <v>34</v>
      </c>
      <c r="H284" s="5"/>
      <c r="I284" s="5"/>
      <c r="J284" s="5"/>
      <c r="K284" s="5" t="s">
        <v>375</v>
      </c>
      <c r="L284" s="8"/>
      <c r="M284" s="8">
        <f t="shared" si="60"/>
        <v>2</v>
      </c>
      <c r="N284" s="8">
        <f t="shared" si="61"/>
        <v>1.5</v>
      </c>
      <c r="O284" s="8"/>
      <c r="P284" s="8">
        <f t="shared" si="62"/>
        <v>0</v>
      </c>
      <c r="Q284" s="8">
        <f t="shared" si="63"/>
        <v>0</v>
      </c>
      <c r="R284" s="8">
        <f t="shared" si="64"/>
        <v>0</v>
      </c>
      <c r="S284" s="8">
        <f t="shared" si="65"/>
        <v>0</v>
      </c>
      <c r="T284" s="8">
        <f t="shared" si="66"/>
        <v>0</v>
      </c>
      <c r="U284" s="8">
        <f t="shared" si="67"/>
        <v>1</v>
      </c>
      <c r="V284" s="153">
        <f t="shared" si="68"/>
        <v>0</v>
      </c>
      <c r="W284" s="8">
        <f t="shared" si="69"/>
        <v>0</v>
      </c>
      <c r="X284" s="8">
        <f t="shared" si="70"/>
        <v>0</v>
      </c>
      <c r="Y284" s="8">
        <f t="shared" si="71"/>
        <v>1</v>
      </c>
      <c r="Z284" s="8"/>
      <c r="AA284" s="8"/>
      <c r="AB284" s="8">
        <f t="shared" si="74"/>
        <v>2</v>
      </c>
      <c r="AC284" s="8">
        <f t="shared" si="72"/>
        <v>2</v>
      </c>
      <c r="AD284" s="8" t="str">
        <f t="shared" si="73"/>
        <v>Correct</v>
      </c>
      <c r="AE284" s="8"/>
      <c r="AF284" s="120" t="str">
        <f>IFERROR(VLOOKUP(Table1[RespondentID],'All Data'!$A$3:$CO$999,87,FALSE),"unknown")</f>
        <v>Man</v>
      </c>
      <c r="AG284" s="120">
        <f>IFERROR(VLOOKUP(Table1[RespondentID],'All Data'!$A$3:$CO$999,88,FALSE),"unknown")</f>
        <v>18</v>
      </c>
      <c r="AH284" s="120" t="str">
        <f>IFERROR(VLOOKUP(Table1[RespondentID],'All Data'!$A$3:$CO$999,89,FALSE),"unknown")</f>
        <v>Suffolk</v>
      </c>
      <c r="AI284" s="120" t="str">
        <f>IFERROR(VLOOKUP(Table1[RespondentID],'All Data'!$A$3:$CO$999,90,FALSE),"unknown")</f>
        <v>Commack, 11725</v>
      </c>
      <c r="AJ284" s="120" t="str">
        <f>IFERROR(VLOOKUP(Table1[RespondentID],'All Data'!$A$3:$CO$999,91,FALSE),"unknown")</f>
        <v>White</v>
      </c>
      <c r="AK284" s="120" t="str">
        <f>IFERROR(VLOOKUP(Table1[RespondentID],'All Data'!$A$3:$CO$999,92,FALSE),"unknown")</f>
        <v>Hispanic or Latino</v>
      </c>
      <c r="AL284" s="120" t="str">
        <f>IFERROR(VLOOKUP(Table1[RespondentID],'All Data'!$A$3:$CO$999,93,FALSE),"unknown")</f>
        <v>English</v>
      </c>
      <c r="AM284" s="120" t="str">
        <f>IFERROR(VLOOKUP(Table1[RespondentID],'All Data'!$A$3:$CW$999,94,FALSE),"unknown")</f>
        <v>$75,000 to $125,000</v>
      </c>
      <c r="AN284" s="120" t="str">
        <f>IFERROR(VLOOKUP(Table1[RespondentID],'All Data'!$A$3:$CW$999,95,FALSE),"unknown")</f>
        <v>High school graduate</v>
      </c>
      <c r="AO284" s="120" t="str">
        <f>IFERROR(VLOOKUP(Table1[RespondentID],'All Data'!$A$3:$CW$999,96,FALSE),"unknown")</f>
        <v>Student</v>
      </c>
      <c r="AP284" s="120" t="str">
        <f>IFERROR(VLOOKUP(Table1[RespondentID],'All Data'!$A$3:$CW$999,97,FALSE),"unknown")</f>
        <v>No</v>
      </c>
      <c r="AQ284" s="120" t="str">
        <f>IFERROR(VLOOKUP(Table1[RespondentID],'All Data'!$A$3:$CW$999,98,FALSE),"unknown")</f>
        <v>No Insurance</v>
      </c>
      <c r="AR284" s="120" t="str">
        <f>IFERROR(VLOOKUP(Table1[RespondentID],'All Data'!$A$3:$CW$999,99,FALSE),"unknown")</f>
        <v>Yes</v>
      </c>
    </row>
    <row r="285" spans="1:44" ht="16">
      <c r="A285" s="5">
        <v>18016769736</v>
      </c>
      <c r="B285" s="5"/>
      <c r="C285" s="5" t="s">
        <v>30</v>
      </c>
      <c r="D285" s="5"/>
      <c r="E285" s="5"/>
      <c r="F285" s="5"/>
      <c r="G285" s="5"/>
      <c r="H285" s="5"/>
      <c r="I285" s="5"/>
      <c r="J285" s="5"/>
      <c r="K285" s="5" t="s">
        <v>375</v>
      </c>
      <c r="L285" s="9"/>
      <c r="M285" s="9">
        <f t="shared" si="60"/>
        <v>2</v>
      </c>
      <c r="N285" s="9">
        <f t="shared" si="61"/>
        <v>1.5</v>
      </c>
      <c r="O285" s="9"/>
      <c r="P285" s="9">
        <f t="shared" si="62"/>
        <v>0</v>
      </c>
      <c r="Q285" s="9">
        <f t="shared" si="63"/>
        <v>1</v>
      </c>
      <c r="R285" s="9">
        <f t="shared" si="64"/>
        <v>0</v>
      </c>
      <c r="S285" s="9">
        <f t="shared" si="65"/>
        <v>0</v>
      </c>
      <c r="T285" s="9">
        <f t="shared" si="66"/>
        <v>0</v>
      </c>
      <c r="U285" s="9">
        <f t="shared" si="67"/>
        <v>0</v>
      </c>
      <c r="V285" s="153">
        <f t="shared" si="68"/>
        <v>0</v>
      </c>
      <c r="W285" s="9">
        <f t="shared" si="69"/>
        <v>0</v>
      </c>
      <c r="X285" s="9">
        <f t="shared" si="70"/>
        <v>0</v>
      </c>
      <c r="Y285" s="9">
        <f t="shared" si="71"/>
        <v>1</v>
      </c>
      <c r="Z285" s="9"/>
      <c r="AA285" s="9"/>
      <c r="AB285" s="9">
        <f t="shared" si="74"/>
        <v>2</v>
      </c>
      <c r="AC285" s="9">
        <f t="shared" si="72"/>
        <v>2</v>
      </c>
      <c r="AD285" s="9" t="str">
        <f t="shared" si="73"/>
        <v>Correct</v>
      </c>
      <c r="AE285" s="9"/>
      <c r="AF285" s="120" t="str">
        <f>IFERROR(VLOOKUP(Table1[RespondentID],'All Data'!$A$3:$CO$999,87,FALSE),"unknown")</f>
        <v>Man</v>
      </c>
      <c r="AG285" s="120">
        <f>IFERROR(VLOOKUP(Table1[RespondentID],'All Data'!$A$3:$CO$999,88,FALSE),"unknown")</f>
        <v>17</v>
      </c>
      <c r="AH285" s="120" t="str">
        <f>IFERROR(VLOOKUP(Table1[RespondentID],'All Data'!$A$3:$CO$999,89,FALSE),"unknown")</f>
        <v>Suffolk</v>
      </c>
      <c r="AI285" s="120" t="str">
        <f>IFERROR(VLOOKUP(Table1[RespondentID],'All Data'!$A$3:$CO$999,90,FALSE),"unknown")</f>
        <v>Commack, 11725</v>
      </c>
      <c r="AJ285" s="120" t="str">
        <f>IFERROR(VLOOKUP(Table1[RespondentID],'All Data'!$A$3:$CO$999,91,FALSE),"unknown")</f>
        <v>White</v>
      </c>
      <c r="AK285" s="120" t="str">
        <f>IFERROR(VLOOKUP(Table1[RespondentID],'All Data'!$A$3:$CO$999,92,FALSE),"unknown")</f>
        <v>Hispanic or Latino</v>
      </c>
      <c r="AL285" s="120" t="str">
        <f>IFERROR(VLOOKUP(Table1[RespondentID],'All Data'!$A$3:$CO$999,93,FALSE),"unknown")</f>
        <v>English</v>
      </c>
      <c r="AM285" s="120" t="str">
        <f>IFERROR(VLOOKUP(Table1[RespondentID],'All Data'!$A$3:$CW$999,94,FALSE),"unknown")</f>
        <v>Over $125,000</v>
      </c>
      <c r="AN285" s="120" t="str">
        <f>IFERROR(VLOOKUP(Table1[RespondentID],'All Data'!$A$3:$CW$999,95,FALSE),"unknown")</f>
        <v>High school graduate</v>
      </c>
      <c r="AO285" s="120" t="str">
        <f>IFERROR(VLOOKUP(Table1[RespondentID],'All Data'!$A$3:$CW$999,96,FALSE),"unknown")</f>
        <v>Employed for wages</v>
      </c>
      <c r="AP285" s="120" t="str">
        <f>IFERROR(VLOOKUP(Table1[RespondentID],'All Data'!$A$3:$CW$999,97,FALSE),"unknown")</f>
        <v>Yes</v>
      </c>
      <c r="AQ285" s="120" t="str">
        <f>IFERROR(VLOOKUP(Table1[RespondentID],'All Data'!$A$3:$CW$999,98,FALSE),"unknown")</f>
        <v>Medicare</v>
      </c>
      <c r="AR285" s="120" t="str">
        <f>IFERROR(VLOOKUP(Table1[RespondentID],'All Data'!$A$3:$CW$999,99,FALSE),"unknown")</f>
        <v>Yes</v>
      </c>
    </row>
    <row r="286" spans="1:44" ht="16">
      <c r="A286" s="5">
        <v>18016765374</v>
      </c>
      <c r="B286" s="5"/>
      <c r="C286" s="5" t="s">
        <v>30</v>
      </c>
      <c r="D286" s="5"/>
      <c r="E286" s="5"/>
      <c r="F286" s="5"/>
      <c r="G286" s="5"/>
      <c r="H286" s="5"/>
      <c r="I286" s="5"/>
      <c r="J286" s="5"/>
      <c r="K286" s="5"/>
      <c r="L286" s="8"/>
      <c r="M286" s="8">
        <f t="shared" si="60"/>
        <v>1</v>
      </c>
      <c r="N286" s="8">
        <f t="shared" si="61"/>
        <v>3</v>
      </c>
      <c r="O286" s="8"/>
      <c r="P286" s="8">
        <f t="shared" si="62"/>
        <v>0</v>
      </c>
      <c r="Q286" s="8">
        <f t="shared" si="63"/>
        <v>1</v>
      </c>
      <c r="R286" s="8">
        <f t="shared" si="64"/>
        <v>0</v>
      </c>
      <c r="S286" s="8">
        <f t="shared" si="65"/>
        <v>0</v>
      </c>
      <c r="T286" s="8">
        <f t="shared" si="66"/>
        <v>0</v>
      </c>
      <c r="U286" s="8">
        <f t="shared" si="67"/>
        <v>0</v>
      </c>
      <c r="V286" s="153">
        <f t="shared" si="68"/>
        <v>0</v>
      </c>
      <c r="W286" s="8">
        <f t="shared" si="69"/>
        <v>0</v>
      </c>
      <c r="X286" s="8">
        <f t="shared" si="70"/>
        <v>0</v>
      </c>
      <c r="Y286" s="8">
        <f t="shared" si="71"/>
        <v>0</v>
      </c>
      <c r="Z286" s="8"/>
      <c r="AA286" s="8"/>
      <c r="AB286" s="8">
        <f t="shared" si="74"/>
        <v>1</v>
      </c>
      <c r="AC286" s="8">
        <f t="shared" si="72"/>
        <v>1</v>
      </c>
      <c r="AD286" s="8" t="str">
        <f t="shared" si="73"/>
        <v>Correct</v>
      </c>
      <c r="AE286" s="8"/>
      <c r="AF286" s="120" t="str">
        <f>IFERROR(VLOOKUP(Table1[RespondentID],'All Data'!$A$3:$CO$999,87,FALSE),"unknown")</f>
        <v>Man</v>
      </c>
      <c r="AG286" s="120">
        <f>IFERROR(VLOOKUP(Table1[RespondentID],'All Data'!$A$3:$CO$999,88,FALSE),"unknown")</f>
        <v>16</v>
      </c>
      <c r="AH286" s="120" t="str">
        <f>IFERROR(VLOOKUP(Table1[RespondentID],'All Data'!$A$3:$CO$999,89,FALSE),"unknown")</f>
        <v>Suffolk</v>
      </c>
      <c r="AI286" s="120" t="str">
        <f>IFERROR(VLOOKUP(Table1[RespondentID],'All Data'!$A$3:$CO$999,90,FALSE),"unknown")</f>
        <v>Nesconset, 11767</v>
      </c>
      <c r="AJ286" s="120" t="str">
        <f>IFERROR(VLOOKUP(Table1[RespondentID],'All Data'!$A$3:$CO$999,91,FALSE),"unknown")</f>
        <v>White</v>
      </c>
      <c r="AK286" s="120" t="str">
        <f>IFERROR(VLOOKUP(Table1[RespondentID],'All Data'!$A$3:$CO$999,92,FALSE),"unknown")</f>
        <v>Hispanic or Latino</v>
      </c>
      <c r="AL286" s="120" t="str">
        <f>IFERROR(VLOOKUP(Table1[RespondentID],'All Data'!$A$3:$CO$999,93,FALSE),"unknown")</f>
        <v>English</v>
      </c>
      <c r="AM286" s="120" t="str">
        <f>IFERROR(VLOOKUP(Table1[RespondentID],'All Data'!$A$3:$CW$999,94,FALSE),"unknown")</f>
        <v>Over $125,000</v>
      </c>
      <c r="AN286" s="120" t="str">
        <f>IFERROR(VLOOKUP(Table1[RespondentID],'All Data'!$A$3:$CW$999,95,FALSE),"unknown")</f>
        <v>Graduate school</v>
      </c>
      <c r="AO286" s="120" t="str">
        <f>IFERROR(VLOOKUP(Table1[RespondentID],'All Data'!$A$3:$CW$999,96,FALSE),"unknown")</f>
        <v>Student</v>
      </c>
      <c r="AP286" s="120" t="str">
        <f>IFERROR(VLOOKUP(Table1[RespondentID],'All Data'!$A$3:$CW$999,97,FALSE),"unknown")</f>
        <v>Yes</v>
      </c>
      <c r="AQ286" s="120" t="str">
        <f>IFERROR(VLOOKUP(Table1[RespondentID],'All Data'!$A$3:$CW$999,98,FALSE),"unknown")</f>
        <v>Private/Commercial</v>
      </c>
      <c r="AR286" s="120" t="str">
        <f>IFERROR(VLOOKUP(Table1[RespondentID],'All Data'!$A$3:$CW$999,99,FALSE),"unknown")</f>
        <v>Yes</v>
      </c>
    </row>
    <row r="287" spans="1:44" ht="16">
      <c r="A287" s="5">
        <v>18016764813</v>
      </c>
      <c r="B287" s="5"/>
      <c r="C287" s="5" t="s">
        <v>30</v>
      </c>
      <c r="D287" s="5"/>
      <c r="E287" s="5"/>
      <c r="F287" s="5"/>
      <c r="G287" s="5"/>
      <c r="H287" s="5"/>
      <c r="I287" s="5"/>
      <c r="J287" s="5"/>
      <c r="K287" s="5"/>
      <c r="L287" s="9"/>
      <c r="M287" s="9">
        <f t="shared" si="60"/>
        <v>1</v>
      </c>
      <c r="N287" s="9">
        <f t="shared" si="61"/>
        <v>3</v>
      </c>
      <c r="O287" s="9"/>
      <c r="P287" s="9">
        <f t="shared" si="62"/>
        <v>0</v>
      </c>
      <c r="Q287" s="9">
        <f t="shared" si="63"/>
        <v>1</v>
      </c>
      <c r="R287" s="9">
        <f t="shared" si="64"/>
        <v>0</v>
      </c>
      <c r="S287" s="9">
        <f t="shared" si="65"/>
        <v>0</v>
      </c>
      <c r="T287" s="9">
        <f t="shared" si="66"/>
        <v>0</v>
      </c>
      <c r="U287" s="9">
        <f t="shared" si="67"/>
        <v>0</v>
      </c>
      <c r="V287" s="153">
        <f t="shared" si="68"/>
        <v>0</v>
      </c>
      <c r="W287" s="9">
        <f t="shared" si="69"/>
        <v>0</v>
      </c>
      <c r="X287" s="9">
        <f t="shared" si="70"/>
        <v>0</v>
      </c>
      <c r="Y287" s="9">
        <f t="shared" si="71"/>
        <v>0</v>
      </c>
      <c r="Z287" s="9"/>
      <c r="AA287" s="9"/>
      <c r="AB287" s="9">
        <f t="shared" si="74"/>
        <v>1</v>
      </c>
      <c r="AC287" s="9">
        <f t="shared" si="72"/>
        <v>1</v>
      </c>
      <c r="AD287" s="9" t="str">
        <f t="shared" si="73"/>
        <v>Correct</v>
      </c>
      <c r="AE287" s="9"/>
      <c r="AF287" s="120" t="str">
        <f>IFERROR(VLOOKUP(Table1[RespondentID],'All Data'!$A$3:$CO$999,87,FALSE),"unknown")</f>
        <v>Man</v>
      </c>
      <c r="AG287" s="120">
        <f>IFERROR(VLOOKUP(Table1[RespondentID],'All Data'!$A$3:$CO$999,88,FALSE),"unknown")</f>
        <v>16</v>
      </c>
      <c r="AH287" s="120" t="str">
        <f>IFERROR(VLOOKUP(Table1[RespondentID],'All Data'!$A$3:$CO$999,89,FALSE),"unknown")</f>
        <v>Suffolk</v>
      </c>
      <c r="AI287" s="120" t="str">
        <f>IFERROR(VLOOKUP(Table1[RespondentID],'All Data'!$A$3:$CO$999,90,FALSE),"unknown")</f>
        <v>Nesconset, 11767</v>
      </c>
      <c r="AJ287" s="120" t="str">
        <f>IFERROR(VLOOKUP(Table1[RespondentID],'All Data'!$A$3:$CO$999,91,FALSE),"unknown")</f>
        <v>White</v>
      </c>
      <c r="AK287" s="120" t="str">
        <f>IFERROR(VLOOKUP(Table1[RespondentID],'All Data'!$A$3:$CO$999,92,FALSE),"unknown")</f>
        <v>Hispanic or Latino</v>
      </c>
      <c r="AL287" s="120" t="str">
        <f>IFERROR(VLOOKUP(Table1[RespondentID],'All Data'!$A$3:$CO$999,93,FALSE),"unknown")</f>
        <v>English</v>
      </c>
      <c r="AM287" s="120" t="str">
        <f>IFERROR(VLOOKUP(Table1[RespondentID],'All Data'!$A$3:$CW$999,94,FALSE),"unknown")</f>
        <v>Over $125,000</v>
      </c>
      <c r="AN287" s="120" t="str">
        <f>IFERROR(VLOOKUP(Table1[RespondentID],'All Data'!$A$3:$CW$999,95,FALSE),"unknown")</f>
        <v>College graduate</v>
      </c>
      <c r="AO287" s="120" t="str">
        <f>IFERROR(VLOOKUP(Table1[RespondentID],'All Data'!$A$3:$CW$999,96,FALSE),"unknown")</f>
        <v>Student</v>
      </c>
      <c r="AP287" s="120" t="str">
        <f>IFERROR(VLOOKUP(Table1[RespondentID],'All Data'!$A$3:$CW$999,97,FALSE),"unknown")</f>
        <v>Yes</v>
      </c>
      <c r="AQ287" s="120" t="str">
        <f>IFERROR(VLOOKUP(Table1[RespondentID],'All Data'!$A$3:$CW$999,98,FALSE),"unknown")</f>
        <v>Private/Commercial</v>
      </c>
      <c r="AR287" s="120" t="str">
        <f>IFERROR(VLOOKUP(Table1[RespondentID],'All Data'!$A$3:$CW$999,99,FALSE),"unknown")</f>
        <v>Yes</v>
      </c>
    </row>
    <row r="288" spans="1:44" ht="16">
      <c r="A288" s="5">
        <v>18016645165</v>
      </c>
      <c r="B288" s="5"/>
      <c r="C288" s="5"/>
      <c r="D288" s="5"/>
      <c r="E288" s="5"/>
      <c r="F288" s="5"/>
      <c r="G288" s="5" t="s">
        <v>34</v>
      </c>
      <c r="H288" s="5"/>
      <c r="I288" s="5"/>
      <c r="J288" s="5"/>
      <c r="K288" s="5"/>
      <c r="L288" s="8"/>
      <c r="M288" s="8">
        <f t="shared" si="60"/>
        <v>1</v>
      </c>
      <c r="N288" s="8">
        <f t="shared" si="61"/>
        <v>3</v>
      </c>
      <c r="O288" s="8"/>
      <c r="P288" s="8">
        <f t="shared" si="62"/>
        <v>0</v>
      </c>
      <c r="Q288" s="8">
        <f t="shared" si="63"/>
        <v>0</v>
      </c>
      <c r="R288" s="8">
        <f t="shared" si="64"/>
        <v>0</v>
      </c>
      <c r="S288" s="8">
        <f t="shared" si="65"/>
        <v>0</v>
      </c>
      <c r="T288" s="8">
        <f t="shared" si="66"/>
        <v>0</v>
      </c>
      <c r="U288" s="8">
        <f t="shared" si="67"/>
        <v>1</v>
      </c>
      <c r="V288" s="153">
        <f t="shared" si="68"/>
        <v>0</v>
      </c>
      <c r="W288" s="8">
        <f t="shared" si="69"/>
        <v>0</v>
      </c>
      <c r="X288" s="8">
        <f t="shared" si="70"/>
        <v>0</v>
      </c>
      <c r="Y288" s="8">
        <f t="shared" si="71"/>
        <v>0</v>
      </c>
      <c r="Z288" s="8"/>
      <c r="AA288" s="8"/>
      <c r="AB288" s="8">
        <f t="shared" si="74"/>
        <v>1</v>
      </c>
      <c r="AC288" s="8">
        <f t="shared" si="72"/>
        <v>1</v>
      </c>
      <c r="AD288" s="8" t="str">
        <f t="shared" si="73"/>
        <v>Correct</v>
      </c>
      <c r="AE288" s="8"/>
      <c r="AF288" s="120" t="str">
        <f>IFERROR(VLOOKUP(Table1[RespondentID],'All Data'!$A$3:$CO$999,87,FALSE),"unknown")</f>
        <v>Woman</v>
      </c>
      <c r="AG288" s="120">
        <f>IFERROR(VLOOKUP(Table1[RespondentID],'All Data'!$A$3:$CO$999,88,FALSE),"unknown")</f>
        <v>35</v>
      </c>
      <c r="AH288" s="120" t="str">
        <f>IFERROR(VLOOKUP(Table1[RespondentID],'All Data'!$A$3:$CO$999,89,FALSE),"unknown")</f>
        <v>Queens</v>
      </c>
      <c r="AI288" s="120">
        <f>IFERROR(VLOOKUP(Table1[RespondentID],'All Data'!$A$3:$CO$999,90,FALSE),"unknown")</f>
        <v>11375</v>
      </c>
      <c r="AJ288" s="120" t="str">
        <f>IFERROR(VLOOKUP(Table1[RespondentID],'All Data'!$A$3:$CO$999,91,FALSE),"unknown")</f>
        <v>American Indian and Alaska Native</v>
      </c>
      <c r="AK288" s="120" t="str">
        <f>IFERROR(VLOOKUP(Table1[RespondentID],'All Data'!$A$3:$CO$999,92,FALSE),"unknown")</f>
        <v>Hispanic or Latino</v>
      </c>
      <c r="AL288" s="120" t="str">
        <f>IFERROR(VLOOKUP(Table1[RespondentID],'All Data'!$A$3:$CO$999,93,FALSE),"unknown")</f>
        <v>English, Korean</v>
      </c>
      <c r="AM288" s="120" t="str">
        <f>IFERROR(VLOOKUP(Table1[RespondentID],'All Data'!$A$3:$CW$999,94,FALSE),"unknown")</f>
        <v>Over $125,000</v>
      </c>
      <c r="AN288" s="120" t="str">
        <f>IFERROR(VLOOKUP(Table1[RespondentID],'All Data'!$A$3:$CW$999,95,FALSE),"unknown")</f>
        <v>Doctorate</v>
      </c>
      <c r="AO288" s="120" t="str">
        <f>IFERROR(VLOOKUP(Table1[RespondentID],'All Data'!$A$3:$CW$999,96,FALSE),"unknown")</f>
        <v>Employed for wages</v>
      </c>
      <c r="AP288" s="120" t="str">
        <f>IFERROR(VLOOKUP(Table1[RespondentID],'All Data'!$A$3:$CW$999,97,FALSE),"unknown")</f>
        <v>Yes</v>
      </c>
      <c r="AQ288" s="120" t="str">
        <f>IFERROR(VLOOKUP(Table1[RespondentID],'All Data'!$A$3:$CW$999,98,FALSE),"unknown")</f>
        <v>Private/Commercial</v>
      </c>
      <c r="AR288" s="120" t="str">
        <f>IFERROR(VLOOKUP(Table1[RespondentID],'All Data'!$A$3:$CW$999,99,FALSE),"unknown")</f>
        <v>Yes</v>
      </c>
    </row>
    <row r="289" spans="1:44" ht="16">
      <c r="A289" s="5">
        <v>18016455302</v>
      </c>
      <c r="B289" s="5"/>
      <c r="C289" s="5"/>
      <c r="D289" s="5"/>
      <c r="E289" s="5"/>
      <c r="F289" s="5"/>
      <c r="G289" s="5" t="s">
        <v>34</v>
      </c>
      <c r="H289" s="5"/>
      <c r="I289" s="5"/>
      <c r="J289" s="5"/>
      <c r="K289" s="5"/>
      <c r="L289" s="9"/>
      <c r="M289" s="9">
        <f t="shared" si="60"/>
        <v>1</v>
      </c>
      <c r="N289" s="9">
        <f t="shared" si="61"/>
        <v>3</v>
      </c>
      <c r="O289" s="9"/>
      <c r="P289" s="9">
        <f t="shared" si="62"/>
        <v>0</v>
      </c>
      <c r="Q289" s="9">
        <f t="shared" si="63"/>
        <v>0</v>
      </c>
      <c r="R289" s="9">
        <f t="shared" si="64"/>
        <v>0</v>
      </c>
      <c r="S289" s="9">
        <f t="shared" si="65"/>
        <v>0</v>
      </c>
      <c r="T289" s="9">
        <f t="shared" si="66"/>
        <v>0</v>
      </c>
      <c r="U289" s="9">
        <f t="shared" si="67"/>
        <v>1</v>
      </c>
      <c r="V289" s="153">
        <f t="shared" si="68"/>
        <v>0</v>
      </c>
      <c r="W289" s="9">
        <f t="shared" si="69"/>
        <v>0</v>
      </c>
      <c r="X289" s="9">
        <f t="shared" si="70"/>
        <v>0</v>
      </c>
      <c r="Y289" s="9">
        <f t="shared" si="71"/>
        <v>0</v>
      </c>
      <c r="Z289" s="9"/>
      <c r="AA289" s="9"/>
      <c r="AB289" s="9">
        <f t="shared" si="74"/>
        <v>1</v>
      </c>
      <c r="AC289" s="9">
        <f t="shared" si="72"/>
        <v>1</v>
      </c>
      <c r="AD289" s="9" t="str">
        <f t="shared" si="73"/>
        <v>Correct</v>
      </c>
      <c r="AE289" s="9"/>
      <c r="AF289" s="120" t="str">
        <f>IFERROR(VLOOKUP(Table1[RespondentID],'All Data'!$A$3:$CO$999,87,FALSE),"unknown")</f>
        <v>Man</v>
      </c>
      <c r="AG289" s="120">
        <f>IFERROR(VLOOKUP(Table1[RespondentID],'All Data'!$A$3:$CO$999,88,FALSE),"unknown")</f>
        <v>21</v>
      </c>
      <c r="AH289" s="120" t="str">
        <f>IFERROR(VLOOKUP(Table1[RespondentID],'All Data'!$A$3:$CO$999,89,FALSE),"unknown")</f>
        <v>Suffolk</v>
      </c>
      <c r="AI289" s="120" t="str">
        <f>IFERROR(VLOOKUP(Table1[RespondentID],'All Data'!$A$3:$CO$999,90,FALSE),"unknown")</f>
        <v>Lindenhurst, 11757</v>
      </c>
      <c r="AJ289" s="120" t="str">
        <f>IFERROR(VLOOKUP(Table1[RespondentID],'All Data'!$A$3:$CO$999,91,FALSE),"unknown")</f>
        <v>White</v>
      </c>
      <c r="AK289" s="120" t="str">
        <f>IFERROR(VLOOKUP(Table1[RespondentID],'All Data'!$A$3:$CO$999,92,FALSE),"unknown")</f>
        <v>Not Hispanic or Latino</v>
      </c>
      <c r="AL289" s="120" t="str">
        <f>IFERROR(VLOOKUP(Table1[RespondentID],'All Data'!$A$3:$CO$999,93,FALSE),"unknown")</f>
        <v>Spanish</v>
      </c>
      <c r="AM289" s="120" t="str">
        <f>IFERROR(VLOOKUP(Table1[RespondentID],'All Data'!$A$3:$CW$999,94,FALSE),"unknown")</f>
        <v>$75,000 to $125,000</v>
      </c>
      <c r="AN289" s="120" t="str">
        <f>IFERROR(VLOOKUP(Table1[RespondentID],'All Data'!$A$3:$CW$999,95,FALSE),"unknown")</f>
        <v>Some college</v>
      </c>
      <c r="AO289" s="120" t="str">
        <f>IFERROR(VLOOKUP(Table1[RespondentID],'All Data'!$A$3:$CW$999,96,FALSE),"unknown")</f>
        <v>Student</v>
      </c>
      <c r="AP289" s="120" t="str">
        <f>IFERROR(VLOOKUP(Table1[RespondentID],'All Data'!$A$3:$CW$999,97,FALSE),"unknown")</f>
        <v>Yes</v>
      </c>
      <c r="AQ289" s="120" t="str">
        <f>IFERROR(VLOOKUP(Table1[RespondentID],'All Data'!$A$3:$CW$999,98,FALSE),"unknown")</f>
        <v>Medicare</v>
      </c>
      <c r="AR289" s="120" t="str">
        <f>IFERROR(VLOOKUP(Table1[RespondentID],'All Data'!$A$3:$CW$999,99,FALSE),"unknown")</f>
        <v>Yes</v>
      </c>
    </row>
    <row r="290" spans="1:44" ht="16">
      <c r="A290" s="5">
        <v>18016436237</v>
      </c>
      <c r="B290" s="5"/>
      <c r="C290" s="5"/>
      <c r="D290" s="5"/>
      <c r="E290" s="5" t="s">
        <v>32</v>
      </c>
      <c r="F290" s="5"/>
      <c r="G290" s="5"/>
      <c r="H290" s="5"/>
      <c r="I290" s="5"/>
      <c r="J290" s="5" t="s">
        <v>37</v>
      </c>
      <c r="K290" s="5" t="s">
        <v>375</v>
      </c>
      <c r="L290" s="8"/>
      <c r="M290" s="8">
        <f t="shared" si="60"/>
        <v>3</v>
      </c>
      <c r="N290" s="8">
        <f t="shared" si="61"/>
        <v>1</v>
      </c>
      <c r="O290" s="8"/>
      <c r="P290" s="8">
        <f t="shared" si="62"/>
        <v>0</v>
      </c>
      <c r="Q290" s="8">
        <f t="shared" si="63"/>
        <v>0</v>
      </c>
      <c r="R290" s="8">
        <f t="shared" si="64"/>
        <v>0</v>
      </c>
      <c r="S290" s="8">
        <f t="shared" si="65"/>
        <v>1</v>
      </c>
      <c r="T290" s="8">
        <f t="shared" si="66"/>
        <v>0</v>
      </c>
      <c r="U290" s="8">
        <f t="shared" si="67"/>
        <v>0</v>
      </c>
      <c r="V290" s="153">
        <f t="shared" si="68"/>
        <v>0</v>
      </c>
      <c r="W290" s="8">
        <f t="shared" si="69"/>
        <v>0</v>
      </c>
      <c r="X290" s="8">
        <f t="shared" si="70"/>
        <v>1</v>
      </c>
      <c r="Y290" s="8">
        <f t="shared" si="71"/>
        <v>1</v>
      </c>
      <c r="Z290" s="8"/>
      <c r="AA290" s="8"/>
      <c r="AB290" s="8">
        <f t="shared" si="74"/>
        <v>3</v>
      </c>
      <c r="AC290" s="8">
        <f t="shared" si="72"/>
        <v>3</v>
      </c>
      <c r="AD290" s="8" t="str">
        <f t="shared" si="73"/>
        <v>Correct</v>
      </c>
      <c r="AE290" s="8"/>
      <c r="AF290" s="120" t="str">
        <f>IFERROR(VLOOKUP(Table1[RespondentID],'All Data'!$A$3:$CO$999,87,FALSE),"unknown")</f>
        <v>Man</v>
      </c>
      <c r="AG290" s="120">
        <f>IFERROR(VLOOKUP(Table1[RespondentID],'All Data'!$A$3:$CO$999,88,FALSE),"unknown")</f>
        <v>18</v>
      </c>
      <c r="AH290" s="120" t="str">
        <f>IFERROR(VLOOKUP(Table1[RespondentID],'All Data'!$A$3:$CO$999,89,FALSE),"unknown")</f>
        <v>Queens</v>
      </c>
      <c r="AI290" s="120">
        <f>IFERROR(VLOOKUP(Table1[RespondentID],'All Data'!$A$3:$CO$999,90,FALSE),"unknown")</f>
        <v>11428</v>
      </c>
      <c r="AJ290" s="120" t="str">
        <f>IFERROR(VLOOKUP(Table1[RespondentID],'All Data'!$A$3:$CO$999,91,FALSE),"unknown")</f>
        <v>White</v>
      </c>
      <c r="AK290" s="120" t="str">
        <f>IFERROR(VLOOKUP(Table1[RespondentID],'All Data'!$A$3:$CO$999,92,FALSE),"unknown")</f>
        <v>Hispanic or Latino</v>
      </c>
      <c r="AL290" s="120" t="str">
        <f>IFERROR(VLOOKUP(Table1[RespondentID],'All Data'!$A$3:$CO$999,93,FALSE),"unknown")</f>
        <v>English</v>
      </c>
      <c r="AM290" s="120" t="str">
        <f>IFERROR(VLOOKUP(Table1[RespondentID],'All Data'!$A$3:$CW$999,94,FALSE),"unknown")</f>
        <v>$0-$19,999</v>
      </c>
      <c r="AN290" s="120" t="str">
        <f>IFERROR(VLOOKUP(Table1[RespondentID],'All Data'!$A$3:$CW$999,95,FALSE),"unknown")</f>
        <v>Some college</v>
      </c>
      <c r="AO290" s="120" t="str">
        <f>IFERROR(VLOOKUP(Table1[RespondentID],'All Data'!$A$3:$CW$999,96,FALSE),"unknown")</f>
        <v>Military</v>
      </c>
      <c r="AP290" s="120" t="str">
        <f>IFERROR(VLOOKUP(Table1[RespondentID],'All Data'!$A$3:$CW$999,97,FALSE),"unknown")</f>
        <v>No, but I did in the past</v>
      </c>
      <c r="AQ290" s="120" t="str">
        <f>IFERROR(VLOOKUP(Table1[RespondentID],'All Data'!$A$3:$CW$999,98,FALSE),"unknown")</f>
        <v>Medicare</v>
      </c>
      <c r="AR290" s="120" t="str">
        <f>IFERROR(VLOOKUP(Table1[RespondentID],'All Data'!$A$3:$CW$999,99,FALSE),"unknown")</f>
        <v>No</v>
      </c>
    </row>
    <row r="291" spans="1:44" ht="16">
      <c r="A291" s="5">
        <v>18016056284</v>
      </c>
      <c r="B291" s="5"/>
      <c r="C291" s="5"/>
      <c r="D291" s="5"/>
      <c r="E291" s="5"/>
      <c r="F291" s="5"/>
      <c r="G291" s="5" t="s">
        <v>34</v>
      </c>
      <c r="H291" s="5"/>
      <c r="I291" s="5"/>
      <c r="J291" s="5"/>
      <c r="K291" s="5"/>
      <c r="L291" s="9"/>
      <c r="M291" s="9">
        <f t="shared" si="60"/>
        <v>1</v>
      </c>
      <c r="N291" s="9">
        <f t="shared" si="61"/>
        <v>3</v>
      </c>
      <c r="O291" s="9"/>
      <c r="P291" s="9">
        <f t="shared" si="62"/>
        <v>0</v>
      </c>
      <c r="Q291" s="9">
        <f t="shared" si="63"/>
        <v>0</v>
      </c>
      <c r="R291" s="9">
        <f t="shared" si="64"/>
        <v>0</v>
      </c>
      <c r="S291" s="9">
        <f t="shared" si="65"/>
        <v>0</v>
      </c>
      <c r="T291" s="9">
        <f t="shared" si="66"/>
        <v>0</v>
      </c>
      <c r="U291" s="9">
        <f t="shared" si="67"/>
        <v>1</v>
      </c>
      <c r="V291" s="153">
        <f t="shared" si="68"/>
        <v>0</v>
      </c>
      <c r="W291" s="9">
        <f t="shared" si="69"/>
        <v>0</v>
      </c>
      <c r="X291" s="9">
        <f t="shared" si="70"/>
        <v>0</v>
      </c>
      <c r="Y291" s="9">
        <f t="shared" si="71"/>
        <v>0</v>
      </c>
      <c r="Z291" s="9"/>
      <c r="AA291" s="9"/>
      <c r="AB291" s="9">
        <f t="shared" si="74"/>
        <v>1</v>
      </c>
      <c r="AC291" s="9">
        <f t="shared" si="72"/>
        <v>1</v>
      </c>
      <c r="AD291" s="9" t="str">
        <f t="shared" si="73"/>
        <v>Correct</v>
      </c>
      <c r="AE291" s="9"/>
      <c r="AF291" s="120" t="str">
        <f>IFERROR(VLOOKUP(Table1[RespondentID],'All Data'!$A$3:$CO$999,87,FALSE),"unknown")</f>
        <v>Woman</v>
      </c>
      <c r="AG291" s="120">
        <f>IFERROR(VLOOKUP(Table1[RespondentID],'All Data'!$A$3:$CO$999,88,FALSE),"unknown")</f>
        <v>21</v>
      </c>
      <c r="AH291" s="120" t="str">
        <f>IFERROR(VLOOKUP(Table1[RespondentID],'All Data'!$A$3:$CO$999,89,FALSE),"unknown")</f>
        <v>Suffolk</v>
      </c>
      <c r="AI291" s="120" t="str">
        <f>IFERROR(VLOOKUP(Table1[RespondentID],'All Data'!$A$3:$CO$999,90,FALSE),"unknown")</f>
        <v>Farmingville, 11738</v>
      </c>
      <c r="AJ291" s="120" t="str">
        <f>IFERROR(VLOOKUP(Table1[RespondentID],'All Data'!$A$3:$CO$999,91,FALSE),"unknown")</f>
        <v>Asian</v>
      </c>
      <c r="AK291" s="120" t="str">
        <f>IFERROR(VLOOKUP(Table1[RespondentID],'All Data'!$A$3:$CO$999,92,FALSE),"unknown")</f>
        <v>Not Hispanic or Latino</v>
      </c>
      <c r="AL291" s="120" t="str">
        <f>IFERROR(VLOOKUP(Table1[RespondentID],'All Data'!$A$3:$CO$999,93,FALSE),"unknown")</f>
        <v>English</v>
      </c>
      <c r="AM291" s="120" t="str">
        <f>IFERROR(VLOOKUP(Table1[RespondentID],'All Data'!$A$3:$CW$999,94,FALSE),"unknown")</f>
        <v>$50,000 to $74,999</v>
      </c>
      <c r="AN291" s="120" t="str">
        <f>IFERROR(VLOOKUP(Table1[RespondentID],'All Data'!$A$3:$CW$999,95,FALSE),"unknown")</f>
        <v>Some college</v>
      </c>
      <c r="AO291" s="120" t="str">
        <f>IFERROR(VLOOKUP(Table1[RespondentID],'All Data'!$A$3:$CW$999,96,FALSE),"unknown")</f>
        <v>Student</v>
      </c>
      <c r="AP291" s="120" t="str">
        <f>IFERROR(VLOOKUP(Table1[RespondentID],'All Data'!$A$3:$CW$999,97,FALSE),"unknown")</f>
        <v>Yes</v>
      </c>
      <c r="AQ291" s="120" t="str">
        <f>IFERROR(VLOOKUP(Table1[RespondentID],'All Data'!$A$3:$CW$999,98,FALSE),"unknown")</f>
        <v>Medicare</v>
      </c>
      <c r="AR291" s="120" t="str">
        <f>IFERROR(VLOOKUP(Table1[RespondentID],'All Data'!$A$3:$CW$999,99,FALSE),"unknown")</f>
        <v>Yes</v>
      </c>
    </row>
    <row r="292" spans="1:44" ht="16">
      <c r="A292" s="5">
        <v>18016042262</v>
      </c>
      <c r="B292" s="5"/>
      <c r="C292" s="5"/>
      <c r="D292" s="5"/>
      <c r="E292" s="5"/>
      <c r="F292" s="5"/>
      <c r="G292" s="5"/>
      <c r="H292" s="5"/>
      <c r="I292" s="5" t="s">
        <v>36</v>
      </c>
      <c r="J292" s="5"/>
      <c r="K292" s="5"/>
      <c r="L292" s="8"/>
      <c r="M292" s="8">
        <f t="shared" si="60"/>
        <v>1</v>
      </c>
      <c r="N292" s="8">
        <f t="shared" si="61"/>
        <v>3</v>
      </c>
      <c r="O292" s="8"/>
      <c r="P292" s="8">
        <f t="shared" si="62"/>
        <v>0</v>
      </c>
      <c r="Q292" s="8">
        <f t="shared" si="63"/>
        <v>0</v>
      </c>
      <c r="R292" s="8">
        <f t="shared" si="64"/>
        <v>0</v>
      </c>
      <c r="S292" s="8">
        <f t="shared" si="65"/>
        <v>0</v>
      </c>
      <c r="T292" s="8">
        <f t="shared" si="66"/>
        <v>0</v>
      </c>
      <c r="U292" s="8">
        <f t="shared" si="67"/>
        <v>0</v>
      </c>
      <c r="V292" s="153">
        <f t="shared" si="68"/>
        <v>0</v>
      </c>
      <c r="W292" s="8">
        <f t="shared" si="69"/>
        <v>1</v>
      </c>
      <c r="X292" s="8">
        <f t="shared" si="70"/>
        <v>0</v>
      </c>
      <c r="Y292" s="8">
        <f t="shared" si="71"/>
        <v>0</v>
      </c>
      <c r="Z292" s="8"/>
      <c r="AA292" s="8"/>
      <c r="AB292" s="8">
        <f t="shared" si="74"/>
        <v>1</v>
      </c>
      <c r="AC292" s="8">
        <f t="shared" si="72"/>
        <v>1</v>
      </c>
      <c r="AD292" s="8" t="str">
        <f t="shared" si="73"/>
        <v>Correct</v>
      </c>
      <c r="AE292" s="8"/>
      <c r="AF292" s="120">
        <f>IFERROR(VLOOKUP(Table1[RespondentID],'All Data'!$A$3:$CO$999,87,FALSE),"unknown")</f>
        <v>0</v>
      </c>
      <c r="AG292" s="120">
        <f>IFERROR(VLOOKUP(Table1[RespondentID],'All Data'!$A$3:$CO$999,88,FALSE),"unknown")</f>
        <v>0</v>
      </c>
      <c r="AH292" s="120">
        <f>IFERROR(VLOOKUP(Table1[RespondentID],'All Data'!$A$3:$CO$999,89,FALSE),"unknown")</f>
        <v>0</v>
      </c>
      <c r="AI292" s="120">
        <f>IFERROR(VLOOKUP(Table1[RespondentID],'All Data'!$A$3:$CO$999,90,FALSE),"unknown")</f>
        <v>0</v>
      </c>
      <c r="AJ292" s="120">
        <f>IFERROR(VLOOKUP(Table1[RespondentID],'All Data'!$A$3:$CO$999,91,FALSE),"unknown")</f>
        <v>0</v>
      </c>
      <c r="AK292" s="120">
        <f>IFERROR(VLOOKUP(Table1[RespondentID],'All Data'!$A$3:$CO$999,92,FALSE),"unknown")</f>
        <v>0</v>
      </c>
      <c r="AL292" s="120">
        <f>IFERROR(VLOOKUP(Table1[RespondentID],'All Data'!$A$3:$CO$999,93,FALSE),"unknown")</f>
        <v>0</v>
      </c>
      <c r="AM292" s="120">
        <f>IFERROR(VLOOKUP(Table1[RespondentID],'All Data'!$A$3:$CW$999,94,FALSE),"unknown")</f>
        <v>0</v>
      </c>
      <c r="AN292" s="120">
        <f>IFERROR(VLOOKUP(Table1[RespondentID],'All Data'!$A$3:$CW$999,95,FALSE),"unknown")</f>
        <v>0</v>
      </c>
      <c r="AO292" s="120">
        <f>IFERROR(VLOOKUP(Table1[RespondentID],'All Data'!$A$3:$CW$999,96,FALSE),"unknown")</f>
        <v>0</v>
      </c>
      <c r="AP292" s="120">
        <f>IFERROR(VLOOKUP(Table1[RespondentID],'All Data'!$A$3:$CW$999,97,FALSE),"unknown")</f>
        <v>0</v>
      </c>
      <c r="AQ292" s="120">
        <f>IFERROR(VLOOKUP(Table1[RespondentID],'All Data'!$A$3:$CW$999,98,FALSE),"unknown")</f>
        <v>0</v>
      </c>
      <c r="AR292" s="120">
        <f>IFERROR(VLOOKUP(Table1[RespondentID],'All Data'!$A$3:$CW$999,99,FALSE),"unknown")</f>
        <v>0</v>
      </c>
    </row>
    <row r="293" spans="1:44" ht="16">
      <c r="A293" s="5">
        <v>18016041834</v>
      </c>
      <c r="B293" s="5"/>
      <c r="C293" s="5"/>
      <c r="D293" s="5"/>
      <c r="E293" s="5"/>
      <c r="F293" s="5"/>
      <c r="G293" s="5" t="s">
        <v>34</v>
      </c>
      <c r="H293" s="5"/>
      <c r="I293" s="5"/>
      <c r="J293" s="5"/>
      <c r="K293" s="5"/>
      <c r="L293" s="9"/>
      <c r="M293" s="9">
        <f t="shared" si="60"/>
        <v>1</v>
      </c>
      <c r="N293" s="9">
        <f t="shared" si="61"/>
        <v>3</v>
      </c>
      <c r="O293" s="9"/>
      <c r="P293" s="9">
        <f t="shared" si="62"/>
        <v>0</v>
      </c>
      <c r="Q293" s="9">
        <f t="shared" si="63"/>
        <v>0</v>
      </c>
      <c r="R293" s="9">
        <f t="shared" si="64"/>
        <v>0</v>
      </c>
      <c r="S293" s="9">
        <f t="shared" si="65"/>
        <v>0</v>
      </c>
      <c r="T293" s="9">
        <f t="shared" si="66"/>
        <v>0</v>
      </c>
      <c r="U293" s="9">
        <f t="shared" si="67"/>
        <v>1</v>
      </c>
      <c r="V293" s="153">
        <f t="shared" si="68"/>
        <v>0</v>
      </c>
      <c r="W293" s="9">
        <f t="shared" si="69"/>
        <v>0</v>
      </c>
      <c r="X293" s="9">
        <f t="shared" si="70"/>
        <v>0</v>
      </c>
      <c r="Y293" s="9">
        <f t="shared" si="71"/>
        <v>0</v>
      </c>
      <c r="Z293" s="9"/>
      <c r="AA293" s="9"/>
      <c r="AB293" s="9">
        <f t="shared" si="74"/>
        <v>1</v>
      </c>
      <c r="AC293" s="9">
        <f t="shared" si="72"/>
        <v>1</v>
      </c>
      <c r="AD293" s="9" t="str">
        <f t="shared" si="73"/>
        <v>Correct</v>
      </c>
      <c r="AE293" s="9"/>
      <c r="AF293" s="120" t="str">
        <f>IFERROR(VLOOKUP(Table1[RespondentID],'All Data'!$A$3:$CO$999,87,FALSE),"unknown")</f>
        <v>Man</v>
      </c>
      <c r="AG293" s="120">
        <f>IFERROR(VLOOKUP(Table1[RespondentID],'All Data'!$A$3:$CO$999,88,FALSE),"unknown")</f>
        <v>20</v>
      </c>
      <c r="AH293" s="120" t="str">
        <f>IFERROR(VLOOKUP(Table1[RespondentID],'All Data'!$A$3:$CO$999,89,FALSE),"unknown")</f>
        <v>Suffolk</v>
      </c>
      <c r="AI293" s="120" t="str">
        <f>IFERROR(VLOOKUP(Table1[RespondentID],'All Data'!$A$3:$CO$999,90,FALSE),"unknown")</f>
        <v>Melville, 11747</v>
      </c>
      <c r="AJ293" s="120" t="str">
        <f>IFERROR(VLOOKUP(Table1[RespondentID],'All Data'!$A$3:$CO$999,91,FALSE),"unknown")</f>
        <v>White</v>
      </c>
      <c r="AK293" s="120" t="str">
        <f>IFERROR(VLOOKUP(Table1[RespondentID],'All Data'!$A$3:$CO$999,92,FALSE),"unknown")</f>
        <v>Not Hispanic or Latino</v>
      </c>
      <c r="AL293" s="120" t="str">
        <f>IFERROR(VLOOKUP(Table1[RespondentID],'All Data'!$A$3:$CO$999,93,FALSE),"unknown")</f>
        <v>English, Spanish</v>
      </c>
      <c r="AM293" s="120" t="str">
        <f>IFERROR(VLOOKUP(Table1[RespondentID],'All Data'!$A$3:$CW$999,94,FALSE),"unknown")</f>
        <v>$75,000 to $125,000</v>
      </c>
      <c r="AN293" s="120" t="str">
        <f>IFERROR(VLOOKUP(Table1[RespondentID],'All Data'!$A$3:$CW$999,95,FALSE),"unknown")</f>
        <v>Some college</v>
      </c>
      <c r="AO293" s="120" t="str">
        <f>IFERROR(VLOOKUP(Table1[RespondentID],'All Data'!$A$3:$CW$999,96,FALSE),"unknown")</f>
        <v>Employed for wages</v>
      </c>
      <c r="AP293" s="120" t="str">
        <f>IFERROR(VLOOKUP(Table1[RespondentID],'All Data'!$A$3:$CW$999,97,FALSE),"unknown")</f>
        <v>Yes</v>
      </c>
      <c r="AQ293" s="120" t="str">
        <f>IFERROR(VLOOKUP(Table1[RespondentID],'All Data'!$A$3:$CW$999,98,FALSE),"unknown")</f>
        <v>Private/Commercial</v>
      </c>
      <c r="AR293" s="120" t="str">
        <f>IFERROR(VLOOKUP(Table1[RespondentID],'All Data'!$A$3:$CW$999,99,FALSE),"unknown")</f>
        <v>Yes</v>
      </c>
    </row>
    <row r="294" spans="1:44" ht="16">
      <c r="A294" s="5">
        <v>18016041235</v>
      </c>
      <c r="B294" s="5"/>
      <c r="C294" s="5"/>
      <c r="D294" s="5"/>
      <c r="E294" s="5"/>
      <c r="F294" s="5"/>
      <c r="G294" s="5"/>
      <c r="H294" s="5"/>
      <c r="I294" s="5"/>
      <c r="J294" s="5"/>
      <c r="K294" s="5"/>
      <c r="L294" s="8"/>
      <c r="M294" s="8">
        <f t="shared" si="60"/>
        <v>0</v>
      </c>
      <c r="N294" s="8" t="e">
        <f t="shared" si="61"/>
        <v>#DIV/0!</v>
      </c>
      <c r="O294" s="8"/>
      <c r="P294" s="8">
        <f t="shared" si="62"/>
        <v>0</v>
      </c>
      <c r="Q294" s="8">
        <f t="shared" si="63"/>
        <v>0</v>
      </c>
      <c r="R294" s="8">
        <f t="shared" si="64"/>
        <v>0</v>
      </c>
      <c r="S294" s="8">
        <f t="shared" si="65"/>
        <v>0</v>
      </c>
      <c r="T294" s="8">
        <f t="shared" si="66"/>
        <v>0</v>
      </c>
      <c r="U294" s="8">
        <f t="shared" si="67"/>
        <v>0</v>
      </c>
      <c r="V294" s="153">
        <f t="shared" si="68"/>
        <v>0</v>
      </c>
      <c r="W294" s="8">
        <f t="shared" si="69"/>
        <v>0</v>
      </c>
      <c r="X294" s="8">
        <f t="shared" si="70"/>
        <v>0</v>
      </c>
      <c r="Y294" s="8">
        <f t="shared" si="71"/>
        <v>0</v>
      </c>
      <c r="Z294" s="8"/>
      <c r="AA294" s="8"/>
      <c r="AB294" s="8">
        <f t="shared" si="74"/>
        <v>0</v>
      </c>
      <c r="AC294" s="8">
        <f t="shared" si="72"/>
        <v>0</v>
      </c>
      <c r="AD294" s="8" t="str">
        <f t="shared" si="73"/>
        <v>Correct</v>
      </c>
      <c r="AE294" s="8"/>
      <c r="AF294" s="120">
        <f>IFERROR(VLOOKUP(Table1[RespondentID],'All Data'!$A$3:$CO$999,87,FALSE),"unknown")</f>
        <v>0</v>
      </c>
      <c r="AG294" s="120">
        <f>IFERROR(VLOOKUP(Table1[RespondentID],'All Data'!$A$3:$CO$999,88,FALSE),"unknown")</f>
        <v>0</v>
      </c>
      <c r="AH294" s="120">
        <f>IFERROR(VLOOKUP(Table1[RespondentID],'All Data'!$A$3:$CO$999,89,FALSE),"unknown")</f>
        <v>0</v>
      </c>
      <c r="AI294" s="120" t="str">
        <f>IFERROR(VLOOKUP(Table1[RespondentID],'All Data'!$A$3:$CO$999,90,FALSE),"unknown")</f>
        <v>Garden City South, 11530</v>
      </c>
      <c r="AJ294" s="120">
        <f>IFERROR(VLOOKUP(Table1[RespondentID],'All Data'!$A$3:$CO$999,91,FALSE),"unknown")</f>
        <v>0</v>
      </c>
      <c r="AK294" s="120">
        <f>IFERROR(VLOOKUP(Table1[RespondentID],'All Data'!$A$3:$CO$999,92,FALSE),"unknown")</f>
        <v>0</v>
      </c>
      <c r="AL294" s="120">
        <f>IFERROR(VLOOKUP(Table1[RespondentID],'All Data'!$A$3:$CO$999,93,FALSE),"unknown")</f>
        <v>0</v>
      </c>
      <c r="AM294" s="120">
        <f>IFERROR(VLOOKUP(Table1[RespondentID],'All Data'!$A$3:$CW$999,94,FALSE),"unknown")</f>
        <v>0</v>
      </c>
      <c r="AN294" s="120">
        <f>IFERROR(VLOOKUP(Table1[RespondentID],'All Data'!$A$3:$CW$999,95,FALSE),"unknown")</f>
        <v>0</v>
      </c>
      <c r="AO294" s="120">
        <f>IFERROR(VLOOKUP(Table1[RespondentID],'All Data'!$A$3:$CW$999,96,FALSE),"unknown")</f>
        <v>0</v>
      </c>
      <c r="AP294" s="120">
        <f>IFERROR(VLOOKUP(Table1[RespondentID],'All Data'!$A$3:$CW$999,97,FALSE),"unknown")</f>
        <v>0</v>
      </c>
      <c r="AQ294" s="120">
        <f>IFERROR(VLOOKUP(Table1[RespondentID],'All Data'!$A$3:$CW$999,98,FALSE),"unknown")</f>
        <v>0</v>
      </c>
      <c r="AR294" s="120">
        <f>IFERROR(VLOOKUP(Table1[RespondentID],'All Data'!$A$3:$CW$999,99,FALSE),"unknown")</f>
        <v>0</v>
      </c>
    </row>
    <row r="295" spans="1:44" ht="16">
      <c r="A295" s="5">
        <v>18016030783</v>
      </c>
      <c r="B295" s="5"/>
      <c r="C295" s="5"/>
      <c r="D295" s="5" t="s">
        <v>31</v>
      </c>
      <c r="E295" s="5"/>
      <c r="F295" s="5"/>
      <c r="G295" s="5"/>
      <c r="H295" s="5" t="s">
        <v>35</v>
      </c>
      <c r="I295" s="5" t="s">
        <v>36</v>
      </c>
      <c r="J295" s="5"/>
      <c r="K295" s="5"/>
      <c r="L295" s="9"/>
      <c r="M295" s="9">
        <f t="shared" si="60"/>
        <v>3</v>
      </c>
      <c r="N295" s="9">
        <f t="shared" si="61"/>
        <v>1</v>
      </c>
      <c r="O295" s="9"/>
      <c r="P295" s="9">
        <f t="shared" si="62"/>
        <v>0</v>
      </c>
      <c r="Q295" s="9">
        <f t="shared" si="63"/>
        <v>0</v>
      </c>
      <c r="R295" s="9">
        <f t="shared" si="64"/>
        <v>1</v>
      </c>
      <c r="S295" s="9">
        <f t="shared" si="65"/>
        <v>0</v>
      </c>
      <c r="T295" s="9">
        <f t="shared" si="66"/>
        <v>0</v>
      </c>
      <c r="U295" s="9">
        <f t="shared" si="67"/>
        <v>0</v>
      </c>
      <c r="V295" s="153">
        <f t="shared" si="68"/>
        <v>1</v>
      </c>
      <c r="W295" s="9">
        <f t="shared" si="69"/>
        <v>1</v>
      </c>
      <c r="X295" s="9">
        <f t="shared" si="70"/>
        <v>0</v>
      </c>
      <c r="Y295" s="9">
        <f t="shared" si="71"/>
        <v>0</v>
      </c>
      <c r="Z295" s="9"/>
      <c r="AA295" s="9"/>
      <c r="AB295" s="9">
        <f t="shared" si="74"/>
        <v>3</v>
      </c>
      <c r="AC295" s="9">
        <f t="shared" si="72"/>
        <v>3</v>
      </c>
      <c r="AD295" s="9" t="str">
        <f t="shared" si="73"/>
        <v>Correct</v>
      </c>
      <c r="AE295" s="9"/>
      <c r="AF295" s="120" t="str">
        <f>IFERROR(VLOOKUP(Table1[RespondentID],'All Data'!$A$3:$CO$999,87,FALSE),"unknown")</f>
        <v>Woman</v>
      </c>
      <c r="AG295" s="120">
        <f>IFERROR(VLOOKUP(Table1[RespondentID],'All Data'!$A$3:$CO$999,88,FALSE),"unknown")</f>
        <v>57</v>
      </c>
      <c r="AH295" s="120" t="str">
        <f>IFERROR(VLOOKUP(Table1[RespondentID],'All Data'!$A$3:$CO$999,89,FALSE),"unknown")</f>
        <v>Queens</v>
      </c>
      <c r="AI295" s="120">
        <f>IFERROR(VLOOKUP(Table1[RespondentID],'All Data'!$A$3:$CO$999,90,FALSE),"unknown")</f>
        <v>10001</v>
      </c>
      <c r="AJ295" s="120" t="str">
        <f>IFERROR(VLOOKUP(Table1[RespondentID],'All Data'!$A$3:$CO$999,91,FALSE),"unknown")</f>
        <v>White</v>
      </c>
      <c r="AK295" s="120" t="str">
        <f>IFERROR(VLOOKUP(Table1[RespondentID],'All Data'!$A$3:$CO$999,92,FALSE),"unknown")</f>
        <v>Not Hispanic or Latino</v>
      </c>
      <c r="AL295" s="120" t="str">
        <f>IFERROR(VLOOKUP(Table1[RespondentID],'All Data'!$A$3:$CO$999,93,FALSE),"unknown")</f>
        <v>English, Haitian Creole</v>
      </c>
      <c r="AM295" s="120" t="str">
        <f>IFERROR(VLOOKUP(Table1[RespondentID],'All Data'!$A$3:$CW$999,94,FALSE),"unknown")</f>
        <v>$35,000 to $49,999</v>
      </c>
      <c r="AN295" s="120" t="str">
        <f>IFERROR(VLOOKUP(Table1[RespondentID],'All Data'!$A$3:$CW$999,95,FALSE),"unknown")</f>
        <v>College graduate</v>
      </c>
      <c r="AO295" s="120" t="str">
        <f>IFERROR(VLOOKUP(Table1[RespondentID],'All Data'!$A$3:$CW$999,96,FALSE),"unknown")</f>
        <v>Employed for wages</v>
      </c>
      <c r="AP295" s="120" t="str">
        <f>IFERROR(VLOOKUP(Table1[RespondentID],'All Data'!$A$3:$CW$999,97,FALSE),"unknown")</f>
        <v>Yes</v>
      </c>
      <c r="AQ295" s="120" t="str">
        <f>IFERROR(VLOOKUP(Table1[RespondentID],'All Data'!$A$3:$CW$999,98,FALSE),"unknown")</f>
        <v>Medicaid, Medicare</v>
      </c>
      <c r="AR295" s="120" t="str">
        <f>IFERROR(VLOOKUP(Table1[RespondentID],'All Data'!$A$3:$CW$999,99,FALSE),"unknown")</f>
        <v>Yes</v>
      </c>
    </row>
    <row r="296" spans="1:44" ht="16">
      <c r="A296" s="5">
        <v>18016029769</v>
      </c>
      <c r="B296" s="5"/>
      <c r="C296" s="5"/>
      <c r="D296" s="5"/>
      <c r="E296" s="5"/>
      <c r="F296" s="5"/>
      <c r="G296" s="5" t="s">
        <v>34</v>
      </c>
      <c r="H296" s="5"/>
      <c r="I296" s="5"/>
      <c r="J296" s="5"/>
      <c r="K296" s="5"/>
      <c r="L296" s="8"/>
      <c r="M296" s="8">
        <f t="shared" si="60"/>
        <v>1</v>
      </c>
      <c r="N296" s="8">
        <f t="shared" si="61"/>
        <v>3</v>
      </c>
      <c r="O296" s="8"/>
      <c r="P296" s="8">
        <f t="shared" si="62"/>
        <v>0</v>
      </c>
      <c r="Q296" s="8">
        <f t="shared" si="63"/>
        <v>0</v>
      </c>
      <c r="R296" s="8">
        <f t="shared" si="64"/>
        <v>0</v>
      </c>
      <c r="S296" s="8">
        <f t="shared" si="65"/>
        <v>0</v>
      </c>
      <c r="T296" s="8">
        <f t="shared" si="66"/>
        <v>0</v>
      </c>
      <c r="U296" s="8">
        <f t="shared" si="67"/>
        <v>1</v>
      </c>
      <c r="V296" s="153">
        <f t="shared" si="68"/>
        <v>0</v>
      </c>
      <c r="W296" s="8">
        <f t="shared" si="69"/>
        <v>0</v>
      </c>
      <c r="X296" s="8">
        <f t="shared" si="70"/>
        <v>0</v>
      </c>
      <c r="Y296" s="8">
        <f t="shared" si="71"/>
        <v>0</v>
      </c>
      <c r="Z296" s="8"/>
      <c r="AA296" s="8"/>
      <c r="AB296" s="8">
        <f t="shared" si="74"/>
        <v>1</v>
      </c>
      <c r="AC296" s="8">
        <f t="shared" si="72"/>
        <v>1</v>
      </c>
      <c r="AD296" s="8" t="str">
        <f t="shared" si="73"/>
        <v>Correct</v>
      </c>
      <c r="AE296" s="8"/>
      <c r="AF296" s="120" t="str">
        <f>IFERROR(VLOOKUP(Table1[RespondentID],'All Data'!$A$3:$CO$999,87,FALSE),"unknown")</f>
        <v>Woman</v>
      </c>
      <c r="AG296" s="120">
        <f>IFERROR(VLOOKUP(Table1[RespondentID],'All Data'!$A$3:$CO$999,88,FALSE),"unknown")</f>
        <v>25</v>
      </c>
      <c r="AH296" s="120" t="str">
        <f>IFERROR(VLOOKUP(Table1[RespondentID],'All Data'!$A$3:$CO$999,89,FALSE),"unknown")</f>
        <v>Queens</v>
      </c>
      <c r="AI296" s="120">
        <f>IFERROR(VLOOKUP(Table1[RespondentID],'All Data'!$A$3:$CO$999,90,FALSE),"unknown")</f>
        <v>10001</v>
      </c>
      <c r="AJ296" s="120" t="str">
        <f>IFERROR(VLOOKUP(Table1[RespondentID],'All Data'!$A$3:$CO$999,91,FALSE),"unknown")</f>
        <v>White</v>
      </c>
      <c r="AK296" s="120" t="str">
        <f>IFERROR(VLOOKUP(Table1[RespondentID],'All Data'!$A$3:$CO$999,92,FALSE),"unknown")</f>
        <v>Hispanic or Latino</v>
      </c>
      <c r="AL296" s="120" t="str">
        <f>IFERROR(VLOOKUP(Table1[RespondentID],'All Data'!$A$3:$CO$999,93,FALSE),"unknown")</f>
        <v>English</v>
      </c>
      <c r="AM296" s="120" t="str">
        <f>IFERROR(VLOOKUP(Table1[RespondentID],'All Data'!$A$3:$CW$999,94,FALSE),"unknown")</f>
        <v>$35,000 to $49,999</v>
      </c>
      <c r="AN296" s="120" t="str">
        <f>IFERROR(VLOOKUP(Table1[RespondentID],'All Data'!$A$3:$CW$999,95,FALSE),"unknown")</f>
        <v>Some high school</v>
      </c>
      <c r="AO296" s="120" t="str">
        <f>IFERROR(VLOOKUP(Table1[RespondentID],'All Data'!$A$3:$CW$999,96,FALSE),"unknown")</f>
        <v>Employed for wages</v>
      </c>
      <c r="AP296" s="120" t="str">
        <f>IFERROR(VLOOKUP(Table1[RespondentID],'All Data'!$A$3:$CW$999,97,FALSE),"unknown")</f>
        <v>Yes</v>
      </c>
      <c r="AQ296" s="120" t="str">
        <f>IFERROR(VLOOKUP(Table1[RespondentID],'All Data'!$A$3:$CW$999,98,FALSE),"unknown")</f>
        <v>Medicaid</v>
      </c>
      <c r="AR296" s="120" t="str">
        <f>IFERROR(VLOOKUP(Table1[RespondentID],'All Data'!$A$3:$CW$999,99,FALSE),"unknown")</f>
        <v>Yes</v>
      </c>
    </row>
    <row r="297" spans="1:44" ht="16">
      <c r="A297" s="5">
        <v>18016029289</v>
      </c>
      <c r="B297" s="5" t="s">
        <v>29</v>
      </c>
      <c r="C297" s="5"/>
      <c r="D297" s="5"/>
      <c r="E297" s="5" t="s">
        <v>32</v>
      </c>
      <c r="F297" s="5"/>
      <c r="G297" s="5"/>
      <c r="H297" s="5" t="s">
        <v>35</v>
      </c>
      <c r="I297" s="5"/>
      <c r="J297" s="5"/>
      <c r="K297" s="5"/>
      <c r="L297" s="9"/>
      <c r="M297" s="9">
        <f t="shared" si="60"/>
        <v>3</v>
      </c>
      <c r="N297" s="9">
        <f t="shared" si="61"/>
        <v>1</v>
      </c>
      <c r="O297" s="9"/>
      <c r="P297" s="9">
        <f t="shared" si="62"/>
        <v>1</v>
      </c>
      <c r="Q297" s="9">
        <f t="shared" si="63"/>
        <v>0</v>
      </c>
      <c r="R297" s="9">
        <f t="shared" si="64"/>
        <v>0</v>
      </c>
      <c r="S297" s="9">
        <f t="shared" si="65"/>
        <v>1</v>
      </c>
      <c r="T297" s="9">
        <f t="shared" si="66"/>
        <v>0</v>
      </c>
      <c r="U297" s="9">
        <f t="shared" si="67"/>
        <v>0</v>
      </c>
      <c r="V297" s="153">
        <f t="shared" si="68"/>
        <v>1</v>
      </c>
      <c r="W297" s="9">
        <f t="shared" si="69"/>
        <v>0</v>
      </c>
      <c r="X297" s="9">
        <f t="shared" si="70"/>
        <v>0</v>
      </c>
      <c r="Y297" s="9">
        <f t="shared" si="71"/>
        <v>0</v>
      </c>
      <c r="Z297" s="9"/>
      <c r="AA297" s="9"/>
      <c r="AB297" s="9">
        <f t="shared" si="74"/>
        <v>3</v>
      </c>
      <c r="AC297" s="9">
        <f t="shared" si="72"/>
        <v>3</v>
      </c>
      <c r="AD297" s="9" t="str">
        <f t="shared" si="73"/>
        <v>Correct</v>
      </c>
      <c r="AE297" s="9"/>
      <c r="AF297" s="120" t="str">
        <f>IFERROR(VLOOKUP(Table1[RespondentID],'All Data'!$A$3:$CO$999,87,FALSE),"unknown")</f>
        <v>Woman</v>
      </c>
      <c r="AG297" s="120">
        <f>IFERROR(VLOOKUP(Table1[RespondentID],'All Data'!$A$3:$CO$999,88,FALSE),"unknown")</f>
        <v>0</v>
      </c>
      <c r="AH297" s="120" t="str">
        <f>IFERROR(VLOOKUP(Table1[RespondentID],'All Data'!$A$3:$CO$999,89,FALSE),"unknown")</f>
        <v>Suffolk</v>
      </c>
      <c r="AI297" s="120" t="str">
        <f>IFERROR(VLOOKUP(Table1[RespondentID],'All Data'!$A$3:$CO$999,90,FALSE),"unknown")</f>
        <v>Amagansett, 11930</v>
      </c>
      <c r="AJ297" s="120" t="str">
        <f>IFERROR(VLOOKUP(Table1[RespondentID],'All Data'!$A$3:$CO$999,91,FALSE),"unknown")</f>
        <v>White</v>
      </c>
      <c r="AK297" s="120" t="str">
        <f>IFERROR(VLOOKUP(Table1[RespondentID],'All Data'!$A$3:$CO$999,92,FALSE),"unknown")</f>
        <v>Hispanic or Latino</v>
      </c>
      <c r="AL297" s="120" t="str">
        <f>IFERROR(VLOOKUP(Table1[RespondentID],'All Data'!$A$3:$CO$999,93,FALSE),"unknown")</f>
        <v>English</v>
      </c>
      <c r="AM297" s="120" t="str">
        <f>IFERROR(VLOOKUP(Table1[RespondentID],'All Data'!$A$3:$CW$999,94,FALSE),"unknown")</f>
        <v>$35,000 to $49,999</v>
      </c>
      <c r="AN297" s="120" t="str">
        <f>IFERROR(VLOOKUP(Table1[RespondentID],'All Data'!$A$3:$CW$999,95,FALSE),"unknown")</f>
        <v>Graduate school</v>
      </c>
      <c r="AO297" s="120" t="str">
        <f>IFERROR(VLOOKUP(Table1[RespondentID],'All Data'!$A$3:$CW$999,96,FALSE),"unknown")</f>
        <v>Employed for wages</v>
      </c>
      <c r="AP297" s="120" t="str">
        <f>IFERROR(VLOOKUP(Table1[RespondentID],'All Data'!$A$3:$CW$999,97,FALSE),"unknown")</f>
        <v>Yes</v>
      </c>
      <c r="AQ297" s="120" t="str">
        <f>IFERROR(VLOOKUP(Table1[RespondentID],'All Data'!$A$3:$CW$999,98,FALSE),"unknown")</f>
        <v>Medicaid</v>
      </c>
      <c r="AR297" s="120" t="str">
        <f>IFERROR(VLOOKUP(Table1[RespondentID],'All Data'!$A$3:$CW$999,99,FALSE),"unknown")</f>
        <v>Yes</v>
      </c>
    </row>
    <row r="298" spans="1:44" ht="16">
      <c r="A298" s="5">
        <v>18016028237</v>
      </c>
      <c r="B298" s="5" t="s">
        <v>29</v>
      </c>
      <c r="C298" s="5"/>
      <c r="D298" s="5"/>
      <c r="E298" s="5"/>
      <c r="F298" s="5" t="s">
        <v>33</v>
      </c>
      <c r="G298" s="5"/>
      <c r="H298" s="5" t="s">
        <v>35</v>
      </c>
      <c r="I298" s="5"/>
      <c r="J298" s="5"/>
      <c r="K298" s="5"/>
      <c r="L298" s="8"/>
      <c r="M298" s="8">
        <f t="shared" si="60"/>
        <v>3</v>
      </c>
      <c r="N298" s="8">
        <f t="shared" si="61"/>
        <v>1</v>
      </c>
      <c r="O298" s="8"/>
      <c r="P298" s="8">
        <f t="shared" si="62"/>
        <v>1</v>
      </c>
      <c r="Q298" s="8">
        <f t="shared" si="63"/>
        <v>0</v>
      </c>
      <c r="R298" s="8">
        <f t="shared" si="64"/>
        <v>0</v>
      </c>
      <c r="S298" s="8">
        <f t="shared" si="65"/>
        <v>0</v>
      </c>
      <c r="T298" s="8">
        <f t="shared" si="66"/>
        <v>1</v>
      </c>
      <c r="U298" s="8">
        <f t="shared" si="67"/>
        <v>0</v>
      </c>
      <c r="V298" s="153">
        <f t="shared" si="68"/>
        <v>1</v>
      </c>
      <c r="W298" s="8">
        <f t="shared" si="69"/>
        <v>0</v>
      </c>
      <c r="X298" s="8">
        <f t="shared" si="70"/>
        <v>0</v>
      </c>
      <c r="Y298" s="8">
        <f t="shared" si="71"/>
        <v>0</v>
      </c>
      <c r="Z298" s="8"/>
      <c r="AA298" s="8"/>
      <c r="AB298" s="8">
        <f t="shared" si="74"/>
        <v>3</v>
      </c>
      <c r="AC298" s="8">
        <f t="shared" si="72"/>
        <v>3</v>
      </c>
      <c r="AD298" s="8" t="str">
        <f t="shared" si="73"/>
        <v>Correct</v>
      </c>
      <c r="AE298" s="8"/>
      <c r="AF298" s="120" t="str">
        <f>IFERROR(VLOOKUP(Table1[RespondentID],'All Data'!$A$3:$CO$999,87,FALSE),"unknown")</f>
        <v>Woman</v>
      </c>
      <c r="AG298" s="120">
        <f>IFERROR(VLOOKUP(Table1[RespondentID],'All Data'!$A$3:$CO$999,88,FALSE),"unknown")</f>
        <v>29</v>
      </c>
      <c r="AH298" s="120" t="str">
        <f>IFERROR(VLOOKUP(Table1[RespondentID],'All Data'!$A$3:$CO$999,89,FALSE),"unknown")</f>
        <v>Nassau</v>
      </c>
      <c r="AI298" s="120" t="str">
        <f>IFERROR(VLOOKUP(Table1[RespondentID],'All Data'!$A$3:$CO$999,90,FALSE),"unknown")</f>
        <v>Baxter Estates, 11050</v>
      </c>
      <c r="AJ298" s="120" t="str">
        <f>IFERROR(VLOOKUP(Table1[RespondentID],'All Data'!$A$3:$CO$999,91,FALSE),"unknown")</f>
        <v>White</v>
      </c>
      <c r="AK298" s="120" t="str">
        <f>IFERROR(VLOOKUP(Table1[RespondentID],'All Data'!$A$3:$CO$999,92,FALSE),"unknown")</f>
        <v>Not Hispanic or Latino</v>
      </c>
      <c r="AL298" s="120" t="str">
        <f>IFERROR(VLOOKUP(Table1[RespondentID],'All Data'!$A$3:$CO$999,93,FALSE),"unknown")</f>
        <v>English</v>
      </c>
      <c r="AM298" s="120" t="str">
        <f>IFERROR(VLOOKUP(Table1[RespondentID],'All Data'!$A$3:$CW$999,94,FALSE),"unknown")</f>
        <v>$75,000 to $125,000</v>
      </c>
      <c r="AN298" s="120" t="str">
        <f>IFERROR(VLOOKUP(Table1[RespondentID],'All Data'!$A$3:$CW$999,95,FALSE),"unknown")</f>
        <v>Some college</v>
      </c>
      <c r="AO298" s="120" t="str">
        <f>IFERROR(VLOOKUP(Table1[RespondentID],'All Data'!$A$3:$CW$999,96,FALSE),"unknown")</f>
        <v>Employed for wages</v>
      </c>
      <c r="AP298" s="120" t="str">
        <f>IFERROR(VLOOKUP(Table1[RespondentID],'All Data'!$A$3:$CW$999,97,FALSE),"unknown")</f>
        <v>Yes</v>
      </c>
      <c r="AQ298" s="120" t="str">
        <f>IFERROR(VLOOKUP(Table1[RespondentID],'All Data'!$A$3:$CW$999,98,FALSE),"unknown")</f>
        <v>Medicaid</v>
      </c>
      <c r="AR298" s="120" t="str">
        <f>IFERROR(VLOOKUP(Table1[RespondentID],'All Data'!$A$3:$CW$999,99,FALSE),"unknown")</f>
        <v>Yes</v>
      </c>
    </row>
    <row r="299" spans="1:44" ht="16">
      <c r="A299" s="5">
        <v>18015976959</v>
      </c>
      <c r="B299" s="5" t="s">
        <v>29</v>
      </c>
      <c r="C299" s="5"/>
      <c r="D299" s="5"/>
      <c r="E299" s="5" t="s">
        <v>32</v>
      </c>
      <c r="F299" s="5"/>
      <c r="G299" s="5"/>
      <c r="H299" s="5" t="s">
        <v>35</v>
      </c>
      <c r="I299" s="5"/>
      <c r="J299" s="5"/>
      <c r="K299" s="5"/>
      <c r="L299" s="9"/>
      <c r="M299" s="9">
        <f t="shared" si="60"/>
        <v>3</v>
      </c>
      <c r="N299" s="9">
        <f t="shared" si="61"/>
        <v>1</v>
      </c>
      <c r="O299" s="9"/>
      <c r="P299" s="9">
        <f t="shared" si="62"/>
        <v>1</v>
      </c>
      <c r="Q299" s="9">
        <f t="shared" si="63"/>
        <v>0</v>
      </c>
      <c r="R299" s="9">
        <f t="shared" si="64"/>
        <v>0</v>
      </c>
      <c r="S299" s="9">
        <f t="shared" si="65"/>
        <v>1</v>
      </c>
      <c r="T299" s="9">
        <f t="shared" si="66"/>
        <v>0</v>
      </c>
      <c r="U299" s="9">
        <f t="shared" si="67"/>
        <v>0</v>
      </c>
      <c r="V299" s="153">
        <f t="shared" si="68"/>
        <v>1</v>
      </c>
      <c r="W299" s="9">
        <f t="shared" si="69"/>
        <v>0</v>
      </c>
      <c r="X299" s="9">
        <f t="shared" si="70"/>
        <v>0</v>
      </c>
      <c r="Y299" s="9">
        <f t="shared" si="71"/>
        <v>0</v>
      </c>
      <c r="Z299" s="9"/>
      <c r="AA299" s="9"/>
      <c r="AB299" s="9">
        <f t="shared" si="74"/>
        <v>3</v>
      </c>
      <c r="AC299" s="9">
        <f t="shared" si="72"/>
        <v>3</v>
      </c>
      <c r="AD299" s="9" t="str">
        <f t="shared" si="73"/>
        <v>Correct</v>
      </c>
      <c r="AE299" s="9"/>
      <c r="AF299" s="120" t="str">
        <f>IFERROR(VLOOKUP(Table1[RespondentID],'All Data'!$A$3:$CO$999,87,FALSE),"unknown")</f>
        <v>Woman</v>
      </c>
      <c r="AG299" s="120">
        <f>IFERROR(VLOOKUP(Table1[RespondentID],'All Data'!$A$3:$CO$999,88,FALSE),"unknown")</f>
        <v>23</v>
      </c>
      <c r="AH299" s="120" t="str">
        <f>IFERROR(VLOOKUP(Table1[RespondentID],'All Data'!$A$3:$CO$999,89,FALSE),"unknown")</f>
        <v>Queens</v>
      </c>
      <c r="AI299" s="120">
        <f>IFERROR(VLOOKUP(Table1[RespondentID],'All Data'!$A$3:$CO$999,90,FALSE),"unknown")</f>
        <v>11456</v>
      </c>
      <c r="AJ299" s="120" t="str">
        <f>IFERROR(VLOOKUP(Table1[RespondentID],'All Data'!$A$3:$CO$999,91,FALSE),"unknown")</f>
        <v>White</v>
      </c>
      <c r="AK299" s="120" t="str">
        <f>IFERROR(VLOOKUP(Table1[RespondentID],'All Data'!$A$3:$CO$999,92,FALSE),"unknown")</f>
        <v>Hispanic or Latino</v>
      </c>
      <c r="AL299" s="120" t="str">
        <f>IFERROR(VLOOKUP(Table1[RespondentID],'All Data'!$A$3:$CO$999,93,FALSE),"unknown")</f>
        <v>English</v>
      </c>
      <c r="AM299" s="120" t="str">
        <f>IFERROR(VLOOKUP(Table1[RespondentID],'All Data'!$A$3:$CW$999,94,FALSE),"unknown")</f>
        <v>$35,000 to $49,999</v>
      </c>
      <c r="AN299" s="120" t="str">
        <f>IFERROR(VLOOKUP(Table1[RespondentID],'All Data'!$A$3:$CW$999,95,FALSE),"unknown")</f>
        <v>College graduate</v>
      </c>
      <c r="AO299" s="120" t="str">
        <f>IFERROR(VLOOKUP(Table1[RespondentID],'All Data'!$A$3:$CW$999,96,FALSE),"unknown")</f>
        <v>Employed for wages</v>
      </c>
      <c r="AP299" s="120" t="str">
        <f>IFERROR(VLOOKUP(Table1[RespondentID],'All Data'!$A$3:$CW$999,97,FALSE),"unknown")</f>
        <v>Yes</v>
      </c>
      <c r="AQ299" s="120" t="str">
        <f>IFERROR(VLOOKUP(Table1[RespondentID],'All Data'!$A$3:$CW$999,98,FALSE),"unknown")</f>
        <v>Medicare</v>
      </c>
      <c r="AR299" s="120" t="str">
        <f>IFERROR(VLOOKUP(Table1[RespondentID],'All Data'!$A$3:$CW$999,99,FALSE),"unknown")</f>
        <v>Yes</v>
      </c>
    </row>
    <row r="300" spans="1:44" ht="16">
      <c r="A300" s="5">
        <v>18015976856</v>
      </c>
      <c r="B300" s="5"/>
      <c r="C300" s="5"/>
      <c r="D300" s="5"/>
      <c r="E300" s="5"/>
      <c r="F300" s="5"/>
      <c r="G300" s="5"/>
      <c r="H300" s="5"/>
      <c r="I300" s="5"/>
      <c r="J300" s="5"/>
      <c r="K300" s="5" t="s">
        <v>375</v>
      </c>
      <c r="L300" s="8"/>
      <c r="M300" s="8">
        <f t="shared" si="60"/>
        <v>1</v>
      </c>
      <c r="N300" s="8">
        <f t="shared" si="61"/>
        <v>3</v>
      </c>
      <c r="O300" s="8"/>
      <c r="P300" s="8">
        <f t="shared" si="62"/>
        <v>0</v>
      </c>
      <c r="Q300" s="8">
        <f t="shared" si="63"/>
        <v>0</v>
      </c>
      <c r="R300" s="8">
        <f t="shared" si="64"/>
        <v>0</v>
      </c>
      <c r="S300" s="8">
        <f t="shared" si="65"/>
        <v>0</v>
      </c>
      <c r="T300" s="8">
        <f t="shared" si="66"/>
        <v>0</v>
      </c>
      <c r="U300" s="8">
        <f t="shared" si="67"/>
        <v>0</v>
      </c>
      <c r="V300" s="153">
        <f t="shared" si="68"/>
        <v>0</v>
      </c>
      <c r="W300" s="8">
        <f t="shared" si="69"/>
        <v>0</v>
      </c>
      <c r="X300" s="8">
        <f t="shared" si="70"/>
        <v>0</v>
      </c>
      <c r="Y300" s="8">
        <f t="shared" si="71"/>
        <v>1</v>
      </c>
      <c r="Z300" s="8"/>
      <c r="AA300" s="8"/>
      <c r="AB300" s="8">
        <f t="shared" si="74"/>
        <v>1</v>
      </c>
      <c r="AC300" s="8">
        <f t="shared" si="72"/>
        <v>1</v>
      </c>
      <c r="AD300" s="8" t="str">
        <f t="shared" si="73"/>
        <v>Correct</v>
      </c>
      <c r="AE300" s="8"/>
      <c r="AF300" s="120" t="str">
        <f>IFERROR(VLOOKUP(Table1[RespondentID],'All Data'!$A$3:$CO$999,87,FALSE),"unknown")</f>
        <v>Man</v>
      </c>
      <c r="AG300" s="120">
        <f>IFERROR(VLOOKUP(Table1[RespondentID],'All Data'!$A$3:$CO$999,88,FALSE),"unknown")</f>
        <v>16</v>
      </c>
      <c r="AH300" s="120" t="str">
        <f>IFERROR(VLOOKUP(Table1[RespondentID],'All Data'!$A$3:$CO$999,89,FALSE),"unknown")</f>
        <v>Suffolk</v>
      </c>
      <c r="AI300" s="120" t="str">
        <f>IFERROR(VLOOKUP(Table1[RespondentID],'All Data'!$A$3:$CO$999,90,FALSE),"unknown")</f>
        <v>Head of the Harbor, 11780</v>
      </c>
      <c r="AJ300" s="120" t="str">
        <f>IFERROR(VLOOKUP(Table1[RespondentID],'All Data'!$A$3:$CO$999,91,FALSE),"unknown")</f>
        <v>White</v>
      </c>
      <c r="AK300" s="120" t="str">
        <f>IFERROR(VLOOKUP(Table1[RespondentID],'All Data'!$A$3:$CO$999,92,FALSE),"unknown")</f>
        <v>Hispanic or Latino</v>
      </c>
      <c r="AL300" s="120" t="str">
        <f>IFERROR(VLOOKUP(Table1[RespondentID],'All Data'!$A$3:$CO$999,93,FALSE),"unknown")</f>
        <v>English</v>
      </c>
      <c r="AM300" s="120" t="str">
        <f>IFERROR(VLOOKUP(Table1[RespondentID],'All Data'!$A$3:$CW$999,94,FALSE),"unknown")</f>
        <v>Over $125,000</v>
      </c>
      <c r="AN300" s="120" t="str">
        <f>IFERROR(VLOOKUP(Table1[RespondentID],'All Data'!$A$3:$CW$999,95,FALSE),"unknown")</f>
        <v>Some high school</v>
      </c>
      <c r="AO300" s="120" t="str">
        <f>IFERROR(VLOOKUP(Table1[RespondentID],'All Data'!$A$3:$CW$999,96,FALSE),"unknown")</f>
        <v>Employed for wages</v>
      </c>
      <c r="AP300" s="120" t="str">
        <f>IFERROR(VLOOKUP(Table1[RespondentID],'All Data'!$A$3:$CW$999,97,FALSE),"unknown")</f>
        <v>Yes</v>
      </c>
      <c r="AQ300" s="120" t="str">
        <f>IFERROR(VLOOKUP(Table1[RespondentID],'All Data'!$A$3:$CW$999,98,FALSE),"unknown")</f>
        <v>Private/Commercial</v>
      </c>
      <c r="AR300" s="120" t="str">
        <f>IFERROR(VLOOKUP(Table1[RespondentID],'All Data'!$A$3:$CW$999,99,FALSE),"unknown")</f>
        <v>Yes</v>
      </c>
    </row>
    <row r="301" spans="1:44" ht="16">
      <c r="A301" s="5">
        <v>18015956572</v>
      </c>
      <c r="B301" s="5"/>
      <c r="C301" s="5" t="s">
        <v>30</v>
      </c>
      <c r="D301" s="5"/>
      <c r="E301" s="5" t="s">
        <v>32</v>
      </c>
      <c r="F301" s="5" t="s">
        <v>33</v>
      </c>
      <c r="G301" s="5"/>
      <c r="H301" s="5"/>
      <c r="I301" s="5"/>
      <c r="J301" s="5"/>
      <c r="K301" s="5" t="s">
        <v>375</v>
      </c>
      <c r="L301" s="9"/>
      <c r="M301" s="9">
        <f t="shared" si="60"/>
        <v>4</v>
      </c>
      <c r="N301" s="9">
        <f t="shared" si="61"/>
        <v>0.75</v>
      </c>
      <c r="O301" s="9"/>
      <c r="P301" s="9">
        <f t="shared" si="62"/>
        <v>0</v>
      </c>
      <c r="Q301" s="9">
        <f t="shared" si="63"/>
        <v>0.75</v>
      </c>
      <c r="R301" s="9">
        <f t="shared" si="64"/>
        <v>0</v>
      </c>
      <c r="S301" s="9">
        <f t="shared" si="65"/>
        <v>0.75</v>
      </c>
      <c r="T301" s="9">
        <f t="shared" si="66"/>
        <v>0.75</v>
      </c>
      <c r="U301" s="9">
        <f t="shared" si="67"/>
        <v>0</v>
      </c>
      <c r="V301" s="153">
        <f t="shared" si="68"/>
        <v>0</v>
      </c>
      <c r="W301" s="9">
        <f t="shared" si="69"/>
        <v>0</v>
      </c>
      <c r="X301" s="9">
        <f t="shared" si="70"/>
        <v>0</v>
      </c>
      <c r="Y301" s="9">
        <f t="shared" si="71"/>
        <v>0.75</v>
      </c>
      <c r="Z301" s="9"/>
      <c r="AA301" s="9"/>
      <c r="AB301" s="9">
        <f t="shared" si="74"/>
        <v>3</v>
      </c>
      <c r="AC301" s="9">
        <f t="shared" si="72"/>
        <v>4</v>
      </c>
      <c r="AD301" s="9" t="str">
        <f t="shared" si="73"/>
        <v>Correct</v>
      </c>
      <c r="AE301" s="9"/>
      <c r="AF301" s="120" t="str">
        <f>IFERROR(VLOOKUP(Table1[RespondentID],'All Data'!$A$3:$CO$999,87,FALSE),"unknown")</f>
        <v>Man</v>
      </c>
      <c r="AG301" s="120">
        <f>IFERROR(VLOOKUP(Table1[RespondentID],'All Data'!$A$3:$CO$999,88,FALSE),"unknown")</f>
        <v>20</v>
      </c>
      <c r="AH301" s="120" t="str">
        <f>IFERROR(VLOOKUP(Table1[RespondentID],'All Data'!$A$3:$CO$999,89,FALSE),"unknown")</f>
        <v>Nassau</v>
      </c>
      <c r="AI301" s="120" t="str">
        <f>IFERROR(VLOOKUP(Table1[RespondentID],'All Data'!$A$3:$CO$999,90,FALSE),"unknown")</f>
        <v>Hempstead, 11550</v>
      </c>
      <c r="AJ301" s="120" t="str">
        <f>IFERROR(VLOOKUP(Table1[RespondentID],'All Data'!$A$3:$CO$999,91,FALSE),"unknown")</f>
        <v>White</v>
      </c>
      <c r="AK301" s="120" t="str">
        <f>IFERROR(VLOOKUP(Table1[RespondentID],'All Data'!$A$3:$CO$999,92,FALSE),"unknown")</f>
        <v>Not Hispanic or Latino</v>
      </c>
      <c r="AL301" s="120" t="str">
        <f>IFERROR(VLOOKUP(Table1[RespondentID],'All Data'!$A$3:$CO$999,93,FALSE),"unknown")</f>
        <v>Spanish</v>
      </c>
      <c r="AM301" s="120" t="str">
        <f>IFERROR(VLOOKUP(Table1[RespondentID],'All Data'!$A$3:$CW$999,94,FALSE),"unknown")</f>
        <v>$20,000 to $34,999</v>
      </c>
      <c r="AN301" s="120" t="str">
        <f>IFERROR(VLOOKUP(Table1[RespondentID],'All Data'!$A$3:$CW$999,95,FALSE),"unknown")</f>
        <v>Some college</v>
      </c>
      <c r="AO301" s="120" t="str">
        <f>IFERROR(VLOOKUP(Table1[RespondentID],'All Data'!$A$3:$CW$999,96,FALSE),"unknown")</f>
        <v>Student</v>
      </c>
      <c r="AP301" s="120" t="str">
        <f>IFERROR(VLOOKUP(Table1[RespondentID],'All Data'!$A$3:$CW$999,97,FALSE),"unknown")</f>
        <v>Yes</v>
      </c>
      <c r="AQ301" s="120" t="str">
        <f>IFERROR(VLOOKUP(Table1[RespondentID],'All Data'!$A$3:$CW$999,98,FALSE),"unknown")</f>
        <v>Medicaid</v>
      </c>
      <c r="AR301" s="120" t="str">
        <f>IFERROR(VLOOKUP(Table1[RespondentID],'All Data'!$A$3:$CW$999,99,FALSE),"unknown")</f>
        <v>Yes</v>
      </c>
    </row>
    <row r="302" spans="1:44" ht="16">
      <c r="A302" s="5">
        <v>18015878869</v>
      </c>
      <c r="B302" s="5"/>
      <c r="C302" s="5"/>
      <c r="D302" s="5" t="s">
        <v>31</v>
      </c>
      <c r="E302" s="5"/>
      <c r="F302" s="5"/>
      <c r="G302" s="5"/>
      <c r="H302" s="5" t="s">
        <v>35</v>
      </c>
      <c r="I302" s="5" t="s">
        <v>36</v>
      </c>
      <c r="J302" s="5"/>
      <c r="K302" s="5"/>
      <c r="L302" s="8"/>
      <c r="M302" s="8">
        <f t="shared" si="60"/>
        <v>3</v>
      </c>
      <c r="N302" s="8">
        <f t="shared" si="61"/>
        <v>1</v>
      </c>
      <c r="O302" s="8"/>
      <c r="P302" s="8">
        <f t="shared" si="62"/>
        <v>0</v>
      </c>
      <c r="Q302" s="8">
        <f t="shared" si="63"/>
        <v>0</v>
      </c>
      <c r="R302" s="8">
        <f t="shared" si="64"/>
        <v>1</v>
      </c>
      <c r="S302" s="8">
        <f t="shared" si="65"/>
        <v>0</v>
      </c>
      <c r="T302" s="8">
        <f t="shared" si="66"/>
        <v>0</v>
      </c>
      <c r="U302" s="8">
        <f t="shared" si="67"/>
        <v>0</v>
      </c>
      <c r="V302" s="153">
        <f t="shared" si="68"/>
        <v>1</v>
      </c>
      <c r="W302" s="8">
        <f t="shared" si="69"/>
        <v>1</v>
      </c>
      <c r="X302" s="8">
        <f t="shared" si="70"/>
        <v>0</v>
      </c>
      <c r="Y302" s="8">
        <f t="shared" si="71"/>
        <v>0</v>
      </c>
      <c r="Z302" s="8"/>
      <c r="AA302" s="8"/>
      <c r="AB302" s="8">
        <f t="shared" si="74"/>
        <v>3</v>
      </c>
      <c r="AC302" s="8">
        <f t="shared" si="72"/>
        <v>3</v>
      </c>
      <c r="AD302" s="8" t="str">
        <f t="shared" si="73"/>
        <v>Correct</v>
      </c>
      <c r="AE302" s="8"/>
      <c r="AF302" s="120" t="str">
        <f>IFERROR(VLOOKUP(Table1[RespondentID],'All Data'!$A$3:$CO$999,87,FALSE),"unknown")</f>
        <v>Woman</v>
      </c>
      <c r="AG302" s="120">
        <f>IFERROR(VLOOKUP(Table1[RespondentID],'All Data'!$A$3:$CO$999,88,FALSE),"unknown")</f>
        <v>20</v>
      </c>
      <c r="AH302" s="120" t="str">
        <f>IFERROR(VLOOKUP(Table1[RespondentID],'All Data'!$A$3:$CO$999,89,FALSE),"unknown")</f>
        <v>Nassau</v>
      </c>
      <c r="AI302" s="120" t="str">
        <f>IFERROR(VLOOKUP(Table1[RespondentID],'All Data'!$A$3:$CO$999,90,FALSE),"unknown")</f>
        <v>Freeport, 11520</v>
      </c>
      <c r="AJ302" s="120" t="str">
        <f>IFERROR(VLOOKUP(Table1[RespondentID],'All Data'!$A$3:$CO$999,91,FALSE),"unknown")</f>
        <v>Other (please specify)</v>
      </c>
      <c r="AK302" s="120" t="str">
        <f>IFERROR(VLOOKUP(Table1[RespondentID],'All Data'!$A$3:$CO$999,92,FALSE),"unknown")</f>
        <v>Not Hispanic or Latino</v>
      </c>
      <c r="AL302" s="120" t="str">
        <f>IFERROR(VLOOKUP(Table1[RespondentID],'All Data'!$A$3:$CO$999,93,FALSE),"unknown")</f>
        <v>English, Spanish</v>
      </c>
      <c r="AM302" s="120" t="str">
        <f>IFERROR(VLOOKUP(Table1[RespondentID],'All Data'!$A$3:$CW$999,94,FALSE),"unknown")</f>
        <v>$0-$19,999</v>
      </c>
      <c r="AN302" s="120" t="str">
        <f>IFERROR(VLOOKUP(Table1[RespondentID],'All Data'!$A$3:$CW$999,95,FALSE),"unknown")</f>
        <v>Some college</v>
      </c>
      <c r="AO302" s="120" t="str">
        <f>IFERROR(VLOOKUP(Table1[RespondentID],'All Data'!$A$3:$CW$999,96,FALSE),"unknown")</f>
        <v>Employed for wages</v>
      </c>
      <c r="AP302" s="120">
        <f>IFERROR(VLOOKUP(Table1[RespondentID],'All Data'!$A$3:$CW$999,97,FALSE),"unknown")</f>
        <v>0</v>
      </c>
      <c r="AQ302" s="120" t="str">
        <f>IFERROR(VLOOKUP(Table1[RespondentID],'All Data'!$A$3:$CW$999,98,FALSE),"unknown")</f>
        <v>No Insurance</v>
      </c>
      <c r="AR302" s="120" t="str">
        <f>IFERROR(VLOOKUP(Table1[RespondentID],'All Data'!$A$3:$CW$999,99,FALSE),"unknown")</f>
        <v>Yes</v>
      </c>
    </row>
    <row r="303" spans="1:44" ht="16">
      <c r="A303" s="5">
        <v>18015822327</v>
      </c>
      <c r="B303" s="5"/>
      <c r="C303" s="5"/>
      <c r="D303" s="5" t="s">
        <v>31</v>
      </c>
      <c r="E303" s="5"/>
      <c r="F303" s="5"/>
      <c r="G303" s="5"/>
      <c r="H303" s="5"/>
      <c r="I303" s="5" t="s">
        <v>36</v>
      </c>
      <c r="J303" s="5"/>
      <c r="K303" s="5"/>
      <c r="L303" s="9"/>
      <c r="M303" s="9">
        <f t="shared" si="60"/>
        <v>2</v>
      </c>
      <c r="N303" s="9">
        <f t="shared" si="61"/>
        <v>1.5</v>
      </c>
      <c r="O303" s="9"/>
      <c r="P303" s="9">
        <f t="shared" si="62"/>
        <v>0</v>
      </c>
      <c r="Q303" s="9">
        <f t="shared" si="63"/>
        <v>0</v>
      </c>
      <c r="R303" s="9">
        <f t="shared" si="64"/>
        <v>1</v>
      </c>
      <c r="S303" s="9">
        <f t="shared" si="65"/>
        <v>0</v>
      </c>
      <c r="T303" s="9">
        <f t="shared" si="66"/>
        <v>0</v>
      </c>
      <c r="U303" s="9">
        <f t="shared" si="67"/>
        <v>0</v>
      </c>
      <c r="V303" s="153">
        <f t="shared" si="68"/>
        <v>0</v>
      </c>
      <c r="W303" s="9">
        <f t="shared" si="69"/>
        <v>1</v>
      </c>
      <c r="X303" s="9">
        <f t="shared" si="70"/>
        <v>0</v>
      </c>
      <c r="Y303" s="9">
        <f t="shared" si="71"/>
        <v>0</v>
      </c>
      <c r="Z303" s="9"/>
      <c r="AA303" s="9"/>
      <c r="AB303" s="9">
        <f t="shared" si="74"/>
        <v>2</v>
      </c>
      <c r="AC303" s="9">
        <f t="shared" si="72"/>
        <v>2</v>
      </c>
      <c r="AD303" s="9" t="str">
        <f t="shared" si="73"/>
        <v>Correct</v>
      </c>
      <c r="AE303" s="9"/>
      <c r="AF303" s="120" t="str">
        <f>IFERROR(VLOOKUP(Table1[RespondentID],'All Data'!$A$3:$CO$999,87,FALSE),"unknown")</f>
        <v>Man</v>
      </c>
      <c r="AG303" s="120">
        <f>IFERROR(VLOOKUP(Table1[RespondentID],'All Data'!$A$3:$CO$999,88,FALSE),"unknown")</f>
        <v>21</v>
      </c>
      <c r="AH303" s="120" t="str">
        <f>IFERROR(VLOOKUP(Table1[RespondentID],'All Data'!$A$3:$CO$999,89,FALSE),"unknown")</f>
        <v>Nassau</v>
      </c>
      <c r="AI303" s="120" t="str">
        <f>IFERROR(VLOOKUP(Table1[RespondentID],'All Data'!$A$3:$CO$999,90,FALSE),"unknown")</f>
        <v>Uniondale, 11553</v>
      </c>
      <c r="AJ303" s="120">
        <f>IFERROR(VLOOKUP(Table1[RespondentID],'All Data'!$A$3:$CO$999,91,FALSE),"unknown")</f>
        <v>0</v>
      </c>
      <c r="AK303" s="120" t="str">
        <f>IFERROR(VLOOKUP(Table1[RespondentID],'All Data'!$A$3:$CO$999,92,FALSE),"unknown")</f>
        <v>Not Hispanic or Latino</v>
      </c>
      <c r="AL303" s="120" t="str">
        <f>IFERROR(VLOOKUP(Table1[RespondentID],'All Data'!$A$3:$CO$999,93,FALSE),"unknown")</f>
        <v>English, Spanish</v>
      </c>
      <c r="AM303" s="120">
        <f>IFERROR(VLOOKUP(Table1[RespondentID],'All Data'!$A$3:$CW$999,94,FALSE),"unknown")</f>
        <v>0</v>
      </c>
      <c r="AN303" s="120" t="str">
        <f>IFERROR(VLOOKUP(Table1[RespondentID],'All Data'!$A$3:$CW$999,95,FALSE),"unknown")</f>
        <v>High school graduate</v>
      </c>
      <c r="AO303" s="120" t="str">
        <f>IFERROR(VLOOKUP(Table1[RespondentID],'All Data'!$A$3:$CW$999,96,FALSE),"unknown")</f>
        <v>Out of work and looking for work</v>
      </c>
      <c r="AP303" s="120" t="str">
        <f>IFERROR(VLOOKUP(Table1[RespondentID],'All Data'!$A$3:$CW$999,97,FALSE),"unknown")</f>
        <v>Yes</v>
      </c>
      <c r="AQ303" s="120" t="str">
        <f>IFERROR(VLOOKUP(Table1[RespondentID],'All Data'!$A$3:$CW$999,98,FALSE),"unknown")</f>
        <v>Medicaid</v>
      </c>
      <c r="AR303" s="120" t="str">
        <f>IFERROR(VLOOKUP(Table1[RespondentID],'All Data'!$A$3:$CW$999,99,FALSE),"unknown")</f>
        <v>Yes</v>
      </c>
    </row>
    <row r="304" spans="1:44" ht="16">
      <c r="A304" s="5">
        <v>18015503169</v>
      </c>
      <c r="B304" s="5"/>
      <c r="C304" s="5" t="s">
        <v>30</v>
      </c>
      <c r="D304" s="5"/>
      <c r="E304" s="5"/>
      <c r="F304" s="5"/>
      <c r="G304" s="5" t="s">
        <v>34</v>
      </c>
      <c r="H304" s="5"/>
      <c r="I304" s="5"/>
      <c r="J304" s="5"/>
      <c r="K304" s="5" t="s">
        <v>375</v>
      </c>
      <c r="L304" s="8"/>
      <c r="M304" s="8">
        <f t="shared" si="60"/>
        <v>3</v>
      </c>
      <c r="N304" s="8">
        <f t="shared" si="61"/>
        <v>1</v>
      </c>
      <c r="O304" s="8"/>
      <c r="P304" s="8">
        <f t="shared" si="62"/>
        <v>0</v>
      </c>
      <c r="Q304" s="8">
        <f t="shared" si="63"/>
        <v>1</v>
      </c>
      <c r="R304" s="8">
        <f t="shared" si="64"/>
        <v>0</v>
      </c>
      <c r="S304" s="8">
        <f t="shared" si="65"/>
        <v>0</v>
      </c>
      <c r="T304" s="8">
        <f t="shared" si="66"/>
        <v>0</v>
      </c>
      <c r="U304" s="8">
        <f t="shared" si="67"/>
        <v>1</v>
      </c>
      <c r="V304" s="153">
        <f t="shared" si="68"/>
        <v>0</v>
      </c>
      <c r="W304" s="8">
        <f t="shared" si="69"/>
        <v>0</v>
      </c>
      <c r="X304" s="8">
        <f t="shared" si="70"/>
        <v>0</v>
      </c>
      <c r="Y304" s="8">
        <f t="shared" si="71"/>
        <v>1</v>
      </c>
      <c r="Z304" s="8"/>
      <c r="AA304" s="8"/>
      <c r="AB304" s="8">
        <f t="shared" si="74"/>
        <v>3</v>
      </c>
      <c r="AC304" s="8">
        <f t="shared" si="72"/>
        <v>3</v>
      </c>
      <c r="AD304" s="8" t="str">
        <f t="shared" si="73"/>
        <v>Correct</v>
      </c>
      <c r="AE304" s="8"/>
      <c r="AF304" s="120" t="str">
        <f>IFERROR(VLOOKUP(Table1[RespondentID],'All Data'!$A$3:$CO$999,87,FALSE),"unknown")</f>
        <v>Man</v>
      </c>
      <c r="AG304" s="120">
        <f>IFERROR(VLOOKUP(Table1[RespondentID],'All Data'!$A$3:$CO$999,88,FALSE),"unknown")</f>
        <v>18</v>
      </c>
      <c r="AH304" s="120" t="str">
        <f>IFERROR(VLOOKUP(Table1[RespondentID],'All Data'!$A$3:$CO$999,89,FALSE),"unknown")</f>
        <v>Nassau</v>
      </c>
      <c r="AI304" s="120" t="str">
        <f>IFERROR(VLOOKUP(Table1[RespondentID],'All Data'!$A$3:$CO$999,90,FALSE),"unknown")</f>
        <v>Lake Success, 11020</v>
      </c>
      <c r="AJ304" s="120" t="str">
        <f>IFERROR(VLOOKUP(Table1[RespondentID],'All Data'!$A$3:$CO$999,91,FALSE),"unknown")</f>
        <v>White</v>
      </c>
      <c r="AK304" s="120" t="str">
        <f>IFERROR(VLOOKUP(Table1[RespondentID],'All Data'!$A$3:$CO$999,92,FALSE),"unknown")</f>
        <v>Not Hispanic or Latino</v>
      </c>
      <c r="AL304" s="120" t="str">
        <f>IFERROR(VLOOKUP(Table1[RespondentID],'All Data'!$A$3:$CO$999,93,FALSE),"unknown")</f>
        <v>English</v>
      </c>
      <c r="AM304" s="120" t="str">
        <f>IFERROR(VLOOKUP(Table1[RespondentID],'All Data'!$A$3:$CW$999,94,FALSE),"unknown")</f>
        <v>$0-$19,999</v>
      </c>
      <c r="AN304" s="120" t="str">
        <f>IFERROR(VLOOKUP(Table1[RespondentID],'All Data'!$A$3:$CW$999,95,FALSE),"unknown")</f>
        <v>College graduate</v>
      </c>
      <c r="AO304" s="120" t="str">
        <f>IFERROR(VLOOKUP(Table1[RespondentID],'All Data'!$A$3:$CW$999,96,FALSE),"unknown")</f>
        <v>Employed for wages</v>
      </c>
      <c r="AP304" s="120" t="str">
        <f>IFERROR(VLOOKUP(Table1[RespondentID],'All Data'!$A$3:$CW$999,97,FALSE),"unknown")</f>
        <v>Yes</v>
      </c>
      <c r="AQ304" s="120" t="str">
        <f>IFERROR(VLOOKUP(Table1[RespondentID],'All Data'!$A$3:$CW$999,98,FALSE),"unknown")</f>
        <v>Medicare</v>
      </c>
      <c r="AR304" s="120" t="str">
        <f>IFERROR(VLOOKUP(Table1[RespondentID],'All Data'!$A$3:$CW$999,99,FALSE),"unknown")</f>
        <v>Yes</v>
      </c>
    </row>
    <row r="305" spans="1:44" ht="16">
      <c r="A305" s="5">
        <v>18015489362</v>
      </c>
      <c r="B305" s="5"/>
      <c r="C305" s="5"/>
      <c r="D305" s="5"/>
      <c r="E305" s="5"/>
      <c r="F305" s="5"/>
      <c r="G305" s="5" t="s">
        <v>34</v>
      </c>
      <c r="H305" s="5"/>
      <c r="I305" s="5"/>
      <c r="J305" s="5"/>
      <c r="K305" s="5"/>
      <c r="L305" s="9"/>
      <c r="M305" s="9">
        <f t="shared" si="60"/>
        <v>1</v>
      </c>
      <c r="N305" s="9">
        <f t="shared" si="61"/>
        <v>3</v>
      </c>
      <c r="O305" s="9"/>
      <c r="P305" s="9">
        <f t="shared" si="62"/>
        <v>0</v>
      </c>
      <c r="Q305" s="9">
        <f t="shared" si="63"/>
        <v>0</v>
      </c>
      <c r="R305" s="9">
        <f t="shared" si="64"/>
        <v>0</v>
      </c>
      <c r="S305" s="9">
        <f t="shared" si="65"/>
        <v>0</v>
      </c>
      <c r="T305" s="9">
        <f t="shared" si="66"/>
        <v>0</v>
      </c>
      <c r="U305" s="9">
        <f t="shared" si="67"/>
        <v>1</v>
      </c>
      <c r="V305" s="153">
        <f t="shared" si="68"/>
        <v>0</v>
      </c>
      <c r="W305" s="9">
        <f t="shared" si="69"/>
        <v>0</v>
      </c>
      <c r="X305" s="9">
        <f t="shared" si="70"/>
        <v>0</v>
      </c>
      <c r="Y305" s="9">
        <f t="shared" si="71"/>
        <v>0</v>
      </c>
      <c r="Z305" s="9"/>
      <c r="AA305" s="9"/>
      <c r="AB305" s="9">
        <f t="shared" si="74"/>
        <v>1</v>
      </c>
      <c r="AC305" s="9">
        <f t="shared" si="72"/>
        <v>1</v>
      </c>
      <c r="AD305" s="9" t="str">
        <f t="shared" si="73"/>
        <v>Correct</v>
      </c>
      <c r="AE305" s="9"/>
      <c r="AF305" s="120" t="str">
        <f>IFERROR(VLOOKUP(Table1[RespondentID],'All Data'!$A$3:$CO$999,87,FALSE),"unknown")</f>
        <v>Man</v>
      </c>
      <c r="AG305" s="120">
        <f>IFERROR(VLOOKUP(Table1[RespondentID],'All Data'!$A$3:$CO$999,88,FALSE),"unknown")</f>
        <v>18</v>
      </c>
      <c r="AH305" s="120" t="str">
        <f>IFERROR(VLOOKUP(Table1[RespondentID],'All Data'!$A$3:$CO$999,89,FALSE),"unknown")</f>
        <v>Suffolk</v>
      </c>
      <c r="AI305" s="120" t="str">
        <f>IFERROR(VLOOKUP(Table1[RespondentID],'All Data'!$A$3:$CO$999,90,FALSE),"unknown")</f>
        <v>Smithtown, 11745</v>
      </c>
      <c r="AJ305" s="120" t="str">
        <f>IFERROR(VLOOKUP(Table1[RespondentID],'All Data'!$A$3:$CO$999,91,FALSE),"unknown")</f>
        <v>White</v>
      </c>
      <c r="AK305" s="120" t="str">
        <f>IFERROR(VLOOKUP(Table1[RespondentID],'All Data'!$A$3:$CO$999,92,FALSE),"unknown")</f>
        <v>Hispanic or Latino</v>
      </c>
      <c r="AL305" s="120" t="str">
        <f>IFERROR(VLOOKUP(Table1[RespondentID],'All Data'!$A$3:$CO$999,93,FALSE),"unknown")</f>
        <v>English</v>
      </c>
      <c r="AM305" s="120" t="str">
        <f>IFERROR(VLOOKUP(Table1[RespondentID],'All Data'!$A$3:$CW$999,94,FALSE),"unknown")</f>
        <v>Over $125,000</v>
      </c>
      <c r="AN305" s="120" t="str">
        <f>IFERROR(VLOOKUP(Table1[RespondentID],'All Data'!$A$3:$CW$999,95,FALSE),"unknown")</f>
        <v>College graduate</v>
      </c>
      <c r="AO305" s="120" t="str">
        <f>IFERROR(VLOOKUP(Table1[RespondentID],'All Data'!$A$3:$CW$999,96,FALSE),"unknown")</f>
        <v>Employed for wages</v>
      </c>
      <c r="AP305" s="120" t="str">
        <f>IFERROR(VLOOKUP(Table1[RespondentID],'All Data'!$A$3:$CW$999,97,FALSE),"unknown")</f>
        <v>Yes</v>
      </c>
      <c r="AQ305" s="120" t="str">
        <f>IFERROR(VLOOKUP(Table1[RespondentID],'All Data'!$A$3:$CW$999,98,FALSE),"unknown")</f>
        <v>Private/Commercial</v>
      </c>
      <c r="AR305" s="120" t="str">
        <f>IFERROR(VLOOKUP(Table1[RespondentID],'All Data'!$A$3:$CW$999,99,FALSE),"unknown")</f>
        <v>Yes</v>
      </c>
    </row>
    <row r="306" spans="1:44" ht="16">
      <c r="A306" s="5">
        <v>18015152631</v>
      </c>
      <c r="B306" s="5"/>
      <c r="C306" s="5"/>
      <c r="D306" s="5"/>
      <c r="E306" s="5"/>
      <c r="F306" s="5"/>
      <c r="G306" s="5" t="s">
        <v>34</v>
      </c>
      <c r="H306" s="5"/>
      <c r="I306" s="5"/>
      <c r="J306" s="5"/>
      <c r="K306" s="5"/>
      <c r="L306" s="8"/>
      <c r="M306" s="8">
        <f t="shared" si="60"/>
        <v>1</v>
      </c>
      <c r="N306" s="8">
        <f t="shared" si="61"/>
        <v>3</v>
      </c>
      <c r="O306" s="8"/>
      <c r="P306" s="8">
        <f t="shared" si="62"/>
        <v>0</v>
      </c>
      <c r="Q306" s="8">
        <f t="shared" si="63"/>
        <v>0</v>
      </c>
      <c r="R306" s="8">
        <f t="shared" si="64"/>
        <v>0</v>
      </c>
      <c r="S306" s="8">
        <f t="shared" si="65"/>
        <v>0</v>
      </c>
      <c r="T306" s="8">
        <f t="shared" si="66"/>
        <v>0</v>
      </c>
      <c r="U306" s="8">
        <f t="shared" si="67"/>
        <v>1</v>
      </c>
      <c r="V306" s="153">
        <f t="shared" si="68"/>
        <v>0</v>
      </c>
      <c r="W306" s="8">
        <f t="shared" si="69"/>
        <v>0</v>
      </c>
      <c r="X306" s="8">
        <f t="shared" si="70"/>
        <v>0</v>
      </c>
      <c r="Y306" s="8">
        <f t="shared" si="71"/>
        <v>0</v>
      </c>
      <c r="Z306" s="8"/>
      <c r="AA306" s="8"/>
      <c r="AB306" s="8">
        <f t="shared" si="74"/>
        <v>1</v>
      </c>
      <c r="AC306" s="8">
        <f t="shared" si="72"/>
        <v>1</v>
      </c>
      <c r="AD306" s="8" t="str">
        <f t="shared" si="73"/>
        <v>Correct</v>
      </c>
      <c r="AE306" s="8"/>
      <c r="AF306" s="120" t="str">
        <f>IFERROR(VLOOKUP(Table1[RespondentID],'All Data'!$A$3:$CO$999,87,FALSE),"unknown")</f>
        <v>Woman</v>
      </c>
      <c r="AG306" s="120">
        <f>IFERROR(VLOOKUP(Table1[RespondentID],'All Data'!$A$3:$CO$999,88,FALSE),"unknown")</f>
        <v>31</v>
      </c>
      <c r="AH306" s="120" t="str">
        <f>IFERROR(VLOOKUP(Table1[RespondentID],'All Data'!$A$3:$CO$999,89,FALSE),"unknown")</f>
        <v>Queens</v>
      </c>
      <c r="AI306" s="120">
        <f>IFERROR(VLOOKUP(Table1[RespondentID],'All Data'!$A$3:$CO$999,90,FALSE),"unknown")</f>
        <v>0</v>
      </c>
      <c r="AJ306" s="120">
        <f>IFERROR(VLOOKUP(Table1[RespondentID],'All Data'!$A$3:$CO$999,91,FALSE),"unknown")</f>
        <v>0</v>
      </c>
      <c r="AK306" s="120">
        <f>IFERROR(VLOOKUP(Table1[RespondentID],'All Data'!$A$3:$CO$999,92,FALSE),"unknown")</f>
        <v>0</v>
      </c>
      <c r="AL306" s="120">
        <f>IFERROR(VLOOKUP(Table1[RespondentID],'All Data'!$A$3:$CO$999,93,FALSE),"unknown")</f>
        <v>0</v>
      </c>
      <c r="AM306" s="120">
        <f>IFERROR(VLOOKUP(Table1[RespondentID],'All Data'!$A$3:$CW$999,94,FALSE),"unknown")</f>
        <v>0</v>
      </c>
      <c r="AN306" s="120">
        <f>IFERROR(VLOOKUP(Table1[RespondentID],'All Data'!$A$3:$CW$999,95,FALSE),"unknown")</f>
        <v>0</v>
      </c>
      <c r="AO306" s="120">
        <f>IFERROR(VLOOKUP(Table1[RespondentID],'All Data'!$A$3:$CW$999,96,FALSE),"unknown")</f>
        <v>0</v>
      </c>
      <c r="AP306" s="120">
        <f>IFERROR(VLOOKUP(Table1[RespondentID],'All Data'!$A$3:$CW$999,97,FALSE),"unknown")</f>
        <v>0</v>
      </c>
      <c r="AQ306" s="120">
        <f>IFERROR(VLOOKUP(Table1[RespondentID],'All Data'!$A$3:$CW$999,98,FALSE),"unknown")</f>
        <v>0</v>
      </c>
      <c r="AR306" s="120">
        <f>IFERROR(VLOOKUP(Table1[RespondentID],'All Data'!$A$3:$CW$999,99,FALSE),"unknown")</f>
        <v>0</v>
      </c>
    </row>
    <row r="307" spans="1:44" ht="16">
      <c r="A307" s="5">
        <v>18014932720</v>
      </c>
      <c r="B307" s="5"/>
      <c r="C307" s="5"/>
      <c r="D307" s="5" t="s">
        <v>31</v>
      </c>
      <c r="E307" s="5"/>
      <c r="F307" s="5"/>
      <c r="G307" s="5"/>
      <c r="H307" s="5"/>
      <c r="I307" s="5"/>
      <c r="J307" s="5"/>
      <c r="K307" s="5"/>
      <c r="L307" s="9"/>
      <c r="M307" s="9">
        <f t="shared" si="60"/>
        <v>1</v>
      </c>
      <c r="N307" s="9">
        <f t="shared" si="61"/>
        <v>3</v>
      </c>
      <c r="O307" s="9"/>
      <c r="P307" s="9">
        <f t="shared" si="62"/>
        <v>0</v>
      </c>
      <c r="Q307" s="9">
        <f t="shared" si="63"/>
        <v>0</v>
      </c>
      <c r="R307" s="9">
        <f t="shared" si="64"/>
        <v>1</v>
      </c>
      <c r="S307" s="9">
        <f t="shared" si="65"/>
        <v>0</v>
      </c>
      <c r="T307" s="9">
        <f t="shared" si="66"/>
        <v>0</v>
      </c>
      <c r="U307" s="9">
        <f t="shared" si="67"/>
        <v>0</v>
      </c>
      <c r="V307" s="153">
        <f t="shared" si="68"/>
        <v>0</v>
      </c>
      <c r="W307" s="9">
        <f t="shared" si="69"/>
        <v>0</v>
      </c>
      <c r="X307" s="9">
        <f t="shared" si="70"/>
        <v>0</v>
      </c>
      <c r="Y307" s="9">
        <f t="shared" si="71"/>
        <v>0</v>
      </c>
      <c r="Z307" s="9"/>
      <c r="AA307" s="9"/>
      <c r="AB307" s="9">
        <f t="shared" si="74"/>
        <v>1</v>
      </c>
      <c r="AC307" s="9">
        <f t="shared" si="72"/>
        <v>1</v>
      </c>
      <c r="AD307" s="9" t="str">
        <f t="shared" si="73"/>
        <v>Correct</v>
      </c>
      <c r="AE307" s="9"/>
      <c r="AF307" s="120" t="str">
        <f>IFERROR(VLOOKUP(Table1[RespondentID],'All Data'!$A$3:$CO$999,87,FALSE),"unknown")</f>
        <v>Man</v>
      </c>
      <c r="AG307" s="120">
        <f>IFERROR(VLOOKUP(Table1[RespondentID],'All Data'!$A$3:$CO$999,88,FALSE),"unknown")</f>
        <v>45</v>
      </c>
      <c r="AH307" s="120" t="str">
        <f>IFERROR(VLOOKUP(Table1[RespondentID],'All Data'!$A$3:$CO$999,89,FALSE),"unknown")</f>
        <v>Suffolk</v>
      </c>
      <c r="AI307" s="120" t="str">
        <f>IFERROR(VLOOKUP(Table1[RespondentID],'All Data'!$A$3:$CO$999,90,FALSE),"unknown")</f>
        <v>Smithtown, 11787</v>
      </c>
      <c r="AJ307" s="120" t="str">
        <f>IFERROR(VLOOKUP(Table1[RespondentID],'All Data'!$A$3:$CO$999,91,FALSE),"unknown")</f>
        <v>American Indian and Alaska Native</v>
      </c>
      <c r="AK307" s="120" t="str">
        <f>IFERROR(VLOOKUP(Table1[RespondentID],'All Data'!$A$3:$CO$999,92,FALSE),"unknown")</f>
        <v>Hispanic or Latino</v>
      </c>
      <c r="AL307" s="120" t="str">
        <f>IFERROR(VLOOKUP(Table1[RespondentID],'All Data'!$A$3:$CO$999,93,FALSE),"unknown")</f>
        <v>English</v>
      </c>
      <c r="AM307" s="120" t="str">
        <f>IFERROR(VLOOKUP(Table1[RespondentID],'All Data'!$A$3:$CW$999,94,FALSE),"unknown")</f>
        <v>Over $125,000</v>
      </c>
      <c r="AN307" s="120" t="str">
        <f>IFERROR(VLOOKUP(Table1[RespondentID],'All Data'!$A$3:$CW$999,95,FALSE),"unknown")</f>
        <v>Doctorate</v>
      </c>
      <c r="AO307" s="120" t="str">
        <f>IFERROR(VLOOKUP(Table1[RespondentID],'All Data'!$A$3:$CW$999,96,FALSE),"unknown")</f>
        <v>Self-employed</v>
      </c>
      <c r="AP307" s="120" t="str">
        <f>IFERROR(VLOOKUP(Table1[RespondentID],'All Data'!$A$3:$CW$999,97,FALSE),"unknown")</f>
        <v>Yes</v>
      </c>
      <c r="AQ307" s="120" t="str">
        <f>IFERROR(VLOOKUP(Table1[RespondentID],'All Data'!$A$3:$CW$999,98,FALSE),"unknown")</f>
        <v>Private/Commercial</v>
      </c>
      <c r="AR307" s="120" t="str">
        <f>IFERROR(VLOOKUP(Table1[RespondentID],'All Data'!$A$3:$CW$999,99,FALSE),"unknown")</f>
        <v>Yes</v>
      </c>
    </row>
    <row r="308" spans="1:44" ht="16">
      <c r="A308" s="5">
        <v>18014930527</v>
      </c>
      <c r="B308" s="5"/>
      <c r="C308" s="5"/>
      <c r="D308" s="5"/>
      <c r="E308" s="5"/>
      <c r="F308" s="5"/>
      <c r="G308" s="5"/>
      <c r="H308" s="5"/>
      <c r="I308" s="5"/>
      <c r="J308" s="5"/>
      <c r="K308" s="5" t="s">
        <v>375</v>
      </c>
      <c r="L308" s="8"/>
      <c r="M308" s="8">
        <f t="shared" si="60"/>
        <v>1</v>
      </c>
      <c r="N308" s="8">
        <f t="shared" si="61"/>
        <v>3</v>
      </c>
      <c r="O308" s="8"/>
      <c r="P308" s="8">
        <f t="shared" si="62"/>
        <v>0</v>
      </c>
      <c r="Q308" s="8">
        <f t="shared" si="63"/>
        <v>0</v>
      </c>
      <c r="R308" s="8">
        <f t="shared" si="64"/>
        <v>0</v>
      </c>
      <c r="S308" s="8">
        <f t="shared" si="65"/>
        <v>0</v>
      </c>
      <c r="T308" s="8">
        <f t="shared" si="66"/>
        <v>0</v>
      </c>
      <c r="U308" s="8">
        <f t="shared" si="67"/>
        <v>0</v>
      </c>
      <c r="V308" s="153">
        <f t="shared" si="68"/>
        <v>0</v>
      </c>
      <c r="W308" s="8">
        <f t="shared" si="69"/>
        <v>0</v>
      </c>
      <c r="X308" s="8">
        <f t="shared" si="70"/>
        <v>0</v>
      </c>
      <c r="Y308" s="8">
        <f t="shared" si="71"/>
        <v>1</v>
      </c>
      <c r="Z308" s="8"/>
      <c r="AA308" s="8"/>
      <c r="AB308" s="8">
        <f t="shared" si="74"/>
        <v>1</v>
      </c>
      <c r="AC308" s="8">
        <f t="shared" si="72"/>
        <v>1</v>
      </c>
      <c r="AD308" s="8" t="str">
        <f t="shared" si="73"/>
        <v>Correct</v>
      </c>
      <c r="AE308" s="8"/>
      <c r="AF308" s="120" t="str">
        <f>IFERROR(VLOOKUP(Table1[RespondentID],'All Data'!$A$3:$CO$999,87,FALSE),"unknown")</f>
        <v>Woman</v>
      </c>
      <c r="AG308" s="120">
        <f>IFERROR(VLOOKUP(Table1[RespondentID],'All Data'!$A$3:$CO$999,88,FALSE),"unknown")</f>
        <v>44</v>
      </c>
      <c r="AH308" s="120" t="str">
        <f>IFERROR(VLOOKUP(Table1[RespondentID],'All Data'!$A$3:$CO$999,89,FALSE),"unknown")</f>
        <v>Suffolk</v>
      </c>
      <c r="AI308" s="120" t="str">
        <f>IFERROR(VLOOKUP(Table1[RespondentID],'All Data'!$A$3:$CO$999,90,FALSE),"unknown")</f>
        <v>Smithtown, 11787</v>
      </c>
      <c r="AJ308" s="120" t="str">
        <f>IFERROR(VLOOKUP(Table1[RespondentID],'All Data'!$A$3:$CO$999,91,FALSE),"unknown")</f>
        <v>American Indian and Alaska Native</v>
      </c>
      <c r="AK308" s="120" t="str">
        <f>IFERROR(VLOOKUP(Table1[RespondentID],'All Data'!$A$3:$CO$999,92,FALSE),"unknown")</f>
        <v>Hispanic or Latino</v>
      </c>
      <c r="AL308" s="120" t="str">
        <f>IFERROR(VLOOKUP(Table1[RespondentID],'All Data'!$A$3:$CO$999,93,FALSE),"unknown")</f>
        <v>English</v>
      </c>
      <c r="AM308" s="120" t="str">
        <f>IFERROR(VLOOKUP(Table1[RespondentID],'All Data'!$A$3:$CW$999,94,FALSE),"unknown")</f>
        <v>Over $125,000</v>
      </c>
      <c r="AN308" s="120" t="str">
        <f>IFERROR(VLOOKUP(Table1[RespondentID],'All Data'!$A$3:$CW$999,95,FALSE),"unknown")</f>
        <v>Doctorate</v>
      </c>
      <c r="AO308" s="120" t="str">
        <f>IFERROR(VLOOKUP(Table1[RespondentID],'All Data'!$A$3:$CW$999,96,FALSE),"unknown")</f>
        <v>Self-employed</v>
      </c>
      <c r="AP308" s="120" t="str">
        <f>IFERROR(VLOOKUP(Table1[RespondentID],'All Data'!$A$3:$CW$999,97,FALSE),"unknown")</f>
        <v>Yes</v>
      </c>
      <c r="AQ308" s="120" t="str">
        <f>IFERROR(VLOOKUP(Table1[RespondentID],'All Data'!$A$3:$CW$999,98,FALSE),"unknown")</f>
        <v>Private/Commercial</v>
      </c>
      <c r="AR308" s="120" t="str">
        <f>IFERROR(VLOOKUP(Table1[RespondentID],'All Data'!$A$3:$CW$999,99,FALSE),"unknown")</f>
        <v>Yes</v>
      </c>
    </row>
    <row r="309" spans="1:44" ht="16">
      <c r="A309" s="5">
        <v>18014783155</v>
      </c>
      <c r="B309" s="5" t="s">
        <v>29</v>
      </c>
      <c r="C309" s="5"/>
      <c r="D309" s="5"/>
      <c r="E309" s="5"/>
      <c r="F309" s="5"/>
      <c r="G309" s="5"/>
      <c r="H309" s="5"/>
      <c r="I309" s="5"/>
      <c r="J309" s="5"/>
      <c r="K309" s="5"/>
      <c r="L309" s="9"/>
      <c r="M309" s="9">
        <f t="shared" si="60"/>
        <v>1</v>
      </c>
      <c r="N309" s="9">
        <f t="shared" si="61"/>
        <v>3</v>
      </c>
      <c r="O309" s="9"/>
      <c r="P309" s="9">
        <f t="shared" si="62"/>
        <v>1</v>
      </c>
      <c r="Q309" s="9">
        <f t="shared" si="63"/>
        <v>0</v>
      </c>
      <c r="R309" s="9">
        <f t="shared" si="64"/>
        <v>0</v>
      </c>
      <c r="S309" s="9">
        <f t="shared" si="65"/>
        <v>0</v>
      </c>
      <c r="T309" s="9">
        <f t="shared" si="66"/>
        <v>0</v>
      </c>
      <c r="U309" s="9">
        <f t="shared" si="67"/>
        <v>0</v>
      </c>
      <c r="V309" s="153">
        <f t="shared" si="68"/>
        <v>0</v>
      </c>
      <c r="W309" s="9">
        <f t="shared" si="69"/>
        <v>0</v>
      </c>
      <c r="X309" s="9">
        <f t="shared" si="70"/>
        <v>0</v>
      </c>
      <c r="Y309" s="9">
        <f t="shared" si="71"/>
        <v>0</v>
      </c>
      <c r="Z309" s="9"/>
      <c r="AA309" s="9"/>
      <c r="AB309" s="9">
        <f t="shared" si="74"/>
        <v>1</v>
      </c>
      <c r="AC309" s="9">
        <f t="shared" si="72"/>
        <v>1</v>
      </c>
      <c r="AD309" s="9" t="str">
        <f t="shared" si="73"/>
        <v>Correct</v>
      </c>
      <c r="AE309" s="9"/>
      <c r="AF309" s="120">
        <f>IFERROR(VLOOKUP(Table1[RespondentID],'All Data'!$A$3:$CO$999,87,FALSE),"unknown")</f>
        <v>0</v>
      </c>
      <c r="AG309" s="120">
        <f>IFERROR(VLOOKUP(Table1[RespondentID],'All Data'!$A$3:$CO$999,88,FALSE),"unknown")</f>
        <v>0</v>
      </c>
      <c r="AH309" s="120">
        <f>IFERROR(VLOOKUP(Table1[RespondentID],'All Data'!$A$3:$CO$999,89,FALSE),"unknown")</f>
        <v>0</v>
      </c>
      <c r="AI309" s="120">
        <f>IFERROR(VLOOKUP(Table1[RespondentID],'All Data'!$A$3:$CO$999,90,FALSE),"unknown")</f>
        <v>0</v>
      </c>
      <c r="AJ309" s="120">
        <f>IFERROR(VLOOKUP(Table1[RespondentID],'All Data'!$A$3:$CO$999,91,FALSE),"unknown")</f>
        <v>0</v>
      </c>
      <c r="AK309" s="120">
        <f>IFERROR(VLOOKUP(Table1[RespondentID],'All Data'!$A$3:$CO$999,92,FALSE),"unknown")</f>
        <v>0</v>
      </c>
      <c r="AL309" s="120">
        <f>IFERROR(VLOOKUP(Table1[RespondentID],'All Data'!$A$3:$CO$999,93,FALSE),"unknown")</f>
        <v>0</v>
      </c>
      <c r="AM309" s="120">
        <f>IFERROR(VLOOKUP(Table1[RespondentID],'All Data'!$A$3:$CW$999,94,FALSE),"unknown")</f>
        <v>0</v>
      </c>
      <c r="AN309" s="120">
        <f>IFERROR(VLOOKUP(Table1[RespondentID],'All Data'!$A$3:$CW$999,95,FALSE),"unknown")</f>
        <v>0</v>
      </c>
      <c r="AO309" s="120">
        <f>IFERROR(VLOOKUP(Table1[RespondentID],'All Data'!$A$3:$CW$999,96,FALSE),"unknown")</f>
        <v>0</v>
      </c>
      <c r="AP309" s="120">
        <f>IFERROR(VLOOKUP(Table1[RespondentID],'All Data'!$A$3:$CW$999,97,FALSE),"unknown")</f>
        <v>0</v>
      </c>
      <c r="AQ309" s="120">
        <f>IFERROR(VLOOKUP(Table1[RespondentID],'All Data'!$A$3:$CW$999,98,FALSE),"unknown")</f>
        <v>0</v>
      </c>
      <c r="AR309" s="120">
        <f>IFERROR(VLOOKUP(Table1[RespondentID],'All Data'!$A$3:$CW$999,99,FALSE),"unknown")</f>
        <v>0</v>
      </c>
    </row>
    <row r="310" spans="1:44" ht="16">
      <c r="A310" s="5">
        <v>18014743256</v>
      </c>
      <c r="B310" s="5"/>
      <c r="C310" s="5"/>
      <c r="D310" s="5"/>
      <c r="E310" s="5"/>
      <c r="F310" s="5"/>
      <c r="G310" s="5"/>
      <c r="H310" s="5"/>
      <c r="I310" s="5"/>
      <c r="J310" s="5"/>
      <c r="K310" s="5" t="s">
        <v>375</v>
      </c>
      <c r="L310" s="8"/>
      <c r="M310" s="8">
        <f t="shared" si="60"/>
        <v>1</v>
      </c>
      <c r="N310" s="8">
        <f t="shared" si="61"/>
        <v>3</v>
      </c>
      <c r="O310" s="8"/>
      <c r="P310" s="8">
        <f t="shared" si="62"/>
        <v>0</v>
      </c>
      <c r="Q310" s="8">
        <f t="shared" si="63"/>
        <v>0</v>
      </c>
      <c r="R310" s="8">
        <f t="shared" si="64"/>
        <v>0</v>
      </c>
      <c r="S310" s="8">
        <f t="shared" si="65"/>
        <v>0</v>
      </c>
      <c r="T310" s="8">
        <f t="shared" si="66"/>
        <v>0</v>
      </c>
      <c r="U310" s="8">
        <f t="shared" si="67"/>
        <v>0</v>
      </c>
      <c r="V310" s="153">
        <f t="shared" si="68"/>
        <v>0</v>
      </c>
      <c r="W310" s="8">
        <f t="shared" si="69"/>
        <v>0</v>
      </c>
      <c r="X310" s="8">
        <f t="shared" si="70"/>
        <v>0</v>
      </c>
      <c r="Y310" s="8">
        <f t="shared" si="71"/>
        <v>1</v>
      </c>
      <c r="Z310" s="8"/>
      <c r="AA310" s="8"/>
      <c r="AB310" s="8">
        <f t="shared" si="74"/>
        <v>1</v>
      </c>
      <c r="AC310" s="8">
        <f t="shared" si="72"/>
        <v>1</v>
      </c>
      <c r="AD310" s="8" t="str">
        <f t="shared" si="73"/>
        <v>Correct</v>
      </c>
      <c r="AE310" s="8"/>
      <c r="AF310" s="120" t="str">
        <f>IFERROR(VLOOKUP(Table1[RespondentID],'All Data'!$A$3:$CO$999,87,FALSE),"unknown")</f>
        <v>Woman</v>
      </c>
      <c r="AG310" s="120">
        <f>IFERROR(VLOOKUP(Table1[RespondentID],'All Data'!$A$3:$CO$999,88,FALSE),"unknown")</f>
        <v>54</v>
      </c>
      <c r="AH310" s="120" t="str">
        <f>IFERROR(VLOOKUP(Table1[RespondentID],'All Data'!$A$3:$CO$999,89,FALSE),"unknown")</f>
        <v>Suffolk</v>
      </c>
      <c r="AI310" s="120" t="str">
        <f>IFERROR(VLOOKUP(Table1[RespondentID],'All Data'!$A$3:$CO$999,90,FALSE),"unknown")</f>
        <v>Centereach, 11720</v>
      </c>
      <c r="AJ310" s="120" t="str">
        <f>IFERROR(VLOOKUP(Table1[RespondentID],'All Data'!$A$3:$CO$999,91,FALSE),"unknown")</f>
        <v>White</v>
      </c>
      <c r="AK310" s="120" t="str">
        <f>IFERROR(VLOOKUP(Table1[RespondentID],'All Data'!$A$3:$CO$999,92,FALSE),"unknown")</f>
        <v>Hispanic or Latino</v>
      </c>
      <c r="AL310" s="120" t="str">
        <f>IFERROR(VLOOKUP(Table1[RespondentID],'All Data'!$A$3:$CO$999,93,FALSE),"unknown")</f>
        <v>English</v>
      </c>
      <c r="AM310" s="120" t="str">
        <f>IFERROR(VLOOKUP(Table1[RespondentID],'All Data'!$A$3:$CW$999,94,FALSE),"unknown")</f>
        <v>Over $125,000</v>
      </c>
      <c r="AN310" s="120" t="str">
        <f>IFERROR(VLOOKUP(Table1[RespondentID],'All Data'!$A$3:$CW$999,95,FALSE),"unknown")</f>
        <v>Graduate school</v>
      </c>
      <c r="AO310" s="120" t="str">
        <f>IFERROR(VLOOKUP(Table1[RespondentID],'All Data'!$A$3:$CW$999,96,FALSE),"unknown")</f>
        <v>Employed for wages</v>
      </c>
      <c r="AP310" s="120" t="str">
        <f>IFERROR(VLOOKUP(Table1[RespondentID],'All Data'!$A$3:$CW$999,97,FALSE),"unknown")</f>
        <v>Yes</v>
      </c>
      <c r="AQ310" s="120" t="str">
        <f>IFERROR(VLOOKUP(Table1[RespondentID],'All Data'!$A$3:$CW$999,98,FALSE),"unknown")</f>
        <v>Private/Commercial</v>
      </c>
      <c r="AR310" s="120" t="str">
        <f>IFERROR(VLOOKUP(Table1[RespondentID],'All Data'!$A$3:$CW$999,99,FALSE),"unknown")</f>
        <v>Yes</v>
      </c>
    </row>
    <row r="311" spans="1:44" ht="16">
      <c r="A311" s="5">
        <v>18014731066</v>
      </c>
      <c r="B311" s="5"/>
      <c r="C311" s="5"/>
      <c r="D311" s="5" t="s">
        <v>31</v>
      </c>
      <c r="E311" s="5"/>
      <c r="F311" s="5"/>
      <c r="G311" s="5"/>
      <c r="H311" s="5"/>
      <c r="I311" s="5"/>
      <c r="J311" s="5"/>
      <c r="K311" s="5"/>
      <c r="L311" s="9"/>
      <c r="M311" s="9">
        <f t="shared" si="60"/>
        <v>1</v>
      </c>
      <c r="N311" s="9">
        <f t="shared" si="61"/>
        <v>3</v>
      </c>
      <c r="O311" s="9"/>
      <c r="P311" s="9">
        <f t="shared" si="62"/>
        <v>0</v>
      </c>
      <c r="Q311" s="9">
        <f t="shared" si="63"/>
        <v>0</v>
      </c>
      <c r="R311" s="9">
        <f t="shared" si="64"/>
        <v>1</v>
      </c>
      <c r="S311" s="9">
        <f t="shared" si="65"/>
        <v>0</v>
      </c>
      <c r="T311" s="9">
        <f t="shared" si="66"/>
        <v>0</v>
      </c>
      <c r="U311" s="9">
        <f t="shared" si="67"/>
        <v>0</v>
      </c>
      <c r="V311" s="153">
        <f t="shared" si="68"/>
        <v>0</v>
      </c>
      <c r="W311" s="9">
        <f t="shared" si="69"/>
        <v>0</v>
      </c>
      <c r="X311" s="9">
        <f t="shared" si="70"/>
        <v>0</v>
      </c>
      <c r="Y311" s="9">
        <f t="shared" si="71"/>
        <v>0</v>
      </c>
      <c r="Z311" s="9"/>
      <c r="AA311" s="9"/>
      <c r="AB311" s="9">
        <f t="shared" si="74"/>
        <v>1</v>
      </c>
      <c r="AC311" s="9">
        <f t="shared" si="72"/>
        <v>1</v>
      </c>
      <c r="AD311" s="9" t="str">
        <f t="shared" si="73"/>
        <v>Correct</v>
      </c>
      <c r="AE311" s="9"/>
      <c r="AF311" s="120" t="str">
        <f>IFERROR(VLOOKUP(Table1[RespondentID],'All Data'!$A$3:$CO$999,87,FALSE),"unknown")</f>
        <v>Man</v>
      </c>
      <c r="AG311" s="120">
        <f>IFERROR(VLOOKUP(Table1[RespondentID],'All Data'!$A$3:$CO$999,88,FALSE),"unknown")</f>
        <v>40</v>
      </c>
      <c r="AH311" s="120" t="str">
        <f>IFERROR(VLOOKUP(Table1[RespondentID],'All Data'!$A$3:$CO$999,89,FALSE),"unknown")</f>
        <v>Suffolk</v>
      </c>
      <c r="AI311" s="120" t="str">
        <f>IFERROR(VLOOKUP(Table1[RespondentID],'All Data'!$A$3:$CO$999,90,FALSE),"unknown")</f>
        <v>Nesconset, 11767</v>
      </c>
      <c r="AJ311" s="120" t="str">
        <f>IFERROR(VLOOKUP(Table1[RespondentID],'All Data'!$A$3:$CO$999,91,FALSE),"unknown")</f>
        <v>White</v>
      </c>
      <c r="AK311" s="120" t="str">
        <f>IFERROR(VLOOKUP(Table1[RespondentID],'All Data'!$A$3:$CO$999,92,FALSE),"unknown")</f>
        <v>Hispanic or Latino</v>
      </c>
      <c r="AL311" s="120" t="str">
        <f>IFERROR(VLOOKUP(Table1[RespondentID],'All Data'!$A$3:$CO$999,93,FALSE),"unknown")</f>
        <v>English</v>
      </c>
      <c r="AM311" s="120" t="str">
        <f>IFERROR(VLOOKUP(Table1[RespondentID],'All Data'!$A$3:$CW$999,94,FALSE),"unknown")</f>
        <v>Over $125,000</v>
      </c>
      <c r="AN311" s="120" t="str">
        <f>IFERROR(VLOOKUP(Table1[RespondentID],'All Data'!$A$3:$CW$999,95,FALSE),"unknown")</f>
        <v>Graduate school</v>
      </c>
      <c r="AO311" s="120" t="str">
        <f>IFERROR(VLOOKUP(Table1[RespondentID],'All Data'!$A$3:$CW$999,96,FALSE),"unknown")</f>
        <v>Employed for wages</v>
      </c>
      <c r="AP311" s="120" t="str">
        <f>IFERROR(VLOOKUP(Table1[RespondentID],'All Data'!$A$3:$CW$999,97,FALSE),"unknown")</f>
        <v>Yes</v>
      </c>
      <c r="AQ311" s="120" t="str">
        <f>IFERROR(VLOOKUP(Table1[RespondentID],'All Data'!$A$3:$CW$999,98,FALSE),"unknown")</f>
        <v>Private/Commercial</v>
      </c>
      <c r="AR311" s="120" t="str">
        <f>IFERROR(VLOOKUP(Table1[RespondentID],'All Data'!$A$3:$CW$999,99,FALSE),"unknown")</f>
        <v>Yes</v>
      </c>
    </row>
    <row r="312" spans="1:44" ht="16">
      <c r="A312" s="5">
        <v>18014717463</v>
      </c>
      <c r="B312" s="5" t="s">
        <v>29</v>
      </c>
      <c r="C312" s="5"/>
      <c r="D312" s="5"/>
      <c r="E312" s="5"/>
      <c r="F312" s="5"/>
      <c r="G312" s="5" t="s">
        <v>34</v>
      </c>
      <c r="H312" s="5"/>
      <c r="I312" s="5"/>
      <c r="J312" s="5"/>
      <c r="K312" s="5" t="s">
        <v>375</v>
      </c>
      <c r="L312" s="8"/>
      <c r="M312" s="8">
        <f t="shared" si="60"/>
        <v>3</v>
      </c>
      <c r="N312" s="8">
        <f t="shared" si="61"/>
        <v>1</v>
      </c>
      <c r="O312" s="8"/>
      <c r="P312" s="8">
        <f t="shared" si="62"/>
        <v>1</v>
      </c>
      <c r="Q312" s="8">
        <f t="shared" si="63"/>
        <v>0</v>
      </c>
      <c r="R312" s="8">
        <f t="shared" si="64"/>
        <v>0</v>
      </c>
      <c r="S312" s="8">
        <f t="shared" si="65"/>
        <v>0</v>
      </c>
      <c r="T312" s="8">
        <f t="shared" si="66"/>
        <v>0</v>
      </c>
      <c r="U312" s="8">
        <f t="shared" si="67"/>
        <v>1</v>
      </c>
      <c r="V312" s="153">
        <f t="shared" si="68"/>
        <v>0</v>
      </c>
      <c r="W312" s="8">
        <f t="shared" si="69"/>
        <v>0</v>
      </c>
      <c r="X312" s="8">
        <f t="shared" si="70"/>
        <v>0</v>
      </c>
      <c r="Y312" s="8">
        <f t="shared" si="71"/>
        <v>1</v>
      </c>
      <c r="Z312" s="8"/>
      <c r="AA312" s="8"/>
      <c r="AB312" s="8">
        <f t="shared" si="74"/>
        <v>3</v>
      </c>
      <c r="AC312" s="8">
        <f t="shared" si="72"/>
        <v>3</v>
      </c>
      <c r="AD312" s="8" t="str">
        <f t="shared" si="73"/>
        <v>Correct</v>
      </c>
      <c r="AE312" s="8"/>
      <c r="AF312" s="120" t="str">
        <f>IFERROR(VLOOKUP(Table1[RespondentID],'All Data'!$A$3:$CO$999,87,FALSE),"unknown")</f>
        <v>Man</v>
      </c>
      <c r="AG312" s="120">
        <f>IFERROR(VLOOKUP(Table1[RespondentID],'All Data'!$A$3:$CO$999,88,FALSE),"unknown")</f>
        <v>36</v>
      </c>
      <c r="AH312" s="120" t="str">
        <f>IFERROR(VLOOKUP(Table1[RespondentID],'All Data'!$A$3:$CO$999,89,FALSE),"unknown")</f>
        <v>Nassau</v>
      </c>
      <c r="AI312" s="120" t="str">
        <f>IFERROR(VLOOKUP(Table1[RespondentID],'All Data'!$A$3:$CO$999,90,FALSE),"unknown")</f>
        <v>Alden Manor, 11003</v>
      </c>
      <c r="AJ312" s="120" t="str">
        <f>IFERROR(VLOOKUP(Table1[RespondentID],'All Data'!$A$3:$CO$999,91,FALSE),"unknown")</f>
        <v>American Indian and Alaska Native</v>
      </c>
      <c r="AK312" s="120" t="str">
        <f>IFERROR(VLOOKUP(Table1[RespondentID],'All Data'!$A$3:$CO$999,92,FALSE),"unknown")</f>
        <v>Not Hispanic or Latino</v>
      </c>
      <c r="AL312" s="120" t="str">
        <f>IFERROR(VLOOKUP(Table1[RespondentID],'All Data'!$A$3:$CO$999,93,FALSE),"unknown")</f>
        <v>English</v>
      </c>
      <c r="AM312" s="120" t="str">
        <f>IFERROR(VLOOKUP(Table1[RespondentID],'All Data'!$A$3:$CW$999,94,FALSE),"unknown")</f>
        <v>$50,000 to $74,999</v>
      </c>
      <c r="AN312" s="120" t="str">
        <f>IFERROR(VLOOKUP(Table1[RespondentID],'All Data'!$A$3:$CW$999,95,FALSE),"unknown")</f>
        <v>College graduate</v>
      </c>
      <c r="AO312" s="120" t="str">
        <f>IFERROR(VLOOKUP(Table1[RespondentID],'All Data'!$A$3:$CW$999,96,FALSE),"unknown")</f>
        <v>Employed for wages</v>
      </c>
      <c r="AP312" s="120" t="str">
        <f>IFERROR(VLOOKUP(Table1[RespondentID],'All Data'!$A$3:$CW$999,97,FALSE),"unknown")</f>
        <v>Yes</v>
      </c>
      <c r="AQ312" s="120" t="str">
        <f>IFERROR(VLOOKUP(Table1[RespondentID],'All Data'!$A$3:$CW$999,98,FALSE),"unknown")</f>
        <v>Private/Commercial</v>
      </c>
      <c r="AR312" s="120" t="str">
        <f>IFERROR(VLOOKUP(Table1[RespondentID],'All Data'!$A$3:$CW$999,99,FALSE),"unknown")</f>
        <v>Yes</v>
      </c>
    </row>
    <row r="313" spans="1:44" ht="16">
      <c r="A313" s="5">
        <v>18014645318</v>
      </c>
      <c r="B313" s="5"/>
      <c r="C313" s="5" t="s">
        <v>30</v>
      </c>
      <c r="D313" s="5" t="s">
        <v>31</v>
      </c>
      <c r="E313" s="5"/>
      <c r="F313" s="5"/>
      <c r="G313" s="5"/>
      <c r="H313" s="5"/>
      <c r="I313" s="5"/>
      <c r="J313" s="5"/>
      <c r="K313" s="5"/>
      <c r="L313" s="9"/>
      <c r="M313" s="9">
        <f t="shared" si="60"/>
        <v>2</v>
      </c>
      <c r="N313" s="9">
        <f t="shared" si="61"/>
        <v>1.5</v>
      </c>
      <c r="O313" s="9"/>
      <c r="P313" s="9">
        <f t="shared" si="62"/>
        <v>0</v>
      </c>
      <c r="Q313" s="9">
        <f t="shared" si="63"/>
        <v>1</v>
      </c>
      <c r="R313" s="9">
        <f t="shared" si="64"/>
        <v>1</v>
      </c>
      <c r="S313" s="9">
        <f t="shared" si="65"/>
        <v>0</v>
      </c>
      <c r="T313" s="9">
        <f t="shared" si="66"/>
        <v>0</v>
      </c>
      <c r="U313" s="9">
        <f t="shared" si="67"/>
        <v>0</v>
      </c>
      <c r="V313" s="153">
        <f t="shared" si="68"/>
        <v>0</v>
      </c>
      <c r="W313" s="9">
        <f t="shared" si="69"/>
        <v>0</v>
      </c>
      <c r="X313" s="9">
        <f t="shared" si="70"/>
        <v>0</v>
      </c>
      <c r="Y313" s="9">
        <f t="shared" si="71"/>
        <v>0</v>
      </c>
      <c r="Z313" s="9"/>
      <c r="AA313" s="9"/>
      <c r="AB313" s="9">
        <f t="shared" si="74"/>
        <v>2</v>
      </c>
      <c r="AC313" s="9">
        <f t="shared" si="72"/>
        <v>2</v>
      </c>
      <c r="AD313" s="9" t="str">
        <f t="shared" si="73"/>
        <v>Correct</v>
      </c>
      <c r="AE313" s="9"/>
      <c r="AF313" s="120" t="str">
        <f>IFERROR(VLOOKUP(Table1[RespondentID],'All Data'!$A$3:$CO$999,87,FALSE),"unknown")</f>
        <v>Man</v>
      </c>
      <c r="AG313" s="120">
        <f>IFERROR(VLOOKUP(Table1[RespondentID],'All Data'!$A$3:$CO$999,88,FALSE),"unknown")</f>
        <v>55</v>
      </c>
      <c r="AH313" s="120" t="str">
        <f>IFERROR(VLOOKUP(Table1[RespondentID],'All Data'!$A$3:$CO$999,89,FALSE),"unknown")</f>
        <v>Suffolk</v>
      </c>
      <c r="AI313" s="120" t="str">
        <f>IFERROR(VLOOKUP(Table1[RespondentID],'All Data'!$A$3:$CO$999,90,FALSE),"unknown")</f>
        <v>Babylon, 11702</v>
      </c>
      <c r="AJ313" s="120" t="str">
        <f>IFERROR(VLOOKUP(Table1[RespondentID],'All Data'!$A$3:$CO$999,91,FALSE),"unknown")</f>
        <v>White</v>
      </c>
      <c r="AK313" s="120" t="str">
        <f>IFERROR(VLOOKUP(Table1[RespondentID],'All Data'!$A$3:$CO$999,92,FALSE),"unknown")</f>
        <v>Hispanic or Latino</v>
      </c>
      <c r="AL313" s="120" t="str">
        <f>IFERROR(VLOOKUP(Table1[RespondentID],'All Data'!$A$3:$CO$999,93,FALSE),"unknown")</f>
        <v>English</v>
      </c>
      <c r="AM313" s="120" t="str">
        <f>IFERROR(VLOOKUP(Table1[RespondentID],'All Data'!$A$3:$CW$999,94,FALSE),"unknown")</f>
        <v>$20,000 to $34,999</v>
      </c>
      <c r="AN313" s="120" t="str">
        <f>IFERROR(VLOOKUP(Table1[RespondentID],'All Data'!$A$3:$CW$999,95,FALSE),"unknown")</f>
        <v>Some college</v>
      </c>
      <c r="AO313" s="120" t="str">
        <f>IFERROR(VLOOKUP(Table1[RespondentID],'All Data'!$A$3:$CW$999,96,FALSE),"unknown")</f>
        <v>Employed for wages</v>
      </c>
      <c r="AP313" s="120" t="str">
        <f>IFERROR(VLOOKUP(Table1[RespondentID],'All Data'!$A$3:$CW$999,97,FALSE),"unknown")</f>
        <v>Yes</v>
      </c>
      <c r="AQ313" s="120" t="str">
        <f>IFERROR(VLOOKUP(Table1[RespondentID],'All Data'!$A$3:$CW$999,98,FALSE),"unknown")</f>
        <v>Private/Commercial</v>
      </c>
      <c r="AR313" s="120" t="str">
        <f>IFERROR(VLOOKUP(Table1[RespondentID],'All Data'!$A$3:$CW$999,99,FALSE),"unknown")</f>
        <v>Yes</v>
      </c>
    </row>
    <row r="314" spans="1:44" ht="16">
      <c r="A314" s="5">
        <v>18014644097</v>
      </c>
      <c r="B314" s="5" t="s">
        <v>29</v>
      </c>
      <c r="C314" s="5"/>
      <c r="D314" s="5"/>
      <c r="E314" s="5"/>
      <c r="F314" s="5"/>
      <c r="G314" s="5" t="s">
        <v>34</v>
      </c>
      <c r="H314" s="5"/>
      <c r="I314" s="5"/>
      <c r="J314" s="5"/>
      <c r="K314" s="5" t="s">
        <v>375</v>
      </c>
      <c r="L314" s="8"/>
      <c r="M314" s="8">
        <f t="shared" si="60"/>
        <v>3</v>
      </c>
      <c r="N314" s="8">
        <f t="shared" si="61"/>
        <v>1</v>
      </c>
      <c r="O314" s="8"/>
      <c r="P314" s="8">
        <f t="shared" si="62"/>
        <v>1</v>
      </c>
      <c r="Q314" s="8">
        <f t="shared" si="63"/>
        <v>0</v>
      </c>
      <c r="R314" s="8">
        <f t="shared" si="64"/>
        <v>0</v>
      </c>
      <c r="S314" s="8">
        <f t="shared" si="65"/>
        <v>0</v>
      </c>
      <c r="T314" s="8">
        <f t="shared" si="66"/>
        <v>0</v>
      </c>
      <c r="U314" s="8">
        <f t="shared" si="67"/>
        <v>1</v>
      </c>
      <c r="V314" s="153">
        <f t="shared" si="68"/>
        <v>0</v>
      </c>
      <c r="W314" s="8">
        <f t="shared" si="69"/>
        <v>0</v>
      </c>
      <c r="X314" s="8">
        <f t="shared" si="70"/>
        <v>0</v>
      </c>
      <c r="Y314" s="8">
        <f t="shared" si="71"/>
        <v>1</v>
      </c>
      <c r="Z314" s="8"/>
      <c r="AA314" s="8"/>
      <c r="AB314" s="8">
        <f t="shared" si="74"/>
        <v>3</v>
      </c>
      <c r="AC314" s="8">
        <f t="shared" si="72"/>
        <v>3</v>
      </c>
      <c r="AD314" s="8" t="str">
        <f t="shared" si="73"/>
        <v>Correct</v>
      </c>
      <c r="AE314" s="8"/>
      <c r="AF314" s="120" t="str">
        <f>IFERROR(VLOOKUP(Table1[RespondentID],'All Data'!$A$3:$CO$999,87,FALSE),"unknown")</f>
        <v>Man</v>
      </c>
      <c r="AG314" s="120">
        <f>IFERROR(VLOOKUP(Table1[RespondentID],'All Data'!$A$3:$CO$999,88,FALSE),"unknown")</f>
        <v>73</v>
      </c>
      <c r="AH314" s="120" t="str">
        <f>IFERROR(VLOOKUP(Table1[RespondentID],'All Data'!$A$3:$CO$999,89,FALSE),"unknown")</f>
        <v>Suffolk</v>
      </c>
      <c r="AI314" s="120" t="str">
        <f>IFERROR(VLOOKUP(Table1[RespondentID],'All Data'!$A$3:$CO$999,90,FALSE),"unknown")</f>
        <v>Port Jefferson Station, 11776</v>
      </c>
      <c r="AJ314" s="120" t="str">
        <f>IFERROR(VLOOKUP(Table1[RespondentID],'All Data'!$A$3:$CO$999,91,FALSE),"unknown")</f>
        <v>White</v>
      </c>
      <c r="AK314" s="120" t="str">
        <f>IFERROR(VLOOKUP(Table1[RespondentID],'All Data'!$A$3:$CO$999,92,FALSE),"unknown")</f>
        <v>Hispanic or Latino</v>
      </c>
      <c r="AL314" s="120" t="str">
        <f>IFERROR(VLOOKUP(Table1[RespondentID],'All Data'!$A$3:$CO$999,93,FALSE),"unknown")</f>
        <v>English</v>
      </c>
      <c r="AM314" s="120" t="str">
        <f>IFERROR(VLOOKUP(Table1[RespondentID],'All Data'!$A$3:$CW$999,94,FALSE),"unknown")</f>
        <v>$75,000 to $125,000</v>
      </c>
      <c r="AN314" s="120" t="str">
        <f>IFERROR(VLOOKUP(Table1[RespondentID],'All Data'!$A$3:$CW$999,95,FALSE),"unknown")</f>
        <v>College graduate</v>
      </c>
      <c r="AO314" s="120" t="str">
        <f>IFERROR(VLOOKUP(Table1[RespondentID],'All Data'!$A$3:$CW$999,96,FALSE),"unknown")</f>
        <v>Employed for wages</v>
      </c>
      <c r="AP314" s="120" t="str">
        <f>IFERROR(VLOOKUP(Table1[RespondentID],'All Data'!$A$3:$CW$999,97,FALSE),"unknown")</f>
        <v>Yes</v>
      </c>
      <c r="AQ314" s="120" t="str">
        <f>IFERROR(VLOOKUP(Table1[RespondentID],'All Data'!$A$3:$CW$999,98,FALSE),"unknown")</f>
        <v>Private/Commercial</v>
      </c>
      <c r="AR314" s="120" t="str">
        <f>IFERROR(VLOOKUP(Table1[RespondentID],'All Data'!$A$3:$CW$999,99,FALSE),"unknown")</f>
        <v>Yes</v>
      </c>
    </row>
    <row r="315" spans="1:44" ht="16">
      <c r="A315" s="5">
        <v>18014642721</v>
      </c>
      <c r="B315" s="5"/>
      <c r="C315" s="5"/>
      <c r="D315" s="5"/>
      <c r="E315" s="5"/>
      <c r="F315" s="5"/>
      <c r="G315" s="5" t="s">
        <v>34</v>
      </c>
      <c r="H315" s="5"/>
      <c r="I315" s="5"/>
      <c r="J315" s="5"/>
      <c r="K315" s="5"/>
      <c r="L315" s="9"/>
      <c r="M315" s="9">
        <f t="shared" si="60"/>
        <v>1</v>
      </c>
      <c r="N315" s="9">
        <f t="shared" si="61"/>
        <v>3</v>
      </c>
      <c r="O315" s="9"/>
      <c r="P315" s="9">
        <f t="shared" si="62"/>
        <v>0</v>
      </c>
      <c r="Q315" s="9">
        <f t="shared" si="63"/>
        <v>0</v>
      </c>
      <c r="R315" s="9">
        <f t="shared" si="64"/>
        <v>0</v>
      </c>
      <c r="S315" s="9">
        <f t="shared" si="65"/>
        <v>0</v>
      </c>
      <c r="T315" s="9">
        <f t="shared" si="66"/>
        <v>0</v>
      </c>
      <c r="U315" s="9">
        <f t="shared" si="67"/>
        <v>1</v>
      </c>
      <c r="V315" s="153">
        <f t="shared" si="68"/>
        <v>0</v>
      </c>
      <c r="W315" s="9">
        <f t="shared" si="69"/>
        <v>0</v>
      </c>
      <c r="X315" s="9">
        <f t="shared" si="70"/>
        <v>0</v>
      </c>
      <c r="Y315" s="9">
        <f t="shared" si="71"/>
        <v>0</v>
      </c>
      <c r="Z315" s="9"/>
      <c r="AA315" s="9"/>
      <c r="AB315" s="9">
        <f t="shared" si="74"/>
        <v>1</v>
      </c>
      <c r="AC315" s="9">
        <f t="shared" si="72"/>
        <v>1</v>
      </c>
      <c r="AD315" s="9" t="str">
        <f t="shared" si="73"/>
        <v>Correct</v>
      </c>
      <c r="AE315" s="9"/>
      <c r="AF315" s="120" t="str">
        <f>IFERROR(VLOOKUP(Table1[RespondentID],'All Data'!$A$3:$CO$999,87,FALSE),"unknown")</f>
        <v>Woman</v>
      </c>
      <c r="AG315" s="120">
        <f>IFERROR(VLOOKUP(Table1[RespondentID],'All Data'!$A$3:$CO$999,88,FALSE),"unknown")</f>
        <v>57</v>
      </c>
      <c r="AH315" s="120" t="str">
        <f>IFERROR(VLOOKUP(Table1[RespondentID],'All Data'!$A$3:$CO$999,89,FALSE),"unknown")</f>
        <v>Suffolk</v>
      </c>
      <c r="AI315" s="120" t="str">
        <f>IFERROR(VLOOKUP(Table1[RespondentID],'All Data'!$A$3:$CO$999,90,FALSE),"unknown")</f>
        <v>Port Jefferson Station, 11776</v>
      </c>
      <c r="AJ315" s="120" t="str">
        <f>IFERROR(VLOOKUP(Table1[RespondentID],'All Data'!$A$3:$CO$999,91,FALSE),"unknown")</f>
        <v>White</v>
      </c>
      <c r="AK315" s="120" t="str">
        <f>IFERROR(VLOOKUP(Table1[RespondentID],'All Data'!$A$3:$CO$999,92,FALSE),"unknown")</f>
        <v>Hispanic or Latino</v>
      </c>
      <c r="AL315" s="120" t="str">
        <f>IFERROR(VLOOKUP(Table1[RespondentID],'All Data'!$A$3:$CO$999,93,FALSE),"unknown")</f>
        <v>English</v>
      </c>
      <c r="AM315" s="120" t="str">
        <f>IFERROR(VLOOKUP(Table1[RespondentID],'All Data'!$A$3:$CW$999,94,FALSE),"unknown")</f>
        <v>$75,000 to $125,000</v>
      </c>
      <c r="AN315" s="120" t="str">
        <f>IFERROR(VLOOKUP(Table1[RespondentID],'All Data'!$A$3:$CW$999,95,FALSE),"unknown")</f>
        <v>Some college</v>
      </c>
      <c r="AO315" s="120" t="str">
        <f>IFERROR(VLOOKUP(Table1[RespondentID],'All Data'!$A$3:$CW$999,96,FALSE),"unknown")</f>
        <v>Retired</v>
      </c>
      <c r="AP315" s="120" t="str">
        <f>IFERROR(VLOOKUP(Table1[RespondentID],'All Data'!$A$3:$CW$999,97,FALSE),"unknown")</f>
        <v>Yes</v>
      </c>
      <c r="AQ315" s="120" t="str">
        <f>IFERROR(VLOOKUP(Table1[RespondentID],'All Data'!$A$3:$CW$999,98,FALSE),"unknown")</f>
        <v>Private/Commercial</v>
      </c>
      <c r="AR315" s="120" t="str">
        <f>IFERROR(VLOOKUP(Table1[RespondentID],'All Data'!$A$3:$CW$999,99,FALSE),"unknown")</f>
        <v>Yes</v>
      </c>
    </row>
    <row r="316" spans="1:44" ht="16">
      <c r="A316" s="5">
        <v>18014642355</v>
      </c>
      <c r="B316" s="5"/>
      <c r="C316" s="5"/>
      <c r="D316" s="5" t="s">
        <v>31</v>
      </c>
      <c r="E316" s="5"/>
      <c r="F316" s="5"/>
      <c r="G316" s="5"/>
      <c r="H316" s="5"/>
      <c r="I316" s="5"/>
      <c r="J316" s="5"/>
      <c r="K316" s="5" t="s">
        <v>375</v>
      </c>
      <c r="L316" s="8"/>
      <c r="M316" s="8">
        <f t="shared" si="60"/>
        <v>2</v>
      </c>
      <c r="N316" s="8">
        <f t="shared" si="61"/>
        <v>1.5</v>
      </c>
      <c r="O316" s="8"/>
      <c r="P316" s="8">
        <f t="shared" si="62"/>
        <v>0</v>
      </c>
      <c r="Q316" s="8">
        <f t="shared" si="63"/>
        <v>0</v>
      </c>
      <c r="R316" s="8">
        <f t="shared" si="64"/>
        <v>1</v>
      </c>
      <c r="S316" s="8">
        <f t="shared" si="65"/>
        <v>0</v>
      </c>
      <c r="T316" s="8">
        <f t="shared" si="66"/>
        <v>0</v>
      </c>
      <c r="U316" s="8">
        <f t="shared" si="67"/>
        <v>0</v>
      </c>
      <c r="V316" s="153">
        <f t="shared" si="68"/>
        <v>0</v>
      </c>
      <c r="W316" s="8">
        <f t="shared" si="69"/>
        <v>0</v>
      </c>
      <c r="X316" s="8">
        <f t="shared" si="70"/>
        <v>0</v>
      </c>
      <c r="Y316" s="8">
        <f t="shared" si="71"/>
        <v>1</v>
      </c>
      <c r="Z316" s="8"/>
      <c r="AA316" s="8"/>
      <c r="AB316" s="8">
        <f t="shared" si="74"/>
        <v>2</v>
      </c>
      <c r="AC316" s="8">
        <f t="shared" si="72"/>
        <v>2</v>
      </c>
      <c r="AD316" s="8" t="str">
        <f t="shared" si="73"/>
        <v>Correct</v>
      </c>
      <c r="AE316" s="8"/>
      <c r="AF316" s="120" t="str">
        <f>IFERROR(VLOOKUP(Table1[RespondentID],'All Data'!$A$3:$CO$999,87,FALSE),"unknown")</f>
        <v>Man</v>
      </c>
      <c r="AG316" s="120">
        <f>IFERROR(VLOOKUP(Table1[RespondentID],'All Data'!$A$3:$CO$999,88,FALSE),"unknown")</f>
        <v>31</v>
      </c>
      <c r="AH316" s="120" t="str">
        <f>IFERROR(VLOOKUP(Table1[RespondentID],'All Data'!$A$3:$CO$999,89,FALSE),"unknown")</f>
        <v>Suffolk</v>
      </c>
      <c r="AI316" s="120" t="str">
        <f>IFERROR(VLOOKUP(Table1[RespondentID],'All Data'!$A$3:$CO$999,90,FALSE),"unknown")</f>
        <v>Port Jefferson Station, 11776</v>
      </c>
      <c r="AJ316" s="120" t="str">
        <f>IFERROR(VLOOKUP(Table1[RespondentID],'All Data'!$A$3:$CO$999,91,FALSE),"unknown")</f>
        <v>White</v>
      </c>
      <c r="AK316" s="120" t="str">
        <f>IFERROR(VLOOKUP(Table1[RespondentID],'All Data'!$A$3:$CO$999,92,FALSE),"unknown")</f>
        <v>Hispanic or Latino</v>
      </c>
      <c r="AL316" s="120" t="str">
        <f>IFERROR(VLOOKUP(Table1[RespondentID],'All Data'!$A$3:$CO$999,93,FALSE),"unknown")</f>
        <v>English</v>
      </c>
      <c r="AM316" s="120" t="str">
        <f>IFERROR(VLOOKUP(Table1[RespondentID],'All Data'!$A$3:$CW$999,94,FALSE),"unknown")</f>
        <v>Over $125,000</v>
      </c>
      <c r="AN316" s="120" t="str">
        <f>IFERROR(VLOOKUP(Table1[RespondentID],'All Data'!$A$3:$CW$999,95,FALSE),"unknown")</f>
        <v>College graduate</v>
      </c>
      <c r="AO316" s="120" t="str">
        <f>IFERROR(VLOOKUP(Table1[RespondentID],'All Data'!$A$3:$CW$999,96,FALSE),"unknown")</f>
        <v>Employed for wages</v>
      </c>
      <c r="AP316" s="120" t="str">
        <f>IFERROR(VLOOKUP(Table1[RespondentID],'All Data'!$A$3:$CW$999,97,FALSE),"unknown")</f>
        <v>Yes</v>
      </c>
      <c r="AQ316" s="120" t="str">
        <f>IFERROR(VLOOKUP(Table1[RespondentID],'All Data'!$A$3:$CW$999,98,FALSE),"unknown")</f>
        <v>Private/Commercial</v>
      </c>
      <c r="AR316" s="120" t="str">
        <f>IFERROR(VLOOKUP(Table1[RespondentID],'All Data'!$A$3:$CW$999,99,FALSE),"unknown")</f>
        <v>Yes</v>
      </c>
    </row>
    <row r="317" spans="1:44" ht="16">
      <c r="A317" s="5">
        <v>18014635603</v>
      </c>
      <c r="B317" s="5"/>
      <c r="C317" s="5"/>
      <c r="D317" s="5"/>
      <c r="E317" s="5"/>
      <c r="F317" s="5"/>
      <c r="G317" s="5"/>
      <c r="H317" s="5"/>
      <c r="I317" s="5"/>
      <c r="J317" s="5"/>
      <c r="K317" s="5" t="s">
        <v>375</v>
      </c>
      <c r="L317" s="9"/>
      <c r="M317" s="9">
        <f t="shared" si="60"/>
        <v>1</v>
      </c>
      <c r="N317" s="9">
        <f t="shared" si="61"/>
        <v>3</v>
      </c>
      <c r="O317" s="9"/>
      <c r="P317" s="9">
        <f t="shared" si="62"/>
        <v>0</v>
      </c>
      <c r="Q317" s="9">
        <f t="shared" si="63"/>
        <v>0</v>
      </c>
      <c r="R317" s="9">
        <f t="shared" si="64"/>
        <v>0</v>
      </c>
      <c r="S317" s="9">
        <f t="shared" si="65"/>
        <v>0</v>
      </c>
      <c r="T317" s="9">
        <f t="shared" si="66"/>
        <v>0</v>
      </c>
      <c r="U317" s="9">
        <f t="shared" si="67"/>
        <v>0</v>
      </c>
      <c r="V317" s="153">
        <f t="shared" si="68"/>
        <v>0</v>
      </c>
      <c r="W317" s="9">
        <f t="shared" si="69"/>
        <v>0</v>
      </c>
      <c r="X317" s="9">
        <f t="shared" si="70"/>
        <v>0</v>
      </c>
      <c r="Y317" s="9">
        <f t="shared" si="71"/>
        <v>1</v>
      </c>
      <c r="Z317" s="9"/>
      <c r="AA317" s="9"/>
      <c r="AB317" s="9">
        <f t="shared" si="74"/>
        <v>1</v>
      </c>
      <c r="AC317" s="9">
        <f t="shared" si="72"/>
        <v>1</v>
      </c>
      <c r="AD317" s="9" t="str">
        <f t="shared" si="73"/>
        <v>Correct</v>
      </c>
      <c r="AE317" s="9"/>
      <c r="AF317" s="120" t="str">
        <f>IFERROR(VLOOKUP(Table1[RespondentID],'All Data'!$A$3:$CO$999,87,FALSE),"unknown")</f>
        <v>Man</v>
      </c>
      <c r="AG317" s="120">
        <f>IFERROR(VLOOKUP(Table1[RespondentID],'All Data'!$A$3:$CO$999,88,FALSE),"unknown")</f>
        <v>18</v>
      </c>
      <c r="AH317" s="120" t="str">
        <f>IFERROR(VLOOKUP(Table1[RespondentID],'All Data'!$A$3:$CO$999,89,FALSE),"unknown")</f>
        <v>Nassau</v>
      </c>
      <c r="AI317" s="120" t="str">
        <f>IFERROR(VLOOKUP(Table1[RespondentID],'All Data'!$A$3:$CO$999,90,FALSE),"unknown")</f>
        <v>Malverne, 11565</v>
      </c>
      <c r="AJ317" s="120" t="str">
        <f>IFERROR(VLOOKUP(Table1[RespondentID],'All Data'!$A$3:$CO$999,91,FALSE),"unknown")</f>
        <v>White</v>
      </c>
      <c r="AK317" s="120" t="str">
        <f>IFERROR(VLOOKUP(Table1[RespondentID],'All Data'!$A$3:$CO$999,92,FALSE),"unknown")</f>
        <v>Not Hispanic or Latino</v>
      </c>
      <c r="AL317" s="120" t="str">
        <f>IFERROR(VLOOKUP(Table1[RespondentID],'All Data'!$A$3:$CO$999,93,FALSE),"unknown")</f>
        <v>English, Spanish</v>
      </c>
      <c r="AM317" s="120" t="str">
        <f>IFERROR(VLOOKUP(Table1[RespondentID],'All Data'!$A$3:$CW$999,94,FALSE),"unknown")</f>
        <v>$35,000 to $49,999</v>
      </c>
      <c r="AN317" s="120" t="str">
        <f>IFERROR(VLOOKUP(Table1[RespondentID],'All Data'!$A$3:$CW$999,95,FALSE),"unknown")</f>
        <v>Some college</v>
      </c>
      <c r="AO317" s="120" t="str">
        <f>IFERROR(VLOOKUP(Table1[RespondentID],'All Data'!$A$3:$CW$999,96,FALSE),"unknown")</f>
        <v>Student</v>
      </c>
      <c r="AP317" s="120" t="str">
        <f>IFERROR(VLOOKUP(Table1[RespondentID],'All Data'!$A$3:$CW$999,97,FALSE),"unknown")</f>
        <v>Yes</v>
      </c>
      <c r="AQ317" s="120" t="str">
        <f>IFERROR(VLOOKUP(Table1[RespondentID],'All Data'!$A$3:$CW$999,98,FALSE),"unknown")</f>
        <v>Private/Commercial</v>
      </c>
      <c r="AR317" s="120" t="str">
        <f>IFERROR(VLOOKUP(Table1[RespondentID],'All Data'!$A$3:$CW$999,99,FALSE),"unknown")</f>
        <v>Yes</v>
      </c>
    </row>
    <row r="318" spans="1:44" ht="16">
      <c r="A318" s="5">
        <v>18014599240</v>
      </c>
      <c r="B318" s="5"/>
      <c r="C318" s="5" t="s">
        <v>30</v>
      </c>
      <c r="D318" s="5"/>
      <c r="E318" s="5"/>
      <c r="F318" s="5"/>
      <c r="G318" s="5"/>
      <c r="H318" s="5"/>
      <c r="I318" s="5"/>
      <c r="J318" s="5"/>
      <c r="K318" s="5"/>
      <c r="L318" s="8"/>
      <c r="M318" s="8">
        <f t="shared" si="60"/>
        <v>1</v>
      </c>
      <c r="N318" s="8">
        <f t="shared" si="61"/>
        <v>3</v>
      </c>
      <c r="O318" s="8"/>
      <c r="P318" s="8">
        <f t="shared" si="62"/>
        <v>0</v>
      </c>
      <c r="Q318" s="8">
        <f t="shared" si="63"/>
        <v>1</v>
      </c>
      <c r="R318" s="8">
        <f t="shared" si="64"/>
        <v>0</v>
      </c>
      <c r="S318" s="8">
        <f t="shared" si="65"/>
        <v>0</v>
      </c>
      <c r="T318" s="8">
        <f t="shared" si="66"/>
        <v>0</v>
      </c>
      <c r="U318" s="8">
        <f t="shared" si="67"/>
        <v>0</v>
      </c>
      <c r="V318" s="153">
        <f t="shared" si="68"/>
        <v>0</v>
      </c>
      <c r="W318" s="8">
        <f t="shared" si="69"/>
        <v>0</v>
      </c>
      <c r="X318" s="8">
        <f t="shared" si="70"/>
        <v>0</v>
      </c>
      <c r="Y318" s="8">
        <f t="shared" si="71"/>
        <v>0</v>
      </c>
      <c r="Z318" s="8"/>
      <c r="AA318" s="8"/>
      <c r="AB318" s="8">
        <f t="shared" si="74"/>
        <v>1</v>
      </c>
      <c r="AC318" s="8">
        <f t="shared" si="72"/>
        <v>1</v>
      </c>
      <c r="AD318" s="8" t="str">
        <f t="shared" si="73"/>
        <v>Correct</v>
      </c>
      <c r="AE318" s="8"/>
      <c r="AF318" s="120" t="str">
        <f>IFERROR(VLOOKUP(Table1[RespondentID],'All Data'!$A$3:$CO$999,87,FALSE),"unknown")</f>
        <v>Man</v>
      </c>
      <c r="AG318" s="120">
        <f>IFERROR(VLOOKUP(Table1[RespondentID],'All Data'!$A$3:$CO$999,88,FALSE),"unknown")</f>
        <v>17</v>
      </c>
      <c r="AH318" s="120" t="str">
        <f>IFERROR(VLOOKUP(Table1[RespondentID],'All Data'!$A$3:$CO$999,89,FALSE),"unknown")</f>
        <v>Suffolk</v>
      </c>
      <c r="AI318" s="120" t="str">
        <f>IFERROR(VLOOKUP(Table1[RespondentID],'All Data'!$A$3:$CO$999,90,FALSE),"unknown")</f>
        <v>Commack, 11725</v>
      </c>
      <c r="AJ318" s="120" t="str">
        <f>IFERROR(VLOOKUP(Table1[RespondentID],'All Data'!$A$3:$CO$999,91,FALSE),"unknown")</f>
        <v>White</v>
      </c>
      <c r="AK318" s="120" t="str">
        <f>IFERROR(VLOOKUP(Table1[RespondentID],'All Data'!$A$3:$CO$999,92,FALSE),"unknown")</f>
        <v>Hispanic or Latino</v>
      </c>
      <c r="AL318" s="120" t="str">
        <f>IFERROR(VLOOKUP(Table1[RespondentID],'All Data'!$A$3:$CO$999,93,FALSE),"unknown")</f>
        <v>English</v>
      </c>
      <c r="AM318" s="120" t="str">
        <f>IFERROR(VLOOKUP(Table1[RespondentID],'All Data'!$A$3:$CW$999,94,FALSE),"unknown")</f>
        <v>Over $125,000</v>
      </c>
      <c r="AN318" s="120" t="str">
        <f>IFERROR(VLOOKUP(Table1[RespondentID],'All Data'!$A$3:$CW$999,95,FALSE),"unknown")</f>
        <v>High school graduate</v>
      </c>
      <c r="AO318" s="120" t="str">
        <f>IFERROR(VLOOKUP(Table1[RespondentID],'All Data'!$A$3:$CW$999,96,FALSE),"unknown")</f>
        <v>Employed for wages</v>
      </c>
      <c r="AP318" s="120" t="str">
        <f>IFERROR(VLOOKUP(Table1[RespondentID],'All Data'!$A$3:$CW$999,97,FALSE),"unknown")</f>
        <v>Yes</v>
      </c>
      <c r="AQ318" s="120" t="str">
        <f>IFERROR(VLOOKUP(Table1[RespondentID],'All Data'!$A$3:$CW$999,98,FALSE),"unknown")</f>
        <v>Medicare</v>
      </c>
      <c r="AR318" s="120" t="str">
        <f>IFERROR(VLOOKUP(Table1[RespondentID],'All Data'!$A$3:$CW$999,99,FALSE),"unknown")</f>
        <v>Yes</v>
      </c>
    </row>
    <row r="319" spans="1:44" ht="16">
      <c r="A319" s="5">
        <v>18014578066</v>
      </c>
      <c r="B319" s="5"/>
      <c r="C319" s="5" t="s">
        <v>30</v>
      </c>
      <c r="D319" s="5"/>
      <c r="E319" s="5"/>
      <c r="F319" s="5"/>
      <c r="G319" s="5"/>
      <c r="H319" s="5"/>
      <c r="I319" s="5"/>
      <c r="J319" s="5"/>
      <c r="K319" s="5"/>
      <c r="L319" s="9"/>
      <c r="M319" s="9">
        <f t="shared" si="60"/>
        <v>1</v>
      </c>
      <c r="N319" s="9">
        <f t="shared" si="61"/>
        <v>3</v>
      </c>
      <c r="O319" s="9"/>
      <c r="P319" s="9">
        <f t="shared" si="62"/>
        <v>0</v>
      </c>
      <c r="Q319" s="9">
        <f t="shared" si="63"/>
        <v>1</v>
      </c>
      <c r="R319" s="9">
        <f t="shared" si="64"/>
        <v>0</v>
      </c>
      <c r="S319" s="9">
        <f t="shared" si="65"/>
        <v>0</v>
      </c>
      <c r="T319" s="9">
        <f t="shared" si="66"/>
        <v>0</v>
      </c>
      <c r="U319" s="9">
        <f t="shared" si="67"/>
        <v>0</v>
      </c>
      <c r="V319" s="153">
        <f t="shared" si="68"/>
        <v>0</v>
      </c>
      <c r="W319" s="9">
        <f t="shared" si="69"/>
        <v>0</v>
      </c>
      <c r="X319" s="9">
        <f t="shared" si="70"/>
        <v>0</v>
      </c>
      <c r="Y319" s="9">
        <f t="shared" si="71"/>
        <v>0</v>
      </c>
      <c r="Z319" s="9"/>
      <c r="AA319" s="9"/>
      <c r="AB319" s="9">
        <f t="shared" si="74"/>
        <v>1</v>
      </c>
      <c r="AC319" s="9">
        <f t="shared" si="72"/>
        <v>1</v>
      </c>
      <c r="AD319" s="9" t="str">
        <f t="shared" si="73"/>
        <v>Correct</v>
      </c>
      <c r="AE319" s="9"/>
      <c r="AF319" s="120" t="str">
        <f>IFERROR(VLOOKUP(Table1[RespondentID],'All Data'!$A$3:$CO$999,87,FALSE),"unknown")</f>
        <v>Transgender</v>
      </c>
      <c r="AG319" s="120">
        <f>IFERROR(VLOOKUP(Table1[RespondentID],'All Data'!$A$3:$CO$999,88,FALSE),"unknown")</f>
        <v>24</v>
      </c>
      <c r="AH319" s="120" t="str">
        <f>IFERROR(VLOOKUP(Table1[RespondentID],'All Data'!$A$3:$CO$999,89,FALSE),"unknown")</f>
        <v>Queens</v>
      </c>
      <c r="AI319" s="120">
        <f>IFERROR(VLOOKUP(Table1[RespondentID],'All Data'!$A$3:$CO$999,90,FALSE),"unknown")</f>
        <v>11429</v>
      </c>
      <c r="AJ319" s="120" t="str">
        <f>IFERROR(VLOOKUP(Table1[RespondentID],'All Data'!$A$3:$CO$999,91,FALSE),"unknown")</f>
        <v>Native Hawaiian and Other Pacific Islander</v>
      </c>
      <c r="AK319" s="120">
        <f>IFERROR(VLOOKUP(Table1[RespondentID],'All Data'!$A$3:$CO$999,92,FALSE),"unknown")</f>
        <v>0</v>
      </c>
      <c r="AL319" s="120">
        <f>IFERROR(VLOOKUP(Table1[RespondentID],'All Data'!$A$3:$CO$999,93,FALSE),"unknown")</f>
        <v>0</v>
      </c>
      <c r="AM319" s="120" t="str">
        <f>IFERROR(VLOOKUP(Table1[RespondentID],'All Data'!$A$3:$CW$999,94,FALSE),"unknown")</f>
        <v>Over $125,000</v>
      </c>
      <c r="AN319" s="120" t="str">
        <f>IFERROR(VLOOKUP(Table1[RespondentID],'All Data'!$A$3:$CW$999,95,FALSE),"unknown")</f>
        <v>College graduate</v>
      </c>
      <c r="AO319" s="120" t="str">
        <f>IFERROR(VLOOKUP(Table1[RespondentID],'All Data'!$A$3:$CW$999,96,FALSE),"unknown")</f>
        <v>Employed for wages</v>
      </c>
      <c r="AP319" s="120" t="str">
        <f>IFERROR(VLOOKUP(Table1[RespondentID],'All Data'!$A$3:$CW$999,97,FALSE),"unknown")</f>
        <v>Yes</v>
      </c>
      <c r="AQ319" s="120" t="str">
        <f>IFERROR(VLOOKUP(Table1[RespondentID],'All Data'!$A$3:$CW$999,98,FALSE),"unknown")</f>
        <v>Private/Commercial</v>
      </c>
      <c r="AR319" s="120" t="str">
        <f>IFERROR(VLOOKUP(Table1[RespondentID],'All Data'!$A$3:$CW$999,99,FALSE),"unknown")</f>
        <v>Yes</v>
      </c>
    </row>
    <row r="320" spans="1:44" ht="16">
      <c r="A320" s="5">
        <v>18014577716</v>
      </c>
      <c r="B320" s="5"/>
      <c r="C320" s="5"/>
      <c r="D320" s="5"/>
      <c r="E320" s="5"/>
      <c r="F320" s="5"/>
      <c r="G320" s="5" t="s">
        <v>34</v>
      </c>
      <c r="H320" s="5"/>
      <c r="I320" s="5"/>
      <c r="J320" s="5"/>
      <c r="K320" s="5"/>
      <c r="L320" s="8"/>
      <c r="M320" s="8">
        <f t="shared" si="60"/>
        <v>1</v>
      </c>
      <c r="N320" s="8">
        <f t="shared" si="61"/>
        <v>3</v>
      </c>
      <c r="O320" s="8"/>
      <c r="P320" s="8">
        <f t="shared" si="62"/>
        <v>0</v>
      </c>
      <c r="Q320" s="8">
        <f t="shared" si="63"/>
        <v>0</v>
      </c>
      <c r="R320" s="8">
        <f t="shared" si="64"/>
        <v>0</v>
      </c>
      <c r="S320" s="8">
        <f t="shared" si="65"/>
        <v>0</v>
      </c>
      <c r="T320" s="8">
        <f t="shared" si="66"/>
        <v>0</v>
      </c>
      <c r="U320" s="8">
        <f t="shared" si="67"/>
        <v>1</v>
      </c>
      <c r="V320" s="153">
        <f t="shared" si="68"/>
        <v>0</v>
      </c>
      <c r="W320" s="8">
        <f t="shared" si="69"/>
        <v>0</v>
      </c>
      <c r="X320" s="8">
        <f t="shared" si="70"/>
        <v>0</v>
      </c>
      <c r="Y320" s="8">
        <f t="shared" si="71"/>
        <v>0</v>
      </c>
      <c r="Z320" s="8"/>
      <c r="AA320" s="8"/>
      <c r="AB320" s="8">
        <f t="shared" si="74"/>
        <v>1</v>
      </c>
      <c r="AC320" s="8">
        <f t="shared" si="72"/>
        <v>1</v>
      </c>
      <c r="AD320" s="8" t="str">
        <f t="shared" si="73"/>
        <v>Correct</v>
      </c>
      <c r="AE320" s="8"/>
      <c r="AF320" s="120" t="str">
        <f>IFERROR(VLOOKUP(Table1[RespondentID],'All Data'!$A$3:$CO$999,87,FALSE),"unknown")</f>
        <v>Man</v>
      </c>
      <c r="AG320" s="120">
        <f>IFERROR(VLOOKUP(Table1[RespondentID],'All Data'!$A$3:$CO$999,88,FALSE),"unknown")</f>
        <v>67</v>
      </c>
      <c r="AH320" s="120" t="str">
        <f>IFERROR(VLOOKUP(Table1[RespondentID],'All Data'!$A$3:$CO$999,89,FALSE),"unknown")</f>
        <v>Suffolk</v>
      </c>
      <c r="AI320" s="120" t="str">
        <f>IFERROR(VLOOKUP(Table1[RespondentID],'All Data'!$A$3:$CO$999,90,FALSE),"unknown")</f>
        <v>Huntington Station, 11747</v>
      </c>
      <c r="AJ320" s="120" t="str">
        <f>IFERROR(VLOOKUP(Table1[RespondentID],'All Data'!$A$3:$CO$999,91,FALSE),"unknown")</f>
        <v>American Indian and Alaska Native</v>
      </c>
      <c r="AK320" s="120" t="str">
        <f>IFERROR(VLOOKUP(Table1[RespondentID],'All Data'!$A$3:$CO$999,92,FALSE),"unknown")</f>
        <v>Hispanic or Latino</v>
      </c>
      <c r="AL320" s="120" t="str">
        <f>IFERROR(VLOOKUP(Table1[RespondentID],'All Data'!$A$3:$CO$999,93,FALSE),"unknown")</f>
        <v>English</v>
      </c>
      <c r="AM320" s="120" t="str">
        <f>IFERROR(VLOOKUP(Table1[RespondentID],'All Data'!$A$3:$CW$999,94,FALSE),"unknown")</f>
        <v>$75,000 to $125,000</v>
      </c>
      <c r="AN320" s="120" t="str">
        <f>IFERROR(VLOOKUP(Table1[RespondentID],'All Data'!$A$3:$CW$999,95,FALSE),"unknown")</f>
        <v>College graduate</v>
      </c>
      <c r="AO320" s="120" t="str">
        <f>IFERROR(VLOOKUP(Table1[RespondentID],'All Data'!$A$3:$CW$999,96,FALSE),"unknown")</f>
        <v>Retired</v>
      </c>
      <c r="AP320" s="120" t="str">
        <f>IFERROR(VLOOKUP(Table1[RespondentID],'All Data'!$A$3:$CW$999,97,FALSE),"unknown")</f>
        <v>Yes</v>
      </c>
      <c r="AQ320" s="120" t="str">
        <f>IFERROR(VLOOKUP(Table1[RespondentID],'All Data'!$A$3:$CW$999,98,FALSE),"unknown")</f>
        <v>Medicare, Private/Commercial</v>
      </c>
      <c r="AR320" s="120" t="str">
        <f>IFERROR(VLOOKUP(Table1[RespondentID],'All Data'!$A$3:$CW$999,99,FALSE),"unknown")</f>
        <v>Yes</v>
      </c>
    </row>
    <row r="321" spans="1:44" ht="16">
      <c r="A321" s="5">
        <v>18014577265</v>
      </c>
      <c r="B321" s="5"/>
      <c r="C321" s="5"/>
      <c r="D321" s="5"/>
      <c r="E321" s="5"/>
      <c r="F321" s="5"/>
      <c r="G321" s="5"/>
      <c r="H321" s="5"/>
      <c r="I321" s="5"/>
      <c r="J321" s="5"/>
      <c r="K321" s="5" t="s">
        <v>375</v>
      </c>
      <c r="L321" s="9"/>
      <c r="M321" s="9">
        <f t="shared" si="60"/>
        <v>1</v>
      </c>
      <c r="N321" s="9">
        <f t="shared" si="61"/>
        <v>3</v>
      </c>
      <c r="O321" s="9"/>
      <c r="P321" s="9">
        <f t="shared" si="62"/>
        <v>0</v>
      </c>
      <c r="Q321" s="9">
        <f t="shared" si="63"/>
        <v>0</v>
      </c>
      <c r="R321" s="9">
        <f t="shared" si="64"/>
        <v>0</v>
      </c>
      <c r="S321" s="9">
        <f t="shared" si="65"/>
        <v>0</v>
      </c>
      <c r="T321" s="9">
        <f t="shared" si="66"/>
        <v>0</v>
      </c>
      <c r="U321" s="9">
        <f t="shared" si="67"/>
        <v>0</v>
      </c>
      <c r="V321" s="153">
        <f t="shared" si="68"/>
        <v>0</v>
      </c>
      <c r="W321" s="9">
        <f t="shared" si="69"/>
        <v>0</v>
      </c>
      <c r="X321" s="9">
        <f t="shared" si="70"/>
        <v>0</v>
      </c>
      <c r="Y321" s="9">
        <f t="shared" si="71"/>
        <v>1</v>
      </c>
      <c r="Z321" s="9"/>
      <c r="AA321" s="9"/>
      <c r="AB321" s="9">
        <f t="shared" si="74"/>
        <v>1</v>
      </c>
      <c r="AC321" s="9">
        <f t="shared" si="72"/>
        <v>1</v>
      </c>
      <c r="AD321" s="9" t="str">
        <f t="shared" si="73"/>
        <v>Correct</v>
      </c>
      <c r="AE321" s="9"/>
      <c r="AF321" s="120" t="str">
        <f>IFERROR(VLOOKUP(Table1[RespondentID],'All Data'!$A$3:$CO$999,87,FALSE),"unknown")</f>
        <v>Man</v>
      </c>
      <c r="AG321" s="120">
        <f>IFERROR(VLOOKUP(Table1[RespondentID],'All Data'!$A$3:$CO$999,88,FALSE),"unknown")</f>
        <v>19</v>
      </c>
      <c r="AH321" s="120" t="str">
        <f>IFERROR(VLOOKUP(Table1[RespondentID],'All Data'!$A$3:$CO$999,89,FALSE),"unknown")</f>
        <v>Nassau</v>
      </c>
      <c r="AI321" s="120" t="str">
        <f>IFERROR(VLOOKUP(Table1[RespondentID],'All Data'!$A$3:$CO$999,90,FALSE),"unknown")</f>
        <v>Farmingdale, 11735</v>
      </c>
      <c r="AJ321" s="120" t="str">
        <f>IFERROR(VLOOKUP(Table1[RespondentID],'All Data'!$A$3:$CO$999,91,FALSE),"unknown")</f>
        <v>American Indian and Alaska Native</v>
      </c>
      <c r="AK321" s="120" t="str">
        <f>IFERROR(VLOOKUP(Table1[RespondentID],'All Data'!$A$3:$CO$999,92,FALSE),"unknown")</f>
        <v>Hispanic or Latino</v>
      </c>
      <c r="AL321" s="120" t="str">
        <f>IFERROR(VLOOKUP(Table1[RespondentID],'All Data'!$A$3:$CO$999,93,FALSE),"unknown")</f>
        <v>English</v>
      </c>
      <c r="AM321" s="120" t="str">
        <f>IFERROR(VLOOKUP(Table1[RespondentID],'All Data'!$A$3:$CW$999,94,FALSE),"unknown")</f>
        <v>$50,000 to $74,999</v>
      </c>
      <c r="AN321" s="120" t="str">
        <f>IFERROR(VLOOKUP(Table1[RespondentID],'All Data'!$A$3:$CW$999,95,FALSE),"unknown")</f>
        <v>Some college</v>
      </c>
      <c r="AO321" s="120" t="str">
        <f>IFERROR(VLOOKUP(Table1[RespondentID],'All Data'!$A$3:$CW$999,96,FALSE),"unknown")</f>
        <v>Student</v>
      </c>
      <c r="AP321" s="120" t="str">
        <f>IFERROR(VLOOKUP(Table1[RespondentID],'All Data'!$A$3:$CW$999,97,FALSE),"unknown")</f>
        <v>Yes</v>
      </c>
      <c r="AQ321" s="120" t="str">
        <f>IFERROR(VLOOKUP(Table1[RespondentID],'All Data'!$A$3:$CW$999,98,FALSE),"unknown")</f>
        <v>Medicare</v>
      </c>
      <c r="AR321" s="120" t="str">
        <f>IFERROR(VLOOKUP(Table1[RespondentID],'All Data'!$A$3:$CW$999,99,FALSE),"unknown")</f>
        <v>Yes</v>
      </c>
    </row>
    <row r="322" spans="1:44" ht="16">
      <c r="A322" s="5">
        <v>18014577228</v>
      </c>
      <c r="B322" s="5"/>
      <c r="C322" s="5"/>
      <c r="D322" s="5"/>
      <c r="E322" s="5"/>
      <c r="F322" s="5"/>
      <c r="G322" s="5" t="s">
        <v>34</v>
      </c>
      <c r="H322" s="5"/>
      <c r="I322" s="5"/>
      <c r="J322" s="5"/>
      <c r="K322" s="5"/>
      <c r="L322" s="8"/>
      <c r="M322" s="8">
        <f t="shared" ref="M322:M385" si="75">COUNTA(B322:L322)</f>
        <v>1</v>
      </c>
      <c r="N322" s="8">
        <f t="shared" ref="N322:N385" si="76">3/M322</f>
        <v>3</v>
      </c>
      <c r="O322" s="8"/>
      <c r="P322" s="8">
        <f t="shared" ref="P322:P385" si="77">IF($M322&lt;3,IF($B322=$B$1,1,0),IF($B322=$B$1,$N322,0))</f>
        <v>0</v>
      </c>
      <c r="Q322" s="8">
        <f t="shared" ref="Q322:Q385" si="78">IF($M322&lt;3,IF($C322=$C$1,1,0),IF($C322=$C$1,$N322,0))</f>
        <v>0</v>
      </c>
      <c r="R322" s="8">
        <f t="shared" ref="R322:R385" si="79">IF($M322&lt;3,IF($D322=$D$1,1,0),IF($D322=$D$1,$N322,0))</f>
        <v>0</v>
      </c>
      <c r="S322" s="8">
        <f t="shared" ref="S322:S385" si="80">IF($M322&lt;3,IF($E322=$E$1,1,0),IF($E322=$E$1,$N322,0))</f>
        <v>0</v>
      </c>
      <c r="T322" s="8">
        <f t="shared" ref="T322:T385" si="81">IF($M322&lt;3,IF($F322=$F$1,1,0),IF($F322=$F$1,$N322,0))</f>
        <v>0</v>
      </c>
      <c r="U322" s="8">
        <f t="shared" ref="U322:U385" si="82">IF($M322&lt;3,IF($G322=$G$1,1,0),IF($G322=$G$1,$N322,0))</f>
        <v>1</v>
      </c>
      <c r="V322" s="153">
        <f t="shared" ref="V322:V385" si="83">IF($M322&lt;3,IF($H322=$H$1,1,0),IF($H322=$H$1,$N322,0))</f>
        <v>0</v>
      </c>
      <c r="W322" s="8">
        <f t="shared" ref="W322:W385" si="84">IF($M322&lt;3,IF($I322=$I$1,1,0),IF($I322=$I$1,$N322,0))</f>
        <v>0</v>
      </c>
      <c r="X322" s="8">
        <f t="shared" ref="X322:X385" si="85">IF($M322&lt;3,IF($J322=$J$1,1,0),IF($J322=$J$1,$N322,0))</f>
        <v>0</v>
      </c>
      <c r="Y322" s="8">
        <f t="shared" ref="Y322:Y385" si="86">IF($M322&lt;3,IF($K322=$K$1,1,0),IF($K322=$K$1,$N322,0))</f>
        <v>0</v>
      </c>
      <c r="Z322" s="8"/>
      <c r="AA322" s="8"/>
      <c r="AB322" s="8">
        <f t="shared" si="74"/>
        <v>1</v>
      </c>
      <c r="AC322" s="8">
        <f t="shared" ref="AC322:AC385" si="87">M322</f>
        <v>1</v>
      </c>
      <c r="AD322" s="8" t="str">
        <f t="shared" ref="AD322:AD385" si="88">IF(AB322=AC322,"Correct",IF(AB322=3,"Correct","Wrong"))</f>
        <v>Correct</v>
      </c>
      <c r="AE322" s="8"/>
      <c r="AF322" s="120" t="str">
        <f>IFERROR(VLOOKUP(Table1[RespondentID],'All Data'!$A$3:$CO$999,87,FALSE),"unknown")</f>
        <v>Man</v>
      </c>
      <c r="AG322" s="120">
        <f>IFERROR(VLOOKUP(Table1[RespondentID],'All Data'!$A$3:$CO$999,88,FALSE),"unknown")</f>
        <v>54</v>
      </c>
      <c r="AH322" s="120" t="str">
        <f>IFERROR(VLOOKUP(Table1[RespondentID],'All Data'!$A$3:$CO$999,89,FALSE),"unknown")</f>
        <v>Nassau</v>
      </c>
      <c r="AI322" s="120" t="str">
        <f>IFERROR(VLOOKUP(Table1[RespondentID],'All Data'!$A$3:$CO$999,90,FALSE),"unknown")</f>
        <v>Farmingdale, 11735</v>
      </c>
      <c r="AJ322" s="120" t="str">
        <f>IFERROR(VLOOKUP(Table1[RespondentID],'All Data'!$A$3:$CO$999,91,FALSE),"unknown")</f>
        <v>American Indian and Alaska Native</v>
      </c>
      <c r="AK322" s="120" t="str">
        <f>IFERROR(VLOOKUP(Table1[RespondentID],'All Data'!$A$3:$CO$999,92,FALSE),"unknown")</f>
        <v>Hispanic or Latino</v>
      </c>
      <c r="AL322" s="120">
        <f>IFERROR(VLOOKUP(Table1[RespondentID],'All Data'!$A$3:$CO$999,93,FALSE),"unknown")</f>
        <v>0</v>
      </c>
      <c r="AM322" s="120">
        <f>IFERROR(VLOOKUP(Table1[RespondentID],'All Data'!$A$3:$CW$999,94,FALSE),"unknown")</f>
        <v>0</v>
      </c>
      <c r="AN322" s="120" t="str">
        <f>IFERROR(VLOOKUP(Table1[RespondentID],'All Data'!$A$3:$CW$999,95,FALSE),"unknown")</f>
        <v>College graduate</v>
      </c>
      <c r="AO322" s="120" t="str">
        <f>IFERROR(VLOOKUP(Table1[RespondentID],'All Data'!$A$3:$CW$999,96,FALSE),"unknown")</f>
        <v>Employed for wages</v>
      </c>
      <c r="AP322" s="120" t="str">
        <f>IFERROR(VLOOKUP(Table1[RespondentID],'All Data'!$A$3:$CW$999,97,FALSE),"unknown")</f>
        <v>Yes</v>
      </c>
      <c r="AQ322" s="120" t="str">
        <f>IFERROR(VLOOKUP(Table1[RespondentID],'All Data'!$A$3:$CW$999,98,FALSE),"unknown")</f>
        <v>Medicaid</v>
      </c>
      <c r="AR322" s="120" t="str">
        <f>IFERROR(VLOOKUP(Table1[RespondentID],'All Data'!$A$3:$CW$999,99,FALSE),"unknown")</f>
        <v>Yes</v>
      </c>
    </row>
    <row r="323" spans="1:44" ht="16">
      <c r="A323" s="5">
        <v>18014577099</v>
      </c>
      <c r="B323" s="5"/>
      <c r="C323" s="5"/>
      <c r="D323" s="5"/>
      <c r="E323" s="5"/>
      <c r="F323" s="5"/>
      <c r="G323" s="5" t="s">
        <v>34</v>
      </c>
      <c r="H323" s="5"/>
      <c r="I323" s="5"/>
      <c r="J323" s="5"/>
      <c r="K323" s="5"/>
      <c r="L323" s="9"/>
      <c r="M323" s="9">
        <f t="shared" si="75"/>
        <v>1</v>
      </c>
      <c r="N323" s="9">
        <f t="shared" si="76"/>
        <v>3</v>
      </c>
      <c r="O323" s="9"/>
      <c r="P323" s="9">
        <f t="shared" si="77"/>
        <v>0</v>
      </c>
      <c r="Q323" s="9">
        <f t="shared" si="78"/>
        <v>0</v>
      </c>
      <c r="R323" s="9">
        <f t="shared" si="79"/>
        <v>0</v>
      </c>
      <c r="S323" s="9">
        <f t="shared" si="80"/>
        <v>0</v>
      </c>
      <c r="T323" s="9">
        <f t="shared" si="81"/>
        <v>0</v>
      </c>
      <c r="U323" s="9">
        <f t="shared" si="82"/>
        <v>1</v>
      </c>
      <c r="V323" s="153">
        <f t="shared" si="83"/>
        <v>0</v>
      </c>
      <c r="W323" s="9">
        <f t="shared" si="84"/>
        <v>0</v>
      </c>
      <c r="X323" s="9">
        <f t="shared" si="85"/>
        <v>0</v>
      </c>
      <c r="Y323" s="9">
        <f t="shared" si="86"/>
        <v>0</v>
      </c>
      <c r="Z323" s="9"/>
      <c r="AA323" s="9"/>
      <c r="AB323" s="9">
        <f t="shared" ref="AB323:AB346" si="89">SUM(P323:Z323)</f>
        <v>1</v>
      </c>
      <c r="AC323" s="9">
        <f t="shared" si="87"/>
        <v>1</v>
      </c>
      <c r="AD323" s="9" t="str">
        <f t="shared" si="88"/>
        <v>Correct</v>
      </c>
      <c r="AE323" s="9"/>
      <c r="AF323" s="120" t="str">
        <f>IFERROR(VLOOKUP(Table1[RespondentID],'All Data'!$A$3:$CO$999,87,FALSE),"unknown")</f>
        <v>Woman</v>
      </c>
      <c r="AG323" s="120">
        <f>IFERROR(VLOOKUP(Table1[RespondentID],'All Data'!$A$3:$CO$999,88,FALSE),"unknown")</f>
        <v>16</v>
      </c>
      <c r="AH323" s="120" t="str">
        <f>IFERROR(VLOOKUP(Table1[RespondentID],'All Data'!$A$3:$CO$999,89,FALSE),"unknown")</f>
        <v>Suffolk</v>
      </c>
      <c r="AI323" s="120" t="str">
        <f>IFERROR(VLOOKUP(Table1[RespondentID],'All Data'!$A$3:$CO$999,90,FALSE),"unknown")</f>
        <v>Smithtown, 11787</v>
      </c>
      <c r="AJ323" s="120">
        <f>IFERROR(VLOOKUP(Table1[RespondentID],'All Data'!$A$3:$CO$999,91,FALSE),"unknown")</f>
        <v>0</v>
      </c>
      <c r="AK323" s="120">
        <f>IFERROR(VLOOKUP(Table1[RespondentID],'All Data'!$A$3:$CO$999,92,FALSE),"unknown")</f>
        <v>0</v>
      </c>
      <c r="AL323" s="120">
        <f>IFERROR(VLOOKUP(Table1[RespondentID],'All Data'!$A$3:$CO$999,93,FALSE),"unknown")</f>
        <v>0</v>
      </c>
      <c r="AM323" s="120">
        <f>IFERROR(VLOOKUP(Table1[RespondentID],'All Data'!$A$3:$CW$999,94,FALSE),"unknown")</f>
        <v>0</v>
      </c>
      <c r="AN323" s="120">
        <f>IFERROR(VLOOKUP(Table1[RespondentID],'All Data'!$A$3:$CW$999,95,FALSE),"unknown")</f>
        <v>0</v>
      </c>
      <c r="AO323" s="120">
        <f>IFERROR(VLOOKUP(Table1[RespondentID],'All Data'!$A$3:$CW$999,96,FALSE),"unknown")</f>
        <v>0</v>
      </c>
      <c r="AP323" s="120">
        <f>IFERROR(VLOOKUP(Table1[RespondentID],'All Data'!$A$3:$CW$999,97,FALSE),"unknown")</f>
        <v>0</v>
      </c>
      <c r="AQ323" s="120">
        <f>IFERROR(VLOOKUP(Table1[RespondentID],'All Data'!$A$3:$CW$999,98,FALSE),"unknown")</f>
        <v>0</v>
      </c>
      <c r="AR323" s="120">
        <f>IFERROR(VLOOKUP(Table1[RespondentID],'All Data'!$A$3:$CW$999,99,FALSE),"unknown")</f>
        <v>0</v>
      </c>
    </row>
    <row r="324" spans="1:44" ht="16">
      <c r="A324" s="5">
        <v>18014577029</v>
      </c>
      <c r="B324" s="5"/>
      <c r="C324" s="5"/>
      <c r="D324" s="5"/>
      <c r="E324" s="5"/>
      <c r="F324" s="5"/>
      <c r="G324" s="5" t="s">
        <v>34</v>
      </c>
      <c r="H324" s="5"/>
      <c r="I324" s="5"/>
      <c r="J324" s="5"/>
      <c r="K324" s="5"/>
      <c r="L324" s="8"/>
      <c r="M324" s="8">
        <f t="shared" si="75"/>
        <v>1</v>
      </c>
      <c r="N324" s="8">
        <f t="shared" si="76"/>
        <v>3</v>
      </c>
      <c r="O324" s="8"/>
      <c r="P324" s="8">
        <f t="shared" si="77"/>
        <v>0</v>
      </c>
      <c r="Q324" s="8">
        <f t="shared" si="78"/>
        <v>0</v>
      </c>
      <c r="R324" s="8">
        <f t="shared" si="79"/>
        <v>0</v>
      </c>
      <c r="S324" s="8">
        <f t="shared" si="80"/>
        <v>0</v>
      </c>
      <c r="T324" s="8">
        <f t="shared" si="81"/>
        <v>0</v>
      </c>
      <c r="U324" s="8">
        <f t="shared" si="82"/>
        <v>1</v>
      </c>
      <c r="V324" s="153">
        <f t="shared" si="83"/>
        <v>0</v>
      </c>
      <c r="W324" s="8">
        <f t="shared" si="84"/>
        <v>0</v>
      </c>
      <c r="X324" s="8">
        <f t="shared" si="85"/>
        <v>0</v>
      </c>
      <c r="Y324" s="8">
        <f t="shared" si="86"/>
        <v>0</v>
      </c>
      <c r="Z324" s="8"/>
      <c r="AA324" s="8"/>
      <c r="AB324" s="8">
        <f t="shared" si="89"/>
        <v>1</v>
      </c>
      <c r="AC324" s="8">
        <f t="shared" si="87"/>
        <v>1</v>
      </c>
      <c r="AD324" s="8" t="str">
        <f t="shared" si="88"/>
        <v>Correct</v>
      </c>
      <c r="AE324" s="8"/>
      <c r="AF324" s="120" t="str">
        <f>IFERROR(VLOOKUP(Table1[RespondentID],'All Data'!$A$3:$CO$999,87,FALSE),"unknown")</f>
        <v>Woman</v>
      </c>
      <c r="AG324" s="120">
        <f>IFERROR(VLOOKUP(Table1[RespondentID],'All Data'!$A$3:$CO$999,88,FALSE),"unknown")</f>
        <v>0</v>
      </c>
      <c r="AH324" s="120" t="str">
        <f>IFERROR(VLOOKUP(Table1[RespondentID],'All Data'!$A$3:$CO$999,89,FALSE),"unknown")</f>
        <v>Suffolk</v>
      </c>
      <c r="AI324" s="120" t="str">
        <f>IFERROR(VLOOKUP(Table1[RespondentID],'All Data'!$A$3:$CO$999,90,FALSE),"unknown")</f>
        <v>Melville, 11747</v>
      </c>
      <c r="AJ324" s="120" t="str">
        <f>IFERROR(VLOOKUP(Table1[RespondentID],'All Data'!$A$3:$CO$999,91,FALSE),"unknown")</f>
        <v>American Indian and Alaska Native</v>
      </c>
      <c r="AK324" s="120" t="str">
        <f>IFERROR(VLOOKUP(Table1[RespondentID],'All Data'!$A$3:$CO$999,92,FALSE),"unknown")</f>
        <v>Hispanic or Latino</v>
      </c>
      <c r="AL324" s="120" t="str">
        <f>IFERROR(VLOOKUP(Table1[RespondentID],'All Data'!$A$3:$CO$999,93,FALSE),"unknown")</f>
        <v>English</v>
      </c>
      <c r="AM324" s="120" t="str">
        <f>IFERROR(VLOOKUP(Table1[RespondentID],'All Data'!$A$3:$CW$999,94,FALSE),"unknown")</f>
        <v>Over $125,000</v>
      </c>
      <c r="AN324" s="120" t="str">
        <f>IFERROR(VLOOKUP(Table1[RespondentID],'All Data'!$A$3:$CW$999,95,FALSE),"unknown")</f>
        <v>Graduate school</v>
      </c>
      <c r="AO324" s="120" t="str">
        <f>IFERROR(VLOOKUP(Table1[RespondentID],'All Data'!$A$3:$CW$999,96,FALSE),"unknown")</f>
        <v>Employed for wages</v>
      </c>
      <c r="AP324" s="120" t="str">
        <f>IFERROR(VLOOKUP(Table1[RespondentID],'All Data'!$A$3:$CW$999,97,FALSE),"unknown")</f>
        <v>Yes</v>
      </c>
      <c r="AQ324" s="120" t="str">
        <f>IFERROR(VLOOKUP(Table1[RespondentID],'All Data'!$A$3:$CW$999,98,FALSE),"unknown")</f>
        <v>Private/Commercial</v>
      </c>
      <c r="AR324" s="120" t="str">
        <f>IFERROR(VLOOKUP(Table1[RespondentID],'All Data'!$A$3:$CW$999,99,FALSE),"unknown")</f>
        <v>Yes</v>
      </c>
    </row>
    <row r="325" spans="1:44" ht="16">
      <c r="A325" s="5">
        <v>18014574170</v>
      </c>
      <c r="B325" s="5" t="s">
        <v>29</v>
      </c>
      <c r="C325" s="5"/>
      <c r="D325" s="5"/>
      <c r="E325" s="5"/>
      <c r="F325" s="5"/>
      <c r="G325" s="5"/>
      <c r="H325" s="5" t="s">
        <v>35</v>
      </c>
      <c r="I325" s="5"/>
      <c r="J325" s="5"/>
      <c r="K325" s="5"/>
      <c r="L325" s="9"/>
      <c r="M325" s="9">
        <f t="shared" si="75"/>
        <v>2</v>
      </c>
      <c r="N325" s="9">
        <f t="shared" si="76"/>
        <v>1.5</v>
      </c>
      <c r="O325" s="9"/>
      <c r="P325" s="9">
        <f t="shared" si="77"/>
        <v>1</v>
      </c>
      <c r="Q325" s="9">
        <f t="shared" si="78"/>
        <v>0</v>
      </c>
      <c r="R325" s="9">
        <f t="shared" si="79"/>
        <v>0</v>
      </c>
      <c r="S325" s="9">
        <f t="shared" si="80"/>
        <v>0</v>
      </c>
      <c r="T325" s="9">
        <f t="shared" si="81"/>
        <v>0</v>
      </c>
      <c r="U325" s="9">
        <f t="shared" si="82"/>
        <v>0</v>
      </c>
      <c r="V325" s="153">
        <f t="shared" si="83"/>
        <v>1</v>
      </c>
      <c r="W325" s="9">
        <f t="shared" si="84"/>
        <v>0</v>
      </c>
      <c r="X325" s="9">
        <f t="shared" si="85"/>
        <v>0</v>
      </c>
      <c r="Y325" s="9">
        <f t="shared" si="86"/>
        <v>0</v>
      </c>
      <c r="Z325" s="9"/>
      <c r="AA325" s="9"/>
      <c r="AB325" s="9">
        <f t="shared" si="89"/>
        <v>2</v>
      </c>
      <c r="AC325" s="9">
        <f t="shared" si="87"/>
        <v>2</v>
      </c>
      <c r="AD325" s="9" t="str">
        <f t="shared" si="88"/>
        <v>Correct</v>
      </c>
      <c r="AE325" s="9"/>
      <c r="AF325" s="120" t="str">
        <f>IFERROR(VLOOKUP(Table1[RespondentID],'All Data'!$A$3:$CO$999,87,FALSE),"unknown")</f>
        <v>Woman</v>
      </c>
      <c r="AG325" s="120">
        <f>IFERROR(VLOOKUP(Table1[RespondentID],'All Data'!$A$3:$CO$999,88,FALSE),"unknown")</f>
        <v>56</v>
      </c>
      <c r="AH325" s="120" t="str">
        <f>IFERROR(VLOOKUP(Table1[RespondentID],'All Data'!$A$3:$CO$999,89,FALSE),"unknown")</f>
        <v>Suffolk</v>
      </c>
      <c r="AI325" s="120" t="str">
        <f>IFERROR(VLOOKUP(Table1[RespondentID],'All Data'!$A$3:$CO$999,90,FALSE),"unknown")</f>
        <v>Smithtown, 11787</v>
      </c>
      <c r="AJ325" s="120" t="str">
        <f>IFERROR(VLOOKUP(Table1[RespondentID],'All Data'!$A$3:$CO$999,91,FALSE),"unknown")</f>
        <v>Native Hawaiian and Other Pacific Islander</v>
      </c>
      <c r="AK325" s="120" t="str">
        <f>IFERROR(VLOOKUP(Table1[RespondentID],'All Data'!$A$3:$CO$999,92,FALSE),"unknown")</f>
        <v>Hispanic or Latino</v>
      </c>
      <c r="AL325" s="120" t="str">
        <f>IFERROR(VLOOKUP(Table1[RespondentID],'All Data'!$A$3:$CO$999,93,FALSE),"unknown")</f>
        <v>English, Haitian Creole, French Creole</v>
      </c>
      <c r="AM325" s="120" t="str">
        <f>IFERROR(VLOOKUP(Table1[RespondentID],'All Data'!$A$3:$CW$999,94,FALSE),"unknown")</f>
        <v>$50,000 to $74,999</v>
      </c>
      <c r="AN325" s="120" t="str">
        <f>IFERROR(VLOOKUP(Table1[RespondentID],'All Data'!$A$3:$CW$999,95,FALSE),"unknown")</f>
        <v>Some college</v>
      </c>
      <c r="AO325" s="120" t="str">
        <f>IFERROR(VLOOKUP(Table1[RespondentID],'All Data'!$A$3:$CW$999,96,FALSE),"unknown")</f>
        <v>Employed for wages</v>
      </c>
      <c r="AP325" s="120" t="str">
        <f>IFERROR(VLOOKUP(Table1[RespondentID],'All Data'!$A$3:$CW$999,97,FALSE),"unknown")</f>
        <v>Yes</v>
      </c>
      <c r="AQ325" s="120" t="str">
        <f>IFERROR(VLOOKUP(Table1[RespondentID],'All Data'!$A$3:$CW$999,98,FALSE),"unknown")</f>
        <v>Private/Commercial</v>
      </c>
      <c r="AR325" s="120" t="str">
        <f>IFERROR(VLOOKUP(Table1[RespondentID],'All Data'!$A$3:$CW$999,99,FALSE),"unknown")</f>
        <v>No</v>
      </c>
    </row>
    <row r="326" spans="1:44" ht="16">
      <c r="A326" s="5">
        <v>18014573176</v>
      </c>
      <c r="B326" s="5"/>
      <c r="C326" s="5"/>
      <c r="D326" s="5"/>
      <c r="E326" s="5"/>
      <c r="F326" s="5"/>
      <c r="G326" s="5" t="s">
        <v>34</v>
      </c>
      <c r="H326" s="5"/>
      <c r="I326" s="5"/>
      <c r="J326" s="5"/>
      <c r="K326" s="5"/>
      <c r="L326" s="8"/>
      <c r="M326" s="8">
        <f t="shared" si="75"/>
        <v>1</v>
      </c>
      <c r="N326" s="8">
        <f t="shared" si="76"/>
        <v>3</v>
      </c>
      <c r="O326" s="8"/>
      <c r="P326" s="8">
        <f t="shared" si="77"/>
        <v>0</v>
      </c>
      <c r="Q326" s="8">
        <f t="shared" si="78"/>
        <v>0</v>
      </c>
      <c r="R326" s="8">
        <f t="shared" si="79"/>
        <v>0</v>
      </c>
      <c r="S326" s="8">
        <f t="shared" si="80"/>
        <v>0</v>
      </c>
      <c r="T326" s="8">
        <f t="shared" si="81"/>
        <v>0</v>
      </c>
      <c r="U326" s="8">
        <f t="shared" si="82"/>
        <v>1</v>
      </c>
      <c r="V326" s="153">
        <f t="shared" si="83"/>
        <v>0</v>
      </c>
      <c r="W326" s="8">
        <f t="shared" si="84"/>
        <v>0</v>
      </c>
      <c r="X326" s="8">
        <f t="shared" si="85"/>
        <v>0</v>
      </c>
      <c r="Y326" s="8">
        <f t="shared" si="86"/>
        <v>0</v>
      </c>
      <c r="Z326" s="8"/>
      <c r="AA326" s="8"/>
      <c r="AB326" s="8">
        <f t="shared" si="89"/>
        <v>1</v>
      </c>
      <c r="AC326" s="8">
        <f t="shared" si="87"/>
        <v>1</v>
      </c>
      <c r="AD326" s="8" t="str">
        <f t="shared" si="88"/>
        <v>Correct</v>
      </c>
      <c r="AE326" s="8"/>
      <c r="AF326" s="120" t="str">
        <f>IFERROR(VLOOKUP(Table1[RespondentID],'All Data'!$A$3:$CO$999,87,FALSE),"unknown")</f>
        <v>Woman</v>
      </c>
      <c r="AG326" s="120">
        <f>IFERROR(VLOOKUP(Table1[RespondentID],'All Data'!$A$3:$CO$999,88,FALSE),"unknown")</f>
        <v>49</v>
      </c>
      <c r="AH326" s="120" t="str">
        <f>IFERROR(VLOOKUP(Table1[RespondentID],'All Data'!$A$3:$CO$999,89,FALSE),"unknown")</f>
        <v>Suffolk</v>
      </c>
      <c r="AI326" s="120" t="str">
        <f>IFERROR(VLOOKUP(Table1[RespondentID],'All Data'!$A$3:$CO$999,90,FALSE),"unknown")</f>
        <v>Setauket, 11733</v>
      </c>
      <c r="AJ326" s="120" t="str">
        <f>IFERROR(VLOOKUP(Table1[RespondentID],'All Data'!$A$3:$CO$999,91,FALSE),"unknown")</f>
        <v>White</v>
      </c>
      <c r="AK326" s="120" t="str">
        <f>IFERROR(VLOOKUP(Table1[RespondentID],'All Data'!$A$3:$CO$999,92,FALSE),"unknown")</f>
        <v>Hispanic or Latino</v>
      </c>
      <c r="AL326" s="120" t="str">
        <f>IFERROR(VLOOKUP(Table1[RespondentID],'All Data'!$A$3:$CO$999,93,FALSE),"unknown")</f>
        <v>English</v>
      </c>
      <c r="AM326" s="120" t="str">
        <f>IFERROR(VLOOKUP(Table1[RespondentID],'All Data'!$A$3:$CW$999,94,FALSE),"unknown")</f>
        <v>Over $125,000</v>
      </c>
      <c r="AN326" s="120" t="str">
        <f>IFERROR(VLOOKUP(Table1[RespondentID],'All Data'!$A$3:$CW$999,95,FALSE),"unknown")</f>
        <v>Graduate school</v>
      </c>
      <c r="AO326" s="120" t="str">
        <f>IFERROR(VLOOKUP(Table1[RespondentID],'All Data'!$A$3:$CW$999,96,FALSE),"unknown")</f>
        <v>Employed for wages</v>
      </c>
      <c r="AP326" s="120" t="str">
        <f>IFERROR(VLOOKUP(Table1[RespondentID],'All Data'!$A$3:$CW$999,97,FALSE),"unknown")</f>
        <v>Yes</v>
      </c>
      <c r="AQ326" s="120" t="str">
        <f>IFERROR(VLOOKUP(Table1[RespondentID],'All Data'!$A$3:$CW$999,98,FALSE),"unknown")</f>
        <v>Private/Commercial</v>
      </c>
      <c r="AR326" s="120" t="str">
        <f>IFERROR(VLOOKUP(Table1[RespondentID],'All Data'!$A$3:$CW$999,99,FALSE),"unknown")</f>
        <v>Yes</v>
      </c>
    </row>
    <row r="327" spans="1:44" ht="16">
      <c r="A327" s="5">
        <v>18014553236</v>
      </c>
      <c r="B327" s="5"/>
      <c r="C327" s="5"/>
      <c r="D327" s="5"/>
      <c r="E327" s="5"/>
      <c r="F327" s="5"/>
      <c r="G327" s="5"/>
      <c r="H327" s="5"/>
      <c r="I327" s="5" t="s">
        <v>36</v>
      </c>
      <c r="J327" s="5"/>
      <c r="K327" s="5"/>
      <c r="L327" s="9"/>
      <c r="M327" s="9">
        <f t="shared" si="75"/>
        <v>1</v>
      </c>
      <c r="N327" s="9">
        <f t="shared" si="76"/>
        <v>3</v>
      </c>
      <c r="O327" s="9"/>
      <c r="P327" s="9">
        <f t="shared" si="77"/>
        <v>0</v>
      </c>
      <c r="Q327" s="9">
        <f t="shared" si="78"/>
        <v>0</v>
      </c>
      <c r="R327" s="9">
        <f t="shared" si="79"/>
        <v>0</v>
      </c>
      <c r="S327" s="9">
        <f t="shared" si="80"/>
        <v>0</v>
      </c>
      <c r="T327" s="9">
        <f t="shared" si="81"/>
        <v>0</v>
      </c>
      <c r="U327" s="9">
        <f t="shared" si="82"/>
        <v>0</v>
      </c>
      <c r="V327" s="153">
        <f t="shared" si="83"/>
        <v>0</v>
      </c>
      <c r="W327" s="9">
        <f t="shared" si="84"/>
        <v>1</v>
      </c>
      <c r="X327" s="9">
        <f t="shared" si="85"/>
        <v>0</v>
      </c>
      <c r="Y327" s="9">
        <f t="shared" si="86"/>
        <v>0</v>
      </c>
      <c r="Z327" s="9"/>
      <c r="AA327" s="9"/>
      <c r="AB327" s="9">
        <f t="shared" si="89"/>
        <v>1</v>
      </c>
      <c r="AC327" s="9">
        <f t="shared" si="87"/>
        <v>1</v>
      </c>
      <c r="AD327" s="9" t="str">
        <f t="shared" si="88"/>
        <v>Correct</v>
      </c>
      <c r="AE327" s="9"/>
      <c r="AF327" s="120" t="str">
        <f>IFERROR(VLOOKUP(Table1[RespondentID],'All Data'!$A$3:$CO$999,87,FALSE),"unknown")</f>
        <v>Man</v>
      </c>
      <c r="AG327" s="120">
        <f>IFERROR(VLOOKUP(Table1[RespondentID],'All Data'!$A$3:$CO$999,88,FALSE),"unknown")</f>
        <v>18</v>
      </c>
      <c r="AH327" s="120" t="str">
        <f>IFERROR(VLOOKUP(Table1[RespondentID],'All Data'!$A$3:$CO$999,89,FALSE),"unknown")</f>
        <v>Suffolk</v>
      </c>
      <c r="AI327" s="120" t="str">
        <f>IFERROR(VLOOKUP(Table1[RespondentID],'All Data'!$A$3:$CO$999,90,FALSE),"unknown")</f>
        <v>Smithtown, 11787</v>
      </c>
      <c r="AJ327" s="120" t="str">
        <f>IFERROR(VLOOKUP(Table1[RespondentID],'All Data'!$A$3:$CO$999,91,FALSE),"unknown")</f>
        <v>White</v>
      </c>
      <c r="AK327" s="120" t="str">
        <f>IFERROR(VLOOKUP(Table1[RespondentID],'All Data'!$A$3:$CO$999,92,FALSE),"unknown")</f>
        <v>Not Hispanic or Latino</v>
      </c>
      <c r="AL327" s="120" t="str">
        <f>IFERROR(VLOOKUP(Table1[RespondentID],'All Data'!$A$3:$CO$999,93,FALSE),"unknown")</f>
        <v>English, Spanish</v>
      </c>
      <c r="AM327" s="120" t="str">
        <f>IFERROR(VLOOKUP(Table1[RespondentID],'All Data'!$A$3:$CW$999,94,FALSE),"unknown")</f>
        <v>$50,000 to $74,999</v>
      </c>
      <c r="AN327" s="120" t="str">
        <f>IFERROR(VLOOKUP(Table1[RespondentID],'All Data'!$A$3:$CW$999,95,FALSE),"unknown")</f>
        <v>High school graduate</v>
      </c>
      <c r="AO327" s="120" t="str">
        <f>IFERROR(VLOOKUP(Table1[RespondentID],'All Data'!$A$3:$CW$999,96,FALSE),"unknown")</f>
        <v>Student</v>
      </c>
      <c r="AP327" s="120" t="str">
        <f>IFERROR(VLOOKUP(Table1[RespondentID],'All Data'!$A$3:$CW$999,97,FALSE),"unknown")</f>
        <v>Yes</v>
      </c>
      <c r="AQ327" s="120" t="str">
        <f>IFERROR(VLOOKUP(Table1[RespondentID],'All Data'!$A$3:$CW$999,98,FALSE),"unknown")</f>
        <v>Medicaid</v>
      </c>
      <c r="AR327" s="120" t="str">
        <f>IFERROR(VLOOKUP(Table1[RespondentID],'All Data'!$A$3:$CW$999,99,FALSE),"unknown")</f>
        <v>Yes</v>
      </c>
    </row>
    <row r="328" spans="1:44" ht="16">
      <c r="A328" s="5">
        <v>18014545263</v>
      </c>
      <c r="B328" s="5"/>
      <c r="C328" s="5"/>
      <c r="D328" s="5"/>
      <c r="E328" s="5"/>
      <c r="F328" s="5"/>
      <c r="G328" s="5"/>
      <c r="H328" s="5"/>
      <c r="I328" s="5" t="s">
        <v>36</v>
      </c>
      <c r="J328" s="5" t="s">
        <v>37</v>
      </c>
      <c r="K328" s="5" t="s">
        <v>375</v>
      </c>
      <c r="L328" s="8"/>
      <c r="M328" s="8">
        <f t="shared" si="75"/>
        <v>3</v>
      </c>
      <c r="N328" s="8">
        <f t="shared" si="76"/>
        <v>1</v>
      </c>
      <c r="O328" s="8"/>
      <c r="P328" s="8">
        <f t="shared" si="77"/>
        <v>0</v>
      </c>
      <c r="Q328" s="8">
        <f t="shared" si="78"/>
        <v>0</v>
      </c>
      <c r="R328" s="8">
        <f t="shared" si="79"/>
        <v>0</v>
      </c>
      <c r="S328" s="8">
        <f t="shared" si="80"/>
        <v>0</v>
      </c>
      <c r="T328" s="8">
        <f t="shared" si="81"/>
        <v>0</v>
      </c>
      <c r="U328" s="8">
        <f t="shared" si="82"/>
        <v>0</v>
      </c>
      <c r="V328" s="153">
        <f t="shared" si="83"/>
        <v>0</v>
      </c>
      <c r="W328" s="8">
        <f t="shared" si="84"/>
        <v>1</v>
      </c>
      <c r="X328" s="8">
        <f t="shared" si="85"/>
        <v>1</v>
      </c>
      <c r="Y328" s="8">
        <f t="shared" si="86"/>
        <v>1</v>
      </c>
      <c r="Z328" s="8"/>
      <c r="AA328" s="8"/>
      <c r="AB328" s="8">
        <f t="shared" si="89"/>
        <v>3</v>
      </c>
      <c r="AC328" s="8">
        <f t="shared" si="87"/>
        <v>3</v>
      </c>
      <c r="AD328" s="8" t="str">
        <f t="shared" si="88"/>
        <v>Correct</v>
      </c>
      <c r="AE328" s="8"/>
      <c r="AF328" s="120" t="str">
        <f>IFERROR(VLOOKUP(Table1[RespondentID],'All Data'!$A$3:$CO$999,87,FALSE),"unknown")</f>
        <v>Man</v>
      </c>
      <c r="AG328" s="120">
        <f>IFERROR(VLOOKUP(Table1[RespondentID],'All Data'!$A$3:$CO$999,88,FALSE),"unknown")</f>
        <v>18</v>
      </c>
      <c r="AH328" s="120" t="str">
        <f>IFERROR(VLOOKUP(Table1[RespondentID],'All Data'!$A$3:$CO$999,89,FALSE),"unknown")</f>
        <v>Suffolk</v>
      </c>
      <c r="AI328" s="120" t="str">
        <f>IFERROR(VLOOKUP(Table1[RespondentID],'All Data'!$A$3:$CO$999,90,FALSE),"unknown")</f>
        <v>Smithtown, 11787</v>
      </c>
      <c r="AJ328" s="120" t="str">
        <f>IFERROR(VLOOKUP(Table1[RespondentID],'All Data'!$A$3:$CO$999,91,FALSE),"unknown")</f>
        <v>Native Hawaiian and Other Pacific Islander</v>
      </c>
      <c r="AK328" s="120" t="str">
        <f>IFERROR(VLOOKUP(Table1[RespondentID],'All Data'!$A$3:$CO$999,92,FALSE),"unknown")</f>
        <v>Hispanic or Latino</v>
      </c>
      <c r="AL328" s="120" t="str">
        <f>IFERROR(VLOOKUP(Table1[RespondentID],'All Data'!$A$3:$CO$999,93,FALSE),"unknown")</f>
        <v>English</v>
      </c>
      <c r="AM328" s="120" t="str">
        <f>IFERROR(VLOOKUP(Table1[RespondentID],'All Data'!$A$3:$CW$999,94,FALSE),"unknown")</f>
        <v>$35,000 to $49,999</v>
      </c>
      <c r="AN328" s="120" t="str">
        <f>IFERROR(VLOOKUP(Table1[RespondentID],'All Data'!$A$3:$CW$999,95,FALSE),"unknown")</f>
        <v>High school graduate</v>
      </c>
      <c r="AO328" s="120" t="str">
        <f>IFERROR(VLOOKUP(Table1[RespondentID],'All Data'!$A$3:$CW$999,96,FALSE),"unknown")</f>
        <v>Student</v>
      </c>
      <c r="AP328" s="120" t="str">
        <f>IFERROR(VLOOKUP(Table1[RespondentID],'All Data'!$A$3:$CW$999,97,FALSE),"unknown")</f>
        <v>No</v>
      </c>
      <c r="AQ328" s="120" t="str">
        <f>IFERROR(VLOOKUP(Table1[RespondentID],'All Data'!$A$3:$CW$999,98,FALSE),"unknown")</f>
        <v>No Insurance</v>
      </c>
      <c r="AR328" s="120" t="str">
        <f>IFERROR(VLOOKUP(Table1[RespondentID],'All Data'!$A$3:$CW$999,99,FALSE),"unknown")</f>
        <v>Yes</v>
      </c>
    </row>
    <row r="329" spans="1:44" ht="16">
      <c r="A329" s="5">
        <v>18014444882</v>
      </c>
      <c r="B329" s="5"/>
      <c r="C329" s="5" t="s">
        <v>30</v>
      </c>
      <c r="D329" s="5" t="s">
        <v>31</v>
      </c>
      <c r="E329" s="5" t="s">
        <v>32</v>
      </c>
      <c r="F329" s="5"/>
      <c r="G329" s="5"/>
      <c r="H329" s="5"/>
      <c r="I329" s="5"/>
      <c r="J329" s="5"/>
      <c r="K329" s="5"/>
      <c r="L329" s="9"/>
      <c r="M329" s="9">
        <f t="shared" si="75"/>
        <v>3</v>
      </c>
      <c r="N329" s="9">
        <f t="shared" si="76"/>
        <v>1</v>
      </c>
      <c r="O329" s="9"/>
      <c r="P329" s="9">
        <f t="shared" si="77"/>
        <v>0</v>
      </c>
      <c r="Q329" s="9">
        <f t="shared" si="78"/>
        <v>1</v>
      </c>
      <c r="R329" s="9">
        <f t="shared" si="79"/>
        <v>1</v>
      </c>
      <c r="S329" s="9">
        <f t="shared" si="80"/>
        <v>1</v>
      </c>
      <c r="T329" s="9">
        <f t="shared" si="81"/>
        <v>0</v>
      </c>
      <c r="U329" s="9">
        <f t="shared" si="82"/>
        <v>0</v>
      </c>
      <c r="V329" s="153">
        <f t="shared" si="83"/>
        <v>0</v>
      </c>
      <c r="W329" s="9">
        <f t="shared" si="84"/>
        <v>0</v>
      </c>
      <c r="X329" s="9">
        <f t="shared" si="85"/>
        <v>0</v>
      </c>
      <c r="Y329" s="9">
        <f t="shared" si="86"/>
        <v>0</v>
      </c>
      <c r="Z329" s="9"/>
      <c r="AA329" s="9"/>
      <c r="AB329" s="9">
        <f t="shared" si="89"/>
        <v>3</v>
      </c>
      <c r="AC329" s="9">
        <f t="shared" si="87"/>
        <v>3</v>
      </c>
      <c r="AD329" s="9" t="str">
        <f t="shared" si="88"/>
        <v>Correct</v>
      </c>
      <c r="AE329" s="9"/>
      <c r="AF329" s="120" t="str">
        <f>IFERROR(VLOOKUP(Table1[RespondentID],'All Data'!$A$3:$CO$999,87,FALSE),"unknown")</f>
        <v>Woman</v>
      </c>
      <c r="AG329" s="120">
        <f>IFERROR(VLOOKUP(Table1[RespondentID],'All Data'!$A$3:$CO$999,88,FALSE),"unknown")</f>
        <v>54</v>
      </c>
      <c r="AH329" s="120" t="str">
        <f>IFERROR(VLOOKUP(Table1[RespondentID],'All Data'!$A$3:$CO$999,89,FALSE),"unknown")</f>
        <v>Nassau</v>
      </c>
      <c r="AI329" s="120" t="str">
        <f>IFERROR(VLOOKUP(Table1[RespondentID],'All Data'!$A$3:$CO$999,90,FALSE),"unknown")</f>
        <v>Syosset, 11791</v>
      </c>
      <c r="AJ329" s="120" t="str">
        <f>IFERROR(VLOOKUP(Table1[RespondentID],'All Data'!$A$3:$CO$999,91,FALSE),"unknown")</f>
        <v>American Indian and Alaska Native</v>
      </c>
      <c r="AK329" s="120" t="str">
        <f>IFERROR(VLOOKUP(Table1[RespondentID],'All Data'!$A$3:$CO$999,92,FALSE),"unknown")</f>
        <v>Hispanic or Latino</v>
      </c>
      <c r="AL329" s="120" t="str">
        <f>IFERROR(VLOOKUP(Table1[RespondentID],'All Data'!$A$3:$CO$999,93,FALSE),"unknown")</f>
        <v>English, Korean</v>
      </c>
      <c r="AM329" s="120" t="str">
        <f>IFERROR(VLOOKUP(Table1[RespondentID],'All Data'!$A$3:$CW$999,94,FALSE),"unknown")</f>
        <v>$20,000 to $34,999</v>
      </c>
      <c r="AN329" s="120" t="str">
        <f>IFERROR(VLOOKUP(Table1[RespondentID],'All Data'!$A$3:$CW$999,95,FALSE),"unknown")</f>
        <v>Doctorate</v>
      </c>
      <c r="AO329" s="120" t="str">
        <f>IFERROR(VLOOKUP(Table1[RespondentID],'All Data'!$A$3:$CW$999,96,FALSE),"unknown")</f>
        <v>Out of work and looking for work</v>
      </c>
      <c r="AP329" s="120" t="str">
        <f>IFERROR(VLOOKUP(Table1[RespondentID],'All Data'!$A$3:$CW$999,97,FALSE),"unknown")</f>
        <v>Yes</v>
      </c>
      <c r="AQ329" s="120" t="str">
        <f>IFERROR(VLOOKUP(Table1[RespondentID],'All Data'!$A$3:$CW$999,98,FALSE),"unknown")</f>
        <v>Medicaid</v>
      </c>
      <c r="AR329" s="120" t="str">
        <f>IFERROR(VLOOKUP(Table1[RespondentID],'All Data'!$A$3:$CW$999,99,FALSE),"unknown")</f>
        <v>Yes</v>
      </c>
    </row>
    <row r="330" spans="1:44" ht="16">
      <c r="A330" s="5">
        <v>18014407639</v>
      </c>
      <c r="B330" s="5"/>
      <c r="C330" s="5" t="s">
        <v>30</v>
      </c>
      <c r="D330" s="5"/>
      <c r="E330" s="5"/>
      <c r="F330" s="5"/>
      <c r="G330" s="5" t="s">
        <v>34</v>
      </c>
      <c r="H330" s="5"/>
      <c r="I330" s="5" t="s">
        <v>36</v>
      </c>
      <c r="J330" s="5"/>
      <c r="K330" s="5"/>
      <c r="L330" s="8"/>
      <c r="M330" s="8">
        <f t="shared" si="75"/>
        <v>3</v>
      </c>
      <c r="N330" s="8">
        <f t="shared" si="76"/>
        <v>1</v>
      </c>
      <c r="O330" s="8"/>
      <c r="P330" s="8">
        <f t="shared" si="77"/>
        <v>0</v>
      </c>
      <c r="Q330" s="8">
        <f t="shared" si="78"/>
        <v>1</v>
      </c>
      <c r="R330" s="8">
        <f t="shared" si="79"/>
        <v>0</v>
      </c>
      <c r="S330" s="8">
        <f t="shared" si="80"/>
        <v>0</v>
      </c>
      <c r="T330" s="8">
        <f t="shared" si="81"/>
        <v>0</v>
      </c>
      <c r="U330" s="8">
        <f t="shared" si="82"/>
        <v>1</v>
      </c>
      <c r="V330" s="153">
        <f t="shared" si="83"/>
        <v>0</v>
      </c>
      <c r="W330" s="8">
        <f t="shared" si="84"/>
        <v>1</v>
      </c>
      <c r="X330" s="8">
        <f t="shared" si="85"/>
        <v>0</v>
      </c>
      <c r="Y330" s="8">
        <f t="shared" si="86"/>
        <v>0</v>
      </c>
      <c r="Z330" s="8"/>
      <c r="AA330" s="8"/>
      <c r="AB330" s="8">
        <f t="shared" si="89"/>
        <v>3</v>
      </c>
      <c r="AC330" s="8">
        <f t="shared" si="87"/>
        <v>3</v>
      </c>
      <c r="AD330" s="8" t="str">
        <f t="shared" si="88"/>
        <v>Correct</v>
      </c>
      <c r="AE330" s="8"/>
      <c r="AF330" s="120" t="str">
        <f>IFERROR(VLOOKUP(Table1[RespondentID],'All Data'!$A$3:$CO$999,87,FALSE),"unknown")</f>
        <v>Man</v>
      </c>
      <c r="AG330" s="120">
        <f>IFERROR(VLOOKUP(Table1[RespondentID],'All Data'!$A$3:$CO$999,88,FALSE),"unknown")</f>
        <v>49</v>
      </c>
      <c r="AH330" s="120" t="str">
        <f>IFERROR(VLOOKUP(Table1[RespondentID],'All Data'!$A$3:$CO$999,89,FALSE),"unknown")</f>
        <v>Queens</v>
      </c>
      <c r="AI330" s="120">
        <f>IFERROR(VLOOKUP(Table1[RespondentID],'All Data'!$A$3:$CO$999,90,FALSE),"unknown")</f>
        <v>11003</v>
      </c>
      <c r="AJ330" s="120" t="str">
        <f>IFERROR(VLOOKUP(Table1[RespondentID],'All Data'!$A$3:$CO$999,91,FALSE),"unknown")</f>
        <v>Native Hawaiian and Other Pacific Islander</v>
      </c>
      <c r="AK330" s="120" t="str">
        <f>IFERROR(VLOOKUP(Table1[RespondentID],'All Data'!$A$3:$CO$999,92,FALSE),"unknown")</f>
        <v>Hispanic or Latino</v>
      </c>
      <c r="AL330" s="120" t="str">
        <f>IFERROR(VLOOKUP(Table1[RespondentID],'All Data'!$A$3:$CO$999,93,FALSE),"unknown")</f>
        <v>Haitian Creole, French Creole</v>
      </c>
      <c r="AM330" s="120" t="str">
        <f>IFERROR(VLOOKUP(Table1[RespondentID],'All Data'!$A$3:$CW$999,94,FALSE),"unknown")</f>
        <v>$20,000 to $34,999</v>
      </c>
      <c r="AN330" s="120" t="str">
        <f>IFERROR(VLOOKUP(Table1[RespondentID],'All Data'!$A$3:$CW$999,95,FALSE),"unknown")</f>
        <v>Graduate school</v>
      </c>
      <c r="AO330" s="120" t="str">
        <f>IFERROR(VLOOKUP(Table1[RespondentID],'All Data'!$A$3:$CW$999,96,FALSE),"unknown")</f>
        <v>Employed for wages</v>
      </c>
      <c r="AP330" s="120" t="str">
        <f>IFERROR(VLOOKUP(Table1[RespondentID],'All Data'!$A$3:$CW$999,97,FALSE),"unknown")</f>
        <v>Yes</v>
      </c>
      <c r="AQ330" s="120" t="str">
        <f>IFERROR(VLOOKUP(Table1[RespondentID],'All Data'!$A$3:$CW$999,98,FALSE),"unknown")</f>
        <v>Medicaid</v>
      </c>
      <c r="AR330" s="120" t="str">
        <f>IFERROR(VLOOKUP(Table1[RespondentID],'All Data'!$A$3:$CW$999,99,FALSE),"unknown")</f>
        <v>Yes</v>
      </c>
    </row>
    <row r="331" spans="1:44" ht="16">
      <c r="A331" s="5">
        <v>18014391810</v>
      </c>
      <c r="B331" s="5"/>
      <c r="C331" s="5"/>
      <c r="D331" s="5"/>
      <c r="E331" s="5"/>
      <c r="F331" s="5"/>
      <c r="G331" s="5"/>
      <c r="H331" s="5"/>
      <c r="I331" s="5"/>
      <c r="J331" s="5"/>
      <c r="K331" s="5"/>
      <c r="L331" s="9"/>
      <c r="M331" s="9">
        <f t="shared" si="75"/>
        <v>0</v>
      </c>
      <c r="N331" s="9" t="e">
        <f t="shared" si="76"/>
        <v>#DIV/0!</v>
      </c>
      <c r="O331" s="9"/>
      <c r="P331" s="9">
        <f t="shared" si="77"/>
        <v>0</v>
      </c>
      <c r="Q331" s="9">
        <f t="shared" si="78"/>
        <v>0</v>
      </c>
      <c r="R331" s="9">
        <f t="shared" si="79"/>
        <v>0</v>
      </c>
      <c r="S331" s="9">
        <f t="shared" si="80"/>
        <v>0</v>
      </c>
      <c r="T331" s="9">
        <f t="shared" si="81"/>
        <v>0</v>
      </c>
      <c r="U331" s="9">
        <f t="shared" si="82"/>
        <v>0</v>
      </c>
      <c r="V331" s="153">
        <f t="shared" si="83"/>
        <v>0</v>
      </c>
      <c r="W331" s="9">
        <f t="shared" si="84"/>
        <v>0</v>
      </c>
      <c r="X331" s="9">
        <f t="shared" si="85"/>
        <v>0</v>
      </c>
      <c r="Y331" s="9">
        <f t="shared" si="86"/>
        <v>0</v>
      </c>
      <c r="Z331" s="9"/>
      <c r="AA331" s="9"/>
      <c r="AB331" s="9">
        <f t="shared" si="89"/>
        <v>0</v>
      </c>
      <c r="AC331" s="9">
        <f t="shared" si="87"/>
        <v>0</v>
      </c>
      <c r="AD331" s="9" t="str">
        <f t="shared" si="88"/>
        <v>Correct</v>
      </c>
      <c r="AE331" s="9"/>
      <c r="AF331" s="120" t="str">
        <f>IFERROR(VLOOKUP(Table1[RespondentID],'All Data'!$A$3:$CO$999,87,FALSE),"unknown")</f>
        <v>Man</v>
      </c>
      <c r="AG331" s="120">
        <f>IFERROR(VLOOKUP(Table1[RespondentID],'All Data'!$A$3:$CO$999,88,FALSE),"unknown")</f>
        <v>50</v>
      </c>
      <c r="AH331" s="120" t="str">
        <f>IFERROR(VLOOKUP(Table1[RespondentID],'All Data'!$A$3:$CO$999,89,FALSE),"unknown")</f>
        <v>Suffolk</v>
      </c>
      <c r="AI331" s="120" t="str">
        <f>IFERROR(VLOOKUP(Table1[RespondentID],'All Data'!$A$3:$CO$999,90,FALSE),"unknown")</f>
        <v>Smithtown, 11787</v>
      </c>
      <c r="AJ331" s="120" t="str">
        <f>IFERROR(VLOOKUP(Table1[RespondentID],'All Data'!$A$3:$CO$999,91,FALSE),"unknown")</f>
        <v>Native Hawaiian and Other Pacific Islander</v>
      </c>
      <c r="AK331" s="120" t="str">
        <f>IFERROR(VLOOKUP(Table1[RespondentID],'All Data'!$A$3:$CO$999,92,FALSE),"unknown")</f>
        <v>Hispanic or Latino</v>
      </c>
      <c r="AL331" s="120" t="str">
        <f>IFERROR(VLOOKUP(Table1[RespondentID],'All Data'!$A$3:$CO$999,93,FALSE),"unknown")</f>
        <v>English, Haitian Creole, French Creole</v>
      </c>
      <c r="AM331" s="120" t="str">
        <f>IFERROR(VLOOKUP(Table1[RespondentID],'All Data'!$A$3:$CW$999,94,FALSE),"unknown")</f>
        <v>Over $125,000</v>
      </c>
      <c r="AN331" s="120" t="str">
        <f>IFERROR(VLOOKUP(Table1[RespondentID],'All Data'!$A$3:$CW$999,95,FALSE),"unknown")</f>
        <v>Other (please specify)</v>
      </c>
      <c r="AO331" s="120" t="str">
        <f>IFERROR(VLOOKUP(Table1[RespondentID],'All Data'!$A$3:$CW$999,96,FALSE),"unknown")</f>
        <v>Employed for wages</v>
      </c>
      <c r="AP331" s="120" t="str">
        <f>IFERROR(VLOOKUP(Table1[RespondentID],'All Data'!$A$3:$CW$999,97,FALSE),"unknown")</f>
        <v>Yes</v>
      </c>
      <c r="AQ331" s="120" t="str">
        <f>IFERROR(VLOOKUP(Table1[RespondentID],'All Data'!$A$3:$CW$999,98,FALSE),"unknown")</f>
        <v>Private/Commercial</v>
      </c>
      <c r="AR331" s="120" t="str">
        <f>IFERROR(VLOOKUP(Table1[RespondentID],'All Data'!$A$3:$CW$999,99,FALSE),"unknown")</f>
        <v>Yes</v>
      </c>
    </row>
    <row r="332" spans="1:44" ht="16">
      <c r="A332" s="5">
        <v>18014391895</v>
      </c>
      <c r="B332" s="5"/>
      <c r="C332" s="5"/>
      <c r="D332" s="5"/>
      <c r="E332" s="5"/>
      <c r="F332" s="5"/>
      <c r="G332" s="5"/>
      <c r="H332" s="5"/>
      <c r="I332" s="5"/>
      <c r="J332" s="5"/>
      <c r="K332" s="5"/>
      <c r="L332" s="8"/>
      <c r="M332" s="8">
        <f t="shared" si="75"/>
        <v>0</v>
      </c>
      <c r="N332" s="8" t="e">
        <f t="shared" si="76"/>
        <v>#DIV/0!</v>
      </c>
      <c r="O332" s="8"/>
      <c r="P332" s="8">
        <f t="shared" si="77"/>
        <v>0</v>
      </c>
      <c r="Q332" s="8">
        <f t="shared" si="78"/>
        <v>0</v>
      </c>
      <c r="R332" s="8">
        <f t="shared" si="79"/>
        <v>0</v>
      </c>
      <c r="S332" s="8">
        <f t="shared" si="80"/>
        <v>0</v>
      </c>
      <c r="T332" s="8">
        <f t="shared" si="81"/>
        <v>0</v>
      </c>
      <c r="U332" s="8">
        <f t="shared" si="82"/>
        <v>0</v>
      </c>
      <c r="V332" s="153">
        <f t="shared" si="83"/>
        <v>0</v>
      </c>
      <c r="W332" s="8">
        <f t="shared" si="84"/>
        <v>0</v>
      </c>
      <c r="X332" s="8">
        <f t="shared" si="85"/>
        <v>0</v>
      </c>
      <c r="Y332" s="8">
        <f t="shared" si="86"/>
        <v>0</v>
      </c>
      <c r="Z332" s="8"/>
      <c r="AA332" s="8"/>
      <c r="AB332" s="8">
        <f t="shared" si="89"/>
        <v>0</v>
      </c>
      <c r="AC332" s="8">
        <f t="shared" si="87"/>
        <v>0</v>
      </c>
      <c r="AD332" s="8" t="str">
        <f t="shared" si="88"/>
        <v>Correct</v>
      </c>
      <c r="AE332" s="8"/>
      <c r="AF332" s="120" t="str">
        <f>IFERROR(VLOOKUP(Table1[RespondentID],'All Data'!$A$3:$CO$999,87,FALSE),"unknown")</f>
        <v>Man</v>
      </c>
      <c r="AG332" s="120">
        <f>IFERROR(VLOOKUP(Table1[RespondentID],'All Data'!$A$3:$CO$999,88,FALSE),"unknown")</f>
        <v>65</v>
      </c>
      <c r="AH332" s="120" t="str">
        <f>IFERROR(VLOOKUP(Table1[RespondentID],'All Data'!$A$3:$CO$999,89,FALSE),"unknown")</f>
        <v>Queens</v>
      </c>
      <c r="AI332" s="120">
        <f>IFERROR(VLOOKUP(Table1[RespondentID],'All Data'!$A$3:$CO$999,90,FALSE),"unknown")</f>
        <v>11692</v>
      </c>
      <c r="AJ332" s="120" t="str">
        <f>IFERROR(VLOOKUP(Table1[RespondentID],'All Data'!$A$3:$CO$999,91,FALSE),"unknown")</f>
        <v>Native Hawaiian and Other Pacific Islander</v>
      </c>
      <c r="AK332" s="120" t="str">
        <f>IFERROR(VLOOKUP(Table1[RespondentID],'All Data'!$A$3:$CO$999,92,FALSE),"unknown")</f>
        <v>Hispanic or Latino</v>
      </c>
      <c r="AL332" s="120" t="str">
        <f>IFERROR(VLOOKUP(Table1[RespondentID],'All Data'!$A$3:$CO$999,93,FALSE),"unknown")</f>
        <v>English</v>
      </c>
      <c r="AM332" s="120" t="str">
        <f>IFERROR(VLOOKUP(Table1[RespondentID],'All Data'!$A$3:$CW$999,94,FALSE),"unknown")</f>
        <v>$35,000 to $49,999</v>
      </c>
      <c r="AN332" s="120" t="str">
        <f>IFERROR(VLOOKUP(Table1[RespondentID],'All Data'!$A$3:$CW$999,95,FALSE),"unknown")</f>
        <v>College graduate</v>
      </c>
      <c r="AO332" s="120" t="str">
        <f>IFERROR(VLOOKUP(Table1[RespondentID],'All Data'!$A$3:$CW$999,96,FALSE),"unknown")</f>
        <v>Employed for wages</v>
      </c>
      <c r="AP332" s="120" t="str">
        <f>IFERROR(VLOOKUP(Table1[RespondentID],'All Data'!$A$3:$CW$999,97,FALSE),"unknown")</f>
        <v>Yes</v>
      </c>
      <c r="AQ332" s="120" t="str">
        <f>IFERROR(VLOOKUP(Table1[RespondentID],'All Data'!$A$3:$CW$999,98,FALSE),"unknown")</f>
        <v>Private/Commercial</v>
      </c>
      <c r="AR332" s="120" t="str">
        <f>IFERROR(VLOOKUP(Table1[RespondentID],'All Data'!$A$3:$CW$999,99,FALSE),"unknown")</f>
        <v>Yes</v>
      </c>
    </row>
    <row r="333" spans="1:44" ht="16">
      <c r="A333" s="5">
        <v>18014390822</v>
      </c>
      <c r="B333" s="5" t="s">
        <v>29</v>
      </c>
      <c r="C333" s="5" t="s">
        <v>30</v>
      </c>
      <c r="D333" s="5"/>
      <c r="E333" s="5"/>
      <c r="F333" s="5"/>
      <c r="G333" s="5"/>
      <c r="H333" s="5"/>
      <c r="I333" s="5"/>
      <c r="J333" s="5"/>
      <c r="K333" s="5" t="s">
        <v>375</v>
      </c>
      <c r="L333" s="9"/>
      <c r="M333" s="9">
        <f t="shared" si="75"/>
        <v>3</v>
      </c>
      <c r="N333" s="9">
        <f t="shared" si="76"/>
        <v>1</v>
      </c>
      <c r="O333" s="9"/>
      <c r="P333" s="9">
        <f t="shared" si="77"/>
        <v>1</v>
      </c>
      <c r="Q333" s="9">
        <f t="shared" si="78"/>
        <v>1</v>
      </c>
      <c r="R333" s="9">
        <f t="shared" si="79"/>
        <v>0</v>
      </c>
      <c r="S333" s="9">
        <f t="shared" si="80"/>
        <v>0</v>
      </c>
      <c r="T333" s="9">
        <f t="shared" si="81"/>
        <v>0</v>
      </c>
      <c r="U333" s="9">
        <f t="shared" si="82"/>
        <v>0</v>
      </c>
      <c r="V333" s="153">
        <f t="shared" si="83"/>
        <v>0</v>
      </c>
      <c r="W333" s="9">
        <f t="shared" si="84"/>
        <v>0</v>
      </c>
      <c r="X333" s="9">
        <f t="shared" si="85"/>
        <v>0</v>
      </c>
      <c r="Y333" s="9">
        <f t="shared" si="86"/>
        <v>1</v>
      </c>
      <c r="Z333" s="9"/>
      <c r="AA333" s="9"/>
      <c r="AB333" s="9">
        <f t="shared" si="89"/>
        <v>3</v>
      </c>
      <c r="AC333" s="9">
        <f t="shared" si="87"/>
        <v>3</v>
      </c>
      <c r="AD333" s="9" t="str">
        <f t="shared" si="88"/>
        <v>Correct</v>
      </c>
      <c r="AE333" s="9"/>
      <c r="AF333" s="120" t="str">
        <f>IFERROR(VLOOKUP(Table1[RespondentID],'All Data'!$A$3:$CO$999,87,FALSE),"unknown")</f>
        <v>Man</v>
      </c>
      <c r="AG333" s="120">
        <f>IFERROR(VLOOKUP(Table1[RespondentID],'All Data'!$A$3:$CO$999,88,FALSE),"unknown")</f>
        <v>45</v>
      </c>
      <c r="AH333" s="120" t="str">
        <f>IFERROR(VLOOKUP(Table1[RespondentID],'All Data'!$A$3:$CO$999,89,FALSE),"unknown")</f>
        <v>Queens</v>
      </c>
      <c r="AI333" s="120">
        <f>IFERROR(VLOOKUP(Table1[RespondentID],'All Data'!$A$3:$CO$999,90,FALSE),"unknown")</f>
        <v>11355</v>
      </c>
      <c r="AJ333" s="120" t="str">
        <f>IFERROR(VLOOKUP(Table1[RespondentID],'All Data'!$A$3:$CO$999,91,FALSE),"unknown")</f>
        <v>Asian</v>
      </c>
      <c r="AK333" s="120" t="str">
        <f>IFERROR(VLOOKUP(Table1[RespondentID],'All Data'!$A$3:$CO$999,92,FALSE),"unknown")</f>
        <v>Hispanic or Latino</v>
      </c>
      <c r="AL333" s="120" t="str">
        <f>IFERROR(VLOOKUP(Table1[RespondentID],'All Data'!$A$3:$CO$999,93,FALSE),"unknown")</f>
        <v>English</v>
      </c>
      <c r="AM333" s="120" t="str">
        <f>IFERROR(VLOOKUP(Table1[RespondentID],'All Data'!$A$3:$CW$999,94,FALSE),"unknown")</f>
        <v>$35,000 to $49,999</v>
      </c>
      <c r="AN333" s="120" t="str">
        <f>IFERROR(VLOOKUP(Table1[RespondentID],'All Data'!$A$3:$CW$999,95,FALSE),"unknown")</f>
        <v>Some high school</v>
      </c>
      <c r="AO333" s="120" t="str">
        <f>IFERROR(VLOOKUP(Table1[RespondentID],'All Data'!$A$3:$CW$999,96,FALSE),"unknown")</f>
        <v>Employed for wages</v>
      </c>
      <c r="AP333" s="120" t="str">
        <f>IFERROR(VLOOKUP(Table1[RespondentID],'All Data'!$A$3:$CW$999,97,FALSE),"unknown")</f>
        <v>Yes</v>
      </c>
      <c r="AQ333" s="120" t="str">
        <f>IFERROR(VLOOKUP(Table1[RespondentID],'All Data'!$A$3:$CW$999,98,FALSE),"unknown")</f>
        <v>Private/Commercial</v>
      </c>
      <c r="AR333" s="120" t="str">
        <f>IFERROR(VLOOKUP(Table1[RespondentID],'All Data'!$A$3:$CW$999,99,FALSE),"unknown")</f>
        <v>Yes</v>
      </c>
    </row>
    <row r="334" spans="1:44" ht="16">
      <c r="A334" s="5">
        <v>18014390460</v>
      </c>
      <c r="B334" s="5"/>
      <c r="C334" s="5" t="s">
        <v>30</v>
      </c>
      <c r="D334" s="5" t="s">
        <v>31</v>
      </c>
      <c r="E334" s="5"/>
      <c r="F334" s="5"/>
      <c r="G334" s="5"/>
      <c r="H334" s="5"/>
      <c r="I334" s="5"/>
      <c r="J334" s="5"/>
      <c r="K334" s="5"/>
      <c r="L334" s="8"/>
      <c r="M334" s="8">
        <f t="shared" si="75"/>
        <v>2</v>
      </c>
      <c r="N334" s="8">
        <f t="shared" si="76"/>
        <v>1.5</v>
      </c>
      <c r="O334" s="8"/>
      <c r="P334" s="8">
        <f t="shared" si="77"/>
        <v>0</v>
      </c>
      <c r="Q334" s="8">
        <f t="shared" si="78"/>
        <v>1</v>
      </c>
      <c r="R334" s="8">
        <f t="shared" si="79"/>
        <v>1</v>
      </c>
      <c r="S334" s="8">
        <f t="shared" si="80"/>
        <v>0</v>
      </c>
      <c r="T334" s="8">
        <f t="shared" si="81"/>
        <v>0</v>
      </c>
      <c r="U334" s="8">
        <f t="shared" si="82"/>
        <v>0</v>
      </c>
      <c r="V334" s="153">
        <f t="shared" si="83"/>
        <v>0</v>
      </c>
      <c r="W334" s="8">
        <f t="shared" si="84"/>
        <v>0</v>
      </c>
      <c r="X334" s="8">
        <f t="shared" si="85"/>
        <v>0</v>
      </c>
      <c r="Y334" s="8">
        <f t="shared" si="86"/>
        <v>0</v>
      </c>
      <c r="Z334" s="8"/>
      <c r="AA334" s="8"/>
      <c r="AB334" s="8">
        <f t="shared" si="89"/>
        <v>2</v>
      </c>
      <c r="AC334" s="8">
        <f t="shared" si="87"/>
        <v>2</v>
      </c>
      <c r="AD334" s="8" t="str">
        <f t="shared" si="88"/>
        <v>Correct</v>
      </c>
      <c r="AE334" s="8"/>
      <c r="AF334" s="120" t="str">
        <f>IFERROR(VLOOKUP(Table1[RespondentID],'All Data'!$A$3:$CO$999,87,FALSE),"unknown")</f>
        <v>Woman</v>
      </c>
      <c r="AG334" s="120">
        <f>IFERROR(VLOOKUP(Table1[RespondentID],'All Data'!$A$3:$CO$999,88,FALSE),"unknown")</f>
        <v>38</v>
      </c>
      <c r="AH334" s="120" t="str">
        <f>IFERROR(VLOOKUP(Table1[RespondentID],'All Data'!$A$3:$CO$999,89,FALSE),"unknown")</f>
        <v>Queens</v>
      </c>
      <c r="AI334" s="120">
        <f>IFERROR(VLOOKUP(Table1[RespondentID],'All Data'!$A$3:$CO$999,90,FALSE),"unknown")</f>
        <v>11236</v>
      </c>
      <c r="AJ334" s="120" t="str">
        <f>IFERROR(VLOOKUP(Table1[RespondentID],'All Data'!$A$3:$CO$999,91,FALSE),"unknown")</f>
        <v>Asian</v>
      </c>
      <c r="AK334" s="120" t="str">
        <f>IFERROR(VLOOKUP(Table1[RespondentID],'All Data'!$A$3:$CO$999,92,FALSE),"unknown")</f>
        <v>Not Hispanic or Latino</v>
      </c>
      <c r="AL334" s="120" t="str">
        <f>IFERROR(VLOOKUP(Table1[RespondentID],'All Data'!$A$3:$CO$999,93,FALSE),"unknown")</f>
        <v>English, Haitian Creole</v>
      </c>
      <c r="AM334" s="120" t="str">
        <f>IFERROR(VLOOKUP(Table1[RespondentID],'All Data'!$A$3:$CW$999,94,FALSE),"unknown")</f>
        <v>$75,000 to $125,000</v>
      </c>
      <c r="AN334" s="120" t="str">
        <f>IFERROR(VLOOKUP(Table1[RespondentID],'All Data'!$A$3:$CW$999,95,FALSE),"unknown")</f>
        <v>College graduate</v>
      </c>
      <c r="AO334" s="120" t="str">
        <f>IFERROR(VLOOKUP(Table1[RespondentID],'All Data'!$A$3:$CW$999,96,FALSE),"unknown")</f>
        <v>Employed for wages</v>
      </c>
      <c r="AP334" s="120" t="str">
        <f>IFERROR(VLOOKUP(Table1[RespondentID],'All Data'!$A$3:$CW$999,97,FALSE),"unknown")</f>
        <v>No</v>
      </c>
      <c r="AQ334" s="120" t="str">
        <f>IFERROR(VLOOKUP(Table1[RespondentID],'All Data'!$A$3:$CW$999,98,FALSE),"unknown")</f>
        <v>Medicaid, Medicare</v>
      </c>
      <c r="AR334" s="120" t="str">
        <f>IFERROR(VLOOKUP(Table1[RespondentID],'All Data'!$A$3:$CW$999,99,FALSE),"unknown")</f>
        <v>Yes</v>
      </c>
    </row>
    <row r="335" spans="1:44" ht="16">
      <c r="A335" s="5">
        <v>18014363228</v>
      </c>
      <c r="B335" s="5"/>
      <c r="C335" s="5"/>
      <c r="D335" s="5"/>
      <c r="E335" s="5"/>
      <c r="F335" s="5"/>
      <c r="G335" s="5"/>
      <c r="H335" s="5"/>
      <c r="I335" s="5"/>
      <c r="J335" s="5"/>
      <c r="K335" s="5"/>
      <c r="L335" s="9"/>
      <c r="M335" s="9">
        <f t="shared" si="75"/>
        <v>0</v>
      </c>
      <c r="N335" s="9" t="e">
        <f t="shared" si="76"/>
        <v>#DIV/0!</v>
      </c>
      <c r="O335" s="9"/>
      <c r="P335" s="9">
        <f t="shared" si="77"/>
        <v>0</v>
      </c>
      <c r="Q335" s="9">
        <f t="shared" si="78"/>
        <v>0</v>
      </c>
      <c r="R335" s="9">
        <f t="shared" si="79"/>
        <v>0</v>
      </c>
      <c r="S335" s="9">
        <f t="shared" si="80"/>
        <v>0</v>
      </c>
      <c r="T335" s="9">
        <f t="shared" si="81"/>
        <v>0</v>
      </c>
      <c r="U335" s="9">
        <f t="shared" si="82"/>
        <v>0</v>
      </c>
      <c r="V335" s="153">
        <f t="shared" si="83"/>
        <v>0</v>
      </c>
      <c r="W335" s="9">
        <f t="shared" si="84"/>
        <v>0</v>
      </c>
      <c r="X335" s="9">
        <f t="shared" si="85"/>
        <v>0</v>
      </c>
      <c r="Y335" s="9">
        <f t="shared" si="86"/>
        <v>0</v>
      </c>
      <c r="Z335" s="9"/>
      <c r="AA335" s="9"/>
      <c r="AB335" s="9">
        <f t="shared" si="89"/>
        <v>0</v>
      </c>
      <c r="AC335" s="9">
        <f t="shared" si="87"/>
        <v>0</v>
      </c>
      <c r="AD335" s="9" t="str">
        <f t="shared" si="88"/>
        <v>Correct</v>
      </c>
      <c r="AE335" s="9"/>
      <c r="AF335" s="120">
        <f>IFERROR(VLOOKUP(Table1[RespondentID],'All Data'!$A$3:$CO$999,87,FALSE),"unknown")</f>
        <v>0</v>
      </c>
      <c r="AG335" s="120">
        <f>IFERROR(VLOOKUP(Table1[RespondentID],'All Data'!$A$3:$CO$999,88,FALSE),"unknown")</f>
        <v>0</v>
      </c>
      <c r="AH335" s="120">
        <f>IFERROR(VLOOKUP(Table1[RespondentID],'All Data'!$A$3:$CO$999,89,FALSE),"unknown")</f>
        <v>0</v>
      </c>
      <c r="AI335" s="120" t="str">
        <f>IFERROR(VLOOKUP(Table1[RespondentID],'All Data'!$A$3:$CO$999,90,FALSE),"unknown")</f>
        <v>Alden Manor, 11003</v>
      </c>
      <c r="AJ335" s="120">
        <f>IFERROR(VLOOKUP(Table1[RespondentID],'All Data'!$A$3:$CO$999,91,FALSE),"unknown")</f>
        <v>0</v>
      </c>
      <c r="AK335" s="120">
        <f>IFERROR(VLOOKUP(Table1[RespondentID],'All Data'!$A$3:$CO$999,92,FALSE),"unknown")</f>
        <v>0</v>
      </c>
      <c r="AL335" s="120">
        <f>IFERROR(VLOOKUP(Table1[RespondentID],'All Data'!$A$3:$CO$999,93,FALSE),"unknown")</f>
        <v>0</v>
      </c>
      <c r="AM335" s="120">
        <f>IFERROR(VLOOKUP(Table1[RespondentID],'All Data'!$A$3:$CW$999,94,FALSE),"unknown")</f>
        <v>0</v>
      </c>
      <c r="AN335" s="120">
        <f>IFERROR(VLOOKUP(Table1[RespondentID],'All Data'!$A$3:$CW$999,95,FALSE),"unknown")</f>
        <v>0</v>
      </c>
      <c r="AO335" s="120">
        <f>IFERROR(VLOOKUP(Table1[RespondentID],'All Data'!$A$3:$CW$999,96,FALSE),"unknown")</f>
        <v>0</v>
      </c>
      <c r="AP335" s="120">
        <f>IFERROR(VLOOKUP(Table1[RespondentID],'All Data'!$A$3:$CW$999,97,FALSE),"unknown")</f>
        <v>0</v>
      </c>
      <c r="AQ335" s="120">
        <f>IFERROR(VLOOKUP(Table1[RespondentID],'All Data'!$A$3:$CW$999,98,FALSE),"unknown")</f>
        <v>0</v>
      </c>
      <c r="AR335" s="120">
        <f>IFERROR(VLOOKUP(Table1[RespondentID],'All Data'!$A$3:$CW$999,99,FALSE),"unknown")</f>
        <v>0</v>
      </c>
    </row>
    <row r="336" spans="1:44" ht="16">
      <c r="A336" s="5">
        <v>18014090175</v>
      </c>
      <c r="B336" s="5"/>
      <c r="C336" s="5"/>
      <c r="D336" s="5"/>
      <c r="E336" s="5"/>
      <c r="F336" s="5"/>
      <c r="G336" s="5" t="s">
        <v>34</v>
      </c>
      <c r="H336" s="5"/>
      <c r="I336" s="5"/>
      <c r="J336" s="5"/>
      <c r="K336" s="5" t="s">
        <v>375</v>
      </c>
      <c r="L336" s="8"/>
      <c r="M336" s="8">
        <f t="shared" si="75"/>
        <v>2</v>
      </c>
      <c r="N336" s="8">
        <f t="shared" si="76"/>
        <v>1.5</v>
      </c>
      <c r="O336" s="8"/>
      <c r="P336" s="8">
        <f t="shared" si="77"/>
        <v>0</v>
      </c>
      <c r="Q336" s="8">
        <f t="shared" si="78"/>
        <v>0</v>
      </c>
      <c r="R336" s="8">
        <f t="shared" si="79"/>
        <v>0</v>
      </c>
      <c r="S336" s="8">
        <f t="shared" si="80"/>
        <v>0</v>
      </c>
      <c r="T336" s="8">
        <f t="shared" si="81"/>
        <v>0</v>
      </c>
      <c r="U336" s="8">
        <f t="shared" si="82"/>
        <v>1</v>
      </c>
      <c r="V336" s="153">
        <f t="shared" si="83"/>
        <v>0</v>
      </c>
      <c r="W336" s="8">
        <f t="shared" si="84"/>
        <v>0</v>
      </c>
      <c r="X336" s="8">
        <f t="shared" si="85"/>
        <v>0</v>
      </c>
      <c r="Y336" s="8">
        <f t="shared" si="86"/>
        <v>1</v>
      </c>
      <c r="Z336" s="8"/>
      <c r="AA336" s="8"/>
      <c r="AB336" s="8">
        <f t="shared" si="89"/>
        <v>2</v>
      </c>
      <c r="AC336" s="8">
        <f t="shared" si="87"/>
        <v>2</v>
      </c>
      <c r="AD336" s="8" t="str">
        <f t="shared" si="88"/>
        <v>Correct</v>
      </c>
      <c r="AE336" s="8"/>
      <c r="AF336" s="120" t="str">
        <f>IFERROR(VLOOKUP(Table1[RespondentID],'All Data'!$A$3:$CO$999,87,FALSE),"unknown")</f>
        <v>Man</v>
      </c>
      <c r="AG336" s="120">
        <f>IFERROR(VLOOKUP(Table1[RespondentID],'All Data'!$A$3:$CO$999,88,FALSE),"unknown")</f>
        <v>17</v>
      </c>
      <c r="AH336" s="120" t="str">
        <f>IFERROR(VLOOKUP(Table1[RespondentID],'All Data'!$A$3:$CO$999,89,FALSE),"unknown")</f>
        <v>Suffolk</v>
      </c>
      <c r="AI336" s="120" t="str">
        <f>IFERROR(VLOOKUP(Table1[RespondentID],'All Data'!$A$3:$CO$999,90,FALSE),"unknown")</f>
        <v>Kings Park, 11754</v>
      </c>
      <c r="AJ336" s="120" t="str">
        <f>IFERROR(VLOOKUP(Table1[RespondentID],'All Data'!$A$3:$CO$999,91,FALSE),"unknown")</f>
        <v>White</v>
      </c>
      <c r="AK336" s="120" t="str">
        <f>IFERROR(VLOOKUP(Table1[RespondentID],'All Data'!$A$3:$CO$999,92,FALSE),"unknown")</f>
        <v>Hispanic or Latino</v>
      </c>
      <c r="AL336" s="120" t="str">
        <f>IFERROR(VLOOKUP(Table1[RespondentID],'All Data'!$A$3:$CO$999,93,FALSE),"unknown")</f>
        <v>English</v>
      </c>
      <c r="AM336" s="120" t="str">
        <f>IFERROR(VLOOKUP(Table1[RespondentID],'All Data'!$A$3:$CW$999,94,FALSE),"unknown")</f>
        <v>Over $125,000</v>
      </c>
      <c r="AN336" s="120" t="str">
        <f>IFERROR(VLOOKUP(Table1[RespondentID],'All Data'!$A$3:$CW$999,95,FALSE),"unknown")</f>
        <v>High school graduate</v>
      </c>
      <c r="AO336" s="120" t="str">
        <f>IFERROR(VLOOKUP(Table1[RespondentID],'All Data'!$A$3:$CW$999,96,FALSE),"unknown")</f>
        <v>Student</v>
      </c>
      <c r="AP336" s="120" t="str">
        <f>IFERROR(VLOOKUP(Table1[RespondentID],'All Data'!$A$3:$CW$999,97,FALSE),"unknown")</f>
        <v>Yes</v>
      </c>
      <c r="AQ336" s="120" t="str">
        <f>IFERROR(VLOOKUP(Table1[RespondentID],'All Data'!$A$3:$CW$999,98,FALSE),"unknown")</f>
        <v>Medicare</v>
      </c>
      <c r="AR336" s="120" t="str">
        <f>IFERROR(VLOOKUP(Table1[RespondentID],'All Data'!$A$3:$CW$999,99,FALSE),"unknown")</f>
        <v>Yes</v>
      </c>
    </row>
    <row r="337" spans="1:44" ht="16">
      <c r="A337" s="5">
        <v>18013870170</v>
      </c>
      <c r="B337" s="5"/>
      <c r="C337" s="5" t="s">
        <v>30</v>
      </c>
      <c r="D337" s="5"/>
      <c r="E337" s="5"/>
      <c r="F337" s="5"/>
      <c r="G337" s="5"/>
      <c r="H337" s="5"/>
      <c r="I337" s="5"/>
      <c r="J337" s="5"/>
      <c r="K337" s="5" t="s">
        <v>375</v>
      </c>
      <c r="L337" s="9"/>
      <c r="M337" s="9">
        <f t="shared" si="75"/>
        <v>2</v>
      </c>
      <c r="N337" s="9">
        <f t="shared" si="76"/>
        <v>1.5</v>
      </c>
      <c r="O337" s="9"/>
      <c r="P337" s="9">
        <f t="shared" si="77"/>
        <v>0</v>
      </c>
      <c r="Q337" s="9">
        <f t="shared" si="78"/>
        <v>1</v>
      </c>
      <c r="R337" s="9">
        <f t="shared" si="79"/>
        <v>0</v>
      </c>
      <c r="S337" s="9">
        <f t="shared" si="80"/>
        <v>0</v>
      </c>
      <c r="T337" s="9">
        <f t="shared" si="81"/>
        <v>0</v>
      </c>
      <c r="U337" s="9">
        <f t="shared" si="82"/>
        <v>0</v>
      </c>
      <c r="V337" s="153">
        <f t="shared" si="83"/>
        <v>0</v>
      </c>
      <c r="W337" s="9">
        <f t="shared" si="84"/>
        <v>0</v>
      </c>
      <c r="X337" s="9">
        <f t="shared" si="85"/>
        <v>0</v>
      </c>
      <c r="Y337" s="9">
        <f t="shared" si="86"/>
        <v>1</v>
      </c>
      <c r="Z337" s="9"/>
      <c r="AA337" s="9"/>
      <c r="AB337" s="9">
        <f t="shared" si="89"/>
        <v>2</v>
      </c>
      <c r="AC337" s="9">
        <f t="shared" si="87"/>
        <v>2</v>
      </c>
      <c r="AD337" s="9" t="str">
        <f t="shared" si="88"/>
        <v>Correct</v>
      </c>
      <c r="AE337" s="9"/>
      <c r="AF337" s="120" t="str">
        <f>IFERROR(VLOOKUP(Table1[RespondentID],'All Data'!$A$3:$CO$999,87,FALSE),"unknown")</f>
        <v>Man</v>
      </c>
      <c r="AG337" s="120">
        <f>IFERROR(VLOOKUP(Table1[RespondentID],'All Data'!$A$3:$CO$999,88,FALSE),"unknown")</f>
        <v>53</v>
      </c>
      <c r="AH337" s="120" t="str">
        <f>IFERROR(VLOOKUP(Table1[RespondentID],'All Data'!$A$3:$CO$999,89,FALSE),"unknown")</f>
        <v>Suffolk</v>
      </c>
      <c r="AI337" s="120" t="str">
        <f>IFERROR(VLOOKUP(Table1[RespondentID],'All Data'!$A$3:$CO$999,90,FALSE),"unknown")</f>
        <v>Manorville, 11949</v>
      </c>
      <c r="AJ337" s="120" t="str">
        <f>IFERROR(VLOOKUP(Table1[RespondentID],'All Data'!$A$3:$CO$999,91,FALSE),"unknown")</f>
        <v>White</v>
      </c>
      <c r="AK337" s="120" t="str">
        <f>IFERROR(VLOOKUP(Table1[RespondentID],'All Data'!$A$3:$CO$999,92,FALSE),"unknown")</f>
        <v>Hispanic or Latino</v>
      </c>
      <c r="AL337" s="120" t="str">
        <f>IFERROR(VLOOKUP(Table1[RespondentID],'All Data'!$A$3:$CO$999,93,FALSE),"unknown")</f>
        <v>English</v>
      </c>
      <c r="AM337" s="120" t="str">
        <f>IFERROR(VLOOKUP(Table1[RespondentID],'All Data'!$A$3:$CW$999,94,FALSE),"unknown")</f>
        <v>$75,000 to $125,000</v>
      </c>
      <c r="AN337" s="120" t="str">
        <f>IFERROR(VLOOKUP(Table1[RespondentID],'All Data'!$A$3:$CW$999,95,FALSE),"unknown")</f>
        <v>College graduate</v>
      </c>
      <c r="AO337" s="120" t="str">
        <f>IFERROR(VLOOKUP(Table1[RespondentID],'All Data'!$A$3:$CW$999,96,FALSE),"unknown")</f>
        <v>Employed for wages</v>
      </c>
      <c r="AP337" s="120" t="str">
        <f>IFERROR(VLOOKUP(Table1[RespondentID],'All Data'!$A$3:$CW$999,97,FALSE),"unknown")</f>
        <v>Yes</v>
      </c>
      <c r="AQ337" s="120" t="str">
        <f>IFERROR(VLOOKUP(Table1[RespondentID],'All Data'!$A$3:$CW$999,98,FALSE),"unknown")</f>
        <v>Private/Commercial</v>
      </c>
      <c r="AR337" s="120" t="str">
        <f>IFERROR(VLOOKUP(Table1[RespondentID],'All Data'!$A$3:$CW$999,99,FALSE),"unknown")</f>
        <v>Yes</v>
      </c>
    </row>
    <row r="338" spans="1:44" ht="16">
      <c r="A338" s="5">
        <v>18013484831</v>
      </c>
      <c r="B338" s="5"/>
      <c r="C338" s="5"/>
      <c r="D338" s="5"/>
      <c r="E338" s="5"/>
      <c r="F338" s="5"/>
      <c r="G338" s="5" t="s">
        <v>34</v>
      </c>
      <c r="H338" s="5"/>
      <c r="I338" s="5"/>
      <c r="J338" s="5"/>
      <c r="K338" s="5"/>
      <c r="L338" s="8"/>
      <c r="M338" s="8">
        <f t="shared" si="75"/>
        <v>1</v>
      </c>
      <c r="N338" s="8">
        <f t="shared" si="76"/>
        <v>3</v>
      </c>
      <c r="O338" s="8"/>
      <c r="P338" s="8">
        <f t="shared" si="77"/>
        <v>0</v>
      </c>
      <c r="Q338" s="8">
        <f t="shared" si="78"/>
        <v>0</v>
      </c>
      <c r="R338" s="8">
        <f t="shared" si="79"/>
        <v>0</v>
      </c>
      <c r="S338" s="8">
        <f t="shared" si="80"/>
        <v>0</v>
      </c>
      <c r="T338" s="8">
        <f t="shared" si="81"/>
        <v>0</v>
      </c>
      <c r="U338" s="8">
        <f t="shared" si="82"/>
        <v>1</v>
      </c>
      <c r="V338" s="153">
        <f t="shared" si="83"/>
        <v>0</v>
      </c>
      <c r="W338" s="8">
        <f t="shared" si="84"/>
        <v>0</v>
      </c>
      <c r="X338" s="8">
        <f t="shared" si="85"/>
        <v>0</v>
      </c>
      <c r="Y338" s="8">
        <f t="shared" si="86"/>
        <v>0</v>
      </c>
      <c r="Z338" s="8"/>
      <c r="AA338" s="8"/>
      <c r="AB338" s="8">
        <f t="shared" si="89"/>
        <v>1</v>
      </c>
      <c r="AC338" s="8">
        <f t="shared" si="87"/>
        <v>1</v>
      </c>
      <c r="AD338" s="8" t="str">
        <f t="shared" si="88"/>
        <v>Correct</v>
      </c>
      <c r="AE338" s="8"/>
      <c r="AF338" s="120" t="str">
        <f>IFERROR(VLOOKUP(Table1[RespondentID],'All Data'!$A$3:$CO$999,87,FALSE),"unknown")</f>
        <v>Man</v>
      </c>
      <c r="AG338" s="120">
        <f>IFERROR(VLOOKUP(Table1[RespondentID],'All Data'!$A$3:$CO$999,88,FALSE),"unknown")</f>
        <v>83</v>
      </c>
      <c r="AH338" s="120" t="str">
        <f>IFERROR(VLOOKUP(Table1[RespondentID],'All Data'!$A$3:$CO$999,89,FALSE),"unknown")</f>
        <v>Nassau</v>
      </c>
      <c r="AI338" s="120" t="str">
        <f>IFERROR(VLOOKUP(Table1[RespondentID],'All Data'!$A$3:$CO$999,90,FALSE),"unknown")</f>
        <v>Syosset, 11791</v>
      </c>
      <c r="AJ338" s="120" t="str">
        <f>IFERROR(VLOOKUP(Table1[RespondentID],'All Data'!$A$3:$CO$999,91,FALSE),"unknown")</f>
        <v>White</v>
      </c>
      <c r="AK338" s="120" t="str">
        <f>IFERROR(VLOOKUP(Table1[RespondentID],'All Data'!$A$3:$CO$999,92,FALSE),"unknown")</f>
        <v>Hispanic or Latino</v>
      </c>
      <c r="AL338" s="120" t="str">
        <f>IFERROR(VLOOKUP(Table1[RespondentID],'All Data'!$A$3:$CO$999,93,FALSE),"unknown")</f>
        <v>English</v>
      </c>
      <c r="AM338" s="120" t="str">
        <f>IFERROR(VLOOKUP(Table1[RespondentID],'All Data'!$A$3:$CW$999,94,FALSE),"unknown")</f>
        <v>Over $125,000</v>
      </c>
      <c r="AN338" s="120" t="str">
        <f>IFERROR(VLOOKUP(Table1[RespondentID],'All Data'!$A$3:$CW$999,95,FALSE),"unknown")</f>
        <v>College graduate</v>
      </c>
      <c r="AO338" s="120" t="str">
        <f>IFERROR(VLOOKUP(Table1[RespondentID],'All Data'!$A$3:$CW$999,96,FALSE),"unknown")</f>
        <v>Retired</v>
      </c>
      <c r="AP338" s="120" t="str">
        <f>IFERROR(VLOOKUP(Table1[RespondentID],'All Data'!$A$3:$CW$999,97,FALSE),"unknown")</f>
        <v>Yes</v>
      </c>
      <c r="AQ338" s="120" t="str">
        <f>IFERROR(VLOOKUP(Table1[RespondentID],'All Data'!$A$3:$CW$999,98,FALSE),"unknown")</f>
        <v>Medicare</v>
      </c>
      <c r="AR338" s="120" t="str">
        <f>IFERROR(VLOOKUP(Table1[RespondentID],'All Data'!$A$3:$CW$999,99,FALSE),"unknown")</f>
        <v>Yes</v>
      </c>
    </row>
    <row r="339" spans="1:44" ht="16">
      <c r="A339" s="5">
        <v>18013472458</v>
      </c>
      <c r="B339" s="5"/>
      <c r="C339" s="5"/>
      <c r="D339" s="5"/>
      <c r="E339" s="5"/>
      <c r="F339" s="5"/>
      <c r="G339" s="5"/>
      <c r="H339" s="5"/>
      <c r="I339" s="5"/>
      <c r="J339" s="5"/>
      <c r="K339" s="5"/>
      <c r="L339" s="9"/>
      <c r="M339" s="9">
        <f t="shared" si="75"/>
        <v>0</v>
      </c>
      <c r="N339" s="9" t="e">
        <f t="shared" si="76"/>
        <v>#DIV/0!</v>
      </c>
      <c r="O339" s="9"/>
      <c r="P339" s="9">
        <f t="shared" si="77"/>
        <v>0</v>
      </c>
      <c r="Q339" s="9">
        <f t="shared" si="78"/>
        <v>0</v>
      </c>
      <c r="R339" s="9">
        <f t="shared" si="79"/>
        <v>0</v>
      </c>
      <c r="S339" s="9">
        <f t="shared" si="80"/>
        <v>0</v>
      </c>
      <c r="T339" s="9">
        <f t="shared" si="81"/>
        <v>0</v>
      </c>
      <c r="U339" s="9">
        <f t="shared" si="82"/>
        <v>0</v>
      </c>
      <c r="V339" s="153">
        <f t="shared" si="83"/>
        <v>0</v>
      </c>
      <c r="W339" s="9">
        <f t="shared" si="84"/>
        <v>0</v>
      </c>
      <c r="X339" s="9">
        <f t="shared" si="85"/>
        <v>0</v>
      </c>
      <c r="Y339" s="9">
        <f t="shared" si="86"/>
        <v>0</v>
      </c>
      <c r="Z339" s="9"/>
      <c r="AA339" s="9"/>
      <c r="AB339" s="9">
        <f t="shared" si="89"/>
        <v>0</v>
      </c>
      <c r="AC339" s="9">
        <f t="shared" si="87"/>
        <v>0</v>
      </c>
      <c r="AD339" s="9" t="str">
        <f t="shared" si="88"/>
        <v>Correct</v>
      </c>
      <c r="AE339" s="9"/>
      <c r="AF339" s="120">
        <f>IFERROR(VLOOKUP(Table1[RespondentID],'All Data'!$A$3:$CO$999,87,FALSE),"unknown")</f>
        <v>0</v>
      </c>
      <c r="AG339" s="120">
        <f>IFERROR(VLOOKUP(Table1[RespondentID],'All Data'!$A$3:$CO$999,88,FALSE),"unknown")</f>
        <v>0</v>
      </c>
      <c r="AH339" s="120">
        <f>IFERROR(VLOOKUP(Table1[RespondentID],'All Data'!$A$3:$CO$999,89,FALSE),"unknown")</f>
        <v>0</v>
      </c>
      <c r="AI339" s="120" t="str">
        <f>IFERROR(VLOOKUP(Table1[RespondentID],'All Data'!$A$3:$CO$999,90,FALSE),"unknown")</f>
        <v>East Hills, 11576</v>
      </c>
      <c r="AJ339" s="120">
        <f>IFERROR(VLOOKUP(Table1[RespondentID],'All Data'!$A$3:$CO$999,91,FALSE),"unknown")</f>
        <v>0</v>
      </c>
      <c r="AK339" s="120">
        <f>IFERROR(VLOOKUP(Table1[RespondentID],'All Data'!$A$3:$CO$999,92,FALSE),"unknown")</f>
        <v>0</v>
      </c>
      <c r="AL339" s="120">
        <f>IFERROR(VLOOKUP(Table1[RespondentID],'All Data'!$A$3:$CO$999,93,FALSE),"unknown")</f>
        <v>0</v>
      </c>
      <c r="AM339" s="120">
        <f>IFERROR(VLOOKUP(Table1[RespondentID],'All Data'!$A$3:$CW$999,94,FALSE),"unknown")</f>
        <v>0</v>
      </c>
      <c r="AN339" s="120">
        <f>IFERROR(VLOOKUP(Table1[RespondentID],'All Data'!$A$3:$CW$999,95,FALSE),"unknown")</f>
        <v>0</v>
      </c>
      <c r="AO339" s="120">
        <f>IFERROR(VLOOKUP(Table1[RespondentID],'All Data'!$A$3:$CW$999,96,FALSE),"unknown")</f>
        <v>0</v>
      </c>
      <c r="AP339" s="120">
        <f>IFERROR(VLOOKUP(Table1[RespondentID],'All Data'!$A$3:$CW$999,97,FALSE),"unknown")</f>
        <v>0</v>
      </c>
      <c r="AQ339" s="120">
        <f>IFERROR(VLOOKUP(Table1[RespondentID],'All Data'!$A$3:$CW$999,98,FALSE),"unknown")</f>
        <v>0</v>
      </c>
      <c r="AR339" s="120">
        <f>IFERROR(VLOOKUP(Table1[RespondentID],'All Data'!$A$3:$CW$999,99,FALSE),"unknown")</f>
        <v>0</v>
      </c>
    </row>
    <row r="340" spans="1:44" ht="16">
      <c r="A340" s="5">
        <v>18013326061</v>
      </c>
      <c r="B340" s="5"/>
      <c r="C340" s="5"/>
      <c r="D340" s="5"/>
      <c r="E340" s="5"/>
      <c r="F340" s="5"/>
      <c r="G340" s="5" t="s">
        <v>34</v>
      </c>
      <c r="H340" s="5"/>
      <c r="I340" s="5"/>
      <c r="J340" s="5"/>
      <c r="K340" s="5"/>
      <c r="L340" s="8"/>
      <c r="M340" s="8">
        <f t="shared" si="75"/>
        <v>1</v>
      </c>
      <c r="N340" s="8">
        <f t="shared" si="76"/>
        <v>3</v>
      </c>
      <c r="O340" s="8"/>
      <c r="P340" s="8">
        <f t="shared" si="77"/>
        <v>0</v>
      </c>
      <c r="Q340" s="8">
        <f t="shared" si="78"/>
        <v>0</v>
      </c>
      <c r="R340" s="8">
        <f t="shared" si="79"/>
        <v>0</v>
      </c>
      <c r="S340" s="8">
        <f t="shared" si="80"/>
        <v>0</v>
      </c>
      <c r="T340" s="8">
        <f t="shared" si="81"/>
        <v>0</v>
      </c>
      <c r="U340" s="8">
        <f t="shared" si="82"/>
        <v>1</v>
      </c>
      <c r="V340" s="153">
        <f t="shared" si="83"/>
        <v>0</v>
      </c>
      <c r="W340" s="8">
        <f t="shared" si="84"/>
        <v>0</v>
      </c>
      <c r="X340" s="8">
        <f t="shared" si="85"/>
        <v>0</v>
      </c>
      <c r="Y340" s="8">
        <f t="shared" si="86"/>
        <v>0</v>
      </c>
      <c r="Z340" s="8"/>
      <c r="AA340" s="8"/>
      <c r="AB340" s="8">
        <f t="shared" si="89"/>
        <v>1</v>
      </c>
      <c r="AC340" s="8">
        <f t="shared" si="87"/>
        <v>1</v>
      </c>
      <c r="AD340" s="8" t="str">
        <f t="shared" si="88"/>
        <v>Correct</v>
      </c>
      <c r="AE340" s="8"/>
      <c r="AF340" s="120" t="str">
        <f>IFERROR(VLOOKUP(Table1[RespondentID],'All Data'!$A$3:$CO$999,87,FALSE),"unknown")</f>
        <v>Man</v>
      </c>
      <c r="AG340" s="120">
        <f>IFERROR(VLOOKUP(Table1[RespondentID],'All Data'!$A$3:$CO$999,88,FALSE),"unknown")</f>
        <v>58</v>
      </c>
      <c r="AH340" s="120" t="str">
        <f>IFERROR(VLOOKUP(Table1[RespondentID],'All Data'!$A$3:$CO$999,89,FALSE),"unknown")</f>
        <v>Suffolk</v>
      </c>
      <c r="AI340" s="120" t="str">
        <f>IFERROR(VLOOKUP(Table1[RespondentID],'All Data'!$A$3:$CO$999,90,FALSE),"unknown")</f>
        <v>Aquebogue, 11931</v>
      </c>
      <c r="AJ340" s="120" t="str">
        <f>IFERROR(VLOOKUP(Table1[RespondentID],'All Data'!$A$3:$CO$999,91,FALSE),"unknown")</f>
        <v>Other (please specify)</v>
      </c>
      <c r="AK340" s="120">
        <f>IFERROR(VLOOKUP(Table1[RespondentID],'All Data'!$A$3:$CO$999,92,FALSE),"unknown")</f>
        <v>0</v>
      </c>
      <c r="AL340" s="120" t="str">
        <f>IFERROR(VLOOKUP(Table1[RespondentID],'All Data'!$A$3:$CO$999,93,FALSE),"unknown")</f>
        <v>English</v>
      </c>
      <c r="AM340" s="120" t="str">
        <f>IFERROR(VLOOKUP(Table1[RespondentID],'All Data'!$A$3:$CW$999,94,FALSE),"unknown")</f>
        <v>$50,000 to $74,999</v>
      </c>
      <c r="AN340" s="120" t="str">
        <f>IFERROR(VLOOKUP(Table1[RespondentID],'All Data'!$A$3:$CW$999,95,FALSE),"unknown")</f>
        <v>College graduate</v>
      </c>
      <c r="AO340" s="120" t="str">
        <f>IFERROR(VLOOKUP(Table1[RespondentID],'All Data'!$A$3:$CW$999,96,FALSE),"unknown")</f>
        <v>Employed for wages</v>
      </c>
      <c r="AP340" s="120" t="str">
        <f>IFERROR(VLOOKUP(Table1[RespondentID],'All Data'!$A$3:$CW$999,97,FALSE),"unknown")</f>
        <v>Yes</v>
      </c>
      <c r="AQ340" s="120" t="str">
        <f>IFERROR(VLOOKUP(Table1[RespondentID],'All Data'!$A$3:$CW$999,98,FALSE),"unknown")</f>
        <v>Private/Commercial</v>
      </c>
      <c r="AR340" s="120" t="str">
        <f>IFERROR(VLOOKUP(Table1[RespondentID],'All Data'!$A$3:$CW$999,99,FALSE),"unknown")</f>
        <v>Yes</v>
      </c>
    </row>
    <row r="341" spans="1:44" ht="16">
      <c r="A341" s="5">
        <v>18013301185</v>
      </c>
      <c r="B341" s="5" t="s">
        <v>29</v>
      </c>
      <c r="C341" s="5"/>
      <c r="D341" s="5"/>
      <c r="E341" s="5"/>
      <c r="F341" s="5"/>
      <c r="G341" s="5"/>
      <c r="H341" s="5"/>
      <c r="I341" s="5"/>
      <c r="J341" s="5"/>
      <c r="K341" s="5"/>
      <c r="L341" s="9"/>
      <c r="M341" s="9">
        <f t="shared" si="75"/>
        <v>1</v>
      </c>
      <c r="N341" s="9">
        <f t="shared" si="76"/>
        <v>3</v>
      </c>
      <c r="O341" s="9"/>
      <c r="P341" s="9">
        <f t="shared" si="77"/>
        <v>1</v>
      </c>
      <c r="Q341" s="9">
        <f t="shared" si="78"/>
        <v>0</v>
      </c>
      <c r="R341" s="9">
        <f t="shared" si="79"/>
        <v>0</v>
      </c>
      <c r="S341" s="9">
        <f t="shared" si="80"/>
        <v>0</v>
      </c>
      <c r="T341" s="9">
        <f t="shared" si="81"/>
        <v>0</v>
      </c>
      <c r="U341" s="9">
        <f t="shared" si="82"/>
        <v>0</v>
      </c>
      <c r="V341" s="153">
        <f t="shared" si="83"/>
        <v>0</v>
      </c>
      <c r="W341" s="9">
        <f t="shared" si="84"/>
        <v>0</v>
      </c>
      <c r="X341" s="9">
        <f t="shared" si="85"/>
        <v>0</v>
      </c>
      <c r="Y341" s="9">
        <f t="shared" si="86"/>
        <v>0</v>
      </c>
      <c r="Z341" s="9"/>
      <c r="AA341" s="9"/>
      <c r="AB341" s="9">
        <f t="shared" si="89"/>
        <v>1</v>
      </c>
      <c r="AC341" s="9">
        <f t="shared" si="87"/>
        <v>1</v>
      </c>
      <c r="AD341" s="9" t="str">
        <f t="shared" si="88"/>
        <v>Correct</v>
      </c>
      <c r="AE341" s="9"/>
      <c r="AF341" s="120" t="str">
        <f>IFERROR(VLOOKUP(Table1[RespondentID],'All Data'!$A$3:$CO$999,87,FALSE),"unknown")</f>
        <v>Man</v>
      </c>
      <c r="AG341" s="120">
        <f>IFERROR(VLOOKUP(Table1[RespondentID],'All Data'!$A$3:$CO$999,88,FALSE),"unknown")</f>
        <v>26</v>
      </c>
      <c r="AH341" s="120" t="str">
        <f>IFERROR(VLOOKUP(Table1[RespondentID],'All Data'!$A$3:$CO$999,89,FALSE),"unknown")</f>
        <v>Nassau</v>
      </c>
      <c r="AI341" s="120" t="str">
        <f>IFERROR(VLOOKUP(Table1[RespondentID],'All Data'!$A$3:$CO$999,90,FALSE),"unknown")</f>
        <v>Jericho, 11753</v>
      </c>
      <c r="AJ341" s="120" t="str">
        <f>IFERROR(VLOOKUP(Table1[RespondentID],'All Data'!$A$3:$CO$999,91,FALSE),"unknown")</f>
        <v>White</v>
      </c>
      <c r="AK341" s="120" t="str">
        <f>IFERROR(VLOOKUP(Table1[RespondentID],'All Data'!$A$3:$CO$999,92,FALSE),"unknown")</f>
        <v>Hispanic or Latino</v>
      </c>
      <c r="AL341" s="120" t="str">
        <f>IFERROR(VLOOKUP(Table1[RespondentID],'All Data'!$A$3:$CO$999,93,FALSE),"unknown")</f>
        <v>English</v>
      </c>
      <c r="AM341" s="120" t="str">
        <f>IFERROR(VLOOKUP(Table1[RespondentID],'All Data'!$A$3:$CW$999,94,FALSE),"unknown")</f>
        <v>Over $125,000</v>
      </c>
      <c r="AN341" s="120" t="str">
        <f>IFERROR(VLOOKUP(Table1[RespondentID],'All Data'!$A$3:$CW$999,95,FALSE),"unknown")</f>
        <v>Graduate school</v>
      </c>
      <c r="AO341" s="120" t="str">
        <f>IFERROR(VLOOKUP(Table1[RespondentID],'All Data'!$A$3:$CW$999,96,FALSE),"unknown")</f>
        <v>Employed for wages</v>
      </c>
      <c r="AP341" s="120" t="str">
        <f>IFERROR(VLOOKUP(Table1[RespondentID],'All Data'!$A$3:$CW$999,97,FALSE),"unknown")</f>
        <v>Yes</v>
      </c>
      <c r="AQ341" s="120" t="str">
        <f>IFERROR(VLOOKUP(Table1[RespondentID],'All Data'!$A$3:$CW$999,98,FALSE),"unknown")</f>
        <v>Private/Commercial</v>
      </c>
      <c r="AR341" s="120" t="str">
        <f>IFERROR(VLOOKUP(Table1[RespondentID],'All Data'!$A$3:$CW$999,99,FALSE),"unknown")</f>
        <v>Yes</v>
      </c>
    </row>
    <row r="342" spans="1:44" ht="16">
      <c r="A342" s="5">
        <v>18013187377</v>
      </c>
      <c r="B342" s="5"/>
      <c r="C342" s="5"/>
      <c r="D342" s="5"/>
      <c r="E342" s="5"/>
      <c r="F342" s="5"/>
      <c r="G342" s="5"/>
      <c r="H342" s="5"/>
      <c r="I342" s="5"/>
      <c r="J342" s="5"/>
      <c r="K342" s="5" t="s">
        <v>375</v>
      </c>
      <c r="L342" s="8"/>
      <c r="M342" s="8">
        <f t="shared" si="75"/>
        <v>1</v>
      </c>
      <c r="N342" s="8">
        <f t="shared" si="76"/>
        <v>3</v>
      </c>
      <c r="O342" s="8"/>
      <c r="P342" s="8">
        <f t="shared" si="77"/>
        <v>0</v>
      </c>
      <c r="Q342" s="8">
        <f t="shared" si="78"/>
        <v>0</v>
      </c>
      <c r="R342" s="8">
        <f t="shared" si="79"/>
        <v>0</v>
      </c>
      <c r="S342" s="8">
        <f t="shared" si="80"/>
        <v>0</v>
      </c>
      <c r="T342" s="8">
        <f t="shared" si="81"/>
        <v>0</v>
      </c>
      <c r="U342" s="8">
        <f t="shared" si="82"/>
        <v>0</v>
      </c>
      <c r="V342" s="153">
        <f t="shared" si="83"/>
        <v>0</v>
      </c>
      <c r="W342" s="8">
        <f t="shared" si="84"/>
        <v>0</v>
      </c>
      <c r="X342" s="8">
        <f t="shared" si="85"/>
        <v>0</v>
      </c>
      <c r="Y342" s="8">
        <f t="shared" si="86"/>
        <v>1</v>
      </c>
      <c r="Z342" s="8"/>
      <c r="AA342" s="8"/>
      <c r="AB342" s="8">
        <f t="shared" si="89"/>
        <v>1</v>
      </c>
      <c r="AC342" s="8">
        <f t="shared" si="87"/>
        <v>1</v>
      </c>
      <c r="AD342" s="8" t="str">
        <f t="shared" si="88"/>
        <v>Correct</v>
      </c>
      <c r="AE342" s="8"/>
      <c r="AF342" s="120" t="str">
        <f>IFERROR(VLOOKUP(Table1[RespondentID],'All Data'!$A$3:$CO$999,87,FALSE),"unknown")</f>
        <v>Man</v>
      </c>
      <c r="AG342" s="120">
        <f>IFERROR(VLOOKUP(Table1[RespondentID],'All Data'!$A$3:$CO$999,88,FALSE),"unknown")</f>
        <v>45</v>
      </c>
      <c r="AH342" s="120" t="str">
        <f>IFERROR(VLOOKUP(Table1[RespondentID],'All Data'!$A$3:$CO$999,89,FALSE),"unknown")</f>
        <v>Suffolk</v>
      </c>
      <c r="AI342" s="120" t="str">
        <f>IFERROR(VLOOKUP(Table1[RespondentID],'All Data'!$A$3:$CO$999,90,FALSE),"unknown")</f>
        <v>Riverhead, 11901</v>
      </c>
      <c r="AJ342" s="120" t="str">
        <f>IFERROR(VLOOKUP(Table1[RespondentID],'All Data'!$A$3:$CO$999,91,FALSE),"unknown")</f>
        <v>White</v>
      </c>
      <c r="AK342" s="120" t="str">
        <f>IFERROR(VLOOKUP(Table1[RespondentID],'All Data'!$A$3:$CO$999,92,FALSE),"unknown")</f>
        <v>Hispanic or Latino</v>
      </c>
      <c r="AL342" s="120" t="str">
        <f>IFERROR(VLOOKUP(Table1[RespondentID],'All Data'!$A$3:$CO$999,93,FALSE),"unknown")</f>
        <v>English</v>
      </c>
      <c r="AM342" s="120" t="str">
        <f>IFERROR(VLOOKUP(Table1[RespondentID],'All Data'!$A$3:$CW$999,94,FALSE),"unknown")</f>
        <v>Over $125,000</v>
      </c>
      <c r="AN342" s="120" t="str">
        <f>IFERROR(VLOOKUP(Table1[RespondentID],'All Data'!$A$3:$CW$999,95,FALSE),"unknown")</f>
        <v>Some college</v>
      </c>
      <c r="AO342" s="120" t="str">
        <f>IFERROR(VLOOKUP(Table1[RespondentID],'All Data'!$A$3:$CW$999,96,FALSE),"unknown")</f>
        <v>Employed for wages</v>
      </c>
      <c r="AP342" s="120" t="str">
        <f>IFERROR(VLOOKUP(Table1[RespondentID],'All Data'!$A$3:$CW$999,97,FALSE),"unknown")</f>
        <v>Yes</v>
      </c>
      <c r="AQ342" s="120" t="str">
        <f>IFERROR(VLOOKUP(Table1[RespondentID],'All Data'!$A$3:$CW$999,98,FALSE),"unknown")</f>
        <v>Private/Commercial</v>
      </c>
      <c r="AR342" s="120" t="str">
        <f>IFERROR(VLOOKUP(Table1[RespondentID],'All Data'!$A$3:$CW$999,99,FALSE),"unknown")</f>
        <v>Yes</v>
      </c>
    </row>
    <row r="343" spans="1:44" ht="16">
      <c r="A343" s="5">
        <v>18012940725</v>
      </c>
      <c r="B343" s="5"/>
      <c r="C343" s="5"/>
      <c r="D343" s="5"/>
      <c r="E343" s="5"/>
      <c r="F343" s="5"/>
      <c r="G343" s="5"/>
      <c r="H343" s="5"/>
      <c r="I343" s="5"/>
      <c r="J343" s="5"/>
      <c r="K343" s="5"/>
      <c r="L343" s="9"/>
      <c r="M343" s="9">
        <f t="shared" si="75"/>
        <v>0</v>
      </c>
      <c r="N343" s="9" t="e">
        <f t="shared" si="76"/>
        <v>#DIV/0!</v>
      </c>
      <c r="O343" s="9"/>
      <c r="P343" s="9">
        <f t="shared" si="77"/>
        <v>0</v>
      </c>
      <c r="Q343" s="9">
        <f t="shared" si="78"/>
        <v>0</v>
      </c>
      <c r="R343" s="9">
        <f t="shared" si="79"/>
        <v>0</v>
      </c>
      <c r="S343" s="9">
        <f t="shared" si="80"/>
        <v>0</v>
      </c>
      <c r="T343" s="9">
        <f t="shared" si="81"/>
        <v>0</v>
      </c>
      <c r="U343" s="9">
        <f t="shared" si="82"/>
        <v>0</v>
      </c>
      <c r="V343" s="153">
        <f t="shared" si="83"/>
        <v>0</v>
      </c>
      <c r="W343" s="9">
        <f t="shared" si="84"/>
        <v>0</v>
      </c>
      <c r="X343" s="9">
        <f t="shared" si="85"/>
        <v>0</v>
      </c>
      <c r="Y343" s="9">
        <f t="shared" si="86"/>
        <v>0</v>
      </c>
      <c r="Z343" s="9"/>
      <c r="AA343" s="9"/>
      <c r="AB343" s="9">
        <f t="shared" si="89"/>
        <v>0</v>
      </c>
      <c r="AC343" s="9">
        <f t="shared" si="87"/>
        <v>0</v>
      </c>
      <c r="AD343" s="9" t="str">
        <f t="shared" si="88"/>
        <v>Correct</v>
      </c>
      <c r="AE343" s="9"/>
      <c r="AF343" s="120" t="str">
        <f>IFERROR(VLOOKUP(Table1[RespondentID],'All Data'!$A$3:$CO$999,87,FALSE),"unknown")</f>
        <v>Man</v>
      </c>
      <c r="AG343" s="120">
        <f>IFERROR(VLOOKUP(Table1[RespondentID],'All Data'!$A$3:$CO$999,88,FALSE),"unknown")</f>
        <v>47</v>
      </c>
      <c r="AH343" s="120" t="str">
        <f>IFERROR(VLOOKUP(Table1[RespondentID],'All Data'!$A$3:$CO$999,89,FALSE),"unknown")</f>
        <v>Suffolk</v>
      </c>
      <c r="AI343" s="120" t="str">
        <f>IFERROR(VLOOKUP(Table1[RespondentID],'All Data'!$A$3:$CO$999,90,FALSE),"unknown")</f>
        <v>Setauket, 11733</v>
      </c>
      <c r="AJ343" s="120" t="str">
        <f>IFERROR(VLOOKUP(Table1[RespondentID],'All Data'!$A$3:$CO$999,91,FALSE),"unknown")</f>
        <v>White</v>
      </c>
      <c r="AK343" s="120" t="str">
        <f>IFERROR(VLOOKUP(Table1[RespondentID],'All Data'!$A$3:$CO$999,92,FALSE),"unknown")</f>
        <v>Hispanic or Latino</v>
      </c>
      <c r="AL343" s="120" t="str">
        <f>IFERROR(VLOOKUP(Table1[RespondentID],'All Data'!$A$3:$CO$999,93,FALSE),"unknown")</f>
        <v>English</v>
      </c>
      <c r="AM343" s="120" t="str">
        <f>IFERROR(VLOOKUP(Table1[RespondentID],'All Data'!$A$3:$CW$999,94,FALSE),"unknown")</f>
        <v>Over $125,000</v>
      </c>
      <c r="AN343" s="120" t="str">
        <f>IFERROR(VLOOKUP(Table1[RespondentID],'All Data'!$A$3:$CW$999,95,FALSE),"unknown")</f>
        <v>College graduate</v>
      </c>
      <c r="AO343" s="120" t="str">
        <f>IFERROR(VLOOKUP(Table1[RespondentID],'All Data'!$A$3:$CW$999,96,FALSE),"unknown")</f>
        <v>Employed for wages</v>
      </c>
      <c r="AP343" s="120" t="str">
        <f>IFERROR(VLOOKUP(Table1[RespondentID],'All Data'!$A$3:$CW$999,97,FALSE),"unknown")</f>
        <v>Yes</v>
      </c>
      <c r="AQ343" s="120">
        <f>IFERROR(VLOOKUP(Table1[RespondentID],'All Data'!$A$3:$CW$999,98,FALSE),"unknown")</f>
        <v>0</v>
      </c>
      <c r="AR343" s="120" t="str">
        <f>IFERROR(VLOOKUP(Table1[RespondentID],'All Data'!$A$3:$CW$999,99,FALSE),"unknown")</f>
        <v>Yes</v>
      </c>
    </row>
    <row r="344" spans="1:44" ht="16">
      <c r="A344" s="5">
        <v>18012862597</v>
      </c>
      <c r="B344" s="5"/>
      <c r="C344" s="5" t="s">
        <v>30</v>
      </c>
      <c r="D344" s="5"/>
      <c r="E344" s="5" t="s">
        <v>32</v>
      </c>
      <c r="F344" s="5"/>
      <c r="G344" s="5"/>
      <c r="H344" s="5"/>
      <c r="I344" s="5"/>
      <c r="J344" s="5" t="s">
        <v>37</v>
      </c>
      <c r="K344" s="5"/>
      <c r="L344" s="8"/>
      <c r="M344" s="8">
        <f t="shared" si="75"/>
        <v>3</v>
      </c>
      <c r="N344" s="8">
        <f t="shared" si="76"/>
        <v>1</v>
      </c>
      <c r="O344" s="8"/>
      <c r="P344" s="8">
        <f t="shared" si="77"/>
        <v>0</v>
      </c>
      <c r="Q344" s="8">
        <f t="shared" si="78"/>
        <v>1</v>
      </c>
      <c r="R344" s="8">
        <f t="shared" si="79"/>
        <v>0</v>
      </c>
      <c r="S344" s="8">
        <f t="shared" si="80"/>
        <v>1</v>
      </c>
      <c r="T344" s="8">
        <f t="shared" si="81"/>
        <v>0</v>
      </c>
      <c r="U344" s="8">
        <f t="shared" si="82"/>
        <v>0</v>
      </c>
      <c r="V344" s="153">
        <f t="shared" si="83"/>
        <v>0</v>
      </c>
      <c r="W344" s="8">
        <f t="shared" si="84"/>
        <v>0</v>
      </c>
      <c r="X344" s="8">
        <f t="shared" si="85"/>
        <v>1</v>
      </c>
      <c r="Y344" s="8">
        <f t="shared" si="86"/>
        <v>0</v>
      </c>
      <c r="Z344" s="8"/>
      <c r="AA344" s="8"/>
      <c r="AB344" s="8">
        <f t="shared" si="89"/>
        <v>3</v>
      </c>
      <c r="AC344" s="8">
        <f t="shared" si="87"/>
        <v>3</v>
      </c>
      <c r="AD344" s="8" t="str">
        <f t="shared" si="88"/>
        <v>Correct</v>
      </c>
      <c r="AE344" s="8"/>
      <c r="AF344" s="120" t="str">
        <f>IFERROR(VLOOKUP(Table1[RespondentID],'All Data'!$A$3:$CO$999,87,FALSE),"unknown")</f>
        <v>Man</v>
      </c>
      <c r="AG344" s="120">
        <f>IFERROR(VLOOKUP(Table1[RespondentID],'All Data'!$A$3:$CO$999,88,FALSE),"unknown")</f>
        <v>69</v>
      </c>
      <c r="AH344" s="120" t="str">
        <f>IFERROR(VLOOKUP(Table1[RespondentID],'All Data'!$A$3:$CO$999,89,FALSE),"unknown")</f>
        <v>Nassau</v>
      </c>
      <c r="AI344" s="120" t="str">
        <f>IFERROR(VLOOKUP(Table1[RespondentID],'All Data'!$A$3:$CO$999,90,FALSE),"unknown")</f>
        <v>Farmingdale, 11735</v>
      </c>
      <c r="AJ344" s="120" t="str">
        <f>IFERROR(VLOOKUP(Table1[RespondentID],'All Data'!$A$3:$CO$999,91,FALSE),"unknown")</f>
        <v>White</v>
      </c>
      <c r="AK344" s="120" t="str">
        <f>IFERROR(VLOOKUP(Table1[RespondentID],'All Data'!$A$3:$CO$999,92,FALSE),"unknown")</f>
        <v>Hispanic or Latino</v>
      </c>
      <c r="AL344" s="120" t="str">
        <f>IFERROR(VLOOKUP(Table1[RespondentID],'All Data'!$A$3:$CO$999,93,FALSE),"unknown")</f>
        <v>English</v>
      </c>
      <c r="AM344" s="120" t="str">
        <f>IFERROR(VLOOKUP(Table1[RespondentID],'All Data'!$A$3:$CW$999,94,FALSE),"unknown")</f>
        <v>$50,000 to $74,999</v>
      </c>
      <c r="AN344" s="120" t="str">
        <f>IFERROR(VLOOKUP(Table1[RespondentID],'All Data'!$A$3:$CW$999,95,FALSE),"unknown")</f>
        <v>Some college</v>
      </c>
      <c r="AO344" s="120" t="str">
        <f>IFERROR(VLOOKUP(Table1[RespondentID],'All Data'!$A$3:$CW$999,96,FALSE),"unknown")</f>
        <v>Employed for wages</v>
      </c>
      <c r="AP344" s="120" t="str">
        <f>IFERROR(VLOOKUP(Table1[RespondentID],'All Data'!$A$3:$CW$999,97,FALSE),"unknown")</f>
        <v>Yes</v>
      </c>
      <c r="AQ344" s="120" t="str">
        <f>IFERROR(VLOOKUP(Table1[RespondentID],'All Data'!$A$3:$CW$999,98,FALSE),"unknown")</f>
        <v>Private/Commercial</v>
      </c>
      <c r="AR344" s="120" t="str">
        <f>IFERROR(VLOOKUP(Table1[RespondentID],'All Data'!$A$3:$CW$999,99,FALSE),"unknown")</f>
        <v>Yes</v>
      </c>
    </row>
    <row r="345" spans="1:44" ht="16">
      <c r="A345" s="5">
        <v>18012790929</v>
      </c>
      <c r="B345" s="5"/>
      <c r="C345" s="5" t="s">
        <v>30</v>
      </c>
      <c r="D345" s="5"/>
      <c r="E345" s="5"/>
      <c r="F345" s="5"/>
      <c r="G345" s="5"/>
      <c r="H345" s="5"/>
      <c r="I345" s="5"/>
      <c r="J345" s="5" t="s">
        <v>37</v>
      </c>
      <c r="K345" s="5"/>
      <c r="L345" s="9"/>
      <c r="M345" s="9">
        <f t="shared" si="75"/>
        <v>2</v>
      </c>
      <c r="N345" s="9">
        <f t="shared" si="76"/>
        <v>1.5</v>
      </c>
      <c r="O345" s="9"/>
      <c r="P345" s="9">
        <f t="shared" si="77"/>
        <v>0</v>
      </c>
      <c r="Q345" s="9">
        <f t="shared" si="78"/>
        <v>1</v>
      </c>
      <c r="R345" s="9">
        <f t="shared" si="79"/>
        <v>0</v>
      </c>
      <c r="S345" s="9">
        <f t="shared" si="80"/>
        <v>0</v>
      </c>
      <c r="T345" s="9">
        <f t="shared" si="81"/>
        <v>0</v>
      </c>
      <c r="U345" s="9">
        <f t="shared" si="82"/>
        <v>0</v>
      </c>
      <c r="V345" s="153">
        <f t="shared" si="83"/>
        <v>0</v>
      </c>
      <c r="W345" s="9">
        <f t="shared" si="84"/>
        <v>0</v>
      </c>
      <c r="X345" s="9">
        <f t="shared" si="85"/>
        <v>1</v>
      </c>
      <c r="Y345" s="9">
        <f t="shared" si="86"/>
        <v>0</v>
      </c>
      <c r="Z345" s="9"/>
      <c r="AA345" s="9"/>
      <c r="AB345" s="9">
        <f t="shared" si="89"/>
        <v>2</v>
      </c>
      <c r="AC345" s="9">
        <f t="shared" si="87"/>
        <v>2</v>
      </c>
      <c r="AD345" s="9" t="str">
        <f t="shared" si="88"/>
        <v>Correct</v>
      </c>
      <c r="AE345" s="9"/>
      <c r="AF345" s="120" t="str">
        <f>IFERROR(VLOOKUP(Table1[RespondentID],'All Data'!$A$3:$CO$999,87,FALSE),"unknown")</f>
        <v>Man</v>
      </c>
      <c r="AG345" s="120">
        <f>IFERROR(VLOOKUP(Table1[RespondentID],'All Data'!$A$3:$CO$999,88,FALSE),"unknown")</f>
        <v>42</v>
      </c>
      <c r="AH345" s="120" t="str">
        <f>IFERROR(VLOOKUP(Table1[RespondentID],'All Data'!$A$3:$CO$999,89,FALSE),"unknown")</f>
        <v>Suffolk</v>
      </c>
      <c r="AI345" s="120" t="str">
        <f>IFERROR(VLOOKUP(Table1[RespondentID],'All Data'!$A$3:$CO$999,90,FALSE),"unknown")</f>
        <v>Nesconset, 11767</v>
      </c>
      <c r="AJ345" s="120" t="str">
        <f>IFERROR(VLOOKUP(Table1[RespondentID],'All Data'!$A$3:$CO$999,91,FALSE),"unknown")</f>
        <v>White</v>
      </c>
      <c r="AK345" s="120" t="str">
        <f>IFERROR(VLOOKUP(Table1[RespondentID],'All Data'!$A$3:$CO$999,92,FALSE),"unknown")</f>
        <v>Hispanic or Latino</v>
      </c>
      <c r="AL345" s="120" t="str">
        <f>IFERROR(VLOOKUP(Table1[RespondentID],'All Data'!$A$3:$CO$999,93,FALSE),"unknown")</f>
        <v>English</v>
      </c>
      <c r="AM345" s="120" t="str">
        <f>IFERROR(VLOOKUP(Table1[RespondentID],'All Data'!$A$3:$CW$999,94,FALSE),"unknown")</f>
        <v>$0-$19,999</v>
      </c>
      <c r="AN345" s="120" t="str">
        <f>IFERROR(VLOOKUP(Table1[RespondentID],'All Data'!$A$3:$CW$999,95,FALSE),"unknown")</f>
        <v>Some college</v>
      </c>
      <c r="AO345" s="120" t="str">
        <f>IFERROR(VLOOKUP(Table1[RespondentID],'All Data'!$A$3:$CW$999,96,FALSE),"unknown")</f>
        <v>Out of work and looking for work</v>
      </c>
      <c r="AP345" s="120" t="str">
        <f>IFERROR(VLOOKUP(Table1[RespondentID],'All Data'!$A$3:$CW$999,97,FALSE),"unknown")</f>
        <v>Yes</v>
      </c>
      <c r="AQ345" s="120" t="str">
        <f>IFERROR(VLOOKUP(Table1[RespondentID],'All Data'!$A$3:$CW$999,98,FALSE),"unknown")</f>
        <v>Medicaid</v>
      </c>
      <c r="AR345" s="120" t="str">
        <f>IFERROR(VLOOKUP(Table1[RespondentID],'All Data'!$A$3:$CW$999,99,FALSE),"unknown")</f>
        <v>Yes</v>
      </c>
    </row>
    <row r="346" spans="1:44" ht="16">
      <c r="A346" s="5">
        <v>18012747258</v>
      </c>
      <c r="B346" s="5"/>
      <c r="C346" s="5"/>
      <c r="D346" s="5"/>
      <c r="E346" s="5"/>
      <c r="F346" s="5"/>
      <c r="G346" s="5" t="s">
        <v>34</v>
      </c>
      <c r="H346" s="5"/>
      <c r="I346" s="5"/>
      <c r="J346" s="5"/>
      <c r="K346" s="5" t="s">
        <v>375</v>
      </c>
      <c r="L346" s="8"/>
      <c r="M346" s="8">
        <f t="shared" si="75"/>
        <v>2</v>
      </c>
      <c r="N346" s="8">
        <f t="shared" si="76"/>
        <v>1.5</v>
      </c>
      <c r="O346" s="8"/>
      <c r="P346" s="8">
        <f t="shared" si="77"/>
        <v>0</v>
      </c>
      <c r="Q346" s="8">
        <f t="shared" si="78"/>
        <v>0</v>
      </c>
      <c r="R346" s="8">
        <f t="shared" si="79"/>
        <v>0</v>
      </c>
      <c r="S346" s="8">
        <f t="shared" si="80"/>
        <v>0</v>
      </c>
      <c r="T346" s="8">
        <f t="shared" si="81"/>
        <v>0</v>
      </c>
      <c r="U346" s="8">
        <f t="shared" si="82"/>
        <v>1</v>
      </c>
      <c r="V346" s="153">
        <f t="shared" si="83"/>
        <v>0</v>
      </c>
      <c r="W346" s="8">
        <f t="shared" si="84"/>
        <v>0</v>
      </c>
      <c r="X346" s="8">
        <f t="shared" si="85"/>
        <v>0</v>
      </c>
      <c r="Y346" s="8">
        <f t="shared" si="86"/>
        <v>1</v>
      </c>
      <c r="Z346" s="8"/>
      <c r="AA346" s="8"/>
      <c r="AB346" s="8">
        <f t="shared" si="89"/>
        <v>2</v>
      </c>
      <c r="AC346" s="8">
        <f t="shared" si="87"/>
        <v>2</v>
      </c>
      <c r="AD346" s="8" t="str">
        <f t="shared" si="88"/>
        <v>Correct</v>
      </c>
      <c r="AE346" s="8"/>
      <c r="AF346" s="120" t="str">
        <f>IFERROR(VLOOKUP(Table1[RespondentID],'All Data'!$A$3:$CO$999,87,FALSE),"unknown")</f>
        <v>Man</v>
      </c>
      <c r="AG346" s="120">
        <f>IFERROR(VLOOKUP(Table1[RespondentID],'All Data'!$A$3:$CO$999,88,FALSE),"unknown")</f>
        <v>40</v>
      </c>
      <c r="AH346" s="120" t="str">
        <f>IFERROR(VLOOKUP(Table1[RespondentID],'All Data'!$A$3:$CO$999,89,FALSE),"unknown")</f>
        <v>Suffolk</v>
      </c>
      <c r="AI346" s="120" t="str">
        <f>IFERROR(VLOOKUP(Table1[RespondentID],'All Data'!$A$3:$CO$999,90,FALSE),"unknown")</f>
        <v>Bay Shore, 11706</v>
      </c>
      <c r="AJ346" s="120" t="str">
        <f>IFERROR(VLOOKUP(Table1[RespondentID],'All Data'!$A$3:$CO$999,91,FALSE),"unknown")</f>
        <v>White</v>
      </c>
      <c r="AK346" s="120" t="str">
        <f>IFERROR(VLOOKUP(Table1[RespondentID],'All Data'!$A$3:$CO$999,92,FALSE),"unknown")</f>
        <v>Hispanic or Latino</v>
      </c>
      <c r="AL346" s="120" t="str">
        <f>IFERROR(VLOOKUP(Table1[RespondentID],'All Data'!$A$3:$CO$999,93,FALSE),"unknown")</f>
        <v>English</v>
      </c>
      <c r="AM346" s="120" t="str">
        <f>IFERROR(VLOOKUP(Table1[RespondentID],'All Data'!$A$3:$CW$999,94,FALSE),"unknown")</f>
        <v>$0-$19,999</v>
      </c>
      <c r="AN346" s="120" t="str">
        <f>IFERROR(VLOOKUP(Table1[RespondentID],'All Data'!$A$3:$CW$999,95,FALSE),"unknown")</f>
        <v>High school graduate</v>
      </c>
      <c r="AO346" s="120" t="str">
        <f>IFERROR(VLOOKUP(Table1[RespondentID],'All Data'!$A$3:$CW$999,96,FALSE),"unknown")</f>
        <v>Out of work and looking for work</v>
      </c>
      <c r="AP346" s="120" t="str">
        <f>IFERROR(VLOOKUP(Table1[RespondentID],'All Data'!$A$3:$CW$999,97,FALSE),"unknown")</f>
        <v>Yes</v>
      </c>
      <c r="AQ346" s="120" t="str">
        <f>IFERROR(VLOOKUP(Table1[RespondentID],'All Data'!$A$3:$CW$999,98,FALSE),"unknown")</f>
        <v>Medicaid</v>
      </c>
      <c r="AR346" s="120" t="str">
        <f>IFERROR(VLOOKUP(Table1[RespondentID],'All Data'!$A$3:$CW$999,99,FALSE),"unknown")</f>
        <v>Yes</v>
      </c>
    </row>
    <row r="347" spans="1:44" ht="16">
      <c r="A347" s="133">
        <v>18022877008</v>
      </c>
      <c r="B347" s="134"/>
      <c r="C347" s="135"/>
      <c r="D347" s="135"/>
      <c r="E347" s="135"/>
      <c r="F347" s="135"/>
      <c r="G347" s="135" t="s">
        <v>34</v>
      </c>
      <c r="H347" s="135"/>
      <c r="I347" s="135"/>
      <c r="J347" s="135"/>
      <c r="K347" s="135"/>
      <c r="L347" s="133"/>
      <c r="M347" s="126">
        <f t="shared" si="75"/>
        <v>1</v>
      </c>
      <c r="N347" s="126">
        <f t="shared" si="76"/>
        <v>3</v>
      </c>
      <c r="O347" s="133"/>
      <c r="P347" s="126">
        <f t="shared" si="77"/>
        <v>0</v>
      </c>
      <c r="Q347" s="126">
        <f t="shared" si="78"/>
        <v>0</v>
      </c>
      <c r="R347" s="126">
        <f t="shared" si="79"/>
        <v>0</v>
      </c>
      <c r="S347" s="126">
        <f t="shared" si="80"/>
        <v>0</v>
      </c>
      <c r="T347" s="126">
        <f t="shared" si="81"/>
        <v>0</v>
      </c>
      <c r="U347" s="126">
        <f t="shared" si="82"/>
        <v>1</v>
      </c>
      <c r="V347" s="154">
        <f t="shared" si="83"/>
        <v>0</v>
      </c>
      <c r="W347" s="126">
        <f t="shared" si="84"/>
        <v>0</v>
      </c>
      <c r="X347" s="126">
        <f t="shared" si="85"/>
        <v>0</v>
      </c>
      <c r="Y347" s="126">
        <f t="shared" si="86"/>
        <v>0</v>
      </c>
      <c r="Z347" s="133"/>
      <c r="AA347" s="133"/>
      <c r="AB347" s="126"/>
      <c r="AC347" s="126">
        <f t="shared" si="87"/>
        <v>1</v>
      </c>
      <c r="AD347" s="126" t="str">
        <f t="shared" si="88"/>
        <v>Wrong</v>
      </c>
      <c r="AE347" s="133"/>
      <c r="AF347" s="120" t="str">
        <f>IFERROR(VLOOKUP(Table1[RespondentID],'All Data'!$A$3:$CO$999,87,FALSE),"unknown")</f>
        <v>Man</v>
      </c>
      <c r="AG347" s="120">
        <f>IFERROR(VLOOKUP(Table1[RespondentID],'All Data'!$A$3:$CO$999,88,FALSE),"unknown")</f>
        <v>54</v>
      </c>
      <c r="AH347" s="120" t="str">
        <f>IFERROR(VLOOKUP(Table1[RespondentID],'All Data'!$A$3:$CO$999,89,FALSE),"unknown")</f>
        <v>Suffolk</v>
      </c>
      <c r="AI347" s="120" t="str">
        <f>IFERROR(VLOOKUP(Table1[RespondentID],'All Data'!$A$3:$CO$999,90,FALSE),"unknown")</f>
        <v>Halesite, 11743</v>
      </c>
      <c r="AJ347" s="120" t="str">
        <f>IFERROR(VLOOKUP(Table1[RespondentID],'All Data'!$A$3:$CO$999,91,FALSE),"unknown")</f>
        <v>White</v>
      </c>
      <c r="AK347" s="120" t="str">
        <f>IFERROR(VLOOKUP(Table1[RespondentID],'All Data'!$A$3:$CO$999,92,FALSE),"unknown")</f>
        <v>Hispanic or Latino</v>
      </c>
      <c r="AL347" s="120" t="str">
        <f>IFERROR(VLOOKUP(Table1[RespondentID],'All Data'!$A$3:$CO$999,93,FALSE),"unknown")</f>
        <v>English</v>
      </c>
      <c r="AM347" s="120" t="str">
        <f>IFERROR(VLOOKUP(Table1[RespondentID],'All Data'!$A$3:$CW$999,94,FALSE),"unknown")</f>
        <v>Over $125,000</v>
      </c>
      <c r="AN347" s="120" t="str">
        <f>IFERROR(VLOOKUP(Table1[RespondentID],'All Data'!$A$3:$CW$999,95,FALSE),"unknown")</f>
        <v>Some college</v>
      </c>
      <c r="AO347" s="120">
        <f>IFERROR(VLOOKUP(Table1[RespondentID],'All Data'!$A$3:$CW$999,96,FALSE),"unknown")</f>
        <v>0</v>
      </c>
      <c r="AP347" s="120" t="str">
        <f>IFERROR(VLOOKUP(Table1[RespondentID],'All Data'!$A$3:$CW$999,97,FALSE),"unknown")</f>
        <v>Employed for wages</v>
      </c>
      <c r="AQ347" s="120">
        <f>IFERROR(VLOOKUP(Table1[RespondentID],'All Data'!$A$3:$CW$999,98,FALSE),"unknown")</f>
        <v>0</v>
      </c>
      <c r="AR347" s="120">
        <f>IFERROR(VLOOKUP(Table1[RespondentID],'All Data'!$A$3:$CW$999,99,FALSE),"unknown")</f>
        <v>0</v>
      </c>
    </row>
    <row r="348" spans="1:44" ht="16">
      <c r="A348" s="133">
        <v>18019100304</v>
      </c>
      <c r="B348" s="134" t="s">
        <v>29</v>
      </c>
      <c r="C348" s="135"/>
      <c r="D348" s="135"/>
      <c r="E348" s="135"/>
      <c r="F348" s="135" t="s">
        <v>33</v>
      </c>
      <c r="G348" s="135"/>
      <c r="H348" s="135"/>
      <c r="I348" s="135"/>
      <c r="J348" s="135"/>
      <c r="K348" s="135" t="s">
        <v>375</v>
      </c>
      <c r="L348" s="133"/>
      <c r="M348" s="126">
        <f t="shared" si="75"/>
        <v>3</v>
      </c>
      <c r="N348" s="126">
        <f t="shared" si="76"/>
        <v>1</v>
      </c>
      <c r="O348" s="133"/>
      <c r="P348" s="126">
        <f t="shared" si="77"/>
        <v>1</v>
      </c>
      <c r="Q348" s="126">
        <f t="shared" si="78"/>
        <v>0</v>
      </c>
      <c r="R348" s="126">
        <f t="shared" si="79"/>
        <v>0</v>
      </c>
      <c r="S348" s="126">
        <f t="shared" si="80"/>
        <v>0</v>
      </c>
      <c r="T348" s="126">
        <f t="shared" si="81"/>
        <v>1</v>
      </c>
      <c r="U348" s="126">
        <f t="shared" si="82"/>
        <v>0</v>
      </c>
      <c r="V348" s="154">
        <f t="shared" si="83"/>
        <v>0</v>
      </c>
      <c r="W348" s="126">
        <f t="shared" si="84"/>
        <v>0</v>
      </c>
      <c r="X348" s="126">
        <f t="shared" si="85"/>
        <v>0</v>
      </c>
      <c r="Y348" s="126">
        <f t="shared" si="86"/>
        <v>1</v>
      </c>
      <c r="Z348" s="133"/>
      <c r="AA348" s="133"/>
      <c r="AB348" s="126"/>
      <c r="AC348" s="126">
        <f t="shared" si="87"/>
        <v>3</v>
      </c>
      <c r="AD348" s="126" t="str">
        <f t="shared" si="88"/>
        <v>Wrong</v>
      </c>
      <c r="AE348" s="133"/>
      <c r="AF348" s="120" t="str">
        <f>IFERROR(VLOOKUP(Table1[RespondentID],'All Data'!$A$3:$CO$999,87,FALSE),"unknown")</f>
        <v>Woman</v>
      </c>
      <c r="AG348" s="120">
        <f>IFERROR(VLOOKUP(Table1[RespondentID],'All Data'!$A$3:$CO$999,88,FALSE),"unknown")</f>
        <v>16</v>
      </c>
      <c r="AH348" s="120" t="str">
        <f>IFERROR(VLOOKUP(Table1[RespondentID],'All Data'!$A$3:$CO$999,89,FALSE),"unknown")</f>
        <v>Suffolk</v>
      </c>
      <c r="AI348" s="120" t="str">
        <f>IFERROR(VLOOKUP(Table1[RespondentID],'All Data'!$A$3:$CO$999,90,FALSE),"unknown")</f>
        <v>Commack, 11725</v>
      </c>
      <c r="AJ348" s="120" t="str">
        <f>IFERROR(VLOOKUP(Table1[RespondentID],'All Data'!$A$3:$CO$999,91,FALSE),"unknown")</f>
        <v>White</v>
      </c>
      <c r="AK348" s="120" t="str">
        <f>IFERROR(VLOOKUP(Table1[RespondentID],'All Data'!$A$3:$CO$999,92,FALSE),"unknown")</f>
        <v>Hispanic or Latino</v>
      </c>
      <c r="AL348" s="120" t="str">
        <f>IFERROR(VLOOKUP(Table1[RespondentID],'All Data'!$A$3:$CO$999,93,FALSE),"unknown")</f>
        <v>English</v>
      </c>
      <c r="AM348" s="120" t="str">
        <f>IFERROR(VLOOKUP(Table1[RespondentID],'All Data'!$A$3:$CW$999,94,FALSE),"unknown")</f>
        <v>$50,000 to $74,999</v>
      </c>
      <c r="AN348" s="120" t="str">
        <f>IFERROR(VLOOKUP(Table1[RespondentID],'All Data'!$A$3:$CW$999,95,FALSE),"unknown")</f>
        <v>Some high school</v>
      </c>
      <c r="AO348" s="120">
        <f>IFERROR(VLOOKUP(Table1[RespondentID],'All Data'!$A$3:$CW$999,96,FALSE),"unknown")</f>
        <v>0</v>
      </c>
      <c r="AP348" s="120" t="str">
        <f>IFERROR(VLOOKUP(Table1[RespondentID],'All Data'!$A$3:$CW$999,97,FALSE),"unknown")</f>
        <v>Employed for wages</v>
      </c>
      <c r="AQ348" s="120">
        <f>IFERROR(VLOOKUP(Table1[RespondentID],'All Data'!$A$3:$CW$999,98,FALSE),"unknown")</f>
        <v>0</v>
      </c>
      <c r="AR348" s="120">
        <f>IFERROR(VLOOKUP(Table1[RespondentID],'All Data'!$A$3:$CW$999,99,FALSE),"unknown")</f>
        <v>0</v>
      </c>
    </row>
    <row r="349" spans="1:44" ht="16">
      <c r="A349" s="133">
        <v>18019100026</v>
      </c>
      <c r="B349" s="134"/>
      <c r="C349" s="135"/>
      <c r="D349" s="135"/>
      <c r="E349" s="135"/>
      <c r="F349" s="135" t="s">
        <v>33</v>
      </c>
      <c r="G349" s="135"/>
      <c r="H349" s="135"/>
      <c r="I349" s="135"/>
      <c r="J349" s="135" t="s">
        <v>37</v>
      </c>
      <c r="K349" s="135" t="s">
        <v>375</v>
      </c>
      <c r="L349" s="133"/>
      <c r="M349" s="126">
        <f t="shared" si="75"/>
        <v>3</v>
      </c>
      <c r="N349" s="126">
        <f t="shared" si="76"/>
        <v>1</v>
      </c>
      <c r="O349" s="133"/>
      <c r="P349" s="126">
        <f t="shared" si="77"/>
        <v>0</v>
      </c>
      <c r="Q349" s="126">
        <f t="shared" si="78"/>
        <v>0</v>
      </c>
      <c r="R349" s="126">
        <f t="shared" si="79"/>
        <v>0</v>
      </c>
      <c r="S349" s="126">
        <f t="shared" si="80"/>
        <v>0</v>
      </c>
      <c r="T349" s="126">
        <f t="shared" si="81"/>
        <v>1</v>
      </c>
      <c r="U349" s="126">
        <f t="shared" si="82"/>
        <v>0</v>
      </c>
      <c r="V349" s="154">
        <f t="shared" si="83"/>
        <v>0</v>
      </c>
      <c r="W349" s="126">
        <f t="shared" si="84"/>
        <v>0</v>
      </c>
      <c r="X349" s="126">
        <f t="shared" si="85"/>
        <v>1</v>
      </c>
      <c r="Y349" s="126">
        <f t="shared" si="86"/>
        <v>1</v>
      </c>
      <c r="Z349" s="133"/>
      <c r="AA349" s="133"/>
      <c r="AB349" s="126"/>
      <c r="AC349" s="126">
        <f t="shared" si="87"/>
        <v>3</v>
      </c>
      <c r="AD349" s="126" t="str">
        <f t="shared" si="88"/>
        <v>Wrong</v>
      </c>
      <c r="AE349" s="133"/>
      <c r="AF349" s="120" t="str">
        <f>IFERROR(VLOOKUP(Table1[RespondentID],'All Data'!$A$3:$CO$999,87,FALSE),"unknown")</f>
        <v>Woman</v>
      </c>
      <c r="AG349" s="120">
        <f>IFERROR(VLOOKUP(Table1[RespondentID],'All Data'!$A$3:$CO$999,88,FALSE),"unknown")</f>
        <v>73</v>
      </c>
      <c r="AH349" s="120" t="str">
        <f>IFERROR(VLOOKUP(Table1[RespondentID],'All Data'!$A$3:$CO$999,89,FALSE),"unknown")</f>
        <v>Suffolk</v>
      </c>
      <c r="AI349" s="120" t="str">
        <f>IFERROR(VLOOKUP(Table1[RespondentID],'All Data'!$A$3:$CO$999,90,FALSE),"unknown")</f>
        <v>Commack, 11725</v>
      </c>
      <c r="AJ349" s="120" t="str">
        <f>IFERROR(VLOOKUP(Table1[RespondentID],'All Data'!$A$3:$CO$999,91,FALSE),"unknown")</f>
        <v>Asian</v>
      </c>
      <c r="AK349" s="120" t="str">
        <f>IFERROR(VLOOKUP(Table1[RespondentID],'All Data'!$A$3:$CO$999,92,FALSE),"unknown")</f>
        <v>Not Hispanic or Latino</v>
      </c>
      <c r="AL349" s="120" t="str">
        <f>IFERROR(VLOOKUP(Table1[RespondentID],'All Data'!$A$3:$CO$999,93,FALSE),"unknown")</f>
        <v>English,Spanish,Italian,</v>
      </c>
      <c r="AM349" s="120" t="str">
        <f>IFERROR(VLOOKUP(Table1[RespondentID],'All Data'!$A$3:$CW$999,94,FALSE),"unknown")</f>
        <v>$75,000 to $125,000</v>
      </c>
      <c r="AN349" s="120" t="str">
        <f>IFERROR(VLOOKUP(Table1[RespondentID],'All Data'!$A$3:$CW$999,95,FALSE),"unknown")</f>
        <v>College graduate</v>
      </c>
      <c r="AO349" s="120">
        <f>IFERROR(VLOOKUP(Table1[RespondentID],'All Data'!$A$3:$CW$999,96,FALSE),"unknown")</f>
        <v>0</v>
      </c>
      <c r="AP349" s="120" t="str">
        <f>IFERROR(VLOOKUP(Table1[RespondentID],'All Data'!$A$3:$CW$999,97,FALSE),"unknown")</f>
        <v>Employed for wages</v>
      </c>
      <c r="AQ349" s="120">
        <f>IFERROR(VLOOKUP(Table1[RespondentID],'All Data'!$A$3:$CW$999,98,FALSE),"unknown")</f>
        <v>0</v>
      </c>
      <c r="AR349" s="120">
        <f>IFERROR(VLOOKUP(Table1[RespondentID],'All Data'!$A$3:$CW$999,99,FALSE),"unknown")</f>
        <v>0</v>
      </c>
    </row>
    <row r="350" spans="1:44" ht="16">
      <c r="A350" s="133">
        <v>18019099617</v>
      </c>
      <c r="B350" s="134"/>
      <c r="C350" s="135"/>
      <c r="D350" s="135" t="s">
        <v>31</v>
      </c>
      <c r="E350" s="135"/>
      <c r="F350" s="135" t="s">
        <v>33</v>
      </c>
      <c r="G350" s="135"/>
      <c r="H350" s="135"/>
      <c r="I350" s="135"/>
      <c r="J350" s="135" t="s">
        <v>37</v>
      </c>
      <c r="K350" s="135"/>
      <c r="L350" s="133"/>
      <c r="M350" s="126">
        <f t="shared" si="75"/>
        <v>3</v>
      </c>
      <c r="N350" s="126">
        <f t="shared" si="76"/>
        <v>1</v>
      </c>
      <c r="O350" s="133"/>
      <c r="P350" s="126">
        <f t="shared" si="77"/>
        <v>0</v>
      </c>
      <c r="Q350" s="126">
        <f t="shared" si="78"/>
        <v>0</v>
      </c>
      <c r="R350" s="126">
        <f t="shared" si="79"/>
        <v>1</v>
      </c>
      <c r="S350" s="126">
        <f t="shared" si="80"/>
        <v>0</v>
      </c>
      <c r="T350" s="126">
        <f t="shared" si="81"/>
        <v>1</v>
      </c>
      <c r="U350" s="126">
        <f t="shared" si="82"/>
        <v>0</v>
      </c>
      <c r="V350" s="154">
        <f t="shared" si="83"/>
        <v>0</v>
      </c>
      <c r="W350" s="126">
        <f t="shared" si="84"/>
        <v>0</v>
      </c>
      <c r="X350" s="126">
        <f t="shared" si="85"/>
        <v>1</v>
      </c>
      <c r="Y350" s="126">
        <f t="shared" si="86"/>
        <v>0</v>
      </c>
      <c r="Z350" s="133"/>
      <c r="AA350" s="133"/>
      <c r="AB350" s="126"/>
      <c r="AC350" s="126">
        <f t="shared" si="87"/>
        <v>3</v>
      </c>
      <c r="AD350" s="126" t="str">
        <f t="shared" si="88"/>
        <v>Wrong</v>
      </c>
      <c r="AE350" s="133"/>
      <c r="AF350" s="120" t="str">
        <f>IFERROR(VLOOKUP(Table1[RespondentID],'All Data'!$A$3:$CO$999,87,FALSE),"unknown")</f>
        <v>Man</v>
      </c>
      <c r="AG350" s="120">
        <f>IFERROR(VLOOKUP(Table1[RespondentID],'All Data'!$A$3:$CO$999,88,FALSE),"unknown")</f>
        <v>87</v>
      </c>
      <c r="AH350" s="120" t="str">
        <f>IFERROR(VLOOKUP(Table1[RespondentID],'All Data'!$A$3:$CO$999,89,FALSE),"unknown")</f>
        <v>Suffolk</v>
      </c>
      <c r="AI350" s="120" t="str">
        <f>IFERROR(VLOOKUP(Table1[RespondentID],'All Data'!$A$3:$CO$999,90,FALSE),"unknown")</f>
        <v>Smithtown, 11787</v>
      </c>
      <c r="AJ350" s="120" t="str">
        <f>IFERROR(VLOOKUP(Table1[RespondentID],'All Data'!$A$3:$CO$999,91,FALSE),"unknown")</f>
        <v>White</v>
      </c>
      <c r="AK350" s="120">
        <f>IFERROR(VLOOKUP(Table1[RespondentID],'All Data'!$A$3:$CO$999,92,FALSE),"unknown")</f>
        <v>0</v>
      </c>
      <c r="AL350" s="120" t="str">
        <f>IFERROR(VLOOKUP(Table1[RespondentID],'All Data'!$A$3:$CO$999,93,FALSE),"unknown")</f>
        <v>English,Spanish</v>
      </c>
      <c r="AM350" s="120" t="str">
        <f>IFERROR(VLOOKUP(Table1[RespondentID],'All Data'!$A$3:$CW$999,94,FALSE),"unknown")</f>
        <v>$75,000 to $125,000</v>
      </c>
      <c r="AN350" s="120" t="str">
        <f>IFERROR(VLOOKUP(Table1[RespondentID],'All Data'!$A$3:$CW$999,95,FALSE),"unknown")</f>
        <v>College graduate</v>
      </c>
      <c r="AO350" s="120">
        <f>IFERROR(VLOOKUP(Table1[RespondentID],'All Data'!$A$3:$CW$999,96,FALSE),"unknown")</f>
        <v>0</v>
      </c>
      <c r="AP350" s="120" t="str">
        <f>IFERROR(VLOOKUP(Table1[RespondentID],'All Data'!$A$3:$CW$999,97,FALSE),"unknown")</f>
        <v>Retired</v>
      </c>
      <c r="AQ350" s="120">
        <f>IFERROR(VLOOKUP(Table1[RespondentID],'All Data'!$A$3:$CW$999,98,FALSE),"unknown")</f>
        <v>0</v>
      </c>
      <c r="AR350" s="120">
        <f>IFERROR(VLOOKUP(Table1[RespondentID],'All Data'!$A$3:$CW$999,99,FALSE),"unknown")</f>
        <v>0</v>
      </c>
    </row>
    <row r="351" spans="1:44" ht="16">
      <c r="A351" s="133">
        <v>18019099122</v>
      </c>
      <c r="B351" s="134"/>
      <c r="C351" s="135"/>
      <c r="D351" s="135" t="s">
        <v>31</v>
      </c>
      <c r="E351" s="135"/>
      <c r="F351" s="135" t="s">
        <v>33</v>
      </c>
      <c r="G351" s="135"/>
      <c r="H351" s="135"/>
      <c r="I351" s="135" t="s">
        <v>36</v>
      </c>
      <c r="J351" s="135"/>
      <c r="K351" s="135"/>
      <c r="L351" s="133"/>
      <c r="M351" s="126">
        <f t="shared" si="75"/>
        <v>3</v>
      </c>
      <c r="N351" s="126">
        <f t="shared" si="76"/>
        <v>1</v>
      </c>
      <c r="O351" s="133"/>
      <c r="P351" s="126">
        <f t="shared" si="77"/>
        <v>0</v>
      </c>
      <c r="Q351" s="126">
        <f t="shared" si="78"/>
        <v>0</v>
      </c>
      <c r="R351" s="126">
        <f t="shared" si="79"/>
        <v>1</v>
      </c>
      <c r="S351" s="126">
        <f t="shared" si="80"/>
        <v>0</v>
      </c>
      <c r="T351" s="126">
        <f t="shared" si="81"/>
        <v>1</v>
      </c>
      <c r="U351" s="126">
        <f t="shared" si="82"/>
        <v>0</v>
      </c>
      <c r="V351" s="154">
        <f t="shared" si="83"/>
        <v>0</v>
      </c>
      <c r="W351" s="126">
        <f t="shared" si="84"/>
        <v>1</v>
      </c>
      <c r="X351" s="126">
        <f t="shared" si="85"/>
        <v>0</v>
      </c>
      <c r="Y351" s="126">
        <f t="shared" si="86"/>
        <v>0</v>
      </c>
      <c r="Z351" s="133"/>
      <c r="AA351" s="133"/>
      <c r="AB351" s="126"/>
      <c r="AC351" s="126">
        <f t="shared" si="87"/>
        <v>3</v>
      </c>
      <c r="AD351" s="126" t="str">
        <f t="shared" si="88"/>
        <v>Wrong</v>
      </c>
      <c r="AE351" s="133"/>
      <c r="AF351" s="120" t="str">
        <f>IFERROR(VLOOKUP(Table1[RespondentID],'All Data'!$A$3:$CO$999,87,FALSE),"unknown")</f>
        <v>Woman</v>
      </c>
      <c r="AG351" s="120">
        <f>IFERROR(VLOOKUP(Table1[RespondentID],'All Data'!$A$3:$CO$999,88,FALSE),"unknown")</f>
        <v>47</v>
      </c>
      <c r="AH351" s="120" t="str">
        <f>IFERROR(VLOOKUP(Table1[RespondentID],'All Data'!$A$3:$CO$999,89,FALSE),"unknown")</f>
        <v>Suffolk</v>
      </c>
      <c r="AI351" s="120" t="str">
        <f>IFERROR(VLOOKUP(Table1[RespondentID],'All Data'!$A$3:$CO$999,90,FALSE),"unknown")</f>
        <v>Smithtown, 11787</v>
      </c>
      <c r="AJ351" s="120" t="str">
        <f>IFERROR(VLOOKUP(Table1[RespondentID],'All Data'!$A$3:$CO$999,91,FALSE),"unknown")</f>
        <v>Asian</v>
      </c>
      <c r="AK351" s="120" t="str">
        <f>IFERROR(VLOOKUP(Table1[RespondentID],'All Data'!$A$3:$CO$999,92,FALSE),"unknown")</f>
        <v>Not Hispanic or Latino</v>
      </c>
      <c r="AL351" s="120" t="str">
        <f>IFERROR(VLOOKUP(Table1[RespondentID],'All Data'!$A$3:$CO$999,93,FALSE),"unknown")</f>
        <v>English,Spanish</v>
      </c>
      <c r="AM351" s="120" t="str">
        <f>IFERROR(VLOOKUP(Table1[RespondentID],'All Data'!$A$3:$CW$999,94,FALSE),"unknown")</f>
        <v>$75,000 to $125,000</v>
      </c>
      <c r="AN351" s="120" t="str">
        <f>IFERROR(VLOOKUP(Table1[RespondentID],'All Data'!$A$3:$CW$999,95,FALSE),"unknown")</f>
        <v>College graduate</v>
      </c>
      <c r="AO351" s="120">
        <f>IFERROR(VLOOKUP(Table1[RespondentID],'All Data'!$A$3:$CW$999,96,FALSE),"unknown")</f>
        <v>0</v>
      </c>
      <c r="AP351" s="120" t="str">
        <f>IFERROR(VLOOKUP(Table1[RespondentID],'All Data'!$A$3:$CW$999,97,FALSE),"unknown")</f>
        <v>Employed for wages</v>
      </c>
      <c r="AQ351" s="120">
        <f>IFERROR(VLOOKUP(Table1[RespondentID],'All Data'!$A$3:$CW$999,98,FALSE),"unknown")</f>
        <v>0</v>
      </c>
      <c r="AR351" s="120">
        <f>IFERROR(VLOOKUP(Table1[RespondentID],'All Data'!$A$3:$CW$999,99,FALSE),"unknown")</f>
        <v>0</v>
      </c>
    </row>
    <row r="352" spans="1:44" ht="16">
      <c r="A352" s="133">
        <v>18019098909</v>
      </c>
      <c r="B352" s="134"/>
      <c r="C352" s="135"/>
      <c r="D352" s="135" t="s">
        <v>31</v>
      </c>
      <c r="E352" s="135"/>
      <c r="F352" s="135"/>
      <c r="G352" s="135"/>
      <c r="H352" s="135" t="s">
        <v>466</v>
      </c>
      <c r="I352" s="135" t="s">
        <v>36</v>
      </c>
      <c r="J352" s="135"/>
      <c r="K352" s="135"/>
      <c r="L352" s="133"/>
      <c r="M352" s="126">
        <f t="shared" si="75"/>
        <v>3</v>
      </c>
      <c r="N352" s="126">
        <f t="shared" si="76"/>
        <v>1</v>
      </c>
      <c r="O352" s="133"/>
      <c r="P352" s="126">
        <f t="shared" si="77"/>
        <v>0</v>
      </c>
      <c r="Q352" s="126">
        <f t="shared" si="78"/>
        <v>0</v>
      </c>
      <c r="R352" s="126">
        <f t="shared" si="79"/>
        <v>1</v>
      </c>
      <c r="S352" s="126">
        <f t="shared" si="80"/>
        <v>0</v>
      </c>
      <c r="T352" s="126">
        <f t="shared" si="81"/>
        <v>0</v>
      </c>
      <c r="U352" s="126">
        <f t="shared" si="82"/>
        <v>0</v>
      </c>
      <c r="V352" s="154">
        <f t="shared" si="83"/>
        <v>0</v>
      </c>
      <c r="W352" s="126">
        <f t="shared" si="84"/>
        <v>1</v>
      </c>
      <c r="X352" s="126">
        <f t="shared" si="85"/>
        <v>0</v>
      </c>
      <c r="Y352" s="126">
        <f t="shared" si="86"/>
        <v>0</v>
      </c>
      <c r="Z352" s="133"/>
      <c r="AA352" s="133"/>
      <c r="AB352" s="126"/>
      <c r="AC352" s="126">
        <f t="shared" si="87"/>
        <v>3</v>
      </c>
      <c r="AD352" s="126" t="str">
        <f t="shared" si="88"/>
        <v>Wrong</v>
      </c>
      <c r="AE352" s="133"/>
      <c r="AF352" s="120" t="str">
        <f>IFERROR(VLOOKUP(Table1[RespondentID],'All Data'!$A$3:$CO$999,87,FALSE),"unknown")</f>
        <v>Man</v>
      </c>
      <c r="AG352" s="120">
        <f>IFERROR(VLOOKUP(Table1[RespondentID],'All Data'!$A$3:$CO$999,88,FALSE),"unknown")</f>
        <v>35</v>
      </c>
      <c r="AH352" s="120" t="str">
        <f>IFERROR(VLOOKUP(Table1[RespondentID],'All Data'!$A$3:$CO$999,89,FALSE),"unknown")</f>
        <v>Suffolk</v>
      </c>
      <c r="AI352" s="120" t="str">
        <f>IFERROR(VLOOKUP(Table1[RespondentID],'All Data'!$A$3:$CO$999,90,FALSE),"unknown")</f>
        <v>Middle Island, 11953</v>
      </c>
      <c r="AJ352" s="120" t="str">
        <f>IFERROR(VLOOKUP(Table1[RespondentID],'All Data'!$A$3:$CO$999,91,FALSE),"unknown")</f>
        <v>White</v>
      </c>
      <c r="AK352" s="120" t="str">
        <f>IFERROR(VLOOKUP(Table1[RespondentID],'All Data'!$A$3:$CO$999,92,FALSE),"unknown")</f>
        <v>Hispanic or Latino</v>
      </c>
      <c r="AL352" s="120" t="str">
        <f>IFERROR(VLOOKUP(Table1[RespondentID],'All Data'!$A$3:$CO$999,93,FALSE),"unknown")</f>
        <v>English,Spanish</v>
      </c>
      <c r="AM352" s="120" t="str">
        <f>IFERROR(VLOOKUP(Table1[RespondentID],'All Data'!$A$3:$CW$999,94,FALSE),"unknown")</f>
        <v>Over $125,000</v>
      </c>
      <c r="AN352" s="120" t="str">
        <f>IFERROR(VLOOKUP(Table1[RespondentID],'All Data'!$A$3:$CW$999,95,FALSE),"unknown")</f>
        <v>Doctorate</v>
      </c>
      <c r="AO352" s="120">
        <f>IFERROR(VLOOKUP(Table1[RespondentID],'All Data'!$A$3:$CW$999,96,FALSE),"unknown")</f>
        <v>0</v>
      </c>
      <c r="AP352" s="120" t="str">
        <f>IFERROR(VLOOKUP(Table1[RespondentID],'All Data'!$A$3:$CW$999,97,FALSE),"unknown")</f>
        <v>Employed for wages</v>
      </c>
      <c r="AQ352" s="120">
        <f>IFERROR(VLOOKUP(Table1[RespondentID],'All Data'!$A$3:$CW$999,98,FALSE),"unknown")</f>
        <v>0</v>
      </c>
      <c r="AR352" s="120">
        <f>IFERROR(VLOOKUP(Table1[RespondentID],'All Data'!$A$3:$CW$999,99,FALSE),"unknown")</f>
        <v>0</v>
      </c>
    </row>
    <row r="353" spans="1:44" ht="16">
      <c r="A353" s="133">
        <v>18018901331</v>
      </c>
      <c r="B353" s="134"/>
      <c r="C353" s="135"/>
      <c r="D353" s="135"/>
      <c r="E353" s="135" t="s">
        <v>32</v>
      </c>
      <c r="F353" s="135"/>
      <c r="G353" s="135" t="s">
        <v>34</v>
      </c>
      <c r="H353" s="135"/>
      <c r="I353" s="135"/>
      <c r="J353" s="135"/>
      <c r="K353" s="135" t="s">
        <v>375</v>
      </c>
      <c r="L353" s="133"/>
      <c r="M353" s="126">
        <f t="shared" si="75"/>
        <v>3</v>
      </c>
      <c r="N353" s="126">
        <f t="shared" si="76"/>
        <v>1</v>
      </c>
      <c r="O353" s="133"/>
      <c r="P353" s="126">
        <f t="shared" si="77"/>
        <v>0</v>
      </c>
      <c r="Q353" s="126">
        <f t="shared" si="78"/>
        <v>0</v>
      </c>
      <c r="R353" s="126">
        <f t="shared" si="79"/>
        <v>0</v>
      </c>
      <c r="S353" s="126">
        <f t="shared" si="80"/>
        <v>1</v>
      </c>
      <c r="T353" s="126">
        <f t="shared" si="81"/>
        <v>0</v>
      </c>
      <c r="U353" s="126">
        <f t="shared" si="82"/>
        <v>1</v>
      </c>
      <c r="V353" s="154">
        <f t="shared" si="83"/>
        <v>0</v>
      </c>
      <c r="W353" s="126">
        <f t="shared" si="84"/>
        <v>0</v>
      </c>
      <c r="X353" s="126">
        <f t="shared" si="85"/>
        <v>0</v>
      </c>
      <c r="Y353" s="126">
        <f t="shared" si="86"/>
        <v>1</v>
      </c>
      <c r="Z353" s="133"/>
      <c r="AA353" s="133"/>
      <c r="AB353" s="126"/>
      <c r="AC353" s="126">
        <f t="shared" si="87"/>
        <v>3</v>
      </c>
      <c r="AD353" s="126" t="str">
        <f t="shared" si="88"/>
        <v>Wrong</v>
      </c>
      <c r="AE353" s="133"/>
      <c r="AF353" s="120" t="str">
        <f>IFERROR(VLOOKUP(Table1[RespondentID],'All Data'!$A$3:$CO$999,87,FALSE),"unknown")</f>
        <v>Woman</v>
      </c>
      <c r="AG353" s="120">
        <f>IFERROR(VLOOKUP(Table1[RespondentID],'All Data'!$A$3:$CO$999,88,FALSE),"unknown")</f>
        <v>31</v>
      </c>
      <c r="AH353" s="120">
        <f>IFERROR(VLOOKUP(Table1[RespondentID],'All Data'!$A$3:$CO$999,89,FALSE),"unknown")</f>
        <v>0</v>
      </c>
      <c r="AI353" s="120" t="str">
        <f>IFERROR(VLOOKUP(Table1[RespondentID],'All Data'!$A$3:$CO$999,90,FALSE),"unknown")</f>
        <v>Garden City, 11536</v>
      </c>
      <c r="AJ353" s="120" t="str">
        <f>IFERROR(VLOOKUP(Table1[RespondentID],'All Data'!$A$3:$CO$999,91,FALSE),"unknown")</f>
        <v>White</v>
      </c>
      <c r="AK353" s="120" t="str">
        <f>IFERROR(VLOOKUP(Table1[RespondentID],'All Data'!$A$3:$CO$999,92,FALSE),"unknown")</f>
        <v>Not Hispanic or Latino</v>
      </c>
      <c r="AL353" s="120" t="str">
        <f>IFERROR(VLOOKUP(Table1[RespondentID],'All Data'!$A$3:$CO$999,93,FALSE),"unknown")</f>
        <v>Italian</v>
      </c>
      <c r="AM353" s="120" t="str">
        <f>IFERROR(VLOOKUP(Table1[RespondentID],'All Data'!$A$3:$CW$999,94,FALSE),"unknown")</f>
        <v>$20,000 to $34,999</v>
      </c>
      <c r="AN353" s="120" t="str">
        <f>IFERROR(VLOOKUP(Table1[RespondentID],'All Data'!$A$3:$CW$999,95,FALSE),"unknown")</f>
        <v>Some high school</v>
      </c>
      <c r="AO353" s="120">
        <f>IFERROR(VLOOKUP(Table1[RespondentID],'All Data'!$A$3:$CW$999,96,FALSE),"unknown")</f>
        <v>0</v>
      </c>
      <c r="AP353" s="120" t="str">
        <f>IFERROR(VLOOKUP(Table1[RespondentID],'All Data'!$A$3:$CW$999,97,FALSE),"unknown")</f>
        <v>Out of work and looking for work</v>
      </c>
      <c r="AQ353" s="120">
        <f>IFERROR(VLOOKUP(Table1[RespondentID],'All Data'!$A$3:$CW$999,98,FALSE),"unknown")</f>
        <v>0</v>
      </c>
      <c r="AR353" s="120" t="str">
        <f>IFERROR(VLOOKUP(Table1[RespondentID],'All Data'!$A$3:$CW$999,99,FALSE),"unknown")</f>
        <v>No</v>
      </c>
    </row>
    <row r="354" spans="1:44" ht="16">
      <c r="A354" s="133">
        <v>18018148216</v>
      </c>
      <c r="B354" s="134"/>
      <c r="C354" s="135" t="s">
        <v>30</v>
      </c>
      <c r="D354" s="135"/>
      <c r="E354" s="135"/>
      <c r="F354" s="135"/>
      <c r="G354" s="135"/>
      <c r="H354" s="135"/>
      <c r="I354" s="135"/>
      <c r="J354" s="135"/>
      <c r="K354" s="135"/>
      <c r="L354" s="133"/>
      <c r="M354" s="126">
        <f t="shared" si="75"/>
        <v>1</v>
      </c>
      <c r="N354" s="126">
        <f t="shared" si="76"/>
        <v>3</v>
      </c>
      <c r="O354" s="133"/>
      <c r="P354" s="126">
        <f t="shared" si="77"/>
        <v>0</v>
      </c>
      <c r="Q354" s="126">
        <f t="shared" si="78"/>
        <v>1</v>
      </c>
      <c r="R354" s="126">
        <f t="shared" si="79"/>
        <v>0</v>
      </c>
      <c r="S354" s="126">
        <f t="shared" si="80"/>
        <v>0</v>
      </c>
      <c r="T354" s="126">
        <f t="shared" si="81"/>
        <v>0</v>
      </c>
      <c r="U354" s="126">
        <f t="shared" si="82"/>
        <v>0</v>
      </c>
      <c r="V354" s="154">
        <f t="shared" si="83"/>
        <v>0</v>
      </c>
      <c r="W354" s="126">
        <f t="shared" si="84"/>
        <v>0</v>
      </c>
      <c r="X354" s="126">
        <f t="shared" si="85"/>
        <v>0</v>
      </c>
      <c r="Y354" s="126">
        <f t="shared" si="86"/>
        <v>0</v>
      </c>
      <c r="Z354" s="133"/>
      <c r="AA354" s="133"/>
      <c r="AB354" s="126"/>
      <c r="AC354" s="126">
        <f t="shared" si="87"/>
        <v>1</v>
      </c>
      <c r="AD354" s="126" t="str">
        <f t="shared" si="88"/>
        <v>Wrong</v>
      </c>
      <c r="AE354" s="133"/>
      <c r="AF354" s="120" t="str">
        <f>IFERROR(VLOOKUP(Table1[RespondentID],'All Data'!$A$3:$CO$999,87,FALSE),"unknown")</f>
        <v>Woman</v>
      </c>
      <c r="AG354" s="120">
        <f>IFERROR(VLOOKUP(Table1[RespondentID],'All Data'!$A$3:$CO$999,88,FALSE),"unknown")</f>
        <v>68</v>
      </c>
      <c r="AH354" s="120">
        <f>IFERROR(VLOOKUP(Table1[RespondentID],'All Data'!$A$3:$CO$999,89,FALSE),"unknown")</f>
        <v>0</v>
      </c>
      <c r="AI354" s="120">
        <f>IFERROR(VLOOKUP(Table1[RespondentID],'All Data'!$A$3:$CO$999,90,FALSE),"unknown")</f>
        <v>0</v>
      </c>
      <c r="AJ354" s="120">
        <f>IFERROR(VLOOKUP(Table1[RespondentID],'All Data'!$A$3:$CO$999,91,FALSE),"unknown")</f>
        <v>0</v>
      </c>
      <c r="AK354" s="120">
        <f>IFERROR(VLOOKUP(Table1[RespondentID],'All Data'!$A$3:$CO$999,92,FALSE),"unknown")</f>
        <v>0</v>
      </c>
      <c r="AL354" s="120">
        <f>IFERROR(VLOOKUP(Table1[RespondentID],'All Data'!$A$3:$CO$999,93,FALSE),"unknown")</f>
        <v>0</v>
      </c>
      <c r="AM354" s="120">
        <f>IFERROR(VLOOKUP(Table1[RespondentID],'All Data'!$A$3:$CW$999,94,FALSE),"unknown")</f>
        <v>0</v>
      </c>
      <c r="AN354" s="120">
        <f>IFERROR(VLOOKUP(Table1[RespondentID],'All Data'!$A$3:$CW$999,95,FALSE),"unknown")</f>
        <v>0</v>
      </c>
      <c r="AO354" s="120">
        <f>IFERROR(VLOOKUP(Table1[RespondentID],'All Data'!$A$3:$CW$999,96,FALSE),"unknown")</f>
        <v>0</v>
      </c>
      <c r="AP354" s="120">
        <f>IFERROR(VLOOKUP(Table1[RespondentID],'All Data'!$A$3:$CW$999,97,FALSE),"unknown")</f>
        <v>0</v>
      </c>
      <c r="AQ354" s="120">
        <f>IFERROR(VLOOKUP(Table1[RespondentID],'All Data'!$A$3:$CW$999,98,FALSE),"unknown")</f>
        <v>0</v>
      </c>
      <c r="AR354" s="120">
        <f>IFERROR(VLOOKUP(Table1[RespondentID],'All Data'!$A$3:$CW$999,99,FALSE),"unknown")</f>
        <v>0</v>
      </c>
    </row>
    <row r="355" spans="1:44" ht="16">
      <c r="A355" s="133">
        <v>18014643757</v>
      </c>
      <c r="B355" s="134"/>
      <c r="C355" s="135"/>
      <c r="D355" s="135"/>
      <c r="E355" s="135"/>
      <c r="F355" s="135" t="s">
        <v>33</v>
      </c>
      <c r="G355" s="135"/>
      <c r="H355" s="135"/>
      <c r="I355" s="135"/>
      <c r="J355" s="135"/>
      <c r="K355" s="135"/>
      <c r="L355" s="133"/>
      <c r="M355" s="126">
        <f t="shared" si="75"/>
        <v>1</v>
      </c>
      <c r="N355" s="126">
        <f t="shared" si="76"/>
        <v>3</v>
      </c>
      <c r="O355" s="133"/>
      <c r="P355" s="126">
        <f t="shared" si="77"/>
        <v>0</v>
      </c>
      <c r="Q355" s="126">
        <f t="shared" si="78"/>
        <v>0</v>
      </c>
      <c r="R355" s="126">
        <f t="shared" si="79"/>
        <v>0</v>
      </c>
      <c r="S355" s="126">
        <f t="shared" si="80"/>
        <v>0</v>
      </c>
      <c r="T355" s="126">
        <f t="shared" si="81"/>
        <v>1</v>
      </c>
      <c r="U355" s="126">
        <f t="shared" si="82"/>
        <v>0</v>
      </c>
      <c r="V355" s="154">
        <f t="shared" si="83"/>
        <v>0</v>
      </c>
      <c r="W355" s="126">
        <f t="shared" si="84"/>
        <v>0</v>
      </c>
      <c r="X355" s="126">
        <f t="shared" si="85"/>
        <v>0</v>
      </c>
      <c r="Y355" s="126">
        <f t="shared" si="86"/>
        <v>0</v>
      </c>
      <c r="Z355" s="133"/>
      <c r="AA355" s="133"/>
      <c r="AB355" s="126"/>
      <c r="AC355" s="126">
        <f t="shared" si="87"/>
        <v>1</v>
      </c>
      <c r="AD355" s="126" t="str">
        <f t="shared" si="88"/>
        <v>Wrong</v>
      </c>
      <c r="AE355" s="133"/>
      <c r="AF355" s="120">
        <f>IFERROR(VLOOKUP(Table1[RespondentID],'All Data'!$A$3:$CO$999,87,FALSE),"unknown")</f>
        <v>0</v>
      </c>
      <c r="AG355" s="120">
        <f>IFERROR(VLOOKUP(Table1[RespondentID],'All Data'!$A$3:$CO$999,88,FALSE),"unknown")</f>
        <v>0</v>
      </c>
      <c r="AH355" s="120">
        <f>IFERROR(VLOOKUP(Table1[RespondentID],'All Data'!$A$3:$CO$999,89,FALSE),"unknown")</f>
        <v>0</v>
      </c>
      <c r="AI355" s="120">
        <f>IFERROR(VLOOKUP(Table1[RespondentID],'All Data'!$A$3:$CO$999,90,FALSE),"unknown")</f>
        <v>0</v>
      </c>
      <c r="AJ355" s="120">
        <f>IFERROR(VLOOKUP(Table1[RespondentID],'All Data'!$A$3:$CO$999,91,FALSE),"unknown")</f>
        <v>0</v>
      </c>
      <c r="AK355" s="120">
        <f>IFERROR(VLOOKUP(Table1[RespondentID],'All Data'!$A$3:$CO$999,92,FALSE),"unknown")</f>
        <v>0</v>
      </c>
      <c r="AL355" s="120">
        <f>IFERROR(VLOOKUP(Table1[RespondentID],'All Data'!$A$3:$CO$999,93,FALSE),"unknown")</f>
        <v>0</v>
      </c>
      <c r="AM355" s="120">
        <f>IFERROR(VLOOKUP(Table1[RespondentID],'All Data'!$A$3:$CW$999,94,FALSE),"unknown")</f>
        <v>0</v>
      </c>
      <c r="AN355" s="120">
        <f>IFERROR(VLOOKUP(Table1[RespondentID],'All Data'!$A$3:$CW$999,95,FALSE),"unknown")</f>
        <v>0</v>
      </c>
      <c r="AO355" s="120">
        <f>IFERROR(VLOOKUP(Table1[RespondentID],'All Data'!$A$3:$CW$999,96,FALSE),"unknown")</f>
        <v>0</v>
      </c>
      <c r="AP355" s="120">
        <f>IFERROR(VLOOKUP(Table1[RespondentID],'All Data'!$A$3:$CW$999,97,FALSE),"unknown")</f>
        <v>0</v>
      </c>
      <c r="AQ355" s="120">
        <f>IFERROR(VLOOKUP(Table1[RespondentID],'All Data'!$A$3:$CW$999,98,FALSE),"unknown")</f>
        <v>0</v>
      </c>
      <c r="AR355" s="120">
        <f>IFERROR(VLOOKUP(Table1[RespondentID],'All Data'!$A$3:$CW$999,99,FALSE),"unknown")</f>
        <v>0</v>
      </c>
    </row>
    <row r="356" spans="1:44" ht="16">
      <c r="A356" s="133">
        <v>114107008144</v>
      </c>
      <c r="B356" s="134"/>
      <c r="C356" s="135"/>
      <c r="D356" s="135"/>
      <c r="E356" s="135"/>
      <c r="F356" s="135"/>
      <c r="G356" s="135"/>
      <c r="H356" s="135"/>
      <c r="I356" s="135" t="s">
        <v>36</v>
      </c>
      <c r="J356" s="135"/>
      <c r="K356" s="135"/>
      <c r="L356" s="133"/>
      <c r="M356" s="126">
        <f t="shared" si="75"/>
        <v>1</v>
      </c>
      <c r="N356" s="126">
        <f t="shared" si="76"/>
        <v>3</v>
      </c>
      <c r="O356" s="133"/>
      <c r="P356" s="126">
        <f t="shared" si="77"/>
        <v>0</v>
      </c>
      <c r="Q356" s="126">
        <f t="shared" si="78"/>
        <v>0</v>
      </c>
      <c r="R356" s="126">
        <f t="shared" si="79"/>
        <v>0</v>
      </c>
      <c r="S356" s="126">
        <f t="shared" si="80"/>
        <v>0</v>
      </c>
      <c r="T356" s="126">
        <f t="shared" si="81"/>
        <v>0</v>
      </c>
      <c r="U356" s="126">
        <f t="shared" si="82"/>
        <v>0</v>
      </c>
      <c r="V356" s="154">
        <f t="shared" si="83"/>
        <v>0</v>
      </c>
      <c r="W356" s="126">
        <f t="shared" si="84"/>
        <v>1</v>
      </c>
      <c r="X356" s="126">
        <f t="shared" si="85"/>
        <v>0</v>
      </c>
      <c r="Y356" s="126">
        <f t="shared" si="86"/>
        <v>0</v>
      </c>
      <c r="Z356" s="133"/>
      <c r="AA356" s="133"/>
      <c r="AB356" s="126"/>
      <c r="AC356" s="126">
        <f t="shared" si="87"/>
        <v>1</v>
      </c>
      <c r="AD356" s="126" t="str">
        <f t="shared" si="88"/>
        <v>Wrong</v>
      </c>
      <c r="AE356" s="133"/>
      <c r="AF356" s="120" t="str">
        <f>IFERROR(VLOOKUP(Table1[RespondentID],'All Data'!$A$3:$CO$999,87,FALSE),"unknown")</f>
        <v>Man</v>
      </c>
      <c r="AG356" s="120">
        <f>IFERROR(VLOOKUP(Table1[RespondentID],'All Data'!$A$3:$CO$999,88,FALSE),"unknown")</f>
        <v>0</v>
      </c>
      <c r="AH356" s="120" t="str">
        <f>IFERROR(VLOOKUP(Table1[RespondentID],'All Data'!$A$3:$CO$999,89,FALSE),"unknown")</f>
        <v>Queens</v>
      </c>
      <c r="AI356" s="120">
        <f>IFERROR(VLOOKUP(Table1[RespondentID],'All Data'!$A$3:$CO$999,90,FALSE),"unknown")</f>
        <v>22407</v>
      </c>
      <c r="AJ356" s="120" t="str">
        <f>IFERROR(VLOOKUP(Table1[RespondentID],'All Data'!$A$3:$CO$999,91,FALSE),"unknown")</f>
        <v>White</v>
      </c>
      <c r="AK356" s="120" t="str">
        <f>IFERROR(VLOOKUP(Table1[RespondentID],'All Data'!$A$3:$CO$999,92,FALSE),"unknown")</f>
        <v>Not Hispanic or Latino</v>
      </c>
      <c r="AL356" s="120" t="str">
        <f>IFERROR(VLOOKUP(Table1[RespondentID],'All Data'!$A$3:$CO$999,93,FALSE),"unknown")</f>
        <v>English</v>
      </c>
      <c r="AM356" s="120" t="str">
        <f>IFERROR(VLOOKUP(Table1[RespondentID],'All Data'!$A$3:$CW$999,94,FALSE),"unknown")</f>
        <v>Over $125,000</v>
      </c>
      <c r="AN356" s="120" t="str">
        <f>IFERROR(VLOOKUP(Table1[RespondentID],'All Data'!$A$3:$CW$999,95,FALSE),"unknown")</f>
        <v>College graduate</v>
      </c>
      <c r="AO356" s="120" t="str">
        <f>IFERROR(VLOOKUP(Table1[RespondentID],'All Data'!$A$3:$CW$999,96,FALSE),"unknown")</f>
        <v>Employed for wages</v>
      </c>
      <c r="AP356" s="120" t="str">
        <f>IFERROR(VLOOKUP(Table1[RespondentID],'All Data'!$A$3:$CW$999,97,FALSE),"unknown")</f>
        <v>Yes</v>
      </c>
      <c r="AQ356" s="120" t="str">
        <f>IFERROR(VLOOKUP(Table1[RespondentID],'All Data'!$A$3:$CW$999,98,FALSE),"unknown")</f>
        <v>Medicaid,Medicare</v>
      </c>
      <c r="AR356" s="120" t="str">
        <f>IFERROR(VLOOKUP(Table1[RespondentID],'All Data'!$A$3:$CW$999,99,FALSE),"unknown")</f>
        <v>Yes</v>
      </c>
    </row>
    <row r="357" spans="1:44" ht="16">
      <c r="A357" s="133">
        <v>114106902413</v>
      </c>
      <c r="B357" s="134"/>
      <c r="C357" s="135"/>
      <c r="D357" s="135"/>
      <c r="E357" s="135"/>
      <c r="F357" s="135"/>
      <c r="G357" s="135"/>
      <c r="H357" s="135"/>
      <c r="I357" s="135" t="s">
        <v>36</v>
      </c>
      <c r="J357" s="135"/>
      <c r="K357" s="135"/>
      <c r="L357" s="133"/>
      <c r="M357" s="126">
        <f t="shared" si="75"/>
        <v>1</v>
      </c>
      <c r="N357" s="126">
        <f t="shared" si="76"/>
        <v>3</v>
      </c>
      <c r="O357" s="133"/>
      <c r="P357" s="126">
        <f t="shared" si="77"/>
        <v>0</v>
      </c>
      <c r="Q357" s="126">
        <f t="shared" si="78"/>
        <v>0</v>
      </c>
      <c r="R357" s="126">
        <f t="shared" si="79"/>
        <v>0</v>
      </c>
      <c r="S357" s="126">
        <f t="shared" si="80"/>
        <v>0</v>
      </c>
      <c r="T357" s="126">
        <f t="shared" si="81"/>
        <v>0</v>
      </c>
      <c r="U357" s="126">
        <f t="shared" si="82"/>
        <v>0</v>
      </c>
      <c r="V357" s="154">
        <f t="shared" si="83"/>
        <v>0</v>
      </c>
      <c r="W357" s="126">
        <f t="shared" si="84"/>
        <v>1</v>
      </c>
      <c r="X357" s="126">
        <f t="shared" si="85"/>
        <v>0</v>
      </c>
      <c r="Y357" s="126">
        <f t="shared" si="86"/>
        <v>0</v>
      </c>
      <c r="Z357" s="133"/>
      <c r="AA357" s="133"/>
      <c r="AB357" s="126"/>
      <c r="AC357" s="126">
        <f t="shared" si="87"/>
        <v>1</v>
      </c>
      <c r="AD357" s="126" t="str">
        <f t="shared" si="88"/>
        <v>Wrong</v>
      </c>
      <c r="AE357" s="133"/>
      <c r="AF357" s="120" t="str">
        <f>IFERROR(VLOOKUP(Table1[RespondentID],'All Data'!$A$3:$CO$999,87,FALSE),"unknown")</f>
        <v>Man</v>
      </c>
      <c r="AG357" s="120">
        <f>IFERROR(VLOOKUP(Table1[RespondentID],'All Data'!$A$3:$CO$999,88,FALSE),"unknown")</f>
        <v>0</v>
      </c>
      <c r="AH357" s="120" t="str">
        <f>IFERROR(VLOOKUP(Table1[RespondentID],'All Data'!$A$3:$CO$999,89,FALSE),"unknown")</f>
        <v>Suffolk</v>
      </c>
      <c r="AI357" s="120" t="str">
        <f>IFERROR(VLOOKUP(Table1[RespondentID],'All Data'!$A$3:$CO$999,90,FALSE),"unknown")</f>
        <v>Babylon, 11702</v>
      </c>
      <c r="AJ357" s="120" t="str">
        <f>IFERROR(VLOOKUP(Table1[RespondentID],'All Data'!$A$3:$CO$999,91,FALSE),"unknown")</f>
        <v>White</v>
      </c>
      <c r="AK357" s="120" t="str">
        <f>IFERROR(VLOOKUP(Table1[RespondentID],'All Data'!$A$3:$CO$999,92,FALSE),"unknown")</f>
        <v>Not Hispanic or Latino</v>
      </c>
      <c r="AL357" s="120" t="str">
        <f>IFERROR(VLOOKUP(Table1[RespondentID],'All Data'!$A$3:$CO$999,93,FALSE),"unknown")</f>
        <v>English</v>
      </c>
      <c r="AM357" s="120" t="str">
        <f>IFERROR(VLOOKUP(Table1[RespondentID],'All Data'!$A$3:$CW$999,94,FALSE),"unknown")</f>
        <v>$35,000 to $49,999</v>
      </c>
      <c r="AN357" s="120" t="str">
        <f>IFERROR(VLOOKUP(Table1[RespondentID],'All Data'!$A$3:$CW$999,95,FALSE),"unknown")</f>
        <v>Some college</v>
      </c>
      <c r="AO357" s="120" t="str">
        <f>IFERROR(VLOOKUP(Table1[RespondentID],'All Data'!$A$3:$CW$999,96,FALSE),"unknown")</f>
        <v>Retired</v>
      </c>
      <c r="AP357" s="120" t="str">
        <f>IFERROR(VLOOKUP(Table1[RespondentID],'All Data'!$A$3:$CW$999,97,FALSE),"unknown")</f>
        <v>No</v>
      </c>
      <c r="AQ357" s="120" t="str">
        <f>IFERROR(VLOOKUP(Table1[RespondentID],'All Data'!$A$3:$CW$999,98,FALSE),"unknown")</f>
        <v>No Insurance</v>
      </c>
      <c r="AR357" s="120" t="str">
        <f>IFERROR(VLOOKUP(Table1[RespondentID],'All Data'!$A$3:$CW$999,99,FALSE),"unknown")</f>
        <v>Yes</v>
      </c>
    </row>
    <row r="358" spans="1:44" ht="16">
      <c r="A358" s="133">
        <v>114106901021</v>
      </c>
      <c r="B358" s="134"/>
      <c r="C358" s="135"/>
      <c r="D358" s="135"/>
      <c r="E358" s="135"/>
      <c r="F358" s="135"/>
      <c r="G358" s="135"/>
      <c r="H358" s="135"/>
      <c r="I358" s="135"/>
      <c r="J358" s="135"/>
      <c r="K358" s="135"/>
      <c r="L358" s="133"/>
      <c r="M358" s="126">
        <f t="shared" si="75"/>
        <v>0</v>
      </c>
      <c r="N358" s="126" t="e">
        <f t="shared" si="76"/>
        <v>#DIV/0!</v>
      </c>
      <c r="O358" s="133"/>
      <c r="P358" s="126">
        <f t="shared" si="77"/>
        <v>0</v>
      </c>
      <c r="Q358" s="126">
        <f t="shared" si="78"/>
        <v>0</v>
      </c>
      <c r="R358" s="126">
        <f t="shared" si="79"/>
        <v>0</v>
      </c>
      <c r="S358" s="126">
        <f t="shared" si="80"/>
        <v>0</v>
      </c>
      <c r="T358" s="126">
        <f t="shared" si="81"/>
        <v>0</v>
      </c>
      <c r="U358" s="126">
        <f t="shared" si="82"/>
        <v>0</v>
      </c>
      <c r="V358" s="154">
        <f t="shared" si="83"/>
        <v>0</v>
      </c>
      <c r="W358" s="126">
        <f t="shared" si="84"/>
        <v>0</v>
      </c>
      <c r="X358" s="126">
        <f t="shared" si="85"/>
        <v>0</v>
      </c>
      <c r="Y358" s="126">
        <f t="shared" si="86"/>
        <v>0</v>
      </c>
      <c r="Z358" s="133"/>
      <c r="AA358" s="133"/>
      <c r="AB358" s="126"/>
      <c r="AC358" s="126">
        <f t="shared" si="87"/>
        <v>0</v>
      </c>
      <c r="AD358" s="126" t="str">
        <f t="shared" si="88"/>
        <v>Correct</v>
      </c>
      <c r="AE358" s="133"/>
      <c r="AF358" s="120" t="str">
        <f>IFERROR(VLOOKUP(Table1[RespondentID],'All Data'!$A$3:$CO$999,87,FALSE),"unknown")</f>
        <v>Man</v>
      </c>
      <c r="AG358" s="120">
        <f>IFERROR(VLOOKUP(Table1[RespondentID],'All Data'!$A$3:$CO$999,88,FALSE),"unknown")</f>
        <v>0</v>
      </c>
      <c r="AH358" s="120" t="str">
        <f>IFERROR(VLOOKUP(Table1[RespondentID],'All Data'!$A$3:$CO$999,89,FALSE),"unknown")</f>
        <v>Suffolk</v>
      </c>
      <c r="AI358" s="120" t="str">
        <f>IFERROR(VLOOKUP(Table1[RespondentID],'All Data'!$A$3:$CO$999,90,FALSE),"unknown")</f>
        <v>Huntington, 11743</v>
      </c>
      <c r="AJ358" s="120" t="str">
        <f>IFERROR(VLOOKUP(Table1[RespondentID],'All Data'!$A$3:$CO$999,91,FALSE),"unknown")</f>
        <v>White</v>
      </c>
      <c r="AK358" s="120">
        <f>IFERROR(VLOOKUP(Table1[RespondentID],'All Data'!$A$3:$CO$999,92,FALSE),"unknown")</f>
        <v>0</v>
      </c>
      <c r="AL358" s="120" t="str">
        <f>IFERROR(VLOOKUP(Table1[RespondentID],'All Data'!$A$3:$CO$999,93,FALSE),"unknown")</f>
        <v>English</v>
      </c>
      <c r="AM358" s="120" t="str">
        <f>IFERROR(VLOOKUP(Table1[RespondentID],'All Data'!$A$3:$CW$999,94,FALSE),"unknown")</f>
        <v>$75,000 to $125,000</v>
      </c>
      <c r="AN358" s="120" t="str">
        <f>IFERROR(VLOOKUP(Table1[RespondentID],'All Data'!$A$3:$CW$999,95,FALSE),"unknown")</f>
        <v>Some college</v>
      </c>
      <c r="AO358" s="120" t="str">
        <f>IFERROR(VLOOKUP(Table1[RespondentID],'All Data'!$A$3:$CW$999,96,FALSE),"unknown")</f>
        <v>Employed for wages</v>
      </c>
      <c r="AP358" s="120" t="str">
        <f>IFERROR(VLOOKUP(Table1[RespondentID],'All Data'!$A$3:$CW$999,97,FALSE),"unknown")</f>
        <v>Yes</v>
      </c>
      <c r="AQ358" s="120">
        <f>IFERROR(VLOOKUP(Table1[RespondentID],'All Data'!$A$3:$CW$999,98,FALSE),"unknown")</f>
        <v>0</v>
      </c>
      <c r="AR358" s="120" t="str">
        <f>IFERROR(VLOOKUP(Table1[RespondentID],'All Data'!$A$3:$CW$999,99,FALSE),"unknown")</f>
        <v>Yes</v>
      </c>
    </row>
    <row r="359" spans="1:44" ht="16">
      <c r="A359" s="133">
        <v>114106899755</v>
      </c>
      <c r="B359" s="134"/>
      <c r="C359" s="135"/>
      <c r="D359" s="135"/>
      <c r="E359" s="135"/>
      <c r="F359" s="135"/>
      <c r="G359" s="135" t="s">
        <v>34</v>
      </c>
      <c r="H359" s="135"/>
      <c r="I359" s="135"/>
      <c r="J359" s="135"/>
      <c r="K359" s="135"/>
      <c r="L359" s="133"/>
      <c r="M359" s="126">
        <f t="shared" si="75"/>
        <v>1</v>
      </c>
      <c r="N359" s="126">
        <f t="shared" si="76"/>
        <v>3</v>
      </c>
      <c r="O359" s="133"/>
      <c r="P359" s="126">
        <f t="shared" si="77"/>
        <v>0</v>
      </c>
      <c r="Q359" s="126">
        <f t="shared" si="78"/>
        <v>0</v>
      </c>
      <c r="R359" s="126">
        <f t="shared" si="79"/>
        <v>0</v>
      </c>
      <c r="S359" s="126">
        <f t="shared" si="80"/>
        <v>0</v>
      </c>
      <c r="T359" s="126">
        <f t="shared" si="81"/>
        <v>0</v>
      </c>
      <c r="U359" s="126">
        <f t="shared" si="82"/>
        <v>1</v>
      </c>
      <c r="V359" s="154">
        <f t="shared" si="83"/>
        <v>0</v>
      </c>
      <c r="W359" s="126">
        <f t="shared" si="84"/>
        <v>0</v>
      </c>
      <c r="X359" s="126">
        <f t="shared" si="85"/>
        <v>0</v>
      </c>
      <c r="Y359" s="126">
        <f t="shared" si="86"/>
        <v>0</v>
      </c>
      <c r="Z359" s="133"/>
      <c r="AA359" s="133"/>
      <c r="AB359" s="126"/>
      <c r="AC359" s="126">
        <f t="shared" si="87"/>
        <v>1</v>
      </c>
      <c r="AD359" s="126" t="str">
        <f t="shared" si="88"/>
        <v>Wrong</v>
      </c>
      <c r="AE359" s="133"/>
      <c r="AF359" s="120" t="str">
        <f>IFERROR(VLOOKUP(Table1[RespondentID],'All Data'!$A$3:$CO$999,87,FALSE),"unknown")</f>
        <v>Woman</v>
      </c>
      <c r="AG359" s="120">
        <f>IFERROR(VLOOKUP(Table1[RespondentID],'All Data'!$A$3:$CO$999,88,FALSE),"unknown")</f>
        <v>0</v>
      </c>
      <c r="AH359" s="120" t="str">
        <f>IFERROR(VLOOKUP(Table1[RespondentID],'All Data'!$A$3:$CO$999,89,FALSE),"unknown")</f>
        <v>Suffolk</v>
      </c>
      <c r="AI359" s="120" t="str">
        <f>IFERROR(VLOOKUP(Table1[RespondentID],'All Data'!$A$3:$CO$999,90,FALSE),"unknown")</f>
        <v>Babylon, 11703</v>
      </c>
      <c r="AJ359" s="120" t="str">
        <f>IFERROR(VLOOKUP(Table1[RespondentID],'All Data'!$A$3:$CO$999,91,FALSE),"unknown")</f>
        <v>White</v>
      </c>
      <c r="AK359" s="120" t="str">
        <f>IFERROR(VLOOKUP(Table1[RespondentID],'All Data'!$A$3:$CO$999,92,FALSE),"unknown")</f>
        <v>Not Hispanic or Latino</v>
      </c>
      <c r="AL359" s="120" t="str">
        <f>IFERROR(VLOOKUP(Table1[RespondentID],'All Data'!$A$3:$CO$999,93,FALSE),"unknown")</f>
        <v>English</v>
      </c>
      <c r="AM359" s="120" t="str">
        <f>IFERROR(VLOOKUP(Table1[RespondentID],'All Data'!$A$3:$CW$999,94,FALSE),"unknown")</f>
        <v>$50,000 to $74,999</v>
      </c>
      <c r="AN359" s="120" t="str">
        <f>IFERROR(VLOOKUP(Table1[RespondentID],'All Data'!$A$3:$CW$999,95,FALSE),"unknown")</f>
        <v>College graduate</v>
      </c>
      <c r="AO359" s="120" t="str">
        <f>IFERROR(VLOOKUP(Table1[RespondentID],'All Data'!$A$3:$CW$999,96,FALSE),"unknown")</f>
        <v>Employed for wages</v>
      </c>
      <c r="AP359" s="120" t="str">
        <f>IFERROR(VLOOKUP(Table1[RespondentID],'All Data'!$A$3:$CW$999,97,FALSE),"unknown")</f>
        <v>Yes</v>
      </c>
      <c r="AQ359" s="120" t="str">
        <f>IFERROR(VLOOKUP(Table1[RespondentID],'All Data'!$A$3:$CW$999,98,FALSE),"unknown")</f>
        <v>Private/Commercial</v>
      </c>
      <c r="AR359" s="120" t="str">
        <f>IFERROR(VLOOKUP(Table1[RespondentID],'All Data'!$A$3:$CW$999,99,FALSE),"unknown")</f>
        <v>Yes</v>
      </c>
    </row>
    <row r="360" spans="1:44" ht="16">
      <c r="A360" s="133">
        <v>114106893781</v>
      </c>
      <c r="B360" s="134"/>
      <c r="C360" s="135"/>
      <c r="D360" s="135"/>
      <c r="E360" s="135" t="s">
        <v>32</v>
      </c>
      <c r="F360" s="135"/>
      <c r="G360" s="135"/>
      <c r="H360" s="135"/>
      <c r="I360" s="135"/>
      <c r="J360" s="135"/>
      <c r="K360" s="135"/>
      <c r="L360" s="133"/>
      <c r="M360" s="126">
        <f t="shared" si="75"/>
        <v>1</v>
      </c>
      <c r="N360" s="126">
        <f t="shared" si="76"/>
        <v>3</v>
      </c>
      <c r="O360" s="133"/>
      <c r="P360" s="126">
        <f t="shared" si="77"/>
        <v>0</v>
      </c>
      <c r="Q360" s="126">
        <f t="shared" si="78"/>
        <v>0</v>
      </c>
      <c r="R360" s="126">
        <f t="shared" si="79"/>
        <v>0</v>
      </c>
      <c r="S360" s="126">
        <f t="shared" si="80"/>
        <v>1</v>
      </c>
      <c r="T360" s="126">
        <f t="shared" si="81"/>
        <v>0</v>
      </c>
      <c r="U360" s="126">
        <f t="shared" si="82"/>
        <v>0</v>
      </c>
      <c r="V360" s="154">
        <f t="shared" si="83"/>
        <v>0</v>
      </c>
      <c r="W360" s="126">
        <f t="shared" si="84"/>
        <v>0</v>
      </c>
      <c r="X360" s="126">
        <f t="shared" si="85"/>
        <v>0</v>
      </c>
      <c r="Y360" s="126">
        <f t="shared" si="86"/>
        <v>0</v>
      </c>
      <c r="Z360" s="133"/>
      <c r="AA360" s="133"/>
      <c r="AB360" s="126"/>
      <c r="AC360" s="126">
        <f t="shared" si="87"/>
        <v>1</v>
      </c>
      <c r="AD360" s="126" t="str">
        <f t="shared" si="88"/>
        <v>Wrong</v>
      </c>
      <c r="AE360" s="133"/>
      <c r="AF360" s="120" t="str">
        <f>IFERROR(VLOOKUP(Table1[RespondentID],'All Data'!$A$3:$CO$999,87,FALSE),"unknown")</f>
        <v>Man</v>
      </c>
      <c r="AG360" s="120">
        <f>IFERROR(VLOOKUP(Table1[RespondentID],'All Data'!$A$3:$CO$999,88,FALSE),"unknown")</f>
        <v>0</v>
      </c>
      <c r="AH360" s="120" t="str">
        <f>IFERROR(VLOOKUP(Table1[RespondentID],'All Data'!$A$3:$CO$999,89,FALSE),"unknown")</f>
        <v>Suffolk</v>
      </c>
      <c r="AI360" s="120" t="str">
        <f>IFERROR(VLOOKUP(Table1[RespondentID],'All Data'!$A$3:$CO$999,90,FALSE),"unknown")</f>
        <v>Babylon, 11703</v>
      </c>
      <c r="AJ360" s="120" t="str">
        <f>IFERROR(VLOOKUP(Table1[RespondentID],'All Data'!$A$3:$CO$999,91,FALSE),"unknown")</f>
        <v>White</v>
      </c>
      <c r="AK360" s="120" t="str">
        <f>IFERROR(VLOOKUP(Table1[RespondentID],'All Data'!$A$3:$CO$999,92,FALSE),"unknown")</f>
        <v>Not Hispanic or Latino</v>
      </c>
      <c r="AL360" s="120" t="str">
        <f>IFERROR(VLOOKUP(Table1[RespondentID],'All Data'!$A$3:$CO$999,93,FALSE),"unknown")</f>
        <v>English</v>
      </c>
      <c r="AM360" s="120" t="str">
        <f>IFERROR(VLOOKUP(Table1[RespondentID],'All Data'!$A$3:$CW$999,94,FALSE),"unknown")</f>
        <v>$50,000 to $74,999</v>
      </c>
      <c r="AN360" s="120" t="str">
        <f>IFERROR(VLOOKUP(Table1[RespondentID],'All Data'!$A$3:$CW$999,95,FALSE),"unknown")</f>
        <v>Some college</v>
      </c>
      <c r="AO360" s="120" t="str">
        <f>IFERROR(VLOOKUP(Table1[RespondentID],'All Data'!$A$3:$CW$999,96,FALSE),"unknown")</f>
        <v>Employed for wages</v>
      </c>
      <c r="AP360" s="120" t="str">
        <f>IFERROR(VLOOKUP(Table1[RespondentID],'All Data'!$A$3:$CW$999,97,FALSE),"unknown")</f>
        <v>Yes</v>
      </c>
      <c r="AQ360" s="120" t="str">
        <f>IFERROR(VLOOKUP(Table1[RespondentID],'All Data'!$A$3:$CW$999,98,FALSE),"unknown")</f>
        <v>Private/Commercial</v>
      </c>
      <c r="AR360" s="120" t="str">
        <f>IFERROR(VLOOKUP(Table1[RespondentID],'All Data'!$A$3:$CW$999,99,FALSE),"unknown")</f>
        <v>Yes</v>
      </c>
    </row>
    <row r="361" spans="1:44" ht="16">
      <c r="A361" s="133">
        <v>114098493520</v>
      </c>
      <c r="B361" s="134"/>
      <c r="C361" s="135"/>
      <c r="D361" s="135"/>
      <c r="E361" s="135"/>
      <c r="F361" s="135"/>
      <c r="G361" s="135" t="s">
        <v>34</v>
      </c>
      <c r="H361" s="135"/>
      <c r="I361" s="135"/>
      <c r="J361" s="135"/>
      <c r="K361" s="135"/>
      <c r="L361" s="133"/>
      <c r="M361" s="126">
        <f t="shared" si="75"/>
        <v>1</v>
      </c>
      <c r="N361" s="126">
        <f t="shared" si="76"/>
        <v>3</v>
      </c>
      <c r="O361" s="133"/>
      <c r="P361" s="126">
        <f t="shared" si="77"/>
        <v>0</v>
      </c>
      <c r="Q361" s="126">
        <f t="shared" si="78"/>
        <v>0</v>
      </c>
      <c r="R361" s="126">
        <f t="shared" si="79"/>
        <v>0</v>
      </c>
      <c r="S361" s="126">
        <f t="shared" si="80"/>
        <v>0</v>
      </c>
      <c r="T361" s="126">
        <f t="shared" si="81"/>
        <v>0</v>
      </c>
      <c r="U361" s="126">
        <f t="shared" si="82"/>
        <v>1</v>
      </c>
      <c r="V361" s="154">
        <f t="shared" si="83"/>
        <v>0</v>
      </c>
      <c r="W361" s="126">
        <f t="shared" si="84"/>
        <v>0</v>
      </c>
      <c r="X361" s="126">
        <f t="shared" si="85"/>
        <v>0</v>
      </c>
      <c r="Y361" s="126">
        <f t="shared" si="86"/>
        <v>0</v>
      </c>
      <c r="Z361" s="133"/>
      <c r="AA361" s="133"/>
      <c r="AB361" s="126"/>
      <c r="AC361" s="126">
        <f t="shared" si="87"/>
        <v>1</v>
      </c>
      <c r="AD361" s="126" t="str">
        <f t="shared" si="88"/>
        <v>Wrong</v>
      </c>
      <c r="AE361" s="133"/>
      <c r="AF361" s="120" t="str">
        <f>IFERROR(VLOOKUP(Table1[RespondentID],'All Data'!$A$3:$CO$999,87,FALSE),"unknown")</f>
        <v>Woman</v>
      </c>
      <c r="AG361" s="120">
        <f>IFERROR(VLOOKUP(Table1[RespondentID],'All Data'!$A$3:$CO$999,88,FALSE),"unknown")</f>
        <v>0</v>
      </c>
      <c r="AH361" s="120" t="str">
        <f>IFERROR(VLOOKUP(Table1[RespondentID],'All Data'!$A$3:$CO$999,89,FALSE),"unknown")</f>
        <v>Suffolk</v>
      </c>
      <c r="AI361" s="120" t="str">
        <f>IFERROR(VLOOKUP(Table1[RespondentID],'All Data'!$A$3:$CO$999,90,FALSE),"unknown")</f>
        <v>East Islip, 11730</v>
      </c>
      <c r="AJ361" s="120" t="str">
        <f>IFERROR(VLOOKUP(Table1[RespondentID],'All Data'!$A$3:$CO$999,91,FALSE),"unknown")</f>
        <v>White</v>
      </c>
      <c r="AK361" s="120" t="str">
        <f>IFERROR(VLOOKUP(Table1[RespondentID],'All Data'!$A$3:$CO$999,92,FALSE),"unknown")</f>
        <v>Not Hispanic or Latino</v>
      </c>
      <c r="AL361" s="120" t="str">
        <f>IFERROR(VLOOKUP(Table1[RespondentID],'All Data'!$A$3:$CO$999,93,FALSE),"unknown")</f>
        <v>English</v>
      </c>
      <c r="AM361" s="120" t="str">
        <f>IFERROR(VLOOKUP(Table1[RespondentID],'All Data'!$A$3:$CW$999,94,FALSE),"unknown")</f>
        <v>$75,000 to $125,000</v>
      </c>
      <c r="AN361" s="120" t="str">
        <f>IFERROR(VLOOKUP(Table1[RespondentID],'All Data'!$A$3:$CW$999,95,FALSE),"unknown")</f>
        <v>College graduate</v>
      </c>
      <c r="AO361" s="120" t="str">
        <f>IFERROR(VLOOKUP(Table1[RespondentID],'All Data'!$A$3:$CW$999,96,FALSE),"unknown")</f>
        <v>Retired</v>
      </c>
      <c r="AP361" s="120" t="str">
        <f>IFERROR(VLOOKUP(Table1[RespondentID],'All Data'!$A$3:$CW$999,97,FALSE),"unknown")</f>
        <v>Yes</v>
      </c>
      <c r="AQ361" s="120" t="str">
        <f>IFERROR(VLOOKUP(Table1[RespondentID],'All Data'!$A$3:$CW$999,98,FALSE),"unknown")</f>
        <v>Medicare,Private/Commercial</v>
      </c>
      <c r="AR361" s="120" t="str">
        <f>IFERROR(VLOOKUP(Table1[RespondentID],'All Data'!$A$3:$CW$999,99,FALSE),"unknown")</f>
        <v>Yes</v>
      </c>
    </row>
    <row r="362" spans="1:44" ht="16">
      <c r="A362" s="133">
        <v>114098444126</v>
      </c>
      <c r="B362" s="134"/>
      <c r="C362" s="135"/>
      <c r="D362" s="135"/>
      <c r="E362" s="135"/>
      <c r="F362" s="135"/>
      <c r="G362" s="135"/>
      <c r="H362" s="135"/>
      <c r="I362" s="135"/>
      <c r="J362" s="135"/>
      <c r="K362" s="135"/>
      <c r="L362" s="133"/>
      <c r="M362" s="126">
        <f t="shared" si="75"/>
        <v>0</v>
      </c>
      <c r="N362" s="126" t="e">
        <f t="shared" si="76"/>
        <v>#DIV/0!</v>
      </c>
      <c r="O362" s="133"/>
      <c r="P362" s="126">
        <f t="shared" si="77"/>
        <v>0</v>
      </c>
      <c r="Q362" s="126">
        <f t="shared" si="78"/>
        <v>0</v>
      </c>
      <c r="R362" s="126">
        <f t="shared" si="79"/>
        <v>0</v>
      </c>
      <c r="S362" s="126">
        <f t="shared" si="80"/>
        <v>0</v>
      </c>
      <c r="T362" s="126">
        <f t="shared" si="81"/>
        <v>0</v>
      </c>
      <c r="U362" s="126">
        <f t="shared" si="82"/>
        <v>0</v>
      </c>
      <c r="V362" s="154">
        <f t="shared" si="83"/>
        <v>0</v>
      </c>
      <c r="W362" s="126">
        <f t="shared" si="84"/>
        <v>0</v>
      </c>
      <c r="X362" s="126">
        <f t="shared" si="85"/>
        <v>0</v>
      </c>
      <c r="Y362" s="126">
        <f t="shared" si="86"/>
        <v>0</v>
      </c>
      <c r="Z362" s="133"/>
      <c r="AA362" s="133"/>
      <c r="AB362" s="126"/>
      <c r="AC362" s="126">
        <f t="shared" si="87"/>
        <v>0</v>
      </c>
      <c r="AD362" s="126" t="str">
        <f t="shared" si="88"/>
        <v>Correct</v>
      </c>
      <c r="AE362" s="133"/>
      <c r="AF362" s="120" t="str">
        <f>IFERROR(VLOOKUP(Table1[RespondentID],'All Data'!$A$3:$CO$999,87,FALSE),"unknown")</f>
        <v>Woman</v>
      </c>
      <c r="AG362" s="120">
        <f>IFERROR(VLOOKUP(Table1[RespondentID],'All Data'!$A$3:$CO$999,88,FALSE),"unknown")</f>
        <v>0</v>
      </c>
      <c r="AH362" s="120" t="str">
        <f>IFERROR(VLOOKUP(Table1[RespondentID],'All Data'!$A$3:$CO$999,89,FALSE),"unknown")</f>
        <v>Nassau</v>
      </c>
      <c r="AI362" s="120" t="str">
        <f>IFERROR(VLOOKUP(Table1[RespondentID],'All Data'!$A$3:$CO$999,90,FALSE),"unknown")</f>
        <v>Massapequa, 11758</v>
      </c>
      <c r="AJ362" s="120" t="str">
        <f>IFERROR(VLOOKUP(Table1[RespondentID],'All Data'!$A$3:$CO$999,91,FALSE),"unknown")</f>
        <v>White</v>
      </c>
      <c r="AK362" s="120" t="str">
        <f>IFERROR(VLOOKUP(Table1[RespondentID],'All Data'!$A$3:$CO$999,92,FALSE),"unknown")</f>
        <v>Not Hispanic or Latino</v>
      </c>
      <c r="AL362" s="120" t="str">
        <f>IFERROR(VLOOKUP(Table1[RespondentID],'All Data'!$A$3:$CO$999,93,FALSE),"unknown")</f>
        <v>English</v>
      </c>
      <c r="AM362" s="120" t="str">
        <f>IFERROR(VLOOKUP(Table1[RespondentID],'All Data'!$A$3:$CW$999,94,FALSE),"unknown")</f>
        <v>Over $125,000</v>
      </c>
      <c r="AN362" s="120" t="str">
        <f>IFERROR(VLOOKUP(Table1[RespondentID],'All Data'!$A$3:$CW$999,95,FALSE),"unknown")</f>
        <v>College graduate</v>
      </c>
      <c r="AO362" s="120" t="str">
        <f>IFERROR(VLOOKUP(Table1[RespondentID],'All Data'!$A$3:$CW$999,96,FALSE),"unknown")</f>
        <v>Employed for wages</v>
      </c>
      <c r="AP362" s="120" t="str">
        <f>IFERROR(VLOOKUP(Table1[RespondentID],'All Data'!$A$3:$CW$999,97,FALSE),"unknown")</f>
        <v>Yes</v>
      </c>
      <c r="AQ362" s="120" t="str">
        <f>IFERROR(VLOOKUP(Table1[RespondentID],'All Data'!$A$3:$CW$999,98,FALSE),"unknown")</f>
        <v>Private/Commercial</v>
      </c>
      <c r="AR362" s="120" t="str">
        <f>IFERROR(VLOOKUP(Table1[RespondentID],'All Data'!$A$3:$CW$999,99,FALSE),"unknown")</f>
        <v>Yes</v>
      </c>
    </row>
    <row r="363" spans="1:44" ht="16">
      <c r="A363" s="133">
        <v>114097859158</v>
      </c>
      <c r="B363" s="134"/>
      <c r="C363" s="135"/>
      <c r="D363" s="135"/>
      <c r="E363" s="135"/>
      <c r="F363" s="135"/>
      <c r="G363" s="135" t="s">
        <v>34</v>
      </c>
      <c r="H363" s="135"/>
      <c r="I363" s="135"/>
      <c r="J363" s="135"/>
      <c r="K363" s="135"/>
      <c r="L363" s="133"/>
      <c r="M363" s="126">
        <f t="shared" si="75"/>
        <v>1</v>
      </c>
      <c r="N363" s="126">
        <f t="shared" si="76"/>
        <v>3</v>
      </c>
      <c r="O363" s="133"/>
      <c r="P363" s="126">
        <f t="shared" si="77"/>
        <v>0</v>
      </c>
      <c r="Q363" s="126">
        <f t="shared" si="78"/>
        <v>0</v>
      </c>
      <c r="R363" s="126">
        <f t="shared" si="79"/>
        <v>0</v>
      </c>
      <c r="S363" s="126">
        <f t="shared" si="80"/>
        <v>0</v>
      </c>
      <c r="T363" s="126">
        <f t="shared" si="81"/>
        <v>0</v>
      </c>
      <c r="U363" s="126">
        <f t="shared" si="82"/>
        <v>1</v>
      </c>
      <c r="V363" s="154">
        <f t="shared" si="83"/>
        <v>0</v>
      </c>
      <c r="W363" s="126">
        <f t="shared" si="84"/>
        <v>0</v>
      </c>
      <c r="X363" s="126">
        <f t="shared" si="85"/>
        <v>0</v>
      </c>
      <c r="Y363" s="126">
        <f t="shared" si="86"/>
        <v>0</v>
      </c>
      <c r="Z363" s="133"/>
      <c r="AA363" s="133"/>
      <c r="AB363" s="126"/>
      <c r="AC363" s="126">
        <f t="shared" si="87"/>
        <v>1</v>
      </c>
      <c r="AD363" s="126" t="str">
        <f t="shared" si="88"/>
        <v>Wrong</v>
      </c>
      <c r="AE363" s="133"/>
      <c r="AF363" s="120" t="str">
        <f>IFERROR(VLOOKUP(Table1[RespondentID],'All Data'!$A$3:$CO$999,87,FALSE),"unknown")</f>
        <v>Woman</v>
      </c>
      <c r="AG363" s="120">
        <f>IFERROR(VLOOKUP(Table1[RespondentID],'All Data'!$A$3:$CO$999,88,FALSE),"unknown")</f>
        <v>0</v>
      </c>
      <c r="AH363" s="120" t="str">
        <f>IFERROR(VLOOKUP(Table1[RespondentID],'All Data'!$A$3:$CO$999,89,FALSE),"unknown")</f>
        <v>Suffolk</v>
      </c>
      <c r="AI363" s="120" t="str">
        <f>IFERROR(VLOOKUP(Table1[RespondentID],'All Data'!$A$3:$CO$999,90,FALSE),"unknown")</f>
        <v>Lindenhurst, 11757</v>
      </c>
      <c r="AJ363" s="120" t="str">
        <f>IFERROR(VLOOKUP(Table1[RespondentID],'All Data'!$A$3:$CO$999,91,FALSE),"unknown")</f>
        <v>White</v>
      </c>
      <c r="AK363" s="120" t="str">
        <f>IFERROR(VLOOKUP(Table1[RespondentID],'All Data'!$A$3:$CO$999,92,FALSE),"unknown")</f>
        <v>Not Hispanic or Latino</v>
      </c>
      <c r="AL363" s="120" t="str">
        <f>IFERROR(VLOOKUP(Table1[RespondentID],'All Data'!$A$3:$CO$999,93,FALSE),"unknown")</f>
        <v>English</v>
      </c>
      <c r="AM363" s="120">
        <f>IFERROR(VLOOKUP(Table1[RespondentID],'All Data'!$A$3:$CW$999,94,FALSE),"unknown")</f>
        <v>0</v>
      </c>
      <c r="AN363" s="120" t="str">
        <f>IFERROR(VLOOKUP(Table1[RespondentID],'All Data'!$A$3:$CW$999,95,FALSE),"unknown")</f>
        <v>High school graduate</v>
      </c>
      <c r="AO363" s="120" t="str">
        <f>IFERROR(VLOOKUP(Table1[RespondentID],'All Data'!$A$3:$CW$999,96,FALSE),"unknown")</f>
        <v>Retired</v>
      </c>
      <c r="AP363" s="120" t="str">
        <f>IFERROR(VLOOKUP(Table1[RespondentID],'All Data'!$A$3:$CW$999,97,FALSE),"unknown")</f>
        <v>Yes</v>
      </c>
      <c r="AQ363" s="120" t="str">
        <f>IFERROR(VLOOKUP(Table1[RespondentID],'All Data'!$A$3:$CW$999,98,FALSE),"unknown")</f>
        <v>Medicare</v>
      </c>
      <c r="AR363" s="120" t="str">
        <f>IFERROR(VLOOKUP(Table1[RespondentID],'All Data'!$A$3:$CW$999,99,FALSE),"unknown")</f>
        <v>Yes</v>
      </c>
    </row>
    <row r="364" spans="1:44" ht="16">
      <c r="A364" s="133">
        <v>114097590747</v>
      </c>
      <c r="B364" s="134"/>
      <c r="C364" s="135"/>
      <c r="D364" s="135"/>
      <c r="E364" s="135"/>
      <c r="F364" s="135"/>
      <c r="G364" s="135" t="s">
        <v>34</v>
      </c>
      <c r="H364" s="135"/>
      <c r="I364" s="135"/>
      <c r="J364" s="135"/>
      <c r="K364" s="135"/>
      <c r="L364" s="133"/>
      <c r="M364" s="126">
        <f t="shared" si="75"/>
        <v>1</v>
      </c>
      <c r="N364" s="126">
        <f t="shared" si="76"/>
        <v>3</v>
      </c>
      <c r="O364" s="133"/>
      <c r="P364" s="126">
        <f t="shared" si="77"/>
        <v>0</v>
      </c>
      <c r="Q364" s="126">
        <f t="shared" si="78"/>
        <v>0</v>
      </c>
      <c r="R364" s="126">
        <f t="shared" si="79"/>
        <v>0</v>
      </c>
      <c r="S364" s="126">
        <f t="shared" si="80"/>
        <v>0</v>
      </c>
      <c r="T364" s="126">
        <f t="shared" si="81"/>
        <v>0</v>
      </c>
      <c r="U364" s="126">
        <f t="shared" si="82"/>
        <v>1</v>
      </c>
      <c r="V364" s="154">
        <f t="shared" si="83"/>
        <v>0</v>
      </c>
      <c r="W364" s="126">
        <f t="shared" si="84"/>
        <v>0</v>
      </c>
      <c r="X364" s="126">
        <f t="shared" si="85"/>
        <v>0</v>
      </c>
      <c r="Y364" s="126">
        <f t="shared" si="86"/>
        <v>0</v>
      </c>
      <c r="Z364" s="133"/>
      <c r="AA364" s="133"/>
      <c r="AB364" s="126"/>
      <c r="AC364" s="126">
        <f t="shared" si="87"/>
        <v>1</v>
      </c>
      <c r="AD364" s="126" t="str">
        <f t="shared" si="88"/>
        <v>Wrong</v>
      </c>
      <c r="AE364" s="133"/>
      <c r="AF364" s="120" t="str">
        <f>IFERROR(VLOOKUP(Table1[RespondentID],'All Data'!$A$3:$CO$999,87,FALSE),"unknown")</f>
        <v>Woman</v>
      </c>
      <c r="AG364" s="120">
        <f>IFERROR(VLOOKUP(Table1[RespondentID],'All Data'!$A$3:$CO$999,88,FALSE),"unknown")</f>
        <v>0</v>
      </c>
      <c r="AH364" s="120" t="str">
        <f>IFERROR(VLOOKUP(Table1[RespondentID],'All Data'!$A$3:$CO$999,89,FALSE),"unknown")</f>
        <v>Suffolk</v>
      </c>
      <c r="AI364" s="120" t="str">
        <f>IFERROR(VLOOKUP(Table1[RespondentID],'All Data'!$A$3:$CO$999,90,FALSE),"unknown")</f>
        <v>Bay Shore, 11706</v>
      </c>
      <c r="AJ364" s="120" t="str">
        <f>IFERROR(VLOOKUP(Table1[RespondentID],'All Data'!$A$3:$CO$999,91,FALSE),"unknown")</f>
        <v>White</v>
      </c>
      <c r="AK364" s="120" t="str">
        <f>IFERROR(VLOOKUP(Table1[RespondentID],'All Data'!$A$3:$CO$999,92,FALSE),"unknown")</f>
        <v>Not Hispanic or Latino</v>
      </c>
      <c r="AL364" s="120" t="str">
        <f>IFERROR(VLOOKUP(Table1[RespondentID],'All Data'!$A$3:$CO$999,93,FALSE),"unknown")</f>
        <v>English</v>
      </c>
      <c r="AM364" s="120" t="str">
        <f>IFERROR(VLOOKUP(Table1[RespondentID],'All Data'!$A$3:$CW$999,94,FALSE),"unknown")</f>
        <v>Over $125,000</v>
      </c>
      <c r="AN364" s="120" t="str">
        <f>IFERROR(VLOOKUP(Table1[RespondentID],'All Data'!$A$3:$CW$999,95,FALSE),"unknown")</f>
        <v>College graduate</v>
      </c>
      <c r="AO364" s="120" t="str">
        <f>IFERROR(VLOOKUP(Table1[RespondentID],'All Data'!$A$3:$CW$999,96,FALSE),"unknown")</f>
        <v>Employed for wages</v>
      </c>
      <c r="AP364" s="120" t="str">
        <f>IFERROR(VLOOKUP(Table1[RespondentID],'All Data'!$A$3:$CW$999,97,FALSE),"unknown")</f>
        <v>Yes</v>
      </c>
      <c r="AQ364" s="120" t="str">
        <f>IFERROR(VLOOKUP(Table1[RespondentID],'All Data'!$A$3:$CW$999,98,FALSE),"unknown")</f>
        <v>Private/Commercial</v>
      </c>
      <c r="AR364" s="120" t="str">
        <f>IFERROR(VLOOKUP(Table1[RespondentID],'All Data'!$A$3:$CW$999,99,FALSE),"unknown")</f>
        <v>Yes</v>
      </c>
    </row>
    <row r="365" spans="1:44" ht="16">
      <c r="A365" s="133">
        <v>114097326158</v>
      </c>
      <c r="B365" s="134"/>
      <c r="C365" s="135"/>
      <c r="D365" s="135"/>
      <c r="E365" s="135" t="s">
        <v>32</v>
      </c>
      <c r="F365" s="135" t="s">
        <v>33</v>
      </c>
      <c r="G365" s="135"/>
      <c r="H365" s="135"/>
      <c r="I365" s="135"/>
      <c r="J365" s="135"/>
      <c r="K365" s="135" t="s">
        <v>375</v>
      </c>
      <c r="L365" s="133"/>
      <c r="M365" s="126">
        <f t="shared" si="75"/>
        <v>3</v>
      </c>
      <c r="N365" s="126">
        <f t="shared" si="76"/>
        <v>1</v>
      </c>
      <c r="O365" s="133"/>
      <c r="P365" s="126">
        <f t="shared" si="77"/>
        <v>0</v>
      </c>
      <c r="Q365" s="126">
        <f t="shared" si="78"/>
        <v>0</v>
      </c>
      <c r="R365" s="126">
        <f t="shared" si="79"/>
        <v>0</v>
      </c>
      <c r="S365" s="126">
        <f t="shared" si="80"/>
        <v>1</v>
      </c>
      <c r="T365" s="126">
        <f t="shared" si="81"/>
        <v>1</v>
      </c>
      <c r="U365" s="126">
        <f t="shared" si="82"/>
        <v>0</v>
      </c>
      <c r="V365" s="154">
        <f t="shared" si="83"/>
        <v>0</v>
      </c>
      <c r="W365" s="126">
        <f t="shared" si="84"/>
        <v>0</v>
      </c>
      <c r="X365" s="126">
        <f t="shared" si="85"/>
        <v>0</v>
      </c>
      <c r="Y365" s="126">
        <f t="shared" si="86"/>
        <v>1</v>
      </c>
      <c r="Z365" s="133"/>
      <c r="AA365" s="133"/>
      <c r="AB365" s="126"/>
      <c r="AC365" s="126">
        <f t="shared" si="87"/>
        <v>3</v>
      </c>
      <c r="AD365" s="126" t="str">
        <f t="shared" si="88"/>
        <v>Wrong</v>
      </c>
      <c r="AE365" s="133"/>
      <c r="AF365" s="120" t="str">
        <f>IFERROR(VLOOKUP(Table1[RespondentID],'All Data'!$A$3:$CO$999,87,FALSE),"unknown")</f>
        <v>Woman</v>
      </c>
      <c r="AG365" s="120">
        <f>IFERROR(VLOOKUP(Table1[RespondentID],'All Data'!$A$3:$CO$999,88,FALSE),"unknown")</f>
        <v>0</v>
      </c>
      <c r="AH365" s="120" t="str">
        <f>IFERROR(VLOOKUP(Table1[RespondentID],'All Data'!$A$3:$CO$999,89,FALSE),"unknown")</f>
        <v>Nassau</v>
      </c>
      <c r="AI365" s="120" t="str">
        <f>IFERROR(VLOOKUP(Table1[RespondentID],'All Data'!$A$3:$CO$999,90,FALSE),"unknown")</f>
        <v>Alden Manor, 11003</v>
      </c>
      <c r="AJ365" s="120" t="str">
        <f>IFERROR(VLOOKUP(Table1[RespondentID],'All Data'!$A$3:$CO$999,91,FALSE),"unknown")</f>
        <v>American Indian and Alaska Native</v>
      </c>
      <c r="AK365" s="120" t="str">
        <f>IFERROR(VLOOKUP(Table1[RespondentID],'All Data'!$A$3:$CO$999,92,FALSE),"unknown")</f>
        <v>Not Hispanic or Latino</v>
      </c>
      <c r="AL365" s="120" t="str">
        <f>IFERROR(VLOOKUP(Table1[RespondentID],'All Data'!$A$3:$CO$999,93,FALSE),"unknown")</f>
        <v>English</v>
      </c>
      <c r="AM365" s="120" t="str">
        <f>IFERROR(VLOOKUP(Table1[RespondentID],'All Data'!$A$3:$CW$999,94,FALSE),"unknown")</f>
        <v>$75,000 to $125,000</v>
      </c>
      <c r="AN365" s="120" t="str">
        <f>IFERROR(VLOOKUP(Table1[RespondentID],'All Data'!$A$3:$CW$999,95,FALSE),"unknown")</f>
        <v>Technical school</v>
      </c>
      <c r="AO365" s="120" t="str">
        <f>IFERROR(VLOOKUP(Table1[RespondentID],'All Data'!$A$3:$CW$999,96,FALSE),"unknown")</f>
        <v>Employed for wages</v>
      </c>
      <c r="AP365" s="120">
        <f>IFERROR(VLOOKUP(Table1[RespondentID],'All Data'!$A$3:$CW$999,97,FALSE),"unknown")</f>
        <v>0</v>
      </c>
      <c r="AQ365" s="120" t="str">
        <f>IFERROR(VLOOKUP(Table1[RespondentID],'All Data'!$A$3:$CW$999,98,FALSE),"unknown")</f>
        <v>Medicaid</v>
      </c>
      <c r="AR365" s="120" t="str">
        <f>IFERROR(VLOOKUP(Table1[RespondentID],'All Data'!$A$3:$CW$999,99,FALSE),"unknown")</f>
        <v>Yes</v>
      </c>
    </row>
    <row r="366" spans="1:44" ht="16">
      <c r="A366" s="133">
        <v>114097224144</v>
      </c>
      <c r="B366" s="134"/>
      <c r="C366" s="135"/>
      <c r="D366" s="135"/>
      <c r="E366" s="135"/>
      <c r="F366" s="135"/>
      <c r="G366" s="135"/>
      <c r="H366" s="135"/>
      <c r="I366" s="135"/>
      <c r="J366" s="135"/>
      <c r="K366" s="135"/>
      <c r="L366" s="133"/>
      <c r="M366" s="126">
        <f t="shared" si="75"/>
        <v>0</v>
      </c>
      <c r="N366" s="126" t="e">
        <f t="shared" si="76"/>
        <v>#DIV/0!</v>
      </c>
      <c r="O366" s="133"/>
      <c r="P366" s="126">
        <f t="shared" si="77"/>
        <v>0</v>
      </c>
      <c r="Q366" s="126">
        <f t="shared" si="78"/>
        <v>0</v>
      </c>
      <c r="R366" s="126">
        <f t="shared" si="79"/>
        <v>0</v>
      </c>
      <c r="S366" s="126">
        <f t="shared" si="80"/>
        <v>0</v>
      </c>
      <c r="T366" s="126">
        <f t="shared" si="81"/>
        <v>0</v>
      </c>
      <c r="U366" s="126">
        <f t="shared" si="82"/>
        <v>0</v>
      </c>
      <c r="V366" s="154">
        <f t="shared" si="83"/>
        <v>0</v>
      </c>
      <c r="W366" s="126">
        <f t="shared" si="84"/>
        <v>0</v>
      </c>
      <c r="X366" s="126">
        <f t="shared" si="85"/>
        <v>0</v>
      </c>
      <c r="Y366" s="126">
        <f t="shared" si="86"/>
        <v>0</v>
      </c>
      <c r="Z366" s="133"/>
      <c r="AA366" s="133"/>
      <c r="AB366" s="126"/>
      <c r="AC366" s="126">
        <f t="shared" si="87"/>
        <v>0</v>
      </c>
      <c r="AD366" s="126" t="str">
        <f t="shared" si="88"/>
        <v>Correct</v>
      </c>
      <c r="AE366" s="133"/>
      <c r="AF366" s="120" t="str">
        <f>IFERROR(VLOOKUP(Table1[RespondentID],'All Data'!$A$3:$CO$999,87,FALSE),"unknown")</f>
        <v>Woman</v>
      </c>
      <c r="AG366" s="120">
        <f>IFERROR(VLOOKUP(Table1[RespondentID],'All Data'!$A$3:$CO$999,88,FALSE),"unknown")</f>
        <v>0</v>
      </c>
      <c r="AH366" s="120" t="str">
        <f>IFERROR(VLOOKUP(Table1[RespondentID],'All Data'!$A$3:$CO$999,89,FALSE),"unknown")</f>
        <v>Suffolk</v>
      </c>
      <c r="AI366" s="120" t="str">
        <f>IFERROR(VLOOKUP(Table1[RespondentID],'All Data'!$A$3:$CO$999,90,FALSE),"unknown")</f>
        <v>West Islip, 11795</v>
      </c>
      <c r="AJ366" s="120" t="str">
        <f>IFERROR(VLOOKUP(Table1[RespondentID],'All Data'!$A$3:$CO$999,91,FALSE),"unknown")</f>
        <v>White</v>
      </c>
      <c r="AK366" s="120" t="str">
        <f>IFERROR(VLOOKUP(Table1[RespondentID],'All Data'!$A$3:$CO$999,92,FALSE),"unknown")</f>
        <v>Not Hispanic or Latino</v>
      </c>
      <c r="AL366" s="120" t="str">
        <f>IFERROR(VLOOKUP(Table1[RespondentID],'All Data'!$A$3:$CO$999,93,FALSE),"unknown")</f>
        <v>English</v>
      </c>
      <c r="AM366" s="120" t="str">
        <f>IFERROR(VLOOKUP(Table1[RespondentID],'All Data'!$A$3:$CW$999,94,FALSE),"unknown")</f>
        <v>$75,000 to $125,000</v>
      </c>
      <c r="AN366" s="120" t="str">
        <f>IFERROR(VLOOKUP(Table1[RespondentID],'All Data'!$A$3:$CW$999,95,FALSE),"unknown")</f>
        <v>High school graduate</v>
      </c>
      <c r="AO366" s="120" t="str">
        <f>IFERROR(VLOOKUP(Table1[RespondentID],'All Data'!$A$3:$CW$999,96,FALSE),"unknown")</f>
        <v>Retired</v>
      </c>
      <c r="AP366" s="120" t="str">
        <f>IFERROR(VLOOKUP(Table1[RespondentID],'All Data'!$A$3:$CW$999,97,FALSE),"unknown")</f>
        <v>Yes</v>
      </c>
      <c r="AQ366" s="120" t="str">
        <f>IFERROR(VLOOKUP(Table1[RespondentID],'All Data'!$A$3:$CW$999,98,FALSE),"unknown")</f>
        <v>Medicare,Private/Commercial</v>
      </c>
      <c r="AR366" s="120" t="str">
        <f>IFERROR(VLOOKUP(Table1[RespondentID],'All Data'!$A$3:$CW$999,99,FALSE),"unknown")</f>
        <v>Yes</v>
      </c>
    </row>
    <row r="367" spans="1:44" ht="16">
      <c r="A367" s="133">
        <v>114097096005</v>
      </c>
      <c r="B367" s="134"/>
      <c r="C367" s="135"/>
      <c r="D367" s="135"/>
      <c r="E367" s="135"/>
      <c r="F367" s="135"/>
      <c r="G367" s="135" t="s">
        <v>34</v>
      </c>
      <c r="H367" s="135"/>
      <c r="I367" s="135"/>
      <c r="J367" s="135"/>
      <c r="K367" s="135"/>
      <c r="L367" s="133"/>
      <c r="M367" s="126">
        <f t="shared" si="75"/>
        <v>1</v>
      </c>
      <c r="N367" s="126">
        <f t="shared" si="76"/>
        <v>3</v>
      </c>
      <c r="O367" s="133"/>
      <c r="P367" s="126">
        <f t="shared" si="77"/>
        <v>0</v>
      </c>
      <c r="Q367" s="126">
        <f t="shared" si="78"/>
        <v>0</v>
      </c>
      <c r="R367" s="126">
        <f t="shared" si="79"/>
        <v>0</v>
      </c>
      <c r="S367" s="126">
        <f t="shared" si="80"/>
        <v>0</v>
      </c>
      <c r="T367" s="126">
        <f t="shared" si="81"/>
        <v>0</v>
      </c>
      <c r="U367" s="126">
        <f t="shared" si="82"/>
        <v>1</v>
      </c>
      <c r="V367" s="154">
        <f t="shared" si="83"/>
        <v>0</v>
      </c>
      <c r="W367" s="126">
        <f t="shared" si="84"/>
        <v>0</v>
      </c>
      <c r="X367" s="126">
        <f t="shared" si="85"/>
        <v>0</v>
      </c>
      <c r="Y367" s="126">
        <f t="shared" si="86"/>
        <v>0</v>
      </c>
      <c r="Z367" s="133"/>
      <c r="AA367" s="133"/>
      <c r="AB367" s="126"/>
      <c r="AC367" s="126">
        <f t="shared" si="87"/>
        <v>1</v>
      </c>
      <c r="AD367" s="126" t="str">
        <f t="shared" si="88"/>
        <v>Wrong</v>
      </c>
      <c r="AE367" s="133"/>
      <c r="AF367" s="120" t="str">
        <f>IFERROR(VLOOKUP(Table1[RespondentID],'All Data'!$A$3:$CO$999,87,FALSE),"unknown")</f>
        <v>Man</v>
      </c>
      <c r="AG367" s="120">
        <f>IFERROR(VLOOKUP(Table1[RespondentID],'All Data'!$A$3:$CO$999,88,FALSE),"unknown")</f>
        <v>0</v>
      </c>
      <c r="AH367" s="120" t="str">
        <f>IFERROR(VLOOKUP(Table1[RespondentID],'All Data'!$A$3:$CO$999,89,FALSE),"unknown")</f>
        <v>Suffolk</v>
      </c>
      <c r="AI367" s="120" t="str">
        <f>IFERROR(VLOOKUP(Table1[RespondentID],'All Data'!$A$3:$CO$999,90,FALSE),"unknown")</f>
        <v>Lindenhurst, 11757</v>
      </c>
      <c r="AJ367" s="120" t="str">
        <f>IFERROR(VLOOKUP(Table1[RespondentID],'All Data'!$A$3:$CO$999,91,FALSE),"unknown")</f>
        <v>White</v>
      </c>
      <c r="AK367" s="120" t="str">
        <f>IFERROR(VLOOKUP(Table1[RespondentID],'All Data'!$A$3:$CO$999,92,FALSE),"unknown")</f>
        <v>Not Hispanic or Latino</v>
      </c>
      <c r="AL367" s="120" t="str">
        <f>IFERROR(VLOOKUP(Table1[RespondentID],'All Data'!$A$3:$CO$999,93,FALSE),"unknown")</f>
        <v>English</v>
      </c>
      <c r="AM367" s="120" t="str">
        <f>IFERROR(VLOOKUP(Table1[RespondentID],'All Data'!$A$3:$CW$999,94,FALSE),"unknown")</f>
        <v>Over $125,000</v>
      </c>
      <c r="AN367" s="120" t="str">
        <f>IFERROR(VLOOKUP(Table1[RespondentID],'All Data'!$A$3:$CW$999,95,FALSE),"unknown")</f>
        <v>College graduate</v>
      </c>
      <c r="AO367" s="120" t="str">
        <f>IFERROR(VLOOKUP(Table1[RespondentID],'All Data'!$A$3:$CW$999,96,FALSE),"unknown")</f>
        <v>Retired</v>
      </c>
      <c r="AP367" s="120" t="str">
        <f>IFERROR(VLOOKUP(Table1[RespondentID],'All Data'!$A$3:$CW$999,97,FALSE),"unknown")</f>
        <v>Yes</v>
      </c>
      <c r="AQ367" s="120" t="str">
        <f>IFERROR(VLOOKUP(Table1[RespondentID],'All Data'!$A$3:$CW$999,98,FALSE),"unknown")</f>
        <v>Medicare,Private/Commercial</v>
      </c>
      <c r="AR367" s="120" t="str">
        <f>IFERROR(VLOOKUP(Table1[RespondentID],'All Data'!$A$3:$CW$999,99,FALSE),"unknown")</f>
        <v>Yes</v>
      </c>
    </row>
    <row r="368" spans="1:44" ht="16">
      <c r="A368" s="133">
        <v>114097086259</v>
      </c>
      <c r="B368" s="134"/>
      <c r="C368" s="135"/>
      <c r="D368" s="135"/>
      <c r="E368" s="135"/>
      <c r="F368" s="135"/>
      <c r="G368" s="135" t="s">
        <v>34</v>
      </c>
      <c r="H368" s="135"/>
      <c r="I368" s="135"/>
      <c r="J368" s="135"/>
      <c r="K368" s="135"/>
      <c r="L368" s="133"/>
      <c r="M368" s="126">
        <f t="shared" si="75"/>
        <v>1</v>
      </c>
      <c r="N368" s="126">
        <f t="shared" si="76"/>
        <v>3</v>
      </c>
      <c r="O368" s="133"/>
      <c r="P368" s="126">
        <f t="shared" si="77"/>
        <v>0</v>
      </c>
      <c r="Q368" s="126">
        <f t="shared" si="78"/>
        <v>0</v>
      </c>
      <c r="R368" s="126">
        <f t="shared" si="79"/>
        <v>0</v>
      </c>
      <c r="S368" s="126">
        <f t="shared" si="80"/>
        <v>0</v>
      </c>
      <c r="T368" s="126">
        <f t="shared" si="81"/>
        <v>0</v>
      </c>
      <c r="U368" s="126">
        <f t="shared" si="82"/>
        <v>1</v>
      </c>
      <c r="V368" s="154">
        <f t="shared" si="83"/>
        <v>0</v>
      </c>
      <c r="W368" s="126">
        <f t="shared" si="84"/>
        <v>0</v>
      </c>
      <c r="X368" s="126">
        <f t="shared" si="85"/>
        <v>0</v>
      </c>
      <c r="Y368" s="126">
        <f t="shared" si="86"/>
        <v>0</v>
      </c>
      <c r="Z368" s="133"/>
      <c r="AA368" s="133"/>
      <c r="AB368" s="126"/>
      <c r="AC368" s="126">
        <f t="shared" si="87"/>
        <v>1</v>
      </c>
      <c r="AD368" s="126" t="str">
        <f t="shared" si="88"/>
        <v>Wrong</v>
      </c>
      <c r="AE368" s="133"/>
      <c r="AF368" s="120" t="str">
        <f>IFERROR(VLOOKUP(Table1[RespondentID],'All Data'!$A$3:$CO$999,87,FALSE),"unknown")</f>
        <v>Woman</v>
      </c>
      <c r="AG368" s="120">
        <f>IFERROR(VLOOKUP(Table1[RespondentID],'All Data'!$A$3:$CO$999,88,FALSE),"unknown")</f>
        <v>0</v>
      </c>
      <c r="AH368" s="120" t="str">
        <f>IFERROR(VLOOKUP(Table1[RespondentID],'All Data'!$A$3:$CO$999,89,FALSE),"unknown")</f>
        <v>Nassau</v>
      </c>
      <c r="AI368" s="120" t="str">
        <f>IFERROR(VLOOKUP(Table1[RespondentID],'All Data'!$A$3:$CO$999,90,FALSE),"unknown")</f>
        <v>Farmingdale, 11735</v>
      </c>
      <c r="AJ368" s="120" t="str">
        <f>IFERROR(VLOOKUP(Table1[RespondentID],'All Data'!$A$3:$CO$999,91,FALSE),"unknown")</f>
        <v>White</v>
      </c>
      <c r="AK368" s="120" t="str">
        <f>IFERROR(VLOOKUP(Table1[RespondentID],'All Data'!$A$3:$CO$999,92,FALSE),"unknown")</f>
        <v>Not Hispanic or Latino</v>
      </c>
      <c r="AL368" s="120" t="str">
        <f>IFERROR(VLOOKUP(Table1[RespondentID],'All Data'!$A$3:$CO$999,93,FALSE),"unknown")</f>
        <v>English</v>
      </c>
      <c r="AM368" s="120" t="str">
        <f>IFERROR(VLOOKUP(Table1[RespondentID],'All Data'!$A$3:$CW$999,94,FALSE),"unknown")</f>
        <v>$50,000 to $74,999</v>
      </c>
      <c r="AN368" s="120" t="str">
        <f>IFERROR(VLOOKUP(Table1[RespondentID],'All Data'!$A$3:$CW$999,95,FALSE),"unknown")</f>
        <v>Some college</v>
      </c>
      <c r="AO368" s="120" t="str">
        <f>IFERROR(VLOOKUP(Table1[RespondentID],'All Data'!$A$3:$CW$999,96,FALSE),"unknown")</f>
        <v>Employed for wages</v>
      </c>
      <c r="AP368" s="120" t="str">
        <f>IFERROR(VLOOKUP(Table1[RespondentID],'All Data'!$A$3:$CW$999,97,FALSE),"unknown")</f>
        <v>Yes</v>
      </c>
      <c r="AQ368" s="120" t="str">
        <f>IFERROR(VLOOKUP(Table1[RespondentID],'All Data'!$A$3:$CW$999,98,FALSE),"unknown")</f>
        <v>Medicare,Private/Commercial</v>
      </c>
      <c r="AR368" s="120" t="str">
        <f>IFERROR(VLOOKUP(Table1[RespondentID],'All Data'!$A$3:$CW$999,99,FALSE),"unknown")</f>
        <v>Yes</v>
      </c>
    </row>
    <row r="369" spans="1:44" ht="16">
      <c r="A369" s="133">
        <v>114096895942</v>
      </c>
      <c r="B369" s="134"/>
      <c r="C369" s="135"/>
      <c r="D369" s="135"/>
      <c r="E369" s="135"/>
      <c r="F369" s="135"/>
      <c r="G369" s="135" t="s">
        <v>34</v>
      </c>
      <c r="H369" s="135"/>
      <c r="I369" s="135"/>
      <c r="J369" s="135"/>
      <c r="K369" s="135"/>
      <c r="L369" s="133"/>
      <c r="M369" s="126">
        <f t="shared" si="75"/>
        <v>1</v>
      </c>
      <c r="N369" s="126">
        <f t="shared" si="76"/>
        <v>3</v>
      </c>
      <c r="O369" s="133"/>
      <c r="P369" s="126">
        <f t="shared" si="77"/>
        <v>0</v>
      </c>
      <c r="Q369" s="126">
        <f t="shared" si="78"/>
        <v>0</v>
      </c>
      <c r="R369" s="126">
        <f t="shared" si="79"/>
        <v>0</v>
      </c>
      <c r="S369" s="126">
        <f t="shared" si="80"/>
        <v>0</v>
      </c>
      <c r="T369" s="126">
        <f t="shared" si="81"/>
        <v>0</v>
      </c>
      <c r="U369" s="126">
        <f t="shared" si="82"/>
        <v>1</v>
      </c>
      <c r="V369" s="154">
        <f t="shared" si="83"/>
        <v>0</v>
      </c>
      <c r="W369" s="126">
        <f t="shared" si="84"/>
        <v>0</v>
      </c>
      <c r="X369" s="126">
        <f t="shared" si="85"/>
        <v>0</v>
      </c>
      <c r="Y369" s="126">
        <f t="shared" si="86"/>
        <v>0</v>
      </c>
      <c r="Z369" s="133"/>
      <c r="AA369" s="133"/>
      <c r="AB369" s="126"/>
      <c r="AC369" s="126">
        <f t="shared" si="87"/>
        <v>1</v>
      </c>
      <c r="AD369" s="126" t="str">
        <f t="shared" si="88"/>
        <v>Wrong</v>
      </c>
      <c r="AE369" s="133"/>
      <c r="AF369" s="120" t="str">
        <f>IFERROR(VLOOKUP(Table1[RespondentID],'All Data'!$A$3:$CO$999,87,FALSE),"unknown")</f>
        <v>Woman</v>
      </c>
      <c r="AG369" s="120">
        <f>IFERROR(VLOOKUP(Table1[RespondentID],'All Data'!$A$3:$CO$999,88,FALSE),"unknown")</f>
        <v>0</v>
      </c>
      <c r="AH369" s="120" t="str">
        <f>IFERROR(VLOOKUP(Table1[RespondentID],'All Data'!$A$3:$CO$999,89,FALSE),"unknown")</f>
        <v>Suffolk</v>
      </c>
      <c r="AI369" s="120" t="str">
        <f>IFERROR(VLOOKUP(Table1[RespondentID],'All Data'!$A$3:$CO$999,90,FALSE),"unknown")</f>
        <v>North Babylon, 11703</v>
      </c>
      <c r="AJ369" s="120" t="str">
        <f>IFERROR(VLOOKUP(Table1[RespondentID],'All Data'!$A$3:$CO$999,91,FALSE),"unknown")</f>
        <v>White</v>
      </c>
      <c r="AK369" s="120" t="str">
        <f>IFERROR(VLOOKUP(Table1[RespondentID],'All Data'!$A$3:$CO$999,92,FALSE),"unknown")</f>
        <v>Not Hispanic or Latino</v>
      </c>
      <c r="AL369" s="120" t="str">
        <f>IFERROR(VLOOKUP(Table1[RespondentID],'All Data'!$A$3:$CO$999,93,FALSE),"unknown")</f>
        <v>English</v>
      </c>
      <c r="AM369" s="120" t="str">
        <f>IFERROR(VLOOKUP(Table1[RespondentID],'All Data'!$A$3:$CW$999,94,FALSE),"unknown")</f>
        <v>$35,000 to $49,999</v>
      </c>
      <c r="AN369" s="120" t="str">
        <f>IFERROR(VLOOKUP(Table1[RespondentID],'All Data'!$A$3:$CW$999,95,FALSE),"unknown")</f>
        <v>Some college</v>
      </c>
      <c r="AO369" s="120" t="str">
        <f>IFERROR(VLOOKUP(Table1[RespondentID],'All Data'!$A$3:$CW$999,96,FALSE),"unknown")</f>
        <v>Employed for wages</v>
      </c>
      <c r="AP369" s="120" t="str">
        <f>IFERROR(VLOOKUP(Table1[RespondentID],'All Data'!$A$3:$CW$999,97,FALSE),"unknown")</f>
        <v>Yes</v>
      </c>
      <c r="AQ369" s="120" t="str">
        <f>IFERROR(VLOOKUP(Table1[RespondentID],'All Data'!$A$3:$CW$999,98,FALSE),"unknown")</f>
        <v>Private/Commercial</v>
      </c>
      <c r="AR369" s="120" t="str">
        <f>IFERROR(VLOOKUP(Table1[RespondentID],'All Data'!$A$3:$CW$999,99,FALSE),"unknown")</f>
        <v>Yes</v>
      </c>
    </row>
    <row r="370" spans="1:44" ht="16">
      <c r="A370" s="133">
        <v>114096869874</v>
      </c>
      <c r="B370" s="134"/>
      <c r="C370" s="135"/>
      <c r="D370" s="135"/>
      <c r="E370" s="135"/>
      <c r="F370" s="135"/>
      <c r="G370" s="135" t="s">
        <v>34</v>
      </c>
      <c r="H370" s="135"/>
      <c r="I370" s="135"/>
      <c r="J370" s="135"/>
      <c r="K370" s="135"/>
      <c r="L370" s="133"/>
      <c r="M370" s="126">
        <f t="shared" si="75"/>
        <v>1</v>
      </c>
      <c r="N370" s="126">
        <f t="shared" si="76"/>
        <v>3</v>
      </c>
      <c r="O370" s="133"/>
      <c r="P370" s="126">
        <f t="shared" si="77"/>
        <v>0</v>
      </c>
      <c r="Q370" s="126">
        <f t="shared" si="78"/>
        <v>0</v>
      </c>
      <c r="R370" s="126">
        <f t="shared" si="79"/>
        <v>0</v>
      </c>
      <c r="S370" s="126">
        <f t="shared" si="80"/>
        <v>0</v>
      </c>
      <c r="T370" s="126">
        <f t="shared" si="81"/>
        <v>0</v>
      </c>
      <c r="U370" s="126">
        <f t="shared" si="82"/>
        <v>1</v>
      </c>
      <c r="V370" s="154">
        <f t="shared" si="83"/>
        <v>0</v>
      </c>
      <c r="W370" s="126">
        <f t="shared" si="84"/>
        <v>0</v>
      </c>
      <c r="X370" s="126">
        <f t="shared" si="85"/>
        <v>0</v>
      </c>
      <c r="Y370" s="126">
        <f t="shared" si="86"/>
        <v>0</v>
      </c>
      <c r="Z370" s="133"/>
      <c r="AA370" s="133"/>
      <c r="AB370" s="126"/>
      <c r="AC370" s="126">
        <f t="shared" si="87"/>
        <v>1</v>
      </c>
      <c r="AD370" s="126" t="str">
        <f t="shared" si="88"/>
        <v>Wrong</v>
      </c>
      <c r="AE370" s="133"/>
      <c r="AF370" s="120" t="str">
        <f>IFERROR(VLOOKUP(Table1[RespondentID],'All Data'!$A$3:$CO$999,87,FALSE),"unknown")</f>
        <v>Woman</v>
      </c>
      <c r="AG370" s="120">
        <f>IFERROR(VLOOKUP(Table1[RespondentID],'All Data'!$A$3:$CO$999,88,FALSE),"unknown")</f>
        <v>0</v>
      </c>
      <c r="AH370" s="120" t="str">
        <f>IFERROR(VLOOKUP(Table1[RespondentID],'All Data'!$A$3:$CO$999,89,FALSE),"unknown")</f>
        <v>Nassau</v>
      </c>
      <c r="AI370" s="120" t="str">
        <f>IFERROR(VLOOKUP(Table1[RespondentID],'All Data'!$A$3:$CO$999,90,FALSE),"unknown")</f>
        <v>Bellmore, 11710</v>
      </c>
      <c r="AJ370" s="120" t="str">
        <f>IFERROR(VLOOKUP(Table1[RespondentID],'All Data'!$A$3:$CO$999,91,FALSE),"unknown")</f>
        <v>White</v>
      </c>
      <c r="AK370" s="120" t="str">
        <f>IFERROR(VLOOKUP(Table1[RespondentID],'All Data'!$A$3:$CO$999,92,FALSE),"unknown")</f>
        <v>Not Hispanic or Latino</v>
      </c>
      <c r="AL370" s="120" t="str">
        <f>IFERROR(VLOOKUP(Table1[RespondentID],'All Data'!$A$3:$CO$999,93,FALSE),"unknown")</f>
        <v>English</v>
      </c>
      <c r="AM370" s="120" t="str">
        <f>IFERROR(VLOOKUP(Table1[RespondentID],'All Data'!$A$3:$CW$999,94,FALSE),"unknown")</f>
        <v>Over $125,000</v>
      </c>
      <c r="AN370" s="120" t="str">
        <f>IFERROR(VLOOKUP(Table1[RespondentID],'All Data'!$A$3:$CW$999,95,FALSE),"unknown")</f>
        <v>College graduate</v>
      </c>
      <c r="AO370" s="120" t="str">
        <f>IFERROR(VLOOKUP(Table1[RespondentID],'All Data'!$A$3:$CW$999,96,FALSE),"unknown")</f>
        <v>Employed for wages</v>
      </c>
      <c r="AP370" s="120" t="str">
        <f>IFERROR(VLOOKUP(Table1[RespondentID],'All Data'!$A$3:$CW$999,97,FALSE),"unknown")</f>
        <v>Yes</v>
      </c>
      <c r="AQ370" s="120" t="str">
        <f>IFERROR(VLOOKUP(Table1[RespondentID],'All Data'!$A$3:$CW$999,98,FALSE),"unknown")</f>
        <v>Private/Commercial</v>
      </c>
      <c r="AR370" s="120" t="str">
        <f>IFERROR(VLOOKUP(Table1[RespondentID],'All Data'!$A$3:$CW$999,99,FALSE),"unknown")</f>
        <v>Yes</v>
      </c>
    </row>
    <row r="371" spans="1:44" ht="16">
      <c r="A371" s="133">
        <v>114096853684</v>
      </c>
      <c r="B371" s="134"/>
      <c r="C371" s="135"/>
      <c r="D371" s="135" t="s">
        <v>31</v>
      </c>
      <c r="E371" s="135"/>
      <c r="F371" s="135"/>
      <c r="G371" s="135"/>
      <c r="H371" s="135"/>
      <c r="I371" s="135"/>
      <c r="J371" s="135"/>
      <c r="K371" s="135"/>
      <c r="L371" s="133"/>
      <c r="M371" s="126">
        <f t="shared" si="75"/>
        <v>1</v>
      </c>
      <c r="N371" s="126">
        <f t="shared" si="76"/>
        <v>3</v>
      </c>
      <c r="O371" s="133"/>
      <c r="P371" s="126">
        <f t="shared" si="77"/>
        <v>0</v>
      </c>
      <c r="Q371" s="126">
        <f t="shared" si="78"/>
        <v>0</v>
      </c>
      <c r="R371" s="126">
        <f t="shared" si="79"/>
        <v>1</v>
      </c>
      <c r="S371" s="126">
        <f t="shared" si="80"/>
        <v>0</v>
      </c>
      <c r="T371" s="126">
        <f t="shared" si="81"/>
        <v>0</v>
      </c>
      <c r="U371" s="126">
        <f t="shared" si="82"/>
        <v>0</v>
      </c>
      <c r="V371" s="154">
        <f t="shared" si="83"/>
        <v>0</v>
      </c>
      <c r="W371" s="126">
        <f t="shared" si="84"/>
        <v>0</v>
      </c>
      <c r="X371" s="126">
        <f t="shared" si="85"/>
        <v>0</v>
      </c>
      <c r="Y371" s="126">
        <f t="shared" si="86"/>
        <v>0</v>
      </c>
      <c r="Z371" s="133"/>
      <c r="AA371" s="133"/>
      <c r="AB371" s="126"/>
      <c r="AC371" s="126">
        <f t="shared" si="87"/>
        <v>1</v>
      </c>
      <c r="AD371" s="126" t="str">
        <f t="shared" si="88"/>
        <v>Wrong</v>
      </c>
      <c r="AE371" s="133"/>
      <c r="AF371" s="120" t="str">
        <f>IFERROR(VLOOKUP(Table1[RespondentID],'All Data'!$A$3:$CO$999,87,FALSE),"unknown")</f>
        <v>Woman</v>
      </c>
      <c r="AG371" s="120">
        <f>IFERROR(VLOOKUP(Table1[RespondentID],'All Data'!$A$3:$CO$999,88,FALSE),"unknown")</f>
        <v>0</v>
      </c>
      <c r="AH371" s="120" t="str">
        <f>IFERROR(VLOOKUP(Table1[RespondentID],'All Data'!$A$3:$CO$999,89,FALSE),"unknown")</f>
        <v>Suffolk</v>
      </c>
      <c r="AI371" s="120" t="str">
        <f>IFERROR(VLOOKUP(Table1[RespondentID],'All Data'!$A$3:$CO$999,90,FALSE),"unknown")</f>
        <v>West Islip, 11795</v>
      </c>
      <c r="AJ371" s="120" t="str">
        <f>IFERROR(VLOOKUP(Table1[RespondentID],'All Data'!$A$3:$CO$999,91,FALSE),"unknown")</f>
        <v>White</v>
      </c>
      <c r="AK371" s="120" t="str">
        <f>IFERROR(VLOOKUP(Table1[RespondentID],'All Data'!$A$3:$CO$999,92,FALSE),"unknown")</f>
        <v>Not Hispanic or Latino</v>
      </c>
      <c r="AL371" s="120" t="str">
        <f>IFERROR(VLOOKUP(Table1[RespondentID],'All Data'!$A$3:$CO$999,93,FALSE),"unknown")</f>
        <v>English</v>
      </c>
      <c r="AM371" s="120" t="str">
        <f>IFERROR(VLOOKUP(Table1[RespondentID],'All Data'!$A$3:$CW$999,94,FALSE),"unknown")</f>
        <v>$75,000 to $125,000</v>
      </c>
      <c r="AN371" s="120" t="str">
        <f>IFERROR(VLOOKUP(Table1[RespondentID],'All Data'!$A$3:$CW$999,95,FALSE),"unknown")</f>
        <v>Some college</v>
      </c>
      <c r="AO371" s="120" t="str">
        <f>IFERROR(VLOOKUP(Table1[RespondentID],'All Data'!$A$3:$CW$999,96,FALSE),"unknown")</f>
        <v>Employed for wages</v>
      </c>
      <c r="AP371" s="120" t="str">
        <f>IFERROR(VLOOKUP(Table1[RespondentID],'All Data'!$A$3:$CW$999,97,FALSE),"unknown")</f>
        <v>Yes</v>
      </c>
      <c r="AQ371" s="120" t="str">
        <f>IFERROR(VLOOKUP(Table1[RespondentID],'All Data'!$A$3:$CW$999,98,FALSE),"unknown")</f>
        <v>Private/Commercial</v>
      </c>
      <c r="AR371" s="120" t="str">
        <f>IFERROR(VLOOKUP(Table1[RespondentID],'All Data'!$A$3:$CW$999,99,FALSE),"unknown")</f>
        <v>Yes</v>
      </c>
    </row>
    <row r="372" spans="1:44" ht="16">
      <c r="A372" s="133">
        <v>114096829794</v>
      </c>
      <c r="B372" s="134"/>
      <c r="C372" s="135"/>
      <c r="D372" s="135"/>
      <c r="E372" s="135"/>
      <c r="F372" s="135"/>
      <c r="G372" s="135" t="s">
        <v>34</v>
      </c>
      <c r="H372" s="135"/>
      <c r="I372" s="135"/>
      <c r="J372" s="135"/>
      <c r="K372" s="135" t="s">
        <v>375</v>
      </c>
      <c r="L372" s="133"/>
      <c r="M372" s="126">
        <f t="shared" si="75"/>
        <v>2</v>
      </c>
      <c r="N372" s="126">
        <f t="shared" si="76"/>
        <v>1.5</v>
      </c>
      <c r="O372" s="133"/>
      <c r="P372" s="126">
        <f t="shared" si="77"/>
        <v>0</v>
      </c>
      <c r="Q372" s="126">
        <f t="shared" si="78"/>
        <v>0</v>
      </c>
      <c r="R372" s="126">
        <f t="shared" si="79"/>
        <v>0</v>
      </c>
      <c r="S372" s="126">
        <f t="shared" si="80"/>
        <v>0</v>
      </c>
      <c r="T372" s="126">
        <f t="shared" si="81"/>
        <v>0</v>
      </c>
      <c r="U372" s="126">
        <f t="shared" si="82"/>
        <v>1</v>
      </c>
      <c r="V372" s="154">
        <f t="shared" si="83"/>
        <v>0</v>
      </c>
      <c r="W372" s="126">
        <f t="shared" si="84"/>
        <v>0</v>
      </c>
      <c r="X372" s="126">
        <f t="shared" si="85"/>
        <v>0</v>
      </c>
      <c r="Y372" s="126">
        <f t="shared" si="86"/>
        <v>1</v>
      </c>
      <c r="Z372" s="133"/>
      <c r="AA372" s="133"/>
      <c r="AB372" s="126"/>
      <c r="AC372" s="126">
        <f t="shared" si="87"/>
        <v>2</v>
      </c>
      <c r="AD372" s="126" t="str">
        <f t="shared" si="88"/>
        <v>Wrong</v>
      </c>
      <c r="AE372" s="133"/>
      <c r="AF372" s="120" t="str">
        <f>IFERROR(VLOOKUP(Table1[RespondentID],'All Data'!$A$3:$CO$999,87,FALSE),"unknown")</f>
        <v>Woman</v>
      </c>
      <c r="AG372" s="120">
        <f>IFERROR(VLOOKUP(Table1[RespondentID],'All Data'!$A$3:$CO$999,88,FALSE),"unknown")</f>
        <v>0</v>
      </c>
      <c r="AH372" s="120" t="str">
        <f>IFERROR(VLOOKUP(Table1[RespondentID],'All Data'!$A$3:$CO$999,89,FALSE),"unknown")</f>
        <v>Suffolk</v>
      </c>
      <c r="AI372" s="120" t="str">
        <f>IFERROR(VLOOKUP(Table1[RespondentID],'All Data'!$A$3:$CO$999,90,FALSE),"unknown")</f>
        <v>Sayville, 11782</v>
      </c>
      <c r="AJ372" s="120" t="str">
        <f>IFERROR(VLOOKUP(Table1[RespondentID],'All Data'!$A$3:$CO$999,91,FALSE),"unknown")</f>
        <v>White</v>
      </c>
      <c r="AK372" s="120" t="str">
        <f>IFERROR(VLOOKUP(Table1[RespondentID],'All Data'!$A$3:$CO$999,92,FALSE),"unknown")</f>
        <v>Not Hispanic or Latino</v>
      </c>
      <c r="AL372" s="120" t="str">
        <f>IFERROR(VLOOKUP(Table1[RespondentID],'All Data'!$A$3:$CO$999,93,FALSE),"unknown")</f>
        <v>English</v>
      </c>
      <c r="AM372" s="120" t="str">
        <f>IFERROR(VLOOKUP(Table1[RespondentID],'All Data'!$A$3:$CW$999,94,FALSE),"unknown")</f>
        <v>$50,000 to $74,999</v>
      </c>
      <c r="AN372" s="120" t="str">
        <f>IFERROR(VLOOKUP(Table1[RespondentID],'All Data'!$A$3:$CW$999,95,FALSE),"unknown")</f>
        <v>Some college</v>
      </c>
      <c r="AO372" s="120" t="str">
        <f>IFERROR(VLOOKUP(Table1[RespondentID],'All Data'!$A$3:$CW$999,96,FALSE),"unknown")</f>
        <v>Retired</v>
      </c>
      <c r="AP372" s="120" t="str">
        <f>IFERROR(VLOOKUP(Table1[RespondentID],'All Data'!$A$3:$CW$999,97,FALSE),"unknown")</f>
        <v>Yes</v>
      </c>
      <c r="AQ372" s="120" t="str">
        <f>IFERROR(VLOOKUP(Table1[RespondentID],'All Data'!$A$3:$CW$999,98,FALSE),"unknown")</f>
        <v>Medicare,Private/Commercial</v>
      </c>
      <c r="AR372" s="120" t="str">
        <f>IFERROR(VLOOKUP(Table1[RespondentID],'All Data'!$A$3:$CW$999,99,FALSE),"unknown")</f>
        <v>Yes</v>
      </c>
    </row>
    <row r="373" spans="1:44" ht="16">
      <c r="A373" s="133">
        <v>114096746832</v>
      </c>
      <c r="B373" s="134"/>
      <c r="C373" s="135"/>
      <c r="D373" s="135"/>
      <c r="E373" s="135"/>
      <c r="F373" s="135"/>
      <c r="G373" s="135" t="s">
        <v>34</v>
      </c>
      <c r="H373" s="135"/>
      <c r="I373" s="135"/>
      <c r="J373" s="135"/>
      <c r="K373" s="135"/>
      <c r="L373" s="133"/>
      <c r="M373" s="126">
        <f t="shared" si="75"/>
        <v>1</v>
      </c>
      <c r="N373" s="126">
        <f t="shared" si="76"/>
        <v>3</v>
      </c>
      <c r="O373" s="133"/>
      <c r="P373" s="126">
        <f t="shared" si="77"/>
        <v>0</v>
      </c>
      <c r="Q373" s="126">
        <f t="shared" si="78"/>
        <v>0</v>
      </c>
      <c r="R373" s="126">
        <f t="shared" si="79"/>
        <v>0</v>
      </c>
      <c r="S373" s="126">
        <f t="shared" si="80"/>
        <v>0</v>
      </c>
      <c r="T373" s="126">
        <f t="shared" si="81"/>
        <v>0</v>
      </c>
      <c r="U373" s="126">
        <f t="shared" si="82"/>
        <v>1</v>
      </c>
      <c r="V373" s="154">
        <f t="shared" si="83"/>
        <v>0</v>
      </c>
      <c r="W373" s="126">
        <f t="shared" si="84"/>
        <v>0</v>
      </c>
      <c r="X373" s="126">
        <f t="shared" si="85"/>
        <v>0</v>
      </c>
      <c r="Y373" s="126">
        <f t="shared" si="86"/>
        <v>0</v>
      </c>
      <c r="Z373" s="133"/>
      <c r="AA373" s="133"/>
      <c r="AB373" s="126"/>
      <c r="AC373" s="126">
        <f t="shared" si="87"/>
        <v>1</v>
      </c>
      <c r="AD373" s="126" t="str">
        <f t="shared" si="88"/>
        <v>Wrong</v>
      </c>
      <c r="AE373" s="133"/>
      <c r="AF373" s="120" t="str">
        <f>IFERROR(VLOOKUP(Table1[RespondentID],'All Data'!$A$3:$CO$999,87,FALSE),"unknown")</f>
        <v>Woman</v>
      </c>
      <c r="AG373" s="120">
        <f>IFERROR(VLOOKUP(Table1[RespondentID],'All Data'!$A$3:$CO$999,88,FALSE),"unknown")</f>
        <v>0</v>
      </c>
      <c r="AH373" s="120" t="str">
        <f>IFERROR(VLOOKUP(Table1[RespondentID],'All Data'!$A$3:$CO$999,89,FALSE),"unknown")</f>
        <v>Suffolk</v>
      </c>
      <c r="AI373" s="120" t="str">
        <f>IFERROR(VLOOKUP(Table1[RespondentID],'All Data'!$A$3:$CO$999,90,FALSE),"unknown")</f>
        <v>Babylon, 11704</v>
      </c>
      <c r="AJ373" s="120" t="str">
        <f>IFERROR(VLOOKUP(Table1[RespondentID],'All Data'!$A$3:$CO$999,91,FALSE),"unknown")</f>
        <v>White</v>
      </c>
      <c r="AK373" s="120" t="str">
        <f>IFERROR(VLOOKUP(Table1[RespondentID],'All Data'!$A$3:$CO$999,92,FALSE),"unknown")</f>
        <v>Not Hispanic or Latino</v>
      </c>
      <c r="AL373" s="120" t="str">
        <f>IFERROR(VLOOKUP(Table1[RespondentID],'All Data'!$A$3:$CO$999,93,FALSE),"unknown")</f>
        <v>English</v>
      </c>
      <c r="AM373" s="120" t="str">
        <f>IFERROR(VLOOKUP(Table1[RespondentID],'All Data'!$A$3:$CW$999,94,FALSE),"unknown")</f>
        <v>$50,000 to $74,999</v>
      </c>
      <c r="AN373" s="120" t="str">
        <f>IFERROR(VLOOKUP(Table1[RespondentID],'All Data'!$A$3:$CW$999,95,FALSE),"unknown")</f>
        <v>College graduate</v>
      </c>
      <c r="AO373" s="120" t="str">
        <f>IFERROR(VLOOKUP(Table1[RespondentID],'All Data'!$A$3:$CW$999,96,FALSE),"unknown")</f>
        <v>Employed for wages</v>
      </c>
      <c r="AP373" s="120" t="str">
        <f>IFERROR(VLOOKUP(Table1[RespondentID],'All Data'!$A$3:$CW$999,97,FALSE),"unknown")</f>
        <v>Yes</v>
      </c>
      <c r="AQ373" s="120" t="str">
        <f>IFERROR(VLOOKUP(Table1[RespondentID],'All Data'!$A$3:$CW$999,98,FALSE),"unknown")</f>
        <v>Private/Commercial</v>
      </c>
      <c r="AR373" s="120" t="str">
        <f>IFERROR(VLOOKUP(Table1[RespondentID],'All Data'!$A$3:$CW$999,99,FALSE),"unknown")</f>
        <v>Yes</v>
      </c>
    </row>
    <row r="374" spans="1:44" ht="16">
      <c r="A374" s="133">
        <v>114096742817</v>
      </c>
      <c r="B374" s="134"/>
      <c r="C374" s="135"/>
      <c r="D374" s="135"/>
      <c r="E374" s="135"/>
      <c r="F374" s="135"/>
      <c r="G374" s="135" t="s">
        <v>34</v>
      </c>
      <c r="H374" s="135"/>
      <c r="I374" s="135"/>
      <c r="J374" s="135"/>
      <c r="K374" s="135"/>
      <c r="L374" s="133"/>
      <c r="M374" s="126">
        <f t="shared" si="75"/>
        <v>1</v>
      </c>
      <c r="N374" s="126">
        <f t="shared" si="76"/>
        <v>3</v>
      </c>
      <c r="O374" s="133"/>
      <c r="P374" s="126">
        <f t="shared" si="77"/>
        <v>0</v>
      </c>
      <c r="Q374" s="126">
        <f t="shared" si="78"/>
        <v>0</v>
      </c>
      <c r="R374" s="126">
        <f t="shared" si="79"/>
        <v>0</v>
      </c>
      <c r="S374" s="126">
        <f t="shared" si="80"/>
        <v>0</v>
      </c>
      <c r="T374" s="126">
        <f t="shared" si="81"/>
        <v>0</v>
      </c>
      <c r="U374" s="126">
        <f t="shared" si="82"/>
        <v>1</v>
      </c>
      <c r="V374" s="154">
        <f t="shared" si="83"/>
        <v>0</v>
      </c>
      <c r="W374" s="126">
        <f t="shared" si="84"/>
        <v>0</v>
      </c>
      <c r="X374" s="126">
        <f t="shared" si="85"/>
        <v>0</v>
      </c>
      <c r="Y374" s="126">
        <f t="shared" si="86"/>
        <v>0</v>
      </c>
      <c r="Z374" s="133"/>
      <c r="AA374" s="133"/>
      <c r="AB374" s="126"/>
      <c r="AC374" s="126">
        <f t="shared" si="87"/>
        <v>1</v>
      </c>
      <c r="AD374" s="126" t="str">
        <f t="shared" si="88"/>
        <v>Wrong</v>
      </c>
      <c r="AE374" s="133"/>
      <c r="AF374" s="120" t="str">
        <f>IFERROR(VLOOKUP(Table1[RespondentID],'All Data'!$A$3:$CO$999,87,FALSE),"unknown")</f>
        <v>Woman</v>
      </c>
      <c r="AG374" s="120">
        <f>IFERROR(VLOOKUP(Table1[RespondentID],'All Data'!$A$3:$CO$999,88,FALSE),"unknown")</f>
        <v>0</v>
      </c>
      <c r="AH374" s="120" t="str">
        <f>IFERROR(VLOOKUP(Table1[RespondentID],'All Data'!$A$3:$CO$999,89,FALSE),"unknown")</f>
        <v>Suffolk</v>
      </c>
      <c r="AI374" s="120" t="str">
        <f>IFERROR(VLOOKUP(Table1[RespondentID],'All Data'!$A$3:$CO$999,90,FALSE),"unknown")</f>
        <v>Islip, 11751</v>
      </c>
      <c r="AJ374" s="120" t="str">
        <f>IFERROR(VLOOKUP(Table1[RespondentID],'All Data'!$A$3:$CO$999,91,FALSE),"unknown")</f>
        <v>White</v>
      </c>
      <c r="AK374" s="120" t="str">
        <f>IFERROR(VLOOKUP(Table1[RespondentID],'All Data'!$A$3:$CO$999,92,FALSE),"unknown")</f>
        <v>Not Hispanic or Latino</v>
      </c>
      <c r="AL374" s="120" t="str">
        <f>IFERROR(VLOOKUP(Table1[RespondentID],'All Data'!$A$3:$CO$999,93,FALSE),"unknown")</f>
        <v>English</v>
      </c>
      <c r="AM374" s="120" t="str">
        <f>IFERROR(VLOOKUP(Table1[RespondentID],'All Data'!$A$3:$CW$999,94,FALSE),"unknown")</f>
        <v>Over $125,000</v>
      </c>
      <c r="AN374" s="120" t="str">
        <f>IFERROR(VLOOKUP(Table1[RespondentID],'All Data'!$A$3:$CW$999,95,FALSE),"unknown")</f>
        <v>Graduate school</v>
      </c>
      <c r="AO374" s="120" t="str">
        <f>IFERROR(VLOOKUP(Table1[RespondentID],'All Data'!$A$3:$CW$999,96,FALSE),"unknown")</f>
        <v>Employed for wages</v>
      </c>
      <c r="AP374" s="120" t="str">
        <f>IFERROR(VLOOKUP(Table1[RespondentID],'All Data'!$A$3:$CW$999,97,FALSE),"unknown")</f>
        <v>Yes</v>
      </c>
      <c r="AQ374" s="120" t="str">
        <f>IFERROR(VLOOKUP(Table1[RespondentID],'All Data'!$A$3:$CW$999,98,FALSE),"unknown")</f>
        <v>Private/Commercial</v>
      </c>
      <c r="AR374" s="120" t="str">
        <f>IFERROR(VLOOKUP(Table1[RespondentID],'All Data'!$A$3:$CW$999,99,FALSE),"unknown")</f>
        <v>Yes</v>
      </c>
    </row>
    <row r="375" spans="1:44" ht="16">
      <c r="A375" s="133">
        <v>114096674095</v>
      </c>
      <c r="B375" s="134"/>
      <c r="C375" s="135"/>
      <c r="D375" s="135"/>
      <c r="E375" s="135"/>
      <c r="F375" s="135"/>
      <c r="G375" s="135" t="s">
        <v>34</v>
      </c>
      <c r="H375" s="135"/>
      <c r="I375" s="135"/>
      <c r="J375" s="135"/>
      <c r="K375" s="135"/>
      <c r="L375" s="133"/>
      <c r="M375" s="126">
        <f t="shared" si="75"/>
        <v>1</v>
      </c>
      <c r="N375" s="126">
        <f t="shared" si="76"/>
        <v>3</v>
      </c>
      <c r="O375" s="133"/>
      <c r="P375" s="126">
        <f t="shared" si="77"/>
        <v>0</v>
      </c>
      <c r="Q375" s="126">
        <f t="shared" si="78"/>
        <v>0</v>
      </c>
      <c r="R375" s="126">
        <f t="shared" si="79"/>
        <v>0</v>
      </c>
      <c r="S375" s="126">
        <f t="shared" si="80"/>
        <v>0</v>
      </c>
      <c r="T375" s="126">
        <f t="shared" si="81"/>
        <v>0</v>
      </c>
      <c r="U375" s="126">
        <f t="shared" si="82"/>
        <v>1</v>
      </c>
      <c r="V375" s="154">
        <f t="shared" si="83"/>
        <v>0</v>
      </c>
      <c r="W375" s="126">
        <f t="shared" si="84"/>
        <v>0</v>
      </c>
      <c r="X375" s="126">
        <f t="shared" si="85"/>
        <v>0</v>
      </c>
      <c r="Y375" s="126">
        <f t="shared" si="86"/>
        <v>0</v>
      </c>
      <c r="Z375" s="133"/>
      <c r="AA375" s="133"/>
      <c r="AB375" s="126"/>
      <c r="AC375" s="126">
        <f t="shared" si="87"/>
        <v>1</v>
      </c>
      <c r="AD375" s="126" t="str">
        <f t="shared" si="88"/>
        <v>Wrong</v>
      </c>
      <c r="AE375" s="133"/>
      <c r="AF375" s="120" t="str">
        <f>IFERROR(VLOOKUP(Table1[RespondentID],'All Data'!$A$3:$CO$999,87,FALSE),"unknown")</f>
        <v>Woman</v>
      </c>
      <c r="AG375" s="120">
        <f>IFERROR(VLOOKUP(Table1[RespondentID],'All Data'!$A$3:$CO$999,88,FALSE),"unknown")</f>
        <v>0</v>
      </c>
      <c r="AH375" s="120" t="str">
        <f>IFERROR(VLOOKUP(Table1[RespondentID],'All Data'!$A$3:$CO$999,89,FALSE),"unknown")</f>
        <v>Suffolk</v>
      </c>
      <c r="AI375" s="120" t="str">
        <f>IFERROR(VLOOKUP(Table1[RespondentID],'All Data'!$A$3:$CO$999,90,FALSE),"unknown")</f>
        <v>Babylon, 11702</v>
      </c>
      <c r="AJ375" s="120" t="str">
        <f>IFERROR(VLOOKUP(Table1[RespondentID],'All Data'!$A$3:$CO$999,91,FALSE),"unknown")</f>
        <v>White</v>
      </c>
      <c r="AK375" s="120" t="str">
        <f>IFERROR(VLOOKUP(Table1[RespondentID],'All Data'!$A$3:$CO$999,92,FALSE),"unknown")</f>
        <v>Not Hispanic or Latino</v>
      </c>
      <c r="AL375" s="120" t="str">
        <f>IFERROR(VLOOKUP(Table1[RespondentID],'All Data'!$A$3:$CO$999,93,FALSE),"unknown")</f>
        <v>English</v>
      </c>
      <c r="AM375" s="120" t="str">
        <f>IFERROR(VLOOKUP(Table1[RespondentID],'All Data'!$A$3:$CW$999,94,FALSE),"unknown")</f>
        <v>$75,000 to $125,000</v>
      </c>
      <c r="AN375" s="120" t="str">
        <f>IFERROR(VLOOKUP(Table1[RespondentID],'All Data'!$A$3:$CW$999,95,FALSE),"unknown")</f>
        <v>Some college</v>
      </c>
      <c r="AO375" s="120" t="str">
        <f>IFERROR(VLOOKUP(Table1[RespondentID],'All Data'!$A$3:$CW$999,96,FALSE),"unknown")</f>
        <v>Retired</v>
      </c>
      <c r="AP375" s="120" t="str">
        <f>IFERROR(VLOOKUP(Table1[RespondentID],'All Data'!$A$3:$CW$999,97,FALSE),"unknown")</f>
        <v>Yes</v>
      </c>
      <c r="AQ375" s="120" t="str">
        <f>IFERROR(VLOOKUP(Table1[RespondentID],'All Data'!$A$3:$CW$999,98,FALSE),"unknown")</f>
        <v>Medicare</v>
      </c>
      <c r="AR375" s="120" t="str">
        <f>IFERROR(VLOOKUP(Table1[RespondentID],'All Data'!$A$3:$CW$999,99,FALSE),"unknown")</f>
        <v>Yes</v>
      </c>
    </row>
    <row r="376" spans="1:44" ht="16">
      <c r="A376" s="133">
        <v>114096668073</v>
      </c>
      <c r="B376" s="134"/>
      <c r="C376" s="135"/>
      <c r="D376" s="135"/>
      <c r="E376" s="135"/>
      <c r="F376" s="135"/>
      <c r="G376" s="135" t="s">
        <v>34</v>
      </c>
      <c r="H376" s="135"/>
      <c r="I376" s="135"/>
      <c r="J376" s="135"/>
      <c r="K376" s="135"/>
      <c r="L376" s="133"/>
      <c r="M376" s="126">
        <f t="shared" si="75"/>
        <v>1</v>
      </c>
      <c r="N376" s="126">
        <f t="shared" si="76"/>
        <v>3</v>
      </c>
      <c r="O376" s="133"/>
      <c r="P376" s="126">
        <f t="shared" si="77"/>
        <v>0</v>
      </c>
      <c r="Q376" s="126">
        <f t="shared" si="78"/>
        <v>0</v>
      </c>
      <c r="R376" s="126">
        <f t="shared" si="79"/>
        <v>0</v>
      </c>
      <c r="S376" s="126">
        <f t="shared" si="80"/>
        <v>0</v>
      </c>
      <c r="T376" s="126">
        <f t="shared" si="81"/>
        <v>0</v>
      </c>
      <c r="U376" s="126">
        <f t="shared" si="82"/>
        <v>1</v>
      </c>
      <c r="V376" s="154">
        <f t="shared" si="83"/>
        <v>0</v>
      </c>
      <c r="W376" s="126">
        <f t="shared" si="84"/>
        <v>0</v>
      </c>
      <c r="X376" s="126">
        <f t="shared" si="85"/>
        <v>0</v>
      </c>
      <c r="Y376" s="126">
        <f t="shared" si="86"/>
        <v>0</v>
      </c>
      <c r="Z376" s="133"/>
      <c r="AA376" s="133"/>
      <c r="AB376" s="126"/>
      <c r="AC376" s="126">
        <f t="shared" si="87"/>
        <v>1</v>
      </c>
      <c r="AD376" s="126" t="str">
        <f t="shared" si="88"/>
        <v>Wrong</v>
      </c>
      <c r="AE376" s="133"/>
      <c r="AF376" s="120" t="str">
        <f>IFERROR(VLOOKUP(Table1[RespondentID],'All Data'!$A$3:$CO$999,87,FALSE),"unknown")</f>
        <v>Man</v>
      </c>
      <c r="AG376" s="120">
        <f>IFERROR(VLOOKUP(Table1[RespondentID],'All Data'!$A$3:$CO$999,88,FALSE),"unknown")</f>
        <v>0</v>
      </c>
      <c r="AH376" s="120" t="str">
        <f>IFERROR(VLOOKUP(Table1[RespondentID],'All Data'!$A$3:$CO$999,89,FALSE),"unknown")</f>
        <v>Suffolk</v>
      </c>
      <c r="AI376" s="120" t="str">
        <f>IFERROR(VLOOKUP(Table1[RespondentID],'All Data'!$A$3:$CO$999,90,FALSE),"unknown")</f>
        <v>Kings Park, 11754</v>
      </c>
      <c r="AJ376" s="120" t="str">
        <f>IFERROR(VLOOKUP(Table1[RespondentID],'All Data'!$A$3:$CO$999,91,FALSE),"unknown")</f>
        <v>White</v>
      </c>
      <c r="AK376" s="120" t="str">
        <f>IFERROR(VLOOKUP(Table1[RespondentID],'All Data'!$A$3:$CO$999,92,FALSE),"unknown")</f>
        <v>Not Hispanic or Latino</v>
      </c>
      <c r="AL376" s="120" t="str">
        <f>IFERROR(VLOOKUP(Table1[RespondentID],'All Data'!$A$3:$CO$999,93,FALSE),"unknown")</f>
        <v>English</v>
      </c>
      <c r="AM376" s="120" t="str">
        <f>IFERROR(VLOOKUP(Table1[RespondentID],'All Data'!$A$3:$CW$999,94,FALSE),"unknown")</f>
        <v>$75,000 to $125,000</v>
      </c>
      <c r="AN376" s="120" t="str">
        <f>IFERROR(VLOOKUP(Table1[RespondentID],'All Data'!$A$3:$CW$999,95,FALSE),"unknown")</f>
        <v>College graduate</v>
      </c>
      <c r="AO376" s="120" t="str">
        <f>IFERROR(VLOOKUP(Table1[RespondentID],'All Data'!$A$3:$CW$999,96,FALSE),"unknown")</f>
        <v>Retired</v>
      </c>
      <c r="AP376" s="120" t="str">
        <f>IFERROR(VLOOKUP(Table1[RespondentID],'All Data'!$A$3:$CW$999,97,FALSE),"unknown")</f>
        <v>Yes</v>
      </c>
      <c r="AQ376" s="120" t="str">
        <f>IFERROR(VLOOKUP(Table1[RespondentID],'All Data'!$A$3:$CW$999,98,FALSE),"unknown")</f>
        <v>Medicare,Private/Commercial</v>
      </c>
      <c r="AR376" s="120" t="str">
        <f>IFERROR(VLOOKUP(Table1[RespondentID],'All Data'!$A$3:$CW$999,99,FALSE),"unknown")</f>
        <v>Yes</v>
      </c>
    </row>
    <row r="377" spans="1:44" ht="16">
      <c r="A377" s="133">
        <v>114096661817</v>
      </c>
      <c r="B377" s="134"/>
      <c r="C377" s="135"/>
      <c r="D377" s="135"/>
      <c r="E377" s="135"/>
      <c r="F377" s="135"/>
      <c r="G377" s="135" t="s">
        <v>34</v>
      </c>
      <c r="H377" s="135"/>
      <c r="I377" s="135"/>
      <c r="J377" s="135"/>
      <c r="K377" s="135"/>
      <c r="L377" s="133"/>
      <c r="M377" s="126">
        <f t="shared" si="75"/>
        <v>1</v>
      </c>
      <c r="N377" s="126">
        <f t="shared" si="76"/>
        <v>3</v>
      </c>
      <c r="O377" s="133"/>
      <c r="P377" s="126">
        <f t="shared" si="77"/>
        <v>0</v>
      </c>
      <c r="Q377" s="126">
        <f t="shared" si="78"/>
        <v>0</v>
      </c>
      <c r="R377" s="126">
        <f t="shared" si="79"/>
        <v>0</v>
      </c>
      <c r="S377" s="126">
        <f t="shared" si="80"/>
        <v>0</v>
      </c>
      <c r="T377" s="126">
        <f t="shared" si="81"/>
        <v>0</v>
      </c>
      <c r="U377" s="126">
        <f t="shared" si="82"/>
        <v>1</v>
      </c>
      <c r="V377" s="154">
        <f t="shared" si="83"/>
        <v>0</v>
      </c>
      <c r="W377" s="126">
        <f t="shared" si="84"/>
        <v>0</v>
      </c>
      <c r="X377" s="126">
        <f t="shared" si="85"/>
        <v>0</v>
      </c>
      <c r="Y377" s="126">
        <f t="shared" si="86"/>
        <v>0</v>
      </c>
      <c r="Z377" s="133"/>
      <c r="AA377" s="133"/>
      <c r="AB377" s="126"/>
      <c r="AC377" s="126">
        <f t="shared" si="87"/>
        <v>1</v>
      </c>
      <c r="AD377" s="126" t="str">
        <f t="shared" si="88"/>
        <v>Wrong</v>
      </c>
      <c r="AE377" s="133"/>
      <c r="AF377" s="120" t="str">
        <f>IFERROR(VLOOKUP(Table1[RespondentID],'All Data'!$A$3:$CO$999,87,FALSE),"unknown")</f>
        <v>Woman</v>
      </c>
      <c r="AG377" s="120">
        <f>IFERROR(VLOOKUP(Table1[RespondentID],'All Data'!$A$3:$CO$999,88,FALSE),"unknown")</f>
        <v>0</v>
      </c>
      <c r="AH377" s="120" t="str">
        <f>IFERROR(VLOOKUP(Table1[RespondentID],'All Data'!$A$3:$CO$999,89,FALSE),"unknown")</f>
        <v>Suffolk</v>
      </c>
      <c r="AI377" s="120" t="str">
        <f>IFERROR(VLOOKUP(Table1[RespondentID],'All Data'!$A$3:$CO$999,90,FALSE),"unknown")</f>
        <v>West Islip, 11795</v>
      </c>
      <c r="AJ377" s="120" t="str">
        <f>IFERROR(VLOOKUP(Table1[RespondentID],'All Data'!$A$3:$CO$999,91,FALSE),"unknown")</f>
        <v>White</v>
      </c>
      <c r="AK377" s="120" t="str">
        <f>IFERROR(VLOOKUP(Table1[RespondentID],'All Data'!$A$3:$CO$999,92,FALSE),"unknown")</f>
        <v>Not Hispanic or Latino</v>
      </c>
      <c r="AL377" s="120" t="str">
        <f>IFERROR(VLOOKUP(Table1[RespondentID],'All Data'!$A$3:$CO$999,93,FALSE),"unknown")</f>
        <v>English</v>
      </c>
      <c r="AM377" s="120" t="str">
        <f>IFERROR(VLOOKUP(Table1[RespondentID],'All Data'!$A$3:$CW$999,94,FALSE),"unknown")</f>
        <v>$35,000 to $49,999</v>
      </c>
      <c r="AN377" s="120" t="str">
        <f>IFERROR(VLOOKUP(Table1[RespondentID],'All Data'!$A$3:$CW$999,95,FALSE),"unknown")</f>
        <v>High school graduate</v>
      </c>
      <c r="AO377" s="120" t="str">
        <f>IFERROR(VLOOKUP(Table1[RespondentID],'All Data'!$A$3:$CW$999,96,FALSE),"unknown")</f>
        <v>Retired</v>
      </c>
      <c r="AP377" s="120" t="str">
        <f>IFERROR(VLOOKUP(Table1[RespondentID],'All Data'!$A$3:$CW$999,97,FALSE),"unknown")</f>
        <v>Yes</v>
      </c>
      <c r="AQ377" s="120" t="str">
        <f>IFERROR(VLOOKUP(Table1[RespondentID],'All Data'!$A$3:$CW$999,98,FALSE),"unknown")</f>
        <v>Medicare</v>
      </c>
      <c r="AR377" s="120" t="str">
        <f>IFERROR(VLOOKUP(Table1[RespondentID],'All Data'!$A$3:$CW$999,99,FALSE),"unknown")</f>
        <v>Yes</v>
      </c>
    </row>
    <row r="378" spans="1:44" ht="16">
      <c r="A378" s="133">
        <v>114096658219</v>
      </c>
      <c r="B378" s="134"/>
      <c r="C378" s="135"/>
      <c r="D378" s="135"/>
      <c r="E378" s="135"/>
      <c r="F378" s="135"/>
      <c r="G378" s="135" t="s">
        <v>34</v>
      </c>
      <c r="H378" s="135"/>
      <c r="I378" s="135"/>
      <c r="J378" s="135"/>
      <c r="K378" s="135"/>
      <c r="L378" s="133"/>
      <c r="M378" s="126">
        <f t="shared" si="75"/>
        <v>1</v>
      </c>
      <c r="N378" s="126">
        <f t="shared" si="76"/>
        <v>3</v>
      </c>
      <c r="O378" s="133"/>
      <c r="P378" s="126">
        <f t="shared" si="77"/>
        <v>0</v>
      </c>
      <c r="Q378" s="126">
        <f t="shared" si="78"/>
        <v>0</v>
      </c>
      <c r="R378" s="126">
        <f t="shared" si="79"/>
        <v>0</v>
      </c>
      <c r="S378" s="126">
        <f t="shared" si="80"/>
        <v>0</v>
      </c>
      <c r="T378" s="126">
        <f t="shared" si="81"/>
        <v>0</v>
      </c>
      <c r="U378" s="126">
        <f t="shared" si="82"/>
        <v>1</v>
      </c>
      <c r="V378" s="154">
        <f t="shared" si="83"/>
        <v>0</v>
      </c>
      <c r="W378" s="126">
        <f t="shared" si="84"/>
        <v>0</v>
      </c>
      <c r="X378" s="126">
        <f t="shared" si="85"/>
        <v>0</v>
      </c>
      <c r="Y378" s="126">
        <f t="shared" si="86"/>
        <v>0</v>
      </c>
      <c r="Z378" s="133"/>
      <c r="AA378" s="133"/>
      <c r="AB378" s="126"/>
      <c r="AC378" s="126">
        <f t="shared" si="87"/>
        <v>1</v>
      </c>
      <c r="AD378" s="126" t="str">
        <f t="shared" si="88"/>
        <v>Wrong</v>
      </c>
      <c r="AE378" s="133"/>
      <c r="AF378" s="120" t="str">
        <f>IFERROR(VLOOKUP(Table1[RespondentID],'All Data'!$A$3:$CO$999,87,FALSE),"unknown")</f>
        <v>Woman</v>
      </c>
      <c r="AG378" s="120">
        <f>IFERROR(VLOOKUP(Table1[RespondentID],'All Data'!$A$3:$CO$999,88,FALSE),"unknown")</f>
        <v>0</v>
      </c>
      <c r="AH378" s="120" t="str">
        <f>IFERROR(VLOOKUP(Table1[RespondentID],'All Data'!$A$3:$CO$999,89,FALSE),"unknown")</f>
        <v>Suffolk</v>
      </c>
      <c r="AI378" s="120" t="str">
        <f>IFERROR(VLOOKUP(Table1[RespondentID],'All Data'!$A$3:$CO$999,90,FALSE),"unknown")</f>
        <v>Babylon, 11702</v>
      </c>
      <c r="AJ378" s="120" t="str">
        <f>IFERROR(VLOOKUP(Table1[RespondentID],'All Data'!$A$3:$CO$999,91,FALSE),"unknown")</f>
        <v>White</v>
      </c>
      <c r="AK378" s="120" t="str">
        <f>IFERROR(VLOOKUP(Table1[RespondentID],'All Data'!$A$3:$CO$999,92,FALSE),"unknown")</f>
        <v>Not Hispanic or Latino</v>
      </c>
      <c r="AL378" s="120" t="str">
        <f>IFERROR(VLOOKUP(Table1[RespondentID],'All Data'!$A$3:$CO$999,93,FALSE),"unknown")</f>
        <v>English</v>
      </c>
      <c r="AM378" s="120" t="str">
        <f>IFERROR(VLOOKUP(Table1[RespondentID],'All Data'!$A$3:$CW$999,94,FALSE),"unknown")</f>
        <v>$50,000 to $74,999</v>
      </c>
      <c r="AN378" s="120" t="str">
        <f>IFERROR(VLOOKUP(Table1[RespondentID],'All Data'!$A$3:$CW$999,95,FALSE),"unknown")</f>
        <v>College graduate</v>
      </c>
      <c r="AO378" s="120" t="str">
        <f>IFERROR(VLOOKUP(Table1[RespondentID],'All Data'!$A$3:$CW$999,96,FALSE),"unknown")</f>
        <v>Retired</v>
      </c>
      <c r="AP378" s="120" t="str">
        <f>IFERROR(VLOOKUP(Table1[RespondentID],'All Data'!$A$3:$CW$999,97,FALSE),"unknown")</f>
        <v>Yes</v>
      </c>
      <c r="AQ378" s="120" t="str">
        <f>IFERROR(VLOOKUP(Table1[RespondentID],'All Data'!$A$3:$CW$999,98,FALSE),"unknown")</f>
        <v>Medicare,Private/Commercial</v>
      </c>
      <c r="AR378" s="120" t="str">
        <f>IFERROR(VLOOKUP(Table1[RespondentID],'All Data'!$A$3:$CW$999,99,FALSE),"unknown")</f>
        <v>Yes</v>
      </c>
    </row>
    <row r="379" spans="1:44" ht="16">
      <c r="A379" s="133">
        <v>114089866335</v>
      </c>
      <c r="B379" s="134"/>
      <c r="C379" s="135"/>
      <c r="D379" s="135"/>
      <c r="E379" s="135"/>
      <c r="F379" s="135"/>
      <c r="G379" s="135"/>
      <c r="H379" s="135"/>
      <c r="I379" s="135"/>
      <c r="J379" s="135"/>
      <c r="K379" s="135"/>
      <c r="L379" s="133"/>
      <c r="M379" s="126">
        <f t="shared" si="75"/>
        <v>0</v>
      </c>
      <c r="N379" s="126" t="e">
        <f t="shared" si="76"/>
        <v>#DIV/0!</v>
      </c>
      <c r="O379" s="133"/>
      <c r="P379" s="126">
        <f t="shared" si="77"/>
        <v>0</v>
      </c>
      <c r="Q379" s="126">
        <f t="shared" si="78"/>
        <v>0</v>
      </c>
      <c r="R379" s="126">
        <f t="shared" si="79"/>
        <v>0</v>
      </c>
      <c r="S379" s="126">
        <f t="shared" si="80"/>
        <v>0</v>
      </c>
      <c r="T379" s="126">
        <f t="shared" si="81"/>
        <v>0</v>
      </c>
      <c r="U379" s="126">
        <f t="shared" si="82"/>
        <v>0</v>
      </c>
      <c r="V379" s="154">
        <f t="shared" si="83"/>
        <v>0</v>
      </c>
      <c r="W379" s="126">
        <f t="shared" si="84"/>
        <v>0</v>
      </c>
      <c r="X379" s="126">
        <f t="shared" si="85"/>
        <v>0</v>
      </c>
      <c r="Y379" s="126">
        <f t="shared" si="86"/>
        <v>0</v>
      </c>
      <c r="Z379" s="133"/>
      <c r="AA379" s="133"/>
      <c r="AB379" s="126"/>
      <c r="AC379" s="126">
        <f t="shared" si="87"/>
        <v>0</v>
      </c>
      <c r="AD379" s="126" t="str">
        <f t="shared" si="88"/>
        <v>Correct</v>
      </c>
      <c r="AE379" s="133"/>
      <c r="AF379" s="120" t="str">
        <f>IFERROR(VLOOKUP(Table1[RespondentID],'All Data'!$A$3:$CO$999,87,FALSE),"unknown")</f>
        <v>Woman</v>
      </c>
      <c r="AG379" s="120">
        <f>IFERROR(VLOOKUP(Table1[RespondentID],'All Data'!$A$3:$CO$999,88,FALSE),"unknown")</f>
        <v>0</v>
      </c>
      <c r="AH379" s="120" t="str">
        <f>IFERROR(VLOOKUP(Table1[RespondentID],'All Data'!$A$3:$CO$999,89,FALSE),"unknown")</f>
        <v>Nassau</v>
      </c>
      <c r="AI379" s="120" t="str">
        <f>IFERROR(VLOOKUP(Table1[RespondentID],'All Data'!$A$3:$CO$999,90,FALSE),"unknown")</f>
        <v>East Meadow, 11554</v>
      </c>
      <c r="AJ379" s="120" t="str">
        <f>IFERROR(VLOOKUP(Table1[RespondentID],'All Data'!$A$3:$CO$999,91,FALSE),"unknown")</f>
        <v>Other (please specify)</v>
      </c>
      <c r="AK379" s="120" t="str">
        <f>IFERROR(VLOOKUP(Table1[RespondentID],'All Data'!$A$3:$CO$999,92,FALSE),"unknown")</f>
        <v>Not Hispanic or Latino</v>
      </c>
      <c r="AL379" s="120" t="str">
        <f>IFERROR(VLOOKUP(Table1[RespondentID],'All Data'!$A$3:$CO$999,93,FALSE),"unknown")</f>
        <v>English</v>
      </c>
      <c r="AM379" s="120">
        <f>IFERROR(VLOOKUP(Table1[RespondentID],'All Data'!$A$3:$CW$999,94,FALSE),"unknown")</f>
        <v>0</v>
      </c>
      <c r="AN379" s="120" t="str">
        <f>IFERROR(VLOOKUP(Table1[RespondentID],'All Data'!$A$3:$CW$999,95,FALSE),"unknown")</f>
        <v>College graduate</v>
      </c>
      <c r="AO379" s="120" t="str">
        <f>IFERROR(VLOOKUP(Table1[RespondentID],'All Data'!$A$3:$CW$999,96,FALSE),"unknown")</f>
        <v>Employed for wages</v>
      </c>
      <c r="AP379" s="120" t="str">
        <f>IFERROR(VLOOKUP(Table1[RespondentID],'All Data'!$A$3:$CW$999,97,FALSE),"unknown")</f>
        <v>Yes</v>
      </c>
      <c r="AQ379" s="120" t="str">
        <f>IFERROR(VLOOKUP(Table1[RespondentID],'All Data'!$A$3:$CW$999,98,FALSE),"unknown")</f>
        <v>Private/Commercial</v>
      </c>
      <c r="AR379" s="120" t="str">
        <f>IFERROR(VLOOKUP(Table1[RespondentID],'All Data'!$A$3:$CW$999,99,FALSE),"unknown")</f>
        <v>Yes</v>
      </c>
    </row>
    <row r="380" spans="1:44" ht="16">
      <c r="A380" s="133">
        <v>114089496497</v>
      </c>
      <c r="B380" s="134"/>
      <c r="C380" s="135"/>
      <c r="D380" s="135"/>
      <c r="E380" s="135"/>
      <c r="F380" s="135"/>
      <c r="G380" s="135" t="s">
        <v>34</v>
      </c>
      <c r="H380" s="135"/>
      <c r="I380" s="135"/>
      <c r="J380" s="135"/>
      <c r="K380" s="135"/>
      <c r="L380" s="133"/>
      <c r="M380" s="126">
        <f t="shared" si="75"/>
        <v>1</v>
      </c>
      <c r="N380" s="126">
        <f t="shared" si="76"/>
        <v>3</v>
      </c>
      <c r="O380" s="133"/>
      <c r="P380" s="126">
        <f t="shared" si="77"/>
        <v>0</v>
      </c>
      <c r="Q380" s="126">
        <f t="shared" si="78"/>
        <v>0</v>
      </c>
      <c r="R380" s="126">
        <f t="shared" si="79"/>
        <v>0</v>
      </c>
      <c r="S380" s="126">
        <f t="shared" si="80"/>
        <v>0</v>
      </c>
      <c r="T380" s="126">
        <f t="shared" si="81"/>
        <v>0</v>
      </c>
      <c r="U380" s="126">
        <f t="shared" si="82"/>
        <v>1</v>
      </c>
      <c r="V380" s="154">
        <f t="shared" si="83"/>
        <v>0</v>
      </c>
      <c r="W380" s="126">
        <f t="shared" si="84"/>
        <v>0</v>
      </c>
      <c r="X380" s="126">
        <f t="shared" si="85"/>
        <v>0</v>
      </c>
      <c r="Y380" s="126">
        <f t="shared" si="86"/>
        <v>0</v>
      </c>
      <c r="Z380" s="133"/>
      <c r="AA380" s="133"/>
      <c r="AB380" s="126"/>
      <c r="AC380" s="126">
        <f t="shared" si="87"/>
        <v>1</v>
      </c>
      <c r="AD380" s="126" t="str">
        <f t="shared" si="88"/>
        <v>Wrong</v>
      </c>
      <c r="AE380" s="133"/>
      <c r="AF380" s="120" t="str">
        <f>IFERROR(VLOOKUP(Table1[RespondentID],'All Data'!$A$3:$CO$999,87,FALSE),"unknown")</f>
        <v>Woman</v>
      </c>
      <c r="AG380" s="120">
        <f>IFERROR(VLOOKUP(Table1[RespondentID],'All Data'!$A$3:$CO$999,88,FALSE),"unknown")</f>
        <v>0</v>
      </c>
      <c r="AH380" s="120" t="str">
        <f>IFERROR(VLOOKUP(Table1[RespondentID],'All Data'!$A$3:$CO$999,89,FALSE),"unknown")</f>
        <v>Suffolk</v>
      </c>
      <c r="AI380" s="120" t="str">
        <f>IFERROR(VLOOKUP(Table1[RespondentID],'All Data'!$A$3:$CO$999,90,FALSE),"unknown")</f>
        <v>Lindenhurst, 11757</v>
      </c>
      <c r="AJ380" s="120" t="str">
        <f>IFERROR(VLOOKUP(Table1[RespondentID],'All Data'!$A$3:$CO$999,91,FALSE),"unknown")</f>
        <v>White</v>
      </c>
      <c r="AK380" s="120" t="str">
        <f>IFERROR(VLOOKUP(Table1[RespondentID],'All Data'!$A$3:$CO$999,92,FALSE),"unknown")</f>
        <v>Not Hispanic or Latino</v>
      </c>
      <c r="AL380" s="120" t="str">
        <f>IFERROR(VLOOKUP(Table1[RespondentID],'All Data'!$A$3:$CO$999,93,FALSE),"unknown")</f>
        <v>English</v>
      </c>
      <c r="AM380" s="120" t="str">
        <f>IFERROR(VLOOKUP(Table1[RespondentID],'All Data'!$A$3:$CW$999,94,FALSE),"unknown")</f>
        <v>$50,000 to $74,999</v>
      </c>
      <c r="AN380" s="120" t="str">
        <f>IFERROR(VLOOKUP(Table1[RespondentID],'All Data'!$A$3:$CW$999,95,FALSE),"unknown")</f>
        <v>Some college</v>
      </c>
      <c r="AO380" s="120" t="str">
        <f>IFERROR(VLOOKUP(Table1[RespondentID],'All Data'!$A$3:$CW$999,96,FALSE),"unknown")</f>
        <v>Employed for wages</v>
      </c>
      <c r="AP380" s="120" t="str">
        <f>IFERROR(VLOOKUP(Table1[RespondentID],'All Data'!$A$3:$CW$999,97,FALSE),"unknown")</f>
        <v>Yes</v>
      </c>
      <c r="AQ380" s="120" t="str">
        <f>IFERROR(VLOOKUP(Table1[RespondentID],'All Data'!$A$3:$CW$999,98,FALSE),"unknown")</f>
        <v>Private/Commercial</v>
      </c>
      <c r="AR380" s="120" t="str">
        <f>IFERROR(VLOOKUP(Table1[RespondentID],'All Data'!$A$3:$CW$999,99,FALSE),"unknown")</f>
        <v>Yes</v>
      </c>
    </row>
    <row r="381" spans="1:44" ht="16">
      <c r="A381" s="133">
        <v>114089303117</v>
      </c>
      <c r="B381" s="134"/>
      <c r="C381" s="135"/>
      <c r="D381" s="135"/>
      <c r="E381" s="135"/>
      <c r="F381" s="135"/>
      <c r="G381" s="135" t="s">
        <v>34</v>
      </c>
      <c r="H381" s="135"/>
      <c r="I381" s="135"/>
      <c r="J381" s="135"/>
      <c r="K381" s="135"/>
      <c r="L381" s="133"/>
      <c r="M381" s="126">
        <f t="shared" si="75"/>
        <v>1</v>
      </c>
      <c r="N381" s="126">
        <f t="shared" si="76"/>
        <v>3</v>
      </c>
      <c r="O381" s="133"/>
      <c r="P381" s="126">
        <f t="shared" si="77"/>
        <v>0</v>
      </c>
      <c r="Q381" s="126">
        <f t="shared" si="78"/>
        <v>0</v>
      </c>
      <c r="R381" s="126">
        <f t="shared" si="79"/>
        <v>0</v>
      </c>
      <c r="S381" s="126">
        <f t="shared" si="80"/>
        <v>0</v>
      </c>
      <c r="T381" s="126">
        <f t="shared" si="81"/>
        <v>0</v>
      </c>
      <c r="U381" s="126">
        <f t="shared" si="82"/>
        <v>1</v>
      </c>
      <c r="V381" s="154">
        <f t="shared" si="83"/>
        <v>0</v>
      </c>
      <c r="W381" s="126">
        <f t="shared" si="84"/>
        <v>0</v>
      </c>
      <c r="X381" s="126">
        <f t="shared" si="85"/>
        <v>0</v>
      </c>
      <c r="Y381" s="126">
        <f t="shared" si="86"/>
        <v>0</v>
      </c>
      <c r="Z381" s="133"/>
      <c r="AA381" s="133"/>
      <c r="AB381" s="126"/>
      <c r="AC381" s="126">
        <f t="shared" si="87"/>
        <v>1</v>
      </c>
      <c r="AD381" s="126" t="str">
        <f t="shared" si="88"/>
        <v>Wrong</v>
      </c>
      <c r="AE381" s="133"/>
      <c r="AF381" s="120" t="str">
        <f>IFERROR(VLOOKUP(Table1[RespondentID],'All Data'!$A$3:$CO$999,87,FALSE),"unknown")</f>
        <v>Woman</v>
      </c>
      <c r="AG381" s="120">
        <f>IFERROR(VLOOKUP(Table1[RespondentID],'All Data'!$A$3:$CO$999,88,FALSE),"unknown")</f>
        <v>0</v>
      </c>
      <c r="AH381" s="120" t="str">
        <f>IFERROR(VLOOKUP(Table1[RespondentID],'All Data'!$A$3:$CO$999,89,FALSE),"unknown")</f>
        <v>Suffolk</v>
      </c>
      <c r="AI381" s="120" t="str">
        <f>IFERROR(VLOOKUP(Table1[RespondentID],'All Data'!$A$3:$CO$999,90,FALSE),"unknown")</f>
        <v>Lindenhurst, 11757</v>
      </c>
      <c r="AJ381" s="120" t="str">
        <f>IFERROR(VLOOKUP(Table1[RespondentID],'All Data'!$A$3:$CO$999,91,FALSE),"unknown")</f>
        <v>White</v>
      </c>
      <c r="AK381" s="120" t="str">
        <f>IFERROR(VLOOKUP(Table1[RespondentID],'All Data'!$A$3:$CO$999,92,FALSE),"unknown")</f>
        <v>Not Hispanic or Latino</v>
      </c>
      <c r="AL381" s="120" t="str">
        <f>IFERROR(VLOOKUP(Table1[RespondentID],'All Data'!$A$3:$CO$999,93,FALSE),"unknown")</f>
        <v>English</v>
      </c>
      <c r="AM381" s="120" t="str">
        <f>IFERROR(VLOOKUP(Table1[RespondentID],'All Data'!$A$3:$CW$999,94,FALSE),"unknown")</f>
        <v>$35,000 to $49,999</v>
      </c>
      <c r="AN381" s="120" t="str">
        <f>IFERROR(VLOOKUP(Table1[RespondentID],'All Data'!$A$3:$CW$999,95,FALSE),"unknown")</f>
        <v>Some college</v>
      </c>
      <c r="AO381" s="120" t="str">
        <f>IFERROR(VLOOKUP(Table1[RespondentID],'All Data'!$A$3:$CW$999,96,FALSE),"unknown")</f>
        <v>Out of work, but not currently looking</v>
      </c>
      <c r="AP381" s="120" t="str">
        <f>IFERROR(VLOOKUP(Table1[RespondentID],'All Data'!$A$3:$CW$999,97,FALSE),"unknown")</f>
        <v>Yes</v>
      </c>
      <c r="AQ381" s="120" t="str">
        <f>IFERROR(VLOOKUP(Table1[RespondentID],'All Data'!$A$3:$CW$999,98,FALSE),"unknown")</f>
        <v>Medicaid,</v>
      </c>
      <c r="AR381" s="120" t="str">
        <f>IFERROR(VLOOKUP(Table1[RespondentID],'All Data'!$A$3:$CW$999,99,FALSE),"unknown")</f>
        <v>Yes</v>
      </c>
    </row>
    <row r="382" spans="1:44" ht="16">
      <c r="A382" s="133">
        <v>114088122122</v>
      </c>
      <c r="B382" s="134"/>
      <c r="C382" s="135"/>
      <c r="D382" s="135"/>
      <c r="E382" s="135"/>
      <c r="F382" s="135"/>
      <c r="G382" s="135" t="s">
        <v>34</v>
      </c>
      <c r="H382" s="135"/>
      <c r="I382" s="135"/>
      <c r="J382" s="135"/>
      <c r="K382" s="135"/>
      <c r="L382" s="133"/>
      <c r="M382" s="126">
        <f t="shared" si="75"/>
        <v>1</v>
      </c>
      <c r="N382" s="126">
        <f t="shared" si="76"/>
        <v>3</v>
      </c>
      <c r="O382" s="133"/>
      <c r="P382" s="126">
        <f t="shared" si="77"/>
        <v>0</v>
      </c>
      <c r="Q382" s="126">
        <f t="shared" si="78"/>
        <v>0</v>
      </c>
      <c r="R382" s="126">
        <f t="shared" si="79"/>
        <v>0</v>
      </c>
      <c r="S382" s="126">
        <f t="shared" si="80"/>
        <v>0</v>
      </c>
      <c r="T382" s="126">
        <f t="shared" si="81"/>
        <v>0</v>
      </c>
      <c r="U382" s="126">
        <f t="shared" si="82"/>
        <v>1</v>
      </c>
      <c r="V382" s="154">
        <f t="shared" si="83"/>
        <v>0</v>
      </c>
      <c r="W382" s="126">
        <f t="shared" si="84"/>
        <v>0</v>
      </c>
      <c r="X382" s="126">
        <f t="shared" si="85"/>
        <v>0</v>
      </c>
      <c r="Y382" s="126">
        <f t="shared" si="86"/>
        <v>0</v>
      </c>
      <c r="Z382" s="133"/>
      <c r="AA382" s="133"/>
      <c r="AB382" s="126"/>
      <c r="AC382" s="126">
        <f t="shared" si="87"/>
        <v>1</v>
      </c>
      <c r="AD382" s="126" t="str">
        <f t="shared" si="88"/>
        <v>Wrong</v>
      </c>
      <c r="AE382" s="133"/>
      <c r="AF382" s="120" t="str">
        <f>IFERROR(VLOOKUP(Table1[RespondentID],'All Data'!$A$3:$CO$999,87,FALSE),"unknown")</f>
        <v>Woman</v>
      </c>
      <c r="AG382" s="120">
        <f>IFERROR(VLOOKUP(Table1[RespondentID],'All Data'!$A$3:$CO$999,88,FALSE),"unknown")</f>
        <v>0</v>
      </c>
      <c r="AH382" s="120" t="str">
        <f>IFERROR(VLOOKUP(Table1[RespondentID],'All Data'!$A$3:$CO$999,89,FALSE),"unknown")</f>
        <v>Suffolk</v>
      </c>
      <c r="AI382" s="120" t="str">
        <f>IFERROR(VLOOKUP(Table1[RespondentID],'All Data'!$A$3:$CO$999,90,FALSE),"unknown")</f>
        <v>Bohemia, 11716</v>
      </c>
      <c r="AJ382" s="120" t="str">
        <f>IFERROR(VLOOKUP(Table1[RespondentID],'All Data'!$A$3:$CO$999,91,FALSE),"unknown")</f>
        <v>White</v>
      </c>
      <c r="AK382" s="120" t="str">
        <f>IFERROR(VLOOKUP(Table1[RespondentID],'All Data'!$A$3:$CO$999,92,FALSE),"unknown")</f>
        <v>Not Hispanic or Latino</v>
      </c>
      <c r="AL382" s="120" t="str">
        <f>IFERROR(VLOOKUP(Table1[RespondentID],'All Data'!$A$3:$CO$999,93,FALSE),"unknown")</f>
        <v>English</v>
      </c>
      <c r="AM382" s="120" t="str">
        <f>IFERROR(VLOOKUP(Table1[RespondentID],'All Data'!$A$3:$CW$999,94,FALSE),"unknown")</f>
        <v>$75,000 to $125,000</v>
      </c>
      <c r="AN382" s="120" t="str">
        <f>IFERROR(VLOOKUP(Table1[RespondentID],'All Data'!$A$3:$CW$999,95,FALSE),"unknown")</f>
        <v>High school graduate</v>
      </c>
      <c r="AO382" s="120" t="str">
        <f>IFERROR(VLOOKUP(Table1[RespondentID],'All Data'!$A$3:$CW$999,96,FALSE),"unknown")</f>
        <v>Employed for wages</v>
      </c>
      <c r="AP382" s="120" t="str">
        <f>IFERROR(VLOOKUP(Table1[RespondentID],'All Data'!$A$3:$CW$999,97,FALSE),"unknown")</f>
        <v>No, but I did in the past</v>
      </c>
      <c r="AQ382" s="120" t="str">
        <f>IFERROR(VLOOKUP(Table1[RespondentID],'All Data'!$A$3:$CW$999,98,FALSE),"unknown")</f>
        <v>Private/Commercial</v>
      </c>
      <c r="AR382" s="120" t="str">
        <f>IFERROR(VLOOKUP(Table1[RespondentID],'All Data'!$A$3:$CW$999,99,FALSE),"unknown")</f>
        <v>Yes</v>
      </c>
    </row>
    <row r="383" spans="1:44" ht="16">
      <c r="A383" s="133">
        <v>114087722061</v>
      </c>
      <c r="B383" s="134"/>
      <c r="C383" s="135"/>
      <c r="D383" s="135"/>
      <c r="E383" s="135" t="s">
        <v>32</v>
      </c>
      <c r="F383" s="135"/>
      <c r="G383" s="135"/>
      <c r="H383" s="135"/>
      <c r="I383" s="135"/>
      <c r="J383" s="135"/>
      <c r="K383" s="135"/>
      <c r="L383" s="133"/>
      <c r="M383" s="126">
        <f t="shared" si="75"/>
        <v>1</v>
      </c>
      <c r="N383" s="126">
        <f t="shared" si="76"/>
        <v>3</v>
      </c>
      <c r="O383" s="133"/>
      <c r="P383" s="126">
        <f t="shared" si="77"/>
        <v>0</v>
      </c>
      <c r="Q383" s="126">
        <f t="shared" si="78"/>
        <v>0</v>
      </c>
      <c r="R383" s="126">
        <f t="shared" si="79"/>
        <v>0</v>
      </c>
      <c r="S383" s="126">
        <f t="shared" si="80"/>
        <v>1</v>
      </c>
      <c r="T383" s="126">
        <f t="shared" si="81"/>
        <v>0</v>
      </c>
      <c r="U383" s="126">
        <f t="shared" si="82"/>
        <v>0</v>
      </c>
      <c r="V383" s="154">
        <f t="shared" si="83"/>
        <v>0</v>
      </c>
      <c r="W383" s="126">
        <f t="shared" si="84"/>
        <v>0</v>
      </c>
      <c r="X383" s="126">
        <f t="shared" si="85"/>
        <v>0</v>
      </c>
      <c r="Y383" s="126">
        <f t="shared" si="86"/>
        <v>0</v>
      </c>
      <c r="Z383" s="133"/>
      <c r="AA383" s="133"/>
      <c r="AB383" s="126"/>
      <c r="AC383" s="126">
        <f t="shared" si="87"/>
        <v>1</v>
      </c>
      <c r="AD383" s="126" t="str">
        <f t="shared" si="88"/>
        <v>Wrong</v>
      </c>
      <c r="AE383" s="133"/>
      <c r="AF383" s="120" t="str">
        <f>IFERROR(VLOOKUP(Table1[RespondentID],'All Data'!$A$3:$CO$999,87,FALSE),"unknown")</f>
        <v>Woman</v>
      </c>
      <c r="AG383" s="120">
        <f>IFERROR(VLOOKUP(Table1[RespondentID],'All Data'!$A$3:$CO$999,88,FALSE),"unknown")</f>
        <v>0</v>
      </c>
      <c r="AH383" s="120" t="str">
        <f>IFERROR(VLOOKUP(Table1[RespondentID],'All Data'!$A$3:$CO$999,89,FALSE),"unknown")</f>
        <v>Nassau</v>
      </c>
      <c r="AI383" s="120" t="str">
        <f>IFERROR(VLOOKUP(Table1[RespondentID],'All Data'!$A$3:$CO$999,90,FALSE),"unknown")</f>
        <v>Valley Stream, 11580</v>
      </c>
      <c r="AJ383" s="120" t="str">
        <f>IFERROR(VLOOKUP(Table1[RespondentID],'All Data'!$A$3:$CO$999,91,FALSE),"unknown")</f>
        <v>Other (please specify)</v>
      </c>
      <c r="AK383" s="120" t="str">
        <f>IFERROR(VLOOKUP(Table1[RespondentID],'All Data'!$A$3:$CO$999,92,FALSE),"unknown")</f>
        <v>Unknown</v>
      </c>
      <c r="AL383" s="120" t="str">
        <f>IFERROR(VLOOKUP(Table1[RespondentID],'All Data'!$A$3:$CO$999,93,FALSE),"unknown")</f>
        <v>English</v>
      </c>
      <c r="AM383" s="120" t="str">
        <f>IFERROR(VLOOKUP(Table1[RespondentID],'All Data'!$A$3:$CW$999,94,FALSE),"unknown")</f>
        <v>$35,000 to $49,999</v>
      </c>
      <c r="AN383" s="120" t="str">
        <f>IFERROR(VLOOKUP(Table1[RespondentID],'All Data'!$A$3:$CW$999,95,FALSE),"unknown")</f>
        <v>Some college</v>
      </c>
      <c r="AO383" s="120" t="str">
        <f>IFERROR(VLOOKUP(Table1[RespondentID],'All Data'!$A$3:$CW$999,96,FALSE),"unknown")</f>
        <v>Employed for wages</v>
      </c>
      <c r="AP383" s="120" t="str">
        <f>IFERROR(VLOOKUP(Table1[RespondentID],'All Data'!$A$3:$CW$999,97,FALSE),"unknown")</f>
        <v>Yes</v>
      </c>
      <c r="AQ383" s="120" t="str">
        <f>IFERROR(VLOOKUP(Table1[RespondentID],'All Data'!$A$3:$CW$999,98,FALSE),"unknown")</f>
        <v>Private/Commercial</v>
      </c>
      <c r="AR383" s="120" t="str">
        <f>IFERROR(VLOOKUP(Table1[RespondentID],'All Data'!$A$3:$CW$999,99,FALSE),"unknown")</f>
        <v>Yes</v>
      </c>
    </row>
    <row r="384" spans="1:44" ht="16">
      <c r="A384" s="133">
        <v>114087334117</v>
      </c>
      <c r="B384" s="134"/>
      <c r="C384" s="135"/>
      <c r="D384" s="135"/>
      <c r="E384" s="135"/>
      <c r="F384" s="135"/>
      <c r="G384" s="135" t="s">
        <v>34</v>
      </c>
      <c r="H384" s="135"/>
      <c r="I384" s="135"/>
      <c r="J384" s="135"/>
      <c r="K384" s="135"/>
      <c r="L384" s="133"/>
      <c r="M384" s="126">
        <f t="shared" si="75"/>
        <v>1</v>
      </c>
      <c r="N384" s="126">
        <f t="shared" si="76"/>
        <v>3</v>
      </c>
      <c r="O384" s="133"/>
      <c r="P384" s="126">
        <f t="shared" si="77"/>
        <v>0</v>
      </c>
      <c r="Q384" s="126">
        <f t="shared" si="78"/>
        <v>0</v>
      </c>
      <c r="R384" s="126">
        <f t="shared" si="79"/>
        <v>0</v>
      </c>
      <c r="S384" s="126">
        <f t="shared" si="80"/>
        <v>0</v>
      </c>
      <c r="T384" s="126">
        <f t="shared" si="81"/>
        <v>0</v>
      </c>
      <c r="U384" s="126">
        <f t="shared" si="82"/>
        <v>1</v>
      </c>
      <c r="V384" s="154">
        <f t="shared" si="83"/>
        <v>0</v>
      </c>
      <c r="W384" s="126">
        <f t="shared" si="84"/>
        <v>0</v>
      </c>
      <c r="X384" s="126">
        <f t="shared" si="85"/>
        <v>0</v>
      </c>
      <c r="Y384" s="126">
        <f t="shared" si="86"/>
        <v>0</v>
      </c>
      <c r="Z384" s="133"/>
      <c r="AA384" s="133"/>
      <c r="AB384" s="126"/>
      <c r="AC384" s="126">
        <f t="shared" si="87"/>
        <v>1</v>
      </c>
      <c r="AD384" s="126" t="str">
        <f t="shared" si="88"/>
        <v>Wrong</v>
      </c>
      <c r="AE384" s="133"/>
      <c r="AF384" s="120" t="str">
        <f>IFERROR(VLOOKUP(Table1[RespondentID],'All Data'!$A$3:$CO$999,87,FALSE),"unknown")</f>
        <v>Woman</v>
      </c>
      <c r="AG384" s="120">
        <f>IFERROR(VLOOKUP(Table1[RespondentID],'All Data'!$A$3:$CO$999,88,FALSE),"unknown")</f>
        <v>0</v>
      </c>
      <c r="AH384" s="120" t="str">
        <f>IFERROR(VLOOKUP(Table1[RespondentID],'All Data'!$A$3:$CO$999,89,FALSE),"unknown")</f>
        <v>Nassau</v>
      </c>
      <c r="AI384" s="120" t="str">
        <f>IFERROR(VLOOKUP(Table1[RespondentID],'All Data'!$A$3:$CO$999,90,FALSE),"unknown")</f>
        <v>Freeport, 11520</v>
      </c>
      <c r="AJ384" s="120" t="str">
        <f>IFERROR(VLOOKUP(Table1[RespondentID],'All Data'!$A$3:$CO$999,91,FALSE),"unknown")</f>
        <v>White</v>
      </c>
      <c r="AK384" s="120" t="str">
        <f>IFERROR(VLOOKUP(Table1[RespondentID],'All Data'!$A$3:$CO$999,92,FALSE),"unknown")</f>
        <v>Not Hispanic or Latino</v>
      </c>
      <c r="AL384" s="120" t="str">
        <f>IFERROR(VLOOKUP(Table1[RespondentID],'All Data'!$A$3:$CO$999,93,FALSE),"unknown")</f>
        <v>English</v>
      </c>
      <c r="AM384" s="120" t="str">
        <f>IFERROR(VLOOKUP(Table1[RespondentID],'All Data'!$A$3:$CW$999,94,FALSE),"unknown")</f>
        <v>$75,000 to $125,000</v>
      </c>
      <c r="AN384" s="120" t="str">
        <f>IFERROR(VLOOKUP(Table1[RespondentID],'All Data'!$A$3:$CW$999,95,FALSE),"unknown")</f>
        <v>Graduate school</v>
      </c>
      <c r="AO384" s="120" t="str">
        <f>IFERROR(VLOOKUP(Table1[RespondentID],'All Data'!$A$3:$CW$999,96,FALSE),"unknown")</f>
        <v>Employed for wages</v>
      </c>
      <c r="AP384" s="120" t="str">
        <f>IFERROR(VLOOKUP(Table1[RespondentID],'All Data'!$A$3:$CW$999,97,FALSE),"unknown")</f>
        <v>Yes</v>
      </c>
      <c r="AQ384" s="120" t="str">
        <f>IFERROR(VLOOKUP(Table1[RespondentID],'All Data'!$A$3:$CW$999,98,FALSE),"unknown")</f>
        <v>Private/Commercial</v>
      </c>
      <c r="AR384" s="120" t="str">
        <f>IFERROR(VLOOKUP(Table1[RespondentID],'All Data'!$A$3:$CW$999,99,FALSE),"unknown")</f>
        <v>Yes</v>
      </c>
    </row>
    <row r="385" spans="1:44" ht="16">
      <c r="A385" s="133">
        <v>114087289322</v>
      </c>
      <c r="B385" s="134"/>
      <c r="C385" s="135"/>
      <c r="D385" s="135"/>
      <c r="E385" s="135"/>
      <c r="F385" s="135"/>
      <c r="G385" s="135" t="s">
        <v>34</v>
      </c>
      <c r="H385" s="135"/>
      <c r="I385" s="135"/>
      <c r="J385" s="135"/>
      <c r="K385" s="135"/>
      <c r="L385" s="133"/>
      <c r="M385" s="126">
        <f t="shared" si="75"/>
        <v>1</v>
      </c>
      <c r="N385" s="126">
        <f t="shared" si="76"/>
        <v>3</v>
      </c>
      <c r="O385" s="133"/>
      <c r="P385" s="126">
        <f t="shared" si="77"/>
        <v>0</v>
      </c>
      <c r="Q385" s="126">
        <f t="shared" si="78"/>
        <v>0</v>
      </c>
      <c r="R385" s="126">
        <f t="shared" si="79"/>
        <v>0</v>
      </c>
      <c r="S385" s="126">
        <f t="shared" si="80"/>
        <v>0</v>
      </c>
      <c r="T385" s="126">
        <f t="shared" si="81"/>
        <v>0</v>
      </c>
      <c r="U385" s="126">
        <f t="shared" si="82"/>
        <v>1</v>
      </c>
      <c r="V385" s="154">
        <f t="shared" si="83"/>
        <v>0</v>
      </c>
      <c r="W385" s="126">
        <f t="shared" si="84"/>
        <v>0</v>
      </c>
      <c r="X385" s="126">
        <f t="shared" si="85"/>
        <v>0</v>
      </c>
      <c r="Y385" s="126">
        <f t="shared" si="86"/>
        <v>0</v>
      </c>
      <c r="Z385" s="133"/>
      <c r="AA385" s="133"/>
      <c r="AB385" s="126"/>
      <c r="AC385" s="126">
        <f t="shared" si="87"/>
        <v>1</v>
      </c>
      <c r="AD385" s="126" t="str">
        <f t="shared" si="88"/>
        <v>Wrong</v>
      </c>
      <c r="AE385" s="133"/>
      <c r="AF385" s="120" t="str">
        <f>IFERROR(VLOOKUP(Table1[RespondentID],'All Data'!$A$3:$CO$999,87,FALSE),"unknown")</f>
        <v>Woman</v>
      </c>
      <c r="AG385" s="120">
        <f>IFERROR(VLOOKUP(Table1[RespondentID],'All Data'!$A$3:$CO$999,88,FALSE),"unknown")</f>
        <v>0</v>
      </c>
      <c r="AH385" s="120" t="str">
        <f>IFERROR(VLOOKUP(Table1[RespondentID],'All Data'!$A$3:$CO$999,89,FALSE),"unknown")</f>
        <v>Nassau</v>
      </c>
      <c r="AI385" s="120" t="str">
        <f>IFERROR(VLOOKUP(Table1[RespondentID],'All Data'!$A$3:$CO$999,90,FALSE),"unknown")</f>
        <v>Franklin Square, 11010</v>
      </c>
      <c r="AJ385" s="120" t="str">
        <f>IFERROR(VLOOKUP(Table1[RespondentID],'All Data'!$A$3:$CO$999,91,FALSE),"unknown")</f>
        <v>White</v>
      </c>
      <c r="AK385" s="120" t="str">
        <f>IFERROR(VLOOKUP(Table1[RespondentID],'All Data'!$A$3:$CO$999,92,FALSE),"unknown")</f>
        <v>Not Hispanic or Latino</v>
      </c>
      <c r="AL385" s="120" t="str">
        <f>IFERROR(VLOOKUP(Table1[RespondentID],'All Data'!$A$3:$CO$999,93,FALSE),"unknown")</f>
        <v>English</v>
      </c>
      <c r="AM385" s="120" t="str">
        <f>IFERROR(VLOOKUP(Table1[RespondentID],'All Data'!$A$3:$CW$999,94,FALSE),"unknown")</f>
        <v>Over $125,000</v>
      </c>
      <c r="AN385" s="120" t="str">
        <f>IFERROR(VLOOKUP(Table1[RespondentID],'All Data'!$A$3:$CW$999,95,FALSE),"unknown")</f>
        <v>College graduate</v>
      </c>
      <c r="AO385" s="120" t="str">
        <f>IFERROR(VLOOKUP(Table1[RespondentID],'All Data'!$A$3:$CW$999,96,FALSE),"unknown")</f>
        <v>Employed for wages</v>
      </c>
      <c r="AP385" s="120" t="str">
        <f>IFERROR(VLOOKUP(Table1[RespondentID],'All Data'!$A$3:$CW$999,97,FALSE),"unknown")</f>
        <v>Yes</v>
      </c>
      <c r="AQ385" s="120" t="str">
        <f>IFERROR(VLOOKUP(Table1[RespondentID],'All Data'!$A$3:$CW$999,98,FALSE),"unknown")</f>
        <v>Private/Commercial</v>
      </c>
      <c r="AR385" s="120" t="str">
        <f>IFERROR(VLOOKUP(Table1[RespondentID],'All Data'!$A$3:$CW$999,99,FALSE),"unknown")</f>
        <v>Yes</v>
      </c>
    </row>
    <row r="386" spans="1:44" ht="16">
      <c r="A386" s="133">
        <v>114087207731</v>
      </c>
      <c r="B386" s="134"/>
      <c r="C386" s="135"/>
      <c r="D386" s="135"/>
      <c r="E386" s="135"/>
      <c r="F386" s="135"/>
      <c r="G386" s="135" t="s">
        <v>34</v>
      </c>
      <c r="H386" s="135"/>
      <c r="I386" s="135"/>
      <c r="J386" s="135"/>
      <c r="K386" s="135"/>
      <c r="L386" s="133"/>
      <c r="M386" s="126">
        <f t="shared" ref="M386:M429" si="90">COUNTA(B386:L386)</f>
        <v>1</v>
      </c>
      <c r="N386" s="126">
        <f t="shared" ref="N386:N429" si="91">3/M386</f>
        <v>3</v>
      </c>
      <c r="O386" s="133"/>
      <c r="P386" s="126">
        <f t="shared" ref="P386:P429" si="92">IF($M386&lt;3,IF($B386=$B$1,1,0),IF($B386=$B$1,$N386,0))</f>
        <v>0</v>
      </c>
      <c r="Q386" s="126">
        <f t="shared" ref="Q386:Q429" si="93">IF($M386&lt;3,IF($C386=$C$1,1,0),IF($C386=$C$1,$N386,0))</f>
        <v>0</v>
      </c>
      <c r="R386" s="126">
        <f t="shared" ref="R386:R429" si="94">IF($M386&lt;3,IF($D386=$D$1,1,0),IF($D386=$D$1,$N386,0))</f>
        <v>0</v>
      </c>
      <c r="S386" s="126">
        <f t="shared" ref="S386:S429" si="95">IF($M386&lt;3,IF($E386=$E$1,1,0),IF($E386=$E$1,$N386,0))</f>
        <v>0</v>
      </c>
      <c r="T386" s="126">
        <f t="shared" ref="T386:T429" si="96">IF($M386&lt;3,IF($F386=$F$1,1,0),IF($F386=$F$1,$N386,0))</f>
        <v>0</v>
      </c>
      <c r="U386" s="126">
        <f t="shared" ref="U386:U429" si="97">IF($M386&lt;3,IF($G386=$G$1,1,0),IF($G386=$G$1,$N386,0))</f>
        <v>1</v>
      </c>
      <c r="V386" s="154">
        <f t="shared" ref="V386:V429" si="98">IF($M386&lt;3,IF($H386=$H$1,1,0),IF($H386=$H$1,$N386,0))</f>
        <v>0</v>
      </c>
      <c r="W386" s="126">
        <f t="shared" ref="W386:W429" si="99">IF($M386&lt;3,IF($I386=$I$1,1,0),IF($I386=$I$1,$N386,0))</f>
        <v>0</v>
      </c>
      <c r="X386" s="126">
        <f t="shared" ref="X386:X429" si="100">IF($M386&lt;3,IF($J386=$J$1,1,0),IF($J386=$J$1,$N386,0))</f>
        <v>0</v>
      </c>
      <c r="Y386" s="126">
        <f t="shared" ref="Y386:Y429" si="101">IF($M386&lt;3,IF($K386=$K$1,1,0),IF($K386=$K$1,$N386,0))</f>
        <v>0</v>
      </c>
      <c r="Z386" s="133"/>
      <c r="AA386" s="133"/>
      <c r="AB386" s="126"/>
      <c r="AC386" s="126">
        <f t="shared" ref="AC386:AC429" si="102">M386</f>
        <v>1</v>
      </c>
      <c r="AD386" s="126" t="str">
        <f t="shared" ref="AD386:AD429" si="103">IF(AB386=AC386,"Correct",IF(AB386=3,"Correct","Wrong"))</f>
        <v>Wrong</v>
      </c>
      <c r="AE386" s="133"/>
      <c r="AF386" s="120" t="str">
        <f>IFERROR(VLOOKUP(Table1[RespondentID],'All Data'!$A$3:$CO$999,87,FALSE),"unknown")</f>
        <v>Woman</v>
      </c>
      <c r="AG386" s="120">
        <f>IFERROR(VLOOKUP(Table1[RespondentID],'All Data'!$A$3:$CO$999,88,FALSE),"unknown")</f>
        <v>0</v>
      </c>
      <c r="AH386" s="120" t="str">
        <f>IFERROR(VLOOKUP(Table1[RespondentID],'All Data'!$A$3:$CO$999,89,FALSE),"unknown")</f>
        <v>Nassau</v>
      </c>
      <c r="AI386" s="120" t="str">
        <f>IFERROR(VLOOKUP(Table1[RespondentID],'All Data'!$A$3:$CO$999,90,FALSE),"unknown")</f>
        <v>Wantagh, 11793</v>
      </c>
      <c r="AJ386" s="120" t="str">
        <f>IFERROR(VLOOKUP(Table1[RespondentID],'All Data'!$A$3:$CO$999,91,FALSE),"unknown")</f>
        <v>White</v>
      </c>
      <c r="AK386" s="120" t="str">
        <f>IFERROR(VLOOKUP(Table1[RespondentID],'All Data'!$A$3:$CO$999,92,FALSE),"unknown")</f>
        <v>Not Hispanic or Latino</v>
      </c>
      <c r="AL386" s="120" t="str">
        <f>IFERROR(VLOOKUP(Table1[RespondentID],'All Data'!$A$3:$CO$999,93,FALSE),"unknown")</f>
        <v>English</v>
      </c>
      <c r="AM386" s="120" t="str">
        <f>IFERROR(VLOOKUP(Table1[RespondentID],'All Data'!$A$3:$CW$999,94,FALSE),"unknown")</f>
        <v>$75,000 to $125,000</v>
      </c>
      <c r="AN386" s="120" t="str">
        <f>IFERROR(VLOOKUP(Table1[RespondentID],'All Data'!$A$3:$CW$999,95,FALSE),"unknown")</f>
        <v>College graduate</v>
      </c>
      <c r="AO386" s="120" t="str">
        <f>IFERROR(VLOOKUP(Table1[RespondentID],'All Data'!$A$3:$CW$999,96,FALSE),"unknown")</f>
        <v>Employed for wages</v>
      </c>
      <c r="AP386" s="120" t="str">
        <f>IFERROR(VLOOKUP(Table1[RespondentID],'All Data'!$A$3:$CW$999,97,FALSE),"unknown")</f>
        <v>Yes</v>
      </c>
      <c r="AQ386" s="120" t="str">
        <f>IFERROR(VLOOKUP(Table1[RespondentID],'All Data'!$A$3:$CW$999,98,FALSE),"unknown")</f>
        <v>Private/Commercial</v>
      </c>
      <c r="AR386" s="120" t="str">
        <f>IFERROR(VLOOKUP(Table1[RespondentID],'All Data'!$A$3:$CW$999,99,FALSE),"unknown")</f>
        <v>Yes</v>
      </c>
    </row>
    <row r="387" spans="1:44" ht="16">
      <c r="A387" s="133">
        <v>114086765018</v>
      </c>
      <c r="B387" s="134"/>
      <c r="C387" s="135"/>
      <c r="D387" s="135"/>
      <c r="E387" s="135"/>
      <c r="F387" s="135"/>
      <c r="G387" s="135" t="s">
        <v>34</v>
      </c>
      <c r="H387" s="135"/>
      <c r="I387" s="135"/>
      <c r="J387" s="135"/>
      <c r="K387" s="135"/>
      <c r="L387" s="133"/>
      <c r="M387" s="126">
        <f t="shared" si="90"/>
        <v>1</v>
      </c>
      <c r="N387" s="126">
        <f t="shared" si="91"/>
        <v>3</v>
      </c>
      <c r="O387" s="133"/>
      <c r="P387" s="126">
        <f t="shared" si="92"/>
        <v>0</v>
      </c>
      <c r="Q387" s="126">
        <f t="shared" si="93"/>
        <v>0</v>
      </c>
      <c r="R387" s="126">
        <f t="shared" si="94"/>
        <v>0</v>
      </c>
      <c r="S387" s="126">
        <f t="shared" si="95"/>
        <v>0</v>
      </c>
      <c r="T387" s="126">
        <f t="shared" si="96"/>
        <v>0</v>
      </c>
      <c r="U387" s="126">
        <f t="shared" si="97"/>
        <v>1</v>
      </c>
      <c r="V387" s="154">
        <f t="shared" si="98"/>
        <v>0</v>
      </c>
      <c r="W387" s="126">
        <f t="shared" si="99"/>
        <v>0</v>
      </c>
      <c r="X387" s="126">
        <f t="shared" si="100"/>
        <v>0</v>
      </c>
      <c r="Y387" s="126">
        <f t="shared" si="101"/>
        <v>0</v>
      </c>
      <c r="Z387" s="133"/>
      <c r="AA387" s="133"/>
      <c r="AB387" s="126"/>
      <c r="AC387" s="126">
        <f t="shared" si="102"/>
        <v>1</v>
      </c>
      <c r="AD387" s="126" t="str">
        <f t="shared" si="103"/>
        <v>Wrong</v>
      </c>
      <c r="AE387" s="133"/>
      <c r="AF387" s="120" t="str">
        <f>IFERROR(VLOOKUP(Table1[RespondentID],'All Data'!$A$3:$CO$999,87,FALSE),"unknown")</f>
        <v>Man</v>
      </c>
      <c r="AG387" s="120">
        <f>IFERROR(VLOOKUP(Table1[RespondentID],'All Data'!$A$3:$CO$999,88,FALSE),"unknown")</f>
        <v>0</v>
      </c>
      <c r="AH387" s="120" t="str">
        <f>IFERROR(VLOOKUP(Table1[RespondentID],'All Data'!$A$3:$CO$999,89,FALSE),"unknown")</f>
        <v>Suffolk</v>
      </c>
      <c r="AI387" s="120" t="str">
        <f>IFERROR(VLOOKUP(Table1[RespondentID],'All Data'!$A$3:$CO$999,90,FALSE),"unknown")</f>
        <v>West Islip, 11795</v>
      </c>
      <c r="AJ387" s="120" t="str">
        <f>IFERROR(VLOOKUP(Table1[RespondentID],'All Data'!$A$3:$CO$999,91,FALSE),"unknown")</f>
        <v>White</v>
      </c>
      <c r="AK387" s="120" t="str">
        <f>IFERROR(VLOOKUP(Table1[RespondentID],'All Data'!$A$3:$CO$999,92,FALSE),"unknown")</f>
        <v>Not Hispanic or Latino</v>
      </c>
      <c r="AL387" s="120" t="str">
        <f>IFERROR(VLOOKUP(Table1[RespondentID],'All Data'!$A$3:$CO$999,93,FALSE),"unknown")</f>
        <v>English</v>
      </c>
      <c r="AM387" s="120" t="str">
        <f>IFERROR(VLOOKUP(Table1[RespondentID],'All Data'!$A$3:$CW$999,94,FALSE),"unknown")</f>
        <v>Over $125,000</v>
      </c>
      <c r="AN387" s="120" t="str">
        <f>IFERROR(VLOOKUP(Table1[RespondentID],'All Data'!$A$3:$CW$999,95,FALSE),"unknown")</f>
        <v>College graduate</v>
      </c>
      <c r="AO387" s="120" t="str">
        <f>IFERROR(VLOOKUP(Table1[RespondentID],'All Data'!$A$3:$CW$999,96,FALSE),"unknown")</f>
        <v>Employed for wages</v>
      </c>
      <c r="AP387" s="120" t="str">
        <f>IFERROR(VLOOKUP(Table1[RespondentID],'All Data'!$A$3:$CW$999,97,FALSE),"unknown")</f>
        <v>Yes</v>
      </c>
      <c r="AQ387" s="120" t="str">
        <f>IFERROR(VLOOKUP(Table1[RespondentID],'All Data'!$A$3:$CW$999,98,FALSE),"unknown")</f>
        <v>Private/Commercial</v>
      </c>
      <c r="AR387" s="120" t="str">
        <f>IFERROR(VLOOKUP(Table1[RespondentID],'All Data'!$A$3:$CW$999,99,FALSE),"unknown")</f>
        <v>Yes</v>
      </c>
    </row>
    <row r="388" spans="1:44" ht="16">
      <c r="A388" s="133">
        <v>114086729438</v>
      </c>
      <c r="B388" s="134"/>
      <c r="C388" s="135"/>
      <c r="D388" s="135"/>
      <c r="E388" s="135" t="s">
        <v>32</v>
      </c>
      <c r="F388" s="135"/>
      <c r="G388" s="135"/>
      <c r="H388" s="135"/>
      <c r="I388" s="135"/>
      <c r="J388" s="135"/>
      <c r="K388" s="135"/>
      <c r="L388" s="133"/>
      <c r="M388" s="126">
        <f t="shared" si="90"/>
        <v>1</v>
      </c>
      <c r="N388" s="126">
        <f t="shared" si="91"/>
        <v>3</v>
      </c>
      <c r="O388" s="133"/>
      <c r="P388" s="126">
        <f t="shared" si="92"/>
        <v>0</v>
      </c>
      <c r="Q388" s="126">
        <f t="shared" si="93"/>
        <v>0</v>
      </c>
      <c r="R388" s="126">
        <f t="shared" si="94"/>
        <v>0</v>
      </c>
      <c r="S388" s="126">
        <f t="shared" si="95"/>
        <v>1</v>
      </c>
      <c r="T388" s="126">
        <f t="shared" si="96"/>
        <v>0</v>
      </c>
      <c r="U388" s="126">
        <f t="shared" si="97"/>
        <v>0</v>
      </c>
      <c r="V388" s="154">
        <f t="shared" si="98"/>
        <v>0</v>
      </c>
      <c r="W388" s="126">
        <f t="shared" si="99"/>
        <v>0</v>
      </c>
      <c r="X388" s="126">
        <f t="shared" si="100"/>
        <v>0</v>
      </c>
      <c r="Y388" s="126">
        <f t="shared" si="101"/>
        <v>0</v>
      </c>
      <c r="Z388" s="133"/>
      <c r="AA388" s="133"/>
      <c r="AB388" s="126"/>
      <c r="AC388" s="126">
        <f t="shared" si="102"/>
        <v>1</v>
      </c>
      <c r="AD388" s="126" t="str">
        <f t="shared" si="103"/>
        <v>Wrong</v>
      </c>
      <c r="AE388" s="133"/>
      <c r="AF388" s="120" t="str">
        <f>IFERROR(VLOOKUP(Table1[RespondentID],'All Data'!$A$3:$CO$999,87,FALSE),"unknown")</f>
        <v>Woman</v>
      </c>
      <c r="AG388" s="120">
        <f>IFERROR(VLOOKUP(Table1[RespondentID],'All Data'!$A$3:$CO$999,88,FALSE),"unknown")</f>
        <v>0</v>
      </c>
      <c r="AH388" s="120" t="str">
        <f>IFERROR(VLOOKUP(Table1[RespondentID],'All Data'!$A$3:$CO$999,89,FALSE),"unknown")</f>
        <v>Nassau</v>
      </c>
      <c r="AI388" s="120" t="str">
        <f>IFERROR(VLOOKUP(Table1[RespondentID],'All Data'!$A$3:$CO$999,90,FALSE),"unknown")</f>
        <v>Roslyn, 11576</v>
      </c>
      <c r="AJ388" s="120" t="str">
        <f>IFERROR(VLOOKUP(Table1[RespondentID],'All Data'!$A$3:$CO$999,91,FALSE),"unknown")</f>
        <v>White</v>
      </c>
      <c r="AK388" s="120" t="str">
        <f>IFERROR(VLOOKUP(Table1[RespondentID],'All Data'!$A$3:$CO$999,92,FALSE),"unknown")</f>
        <v>Not Hispanic or Latino</v>
      </c>
      <c r="AL388" s="120">
        <f>IFERROR(VLOOKUP(Table1[RespondentID],'All Data'!$A$3:$CO$999,93,FALSE),"unknown")</f>
        <v>0</v>
      </c>
      <c r="AM388" s="120" t="str">
        <f>IFERROR(VLOOKUP(Table1[RespondentID],'All Data'!$A$3:$CW$999,94,FALSE),"unknown")</f>
        <v>$75,000 to $125,000</v>
      </c>
      <c r="AN388" s="120" t="str">
        <f>IFERROR(VLOOKUP(Table1[RespondentID],'All Data'!$A$3:$CW$999,95,FALSE),"unknown")</f>
        <v>College graduate</v>
      </c>
      <c r="AO388" s="120" t="str">
        <f>IFERROR(VLOOKUP(Table1[RespondentID],'All Data'!$A$3:$CW$999,96,FALSE),"unknown")</f>
        <v>Employed for wages</v>
      </c>
      <c r="AP388" s="120" t="str">
        <f>IFERROR(VLOOKUP(Table1[RespondentID],'All Data'!$A$3:$CW$999,97,FALSE),"unknown")</f>
        <v>Yes</v>
      </c>
      <c r="AQ388" s="120" t="str">
        <f>IFERROR(VLOOKUP(Table1[RespondentID],'All Data'!$A$3:$CW$999,98,FALSE),"unknown")</f>
        <v>Private/Commercial</v>
      </c>
      <c r="AR388" s="120" t="str">
        <f>IFERROR(VLOOKUP(Table1[RespondentID],'All Data'!$A$3:$CW$999,99,FALSE),"unknown")</f>
        <v>Yes</v>
      </c>
    </row>
    <row r="389" spans="1:44" ht="16">
      <c r="A389" s="133">
        <v>114086716435</v>
      </c>
      <c r="B389" s="134"/>
      <c r="C389" s="135" t="s">
        <v>30</v>
      </c>
      <c r="D389" s="135"/>
      <c r="E389" s="135"/>
      <c r="F389" s="135"/>
      <c r="G389" s="135"/>
      <c r="H389" s="135"/>
      <c r="I389" s="135"/>
      <c r="J389" s="135" t="s">
        <v>37</v>
      </c>
      <c r="K389" s="135"/>
      <c r="L389" s="133"/>
      <c r="M389" s="126">
        <f t="shared" si="90"/>
        <v>2</v>
      </c>
      <c r="N389" s="126">
        <f t="shared" si="91"/>
        <v>1.5</v>
      </c>
      <c r="O389" s="133"/>
      <c r="P389" s="126">
        <f t="shared" si="92"/>
        <v>0</v>
      </c>
      <c r="Q389" s="126">
        <f t="shared" si="93"/>
        <v>1</v>
      </c>
      <c r="R389" s="126">
        <f t="shared" si="94"/>
        <v>0</v>
      </c>
      <c r="S389" s="126">
        <f t="shared" si="95"/>
        <v>0</v>
      </c>
      <c r="T389" s="126">
        <f t="shared" si="96"/>
        <v>0</v>
      </c>
      <c r="U389" s="126">
        <f t="shared" si="97"/>
        <v>0</v>
      </c>
      <c r="V389" s="154">
        <f t="shared" si="98"/>
        <v>0</v>
      </c>
      <c r="W389" s="126">
        <f t="shared" si="99"/>
        <v>0</v>
      </c>
      <c r="X389" s="126">
        <f t="shared" si="100"/>
        <v>1</v>
      </c>
      <c r="Y389" s="126">
        <f t="shared" si="101"/>
        <v>0</v>
      </c>
      <c r="Z389" s="133"/>
      <c r="AA389" s="133"/>
      <c r="AB389" s="126"/>
      <c r="AC389" s="126">
        <f t="shared" si="102"/>
        <v>2</v>
      </c>
      <c r="AD389" s="126" t="str">
        <f t="shared" si="103"/>
        <v>Wrong</v>
      </c>
      <c r="AE389" s="133"/>
      <c r="AF389" s="120" t="str">
        <f>IFERROR(VLOOKUP(Table1[RespondentID],'All Data'!$A$3:$CO$999,87,FALSE),"unknown")</f>
        <v>Woman</v>
      </c>
      <c r="AG389" s="120">
        <f>IFERROR(VLOOKUP(Table1[RespondentID],'All Data'!$A$3:$CO$999,88,FALSE),"unknown")</f>
        <v>0</v>
      </c>
      <c r="AH389" s="120" t="str">
        <f>IFERROR(VLOOKUP(Table1[RespondentID],'All Data'!$A$3:$CO$999,89,FALSE),"unknown")</f>
        <v>Nassau</v>
      </c>
      <c r="AI389" s="120" t="str">
        <f>IFERROR(VLOOKUP(Table1[RespondentID],'All Data'!$A$3:$CO$999,90,FALSE),"unknown")</f>
        <v>North New Hyde Park, 11040</v>
      </c>
      <c r="AJ389" s="120" t="str">
        <f>IFERROR(VLOOKUP(Table1[RespondentID],'All Data'!$A$3:$CO$999,91,FALSE),"unknown")</f>
        <v>Asian</v>
      </c>
      <c r="AK389" s="120" t="str">
        <f>IFERROR(VLOOKUP(Table1[RespondentID],'All Data'!$A$3:$CO$999,92,FALSE),"unknown")</f>
        <v>Not Hispanic or Latino</v>
      </c>
      <c r="AL389" s="120" t="str">
        <f>IFERROR(VLOOKUP(Table1[RespondentID],'All Data'!$A$3:$CO$999,93,FALSE),"unknown")</f>
        <v>English</v>
      </c>
      <c r="AM389" s="120" t="str">
        <f>IFERROR(VLOOKUP(Table1[RespondentID],'All Data'!$A$3:$CW$999,94,FALSE),"unknown")</f>
        <v>$50,000 to $74,999</v>
      </c>
      <c r="AN389" s="120" t="str">
        <f>IFERROR(VLOOKUP(Table1[RespondentID],'All Data'!$A$3:$CW$999,95,FALSE),"unknown")</f>
        <v>College graduate</v>
      </c>
      <c r="AO389" s="120" t="str">
        <f>IFERROR(VLOOKUP(Table1[RespondentID],'All Data'!$A$3:$CW$999,96,FALSE),"unknown")</f>
        <v>Employed for wages</v>
      </c>
      <c r="AP389" s="120" t="str">
        <f>IFERROR(VLOOKUP(Table1[RespondentID],'All Data'!$A$3:$CW$999,97,FALSE),"unknown")</f>
        <v>Yes</v>
      </c>
      <c r="AQ389" s="120" t="str">
        <f>IFERROR(VLOOKUP(Table1[RespondentID],'All Data'!$A$3:$CW$999,98,FALSE),"unknown")</f>
        <v>Private/Commercial</v>
      </c>
      <c r="AR389" s="120" t="str">
        <f>IFERROR(VLOOKUP(Table1[RespondentID],'All Data'!$A$3:$CW$999,99,FALSE),"unknown")</f>
        <v>Yes</v>
      </c>
    </row>
    <row r="390" spans="1:44" ht="16">
      <c r="A390" s="133">
        <v>114086712665</v>
      </c>
      <c r="B390" s="134"/>
      <c r="C390" s="135" t="s">
        <v>30</v>
      </c>
      <c r="D390" s="135"/>
      <c r="E390" s="135"/>
      <c r="F390" s="135"/>
      <c r="G390" s="135"/>
      <c r="H390" s="135"/>
      <c r="I390" s="135"/>
      <c r="J390" s="135"/>
      <c r="K390" s="135"/>
      <c r="L390" s="133"/>
      <c r="M390" s="126">
        <f t="shared" si="90"/>
        <v>1</v>
      </c>
      <c r="N390" s="126">
        <f t="shared" si="91"/>
        <v>3</v>
      </c>
      <c r="O390" s="133"/>
      <c r="P390" s="126">
        <f t="shared" si="92"/>
        <v>0</v>
      </c>
      <c r="Q390" s="126">
        <f t="shared" si="93"/>
        <v>1</v>
      </c>
      <c r="R390" s="126">
        <f t="shared" si="94"/>
        <v>0</v>
      </c>
      <c r="S390" s="126">
        <f t="shared" si="95"/>
        <v>0</v>
      </c>
      <c r="T390" s="126">
        <f t="shared" si="96"/>
        <v>0</v>
      </c>
      <c r="U390" s="126">
        <f t="shared" si="97"/>
        <v>0</v>
      </c>
      <c r="V390" s="154">
        <f t="shared" si="98"/>
        <v>0</v>
      </c>
      <c r="W390" s="126">
        <f t="shared" si="99"/>
        <v>0</v>
      </c>
      <c r="X390" s="126">
        <f t="shared" si="100"/>
        <v>0</v>
      </c>
      <c r="Y390" s="126">
        <f t="shared" si="101"/>
        <v>0</v>
      </c>
      <c r="Z390" s="133"/>
      <c r="AA390" s="133"/>
      <c r="AB390" s="126"/>
      <c r="AC390" s="126">
        <f t="shared" si="102"/>
        <v>1</v>
      </c>
      <c r="AD390" s="126" t="str">
        <f t="shared" si="103"/>
        <v>Wrong</v>
      </c>
      <c r="AE390" s="133"/>
      <c r="AF390" s="120" t="str">
        <f>IFERROR(VLOOKUP(Table1[RespondentID],'All Data'!$A$3:$CO$999,87,FALSE),"unknown")</f>
        <v>Woman</v>
      </c>
      <c r="AG390" s="120">
        <f>IFERROR(VLOOKUP(Table1[RespondentID],'All Data'!$A$3:$CO$999,88,FALSE),"unknown")</f>
        <v>0</v>
      </c>
      <c r="AH390" s="120">
        <f>IFERROR(VLOOKUP(Table1[RespondentID],'All Data'!$A$3:$CO$999,89,FALSE),"unknown")</f>
        <v>0</v>
      </c>
      <c r="AI390" s="120" t="str">
        <f>IFERROR(VLOOKUP(Table1[RespondentID],'All Data'!$A$3:$CO$999,90,FALSE),"unknown")</f>
        <v>Levittown, 11756</v>
      </c>
      <c r="AJ390" s="120" t="str">
        <f>IFERROR(VLOOKUP(Table1[RespondentID],'All Data'!$A$3:$CO$999,91,FALSE),"unknown")</f>
        <v>Two or more races</v>
      </c>
      <c r="AK390" s="120" t="str">
        <f>IFERROR(VLOOKUP(Table1[RespondentID],'All Data'!$A$3:$CO$999,92,FALSE),"unknown")</f>
        <v>Not Hispanic or Latino</v>
      </c>
      <c r="AL390" s="120">
        <f>IFERROR(VLOOKUP(Table1[RespondentID],'All Data'!$A$3:$CO$999,93,FALSE),"unknown")</f>
        <v>0</v>
      </c>
      <c r="AM390" s="120" t="str">
        <f>IFERROR(VLOOKUP(Table1[RespondentID],'All Data'!$A$3:$CW$999,94,FALSE),"unknown")</f>
        <v>$75,000 to $125,000</v>
      </c>
      <c r="AN390" s="120" t="str">
        <f>IFERROR(VLOOKUP(Table1[RespondentID],'All Data'!$A$3:$CW$999,95,FALSE),"unknown")</f>
        <v>College graduate</v>
      </c>
      <c r="AO390" s="120" t="str">
        <f>IFERROR(VLOOKUP(Table1[RespondentID],'All Data'!$A$3:$CW$999,96,FALSE),"unknown")</f>
        <v>Employed for wages</v>
      </c>
      <c r="AP390" s="120" t="str">
        <f>IFERROR(VLOOKUP(Table1[RespondentID],'All Data'!$A$3:$CW$999,97,FALSE),"unknown")</f>
        <v>Yes</v>
      </c>
      <c r="AQ390" s="120" t="str">
        <f>IFERROR(VLOOKUP(Table1[RespondentID],'All Data'!$A$3:$CW$999,98,FALSE),"unknown")</f>
        <v>Private/Commercial</v>
      </c>
      <c r="AR390" s="120" t="str">
        <f>IFERROR(VLOOKUP(Table1[RespondentID],'All Data'!$A$3:$CW$999,99,FALSE),"unknown")</f>
        <v>Yes</v>
      </c>
    </row>
    <row r="391" spans="1:44" ht="16">
      <c r="A391" s="133">
        <v>114086703421</v>
      </c>
      <c r="B391" s="134"/>
      <c r="C391" s="135"/>
      <c r="D391" s="135"/>
      <c r="E391" s="135"/>
      <c r="F391" s="135"/>
      <c r="G391" s="135"/>
      <c r="H391" s="135"/>
      <c r="I391" s="135"/>
      <c r="J391" s="135"/>
      <c r="K391" s="135" t="s">
        <v>375</v>
      </c>
      <c r="L391" s="133"/>
      <c r="M391" s="126">
        <f t="shared" si="90"/>
        <v>1</v>
      </c>
      <c r="N391" s="126">
        <f t="shared" si="91"/>
        <v>3</v>
      </c>
      <c r="O391" s="133"/>
      <c r="P391" s="126">
        <f t="shared" si="92"/>
        <v>0</v>
      </c>
      <c r="Q391" s="126">
        <f t="shared" si="93"/>
        <v>0</v>
      </c>
      <c r="R391" s="126">
        <f t="shared" si="94"/>
        <v>0</v>
      </c>
      <c r="S391" s="126">
        <f t="shared" si="95"/>
        <v>0</v>
      </c>
      <c r="T391" s="126">
        <f t="shared" si="96"/>
        <v>0</v>
      </c>
      <c r="U391" s="126">
        <f t="shared" si="97"/>
        <v>0</v>
      </c>
      <c r="V391" s="154">
        <f t="shared" si="98"/>
        <v>0</v>
      </c>
      <c r="W391" s="126">
        <f t="shared" si="99"/>
        <v>0</v>
      </c>
      <c r="X391" s="126">
        <f t="shared" si="100"/>
        <v>0</v>
      </c>
      <c r="Y391" s="126">
        <f t="shared" si="101"/>
        <v>1</v>
      </c>
      <c r="Z391" s="133"/>
      <c r="AA391" s="133"/>
      <c r="AB391" s="126"/>
      <c r="AC391" s="126">
        <f t="shared" si="102"/>
        <v>1</v>
      </c>
      <c r="AD391" s="126" t="str">
        <f t="shared" si="103"/>
        <v>Wrong</v>
      </c>
      <c r="AE391" s="133"/>
      <c r="AF391" s="120" t="str">
        <f>IFERROR(VLOOKUP(Table1[RespondentID],'All Data'!$A$3:$CO$999,87,FALSE),"unknown")</f>
        <v>Woman</v>
      </c>
      <c r="AG391" s="120">
        <f>IFERROR(VLOOKUP(Table1[RespondentID],'All Data'!$A$3:$CO$999,88,FALSE),"unknown")</f>
        <v>0</v>
      </c>
      <c r="AH391" s="120" t="str">
        <f>IFERROR(VLOOKUP(Table1[RespondentID],'All Data'!$A$3:$CO$999,89,FALSE),"unknown")</f>
        <v>Queens</v>
      </c>
      <c r="AI391" s="120">
        <f>IFERROR(VLOOKUP(Table1[RespondentID],'All Data'!$A$3:$CO$999,90,FALSE),"unknown")</f>
        <v>11367</v>
      </c>
      <c r="AJ391" s="120" t="str">
        <f>IFERROR(VLOOKUP(Table1[RespondentID],'All Data'!$A$3:$CO$999,91,FALSE),"unknown")</f>
        <v>White</v>
      </c>
      <c r="AK391" s="120" t="str">
        <f>IFERROR(VLOOKUP(Table1[RespondentID],'All Data'!$A$3:$CO$999,92,FALSE),"unknown")</f>
        <v>Hispanic or Latino</v>
      </c>
      <c r="AL391" s="120" t="str">
        <f>IFERROR(VLOOKUP(Table1[RespondentID],'All Data'!$A$3:$CO$999,93,FALSE),"unknown")</f>
        <v>English</v>
      </c>
      <c r="AM391" s="120" t="str">
        <f>IFERROR(VLOOKUP(Table1[RespondentID],'All Data'!$A$3:$CW$999,94,FALSE),"unknown")</f>
        <v>Over $125,000</v>
      </c>
      <c r="AN391" s="120" t="str">
        <f>IFERROR(VLOOKUP(Table1[RespondentID],'All Data'!$A$3:$CW$999,95,FALSE),"unknown")</f>
        <v>College graduate</v>
      </c>
      <c r="AO391" s="120" t="str">
        <f>IFERROR(VLOOKUP(Table1[RespondentID],'All Data'!$A$3:$CW$999,96,FALSE),"unknown")</f>
        <v>Employed for wages</v>
      </c>
      <c r="AP391" s="120" t="str">
        <f>IFERROR(VLOOKUP(Table1[RespondentID],'All Data'!$A$3:$CW$999,97,FALSE),"unknown")</f>
        <v>Yes</v>
      </c>
      <c r="AQ391" s="120" t="str">
        <f>IFERROR(VLOOKUP(Table1[RespondentID],'All Data'!$A$3:$CW$999,98,FALSE),"unknown")</f>
        <v>Private/Commercial</v>
      </c>
      <c r="AR391" s="120" t="str">
        <f>IFERROR(VLOOKUP(Table1[RespondentID],'All Data'!$A$3:$CW$999,99,FALSE),"unknown")</f>
        <v>Yes</v>
      </c>
    </row>
    <row r="392" spans="1:44" ht="16">
      <c r="A392" s="133">
        <v>114086547834</v>
      </c>
      <c r="B392" s="134"/>
      <c r="C392" s="135"/>
      <c r="D392" s="135"/>
      <c r="E392" s="135"/>
      <c r="F392" s="135"/>
      <c r="G392" s="135" t="s">
        <v>34</v>
      </c>
      <c r="H392" s="135"/>
      <c r="I392" s="135"/>
      <c r="J392" s="135"/>
      <c r="K392" s="135"/>
      <c r="L392" s="133"/>
      <c r="M392" s="126">
        <f t="shared" si="90"/>
        <v>1</v>
      </c>
      <c r="N392" s="126">
        <f t="shared" si="91"/>
        <v>3</v>
      </c>
      <c r="O392" s="133"/>
      <c r="P392" s="126">
        <f t="shared" si="92"/>
        <v>0</v>
      </c>
      <c r="Q392" s="126">
        <f t="shared" si="93"/>
        <v>0</v>
      </c>
      <c r="R392" s="126">
        <f t="shared" si="94"/>
        <v>0</v>
      </c>
      <c r="S392" s="126">
        <f t="shared" si="95"/>
        <v>0</v>
      </c>
      <c r="T392" s="126">
        <f t="shared" si="96"/>
        <v>0</v>
      </c>
      <c r="U392" s="126">
        <f t="shared" si="97"/>
        <v>1</v>
      </c>
      <c r="V392" s="154">
        <f t="shared" si="98"/>
        <v>0</v>
      </c>
      <c r="W392" s="126">
        <f t="shared" si="99"/>
        <v>0</v>
      </c>
      <c r="X392" s="126">
        <f t="shared" si="100"/>
        <v>0</v>
      </c>
      <c r="Y392" s="126">
        <f t="shared" si="101"/>
        <v>0</v>
      </c>
      <c r="Z392" s="133"/>
      <c r="AA392" s="133"/>
      <c r="AB392" s="126"/>
      <c r="AC392" s="126">
        <f t="shared" si="102"/>
        <v>1</v>
      </c>
      <c r="AD392" s="126" t="str">
        <f t="shared" si="103"/>
        <v>Wrong</v>
      </c>
      <c r="AE392" s="133"/>
      <c r="AF392" s="120" t="str">
        <f>IFERROR(VLOOKUP(Table1[RespondentID],'All Data'!$A$3:$CO$999,87,FALSE),"unknown")</f>
        <v>Woman</v>
      </c>
      <c r="AG392" s="120">
        <f>IFERROR(VLOOKUP(Table1[RespondentID],'All Data'!$A$3:$CO$999,88,FALSE),"unknown")</f>
        <v>0</v>
      </c>
      <c r="AH392" s="120" t="str">
        <f>IFERROR(VLOOKUP(Table1[RespondentID],'All Data'!$A$3:$CO$999,89,FALSE),"unknown")</f>
        <v>Suffolk</v>
      </c>
      <c r="AI392" s="120" t="str">
        <f>IFERROR(VLOOKUP(Table1[RespondentID],'All Data'!$A$3:$CO$999,90,FALSE),"unknown")</f>
        <v>North Babylon, 11703</v>
      </c>
      <c r="AJ392" s="120" t="str">
        <f>IFERROR(VLOOKUP(Table1[RespondentID],'All Data'!$A$3:$CO$999,91,FALSE),"unknown")</f>
        <v>Other (please specify)</v>
      </c>
      <c r="AK392" s="120" t="str">
        <f>IFERROR(VLOOKUP(Table1[RespondentID],'All Data'!$A$3:$CO$999,92,FALSE),"unknown")</f>
        <v>Hispanic or Latino</v>
      </c>
      <c r="AL392" s="120" t="str">
        <f>IFERROR(VLOOKUP(Table1[RespondentID],'All Data'!$A$3:$CO$999,93,FALSE),"unknown")</f>
        <v>English</v>
      </c>
      <c r="AM392" s="120" t="str">
        <f>IFERROR(VLOOKUP(Table1[RespondentID],'All Data'!$A$3:$CW$999,94,FALSE),"unknown")</f>
        <v>Over $125,000</v>
      </c>
      <c r="AN392" s="120" t="str">
        <f>IFERROR(VLOOKUP(Table1[RespondentID],'All Data'!$A$3:$CW$999,95,FALSE),"unknown")</f>
        <v>Graduate school</v>
      </c>
      <c r="AO392" s="120" t="str">
        <f>IFERROR(VLOOKUP(Table1[RespondentID],'All Data'!$A$3:$CW$999,96,FALSE),"unknown")</f>
        <v>Employed for wages</v>
      </c>
      <c r="AP392" s="120" t="str">
        <f>IFERROR(VLOOKUP(Table1[RespondentID],'All Data'!$A$3:$CW$999,97,FALSE),"unknown")</f>
        <v>Yes</v>
      </c>
      <c r="AQ392" s="120" t="str">
        <f>IFERROR(VLOOKUP(Table1[RespondentID],'All Data'!$A$3:$CW$999,98,FALSE),"unknown")</f>
        <v>Private/Commercial</v>
      </c>
      <c r="AR392" s="120" t="str">
        <f>IFERROR(VLOOKUP(Table1[RespondentID],'All Data'!$A$3:$CW$999,99,FALSE),"unknown")</f>
        <v>Yes</v>
      </c>
    </row>
    <row r="393" spans="1:44" ht="16">
      <c r="A393" s="133">
        <v>114086512910</v>
      </c>
      <c r="B393" s="134"/>
      <c r="C393" s="135"/>
      <c r="D393" s="135"/>
      <c r="E393" s="135"/>
      <c r="F393" s="135"/>
      <c r="G393" s="135" t="s">
        <v>34</v>
      </c>
      <c r="H393" s="135"/>
      <c r="I393" s="135"/>
      <c r="J393" s="135"/>
      <c r="K393" s="135"/>
      <c r="L393" s="133"/>
      <c r="M393" s="126">
        <f t="shared" si="90"/>
        <v>1</v>
      </c>
      <c r="N393" s="126">
        <f t="shared" si="91"/>
        <v>3</v>
      </c>
      <c r="O393" s="133"/>
      <c r="P393" s="126">
        <f t="shared" si="92"/>
        <v>0</v>
      </c>
      <c r="Q393" s="126">
        <f t="shared" si="93"/>
        <v>0</v>
      </c>
      <c r="R393" s="126">
        <f t="shared" si="94"/>
        <v>0</v>
      </c>
      <c r="S393" s="126">
        <f t="shared" si="95"/>
        <v>0</v>
      </c>
      <c r="T393" s="126">
        <f t="shared" si="96"/>
        <v>0</v>
      </c>
      <c r="U393" s="126">
        <f t="shared" si="97"/>
        <v>1</v>
      </c>
      <c r="V393" s="154">
        <f t="shared" si="98"/>
        <v>0</v>
      </c>
      <c r="W393" s="126">
        <f t="shared" si="99"/>
        <v>0</v>
      </c>
      <c r="X393" s="126">
        <f t="shared" si="100"/>
        <v>0</v>
      </c>
      <c r="Y393" s="126">
        <f t="shared" si="101"/>
        <v>0</v>
      </c>
      <c r="Z393" s="133"/>
      <c r="AA393" s="133"/>
      <c r="AB393" s="126"/>
      <c r="AC393" s="126">
        <f t="shared" si="102"/>
        <v>1</v>
      </c>
      <c r="AD393" s="126" t="str">
        <f t="shared" si="103"/>
        <v>Wrong</v>
      </c>
      <c r="AE393" s="133"/>
      <c r="AF393" s="120" t="str">
        <f>IFERROR(VLOOKUP(Table1[RespondentID],'All Data'!$A$3:$CO$999,87,FALSE),"unknown")</f>
        <v>Woman</v>
      </c>
      <c r="AG393" s="120">
        <f>IFERROR(VLOOKUP(Table1[RespondentID],'All Data'!$A$3:$CO$999,88,FALSE),"unknown")</f>
        <v>0</v>
      </c>
      <c r="AH393" s="120" t="str">
        <f>IFERROR(VLOOKUP(Table1[RespondentID],'All Data'!$A$3:$CO$999,89,FALSE),"unknown")</f>
        <v>Suffolk</v>
      </c>
      <c r="AI393" s="120" t="str">
        <f>IFERROR(VLOOKUP(Table1[RespondentID],'All Data'!$A$3:$CO$999,90,FALSE),"unknown")</f>
        <v>West Islip, 11795</v>
      </c>
      <c r="AJ393" s="120" t="str">
        <f>IFERROR(VLOOKUP(Table1[RespondentID],'All Data'!$A$3:$CO$999,91,FALSE),"unknown")</f>
        <v>White</v>
      </c>
      <c r="AK393" s="120" t="str">
        <f>IFERROR(VLOOKUP(Table1[RespondentID],'All Data'!$A$3:$CO$999,92,FALSE),"unknown")</f>
        <v>Not Hispanic or Latino</v>
      </c>
      <c r="AL393" s="120" t="str">
        <f>IFERROR(VLOOKUP(Table1[RespondentID],'All Data'!$A$3:$CO$999,93,FALSE),"unknown")</f>
        <v>English</v>
      </c>
      <c r="AM393" s="120">
        <f>IFERROR(VLOOKUP(Table1[RespondentID],'All Data'!$A$3:$CW$999,94,FALSE),"unknown")</f>
        <v>0</v>
      </c>
      <c r="AN393" s="120" t="str">
        <f>IFERROR(VLOOKUP(Table1[RespondentID],'All Data'!$A$3:$CW$999,95,FALSE),"unknown")</f>
        <v>Some college</v>
      </c>
      <c r="AO393" s="120" t="str">
        <f>IFERROR(VLOOKUP(Table1[RespondentID],'All Data'!$A$3:$CW$999,96,FALSE),"unknown")</f>
        <v>Employed for wages</v>
      </c>
      <c r="AP393" s="120" t="str">
        <f>IFERROR(VLOOKUP(Table1[RespondentID],'All Data'!$A$3:$CW$999,97,FALSE),"unknown")</f>
        <v>Yes</v>
      </c>
      <c r="AQ393" s="120" t="str">
        <f>IFERROR(VLOOKUP(Table1[RespondentID],'All Data'!$A$3:$CW$999,98,FALSE),"unknown")</f>
        <v>Private/Commercial</v>
      </c>
      <c r="AR393" s="120" t="str">
        <f>IFERROR(VLOOKUP(Table1[RespondentID],'All Data'!$A$3:$CW$999,99,FALSE),"unknown")</f>
        <v>Yes</v>
      </c>
    </row>
    <row r="394" spans="1:44" ht="16">
      <c r="A394" s="133">
        <v>114086485509</v>
      </c>
      <c r="B394" s="134"/>
      <c r="C394" s="135"/>
      <c r="D394" s="135"/>
      <c r="E394" s="135"/>
      <c r="F394" s="135"/>
      <c r="G394" s="135" t="s">
        <v>34</v>
      </c>
      <c r="H394" s="135"/>
      <c r="I394" s="135"/>
      <c r="J394" s="135"/>
      <c r="K394" s="135"/>
      <c r="L394" s="133"/>
      <c r="M394" s="126">
        <f t="shared" si="90"/>
        <v>1</v>
      </c>
      <c r="N394" s="126">
        <f t="shared" si="91"/>
        <v>3</v>
      </c>
      <c r="O394" s="133"/>
      <c r="P394" s="126">
        <f t="shared" si="92"/>
        <v>0</v>
      </c>
      <c r="Q394" s="126">
        <f t="shared" si="93"/>
        <v>0</v>
      </c>
      <c r="R394" s="126">
        <f t="shared" si="94"/>
        <v>0</v>
      </c>
      <c r="S394" s="126">
        <f t="shared" si="95"/>
        <v>0</v>
      </c>
      <c r="T394" s="126">
        <f t="shared" si="96"/>
        <v>0</v>
      </c>
      <c r="U394" s="126">
        <f t="shared" si="97"/>
        <v>1</v>
      </c>
      <c r="V394" s="154">
        <f t="shared" si="98"/>
        <v>0</v>
      </c>
      <c r="W394" s="126">
        <f t="shared" si="99"/>
        <v>0</v>
      </c>
      <c r="X394" s="126">
        <f t="shared" si="100"/>
        <v>0</v>
      </c>
      <c r="Y394" s="126">
        <f t="shared" si="101"/>
        <v>0</v>
      </c>
      <c r="Z394" s="133"/>
      <c r="AA394" s="133"/>
      <c r="AB394" s="126"/>
      <c r="AC394" s="126">
        <f t="shared" si="102"/>
        <v>1</v>
      </c>
      <c r="AD394" s="126" t="str">
        <f t="shared" si="103"/>
        <v>Wrong</v>
      </c>
      <c r="AE394" s="133"/>
      <c r="AF394" s="120" t="str">
        <f>IFERROR(VLOOKUP(Table1[RespondentID],'All Data'!$A$3:$CO$999,87,FALSE),"unknown")</f>
        <v>Woman</v>
      </c>
      <c r="AG394" s="120">
        <f>IFERROR(VLOOKUP(Table1[RespondentID],'All Data'!$A$3:$CO$999,88,FALSE),"unknown")</f>
        <v>0</v>
      </c>
      <c r="AH394" s="120" t="str">
        <f>IFERROR(VLOOKUP(Table1[RespondentID],'All Data'!$A$3:$CO$999,89,FALSE),"unknown")</f>
        <v>Nassau</v>
      </c>
      <c r="AI394" s="120" t="str">
        <f>IFERROR(VLOOKUP(Table1[RespondentID],'All Data'!$A$3:$CO$999,90,FALSE),"unknown")</f>
        <v>Massapequa, 11758</v>
      </c>
      <c r="AJ394" s="120" t="str">
        <f>IFERROR(VLOOKUP(Table1[RespondentID],'All Data'!$A$3:$CO$999,91,FALSE),"unknown")</f>
        <v>White</v>
      </c>
      <c r="AK394" s="120" t="str">
        <f>IFERROR(VLOOKUP(Table1[RespondentID],'All Data'!$A$3:$CO$999,92,FALSE),"unknown")</f>
        <v>Not Hispanic or Latino</v>
      </c>
      <c r="AL394" s="120" t="str">
        <f>IFERROR(VLOOKUP(Table1[RespondentID],'All Data'!$A$3:$CO$999,93,FALSE),"unknown")</f>
        <v>English</v>
      </c>
      <c r="AM394" s="120" t="str">
        <f>IFERROR(VLOOKUP(Table1[RespondentID],'All Data'!$A$3:$CW$999,94,FALSE),"unknown")</f>
        <v>Over $125,000</v>
      </c>
      <c r="AN394" s="120" t="str">
        <f>IFERROR(VLOOKUP(Table1[RespondentID],'All Data'!$A$3:$CW$999,95,FALSE),"unknown")</f>
        <v>College graduate</v>
      </c>
      <c r="AO394" s="120" t="str">
        <f>IFERROR(VLOOKUP(Table1[RespondentID],'All Data'!$A$3:$CW$999,96,FALSE),"unknown")</f>
        <v>Employed for wages</v>
      </c>
      <c r="AP394" s="120" t="str">
        <f>IFERROR(VLOOKUP(Table1[RespondentID],'All Data'!$A$3:$CW$999,97,FALSE),"unknown")</f>
        <v>Yes</v>
      </c>
      <c r="AQ394" s="120" t="str">
        <f>IFERROR(VLOOKUP(Table1[RespondentID],'All Data'!$A$3:$CW$999,98,FALSE),"unknown")</f>
        <v>Private/Commercial</v>
      </c>
      <c r="AR394" s="120" t="str">
        <f>IFERROR(VLOOKUP(Table1[RespondentID],'All Data'!$A$3:$CW$999,99,FALSE),"unknown")</f>
        <v>Yes</v>
      </c>
    </row>
    <row r="395" spans="1:44" ht="16">
      <c r="A395" s="133">
        <v>114086434376</v>
      </c>
      <c r="B395" s="134"/>
      <c r="C395" s="135" t="s">
        <v>30</v>
      </c>
      <c r="D395" s="135" t="s">
        <v>31</v>
      </c>
      <c r="E395" s="135"/>
      <c r="F395" s="135"/>
      <c r="G395" s="135"/>
      <c r="H395" s="135"/>
      <c r="I395" s="135"/>
      <c r="J395" s="135" t="s">
        <v>37</v>
      </c>
      <c r="K395" s="135" t="s">
        <v>375</v>
      </c>
      <c r="L395" s="133"/>
      <c r="M395" s="126">
        <f t="shared" si="90"/>
        <v>4</v>
      </c>
      <c r="N395" s="126">
        <f t="shared" si="91"/>
        <v>0.75</v>
      </c>
      <c r="O395" s="133"/>
      <c r="P395" s="126">
        <f t="shared" si="92"/>
        <v>0</v>
      </c>
      <c r="Q395" s="126">
        <f t="shared" si="93"/>
        <v>0.75</v>
      </c>
      <c r="R395" s="126">
        <f t="shared" si="94"/>
        <v>0.75</v>
      </c>
      <c r="S395" s="126">
        <f t="shared" si="95"/>
        <v>0</v>
      </c>
      <c r="T395" s="126">
        <f t="shared" si="96"/>
        <v>0</v>
      </c>
      <c r="U395" s="126">
        <f t="shared" si="97"/>
        <v>0</v>
      </c>
      <c r="V395" s="154">
        <f t="shared" si="98"/>
        <v>0</v>
      </c>
      <c r="W395" s="126">
        <f t="shared" si="99"/>
        <v>0</v>
      </c>
      <c r="X395" s="126">
        <f t="shared" si="100"/>
        <v>0.75</v>
      </c>
      <c r="Y395" s="126">
        <f t="shared" si="101"/>
        <v>0.75</v>
      </c>
      <c r="Z395" s="133"/>
      <c r="AA395" s="133"/>
      <c r="AB395" s="126"/>
      <c r="AC395" s="126">
        <f t="shared" si="102"/>
        <v>4</v>
      </c>
      <c r="AD395" s="126" t="str">
        <f t="shared" si="103"/>
        <v>Wrong</v>
      </c>
      <c r="AE395" s="133"/>
      <c r="AF395" s="120" t="str">
        <f>IFERROR(VLOOKUP(Table1[RespondentID],'All Data'!$A$3:$CO$999,87,FALSE),"unknown")</f>
        <v>Woman</v>
      </c>
      <c r="AG395" s="120">
        <f>IFERROR(VLOOKUP(Table1[RespondentID],'All Data'!$A$3:$CO$999,88,FALSE),"unknown")</f>
        <v>0</v>
      </c>
      <c r="AH395" s="120" t="str">
        <f>IFERROR(VLOOKUP(Table1[RespondentID],'All Data'!$A$3:$CO$999,89,FALSE),"unknown")</f>
        <v>Nassau</v>
      </c>
      <c r="AI395" s="120" t="str">
        <f>IFERROR(VLOOKUP(Table1[RespondentID],'All Data'!$A$3:$CO$999,90,FALSE),"unknown")</f>
        <v>Long Beach, 11561</v>
      </c>
      <c r="AJ395" s="120" t="str">
        <f>IFERROR(VLOOKUP(Table1[RespondentID],'All Data'!$A$3:$CO$999,91,FALSE),"unknown")</f>
        <v>Two or more races</v>
      </c>
      <c r="AK395" s="120" t="str">
        <f>IFERROR(VLOOKUP(Table1[RespondentID],'All Data'!$A$3:$CO$999,92,FALSE),"unknown")</f>
        <v>Hispanic or Latino</v>
      </c>
      <c r="AL395" s="120" t="str">
        <f>IFERROR(VLOOKUP(Table1[RespondentID],'All Data'!$A$3:$CO$999,93,FALSE),"unknown")</f>
        <v>English</v>
      </c>
      <c r="AM395" s="120" t="str">
        <f>IFERROR(VLOOKUP(Table1[RespondentID],'All Data'!$A$3:$CW$999,94,FALSE),"unknown")</f>
        <v>$35,000 to $49,999</v>
      </c>
      <c r="AN395" s="120" t="str">
        <f>IFERROR(VLOOKUP(Table1[RespondentID],'All Data'!$A$3:$CW$999,95,FALSE),"unknown")</f>
        <v>Other (please specify)</v>
      </c>
      <c r="AO395" s="120" t="str">
        <f>IFERROR(VLOOKUP(Table1[RespondentID],'All Data'!$A$3:$CW$999,96,FALSE),"unknown")</f>
        <v>Employed for wages</v>
      </c>
      <c r="AP395" s="120" t="str">
        <f>IFERROR(VLOOKUP(Table1[RespondentID],'All Data'!$A$3:$CW$999,97,FALSE),"unknown")</f>
        <v>Yes</v>
      </c>
      <c r="AQ395" s="120" t="str">
        <f>IFERROR(VLOOKUP(Table1[RespondentID],'All Data'!$A$3:$CW$999,98,FALSE),"unknown")</f>
        <v>Private/Commercial</v>
      </c>
      <c r="AR395" s="120" t="str">
        <f>IFERROR(VLOOKUP(Table1[RespondentID],'All Data'!$A$3:$CW$999,99,FALSE),"unknown")</f>
        <v>Yes</v>
      </c>
    </row>
    <row r="396" spans="1:44" ht="16">
      <c r="A396" s="133">
        <v>114086430098</v>
      </c>
      <c r="B396" s="134"/>
      <c r="C396" s="135"/>
      <c r="D396" s="135"/>
      <c r="E396" s="135"/>
      <c r="F396" s="135"/>
      <c r="G396" s="135"/>
      <c r="H396" s="135"/>
      <c r="I396" s="135"/>
      <c r="J396" s="135"/>
      <c r="K396" s="135"/>
      <c r="L396" s="133"/>
      <c r="M396" s="126">
        <f t="shared" si="90"/>
        <v>0</v>
      </c>
      <c r="N396" s="126" t="e">
        <f t="shared" si="91"/>
        <v>#DIV/0!</v>
      </c>
      <c r="O396" s="133"/>
      <c r="P396" s="126">
        <f t="shared" si="92"/>
        <v>0</v>
      </c>
      <c r="Q396" s="126">
        <f t="shared" si="93"/>
        <v>0</v>
      </c>
      <c r="R396" s="126">
        <f t="shared" si="94"/>
        <v>0</v>
      </c>
      <c r="S396" s="126">
        <f t="shared" si="95"/>
        <v>0</v>
      </c>
      <c r="T396" s="126">
        <f t="shared" si="96"/>
        <v>0</v>
      </c>
      <c r="U396" s="126">
        <f t="shared" si="97"/>
        <v>0</v>
      </c>
      <c r="V396" s="154">
        <f t="shared" si="98"/>
        <v>0</v>
      </c>
      <c r="W396" s="126">
        <f t="shared" si="99"/>
        <v>0</v>
      </c>
      <c r="X396" s="126">
        <f t="shared" si="100"/>
        <v>0</v>
      </c>
      <c r="Y396" s="126">
        <f t="shared" si="101"/>
        <v>0</v>
      </c>
      <c r="Z396" s="133"/>
      <c r="AA396" s="133"/>
      <c r="AB396" s="126"/>
      <c r="AC396" s="126">
        <f t="shared" si="102"/>
        <v>0</v>
      </c>
      <c r="AD396" s="126" t="str">
        <f t="shared" si="103"/>
        <v>Correct</v>
      </c>
      <c r="AE396" s="133"/>
      <c r="AF396" s="120" t="str">
        <f>IFERROR(VLOOKUP(Table1[RespondentID],'All Data'!$A$3:$CO$999,87,FALSE),"unknown")</f>
        <v>Woman</v>
      </c>
      <c r="AG396" s="120">
        <f>IFERROR(VLOOKUP(Table1[RespondentID],'All Data'!$A$3:$CO$999,88,FALSE),"unknown")</f>
        <v>0</v>
      </c>
      <c r="AH396" s="120" t="str">
        <f>IFERROR(VLOOKUP(Table1[RespondentID],'All Data'!$A$3:$CO$999,89,FALSE),"unknown")</f>
        <v>Nassau</v>
      </c>
      <c r="AI396" s="120" t="str">
        <f>IFERROR(VLOOKUP(Table1[RespondentID],'All Data'!$A$3:$CO$999,90,FALSE),"unknown")</f>
        <v>Rockville Centre, 11570</v>
      </c>
      <c r="AJ396" s="120" t="str">
        <f>IFERROR(VLOOKUP(Table1[RespondentID],'All Data'!$A$3:$CO$999,91,FALSE),"unknown")</f>
        <v>Asian</v>
      </c>
      <c r="AK396" s="120" t="str">
        <f>IFERROR(VLOOKUP(Table1[RespondentID],'All Data'!$A$3:$CO$999,92,FALSE),"unknown")</f>
        <v>Not Hispanic or Latino</v>
      </c>
      <c r="AL396" s="120" t="str">
        <f>IFERROR(VLOOKUP(Table1[RespondentID],'All Data'!$A$3:$CO$999,93,FALSE),"unknown")</f>
        <v>English</v>
      </c>
      <c r="AM396" s="120" t="str">
        <f>IFERROR(VLOOKUP(Table1[RespondentID],'All Data'!$A$3:$CW$999,94,FALSE),"unknown")</f>
        <v>$75,000 to $125,000</v>
      </c>
      <c r="AN396" s="120" t="str">
        <f>IFERROR(VLOOKUP(Table1[RespondentID],'All Data'!$A$3:$CW$999,95,FALSE),"unknown")</f>
        <v>Graduate school</v>
      </c>
      <c r="AO396" s="120" t="str">
        <f>IFERROR(VLOOKUP(Table1[RespondentID],'All Data'!$A$3:$CW$999,96,FALSE),"unknown")</f>
        <v>Employed for wages</v>
      </c>
      <c r="AP396" s="120" t="str">
        <f>IFERROR(VLOOKUP(Table1[RespondentID],'All Data'!$A$3:$CW$999,97,FALSE),"unknown")</f>
        <v>Yes</v>
      </c>
      <c r="AQ396" s="120" t="str">
        <f>IFERROR(VLOOKUP(Table1[RespondentID],'All Data'!$A$3:$CW$999,98,FALSE),"unknown")</f>
        <v>Private/Commercial</v>
      </c>
      <c r="AR396" s="120" t="str">
        <f>IFERROR(VLOOKUP(Table1[RespondentID],'All Data'!$A$3:$CW$999,99,FALSE),"unknown")</f>
        <v>Yes</v>
      </c>
    </row>
    <row r="397" spans="1:44" ht="16">
      <c r="A397" s="133">
        <v>114086397914</v>
      </c>
      <c r="B397" s="134"/>
      <c r="C397" s="135"/>
      <c r="D397" s="135"/>
      <c r="E397" s="135"/>
      <c r="F397" s="135"/>
      <c r="G397" s="135"/>
      <c r="H397" s="135" t="s">
        <v>35</v>
      </c>
      <c r="I397" s="135"/>
      <c r="J397" s="135"/>
      <c r="K397" s="135"/>
      <c r="L397" s="133"/>
      <c r="M397" s="126">
        <f t="shared" si="90"/>
        <v>1</v>
      </c>
      <c r="N397" s="126">
        <f t="shared" si="91"/>
        <v>3</v>
      </c>
      <c r="O397" s="133"/>
      <c r="P397" s="126">
        <f t="shared" si="92"/>
        <v>0</v>
      </c>
      <c r="Q397" s="126">
        <f t="shared" si="93"/>
        <v>0</v>
      </c>
      <c r="R397" s="126">
        <f t="shared" si="94"/>
        <v>0</v>
      </c>
      <c r="S397" s="126">
        <f t="shared" si="95"/>
        <v>0</v>
      </c>
      <c r="T397" s="126">
        <f t="shared" si="96"/>
        <v>0</v>
      </c>
      <c r="U397" s="126">
        <f t="shared" si="97"/>
        <v>0</v>
      </c>
      <c r="V397" s="154">
        <f t="shared" si="98"/>
        <v>1</v>
      </c>
      <c r="W397" s="126">
        <f t="shared" si="99"/>
        <v>0</v>
      </c>
      <c r="X397" s="126">
        <f t="shared" si="100"/>
        <v>0</v>
      </c>
      <c r="Y397" s="126">
        <f t="shared" si="101"/>
        <v>0</v>
      </c>
      <c r="Z397" s="133"/>
      <c r="AA397" s="133"/>
      <c r="AB397" s="126"/>
      <c r="AC397" s="126">
        <f t="shared" si="102"/>
        <v>1</v>
      </c>
      <c r="AD397" s="126" t="str">
        <f t="shared" si="103"/>
        <v>Wrong</v>
      </c>
      <c r="AE397" s="133"/>
      <c r="AF397" s="120" t="str">
        <f>IFERROR(VLOOKUP(Table1[RespondentID],'All Data'!$A$3:$CO$999,87,FALSE),"unknown")</f>
        <v>Woman</v>
      </c>
      <c r="AG397" s="120">
        <f>IFERROR(VLOOKUP(Table1[RespondentID],'All Data'!$A$3:$CO$999,88,FALSE),"unknown")</f>
        <v>0</v>
      </c>
      <c r="AH397" s="120" t="str">
        <f>IFERROR(VLOOKUP(Table1[RespondentID],'All Data'!$A$3:$CO$999,89,FALSE),"unknown")</f>
        <v>Suffolk</v>
      </c>
      <c r="AI397" s="120" t="str">
        <f>IFERROR(VLOOKUP(Table1[RespondentID],'All Data'!$A$3:$CO$999,90,FALSE),"unknown")</f>
        <v>Deer Park, 11729</v>
      </c>
      <c r="AJ397" s="120" t="str">
        <f>IFERROR(VLOOKUP(Table1[RespondentID],'All Data'!$A$3:$CO$999,91,FALSE),"unknown")</f>
        <v>White</v>
      </c>
      <c r="AK397" s="120" t="str">
        <f>IFERROR(VLOOKUP(Table1[RespondentID],'All Data'!$A$3:$CO$999,92,FALSE),"unknown")</f>
        <v>Unknown</v>
      </c>
      <c r="AL397" s="120" t="str">
        <f>IFERROR(VLOOKUP(Table1[RespondentID],'All Data'!$A$3:$CO$999,93,FALSE),"unknown")</f>
        <v>English</v>
      </c>
      <c r="AM397" s="120" t="str">
        <f>IFERROR(VLOOKUP(Table1[RespondentID],'All Data'!$A$3:$CW$999,94,FALSE),"unknown")</f>
        <v>$50,000 to $74,999</v>
      </c>
      <c r="AN397" s="120" t="str">
        <f>IFERROR(VLOOKUP(Table1[RespondentID],'All Data'!$A$3:$CW$999,95,FALSE),"unknown")</f>
        <v>Technical school</v>
      </c>
      <c r="AO397" s="120" t="str">
        <f>IFERROR(VLOOKUP(Table1[RespondentID],'All Data'!$A$3:$CW$999,96,FALSE),"unknown")</f>
        <v>Employed for wages</v>
      </c>
      <c r="AP397" s="120" t="str">
        <f>IFERROR(VLOOKUP(Table1[RespondentID],'All Data'!$A$3:$CW$999,97,FALSE),"unknown")</f>
        <v>Yes</v>
      </c>
      <c r="AQ397" s="120" t="str">
        <f>IFERROR(VLOOKUP(Table1[RespondentID],'All Data'!$A$3:$CW$999,98,FALSE),"unknown")</f>
        <v>Private/Commercial</v>
      </c>
      <c r="AR397" s="120" t="str">
        <f>IFERROR(VLOOKUP(Table1[RespondentID],'All Data'!$A$3:$CW$999,99,FALSE),"unknown")</f>
        <v>Yes</v>
      </c>
    </row>
    <row r="398" spans="1:44" ht="16">
      <c r="A398" s="133">
        <v>114086383426</v>
      </c>
      <c r="B398" s="134"/>
      <c r="C398" s="135" t="s">
        <v>30</v>
      </c>
      <c r="D398" s="135"/>
      <c r="E398" s="135"/>
      <c r="F398" s="135"/>
      <c r="G398" s="135"/>
      <c r="H398" s="135"/>
      <c r="I398" s="135"/>
      <c r="J398" s="135"/>
      <c r="K398" s="135"/>
      <c r="L398" s="133"/>
      <c r="M398" s="126">
        <f t="shared" si="90"/>
        <v>1</v>
      </c>
      <c r="N398" s="126">
        <f t="shared" si="91"/>
        <v>3</v>
      </c>
      <c r="O398" s="133"/>
      <c r="P398" s="126">
        <f t="shared" si="92"/>
        <v>0</v>
      </c>
      <c r="Q398" s="126">
        <f t="shared" si="93"/>
        <v>1</v>
      </c>
      <c r="R398" s="126">
        <f t="shared" si="94"/>
        <v>0</v>
      </c>
      <c r="S398" s="126">
        <f t="shared" si="95"/>
        <v>0</v>
      </c>
      <c r="T398" s="126">
        <f t="shared" si="96"/>
        <v>0</v>
      </c>
      <c r="U398" s="126">
        <f t="shared" si="97"/>
        <v>0</v>
      </c>
      <c r="V398" s="154">
        <f t="shared" si="98"/>
        <v>0</v>
      </c>
      <c r="W398" s="126">
        <f t="shared" si="99"/>
        <v>0</v>
      </c>
      <c r="X398" s="126">
        <f t="shared" si="100"/>
        <v>0</v>
      </c>
      <c r="Y398" s="126">
        <f t="shared" si="101"/>
        <v>0</v>
      </c>
      <c r="Z398" s="133"/>
      <c r="AA398" s="133"/>
      <c r="AB398" s="126"/>
      <c r="AC398" s="126">
        <f t="shared" si="102"/>
        <v>1</v>
      </c>
      <c r="AD398" s="126" t="str">
        <f t="shared" si="103"/>
        <v>Wrong</v>
      </c>
      <c r="AE398" s="133"/>
      <c r="AF398" s="120" t="str">
        <f>IFERROR(VLOOKUP(Table1[RespondentID],'All Data'!$A$3:$CO$999,87,FALSE),"unknown")</f>
        <v>Woman</v>
      </c>
      <c r="AG398" s="120">
        <f>IFERROR(VLOOKUP(Table1[RespondentID],'All Data'!$A$3:$CO$999,88,FALSE),"unknown")</f>
        <v>0</v>
      </c>
      <c r="AH398" s="120" t="str">
        <f>IFERROR(VLOOKUP(Table1[RespondentID],'All Data'!$A$3:$CO$999,89,FALSE),"unknown")</f>
        <v>Nassau</v>
      </c>
      <c r="AI398" s="120" t="str">
        <f>IFERROR(VLOOKUP(Table1[RespondentID],'All Data'!$A$3:$CO$999,90,FALSE),"unknown")</f>
        <v>Lynbrook, 11563</v>
      </c>
      <c r="AJ398" s="120">
        <f>IFERROR(VLOOKUP(Table1[RespondentID],'All Data'!$A$3:$CO$999,91,FALSE),"unknown")</f>
        <v>0</v>
      </c>
      <c r="AK398" s="120" t="str">
        <f>IFERROR(VLOOKUP(Table1[RespondentID],'All Data'!$A$3:$CO$999,92,FALSE),"unknown")</f>
        <v>Hispanic or Latino</v>
      </c>
      <c r="AL398" s="120" t="str">
        <f>IFERROR(VLOOKUP(Table1[RespondentID],'All Data'!$A$3:$CO$999,93,FALSE),"unknown")</f>
        <v>English,Spanish</v>
      </c>
      <c r="AM398" s="120" t="str">
        <f>IFERROR(VLOOKUP(Table1[RespondentID],'All Data'!$A$3:$CW$999,94,FALSE),"unknown")</f>
        <v>$35,000 to $49,999</v>
      </c>
      <c r="AN398" s="120" t="str">
        <f>IFERROR(VLOOKUP(Table1[RespondentID],'All Data'!$A$3:$CW$999,95,FALSE),"unknown")</f>
        <v>Some college</v>
      </c>
      <c r="AO398" s="120" t="str">
        <f>IFERROR(VLOOKUP(Table1[RespondentID],'All Data'!$A$3:$CW$999,96,FALSE),"unknown")</f>
        <v>Employed for wages</v>
      </c>
      <c r="AP398" s="120" t="str">
        <f>IFERROR(VLOOKUP(Table1[RespondentID],'All Data'!$A$3:$CW$999,97,FALSE),"unknown")</f>
        <v>Yes</v>
      </c>
      <c r="AQ398" s="120" t="str">
        <f>IFERROR(VLOOKUP(Table1[RespondentID],'All Data'!$A$3:$CW$999,98,FALSE),"unknown")</f>
        <v>Private/Commercial</v>
      </c>
      <c r="AR398" s="120" t="str">
        <f>IFERROR(VLOOKUP(Table1[RespondentID],'All Data'!$A$3:$CW$999,99,FALSE),"unknown")</f>
        <v>Yes</v>
      </c>
    </row>
    <row r="399" spans="1:44" ht="16">
      <c r="A399" s="133">
        <v>114086379762</v>
      </c>
      <c r="B399" s="134"/>
      <c r="C399" s="135"/>
      <c r="D399" s="135"/>
      <c r="E399" s="135"/>
      <c r="F399" s="135"/>
      <c r="G399" s="135" t="s">
        <v>34</v>
      </c>
      <c r="H399" s="135"/>
      <c r="I399" s="135"/>
      <c r="J399" s="135"/>
      <c r="K399" s="135"/>
      <c r="L399" s="133"/>
      <c r="M399" s="126">
        <f t="shared" si="90"/>
        <v>1</v>
      </c>
      <c r="N399" s="126">
        <f t="shared" si="91"/>
        <v>3</v>
      </c>
      <c r="O399" s="133"/>
      <c r="P399" s="126">
        <f t="shared" si="92"/>
        <v>0</v>
      </c>
      <c r="Q399" s="126">
        <f t="shared" si="93"/>
        <v>0</v>
      </c>
      <c r="R399" s="126">
        <f t="shared" si="94"/>
        <v>0</v>
      </c>
      <c r="S399" s="126">
        <f t="shared" si="95"/>
        <v>0</v>
      </c>
      <c r="T399" s="126">
        <f t="shared" si="96"/>
        <v>0</v>
      </c>
      <c r="U399" s="126">
        <f t="shared" si="97"/>
        <v>1</v>
      </c>
      <c r="V399" s="154">
        <f t="shared" si="98"/>
        <v>0</v>
      </c>
      <c r="W399" s="126">
        <f t="shared" si="99"/>
        <v>0</v>
      </c>
      <c r="X399" s="126">
        <f t="shared" si="100"/>
        <v>0</v>
      </c>
      <c r="Y399" s="126">
        <f t="shared" si="101"/>
        <v>0</v>
      </c>
      <c r="Z399" s="133"/>
      <c r="AA399" s="133"/>
      <c r="AB399" s="126"/>
      <c r="AC399" s="126">
        <f t="shared" si="102"/>
        <v>1</v>
      </c>
      <c r="AD399" s="126" t="str">
        <f t="shared" si="103"/>
        <v>Wrong</v>
      </c>
      <c r="AE399" s="133"/>
      <c r="AF399" s="120" t="str">
        <f>IFERROR(VLOOKUP(Table1[RespondentID],'All Data'!$A$3:$CO$999,87,FALSE),"unknown")</f>
        <v>Woman</v>
      </c>
      <c r="AG399" s="120">
        <f>IFERROR(VLOOKUP(Table1[RespondentID],'All Data'!$A$3:$CO$999,88,FALSE),"unknown")</f>
        <v>0</v>
      </c>
      <c r="AH399" s="120" t="str">
        <f>IFERROR(VLOOKUP(Table1[RespondentID],'All Data'!$A$3:$CO$999,89,FALSE),"unknown")</f>
        <v>Nassau</v>
      </c>
      <c r="AI399" s="120" t="str">
        <f>IFERROR(VLOOKUP(Table1[RespondentID],'All Data'!$A$3:$CO$999,90,FALSE),"unknown")</f>
        <v>Massapequa, 11758</v>
      </c>
      <c r="AJ399" s="120">
        <f>IFERROR(VLOOKUP(Table1[RespondentID],'All Data'!$A$3:$CO$999,91,FALSE),"unknown")</f>
        <v>0</v>
      </c>
      <c r="AK399" s="120" t="str">
        <f>IFERROR(VLOOKUP(Table1[RespondentID],'All Data'!$A$3:$CO$999,92,FALSE),"unknown")</f>
        <v>Not Hispanic or Latino</v>
      </c>
      <c r="AL399" s="120" t="str">
        <f>IFERROR(VLOOKUP(Table1[RespondentID],'All Data'!$A$3:$CO$999,93,FALSE),"unknown")</f>
        <v>English</v>
      </c>
      <c r="AM399" s="120" t="str">
        <f>IFERROR(VLOOKUP(Table1[RespondentID],'All Data'!$A$3:$CW$999,94,FALSE),"unknown")</f>
        <v>Over $125,000</v>
      </c>
      <c r="AN399" s="120" t="str">
        <f>IFERROR(VLOOKUP(Table1[RespondentID],'All Data'!$A$3:$CW$999,95,FALSE),"unknown")</f>
        <v>Graduate school</v>
      </c>
      <c r="AO399" s="120" t="str">
        <f>IFERROR(VLOOKUP(Table1[RespondentID],'All Data'!$A$3:$CW$999,96,FALSE),"unknown")</f>
        <v>Employed for wages</v>
      </c>
      <c r="AP399" s="120" t="str">
        <f>IFERROR(VLOOKUP(Table1[RespondentID],'All Data'!$A$3:$CW$999,97,FALSE),"unknown")</f>
        <v>Yes</v>
      </c>
      <c r="AQ399" s="120" t="str">
        <f>IFERROR(VLOOKUP(Table1[RespondentID],'All Data'!$A$3:$CW$999,98,FALSE),"unknown")</f>
        <v>Private/Commercial</v>
      </c>
      <c r="AR399" s="120" t="str">
        <f>IFERROR(VLOOKUP(Table1[RespondentID],'All Data'!$A$3:$CW$999,99,FALSE),"unknown")</f>
        <v>Yes</v>
      </c>
    </row>
    <row r="400" spans="1:44" ht="16">
      <c r="A400" s="133">
        <v>114086370794</v>
      </c>
      <c r="B400" s="134"/>
      <c r="C400" s="135"/>
      <c r="D400" s="135" t="s">
        <v>31</v>
      </c>
      <c r="E400" s="135"/>
      <c r="F400" s="135"/>
      <c r="G400" s="135"/>
      <c r="H400" s="135"/>
      <c r="I400" s="135"/>
      <c r="J400" s="135"/>
      <c r="K400" s="135"/>
      <c r="L400" s="133"/>
      <c r="M400" s="126">
        <f t="shared" si="90"/>
        <v>1</v>
      </c>
      <c r="N400" s="126">
        <f t="shared" si="91"/>
        <v>3</v>
      </c>
      <c r="O400" s="133"/>
      <c r="P400" s="126">
        <f t="shared" si="92"/>
        <v>0</v>
      </c>
      <c r="Q400" s="126">
        <f t="shared" si="93"/>
        <v>0</v>
      </c>
      <c r="R400" s="126">
        <f t="shared" si="94"/>
        <v>1</v>
      </c>
      <c r="S400" s="126">
        <f t="shared" si="95"/>
        <v>0</v>
      </c>
      <c r="T400" s="126">
        <f t="shared" si="96"/>
        <v>0</v>
      </c>
      <c r="U400" s="126">
        <f t="shared" si="97"/>
        <v>0</v>
      </c>
      <c r="V400" s="154">
        <f t="shared" si="98"/>
        <v>0</v>
      </c>
      <c r="W400" s="126">
        <f t="shared" si="99"/>
        <v>0</v>
      </c>
      <c r="X400" s="126">
        <f t="shared" si="100"/>
        <v>0</v>
      </c>
      <c r="Y400" s="126">
        <f t="shared" si="101"/>
        <v>0</v>
      </c>
      <c r="Z400" s="133"/>
      <c r="AA400" s="133"/>
      <c r="AB400" s="126"/>
      <c r="AC400" s="126">
        <f t="shared" si="102"/>
        <v>1</v>
      </c>
      <c r="AD400" s="126" t="str">
        <f t="shared" si="103"/>
        <v>Wrong</v>
      </c>
      <c r="AE400" s="133"/>
      <c r="AF400" s="120" t="str">
        <f>IFERROR(VLOOKUP(Table1[RespondentID],'All Data'!$A$3:$CO$999,87,FALSE),"unknown")</f>
        <v>Woman</v>
      </c>
      <c r="AG400" s="120">
        <f>IFERROR(VLOOKUP(Table1[RespondentID],'All Data'!$A$3:$CO$999,88,FALSE),"unknown")</f>
        <v>0</v>
      </c>
      <c r="AH400" s="120" t="str">
        <f>IFERROR(VLOOKUP(Table1[RespondentID],'All Data'!$A$3:$CO$999,89,FALSE),"unknown")</f>
        <v>Queens</v>
      </c>
      <c r="AI400" s="120">
        <f>IFERROR(VLOOKUP(Table1[RespondentID],'All Data'!$A$3:$CO$999,90,FALSE),"unknown")</f>
        <v>11414</v>
      </c>
      <c r="AJ400" s="120">
        <f>IFERROR(VLOOKUP(Table1[RespondentID],'All Data'!$A$3:$CO$999,91,FALSE),"unknown")</f>
        <v>0</v>
      </c>
      <c r="AK400" s="120" t="str">
        <f>IFERROR(VLOOKUP(Table1[RespondentID],'All Data'!$A$3:$CO$999,92,FALSE),"unknown")</f>
        <v>Hispanic or Latino</v>
      </c>
      <c r="AL400" s="120" t="str">
        <f>IFERROR(VLOOKUP(Table1[RespondentID],'All Data'!$A$3:$CO$999,93,FALSE),"unknown")</f>
        <v>English,Spanish,Italian</v>
      </c>
      <c r="AM400" s="120" t="str">
        <f>IFERROR(VLOOKUP(Table1[RespondentID],'All Data'!$A$3:$CW$999,94,FALSE),"unknown")</f>
        <v>$50,000 to $74,999</v>
      </c>
      <c r="AN400" s="120" t="str">
        <f>IFERROR(VLOOKUP(Table1[RespondentID],'All Data'!$A$3:$CW$999,95,FALSE),"unknown")</f>
        <v>Some college</v>
      </c>
      <c r="AO400" s="120" t="str">
        <f>IFERROR(VLOOKUP(Table1[RespondentID],'All Data'!$A$3:$CW$999,96,FALSE),"unknown")</f>
        <v>Employed for wages</v>
      </c>
      <c r="AP400" s="120" t="str">
        <f>IFERROR(VLOOKUP(Table1[RespondentID],'All Data'!$A$3:$CW$999,97,FALSE),"unknown")</f>
        <v>No, but I did in the past</v>
      </c>
      <c r="AQ400" s="120" t="str">
        <f>IFERROR(VLOOKUP(Table1[RespondentID],'All Data'!$A$3:$CW$999,98,FALSE),"unknown")</f>
        <v>No Insurance</v>
      </c>
      <c r="AR400" s="120" t="str">
        <f>IFERROR(VLOOKUP(Table1[RespondentID],'All Data'!$A$3:$CW$999,99,FALSE),"unknown")</f>
        <v>Yes</v>
      </c>
    </row>
    <row r="401" spans="1:44" ht="16">
      <c r="A401" s="133">
        <v>114086141494</v>
      </c>
      <c r="B401" s="134"/>
      <c r="C401" s="135"/>
      <c r="D401" s="135" t="s">
        <v>31</v>
      </c>
      <c r="E401" s="135"/>
      <c r="F401" s="135"/>
      <c r="G401" s="135"/>
      <c r="H401" s="135"/>
      <c r="I401" s="135"/>
      <c r="J401" s="135"/>
      <c r="K401" s="135"/>
      <c r="L401" s="133"/>
      <c r="M401" s="126">
        <f t="shared" si="90"/>
        <v>1</v>
      </c>
      <c r="N401" s="126">
        <f t="shared" si="91"/>
        <v>3</v>
      </c>
      <c r="O401" s="133"/>
      <c r="P401" s="126">
        <f t="shared" si="92"/>
        <v>0</v>
      </c>
      <c r="Q401" s="126">
        <f t="shared" si="93"/>
        <v>0</v>
      </c>
      <c r="R401" s="126">
        <f t="shared" si="94"/>
        <v>1</v>
      </c>
      <c r="S401" s="126">
        <f t="shared" si="95"/>
        <v>0</v>
      </c>
      <c r="T401" s="126">
        <f t="shared" si="96"/>
        <v>0</v>
      </c>
      <c r="U401" s="126">
        <f t="shared" si="97"/>
        <v>0</v>
      </c>
      <c r="V401" s="154">
        <f t="shared" si="98"/>
        <v>0</v>
      </c>
      <c r="W401" s="126">
        <f t="shared" si="99"/>
        <v>0</v>
      </c>
      <c r="X401" s="126">
        <f t="shared" si="100"/>
        <v>0</v>
      </c>
      <c r="Y401" s="126">
        <f t="shared" si="101"/>
        <v>0</v>
      </c>
      <c r="Z401" s="133"/>
      <c r="AA401" s="133"/>
      <c r="AB401" s="126"/>
      <c r="AC401" s="126">
        <f t="shared" si="102"/>
        <v>1</v>
      </c>
      <c r="AD401" s="126" t="str">
        <f t="shared" si="103"/>
        <v>Wrong</v>
      </c>
      <c r="AE401" s="133"/>
      <c r="AF401" s="120" t="str">
        <f>IFERROR(VLOOKUP(Table1[RespondentID],'All Data'!$A$3:$CO$999,87,FALSE),"unknown")</f>
        <v>Man</v>
      </c>
      <c r="AG401" s="120">
        <f>IFERROR(VLOOKUP(Table1[RespondentID],'All Data'!$A$3:$CO$999,88,FALSE),"unknown")</f>
        <v>0</v>
      </c>
      <c r="AH401" s="120" t="str">
        <f>IFERROR(VLOOKUP(Table1[RespondentID],'All Data'!$A$3:$CO$999,89,FALSE),"unknown")</f>
        <v>Suffolk</v>
      </c>
      <c r="AI401" s="120" t="str">
        <f>IFERROR(VLOOKUP(Table1[RespondentID],'All Data'!$A$3:$CO$999,90,FALSE),"unknown")</f>
        <v>Islip, 11751</v>
      </c>
      <c r="AJ401" s="120">
        <f>IFERROR(VLOOKUP(Table1[RespondentID],'All Data'!$A$3:$CO$999,91,FALSE),"unknown")</f>
        <v>0</v>
      </c>
      <c r="AK401" s="120" t="str">
        <f>IFERROR(VLOOKUP(Table1[RespondentID],'All Data'!$A$3:$CO$999,92,FALSE),"unknown")</f>
        <v>Not Hispanic or Latino</v>
      </c>
      <c r="AL401" s="120" t="str">
        <f>IFERROR(VLOOKUP(Table1[RespondentID],'All Data'!$A$3:$CO$999,93,FALSE),"unknown")</f>
        <v>English</v>
      </c>
      <c r="AM401" s="120" t="str">
        <f>IFERROR(VLOOKUP(Table1[RespondentID],'All Data'!$A$3:$CW$999,94,FALSE),"unknown")</f>
        <v>$35,000 to $49,999</v>
      </c>
      <c r="AN401" s="120" t="str">
        <f>IFERROR(VLOOKUP(Table1[RespondentID],'All Data'!$A$3:$CW$999,95,FALSE),"unknown")</f>
        <v>Doctorate</v>
      </c>
      <c r="AO401" s="120" t="str">
        <f>IFERROR(VLOOKUP(Table1[RespondentID],'All Data'!$A$3:$CW$999,96,FALSE),"unknown")</f>
        <v>Employed for wages</v>
      </c>
      <c r="AP401" s="120" t="str">
        <f>IFERROR(VLOOKUP(Table1[RespondentID],'All Data'!$A$3:$CW$999,97,FALSE),"unknown")</f>
        <v>Yes</v>
      </c>
      <c r="AQ401" s="120" t="str">
        <f>IFERROR(VLOOKUP(Table1[RespondentID],'All Data'!$A$3:$CW$999,98,FALSE),"unknown")</f>
        <v>Private/Commercial</v>
      </c>
      <c r="AR401" s="120" t="str">
        <f>IFERROR(VLOOKUP(Table1[RespondentID],'All Data'!$A$3:$CW$999,99,FALSE),"unknown")</f>
        <v>Yes</v>
      </c>
    </row>
    <row r="402" spans="1:44" ht="16">
      <c r="A402" s="133">
        <v>114086076324</v>
      </c>
      <c r="B402" s="134"/>
      <c r="C402" s="135"/>
      <c r="D402" s="135" t="s">
        <v>31</v>
      </c>
      <c r="E402" s="135"/>
      <c r="F402" s="135"/>
      <c r="G402" s="135"/>
      <c r="H402" s="135"/>
      <c r="I402" s="135"/>
      <c r="J402" s="135"/>
      <c r="K402" s="135"/>
      <c r="L402" s="133"/>
      <c r="M402" s="126">
        <f t="shared" si="90"/>
        <v>1</v>
      </c>
      <c r="N402" s="126">
        <f t="shared" si="91"/>
        <v>3</v>
      </c>
      <c r="O402" s="133"/>
      <c r="P402" s="126">
        <f t="shared" si="92"/>
        <v>0</v>
      </c>
      <c r="Q402" s="126">
        <f t="shared" si="93"/>
        <v>0</v>
      </c>
      <c r="R402" s="126">
        <f t="shared" si="94"/>
        <v>1</v>
      </c>
      <c r="S402" s="126">
        <f t="shared" si="95"/>
        <v>0</v>
      </c>
      <c r="T402" s="126">
        <f t="shared" si="96"/>
        <v>0</v>
      </c>
      <c r="U402" s="126">
        <f t="shared" si="97"/>
        <v>0</v>
      </c>
      <c r="V402" s="154">
        <f t="shared" si="98"/>
        <v>0</v>
      </c>
      <c r="W402" s="126">
        <f t="shared" si="99"/>
        <v>0</v>
      </c>
      <c r="X402" s="126">
        <f t="shared" si="100"/>
        <v>0</v>
      </c>
      <c r="Y402" s="126">
        <f t="shared" si="101"/>
        <v>0</v>
      </c>
      <c r="Z402" s="133"/>
      <c r="AA402" s="133"/>
      <c r="AB402" s="126"/>
      <c r="AC402" s="126">
        <f t="shared" si="102"/>
        <v>1</v>
      </c>
      <c r="AD402" s="126" t="str">
        <f t="shared" si="103"/>
        <v>Wrong</v>
      </c>
      <c r="AE402" s="133"/>
      <c r="AF402" s="120" t="str">
        <f>IFERROR(VLOOKUP(Table1[RespondentID],'All Data'!$A$3:$CO$999,87,FALSE),"unknown")</f>
        <v>Woman</v>
      </c>
      <c r="AG402" s="120">
        <f>IFERROR(VLOOKUP(Table1[RespondentID],'All Data'!$A$3:$CO$999,88,FALSE),"unknown")</f>
        <v>0</v>
      </c>
      <c r="AH402" s="120" t="str">
        <f>IFERROR(VLOOKUP(Table1[RespondentID],'All Data'!$A$3:$CO$999,89,FALSE),"unknown")</f>
        <v>Nassau</v>
      </c>
      <c r="AI402" s="120" t="str">
        <f>IFERROR(VLOOKUP(Table1[RespondentID],'All Data'!$A$3:$CO$999,90,FALSE),"unknown")</f>
        <v>Seaford, 11783</v>
      </c>
      <c r="AJ402" s="120">
        <f>IFERROR(VLOOKUP(Table1[RespondentID],'All Data'!$A$3:$CO$999,91,FALSE),"unknown")</f>
        <v>0</v>
      </c>
      <c r="AK402" s="120" t="str">
        <f>IFERROR(VLOOKUP(Table1[RespondentID],'All Data'!$A$3:$CO$999,92,FALSE),"unknown")</f>
        <v>Not Hispanic or Latino</v>
      </c>
      <c r="AL402" s="120" t="str">
        <f>IFERROR(VLOOKUP(Table1[RespondentID],'All Data'!$A$3:$CO$999,93,FALSE),"unknown")</f>
        <v>English</v>
      </c>
      <c r="AM402" s="120" t="str">
        <f>IFERROR(VLOOKUP(Table1[RespondentID],'All Data'!$A$3:$CW$999,94,FALSE),"unknown")</f>
        <v>Over $125,000</v>
      </c>
      <c r="AN402" s="120" t="str">
        <f>IFERROR(VLOOKUP(Table1[RespondentID],'All Data'!$A$3:$CW$999,95,FALSE),"unknown")</f>
        <v>College graduate</v>
      </c>
      <c r="AO402" s="120" t="str">
        <f>IFERROR(VLOOKUP(Table1[RespondentID],'All Data'!$A$3:$CW$999,96,FALSE),"unknown")</f>
        <v>Employed for wages</v>
      </c>
      <c r="AP402" s="120" t="str">
        <f>IFERROR(VLOOKUP(Table1[RespondentID],'All Data'!$A$3:$CW$999,97,FALSE),"unknown")</f>
        <v>Yes</v>
      </c>
      <c r="AQ402" s="120" t="str">
        <f>IFERROR(VLOOKUP(Table1[RespondentID],'All Data'!$A$3:$CW$999,98,FALSE),"unknown")</f>
        <v>Private/Commercial</v>
      </c>
      <c r="AR402" s="120" t="str">
        <f>IFERROR(VLOOKUP(Table1[RespondentID],'All Data'!$A$3:$CW$999,99,FALSE),"unknown")</f>
        <v>Yes</v>
      </c>
    </row>
    <row r="403" spans="1:44" ht="16">
      <c r="A403" s="133">
        <v>114086069086</v>
      </c>
      <c r="B403" s="134"/>
      <c r="C403" s="135"/>
      <c r="D403" s="135"/>
      <c r="E403" s="135"/>
      <c r="F403" s="135"/>
      <c r="G403" s="135"/>
      <c r="H403" s="135"/>
      <c r="I403" s="135"/>
      <c r="J403" s="135"/>
      <c r="K403" s="135"/>
      <c r="L403" s="133"/>
      <c r="M403" s="126">
        <f t="shared" si="90"/>
        <v>0</v>
      </c>
      <c r="N403" s="126" t="e">
        <f t="shared" si="91"/>
        <v>#DIV/0!</v>
      </c>
      <c r="O403" s="133"/>
      <c r="P403" s="126">
        <f t="shared" si="92"/>
        <v>0</v>
      </c>
      <c r="Q403" s="126">
        <f t="shared" si="93"/>
        <v>0</v>
      </c>
      <c r="R403" s="126">
        <f t="shared" si="94"/>
        <v>0</v>
      </c>
      <c r="S403" s="126">
        <f t="shared" si="95"/>
        <v>0</v>
      </c>
      <c r="T403" s="126">
        <f t="shared" si="96"/>
        <v>0</v>
      </c>
      <c r="U403" s="126">
        <f t="shared" si="97"/>
        <v>0</v>
      </c>
      <c r="V403" s="154">
        <f t="shared" si="98"/>
        <v>0</v>
      </c>
      <c r="W403" s="126">
        <f t="shared" si="99"/>
        <v>0</v>
      </c>
      <c r="X403" s="126">
        <f t="shared" si="100"/>
        <v>0</v>
      </c>
      <c r="Y403" s="126">
        <f t="shared" si="101"/>
        <v>0</v>
      </c>
      <c r="Z403" s="133"/>
      <c r="AA403" s="133"/>
      <c r="AB403" s="126"/>
      <c r="AC403" s="126">
        <f t="shared" si="102"/>
        <v>0</v>
      </c>
      <c r="AD403" s="126" t="str">
        <f t="shared" si="103"/>
        <v>Correct</v>
      </c>
      <c r="AE403" s="133"/>
      <c r="AF403" s="120" t="str">
        <f>IFERROR(VLOOKUP(Table1[RespondentID],'All Data'!$A$3:$CO$999,87,FALSE),"unknown")</f>
        <v>Woman</v>
      </c>
      <c r="AG403" s="120">
        <f>IFERROR(VLOOKUP(Table1[RespondentID],'All Data'!$A$3:$CO$999,88,FALSE),"unknown")</f>
        <v>0</v>
      </c>
      <c r="AH403" s="120" t="str">
        <f>IFERROR(VLOOKUP(Table1[RespondentID],'All Data'!$A$3:$CO$999,89,FALSE),"unknown")</f>
        <v>Nassau</v>
      </c>
      <c r="AI403" s="120" t="str">
        <f>IFERROR(VLOOKUP(Table1[RespondentID],'All Data'!$A$3:$CO$999,90,FALSE),"unknown")</f>
        <v>Garden City, 11530</v>
      </c>
      <c r="AJ403" s="120">
        <f>IFERROR(VLOOKUP(Table1[RespondentID],'All Data'!$A$3:$CO$999,91,FALSE),"unknown")</f>
        <v>0</v>
      </c>
      <c r="AK403" s="120" t="str">
        <f>IFERROR(VLOOKUP(Table1[RespondentID],'All Data'!$A$3:$CO$999,92,FALSE),"unknown")</f>
        <v>Not Hispanic or Latino</v>
      </c>
      <c r="AL403" s="120" t="str">
        <f>IFERROR(VLOOKUP(Table1[RespondentID],'All Data'!$A$3:$CO$999,93,FALSE),"unknown")</f>
        <v>English</v>
      </c>
      <c r="AM403" s="120" t="str">
        <f>IFERROR(VLOOKUP(Table1[RespondentID],'All Data'!$A$3:$CW$999,94,FALSE),"unknown")</f>
        <v>Over $125,000</v>
      </c>
      <c r="AN403" s="120" t="str">
        <f>IFERROR(VLOOKUP(Table1[RespondentID],'All Data'!$A$3:$CW$999,95,FALSE),"unknown")</f>
        <v>Graduate school</v>
      </c>
      <c r="AO403" s="120" t="str">
        <f>IFERROR(VLOOKUP(Table1[RespondentID],'All Data'!$A$3:$CW$999,96,FALSE),"unknown")</f>
        <v>Employed for wages</v>
      </c>
      <c r="AP403" s="120" t="str">
        <f>IFERROR(VLOOKUP(Table1[RespondentID],'All Data'!$A$3:$CW$999,97,FALSE),"unknown")</f>
        <v>Yes</v>
      </c>
      <c r="AQ403" s="120" t="str">
        <f>IFERROR(VLOOKUP(Table1[RespondentID],'All Data'!$A$3:$CW$999,98,FALSE),"unknown")</f>
        <v>Private/Commercial</v>
      </c>
      <c r="AR403" s="120" t="str">
        <f>IFERROR(VLOOKUP(Table1[RespondentID],'All Data'!$A$3:$CW$999,99,FALSE),"unknown")</f>
        <v>Yes</v>
      </c>
    </row>
    <row r="404" spans="1:44" ht="16">
      <c r="A404" s="133">
        <v>114086062451</v>
      </c>
      <c r="B404" s="134"/>
      <c r="C404" s="135"/>
      <c r="D404" s="135"/>
      <c r="E404" s="135"/>
      <c r="F404" s="135"/>
      <c r="G404" s="135" t="s">
        <v>34</v>
      </c>
      <c r="H404" s="135"/>
      <c r="I404" s="135"/>
      <c r="J404" s="135"/>
      <c r="K404" s="135"/>
      <c r="L404" s="133"/>
      <c r="M404" s="126">
        <f t="shared" si="90"/>
        <v>1</v>
      </c>
      <c r="N404" s="126">
        <f t="shared" si="91"/>
        <v>3</v>
      </c>
      <c r="O404" s="133"/>
      <c r="P404" s="126">
        <f t="shared" si="92"/>
        <v>0</v>
      </c>
      <c r="Q404" s="126">
        <f t="shared" si="93"/>
        <v>0</v>
      </c>
      <c r="R404" s="126">
        <f t="shared" si="94"/>
        <v>0</v>
      </c>
      <c r="S404" s="126">
        <f t="shared" si="95"/>
        <v>0</v>
      </c>
      <c r="T404" s="126">
        <f t="shared" si="96"/>
        <v>0</v>
      </c>
      <c r="U404" s="126">
        <f t="shared" si="97"/>
        <v>1</v>
      </c>
      <c r="V404" s="154">
        <f t="shared" si="98"/>
        <v>0</v>
      </c>
      <c r="W404" s="126">
        <f t="shared" si="99"/>
        <v>0</v>
      </c>
      <c r="X404" s="126">
        <f t="shared" si="100"/>
        <v>0</v>
      </c>
      <c r="Y404" s="126">
        <f t="shared" si="101"/>
        <v>0</v>
      </c>
      <c r="Z404" s="133"/>
      <c r="AA404" s="133"/>
      <c r="AB404" s="126"/>
      <c r="AC404" s="126">
        <f t="shared" si="102"/>
        <v>1</v>
      </c>
      <c r="AD404" s="126" t="str">
        <f t="shared" si="103"/>
        <v>Wrong</v>
      </c>
      <c r="AE404" s="133"/>
      <c r="AF404" s="120" t="str">
        <f>IFERROR(VLOOKUP(Table1[RespondentID],'All Data'!$A$3:$CO$999,87,FALSE),"unknown")</f>
        <v>Woman</v>
      </c>
      <c r="AG404" s="120">
        <f>IFERROR(VLOOKUP(Table1[RespondentID],'All Data'!$A$3:$CO$999,88,FALSE),"unknown")</f>
        <v>0</v>
      </c>
      <c r="AH404" s="120" t="str">
        <f>IFERROR(VLOOKUP(Table1[RespondentID],'All Data'!$A$3:$CO$999,89,FALSE),"unknown")</f>
        <v>Nassau</v>
      </c>
      <c r="AI404" s="120" t="str">
        <f>IFERROR(VLOOKUP(Table1[RespondentID],'All Data'!$A$3:$CO$999,90,FALSE),"unknown")</f>
        <v>Freeport, 11520</v>
      </c>
      <c r="AJ404" s="120">
        <f>IFERROR(VLOOKUP(Table1[RespondentID],'All Data'!$A$3:$CO$999,91,FALSE),"unknown")</f>
        <v>0</v>
      </c>
      <c r="AK404" s="120" t="str">
        <f>IFERROR(VLOOKUP(Table1[RespondentID],'All Data'!$A$3:$CO$999,92,FALSE),"unknown")</f>
        <v>Not Hispanic or Latino</v>
      </c>
      <c r="AL404" s="120" t="str">
        <f>IFERROR(VLOOKUP(Table1[RespondentID],'All Data'!$A$3:$CO$999,93,FALSE),"unknown")</f>
        <v>English,Haitian Creole,French Creole</v>
      </c>
      <c r="AM404" s="120" t="str">
        <f>IFERROR(VLOOKUP(Table1[RespondentID],'All Data'!$A$3:$CW$999,94,FALSE),"unknown")</f>
        <v>Over $125,000</v>
      </c>
      <c r="AN404" s="120" t="str">
        <f>IFERROR(VLOOKUP(Table1[RespondentID],'All Data'!$A$3:$CW$999,95,FALSE),"unknown")</f>
        <v>Doctorate</v>
      </c>
      <c r="AO404" s="120" t="str">
        <f>IFERROR(VLOOKUP(Table1[RespondentID],'All Data'!$A$3:$CW$999,96,FALSE),"unknown")</f>
        <v>Employed for wages</v>
      </c>
      <c r="AP404" s="120" t="str">
        <f>IFERROR(VLOOKUP(Table1[RespondentID],'All Data'!$A$3:$CW$999,97,FALSE),"unknown")</f>
        <v>Yes</v>
      </c>
      <c r="AQ404" s="120" t="str">
        <f>IFERROR(VLOOKUP(Table1[RespondentID],'All Data'!$A$3:$CW$999,98,FALSE),"unknown")</f>
        <v>Private/Commercial</v>
      </c>
      <c r="AR404" s="120" t="str">
        <f>IFERROR(VLOOKUP(Table1[RespondentID],'All Data'!$A$3:$CW$999,99,FALSE),"unknown")</f>
        <v>Yes</v>
      </c>
    </row>
    <row r="405" spans="1:44" ht="16">
      <c r="A405" s="133">
        <v>114085969464</v>
      </c>
      <c r="B405" s="134"/>
      <c r="C405" s="135"/>
      <c r="D405" s="135"/>
      <c r="E405" s="135"/>
      <c r="F405" s="135"/>
      <c r="G405" s="135" t="s">
        <v>34</v>
      </c>
      <c r="H405" s="135"/>
      <c r="I405" s="135"/>
      <c r="J405" s="135"/>
      <c r="K405" s="135"/>
      <c r="L405" s="133"/>
      <c r="M405" s="126">
        <f t="shared" si="90"/>
        <v>1</v>
      </c>
      <c r="N405" s="126">
        <f t="shared" si="91"/>
        <v>3</v>
      </c>
      <c r="O405" s="133"/>
      <c r="P405" s="126">
        <f t="shared" si="92"/>
        <v>0</v>
      </c>
      <c r="Q405" s="126">
        <f t="shared" si="93"/>
        <v>0</v>
      </c>
      <c r="R405" s="126">
        <f t="shared" si="94"/>
        <v>0</v>
      </c>
      <c r="S405" s="126">
        <f t="shared" si="95"/>
        <v>0</v>
      </c>
      <c r="T405" s="126">
        <f t="shared" si="96"/>
        <v>0</v>
      </c>
      <c r="U405" s="126">
        <f t="shared" si="97"/>
        <v>1</v>
      </c>
      <c r="V405" s="154">
        <f t="shared" si="98"/>
        <v>0</v>
      </c>
      <c r="W405" s="126">
        <f t="shared" si="99"/>
        <v>0</v>
      </c>
      <c r="X405" s="126">
        <f t="shared" si="100"/>
        <v>0</v>
      </c>
      <c r="Y405" s="126">
        <f t="shared" si="101"/>
        <v>0</v>
      </c>
      <c r="Z405" s="133"/>
      <c r="AA405" s="133"/>
      <c r="AB405" s="126"/>
      <c r="AC405" s="126">
        <f t="shared" si="102"/>
        <v>1</v>
      </c>
      <c r="AD405" s="126" t="str">
        <f t="shared" si="103"/>
        <v>Wrong</v>
      </c>
      <c r="AE405" s="133"/>
      <c r="AF405" s="120" t="str">
        <f>IFERROR(VLOOKUP(Table1[RespondentID],'All Data'!$A$3:$CO$999,87,FALSE),"unknown")</f>
        <v>Man</v>
      </c>
      <c r="AG405" s="120">
        <f>IFERROR(VLOOKUP(Table1[RespondentID],'All Data'!$A$3:$CO$999,88,FALSE),"unknown")</f>
        <v>0</v>
      </c>
      <c r="AH405" s="120" t="str">
        <f>IFERROR(VLOOKUP(Table1[RespondentID],'All Data'!$A$3:$CO$999,89,FALSE),"unknown")</f>
        <v>Suffolk</v>
      </c>
      <c r="AI405" s="120" t="str">
        <f>IFERROR(VLOOKUP(Table1[RespondentID],'All Data'!$A$3:$CO$999,90,FALSE),"unknown")</f>
        <v>Babylon, 11704</v>
      </c>
      <c r="AJ405" s="120">
        <f>IFERROR(VLOOKUP(Table1[RespondentID],'All Data'!$A$3:$CO$999,91,FALSE),"unknown")</f>
        <v>0</v>
      </c>
      <c r="AK405" s="120">
        <f>IFERROR(VLOOKUP(Table1[RespondentID],'All Data'!$A$3:$CO$999,92,FALSE),"unknown")</f>
        <v>0</v>
      </c>
      <c r="AL405" s="120" t="str">
        <f>IFERROR(VLOOKUP(Table1[RespondentID],'All Data'!$A$3:$CO$999,93,FALSE),"unknown")</f>
        <v>English</v>
      </c>
      <c r="AM405" s="120" t="str">
        <f>IFERROR(VLOOKUP(Table1[RespondentID],'All Data'!$A$3:$CW$999,94,FALSE),"unknown")</f>
        <v>Over $125,000</v>
      </c>
      <c r="AN405" s="120" t="str">
        <f>IFERROR(VLOOKUP(Table1[RespondentID],'All Data'!$A$3:$CW$999,95,FALSE),"unknown")</f>
        <v>College graduate</v>
      </c>
      <c r="AO405" s="120" t="str">
        <f>IFERROR(VLOOKUP(Table1[RespondentID],'All Data'!$A$3:$CW$999,96,FALSE),"unknown")</f>
        <v>Employed for wages</v>
      </c>
      <c r="AP405" s="120" t="str">
        <f>IFERROR(VLOOKUP(Table1[RespondentID],'All Data'!$A$3:$CW$999,97,FALSE),"unknown")</f>
        <v>Yes</v>
      </c>
      <c r="AQ405" s="120" t="str">
        <f>IFERROR(VLOOKUP(Table1[RespondentID],'All Data'!$A$3:$CW$999,98,FALSE),"unknown")</f>
        <v>Private/Commercial</v>
      </c>
      <c r="AR405" s="120" t="str">
        <f>IFERROR(VLOOKUP(Table1[RespondentID],'All Data'!$A$3:$CW$999,99,FALSE),"unknown")</f>
        <v>Yes</v>
      </c>
    </row>
    <row r="406" spans="1:44" ht="16">
      <c r="A406" s="133">
        <v>114085966921</v>
      </c>
      <c r="B406" s="134"/>
      <c r="C406" s="135" t="s">
        <v>30</v>
      </c>
      <c r="D406" s="135"/>
      <c r="E406" s="135" t="s">
        <v>32</v>
      </c>
      <c r="F406" s="135"/>
      <c r="G406" s="135"/>
      <c r="H406" s="135"/>
      <c r="I406" s="135"/>
      <c r="J406" s="135"/>
      <c r="K406" s="135"/>
      <c r="L406" s="133"/>
      <c r="M406" s="126">
        <f t="shared" si="90"/>
        <v>2</v>
      </c>
      <c r="N406" s="126">
        <f t="shared" si="91"/>
        <v>1.5</v>
      </c>
      <c r="O406" s="133"/>
      <c r="P406" s="126">
        <f t="shared" si="92"/>
        <v>0</v>
      </c>
      <c r="Q406" s="126">
        <f t="shared" si="93"/>
        <v>1</v>
      </c>
      <c r="R406" s="126">
        <f t="shared" si="94"/>
        <v>0</v>
      </c>
      <c r="S406" s="126">
        <f t="shared" si="95"/>
        <v>1</v>
      </c>
      <c r="T406" s="126">
        <f t="shared" si="96"/>
        <v>0</v>
      </c>
      <c r="U406" s="126">
        <f t="shared" si="97"/>
        <v>0</v>
      </c>
      <c r="V406" s="154">
        <f t="shared" si="98"/>
        <v>0</v>
      </c>
      <c r="W406" s="126">
        <f t="shared" si="99"/>
        <v>0</v>
      </c>
      <c r="X406" s="126">
        <f t="shared" si="100"/>
        <v>0</v>
      </c>
      <c r="Y406" s="126">
        <f t="shared" si="101"/>
        <v>0</v>
      </c>
      <c r="Z406" s="133"/>
      <c r="AA406" s="133"/>
      <c r="AB406" s="126"/>
      <c r="AC406" s="126">
        <f t="shared" si="102"/>
        <v>2</v>
      </c>
      <c r="AD406" s="126" t="str">
        <f t="shared" si="103"/>
        <v>Wrong</v>
      </c>
      <c r="AE406" s="133"/>
      <c r="AF406" s="120" t="str">
        <f>IFERROR(VLOOKUP(Table1[RespondentID],'All Data'!$A$3:$CO$999,87,FALSE),"unknown")</f>
        <v>Woman</v>
      </c>
      <c r="AG406" s="120">
        <f>IFERROR(VLOOKUP(Table1[RespondentID],'All Data'!$A$3:$CO$999,88,FALSE),"unknown")</f>
        <v>0</v>
      </c>
      <c r="AH406" s="120" t="str">
        <f>IFERROR(VLOOKUP(Table1[RespondentID],'All Data'!$A$3:$CO$999,89,FALSE),"unknown")</f>
        <v>Nassau</v>
      </c>
      <c r="AI406" s="120" t="str">
        <f>IFERROR(VLOOKUP(Table1[RespondentID],'All Data'!$A$3:$CO$999,90,FALSE),"unknown")</f>
        <v>Massapequa, 11758</v>
      </c>
      <c r="AJ406" s="120">
        <f>IFERROR(VLOOKUP(Table1[RespondentID],'All Data'!$A$3:$CO$999,91,FALSE),"unknown")</f>
        <v>0</v>
      </c>
      <c r="AK406" s="120" t="str">
        <f>IFERROR(VLOOKUP(Table1[RespondentID],'All Data'!$A$3:$CO$999,92,FALSE),"unknown")</f>
        <v>Not Hispanic or Latino</v>
      </c>
      <c r="AL406" s="120" t="str">
        <f>IFERROR(VLOOKUP(Table1[RespondentID],'All Data'!$A$3:$CO$999,93,FALSE),"unknown")</f>
        <v>English</v>
      </c>
      <c r="AM406" s="120" t="str">
        <f>IFERROR(VLOOKUP(Table1[RespondentID],'All Data'!$A$3:$CW$999,94,FALSE),"unknown")</f>
        <v>Over $125,000</v>
      </c>
      <c r="AN406" s="120" t="str">
        <f>IFERROR(VLOOKUP(Table1[RespondentID],'All Data'!$A$3:$CW$999,95,FALSE),"unknown")</f>
        <v>College graduate</v>
      </c>
      <c r="AO406" s="120" t="str">
        <f>IFERROR(VLOOKUP(Table1[RespondentID],'All Data'!$A$3:$CW$999,96,FALSE),"unknown")</f>
        <v>Employed for wages</v>
      </c>
      <c r="AP406" s="120" t="str">
        <f>IFERROR(VLOOKUP(Table1[RespondentID],'All Data'!$A$3:$CW$999,97,FALSE),"unknown")</f>
        <v>Yes</v>
      </c>
      <c r="AQ406" s="120" t="str">
        <f>IFERROR(VLOOKUP(Table1[RespondentID],'All Data'!$A$3:$CW$999,98,FALSE),"unknown")</f>
        <v>Private/Commercial</v>
      </c>
      <c r="AR406" s="120" t="str">
        <f>IFERROR(VLOOKUP(Table1[RespondentID],'All Data'!$A$3:$CW$999,99,FALSE),"unknown")</f>
        <v>Yes</v>
      </c>
    </row>
    <row r="407" spans="1:44" ht="16">
      <c r="A407" s="133">
        <v>114085904332</v>
      </c>
      <c r="B407" s="134"/>
      <c r="C407" s="135"/>
      <c r="D407" s="135" t="s">
        <v>31</v>
      </c>
      <c r="E407" s="135"/>
      <c r="F407" s="135"/>
      <c r="G407" s="135"/>
      <c r="H407" s="135"/>
      <c r="I407" s="135"/>
      <c r="J407" s="135"/>
      <c r="K407" s="135"/>
      <c r="L407" s="133"/>
      <c r="M407" s="126">
        <f t="shared" si="90"/>
        <v>1</v>
      </c>
      <c r="N407" s="126">
        <f t="shared" si="91"/>
        <v>3</v>
      </c>
      <c r="O407" s="133"/>
      <c r="P407" s="126">
        <f t="shared" si="92"/>
        <v>0</v>
      </c>
      <c r="Q407" s="126">
        <f t="shared" si="93"/>
        <v>0</v>
      </c>
      <c r="R407" s="126">
        <f t="shared" si="94"/>
        <v>1</v>
      </c>
      <c r="S407" s="126">
        <f t="shared" si="95"/>
        <v>0</v>
      </c>
      <c r="T407" s="126">
        <f t="shared" si="96"/>
        <v>0</v>
      </c>
      <c r="U407" s="126">
        <f t="shared" si="97"/>
        <v>0</v>
      </c>
      <c r="V407" s="154">
        <f t="shared" si="98"/>
        <v>0</v>
      </c>
      <c r="W407" s="126">
        <f t="shared" si="99"/>
        <v>0</v>
      </c>
      <c r="X407" s="126">
        <f t="shared" si="100"/>
        <v>0</v>
      </c>
      <c r="Y407" s="126">
        <f t="shared" si="101"/>
        <v>0</v>
      </c>
      <c r="Z407" s="133"/>
      <c r="AA407" s="133"/>
      <c r="AB407" s="126"/>
      <c r="AC407" s="126">
        <f t="shared" si="102"/>
        <v>1</v>
      </c>
      <c r="AD407" s="126" t="str">
        <f t="shared" si="103"/>
        <v>Wrong</v>
      </c>
      <c r="AE407" s="133"/>
      <c r="AF407" s="120" t="str">
        <f>IFERROR(VLOOKUP(Table1[RespondentID],'All Data'!$A$3:$CO$999,87,FALSE),"unknown")</f>
        <v>Woman</v>
      </c>
      <c r="AG407" s="120">
        <f>IFERROR(VLOOKUP(Table1[RespondentID],'All Data'!$A$3:$CO$999,88,FALSE),"unknown")</f>
        <v>0</v>
      </c>
      <c r="AH407" s="120" t="str">
        <f>IFERROR(VLOOKUP(Table1[RespondentID],'All Data'!$A$3:$CO$999,89,FALSE),"unknown")</f>
        <v>Nassau</v>
      </c>
      <c r="AI407" s="120" t="str">
        <f>IFERROR(VLOOKUP(Table1[RespondentID],'All Data'!$A$3:$CO$999,90,FALSE),"unknown")</f>
        <v>Hempstead, 11550</v>
      </c>
      <c r="AJ407" s="120">
        <f>IFERROR(VLOOKUP(Table1[RespondentID],'All Data'!$A$3:$CO$999,91,FALSE),"unknown")</f>
        <v>0</v>
      </c>
      <c r="AK407" s="120">
        <f>IFERROR(VLOOKUP(Table1[RespondentID],'All Data'!$A$3:$CO$999,92,FALSE),"unknown")</f>
        <v>0</v>
      </c>
      <c r="AL407" s="120">
        <f>IFERROR(VLOOKUP(Table1[RespondentID],'All Data'!$A$3:$CO$999,93,FALSE),"unknown")</f>
        <v>0</v>
      </c>
      <c r="AM407" s="120">
        <f>IFERROR(VLOOKUP(Table1[RespondentID],'All Data'!$A$3:$CW$999,94,FALSE),"unknown")</f>
        <v>0</v>
      </c>
      <c r="AN407" s="120">
        <f>IFERROR(VLOOKUP(Table1[RespondentID],'All Data'!$A$3:$CW$999,95,FALSE),"unknown")</f>
        <v>0</v>
      </c>
      <c r="AO407" s="120">
        <f>IFERROR(VLOOKUP(Table1[RespondentID],'All Data'!$A$3:$CW$999,96,FALSE),"unknown")</f>
        <v>0</v>
      </c>
      <c r="AP407" s="120">
        <f>IFERROR(VLOOKUP(Table1[RespondentID],'All Data'!$A$3:$CW$999,97,FALSE),"unknown")</f>
        <v>0</v>
      </c>
      <c r="AQ407" s="120">
        <f>IFERROR(VLOOKUP(Table1[RespondentID],'All Data'!$A$3:$CW$999,98,FALSE),"unknown")</f>
        <v>0</v>
      </c>
      <c r="AR407" s="120">
        <f>IFERROR(VLOOKUP(Table1[RespondentID],'All Data'!$A$3:$CW$999,99,FALSE),"unknown")</f>
        <v>0</v>
      </c>
    </row>
    <row r="408" spans="1:44" ht="16">
      <c r="A408" s="133">
        <v>114085903127</v>
      </c>
      <c r="B408" s="134" t="s">
        <v>29</v>
      </c>
      <c r="C408" s="135"/>
      <c r="D408" s="135"/>
      <c r="E408" s="135"/>
      <c r="F408" s="135" t="s">
        <v>33</v>
      </c>
      <c r="G408" s="135"/>
      <c r="H408" s="135"/>
      <c r="I408" s="135"/>
      <c r="J408" s="135"/>
      <c r="K408" s="135"/>
      <c r="L408" s="133"/>
      <c r="M408" s="126">
        <f t="shared" si="90"/>
        <v>2</v>
      </c>
      <c r="N408" s="126">
        <f t="shared" si="91"/>
        <v>1.5</v>
      </c>
      <c r="O408" s="133"/>
      <c r="P408" s="126">
        <f t="shared" si="92"/>
        <v>1</v>
      </c>
      <c r="Q408" s="126">
        <f t="shared" si="93"/>
        <v>0</v>
      </c>
      <c r="R408" s="126">
        <f t="shared" si="94"/>
        <v>0</v>
      </c>
      <c r="S408" s="126">
        <f t="shared" si="95"/>
        <v>0</v>
      </c>
      <c r="T408" s="126">
        <f t="shared" si="96"/>
        <v>1</v>
      </c>
      <c r="U408" s="126">
        <f t="shared" si="97"/>
        <v>0</v>
      </c>
      <c r="V408" s="154">
        <f t="shared" si="98"/>
        <v>0</v>
      </c>
      <c r="W408" s="126">
        <f t="shared" si="99"/>
        <v>0</v>
      </c>
      <c r="X408" s="126">
        <f t="shared" si="100"/>
        <v>0</v>
      </c>
      <c r="Y408" s="126">
        <f t="shared" si="101"/>
        <v>0</v>
      </c>
      <c r="Z408" s="133"/>
      <c r="AA408" s="133"/>
      <c r="AB408" s="126"/>
      <c r="AC408" s="126">
        <f t="shared" si="102"/>
        <v>2</v>
      </c>
      <c r="AD408" s="126" t="str">
        <f t="shared" si="103"/>
        <v>Wrong</v>
      </c>
      <c r="AE408" s="133"/>
      <c r="AF408" s="120" t="str">
        <f>IFERROR(VLOOKUP(Table1[RespondentID],'All Data'!$A$3:$CO$999,87,FALSE),"unknown")</f>
        <v>Woman</v>
      </c>
      <c r="AG408" s="120">
        <f>IFERROR(VLOOKUP(Table1[RespondentID],'All Data'!$A$3:$CO$999,88,FALSE),"unknown")</f>
        <v>0</v>
      </c>
      <c r="AH408" s="120" t="str">
        <f>IFERROR(VLOOKUP(Table1[RespondentID],'All Data'!$A$3:$CO$999,89,FALSE),"unknown")</f>
        <v>Nassau</v>
      </c>
      <c r="AI408" s="120" t="str">
        <f>IFERROR(VLOOKUP(Table1[RespondentID],'All Data'!$A$3:$CO$999,90,FALSE),"unknown")</f>
        <v>Hewlett Neck, 11598</v>
      </c>
      <c r="AJ408" s="120">
        <f>IFERROR(VLOOKUP(Table1[RespondentID],'All Data'!$A$3:$CO$999,91,FALSE),"unknown")</f>
        <v>0</v>
      </c>
      <c r="AK408" s="120" t="str">
        <f>IFERROR(VLOOKUP(Table1[RespondentID],'All Data'!$A$3:$CO$999,92,FALSE),"unknown")</f>
        <v>Not Hispanic or Latino</v>
      </c>
      <c r="AL408" s="120">
        <f>IFERROR(VLOOKUP(Table1[RespondentID],'All Data'!$A$3:$CO$999,93,FALSE),"unknown")</f>
        <v>0</v>
      </c>
      <c r="AM408" s="120" t="str">
        <f>IFERROR(VLOOKUP(Table1[RespondentID],'All Data'!$A$3:$CW$999,94,FALSE),"unknown")</f>
        <v>$50,000 to $74,999</v>
      </c>
      <c r="AN408" s="120" t="str">
        <f>IFERROR(VLOOKUP(Table1[RespondentID],'All Data'!$A$3:$CW$999,95,FALSE),"unknown")</f>
        <v>Graduate school</v>
      </c>
      <c r="AO408" s="120">
        <f>IFERROR(VLOOKUP(Table1[RespondentID],'All Data'!$A$3:$CW$999,96,FALSE),"unknown")</f>
        <v>0</v>
      </c>
      <c r="AP408" s="120">
        <f>IFERROR(VLOOKUP(Table1[RespondentID],'All Data'!$A$3:$CW$999,97,FALSE),"unknown")</f>
        <v>0</v>
      </c>
      <c r="AQ408" s="120" t="str">
        <f>IFERROR(VLOOKUP(Table1[RespondentID],'All Data'!$A$3:$CW$999,98,FALSE),"unknown")</f>
        <v>Private/Commercial</v>
      </c>
      <c r="AR408" s="120" t="str">
        <f>IFERROR(VLOOKUP(Table1[RespondentID],'All Data'!$A$3:$CW$999,99,FALSE),"unknown")</f>
        <v>Yes</v>
      </c>
    </row>
    <row r="409" spans="1:44" ht="16">
      <c r="A409" s="133">
        <v>114085875144</v>
      </c>
      <c r="B409" s="134"/>
      <c r="C409" s="135" t="s">
        <v>30</v>
      </c>
      <c r="D409" s="135"/>
      <c r="E409" s="135" t="s">
        <v>32</v>
      </c>
      <c r="F409" s="135"/>
      <c r="G409" s="135"/>
      <c r="H409" s="135"/>
      <c r="I409" s="135"/>
      <c r="J409" s="135"/>
      <c r="K409" s="135"/>
      <c r="L409" s="133"/>
      <c r="M409" s="126">
        <f t="shared" si="90"/>
        <v>2</v>
      </c>
      <c r="N409" s="126">
        <f t="shared" si="91"/>
        <v>1.5</v>
      </c>
      <c r="O409" s="133"/>
      <c r="P409" s="126">
        <f t="shared" si="92"/>
        <v>0</v>
      </c>
      <c r="Q409" s="126">
        <f t="shared" si="93"/>
        <v>1</v>
      </c>
      <c r="R409" s="126">
        <f t="shared" si="94"/>
        <v>0</v>
      </c>
      <c r="S409" s="126">
        <f t="shared" si="95"/>
        <v>1</v>
      </c>
      <c r="T409" s="126">
        <f t="shared" si="96"/>
        <v>0</v>
      </c>
      <c r="U409" s="126">
        <f t="shared" si="97"/>
        <v>0</v>
      </c>
      <c r="V409" s="154">
        <f t="shared" si="98"/>
        <v>0</v>
      </c>
      <c r="W409" s="126">
        <f t="shared" si="99"/>
        <v>0</v>
      </c>
      <c r="X409" s="126">
        <f t="shared" si="100"/>
        <v>0</v>
      </c>
      <c r="Y409" s="126">
        <f t="shared" si="101"/>
        <v>0</v>
      </c>
      <c r="Z409" s="133"/>
      <c r="AA409" s="133"/>
      <c r="AB409" s="126"/>
      <c r="AC409" s="126">
        <f t="shared" si="102"/>
        <v>2</v>
      </c>
      <c r="AD409" s="126" t="str">
        <f t="shared" si="103"/>
        <v>Wrong</v>
      </c>
      <c r="AE409" s="133"/>
      <c r="AF409" s="120" t="str">
        <f>IFERROR(VLOOKUP(Table1[RespondentID],'All Data'!$A$3:$CO$999,87,FALSE),"unknown")</f>
        <v>Woman</v>
      </c>
      <c r="AG409" s="120">
        <f>IFERROR(VLOOKUP(Table1[RespondentID],'All Data'!$A$3:$CO$999,88,FALSE),"unknown")</f>
        <v>0</v>
      </c>
      <c r="AH409" s="120" t="str">
        <f>IFERROR(VLOOKUP(Table1[RespondentID],'All Data'!$A$3:$CO$999,89,FALSE),"unknown")</f>
        <v>Nassau</v>
      </c>
      <c r="AI409" s="120" t="str">
        <f>IFERROR(VLOOKUP(Table1[RespondentID],'All Data'!$A$3:$CO$999,90,FALSE),"unknown")</f>
        <v>Lakeview, 11552</v>
      </c>
      <c r="AJ409" s="120">
        <f>IFERROR(VLOOKUP(Table1[RespondentID],'All Data'!$A$3:$CO$999,91,FALSE),"unknown")</f>
        <v>0</v>
      </c>
      <c r="AK409" s="120" t="str">
        <f>IFERROR(VLOOKUP(Table1[RespondentID],'All Data'!$A$3:$CO$999,92,FALSE),"unknown")</f>
        <v>Not Hispanic or Latino</v>
      </c>
      <c r="AL409" s="120" t="str">
        <f>IFERROR(VLOOKUP(Table1[RespondentID],'All Data'!$A$3:$CO$999,93,FALSE),"unknown")</f>
        <v>English</v>
      </c>
      <c r="AM409" s="120" t="str">
        <f>IFERROR(VLOOKUP(Table1[RespondentID],'All Data'!$A$3:$CW$999,94,FALSE),"unknown")</f>
        <v>$50,000 to $74,999</v>
      </c>
      <c r="AN409" s="120" t="str">
        <f>IFERROR(VLOOKUP(Table1[RespondentID],'All Data'!$A$3:$CW$999,95,FALSE),"unknown")</f>
        <v>College graduate</v>
      </c>
      <c r="AO409" s="120">
        <f>IFERROR(VLOOKUP(Table1[RespondentID],'All Data'!$A$3:$CW$999,96,FALSE),"unknown")</f>
        <v>0</v>
      </c>
      <c r="AP409" s="120">
        <f>IFERROR(VLOOKUP(Table1[RespondentID],'All Data'!$A$3:$CW$999,97,FALSE),"unknown")</f>
        <v>0</v>
      </c>
      <c r="AQ409" s="120" t="str">
        <f>IFERROR(VLOOKUP(Table1[RespondentID],'All Data'!$A$3:$CW$999,98,FALSE),"unknown")</f>
        <v>Private/Commercial</v>
      </c>
      <c r="AR409" s="120" t="str">
        <f>IFERROR(VLOOKUP(Table1[RespondentID],'All Data'!$A$3:$CW$999,99,FALSE),"unknown")</f>
        <v>Yes</v>
      </c>
    </row>
    <row r="410" spans="1:44" ht="16">
      <c r="A410" s="133">
        <v>114085855650</v>
      </c>
      <c r="B410" s="134"/>
      <c r="C410" s="135"/>
      <c r="D410" s="135"/>
      <c r="E410" s="135"/>
      <c r="F410" s="135"/>
      <c r="G410" s="135" t="s">
        <v>34</v>
      </c>
      <c r="H410" s="135"/>
      <c r="I410" s="135"/>
      <c r="J410" s="135"/>
      <c r="K410" s="135"/>
      <c r="L410" s="133"/>
      <c r="M410" s="126">
        <f t="shared" si="90"/>
        <v>1</v>
      </c>
      <c r="N410" s="126">
        <f t="shared" si="91"/>
        <v>3</v>
      </c>
      <c r="O410" s="133"/>
      <c r="P410" s="126">
        <f t="shared" si="92"/>
        <v>0</v>
      </c>
      <c r="Q410" s="126">
        <f t="shared" si="93"/>
        <v>0</v>
      </c>
      <c r="R410" s="126">
        <f t="shared" si="94"/>
        <v>0</v>
      </c>
      <c r="S410" s="126">
        <f t="shared" si="95"/>
        <v>0</v>
      </c>
      <c r="T410" s="126">
        <f t="shared" si="96"/>
        <v>0</v>
      </c>
      <c r="U410" s="126">
        <f t="shared" si="97"/>
        <v>1</v>
      </c>
      <c r="V410" s="154">
        <f t="shared" si="98"/>
        <v>0</v>
      </c>
      <c r="W410" s="126">
        <f t="shared" si="99"/>
        <v>0</v>
      </c>
      <c r="X410" s="126">
        <f t="shared" si="100"/>
        <v>0</v>
      </c>
      <c r="Y410" s="126">
        <f t="shared" si="101"/>
        <v>0</v>
      </c>
      <c r="Z410" s="133"/>
      <c r="AA410" s="133"/>
      <c r="AB410" s="126"/>
      <c r="AC410" s="126">
        <f t="shared" si="102"/>
        <v>1</v>
      </c>
      <c r="AD410" s="126" t="str">
        <f t="shared" si="103"/>
        <v>Wrong</v>
      </c>
      <c r="AE410" s="133"/>
      <c r="AF410" s="120" t="str">
        <f>IFERROR(VLOOKUP(Table1[RespondentID],'All Data'!$A$3:$CO$999,87,FALSE),"unknown")</f>
        <v>Man</v>
      </c>
      <c r="AG410" s="120">
        <f>IFERROR(VLOOKUP(Table1[RespondentID],'All Data'!$A$3:$CO$999,88,FALSE),"unknown")</f>
        <v>0</v>
      </c>
      <c r="AH410" s="120" t="str">
        <f>IFERROR(VLOOKUP(Table1[RespondentID],'All Data'!$A$3:$CO$999,89,FALSE),"unknown")</f>
        <v>Nassau</v>
      </c>
      <c r="AI410" s="120" t="str">
        <f>IFERROR(VLOOKUP(Table1[RespondentID],'All Data'!$A$3:$CO$999,90,FALSE),"unknown")</f>
        <v>Levittown, 11756</v>
      </c>
      <c r="AJ410" s="120">
        <f>IFERROR(VLOOKUP(Table1[RespondentID],'All Data'!$A$3:$CO$999,91,FALSE),"unknown")</f>
        <v>0</v>
      </c>
      <c r="AK410" s="120" t="str">
        <f>IFERROR(VLOOKUP(Table1[RespondentID],'All Data'!$A$3:$CO$999,92,FALSE),"unknown")</f>
        <v>Not Hispanic or Latino</v>
      </c>
      <c r="AL410" s="120" t="str">
        <f>IFERROR(VLOOKUP(Table1[RespondentID],'All Data'!$A$3:$CO$999,93,FALSE),"unknown")</f>
        <v>English</v>
      </c>
      <c r="AM410" s="120">
        <f>IFERROR(VLOOKUP(Table1[RespondentID],'All Data'!$A$3:$CW$999,94,FALSE),"unknown")</f>
        <v>0</v>
      </c>
      <c r="AN410" s="120" t="str">
        <f>IFERROR(VLOOKUP(Table1[RespondentID],'All Data'!$A$3:$CW$999,95,FALSE),"unknown")</f>
        <v>Some college</v>
      </c>
      <c r="AO410" s="120">
        <f>IFERROR(VLOOKUP(Table1[RespondentID],'All Data'!$A$3:$CW$999,96,FALSE),"unknown")</f>
        <v>0</v>
      </c>
      <c r="AP410" s="120">
        <f>IFERROR(VLOOKUP(Table1[RespondentID],'All Data'!$A$3:$CW$999,97,FALSE),"unknown")</f>
        <v>0</v>
      </c>
      <c r="AQ410" s="120" t="str">
        <f>IFERROR(VLOOKUP(Table1[RespondentID],'All Data'!$A$3:$CW$999,98,FALSE),"unknown")</f>
        <v>Medicare</v>
      </c>
      <c r="AR410" s="120" t="str">
        <f>IFERROR(VLOOKUP(Table1[RespondentID],'All Data'!$A$3:$CW$999,99,FALSE),"unknown")</f>
        <v>Yes</v>
      </c>
    </row>
    <row r="411" spans="1:44" ht="16">
      <c r="A411" s="133">
        <v>114085847217</v>
      </c>
      <c r="B411" s="134"/>
      <c r="C411" s="135"/>
      <c r="D411" s="135"/>
      <c r="E411" s="135"/>
      <c r="F411" s="135"/>
      <c r="G411" s="135" t="s">
        <v>34</v>
      </c>
      <c r="H411" s="135"/>
      <c r="I411" s="135"/>
      <c r="J411" s="135"/>
      <c r="K411" s="135"/>
      <c r="L411" s="133"/>
      <c r="M411" s="126">
        <f t="shared" si="90"/>
        <v>1</v>
      </c>
      <c r="N411" s="126">
        <f t="shared" si="91"/>
        <v>3</v>
      </c>
      <c r="O411" s="133"/>
      <c r="P411" s="126">
        <f t="shared" si="92"/>
        <v>0</v>
      </c>
      <c r="Q411" s="126">
        <f t="shared" si="93"/>
        <v>0</v>
      </c>
      <c r="R411" s="126">
        <f t="shared" si="94"/>
        <v>0</v>
      </c>
      <c r="S411" s="126">
        <f t="shared" si="95"/>
        <v>0</v>
      </c>
      <c r="T411" s="126">
        <f t="shared" si="96"/>
        <v>0</v>
      </c>
      <c r="U411" s="126">
        <f t="shared" si="97"/>
        <v>1</v>
      </c>
      <c r="V411" s="154">
        <f t="shared" si="98"/>
        <v>0</v>
      </c>
      <c r="W411" s="126">
        <f t="shared" si="99"/>
        <v>0</v>
      </c>
      <c r="X411" s="126">
        <f t="shared" si="100"/>
        <v>0</v>
      </c>
      <c r="Y411" s="126">
        <f t="shared" si="101"/>
        <v>0</v>
      </c>
      <c r="Z411" s="133"/>
      <c r="AA411" s="133"/>
      <c r="AB411" s="126"/>
      <c r="AC411" s="126">
        <f t="shared" si="102"/>
        <v>1</v>
      </c>
      <c r="AD411" s="126" t="str">
        <f t="shared" si="103"/>
        <v>Wrong</v>
      </c>
      <c r="AE411" s="133"/>
      <c r="AF411" s="120" t="str">
        <f>IFERROR(VLOOKUP(Table1[RespondentID],'All Data'!$A$3:$CO$999,87,FALSE),"unknown")</f>
        <v>Woman</v>
      </c>
      <c r="AG411" s="120">
        <f>IFERROR(VLOOKUP(Table1[RespondentID],'All Data'!$A$3:$CO$999,88,FALSE),"unknown")</f>
        <v>0</v>
      </c>
      <c r="AH411" s="120" t="str">
        <f>IFERROR(VLOOKUP(Table1[RespondentID],'All Data'!$A$3:$CO$999,89,FALSE),"unknown")</f>
        <v>Nassau</v>
      </c>
      <c r="AI411" s="120" t="str">
        <f>IFERROR(VLOOKUP(Table1[RespondentID],'All Data'!$A$3:$CO$999,90,FALSE),"unknown")</f>
        <v>Massapequa Park, 11762</v>
      </c>
      <c r="AJ411" s="120">
        <f>IFERROR(VLOOKUP(Table1[RespondentID],'All Data'!$A$3:$CO$999,91,FALSE),"unknown")</f>
        <v>0</v>
      </c>
      <c r="AK411" s="120" t="str">
        <f>IFERROR(VLOOKUP(Table1[RespondentID],'All Data'!$A$3:$CO$999,92,FALSE),"unknown")</f>
        <v>Not Hispanic or Latino</v>
      </c>
      <c r="AL411" s="120" t="str">
        <f>IFERROR(VLOOKUP(Table1[RespondentID],'All Data'!$A$3:$CO$999,93,FALSE),"unknown")</f>
        <v>English</v>
      </c>
      <c r="AM411" s="120" t="str">
        <f>IFERROR(VLOOKUP(Table1[RespondentID],'All Data'!$A$3:$CW$999,94,FALSE),"unknown")</f>
        <v>$50,000 to $74,999</v>
      </c>
      <c r="AN411" s="120" t="str">
        <f>IFERROR(VLOOKUP(Table1[RespondentID],'All Data'!$A$3:$CW$999,95,FALSE),"unknown")</f>
        <v>Graduate school</v>
      </c>
      <c r="AO411" s="120">
        <f>IFERROR(VLOOKUP(Table1[RespondentID],'All Data'!$A$3:$CW$999,96,FALSE),"unknown")</f>
        <v>0</v>
      </c>
      <c r="AP411" s="120">
        <f>IFERROR(VLOOKUP(Table1[RespondentID],'All Data'!$A$3:$CW$999,97,FALSE),"unknown")</f>
        <v>0</v>
      </c>
      <c r="AQ411" s="120" t="str">
        <f>IFERROR(VLOOKUP(Table1[RespondentID],'All Data'!$A$3:$CW$999,98,FALSE),"unknown")</f>
        <v>Private/Commercial</v>
      </c>
      <c r="AR411" s="120" t="str">
        <f>IFERROR(VLOOKUP(Table1[RespondentID],'All Data'!$A$3:$CW$999,99,FALSE),"unknown")</f>
        <v>Yes</v>
      </c>
    </row>
    <row r="412" spans="1:44" ht="16">
      <c r="A412" s="133">
        <v>114085845695</v>
      </c>
      <c r="B412" s="134"/>
      <c r="C412" s="135"/>
      <c r="D412" s="135"/>
      <c r="E412" s="135"/>
      <c r="F412" s="135"/>
      <c r="G412" s="135" t="s">
        <v>34</v>
      </c>
      <c r="H412" s="135"/>
      <c r="I412" s="135"/>
      <c r="J412" s="135"/>
      <c r="K412" s="135"/>
      <c r="L412" s="133"/>
      <c r="M412" s="126">
        <f t="shared" si="90"/>
        <v>1</v>
      </c>
      <c r="N412" s="126">
        <f t="shared" si="91"/>
        <v>3</v>
      </c>
      <c r="O412" s="133"/>
      <c r="P412" s="126">
        <f t="shared" si="92"/>
        <v>0</v>
      </c>
      <c r="Q412" s="126">
        <f t="shared" si="93"/>
        <v>0</v>
      </c>
      <c r="R412" s="126">
        <f t="shared" si="94"/>
        <v>0</v>
      </c>
      <c r="S412" s="126">
        <f t="shared" si="95"/>
        <v>0</v>
      </c>
      <c r="T412" s="126">
        <f t="shared" si="96"/>
        <v>0</v>
      </c>
      <c r="U412" s="126">
        <f t="shared" si="97"/>
        <v>1</v>
      </c>
      <c r="V412" s="154">
        <f t="shared" si="98"/>
        <v>0</v>
      </c>
      <c r="W412" s="126">
        <f t="shared" si="99"/>
        <v>0</v>
      </c>
      <c r="X412" s="126">
        <f t="shared" si="100"/>
        <v>0</v>
      </c>
      <c r="Y412" s="126">
        <f t="shared" si="101"/>
        <v>0</v>
      </c>
      <c r="Z412" s="133"/>
      <c r="AA412" s="133"/>
      <c r="AB412" s="126"/>
      <c r="AC412" s="126">
        <f t="shared" si="102"/>
        <v>1</v>
      </c>
      <c r="AD412" s="126" t="str">
        <f t="shared" si="103"/>
        <v>Wrong</v>
      </c>
      <c r="AE412" s="133"/>
      <c r="AF412" s="120" t="str">
        <f>IFERROR(VLOOKUP(Table1[RespondentID],'All Data'!$A$3:$CO$999,87,FALSE),"unknown")</f>
        <v>Woman</v>
      </c>
      <c r="AG412" s="120">
        <f>IFERROR(VLOOKUP(Table1[RespondentID],'All Data'!$A$3:$CO$999,88,FALSE),"unknown")</f>
        <v>0</v>
      </c>
      <c r="AH412" s="120" t="str">
        <f>IFERROR(VLOOKUP(Table1[RespondentID],'All Data'!$A$3:$CO$999,89,FALSE),"unknown")</f>
        <v>Nassau</v>
      </c>
      <c r="AI412" s="120" t="str">
        <f>IFERROR(VLOOKUP(Table1[RespondentID],'All Data'!$A$3:$CO$999,90,FALSE),"unknown")</f>
        <v>West Hempstead, 11552</v>
      </c>
      <c r="AJ412" s="120">
        <f>IFERROR(VLOOKUP(Table1[RespondentID],'All Data'!$A$3:$CO$999,91,FALSE),"unknown")</f>
        <v>0</v>
      </c>
      <c r="AK412" s="120" t="str">
        <f>IFERROR(VLOOKUP(Table1[RespondentID],'All Data'!$A$3:$CO$999,92,FALSE),"unknown")</f>
        <v>Not Hispanic or Latino</v>
      </c>
      <c r="AL412" s="120" t="str">
        <f>IFERROR(VLOOKUP(Table1[RespondentID],'All Data'!$A$3:$CO$999,93,FALSE),"unknown")</f>
        <v>English</v>
      </c>
      <c r="AM412" s="120" t="str">
        <f>IFERROR(VLOOKUP(Table1[RespondentID],'All Data'!$A$3:$CW$999,94,FALSE),"unknown")</f>
        <v>$75,000 to $125,000</v>
      </c>
      <c r="AN412" s="120" t="str">
        <f>IFERROR(VLOOKUP(Table1[RespondentID],'All Data'!$A$3:$CW$999,95,FALSE),"unknown")</f>
        <v>Graduate school</v>
      </c>
      <c r="AO412" s="120">
        <f>IFERROR(VLOOKUP(Table1[RespondentID],'All Data'!$A$3:$CW$999,96,FALSE),"unknown")</f>
        <v>0</v>
      </c>
      <c r="AP412" s="120">
        <f>IFERROR(VLOOKUP(Table1[RespondentID],'All Data'!$A$3:$CW$999,97,FALSE),"unknown")</f>
        <v>0</v>
      </c>
      <c r="AQ412" s="120" t="str">
        <f>IFERROR(VLOOKUP(Table1[RespondentID],'All Data'!$A$3:$CW$999,98,FALSE),"unknown")</f>
        <v>Private/Commercial</v>
      </c>
      <c r="AR412" s="120" t="str">
        <f>IFERROR(VLOOKUP(Table1[RespondentID],'All Data'!$A$3:$CW$999,99,FALSE),"unknown")</f>
        <v>Yes</v>
      </c>
    </row>
    <row r="413" spans="1:44" ht="16">
      <c r="A413" s="133">
        <v>114085842785</v>
      </c>
      <c r="B413" s="134"/>
      <c r="C413" s="135"/>
      <c r="D413" s="135"/>
      <c r="E413" s="135"/>
      <c r="F413" s="135"/>
      <c r="G413" s="135" t="s">
        <v>34</v>
      </c>
      <c r="H413" s="135"/>
      <c r="I413" s="135"/>
      <c r="J413" s="135"/>
      <c r="K413" s="135"/>
      <c r="L413" s="133"/>
      <c r="M413" s="126">
        <f t="shared" si="90"/>
        <v>1</v>
      </c>
      <c r="N413" s="126">
        <f t="shared" si="91"/>
        <v>3</v>
      </c>
      <c r="O413" s="133"/>
      <c r="P413" s="126">
        <f t="shared" si="92"/>
        <v>0</v>
      </c>
      <c r="Q413" s="126">
        <f t="shared" si="93"/>
        <v>0</v>
      </c>
      <c r="R413" s="126">
        <f t="shared" si="94"/>
        <v>0</v>
      </c>
      <c r="S413" s="126">
        <f t="shared" si="95"/>
        <v>0</v>
      </c>
      <c r="T413" s="126">
        <f t="shared" si="96"/>
        <v>0</v>
      </c>
      <c r="U413" s="126">
        <f t="shared" si="97"/>
        <v>1</v>
      </c>
      <c r="V413" s="154">
        <f t="shared" si="98"/>
        <v>0</v>
      </c>
      <c r="W413" s="126">
        <f t="shared" si="99"/>
        <v>0</v>
      </c>
      <c r="X413" s="126">
        <f t="shared" si="100"/>
        <v>0</v>
      </c>
      <c r="Y413" s="126">
        <f t="shared" si="101"/>
        <v>0</v>
      </c>
      <c r="Z413" s="133"/>
      <c r="AA413" s="133"/>
      <c r="AB413" s="126"/>
      <c r="AC413" s="126">
        <f t="shared" si="102"/>
        <v>1</v>
      </c>
      <c r="AD413" s="126" t="str">
        <f t="shared" si="103"/>
        <v>Wrong</v>
      </c>
      <c r="AE413" s="133"/>
      <c r="AF413" s="120" t="str">
        <f>IFERROR(VLOOKUP(Table1[RespondentID],'All Data'!$A$3:$CO$999,87,FALSE),"unknown")</f>
        <v>Woman</v>
      </c>
      <c r="AG413" s="120">
        <f>IFERROR(VLOOKUP(Table1[RespondentID],'All Data'!$A$3:$CO$999,88,FALSE),"unknown")</f>
        <v>0</v>
      </c>
      <c r="AH413" s="120" t="str">
        <f>IFERROR(VLOOKUP(Table1[RespondentID],'All Data'!$A$3:$CO$999,89,FALSE),"unknown")</f>
        <v>Nassau</v>
      </c>
      <c r="AI413" s="120" t="str">
        <f>IFERROR(VLOOKUP(Table1[RespondentID],'All Data'!$A$3:$CO$999,90,FALSE),"unknown")</f>
        <v>Bellmore, 11710</v>
      </c>
      <c r="AJ413" s="120">
        <f>IFERROR(VLOOKUP(Table1[RespondentID],'All Data'!$A$3:$CO$999,91,FALSE),"unknown")</f>
        <v>0</v>
      </c>
      <c r="AK413" s="120" t="str">
        <f>IFERROR(VLOOKUP(Table1[RespondentID],'All Data'!$A$3:$CO$999,92,FALSE),"unknown")</f>
        <v>Not Hispanic or Latino</v>
      </c>
      <c r="AL413" s="120" t="str">
        <f>IFERROR(VLOOKUP(Table1[RespondentID],'All Data'!$A$3:$CO$999,93,FALSE),"unknown")</f>
        <v>English</v>
      </c>
      <c r="AM413" s="120" t="str">
        <f>IFERROR(VLOOKUP(Table1[RespondentID],'All Data'!$A$3:$CW$999,94,FALSE),"unknown")</f>
        <v>$75,000 to $125,000</v>
      </c>
      <c r="AN413" s="120" t="str">
        <f>IFERROR(VLOOKUP(Table1[RespondentID],'All Data'!$A$3:$CW$999,95,FALSE),"unknown")</f>
        <v>High school graduate</v>
      </c>
      <c r="AO413" s="120">
        <f>IFERROR(VLOOKUP(Table1[RespondentID],'All Data'!$A$3:$CW$999,96,FALSE),"unknown")</f>
        <v>0</v>
      </c>
      <c r="AP413" s="120">
        <f>IFERROR(VLOOKUP(Table1[RespondentID],'All Data'!$A$3:$CW$999,97,FALSE),"unknown")</f>
        <v>0</v>
      </c>
      <c r="AQ413" s="120" t="str">
        <f>IFERROR(VLOOKUP(Table1[RespondentID],'All Data'!$A$3:$CW$999,98,FALSE),"unknown")</f>
        <v>Private/Commercial</v>
      </c>
      <c r="AR413" s="120" t="str">
        <f>IFERROR(VLOOKUP(Table1[RespondentID],'All Data'!$A$3:$CW$999,99,FALSE),"unknown")</f>
        <v>Yes</v>
      </c>
    </row>
    <row r="414" spans="1:44" ht="16">
      <c r="A414" s="133">
        <v>114085835907</v>
      </c>
      <c r="B414" s="134"/>
      <c r="C414" s="135"/>
      <c r="D414" s="135"/>
      <c r="E414" s="135"/>
      <c r="F414" s="135"/>
      <c r="G414" s="135" t="s">
        <v>34</v>
      </c>
      <c r="H414" s="135"/>
      <c r="I414" s="135"/>
      <c r="J414" s="135"/>
      <c r="K414" s="135"/>
      <c r="L414" s="133"/>
      <c r="M414" s="126">
        <f t="shared" si="90"/>
        <v>1</v>
      </c>
      <c r="N414" s="126">
        <f t="shared" si="91"/>
        <v>3</v>
      </c>
      <c r="O414" s="133"/>
      <c r="P414" s="126">
        <f t="shared" si="92"/>
        <v>0</v>
      </c>
      <c r="Q414" s="126">
        <f t="shared" si="93"/>
        <v>0</v>
      </c>
      <c r="R414" s="126">
        <f t="shared" si="94"/>
        <v>0</v>
      </c>
      <c r="S414" s="126">
        <f t="shared" si="95"/>
        <v>0</v>
      </c>
      <c r="T414" s="126">
        <f t="shared" si="96"/>
        <v>0</v>
      </c>
      <c r="U414" s="126">
        <f t="shared" si="97"/>
        <v>1</v>
      </c>
      <c r="V414" s="154">
        <f t="shared" si="98"/>
        <v>0</v>
      </c>
      <c r="W414" s="126">
        <f t="shared" si="99"/>
        <v>0</v>
      </c>
      <c r="X414" s="126">
        <f t="shared" si="100"/>
        <v>0</v>
      </c>
      <c r="Y414" s="126">
        <f t="shared" si="101"/>
        <v>0</v>
      </c>
      <c r="Z414" s="133"/>
      <c r="AA414" s="133"/>
      <c r="AB414" s="126"/>
      <c r="AC414" s="126">
        <f t="shared" si="102"/>
        <v>1</v>
      </c>
      <c r="AD414" s="126" t="str">
        <f t="shared" si="103"/>
        <v>Wrong</v>
      </c>
      <c r="AE414" s="133"/>
      <c r="AF414" s="120" t="str">
        <f>IFERROR(VLOOKUP(Table1[RespondentID],'All Data'!$A$3:$CO$999,87,FALSE),"unknown")</f>
        <v>Woman</v>
      </c>
      <c r="AG414" s="120">
        <f>IFERROR(VLOOKUP(Table1[RespondentID],'All Data'!$A$3:$CO$999,88,FALSE),"unknown")</f>
        <v>0</v>
      </c>
      <c r="AH414" s="120" t="str">
        <f>IFERROR(VLOOKUP(Table1[RespondentID],'All Data'!$A$3:$CO$999,89,FALSE),"unknown")</f>
        <v>Nassau</v>
      </c>
      <c r="AI414" s="120" t="str">
        <f>IFERROR(VLOOKUP(Table1[RespondentID],'All Data'!$A$3:$CO$999,90,FALSE),"unknown")</f>
        <v>Westbury, 11590</v>
      </c>
      <c r="AJ414" s="120">
        <f>IFERROR(VLOOKUP(Table1[RespondentID],'All Data'!$A$3:$CO$999,91,FALSE),"unknown")</f>
        <v>0</v>
      </c>
      <c r="AK414" s="120" t="str">
        <f>IFERROR(VLOOKUP(Table1[RespondentID],'All Data'!$A$3:$CO$999,92,FALSE),"unknown")</f>
        <v>Not Hispanic or Latino</v>
      </c>
      <c r="AL414" s="120" t="str">
        <f>IFERROR(VLOOKUP(Table1[RespondentID],'All Data'!$A$3:$CO$999,93,FALSE),"unknown")</f>
        <v>English</v>
      </c>
      <c r="AM414" s="120" t="str">
        <f>IFERROR(VLOOKUP(Table1[RespondentID],'All Data'!$A$3:$CW$999,94,FALSE),"unknown")</f>
        <v>$50,000 to $74,999</v>
      </c>
      <c r="AN414" s="120">
        <f>IFERROR(VLOOKUP(Table1[RespondentID],'All Data'!$A$3:$CW$999,95,FALSE),"unknown")</f>
        <v>0</v>
      </c>
      <c r="AO414" s="120">
        <f>IFERROR(VLOOKUP(Table1[RespondentID],'All Data'!$A$3:$CW$999,96,FALSE),"unknown")</f>
        <v>0</v>
      </c>
      <c r="AP414" s="120">
        <f>IFERROR(VLOOKUP(Table1[RespondentID],'All Data'!$A$3:$CW$999,97,FALSE),"unknown")</f>
        <v>0</v>
      </c>
      <c r="AQ414" s="120" t="str">
        <f>IFERROR(VLOOKUP(Table1[RespondentID],'All Data'!$A$3:$CW$999,98,FALSE),"unknown")</f>
        <v>Private/Commercial</v>
      </c>
      <c r="AR414" s="120" t="str">
        <f>IFERROR(VLOOKUP(Table1[RespondentID],'All Data'!$A$3:$CW$999,99,FALSE),"unknown")</f>
        <v>Yes</v>
      </c>
    </row>
    <row r="415" spans="1:44" ht="16">
      <c r="A415" s="133">
        <v>114085832464</v>
      </c>
      <c r="B415" s="134"/>
      <c r="C415" s="135" t="s">
        <v>30</v>
      </c>
      <c r="D415" s="135"/>
      <c r="E415" s="135"/>
      <c r="F415" s="135"/>
      <c r="G415" s="135"/>
      <c r="H415" s="135"/>
      <c r="I415" s="135"/>
      <c r="J415" s="135"/>
      <c r="K415" s="135"/>
      <c r="L415" s="133"/>
      <c r="M415" s="126">
        <f t="shared" si="90"/>
        <v>1</v>
      </c>
      <c r="N415" s="126">
        <f t="shared" si="91"/>
        <v>3</v>
      </c>
      <c r="O415" s="133"/>
      <c r="P415" s="126">
        <f t="shared" si="92"/>
        <v>0</v>
      </c>
      <c r="Q415" s="126">
        <f t="shared" si="93"/>
        <v>1</v>
      </c>
      <c r="R415" s="126">
        <f t="shared" si="94"/>
        <v>0</v>
      </c>
      <c r="S415" s="126">
        <f t="shared" si="95"/>
        <v>0</v>
      </c>
      <c r="T415" s="126">
        <f t="shared" si="96"/>
        <v>0</v>
      </c>
      <c r="U415" s="126">
        <f t="shared" si="97"/>
        <v>0</v>
      </c>
      <c r="V415" s="154">
        <f t="shared" si="98"/>
        <v>0</v>
      </c>
      <c r="W415" s="126">
        <f t="shared" si="99"/>
        <v>0</v>
      </c>
      <c r="X415" s="126">
        <f t="shared" si="100"/>
        <v>0</v>
      </c>
      <c r="Y415" s="126">
        <f t="shared" si="101"/>
        <v>0</v>
      </c>
      <c r="Z415" s="133"/>
      <c r="AA415" s="133"/>
      <c r="AB415" s="126"/>
      <c r="AC415" s="126">
        <f t="shared" si="102"/>
        <v>1</v>
      </c>
      <c r="AD415" s="126" t="str">
        <f t="shared" si="103"/>
        <v>Wrong</v>
      </c>
      <c r="AE415" s="133"/>
      <c r="AF415" s="120" t="str">
        <f>IFERROR(VLOOKUP(Table1[RespondentID],'All Data'!$A$3:$CO$999,87,FALSE),"unknown")</f>
        <v>Man</v>
      </c>
      <c r="AG415" s="120">
        <f>IFERROR(VLOOKUP(Table1[RespondentID],'All Data'!$A$3:$CO$999,88,FALSE),"unknown")</f>
        <v>0</v>
      </c>
      <c r="AH415" s="120" t="str">
        <f>IFERROR(VLOOKUP(Table1[RespondentID],'All Data'!$A$3:$CO$999,89,FALSE),"unknown")</f>
        <v>Nassau</v>
      </c>
      <c r="AI415" s="120" t="str">
        <f>IFERROR(VLOOKUP(Table1[RespondentID],'All Data'!$A$3:$CO$999,90,FALSE),"unknown")</f>
        <v>East Meadow, 11554</v>
      </c>
      <c r="AJ415" s="120">
        <f>IFERROR(VLOOKUP(Table1[RespondentID],'All Data'!$A$3:$CO$999,91,FALSE),"unknown")</f>
        <v>0</v>
      </c>
      <c r="AK415" s="120" t="str">
        <f>IFERROR(VLOOKUP(Table1[RespondentID],'All Data'!$A$3:$CO$999,92,FALSE),"unknown")</f>
        <v>Not Hispanic or Latino</v>
      </c>
      <c r="AL415" s="120" t="str">
        <f>IFERROR(VLOOKUP(Table1[RespondentID],'All Data'!$A$3:$CO$999,93,FALSE),"unknown")</f>
        <v>English</v>
      </c>
      <c r="AM415" s="120" t="str">
        <f>IFERROR(VLOOKUP(Table1[RespondentID],'All Data'!$A$3:$CW$999,94,FALSE),"unknown")</f>
        <v>Over $125,000</v>
      </c>
      <c r="AN415" s="120" t="str">
        <f>IFERROR(VLOOKUP(Table1[RespondentID],'All Data'!$A$3:$CW$999,95,FALSE),"unknown")</f>
        <v>Doctorate</v>
      </c>
      <c r="AO415" s="120">
        <f>IFERROR(VLOOKUP(Table1[RespondentID],'All Data'!$A$3:$CW$999,96,FALSE),"unknown")</f>
        <v>0</v>
      </c>
      <c r="AP415" s="120">
        <f>IFERROR(VLOOKUP(Table1[RespondentID],'All Data'!$A$3:$CW$999,97,FALSE),"unknown")</f>
        <v>0</v>
      </c>
      <c r="AQ415" s="120" t="str">
        <f>IFERROR(VLOOKUP(Table1[RespondentID],'All Data'!$A$3:$CW$999,98,FALSE),"unknown")</f>
        <v>Medicare,Private/Commercial</v>
      </c>
      <c r="AR415" s="120" t="str">
        <f>IFERROR(VLOOKUP(Table1[RespondentID],'All Data'!$A$3:$CW$999,99,FALSE),"unknown")</f>
        <v>Yes</v>
      </c>
    </row>
    <row r="416" spans="1:44" ht="16">
      <c r="A416" s="133">
        <v>114085828973</v>
      </c>
      <c r="B416" s="134"/>
      <c r="C416" s="135"/>
      <c r="D416" s="135"/>
      <c r="E416" s="135"/>
      <c r="F416" s="135"/>
      <c r="G416" s="135"/>
      <c r="H416" s="135"/>
      <c r="I416" s="135"/>
      <c r="J416" s="135"/>
      <c r="K416" s="135"/>
      <c r="L416" s="133"/>
      <c r="M416" s="126">
        <f t="shared" si="90"/>
        <v>0</v>
      </c>
      <c r="N416" s="126" t="e">
        <f t="shared" si="91"/>
        <v>#DIV/0!</v>
      </c>
      <c r="O416" s="133"/>
      <c r="P416" s="126">
        <f t="shared" si="92"/>
        <v>0</v>
      </c>
      <c r="Q416" s="126">
        <f t="shared" si="93"/>
        <v>0</v>
      </c>
      <c r="R416" s="126">
        <f t="shared" si="94"/>
        <v>0</v>
      </c>
      <c r="S416" s="126">
        <f t="shared" si="95"/>
        <v>0</v>
      </c>
      <c r="T416" s="126">
        <f t="shared" si="96"/>
        <v>0</v>
      </c>
      <c r="U416" s="126">
        <f t="shared" si="97"/>
        <v>0</v>
      </c>
      <c r="V416" s="154">
        <f t="shared" si="98"/>
        <v>0</v>
      </c>
      <c r="W416" s="126">
        <f t="shared" si="99"/>
        <v>0</v>
      </c>
      <c r="X416" s="126">
        <f t="shared" si="100"/>
        <v>0</v>
      </c>
      <c r="Y416" s="126">
        <f t="shared" si="101"/>
        <v>0</v>
      </c>
      <c r="Z416" s="133"/>
      <c r="AA416" s="133"/>
      <c r="AB416" s="126"/>
      <c r="AC416" s="126">
        <f t="shared" si="102"/>
        <v>0</v>
      </c>
      <c r="AD416" s="126" t="str">
        <f t="shared" si="103"/>
        <v>Correct</v>
      </c>
      <c r="AE416" s="133"/>
      <c r="AF416" s="120" t="str">
        <f>IFERROR(VLOOKUP(Table1[RespondentID],'All Data'!$A$3:$CO$999,87,FALSE),"unknown")</f>
        <v>Woman</v>
      </c>
      <c r="AG416" s="120">
        <f>IFERROR(VLOOKUP(Table1[RespondentID],'All Data'!$A$3:$CO$999,88,FALSE),"unknown")</f>
        <v>0</v>
      </c>
      <c r="AH416" s="120" t="str">
        <f>IFERROR(VLOOKUP(Table1[RespondentID],'All Data'!$A$3:$CO$999,89,FALSE),"unknown")</f>
        <v>Suffolk</v>
      </c>
      <c r="AI416" s="120" t="str">
        <f>IFERROR(VLOOKUP(Table1[RespondentID],'All Data'!$A$3:$CO$999,90,FALSE),"unknown")</f>
        <v>Deer Park, 11729</v>
      </c>
      <c r="AJ416" s="120">
        <f>IFERROR(VLOOKUP(Table1[RespondentID],'All Data'!$A$3:$CO$999,91,FALSE),"unknown")</f>
        <v>0</v>
      </c>
      <c r="AK416" s="120" t="str">
        <f>IFERROR(VLOOKUP(Table1[RespondentID],'All Data'!$A$3:$CO$999,92,FALSE),"unknown")</f>
        <v>Not Hispanic or Latino</v>
      </c>
      <c r="AL416" s="120" t="str">
        <f>IFERROR(VLOOKUP(Table1[RespondentID],'All Data'!$A$3:$CO$999,93,FALSE),"unknown")</f>
        <v>English</v>
      </c>
      <c r="AM416" s="120" t="str">
        <f>IFERROR(VLOOKUP(Table1[RespondentID],'All Data'!$A$3:$CW$999,94,FALSE),"unknown")</f>
        <v>$75,000 to $125,000</v>
      </c>
      <c r="AN416" s="120" t="str">
        <f>IFERROR(VLOOKUP(Table1[RespondentID],'All Data'!$A$3:$CW$999,95,FALSE),"unknown")</f>
        <v>Graduate school</v>
      </c>
      <c r="AO416" s="120">
        <f>IFERROR(VLOOKUP(Table1[RespondentID],'All Data'!$A$3:$CW$999,96,FALSE),"unknown")</f>
        <v>0</v>
      </c>
      <c r="AP416" s="120">
        <f>IFERROR(VLOOKUP(Table1[RespondentID],'All Data'!$A$3:$CW$999,97,FALSE),"unknown")</f>
        <v>0</v>
      </c>
      <c r="AQ416" s="120" t="str">
        <f>IFERROR(VLOOKUP(Table1[RespondentID],'All Data'!$A$3:$CW$999,98,FALSE),"unknown")</f>
        <v>Private/Commercial</v>
      </c>
      <c r="AR416" s="120" t="str">
        <f>IFERROR(VLOOKUP(Table1[RespondentID],'All Data'!$A$3:$CW$999,99,FALSE),"unknown")</f>
        <v>Yes</v>
      </c>
    </row>
    <row r="417" spans="1:44" ht="16">
      <c r="A417" s="133">
        <v>114085827353</v>
      </c>
      <c r="B417" s="134"/>
      <c r="C417" s="135"/>
      <c r="D417" s="135"/>
      <c r="E417" s="135"/>
      <c r="F417" s="135"/>
      <c r="G417" s="135" t="s">
        <v>34</v>
      </c>
      <c r="H417" s="135"/>
      <c r="I417" s="135"/>
      <c r="J417" s="135"/>
      <c r="K417" s="135"/>
      <c r="L417" s="133"/>
      <c r="M417" s="126">
        <f t="shared" si="90"/>
        <v>1</v>
      </c>
      <c r="N417" s="126">
        <f t="shared" si="91"/>
        <v>3</v>
      </c>
      <c r="O417" s="133"/>
      <c r="P417" s="126">
        <f t="shared" si="92"/>
        <v>0</v>
      </c>
      <c r="Q417" s="126">
        <f t="shared" si="93"/>
        <v>0</v>
      </c>
      <c r="R417" s="126">
        <f t="shared" si="94"/>
        <v>0</v>
      </c>
      <c r="S417" s="126">
        <f t="shared" si="95"/>
        <v>0</v>
      </c>
      <c r="T417" s="126">
        <f t="shared" si="96"/>
        <v>0</v>
      </c>
      <c r="U417" s="126">
        <f t="shared" si="97"/>
        <v>1</v>
      </c>
      <c r="V417" s="154">
        <f t="shared" si="98"/>
        <v>0</v>
      </c>
      <c r="W417" s="126">
        <f t="shared" si="99"/>
        <v>0</v>
      </c>
      <c r="X417" s="126">
        <f t="shared" si="100"/>
        <v>0</v>
      </c>
      <c r="Y417" s="126">
        <f t="shared" si="101"/>
        <v>0</v>
      </c>
      <c r="Z417" s="133"/>
      <c r="AA417" s="133"/>
      <c r="AB417" s="126"/>
      <c r="AC417" s="126">
        <f t="shared" si="102"/>
        <v>1</v>
      </c>
      <c r="AD417" s="126" t="str">
        <f t="shared" si="103"/>
        <v>Wrong</v>
      </c>
      <c r="AE417" s="133"/>
      <c r="AF417" s="120" t="str">
        <f>IFERROR(VLOOKUP(Table1[RespondentID],'All Data'!$A$3:$CO$999,87,FALSE),"unknown")</f>
        <v>Man</v>
      </c>
      <c r="AG417" s="120">
        <f>IFERROR(VLOOKUP(Table1[RespondentID],'All Data'!$A$3:$CO$999,88,FALSE),"unknown")</f>
        <v>0</v>
      </c>
      <c r="AH417" s="120" t="str">
        <f>IFERROR(VLOOKUP(Table1[RespondentID],'All Data'!$A$3:$CO$999,89,FALSE),"unknown")</f>
        <v>Nassau</v>
      </c>
      <c r="AI417" s="120" t="str">
        <f>IFERROR(VLOOKUP(Table1[RespondentID],'All Data'!$A$3:$CO$999,90,FALSE),"unknown")</f>
        <v>Massapequa, 11758</v>
      </c>
      <c r="AJ417" s="120">
        <f>IFERROR(VLOOKUP(Table1[RespondentID],'All Data'!$A$3:$CO$999,91,FALSE),"unknown")</f>
        <v>0</v>
      </c>
      <c r="AK417" s="120" t="str">
        <f>IFERROR(VLOOKUP(Table1[RespondentID],'All Data'!$A$3:$CO$999,92,FALSE),"unknown")</f>
        <v>Not Hispanic or Latino</v>
      </c>
      <c r="AL417" s="120" t="str">
        <f>IFERROR(VLOOKUP(Table1[RespondentID],'All Data'!$A$3:$CO$999,93,FALSE),"unknown")</f>
        <v>English</v>
      </c>
      <c r="AM417" s="120" t="str">
        <f>IFERROR(VLOOKUP(Table1[RespondentID],'All Data'!$A$3:$CW$999,94,FALSE),"unknown")</f>
        <v>Over $125,000</v>
      </c>
      <c r="AN417" s="120" t="str">
        <f>IFERROR(VLOOKUP(Table1[RespondentID],'All Data'!$A$3:$CW$999,95,FALSE),"unknown")</f>
        <v>Doctorate</v>
      </c>
      <c r="AO417" s="120">
        <f>IFERROR(VLOOKUP(Table1[RespondentID],'All Data'!$A$3:$CW$999,96,FALSE),"unknown")</f>
        <v>0</v>
      </c>
      <c r="AP417" s="120">
        <f>IFERROR(VLOOKUP(Table1[RespondentID],'All Data'!$A$3:$CW$999,97,FALSE),"unknown")</f>
        <v>0</v>
      </c>
      <c r="AQ417" s="120" t="str">
        <f>IFERROR(VLOOKUP(Table1[RespondentID],'All Data'!$A$3:$CW$999,98,FALSE),"unknown")</f>
        <v>Private/Commercial</v>
      </c>
      <c r="AR417" s="120" t="str">
        <f>IFERROR(VLOOKUP(Table1[RespondentID],'All Data'!$A$3:$CW$999,99,FALSE),"unknown")</f>
        <v>Yes</v>
      </c>
    </row>
    <row r="418" spans="1:44" ht="16">
      <c r="A418" s="133">
        <v>114085823569</v>
      </c>
      <c r="B418" s="134"/>
      <c r="C418" s="135"/>
      <c r="D418" s="135"/>
      <c r="E418" s="135"/>
      <c r="F418" s="135"/>
      <c r="G418" s="135" t="s">
        <v>34</v>
      </c>
      <c r="H418" s="135"/>
      <c r="I418" s="135"/>
      <c r="J418" s="135"/>
      <c r="K418" s="135"/>
      <c r="L418" s="133"/>
      <c r="M418" s="126">
        <f t="shared" si="90"/>
        <v>1</v>
      </c>
      <c r="N418" s="126">
        <f t="shared" si="91"/>
        <v>3</v>
      </c>
      <c r="O418" s="133"/>
      <c r="P418" s="126">
        <f t="shared" si="92"/>
        <v>0</v>
      </c>
      <c r="Q418" s="126">
        <f t="shared" si="93"/>
        <v>0</v>
      </c>
      <c r="R418" s="126">
        <f t="shared" si="94"/>
        <v>0</v>
      </c>
      <c r="S418" s="126">
        <f t="shared" si="95"/>
        <v>0</v>
      </c>
      <c r="T418" s="126">
        <f t="shared" si="96"/>
        <v>0</v>
      </c>
      <c r="U418" s="126">
        <f t="shared" si="97"/>
        <v>1</v>
      </c>
      <c r="V418" s="154">
        <f t="shared" si="98"/>
        <v>0</v>
      </c>
      <c r="W418" s="126">
        <f t="shared" si="99"/>
        <v>0</v>
      </c>
      <c r="X418" s="126">
        <f t="shared" si="100"/>
        <v>0</v>
      </c>
      <c r="Y418" s="126">
        <f t="shared" si="101"/>
        <v>0</v>
      </c>
      <c r="Z418" s="133"/>
      <c r="AA418" s="133"/>
      <c r="AB418" s="126"/>
      <c r="AC418" s="126">
        <f t="shared" si="102"/>
        <v>1</v>
      </c>
      <c r="AD418" s="126" t="str">
        <f t="shared" si="103"/>
        <v>Wrong</v>
      </c>
      <c r="AE418" s="133"/>
      <c r="AF418" s="120" t="str">
        <f>IFERROR(VLOOKUP(Table1[RespondentID],'All Data'!$A$3:$CO$999,87,FALSE),"unknown")</f>
        <v>Woman</v>
      </c>
      <c r="AG418" s="120">
        <f>IFERROR(VLOOKUP(Table1[RespondentID],'All Data'!$A$3:$CO$999,88,FALSE),"unknown")</f>
        <v>0</v>
      </c>
      <c r="AH418" s="120" t="str">
        <f>IFERROR(VLOOKUP(Table1[RespondentID],'All Data'!$A$3:$CO$999,89,FALSE),"unknown")</f>
        <v>Suffolk</v>
      </c>
      <c r="AI418" s="120" t="str">
        <f>IFERROR(VLOOKUP(Table1[RespondentID],'All Data'!$A$3:$CO$999,90,FALSE),"unknown")</f>
        <v>Deer Park, 11729</v>
      </c>
      <c r="AJ418" s="120">
        <f>IFERROR(VLOOKUP(Table1[RespondentID],'All Data'!$A$3:$CO$999,91,FALSE),"unknown")</f>
        <v>0</v>
      </c>
      <c r="AK418" s="120" t="str">
        <f>IFERROR(VLOOKUP(Table1[RespondentID],'All Data'!$A$3:$CO$999,92,FALSE),"unknown")</f>
        <v>Not Hispanic or Latino</v>
      </c>
      <c r="AL418" s="120" t="str">
        <f>IFERROR(VLOOKUP(Table1[RespondentID],'All Data'!$A$3:$CO$999,93,FALSE),"unknown")</f>
        <v>English</v>
      </c>
      <c r="AM418" s="120" t="str">
        <f>IFERROR(VLOOKUP(Table1[RespondentID],'All Data'!$A$3:$CW$999,94,FALSE),"unknown")</f>
        <v>Over $125,000</v>
      </c>
      <c r="AN418" s="120" t="str">
        <f>IFERROR(VLOOKUP(Table1[RespondentID],'All Data'!$A$3:$CW$999,95,FALSE),"unknown")</f>
        <v>College graduate</v>
      </c>
      <c r="AO418" s="120">
        <f>IFERROR(VLOOKUP(Table1[RespondentID],'All Data'!$A$3:$CW$999,96,FALSE),"unknown")</f>
        <v>0</v>
      </c>
      <c r="AP418" s="120">
        <f>IFERROR(VLOOKUP(Table1[RespondentID],'All Data'!$A$3:$CW$999,97,FALSE),"unknown")</f>
        <v>0</v>
      </c>
      <c r="AQ418" s="120" t="str">
        <f>IFERROR(VLOOKUP(Table1[RespondentID],'All Data'!$A$3:$CW$999,98,FALSE),"unknown")</f>
        <v>Private/Commercial</v>
      </c>
      <c r="AR418" s="120" t="str">
        <f>IFERROR(VLOOKUP(Table1[RespondentID],'All Data'!$A$3:$CW$999,99,FALSE),"unknown")</f>
        <v>Yes</v>
      </c>
    </row>
    <row r="419" spans="1:44" ht="16">
      <c r="A419" s="133">
        <v>114085822022</v>
      </c>
      <c r="B419" s="134"/>
      <c r="C419" s="135"/>
      <c r="D419" s="135" t="s">
        <v>31</v>
      </c>
      <c r="E419" s="135"/>
      <c r="F419" s="135"/>
      <c r="G419" s="135"/>
      <c r="H419" s="135"/>
      <c r="I419" s="135"/>
      <c r="J419" s="135"/>
      <c r="K419" s="135"/>
      <c r="L419" s="133"/>
      <c r="M419" s="126">
        <f t="shared" si="90"/>
        <v>1</v>
      </c>
      <c r="N419" s="126">
        <f t="shared" si="91"/>
        <v>3</v>
      </c>
      <c r="O419" s="133"/>
      <c r="P419" s="126">
        <f t="shared" si="92"/>
        <v>0</v>
      </c>
      <c r="Q419" s="126">
        <f t="shared" si="93"/>
        <v>0</v>
      </c>
      <c r="R419" s="126">
        <f t="shared" si="94"/>
        <v>1</v>
      </c>
      <c r="S419" s="126">
        <f t="shared" si="95"/>
        <v>0</v>
      </c>
      <c r="T419" s="126">
        <f t="shared" si="96"/>
        <v>0</v>
      </c>
      <c r="U419" s="126">
        <f t="shared" si="97"/>
        <v>0</v>
      </c>
      <c r="V419" s="154">
        <f t="shared" si="98"/>
        <v>0</v>
      </c>
      <c r="W419" s="126">
        <f t="shared" si="99"/>
        <v>0</v>
      </c>
      <c r="X419" s="126">
        <f t="shared" si="100"/>
        <v>0</v>
      </c>
      <c r="Y419" s="126">
        <f t="shared" si="101"/>
        <v>0</v>
      </c>
      <c r="Z419" s="133"/>
      <c r="AA419" s="133"/>
      <c r="AB419" s="126"/>
      <c r="AC419" s="126">
        <f t="shared" si="102"/>
        <v>1</v>
      </c>
      <c r="AD419" s="126" t="str">
        <f t="shared" si="103"/>
        <v>Wrong</v>
      </c>
      <c r="AE419" s="133"/>
      <c r="AF419" s="120" t="str">
        <f>IFERROR(VLOOKUP(Table1[RespondentID],'All Data'!$A$3:$CO$999,87,FALSE),"unknown")</f>
        <v>Woman</v>
      </c>
      <c r="AG419" s="120">
        <f>IFERROR(VLOOKUP(Table1[RespondentID],'All Data'!$A$3:$CO$999,88,FALSE),"unknown")</f>
        <v>0</v>
      </c>
      <c r="AH419" s="120" t="str">
        <f>IFERROR(VLOOKUP(Table1[RespondentID],'All Data'!$A$3:$CO$999,89,FALSE),"unknown")</f>
        <v>Nassau</v>
      </c>
      <c r="AI419" s="120" t="str">
        <f>IFERROR(VLOOKUP(Table1[RespondentID],'All Data'!$A$3:$CO$999,90,FALSE),"unknown")</f>
        <v>Bethpage, 11714</v>
      </c>
      <c r="AJ419" s="120">
        <f>IFERROR(VLOOKUP(Table1[RespondentID],'All Data'!$A$3:$CO$999,91,FALSE),"unknown")</f>
        <v>0</v>
      </c>
      <c r="AK419" s="120" t="str">
        <f>IFERROR(VLOOKUP(Table1[RespondentID],'All Data'!$A$3:$CO$999,92,FALSE),"unknown")</f>
        <v>Not Hispanic or Latino</v>
      </c>
      <c r="AL419" s="120" t="str">
        <f>IFERROR(VLOOKUP(Table1[RespondentID],'All Data'!$A$3:$CO$999,93,FALSE),"unknown")</f>
        <v>English</v>
      </c>
      <c r="AM419" s="120" t="str">
        <f>IFERROR(VLOOKUP(Table1[RespondentID],'All Data'!$A$3:$CW$999,94,FALSE),"unknown")</f>
        <v>$75,000 to $125,000</v>
      </c>
      <c r="AN419" s="120" t="str">
        <f>IFERROR(VLOOKUP(Table1[RespondentID],'All Data'!$A$3:$CW$999,95,FALSE),"unknown")</f>
        <v>College graduate</v>
      </c>
      <c r="AO419" s="120">
        <f>IFERROR(VLOOKUP(Table1[RespondentID],'All Data'!$A$3:$CW$999,96,FALSE),"unknown")</f>
        <v>0</v>
      </c>
      <c r="AP419" s="120">
        <f>IFERROR(VLOOKUP(Table1[RespondentID],'All Data'!$A$3:$CW$999,97,FALSE),"unknown")</f>
        <v>0</v>
      </c>
      <c r="AQ419" s="120" t="str">
        <f>IFERROR(VLOOKUP(Table1[RespondentID],'All Data'!$A$3:$CW$999,98,FALSE),"unknown")</f>
        <v>Private/Commercial</v>
      </c>
      <c r="AR419" s="120" t="str">
        <f>IFERROR(VLOOKUP(Table1[RespondentID],'All Data'!$A$3:$CW$999,99,FALSE),"unknown")</f>
        <v>Yes</v>
      </c>
    </row>
    <row r="420" spans="1:44" ht="16">
      <c r="A420" s="133">
        <v>114085818088</v>
      </c>
      <c r="B420" s="134"/>
      <c r="C420" s="135"/>
      <c r="D420" s="135"/>
      <c r="E420" s="135"/>
      <c r="F420" s="135"/>
      <c r="G420" s="135"/>
      <c r="H420" s="135"/>
      <c r="I420" s="135"/>
      <c r="J420" s="135"/>
      <c r="K420" s="135"/>
      <c r="L420" s="133"/>
      <c r="M420" s="126">
        <f t="shared" si="90"/>
        <v>0</v>
      </c>
      <c r="N420" s="126" t="e">
        <f t="shared" si="91"/>
        <v>#DIV/0!</v>
      </c>
      <c r="O420" s="133"/>
      <c r="P420" s="126">
        <f t="shared" si="92"/>
        <v>0</v>
      </c>
      <c r="Q420" s="126">
        <f t="shared" si="93"/>
        <v>0</v>
      </c>
      <c r="R420" s="126">
        <f t="shared" si="94"/>
        <v>0</v>
      </c>
      <c r="S420" s="126">
        <f t="shared" si="95"/>
        <v>0</v>
      </c>
      <c r="T420" s="126">
        <f t="shared" si="96"/>
        <v>0</v>
      </c>
      <c r="U420" s="126">
        <f t="shared" si="97"/>
        <v>0</v>
      </c>
      <c r="V420" s="154">
        <f t="shared" si="98"/>
        <v>0</v>
      </c>
      <c r="W420" s="126">
        <f t="shared" si="99"/>
        <v>0</v>
      </c>
      <c r="X420" s="126">
        <f t="shared" si="100"/>
        <v>0</v>
      </c>
      <c r="Y420" s="126">
        <f t="shared" si="101"/>
        <v>0</v>
      </c>
      <c r="Z420" s="133"/>
      <c r="AA420" s="133"/>
      <c r="AB420" s="126"/>
      <c r="AC420" s="126">
        <f t="shared" si="102"/>
        <v>0</v>
      </c>
      <c r="AD420" s="126" t="str">
        <f t="shared" si="103"/>
        <v>Correct</v>
      </c>
      <c r="AE420" s="133"/>
      <c r="AF420" s="120" t="str">
        <f>IFERROR(VLOOKUP(Table1[RespondentID],'All Data'!$A$3:$CO$999,87,FALSE),"unknown")</f>
        <v>Woman</v>
      </c>
      <c r="AG420" s="120">
        <f>IFERROR(VLOOKUP(Table1[RespondentID],'All Data'!$A$3:$CO$999,88,FALSE),"unknown")</f>
        <v>0</v>
      </c>
      <c r="AH420" s="120" t="str">
        <f>IFERROR(VLOOKUP(Table1[RespondentID],'All Data'!$A$3:$CO$999,89,FALSE),"unknown")</f>
        <v>Nassau</v>
      </c>
      <c r="AI420" s="120" t="str">
        <f>IFERROR(VLOOKUP(Table1[RespondentID],'All Data'!$A$3:$CO$999,90,FALSE),"unknown")</f>
        <v>New Hyde Park, 11040</v>
      </c>
      <c r="AJ420" s="120">
        <f>IFERROR(VLOOKUP(Table1[RespondentID],'All Data'!$A$3:$CO$999,91,FALSE),"unknown")</f>
        <v>0</v>
      </c>
      <c r="AK420" s="120" t="str">
        <f>IFERROR(VLOOKUP(Table1[RespondentID],'All Data'!$A$3:$CO$999,92,FALSE),"unknown")</f>
        <v>Not Hispanic or Latino</v>
      </c>
      <c r="AL420" s="120" t="str">
        <f>IFERROR(VLOOKUP(Table1[RespondentID],'All Data'!$A$3:$CO$999,93,FALSE),"unknown")</f>
        <v>English</v>
      </c>
      <c r="AM420" s="120" t="str">
        <f>IFERROR(VLOOKUP(Table1[RespondentID],'All Data'!$A$3:$CW$999,94,FALSE),"unknown")</f>
        <v>Over $125,000</v>
      </c>
      <c r="AN420" s="120" t="str">
        <f>IFERROR(VLOOKUP(Table1[RespondentID],'All Data'!$A$3:$CW$999,95,FALSE),"unknown")</f>
        <v>Graduate school</v>
      </c>
      <c r="AO420" s="120">
        <f>IFERROR(VLOOKUP(Table1[RespondentID],'All Data'!$A$3:$CW$999,96,FALSE),"unknown")</f>
        <v>0</v>
      </c>
      <c r="AP420" s="120">
        <f>IFERROR(VLOOKUP(Table1[RespondentID],'All Data'!$A$3:$CW$999,97,FALSE),"unknown")</f>
        <v>0</v>
      </c>
      <c r="AQ420" s="120" t="str">
        <f>IFERROR(VLOOKUP(Table1[RespondentID],'All Data'!$A$3:$CW$999,98,FALSE),"unknown")</f>
        <v>Medicare,Private/Commercial</v>
      </c>
      <c r="AR420" s="120" t="str">
        <f>IFERROR(VLOOKUP(Table1[RespondentID],'All Data'!$A$3:$CW$999,99,FALSE),"unknown")</f>
        <v>Yes</v>
      </c>
    </row>
    <row r="421" spans="1:44" ht="16">
      <c r="A421" s="133">
        <v>114085818365</v>
      </c>
      <c r="B421" s="134"/>
      <c r="C421" s="135"/>
      <c r="D421" s="135" t="s">
        <v>31</v>
      </c>
      <c r="E421" s="135"/>
      <c r="F421" s="135"/>
      <c r="G421" s="135"/>
      <c r="H421" s="135"/>
      <c r="I421" s="135"/>
      <c r="J421" s="135"/>
      <c r="K421" s="135"/>
      <c r="L421" s="133"/>
      <c r="M421" s="126">
        <f t="shared" si="90"/>
        <v>1</v>
      </c>
      <c r="N421" s="126">
        <f t="shared" si="91"/>
        <v>3</v>
      </c>
      <c r="O421" s="133"/>
      <c r="P421" s="126">
        <f t="shared" si="92"/>
        <v>0</v>
      </c>
      <c r="Q421" s="126">
        <f t="shared" si="93"/>
        <v>0</v>
      </c>
      <c r="R421" s="126">
        <f t="shared" si="94"/>
        <v>1</v>
      </c>
      <c r="S421" s="126">
        <f t="shared" si="95"/>
        <v>0</v>
      </c>
      <c r="T421" s="126">
        <f t="shared" si="96"/>
        <v>0</v>
      </c>
      <c r="U421" s="126">
        <f t="shared" si="97"/>
        <v>0</v>
      </c>
      <c r="V421" s="154">
        <f t="shared" si="98"/>
        <v>0</v>
      </c>
      <c r="W421" s="126">
        <f t="shared" si="99"/>
        <v>0</v>
      </c>
      <c r="X421" s="126">
        <f t="shared" si="100"/>
        <v>0</v>
      </c>
      <c r="Y421" s="126">
        <f t="shared" si="101"/>
        <v>0</v>
      </c>
      <c r="Z421" s="133"/>
      <c r="AA421" s="133"/>
      <c r="AB421" s="126"/>
      <c r="AC421" s="126">
        <f t="shared" si="102"/>
        <v>1</v>
      </c>
      <c r="AD421" s="126" t="str">
        <f t="shared" si="103"/>
        <v>Wrong</v>
      </c>
      <c r="AE421" s="133"/>
      <c r="AF421" s="120" t="str">
        <f>IFERROR(VLOOKUP(Table1[RespondentID],'All Data'!$A$3:$CO$999,87,FALSE),"unknown")</f>
        <v>Woman</v>
      </c>
      <c r="AG421" s="120">
        <f>IFERROR(VLOOKUP(Table1[RespondentID],'All Data'!$A$3:$CO$999,88,FALSE),"unknown")</f>
        <v>0</v>
      </c>
      <c r="AH421" s="120" t="str">
        <f>IFERROR(VLOOKUP(Table1[RespondentID],'All Data'!$A$3:$CO$999,89,FALSE),"unknown")</f>
        <v>Suffolk</v>
      </c>
      <c r="AI421" s="120" t="str">
        <f>IFERROR(VLOOKUP(Table1[RespondentID],'All Data'!$A$3:$CO$999,90,FALSE),"unknown")</f>
        <v>Lake Grove, 11755</v>
      </c>
      <c r="AJ421" s="120">
        <f>IFERROR(VLOOKUP(Table1[RespondentID],'All Data'!$A$3:$CO$999,91,FALSE),"unknown")</f>
        <v>0</v>
      </c>
      <c r="AK421" s="120" t="str">
        <f>IFERROR(VLOOKUP(Table1[RespondentID],'All Data'!$A$3:$CO$999,92,FALSE),"unknown")</f>
        <v>Not Hispanic or Latino</v>
      </c>
      <c r="AL421" s="120" t="str">
        <f>IFERROR(VLOOKUP(Table1[RespondentID],'All Data'!$A$3:$CO$999,93,FALSE),"unknown")</f>
        <v>English</v>
      </c>
      <c r="AM421" s="120" t="str">
        <f>IFERROR(VLOOKUP(Table1[RespondentID],'All Data'!$A$3:$CW$999,94,FALSE),"unknown")</f>
        <v>Over $125,000</v>
      </c>
      <c r="AN421" s="120" t="str">
        <f>IFERROR(VLOOKUP(Table1[RespondentID],'All Data'!$A$3:$CW$999,95,FALSE),"unknown")</f>
        <v>College graduate</v>
      </c>
      <c r="AO421" s="120">
        <f>IFERROR(VLOOKUP(Table1[RespondentID],'All Data'!$A$3:$CW$999,96,FALSE),"unknown")</f>
        <v>0</v>
      </c>
      <c r="AP421" s="120">
        <f>IFERROR(VLOOKUP(Table1[RespondentID],'All Data'!$A$3:$CW$999,97,FALSE),"unknown")</f>
        <v>0</v>
      </c>
      <c r="AQ421" s="120" t="str">
        <f>IFERROR(VLOOKUP(Table1[RespondentID],'All Data'!$A$3:$CW$999,98,FALSE),"unknown")</f>
        <v>Private/Commercial</v>
      </c>
      <c r="AR421" s="120" t="str">
        <f>IFERROR(VLOOKUP(Table1[RespondentID],'All Data'!$A$3:$CW$999,99,FALSE),"unknown")</f>
        <v>Yes</v>
      </c>
    </row>
    <row r="422" spans="1:44" ht="16">
      <c r="A422" s="133">
        <v>114085818190</v>
      </c>
      <c r="B422" s="134"/>
      <c r="C422" s="135"/>
      <c r="D422" s="135"/>
      <c r="E422" s="135"/>
      <c r="F422" s="135"/>
      <c r="G422" s="135" t="s">
        <v>34</v>
      </c>
      <c r="H422" s="135"/>
      <c r="I422" s="135"/>
      <c r="J422" s="135"/>
      <c r="K422" s="135"/>
      <c r="L422" s="133"/>
      <c r="M422" s="126">
        <f t="shared" si="90"/>
        <v>1</v>
      </c>
      <c r="N422" s="126">
        <f t="shared" si="91"/>
        <v>3</v>
      </c>
      <c r="O422" s="133"/>
      <c r="P422" s="126">
        <f t="shared" si="92"/>
        <v>0</v>
      </c>
      <c r="Q422" s="126">
        <f t="shared" si="93"/>
        <v>0</v>
      </c>
      <c r="R422" s="126">
        <f t="shared" si="94"/>
        <v>0</v>
      </c>
      <c r="S422" s="126">
        <f t="shared" si="95"/>
        <v>0</v>
      </c>
      <c r="T422" s="126">
        <f t="shared" si="96"/>
        <v>0</v>
      </c>
      <c r="U422" s="126">
        <f t="shared" si="97"/>
        <v>1</v>
      </c>
      <c r="V422" s="154">
        <f t="shared" si="98"/>
        <v>0</v>
      </c>
      <c r="W422" s="126">
        <f t="shared" si="99"/>
        <v>0</v>
      </c>
      <c r="X422" s="126">
        <f t="shared" si="100"/>
        <v>0</v>
      </c>
      <c r="Y422" s="126">
        <f t="shared" si="101"/>
        <v>0</v>
      </c>
      <c r="Z422" s="133"/>
      <c r="AA422" s="133"/>
      <c r="AB422" s="126"/>
      <c r="AC422" s="126">
        <f t="shared" si="102"/>
        <v>1</v>
      </c>
      <c r="AD422" s="126" t="str">
        <f t="shared" si="103"/>
        <v>Wrong</v>
      </c>
      <c r="AE422" s="133"/>
      <c r="AF422" s="120" t="str">
        <f>IFERROR(VLOOKUP(Table1[RespondentID],'All Data'!$A$3:$CO$999,87,FALSE),"unknown")</f>
        <v>Man</v>
      </c>
      <c r="AG422" s="120">
        <f>IFERROR(VLOOKUP(Table1[RespondentID],'All Data'!$A$3:$CO$999,88,FALSE),"unknown")</f>
        <v>0</v>
      </c>
      <c r="AH422" s="120" t="str">
        <f>IFERROR(VLOOKUP(Table1[RespondentID],'All Data'!$A$3:$CO$999,89,FALSE),"unknown")</f>
        <v>Nassau</v>
      </c>
      <c r="AI422" s="120" t="str">
        <f>IFERROR(VLOOKUP(Table1[RespondentID],'All Data'!$A$3:$CO$999,90,FALSE),"unknown")</f>
        <v>Jericho, 11753</v>
      </c>
      <c r="AJ422" s="120">
        <f>IFERROR(VLOOKUP(Table1[RespondentID],'All Data'!$A$3:$CO$999,91,FALSE),"unknown")</f>
        <v>0</v>
      </c>
      <c r="AK422" s="120" t="str">
        <f>IFERROR(VLOOKUP(Table1[RespondentID],'All Data'!$A$3:$CO$999,92,FALSE),"unknown")</f>
        <v>Not Hispanic or Latino</v>
      </c>
      <c r="AL422" s="120" t="str">
        <f>IFERROR(VLOOKUP(Table1[RespondentID],'All Data'!$A$3:$CO$999,93,FALSE),"unknown")</f>
        <v>English</v>
      </c>
      <c r="AM422" s="120" t="str">
        <f>IFERROR(VLOOKUP(Table1[RespondentID],'All Data'!$A$3:$CW$999,94,FALSE),"unknown")</f>
        <v>Over $125,000</v>
      </c>
      <c r="AN422" s="120" t="str">
        <f>IFERROR(VLOOKUP(Table1[RespondentID],'All Data'!$A$3:$CW$999,95,FALSE),"unknown")</f>
        <v>Doctorate</v>
      </c>
      <c r="AO422" s="120">
        <f>IFERROR(VLOOKUP(Table1[RespondentID],'All Data'!$A$3:$CW$999,96,FALSE),"unknown")</f>
        <v>0</v>
      </c>
      <c r="AP422" s="120">
        <f>IFERROR(VLOOKUP(Table1[RespondentID],'All Data'!$A$3:$CW$999,97,FALSE),"unknown")</f>
        <v>0</v>
      </c>
      <c r="AQ422" s="120" t="str">
        <f>IFERROR(VLOOKUP(Table1[RespondentID],'All Data'!$A$3:$CW$999,98,FALSE),"unknown")</f>
        <v>Private/Commercial</v>
      </c>
      <c r="AR422" s="120" t="str">
        <f>IFERROR(VLOOKUP(Table1[RespondentID],'All Data'!$A$3:$CW$999,99,FALSE),"unknown")</f>
        <v>Yes</v>
      </c>
    </row>
    <row r="423" spans="1:44" ht="16">
      <c r="A423" s="133">
        <v>114085817474</v>
      </c>
      <c r="B423" s="134"/>
      <c r="C423" s="135"/>
      <c r="D423" s="135"/>
      <c r="E423" s="135"/>
      <c r="F423" s="135"/>
      <c r="G423" s="135"/>
      <c r="H423" s="135"/>
      <c r="I423" s="135"/>
      <c r="J423" s="135"/>
      <c r="K423" s="135" t="s">
        <v>375</v>
      </c>
      <c r="L423" s="133"/>
      <c r="M423" s="126">
        <f t="shared" si="90"/>
        <v>1</v>
      </c>
      <c r="N423" s="126">
        <f t="shared" si="91"/>
        <v>3</v>
      </c>
      <c r="O423" s="133"/>
      <c r="P423" s="126">
        <f t="shared" si="92"/>
        <v>0</v>
      </c>
      <c r="Q423" s="126">
        <f t="shared" si="93"/>
        <v>0</v>
      </c>
      <c r="R423" s="126">
        <f t="shared" si="94"/>
        <v>0</v>
      </c>
      <c r="S423" s="126">
        <f t="shared" si="95"/>
        <v>0</v>
      </c>
      <c r="T423" s="126">
        <f t="shared" si="96"/>
        <v>0</v>
      </c>
      <c r="U423" s="126">
        <f t="shared" si="97"/>
        <v>0</v>
      </c>
      <c r="V423" s="154">
        <f t="shared" si="98"/>
        <v>0</v>
      </c>
      <c r="W423" s="126">
        <f t="shared" si="99"/>
        <v>0</v>
      </c>
      <c r="X423" s="126">
        <f t="shared" si="100"/>
        <v>0</v>
      </c>
      <c r="Y423" s="126">
        <f t="shared" si="101"/>
        <v>1</v>
      </c>
      <c r="Z423" s="133"/>
      <c r="AA423" s="133"/>
      <c r="AB423" s="126"/>
      <c r="AC423" s="126">
        <f t="shared" si="102"/>
        <v>1</v>
      </c>
      <c r="AD423" s="126" t="str">
        <f t="shared" si="103"/>
        <v>Wrong</v>
      </c>
      <c r="AE423" s="133"/>
      <c r="AF423" s="120" t="str">
        <f>IFERROR(VLOOKUP(Table1[RespondentID],'All Data'!$A$3:$CO$999,87,FALSE),"unknown")</f>
        <v>Woman</v>
      </c>
      <c r="AG423" s="120">
        <f>IFERROR(VLOOKUP(Table1[RespondentID],'All Data'!$A$3:$CO$999,88,FALSE),"unknown")</f>
        <v>0</v>
      </c>
      <c r="AH423" s="120" t="str">
        <f>IFERROR(VLOOKUP(Table1[RespondentID],'All Data'!$A$3:$CO$999,89,FALSE),"unknown")</f>
        <v>Nassau</v>
      </c>
      <c r="AI423" s="120" t="str">
        <f>IFERROR(VLOOKUP(Table1[RespondentID],'All Data'!$A$3:$CO$999,90,FALSE),"unknown")</f>
        <v>Long Beach, 11561</v>
      </c>
      <c r="AJ423" s="120">
        <f>IFERROR(VLOOKUP(Table1[RespondentID],'All Data'!$A$3:$CO$999,91,FALSE),"unknown")</f>
        <v>0</v>
      </c>
      <c r="AK423" s="120" t="str">
        <f>IFERROR(VLOOKUP(Table1[RespondentID],'All Data'!$A$3:$CO$999,92,FALSE),"unknown")</f>
        <v>Hispanic or Latino</v>
      </c>
      <c r="AL423" s="120" t="str">
        <f>IFERROR(VLOOKUP(Table1[RespondentID],'All Data'!$A$3:$CO$999,93,FALSE),"unknown")</f>
        <v>English</v>
      </c>
      <c r="AM423" s="120" t="str">
        <f>IFERROR(VLOOKUP(Table1[RespondentID],'All Data'!$A$3:$CW$999,94,FALSE),"unknown")</f>
        <v>$50,000 to $74,999</v>
      </c>
      <c r="AN423" s="120" t="str">
        <f>IFERROR(VLOOKUP(Table1[RespondentID],'All Data'!$A$3:$CW$999,95,FALSE),"unknown")</f>
        <v>College graduate</v>
      </c>
      <c r="AO423" s="120">
        <f>IFERROR(VLOOKUP(Table1[RespondentID],'All Data'!$A$3:$CW$999,96,FALSE),"unknown")</f>
        <v>0</v>
      </c>
      <c r="AP423" s="120">
        <f>IFERROR(VLOOKUP(Table1[RespondentID],'All Data'!$A$3:$CW$999,97,FALSE),"unknown")</f>
        <v>0</v>
      </c>
      <c r="AQ423" s="120" t="str">
        <f>IFERROR(VLOOKUP(Table1[RespondentID],'All Data'!$A$3:$CW$999,98,FALSE),"unknown")</f>
        <v>Private/Commercial</v>
      </c>
      <c r="AR423" s="120" t="str">
        <f>IFERROR(VLOOKUP(Table1[RespondentID],'All Data'!$A$3:$CW$999,99,FALSE),"unknown")</f>
        <v>Yes</v>
      </c>
    </row>
    <row r="424" spans="1:44" ht="16">
      <c r="A424" s="133">
        <v>114085817457</v>
      </c>
      <c r="B424" s="134"/>
      <c r="C424" s="135" t="s">
        <v>30</v>
      </c>
      <c r="D424" s="135"/>
      <c r="E424" s="135"/>
      <c r="F424" s="135"/>
      <c r="G424" s="135"/>
      <c r="H424" s="135"/>
      <c r="I424" s="135"/>
      <c r="J424" s="135"/>
      <c r="K424" s="135"/>
      <c r="L424" s="133"/>
      <c r="M424" s="126">
        <f t="shared" si="90"/>
        <v>1</v>
      </c>
      <c r="N424" s="126">
        <f t="shared" si="91"/>
        <v>3</v>
      </c>
      <c r="O424" s="133"/>
      <c r="P424" s="126">
        <f t="shared" si="92"/>
        <v>0</v>
      </c>
      <c r="Q424" s="126">
        <f t="shared" si="93"/>
        <v>1</v>
      </c>
      <c r="R424" s="126">
        <f t="shared" si="94"/>
        <v>0</v>
      </c>
      <c r="S424" s="126">
        <f t="shared" si="95"/>
        <v>0</v>
      </c>
      <c r="T424" s="126">
        <f t="shared" si="96"/>
        <v>0</v>
      </c>
      <c r="U424" s="126">
        <f t="shared" si="97"/>
        <v>0</v>
      </c>
      <c r="V424" s="154">
        <f t="shared" si="98"/>
        <v>0</v>
      </c>
      <c r="W424" s="126">
        <f t="shared" si="99"/>
        <v>0</v>
      </c>
      <c r="X424" s="126">
        <f t="shared" si="100"/>
        <v>0</v>
      </c>
      <c r="Y424" s="126">
        <f t="shared" si="101"/>
        <v>0</v>
      </c>
      <c r="Z424" s="133"/>
      <c r="AA424" s="133"/>
      <c r="AB424" s="126"/>
      <c r="AC424" s="126">
        <f t="shared" si="102"/>
        <v>1</v>
      </c>
      <c r="AD424" s="126" t="str">
        <f t="shared" si="103"/>
        <v>Wrong</v>
      </c>
      <c r="AE424" s="133"/>
      <c r="AF424" s="120" t="str">
        <f>IFERROR(VLOOKUP(Table1[RespondentID],'All Data'!$A$3:$CO$999,87,FALSE),"unknown")</f>
        <v>Woman</v>
      </c>
      <c r="AG424" s="120">
        <f>IFERROR(VLOOKUP(Table1[RespondentID],'All Data'!$A$3:$CO$999,88,FALSE),"unknown")</f>
        <v>0</v>
      </c>
      <c r="AH424" s="120" t="str">
        <f>IFERROR(VLOOKUP(Table1[RespondentID],'All Data'!$A$3:$CO$999,89,FALSE),"unknown")</f>
        <v>Nassau</v>
      </c>
      <c r="AI424" s="120" t="str">
        <f>IFERROR(VLOOKUP(Table1[RespondentID],'All Data'!$A$3:$CO$999,90,FALSE),"unknown")</f>
        <v>Uniondale, 11553</v>
      </c>
      <c r="AJ424" s="120">
        <f>IFERROR(VLOOKUP(Table1[RespondentID],'All Data'!$A$3:$CO$999,91,FALSE),"unknown")</f>
        <v>0</v>
      </c>
      <c r="AK424" s="120" t="str">
        <f>IFERROR(VLOOKUP(Table1[RespondentID],'All Data'!$A$3:$CO$999,92,FALSE),"unknown")</f>
        <v>Not Hispanic or Latino</v>
      </c>
      <c r="AL424" s="120" t="str">
        <f>IFERROR(VLOOKUP(Table1[RespondentID],'All Data'!$A$3:$CO$999,93,FALSE),"unknown")</f>
        <v>English</v>
      </c>
      <c r="AM424" s="120" t="str">
        <f>IFERROR(VLOOKUP(Table1[RespondentID],'All Data'!$A$3:$CW$999,94,FALSE),"unknown")</f>
        <v>$35,000 to $49,999</v>
      </c>
      <c r="AN424" s="120" t="str">
        <f>IFERROR(VLOOKUP(Table1[RespondentID],'All Data'!$A$3:$CW$999,95,FALSE),"unknown")</f>
        <v>Some college</v>
      </c>
      <c r="AO424" s="120">
        <f>IFERROR(VLOOKUP(Table1[RespondentID],'All Data'!$A$3:$CW$999,96,FALSE),"unknown")</f>
        <v>0</v>
      </c>
      <c r="AP424" s="120">
        <f>IFERROR(VLOOKUP(Table1[RespondentID],'All Data'!$A$3:$CW$999,97,FALSE),"unknown")</f>
        <v>0</v>
      </c>
      <c r="AQ424" s="120" t="str">
        <f>IFERROR(VLOOKUP(Table1[RespondentID],'All Data'!$A$3:$CW$999,98,FALSE),"unknown")</f>
        <v>Private/Commercial</v>
      </c>
      <c r="AR424" s="120" t="str">
        <f>IFERROR(VLOOKUP(Table1[RespondentID],'All Data'!$A$3:$CW$999,99,FALSE),"unknown")</f>
        <v>Yes</v>
      </c>
    </row>
    <row r="425" spans="1:44" ht="16">
      <c r="A425" s="133">
        <v>114085817331</v>
      </c>
      <c r="B425" s="134"/>
      <c r="C425" s="135"/>
      <c r="D425" s="135"/>
      <c r="E425" s="135"/>
      <c r="F425" s="135"/>
      <c r="G425" s="135" t="s">
        <v>34</v>
      </c>
      <c r="H425" s="135"/>
      <c r="I425" s="135"/>
      <c r="J425" s="135"/>
      <c r="K425" s="135"/>
      <c r="L425" s="133"/>
      <c r="M425" s="126">
        <f t="shared" si="90"/>
        <v>1</v>
      </c>
      <c r="N425" s="126">
        <f t="shared" si="91"/>
        <v>3</v>
      </c>
      <c r="O425" s="133"/>
      <c r="P425" s="126">
        <f t="shared" si="92"/>
        <v>0</v>
      </c>
      <c r="Q425" s="126">
        <f t="shared" si="93"/>
        <v>0</v>
      </c>
      <c r="R425" s="126">
        <f t="shared" si="94"/>
        <v>0</v>
      </c>
      <c r="S425" s="126">
        <f t="shared" si="95"/>
        <v>0</v>
      </c>
      <c r="T425" s="126">
        <f t="shared" si="96"/>
        <v>0</v>
      </c>
      <c r="U425" s="126">
        <f t="shared" si="97"/>
        <v>1</v>
      </c>
      <c r="V425" s="154">
        <f t="shared" si="98"/>
        <v>0</v>
      </c>
      <c r="W425" s="126">
        <f t="shared" si="99"/>
        <v>0</v>
      </c>
      <c r="X425" s="126">
        <f t="shared" si="100"/>
        <v>0</v>
      </c>
      <c r="Y425" s="126">
        <f t="shared" si="101"/>
        <v>0</v>
      </c>
      <c r="Z425" s="133"/>
      <c r="AA425" s="133"/>
      <c r="AB425" s="126"/>
      <c r="AC425" s="126">
        <f t="shared" si="102"/>
        <v>1</v>
      </c>
      <c r="AD425" s="126" t="str">
        <f t="shared" si="103"/>
        <v>Wrong</v>
      </c>
      <c r="AE425" s="133"/>
      <c r="AF425" s="120" t="str">
        <f>IFERROR(VLOOKUP(Table1[RespondentID],'All Data'!$A$3:$CO$999,87,FALSE),"unknown")</f>
        <v>Woman</v>
      </c>
      <c r="AG425" s="120">
        <f>IFERROR(VLOOKUP(Table1[RespondentID],'All Data'!$A$3:$CO$999,88,FALSE),"unknown")</f>
        <v>0</v>
      </c>
      <c r="AH425" s="120" t="str">
        <f>IFERROR(VLOOKUP(Table1[RespondentID],'All Data'!$A$3:$CO$999,89,FALSE),"unknown")</f>
        <v>Nassau</v>
      </c>
      <c r="AI425" s="120" t="str">
        <f>IFERROR(VLOOKUP(Table1[RespondentID],'All Data'!$A$3:$CO$999,90,FALSE),"unknown")</f>
        <v>Plainview, 11803</v>
      </c>
      <c r="AJ425" s="120">
        <f>IFERROR(VLOOKUP(Table1[RespondentID],'All Data'!$A$3:$CO$999,91,FALSE),"unknown")</f>
        <v>0</v>
      </c>
      <c r="AK425" s="120" t="str">
        <f>IFERROR(VLOOKUP(Table1[RespondentID],'All Data'!$A$3:$CO$999,92,FALSE),"unknown")</f>
        <v>Not Hispanic or Latino</v>
      </c>
      <c r="AL425" s="120" t="str">
        <f>IFERROR(VLOOKUP(Table1[RespondentID],'All Data'!$A$3:$CO$999,93,FALSE),"unknown")</f>
        <v>English</v>
      </c>
      <c r="AM425" s="120" t="str">
        <f>IFERROR(VLOOKUP(Table1[RespondentID],'All Data'!$A$3:$CW$999,94,FALSE),"unknown")</f>
        <v>Over $125,000</v>
      </c>
      <c r="AN425" s="120" t="str">
        <f>IFERROR(VLOOKUP(Table1[RespondentID],'All Data'!$A$3:$CW$999,95,FALSE),"unknown")</f>
        <v>Graduate school</v>
      </c>
      <c r="AO425" s="120">
        <f>IFERROR(VLOOKUP(Table1[RespondentID],'All Data'!$A$3:$CW$999,96,FALSE),"unknown")</f>
        <v>0</v>
      </c>
      <c r="AP425" s="120">
        <f>IFERROR(VLOOKUP(Table1[RespondentID],'All Data'!$A$3:$CW$999,97,FALSE),"unknown")</f>
        <v>0</v>
      </c>
      <c r="AQ425" s="120" t="str">
        <f>IFERROR(VLOOKUP(Table1[RespondentID],'All Data'!$A$3:$CW$999,98,FALSE),"unknown")</f>
        <v>Private/Commercial</v>
      </c>
      <c r="AR425" s="120" t="str">
        <f>IFERROR(VLOOKUP(Table1[RespondentID],'All Data'!$A$3:$CW$999,99,FALSE),"unknown")</f>
        <v>Yes</v>
      </c>
    </row>
    <row r="426" spans="1:44" ht="16">
      <c r="A426" s="133">
        <v>114085816678</v>
      </c>
      <c r="B426" s="134"/>
      <c r="C426" s="135"/>
      <c r="D426" s="135"/>
      <c r="E426" s="135"/>
      <c r="F426" s="135"/>
      <c r="G426" s="135" t="s">
        <v>34</v>
      </c>
      <c r="H426" s="135"/>
      <c r="I426" s="135"/>
      <c r="J426" s="135"/>
      <c r="K426" s="135"/>
      <c r="L426" s="133"/>
      <c r="M426" s="126">
        <f t="shared" si="90"/>
        <v>1</v>
      </c>
      <c r="N426" s="126">
        <f t="shared" si="91"/>
        <v>3</v>
      </c>
      <c r="O426" s="133"/>
      <c r="P426" s="126">
        <f t="shared" si="92"/>
        <v>0</v>
      </c>
      <c r="Q426" s="126">
        <f t="shared" si="93"/>
        <v>0</v>
      </c>
      <c r="R426" s="126">
        <f t="shared" si="94"/>
        <v>0</v>
      </c>
      <c r="S426" s="126">
        <f t="shared" si="95"/>
        <v>0</v>
      </c>
      <c r="T426" s="126">
        <f t="shared" si="96"/>
        <v>0</v>
      </c>
      <c r="U426" s="126">
        <f t="shared" si="97"/>
        <v>1</v>
      </c>
      <c r="V426" s="154">
        <f t="shared" si="98"/>
        <v>0</v>
      </c>
      <c r="W426" s="126">
        <f t="shared" si="99"/>
        <v>0</v>
      </c>
      <c r="X426" s="126">
        <f t="shared" si="100"/>
        <v>0</v>
      </c>
      <c r="Y426" s="126">
        <f t="shared" si="101"/>
        <v>0</v>
      </c>
      <c r="Z426" s="133"/>
      <c r="AA426" s="133"/>
      <c r="AB426" s="126"/>
      <c r="AC426" s="126">
        <f t="shared" si="102"/>
        <v>1</v>
      </c>
      <c r="AD426" s="126" t="str">
        <f t="shared" si="103"/>
        <v>Wrong</v>
      </c>
      <c r="AE426" s="133"/>
      <c r="AF426" s="120" t="str">
        <f>IFERROR(VLOOKUP(Table1[RespondentID],'All Data'!$A$3:$CO$999,87,FALSE),"unknown")</f>
        <v>Woman</v>
      </c>
      <c r="AG426" s="120">
        <f>IFERROR(VLOOKUP(Table1[RespondentID],'All Data'!$A$3:$CO$999,88,FALSE),"unknown")</f>
        <v>0</v>
      </c>
      <c r="AH426" s="120" t="str">
        <f>IFERROR(VLOOKUP(Table1[RespondentID],'All Data'!$A$3:$CO$999,89,FALSE),"unknown")</f>
        <v>Nassau</v>
      </c>
      <c r="AI426" s="120" t="str">
        <f>IFERROR(VLOOKUP(Table1[RespondentID],'All Data'!$A$3:$CO$999,90,FALSE),"unknown")</f>
        <v>Malverne, 11565</v>
      </c>
      <c r="AJ426" s="120">
        <f>IFERROR(VLOOKUP(Table1[RespondentID],'All Data'!$A$3:$CO$999,91,FALSE),"unknown")</f>
        <v>0</v>
      </c>
      <c r="AK426" s="120" t="str">
        <f>IFERROR(VLOOKUP(Table1[RespondentID],'All Data'!$A$3:$CO$999,92,FALSE),"unknown")</f>
        <v>Not Hispanic or Latino</v>
      </c>
      <c r="AL426" s="120" t="str">
        <f>IFERROR(VLOOKUP(Table1[RespondentID],'All Data'!$A$3:$CO$999,93,FALSE),"unknown")</f>
        <v>English</v>
      </c>
      <c r="AM426" s="120" t="str">
        <f>IFERROR(VLOOKUP(Table1[RespondentID],'All Data'!$A$3:$CW$999,94,FALSE),"unknown")</f>
        <v>Over $125,000</v>
      </c>
      <c r="AN426" s="120" t="str">
        <f>IFERROR(VLOOKUP(Table1[RespondentID],'All Data'!$A$3:$CW$999,95,FALSE),"unknown")</f>
        <v>College graduate</v>
      </c>
      <c r="AO426" s="120">
        <f>IFERROR(VLOOKUP(Table1[RespondentID],'All Data'!$A$3:$CW$999,96,FALSE),"unknown")</f>
        <v>0</v>
      </c>
      <c r="AP426" s="120">
        <f>IFERROR(VLOOKUP(Table1[RespondentID],'All Data'!$A$3:$CW$999,97,FALSE),"unknown")</f>
        <v>0</v>
      </c>
      <c r="AQ426" s="120" t="str">
        <f>IFERROR(VLOOKUP(Table1[RespondentID],'All Data'!$A$3:$CW$999,98,FALSE),"unknown")</f>
        <v>Private/Commercial</v>
      </c>
      <c r="AR426" s="120" t="str">
        <f>IFERROR(VLOOKUP(Table1[RespondentID],'All Data'!$A$3:$CW$999,99,FALSE),"unknown")</f>
        <v>Yes</v>
      </c>
    </row>
    <row r="427" spans="1:44" ht="16">
      <c r="A427" s="133">
        <v>114083656423</v>
      </c>
      <c r="B427" s="134"/>
      <c r="C427" s="135"/>
      <c r="D427" s="135"/>
      <c r="E427" s="135"/>
      <c r="F427" s="135"/>
      <c r="G427" s="135"/>
      <c r="H427" s="135"/>
      <c r="I427" s="135"/>
      <c r="J427" s="135"/>
      <c r="K427" s="135"/>
      <c r="L427" s="133"/>
      <c r="M427" s="126">
        <f t="shared" si="90"/>
        <v>0</v>
      </c>
      <c r="N427" s="126" t="e">
        <f t="shared" si="91"/>
        <v>#DIV/0!</v>
      </c>
      <c r="O427" s="133"/>
      <c r="P427" s="126">
        <f t="shared" si="92"/>
        <v>0</v>
      </c>
      <c r="Q427" s="126">
        <f t="shared" si="93"/>
        <v>0</v>
      </c>
      <c r="R427" s="126">
        <f t="shared" si="94"/>
        <v>0</v>
      </c>
      <c r="S427" s="126">
        <f t="shared" si="95"/>
        <v>0</v>
      </c>
      <c r="T427" s="126">
        <f t="shared" si="96"/>
        <v>0</v>
      </c>
      <c r="U427" s="126">
        <f t="shared" si="97"/>
        <v>0</v>
      </c>
      <c r="V427" s="154">
        <f t="shared" si="98"/>
        <v>0</v>
      </c>
      <c r="W427" s="126">
        <f t="shared" si="99"/>
        <v>0</v>
      </c>
      <c r="X427" s="126">
        <f t="shared" si="100"/>
        <v>0</v>
      </c>
      <c r="Y427" s="126">
        <f t="shared" si="101"/>
        <v>0</v>
      </c>
      <c r="Z427" s="133"/>
      <c r="AA427" s="133"/>
      <c r="AB427" s="126"/>
      <c r="AC427" s="126">
        <f t="shared" si="102"/>
        <v>0</v>
      </c>
      <c r="AD427" s="126" t="str">
        <f t="shared" si="103"/>
        <v>Correct</v>
      </c>
      <c r="AE427" s="133"/>
      <c r="AF427" s="120" t="str">
        <f>IFERROR(VLOOKUP(Table1[RespondentID],'All Data'!$A$3:$CO$999,87,FALSE),"unknown")</f>
        <v>Woman</v>
      </c>
      <c r="AG427" s="120">
        <f>IFERROR(VLOOKUP(Table1[RespondentID],'All Data'!$A$3:$CO$999,88,FALSE),"unknown")</f>
        <v>0</v>
      </c>
      <c r="AH427" s="120" t="str">
        <f>IFERROR(VLOOKUP(Table1[RespondentID],'All Data'!$A$3:$CO$999,89,FALSE),"unknown")</f>
        <v>Suffolk</v>
      </c>
      <c r="AI427" s="120" t="str">
        <f>IFERROR(VLOOKUP(Table1[RespondentID],'All Data'!$A$3:$CO$999,90,FALSE),"unknown")</f>
        <v>West Islip, 11795</v>
      </c>
      <c r="AJ427" s="120">
        <f>IFERROR(VLOOKUP(Table1[RespondentID],'All Data'!$A$3:$CO$999,91,FALSE),"unknown")</f>
        <v>0</v>
      </c>
      <c r="AK427" s="120" t="str">
        <f>IFERROR(VLOOKUP(Table1[RespondentID],'All Data'!$A$3:$CO$999,92,FALSE),"unknown")</f>
        <v>Hispanic or Latino</v>
      </c>
      <c r="AL427" s="120" t="str">
        <f>IFERROR(VLOOKUP(Table1[RespondentID],'All Data'!$A$3:$CO$999,93,FALSE),"unknown")</f>
        <v>English</v>
      </c>
      <c r="AM427" s="120" t="str">
        <f>IFERROR(VLOOKUP(Table1[RespondentID],'All Data'!$A$3:$CW$999,94,FALSE),"unknown")</f>
        <v>Over $125,000</v>
      </c>
      <c r="AN427" s="120" t="str">
        <f>IFERROR(VLOOKUP(Table1[RespondentID],'All Data'!$A$3:$CW$999,95,FALSE),"unknown")</f>
        <v>Graduate school</v>
      </c>
      <c r="AO427" s="120">
        <f>IFERROR(VLOOKUP(Table1[RespondentID],'All Data'!$A$3:$CW$999,96,FALSE),"unknown")</f>
        <v>0</v>
      </c>
      <c r="AP427" s="120">
        <f>IFERROR(VLOOKUP(Table1[RespondentID],'All Data'!$A$3:$CW$999,97,FALSE),"unknown")</f>
        <v>0</v>
      </c>
      <c r="AQ427" s="120" t="str">
        <f>IFERROR(VLOOKUP(Table1[RespondentID],'All Data'!$A$3:$CW$999,98,FALSE),"unknown")</f>
        <v>Private/Commercial</v>
      </c>
      <c r="AR427" s="120" t="str">
        <f>IFERROR(VLOOKUP(Table1[RespondentID],'All Data'!$A$3:$CW$999,99,FALSE),"unknown")</f>
        <v>Yes</v>
      </c>
    </row>
    <row r="428" spans="1:44" ht="16">
      <c r="A428" s="133">
        <v>114082818594</v>
      </c>
      <c r="B428" s="134"/>
      <c r="C428" s="135"/>
      <c r="D428" s="135"/>
      <c r="E428" s="135"/>
      <c r="F428" s="135"/>
      <c r="G428" s="135" t="s">
        <v>34</v>
      </c>
      <c r="H428" s="135"/>
      <c r="I428" s="135"/>
      <c r="J428" s="135"/>
      <c r="K428" s="135"/>
      <c r="L428" s="133"/>
      <c r="M428" s="126">
        <f t="shared" si="90"/>
        <v>1</v>
      </c>
      <c r="N428" s="126">
        <f t="shared" si="91"/>
        <v>3</v>
      </c>
      <c r="O428" s="133"/>
      <c r="P428" s="126">
        <f t="shared" si="92"/>
        <v>0</v>
      </c>
      <c r="Q428" s="126">
        <f t="shared" si="93"/>
        <v>0</v>
      </c>
      <c r="R428" s="126">
        <f t="shared" si="94"/>
        <v>0</v>
      </c>
      <c r="S428" s="126">
        <f t="shared" si="95"/>
        <v>0</v>
      </c>
      <c r="T428" s="126">
        <f t="shared" si="96"/>
        <v>0</v>
      </c>
      <c r="U428" s="126">
        <f t="shared" si="97"/>
        <v>1</v>
      </c>
      <c r="V428" s="154">
        <f t="shared" si="98"/>
        <v>0</v>
      </c>
      <c r="W428" s="126">
        <f t="shared" si="99"/>
        <v>0</v>
      </c>
      <c r="X428" s="126">
        <f t="shared" si="100"/>
        <v>0</v>
      </c>
      <c r="Y428" s="126">
        <f t="shared" si="101"/>
        <v>0</v>
      </c>
      <c r="Z428" s="133"/>
      <c r="AA428" s="133"/>
      <c r="AB428" s="126"/>
      <c r="AC428" s="126">
        <f t="shared" si="102"/>
        <v>1</v>
      </c>
      <c r="AD428" s="126" t="str">
        <f t="shared" si="103"/>
        <v>Wrong</v>
      </c>
      <c r="AE428" s="133"/>
      <c r="AF428" s="120" t="str">
        <f>IFERROR(VLOOKUP(Table1[RespondentID],'All Data'!$A$3:$CO$999,87,FALSE),"unknown")</f>
        <v>Man</v>
      </c>
      <c r="AG428" s="120">
        <f>IFERROR(VLOOKUP(Table1[RespondentID],'All Data'!$A$3:$CO$999,88,FALSE),"unknown")</f>
        <v>0</v>
      </c>
      <c r="AH428" s="120" t="str">
        <f>IFERROR(VLOOKUP(Table1[RespondentID],'All Data'!$A$3:$CO$999,89,FALSE),"unknown")</f>
        <v>Nassau</v>
      </c>
      <c r="AI428" s="120" t="str">
        <f>IFERROR(VLOOKUP(Table1[RespondentID],'All Data'!$A$3:$CO$999,90,FALSE),"unknown")</f>
        <v>Merrick, 11566</v>
      </c>
      <c r="AJ428" s="120">
        <f>IFERROR(VLOOKUP(Table1[RespondentID],'All Data'!$A$3:$CO$999,91,FALSE),"unknown")</f>
        <v>0</v>
      </c>
      <c r="AK428" s="120" t="str">
        <f>IFERROR(VLOOKUP(Table1[RespondentID],'All Data'!$A$3:$CO$999,92,FALSE),"unknown")</f>
        <v>Not Hispanic or Latino</v>
      </c>
      <c r="AL428" s="120" t="str">
        <f>IFERROR(VLOOKUP(Table1[RespondentID],'All Data'!$A$3:$CO$999,93,FALSE),"unknown")</f>
        <v>English</v>
      </c>
      <c r="AM428" s="120" t="str">
        <f>IFERROR(VLOOKUP(Table1[RespondentID],'All Data'!$A$3:$CW$999,94,FALSE),"unknown")</f>
        <v>Over $125,000</v>
      </c>
      <c r="AN428" s="120" t="str">
        <f>IFERROR(VLOOKUP(Table1[RespondentID],'All Data'!$A$3:$CW$999,95,FALSE),"unknown")</f>
        <v>Doctorate</v>
      </c>
      <c r="AO428" s="120">
        <f>IFERROR(VLOOKUP(Table1[RespondentID],'All Data'!$A$3:$CW$999,96,FALSE),"unknown")</f>
        <v>0</v>
      </c>
      <c r="AP428" s="120">
        <f>IFERROR(VLOOKUP(Table1[RespondentID],'All Data'!$A$3:$CW$999,97,FALSE),"unknown")</f>
        <v>0</v>
      </c>
      <c r="AQ428" s="120" t="str">
        <f>IFERROR(VLOOKUP(Table1[RespondentID],'All Data'!$A$3:$CW$999,98,FALSE),"unknown")</f>
        <v>Private/Commercial</v>
      </c>
      <c r="AR428" s="120" t="str">
        <f>IFERROR(VLOOKUP(Table1[RespondentID],'All Data'!$A$3:$CW$999,99,FALSE),"unknown")</f>
        <v>Yes</v>
      </c>
    </row>
    <row r="429" spans="1:44" ht="16">
      <c r="A429" s="136">
        <v>114087300174</v>
      </c>
      <c r="B429" s="137"/>
      <c r="C429" s="138"/>
      <c r="D429" s="138"/>
      <c r="E429" s="138"/>
      <c r="F429" s="138"/>
      <c r="G429" s="138" t="s">
        <v>34</v>
      </c>
      <c r="H429" s="138"/>
      <c r="I429" s="138"/>
      <c r="J429" s="138"/>
      <c r="K429" s="138"/>
      <c r="L429" s="136"/>
      <c r="M429" s="132">
        <f t="shared" si="90"/>
        <v>1</v>
      </c>
      <c r="N429" s="132">
        <f t="shared" si="91"/>
        <v>3</v>
      </c>
      <c r="O429" s="136"/>
      <c r="P429" s="132">
        <f t="shared" si="92"/>
        <v>0</v>
      </c>
      <c r="Q429" s="132">
        <f t="shared" si="93"/>
        <v>0</v>
      </c>
      <c r="R429" s="132">
        <f t="shared" si="94"/>
        <v>0</v>
      </c>
      <c r="S429" s="132">
        <f t="shared" si="95"/>
        <v>0</v>
      </c>
      <c r="T429" s="132">
        <f t="shared" si="96"/>
        <v>0</v>
      </c>
      <c r="U429" s="132">
        <f t="shared" si="97"/>
        <v>1</v>
      </c>
      <c r="V429" s="155">
        <f t="shared" si="98"/>
        <v>0</v>
      </c>
      <c r="W429" s="132">
        <f t="shared" si="99"/>
        <v>0</v>
      </c>
      <c r="X429" s="132">
        <f t="shared" si="100"/>
        <v>0</v>
      </c>
      <c r="Y429" s="132">
        <f t="shared" si="101"/>
        <v>0</v>
      </c>
      <c r="Z429" s="136"/>
      <c r="AA429" s="136"/>
      <c r="AB429" s="132"/>
      <c r="AC429" s="132">
        <f t="shared" si="102"/>
        <v>1</v>
      </c>
      <c r="AD429" s="132" t="str">
        <f t="shared" si="103"/>
        <v>Wrong</v>
      </c>
      <c r="AE429" s="136"/>
      <c r="AF429" s="120" t="str">
        <f>IFERROR(VLOOKUP(Table1[RespondentID],'All Data'!$A$3:$CO$999,87,FALSE),"unknown")</f>
        <v>Woman</v>
      </c>
      <c r="AG429" s="120">
        <f>IFERROR(VLOOKUP(Table1[RespondentID],'All Data'!$A$3:$CO$999,88,FALSE),"unknown")</f>
        <v>0</v>
      </c>
      <c r="AH429" s="120" t="str">
        <f>IFERROR(VLOOKUP(Table1[RespondentID],'All Data'!$A$3:$CO$999,89,FALSE),"unknown")</f>
        <v>Suffolk</v>
      </c>
      <c r="AI429" s="120" t="str">
        <f>IFERROR(VLOOKUP(Table1[RespondentID],'All Data'!$A$3:$CO$999,90,FALSE),"unknown")</f>
        <v>Bay Shore, 11706</v>
      </c>
      <c r="AJ429" s="120">
        <f>IFERROR(VLOOKUP(Table1[RespondentID],'All Data'!$A$3:$CO$999,91,FALSE),"unknown")</f>
        <v>0</v>
      </c>
      <c r="AK429" s="120" t="str">
        <f>IFERROR(VLOOKUP(Table1[RespondentID],'All Data'!$A$3:$CO$999,92,FALSE),"unknown")</f>
        <v>Hispanic or Latino</v>
      </c>
      <c r="AL429" s="120" t="str">
        <f>IFERROR(VLOOKUP(Table1[RespondentID],'All Data'!$A$3:$CO$999,93,FALSE),"unknown")</f>
        <v>English,Spanish</v>
      </c>
      <c r="AM429" s="120" t="str">
        <f>IFERROR(VLOOKUP(Table1[RespondentID],'All Data'!$A$3:$CW$999,94,FALSE),"unknown")</f>
        <v>$50,000 to $74,999</v>
      </c>
      <c r="AN429" s="120" t="str">
        <f>IFERROR(VLOOKUP(Table1[RespondentID],'All Data'!$A$3:$CW$999,95,FALSE),"unknown")</f>
        <v>College graduate</v>
      </c>
      <c r="AO429" s="120">
        <f>IFERROR(VLOOKUP(Table1[RespondentID],'All Data'!$A$3:$CW$999,96,FALSE),"unknown")</f>
        <v>0</v>
      </c>
      <c r="AP429" s="120" t="str">
        <f>IFERROR(VLOOKUP(Table1[RespondentID],'All Data'!$A$3:$CW$999,97,FALSE),"unknown")</f>
        <v>Yes</v>
      </c>
      <c r="AQ429" s="120">
        <f>IFERROR(VLOOKUP(Table1[RespondentID],'All Data'!$A$3:$CW$999,98,FALSE),"unknown")</f>
        <v>0</v>
      </c>
      <c r="AR429" s="120" t="str">
        <f>IFERROR(VLOOKUP(Table1[RespondentID],'All Data'!$A$3:$CW$999,99,FALSE),"unknown")</f>
        <v>Yes</v>
      </c>
    </row>
    <row r="430" spans="1:44" ht="16">
      <c r="A430" s="133">
        <v>114201599852</v>
      </c>
      <c r="B430" s="173"/>
      <c r="C430" s="174" t="s">
        <v>30</v>
      </c>
      <c r="D430" s="174"/>
      <c r="E430" s="174"/>
      <c r="F430" s="174"/>
      <c r="G430" s="174"/>
      <c r="H430" s="174"/>
      <c r="I430" s="174"/>
      <c r="J430" s="174"/>
      <c r="K430" s="174"/>
      <c r="L430" s="174" t="s">
        <v>483</v>
      </c>
      <c r="M430" s="170">
        <f t="shared" ref="M430:M461" si="104">COUNTA(B430:L430)</f>
        <v>2</v>
      </c>
      <c r="N430" s="170">
        <f t="shared" ref="N430:N461" si="105">3/M430</f>
        <v>1.5</v>
      </c>
      <c r="O430" s="170"/>
      <c r="P430" s="170">
        <f t="shared" ref="P430:P461" si="106">IF($M430&lt;3,IF($B430=$B$1,1,0),IF($B430=$B$1,$N430,0))</f>
        <v>0</v>
      </c>
      <c r="Q430" s="170">
        <f t="shared" ref="Q430:Q461" si="107">IF($M430&lt;3,IF($C430=$C$1,1,0),IF($C430=$C$1,$N430,0))</f>
        <v>1</v>
      </c>
      <c r="R430" s="170">
        <f t="shared" ref="R430:R461" si="108">IF($M430&lt;3,IF($D430=$D$1,1,0),IF($D430=$D$1,$N430,0))</f>
        <v>0</v>
      </c>
      <c r="S430" s="170">
        <f t="shared" ref="S430:S461" si="109">IF($M430&lt;3,IF($E430=$E$1,1,0),IF($E430=$E$1,$N430,0))</f>
        <v>0</v>
      </c>
      <c r="T430" s="170">
        <f t="shared" ref="T430:T461" si="110">IF($M430&lt;3,IF($F430=$F$1,1,0),IF($F430=$F$1,$N430,0))</f>
        <v>0</v>
      </c>
      <c r="U430" s="170">
        <f t="shared" ref="U430:U461" si="111">IF($M430&lt;3,IF($G430=$G$1,1,0),IF($G430=$G$1,$N430,0))</f>
        <v>0</v>
      </c>
      <c r="V430" s="175">
        <f t="shared" ref="V430:V461" si="112">IF($M430&lt;3,IF($H430=$H$1,1,0),IF($H430=$H$1,$N430,0))</f>
        <v>0</v>
      </c>
      <c r="W430" s="170">
        <f t="shared" ref="W430:W461" si="113">IF($M430&lt;3,IF($I430=$I$1,1,0),IF($I430=$I$1,$N430,0))</f>
        <v>0</v>
      </c>
      <c r="X430" s="170">
        <f t="shared" ref="X430:X461" si="114">IF($M430&lt;3,IF($J430=$J$1,1,0),IF($J430=$J$1,$N430,0))</f>
        <v>0</v>
      </c>
      <c r="Y430" s="170">
        <f t="shared" ref="Y430:Y461" si="115">IF($M430&lt;3,IF($K430=$K$1,1,0),IF($K430=$K$1,$N430,0))</f>
        <v>0</v>
      </c>
      <c r="Z430" s="170"/>
      <c r="AA430" s="170"/>
      <c r="AB430" s="170">
        <f t="shared" ref="AB430:AB461" si="116">SUM(P430:Z430)</f>
        <v>1</v>
      </c>
      <c r="AC430" s="170">
        <f t="shared" ref="AC430:AC461" si="117">M430</f>
        <v>2</v>
      </c>
      <c r="AD430" s="170" t="str">
        <f t="shared" ref="AD430:AD461" si="118">IF(AB430=AC430,"Correct",IF(AB430=3,"Correct","Wrong"))</f>
        <v>Wrong</v>
      </c>
      <c r="AE430" s="133"/>
      <c r="AF430" s="120" t="str">
        <f>IFERROR(VLOOKUP(Table1[RespondentID],'All Data'!$A$3:$CO$999,87,FALSE),"unknown")</f>
        <v>Woman</v>
      </c>
      <c r="AG430" s="120">
        <f>IFERROR(VLOOKUP(Table1[RespondentID],'All Data'!$A$3:$CO$999,88,FALSE),"unknown")</f>
        <v>66</v>
      </c>
      <c r="AH430" s="120" t="str">
        <f>IFERROR(VLOOKUP(Table1[RespondentID],'All Data'!$A$3:$CO$999,89,FALSE),"unknown")</f>
        <v>Suffolk</v>
      </c>
      <c r="AI430" s="120" t="str">
        <f>IFERROR(VLOOKUP(Table1[RespondentID],'All Data'!$A$3:$CO$999,90,FALSE),"unknown")</f>
        <v>Centerport, 11721</v>
      </c>
      <c r="AJ430" s="120" t="str">
        <f>IFERROR(VLOOKUP(Table1[RespondentID],'All Data'!$A$3:$CO$999,91,FALSE),"unknown")</f>
        <v>White</v>
      </c>
      <c r="AK430" s="120" t="str">
        <f>IFERROR(VLOOKUP(Table1[RespondentID],'All Data'!$A$3:$CO$999,92,FALSE),"unknown")</f>
        <v>Not Hispanic or Latino</v>
      </c>
      <c r="AL430" s="120" t="str">
        <f>IFERROR(VLOOKUP(Table1[RespondentID],'All Data'!$A$3:$CO$999,93,FALSE),"unknown")</f>
        <v>English</v>
      </c>
      <c r="AM430" s="120" t="str">
        <f>IFERROR(VLOOKUP(Table1[RespondentID],'All Data'!$A$3:$CW$999,94,FALSE),"unknown")</f>
        <v>Over $125,000</v>
      </c>
      <c r="AN430" s="120" t="str">
        <f>IFERROR(VLOOKUP(Table1[RespondentID],'All Data'!$A$3:$CW$999,95,FALSE),"unknown")</f>
        <v>Graduate school</v>
      </c>
      <c r="AO430" s="120" t="str">
        <f>IFERROR(VLOOKUP(Table1[RespondentID],'All Data'!$A$3:$CW$999,96,FALSE),"unknown")</f>
        <v>Employed for wages</v>
      </c>
      <c r="AP430" s="120" t="str">
        <f>IFERROR(VLOOKUP(Table1[RespondentID],'All Data'!$A$3:$CW$999,97,FALSE),"unknown")</f>
        <v>Yes</v>
      </c>
      <c r="AQ430" s="120" t="str">
        <f>IFERROR(VLOOKUP(Table1[RespondentID],'All Data'!$A$3:$CW$999,98,FALSE),"unknown")</f>
        <v>Private/Commercial</v>
      </c>
      <c r="AR430" s="120" t="str">
        <f>IFERROR(VLOOKUP(Table1[RespondentID],'All Data'!$A$3:$CW$999,99,FALSE),"unknown")</f>
        <v>Yes</v>
      </c>
    </row>
    <row r="431" spans="1:44" ht="16">
      <c r="A431" s="133">
        <v>114187605562</v>
      </c>
      <c r="B431" s="173"/>
      <c r="C431" s="174"/>
      <c r="D431" s="174"/>
      <c r="E431" s="174"/>
      <c r="F431" s="174"/>
      <c r="G431" s="174" t="s">
        <v>34</v>
      </c>
      <c r="H431" s="174"/>
      <c r="I431" s="174"/>
      <c r="J431" s="174"/>
      <c r="K431" s="174"/>
      <c r="L431" s="174"/>
      <c r="M431" s="170">
        <f t="shared" si="104"/>
        <v>1</v>
      </c>
      <c r="N431" s="170">
        <f t="shared" si="105"/>
        <v>3</v>
      </c>
      <c r="O431" s="170"/>
      <c r="P431" s="170">
        <f t="shared" si="106"/>
        <v>0</v>
      </c>
      <c r="Q431" s="170">
        <f t="shared" si="107"/>
        <v>0</v>
      </c>
      <c r="R431" s="170">
        <f t="shared" si="108"/>
        <v>0</v>
      </c>
      <c r="S431" s="170">
        <f t="shared" si="109"/>
        <v>0</v>
      </c>
      <c r="T431" s="170">
        <f t="shared" si="110"/>
        <v>0</v>
      </c>
      <c r="U431" s="170">
        <f t="shared" si="111"/>
        <v>1</v>
      </c>
      <c r="V431" s="175">
        <f t="shared" si="112"/>
        <v>0</v>
      </c>
      <c r="W431" s="170">
        <f t="shared" si="113"/>
        <v>0</v>
      </c>
      <c r="X431" s="170">
        <f t="shared" si="114"/>
        <v>0</v>
      </c>
      <c r="Y431" s="170">
        <f t="shared" si="115"/>
        <v>0</v>
      </c>
      <c r="Z431" s="170"/>
      <c r="AA431" s="170"/>
      <c r="AB431" s="170">
        <f t="shared" si="116"/>
        <v>1</v>
      </c>
      <c r="AC431" s="170">
        <f t="shared" si="117"/>
        <v>1</v>
      </c>
      <c r="AD431" s="170" t="str">
        <f t="shared" si="118"/>
        <v>Correct</v>
      </c>
      <c r="AE431" s="133"/>
      <c r="AF431" s="120" t="str">
        <f>IFERROR(VLOOKUP(Table1[RespondentID],'All Data'!$A$3:$CO$999,87,FALSE),"unknown")</f>
        <v>Man</v>
      </c>
      <c r="AG431" s="120">
        <f>IFERROR(VLOOKUP(Table1[RespondentID],'All Data'!$A$3:$CO$999,88,FALSE),"unknown")</f>
        <v>53</v>
      </c>
      <c r="AH431" s="120" t="str">
        <f>IFERROR(VLOOKUP(Table1[RespondentID],'All Data'!$A$3:$CO$999,89,FALSE),"unknown")</f>
        <v>Nassau</v>
      </c>
      <c r="AI431" s="120" t="str">
        <f>IFERROR(VLOOKUP(Table1[RespondentID],'All Data'!$A$3:$CO$999,90,FALSE),"unknown")</f>
        <v>Merrick, 11566</v>
      </c>
      <c r="AJ431" s="120" t="str">
        <f>IFERROR(VLOOKUP(Table1[RespondentID],'All Data'!$A$3:$CO$999,91,FALSE),"unknown")</f>
        <v>White</v>
      </c>
      <c r="AK431" s="120" t="str">
        <f>IFERROR(VLOOKUP(Table1[RespondentID],'All Data'!$A$3:$CO$999,92,FALSE),"unknown")</f>
        <v>Not Hispanic or Latino</v>
      </c>
      <c r="AL431" s="120" t="str">
        <f>IFERROR(VLOOKUP(Table1[RespondentID],'All Data'!$A$3:$CO$999,93,FALSE),"unknown")</f>
        <v>English</v>
      </c>
      <c r="AM431" s="120" t="str">
        <f>IFERROR(VLOOKUP(Table1[RespondentID],'All Data'!$A$3:$CW$999,94,FALSE),"unknown")</f>
        <v>Over $125,000</v>
      </c>
      <c r="AN431" s="120" t="str">
        <f>IFERROR(VLOOKUP(Table1[RespondentID],'All Data'!$A$3:$CW$999,95,FALSE),"unknown")</f>
        <v>Doctorate</v>
      </c>
      <c r="AO431" s="120" t="str">
        <f>IFERROR(VLOOKUP(Table1[RespondentID],'All Data'!$A$3:$CW$999,96,FALSE),"unknown")</f>
        <v>Employed for wages</v>
      </c>
      <c r="AP431" s="120" t="str">
        <f>IFERROR(VLOOKUP(Table1[RespondentID],'All Data'!$A$3:$CW$999,97,FALSE),"unknown")</f>
        <v>Yes</v>
      </c>
      <c r="AQ431" s="120" t="str">
        <f>IFERROR(VLOOKUP(Table1[RespondentID],'All Data'!$A$3:$CW$999,98,FALSE),"unknown")</f>
        <v>Private/Commercial</v>
      </c>
      <c r="AR431" s="120" t="str">
        <f>IFERROR(VLOOKUP(Table1[RespondentID],'All Data'!$A$3:$CW$999,99,FALSE),"unknown")</f>
        <v>Yes</v>
      </c>
    </row>
    <row r="432" spans="1:44" ht="16">
      <c r="A432" s="133">
        <v>114178252865</v>
      </c>
      <c r="B432" s="173"/>
      <c r="C432" s="174"/>
      <c r="D432" s="174"/>
      <c r="E432" s="174"/>
      <c r="F432" s="174"/>
      <c r="G432" s="174"/>
      <c r="H432" s="174"/>
      <c r="I432" s="174"/>
      <c r="J432" s="174"/>
      <c r="K432" s="174"/>
      <c r="L432" s="174"/>
      <c r="M432" s="170">
        <f t="shared" si="104"/>
        <v>0</v>
      </c>
      <c r="N432" s="170" t="e">
        <f t="shared" si="105"/>
        <v>#DIV/0!</v>
      </c>
      <c r="O432" s="170"/>
      <c r="P432" s="170">
        <f t="shared" si="106"/>
        <v>0</v>
      </c>
      <c r="Q432" s="170">
        <f t="shared" si="107"/>
        <v>0</v>
      </c>
      <c r="R432" s="170">
        <f t="shared" si="108"/>
        <v>0</v>
      </c>
      <c r="S432" s="170">
        <f t="shared" si="109"/>
        <v>0</v>
      </c>
      <c r="T432" s="170">
        <f t="shared" si="110"/>
        <v>0</v>
      </c>
      <c r="U432" s="170">
        <f t="shared" si="111"/>
        <v>0</v>
      </c>
      <c r="V432" s="175">
        <f t="shared" si="112"/>
        <v>0</v>
      </c>
      <c r="W432" s="170">
        <f t="shared" si="113"/>
        <v>0</v>
      </c>
      <c r="X432" s="170">
        <f t="shared" si="114"/>
        <v>0</v>
      </c>
      <c r="Y432" s="170">
        <f t="shared" si="115"/>
        <v>0</v>
      </c>
      <c r="Z432" s="170"/>
      <c r="AA432" s="170"/>
      <c r="AB432" s="170">
        <f t="shared" si="116"/>
        <v>0</v>
      </c>
      <c r="AC432" s="170">
        <f t="shared" si="117"/>
        <v>0</v>
      </c>
      <c r="AD432" s="170" t="str">
        <f t="shared" si="118"/>
        <v>Correct</v>
      </c>
      <c r="AE432" s="133"/>
      <c r="AF432" s="120">
        <f>IFERROR(VLOOKUP(Table1[RespondentID],'All Data'!$A$3:$CO$999,87,FALSE),"unknown")</f>
        <v>0</v>
      </c>
      <c r="AG432" s="120">
        <f>IFERROR(VLOOKUP(Table1[RespondentID],'All Data'!$A$3:$CO$999,88,FALSE),"unknown")</f>
        <v>15</v>
      </c>
      <c r="AH432" s="120">
        <f>IFERROR(VLOOKUP(Table1[RespondentID],'All Data'!$A$3:$CO$999,89,FALSE),"unknown")</f>
        <v>0</v>
      </c>
      <c r="AI432" s="120">
        <f>IFERROR(VLOOKUP(Table1[RespondentID],'All Data'!$A$3:$CO$999,90,FALSE),"unknown")</f>
        <v>0</v>
      </c>
      <c r="AJ432" s="120">
        <f>IFERROR(VLOOKUP(Table1[RespondentID],'All Data'!$A$3:$CO$999,91,FALSE),"unknown")</f>
        <v>0</v>
      </c>
      <c r="AK432" s="120">
        <f>IFERROR(VLOOKUP(Table1[RespondentID],'All Data'!$A$3:$CO$999,92,FALSE),"unknown")</f>
        <v>0</v>
      </c>
      <c r="AL432" s="120">
        <f>IFERROR(VLOOKUP(Table1[RespondentID],'All Data'!$A$3:$CO$999,93,FALSE),"unknown")</f>
        <v>0</v>
      </c>
      <c r="AM432" s="120">
        <f>IFERROR(VLOOKUP(Table1[RespondentID],'All Data'!$A$3:$CW$999,94,FALSE),"unknown")</f>
        <v>0</v>
      </c>
      <c r="AN432" s="120">
        <f>IFERROR(VLOOKUP(Table1[RespondentID],'All Data'!$A$3:$CW$999,95,FALSE),"unknown")</f>
        <v>0</v>
      </c>
      <c r="AO432" s="120">
        <f>IFERROR(VLOOKUP(Table1[RespondentID],'All Data'!$A$3:$CW$999,96,FALSE),"unknown")</f>
        <v>0</v>
      </c>
      <c r="AP432" s="120">
        <f>IFERROR(VLOOKUP(Table1[RespondentID],'All Data'!$A$3:$CW$999,97,FALSE),"unknown")</f>
        <v>0</v>
      </c>
      <c r="AQ432" s="120">
        <f>IFERROR(VLOOKUP(Table1[RespondentID],'All Data'!$A$3:$CW$999,98,FALSE),"unknown")</f>
        <v>0</v>
      </c>
      <c r="AR432" s="120">
        <f>IFERROR(VLOOKUP(Table1[RespondentID],'All Data'!$A$3:$CW$999,99,FALSE),"unknown")</f>
        <v>0</v>
      </c>
    </row>
    <row r="433" spans="1:44" ht="16">
      <c r="A433" s="133">
        <v>114155044650</v>
      </c>
      <c r="B433" s="173"/>
      <c r="C433" s="174"/>
      <c r="D433" s="174" t="s">
        <v>31</v>
      </c>
      <c r="E433" s="174"/>
      <c r="F433" s="174" t="s">
        <v>33</v>
      </c>
      <c r="G433" s="174"/>
      <c r="H433" s="174"/>
      <c r="I433" s="174"/>
      <c r="J433" s="174" t="s">
        <v>37</v>
      </c>
      <c r="K433" s="174" t="s">
        <v>375</v>
      </c>
      <c r="L433" s="174"/>
      <c r="M433" s="170">
        <f t="shared" si="104"/>
        <v>4</v>
      </c>
      <c r="N433" s="170">
        <f t="shared" si="105"/>
        <v>0.75</v>
      </c>
      <c r="O433" s="170"/>
      <c r="P433" s="170">
        <f t="shared" si="106"/>
        <v>0</v>
      </c>
      <c r="Q433" s="170">
        <f t="shared" si="107"/>
        <v>0</v>
      </c>
      <c r="R433" s="170">
        <f t="shared" si="108"/>
        <v>0.75</v>
      </c>
      <c r="S433" s="170">
        <f t="shared" si="109"/>
        <v>0</v>
      </c>
      <c r="T433" s="170">
        <f t="shared" si="110"/>
        <v>0.75</v>
      </c>
      <c r="U433" s="170">
        <f t="shared" si="111"/>
        <v>0</v>
      </c>
      <c r="V433" s="175">
        <f t="shared" si="112"/>
        <v>0</v>
      </c>
      <c r="W433" s="170">
        <f t="shared" si="113"/>
        <v>0</v>
      </c>
      <c r="X433" s="170">
        <f t="shared" si="114"/>
        <v>0.75</v>
      </c>
      <c r="Y433" s="170">
        <f t="shared" si="115"/>
        <v>0.75</v>
      </c>
      <c r="Z433" s="170"/>
      <c r="AA433" s="170"/>
      <c r="AB433" s="170">
        <f t="shared" si="116"/>
        <v>3</v>
      </c>
      <c r="AC433" s="170">
        <f t="shared" si="117"/>
        <v>4</v>
      </c>
      <c r="AD433" s="170" t="str">
        <f t="shared" si="118"/>
        <v>Correct</v>
      </c>
      <c r="AE433" s="133"/>
      <c r="AF433" s="120" t="str">
        <f>IFERROR(VLOOKUP(Table1[RespondentID],'All Data'!$A$3:$CO$999,87,FALSE),"unknown")</f>
        <v>Woman</v>
      </c>
      <c r="AG433" s="120">
        <f>IFERROR(VLOOKUP(Table1[RespondentID],'All Data'!$A$3:$CO$999,88,FALSE),"unknown")</f>
        <v>66</v>
      </c>
      <c r="AH433" s="120" t="str">
        <f>IFERROR(VLOOKUP(Table1[RespondentID],'All Data'!$A$3:$CO$999,89,FALSE),"unknown")</f>
        <v>Nassau</v>
      </c>
      <c r="AI433" s="120" t="str">
        <f>IFERROR(VLOOKUP(Table1[RespondentID],'All Data'!$A$3:$CO$999,90,FALSE),"unknown")</f>
        <v>Hempstead, 11550</v>
      </c>
      <c r="AJ433" s="120">
        <f>IFERROR(VLOOKUP(Table1[RespondentID],'All Data'!$A$3:$CO$999,91,FALSE),"unknown")</f>
        <v>0</v>
      </c>
      <c r="AK433" s="120" t="str">
        <f>IFERROR(VLOOKUP(Table1[RespondentID],'All Data'!$A$3:$CO$999,92,FALSE),"unknown")</f>
        <v>Hispanic or Latino</v>
      </c>
      <c r="AL433" s="120" t="str">
        <f>IFERROR(VLOOKUP(Table1[RespondentID],'All Data'!$A$3:$CO$999,93,FALSE),"unknown")</f>
        <v>Spanish</v>
      </c>
      <c r="AM433" s="120" t="str">
        <f>IFERROR(VLOOKUP(Table1[RespondentID],'All Data'!$A$3:$CW$999,94,FALSE),"unknown")</f>
        <v>$20,000 to $34,999</v>
      </c>
      <c r="AN433" s="120" t="str">
        <f>IFERROR(VLOOKUP(Table1[RespondentID],'All Data'!$A$3:$CW$999,95,FALSE),"unknown")</f>
        <v>K-8 grade</v>
      </c>
      <c r="AO433" s="120" t="str">
        <f>IFERROR(VLOOKUP(Table1[RespondentID],'All Data'!$A$3:$CW$999,96,FALSE),"unknown")</f>
        <v>Out of work and looking for work</v>
      </c>
      <c r="AP433" s="120" t="str">
        <f>IFERROR(VLOOKUP(Table1[RespondentID],'All Data'!$A$3:$CW$999,97,FALSE),"unknown")</f>
        <v>No</v>
      </c>
      <c r="AQ433" s="120">
        <f>IFERROR(VLOOKUP(Table1[RespondentID],'All Data'!$A$3:$CW$999,98,FALSE),"unknown")</f>
        <v>0</v>
      </c>
      <c r="AR433" s="120" t="str">
        <f>IFERROR(VLOOKUP(Table1[RespondentID],'All Data'!$A$3:$CW$999,99,FALSE),"unknown")</f>
        <v>No</v>
      </c>
    </row>
    <row r="434" spans="1:44" ht="16">
      <c r="A434" s="133">
        <v>114138224772</v>
      </c>
      <c r="B434" s="173"/>
      <c r="C434" s="174" t="s">
        <v>30</v>
      </c>
      <c r="D434" s="174" t="s">
        <v>31</v>
      </c>
      <c r="E434" s="174"/>
      <c r="F434" s="174"/>
      <c r="G434" s="174"/>
      <c r="H434" s="174"/>
      <c r="I434" s="174" t="s">
        <v>36</v>
      </c>
      <c r="J434" s="174"/>
      <c r="K434" s="174"/>
      <c r="L434" s="174"/>
      <c r="M434" s="170">
        <f t="shared" si="104"/>
        <v>3</v>
      </c>
      <c r="N434" s="170">
        <f t="shared" si="105"/>
        <v>1</v>
      </c>
      <c r="O434" s="170"/>
      <c r="P434" s="170">
        <f t="shared" si="106"/>
        <v>0</v>
      </c>
      <c r="Q434" s="170">
        <f t="shared" si="107"/>
        <v>1</v>
      </c>
      <c r="R434" s="170">
        <f t="shared" si="108"/>
        <v>1</v>
      </c>
      <c r="S434" s="170">
        <f t="shared" si="109"/>
        <v>0</v>
      </c>
      <c r="T434" s="170">
        <f t="shared" si="110"/>
        <v>0</v>
      </c>
      <c r="U434" s="170">
        <f t="shared" si="111"/>
        <v>0</v>
      </c>
      <c r="V434" s="175">
        <f t="shared" si="112"/>
        <v>0</v>
      </c>
      <c r="W434" s="170">
        <f t="shared" si="113"/>
        <v>1</v>
      </c>
      <c r="X434" s="170">
        <f t="shared" si="114"/>
        <v>0</v>
      </c>
      <c r="Y434" s="170">
        <f t="shared" si="115"/>
        <v>0</v>
      </c>
      <c r="Z434" s="170"/>
      <c r="AA434" s="170"/>
      <c r="AB434" s="170">
        <f t="shared" si="116"/>
        <v>3</v>
      </c>
      <c r="AC434" s="170">
        <f t="shared" si="117"/>
        <v>3</v>
      </c>
      <c r="AD434" s="170" t="str">
        <f t="shared" si="118"/>
        <v>Correct</v>
      </c>
      <c r="AE434" s="133"/>
      <c r="AF434" s="120" t="str">
        <f>IFERROR(VLOOKUP(Table1[RespondentID],'All Data'!$A$3:$CO$999,87,FALSE),"unknown")</f>
        <v>Man</v>
      </c>
      <c r="AG434" s="120">
        <f>IFERROR(VLOOKUP(Table1[RespondentID],'All Data'!$A$3:$CO$999,88,FALSE),"unknown")</f>
        <v>19</v>
      </c>
      <c r="AH434" s="120" t="str">
        <f>IFERROR(VLOOKUP(Table1[RespondentID],'All Data'!$A$3:$CO$999,89,FALSE),"unknown")</f>
        <v>Nassau</v>
      </c>
      <c r="AI434" s="120" t="str">
        <f>IFERROR(VLOOKUP(Table1[RespondentID],'All Data'!$A$3:$CO$999,90,FALSE),"unknown")</f>
        <v>Plainview, 11803</v>
      </c>
      <c r="AJ434" s="120">
        <f>IFERROR(VLOOKUP(Table1[RespondentID],'All Data'!$A$3:$CO$999,91,FALSE),"unknown")</f>
        <v>0</v>
      </c>
      <c r="AK434" s="120" t="str">
        <f>IFERROR(VLOOKUP(Table1[RespondentID],'All Data'!$A$3:$CO$999,92,FALSE),"unknown")</f>
        <v>Hispanic or Latino</v>
      </c>
      <c r="AL434" s="120" t="str">
        <f>IFERROR(VLOOKUP(Table1[RespondentID],'All Data'!$A$3:$CO$999,93,FALSE),"unknown")</f>
        <v>English</v>
      </c>
      <c r="AM434" s="120" t="str">
        <f>IFERROR(VLOOKUP(Table1[RespondentID],'All Data'!$A$3:$CW$999,94,FALSE),"unknown")</f>
        <v>$20,000 to $34,999</v>
      </c>
      <c r="AN434" s="120" t="str">
        <f>IFERROR(VLOOKUP(Table1[RespondentID],'All Data'!$A$3:$CW$999,95,FALSE),"unknown")</f>
        <v>Some college</v>
      </c>
      <c r="AO434" s="120" t="str">
        <f>IFERROR(VLOOKUP(Table1[RespondentID],'All Data'!$A$3:$CW$999,96,FALSE),"unknown")</f>
        <v>Employed for wages</v>
      </c>
      <c r="AP434" s="120" t="str">
        <f>IFERROR(VLOOKUP(Table1[RespondentID],'All Data'!$A$3:$CW$999,97,FALSE),"unknown")</f>
        <v>Yes</v>
      </c>
      <c r="AQ434" s="120" t="str">
        <f>IFERROR(VLOOKUP(Table1[RespondentID],'All Data'!$A$3:$CW$999,98,FALSE),"unknown")</f>
        <v>Private/Commercial</v>
      </c>
      <c r="AR434" s="120" t="str">
        <f>IFERROR(VLOOKUP(Table1[RespondentID],'All Data'!$A$3:$CW$999,99,FALSE),"unknown")</f>
        <v>Yes</v>
      </c>
    </row>
    <row r="435" spans="1:44" ht="16">
      <c r="A435" s="133">
        <v>114137567525</v>
      </c>
      <c r="B435" s="173"/>
      <c r="C435" s="174"/>
      <c r="D435" s="174"/>
      <c r="E435" s="174"/>
      <c r="F435" s="174"/>
      <c r="G435" s="174"/>
      <c r="H435" s="174"/>
      <c r="I435" s="174"/>
      <c r="J435" s="174"/>
      <c r="K435" s="174"/>
      <c r="L435" s="174"/>
      <c r="M435" s="170">
        <f t="shared" si="104"/>
        <v>0</v>
      </c>
      <c r="N435" s="170" t="e">
        <f t="shared" si="105"/>
        <v>#DIV/0!</v>
      </c>
      <c r="O435" s="170"/>
      <c r="P435" s="170">
        <f t="shared" si="106"/>
        <v>0</v>
      </c>
      <c r="Q435" s="170">
        <f t="shared" si="107"/>
        <v>0</v>
      </c>
      <c r="R435" s="170">
        <f t="shared" si="108"/>
        <v>0</v>
      </c>
      <c r="S435" s="170">
        <f t="shared" si="109"/>
        <v>0</v>
      </c>
      <c r="T435" s="170">
        <f t="shared" si="110"/>
        <v>0</v>
      </c>
      <c r="U435" s="170">
        <f t="shared" si="111"/>
        <v>0</v>
      </c>
      <c r="V435" s="175">
        <f t="shared" si="112"/>
        <v>0</v>
      </c>
      <c r="W435" s="170">
        <f t="shared" si="113"/>
        <v>0</v>
      </c>
      <c r="X435" s="170">
        <f t="shared" si="114"/>
        <v>0</v>
      </c>
      <c r="Y435" s="170">
        <f t="shared" si="115"/>
        <v>0</v>
      </c>
      <c r="Z435" s="170"/>
      <c r="AA435" s="170"/>
      <c r="AB435" s="170">
        <f t="shared" si="116"/>
        <v>0</v>
      </c>
      <c r="AC435" s="170">
        <f t="shared" si="117"/>
        <v>0</v>
      </c>
      <c r="AD435" s="170" t="str">
        <f t="shared" si="118"/>
        <v>Correct</v>
      </c>
      <c r="AE435" s="133"/>
      <c r="AF435" s="120">
        <f>IFERROR(VLOOKUP(Table1[RespondentID],'All Data'!$A$3:$CO$999,87,FALSE),"unknown")</f>
        <v>0</v>
      </c>
      <c r="AG435" s="120">
        <f>IFERROR(VLOOKUP(Table1[RespondentID],'All Data'!$A$3:$CO$999,88,FALSE),"unknown")</f>
        <v>0</v>
      </c>
      <c r="AH435" s="120">
        <f>IFERROR(VLOOKUP(Table1[RespondentID],'All Data'!$A$3:$CO$999,89,FALSE),"unknown")</f>
        <v>0</v>
      </c>
      <c r="AI435" s="120" t="str">
        <f>IFERROR(VLOOKUP(Table1[RespondentID],'All Data'!$A$3:$CO$999,90,FALSE),"unknown")</f>
        <v>Atlantic Beach, 11509</v>
      </c>
      <c r="AJ435" s="120">
        <f>IFERROR(VLOOKUP(Table1[RespondentID],'All Data'!$A$3:$CO$999,91,FALSE),"unknown")</f>
        <v>0</v>
      </c>
      <c r="AK435" s="120">
        <f>IFERROR(VLOOKUP(Table1[RespondentID],'All Data'!$A$3:$CO$999,92,FALSE),"unknown")</f>
        <v>0</v>
      </c>
      <c r="AL435" s="120">
        <f>IFERROR(VLOOKUP(Table1[RespondentID],'All Data'!$A$3:$CO$999,93,FALSE),"unknown")</f>
        <v>0</v>
      </c>
      <c r="AM435" s="120">
        <f>IFERROR(VLOOKUP(Table1[RespondentID],'All Data'!$A$3:$CW$999,94,FALSE),"unknown")</f>
        <v>0</v>
      </c>
      <c r="AN435" s="120">
        <f>IFERROR(VLOOKUP(Table1[RespondentID],'All Data'!$A$3:$CW$999,95,FALSE),"unknown")</f>
        <v>0</v>
      </c>
      <c r="AO435" s="120">
        <f>IFERROR(VLOOKUP(Table1[RespondentID],'All Data'!$A$3:$CW$999,96,FALSE),"unknown")</f>
        <v>0</v>
      </c>
      <c r="AP435" s="120">
        <f>IFERROR(VLOOKUP(Table1[RespondentID],'All Data'!$A$3:$CW$999,97,FALSE),"unknown")</f>
        <v>0</v>
      </c>
      <c r="AQ435" s="120">
        <f>IFERROR(VLOOKUP(Table1[RespondentID],'All Data'!$A$3:$CW$999,98,FALSE),"unknown")</f>
        <v>0</v>
      </c>
      <c r="AR435" s="120">
        <f>IFERROR(VLOOKUP(Table1[RespondentID],'All Data'!$A$3:$CW$999,99,FALSE),"unknown")</f>
        <v>0</v>
      </c>
    </row>
    <row r="436" spans="1:44" ht="16">
      <c r="A436" s="133">
        <v>114131712001</v>
      </c>
      <c r="B436" s="173"/>
      <c r="C436" s="174"/>
      <c r="D436" s="174"/>
      <c r="E436" s="174"/>
      <c r="F436" s="174"/>
      <c r="G436" s="174"/>
      <c r="H436" s="174" t="s">
        <v>35</v>
      </c>
      <c r="I436" s="174"/>
      <c r="J436" s="174"/>
      <c r="K436" s="174" t="s">
        <v>375</v>
      </c>
      <c r="L436" s="174"/>
      <c r="M436" s="170">
        <f t="shared" si="104"/>
        <v>2</v>
      </c>
      <c r="N436" s="170">
        <f t="shared" si="105"/>
        <v>1.5</v>
      </c>
      <c r="O436" s="170"/>
      <c r="P436" s="170">
        <f t="shared" si="106"/>
        <v>0</v>
      </c>
      <c r="Q436" s="170">
        <f t="shared" si="107"/>
        <v>0</v>
      </c>
      <c r="R436" s="170">
        <f t="shared" si="108"/>
        <v>0</v>
      </c>
      <c r="S436" s="170">
        <f t="shared" si="109"/>
        <v>0</v>
      </c>
      <c r="T436" s="170">
        <f t="shared" si="110"/>
        <v>0</v>
      </c>
      <c r="U436" s="170">
        <f t="shared" si="111"/>
        <v>0</v>
      </c>
      <c r="V436" s="175">
        <f t="shared" si="112"/>
        <v>1</v>
      </c>
      <c r="W436" s="170">
        <f t="shared" si="113"/>
        <v>0</v>
      </c>
      <c r="X436" s="170">
        <f t="shared" si="114"/>
        <v>0</v>
      </c>
      <c r="Y436" s="170">
        <f t="shared" si="115"/>
        <v>1</v>
      </c>
      <c r="Z436" s="170"/>
      <c r="AA436" s="170"/>
      <c r="AB436" s="170">
        <f t="shared" si="116"/>
        <v>2</v>
      </c>
      <c r="AC436" s="170">
        <f t="shared" si="117"/>
        <v>2</v>
      </c>
      <c r="AD436" s="170" t="str">
        <f t="shared" si="118"/>
        <v>Correct</v>
      </c>
      <c r="AE436" s="133"/>
      <c r="AF436" s="120" t="str">
        <f>IFERROR(VLOOKUP(Table1[RespondentID],'All Data'!$A$3:$CO$999,87,FALSE),"unknown")</f>
        <v>Woman</v>
      </c>
      <c r="AG436" s="120">
        <f>IFERROR(VLOOKUP(Table1[RespondentID],'All Data'!$A$3:$CO$999,88,FALSE),"unknown")</f>
        <v>23</v>
      </c>
      <c r="AH436" s="120" t="str">
        <f>IFERROR(VLOOKUP(Table1[RespondentID],'All Data'!$A$3:$CO$999,89,FALSE),"unknown")</f>
        <v>Nassau</v>
      </c>
      <c r="AI436" s="120" t="str">
        <f>IFERROR(VLOOKUP(Table1[RespondentID],'All Data'!$A$3:$CO$999,90,FALSE),"unknown")</f>
        <v>Valley Stream, 11580</v>
      </c>
      <c r="AJ436" s="120">
        <f>IFERROR(VLOOKUP(Table1[RespondentID],'All Data'!$A$3:$CO$999,91,FALSE),"unknown")</f>
        <v>0</v>
      </c>
      <c r="AK436" s="120">
        <f>IFERROR(VLOOKUP(Table1[RespondentID],'All Data'!$A$3:$CO$999,92,FALSE),"unknown")</f>
        <v>0</v>
      </c>
      <c r="AL436" s="120">
        <f>IFERROR(VLOOKUP(Table1[RespondentID],'All Data'!$A$3:$CO$999,93,FALSE),"unknown")</f>
        <v>0</v>
      </c>
      <c r="AM436" s="120">
        <f>IFERROR(VLOOKUP(Table1[RespondentID],'All Data'!$A$3:$CW$999,94,FALSE),"unknown")</f>
        <v>0</v>
      </c>
      <c r="AN436" s="120">
        <f>IFERROR(VLOOKUP(Table1[RespondentID],'All Data'!$A$3:$CW$999,95,FALSE),"unknown")</f>
        <v>0</v>
      </c>
      <c r="AO436" s="120">
        <f>IFERROR(VLOOKUP(Table1[RespondentID],'All Data'!$A$3:$CW$999,96,FALSE),"unknown")</f>
        <v>0</v>
      </c>
      <c r="AP436" s="120">
        <f>IFERROR(VLOOKUP(Table1[RespondentID],'All Data'!$A$3:$CW$999,97,FALSE),"unknown")</f>
        <v>0</v>
      </c>
      <c r="AQ436" s="120">
        <f>IFERROR(VLOOKUP(Table1[RespondentID],'All Data'!$A$3:$CW$999,98,FALSE),"unknown")</f>
        <v>0</v>
      </c>
      <c r="AR436" s="120">
        <f>IFERROR(VLOOKUP(Table1[RespondentID],'All Data'!$A$3:$CW$999,99,FALSE),"unknown")</f>
        <v>0</v>
      </c>
    </row>
    <row r="437" spans="1:44" ht="16">
      <c r="A437" s="133">
        <v>114119758093</v>
      </c>
      <c r="B437" s="173"/>
      <c r="C437" s="174" t="s">
        <v>30</v>
      </c>
      <c r="D437" s="174"/>
      <c r="E437" s="174"/>
      <c r="F437" s="174"/>
      <c r="G437" s="174"/>
      <c r="H437" s="174"/>
      <c r="I437" s="174"/>
      <c r="J437" s="174"/>
      <c r="K437" s="174"/>
      <c r="L437" s="174"/>
      <c r="M437" s="170">
        <f t="shared" si="104"/>
        <v>1</v>
      </c>
      <c r="N437" s="170">
        <f t="shared" si="105"/>
        <v>3</v>
      </c>
      <c r="O437" s="170"/>
      <c r="P437" s="170">
        <f t="shared" si="106"/>
        <v>0</v>
      </c>
      <c r="Q437" s="170">
        <f t="shared" si="107"/>
        <v>1</v>
      </c>
      <c r="R437" s="170">
        <f t="shared" si="108"/>
        <v>0</v>
      </c>
      <c r="S437" s="170">
        <f t="shared" si="109"/>
        <v>0</v>
      </c>
      <c r="T437" s="170">
        <f t="shared" si="110"/>
        <v>0</v>
      </c>
      <c r="U437" s="170">
        <f t="shared" si="111"/>
        <v>0</v>
      </c>
      <c r="V437" s="175">
        <f t="shared" si="112"/>
        <v>0</v>
      </c>
      <c r="W437" s="170">
        <f t="shared" si="113"/>
        <v>0</v>
      </c>
      <c r="X437" s="170">
        <f t="shared" si="114"/>
        <v>0</v>
      </c>
      <c r="Y437" s="170">
        <f t="shared" si="115"/>
        <v>0</v>
      </c>
      <c r="Z437" s="170"/>
      <c r="AA437" s="170"/>
      <c r="AB437" s="170">
        <f t="shared" si="116"/>
        <v>1</v>
      </c>
      <c r="AC437" s="170">
        <f t="shared" si="117"/>
        <v>1</v>
      </c>
      <c r="AD437" s="170" t="str">
        <f t="shared" si="118"/>
        <v>Correct</v>
      </c>
      <c r="AE437" s="133"/>
      <c r="AF437" s="120" t="str">
        <f>IFERROR(VLOOKUP(Table1[RespondentID],'All Data'!$A$3:$CO$999,87,FALSE),"unknown")</f>
        <v>Woman</v>
      </c>
      <c r="AG437" s="120">
        <f>IFERROR(VLOOKUP(Table1[RespondentID],'All Data'!$A$3:$CO$999,88,FALSE),"unknown")</f>
        <v>56</v>
      </c>
      <c r="AH437" s="120" t="str">
        <f>IFERROR(VLOOKUP(Table1[RespondentID],'All Data'!$A$3:$CO$999,89,FALSE),"unknown")</f>
        <v>Suffolk</v>
      </c>
      <c r="AI437" s="120" t="str">
        <f>IFERROR(VLOOKUP(Table1[RespondentID],'All Data'!$A$3:$CO$999,90,FALSE),"unknown")</f>
        <v>West Islip, 11795</v>
      </c>
      <c r="AJ437" s="120" t="str">
        <f>IFERROR(VLOOKUP(Table1[RespondentID],'All Data'!$A$3:$CO$999,91,FALSE),"unknown")</f>
        <v>White</v>
      </c>
      <c r="AK437" s="120" t="str">
        <f>IFERROR(VLOOKUP(Table1[RespondentID],'All Data'!$A$3:$CO$999,92,FALSE),"unknown")</f>
        <v>Not Hispanic or Latino</v>
      </c>
      <c r="AL437" s="120" t="str">
        <f>IFERROR(VLOOKUP(Table1[RespondentID],'All Data'!$A$3:$CO$999,93,FALSE),"unknown")</f>
        <v>English</v>
      </c>
      <c r="AM437" s="120">
        <f>IFERROR(VLOOKUP(Table1[RespondentID],'All Data'!$A$3:$CW$999,94,FALSE),"unknown")</f>
        <v>0</v>
      </c>
      <c r="AN437" s="120" t="str">
        <f>IFERROR(VLOOKUP(Table1[RespondentID],'All Data'!$A$3:$CW$999,95,FALSE),"unknown")</f>
        <v>Some college</v>
      </c>
      <c r="AO437" s="120" t="str">
        <f>IFERROR(VLOOKUP(Table1[RespondentID],'All Data'!$A$3:$CW$999,96,FALSE),"unknown")</f>
        <v>Employed for wages</v>
      </c>
      <c r="AP437" s="120" t="str">
        <f>IFERROR(VLOOKUP(Table1[RespondentID],'All Data'!$A$3:$CW$999,97,FALSE),"unknown")</f>
        <v>Yes</v>
      </c>
      <c r="AQ437" s="120" t="str">
        <f>IFERROR(VLOOKUP(Table1[RespondentID],'All Data'!$A$3:$CW$999,98,FALSE),"unknown")</f>
        <v>Private/Commercial</v>
      </c>
      <c r="AR437" s="120" t="str">
        <f>IFERROR(VLOOKUP(Table1[RespondentID],'All Data'!$A$3:$CW$999,99,FALSE),"unknown")</f>
        <v>Yes</v>
      </c>
    </row>
    <row r="438" spans="1:44" ht="16">
      <c r="A438" s="133">
        <v>114117609524</v>
      </c>
      <c r="B438" s="173"/>
      <c r="C438" s="174"/>
      <c r="D438" s="174" t="s">
        <v>31</v>
      </c>
      <c r="E438" s="174"/>
      <c r="F438" s="174" t="s">
        <v>33</v>
      </c>
      <c r="G438" s="174"/>
      <c r="H438" s="174"/>
      <c r="I438" s="174"/>
      <c r="J438" s="174"/>
      <c r="K438" s="174" t="s">
        <v>375</v>
      </c>
      <c r="L438" s="174"/>
      <c r="M438" s="170">
        <f t="shared" si="104"/>
        <v>3</v>
      </c>
      <c r="N438" s="170">
        <f t="shared" si="105"/>
        <v>1</v>
      </c>
      <c r="O438" s="170"/>
      <c r="P438" s="170">
        <f t="shared" si="106"/>
        <v>0</v>
      </c>
      <c r="Q438" s="170">
        <f t="shared" si="107"/>
        <v>0</v>
      </c>
      <c r="R438" s="170">
        <f t="shared" si="108"/>
        <v>1</v>
      </c>
      <c r="S438" s="170">
        <f t="shared" si="109"/>
        <v>0</v>
      </c>
      <c r="T438" s="170">
        <f t="shared" si="110"/>
        <v>1</v>
      </c>
      <c r="U438" s="170">
        <f t="shared" si="111"/>
        <v>0</v>
      </c>
      <c r="V438" s="175">
        <f t="shared" si="112"/>
        <v>0</v>
      </c>
      <c r="W438" s="170">
        <f t="shared" si="113"/>
        <v>0</v>
      </c>
      <c r="X438" s="170">
        <f t="shared" si="114"/>
        <v>0</v>
      </c>
      <c r="Y438" s="170">
        <f t="shared" si="115"/>
        <v>1</v>
      </c>
      <c r="Z438" s="170"/>
      <c r="AA438" s="170"/>
      <c r="AB438" s="170">
        <f t="shared" si="116"/>
        <v>3</v>
      </c>
      <c r="AC438" s="170">
        <f t="shared" si="117"/>
        <v>3</v>
      </c>
      <c r="AD438" s="170" t="str">
        <f t="shared" si="118"/>
        <v>Correct</v>
      </c>
      <c r="AE438" s="133"/>
      <c r="AF438" s="120" t="str">
        <f>IFERROR(VLOOKUP(Table1[RespondentID],'All Data'!$A$3:$CO$999,87,FALSE),"unknown")</f>
        <v>Man</v>
      </c>
      <c r="AG438" s="120">
        <f>IFERROR(VLOOKUP(Table1[RespondentID],'All Data'!$A$3:$CO$999,88,FALSE),"unknown")</f>
        <v>66</v>
      </c>
      <c r="AH438" s="120" t="str">
        <f>IFERROR(VLOOKUP(Table1[RespondentID],'All Data'!$A$3:$CO$999,89,FALSE),"unknown")</f>
        <v>Suffolk</v>
      </c>
      <c r="AI438" s="120" t="str">
        <f>IFERROR(VLOOKUP(Table1[RespondentID],'All Data'!$A$3:$CO$999,90,FALSE),"unknown")</f>
        <v>Babylon, 11704</v>
      </c>
      <c r="AJ438" s="120" t="str">
        <f>IFERROR(VLOOKUP(Table1[RespondentID],'All Data'!$A$3:$CO$999,91,FALSE),"unknown")</f>
        <v>White</v>
      </c>
      <c r="AK438" s="120" t="str">
        <f>IFERROR(VLOOKUP(Table1[RespondentID],'All Data'!$A$3:$CO$999,92,FALSE),"unknown")</f>
        <v>Hispanic or Latino</v>
      </c>
      <c r="AL438" s="120" t="str">
        <f>IFERROR(VLOOKUP(Table1[RespondentID],'All Data'!$A$3:$CO$999,93,FALSE),"unknown")</f>
        <v>English,Spanish</v>
      </c>
      <c r="AM438" s="120" t="str">
        <f>IFERROR(VLOOKUP(Table1[RespondentID],'All Data'!$A$3:$CW$999,94,FALSE),"unknown")</f>
        <v>$20,000 to $34,999</v>
      </c>
      <c r="AN438" s="120" t="str">
        <f>IFERROR(VLOOKUP(Table1[RespondentID],'All Data'!$A$3:$CW$999,95,FALSE),"unknown")</f>
        <v>Some college</v>
      </c>
      <c r="AO438" s="120" t="str">
        <f>IFERROR(VLOOKUP(Table1[RespondentID],'All Data'!$A$3:$CW$999,96,FALSE),"unknown")</f>
        <v>Retired</v>
      </c>
      <c r="AP438" s="120" t="str">
        <f>IFERROR(VLOOKUP(Table1[RespondentID],'All Data'!$A$3:$CW$999,97,FALSE),"unknown")</f>
        <v>Yes</v>
      </c>
      <c r="AQ438" s="120" t="str">
        <f>IFERROR(VLOOKUP(Table1[RespondentID],'All Data'!$A$3:$CW$999,98,FALSE),"unknown")</f>
        <v>Medicare</v>
      </c>
      <c r="AR438" s="120" t="str">
        <f>IFERROR(VLOOKUP(Table1[RespondentID],'All Data'!$A$3:$CW$999,99,FALSE),"unknown")</f>
        <v>Yes</v>
      </c>
    </row>
    <row r="439" spans="1:44" ht="16">
      <c r="A439" s="133">
        <v>114117487074</v>
      </c>
      <c r="B439" s="173"/>
      <c r="C439" s="174"/>
      <c r="D439" s="174"/>
      <c r="E439" s="174"/>
      <c r="F439" s="174"/>
      <c r="G439" s="174" t="s">
        <v>34</v>
      </c>
      <c r="H439" s="174"/>
      <c r="I439" s="174"/>
      <c r="J439" s="174"/>
      <c r="K439" s="174"/>
      <c r="L439" s="174"/>
      <c r="M439" s="170">
        <f t="shared" si="104"/>
        <v>1</v>
      </c>
      <c r="N439" s="170">
        <f t="shared" si="105"/>
        <v>3</v>
      </c>
      <c r="O439" s="170"/>
      <c r="P439" s="170">
        <f t="shared" si="106"/>
        <v>0</v>
      </c>
      <c r="Q439" s="170">
        <f t="shared" si="107"/>
        <v>0</v>
      </c>
      <c r="R439" s="170">
        <f t="shared" si="108"/>
        <v>0</v>
      </c>
      <c r="S439" s="170">
        <f t="shared" si="109"/>
        <v>0</v>
      </c>
      <c r="T439" s="170">
        <f t="shared" si="110"/>
        <v>0</v>
      </c>
      <c r="U439" s="170">
        <f t="shared" si="111"/>
        <v>1</v>
      </c>
      <c r="V439" s="175">
        <f t="shared" si="112"/>
        <v>0</v>
      </c>
      <c r="W439" s="170">
        <f t="shared" si="113"/>
        <v>0</v>
      </c>
      <c r="X439" s="170">
        <f t="shared" si="114"/>
        <v>0</v>
      </c>
      <c r="Y439" s="170">
        <f t="shared" si="115"/>
        <v>0</v>
      </c>
      <c r="Z439" s="170"/>
      <c r="AA439" s="170"/>
      <c r="AB439" s="170">
        <f t="shared" si="116"/>
        <v>1</v>
      </c>
      <c r="AC439" s="170">
        <f t="shared" si="117"/>
        <v>1</v>
      </c>
      <c r="AD439" s="170" t="str">
        <f t="shared" si="118"/>
        <v>Correct</v>
      </c>
      <c r="AE439" s="133"/>
      <c r="AF439" s="120" t="str">
        <f>IFERROR(VLOOKUP(Table1[RespondentID],'All Data'!$A$3:$CO$999,87,FALSE),"unknown")</f>
        <v>Man</v>
      </c>
      <c r="AG439" s="120">
        <f>IFERROR(VLOOKUP(Table1[RespondentID],'All Data'!$A$3:$CO$999,88,FALSE),"unknown")</f>
        <v>66</v>
      </c>
      <c r="AH439" s="120" t="str">
        <f>IFERROR(VLOOKUP(Table1[RespondentID],'All Data'!$A$3:$CO$999,89,FALSE),"unknown")</f>
        <v>Suffolk</v>
      </c>
      <c r="AI439" s="120" t="str">
        <f>IFERROR(VLOOKUP(Table1[RespondentID],'All Data'!$A$3:$CO$999,90,FALSE),"unknown")</f>
        <v>North Babylon, 11703</v>
      </c>
      <c r="AJ439" s="120" t="str">
        <f>IFERROR(VLOOKUP(Table1[RespondentID],'All Data'!$A$3:$CO$999,91,FALSE),"unknown")</f>
        <v>White</v>
      </c>
      <c r="AK439" s="120" t="str">
        <f>IFERROR(VLOOKUP(Table1[RespondentID],'All Data'!$A$3:$CO$999,92,FALSE),"unknown")</f>
        <v>Not Hispanic or Latino</v>
      </c>
      <c r="AL439" s="120" t="str">
        <f>IFERROR(VLOOKUP(Table1[RespondentID],'All Data'!$A$3:$CO$999,93,FALSE),"unknown")</f>
        <v>English</v>
      </c>
      <c r="AM439" s="120" t="str">
        <f>IFERROR(VLOOKUP(Table1[RespondentID],'All Data'!$A$3:$CW$999,94,FALSE),"unknown")</f>
        <v>$50,000 to $74,999</v>
      </c>
      <c r="AN439" s="120" t="str">
        <f>IFERROR(VLOOKUP(Table1[RespondentID],'All Data'!$A$3:$CW$999,95,FALSE),"unknown")</f>
        <v>Some college</v>
      </c>
      <c r="AO439" s="120" t="str">
        <f>IFERROR(VLOOKUP(Table1[RespondentID],'All Data'!$A$3:$CW$999,96,FALSE),"unknown")</f>
        <v>Retired</v>
      </c>
      <c r="AP439" s="120" t="str">
        <f>IFERROR(VLOOKUP(Table1[RespondentID],'All Data'!$A$3:$CW$999,97,FALSE),"unknown")</f>
        <v>Yes</v>
      </c>
      <c r="AQ439" s="120" t="str">
        <f>IFERROR(VLOOKUP(Table1[RespondentID],'All Data'!$A$3:$CW$999,98,FALSE),"unknown")</f>
        <v>Medicare,Private/Commercial</v>
      </c>
      <c r="AR439" s="120" t="str">
        <f>IFERROR(VLOOKUP(Table1[RespondentID],'All Data'!$A$3:$CW$999,99,FALSE),"unknown")</f>
        <v>Yes</v>
      </c>
    </row>
    <row r="440" spans="1:44" ht="16">
      <c r="A440" s="133">
        <v>114112557543</v>
      </c>
      <c r="B440" s="173"/>
      <c r="C440" s="174"/>
      <c r="D440" s="174"/>
      <c r="E440" s="174"/>
      <c r="F440" s="174"/>
      <c r="G440" s="174" t="s">
        <v>34</v>
      </c>
      <c r="H440" s="174"/>
      <c r="I440" s="174"/>
      <c r="J440" s="174"/>
      <c r="K440" s="174"/>
      <c r="L440" s="174"/>
      <c r="M440" s="170">
        <f t="shared" si="104"/>
        <v>1</v>
      </c>
      <c r="N440" s="170">
        <f t="shared" si="105"/>
        <v>3</v>
      </c>
      <c r="O440" s="170"/>
      <c r="P440" s="170">
        <f t="shared" si="106"/>
        <v>0</v>
      </c>
      <c r="Q440" s="170">
        <f t="shared" si="107"/>
        <v>0</v>
      </c>
      <c r="R440" s="170">
        <f t="shared" si="108"/>
        <v>0</v>
      </c>
      <c r="S440" s="170">
        <f t="shared" si="109"/>
        <v>0</v>
      </c>
      <c r="T440" s="170">
        <f t="shared" si="110"/>
        <v>0</v>
      </c>
      <c r="U440" s="170">
        <f t="shared" si="111"/>
        <v>1</v>
      </c>
      <c r="V440" s="175">
        <f t="shared" si="112"/>
        <v>0</v>
      </c>
      <c r="W440" s="170">
        <f t="shared" si="113"/>
        <v>0</v>
      </c>
      <c r="X440" s="170">
        <f t="shared" si="114"/>
        <v>0</v>
      </c>
      <c r="Y440" s="170">
        <f t="shared" si="115"/>
        <v>0</v>
      </c>
      <c r="Z440" s="170"/>
      <c r="AA440" s="170"/>
      <c r="AB440" s="170">
        <f t="shared" si="116"/>
        <v>1</v>
      </c>
      <c r="AC440" s="170">
        <f t="shared" si="117"/>
        <v>1</v>
      </c>
      <c r="AD440" s="170" t="str">
        <f t="shared" si="118"/>
        <v>Correct</v>
      </c>
      <c r="AE440" s="133"/>
      <c r="AF440" s="120" t="str">
        <f>IFERROR(VLOOKUP(Table1[RespondentID],'All Data'!$A$3:$CO$999,87,FALSE),"unknown")</f>
        <v>Woman</v>
      </c>
      <c r="AG440" s="120">
        <f>IFERROR(VLOOKUP(Table1[RespondentID],'All Data'!$A$3:$CO$999,88,FALSE),"unknown")</f>
        <v>63</v>
      </c>
      <c r="AH440" s="120" t="str">
        <f>IFERROR(VLOOKUP(Table1[RespondentID],'All Data'!$A$3:$CO$999,89,FALSE),"unknown")</f>
        <v>Suffolk</v>
      </c>
      <c r="AI440" s="120" t="str">
        <f>IFERROR(VLOOKUP(Table1[RespondentID],'All Data'!$A$3:$CO$999,90,FALSE),"unknown")</f>
        <v>West Islip, 11795</v>
      </c>
      <c r="AJ440" s="120" t="str">
        <f>IFERROR(VLOOKUP(Table1[RespondentID],'All Data'!$A$3:$CO$999,91,FALSE),"unknown")</f>
        <v>White</v>
      </c>
      <c r="AK440" s="120" t="str">
        <f>IFERROR(VLOOKUP(Table1[RespondentID],'All Data'!$A$3:$CO$999,92,FALSE),"unknown")</f>
        <v>Not Hispanic or Latino</v>
      </c>
      <c r="AL440" s="120" t="str">
        <f>IFERROR(VLOOKUP(Table1[RespondentID],'All Data'!$A$3:$CO$999,93,FALSE),"unknown")</f>
        <v>English</v>
      </c>
      <c r="AM440" s="120" t="str">
        <f>IFERROR(VLOOKUP(Table1[RespondentID],'All Data'!$A$3:$CW$999,94,FALSE),"unknown")</f>
        <v>Over $125,000</v>
      </c>
      <c r="AN440" s="120" t="str">
        <f>IFERROR(VLOOKUP(Table1[RespondentID],'All Data'!$A$3:$CW$999,95,FALSE),"unknown")</f>
        <v>College graduate</v>
      </c>
      <c r="AO440" s="120" t="str">
        <f>IFERROR(VLOOKUP(Table1[RespondentID],'All Data'!$A$3:$CW$999,96,FALSE),"unknown")</f>
        <v>Employed for wages</v>
      </c>
      <c r="AP440" s="120" t="str">
        <f>IFERROR(VLOOKUP(Table1[RespondentID],'All Data'!$A$3:$CW$999,97,FALSE),"unknown")</f>
        <v>Yes</v>
      </c>
      <c r="AQ440" s="120" t="str">
        <f>IFERROR(VLOOKUP(Table1[RespondentID],'All Data'!$A$3:$CW$999,98,FALSE),"unknown")</f>
        <v>Private/Commercial</v>
      </c>
      <c r="AR440" s="120" t="str">
        <f>IFERROR(VLOOKUP(Table1[RespondentID],'All Data'!$A$3:$CW$999,99,FALSE),"unknown")</f>
        <v>Yes</v>
      </c>
    </row>
    <row r="441" spans="1:44" ht="16">
      <c r="A441" s="133">
        <v>114112353426</v>
      </c>
      <c r="B441" s="173"/>
      <c r="C441" s="174"/>
      <c r="D441" s="174"/>
      <c r="E441" s="174"/>
      <c r="F441" s="174"/>
      <c r="G441" s="174" t="s">
        <v>34</v>
      </c>
      <c r="H441" s="174"/>
      <c r="I441" s="174"/>
      <c r="J441" s="174"/>
      <c r="K441" s="174"/>
      <c r="L441" s="174"/>
      <c r="M441" s="170">
        <f t="shared" si="104"/>
        <v>1</v>
      </c>
      <c r="N441" s="170">
        <f t="shared" si="105"/>
        <v>3</v>
      </c>
      <c r="O441" s="170"/>
      <c r="P441" s="170">
        <f t="shared" si="106"/>
        <v>0</v>
      </c>
      <c r="Q441" s="170">
        <f t="shared" si="107"/>
        <v>0</v>
      </c>
      <c r="R441" s="170">
        <f t="shared" si="108"/>
        <v>0</v>
      </c>
      <c r="S441" s="170">
        <f t="shared" si="109"/>
        <v>0</v>
      </c>
      <c r="T441" s="170">
        <f t="shared" si="110"/>
        <v>0</v>
      </c>
      <c r="U441" s="170">
        <f t="shared" si="111"/>
        <v>1</v>
      </c>
      <c r="V441" s="175">
        <f t="shared" si="112"/>
        <v>0</v>
      </c>
      <c r="W441" s="170">
        <f t="shared" si="113"/>
        <v>0</v>
      </c>
      <c r="X441" s="170">
        <f t="shared" si="114"/>
        <v>0</v>
      </c>
      <c r="Y441" s="170">
        <f t="shared" si="115"/>
        <v>0</v>
      </c>
      <c r="Z441" s="170"/>
      <c r="AA441" s="170"/>
      <c r="AB441" s="170">
        <f t="shared" si="116"/>
        <v>1</v>
      </c>
      <c r="AC441" s="170">
        <f t="shared" si="117"/>
        <v>1</v>
      </c>
      <c r="AD441" s="170" t="str">
        <f t="shared" si="118"/>
        <v>Correct</v>
      </c>
      <c r="AE441" s="133"/>
      <c r="AF441" s="120" t="str">
        <f>IFERROR(VLOOKUP(Table1[RespondentID],'All Data'!$A$3:$CO$999,87,FALSE),"unknown")</f>
        <v>Woman</v>
      </c>
      <c r="AG441" s="120">
        <f>IFERROR(VLOOKUP(Table1[RespondentID],'All Data'!$A$3:$CO$999,88,FALSE),"unknown")</f>
        <v>66</v>
      </c>
      <c r="AH441" s="120" t="str">
        <f>IFERROR(VLOOKUP(Table1[RespondentID],'All Data'!$A$3:$CO$999,89,FALSE),"unknown")</f>
        <v>Suffolk</v>
      </c>
      <c r="AI441" s="120" t="str">
        <f>IFERROR(VLOOKUP(Table1[RespondentID],'All Data'!$A$3:$CO$999,90,FALSE),"unknown")</f>
        <v>Lindenhurst, 11757</v>
      </c>
      <c r="AJ441" s="120" t="str">
        <f>IFERROR(VLOOKUP(Table1[RespondentID],'All Data'!$A$3:$CO$999,91,FALSE),"unknown")</f>
        <v>White</v>
      </c>
      <c r="AK441" s="120" t="str">
        <f>IFERROR(VLOOKUP(Table1[RespondentID],'All Data'!$A$3:$CO$999,92,FALSE),"unknown")</f>
        <v>Not Hispanic or Latino</v>
      </c>
      <c r="AL441" s="120" t="str">
        <f>IFERROR(VLOOKUP(Table1[RespondentID],'All Data'!$A$3:$CO$999,93,FALSE),"unknown")</f>
        <v>English</v>
      </c>
      <c r="AM441" s="120">
        <f>IFERROR(VLOOKUP(Table1[RespondentID],'All Data'!$A$3:$CW$999,94,FALSE),"unknown")</f>
        <v>0</v>
      </c>
      <c r="AN441" s="120" t="str">
        <f>IFERROR(VLOOKUP(Table1[RespondentID],'All Data'!$A$3:$CW$999,95,FALSE),"unknown")</f>
        <v>College graduate</v>
      </c>
      <c r="AO441" s="120" t="str">
        <f>IFERROR(VLOOKUP(Table1[RespondentID],'All Data'!$A$3:$CW$999,96,FALSE),"unknown")</f>
        <v>Retired</v>
      </c>
      <c r="AP441" s="120">
        <f>IFERROR(VLOOKUP(Table1[RespondentID],'All Data'!$A$3:$CW$999,97,FALSE),"unknown")</f>
        <v>0</v>
      </c>
      <c r="AQ441" s="120" t="str">
        <f>IFERROR(VLOOKUP(Table1[RespondentID],'All Data'!$A$3:$CW$999,98,FALSE),"unknown")</f>
        <v>Medicare</v>
      </c>
      <c r="AR441" s="120" t="str">
        <f>IFERROR(VLOOKUP(Table1[RespondentID],'All Data'!$A$3:$CW$999,99,FALSE),"unknown")</f>
        <v>Yes</v>
      </c>
    </row>
    <row r="442" spans="1:44" ht="16">
      <c r="A442" s="133">
        <v>114112316241</v>
      </c>
      <c r="B442" s="173"/>
      <c r="C442" s="174"/>
      <c r="D442" s="174"/>
      <c r="E442" s="174"/>
      <c r="F442" s="174"/>
      <c r="G442" s="174" t="s">
        <v>34</v>
      </c>
      <c r="H442" s="174"/>
      <c r="I442" s="174"/>
      <c r="J442" s="174"/>
      <c r="K442" s="174"/>
      <c r="L442" s="174"/>
      <c r="M442" s="170">
        <f t="shared" si="104"/>
        <v>1</v>
      </c>
      <c r="N442" s="170">
        <f t="shared" si="105"/>
        <v>3</v>
      </c>
      <c r="O442" s="170"/>
      <c r="P442" s="170">
        <f t="shared" si="106"/>
        <v>0</v>
      </c>
      <c r="Q442" s="170">
        <f t="shared" si="107"/>
        <v>0</v>
      </c>
      <c r="R442" s="170">
        <f t="shared" si="108"/>
        <v>0</v>
      </c>
      <c r="S442" s="170">
        <f t="shared" si="109"/>
        <v>0</v>
      </c>
      <c r="T442" s="170">
        <f t="shared" si="110"/>
        <v>0</v>
      </c>
      <c r="U442" s="170">
        <f t="shared" si="111"/>
        <v>1</v>
      </c>
      <c r="V442" s="175">
        <f t="shared" si="112"/>
        <v>0</v>
      </c>
      <c r="W442" s="170">
        <f t="shared" si="113"/>
        <v>0</v>
      </c>
      <c r="X442" s="170">
        <f t="shared" si="114"/>
        <v>0</v>
      </c>
      <c r="Y442" s="170">
        <f t="shared" si="115"/>
        <v>0</v>
      </c>
      <c r="Z442" s="170"/>
      <c r="AA442" s="170"/>
      <c r="AB442" s="170">
        <f t="shared" si="116"/>
        <v>1</v>
      </c>
      <c r="AC442" s="170">
        <f t="shared" si="117"/>
        <v>1</v>
      </c>
      <c r="AD442" s="170" t="str">
        <f t="shared" si="118"/>
        <v>Correct</v>
      </c>
      <c r="AE442" s="133"/>
      <c r="AF442" s="120" t="str">
        <f>IFERROR(VLOOKUP(Table1[RespondentID],'All Data'!$A$3:$CO$999,87,FALSE),"unknown")</f>
        <v>Woman</v>
      </c>
      <c r="AG442" s="120">
        <f>IFERROR(VLOOKUP(Table1[RespondentID],'All Data'!$A$3:$CO$999,88,FALSE),"unknown")</f>
        <v>66</v>
      </c>
      <c r="AH442" s="120" t="str">
        <f>IFERROR(VLOOKUP(Table1[RespondentID],'All Data'!$A$3:$CO$999,89,FALSE),"unknown")</f>
        <v>Suffolk</v>
      </c>
      <c r="AI442" s="120" t="str">
        <f>IFERROR(VLOOKUP(Table1[RespondentID],'All Data'!$A$3:$CO$999,90,FALSE),"unknown")</f>
        <v>Oakdale, 11769</v>
      </c>
      <c r="AJ442" s="120" t="str">
        <f>IFERROR(VLOOKUP(Table1[RespondentID],'All Data'!$A$3:$CO$999,91,FALSE),"unknown")</f>
        <v>White</v>
      </c>
      <c r="AK442" s="120" t="str">
        <f>IFERROR(VLOOKUP(Table1[RespondentID],'All Data'!$A$3:$CO$999,92,FALSE),"unknown")</f>
        <v>Not Hispanic or Latino</v>
      </c>
      <c r="AL442" s="120" t="str">
        <f>IFERROR(VLOOKUP(Table1[RespondentID],'All Data'!$A$3:$CO$999,93,FALSE),"unknown")</f>
        <v>English</v>
      </c>
      <c r="AM442" s="120" t="str">
        <f>IFERROR(VLOOKUP(Table1[RespondentID],'All Data'!$A$3:$CW$999,94,FALSE),"unknown")</f>
        <v>$20,000 to $34,999</v>
      </c>
      <c r="AN442" s="120" t="str">
        <f>IFERROR(VLOOKUP(Table1[RespondentID],'All Data'!$A$3:$CW$999,95,FALSE),"unknown")</f>
        <v>High school graduate</v>
      </c>
      <c r="AO442" s="120" t="str">
        <f>IFERROR(VLOOKUP(Table1[RespondentID],'All Data'!$A$3:$CW$999,96,FALSE),"unknown")</f>
        <v>Retired</v>
      </c>
      <c r="AP442" s="120" t="str">
        <f>IFERROR(VLOOKUP(Table1[RespondentID],'All Data'!$A$3:$CW$999,97,FALSE),"unknown")</f>
        <v>Yes</v>
      </c>
      <c r="AQ442" s="120" t="str">
        <f>IFERROR(VLOOKUP(Table1[RespondentID],'All Data'!$A$3:$CW$999,98,FALSE),"unknown")</f>
        <v>Medicare,Private/Commercial</v>
      </c>
      <c r="AR442" s="120" t="str">
        <f>IFERROR(VLOOKUP(Table1[RespondentID],'All Data'!$A$3:$CW$999,99,FALSE),"unknown")</f>
        <v>Yes</v>
      </c>
    </row>
    <row r="443" spans="1:44" ht="16">
      <c r="A443" s="133">
        <v>114112302057</v>
      </c>
      <c r="B443" s="173"/>
      <c r="C443" s="174"/>
      <c r="D443" s="174"/>
      <c r="E443" s="174" t="s">
        <v>32</v>
      </c>
      <c r="F443" s="174"/>
      <c r="G443" s="174" t="s">
        <v>34</v>
      </c>
      <c r="H443" s="174"/>
      <c r="I443" s="174"/>
      <c r="J443" s="174" t="s">
        <v>37</v>
      </c>
      <c r="K443" s="174"/>
      <c r="L443" s="174"/>
      <c r="M443" s="170">
        <f t="shared" si="104"/>
        <v>3</v>
      </c>
      <c r="N443" s="170">
        <f t="shared" si="105"/>
        <v>1</v>
      </c>
      <c r="O443" s="170"/>
      <c r="P443" s="170">
        <f t="shared" si="106"/>
        <v>0</v>
      </c>
      <c r="Q443" s="170">
        <f t="shared" si="107"/>
        <v>0</v>
      </c>
      <c r="R443" s="170">
        <f t="shared" si="108"/>
        <v>0</v>
      </c>
      <c r="S443" s="170">
        <f t="shared" si="109"/>
        <v>1</v>
      </c>
      <c r="T443" s="170">
        <f t="shared" si="110"/>
        <v>0</v>
      </c>
      <c r="U443" s="170">
        <f t="shared" si="111"/>
        <v>1</v>
      </c>
      <c r="V443" s="175">
        <f t="shared" si="112"/>
        <v>0</v>
      </c>
      <c r="W443" s="170">
        <f t="shared" si="113"/>
        <v>0</v>
      </c>
      <c r="X443" s="170">
        <f t="shared" si="114"/>
        <v>1</v>
      </c>
      <c r="Y443" s="170">
        <f t="shared" si="115"/>
        <v>0</v>
      </c>
      <c r="Z443" s="170"/>
      <c r="AA443" s="170"/>
      <c r="AB443" s="170">
        <f t="shared" si="116"/>
        <v>3</v>
      </c>
      <c r="AC443" s="170">
        <f t="shared" si="117"/>
        <v>3</v>
      </c>
      <c r="AD443" s="170" t="str">
        <f t="shared" si="118"/>
        <v>Correct</v>
      </c>
      <c r="AE443" s="133"/>
      <c r="AF443" s="120" t="str">
        <f>IFERROR(VLOOKUP(Table1[RespondentID],'All Data'!$A$3:$CO$999,87,FALSE),"unknown")</f>
        <v>Woman</v>
      </c>
      <c r="AG443" s="120">
        <f>IFERROR(VLOOKUP(Table1[RespondentID],'All Data'!$A$3:$CO$999,88,FALSE),"unknown")</f>
        <v>66</v>
      </c>
      <c r="AH443" s="120" t="str">
        <f>IFERROR(VLOOKUP(Table1[RespondentID],'All Data'!$A$3:$CO$999,89,FALSE),"unknown")</f>
        <v>Suffolk</v>
      </c>
      <c r="AI443" s="120" t="str">
        <f>IFERROR(VLOOKUP(Table1[RespondentID],'All Data'!$A$3:$CO$999,90,FALSE),"unknown")</f>
        <v>Babylon, 11702</v>
      </c>
      <c r="AJ443" s="120" t="str">
        <f>IFERROR(VLOOKUP(Table1[RespondentID],'All Data'!$A$3:$CO$999,91,FALSE),"unknown")</f>
        <v>White</v>
      </c>
      <c r="AK443" s="120" t="str">
        <f>IFERROR(VLOOKUP(Table1[RespondentID],'All Data'!$A$3:$CO$999,92,FALSE),"unknown")</f>
        <v>Not Hispanic or Latino</v>
      </c>
      <c r="AL443" s="120" t="str">
        <f>IFERROR(VLOOKUP(Table1[RespondentID],'All Data'!$A$3:$CO$999,93,FALSE),"unknown")</f>
        <v>English</v>
      </c>
      <c r="AM443" s="120" t="str">
        <f>IFERROR(VLOOKUP(Table1[RespondentID],'All Data'!$A$3:$CW$999,94,FALSE),"unknown")</f>
        <v>$35,000 to $49,999</v>
      </c>
      <c r="AN443" s="120" t="str">
        <f>IFERROR(VLOOKUP(Table1[RespondentID],'All Data'!$A$3:$CW$999,95,FALSE),"unknown")</f>
        <v>Some college</v>
      </c>
      <c r="AO443" s="120" t="str">
        <f>IFERROR(VLOOKUP(Table1[RespondentID],'All Data'!$A$3:$CW$999,96,FALSE),"unknown")</f>
        <v>Retired</v>
      </c>
      <c r="AP443" s="120" t="str">
        <f>IFERROR(VLOOKUP(Table1[RespondentID],'All Data'!$A$3:$CW$999,97,FALSE),"unknown")</f>
        <v>Yes</v>
      </c>
      <c r="AQ443" s="120" t="str">
        <f>IFERROR(VLOOKUP(Table1[RespondentID],'All Data'!$A$3:$CW$999,98,FALSE),"unknown")</f>
        <v>Medicare</v>
      </c>
      <c r="AR443" s="120" t="str">
        <f>IFERROR(VLOOKUP(Table1[RespondentID],'All Data'!$A$3:$CW$999,99,FALSE),"unknown")</f>
        <v>Yes</v>
      </c>
    </row>
    <row r="444" spans="1:44" ht="16">
      <c r="A444" s="133">
        <v>114112230825</v>
      </c>
      <c r="B444" s="173"/>
      <c r="C444" s="174"/>
      <c r="D444" s="174"/>
      <c r="E444" s="174"/>
      <c r="F444" s="174"/>
      <c r="G444" s="174" t="s">
        <v>34</v>
      </c>
      <c r="H444" s="174"/>
      <c r="I444" s="174"/>
      <c r="J444" s="174"/>
      <c r="K444" s="174"/>
      <c r="L444" s="174"/>
      <c r="M444" s="170">
        <f t="shared" si="104"/>
        <v>1</v>
      </c>
      <c r="N444" s="170">
        <f t="shared" si="105"/>
        <v>3</v>
      </c>
      <c r="O444" s="170"/>
      <c r="P444" s="170">
        <f t="shared" si="106"/>
        <v>0</v>
      </c>
      <c r="Q444" s="170">
        <f t="shared" si="107"/>
        <v>0</v>
      </c>
      <c r="R444" s="170">
        <f t="shared" si="108"/>
        <v>0</v>
      </c>
      <c r="S444" s="170">
        <f t="shared" si="109"/>
        <v>0</v>
      </c>
      <c r="T444" s="170">
        <f t="shared" si="110"/>
        <v>0</v>
      </c>
      <c r="U444" s="170">
        <f t="shared" si="111"/>
        <v>1</v>
      </c>
      <c r="V444" s="175">
        <f t="shared" si="112"/>
        <v>0</v>
      </c>
      <c r="W444" s="170">
        <f t="shared" si="113"/>
        <v>0</v>
      </c>
      <c r="X444" s="170">
        <f t="shared" si="114"/>
        <v>0</v>
      </c>
      <c r="Y444" s="170">
        <f t="shared" si="115"/>
        <v>0</v>
      </c>
      <c r="Z444" s="170"/>
      <c r="AA444" s="170"/>
      <c r="AB444" s="170">
        <f t="shared" si="116"/>
        <v>1</v>
      </c>
      <c r="AC444" s="170">
        <f t="shared" si="117"/>
        <v>1</v>
      </c>
      <c r="AD444" s="170" t="str">
        <f t="shared" si="118"/>
        <v>Correct</v>
      </c>
      <c r="AE444" s="133"/>
      <c r="AF444" s="120" t="str">
        <f>IFERROR(VLOOKUP(Table1[RespondentID],'All Data'!$A$3:$CO$999,87,FALSE),"unknown")</f>
        <v>Woman</v>
      </c>
      <c r="AG444" s="120">
        <f>IFERROR(VLOOKUP(Table1[RespondentID],'All Data'!$A$3:$CO$999,88,FALSE),"unknown")</f>
        <v>36</v>
      </c>
      <c r="AH444" s="120" t="str">
        <f>IFERROR(VLOOKUP(Table1[RespondentID],'All Data'!$A$3:$CO$999,89,FALSE),"unknown")</f>
        <v>Suffolk</v>
      </c>
      <c r="AI444" s="120" t="str">
        <f>IFERROR(VLOOKUP(Table1[RespondentID],'All Data'!$A$3:$CO$999,90,FALSE),"unknown")</f>
        <v>Babylon, 11702</v>
      </c>
      <c r="AJ444" s="120" t="str">
        <f>IFERROR(VLOOKUP(Table1[RespondentID],'All Data'!$A$3:$CO$999,91,FALSE),"unknown")</f>
        <v>White</v>
      </c>
      <c r="AK444" s="120" t="str">
        <f>IFERROR(VLOOKUP(Table1[RespondentID],'All Data'!$A$3:$CO$999,92,FALSE),"unknown")</f>
        <v>Not Hispanic or Latino</v>
      </c>
      <c r="AL444" s="120" t="str">
        <f>IFERROR(VLOOKUP(Table1[RespondentID],'All Data'!$A$3:$CO$999,93,FALSE),"unknown")</f>
        <v>English</v>
      </c>
      <c r="AM444" s="120" t="str">
        <f>IFERROR(VLOOKUP(Table1[RespondentID],'All Data'!$A$3:$CW$999,94,FALSE),"unknown")</f>
        <v>$75,000 to $125,000</v>
      </c>
      <c r="AN444" s="120" t="str">
        <f>IFERROR(VLOOKUP(Table1[RespondentID],'All Data'!$A$3:$CW$999,95,FALSE),"unknown")</f>
        <v>College graduate</v>
      </c>
      <c r="AO444" s="120" t="str">
        <f>IFERROR(VLOOKUP(Table1[RespondentID],'All Data'!$A$3:$CW$999,96,FALSE),"unknown")</f>
        <v>Employed for wages</v>
      </c>
      <c r="AP444" s="120" t="str">
        <f>IFERROR(VLOOKUP(Table1[RespondentID],'All Data'!$A$3:$CW$999,97,FALSE),"unknown")</f>
        <v>Yes</v>
      </c>
      <c r="AQ444" s="120" t="str">
        <f>IFERROR(VLOOKUP(Table1[RespondentID],'All Data'!$A$3:$CW$999,98,FALSE),"unknown")</f>
        <v>Private/Commercial</v>
      </c>
      <c r="AR444" s="120" t="str">
        <f>IFERROR(VLOOKUP(Table1[RespondentID],'All Data'!$A$3:$CW$999,99,FALSE),"unknown")</f>
        <v>Yes</v>
      </c>
    </row>
    <row r="445" spans="1:44" ht="16">
      <c r="A445" s="133">
        <v>114112163696</v>
      </c>
      <c r="B445" s="173"/>
      <c r="C445" s="174"/>
      <c r="D445" s="174"/>
      <c r="E445" s="174"/>
      <c r="F445" s="174"/>
      <c r="G445" s="174" t="s">
        <v>34</v>
      </c>
      <c r="H445" s="174"/>
      <c r="I445" s="174"/>
      <c r="J445" s="174"/>
      <c r="K445" s="174"/>
      <c r="L445" s="174"/>
      <c r="M445" s="170">
        <f t="shared" si="104"/>
        <v>1</v>
      </c>
      <c r="N445" s="170">
        <f t="shared" si="105"/>
        <v>3</v>
      </c>
      <c r="O445" s="170"/>
      <c r="P445" s="170">
        <f t="shared" si="106"/>
        <v>0</v>
      </c>
      <c r="Q445" s="170">
        <f t="shared" si="107"/>
        <v>0</v>
      </c>
      <c r="R445" s="170">
        <f t="shared" si="108"/>
        <v>0</v>
      </c>
      <c r="S445" s="170">
        <f t="shared" si="109"/>
        <v>0</v>
      </c>
      <c r="T445" s="170">
        <f t="shared" si="110"/>
        <v>0</v>
      </c>
      <c r="U445" s="170">
        <f t="shared" si="111"/>
        <v>1</v>
      </c>
      <c r="V445" s="175">
        <f t="shared" si="112"/>
        <v>0</v>
      </c>
      <c r="W445" s="170">
        <f t="shared" si="113"/>
        <v>0</v>
      </c>
      <c r="X445" s="170">
        <f t="shared" si="114"/>
        <v>0</v>
      </c>
      <c r="Y445" s="170">
        <f t="shared" si="115"/>
        <v>0</v>
      </c>
      <c r="Z445" s="170"/>
      <c r="AA445" s="170"/>
      <c r="AB445" s="170">
        <f t="shared" si="116"/>
        <v>1</v>
      </c>
      <c r="AC445" s="170">
        <f t="shared" si="117"/>
        <v>1</v>
      </c>
      <c r="AD445" s="170" t="str">
        <f t="shared" si="118"/>
        <v>Correct</v>
      </c>
      <c r="AE445" s="133"/>
      <c r="AF445" s="120" t="str">
        <f>IFERROR(VLOOKUP(Table1[RespondentID],'All Data'!$A$3:$CO$999,87,FALSE),"unknown")</f>
        <v>Woman</v>
      </c>
      <c r="AG445" s="120">
        <f>IFERROR(VLOOKUP(Table1[RespondentID],'All Data'!$A$3:$CO$999,88,FALSE),"unknown")</f>
        <v>66</v>
      </c>
      <c r="AH445" s="120" t="str">
        <f>IFERROR(VLOOKUP(Table1[RespondentID],'All Data'!$A$3:$CO$999,89,FALSE),"unknown")</f>
        <v>Suffolk</v>
      </c>
      <c r="AI445" s="120" t="str">
        <f>IFERROR(VLOOKUP(Table1[RespondentID],'All Data'!$A$3:$CO$999,90,FALSE),"unknown")</f>
        <v>Babylon, 11702</v>
      </c>
      <c r="AJ445" s="120" t="str">
        <f>IFERROR(VLOOKUP(Table1[RespondentID],'All Data'!$A$3:$CO$999,91,FALSE),"unknown")</f>
        <v>White</v>
      </c>
      <c r="AK445" s="120" t="str">
        <f>IFERROR(VLOOKUP(Table1[RespondentID],'All Data'!$A$3:$CO$999,92,FALSE),"unknown")</f>
        <v>Not Hispanic or Latino</v>
      </c>
      <c r="AL445" s="120" t="str">
        <f>IFERROR(VLOOKUP(Table1[RespondentID],'All Data'!$A$3:$CO$999,93,FALSE),"unknown")</f>
        <v>English</v>
      </c>
      <c r="AM445" s="120" t="str">
        <f>IFERROR(VLOOKUP(Table1[RespondentID],'All Data'!$A$3:$CW$999,94,FALSE),"unknown")</f>
        <v>Over $125,000</v>
      </c>
      <c r="AN445" s="120" t="str">
        <f>IFERROR(VLOOKUP(Table1[RespondentID],'All Data'!$A$3:$CW$999,95,FALSE),"unknown")</f>
        <v>College graduate</v>
      </c>
      <c r="AO445" s="120" t="str">
        <f>IFERROR(VLOOKUP(Table1[RespondentID],'All Data'!$A$3:$CW$999,96,FALSE),"unknown")</f>
        <v>Retired</v>
      </c>
      <c r="AP445" s="120" t="str">
        <f>IFERROR(VLOOKUP(Table1[RespondentID],'All Data'!$A$3:$CW$999,97,FALSE),"unknown")</f>
        <v>Yes</v>
      </c>
      <c r="AQ445" s="120" t="str">
        <f>IFERROR(VLOOKUP(Table1[RespondentID],'All Data'!$A$3:$CW$999,98,FALSE),"unknown")</f>
        <v>Medicare</v>
      </c>
      <c r="AR445" s="120" t="str">
        <f>IFERROR(VLOOKUP(Table1[RespondentID],'All Data'!$A$3:$CW$999,99,FALSE),"unknown")</f>
        <v>Yes</v>
      </c>
    </row>
    <row r="446" spans="1:44" ht="16">
      <c r="A446" s="133">
        <v>114112120887</v>
      </c>
      <c r="B446" s="173"/>
      <c r="C446" s="174"/>
      <c r="D446" s="174"/>
      <c r="E446" s="174"/>
      <c r="F446" s="174"/>
      <c r="G446" s="174"/>
      <c r="H446" s="174"/>
      <c r="I446" s="174"/>
      <c r="J446" s="174"/>
      <c r="K446" s="174"/>
      <c r="L446" s="174" t="s">
        <v>484</v>
      </c>
      <c r="M446" s="170">
        <f t="shared" si="104"/>
        <v>1</v>
      </c>
      <c r="N446" s="170">
        <f t="shared" si="105"/>
        <v>3</v>
      </c>
      <c r="O446" s="170"/>
      <c r="P446" s="170">
        <f t="shared" si="106"/>
        <v>0</v>
      </c>
      <c r="Q446" s="170">
        <f t="shared" si="107"/>
        <v>0</v>
      </c>
      <c r="R446" s="170">
        <f t="shared" si="108"/>
        <v>0</v>
      </c>
      <c r="S446" s="170">
        <f t="shared" si="109"/>
        <v>0</v>
      </c>
      <c r="T446" s="170">
        <f t="shared" si="110"/>
        <v>0</v>
      </c>
      <c r="U446" s="170">
        <f t="shared" si="111"/>
        <v>0</v>
      </c>
      <c r="V446" s="175">
        <f t="shared" si="112"/>
        <v>0</v>
      </c>
      <c r="W446" s="170">
        <f t="shared" si="113"/>
        <v>0</v>
      </c>
      <c r="X446" s="170">
        <f t="shared" si="114"/>
        <v>0</v>
      </c>
      <c r="Y446" s="170">
        <f t="shared" si="115"/>
        <v>0</v>
      </c>
      <c r="Z446" s="170"/>
      <c r="AA446" s="170"/>
      <c r="AB446" s="170">
        <f t="shared" si="116"/>
        <v>0</v>
      </c>
      <c r="AC446" s="170">
        <f t="shared" si="117"/>
        <v>1</v>
      </c>
      <c r="AD446" s="170" t="str">
        <f t="shared" si="118"/>
        <v>Wrong</v>
      </c>
      <c r="AE446" s="133"/>
      <c r="AF446" s="120" t="str">
        <f>IFERROR(VLOOKUP(Table1[RespondentID],'All Data'!$A$3:$CO$999,87,FALSE),"unknown")</f>
        <v>Woman</v>
      </c>
      <c r="AG446" s="120">
        <f>IFERROR(VLOOKUP(Table1[RespondentID],'All Data'!$A$3:$CO$999,88,FALSE),"unknown")</f>
        <v>63</v>
      </c>
      <c r="AH446" s="120" t="str">
        <f>IFERROR(VLOOKUP(Table1[RespondentID],'All Data'!$A$3:$CO$999,89,FALSE),"unknown")</f>
        <v>Suffolk</v>
      </c>
      <c r="AI446" s="120" t="str">
        <f>IFERROR(VLOOKUP(Table1[RespondentID],'All Data'!$A$3:$CO$999,90,FALSE),"unknown")</f>
        <v>Patchogue, 11772</v>
      </c>
      <c r="AJ446" s="120" t="str">
        <f>IFERROR(VLOOKUP(Table1[RespondentID],'All Data'!$A$3:$CO$999,91,FALSE),"unknown")</f>
        <v>White</v>
      </c>
      <c r="AK446" s="120" t="str">
        <f>IFERROR(VLOOKUP(Table1[RespondentID],'All Data'!$A$3:$CO$999,92,FALSE),"unknown")</f>
        <v>Not Hispanic or Latino</v>
      </c>
      <c r="AL446" s="120" t="str">
        <f>IFERROR(VLOOKUP(Table1[RespondentID],'All Data'!$A$3:$CO$999,93,FALSE),"unknown")</f>
        <v>English</v>
      </c>
      <c r="AM446" s="120" t="str">
        <f>IFERROR(VLOOKUP(Table1[RespondentID],'All Data'!$A$3:$CW$999,94,FALSE),"unknown")</f>
        <v>$50,000 to $74,999</v>
      </c>
      <c r="AN446" s="120" t="str">
        <f>IFERROR(VLOOKUP(Table1[RespondentID],'All Data'!$A$3:$CW$999,95,FALSE),"unknown")</f>
        <v>Technical school</v>
      </c>
      <c r="AO446" s="120" t="str">
        <f>IFERROR(VLOOKUP(Table1[RespondentID],'All Data'!$A$3:$CW$999,96,FALSE),"unknown")</f>
        <v>Employed for wages</v>
      </c>
      <c r="AP446" s="120" t="str">
        <f>IFERROR(VLOOKUP(Table1[RespondentID],'All Data'!$A$3:$CW$999,97,FALSE),"unknown")</f>
        <v>Yes</v>
      </c>
      <c r="AQ446" s="120" t="str">
        <f>IFERROR(VLOOKUP(Table1[RespondentID],'All Data'!$A$3:$CW$999,98,FALSE),"unknown")</f>
        <v>Private/Commercial</v>
      </c>
      <c r="AR446" s="120" t="str">
        <f>IFERROR(VLOOKUP(Table1[RespondentID],'All Data'!$A$3:$CW$999,99,FALSE),"unknown")</f>
        <v>Yes</v>
      </c>
    </row>
    <row r="447" spans="1:44" ht="16">
      <c r="A447" s="133">
        <v>114112097119</v>
      </c>
      <c r="B447" s="173"/>
      <c r="C447" s="174"/>
      <c r="D447" s="174" t="s">
        <v>31</v>
      </c>
      <c r="E447" s="174"/>
      <c r="F447" s="174"/>
      <c r="G447" s="174"/>
      <c r="H447" s="174"/>
      <c r="I447" s="174"/>
      <c r="J447" s="174"/>
      <c r="K447" s="174"/>
      <c r="L447" s="174" t="s">
        <v>485</v>
      </c>
      <c r="M447" s="170">
        <f t="shared" si="104"/>
        <v>2</v>
      </c>
      <c r="N447" s="170">
        <f t="shared" si="105"/>
        <v>1.5</v>
      </c>
      <c r="O447" s="170"/>
      <c r="P447" s="170">
        <f t="shared" si="106"/>
        <v>0</v>
      </c>
      <c r="Q447" s="170">
        <f t="shared" si="107"/>
        <v>0</v>
      </c>
      <c r="R447" s="170">
        <f t="shared" si="108"/>
        <v>1</v>
      </c>
      <c r="S447" s="170">
        <f t="shared" si="109"/>
        <v>0</v>
      </c>
      <c r="T447" s="170">
        <f t="shared" si="110"/>
        <v>0</v>
      </c>
      <c r="U447" s="170">
        <f t="shared" si="111"/>
        <v>0</v>
      </c>
      <c r="V447" s="175">
        <f t="shared" si="112"/>
        <v>0</v>
      </c>
      <c r="W447" s="170">
        <f t="shared" si="113"/>
        <v>0</v>
      </c>
      <c r="X447" s="170">
        <f t="shared" si="114"/>
        <v>0</v>
      </c>
      <c r="Y447" s="170">
        <f t="shared" si="115"/>
        <v>0</v>
      </c>
      <c r="Z447" s="170"/>
      <c r="AA447" s="170"/>
      <c r="AB447" s="170">
        <f t="shared" si="116"/>
        <v>1</v>
      </c>
      <c r="AC447" s="170">
        <f t="shared" si="117"/>
        <v>2</v>
      </c>
      <c r="AD447" s="170" t="str">
        <f t="shared" si="118"/>
        <v>Wrong</v>
      </c>
      <c r="AE447" s="133"/>
      <c r="AF447" s="120" t="str">
        <f>IFERROR(VLOOKUP(Table1[RespondentID],'All Data'!$A$3:$CO$999,87,FALSE),"unknown")</f>
        <v>Woman</v>
      </c>
      <c r="AG447" s="120">
        <f>IFERROR(VLOOKUP(Table1[RespondentID],'All Data'!$A$3:$CO$999,88,FALSE),"unknown")</f>
        <v>66</v>
      </c>
      <c r="AH447" s="120" t="str">
        <f>IFERROR(VLOOKUP(Table1[RespondentID],'All Data'!$A$3:$CO$999,89,FALSE),"unknown")</f>
        <v>Suffolk</v>
      </c>
      <c r="AI447" s="120" t="str">
        <f>IFERROR(VLOOKUP(Table1[RespondentID],'All Data'!$A$3:$CO$999,90,FALSE),"unknown")</f>
        <v>West Islip, 11795</v>
      </c>
      <c r="AJ447" s="120" t="str">
        <f>IFERROR(VLOOKUP(Table1[RespondentID],'All Data'!$A$3:$CO$999,91,FALSE),"unknown")</f>
        <v>White</v>
      </c>
      <c r="AK447" s="120" t="str">
        <f>IFERROR(VLOOKUP(Table1[RespondentID],'All Data'!$A$3:$CO$999,92,FALSE),"unknown")</f>
        <v>Not Hispanic or Latino</v>
      </c>
      <c r="AL447" s="120" t="str">
        <f>IFERROR(VLOOKUP(Table1[RespondentID],'All Data'!$A$3:$CO$999,93,FALSE),"unknown")</f>
        <v>English</v>
      </c>
      <c r="AM447" s="120" t="str">
        <f>IFERROR(VLOOKUP(Table1[RespondentID],'All Data'!$A$3:$CW$999,94,FALSE),"unknown")</f>
        <v>$35,000 to $49,999</v>
      </c>
      <c r="AN447" s="120" t="str">
        <f>IFERROR(VLOOKUP(Table1[RespondentID],'All Data'!$A$3:$CW$999,95,FALSE),"unknown")</f>
        <v>High school graduate</v>
      </c>
      <c r="AO447" s="120" t="str">
        <f>IFERROR(VLOOKUP(Table1[RespondentID],'All Data'!$A$3:$CW$999,96,FALSE),"unknown")</f>
        <v>Retired</v>
      </c>
      <c r="AP447" s="120" t="str">
        <f>IFERROR(VLOOKUP(Table1[RespondentID],'All Data'!$A$3:$CW$999,97,FALSE),"unknown")</f>
        <v>Yes</v>
      </c>
      <c r="AQ447" s="120" t="str">
        <f>IFERROR(VLOOKUP(Table1[RespondentID],'All Data'!$A$3:$CW$999,98,FALSE),"unknown")</f>
        <v>Private/Commercial</v>
      </c>
      <c r="AR447" s="120" t="str">
        <f>IFERROR(VLOOKUP(Table1[RespondentID],'All Data'!$A$3:$CW$999,99,FALSE),"unknown")</f>
        <v>Yes</v>
      </c>
    </row>
    <row r="448" spans="1:44" ht="16">
      <c r="A448" s="133">
        <v>114112093865</v>
      </c>
      <c r="B448" s="173"/>
      <c r="C448" s="174"/>
      <c r="D448" s="174" t="s">
        <v>31</v>
      </c>
      <c r="E448" s="174"/>
      <c r="F448" s="174"/>
      <c r="G448" s="174"/>
      <c r="H448" s="174"/>
      <c r="I448" s="174" t="s">
        <v>36</v>
      </c>
      <c r="J448" s="174"/>
      <c r="K448" s="174"/>
      <c r="L448" s="174"/>
      <c r="M448" s="170">
        <f t="shared" si="104"/>
        <v>2</v>
      </c>
      <c r="N448" s="170">
        <f t="shared" si="105"/>
        <v>1.5</v>
      </c>
      <c r="O448" s="170"/>
      <c r="P448" s="170">
        <f t="shared" si="106"/>
        <v>0</v>
      </c>
      <c r="Q448" s="170">
        <f t="shared" si="107"/>
        <v>0</v>
      </c>
      <c r="R448" s="170">
        <f t="shared" si="108"/>
        <v>1</v>
      </c>
      <c r="S448" s="170">
        <f t="shared" si="109"/>
        <v>0</v>
      </c>
      <c r="T448" s="170">
        <f t="shared" si="110"/>
        <v>0</v>
      </c>
      <c r="U448" s="170">
        <f t="shared" si="111"/>
        <v>0</v>
      </c>
      <c r="V448" s="175">
        <f t="shared" si="112"/>
        <v>0</v>
      </c>
      <c r="W448" s="170">
        <f t="shared" si="113"/>
        <v>1</v>
      </c>
      <c r="X448" s="170">
        <f t="shared" si="114"/>
        <v>0</v>
      </c>
      <c r="Y448" s="170">
        <f t="shared" si="115"/>
        <v>0</v>
      </c>
      <c r="Z448" s="170"/>
      <c r="AA448" s="170"/>
      <c r="AB448" s="170">
        <f t="shared" si="116"/>
        <v>2</v>
      </c>
      <c r="AC448" s="170">
        <f t="shared" si="117"/>
        <v>2</v>
      </c>
      <c r="AD448" s="170" t="str">
        <f t="shared" si="118"/>
        <v>Correct</v>
      </c>
      <c r="AE448" s="133"/>
      <c r="AF448" s="120" t="str">
        <f>IFERROR(VLOOKUP(Table1[RespondentID],'All Data'!$A$3:$CO$999,87,FALSE),"unknown")</f>
        <v>Woman</v>
      </c>
      <c r="AG448" s="120">
        <f>IFERROR(VLOOKUP(Table1[RespondentID],'All Data'!$A$3:$CO$999,88,FALSE),"unknown")</f>
        <v>63</v>
      </c>
      <c r="AH448" s="120" t="str">
        <f>IFERROR(VLOOKUP(Table1[RespondentID],'All Data'!$A$3:$CO$999,89,FALSE),"unknown")</f>
        <v>Suffolk</v>
      </c>
      <c r="AI448" s="120" t="str">
        <f>IFERROR(VLOOKUP(Table1[RespondentID],'All Data'!$A$3:$CO$999,90,FALSE),"unknown")</f>
        <v>Lindenhurst, 11757</v>
      </c>
      <c r="AJ448" s="120" t="str">
        <f>IFERROR(VLOOKUP(Table1[RespondentID],'All Data'!$A$3:$CO$999,91,FALSE),"unknown")</f>
        <v>White</v>
      </c>
      <c r="AK448" s="120" t="str">
        <f>IFERROR(VLOOKUP(Table1[RespondentID],'All Data'!$A$3:$CO$999,92,FALSE),"unknown")</f>
        <v>Not Hispanic or Latino</v>
      </c>
      <c r="AL448" s="120" t="str">
        <f>IFERROR(VLOOKUP(Table1[RespondentID],'All Data'!$A$3:$CO$999,93,FALSE),"unknown")</f>
        <v>English</v>
      </c>
      <c r="AM448" s="120" t="str">
        <f>IFERROR(VLOOKUP(Table1[RespondentID],'All Data'!$A$3:$CW$999,94,FALSE),"unknown")</f>
        <v>$50,000 to $74,999</v>
      </c>
      <c r="AN448" s="120" t="str">
        <f>IFERROR(VLOOKUP(Table1[RespondentID],'All Data'!$A$3:$CW$999,95,FALSE),"unknown")</f>
        <v>Some college</v>
      </c>
      <c r="AO448" s="120" t="str">
        <f>IFERROR(VLOOKUP(Table1[RespondentID],'All Data'!$A$3:$CW$999,96,FALSE),"unknown")</f>
        <v>Employed for wages</v>
      </c>
      <c r="AP448" s="120" t="str">
        <f>IFERROR(VLOOKUP(Table1[RespondentID],'All Data'!$A$3:$CW$999,97,FALSE),"unknown")</f>
        <v>No, but I did in the past</v>
      </c>
      <c r="AQ448" s="120" t="str">
        <f>IFERROR(VLOOKUP(Table1[RespondentID],'All Data'!$A$3:$CW$999,98,FALSE),"unknown")</f>
        <v>No Insurance</v>
      </c>
      <c r="AR448" s="120" t="str">
        <f>IFERROR(VLOOKUP(Table1[RespondentID],'All Data'!$A$3:$CW$999,99,FALSE),"unknown")</f>
        <v>Yes</v>
      </c>
    </row>
    <row r="449" spans="1:44" ht="16">
      <c r="A449" s="133">
        <v>114108705734</v>
      </c>
      <c r="B449" s="173"/>
      <c r="C449" s="174" t="s">
        <v>30</v>
      </c>
      <c r="D449" s="174"/>
      <c r="E449" s="174"/>
      <c r="F449" s="174"/>
      <c r="G449" s="174"/>
      <c r="H449" s="174"/>
      <c r="I449" s="174"/>
      <c r="J449" s="174"/>
      <c r="K449" s="174"/>
      <c r="L449" s="174"/>
      <c r="M449" s="170">
        <f t="shared" si="104"/>
        <v>1</v>
      </c>
      <c r="N449" s="170">
        <f t="shared" si="105"/>
        <v>3</v>
      </c>
      <c r="O449" s="170"/>
      <c r="P449" s="170">
        <f t="shared" si="106"/>
        <v>0</v>
      </c>
      <c r="Q449" s="170">
        <f t="shared" si="107"/>
        <v>1</v>
      </c>
      <c r="R449" s="170">
        <f t="shared" si="108"/>
        <v>0</v>
      </c>
      <c r="S449" s="170">
        <f t="shared" si="109"/>
        <v>0</v>
      </c>
      <c r="T449" s="170">
        <f t="shared" si="110"/>
        <v>0</v>
      </c>
      <c r="U449" s="170">
        <f t="shared" si="111"/>
        <v>0</v>
      </c>
      <c r="V449" s="175">
        <f t="shared" si="112"/>
        <v>0</v>
      </c>
      <c r="W449" s="170">
        <f t="shared" si="113"/>
        <v>0</v>
      </c>
      <c r="X449" s="170">
        <f t="shared" si="114"/>
        <v>0</v>
      </c>
      <c r="Y449" s="170">
        <f t="shared" si="115"/>
        <v>0</v>
      </c>
      <c r="Z449" s="170"/>
      <c r="AA449" s="170"/>
      <c r="AB449" s="170">
        <f t="shared" si="116"/>
        <v>1</v>
      </c>
      <c r="AC449" s="170">
        <f t="shared" si="117"/>
        <v>1</v>
      </c>
      <c r="AD449" s="170" t="str">
        <f t="shared" si="118"/>
        <v>Correct</v>
      </c>
      <c r="AE449" s="133"/>
      <c r="AF449" s="120">
        <f>IFERROR(VLOOKUP(Table1[RespondentID],'All Data'!$A$3:$CO$999,87,FALSE),"unknown")</f>
        <v>0</v>
      </c>
      <c r="AG449" s="120">
        <f>IFERROR(VLOOKUP(Table1[RespondentID],'All Data'!$A$3:$CO$999,88,FALSE),"unknown")</f>
        <v>0</v>
      </c>
      <c r="AH449" s="120">
        <f>IFERROR(VLOOKUP(Table1[RespondentID],'All Data'!$A$3:$CO$999,89,FALSE),"unknown")</f>
        <v>0</v>
      </c>
      <c r="AI449" s="120">
        <f>IFERROR(VLOOKUP(Table1[RespondentID],'All Data'!$A$3:$CO$999,90,FALSE),"unknown")</f>
        <v>0</v>
      </c>
      <c r="AJ449" s="120">
        <f>IFERROR(VLOOKUP(Table1[RespondentID],'All Data'!$A$3:$CO$999,91,FALSE),"unknown")</f>
        <v>0</v>
      </c>
      <c r="AK449" s="120">
        <f>IFERROR(VLOOKUP(Table1[RespondentID],'All Data'!$A$3:$CO$999,92,FALSE),"unknown")</f>
        <v>0</v>
      </c>
      <c r="AL449" s="120">
        <f>IFERROR(VLOOKUP(Table1[RespondentID],'All Data'!$A$3:$CO$999,93,FALSE),"unknown")</f>
        <v>0</v>
      </c>
      <c r="AM449" s="120">
        <f>IFERROR(VLOOKUP(Table1[RespondentID],'All Data'!$A$3:$CW$999,94,FALSE),"unknown")</f>
        <v>0</v>
      </c>
      <c r="AN449" s="120">
        <f>IFERROR(VLOOKUP(Table1[RespondentID],'All Data'!$A$3:$CW$999,95,FALSE),"unknown")</f>
        <v>0</v>
      </c>
      <c r="AO449" s="120">
        <f>IFERROR(VLOOKUP(Table1[RespondentID],'All Data'!$A$3:$CW$999,96,FALSE),"unknown")</f>
        <v>0</v>
      </c>
      <c r="AP449" s="120">
        <f>IFERROR(VLOOKUP(Table1[RespondentID],'All Data'!$A$3:$CW$999,97,FALSE),"unknown")</f>
        <v>0</v>
      </c>
      <c r="AQ449" s="120">
        <f>IFERROR(VLOOKUP(Table1[RespondentID],'All Data'!$A$3:$CW$999,98,FALSE),"unknown")</f>
        <v>0</v>
      </c>
      <c r="AR449" s="120">
        <f>IFERROR(VLOOKUP(Table1[RespondentID],'All Data'!$A$3:$CW$999,99,FALSE),"unknown")</f>
        <v>0</v>
      </c>
    </row>
    <row r="450" spans="1:44" ht="16">
      <c r="A450" s="133">
        <v>18032059967</v>
      </c>
      <c r="B450" s="173"/>
      <c r="C450" s="174"/>
      <c r="D450" s="174"/>
      <c r="E450" s="174"/>
      <c r="F450" s="174"/>
      <c r="G450" s="174"/>
      <c r="H450" s="174"/>
      <c r="I450" s="174"/>
      <c r="J450" s="174"/>
      <c r="K450" s="174"/>
      <c r="L450" s="174" t="s">
        <v>489</v>
      </c>
      <c r="M450" s="170">
        <f t="shared" si="104"/>
        <v>1</v>
      </c>
      <c r="N450" s="170">
        <f t="shared" si="105"/>
        <v>3</v>
      </c>
      <c r="O450" s="170"/>
      <c r="P450" s="170">
        <f t="shared" si="106"/>
        <v>0</v>
      </c>
      <c r="Q450" s="170">
        <f t="shared" si="107"/>
        <v>0</v>
      </c>
      <c r="R450" s="170">
        <f t="shared" si="108"/>
        <v>0</v>
      </c>
      <c r="S450" s="170">
        <f t="shared" si="109"/>
        <v>0</v>
      </c>
      <c r="T450" s="170">
        <f t="shared" si="110"/>
        <v>0</v>
      </c>
      <c r="U450" s="170">
        <f t="shared" si="111"/>
        <v>0</v>
      </c>
      <c r="V450" s="175">
        <f t="shared" si="112"/>
        <v>0</v>
      </c>
      <c r="W450" s="170">
        <f t="shared" si="113"/>
        <v>0</v>
      </c>
      <c r="X450" s="170">
        <f t="shared" si="114"/>
        <v>0</v>
      </c>
      <c r="Y450" s="170">
        <f t="shared" si="115"/>
        <v>0</v>
      </c>
      <c r="Z450" s="170"/>
      <c r="AA450" s="170"/>
      <c r="AB450" s="170">
        <f t="shared" si="116"/>
        <v>0</v>
      </c>
      <c r="AC450" s="170">
        <f t="shared" si="117"/>
        <v>1</v>
      </c>
      <c r="AD450" s="170" t="str">
        <f t="shared" si="118"/>
        <v>Wrong</v>
      </c>
      <c r="AE450" s="133"/>
      <c r="AF450" s="120" t="str">
        <f>IFERROR(VLOOKUP(Table1[RespondentID],'All Data'!$A$3:$CO$999,87,FALSE),"unknown")</f>
        <v>Man</v>
      </c>
      <c r="AG450" s="120">
        <f>IFERROR(VLOOKUP(Table1[RespondentID],'All Data'!$A$3:$CO$999,88,FALSE),"unknown")</f>
        <v>67</v>
      </c>
      <c r="AH450" s="120" t="str">
        <f>IFERROR(VLOOKUP(Table1[RespondentID],'All Data'!$A$3:$CO$999,89,FALSE),"unknown")</f>
        <v>Nassau</v>
      </c>
      <c r="AI450" s="120" t="str">
        <f>IFERROR(VLOOKUP(Table1[RespondentID],'All Data'!$A$3:$CO$999,90,FALSE),"unknown")</f>
        <v>Hicksville, 11801</v>
      </c>
      <c r="AJ450" s="120" t="str">
        <f>IFERROR(VLOOKUP(Table1[RespondentID],'All Data'!$A$3:$CO$999,91,FALSE),"unknown")</f>
        <v>White</v>
      </c>
      <c r="AK450" s="120" t="str">
        <f>IFERROR(VLOOKUP(Table1[RespondentID],'All Data'!$A$3:$CO$999,92,FALSE),"unknown")</f>
        <v>Not Hispanic or Latino</v>
      </c>
      <c r="AL450" s="120" t="str">
        <f>IFERROR(VLOOKUP(Table1[RespondentID],'All Data'!$A$3:$CO$999,93,FALSE),"unknown")</f>
        <v>English</v>
      </c>
      <c r="AM450" s="120" t="str">
        <f>IFERROR(VLOOKUP(Table1[RespondentID],'All Data'!$A$3:$CW$999,94,FALSE),"unknown")</f>
        <v>$75,000 to $125,000</v>
      </c>
      <c r="AN450" s="120" t="str">
        <f>IFERROR(VLOOKUP(Table1[RespondentID],'All Data'!$A$3:$CW$999,95,FALSE),"unknown")</f>
        <v>Some college</v>
      </c>
      <c r="AO450" s="120" t="str">
        <f>IFERROR(VLOOKUP(Table1[RespondentID],'All Data'!$A$3:$CW$999,96,FALSE),"unknown")</f>
        <v>Retired</v>
      </c>
      <c r="AP450" s="120" t="str">
        <f>IFERROR(VLOOKUP(Table1[RespondentID],'All Data'!$A$3:$CW$999,97,FALSE),"unknown")</f>
        <v>Yes</v>
      </c>
      <c r="AQ450" s="120" t="str">
        <f>IFERROR(VLOOKUP(Table1[RespondentID],'All Data'!$A$3:$CW$999,98,FALSE),"unknown")</f>
        <v>Medicare</v>
      </c>
      <c r="AR450" s="120" t="str">
        <f>IFERROR(VLOOKUP(Table1[RespondentID],'All Data'!$A$3:$CW$999,99,FALSE),"unknown")</f>
        <v>Yes</v>
      </c>
    </row>
    <row r="451" spans="1:44" ht="16">
      <c r="A451" s="133">
        <v>18032014754</v>
      </c>
      <c r="B451" s="173"/>
      <c r="C451" s="174"/>
      <c r="D451" s="174"/>
      <c r="E451" s="174"/>
      <c r="F451" s="174"/>
      <c r="G451" s="174" t="s">
        <v>34</v>
      </c>
      <c r="H451" s="174"/>
      <c r="I451" s="174"/>
      <c r="J451" s="174"/>
      <c r="K451" s="174"/>
      <c r="L451" s="174"/>
      <c r="M451" s="170">
        <f t="shared" si="104"/>
        <v>1</v>
      </c>
      <c r="N451" s="170">
        <f t="shared" si="105"/>
        <v>3</v>
      </c>
      <c r="O451" s="170"/>
      <c r="P451" s="170">
        <f t="shared" si="106"/>
        <v>0</v>
      </c>
      <c r="Q451" s="170">
        <f t="shared" si="107"/>
        <v>0</v>
      </c>
      <c r="R451" s="170">
        <f t="shared" si="108"/>
        <v>0</v>
      </c>
      <c r="S451" s="170">
        <f t="shared" si="109"/>
        <v>0</v>
      </c>
      <c r="T451" s="170">
        <f t="shared" si="110"/>
        <v>0</v>
      </c>
      <c r="U451" s="170">
        <f t="shared" si="111"/>
        <v>1</v>
      </c>
      <c r="V451" s="175">
        <f t="shared" si="112"/>
        <v>0</v>
      </c>
      <c r="W451" s="170">
        <f t="shared" si="113"/>
        <v>0</v>
      </c>
      <c r="X451" s="170">
        <f t="shared" si="114"/>
        <v>0</v>
      </c>
      <c r="Y451" s="170">
        <f t="shared" si="115"/>
        <v>0</v>
      </c>
      <c r="Z451" s="170"/>
      <c r="AA451" s="170"/>
      <c r="AB451" s="170">
        <f t="shared" si="116"/>
        <v>1</v>
      </c>
      <c r="AC451" s="170">
        <f t="shared" si="117"/>
        <v>1</v>
      </c>
      <c r="AD451" s="170" t="str">
        <f t="shared" si="118"/>
        <v>Correct</v>
      </c>
      <c r="AE451" s="133"/>
      <c r="AF451" s="120" t="str">
        <f>IFERROR(VLOOKUP(Table1[RespondentID],'All Data'!$A$3:$CO$999,87,FALSE),"unknown")</f>
        <v>Woman</v>
      </c>
      <c r="AG451" s="120">
        <f>IFERROR(VLOOKUP(Table1[RespondentID],'All Data'!$A$3:$CO$999,88,FALSE),"unknown")</f>
        <v>16</v>
      </c>
      <c r="AH451" s="120" t="str">
        <f>IFERROR(VLOOKUP(Table1[RespondentID],'All Data'!$A$3:$CO$999,89,FALSE),"unknown")</f>
        <v>Suffolk</v>
      </c>
      <c r="AI451" s="120" t="str">
        <f>IFERROR(VLOOKUP(Table1[RespondentID],'All Data'!$A$3:$CO$999,90,FALSE),"unknown")</f>
        <v>Melville, 11747</v>
      </c>
      <c r="AJ451" s="120" t="str">
        <f>IFERROR(VLOOKUP(Table1[RespondentID],'All Data'!$A$3:$CO$999,91,FALSE),"unknown")</f>
        <v>White</v>
      </c>
      <c r="AK451" s="120" t="str">
        <f>IFERROR(VLOOKUP(Table1[RespondentID],'All Data'!$A$3:$CO$999,92,FALSE),"unknown")</f>
        <v>Not Hispanic or Latino</v>
      </c>
      <c r="AL451" s="120" t="str">
        <f>IFERROR(VLOOKUP(Table1[RespondentID],'All Data'!$A$3:$CO$999,93,FALSE),"unknown")</f>
        <v>English</v>
      </c>
      <c r="AM451" s="120" t="str">
        <f>IFERROR(VLOOKUP(Table1[RespondentID],'All Data'!$A$3:$CW$999,94,FALSE),"unknown")</f>
        <v>$50,000 to $74,999</v>
      </c>
      <c r="AN451" s="120" t="str">
        <f>IFERROR(VLOOKUP(Table1[RespondentID],'All Data'!$A$3:$CW$999,95,FALSE),"unknown")</f>
        <v>Some high school</v>
      </c>
      <c r="AO451" s="120" t="str">
        <f>IFERROR(VLOOKUP(Table1[RespondentID],'All Data'!$A$3:$CW$999,96,FALSE),"unknown")</f>
        <v>Student</v>
      </c>
      <c r="AP451" s="120" t="str">
        <f>IFERROR(VLOOKUP(Table1[RespondentID],'All Data'!$A$3:$CW$999,97,FALSE),"unknown")</f>
        <v>Yes</v>
      </c>
      <c r="AQ451" s="120" t="str">
        <f>IFERROR(VLOOKUP(Table1[RespondentID],'All Data'!$A$3:$CW$999,98,FALSE),"unknown")</f>
        <v>Private/Commercial</v>
      </c>
      <c r="AR451" s="120" t="str">
        <f>IFERROR(VLOOKUP(Table1[RespondentID],'All Data'!$A$3:$CW$999,99,FALSE),"unknown")</f>
        <v>Yes</v>
      </c>
    </row>
    <row r="452" spans="1:44" ht="16">
      <c r="A452" s="133">
        <v>18031752968</v>
      </c>
      <c r="B452" s="173"/>
      <c r="C452" s="174"/>
      <c r="D452" s="174"/>
      <c r="E452" s="174"/>
      <c r="F452" s="174"/>
      <c r="G452" s="174"/>
      <c r="H452" s="174"/>
      <c r="I452" s="174"/>
      <c r="J452" s="174"/>
      <c r="K452" s="174"/>
      <c r="L452" s="174"/>
      <c r="M452" s="170">
        <f t="shared" si="104"/>
        <v>0</v>
      </c>
      <c r="N452" s="170" t="e">
        <f t="shared" si="105"/>
        <v>#DIV/0!</v>
      </c>
      <c r="O452" s="170"/>
      <c r="P452" s="170">
        <f t="shared" si="106"/>
        <v>0</v>
      </c>
      <c r="Q452" s="170">
        <f t="shared" si="107"/>
        <v>0</v>
      </c>
      <c r="R452" s="170">
        <f t="shared" si="108"/>
        <v>0</v>
      </c>
      <c r="S452" s="170">
        <f t="shared" si="109"/>
        <v>0</v>
      </c>
      <c r="T452" s="170">
        <f t="shared" si="110"/>
        <v>0</v>
      </c>
      <c r="U452" s="170">
        <f t="shared" si="111"/>
        <v>0</v>
      </c>
      <c r="V452" s="175">
        <f t="shared" si="112"/>
        <v>0</v>
      </c>
      <c r="W452" s="170">
        <f t="shared" si="113"/>
        <v>0</v>
      </c>
      <c r="X452" s="170">
        <f t="shared" si="114"/>
        <v>0</v>
      </c>
      <c r="Y452" s="170">
        <f t="shared" si="115"/>
        <v>0</v>
      </c>
      <c r="Z452" s="170"/>
      <c r="AA452" s="170"/>
      <c r="AB452" s="170">
        <f t="shared" si="116"/>
        <v>0</v>
      </c>
      <c r="AC452" s="170">
        <f t="shared" si="117"/>
        <v>0</v>
      </c>
      <c r="AD452" s="170" t="str">
        <f t="shared" si="118"/>
        <v>Correct</v>
      </c>
      <c r="AE452" s="133"/>
      <c r="AF452" s="120" t="str">
        <f>IFERROR(VLOOKUP(Table1[RespondentID],'All Data'!$A$3:$CO$999,87,FALSE),"unknown")</f>
        <v>Man</v>
      </c>
      <c r="AG452" s="120">
        <f>IFERROR(VLOOKUP(Table1[RespondentID],'All Data'!$A$3:$CO$999,88,FALSE),"unknown")</f>
        <v>0</v>
      </c>
      <c r="AH452" s="120" t="str">
        <f>IFERROR(VLOOKUP(Table1[RespondentID],'All Data'!$A$3:$CO$999,89,FALSE),"unknown")</f>
        <v>Nassau</v>
      </c>
      <c r="AI452" s="120" t="str">
        <f>IFERROR(VLOOKUP(Table1[RespondentID],'All Data'!$A$3:$CO$999,90,FALSE),"unknown")</f>
        <v>Farmingdale, 11735</v>
      </c>
      <c r="AJ452" s="120" t="str">
        <f>IFERROR(VLOOKUP(Table1[RespondentID],'All Data'!$A$3:$CO$999,91,FALSE),"unknown")</f>
        <v>White</v>
      </c>
      <c r="AK452" s="120" t="str">
        <f>IFERROR(VLOOKUP(Table1[RespondentID],'All Data'!$A$3:$CO$999,92,FALSE),"unknown")</f>
        <v>Not Hispanic or Latino</v>
      </c>
      <c r="AL452" s="120" t="str">
        <f>IFERROR(VLOOKUP(Table1[RespondentID],'All Data'!$A$3:$CO$999,93,FALSE),"unknown")</f>
        <v>English</v>
      </c>
      <c r="AM452" s="120">
        <f>IFERROR(VLOOKUP(Table1[RespondentID],'All Data'!$A$3:$CW$999,94,FALSE),"unknown")</f>
        <v>0</v>
      </c>
      <c r="AN452" s="120" t="str">
        <f>IFERROR(VLOOKUP(Table1[RespondentID],'All Data'!$A$3:$CW$999,95,FALSE),"unknown")</f>
        <v>Graduate school</v>
      </c>
      <c r="AO452" s="120">
        <f>IFERROR(VLOOKUP(Table1[RespondentID],'All Data'!$A$3:$CW$999,96,FALSE),"unknown")</f>
        <v>0</v>
      </c>
      <c r="AP452" s="120">
        <f>IFERROR(VLOOKUP(Table1[RespondentID],'All Data'!$A$3:$CW$999,97,FALSE),"unknown")</f>
        <v>0</v>
      </c>
      <c r="AQ452" s="120">
        <f>IFERROR(VLOOKUP(Table1[RespondentID],'All Data'!$A$3:$CW$999,98,FALSE),"unknown")</f>
        <v>0</v>
      </c>
      <c r="AR452" s="120">
        <f>IFERROR(VLOOKUP(Table1[RespondentID],'All Data'!$A$3:$CW$999,99,FALSE),"unknown")</f>
        <v>0</v>
      </c>
    </row>
    <row r="453" spans="1:44" ht="16">
      <c r="A453" s="133">
        <v>18031752783</v>
      </c>
      <c r="B453" s="173"/>
      <c r="C453" s="174"/>
      <c r="D453" s="174"/>
      <c r="E453" s="174"/>
      <c r="F453" s="174" t="s">
        <v>33</v>
      </c>
      <c r="G453" s="174"/>
      <c r="H453" s="174"/>
      <c r="I453" s="174" t="s">
        <v>36</v>
      </c>
      <c r="J453" s="174"/>
      <c r="K453" s="174" t="s">
        <v>375</v>
      </c>
      <c r="L453" s="174"/>
      <c r="M453" s="170">
        <f t="shared" si="104"/>
        <v>3</v>
      </c>
      <c r="N453" s="170">
        <f t="shared" si="105"/>
        <v>1</v>
      </c>
      <c r="O453" s="170"/>
      <c r="P453" s="170">
        <f t="shared" si="106"/>
        <v>0</v>
      </c>
      <c r="Q453" s="170">
        <f t="shared" si="107"/>
        <v>0</v>
      </c>
      <c r="R453" s="170">
        <f t="shared" si="108"/>
        <v>0</v>
      </c>
      <c r="S453" s="170">
        <f t="shared" si="109"/>
        <v>0</v>
      </c>
      <c r="T453" s="170">
        <f t="shared" si="110"/>
        <v>1</v>
      </c>
      <c r="U453" s="170">
        <f t="shared" si="111"/>
        <v>0</v>
      </c>
      <c r="V453" s="175">
        <f t="shared" si="112"/>
        <v>0</v>
      </c>
      <c r="W453" s="170">
        <f t="shared" si="113"/>
        <v>1</v>
      </c>
      <c r="X453" s="170">
        <f t="shared" si="114"/>
        <v>0</v>
      </c>
      <c r="Y453" s="170">
        <f t="shared" si="115"/>
        <v>1</v>
      </c>
      <c r="Z453" s="170"/>
      <c r="AA453" s="170"/>
      <c r="AB453" s="170">
        <f t="shared" si="116"/>
        <v>3</v>
      </c>
      <c r="AC453" s="170">
        <f t="shared" si="117"/>
        <v>3</v>
      </c>
      <c r="AD453" s="170" t="str">
        <f t="shared" si="118"/>
        <v>Correct</v>
      </c>
      <c r="AE453" s="133"/>
      <c r="AF453" s="120" t="str">
        <f>IFERROR(VLOOKUP(Table1[RespondentID],'All Data'!$A$3:$CO$999,87,FALSE),"unknown")</f>
        <v>Man</v>
      </c>
      <c r="AG453" s="120">
        <f>IFERROR(VLOOKUP(Table1[RespondentID],'All Data'!$A$3:$CO$999,88,FALSE),"unknown")</f>
        <v>58</v>
      </c>
      <c r="AH453" s="120" t="str">
        <f>IFERROR(VLOOKUP(Table1[RespondentID],'All Data'!$A$3:$CO$999,89,FALSE),"unknown")</f>
        <v>Nassau</v>
      </c>
      <c r="AI453" s="120" t="str">
        <f>IFERROR(VLOOKUP(Table1[RespondentID],'All Data'!$A$3:$CO$999,90,FALSE),"unknown")</f>
        <v>Farmingdale, 11735</v>
      </c>
      <c r="AJ453" s="120" t="str">
        <f>IFERROR(VLOOKUP(Table1[RespondentID],'All Data'!$A$3:$CO$999,91,FALSE),"unknown")</f>
        <v>White</v>
      </c>
      <c r="AK453" s="120">
        <f>IFERROR(VLOOKUP(Table1[RespondentID],'All Data'!$A$3:$CO$999,92,FALSE),"unknown")</f>
        <v>0</v>
      </c>
      <c r="AL453" s="120" t="str">
        <f>IFERROR(VLOOKUP(Table1[RespondentID],'All Data'!$A$3:$CO$999,93,FALSE),"unknown")</f>
        <v>English</v>
      </c>
      <c r="AM453" s="120" t="str">
        <f>IFERROR(VLOOKUP(Table1[RespondentID],'All Data'!$A$3:$CW$999,94,FALSE),"unknown")</f>
        <v>$20,000 to $34,999</v>
      </c>
      <c r="AN453" s="120" t="str">
        <f>IFERROR(VLOOKUP(Table1[RespondentID],'All Data'!$A$3:$CW$999,95,FALSE),"unknown")</f>
        <v>Graduate school</v>
      </c>
      <c r="AO453" s="120" t="str">
        <f>IFERROR(VLOOKUP(Table1[RespondentID],'All Data'!$A$3:$CW$999,96,FALSE),"unknown")</f>
        <v>Self-employed</v>
      </c>
      <c r="AP453" s="120" t="str">
        <f>IFERROR(VLOOKUP(Table1[RespondentID],'All Data'!$A$3:$CW$999,97,FALSE),"unknown")</f>
        <v>No</v>
      </c>
      <c r="AQ453" s="120" t="str">
        <f>IFERROR(VLOOKUP(Table1[RespondentID],'All Data'!$A$3:$CW$999,98,FALSE),"unknown")</f>
        <v>No Insurance</v>
      </c>
      <c r="AR453" s="120" t="str">
        <f>IFERROR(VLOOKUP(Table1[RespondentID],'All Data'!$A$3:$CW$999,99,FALSE),"unknown")</f>
        <v>No</v>
      </c>
    </row>
    <row r="454" spans="1:44" ht="16">
      <c r="A454" s="133">
        <v>18031752813</v>
      </c>
      <c r="B454" s="173"/>
      <c r="C454" s="174" t="s">
        <v>30</v>
      </c>
      <c r="D454" s="174"/>
      <c r="E454" s="174"/>
      <c r="F454" s="174"/>
      <c r="G454" s="174"/>
      <c r="H454" s="174" t="s">
        <v>35</v>
      </c>
      <c r="I454" s="174"/>
      <c r="J454" s="174"/>
      <c r="K454" s="174"/>
      <c r="L454" s="174"/>
      <c r="M454" s="170">
        <f t="shared" si="104"/>
        <v>2</v>
      </c>
      <c r="N454" s="170">
        <f t="shared" si="105"/>
        <v>1.5</v>
      </c>
      <c r="O454" s="170"/>
      <c r="P454" s="170">
        <f t="shared" si="106"/>
        <v>0</v>
      </c>
      <c r="Q454" s="170">
        <f t="shared" si="107"/>
        <v>1</v>
      </c>
      <c r="R454" s="170">
        <f t="shared" si="108"/>
        <v>0</v>
      </c>
      <c r="S454" s="170">
        <f t="shared" si="109"/>
        <v>0</v>
      </c>
      <c r="T454" s="170">
        <f t="shared" si="110"/>
        <v>0</v>
      </c>
      <c r="U454" s="170">
        <f t="shared" si="111"/>
        <v>0</v>
      </c>
      <c r="V454" s="175">
        <f t="shared" si="112"/>
        <v>1</v>
      </c>
      <c r="W454" s="170">
        <f t="shared" si="113"/>
        <v>0</v>
      </c>
      <c r="X454" s="170">
        <f t="shared" si="114"/>
        <v>0</v>
      </c>
      <c r="Y454" s="170">
        <f t="shared" si="115"/>
        <v>0</v>
      </c>
      <c r="Z454" s="170"/>
      <c r="AA454" s="170"/>
      <c r="AB454" s="170">
        <f t="shared" si="116"/>
        <v>2</v>
      </c>
      <c r="AC454" s="170">
        <f t="shared" si="117"/>
        <v>2</v>
      </c>
      <c r="AD454" s="170" t="str">
        <f t="shared" si="118"/>
        <v>Correct</v>
      </c>
      <c r="AE454" s="133"/>
      <c r="AF454" s="120" t="str">
        <f>IFERROR(VLOOKUP(Table1[RespondentID],'All Data'!$A$3:$CO$999,87,FALSE),"unknown")</f>
        <v>Man</v>
      </c>
      <c r="AG454" s="120">
        <f>IFERROR(VLOOKUP(Table1[RespondentID],'All Data'!$A$3:$CO$999,88,FALSE),"unknown")</f>
        <v>28</v>
      </c>
      <c r="AH454" s="120" t="str">
        <f>IFERROR(VLOOKUP(Table1[RespondentID],'All Data'!$A$3:$CO$999,89,FALSE),"unknown")</f>
        <v>Suffolk</v>
      </c>
      <c r="AI454" s="120" t="str">
        <f>IFERROR(VLOOKUP(Table1[RespondentID],'All Data'!$A$3:$CO$999,90,FALSE),"unknown")</f>
        <v>Port Jefferson Station, 11776</v>
      </c>
      <c r="AJ454" s="120" t="str">
        <f>IFERROR(VLOOKUP(Table1[RespondentID],'All Data'!$A$3:$CO$999,91,FALSE),"unknown")</f>
        <v>White</v>
      </c>
      <c r="AK454" s="120" t="str">
        <f>IFERROR(VLOOKUP(Table1[RespondentID],'All Data'!$A$3:$CO$999,92,FALSE),"unknown")</f>
        <v>Not Hispanic or Latino</v>
      </c>
      <c r="AL454" s="120" t="str">
        <f>IFERROR(VLOOKUP(Table1[RespondentID],'All Data'!$A$3:$CO$999,93,FALSE),"unknown")</f>
        <v>English</v>
      </c>
      <c r="AM454" s="120" t="str">
        <f>IFERROR(VLOOKUP(Table1[RespondentID],'All Data'!$A$3:$CW$999,94,FALSE),"unknown")</f>
        <v>$75,000 to $125,000</v>
      </c>
      <c r="AN454" s="120" t="str">
        <f>IFERROR(VLOOKUP(Table1[RespondentID],'All Data'!$A$3:$CW$999,95,FALSE),"unknown")</f>
        <v>Graduate school</v>
      </c>
      <c r="AO454" s="120" t="str">
        <f>IFERROR(VLOOKUP(Table1[RespondentID],'All Data'!$A$3:$CW$999,96,FALSE),"unknown")</f>
        <v>Employed for wages</v>
      </c>
      <c r="AP454" s="120" t="str">
        <f>IFERROR(VLOOKUP(Table1[RespondentID],'All Data'!$A$3:$CW$999,97,FALSE),"unknown")</f>
        <v>Yes</v>
      </c>
      <c r="AQ454" s="120" t="str">
        <f>IFERROR(VLOOKUP(Table1[RespondentID],'All Data'!$A$3:$CW$999,98,FALSE),"unknown")</f>
        <v>Private/Commercial</v>
      </c>
      <c r="AR454" s="120" t="str">
        <f>IFERROR(VLOOKUP(Table1[RespondentID],'All Data'!$A$3:$CW$999,99,FALSE),"unknown")</f>
        <v>Yes</v>
      </c>
    </row>
    <row r="455" spans="1:44" ht="16">
      <c r="A455" s="133">
        <v>18031752705</v>
      </c>
      <c r="B455" s="173"/>
      <c r="C455" s="174"/>
      <c r="D455" s="174" t="s">
        <v>31</v>
      </c>
      <c r="E455" s="174"/>
      <c r="F455" s="174"/>
      <c r="G455" s="174"/>
      <c r="H455" s="174" t="s">
        <v>35</v>
      </c>
      <c r="I455" s="174" t="s">
        <v>36</v>
      </c>
      <c r="J455" s="174"/>
      <c r="K455" s="174"/>
      <c r="L455" s="174"/>
      <c r="M455" s="170">
        <f t="shared" si="104"/>
        <v>3</v>
      </c>
      <c r="N455" s="170">
        <f t="shared" si="105"/>
        <v>1</v>
      </c>
      <c r="O455" s="170"/>
      <c r="P455" s="170">
        <f t="shared" si="106"/>
        <v>0</v>
      </c>
      <c r="Q455" s="170">
        <f t="shared" si="107"/>
        <v>0</v>
      </c>
      <c r="R455" s="170">
        <f t="shared" si="108"/>
        <v>1</v>
      </c>
      <c r="S455" s="170">
        <f t="shared" si="109"/>
        <v>0</v>
      </c>
      <c r="T455" s="170">
        <f t="shared" si="110"/>
        <v>0</v>
      </c>
      <c r="U455" s="170">
        <f t="shared" si="111"/>
        <v>0</v>
      </c>
      <c r="V455" s="175">
        <f t="shared" si="112"/>
        <v>1</v>
      </c>
      <c r="W455" s="170">
        <f t="shared" si="113"/>
        <v>1</v>
      </c>
      <c r="X455" s="170">
        <f t="shared" si="114"/>
        <v>0</v>
      </c>
      <c r="Y455" s="170">
        <f t="shared" si="115"/>
        <v>0</v>
      </c>
      <c r="Z455" s="170"/>
      <c r="AA455" s="170"/>
      <c r="AB455" s="170">
        <f t="shared" si="116"/>
        <v>3</v>
      </c>
      <c r="AC455" s="170">
        <f t="shared" si="117"/>
        <v>3</v>
      </c>
      <c r="AD455" s="170" t="str">
        <f t="shared" si="118"/>
        <v>Correct</v>
      </c>
      <c r="AE455" s="133"/>
      <c r="AF455" s="120" t="str">
        <f>IFERROR(VLOOKUP(Table1[RespondentID],'All Data'!$A$3:$CO$999,87,FALSE),"unknown")</f>
        <v>Man</v>
      </c>
      <c r="AG455" s="120">
        <f>IFERROR(VLOOKUP(Table1[RespondentID],'All Data'!$A$3:$CO$999,88,FALSE),"unknown")</f>
        <v>91</v>
      </c>
      <c r="AH455" s="120" t="str">
        <f>IFERROR(VLOOKUP(Table1[RespondentID],'All Data'!$A$3:$CO$999,89,FALSE),"unknown")</f>
        <v>Nassau</v>
      </c>
      <c r="AI455" s="120" t="str">
        <f>IFERROR(VLOOKUP(Table1[RespondentID],'All Data'!$A$3:$CO$999,90,FALSE),"unknown")</f>
        <v>Farmingdale, 11735</v>
      </c>
      <c r="AJ455" s="120" t="str">
        <f>IFERROR(VLOOKUP(Table1[RespondentID],'All Data'!$A$3:$CO$999,91,FALSE),"unknown")</f>
        <v>White</v>
      </c>
      <c r="AK455" s="120" t="str">
        <f>IFERROR(VLOOKUP(Table1[RespondentID],'All Data'!$A$3:$CO$999,92,FALSE),"unknown")</f>
        <v>Not Hispanic or Latino</v>
      </c>
      <c r="AL455" s="120" t="str">
        <f>IFERROR(VLOOKUP(Table1[RespondentID],'All Data'!$A$3:$CO$999,93,FALSE),"unknown")</f>
        <v>English</v>
      </c>
      <c r="AM455" s="120" t="str">
        <f>IFERROR(VLOOKUP(Table1[RespondentID],'All Data'!$A$3:$CW$999,94,FALSE),"unknown")</f>
        <v>$35,000 to $49,999</v>
      </c>
      <c r="AN455" s="120" t="str">
        <f>IFERROR(VLOOKUP(Table1[RespondentID],'All Data'!$A$3:$CW$999,95,FALSE),"unknown")</f>
        <v>Some college</v>
      </c>
      <c r="AO455" s="120" t="str">
        <f>IFERROR(VLOOKUP(Table1[RespondentID],'All Data'!$A$3:$CW$999,96,FALSE),"unknown")</f>
        <v>Retired</v>
      </c>
      <c r="AP455" s="120" t="str">
        <f>IFERROR(VLOOKUP(Table1[RespondentID],'All Data'!$A$3:$CW$999,97,FALSE),"unknown")</f>
        <v>Yes</v>
      </c>
      <c r="AQ455" s="120" t="str">
        <f>IFERROR(VLOOKUP(Table1[RespondentID],'All Data'!$A$3:$CW$999,98,FALSE),"unknown")</f>
        <v>Medicare</v>
      </c>
      <c r="AR455" s="120" t="str">
        <f>IFERROR(VLOOKUP(Table1[RespondentID],'All Data'!$A$3:$CW$999,99,FALSE),"unknown")</f>
        <v>Yes</v>
      </c>
    </row>
    <row r="456" spans="1:44" ht="16">
      <c r="A456" s="133">
        <v>18031752630</v>
      </c>
      <c r="B456" s="173"/>
      <c r="C456" s="174"/>
      <c r="D456" s="174"/>
      <c r="E456" s="174"/>
      <c r="F456" s="174"/>
      <c r="G456" s="174"/>
      <c r="H456" s="174"/>
      <c r="I456" s="174" t="s">
        <v>36</v>
      </c>
      <c r="J456" s="174"/>
      <c r="K456" s="174"/>
      <c r="L456" s="174"/>
      <c r="M456" s="170">
        <f t="shared" si="104"/>
        <v>1</v>
      </c>
      <c r="N456" s="170">
        <f t="shared" si="105"/>
        <v>3</v>
      </c>
      <c r="O456" s="170"/>
      <c r="P456" s="170">
        <f t="shared" si="106"/>
        <v>0</v>
      </c>
      <c r="Q456" s="170">
        <f t="shared" si="107"/>
        <v>0</v>
      </c>
      <c r="R456" s="170">
        <f t="shared" si="108"/>
        <v>0</v>
      </c>
      <c r="S456" s="170">
        <f t="shared" si="109"/>
        <v>0</v>
      </c>
      <c r="T456" s="170">
        <f t="shared" si="110"/>
        <v>0</v>
      </c>
      <c r="U456" s="170">
        <f t="shared" si="111"/>
        <v>0</v>
      </c>
      <c r="V456" s="175">
        <f t="shared" si="112"/>
        <v>0</v>
      </c>
      <c r="W456" s="170">
        <f t="shared" si="113"/>
        <v>1</v>
      </c>
      <c r="X456" s="170">
        <f t="shared" si="114"/>
        <v>0</v>
      </c>
      <c r="Y456" s="170">
        <f t="shared" si="115"/>
        <v>0</v>
      </c>
      <c r="Z456" s="170"/>
      <c r="AA456" s="170"/>
      <c r="AB456" s="170">
        <f t="shared" si="116"/>
        <v>1</v>
      </c>
      <c r="AC456" s="170">
        <f t="shared" si="117"/>
        <v>1</v>
      </c>
      <c r="AD456" s="170" t="str">
        <f t="shared" si="118"/>
        <v>Correct</v>
      </c>
      <c r="AE456" s="133"/>
      <c r="AF456" s="120" t="str">
        <f>IFERROR(VLOOKUP(Table1[RespondentID],'All Data'!$A$3:$CO$999,87,FALSE),"unknown")</f>
        <v>Man</v>
      </c>
      <c r="AG456" s="120">
        <f>IFERROR(VLOOKUP(Table1[RespondentID],'All Data'!$A$3:$CO$999,88,FALSE),"unknown")</f>
        <v>68</v>
      </c>
      <c r="AH456" s="120" t="str">
        <f>IFERROR(VLOOKUP(Table1[RespondentID],'All Data'!$A$3:$CO$999,89,FALSE),"unknown")</f>
        <v>Nassau</v>
      </c>
      <c r="AI456" s="120" t="str">
        <f>IFERROR(VLOOKUP(Table1[RespondentID],'All Data'!$A$3:$CO$999,90,FALSE),"unknown")</f>
        <v>Farmingdale, 11735</v>
      </c>
      <c r="AJ456" s="120" t="str">
        <f>IFERROR(VLOOKUP(Table1[RespondentID],'All Data'!$A$3:$CO$999,91,FALSE),"unknown")</f>
        <v>White</v>
      </c>
      <c r="AK456" s="120" t="str">
        <f>IFERROR(VLOOKUP(Table1[RespondentID],'All Data'!$A$3:$CO$999,92,FALSE),"unknown")</f>
        <v>Not Hispanic or Latino</v>
      </c>
      <c r="AL456" s="120" t="str">
        <f>IFERROR(VLOOKUP(Table1[RespondentID],'All Data'!$A$3:$CO$999,93,FALSE),"unknown")</f>
        <v>English</v>
      </c>
      <c r="AM456" s="120" t="str">
        <f>IFERROR(VLOOKUP(Table1[RespondentID],'All Data'!$A$3:$CW$999,94,FALSE),"unknown")</f>
        <v>$50,000 to $74,999</v>
      </c>
      <c r="AN456" s="120" t="str">
        <f>IFERROR(VLOOKUP(Table1[RespondentID],'All Data'!$A$3:$CW$999,95,FALSE),"unknown")</f>
        <v>Some college</v>
      </c>
      <c r="AO456" s="120" t="str">
        <f>IFERROR(VLOOKUP(Table1[RespondentID],'All Data'!$A$3:$CW$999,96,FALSE),"unknown")</f>
        <v>Retired</v>
      </c>
      <c r="AP456" s="120" t="str">
        <f>IFERROR(VLOOKUP(Table1[RespondentID],'All Data'!$A$3:$CW$999,97,FALSE),"unknown")</f>
        <v>Yes</v>
      </c>
      <c r="AQ456" s="120" t="str">
        <f>IFERROR(VLOOKUP(Table1[RespondentID],'All Data'!$A$3:$CW$999,98,FALSE),"unknown")</f>
        <v>Medicare</v>
      </c>
      <c r="AR456" s="120" t="str">
        <f>IFERROR(VLOOKUP(Table1[RespondentID],'All Data'!$A$3:$CW$999,99,FALSE),"unknown")</f>
        <v>Yes</v>
      </c>
    </row>
    <row r="457" spans="1:44" ht="16">
      <c r="A457" s="133">
        <v>18031752588</v>
      </c>
      <c r="B457" s="173" t="s">
        <v>29</v>
      </c>
      <c r="C457" s="174"/>
      <c r="D457" s="174"/>
      <c r="E457" s="174" t="s">
        <v>32</v>
      </c>
      <c r="F457" s="174" t="s">
        <v>33</v>
      </c>
      <c r="G457" s="174"/>
      <c r="H457" s="174"/>
      <c r="I457" s="174"/>
      <c r="J457" s="174"/>
      <c r="K457" s="174"/>
      <c r="L457" s="174"/>
      <c r="M457" s="170">
        <f t="shared" si="104"/>
        <v>3</v>
      </c>
      <c r="N457" s="170">
        <f t="shared" si="105"/>
        <v>1</v>
      </c>
      <c r="O457" s="170"/>
      <c r="P457" s="170">
        <f t="shared" si="106"/>
        <v>1</v>
      </c>
      <c r="Q457" s="170">
        <f t="shared" si="107"/>
        <v>0</v>
      </c>
      <c r="R457" s="170">
        <f t="shared" si="108"/>
        <v>0</v>
      </c>
      <c r="S457" s="170">
        <f t="shared" si="109"/>
        <v>1</v>
      </c>
      <c r="T457" s="170">
        <f t="shared" si="110"/>
        <v>1</v>
      </c>
      <c r="U457" s="170">
        <f t="shared" si="111"/>
        <v>0</v>
      </c>
      <c r="V457" s="175">
        <f t="shared" si="112"/>
        <v>0</v>
      </c>
      <c r="W457" s="170">
        <f t="shared" si="113"/>
        <v>0</v>
      </c>
      <c r="X457" s="170">
        <f t="shared" si="114"/>
        <v>0</v>
      </c>
      <c r="Y457" s="170">
        <f t="shared" si="115"/>
        <v>0</v>
      </c>
      <c r="Z457" s="170"/>
      <c r="AA457" s="170"/>
      <c r="AB457" s="170">
        <f t="shared" si="116"/>
        <v>3</v>
      </c>
      <c r="AC457" s="170">
        <f t="shared" si="117"/>
        <v>3</v>
      </c>
      <c r="AD457" s="170" t="str">
        <f t="shared" si="118"/>
        <v>Correct</v>
      </c>
      <c r="AE457" s="133"/>
      <c r="AF457" s="120">
        <f>IFERROR(VLOOKUP(Table1[RespondentID],'All Data'!$A$3:$CO$999,87,FALSE),"unknown")</f>
        <v>0</v>
      </c>
      <c r="AG457" s="120">
        <f>IFERROR(VLOOKUP(Table1[RespondentID],'All Data'!$A$3:$CO$999,88,FALSE),"unknown")</f>
        <v>0</v>
      </c>
      <c r="AH457" s="120">
        <f>IFERROR(VLOOKUP(Table1[RespondentID],'All Data'!$A$3:$CO$999,89,FALSE),"unknown")</f>
        <v>0</v>
      </c>
      <c r="AI457" s="120">
        <f>IFERROR(VLOOKUP(Table1[RespondentID],'All Data'!$A$3:$CO$999,90,FALSE),"unknown")</f>
        <v>0</v>
      </c>
      <c r="AJ457" s="120">
        <f>IFERROR(VLOOKUP(Table1[RespondentID],'All Data'!$A$3:$CO$999,91,FALSE),"unknown")</f>
        <v>0</v>
      </c>
      <c r="AK457" s="120">
        <f>IFERROR(VLOOKUP(Table1[RespondentID],'All Data'!$A$3:$CO$999,92,FALSE),"unknown")</f>
        <v>0</v>
      </c>
      <c r="AL457" s="120">
        <f>IFERROR(VLOOKUP(Table1[RespondentID],'All Data'!$A$3:$CO$999,93,FALSE),"unknown")</f>
        <v>0</v>
      </c>
      <c r="AM457" s="120">
        <f>IFERROR(VLOOKUP(Table1[RespondentID],'All Data'!$A$3:$CW$999,94,FALSE),"unknown")</f>
        <v>0</v>
      </c>
      <c r="AN457" s="120">
        <f>IFERROR(VLOOKUP(Table1[RespondentID],'All Data'!$A$3:$CW$999,95,FALSE),"unknown")</f>
        <v>0</v>
      </c>
      <c r="AO457" s="120">
        <f>IFERROR(VLOOKUP(Table1[RespondentID],'All Data'!$A$3:$CW$999,96,FALSE),"unknown")</f>
        <v>0</v>
      </c>
      <c r="AP457" s="120">
        <f>IFERROR(VLOOKUP(Table1[RespondentID],'All Data'!$A$3:$CW$999,97,FALSE),"unknown")</f>
        <v>0</v>
      </c>
      <c r="AQ457" s="120">
        <f>IFERROR(VLOOKUP(Table1[RespondentID],'All Data'!$A$3:$CW$999,98,FALSE),"unknown")</f>
        <v>0</v>
      </c>
      <c r="AR457" s="120">
        <f>IFERROR(VLOOKUP(Table1[RespondentID],'All Data'!$A$3:$CW$999,99,FALSE),"unknown")</f>
        <v>0</v>
      </c>
    </row>
    <row r="458" spans="1:44" ht="16">
      <c r="A458" s="133">
        <v>18031752510</v>
      </c>
      <c r="B458" s="173" t="s">
        <v>29</v>
      </c>
      <c r="C458" s="174"/>
      <c r="D458" s="174"/>
      <c r="E458" s="174"/>
      <c r="F458" s="174"/>
      <c r="G458" s="174"/>
      <c r="H458" s="174"/>
      <c r="I458" s="174"/>
      <c r="J458" s="174" t="s">
        <v>37</v>
      </c>
      <c r="K458" s="174" t="s">
        <v>375</v>
      </c>
      <c r="L458" s="174"/>
      <c r="M458" s="170">
        <f t="shared" si="104"/>
        <v>3</v>
      </c>
      <c r="N458" s="170">
        <f t="shared" si="105"/>
        <v>1</v>
      </c>
      <c r="O458" s="170"/>
      <c r="P458" s="170">
        <f t="shared" si="106"/>
        <v>1</v>
      </c>
      <c r="Q458" s="170">
        <f t="shared" si="107"/>
        <v>0</v>
      </c>
      <c r="R458" s="170">
        <f t="shared" si="108"/>
        <v>0</v>
      </c>
      <c r="S458" s="170">
        <f t="shared" si="109"/>
        <v>0</v>
      </c>
      <c r="T458" s="170">
        <f t="shared" si="110"/>
        <v>0</v>
      </c>
      <c r="U458" s="170">
        <f t="shared" si="111"/>
        <v>0</v>
      </c>
      <c r="V458" s="175">
        <f t="shared" si="112"/>
        <v>0</v>
      </c>
      <c r="W458" s="170">
        <f t="shared" si="113"/>
        <v>0</v>
      </c>
      <c r="X458" s="170">
        <f t="shared" si="114"/>
        <v>1</v>
      </c>
      <c r="Y458" s="170">
        <f t="shared" si="115"/>
        <v>1</v>
      </c>
      <c r="Z458" s="170"/>
      <c r="AA458" s="170"/>
      <c r="AB458" s="170">
        <f t="shared" si="116"/>
        <v>3</v>
      </c>
      <c r="AC458" s="170">
        <f t="shared" si="117"/>
        <v>3</v>
      </c>
      <c r="AD458" s="170" t="str">
        <f t="shared" si="118"/>
        <v>Correct</v>
      </c>
      <c r="AE458" s="133"/>
      <c r="AF458" s="120" t="str">
        <f>IFERROR(VLOOKUP(Table1[RespondentID],'All Data'!$A$3:$CO$999,87,FALSE),"unknown")</f>
        <v>Man</v>
      </c>
      <c r="AG458" s="120">
        <f>IFERROR(VLOOKUP(Table1[RespondentID],'All Data'!$A$3:$CO$999,88,FALSE),"unknown")</f>
        <v>19</v>
      </c>
      <c r="AH458" s="120" t="str">
        <f>IFERROR(VLOOKUP(Table1[RespondentID],'All Data'!$A$3:$CO$999,89,FALSE),"unknown")</f>
        <v>Nassau</v>
      </c>
      <c r="AI458" s="120" t="str">
        <f>IFERROR(VLOOKUP(Table1[RespondentID],'All Data'!$A$3:$CO$999,90,FALSE),"unknown")</f>
        <v>Uniondale, 11553</v>
      </c>
      <c r="AJ458" s="120">
        <f>IFERROR(VLOOKUP(Table1[RespondentID],'All Data'!$A$3:$CO$999,91,FALSE),"unknown")</f>
        <v>0</v>
      </c>
      <c r="AK458" s="120" t="str">
        <f>IFERROR(VLOOKUP(Table1[RespondentID],'All Data'!$A$3:$CO$999,92,FALSE),"unknown")</f>
        <v>Hispanic or Latino</v>
      </c>
      <c r="AL458" s="120" t="str">
        <f>IFERROR(VLOOKUP(Table1[RespondentID],'All Data'!$A$3:$CO$999,93,FALSE),"unknown")</f>
        <v>English,Spanish</v>
      </c>
      <c r="AM458" s="120">
        <f>IFERROR(VLOOKUP(Table1[RespondentID],'All Data'!$A$3:$CW$999,94,FALSE),"unknown")</f>
        <v>0</v>
      </c>
      <c r="AN458" s="120" t="str">
        <f>IFERROR(VLOOKUP(Table1[RespondentID],'All Data'!$A$3:$CW$999,95,FALSE),"unknown")</f>
        <v>High school graduate</v>
      </c>
      <c r="AO458" s="120" t="str">
        <f>IFERROR(VLOOKUP(Table1[RespondentID],'All Data'!$A$3:$CW$999,96,FALSE),"unknown")</f>
        <v>Employed for wages</v>
      </c>
      <c r="AP458" s="120" t="str">
        <f>IFERROR(VLOOKUP(Table1[RespondentID],'All Data'!$A$3:$CW$999,97,FALSE),"unknown")</f>
        <v>Yes</v>
      </c>
      <c r="AQ458" s="120">
        <f>IFERROR(VLOOKUP(Table1[RespondentID],'All Data'!$A$3:$CW$999,98,FALSE),"unknown")</f>
        <v>0</v>
      </c>
      <c r="AR458" s="120" t="str">
        <f>IFERROR(VLOOKUP(Table1[RespondentID],'All Data'!$A$3:$CW$999,99,FALSE),"unknown")</f>
        <v>Yes</v>
      </c>
    </row>
    <row r="459" spans="1:44" ht="16">
      <c r="A459" s="133">
        <v>18031752417</v>
      </c>
      <c r="B459" s="173"/>
      <c r="C459" s="174"/>
      <c r="D459" s="174"/>
      <c r="E459" s="174"/>
      <c r="F459" s="174"/>
      <c r="G459" s="174" t="s">
        <v>34</v>
      </c>
      <c r="H459" s="174"/>
      <c r="I459" s="174"/>
      <c r="J459" s="174"/>
      <c r="K459" s="174"/>
      <c r="L459" s="174"/>
      <c r="M459" s="170">
        <f t="shared" si="104"/>
        <v>1</v>
      </c>
      <c r="N459" s="170">
        <f t="shared" si="105"/>
        <v>3</v>
      </c>
      <c r="O459" s="170"/>
      <c r="P459" s="170">
        <f t="shared" si="106"/>
        <v>0</v>
      </c>
      <c r="Q459" s="170">
        <f t="shared" si="107"/>
        <v>0</v>
      </c>
      <c r="R459" s="170">
        <f t="shared" si="108"/>
        <v>0</v>
      </c>
      <c r="S459" s="170">
        <f t="shared" si="109"/>
        <v>0</v>
      </c>
      <c r="T459" s="170">
        <f t="shared" si="110"/>
        <v>0</v>
      </c>
      <c r="U459" s="170">
        <f t="shared" si="111"/>
        <v>1</v>
      </c>
      <c r="V459" s="175">
        <f t="shared" si="112"/>
        <v>0</v>
      </c>
      <c r="W459" s="170">
        <f t="shared" si="113"/>
        <v>0</v>
      </c>
      <c r="X459" s="170">
        <f t="shared" si="114"/>
        <v>0</v>
      </c>
      <c r="Y459" s="170">
        <f t="shared" si="115"/>
        <v>0</v>
      </c>
      <c r="Z459" s="170"/>
      <c r="AA459" s="170"/>
      <c r="AB459" s="170">
        <f t="shared" si="116"/>
        <v>1</v>
      </c>
      <c r="AC459" s="170">
        <f t="shared" si="117"/>
        <v>1</v>
      </c>
      <c r="AD459" s="170" t="str">
        <f t="shared" si="118"/>
        <v>Correct</v>
      </c>
      <c r="AE459" s="133"/>
      <c r="AF459" s="120" t="str">
        <f>IFERROR(VLOOKUP(Table1[RespondentID],'All Data'!$A$3:$CO$999,87,FALSE),"unknown")</f>
        <v>Woman</v>
      </c>
      <c r="AG459" s="120">
        <f>IFERROR(VLOOKUP(Table1[RespondentID],'All Data'!$A$3:$CO$999,88,FALSE),"unknown")</f>
        <v>0</v>
      </c>
      <c r="AH459" s="120">
        <f>IFERROR(VLOOKUP(Table1[RespondentID],'All Data'!$A$3:$CO$999,89,FALSE),"unknown")</f>
        <v>0</v>
      </c>
      <c r="AI459" s="120">
        <f>IFERROR(VLOOKUP(Table1[RespondentID],'All Data'!$A$3:$CO$999,90,FALSE),"unknown")</f>
        <v>0</v>
      </c>
      <c r="AJ459" s="120">
        <f>IFERROR(VLOOKUP(Table1[RespondentID],'All Data'!$A$3:$CO$999,91,FALSE),"unknown")</f>
        <v>0</v>
      </c>
      <c r="AK459" s="120">
        <f>IFERROR(VLOOKUP(Table1[RespondentID],'All Data'!$A$3:$CO$999,92,FALSE),"unknown")</f>
        <v>0</v>
      </c>
      <c r="AL459" s="120" t="str">
        <f>IFERROR(VLOOKUP(Table1[RespondentID],'All Data'!$A$3:$CO$999,93,FALSE),"unknown")</f>
        <v>Chinese</v>
      </c>
      <c r="AM459" s="120" t="str">
        <f>IFERROR(VLOOKUP(Table1[RespondentID],'All Data'!$A$3:$CW$999,94,FALSE),"unknown")</f>
        <v>$75,000 to $125,000</v>
      </c>
      <c r="AN459" s="120" t="str">
        <f>IFERROR(VLOOKUP(Table1[RespondentID],'All Data'!$A$3:$CW$999,95,FALSE),"unknown")</f>
        <v>College graduate</v>
      </c>
      <c r="AO459" s="120" t="str">
        <f>IFERROR(VLOOKUP(Table1[RespondentID],'All Data'!$A$3:$CW$999,96,FALSE),"unknown")</f>
        <v>Retired</v>
      </c>
      <c r="AP459" s="120" t="str">
        <f>IFERROR(VLOOKUP(Table1[RespondentID],'All Data'!$A$3:$CW$999,97,FALSE),"unknown")</f>
        <v>Yes</v>
      </c>
      <c r="AQ459" s="120" t="str">
        <f>IFERROR(VLOOKUP(Table1[RespondentID],'All Data'!$A$3:$CW$999,98,FALSE),"unknown")</f>
        <v>Medicaid</v>
      </c>
      <c r="AR459" s="120" t="str">
        <f>IFERROR(VLOOKUP(Table1[RespondentID],'All Data'!$A$3:$CW$999,99,FALSE),"unknown")</f>
        <v>Yes</v>
      </c>
    </row>
    <row r="460" spans="1:44" ht="16">
      <c r="A460" s="133">
        <v>18031752360</v>
      </c>
      <c r="B460" s="173"/>
      <c r="C460" s="174"/>
      <c r="D460" s="174"/>
      <c r="E460" s="174"/>
      <c r="F460" s="174"/>
      <c r="G460" s="174"/>
      <c r="H460" s="174"/>
      <c r="I460" s="174"/>
      <c r="J460" s="174"/>
      <c r="K460" s="174"/>
      <c r="L460" s="174"/>
      <c r="M460" s="170">
        <f t="shared" si="104"/>
        <v>0</v>
      </c>
      <c r="N460" s="170" t="e">
        <f t="shared" si="105"/>
        <v>#DIV/0!</v>
      </c>
      <c r="O460" s="170"/>
      <c r="P460" s="170">
        <f t="shared" si="106"/>
        <v>0</v>
      </c>
      <c r="Q460" s="170">
        <f t="shared" si="107"/>
        <v>0</v>
      </c>
      <c r="R460" s="170">
        <f t="shared" si="108"/>
        <v>0</v>
      </c>
      <c r="S460" s="170">
        <f t="shared" si="109"/>
        <v>0</v>
      </c>
      <c r="T460" s="170">
        <f t="shared" si="110"/>
        <v>0</v>
      </c>
      <c r="U460" s="170">
        <f t="shared" si="111"/>
        <v>0</v>
      </c>
      <c r="V460" s="175">
        <f t="shared" si="112"/>
        <v>0</v>
      </c>
      <c r="W460" s="170">
        <f t="shared" si="113"/>
        <v>0</v>
      </c>
      <c r="X460" s="170">
        <f t="shared" si="114"/>
        <v>0</v>
      </c>
      <c r="Y460" s="170">
        <f t="shared" si="115"/>
        <v>0</v>
      </c>
      <c r="Z460" s="170"/>
      <c r="AA460" s="170"/>
      <c r="AB460" s="170">
        <f t="shared" si="116"/>
        <v>0</v>
      </c>
      <c r="AC460" s="170">
        <f t="shared" si="117"/>
        <v>0</v>
      </c>
      <c r="AD460" s="170" t="str">
        <f t="shared" si="118"/>
        <v>Correct</v>
      </c>
      <c r="AE460" s="133"/>
      <c r="AF460" s="120" t="str">
        <f>IFERROR(VLOOKUP(Table1[RespondentID],'All Data'!$A$3:$CO$999,87,FALSE),"unknown")</f>
        <v>Man</v>
      </c>
      <c r="AG460" s="120">
        <f>IFERROR(VLOOKUP(Table1[RespondentID],'All Data'!$A$3:$CO$999,88,FALSE),"unknown")</f>
        <v>89</v>
      </c>
      <c r="AH460" s="120" t="str">
        <f>IFERROR(VLOOKUP(Table1[RespondentID],'All Data'!$A$3:$CO$999,89,FALSE),"unknown")</f>
        <v>Nassau</v>
      </c>
      <c r="AI460" s="120" t="str">
        <f>IFERROR(VLOOKUP(Table1[RespondentID],'All Data'!$A$3:$CO$999,90,FALSE),"unknown")</f>
        <v>New Hyde Park, 11040</v>
      </c>
      <c r="AJ460" s="120" t="str">
        <f>IFERROR(VLOOKUP(Table1[RespondentID],'All Data'!$A$3:$CO$999,91,FALSE),"unknown")</f>
        <v>White</v>
      </c>
      <c r="AK460" s="120">
        <f>IFERROR(VLOOKUP(Table1[RespondentID],'All Data'!$A$3:$CO$999,92,FALSE),"unknown")</f>
        <v>0</v>
      </c>
      <c r="AL460" s="120" t="str">
        <f>IFERROR(VLOOKUP(Table1[RespondentID],'All Data'!$A$3:$CO$999,93,FALSE),"unknown")</f>
        <v>English</v>
      </c>
      <c r="AM460" s="120">
        <f>IFERROR(VLOOKUP(Table1[RespondentID],'All Data'!$A$3:$CW$999,94,FALSE),"unknown")</f>
        <v>0</v>
      </c>
      <c r="AN460" s="120" t="str">
        <f>IFERROR(VLOOKUP(Table1[RespondentID],'All Data'!$A$3:$CW$999,95,FALSE),"unknown")</f>
        <v>Some high school</v>
      </c>
      <c r="AO460" s="120" t="str">
        <f>IFERROR(VLOOKUP(Table1[RespondentID],'All Data'!$A$3:$CW$999,96,FALSE),"unknown")</f>
        <v>Retired</v>
      </c>
      <c r="AP460" s="120" t="str">
        <f>IFERROR(VLOOKUP(Table1[RespondentID],'All Data'!$A$3:$CW$999,97,FALSE),"unknown")</f>
        <v>Yes</v>
      </c>
      <c r="AQ460" s="120" t="str">
        <f>IFERROR(VLOOKUP(Table1[RespondentID],'All Data'!$A$3:$CW$999,98,FALSE),"unknown")</f>
        <v>Medicare</v>
      </c>
      <c r="AR460" s="120" t="str">
        <f>IFERROR(VLOOKUP(Table1[RespondentID],'All Data'!$A$3:$CW$999,99,FALSE),"unknown")</f>
        <v>No</v>
      </c>
    </row>
    <row r="461" spans="1:44" ht="16">
      <c r="A461" s="133">
        <v>18031752309</v>
      </c>
      <c r="B461" s="173"/>
      <c r="C461" s="174"/>
      <c r="D461" s="174"/>
      <c r="E461" s="174"/>
      <c r="F461" s="174"/>
      <c r="G461" s="174"/>
      <c r="H461" s="174"/>
      <c r="I461" s="174"/>
      <c r="J461" s="174"/>
      <c r="K461" s="174"/>
      <c r="L461" s="174"/>
      <c r="M461" s="170">
        <f t="shared" si="104"/>
        <v>0</v>
      </c>
      <c r="N461" s="170" t="e">
        <f t="shared" si="105"/>
        <v>#DIV/0!</v>
      </c>
      <c r="O461" s="170"/>
      <c r="P461" s="170">
        <f t="shared" si="106"/>
        <v>0</v>
      </c>
      <c r="Q461" s="170">
        <f t="shared" si="107"/>
        <v>0</v>
      </c>
      <c r="R461" s="170">
        <f t="shared" si="108"/>
        <v>0</v>
      </c>
      <c r="S461" s="170">
        <f t="shared" si="109"/>
        <v>0</v>
      </c>
      <c r="T461" s="170">
        <f t="shared" si="110"/>
        <v>0</v>
      </c>
      <c r="U461" s="170">
        <f t="shared" si="111"/>
        <v>0</v>
      </c>
      <c r="V461" s="175">
        <f t="shared" si="112"/>
        <v>0</v>
      </c>
      <c r="W461" s="170">
        <f t="shared" si="113"/>
        <v>0</v>
      </c>
      <c r="X461" s="170">
        <f t="shared" si="114"/>
        <v>0</v>
      </c>
      <c r="Y461" s="170">
        <f t="shared" si="115"/>
        <v>0</v>
      </c>
      <c r="Z461" s="170"/>
      <c r="AA461" s="170"/>
      <c r="AB461" s="170">
        <f t="shared" si="116"/>
        <v>0</v>
      </c>
      <c r="AC461" s="170">
        <f t="shared" si="117"/>
        <v>0</v>
      </c>
      <c r="AD461" s="170" t="str">
        <f t="shared" si="118"/>
        <v>Correct</v>
      </c>
      <c r="AE461" s="133"/>
      <c r="AF461" s="120" t="str">
        <f>IFERROR(VLOOKUP(Table1[RespondentID],'All Data'!$A$3:$CO$999,87,FALSE),"unknown")</f>
        <v>Woman</v>
      </c>
      <c r="AG461" s="120">
        <f>IFERROR(VLOOKUP(Table1[RespondentID],'All Data'!$A$3:$CO$999,88,FALSE),"unknown")</f>
        <v>0</v>
      </c>
      <c r="AH461" s="120">
        <f>IFERROR(VLOOKUP(Table1[RespondentID],'All Data'!$A$3:$CO$999,89,FALSE),"unknown")</f>
        <v>0</v>
      </c>
      <c r="AI461" s="120">
        <f>IFERROR(VLOOKUP(Table1[RespondentID],'All Data'!$A$3:$CO$999,90,FALSE),"unknown")</f>
        <v>0</v>
      </c>
      <c r="AJ461" s="120" t="str">
        <f>IFERROR(VLOOKUP(Table1[RespondentID],'All Data'!$A$3:$CO$999,91,FALSE),"unknown")</f>
        <v>White</v>
      </c>
      <c r="AK461" s="120" t="str">
        <f>IFERROR(VLOOKUP(Table1[RespondentID],'All Data'!$A$3:$CO$999,92,FALSE),"unknown")</f>
        <v>Not Hispanic or Latino</v>
      </c>
      <c r="AL461" s="120" t="str">
        <f>IFERROR(VLOOKUP(Table1[RespondentID],'All Data'!$A$3:$CO$999,93,FALSE),"unknown")</f>
        <v>English</v>
      </c>
      <c r="AM461" s="120">
        <f>IFERROR(VLOOKUP(Table1[RespondentID],'All Data'!$A$3:$CW$999,94,FALSE),"unknown")</f>
        <v>0</v>
      </c>
      <c r="AN461" s="120" t="str">
        <f>IFERROR(VLOOKUP(Table1[RespondentID],'All Data'!$A$3:$CW$999,95,FALSE),"unknown")</f>
        <v>High school graduate</v>
      </c>
      <c r="AO461" s="120" t="str">
        <f>IFERROR(VLOOKUP(Table1[RespondentID],'All Data'!$A$3:$CW$999,96,FALSE),"unknown")</f>
        <v>Retired</v>
      </c>
      <c r="AP461" s="120" t="str">
        <f>IFERROR(VLOOKUP(Table1[RespondentID],'All Data'!$A$3:$CW$999,97,FALSE),"unknown")</f>
        <v>Yes</v>
      </c>
      <c r="AQ461" s="120" t="str">
        <f>IFERROR(VLOOKUP(Table1[RespondentID],'All Data'!$A$3:$CW$999,98,FALSE),"unknown")</f>
        <v>Medicare</v>
      </c>
      <c r="AR461" s="120">
        <f>IFERROR(VLOOKUP(Table1[RespondentID],'All Data'!$A$3:$CW$999,99,FALSE),"unknown")</f>
        <v>0</v>
      </c>
    </row>
    <row r="462" spans="1:44" ht="16">
      <c r="A462" s="133">
        <v>18031752239</v>
      </c>
      <c r="B462" s="173"/>
      <c r="C462" s="174"/>
      <c r="D462" s="174"/>
      <c r="E462" s="174"/>
      <c r="F462" s="174"/>
      <c r="G462" s="174" t="s">
        <v>34</v>
      </c>
      <c r="H462" s="174"/>
      <c r="I462" s="174"/>
      <c r="J462" s="174"/>
      <c r="K462" s="174"/>
      <c r="L462" s="174"/>
      <c r="M462" s="170">
        <f t="shared" ref="M462:M493" si="119">COUNTA(B462:L462)</f>
        <v>1</v>
      </c>
      <c r="N462" s="170">
        <f t="shared" ref="N462:N493" si="120">3/M462</f>
        <v>3</v>
      </c>
      <c r="O462" s="170"/>
      <c r="P462" s="170">
        <f t="shared" ref="P462:P493" si="121">IF($M462&lt;3,IF($B462=$B$1,1,0),IF($B462=$B$1,$N462,0))</f>
        <v>0</v>
      </c>
      <c r="Q462" s="170">
        <f t="shared" ref="Q462:Q493" si="122">IF($M462&lt;3,IF($C462=$C$1,1,0),IF($C462=$C$1,$N462,0))</f>
        <v>0</v>
      </c>
      <c r="R462" s="170">
        <f t="shared" ref="R462:R493" si="123">IF($M462&lt;3,IF($D462=$D$1,1,0),IF($D462=$D$1,$N462,0))</f>
        <v>0</v>
      </c>
      <c r="S462" s="170">
        <f t="shared" ref="S462:S493" si="124">IF($M462&lt;3,IF($E462=$E$1,1,0),IF($E462=$E$1,$N462,0))</f>
        <v>0</v>
      </c>
      <c r="T462" s="170">
        <f t="shared" ref="T462:T493" si="125">IF($M462&lt;3,IF($F462=$F$1,1,0),IF($F462=$F$1,$N462,0))</f>
        <v>0</v>
      </c>
      <c r="U462" s="170">
        <f t="shared" ref="U462:U493" si="126">IF($M462&lt;3,IF($G462=$G$1,1,0),IF($G462=$G$1,$N462,0))</f>
        <v>1</v>
      </c>
      <c r="V462" s="175">
        <f t="shared" ref="V462:V493" si="127">IF($M462&lt;3,IF($H462=$H$1,1,0),IF($H462=$H$1,$N462,0))</f>
        <v>0</v>
      </c>
      <c r="W462" s="170">
        <f t="shared" ref="W462:W493" si="128">IF($M462&lt;3,IF($I462=$I$1,1,0),IF($I462=$I$1,$N462,0))</f>
        <v>0</v>
      </c>
      <c r="X462" s="170">
        <f t="shared" ref="X462:X493" si="129">IF($M462&lt;3,IF($J462=$J$1,1,0),IF($J462=$J$1,$N462,0))</f>
        <v>0</v>
      </c>
      <c r="Y462" s="170">
        <f t="shared" ref="Y462:Y493" si="130">IF($M462&lt;3,IF($K462=$K$1,1,0),IF($K462=$K$1,$N462,0))</f>
        <v>0</v>
      </c>
      <c r="Z462" s="170"/>
      <c r="AA462" s="170"/>
      <c r="AB462" s="170">
        <f t="shared" ref="AB462:AB493" si="131">SUM(P462:Z462)</f>
        <v>1</v>
      </c>
      <c r="AC462" s="170">
        <f t="shared" ref="AC462:AC493" si="132">M462</f>
        <v>1</v>
      </c>
      <c r="AD462" s="170" t="str">
        <f t="shared" ref="AD462:AD493" si="133">IF(AB462=AC462,"Correct",IF(AB462=3,"Correct","Wrong"))</f>
        <v>Correct</v>
      </c>
      <c r="AE462" s="133"/>
      <c r="AF462" s="120" t="str">
        <f>IFERROR(VLOOKUP(Table1[RespondentID],'All Data'!$A$3:$CO$999,87,FALSE),"unknown")</f>
        <v>Woman</v>
      </c>
      <c r="AG462" s="120">
        <f>IFERROR(VLOOKUP(Table1[RespondentID],'All Data'!$A$3:$CO$999,88,FALSE),"unknown")</f>
        <v>77</v>
      </c>
      <c r="AH462" s="120" t="str">
        <f>IFERROR(VLOOKUP(Table1[RespondentID],'All Data'!$A$3:$CO$999,89,FALSE),"unknown")</f>
        <v>Nassau</v>
      </c>
      <c r="AI462" s="120" t="str">
        <f>IFERROR(VLOOKUP(Table1[RespondentID],'All Data'!$A$3:$CO$999,90,FALSE),"unknown")</f>
        <v>Carle Place, 11514</v>
      </c>
      <c r="AJ462" s="120" t="str">
        <f>IFERROR(VLOOKUP(Table1[RespondentID],'All Data'!$A$3:$CO$999,91,FALSE),"unknown")</f>
        <v>White</v>
      </c>
      <c r="AK462" s="120" t="str">
        <f>IFERROR(VLOOKUP(Table1[RespondentID],'All Data'!$A$3:$CO$999,92,FALSE),"unknown")</f>
        <v>Not Hispanic or Latino</v>
      </c>
      <c r="AL462" s="120" t="str">
        <f>IFERROR(VLOOKUP(Table1[RespondentID],'All Data'!$A$3:$CO$999,93,FALSE),"unknown")</f>
        <v>English</v>
      </c>
      <c r="AM462" s="120">
        <f>IFERROR(VLOOKUP(Table1[RespondentID],'All Data'!$A$3:$CW$999,94,FALSE),"unknown")</f>
        <v>0</v>
      </c>
      <c r="AN462" s="120">
        <f>IFERROR(VLOOKUP(Table1[RespondentID],'All Data'!$A$3:$CW$999,95,FALSE),"unknown")</f>
        <v>0</v>
      </c>
      <c r="AO462" s="120" t="str">
        <f>IFERROR(VLOOKUP(Table1[RespondentID],'All Data'!$A$3:$CW$999,96,FALSE),"unknown")</f>
        <v>Retired</v>
      </c>
      <c r="AP462" s="120" t="str">
        <f>IFERROR(VLOOKUP(Table1[RespondentID],'All Data'!$A$3:$CW$999,97,FALSE),"unknown")</f>
        <v>Yes</v>
      </c>
      <c r="AQ462" s="120" t="str">
        <f>IFERROR(VLOOKUP(Table1[RespondentID],'All Data'!$A$3:$CW$999,98,FALSE),"unknown")</f>
        <v>Medicare,Private/Commercial</v>
      </c>
      <c r="AR462" s="120" t="str">
        <f>IFERROR(VLOOKUP(Table1[RespondentID],'All Data'!$A$3:$CW$999,99,FALSE),"unknown")</f>
        <v>Yes</v>
      </c>
    </row>
    <row r="463" spans="1:44" ht="16">
      <c r="A463" s="133">
        <v>18031752178</v>
      </c>
      <c r="B463" s="173"/>
      <c r="C463" s="174"/>
      <c r="D463" s="174" t="s">
        <v>31</v>
      </c>
      <c r="E463" s="174"/>
      <c r="F463" s="174"/>
      <c r="G463" s="174"/>
      <c r="H463" s="174"/>
      <c r="I463" s="174" t="s">
        <v>36</v>
      </c>
      <c r="J463" s="174"/>
      <c r="K463" s="174" t="s">
        <v>375</v>
      </c>
      <c r="L463" s="174"/>
      <c r="M463" s="170">
        <f t="shared" si="119"/>
        <v>3</v>
      </c>
      <c r="N463" s="170">
        <f t="shared" si="120"/>
        <v>1</v>
      </c>
      <c r="O463" s="170"/>
      <c r="P463" s="170">
        <f t="shared" si="121"/>
        <v>0</v>
      </c>
      <c r="Q463" s="170">
        <f t="shared" si="122"/>
        <v>0</v>
      </c>
      <c r="R463" s="170">
        <f t="shared" si="123"/>
        <v>1</v>
      </c>
      <c r="S463" s="170">
        <f t="shared" si="124"/>
        <v>0</v>
      </c>
      <c r="T463" s="170">
        <f t="shared" si="125"/>
        <v>0</v>
      </c>
      <c r="U463" s="170">
        <f t="shared" si="126"/>
        <v>0</v>
      </c>
      <c r="V463" s="175">
        <f t="shared" si="127"/>
        <v>0</v>
      </c>
      <c r="W463" s="170">
        <f t="shared" si="128"/>
        <v>1</v>
      </c>
      <c r="X463" s="170">
        <f t="shared" si="129"/>
        <v>0</v>
      </c>
      <c r="Y463" s="170">
        <f t="shared" si="130"/>
        <v>1</v>
      </c>
      <c r="Z463" s="170"/>
      <c r="AA463" s="170"/>
      <c r="AB463" s="170">
        <f t="shared" si="131"/>
        <v>3</v>
      </c>
      <c r="AC463" s="170">
        <f t="shared" si="132"/>
        <v>3</v>
      </c>
      <c r="AD463" s="170" t="str">
        <f t="shared" si="133"/>
        <v>Correct</v>
      </c>
      <c r="AE463" s="133"/>
      <c r="AF463" s="120" t="str">
        <f>IFERROR(VLOOKUP(Table1[RespondentID],'All Data'!$A$3:$CO$999,87,FALSE),"unknown")</f>
        <v>Woman</v>
      </c>
      <c r="AG463" s="120">
        <f>IFERROR(VLOOKUP(Table1[RespondentID],'All Data'!$A$3:$CO$999,88,FALSE),"unknown")</f>
        <v>73</v>
      </c>
      <c r="AH463" s="120" t="str">
        <f>IFERROR(VLOOKUP(Table1[RespondentID],'All Data'!$A$3:$CO$999,89,FALSE),"unknown")</f>
        <v>Nassau</v>
      </c>
      <c r="AI463" s="120" t="str">
        <f>IFERROR(VLOOKUP(Table1[RespondentID],'All Data'!$A$3:$CO$999,90,FALSE),"unknown")</f>
        <v>New Cassel, 11590</v>
      </c>
      <c r="AJ463" s="120" t="str">
        <f>IFERROR(VLOOKUP(Table1[RespondentID],'All Data'!$A$3:$CO$999,91,FALSE),"unknown")</f>
        <v>White</v>
      </c>
      <c r="AK463" s="120" t="str">
        <f>IFERROR(VLOOKUP(Table1[RespondentID],'All Data'!$A$3:$CO$999,92,FALSE),"unknown")</f>
        <v>Not Hispanic or Latino</v>
      </c>
      <c r="AL463" s="120" t="str">
        <f>IFERROR(VLOOKUP(Table1[RespondentID],'All Data'!$A$3:$CO$999,93,FALSE),"unknown")</f>
        <v>English</v>
      </c>
      <c r="AM463" s="120" t="str">
        <f>IFERROR(VLOOKUP(Table1[RespondentID],'All Data'!$A$3:$CW$999,94,FALSE),"unknown")</f>
        <v>$75,000 to $125,000</v>
      </c>
      <c r="AN463" s="120" t="str">
        <f>IFERROR(VLOOKUP(Table1[RespondentID],'All Data'!$A$3:$CW$999,95,FALSE),"unknown")</f>
        <v>College graduate</v>
      </c>
      <c r="AO463" s="120" t="str">
        <f>IFERROR(VLOOKUP(Table1[RespondentID],'All Data'!$A$3:$CW$999,96,FALSE),"unknown")</f>
        <v>Retired</v>
      </c>
      <c r="AP463" s="120" t="str">
        <f>IFERROR(VLOOKUP(Table1[RespondentID],'All Data'!$A$3:$CW$999,97,FALSE),"unknown")</f>
        <v>Yes</v>
      </c>
      <c r="AQ463" s="120" t="str">
        <f>IFERROR(VLOOKUP(Table1[RespondentID],'All Data'!$A$3:$CW$999,98,FALSE),"unknown")</f>
        <v>Medicare</v>
      </c>
      <c r="AR463" s="120" t="str">
        <f>IFERROR(VLOOKUP(Table1[RespondentID],'All Data'!$A$3:$CW$999,99,FALSE),"unknown")</f>
        <v>Yes</v>
      </c>
    </row>
    <row r="464" spans="1:44" ht="16">
      <c r="A464" s="133">
        <v>18031752106</v>
      </c>
      <c r="B464" s="173" t="s">
        <v>29</v>
      </c>
      <c r="C464" s="174"/>
      <c r="D464" s="174"/>
      <c r="E464" s="174"/>
      <c r="F464" s="174"/>
      <c r="G464" s="174"/>
      <c r="H464" s="174"/>
      <c r="I464" s="174" t="s">
        <v>36</v>
      </c>
      <c r="J464" s="174"/>
      <c r="K464" s="174"/>
      <c r="L464" s="174"/>
      <c r="M464" s="170">
        <f t="shared" si="119"/>
        <v>2</v>
      </c>
      <c r="N464" s="170">
        <f t="shared" si="120"/>
        <v>1.5</v>
      </c>
      <c r="O464" s="170"/>
      <c r="P464" s="170">
        <f t="shared" si="121"/>
        <v>1</v>
      </c>
      <c r="Q464" s="170">
        <f t="shared" si="122"/>
        <v>0</v>
      </c>
      <c r="R464" s="170">
        <f t="shared" si="123"/>
        <v>0</v>
      </c>
      <c r="S464" s="170">
        <f t="shared" si="124"/>
        <v>0</v>
      </c>
      <c r="T464" s="170">
        <f t="shared" si="125"/>
        <v>0</v>
      </c>
      <c r="U464" s="170">
        <f t="shared" si="126"/>
        <v>0</v>
      </c>
      <c r="V464" s="175">
        <f t="shared" si="127"/>
        <v>0</v>
      </c>
      <c r="W464" s="170">
        <f t="shared" si="128"/>
        <v>1</v>
      </c>
      <c r="X464" s="170">
        <f t="shared" si="129"/>
        <v>0</v>
      </c>
      <c r="Y464" s="170">
        <f t="shared" si="130"/>
        <v>0</v>
      </c>
      <c r="Z464" s="170"/>
      <c r="AA464" s="170"/>
      <c r="AB464" s="170">
        <f t="shared" si="131"/>
        <v>2</v>
      </c>
      <c r="AC464" s="170">
        <f t="shared" si="132"/>
        <v>2</v>
      </c>
      <c r="AD464" s="170" t="str">
        <f t="shared" si="133"/>
        <v>Correct</v>
      </c>
      <c r="AE464" s="133"/>
      <c r="AF464" s="120" t="str">
        <f>IFERROR(VLOOKUP(Table1[RespondentID],'All Data'!$A$3:$CO$999,87,FALSE),"unknown")</f>
        <v>Man</v>
      </c>
      <c r="AG464" s="120">
        <f>IFERROR(VLOOKUP(Table1[RespondentID],'All Data'!$A$3:$CO$999,88,FALSE),"unknown")</f>
        <v>74</v>
      </c>
      <c r="AH464" s="120" t="str">
        <f>IFERROR(VLOOKUP(Table1[RespondentID],'All Data'!$A$3:$CO$999,89,FALSE),"unknown")</f>
        <v>Nassau</v>
      </c>
      <c r="AI464" s="120" t="str">
        <f>IFERROR(VLOOKUP(Table1[RespondentID],'All Data'!$A$3:$CO$999,90,FALSE),"unknown")</f>
        <v>Westbury, 11590</v>
      </c>
      <c r="AJ464" s="120" t="str">
        <f>IFERROR(VLOOKUP(Table1[RespondentID],'All Data'!$A$3:$CO$999,91,FALSE),"unknown")</f>
        <v>White</v>
      </c>
      <c r="AK464" s="120">
        <f>IFERROR(VLOOKUP(Table1[RespondentID],'All Data'!$A$3:$CO$999,92,FALSE),"unknown")</f>
        <v>0</v>
      </c>
      <c r="AL464" s="120" t="str">
        <f>IFERROR(VLOOKUP(Table1[RespondentID],'All Data'!$A$3:$CO$999,93,FALSE),"unknown")</f>
        <v>English</v>
      </c>
      <c r="AM464" s="120" t="str">
        <f>IFERROR(VLOOKUP(Table1[RespondentID],'All Data'!$A$3:$CW$999,94,FALSE),"unknown")</f>
        <v>Over $125,000</v>
      </c>
      <c r="AN464" s="120" t="str">
        <f>IFERROR(VLOOKUP(Table1[RespondentID],'All Data'!$A$3:$CW$999,95,FALSE),"unknown")</f>
        <v>Graduate school</v>
      </c>
      <c r="AO464" s="120" t="str">
        <f>IFERROR(VLOOKUP(Table1[RespondentID],'All Data'!$A$3:$CW$999,96,FALSE),"unknown")</f>
        <v>Retired</v>
      </c>
      <c r="AP464" s="120" t="str">
        <f>IFERROR(VLOOKUP(Table1[RespondentID],'All Data'!$A$3:$CW$999,97,FALSE),"unknown")</f>
        <v>Yes</v>
      </c>
      <c r="AQ464" s="120" t="str">
        <f>IFERROR(VLOOKUP(Table1[RespondentID],'All Data'!$A$3:$CW$999,98,FALSE),"unknown")</f>
        <v>Medicare,Private/Commercial</v>
      </c>
      <c r="AR464" s="120" t="str">
        <f>IFERROR(VLOOKUP(Table1[RespondentID],'All Data'!$A$3:$CW$999,99,FALSE),"unknown")</f>
        <v>Yes</v>
      </c>
    </row>
    <row r="465" spans="1:44" ht="16">
      <c r="A465" s="133">
        <v>18031752041</v>
      </c>
      <c r="B465" s="173"/>
      <c r="C465" s="174"/>
      <c r="D465" s="174"/>
      <c r="E465" s="174"/>
      <c r="F465" s="174"/>
      <c r="G465" s="174" t="s">
        <v>34</v>
      </c>
      <c r="H465" s="174"/>
      <c r="I465" s="174"/>
      <c r="J465" s="174"/>
      <c r="K465" s="174"/>
      <c r="L465" s="174"/>
      <c r="M465" s="170">
        <f t="shared" si="119"/>
        <v>1</v>
      </c>
      <c r="N465" s="170">
        <f t="shared" si="120"/>
        <v>3</v>
      </c>
      <c r="O465" s="170"/>
      <c r="P465" s="170">
        <f t="shared" si="121"/>
        <v>0</v>
      </c>
      <c r="Q465" s="170">
        <f t="shared" si="122"/>
        <v>0</v>
      </c>
      <c r="R465" s="170">
        <f t="shared" si="123"/>
        <v>0</v>
      </c>
      <c r="S465" s="170">
        <f t="shared" si="124"/>
        <v>0</v>
      </c>
      <c r="T465" s="170">
        <f t="shared" si="125"/>
        <v>0</v>
      </c>
      <c r="U465" s="170">
        <f t="shared" si="126"/>
        <v>1</v>
      </c>
      <c r="V465" s="175">
        <f t="shared" si="127"/>
        <v>0</v>
      </c>
      <c r="W465" s="170">
        <f t="shared" si="128"/>
        <v>0</v>
      </c>
      <c r="X465" s="170">
        <f t="shared" si="129"/>
        <v>0</v>
      </c>
      <c r="Y465" s="170">
        <f t="shared" si="130"/>
        <v>0</v>
      </c>
      <c r="Z465" s="170"/>
      <c r="AA465" s="170"/>
      <c r="AB465" s="170">
        <f t="shared" si="131"/>
        <v>1</v>
      </c>
      <c r="AC465" s="170">
        <f t="shared" si="132"/>
        <v>1</v>
      </c>
      <c r="AD465" s="170" t="str">
        <f t="shared" si="133"/>
        <v>Correct</v>
      </c>
      <c r="AE465" s="133"/>
      <c r="AF465" s="120" t="str">
        <f>IFERROR(VLOOKUP(Table1[RespondentID],'All Data'!$A$3:$CO$999,87,FALSE),"unknown")</f>
        <v>Woman</v>
      </c>
      <c r="AG465" s="120">
        <f>IFERROR(VLOOKUP(Table1[RespondentID],'All Data'!$A$3:$CO$999,88,FALSE),"unknown")</f>
        <v>63</v>
      </c>
      <c r="AH465" s="120" t="str">
        <f>IFERROR(VLOOKUP(Table1[RespondentID],'All Data'!$A$3:$CO$999,89,FALSE),"unknown")</f>
        <v>Nassau</v>
      </c>
      <c r="AI465" s="120" t="str">
        <f>IFERROR(VLOOKUP(Table1[RespondentID],'All Data'!$A$3:$CO$999,90,FALSE),"unknown")</f>
        <v>North Massapequa, 11758</v>
      </c>
      <c r="AJ465" s="120" t="str">
        <f>IFERROR(VLOOKUP(Table1[RespondentID],'All Data'!$A$3:$CO$999,91,FALSE),"unknown")</f>
        <v>White</v>
      </c>
      <c r="AK465" s="120" t="str">
        <f>IFERROR(VLOOKUP(Table1[RespondentID],'All Data'!$A$3:$CO$999,92,FALSE),"unknown")</f>
        <v>Not Hispanic or Latino</v>
      </c>
      <c r="AL465" s="120" t="str">
        <f>IFERROR(VLOOKUP(Table1[RespondentID],'All Data'!$A$3:$CO$999,93,FALSE),"unknown")</f>
        <v>English</v>
      </c>
      <c r="AM465" s="120">
        <f>IFERROR(VLOOKUP(Table1[RespondentID],'All Data'!$A$3:$CW$999,94,FALSE),"unknown")</f>
        <v>0</v>
      </c>
      <c r="AN465" s="120" t="str">
        <f>IFERROR(VLOOKUP(Table1[RespondentID],'All Data'!$A$3:$CW$999,95,FALSE),"unknown")</f>
        <v>College graduate</v>
      </c>
      <c r="AO465" s="120" t="str">
        <f>IFERROR(VLOOKUP(Table1[RespondentID],'All Data'!$A$3:$CW$999,96,FALSE),"unknown")</f>
        <v>Retired</v>
      </c>
      <c r="AP465" s="120" t="str">
        <f>IFERROR(VLOOKUP(Table1[RespondentID],'All Data'!$A$3:$CW$999,97,FALSE),"unknown")</f>
        <v>Yes</v>
      </c>
      <c r="AQ465" s="120" t="str">
        <f>IFERROR(VLOOKUP(Table1[RespondentID],'All Data'!$A$3:$CW$999,98,FALSE),"unknown")</f>
        <v>Private/Commercial</v>
      </c>
      <c r="AR465" s="120" t="str">
        <f>IFERROR(VLOOKUP(Table1[RespondentID],'All Data'!$A$3:$CW$999,99,FALSE),"unknown")</f>
        <v>Yes</v>
      </c>
    </row>
    <row r="466" spans="1:44" ht="16">
      <c r="A466" s="133">
        <v>18031751982</v>
      </c>
      <c r="B466" s="173"/>
      <c r="C466" s="174"/>
      <c r="D466" s="174" t="s">
        <v>31</v>
      </c>
      <c r="E466" s="174"/>
      <c r="F466" s="174"/>
      <c r="G466" s="174"/>
      <c r="H466" s="174"/>
      <c r="I466" s="174" t="s">
        <v>36</v>
      </c>
      <c r="J466" s="174"/>
      <c r="K466" s="174" t="s">
        <v>375</v>
      </c>
      <c r="L466" s="174"/>
      <c r="M466" s="170">
        <f t="shared" si="119"/>
        <v>3</v>
      </c>
      <c r="N466" s="170">
        <f t="shared" si="120"/>
        <v>1</v>
      </c>
      <c r="O466" s="170"/>
      <c r="P466" s="170">
        <f t="shared" si="121"/>
        <v>0</v>
      </c>
      <c r="Q466" s="170">
        <f t="shared" si="122"/>
        <v>0</v>
      </c>
      <c r="R466" s="170">
        <f t="shared" si="123"/>
        <v>1</v>
      </c>
      <c r="S466" s="170">
        <f t="shared" si="124"/>
        <v>0</v>
      </c>
      <c r="T466" s="170">
        <f t="shared" si="125"/>
        <v>0</v>
      </c>
      <c r="U466" s="170">
        <f t="shared" si="126"/>
        <v>0</v>
      </c>
      <c r="V466" s="175">
        <f t="shared" si="127"/>
        <v>0</v>
      </c>
      <c r="W466" s="170">
        <f t="shared" si="128"/>
        <v>1</v>
      </c>
      <c r="X466" s="170">
        <f t="shared" si="129"/>
        <v>0</v>
      </c>
      <c r="Y466" s="170">
        <f t="shared" si="130"/>
        <v>1</v>
      </c>
      <c r="Z466" s="170"/>
      <c r="AA466" s="170"/>
      <c r="AB466" s="170">
        <f t="shared" si="131"/>
        <v>3</v>
      </c>
      <c r="AC466" s="170">
        <f t="shared" si="132"/>
        <v>3</v>
      </c>
      <c r="AD466" s="170" t="str">
        <f t="shared" si="133"/>
        <v>Correct</v>
      </c>
      <c r="AE466" s="133"/>
      <c r="AF466" s="120" t="str">
        <f>IFERROR(VLOOKUP(Table1[RespondentID],'All Data'!$A$3:$CO$999,87,FALSE),"unknown")</f>
        <v>Woman</v>
      </c>
      <c r="AG466" s="120">
        <f>IFERROR(VLOOKUP(Table1[RespondentID],'All Data'!$A$3:$CO$999,88,FALSE),"unknown")</f>
        <v>0</v>
      </c>
      <c r="AH466" s="120" t="str">
        <f>IFERROR(VLOOKUP(Table1[RespondentID],'All Data'!$A$3:$CO$999,89,FALSE),"unknown")</f>
        <v>Suffolk</v>
      </c>
      <c r="AI466" s="120" t="str">
        <f>IFERROR(VLOOKUP(Table1[RespondentID],'All Data'!$A$3:$CO$999,90,FALSE),"unknown")</f>
        <v>West Babylon, 11704</v>
      </c>
      <c r="AJ466" s="120" t="str">
        <f>IFERROR(VLOOKUP(Table1[RespondentID],'All Data'!$A$3:$CO$999,91,FALSE),"unknown")</f>
        <v>White</v>
      </c>
      <c r="AK466" s="120" t="str">
        <f>IFERROR(VLOOKUP(Table1[RespondentID],'All Data'!$A$3:$CO$999,92,FALSE),"unknown")</f>
        <v>Not Hispanic or Latino</v>
      </c>
      <c r="AL466" s="120" t="str">
        <f>IFERROR(VLOOKUP(Table1[RespondentID],'All Data'!$A$3:$CO$999,93,FALSE),"unknown")</f>
        <v>English</v>
      </c>
      <c r="AM466" s="120" t="str">
        <f>IFERROR(VLOOKUP(Table1[RespondentID],'All Data'!$A$3:$CW$999,94,FALSE),"unknown")</f>
        <v>Over $125,000</v>
      </c>
      <c r="AN466" s="120" t="str">
        <f>IFERROR(VLOOKUP(Table1[RespondentID],'All Data'!$A$3:$CW$999,95,FALSE),"unknown")</f>
        <v>Graduate school</v>
      </c>
      <c r="AO466" s="120" t="str">
        <f>IFERROR(VLOOKUP(Table1[RespondentID],'All Data'!$A$3:$CW$999,96,FALSE),"unknown")</f>
        <v>Employed for wages</v>
      </c>
      <c r="AP466" s="120" t="str">
        <f>IFERROR(VLOOKUP(Table1[RespondentID],'All Data'!$A$3:$CW$999,97,FALSE),"unknown")</f>
        <v>Yes</v>
      </c>
      <c r="AQ466" s="120" t="str">
        <f>IFERROR(VLOOKUP(Table1[RespondentID],'All Data'!$A$3:$CW$999,98,FALSE),"unknown")</f>
        <v>Private/Commercial</v>
      </c>
      <c r="AR466" s="120" t="str">
        <f>IFERROR(VLOOKUP(Table1[RespondentID],'All Data'!$A$3:$CW$999,99,FALSE),"unknown")</f>
        <v>Yes</v>
      </c>
    </row>
    <row r="467" spans="1:44" ht="16">
      <c r="A467" s="133">
        <v>18031751744</v>
      </c>
      <c r="B467" s="173"/>
      <c r="C467" s="174"/>
      <c r="D467" s="174"/>
      <c r="E467" s="174"/>
      <c r="F467" s="174"/>
      <c r="G467" s="174" t="s">
        <v>34</v>
      </c>
      <c r="H467" s="174"/>
      <c r="I467" s="174" t="s">
        <v>36</v>
      </c>
      <c r="J467" s="174"/>
      <c r="K467" s="174" t="s">
        <v>375</v>
      </c>
      <c r="L467" s="174"/>
      <c r="M467" s="170">
        <f t="shared" si="119"/>
        <v>3</v>
      </c>
      <c r="N467" s="170">
        <f t="shared" si="120"/>
        <v>1</v>
      </c>
      <c r="O467" s="170"/>
      <c r="P467" s="170">
        <f t="shared" si="121"/>
        <v>0</v>
      </c>
      <c r="Q467" s="170">
        <f t="shared" si="122"/>
        <v>0</v>
      </c>
      <c r="R467" s="170">
        <f t="shared" si="123"/>
        <v>0</v>
      </c>
      <c r="S467" s="170">
        <f t="shared" si="124"/>
        <v>0</v>
      </c>
      <c r="T467" s="170">
        <f t="shared" si="125"/>
        <v>0</v>
      </c>
      <c r="U467" s="170">
        <f t="shared" si="126"/>
        <v>1</v>
      </c>
      <c r="V467" s="175">
        <f t="shared" si="127"/>
        <v>0</v>
      </c>
      <c r="W467" s="170">
        <f t="shared" si="128"/>
        <v>1</v>
      </c>
      <c r="X467" s="170">
        <f t="shared" si="129"/>
        <v>0</v>
      </c>
      <c r="Y467" s="170">
        <f t="shared" si="130"/>
        <v>1</v>
      </c>
      <c r="Z467" s="170"/>
      <c r="AA467" s="170"/>
      <c r="AB467" s="170">
        <f t="shared" si="131"/>
        <v>3</v>
      </c>
      <c r="AC467" s="170">
        <f t="shared" si="132"/>
        <v>3</v>
      </c>
      <c r="AD467" s="170" t="str">
        <f t="shared" si="133"/>
        <v>Correct</v>
      </c>
      <c r="AE467" s="133"/>
      <c r="AF467" s="120" t="str">
        <f>IFERROR(VLOOKUP(Table1[RespondentID],'All Data'!$A$3:$CO$999,87,FALSE),"unknown")</f>
        <v>Man</v>
      </c>
      <c r="AG467" s="120">
        <f>IFERROR(VLOOKUP(Table1[RespondentID],'All Data'!$A$3:$CO$999,88,FALSE),"unknown")</f>
        <v>59</v>
      </c>
      <c r="AH467" s="120" t="str">
        <f>IFERROR(VLOOKUP(Table1[RespondentID],'All Data'!$A$3:$CO$999,89,FALSE),"unknown")</f>
        <v>Suffolk</v>
      </c>
      <c r="AI467" s="120" t="str">
        <f>IFERROR(VLOOKUP(Table1[RespondentID],'All Data'!$A$3:$CO$999,90,FALSE),"unknown")</f>
        <v>Huntington Station, 11746</v>
      </c>
      <c r="AJ467" s="120" t="str">
        <f>IFERROR(VLOOKUP(Table1[RespondentID],'All Data'!$A$3:$CO$999,91,FALSE),"unknown")</f>
        <v>Asian</v>
      </c>
      <c r="AK467" s="120" t="str">
        <f>IFERROR(VLOOKUP(Table1[RespondentID],'All Data'!$A$3:$CO$999,92,FALSE),"unknown")</f>
        <v>Not Hispanic or Latino</v>
      </c>
      <c r="AL467" s="120" t="str">
        <f>IFERROR(VLOOKUP(Table1[RespondentID],'All Data'!$A$3:$CO$999,93,FALSE),"unknown")</f>
        <v>English</v>
      </c>
      <c r="AM467" s="120" t="str">
        <f>IFERROR(VLOOKUP(Table1[RespondentID],'All Data'!$A$3:$CW$999,94,FALSE),"unknown")</f>
        <v>Over $125,000</v>
      </c>
      <c r="AN467" s="120" t="str">
        <f>IFERROR(VLOOKUP(Table1[RespondentID],'All Data'!$A$3:$CW$999,95,FALSE),"unknown")</f>
        <v>Graduate school</v>
      </c>
      <c r="AO467" s="120" t="str">
        <f>IFERROR(VLOOKUP(Table1[RespondentID],'All Data'!$A$3:$CW$999,96,FALSE),"unknown")</f>
        <v>Self-employed</v>
      </c>
      <c r="AP467" s="120" t="str">
        <f>IFERROR(VLOOKUP(Table1[RespondentID],'All Data'!$A$3:$CW$999,97,FALSE),"unknown")</f>
        <v>Yes</v>
      </c>
      <c r="AQ467" s="120" t="str">
        <f>IFERROR(VLOOKUP(Table1[RespondentID],'All Data'!$A$3:$CW$999,98,FALSE),"unknown")</f>
        <v>Private/Commercial</v>
      </c>
      <c r="AR467" s="120" t="str">
        <f>IFERROR(VLOOKUP(Table1[RespondentID],'All Data'!$A$3:$CW$999,99,FALSE),"unknown")</f>
        <v>Yes</v>
      </c>
    </row>
    <row r="468" spans="1:44" ht="16">
      <c r="A468" s="133">
        <v>18031751661</v>
      </c>
      <c r="B468" s="173"/>
      <c r="C468" s="174"/>
      <c r="D468" s="174"/>
      <c r="E468" s="174"/>
      <c r="F468" s="174"/>
      <c r="G468" s="174"/>
      <c r="H468" s="174"/>
      <c r="I468" s="174" t="s">
        <v>36</v>
      </c>
      <c r="J468" s="174"/>
      <c r="K468" s="174" t="s">
        <v>375</v>
      </c>
      <c r="L468" s="174"/>
      <c r="M468" s="170">
        <f t="shared" si="119"/>
        <v>2</v>
      </c>
      <c r="N468" s="170">
        <f t="shared" si="120"/>
        <v>1.5</v>
      </c>
      <c r="O468" s="170"/>
      <c r="P468" s="170">
        <f t="shared" si="121"/>
        <v>0</v>
      </c>
      <c r="Q468" s="170">
        <f t="shared" si="122"/>
        <v>0</v>
      </c>
      <c r="R468" s="170">
        <f t="shared" si="123"/>
        <v>0</v>
      </c>
      <c r="S468" s="170">
        <f t="shared" si="124"/>
        <v>0</v>
      </c>
      <c r="T468" s="170">
        <f t="shared" si="125"/>
        <v>0</v>
      </c>
      <c r="U468" s="170">
        <f t="shared" si="126"/>
        <v>0</v>
      </c>
      <c r="V468" s="175">
        <f t="shared" si="127"/>
        <v>0</v>
      </c>
      <c r="W468" s="170">
        <f t="shared" si="128"/>
        <v>1</v>
      </c>
      <c r="X468" s="170">
        <f t="shared" si="129"/>
        <v>0</v>
      </c>
      <c r="Y468" s="170">
        <f t="shared" si="130"/>
        <v>1</v>
      </c>
      <c r="Z468" s="170"/>
      <c r="AA468" s="170"/>
      <c r="AB468" s="170">
        <f t="shared" si="131"/>
        <v>2</v>
      </c>
      <c r="AC468" s="170">
        <f t="shared" si="132"/>
        <v>2</v>
      </c>
      <c r="AD468" s="170" t="str">
        <f t="shared" si="133"/>
        <v>Correct</v>
      </c>
      <c r="AE468" s="133"/>
      <c r="AF468" s="120" t="str">
        <f>IFERROR(VLOOKUP(Table1[RespondentID],'All Data'!$A$3:$CO$999,87,FALSE),"unknown")</f>
        <v>Woman</v>
      </c>
      <c r="AG468" s="120">
        <f>IFERROR(VLOOKUP(Table1[RespondentID],'All Data'!$A$3:$CO$999,88,FALSE),"unknown")</f>
        <v>71</v>
      </c>
      <c r="AH468" s="120" t="str">
        <f>IFERROR(VLOOKUP(Table1[RespondentID],'All Data'!$A$3:$CO$999,89,FALSE),"unknown")</f>
        <v>Nassau</v>
      </c>
      <c r="AI468" s="120" t="str">
        <f>IFERROR(VLOOKUP(Table1[RespondentID],'All Data'!$A$3:$CO$999,90,FALSE),"unknown")</f>
        <v>Bethpage, 11714</v>
      </c>
      <c r="AJ468" s="120" t="str">
        <f>IFERROR(VLOOKUP(Table1[RespondentID],'All Data'!$A$3:$CO$999,91,FALSE),"unknown")</f>
        <v>White</v>
      </c>
      <c r="AK468" s="120" t="str">
        <f>IFERROR(VLOOKUP(Table1[RespondentID],'All Data'!$A$3:$CO$999,92,FALSE),"unknown")</f>
        <v>Not Hispanic or Latino</v>
      </c>
      <c r="AL468" s="120" t="str">
        <f>IFERROR(VLOOKUP(Table1[RespondentID],'All Data'!$A$3:$CO$999,93,FALSE),"unknown")</f>
        <v>English</v>
      </c>
      <c r="AM468" s="120" t="str">
        <f>IFERROR(VLOOKUP(Table1[RespondentID],'All Data'!$A$3:$CW$999,94,FALSE),"unknown")</f>
        <v>$35,000 to $49,999</v>
      </c>
      <c r="AN468" s="120" t="str">
        <f>IFERROR(VLOOKUP(Table1[RespondentID],'All Data'!$A$3:$CW$999,95,FALSE),"unknown")</f>
        <v>High school graduate</v>
      </c>
      <c r="AO468" s="120" t="str">
        <f>IFERROR(VLOOKUP(Table1[RespondentID],'All Data'!$A$3:$CW$999,96,FALSE),"unknown")</f>
        <v>Retired</v>
      </c>
      <c r="AP468" s="120" t="str">
        <f>IFERROR(VLOOKUP(Table1[RespondentID],'All Data'!$A$3:$CW$999,97,FALSE),"unknown")</f>
        <v>Yes</v>
      </c>
      <c r="AQ468" s="120" t="str">
        <f>IFERROR(VLOOKUP(Table1[RespondentID],'All Data'!$A$3:$CW$999,98,FALSE),"unknown")</f>
        <v>Medicare</v>
      </c>
      <c r="AR468" s="120" t="str">
        <f>IFERROR(VLOOKUP(Table1[RespondentID],'All Data'!$A$3:$CW$999,99,FALSE),"unknown")</f>
        <v>Yes</v>
      </c>
    </row>
    <row r="469" spans="1:44" ht="16">
      <c r="A469" s="133">
        <v>18031751575</v>
      </c>
      <c r="B469" s="173"/>
      <c r="C469" s="174"/>
      <c r="D469" s="174"/>
      <c r="E469" s="174"/>
      <c r="F469" s="174"/>
      <c r="G469" s="174"/>
      <c r="H469" s="174"/>
      <c r="I469" s="174" t="s">
        <v>36</v>
      </c>
      <c r="J469" s="174"/>
      <c r="K469" s="174" t="s">
        <v>375</v>
      </c>
      <c r="L469" s="174"/>
      <c r="M469" s="170">
        <f t="shared" si="119"/>
        <v>2</v>
      </c>
      <c r="N469" s="170">
        <f t="shared" si="120"/>
        <v>1.5</v>
      </c>
      <c r="O469" s="170"/>
      <c r="P469" s="170">
        <f t="shared" si="121"/>
        <v>0</v>
      </c>
      <c r="Q469" s="170">
        <f t="shared" si="122"/>
        <v>0</v>
      </c>
      <c r="R469" s="170">
        <f t="shared" si="123"/>
        <v>0</v>
      </c>
      <c r="S469" s="170">
        <f t="shared" si="124"/>
        <v>0</v>
      </c>
      <c r="T469" s="170">
        <f t="shared" si="125"/>
        <v>0</v>
      </c>
      <c r="U469" s="170">
        <f t="shared" si="126"/>
        <v>0</v>
      </c>
      <c r="V469" s="175">
        <f t="shared" si="127"/>
        <v>0</v>
      </c>
      <c r="W469" s="170">
        <f t="shared" si="128"/>
        <v>1</v>
      </c>
      <c r="X469" s="170">
        <f t="shared" si="129"/>
        <v>0</v>
      </c>
      <c r="Y469" s="170">
        <f t="shared" si="130"/>
        <v>1</v>
      </c>
      <c r="Z469" s="170"/>
      <c r="AA469" s="170"/>
      <c r="AB469" s="170">
        <f t="shared" si="131"/>
        <v>2</v>
      </c>
      <c r="AC469" s="170">
        <f t="shared" si="132"/>
        <v>2</v>
      </c>
      <c r="AD469" s="170" t="str">
        <f t="shared" si="133"/>
        <v>Correct</v>
      </c>
      <c r="AE469" s="133"/>
      <c r="AF469" s="120" t="str">
        <f>IFERROR(VLOOKUP(Table1[RespondentID],'All Data'!$A$3:$CO$999,87,FALSE),"unknown")</f>
        <v>Man</v>
      </c>
      <c r="AG469" s="120">
        <f>IFERROR(VLOOKUP(Table1[RespondentID],'All Data'!$A$3:$CO$999,88,FALSE),"unknown")</f>
        <v>71</v>
      </c>
      <c r="AH469" s="120" t="str">
        <f>IFERROR(VLOOKUP(Table1[RespondentID],'All Data'!$A$3:$CO$999,89,FALSE),"unknown")</f>
        <v>Nassau</v>
      </c>
      <c r="AI469" s="120" t="str">
        <f>IFERROR(VLOOKUP(Table1[RespondentID],'All Data'!$A$3:$CO$999,90,FALSE),"unknown")</f>
        <v>Bethpage, 11714</v>
      </c>
      <c r="AJ469" s="120" t="str">
        <f>IFERROR(VLOOKUP(Table1[RespondentID],'All Data'!$A$3:$CO$999,91,FALSE),"unknown")</f>
        <v>White</v>
      </c>
      <c r="AK469" s="120" t="str">
        <f>IFERROR(VLOOKUP(Table1[RespondentID],'All Data'!$A$3:$CO$999,92,FALSE),"unknown")</f>
        <v>Not Hispanic or Latino</v>
      </c>
      <c r="AL469" s="120" t="str">
        <f>IFERROR(VLOOKUP(Table1[RespondentID],'All Data'!$A$3:$CO$999,93,FALSE),"unknown")</f>
        <v>English</v>
      </c>
      <c r="AM469" s="120" t="str">
        <f>IFERROR(VLOOKUP(Table1[RespondentID],'All Data'!$A$3:$CW$999,94,FALSE),"unknown")</f>
        <v>$50,000 to $74,999</v>
      </c>
      <c r="AN469" s="120" t="str">
        <f>IFERROR(VLOOKUP(Table1[RespondentID],'All Data'!$A$3:$CW$999,95,FALSE),"unknown")</f>
        <v>Some high school</v>
      </c>
      <c r="AO469" s="120" t="str">
        <f>IFERROR(VLOOKUP(Table1[RespondentID],'All Data'!$A$3:$CW$999,96,FALSE),"unknown")</f>
        <v>Retired</v>
      </c>
      <c r="AP469" s="120" t="str">
        <f>IFERROR(VLOOKUP(Table1[RespondentID],'All Data'!$A$3:$CW$999,97,FALSE),"unknown")</f>
        <v>Yes</v>
      </c>
      <c r="AQ469" s="120" t="str">
        <f>IFERROR(VLOOKUP(Table1[RespondentID],'All Data'!$A$3:$CW$999,98,FALSE),"unknown")</f>
        <v>Medicare</v>
      </c>
      <c r="AR469" s="120" t="str">
        <f>IFERROR(VLOOKUP(Table1[RespondentID],'All Data'!$A$3:$CW$999,99,FALSE),"unknown")</f>
        <v>Yes</v>
      </c>
    </row>
    <row r="470" spans="1:44" ht="16">
      <c r="A470" s="133">
        <v>18031751500</v>
      </c>
      <c r="B470" s="173"/>
      <c r="C470" s="174" t="s">
        <v>30</v>
      </c>
      <c r="D470" s="174" t="s">
        <v>31</v>
      </c>
      <c r="E470" s="174"/>
      <c r="F470" s="174"/>
      <c r="G470" s="174"/>
      <c r="H470" s="174" t="s">
        <v>35</v>
      </c>
      <c r="I470" s="174"/>
      <c r="J470" s="174"/>
      <c r="K470" s="174"/>
      <c r="L470" s="174"/>
      <c r="M470" s="170">
        <f t="shared" si="119"/>
        <v>3</v>
      </c>
      <c r="N470" s="170">
        <f t="shared" si="120"/>
        <v>1</v>
      </c>
      <c r="O470" s="170"/>
      <c r="P470" s="170">
        <f t="shared" si="121"/>
        <v>0</v>
      </c>
      <c r="Q470" s="170">
        <f t="shared" si="122"/>
        <v>1</v>
      </c>
      <c r="R470" s="170">
        <f t="shared" si="123"/>
        <v>1</v>
      </c>
      <c r="S470" s="170">
        <f t="shared" si="124"/>
        <v>0</v>
      </c>
      <c r="T470" s="170">
        <f t="shared" si="125"/>
        <v>0</v>
      </c>
      <c r="U470" s="170">
        <f t="shared" si="126"/>
        <v>0</v>
      </c>
      <c r="V470" s="175">
        <f t="shared" si="127"/>
        <v>1</v>
      </c>
      <c r="W470" s="170">
        <f t="shared" si="128"/>
        <v>0</v>
      </c>
      <c r="X470" s="170">
        <f t="shared" si="129"/>
        <v>0</v>
      </c>
      <c r="Y470" s="170">
        <f t="shared" si="130"/>
        <v>0</v>
      </c>
      <c r="Z470" s="170"/>
      <c r="AA470" s="170"/>
      <c r="AB470" s="170">
        <f t="shared" si="131"/>
        <v>3</v>
      </c>
      <c r="AC470" s="170">
        <f t="shared" si="132"/>
        <v>3</v>
      </c>
      <c r="AD470" s="170" t="str">
        <f t="shared" si="133"/>
        <v>Correct</v>
      </c>
      <c r="AE470" s="133"/>
      <c r="AF470" s="120" t="str">
        <f>IFERROR(VLOOKUP(Table1[RespondentID],'All Data'!$A$3:$CO$999,87,FALSE),"unknown")</f>
        <v>Woman</v>
      </c>
      <c r="AG470" s="120">
        <f>IFERROR(VLOOKUP(Table1[RespondentID],'All Data'!$A$3:$CO$999,88,FALSE),"unknown")</f>
        <v>65</v>
      </c>
      <c r="AH470" s="120" t="str">
        <f>IFERROR(VLOOKUP(Table1[RespondentID],'All Data'!$A$3:$CO$999,89,FALSE),"unknown")</f>
        <v>Suffolk</v>
      </c>
      <c r="AI470" s="120" t="str">
        <f>IFERROR(VLOOKUP(Table1[RespondentID],'All Data'!$A$3:$CO$999,90,FALSE),"unknown")</f>
        <v>Northport, 11768</v>
      </c>
      <c r="AJ470" s="120" t="str">
        <f>IFERROR(VLOOKUP(Table1[RespondentID],'All Data'!$A$3:$CO$999,91,FALSE),"unknown")</f>
        <v>Black or African American</v>
      </c>
      <c r="AK470" s="120">
        <f>IFERROR(VLOOKUP(Table1[RespondentID],'All Data'!$A$3:$CO$999,92,FALSE),"unknown")</f>
        <v>0</v>
      </c>
      <c r="AL470" s="120" t="str">
        <f>IFERROR(VLOOKUP(Table1[RespondentID],'All Data'!$A$3:$CO$999,93,FALSE),"unknown")</f>
        <v>English</v>
      </c>
      <c r="AM470" s="120" t="str">
        <f>IFERROR(VLOOKUP(Table1[RespondentID],'All Data'!$A$3:$CW$999,94,FALSE),"unknown")</f>
        <v>Over $125,000</v>
      </c>
      <c r="AN470" s="120" t="str">
        <f>IFERROR(VLOOKUP(Table1[RespondentID],'All Data'!$A$3:$CW$999,95,FALSE),"unknown")</f>
        <v>College graduate</v>
      </c>
      <c r="AO470" s="120" t="str">
        <f>IFERROR(VLOOKUP(Table1[RespondentID],'All Data'!$A$3:$CW$999,96,FALSE),"unknown")</f>
        <v>Employed for wages</v>
      </c>
      <c r="AP470" s="120" t="str">
        <f>IFERROR(VLOOKUP(Table1[RespondentID],'All Data'!$A$3:$CW$999,97,FALSE),"unknown")</f>
        <v>Yes</v>
      </c>
      <c r="AQ470" s="120" t="str">
        <f>IFERROR(VLOOKUP(Table1[RespondentID],'All Data'!$A$3:$CW$999,98,FALSE),"unknown")</f>
        <v>Private/Commercial</v>
      </c>
      <c r="AR470" s="120" t="str">
        <f>IFERROR(VLOOKUP(Table1[RespondentID],'All Data'!$A$3:$CW$999,99,FALSE),"unknown")</f>
        <v>Yes</v>
      </c>
    </row>
    <row r="471" spans="1:44" ht="16">
      <c r="A471" s="133">
        <v>18031751432</v>
      </c>
      <c r="B471" s="173"/>
      <c r="C471" s="174"/>
      <c r="D471" s="174"/>
      <c r="E471" s="174"/>
      <c r="F471" s="174"/>
      <c r="G471" s="174"/>
      <c r="H471" s="174"/>
      <c r="I471" s="174"/>
      <c r="J471" s="174"/>
      <c r="K471" s="174"/>
      <c r="L471" s="174"/>
      <c r="M471" s="170">
        <f t="shared" si="119"/>
        <v>0</v>
      </c>
      <c r="N471" s="170" t="e">
        <f t="shared" si="120"/>
        <v>#DIV/0!</v>
      </c>
      <c r="O471" s="170"/>
      <c r="P471" s="170">
        <f t="shared" si="121"/>
        <v>0</v>
      </c>
      <c r="Q471" s="170">
        <f t="shared" si="122"/>
        <v>0</v>
      </c>
      <c r="R471" s="170">
        <f t="shared" si="123"/>
        <v>0</v>
      </c>
      <c r="S471" s="170">
        <f t="shared" si="124"/>
        <v>0</v>
      </c>
      <c r="T471" s="170">
        <f t="shared" si="125"/>
        <v>0</v>
      </c>
      <c r="U471" s="170">
        <f t="shared" si="126"/>
        <v>0</v>
      </c>
      <c r="V471" s="175">
        <f t="shared" si="127"/>
        <v>0</v>
      </c>
      <c r="W471" s="170">
        <f t="shared" si="128"/>
        <v>0</v>
      </c>
      <c r="X471" s="170">
        <f t="shared" si="129"/>
        <v>0</v>
      </c>
      <c r="Y471" s="170">
        <f t="shared" si="130"/>
        <v>0</v>
      </c>
      <c r="Z471" s="170"/>
      <c r="AA471" s="170"/>
      <c r="AB471" s="170">
        <f t="shared" si="131"/>
        <v>0</v>
      </c>
      <c r="AC471" s="170">
        <f t="shared" si="132"/>
        <v>0</v>
      </c>
      <c r="AD471" s="170" t="str">
        <f t="shared" si="133"/>
        <v>Correct</v>
      </c>
      <c r="AE471" s="133"/>
      <c r="AF471" s="120" t="str">
        <f>IFERROR(VLOOKUP(Table1[RespondentID],'All Data'!$A$3:$CO$999,87,FALSE),"unknown")</f>
        <v>Woman</v>
      </c>
      <c r="AG471" s="120">
        <f>IFERROR(VLOOKUP(Table1[RespondentID],'All Data'!$A$3:$CO$999,88,FALSE),"unknown")</f>
        <v>72</v>
      </c>
      <c r="AH471" s="120" t="str">
        <f>IFERROR(VLOOKUP(Table1[RespondentID],'All Data'!$A$3:$CO$999,89,FALSE),"unknown")</f>
        <v>Suffolk</v>
      </c>
      <c r="AI471" s="120" t="str">
        <f>IFERROR(VLOOKUP(Table1[RespondentID],'All Data'!$A$3:$CO$999,90,FALSE),"unknown")</f>
        <v>Amityville, 11701</v>
      </c>
      <c r="AJ471" s="120" t="str">
        <f>IFERROR(VLOOKUP(Table1[RespondentID],'All Data'!$A$3:$CO$999,91,FALSE),"unknown")</f>
        <v>White</v>
      </c>
      <c r="AK471" s="120" t="str">
        <f>IFERROR(VLOOKUP(Table1[RespondentID],'All Data'!$A$3:$CO$999,92,FALSE),"unknown")</f>
        <v>Not Hispanic or Latino</v>
      </c>
      <c r="AL471" s="120" t="str">
        <f>IFERROR(VLOOKUP(Table1[RespondentID],'All Data'!$A$3:$CO$999,93,FALSE),"unknown")</f>
        <v>English</v>
      </c>
      <c r="AM471" s="120" t="str">
        <f>IFERROR(VLOOKUP(Table1[RespondentID],'All Data'!$A$3:$CW$999,94,FALSE),"unknown")</f>
        <v>$35,000 to $49,999</v>
      </c>
      <c r="AN471" s="120" t="str">
        <f>IFERROR(VLOOKUP(Table1[RespondentID],'All Data'!$A$3:$CW$999,95,FALSE),"unknown")</f>
        <v>High school graduate</v>
      </c>
      <c r="AO471" s="120" t="str">
        <f>IFERROR(VLOOKUP(Table1[RespondentID],'All Data'!$A$3:$CW$999,96,FALSE),"unknown")</f>
        <v>Retired</v>
      </c>
      <c r="AP471" s="120" t="str">
        <f>IFERROR(VLOOKUP(Table1[RespondentID],'All Data'!$A$3:$CW$999,97,FALSE),"unknown")</f>
        <v>Yes</v>
      </c>
      <c r="AQ471" s="120" t="str">
        <f>IFERROR(VLOOKUP(Table1[RespondentID],'All Data'!$A$3:$CW$999,98,FALSE),"unknown")</f>
        <v>Medicare,Private/Commercial</v>
      </c>
      <c r="AR471" s="120" t="str">
        <f>IFERROR(VLOOKUP(Table1[RespondentID],'All Data'!$A$3:$CW$999,99,FALSE),"unknown")</f>
        <v>Yes</v>
      </c>
    </row>
    <row r="472" spans="1:44" ht="16">
      <c r="A472" s="133">
        <v>18031751329</v>
      </c>
      <c r="B472" s="173"/>
      <c r="C472" s="174"/>
      <c r="D472" s="174"/>
      <c r="E472" s="174"/>
      <c r="F472" s="174"/>
      <c r="G472" s="174"/>
      <c r="H472" s="174"/>
      <c r="I472" s="174"/>
      <c r="J472" s="174"/>
      <c r="K472" s="174" t="s">
        <v>375</v>
      </c>
      <c r="L472" s="174" t="s">
        <v>495</v>
      </c>
      <c r="M472" s="170">
        <f t="shared" si="119"/>
        <v>2</v>
      </c>
      <c r="N472" s="170">
        <f t="shared" si="120"/>
        <v>1.5</v>
      </c>
      <c r="O472" s="170"/>
      <c r="P472" s="170">
        <f t="shared" si="121"/>
        <v>0</v>
      </c>
      <c r="Q472" s="170">
        <f t="shared" si="122"/>
        <v>0</v>
      </c>
      <c r="R472" s="170">
        <f t="shared" si="123"/>
        <v>0</v>
      </c>
      <c r="S472" s="170">
        <f t="shared" si="124"/>
        <v>0</v>
      </c>
      <c r="T472" s="170">
        <f t="shared" si="125"/>
        <v>0</v>
      </c>
      <c r="U472" s="170">
        <f t="shared" si="126"/>
        <v>0</v>
      </c>
      <c r="V472" s="175">
        <f t="shared" si="127"/>
        <v>0</v>
      </c>
      <c r="W472" s="170">
        <f t="shared" si="128"/>
        <v>0</v>
      </c>
      <c r="X472" s="170">
        <f t="shared" si="129"/>
        <v>0</v>
      </c>
      <c r="Y472" s="170">
        <f t="shared" si="130"/>
        <v>1</v>
      </c>
      <c r="Z472" s="170"/>
      <c r="AA472" s="170"/>
      <c r="AB472" s="170">
        <f t="shared" si="131"/>
        <v>1</v>
      </c>
      <c r="AC472" s="170">
        <f t="shared" si="132"/>
        <v>2</v>
      </c>
      <c r="AD472" s="170" t="str">
        <f t="shared" si="133"/>
        <v>Wrong</v>
      </c>
      <c r="AE472" s="133"/>
      <c r="AF472" s="120" t="str">
        <f>IFERROR(VLOOKUP(Table1[RespondentID],'All Data'!$A$3:$CO$999,87,FALSE),"unknown")</f>
        <v>Woman</v>
      </c>
      <c r="AG472" s="120">
        <f>IFERROR(VLOOKUP(Table1[RespondentID],'All Data'!$A$3:$CO$999,88,FALSE),"unknown")</f>
        <v>0</v>
      </c>
      <c r="AH472" s="120" t="str">
        <f>IFERROR(VLOOKUP(Table1[RespondentID],'All Data'!$A$3:$CO$999,89,FALSE),"unknown")</f>
        <v>Nassau</v>
      </c>
      <c r="AI472" s="120" t="str">
        <f>IFERROR(VLOOKUP(Table1[RespondentID],'All Data'!$A$3:$CO$999,90,FALSE),"unknown")</f>
        <v>Plainview, 11803</v>
      </c>
      <c r="AJ472" s="120" t="str">
        <f>IFERROR(VLOOKUP(Table1[RespondentID],'All Data'!$A$3:$CO$999,91,FALSE),"unknown")</f>
        <v>White</v>
      </c>
      <c r="AK472" s="120" t="str">
        <f>IFERROR(VLOOKUP(Table1[RespondentID],'All Data'!$A$3:$CO$999,92,FALSE),"unknown")</f>
        <v>Not Hispanic or Latino</v>
      </c>
      <c r="AL472" s="120" t="str">
        <f>IFERROR(VLOOKUP(Table1[RespondentID],'All Data'!$A$3:$CO$999,93,FALSE),"unknown")</f>
        <v>English</v>
      </c>
      <c r="AM472" s="120" t="str">
        <f>IFERROR(VLOOKUP(Table1[RespondentID],'All Data'!$A$3:$CW$999,94,FALSE),"unknown")</f>
        <v>$20,000 to $34,999</v>
      </c>
      <c r="AN472" s="120">
        <f>IFERROR(VLOOKUP(Table1[RespondentID],'All Data'!$A$3:$CW$999,95,FALSE),"unknown")</f>
        <v>0</v>
      </c>
      <c r="AO472" s="120" t="str">
        <f>IFERROR(VLOOKUP(Table1[RespondentID],'All Data'!$A$3:$CW$999,96,FALSE),"unknown")</f>
        <v>Out of work, but not currently looking</v>
      </c>
      <c r="AP472" s="120" t="str">
        <f>IFERROR(VLOOKUP(Table1[RespondentID],'All Data'!$A$3:$CW$999,97,FALSE),"unknown")</f>
        <v>Yes</v>
      </c>
      <c r="AQ472" s="120" t="str">
        <f>IFERROR(VLOOKUP(Table1[RespondentID],'All Data'!$A$3:$CW$999,98,FALSE),"unknown")</f>
        <v>Medicare</v>
      </c>
      <c r="AR472" s="120" t="str">
        <f>IFERROR(VLOOKUP(Table1[RespondentID],'All Data'!$A$3:$CW$999,99,FALSE),"unknown")</f>
        <v>Yes</v>
      </c>
    </row>
    <row r="473" spans="1:44" ht="16">
      <c r="A473" s="133">
        <v>18031751209</v>
      </c>
      <c r="B473" s="173"/>
      <c r="C473" s="174"/>
      <c r="D473" s="174"/>
      <c r="E473" s="174"/>
      <c r="F473" s="174"/>
      <c r="G473" s="174"/>
      <c r="H473" s="174"/>
      <c r="I473" s="174" t="s">
        <v>36</v>
      </c>
      <c r="J473" s="174"/>
      <c r="K473" s="174"/>
      <c r="L473" s="174"/>
      <c r="M473" s="170">
        <f t="shared" si="119"/>
        <v>1</v>
      </c>
      <c r="N473" s="170">
        <f t="shared" si="120"/>
        <v>3</v>
      </c>
      <c r="O473" s="170"/>
      <c r="P473" s="170">
        <f t="shared" si="121"/>
        <v>0</v>
      </c>
      <c r="Q473" s="170">
        <f t="shared" si="122"/>
        <v>0</v>
      </c>
      <c r="R473" s="170">
        <f t="shared" si="123"/>
        <v>0</v>
      </c>
      <c r="S473" s="170">
        <f t="shared" si="124"/>
        <v>0</v>
      </c>
      <c r="T473" s="170">
        <f t="shared" si="125"/>
        <v>0</v>
      </c>
      <c r="U473" s="170">
        <f t="shared" si="126"/>
        <v>0</v>
      </c>
      <c r="V473" s="175">
        <f t="shared" si="127"/>
        <v>0</v>
      </c>
      <c r="W473" s="170">
        <f t="shared" si="128"/>
        <v>1</v>
      </c>
      <c r="X473" s="170">
        <f t="shared" si="129"/>
        <v>0</v>
      </c>
      <c r="Y473" s="170">
        <f t="shared" si="130"/>
        <v>0</v>
      </c>
      <c r="Z473" s="170"/>
      <c r="AA473" s="170"/>
      <c r="AB473" s="170">
        <f t="shared" si="131"/>
        <v>1</v>
      </c>
      <c r="AC473" s="170">
        <f t="shared" si="132"/>
        <v>1</v>
      </c>
      <c r="AD473" s="170" t="str">
        <f t="shared" si="133"/>
        <v>Correct</v>
      </c>
      <c r="AE473" s="133"/>
      <c r="AF473" s="120" t="str">
        <f>IFERROR(VLOOKUP(Table1[RespondentID],'All Data'!$A$3:$CO$999,87,FALSE),"unknown")</f>
        <v>Man</v>
      </c>
      <c r="AG473" s="120">
        <f>IFERROR(VLOOKUP(Table1[RespondentID],'All Data'!$A$3:$CO$999,88,FALSE),"unknown")</f>
        <v>81</v>
      </c>
      <c r="AH473" s="120" t="str">
        <f>IFERROR(VLOOKUP(Table1[RespondentID],'All Data'!$A$3:$CO$999,89,FALSE),"unknown")</f>
        <v>Nassau</v>
      </c>
      <c r="AI473" s="120" t="str">
        <f>IFERROR(VLOOKUP(Table1[RespondentID],'All Data'!$A$3:$CO$999,90,FALSE),"unknown")</f>
        <v>Lido Beach, 11561</v>
      </c>
      <c r="AJ473" s="120" t="str">
        <f>IFERROR(VLOOKUP(Table1[RespondentID],'All Data'!$A$3:$CO$999,91,FALSE),"unknown")</f>
        <v>White</v>
      </c>
      <c r="AK473" s="120" t="str">
        <f>IFERROR(VLOOKUP(Table1[RespondentID],'All Data'!$A$3:$CO$999,92,FALSE),"unknown")</f>
        <v>Not Hispanic or Latino</v>
      </c>
      <c r="AL473" s="120" t="str">
        <f>IFERROR(VLOOKUP(Table1[RespondentID],'All Data'!$A$3:$CO$999,93,FALSE),"unknown")</f>
        <v>English</v>
      </c>
      <c r="AM473" s="120" t="str">
        <f>IFERROR(VLOOKUP(Table1[RespondentID],'All Data'!$A$3:$CW$999,94,FALSE),"unknown")</f>
        <v>$75,000 to $125,000</v>
      </c>
      <c r="AN473" s="120" t="str">
        <f>IFERROR(VLOOKUP(Table1[RespondentID],'All Data'!$A$3:$CW$999,95,FALSE),"unknown")</f>
        <v>Some high school</v>
      </c>
      <c r="AO473" s="120" t="str">
        <f>IFERROR(VLOOKUP(Table1[RespondentID],'All Data'!$A$3:$CW$999,96,FALSE),"unknown")</f>
        <v>Employed for wages</v>
      </c>
      <c r="AP473" s="120" t="str">
        <f>IFERROR(VLOOKUP(Table1[RespondentID],'All Data'!$A$3:$CW$999,97,FALSE),"unknown")</f>
        <v>Yes</v>
      </c>
      <c r="AQ473" s="120" t="str">
        <f>IFERROR(VLOOKUP(Table1[RespondentID],'All Data'!$A$3:$CW$999,98,FALSE),"unknown")</f>
        <v>Medicare,Private/Commercial</v>
      </c>
      <c r="AR473" s="120" t="str">
        <f>IFERROR(VLOOKUP(Table1[RespondentID],'All Data'!$A$3:$CW$999,99,FALSE),"unknown")</f>
        <v>Yes</v>
      </c>
    </row>
    <row r="474" spans="1:44" ht="16">
      <c r="A474" s="133">
        <v>18031751111</v>
      </c>
      <c r="B474" s="173"/>
      <c r="C474" s="174"/>
      <c r="D474" s="174"/>
      <c r="E474" s="174" t="s">
        <v>32</v>
      </c>
      <c r="F474" s="174"/>
      <c r="G474" s="174"/>
      <c r="H474" s="174" t="s">
        <v>35</v>
      </c>
      <c r="I474" s="174"/>
      <c r="J474" s="174"/>
      <c r="K474" s="174" t="s">
        <v>375</v>
      </c>
      <c r="L474" s="174"/>
      <c r="M474" s="170">
        <f t="shared" si="119"/>
        <v>3</v>
      </c>
      <c r="N474" s="170">
        <f t="shared" si="120"/>
        <v>1</v>
      </c>
      <c r="O474" s="170"/>
      <c r="P474" s="170">
        <f t="shared" si="121"/>
        <v>0</v>
      </c>
      <c r="Q474" s="170">
        <f t="shared" si="122"/>
        <v>0</v>
      </c>
      <c r="R474" s="170">
        <f t="shared" si="123"/>
        <v>0</v>
      </c>
      <c r="S474" s="170">
        <f t="shared" si="124"/>
        <v>1</v>
      </c>
      <c r="T474" s="170">
        <f t="shared" si="125"/>
        <v>0</v>
      </c>
      <c r="U474" s="170">
        <f t="shared" si="126"/>
        <v>0</v>
      </c>
      <c r="V474" s="175">
        <f t="shared" si="127"/>
        <v>1</v>
      </c>
      <c r="W474" s="170">
        <f t="shared" si="128"/>
        <v>0</v>
      </c>
      <c r="X474" s="170">
        <f t="shared" si="129"/>
        <v>0</v>
      </c>
      <c r="Y474" s="170">
        <f t="shared" si="130"/>
        <v>1</v>
      </c>
      <c r="Z474" s="170"/>
      <c r="AA474" s="170"/>
      <c r="AB474" s="170">
        <f t="shared" si="131"/>
        <v>3</v>
      </c>
      <c r="AC474" s="170">
        <f t="shared" si="132"/>
        <v>3</v>
      </c>
      <c r="AD474" s="170" t="str">
        <f t="shared" si="133"/>
        <v>Correct</v>
      </c>
      <c r="AE474" s="133"/>
      <c r="AF474" s="120" t="str">
        <f>IFERROR(VLOOKUP(Table1[RespondentID],'All Data'!$A$3:$CO$999,87,FALSE),"unknown")</f>
        <v>Woman</v>
      </c>
      <c r="AG474" s="120">
        <f>IFERROR(VLOOKUP(Table1[RespondentID],'All Data'!$A$3:$CO$999,88,FALSE),"unknown")</f>
        <v>61</v>
      </c>
      <c r="AH474" s="120" t="str">
        <f>IFERROR(VLOOKUP(Table1[RespondentID],'All Data'!$A$3:$CO$999,89,FALSE),"unknown")</f>
        <v>Nassau</v>
      </c>
      <c r="AI474" s="120" t="str">
        <f>IFERROR(VLOOKUP(Table1[RespondentID],'All Data'!$A$3:$CO$999,90,FALSE),"unknown")</f>
        <v>Garden City, 11530</v>
      </c>
      <c r="AJ474" s="120" t="str">
        <f>IFERROR(VLOOKUP(Table1[RespondentID],'All Data'!$A$3:$CO$999,91,FALSE),"unknown")</f>
        <v>White</v>
      </c>
      <c r="AK474" s="120" t="str">
        <f>IFERROR(VLOOKUP(Table1[RespondentID],'All Data'!$A$3:$CO$999,92,FALSE),"unknown")</f>
        <v>Not Hispanic or Latino</v>
      </c>
      <c r="AL474" s="120" t="str">
        <f>IFERROR(VLOOKUP(Table1[RespondentID],'All Data'!$A$3:$CO$999,93,FALSE),"unknown")</f>
        <v>English</v>
      </c>
      <c r="AM474" s="120" t="str">
        <f>IFERROR(VLOOKUP(Table1[RespondentID],'All Data'!$A$3:$CW$999,94,FALSE),"unknown")</f>
        <v>$50,000 to $74,999</v>
      </c>
      <c r="AN474" s="120" t="str">
        <f>IFERROR(VLOOKUP(Table1[RespondentID],'All Data'!$A$3:$CW$999,95,FALSE),"unknown")</f>
        <v>Graduate school</v>
      </c>
      <c r="AO474" s="120" t="str">
        <f>IFERROR(VLOOKUP(Table1[RespondentID],'All Data'!$A$3:$CW$999,96,FALSE),"unknown")</f>
        <v>Employed for wages</v>
      </c>
      <c r="AP474" s="120" t="str">
        <f>IFERROR(VLOOKUP(Table1[RespondentID],'All Data'!$A$3:$CW$999,97,FALSE),"unknown")</f>
        <v>No</v>
      </c>
      <c r="AQ474" s="120" t="str">
        <f>IFERROR(VLOOKUP(Table1[RespondentID],'All Data'!$A$3:$CW$999,98,FALSE),"unknown")</f>
        <v>No Insurance</v>
      </c>
      <c r="AR474" s="120" t="str">
        <f>IFERROR(VLOOKUP(Table1[RespondentID],'All Data'!$A$3:$CW$999,99,FALSE),"unknown")</f>
        <v>Yes</v>
      </c>
    </row>
    <row r="475" spans="1:44" ht="16">
      <c r="A475" s="133">
        <v>18031750983</v>
      </c>
      <c r="B475" s="173"/>
      <c r="C475" s="174"/>
      <c r="D475" s="174"/>
      <c r="E475" s="174" t="s">
        <v>32</v>
      </c>
      <c r="F475" s="174"/>
      <c r="G475" s="174"/>
      <c r="H475" s="174"/>
      <c r="I475" s="174"/>
      <c r="J475" s="174"/>
      <c r="K475" s="174"/>
      <c r="L475" s="174"/>
      <c r="M475" s="170">
        <f t="shared" si="119"/>
        <v>1</v>
      </c>
      <c r="N475" s="170">
        <f t="shared" si="120"/>
        <v>3</v>
      </c>
      <c r="O475" s="170"/>
      <c r="P475" s="170">
        <f t="shared" si="121"/>
        <v>0</v>
      </c>
      <c r="Q475" s="170">
        <f t="shared" si="122"/>
        <v>0</v>
      </c>
      <c r="R475" s="170">
        <f t="shared" si="123"/>
        <v>0</v>
      </c>
      <c r="S475" s="170">
        <f t="shared" si="124"/>
        <v>1</v>
      </c>
      <c r="T475" s="170">
        <f t="shared" si="125"/>
        <v>0</v>
      </c>
      <c r="U475" s="170">
        <f t="shared" si="126"/>
        <v>0</v>
      </c>
      <c r="V475" s="175">
        <f t="shared" si="127"/>
        <v>0</v>
      </c>
      <c r="W475" s="170">
        <f t="shared" si="128"/>
        <v>0</v>
      </c>
      <c r="X475" s="170">
        <f t="shared" si="129"/>
        <v>0</v>
      </c>
      <c r="Y475" s="170">
        <f t="shared" si="130"/>
        <v>0</v>
      </c>
      <c r="Z475" s="170"/>
      <c r="AA475" s="170"/>
      <c r="AB475" s="170">
        <f t="shared" si="131"/>
        <v>1</v>
      </c>
      <c r="AC475" s="170">
        <f t="shared" si="132"/>
        <v>1</v>
      </c>
      <c r="AD475" s="170" t="str">
        <f t="shared" si="133"/>
        <v>Correct</v>
      </c>
      <c r="AE475" s="133"/>
      <c r="AF475" s="120" t="str">
        <f>IFERROR(VLOOKUP(Table1[RespondentID],'All Data'!$A$3:$CO$999,87,FALSE),"unknown")</f>
        <v>Man</v>
      </c>
      <c r="AG475" s="120">
        <f>IFERROR(VLOOKUP(Table1[RespondentID],'All Data'!$A$3:$CO$999,88,FALSE),"unknown")</f>
        <v>61</v>
      </c>
      <c r="AH475" s="120" t="str">
        <f>IFERROR(VLOOKUP(Table1[RespondentID],'All Data'!$A$3:$CO$999,89,FALSE),"unknown")</f>
        <v>Nassau</v>
      </c>
      <c r="AI475" s="120" t="str">
        <f>IFERROR(VLOOKUP(Table1[RespondentID],'All Data'!$A$3:$CO$999,90,FALSE),"unknown")</f>
        <v>Woodbury, 11797</v>
      </c>
      <c r="AJ475" s="120" t="str">
        <f>IFERROR(VLOOKUP(Table1[RespondentID],'All Data'!$A$3:$CO$999,91,FALSE),"unknown")</f>
        <v>White</v>
      </c>
      <c r="AK475" s="120" t="str">
        <f>IFERROR(VLOOKUP(Table1[RespondentID],'All Data'!$A$3:$CO$999,92,FALSE),"unknown")</f>
        <v>Not Hispanic or Latino</v>
      </c>
      <c r="AL475" s="120" t="str">
        <f>IFERROR(VLOOKUP(Table1[RespondentID],'All Data'!$A$3:$CO$999,93,FALSE),"unknown")</f>
        <v>English</v>
      </c>
      <c r="AM475" s="120">
        <f>IFERROR(VLOOKUP(Table1[RespondentID],'All Data'!$A$3:$CW$999,94,FALSE),"unknown")</f>
        <v>0</v>
      </c>
      <c r="AN475" s="120" t="str">
        <f>IFERROR(VLOOKUP(Table1[RespondentID],'All Data'!$A$3:$CW$999,95,FALSE),"unknown")</f>
        <v>College graduate</v>
      </c>
      <c r="AO475" s="120" t="str">
        <f>IFERROR(VLOOKUP(Table1[RespondentID],'All Data'!$A$3:$CW$999,96,FALSE),"unknown")</f>
        <v>Employed for wages</v>
      </c>
      <c r="AP475" s="120" t="str">
        <f>IFERROR(VLOOKUP(Table1[RespondentID],'All Data'!$A$3:$CW$999,97,FALSE),"unknown")</f>
        <v>Yes</v>
      </c>
      <c r="AQ475" s="120" t="str">
        <f>IFERROR(VLOOKUP(Table1[RespondentID],'All Data'!$A$3:$CW$999,98,FALSE),"unknown")</f>
        <v>Private/Commercial</v>
      </c>
      <c r="AR475" s="120" t="str">
        <f>IFERROR(VLOOKUP(Table1[RespondentID],'All Data'!$A$3:$CW$999,99,FALSE),"unknown")</f>
        <v>Yes</v>
      </c>
    </row>
    <row r="476" spans="1:44" ht="16">
      <c r="A476" s="133">
        <v>18031750464</v>
      </c>
      <c r="B476" s="173"/>
      <c r="C476" s="174"/>
      <c r="D476" s="174"/>
      <c r="E476" s="174"/>
      <c r="F476" s="174"/>
      <c r="G476" s="174" t="s">
        <v>34</v>
      </c>
      <c r="H476" s="174"/>
      <c r="I476" s="174"/>
      <c r="J476" s="174"/>
      <c r="K476" s="174"/>
      <c r="L476" s="174"/>
      <c r="M476" s="170">
        <f t="shared" si="119"/>
        <v>1</v>
      </c>
      <c r="N476" s="170">
        <f t="shared" si="120"/>
        <v>3</v>
      </c>
      <c r="O476" s="170"/>
      <c r="P476" s="170">
        <f t="shared" si="121"/>
        <v>0</v>
      </c>
      <c r="Q476" s="170">
        <f t="shared" si="122"/>
        <v>0</v>
      </c>
      <c r="R476" s="170">
        <f t="shared" si="123"/>
        <v>0</v>
      </c>
      <c r="S476" s="170">
        <f t="shared" si="124"/>
        <v>0</v>
      </c>
      <c r="T476" s="170">
        <f t="shared" si="125"/>
        <v>0</v>
      </c>
      <c r="U476" s="170">
        <f t="shared" si="126"/>
        <v>1</v>
      </c>
      <c r="V476" s="175">
        <f t="shared" si="127"/>
        <v>0</v>
      </c>
      <c r="W476" s="170">
        <f t="shared" si="128"/>
        <v>0</v>
      </c>
      <c r="X476" s="170">
        <f t="shared" si="129"/>
        <v>0</v>
      </c>
      <c r="Y476" s="170">
        <f t="shared" si="130"/>
        <v>0</v>
      </c>
      <c r="Z476" s="170"/>
      <c r="AA476" s="170"/>
      <c r="AB476" s="170">
        <f t="shared" si="131"/>
        <v>1</v>
      </c>
      <c r="AC476" s="170">
        <f t="shared" si="132"/>
        <v>1</v>
      </c>
      <c r="AD476" s="170" t="str">
        <f t="shared" si="133"/>
        <v>Correct</v>
      </c>
      <c r="AE476" s="133"/>
      <c r="AF476" s="120" t="str">
        <f>IFERROR(VLOOKUP(Table1[RespondentID],'All Data'!$A$3:$CO$999,87,FALSE),"unknown")</f>
        <v>Woman</v>
      </c>
      <c r="AG476" s="120">
        <f>IFERROR(VLOOKUP(Table1[RespondentID],'All Data'!$A$3:$CO$999,88,FALSE),"unknown")</f>
        <v>74</v>
      </c>
      <c r="AH476" s="120" t="str">
        <f>IFERROR(VLOOKUP(Table1[RespondentID],'All Data'!$A$3:$CO$999,89,FALSE),"unknown")</f>
        <v>Nassau</v>
      </c>
      <c r="AI476" s="120" t="str">
        <f>IFERROR(VLOOKUP(Table1[RespondentID],'All Data'!$A$3:$CO$999,90,FALSE),"unknown")</f>
        <v>Farmingdale, 11735</v>
      </c>
      <c r="AJ476" s="120" t="str">
        <f>IFERROR(VLOOKUP(Table1[RespondentID],'All Data'!$A$3:$CO$999,91,FALSE),"unknown")</f>
        <v>White</v>
      </c>
      <c r="AK476" s="120" t="str">
        <f>IFERROR(VLOOKUP(Table1[RespondentID],'All Data'!$A$3:$CO$999,92,FALSE),"unknown")</f>
        <v>Not Hispanic or Latino</v>
      </c>
      <c r="AL476" s="120" t="str">
        <f>IFERROR(VLOOKUP(Table1[RespondentID],'All Data'!$A$3:$CO$999,93,FALSE),"unknown")</f>
        <v>English</v>
      </c>
      <c r="AM476" s="120" t="str">
        <f>IFERROR(VLOOKUP(Table1[RespondentID],'All Data'!$A$3:$CW$999,94,FALSE),"unknown")</f>
        <v>$75,000 to $125,000</v>
      </c>
      <c r="AN476" s="120" t="str">
        <f>IFERROR(VLOOKUP(Table1[RespondentID],'All Data'!$A$3:$CW$999,95,FALSE),"unknown")</f>
        <v>Graduate school</v>
      </c>
      <c r="AO476" s="120" t="str">
        <f>IFERROR(VLOOKUP(Table1[RespondentID],'All Data'!$A$3:$CW$999,96,FALSE),"unknown")</f>
        <v>Self-employed</v>
      </c>
      <c r="AP476" s="120" t="str">
        <f>IFERROR(VLOOKUP(Table1[RespondentID],'All Data'!$A$3:$CW$999,97,FALSE),"unknown")</f>
        <v>Yes</v>
      </c>
      <c r="AQ476" s="120" t="str">
        <f>IFERROR(VLOOKUP(Table1[RespondentID],'All Data'!$A$3:$CW$999,98,FALSE),"unknown")</f>
        <v>Medicare,Private/Commercial</v>
      </c>
      <c r="AR476" s="120" t="str">
        <f>IFERROR(VLOOKUP(Table1[RespondentID],'All Data'!$A$3:$CW$999,99,FALSE),"unknown")</f>
        <v>Yes</v>
      </c>
    </row>
    <row r="477" spans="1:44" ht="16">
      <c r="A477" s="133">
        <v>18031749512</v>
      </c>
      <c r="B477" s="173"/>
      <c r="C477" s="174"/>
      <c r="D477" s="174"/>
      <c r="E477" s="174"/>
      <c r="F477" s="174"/>
      <c r="G477" s="174"/>
      <c r="H477" s="174"/>
      <c r="I477" s="174" t="s">
        <v>36</v>
      </c>
      <c r="J477" s="174" t="s">
        <v>37</v>
      </c>
      <c r="K477" s="174"/>
      <c r="L477" s="174"/>
      <c r="M477" s="170">
        <f t="shared" si="119"/>
        <v>2</v>
      </c>
      <c r="N477" s="170">
        <f t="shared" si="120"/>
        <v>1.5</v>
      </c>
      <c r="O477" s="170"/>
      <c r="P477" s="170">
        <f t="shared" si="121"/>
        <v>0</v>
      </c>
      <c r="Q477" s="170">
        <f t="shared" si="122"/>
        <v>0</v>
      </c>
      <c r="R477" s="170">
        <f t="shared" si="123"/>
        <v>0</v>
      </c>
      <c r="S477" s="170">
        <f t="shared" si="124"/>
        <v>0</v>
      </c>
      <c r="T477" s="170">
        <f t="shared" si="125"/>
        <v>0</v>
      </c>
      <c r="U477" s="170">
        <f t="shared" si="126"/>
        <v>0</v>
      </c>
      <c r="V477" s="175">
        <f t="shared" si="127"/>
        <v>0</v>
      </c>
      <c r="W477" s="170">
        <f t="shared" si="128"/>
        <v>1</v>
      </c>
      <c r="X477" s="170">
        <f t="shared" si="129"/>
        <v>1</v>
      </c>
      <c r="Y477" s="170">
        <f t="shared" si="130"/>
        <v>0</v>
      </c>
      <c r="Z477" s="170"/>
      <c r="AA477" s="170"/>
      <c r="AB477" s="170">
        <f t="shared" si="131"/>
        <v>2</v>
      </c>
      <c r="AC477" s="170">
        <f t="shared" si="132"/>
        <v>2</v>
      </c>
      <c r="AD477" s="170" t="str">
        <f t="shared" si="133"/>
        <v>Correct</v>
      </c>
      <c r="AE477" s="133"/>
      <c r="AF477" s="120" t="str">
        <f>IFERROR(VLOOKUP(Table1[RespondentID],'All Data'!$A$3:$CO$999,87,FALSE),"unknown")</f>
        <v>Woman</v>
      </c>
      <c r="AG477" s="120">
        <f>IFERROR(VLOOKUP(Table1[RespondentID],'All Data'!$A$3:$CO$999,88,FALSE),"unknown")</f>
        <v>70</v>
      </c>
      <c r="AH477" s="120" t="str">
        <f>IFERROR(VLOOKUP(Table1[RespondentID],'All Data'!$A$3:$CO$999,89,FALSE),"unknown")</f>
        <v>Nassau</v>
      </c>
      <c r="AI477" s="120" t="str">
        <f>IFERROR(VLOOKUP(Table1[RespondentID],'All Data'!$A$3:$CO$999,90,FALSE),"unknown")</f>
        <v>Oceanside, 11572</v>
      </c>
      <c r="AJ477" s="120" t="str">
        <f>IFERROR(VLOOKUP(Table1[RespondentID],'All Data'!$A$3:$CO$999,91,FALSE),"unknown")</f>
        <v>White</v>
      </c>
      <c r="AK477" s="120" t="str">
        <f>IFERROR(VLOOKUP(Table1[RespondentID],'All Data'!$A$3:$CO$999,92,FALSE),"unknown")</f>
        <v>Not Hispanic or Latino</v>
      </c>
      <c r="AL477" s="120" t="str">
        <f>IFERROR(VLOOKUP(Table1[RespondentID],'All Data'!$A$3:$CO$999,93,FALSE),"unknown")</f>
        <v>English</v>
      </c>
      <c r="AM477" s="120" t="str">
        <f>IFERROR(VLOOKUP(Table1[RespondentID],'All Data'!$A$3:$CW$999,94,FALSE),"unknown")</f>
        <v>$75,000 to $125,000</v>
      </c>
      <c r="AN477" s="120" t="str">
        <f>IFERROR(VLOOKUP(Table1[RespondentID],'All Data'!$A$3:$CW$999,95,FALSE),"unknown")</f>
        <v>Graduate school</v>
      </c>
      <c r="AO477" s="120" t="str">
        <f>IFERROR(VLOOKUP(Table1[RespondentID],'All Data'!$A$3:$CW$999,96,FALSE),"unknown")</f>
        <v>Retired</v>
      </c>
      <c r="AP477" s="120" t="str">
        <f>IFERROR(VLOOKUP(Table1[RespondentID],'All Data'!$A$3:$CW$999,97,FALSE),"unknown")</f>
        <v>Yes</v>
      </c>
      <c r="AQ477" s="120" t="str">
        <f>IFERROR(VLOOKUP(Table1[RespondentID],'All Data'!$A$3:$CW$999,98,FALSE),"unknown")</f>
        <v>Medicare,Private/Commercial</v>
      </c>
      <c r="AR477" s="120" t="str">
        <f>IFERROR(VLOOKUP(Table1[RespondentID],'All Data'!$A$3:$CW$999,99,FALSE),"unknown")</f>
        <v>Yes</v>
      </c>
    </row>
    <row r="478" spans="1:44" ht="16">
      <c r="A478" s="133">
        <v>18031749227</v>
      </c>
      <c r="B478" s="173"/>
      <c r="C478" s="174"/>
      <c r="D478" s="174" t="s">
        <v>31</v>
      </c>
      <c r="E478" s="174"/>
      <c r="F478" s="174"/>
      <c r="G478" s="174"/>
      <c r="H478" s="174" t="s">
        <v>35</v>
      </c>
      <c r="I478" s="174" t="s">
        <v>36</v>
      </c>
      <c r="J478" s="174"/>
      <c r="K478" s="174"/>
      <c r="L478" s="174"/>
      <c r="M478" s="170">
        <f t="shared" si="119"/>
        <v>3</v>
      </c>
      <c r="N478" s="170">
        <f t="shared" si="120"/>
        <v>1</v>
      </c>
      <c r="O478" s="170"/>
      <c r="P478" s="170">
        <f t="shared" si="121"/>
        <v>0</v>
      </c>
      <c r="Q478" s="170">
        <f t="shared" si="122"/>
        <v>0</v>
      </c>
      <c r="R478" s="170">
        <f t="shared" si="123"/>
        <v>1</v>
      </c>
      <c r="S478" s="170">
        <f t="shared" si="124"/>
        <v>0</v>
      </c>
      <c r="T478" s="170">
        <f t="shared" si="125"/>
        <v>0</v>
      </c>
      <c r="U478" s="170">
        <f t="shared" si="126"/>
        <v>0</v>
      </c>
      <c r="V478" s="175">
        <f t="shared" si="127"/>
        <v>1</v>
      </c>
      <c r="W478" s="170">
        <f t="shared" si="128"/>
        <v>1</v>
      </c>
      <c r="X478" s="170">
        <f t="shared" si="129"/>
        <v>0</v>
      </c>
      <c r="Y478" s="170">
        <f t="shared" si="130"/>
        <v>0</v>
      </c>
      <c r="Z478" s="170"/>
      <c r="AA478" s="170"/>
      <c r="AB478" s="170">
        <f t="shared" si="131"/>
        <v>3</v>
      </c>
      <c r="AC478" s="170">
        <f t="shared" si="132"/>
        <v>3</v>
      </c>
      <c r="AD478" s="170" t="str">
        <f t="shared" si="133"/>
        <v>Correct</v>
      </c>
      <c r="AE478" s="133"/>
      <c r="AF478" s="120" t="str">
        <f>IFERROR(VLOOKUP(Table1[RespondentID],'All Data'!$A$3:$CO$999,87,FALSE),"unknown")</f>
        <v>Woman</v>
      </c>
      <c r="AG478" s="120">
        <f>IFERROR(VLOOKUP(Table1[RespondentID],'All Data'!$A$3:$CO$999,88,FALSE),"unknown")</f>
        <v>40</v>
      </c>
      <c r="AH478" s="120" t="str">
        <f>IFERROR(VLOOKUP(Table1[RespondentID],'All Data'!$A$3:$CO$999,89,FALSE),"unknown")</f>
        <v>Nassau</v>
      </c>
      <c r="AI478" s="120" t="str">
        <f>IFERROR(VLOOKUP(Table1[RespondentID],'All Data'!$A$3:$CO$999,90,FALSE),"unknown")</f>
        <v>Oceanside, 11572</v>
      </c>
      <c r="AJ478" s="120" t="str">
        <f>IFERROR(VLOOKUP(Table1[RespondentID],'All Data'!$A$3:$CO$999,91,FALSE),"unknown")</f>
        <v>White</v>
      </c>
      <c r="AK478" s="120" t="str">
        <f>IFERROR(VLOOKUP(Table1[RespondentID],'All Data'!$A$3:$CO$999,92,FALSE),"unknown")</f>
        <v>Not Hispanic or Latino</v>
      </c>
      <c r="AL478" s="120" t="str">
        <f>IFERROR(VLOOKUP(Table1[RespondentID],'All Data'!$A$3:$CO$999,93,FALSE),"unknown")</f>
        <v>English</v>
      </c>
      <c r="AM478" s="120">
        <f>IFERROR(VLOOKUP(Table1[RespondentID],'All Data'!$A$3:$CW$999,94,FALSE),"unknown")</f>
        <v>0</v>
      </c>
      <c r="AN478" s="120" t="str">
        <f>IFERROR(VLOOKUP(Table1[RespondentID],'All Data'!$A$3:$CW$999,95,FALSE),"unknown")</f>
        <v>College graduate</v>
      </c>
      <c r="AO478" s="120" t="str">
        <f>IFERROR(VLOOKUP(Table1[RespondentID],'All Data'!$A$3:$CW$999,96,FALSE),"unknown")</f>
        <v>Out of work and looking for work</v>
      </c>
      <c r="AP478" s="120" t="str">
        <f>IFERROR(VLOOKUP(Table1[RespondentID],'All Data'!$A$3:$CW$999,97,FALSE),"unknown")</f>
        <v>Yes</v>
      </c>
      <c r="AQ478" s="120" t="str">
        <f>IFERROR(VLOOKUP(Table1[RespondentID],'All Data'!$A$3:$CW$999,98,FALSE),"unknown")</f>
        <v>Private/Commercial</v>
      </c>
      <c r="AR478" s="120" t="str">
        <f>IFERROR(VLOOKUP(Table1[RespondentID],'All Data'!$A$3:$CW$999,99,FALSE),"unknown")</f>
        <v>Yes</v>
      </c>
    </row>
    <row r="479" spans="1:44" ht="16">
      <c r="A479" s="133">
        <v>18031749129</v>
      </c>
      <c r="B479" s="173"/>
      <c r="C479" s="174"/>
      <c r="D479" s="174"/>
      <c r="E479" s="174"/>
      <c r="F479" s="174"/>
      <c r="G479" s="174" t="s">
        <v>34</v>
      </c>
      <c r="H479" s="174"/>
      <c r="I479" s="174"/>
      <c r="J479" s="174"/>
      <c r="K479" s="174"/>
      <c r="L479" s="174"/>
      <c r="M479" s="170">
        <f t="shared" si="119"/>
        <v>1</v>
      </c>
      <c r="N479" s="170">
        <f t="shared" si="120"/>
        <v>3</v>
      </c>
      <c r="O479" s="170"/>
      <c r="P479" s="170">
        <f t="shared" si="121"/>
        <v>0</v>
      </c>
      <c r="Q479" s="170">
        <f t="shared" si="122"/>
        <v>0</v>
      </c>
      <c r="R479" s="170">
        <f t="shared" si="123"/>
        <v>0</v>
      </c>
      <c r="S479" s="170">
        <f t="shared" si="124"/>
        <v>0</v>
      </c>
      <c r="T479" s="170">
        <f t="shared" si="125"/>
        <v>0</v>
      </c>
      <c r="U479" s="170">
        <f t="shared" si="126"/>
        <v>1</v>
      </c>
      <c r="V479" s="175">
        <f t="shared" si="127"/>
        <v>0</v>
      </c>
      <c r="W479" s="170">
        <f t="shared" si="128"/>
        <v>0</v>
      </c>
      <c r="X479" s="170">
        <f t="shared" si="129"/>
        <v>0</v>
      </c>
      <c r="Y479" s="170">
        <f t="shared" si="130"/>
        <v>0</v>
      </c>
      <c r="Z479" s="170"/>
      <c r="AA479" s="170"/>
      <c r="AB479" s="170">
        <f t="shared" si="131"/>
        <v>1</v>
      </c>
      <c r="AC479" s="170">
        <f t="shared" si="132"/>
        <v>1</v>
      </c>
      <c r="AD479" s="170" t="str">
        <f t="shared" si="133"/>
        <v>Correct</v>
      </c>
      <c r="AE479" s="133"/>
      <c r="AF479" s="120" t="str">
        <f>IFERROR(VLOOKUP(Table1[RespondentID],'All Data'!$A$3:$CO$999,87,FALSE),"unknown")</f>
        <v>Woman</v>
      </c>
      <c r="AG479" s="120">
        <f>IFERROR(VLOOKUP(Table1[RespondentID],'All Data'!$A$3:$CO$999,88,FALSE),"unknown")</f>
        <v>75</v>
      </c>
      <c r="AH479" s="120" t="str">
        <f>IFERROR(VLOOKUP(Table1[RespondentID],'All Data'!$A$3:$CO$999,89,FALSE),"unknown")</f>
        <v>Suffolk</v>
      </c>
      <c r="AI479" s="120" t="str">
        <f>IFERROR(VLOOKUP(Table1[RespondentID],'All Data'!$A$3:$CO$999,90,FALSE),"unknown")</f>
        <v>East Northport, 11731</v>
      </c>
      <c r="AJ479" s="120" t="str">
        <f>IFERROR(VLOOKUP(Table1[RespondentID],'All Data'!$A$3:$CO$999,91,FALSE),"unknown")</f>
        <v>White</v>
      </c>
      <c r="AK479" s="120" t="str">
        <f>IFERROR(VLOOKUP(Table1[RespondentID],'All Data'!$A$3:$CO$999,92,FALSE),"unknown")</f>
        <v>Not Hispanic or Latino</v>
      </c>
      <c r="AL479" s="120" t="str">
        <f>IFERROR(VLOOKUP(Table1[RespondentID],'All Data'!$A$3:$CO$999,93,FALSE),"unknown")</f>
        <v>English</v>
      </c>
      <c r="AM479" s="120" t="str">
        <f>IFERROR(VLOOKUP(Table1[RespondentID],'All Data'!$A$3:$CW$999,94,FALSE),"unknown")</f>
        <v>$75,000 to $125,000</v>
      </c>
      <c r="AN479" s="120" t="str">
        <f>IFERROR(VLOOKUP(Table1[RespondentID],'All Data'!$A$3:$CW$999,95,FALSE),"unknown")</f>
        <v>Graduate school</v>
      </c>
      <c r="AO479" s="120" t="str">
        <f>IFERROR(VLOOKUP(Table1[RespondentID],'All Data'!$A$3:$CW$999,96,FALSE),"unknown")</f>
        <v>Retired</v>
      </c>
      <c r="AP479" s="120" t="str">
        <f>IFERROR(VLOOKUP(Table1[RespondentID],'All Data'!$A$3:$CW$999,97,FALSE),"unknown")</f>
        <v>Yes</v>
      </c>
      <c r="AQ479" s="120" t="str">
        <f>IFERROR(VLOOKUP(Table1[RespondentID],'All Data'!$A$3:$CW$999,98,FALSE),"unknown")</f>
        <v>Medicare,Private/Commercial</v>
      </c>
      <c r="AR479" s="120" t="str">
        <f>IFERROR(VLOOKUP(Table1[RespondentID],'All Data'!$A$3:$CW$999,99,FALSE),"unknown")</f>
        <v>Yes</v>
      </c>
    </row>
    <row r="480" spans="1:44" ht="16">
      <c r="A480" s="133">
        <v>18031748998</v>
      </c>
      <c r="B480" s="173"/>
      <c r="C480" s="174"/>
      <c r="D480" s="174"/>
      <c r="E480" s="174"/>
      <c r="F480" s="174"/>
      <c r="G480" s="174"/>
      <c r="H480" s="174"/>
      <c r="I480" s="174"/>
      <c r="J480" s="174"/>
      <c r="K480" s="174" t="s">
        <v>375</v>
      </c>
      <c r="L480" s="174"/>
      <c r="M480" s="170">
        <f t="shared" si="119"/>
        <v>1</v>
      </c>
      <c r="N480" s="170">
        <f t="shared" si="120"/>
        <v>3</v>
      </c>
      <c r="O480" s="170"/>
      <c r="P480" s="170">
        <f t="shared" si="121"/>
        <v>0</v>
      </c>
      <c r="Q480" s="170">
        <f t="shared" si="122"/>
        <v>0</v>
      </c>
      <c r="R480" s="170">
        <f t="shared" si="123"/>
        <v>0</v>
      </c>
      <c r="S480" s="170">
        <f t="shared" si="124"/>
        <v>0</v>
      </c>
      <c r="T480" s="170">
        <f t="shared" si="125"/>
        <v>0</v>
      </c>
      <c r="U480" s="170">
        <f t="shared" si="126"/>
        <v>0</v>
      </c>
      <c r="V480" s="175">
        <f t="shared" si="127"/>
        <v>0</v>
      </c>
      <c r="W480" s="170">
        <f t="shared" si="128"/>
        <v>0</v>
      </c>
      <c r="X480" s="170">
        <f t="shared" si="129"/>
        <v>0</v>
      </c>
      <c r="Y480" s="170">
        <f t="shared" si="130"/>
        <v>1</v>
      </c>
      <c r="Z480" s="170"/>
      <c r="AA480" s="170"/>
      <c r="AB480" s="170">
        <f t="shared" si="131"/>
        <v>1</v>
      </c>
      <c r="AC480" s="170">
        <f t="shared" si="132"/>
        <v>1</v>
      </c>
      <c r="AD480" s="170" t="str">
        <f t="shared" si="133"/>
        <v>Correct</v>
      </c>
      <c r="AE480" s="133"/>
      <c r="AF480" s="120" t="str">
        <f>IFERROR(VLOOKUP(Table1[RespondentID],'All Data'!$A$3:$CO$999,87,FALSE),"unknown")</f>
        <v>Woman</v>
      </c>
      <c r="AG480" s="120">
        <f>IFERROR(VLOOKUP(Table1[RespondentID],'All Data'!$A$3:$CO$999,88,FALSE),"unknown")</f>
        <v>0</v>
      </c>
      <c r="AH480" s="120" t="str">
        <f>IFERROR(VLOOKUP(Table1[RespondentID],'All Data'!$A$3:$CO$999,89,FALSE),"unknown")</f>
        <v>Nassau</v>
      </c>
      <c r="AI480" s="120" t="str">
        <f>IFERROR(VLOOKUP(Table1[RespondentID],'All Data'!$A$3:$CO$999,90,FALSE),"unknown")</f>
        <v>Westbury, 11590</v>
      </c>
      <c r="AJ480" s="120" t="str">
        <f>IFERROR(VLOOKUP(Table1[RespondentID],'All Data'!$A$3:$CO$999,91,FALSE),"unknown")</f>
        <v>Asian</v>
      </c>
      <c r="AK480" s="120" t="str">
        <f>IFERROR(VLOOKUP(Table1[RespondentID],'All Data'!$A$3:$CO$999,92,FALSE),"unknown")</f>
        <v>Not Hispanic or Latino</v>
      </c>
      <c r="AL480" s="120" t="str">
        <f>IFERROR(VLOOKUP(Table1[RespondentID],'All Data'!$A$3:$CO$999,93,FALSE),"unknown")</f>
        <v>English</v>
      </c>
      <c r="AM480" s="120" t="str">
        <f>IFERROR(VLOOKUP(Table1[RespondentID],'All Data'!$A$3:$CW$999,94,FALSE),"unknown")</f>
        <v>$50,000 to $74,999</v>
      </c>
      <c r="AN480" s="120" t="str">
        <f>IFERROR(VLOOKUP(Table1[RespondentID],'All Data'!$A$3:$CW$999,95,FALSE),"unknown")</f>
        <v>Graduate school</v>
      </c>
      <c r="AO480" s="120" t="str">
        <f>IFERROR(VLOOKUP(Table1[RespondentID],'All Data'!$A$3:$CW$999,96,FALSE),"unknown")</f>
        <v>Employed for wages</v>
      </c>
      <c r="AP480" s="120" t="str">
        <f>IFERROR(VLOOKUP(Table1[RespondentID],'All Data'!$A$3:$CW$999,97,FALSE),"unknown")</f>
        <v>Yes</v>
      </c>
      <c r="AQ480" s="120" t="str">
        <f>IFERROR(VLOOKUP(Table1[RespondentID],'All Data'!$A$3:$CW$999,98,FALSE),"unknown")</f>
        <v>Private/Commercial</v>
      </c>
      <c r="AR480" s="120">
        <f>IFERROR(VLOOKUP(Table1[RespondentID],'All Data'!$A$3:$CW$999,99,FALSE),"unknown")</f>
        <v>0</v>
      </c>
    </row>
    <row r="481" spans="1:44" ht="16">
      <c r="A481" s="133">
        <v>18031748776</v>
      </c>
      <c r="B481" s="173"/>
      <c r="C481" s="174"/>
      <c r="D481" s="174"/>
      <c r="E481" s="174"/>
      <c r="F481" s="174"/>
      <c r="G481" s="174"/>
      <c r="H481" s="174"/>
      <c r="I481" s="174"/>
      <c r="J481" s="174"/>
      <c r="K481" s="174"/>
      <c r="L481" s="174"/>
      <c r="M481" s="170">
        <f t="shared" si="119"/>
        <v>0</v>
      </c>
      <c r="N481" s="170" t="e">
        <f t="shared" si="120"/>
        <v>#DIV/0!</v>
      </c>
      <c r="O481" s="170"/>
      <c r="P481" s="170">
        <f t="shared" si="121"/>
        <v>0</v>
      </c>
      <c r="Q481" s="170">
        <f t="shared" si="122"/>
        <v>0</v>
      </c>
      <c r="R481" s="170">
        <f t="shared" si="123"/>
        <v>0</v>
      </c>
      <c r="S481" s="170">
        <f t="shared" si="124"/>
        <v>0</v>
      </c>
      <c r="T481" s="170">
        <f t="shared" si="125"/>
        <v>0</v>
      </c>
      <c r="U481" s="170">
        <f t="shared" si="126"/>
        <v>0</v>
      </c>
      <c r="V481" s="175">
        <f t="shared" si="127"/>
        <v>0</v>
      </c>
      <c r="W481" s="170">
        <f t="shared" si="128"/>
        <v>0</v>
      </c>
      <c r="X481" s="170">
        <f t="shared" si="129"/>
        <v>0</v>
      </c>
      <c r="Y481" s="170">
        <f t="shared" si="130"/>
        <v>0</v>
      </c>
      <c r="Z481" s="170"/>
      <c r="AA481" s="170"/>
      <c r="AB481" s="170">
        <f t="shared" si="131"/>
        <v>0</v>
      </c>
      <c r="AC481" s="170">
        <f t="shared" si="132"/>
        <v>0</v>
      </c>
      <c r="AD481" s="170" t="str">
        <f t="shared" si="133"/>
        <v>Correct</v>
      </c>
      <c r="AE481" s="133"/>
      <c r="AF481" s="120" t="str">
        <f>IFERROR(VLOOKUP(Table1[RespondentID],'All Data'!$A$3:$CO$999,87,FALSE),"unknown")</f>
        <v>Woman</v>
      </c>
      <c r="AG481" s="120">
        <f>IFERROR(VLOOKUP(Table1[RespondentID],'All Data'!$A$3:$CO$999,88,FALSE),"unknown")</f>
        <v>82</v>
      </c>
      <c r="AH481" s="120" t="str">
        <f>IFERROR(VLOOKUP(Table1[RespondentID],'All Data'!$A$3:$CO$999,89,FALSE),"unknown")</f>
        <v>Nassau</v>
      </c>
      <c r="AI481" s="120" t="str">
        <f>IFERROR(VLOOKUP(Table1[RespondentID],'All Data'!$A$3:$CO$999,90,FALSE),"unknown")</f>
        <v>Manhasset, 11030</v>
      </c>
      <c r="AJ481" s="120" t="str">
        <f>IFERROR(VLOOKUP(Table1[RespondentID],'All Data'!$A$3:$CO$999,91,FALSE),"unknown")</f>
        <v>Two or more races</v>
      </c>
      <c r="AK481" s="120" t="str">
        <f>IFERROR(VLOOKUP(Table1[RespondentID],'All Data'!$A$3:$CO$999,92,FALSE),"unknown")</f>
        <v>Not Hispanic or Latino</v>
      </c>
      <c r="AL481" s="120" t="str">
        <f>IFERROR(VLOOKUP(Table1[RespondentID],'All Data'!$A$3:$CO$999,93,FALSE),"unknown")</f>
        <v>English</v>
      </c>
      <c r="AM481" s="120" t="str">
        <f>IFERROR(VLOOKUP(Table1[RespondentID],'All Data'!$A$3:$CW$999,94,FALSE),"unknown")</f>
        <v>$20,000 to $34,999</v>
      </c>
      <c r="AN481" s="120" t="str">
        <f>IFERROR(VLOOKUP(Table1[RespondentID],'All Data'!$A$3:$CW$999,95,FALSE),"unknown")</f>
        <v>High school graduate</v>
      </c>
      <c r="AO481" s="120" t="str">
        <f>IFERROR(VLOOKUP(Table1[RespondentID],'All Data'!$A$3:$CW$999,96,FALSE),"unknown")</f>
        <v>Retired</v>
      </c>
      <c r="AP481" s="120" t="str">
        <f>IFERROR(VLOOKUP(Table1[RespondentID],'All Data'!$A$3:$CW$999,97,FALSE),"unknown")</f>
        <v>Yes</v>
      </c>
      <c r="AQ481" s="120" t="str">
        <f>IFERROR(VLOOKUP(Table1[RespondentID],'All Data'!$A$3:$CW$999,98,FALSE),"unknown")</f>
        <v>Medicare</v>
      </c>
      <c r="AR481" s="120" t="str">
        <f>IFERROR(VLOOKUP(Table1[RespondentID],'All Data'!$A$3:$CW$999,99,FALSE),"unknown")</f>
        <v>Yes</v>
      </c>
    </row>
    <row r="482" spans="1:44" ht="16">
      <c r="A482" s="133">
        <v>18031748295</v>
      </c>
      <c r="B482" s="173"/>
      <c r="C482" s="174"/>
      <c r="D482" s="174"/>
      <c r="E482" s="174"/>
      <c r="F482" s="174"/>
      <c r="G482" s="174"/>
      <c r="H482" s="174"/>
      <c r="I482" s="174"/>
      <c r="J482" s="174" t="s">
        <v>37</v>
      </c>
      <c r="K482" s="174"/>
      <c r="L482" s="174"/>
      <c r="M482" s="170">
        <f t="shared" si="119"/>
        <v>1</v>
      </c>
      <c r="N482" s="170">
        <f t="shared" si="120"/>
        <v>3</v>
      </c>
      <c r="O482" s="170"/>
      <c r="P482" s="170">
        <f t="shared" si="121"/>
        <v>0</v>
      </c>
      <c r="Q482" s="170">
        <f t="shared" si="122"/>
        <v>0</v>
      </c>
      <c r="R482" s="170">
        <f t="shared" si="123"/>
        <v>0</v>
      </c>
      <c r="S482" s="170">
        <f t="shared" si="124"/>
        <v>0</v>
      </c>
      <c r="T482" s="170">
        <f t="shared" si="125"/>
        <v>0</v>
      </c>
      <c r="U482" s="170">
        <f t="shared" si="126"/>
        <v>0</v>
      </c>
      <c r="V482" s="175">
        <f t="shared" si="127"/>
        <v>0</v>
      </c>
      <c r="W482" s="170">
        <f t="shared" si="128"/>
        <v>0</v>
      </c>
      <c r="X482" s="170">
        <f t="shared" si="129"/>
        <v>1</v>
      </c>
      <c r="Y482" s="170">
        <f t="shared" si="130"/>
        <v>0</v>
      </c>
      <c r="Z482" s="170"/>
      <c r="AA482" s="170"/>
      <c r="AB482" s="170">
        <f t="shared" si="131"/>
        <v>1</v>
      </c>
      <c r="AC482" s="170">
        <f t="shared" si="132"/>
        <v>1</v>
      </c>
      <c r="AD482" s="170" t="str">
        <f t="shared" si="133"/>
        <v>Correct</v>
      </c>
      <c r="AE482" s="133"/>
      <c r="AF482" s="120" t="str">
        <f>IFERROR(VLOOKUP(Table1[RespondentID],'All Data'!$A$3:$CO$999,87,FALSE),"unknown")</f>
        <v>Woman</v>
      </c>
      <c r="AG482" s="120">
        <f>IFERROR(VLOOKUP(Table1[RespondentID],'All Data'!$A$3:$CO$999,88,FALSE),"unknown")</f>
        <v>64</v>
      </c>
      <c r="AH482" s="120" t="str">
        <f>IFERROR(VLOOKUP(Table1[RespondentID],'All Data'!$A$3:$CO$999,89,FALSE),"unknown")</f>
        <v>Queens</v>
      </c>
      <c r="AI482" s="120">
        <f>IFERROR(VLOOKUP(Table1[RespondentID],'All Data'!$A$3:$CO$999,90,FALSE),"unknown")</f>
        <v>0</v>
      </c>
      <c r="AJ482" s="120" t="str">
        <f>IFERROR(VLOOKUP(Table1[RespondentID],'All Data'!$A$3:$CO$999,91,FALSE),"unknown")</f>
        <v>Black or African American</v>
      </c>
      <c r="AK482" s="120" t="str">
        <f>IFERROR(VLOOKUP(Table1[RespondentID],'All Data'!$A$3:$CO$999,92,FALSE),"unknown")</f>
        <v>Not Hispanic or Latino</v>
      </c>
      <c r="AL482" s="120" t="str">
        <f>IFERROR(VLOOKUP(Table1[RespondentID],'All Data'!$A$3:$CO$999,93,FALSE),"unknown")</f>
        <v>English</v>
      </c>
      <c r="AM482" s="120" t="str">
        <f>IFERROR(VLOOKUP(Table1[RespondentID],'All Data'!$A$3:$CW$999,94,FALSE),"unknown")</f>
        <v>$50,000 to $74,999</v>
      </c>
      <c r="AN482" s="120" t="str">
        <f>IFERROR(VLOOKUP(Table1[RespondentID],'All Data'!$A$3:$CW$999,95,FALSE),"unknown")</f>
        <v>Some college</v>
      </c>
      <c r="AO482" s="120" t="str">
        <f>IFERROR(VLOOKUP(Table1[RespondentID],'All Data'!$A$3:$CW$999,96,FALSE),"unknown")</f>
        <v>Employed for wages</v>
      </c>
      <c r="AP482" s="120" t="str">
        <f>IFERROR(VLOOKUP(Table1[RespondentID],'All Data'!$A$3:$CW$999,97,FALSE),"unknown")</f>
        <v>Yes</v>
      </c>
      <c r="AQ482" s="120" t="str">
        <f>IFERROR(VLOOKUP(Table1[RespondentID],'All Data'!$A$3:$CW$999,98,FALSE),"unknown")</f>
        <v>Medicare</v>
      </c>
      <c r="AR482" s="120" t="str">
        <f>IFERROR(VLOOKUP(Table1[RespondentID],'All Data'!$A$3:$CW$999,99,FALSE),"unknown")</f>
        <v>Yes</v>
      </c>
    </row>
    <row r="483" spans="1:44" ht="16">
      <c r="A483" s="133">
        <v>18031748212</v>
      </c>
      <c r="B483" s="173"/>
      <c r="C483" s="174" t="s">
        <v>30</v>
      </c>
      <c r="D483" s="174"/>
      <c r="E483" s="174"/>
      <c r="F483" s="174" t="s">
        <v>33</v>
      </c>
      <c r="G483" s="174"/>
      <c r="H483" s="174"/>
      <c r="I483" s="174"/>
      <c r="J483" s="174" t="s">
        <v>37</v>
      </c>
      <c r="K483" s="174"/>
      <c r="L483" s="174"/>
      <c r="M483" s="170">
        <f t="shared" si="119"/>
        <v>3</v>
      </c>
      <c r="N483" s="170">
        <f t="shared" si="120"/>
        <v>1</v>
      </c>
      <c r="O483" s="170"/>
      <c r="P483" s="170">
        <f t="shared" si="121"/>
        <v>0</v>
      </c>
      <c r="Q483" s="170">
        <f t="shared" si="122"/>
        <v>1</v>
      </c>
      <c r="R483" s="170">
        <f t="shared" si="123"/>
        <v>0</v>
      </c>
      <c r="S483" s="170">
        <f t="shared" si="124"/>
        <v>0</v>
      </c>
      <c r="T483" s="170">
        <f t="shared" si="125"/>
        <v>1</v>
      </c>
      <c r="U483" s="170">
        <f t="shared" si="126"/>
        <v>0</v>
      </c>
      <c r="V483" s="175">
        <f t="shared" si="127"/>
        <v>0</v>
      </c>
      <c r="W483" s="170">
        <f t="shared" si="128"/>
        <v>0</v>
      </c>
      <c r="X483" s="170">
        <f t="shared" si="129"/>
        <v>1</v>
      </c>
      <c r="Y483" s="170">
        <f t="shared" si="130"/>
        <v>0</v>
      </c>
      <c r="Z483" s="170"/>
      <c r="AA483" s="170"/>
      <c r="AB483" s="170">
        <f t="shared" si="131"/>
        <v>3</v>
      </c>
      <c r="AC483" s="170">
        <f t="shared" si="132"/>
        <v>3</v>
      </c>
      <c r="AD483" s="170" t="str">
        <f t="shared" si="133"/>
        <v>Correct</v>
      </c>
      <c r="AE483" s="133"/>
      <c r="AF483" s="120" t="str">
        <f>IFERROR(VLOOKUP(Table1[RespondentID],'All Data'!$A$3:$CO$999,87,FALSE),"unknown")</f>
        <v>Woman</v>
      </c>
      <c r="AG483" s="120">
        <f>IFERROR(VLOOKUP(Table1[RespondentID],'All Data'!$A$3:$CO$999,88,FALSE),"unknown")</f>
        <v>50</v>
      </c>
      <c r="AH483" s="120" t="str">
        <f>IFERROR(VLOOKUP(Table1[RespondentID],'All Data'!$A$3:$CO$999,89,FALSE),"unknown")</f>
        <v>Nassau</v>
      </c>
      <c r="AI483" s="120" t="str">
        <f>IFERROR(VLOOKUP(Table1[RespondentID],'All Data'!$A$3:$CO$999,90,FALSE),"unknown")</f>
        <v>New Hyde Park, 11040</v>
      </c>
      <c r="AJ483" s="120" t="str">
        <f>IFERROR(VLOOKUP(Table1[RespondentID],'All Data'!$A$3:$CO$999,91,FALSE),"unknown")</f>
        <v>Asian</v>
      </c>
      <c r="AK483" s="120" t="str">
        <f>IFERROR(VLOOKUP(Table1[RespondentID],'All Data'!$A$3:$CO$999,92,FALSE),"unknown")</f>
        <v>Not Hispanic or Latino</v>
      </c>
      <c r="AL483" s="120" t="str">
        <f>IFERROR(VLOOKUP(Table1[RespondentID],'All Data'!$A$3:$CO$999,93,FALSE),"unknown")</f>
        <v>English,Chinese</v>
      </c>
      <c r="AM483" s="120" t="str">
        <f>IFERROR(VLOOKUP(Table1[RespondentID],'All Data'!$A$3:$CW$999,94,FALSE),"unknown")</f>
        <v>Over $125,000</v>
      </c>
      <c r="AN483" s="120" t="str">
        <f>IFERROR(VLOOKUP(Table1[RespondentID],'All Data'!$A$3:$CW$999,95,FALSE),"unknown")</f>
        <v>College graduate</v>
      </c>
      <c r="AO483" s="120" t="str">
        <f>IFERROR(VLOOKUP(Table1[RespondentID],'All Data'!$A$3:$CW$999,96,FALSE),"unknown")</f>
        <v>Employed for wages</v>
      </c>
      <c r="AP483" s="120" t="str">
        <f>IFERROR(VLOOKUP(Table1[RespondentID],'All Data'!$A$3:$CW$999,97,FALSE),"unknown")</f>
        <v>Yes</v>
      </c>
      <c r="AQ483" s="120" t="str">
        <f>IFERROR(VLOOKUP(Table1[RespondentID],'All Data'!$A$3:$CW$999,98,FALSE),"unknown")</f>
        <v>Private/Commercial</v>
      </c>
      <c r="AR483" s="120" t="str">
        <f>IFERROR(VLOOKUP(Table1[RespondentID],'All Data'!$A$3:$CW$999,99,FALSE),"unknown")</f>
        <v>Yes</v>
      </c>
    </row>
    <row r="484" spans="1:44" ht="16">
      <c r="A484" s="133">
        <v>18031748123</v>
      </c>
      <c r="B484" s="173"/>
      <c r="C484" s="174"/>
      <c r="D484" s="174"/>
      <c r="E484" s="174"/>
      <c r="F484" s="174"/>
      <c r="G484" s="174"/>
      <c r="H484" s="174"/>
      <c r="I484" s="174"/>
      <c r="J484" s="174"/>
      <c r="K484" s="174"/>
      <c r="L484" s="174"/>
      <c r="M484" s="170">
        <f t="shared" si="119"/>
        <v>0</v>
      </c>
      <c r="N484" s="170" t="e">
        <f t="shared" si="120"/>
        <v>#DIV/0!</v>
      </c>
      <c r="O484" s="170"/>
      <c r="P484" s="170">
        <f t="shared" si="121"/>
        <v>0</v>
      </c>
      <c r="Q484" s="170">
        <f t="shared" si="122"/>
        <v>0</v>
      </c>
      <c r="R484" s="170">
        <f t="shared" si="123"/>
        <v>0</v>
      </c>
      <c r="S484" s="170">
        <f t="shared" si="124"/>
        <v>0</v>
      </c>
      <c r="T484" s="170">
        <f t="shared" si="125"/>
        <v>0</v>
      </c>
      <c r="U484" s="170">
        <f t="shared" si="126"/>
        <v>0</v>
      </c>
      <c r="V484" s="175">
        <f t="shared" si="127"/>
        <v>0</v>
      </c>
      <c r="W484" s="170">
        <f t="shared" si="128"/>
        <v>0</v>
      </c>
      <c r="X484" s="170">
        <f t="shared" si="129"/>
        <v>0</v>
      </c>
      <c r="Y484" s="170">
        <f t="shared" si="130"/>
        <v>0</v>
      </c>
      <c r="Z484" s="170"/>
      <c r="AA484" s="170"/>
      <c r="AB484" s="170">
        <f t="shared" si="131"/>
        <v>0</v>
      </c>
      <c r="AC484" s="170">
        <f t="shared" si="132"/>
        <v>0</v>
      </c>
      <c r="AD484" s="170" t="str">
        <f t="shared" si="133"/>
        <v>Correct</v>
      </c>
      <c r="AE484" s="133"/>
      <c r="AF484" s="120" t="str">
        <f>IFERROR(VLOOKUP(Table1[RespondentID],'All Data'!$A$3:$CO$999,87,FALSE),"unknown")</f>
        <v>Woman</v>
      </c>
      <c r="AG484" s="120">
        <f>IFERROR(VLOOKUP(Table1[RespondentID],'All Data'!$A$3:$CO$999,88,FALSE),"unknown")</f>
        <v>81</v>
      </c>
      <c r="AH484" s="120" t="str">
        <f>IFERROR(VLOOKUP(Table1[RespondentID],'All Data'!$A$3:$CO$999,89,FALSE),"unknown")</f>
        <v>Nassau</v>
      </c>
      <c r="AI484" s="120" t="str">
        <f>IFERROR(VLOOKUP(Table1[RespondentID],'All Data'!$A$3:$CO$999,90,FALSE),"unknown")</f>
        <v>Manhasset, 11030</v>
      </c>
      <c r="AJ484" s="120" t="str">
        <f>IFERROR(VLOOKUP(Table1[RespondentID],'All Data'!$A$3:$CO$999,91,FALSE),"unknown")</f>
        <v>Black or African American</v>
      </c>
      <c r="AK484" s="120" t="str">
        <f>IFERROR(VLOOKUP(Table1[RespondentID],'All Data'!$A$3:$CO$999,92,FALSE),"unknown")</f>
        <v>Not Hispanic or Latino</v>
      </c>
      <c r="AL484" s="120" t="str">
        <f>IFERROR(VLOOKUP(Table1[RespondentID],'All Data'!$A$3:$CO$999,93,FALSE),"unknown")</f>
        <v>English</v>
      </c>
      <c r="AM484" s="120">
        <f>IFERROR(VLOOKUP(Table1[RespondentID],'All Data'!$A$3:$CW$999,94,FALSE),"unknown")</f>
        <v>0</v>
      </c>
      <c r="AN484" s="120" t="str">
        <f>IFERROR(VLOOKUP(Table1[RespondentID],'All Data'!$A$3:$CW$999,95,FALSE),"unknown")</f>
        <v>High school graduate</v>
      </c>
      <c r="AO484" s="120" t="str">
        <f>IFERROR(VLOOKUP(Table1[RespondentID],'All Data'!$A$3:$CW$999,96,FALSE),"unknown")</f>
        <v>Retired</v>
      </c>
      <c r="AP484" s="120" t="str">
        <f>IFERROR(VLOOKUP(Table1[RespondentID],'All Data'!$A$3:$CW$999,97,FALSE),"unknown")</f>
        <v>Yes</v>
      </c>
      <c r="AQ484" s="120" t="str">
        <f>IFERROR(VLOOKUP(Table1[RespondentID],'All Data'!$A$3:$CW$999,98,FALSE),"unknown")</f>
        <v>Medicare</v>
      </c>
      <c r="AR484" s="120" t="str">
        <f>IFERROR(VLOOKUP(Table1[RespondentID],'All Data'!$A$3:$CW$999,99,FALSE),"unknown")</f>
        <v>No</v>
      </c>
    </row>
    <row r="485" spans="1:44" ht="16">
      <c r="A485" s="133">
        <v>18031747963</v>
      </c>
      <c r="B485" s="173"/>
      <c r="C485" s="174"/>
      <c r="D485" s="174"/>
      <c r="E485" s="174"/>
      <c r="F485" s="174"/>
      <c r="G485" s="174"/>
      <c r="H485" s="174"/>
      <c r="I485" s="174"/>
      <c r="J485" s="174"/>
      <c r="K485" s="174" t="s">
        <v>375</v>
      </c>
      <c r="L485" s="174"/>
      <c r="M485" s="170">
        <f t="shared" si="119"/>
        <v>1</v>
      </c>
      <c r="N485" s="170">
        <f t="shared" si="120"/>
        <v>3</v>
      </c>
      <c r="O485" s="170"/>
      <c r="P485" s="170">
        <f t="shared" si="121"/>
        <v>0</v>
      </c>
      <c r="Q485" s="170">
        <f t="shared" si="122"/>
        <v>0</v>
      </c>
      <c r="R485" s="170">
        <f t="shared" si="123"/>
        <v>0</v>
      </c>
      <c r="S485" s="170">
        <f t="shared" si="124"/>
        <v>0</v>
      </c>
      <c r="T485" s="170">
        <f t="shared" si="125"/>
        <v>0</v>
      </c>
      <c r="U485" s="170">
        <f t="shared" si="126"/>
        <v>0</v>
      </c>
      <c r="V485" s="175">
        <f t="shared" si="127"/>
        <v>0</v>
      </c>
      <c r="W485" s="170">
        <f t="shared" si="128"/>
        <v>0</v>
      </c>
      <c r="X485" s="170">
        <f t="shared" si="129"/>
        <v>0</v>
      </c>
      <c r="Y485" s="170">
        <f t="shared" si="130"/>
        <v>1</v>
      </c>
      <c r="Z485" s="170"/>
      <c r="AA485" s="170"/>
      <c r="AB485" s="170">
        <f t="shared" si="131"/>
        <v>1</v>
      </c>
      <c r="AC485" s="170">
        <f t="shared" si="132"/>
        <v>1</v>
      </c>
      <c r="AD485" s="170" t="str">
        <f t="shared" si="133"/>
        <v>Correct</v>
      </c>
      <c r="AE485" s="133"/>
      <c r="AF485" s="120" t="str">
        <f>IFERROR(VLOOKUP(Table1[RespondentID],'All Data'!$A$3:$CO$999,87,FALSE),"unknown")</f>
        <v>Man</v>
      </c>
      <c r="AG485" s="120">
        <f>IFERROR(VLOOKUP(Table1[RespondentID],'All Data'!$A$3:$CO$999,88,FALSE),"unknown")</f>
        <v>79</v>
      </c>
      <c r="AH485" s="120">
        <f>IFERROR(VLOOKUP(Table1[RespondentID],'All Data'!$A$3:$CO$999,89,FALSE),"unknown")</f>
        <v>0</v>
      </c>
      <c r="AI485" s="120">
        <f>IFERROR(VLOOKUP(Table1[RespondentID],'All Data'!$A$3:$CO$999,90,FALSE),"unknown")</f>
        <v>0</v>
      </c>
      <c r="AJ485" s="120" t="str">
        <f>IFERROR(VLOOKUP(Table1[RespondentID],'All Data'!$A$3:$CO$999,91,FALSE),"unknown")</f>
        <v>White</v>
      </c>
      <c r="AK485" s="120" t="str">
        <f>IFERROR(VLOOKUP(Table1[RespondentID],'All Data'!$A$3:$CO$999,92,FALSE),"unknown")</f>
        <v>Not Hispanic or Latino</v>
      </c>
      <c r="AL485" s="120" t="str">
        <f>IFERROR(VLOOKUP(Table1[RespondentID],'All Data'!$A$3:$CO$999,93,FALSE),"unknown")</f>
        <v>English</v>
      </c>
      <c r="AM485" s="120" t="str">
        <f>IFERROR(VLOOKUP(Table1[RespondentID],'All Data'!$A$3:$CW$999,94,FALSE),"unknown")</f>
        <v>$75,000 to $125,000</v>
      </c>
      <c r="AN485" s="120" t="str">
        <f>IFERROR(VLOOKUP(Table1[RespondentID],'All Data'!$A$3:$CW$999,95,FALSE),"unknown")</f>
        <v>College graduate</v>
      </c>
      <c r="AO485" s="120" t="str">
        <f>IFERROR(VLOOKUP(Table1[RespondentID],'All Data'!$A$3:$CW$999,96,FALSE),"unknown")</f>
        <v>Retired</v>
      </c>
      <c r="AP485" s="120" t="str">
        <f>IFERROR(VLOOKUP(Table1[RespondentID],'All Data'!$A$3:$CW$999,97,FALSE),"unknown")</f>
        <v>Yes</v>
      </c>
      <c r="AQ485" s="120" t="str">
        <f>IFERROR(VLOOKUP(Table1[RespondentID],'All Data'!$A$3:$CW$999,98,FALSE),"unknown")</f>
        <v>Medicare</v>
      </c>
      <c r="AR485" s="120" t="str">
        <f>IFERROR(VLOOKUP(Table1[RespondentID],'All Data'!$A$3:$CW$999,99,FALSE),"unknown")</f>
        <v>Yes</v>
      </c>
    </row>
    <row r="486" spans="1:44" ht="16">
      <c r="A486" s="133">
        <v>18031747878</v>
      </c>
      <c r="B486" s="173"/>
      <c r="C486" s="174"/>
      <c r="D486" s="174"/>
      <c r="E486" s="174"/>
      <c r="F486" s="174"/>
      <c r="G486" s="174" t="s">
        <v>34</v>
      </c>
      <c r="H486" s="174" t="s">
        <v>35</v>
      </c>
      <c r="I486" s="174"/>
      <c r="J486" s="174"/>
      <c r="K486" s="174" t="s">
        <v>375</v>
      </c>
      <c r="L486" s="174"/>
      <c r="M486" s="170">
        <f t="shared" si="119"/>
        <v>3</v>
      </c>
      <c r="N486" s="170">
        <f t="shared" si="120"/>
        <v>1</v>
      </c>
      <c r="O486" s="170"/>
      <c r="P486" s="170">
        <f t="shared" si="121"/>
        <v>0</v>
      </c>
      <c r="Q486" s="170">
        <f t="shared" si="122"/>
        <v>0</v>
      </c>
      <c r="R486" s="170">
        <f t="shared" si="123"/>
        <v>0</v>
      </c>
      <c r="S486" s="170">
        <f t="shared" si="124"/>
        <v>0</v>
      </c>
      <c r="T486" s="170">
        <f t="shared" si="125"/>
        <v>0</v>
      </c>
      <c r="U486" s="170">
        <f t="shared" si="126"/>
        <v>1</v>
      </c>
      <c r="V486" s="175">
        <f t="shared" si="127"/>
        <v>1</v>
      </c>
      <c r="W486" s="170">
        <f t="shared" si="128"/>
        <v>0</v>
      </c>
      <c r="X486" s="170">
        <f t="shared" si="129"/>
        <v>0</v>
      </c>
      <c r="Y486" s="170">
        <f t="shared" si="130"/>
        <v>1</v>
      </c>
      <c r="Z486" s="170"/>
      <c r="AA486" s="170"/>
      <c r="AB486" s="170">
        <f t="shared" si="131"/>
        <v>3</v>
      </c>
      <c r="AC486" s="170">
        <f t="shared" si="132"/>
        <v>3</v>
      </c>
      <c r="AD486" s="170" t="str">
        <f t="shared" si="133"/>
        <v>Correct</v>
      </c>
      <c r="AE486" s="133"/>
      <c r="AF486" s="120" t="str">
        <f>IFERROR(VLOOKUP(Table1[RespondentID],'All Data'!$A$3:$CO$999,87,FALSE),"unknown")</f>
        <v>Woman</v>
      </c>
      <c r="AG486" s="120">
        <f>IFERROR(VLOOKUP(Table1[RespondentID],'All Data'!$A$3:$CO$999,88,FALSE),"unknown")</f>
        <v>86</v>
      </c>
      <c r="AH486" s="120" t="str">
        <f>IFERROR(VLOOKUP(Table1[RespondentID],'All Data'!$A$3:$CO$999,89,FALSE),"unknown")</f>
        <v>Nassau</v>
      </c>
      <c r="AI486" s="120" t="str">
        <f>IFERROR(VLOOKUP(Table1[RespondentID],'All Data'!$A$3:$CO$999,90,FALSE),"unknown")</f>
        <v>New Hyde Park, 11040</v>
      </c>
      <c r="AJ486" s="120" t="str">
        <f>IFERROR(VLOOKUP(Table1[RespondentID],'All Data'!$A$3:$CO$999,91,FALSE),"unknown")</f>
        <v>White</v>
      </c>
      <c r="AK486" s="120" t="str">
        <f>IFERROR(VLOOKUP(Table1[RespondentID],'All Data'!$A$3:$CO$999,92,FALSE),"unknown")</f>
        <v>Not Hispanic or Latino</v>
      </c>
      <c r="AL486" s="120" t="str">
        <f>IFERROR(VLOOKUP(Table1[RespondentID],'All Data'!$A$3:$CO$999,93,FALSE),"unknown")</f>
        <v>English</v>
      </c>
      <c r="AM486" s="120">
        <f>IFERROR(VLOOKUP(Table1[RespondentID],'All Data'!$A$3:$CW$999,94,FALSE),"unknown")</f>
        <v>0</v>
      </c>
      <c r="AN486" s="120" t="str">
        <f>IFERROR(VLOOKUP(Table1[RespondentID],'All Data'!$A$3:$CW$999,95,FALSE),"unknown")</f>
        <v>High school graduate</v>
      </c>
      <c r="AO486" s="120" t="str">
        <f>IFERROR(VLOOKUP(Table1[RespondentID],'All Data'!$A$3:$CW$999,96,FALSE),"unknown")</f>
        <v>Retired</v>
      </c>
      <c r="AP486" s="120" t="str">
        <f>IFERROR(VLOOKUP(Table1[RespondentID],'All Data'!$A$3:$CW$999,97,FALSE),"unknown")</f>
        <v>Yes</v>
      </c>
      <c r="AQ486" s="120" t="str">
        <f>IFERROR(VLOOKUP(Table1[RespondentID],'All Data'!$A$3:$CW$999,98,FALSE),"unknown")</f>
        <v>Medicare</v>
      </c>
      <c r="AR486" s="120" t="str">
        <f>IFERROR(VLOOKUP(Table1[RespondentID],'All Data'!$A$3:$CW$999,99,FALSE),"unknown")</f>
        <v>No</v>
      </c>
    </row>
    <row r="487" spans="1:44" ht="16">
      <c r="A487" s="133">
        <v>18031747796</v>
      </c>
      <c r="B487" s="173" t="s">
        <v>29</v>
      </c>
      <c r="C487" s="174"/>
      <c r="D487" s="174"/>
      <c r="E487" s="174"/>
      <c r="F487" s="174"/>
      <c r="G487" s="174"/>
      <c r="H487" s="174"/>
      <c r="I487" s="174"/>
      <c r="J487" s="174" t="s">
        <v>37</v>
      </c>
      <c r="K487" s="174" t="s">
        <v>375</v>
      </c>
      <c r="L487" s="174"/>
      <c r="M487" s="170">
        <f t="shared" si="119"/>
        <v>3</v>
      </c>
      <c r="N487" s="170">
        <f t="shared" si="120"/>
        <v>1</v>
      </c>
      <c r="O487" s="170"/>
      <c r="P487" s="170">
        <f t="shared" si="121"/>
        <v>1</v>
      </c>
      <c r="Q487" s="170">
        <f t="shared" si="122"/>
        <v>0</v>
      </c>
      <c r="R487" s="170">
        <f t="shared" si="123"/>
        <v>0</v>
      </c>
      <c r="S487" s="170">
        <f t="shared" si="124"/>
        <v>0</v>
      </c>
      <c r="T487" s="170">
        <f t="shared" si="125"/>
        <v>0</v>
      </c>
      <c r="U487" s="170">
        <f t="shared" si="126"/>
        <v>0</v>
      </c>
      <c r="V487" s="175">
        <f t="shared" si="127"/>
        <v>0</v>
      </c>
      <c r="W487" s="170">
        <f t="shared" si="128"/>
        <v>0</v>
      </c>
      <c r="X487" s="170">
        <f t="shared" si="129"/>
        <v>1</v>
      </c>
      <c r="Y487" s="170">
        <f t="shared" si="130"/>
        <v>1</v>
      </c>
      <c r="Z487" s="170"/>
      <c r="AA487" s="170"/>
      <c r="AB487" s="170">
        <f t="shared" si="131"/>
        <v>3</v>
      </c>
      <c r="AC487" s="170">
        <f t="shared" si="132"/>
        <v>3</v>
      </c>
      <c r="AD487" s="170" t="str">
        <f t="shared" si="133"/>
        <v>Correct</v>
      </c>
      <c r="AE487" s="133"/>
      <c r="AF487" s="120" t="str">
        <f>IFERROR(VLOOKUP(Table1[RespondentID],'All Data'!$A$3:$CO$999,87,FALSE),"unknown")</f>
        <v>Man</v>
      </c>
      <c r="AG487" s="120">
        <f>IFERROR(VLOOKUP(Table1[RespondentID],'All Data'!$A$3:$CO$999,88,FALSE),"unknown")</f>
        <v>56</v>
      </c>
      <c r="AH487" s="120" t="str">
        <f>IFERROR(VLOOKUP(Table1[RespondentID],'All Data'!$A$3:$CO$999,89,FALSE),"unknown")</f>
        <v>Nassau</v>
      </c>
      <c r="AI487" s="120" t="str">
        <f>IFERROR(VLOOKUP(Table1[RespondentID],'All Data'!$A$3:$CO$999,90,FALSE),"unknown")</f>
        <v>Manhasset, 11030</v>
      </c>
      <c r="AJ487" s="120" t="str">
        <f>IFERROR(VLOOKUP(Table1[RespondentID],'All Data'!$A$3:$CO$999,91,FALSE),"unknown")</f>
        <v>White</v>
      </c>
      <c r="AK487" s="120" t="str">
        <f>IFERROR(VLOOKUP(Table1[RespondentID],'All Data'!$A$3:$CO$999,92,FALSE),"unknown")</f>
        <v>Not Hispanic or Latino</v>
      </c>
      <c r="AL487" s="120" t="str">
        <f>IFERROR(VLOOKUP(Table1[RespondentID],'All Data'!$A$3:$CO$999,93,FALSE),"unknown")</f>
        <v>English</v>
      </c>
      <c r="AM487" s="120" t="str">
        <f>IFERROR(VLOOKUP(Table1[RespondentID],'All Data'!$A$3:$CW$999,94,FALSE),"unknown")</f>
        <v>$0-$19,999</v>
      </c>
      <c r="AN487" s="120" t="str">
        <f>IFERROR(VLOOKUP(Table1[RespondentID],'All Data'!$A$3:$CW$999,95,FALSE),"unknown")</f>
        <v>Some college</v>
      </c>
      <c r="AO487" s="120" t="str">
        <f>IFERROR(VLOOKUP(Table1[RespondentID],'All Data'!$A$3:$CW$999,96,FALSE),"unknown")</f>
        <v>Out of work, but not currently looking</v>
      </c>
      <c r="AP487" s="120" t="str">
        <f>IFERROR(VLOOKUP(Table1[RespondentID],'All Data'!$A$3:$CW$999,97,FALSE),"unknown")</f>
        <v>Yes</v>
      </c>
      <c r="AQ487" s="120" t="str">
        <f>IFERROR(VLOOKUP(Table1[RespondentID],'All Data'!$A$3:$CW$999,98,FALSE),"unknown")</f>
        <v>Medicaid</v>
      </c>
      <c r="AR487" s="120" t="str">
        <f>IFERROR(VLOOKUP(Table1[RespondentID],'All Data'!$A$3:$CW$999,99,FALSE),"unknown")</f>
        <v>No</v>
      </c>
    </row>
    <row r="488" spans="1:44" ht="16">
      <c r="A488" s="133">
        <v>18031747661</v>
      </c>
      <c r="B488" s="173"/>
      <c r="C488" s="174"/>
      <c r="D488" s="174"/>
      <c r="E488" s="174" t="s">
        <v>32</v>
      </c>
      <c r="F488" s="174"/>
      <c r="G488" s="174"/>
      <c r="H488" s="174"/>
      <c r="I488" s="174"/>
      <c r="J488" s="174"/>
      <c r="K488" s="174" t="s">
        <v>375</v>
      </c>
      <c r="L488" s="174"/>
      <c r="M488" s="170">
        <f t="shared" si="119"/>
        <v>2</v>
      </c>
      <c r="N488" s="170">
        <f t="shared" si="120"/>
        <v>1.5</v>
      </c>
      <c r="O488" s="170"/>
      <c r="P488" s="170">
        <f t="shared" si="121"/>
        <v>0</v>
      </c>
      <c r="Q488" s="170">
        <f t="shared" si="122"/>
        <v>0</v>
      </c>
      <c r="R488" s="170">
        <f t="shared" si="123"/>
        <v>0</v>
      </c>
      <c r="S488" s="170">
        <f t="shared" si="124"/>
        <v>1</v>
      </c>
      <c r="T488" s="170">
        <f t="shared" si="125"/>
        <v>0</v>
      </c>
      <c r="U488" s="170">
        <f t="shared" si="126"/>
        <v>0</v>
      </c>
      <c r="V488" s="175">
        <f t="shared" si="127"/>
        <v>0</v>
      </c>
      <c r="W488" s="170">
        <f t="shared" si="128"/>
        <v>0</v>
      </c>
      <c r="X488" s="170">
        <f t="shared" si="129"/>
        <v>0</v>
      </c>
      <c r="Y488" s="170">
        <f t="shared" si="130"/>
        <v>1</v>
      </c>
      <c r="Z488" s="170"/>
      <c r="AA488" s="170"/>
      <c r="AB488" s="170">
        <f t="shared" si="131"/>
        <v>2</v>
      </c>
      <c r="AC488" s="170">
        <f t="shared" si="132"/>
        <v>2</v>
      </c>
      <c r="AD488" s="170" t="str">
        <f t="shared" si="133"/>
        <v>Correct</v>
      </c>
      <c r="AE488" s="133"/>
      <c r="AF488" s="120" t="str">
        <f>IFERROR(VLOOKUP(Table1[RespondentID],'All Data'!$A$3:$CO$999,87,FALSE),"unknown")</f>
        <v>Woman</v>
      </c>
      <c r="AG488" s="120">
        <f>IFERROR(VLOOKUP(Table1[RespondentID],'All Data'!$A$3:$CO$999,88,FALSE),"unknown")</f>
        <v>62</v>
      </c>
      <c r="AH488" s="120" t="str">
        <f>IFERROR(VLOOKUP(Table1[RespondentID],'All Data'!$A$3:$CO$999,89,FALSE),"unknown")</f>
        <v>Nassau</v>
      </c>
      <c r="AI488" s="120" t="str">
        <f>IFERROR(VLOOKUP(Table1[RespondentID],'All Data'!$A$3:$CO$999,90,FALSE),"unknown")</f>
        <v>Franklin Square, 11010</v>
      </c>
      <c r="AJ488" s="120" t="str">
        <f>IFERROR(VLOOKUP(Table1[RespondentID],'All Data'!$A$3:$CO$999,91,FALSE),"unknown")</f>
        <v>White</v>
      </c>
      <c r="AK488" s="120">
        <f>IFERROR(VLOOKUP(Table1[RespondentID],'All Data'!$A$3:$CO$999,92,FALSE),"unknown")</f>
        <v>0</v>
      </c>
      <c r="AL488" s="120" t="str">
        <f>IFERROR(VLOOKUP(Table1[RespondentID],'All Data'!$A$3:$CO$999,93,FALSE),"unknown")</f>
        <v>English</v>
      </c>
      <c r="AM488" s="120" t="str">
        <f>IFERROR(VLOOKUP(Table1[RespondentID],'All Data'!$A$3:$CW$999,94,FALSE),"unknown")</f>
        <v>$75,000 to $125,000</v>
      </c>
      <c r="AN488" s="120" t="str">
        <f>IFERROR(VLOOKUP(Table1[RespondentID],'All Data'!$A$3:$CW$999,95,FALSE),"unknown")</f>
        <v>High school graduate</v>
      </c>
      <c r="AO488" s="120" t="str">
        <f>IFERROR(VLOOKUP(Table1[RespondentID],'All Data'!$A$3:$CW$999,96,FALSE),"unknown")</f>
        <v>Employed for wages</v>
      </c>
      <c r="AP488" s="120" t="str">
        <f>IFERROR(VLOOKUP(Table1[RespondentID],'All Data'!$A$3:$CW$999,97,FALSE),"unknown")</f>
        <v>Yes</v>
      </c>
      <c r="AQ488" s="120" t="str">
        <f>IFERROR(VLOOKUP(Table1[RespondentID],'All Data'!$A$3:$CW$999,98,FALSE),"unknown")</f>
        <v>Private/Commercial</v>
      </c>
      <c r="AR488" s="120" t="str">
        <f>IFERROR(VLOOKUP(Table1[RespondentID],'All Data'!$A$3:$CW$999,99,FALSE),"unknown")</f>
        <v>Yes</v>
      </c>
    </row>
    <row r="489" spans="1:44" ht="16">
      <c r="A489" s="133">
        <v>18031747461</v>
      </c>
      <c r="B489" s="173"/>
      <c r="C489" s="174"/>
      <c r="D489" s="174"/>
      <c r="E489" s="174"/>
      <c r="F489" s="174"/>
      <c r="G489" s="174" t="s">
        <v>34</v>
      </c>
      <c r="H489" s="174"/>
      <c r="I489" s="174"/>
      <c r="J489" s="174"/>
      <c r="K489" s="174"/>
      <c r="L489" s="174"/>
      <c r="M489" s="170">
        <f t="shared" si="119"/>
        <v>1</v>
      </c>
      <c r="N489" s="170">
        <f t="shared" si="120"/>
        <v>3</v>
      </c>
      <c r="O489" s="170"/>
      <c r="P489" s="170">
        <f t="shared" si="121"/>
        <v>0</v>
      </c>
      <c r="Q489" s="170">
        <f t="shared" si="122"/>
        <v>0</v>
      </c>
      <c r="R489" s="170">
        <f t="shared" si="123"/>
        <v>0</v>
      </c>
      <c r="S489" s="170">
        <f t="shared" si="124"/>
        <v>0</v>
      </c>
      <c r="T489" s="170">
        <f t="shared" si="125"/>
        <v>0</v>
      </c>
      <c r="U489" s="170">
        <f t="shared" si="126"/>
        <v>1</v>
      </c>
      <c r="V489" s="175">
        <f t="shared" si="127"/>
        <v>0</v>
      </c>
      <c r="W489" s="170">
        <f t="shared" si="128"/>
        <v>0</v>
      </c>
      <c r="X489" s="170">
        <f t="shared" si="129"/>
        <v>0</v>
      </c>
      <c r="Y489" s="170">
        <f t="shared" si="130"/>
        <v>0</v>
      </c>
      <c r="Z489" s="170"/>
      <c r="AA489" s="170"/>
      <c r="AB489" s="170">
        <f t="shared" si="131"/>
        <v>1</v>
      </c>
      <c r="AC489" s="170">
        <f t="shared" si="132"/>
        <v>1</v>
      </c>
      <c r="AD489" s="170" t="str">
        <f t="shared" si="133"/>
        <v>Correct</v>
      </c>
      <c r="AE489" s="133"/>
      <c r="AF489" s="120">
        <f>IFERROR(VLOOKUP(Table1[RespondentID],'All Data'!$A$3:$CO$999,87,FALSE),"unknown")</f>
        <v>0</v>
      </c>
      <c r="AG489" s="120">
        <f>IFERROR(VLOOKUP(Table1[RespondentID],'All Data'!$A$3:$CO$999,88,FALSE),"unknown")</f>
        <v>0</v>
      </c>
      <c r="AH489" s="120" t="str">
        <f>IFERROR(VLOOKUP(Table1[RespondentID],'All Data'!$A$3:$CO$999,89,FALSE),"unknown")</f>
        <v>Suffolk</v>
      </c>
      <c r="AI489" s="120" t="str">
        <f>IFERROR(VLOOKUP(Table1[RespondentID],'All Data'!$A$3:$CO$999,90,FALSE),"unknown")</f>
        <v>Centerport, 11721</v>
      </c>
      <c r="AJ489" s="120" t="str">
        <f>IFERROR(VLOOKUP(Table1[RespondentID],'All Data'!$A$3:$CO$999,91,FALSE),"unknown")</f>
        <v>White</v>
      </c>
      <c r="AK489" s="120">
        <f>IFERROR(VLOOKUP(Table1[RespondentID],'All Data'!$A$3:$CO$999,92,FALSE),"unknown")</f>
        <v>0</v>
      </c>
      <c r="AL489" s="120" t="str">
        <f>IFERROR(VLOOKUP(Table1[RespondentID],'All Data'!$A$3:$CO$999,93,FALSE),"unknown")</f>
        <v>English</v>
      </c>
      <c r="AM489" s="120">
        <f>IFERROR(VLOOKUP(Table1[RespondentID],'All Data'!$A$3:$CW$999,94,FALSE),"unknown")</f>
        <v>0</v>
      </c>
      <c r="AN489" s="120" t="str">
        <f>IFERROR(VLOOKUP(Table1[RespondentID],'All Data'!$A$3:$CW$999,95,FALSE),"unknown")</f>
        <v>College graduate</v>
      </c>
      <c r="AO489" s="120" t="str">
        <f>IFERROR(VLOOKUP(Table1[RespondentID],'All Data'!$A$3:$CW$999,96,FALSE),"unknown")</f>
        <v>Out of work and looking for work</v>
      </c>
      <c r="AP489" s="120" t="str">
        <f>IFERROR(VLOOKUP(Table1[RespondentID],'All Data'!$A$3:$CW$999,97,FALSE),"unknown")</f>
        <v>Yes</v>
      </c>
      <c r="AQ489" s="120">
        <f>IFERROR(VLOOKUP(Table1[RespondentID],'All Data'!$A$3:$CW$999,98,FALSE),"unknown")</f>
        <v>0</v>
      </c>
      <c r="AR489" s="120" t="str">
        <f>IFERROR(VLOOKUP(Table1[RespondentID],'All Data'!$A$3:$CW$999,99,FALSE),"unknown")</f>
        <v>Yes</v>
      </c>
    </row>
    <row r="490" spans="1:44" ht="16">
      <c r="A490" s="133">
        <v>18031747331</v>
      </c>
      <c r="B490" s="173"/>
      <c r="C490" s="174"/>
      <c r="D490" s="174"/>
      <c r="E490" s="174"/>
      <c r="F490" s="174"/>
      <c r="G490" s="174"/>
      <c r="H490" s="174" t="s">
        <v>35</v>
      </c>
      <c r="I490" s="174"/>
      <c r="J490" s="174"/>
      <c r="K490" s="174" t="s">
        <v>375</v>
      </c>
      <c r="L490" s="174"/>
      <c r="M490" s="170">
        <f t="shared" si="119"/>
        <v>2</v>
      </c>
      <c r="N490" s="170">
        <f t="shared" si="120"/>
        <v>1.5</v>
      </c>
      <c r="O490" s="170"/>
      <c r="P490" s="170">
        <f t="shared" si="121"/>
        <v>0</v>
      </c>
      <c r="Q490" s="170">
        <f t="shared" si="122"/>
        <v>0</v>
      </c>
      <c r="R490" s="170">
        <f t="shared" si="123"/>
        <v>0</v>
      </c>
      <c r="S490" s="170">
        <f t="shared" si="124"/>
        <v>0</v>
      </c>
      <c r="T490" s="170">
        <f t="shared" si="125"/>
        <v>0</v>
      </c>
      <c r="U490" s="170">
        <f t="shared" si="126"/>
        <v>0</v>
      </c>
      <c r="V490" s="175">
        <f t="shared" si="127"/>
        <v>1</v>
      </c>
      <c r="W490" s="170">
        <f t="shared" si="128"/>
        <v>0</v>
      </c>
      <c r="X490" s="170">
        <f t="shared" si="129"/>
        <v>0</v>
      </c>
      <c r="Y490" s="170">
        <f t="shared" si="130"/>
        <v>1</v>
      </c>
      <c r="Z490" s="170"/>
      <c r="AA490" s="170"/>
      <c r="AB490" s="170">
        <f t="shared" si="131"/>
        <v>2</v>
      </c>
      <c r="AC490" s="170">
        <f t="shared" si="132"/>
        <v>2</v>
      </c>
      <c r="AD490" s="170" t="str">
        <f t="shared" si="133"/>
        <v>Correct</v>
      </c>
      <c r="AE490" s="133"/>
      <c r="AF490" s="120" t="str">
        <f>IFERROR(VLOOKUP(Table1[RespondentID],'All Data'!$A$3:$CO$999,87,FALSE),"unknown")</f>
        <v>Woman</v>
      </c>
      <c r="AG490" s="120">
        <f>IFERROR(VLOOKUP(Table1[RespondentID],'All Data'!$A$3:$CO$999,88,FALSE),"unknown")</f>
        <v>69</v>
      </c>
      <c r="AH490" s="120" t="str">
        <f>IFERROR(VLOOKUP(Table1[RespondentID],'All Data'!$A$3:$CO$999,89,FALSE),"unknown")</f>
        <v>Nassau</v>
      </c>
      <c r="AI490" s="120" t="str">
        <f>IFERROR(VLOOKUP(Table1[RespondentID],'All Data'!$A$3:$CO$999,90,FALSE),"unknown")</f>
        <v>Bellerose Terrace, 11001</v>
      </c>
      <c r="AJ490" s="120" t="str">
        <f>IFERROR(VLOOKUP(Table1[RespondentID],'All Data'!$A$3:$CO$999,91,FALSE),"unknown")</f>
        <v>White</v>
      </c>
      <c r="AK490" s="120" t="str">
        <f>IFERROR(VLOOKUP(Table1[RespondentID],'All Data'!$A$3:$CO$999,92,FALSE),"unknown")</f>
        <v>Not Hispanic or Latino</v>
      </c>
      <c r="AL490" s="120" t="str">
        <f>IFERROR(VLOOKUP(Table1[RespondentID],'All Data'!$A$3:$CO$999,93,FALSE),"unknown")</f>
        <v>English</v>
      </c>
      <c r="AM490" s="120" t="str">
        <f>IFERROR(VLOOKUP(Table1[RespondentID],'All Data'!$A$3:$CW$999,94,FALSE),"unknown")</f>
        <v>$35,000 to $49,999</v>
      </c>
      <c r="AN490" s="120" t="str">
        <f>IFERROR(VLOOKUP(Table1[RespondentID],'All Data'!$A$3:$CW$999,95,FALSE),"unknown")</f>
        <v>Graduate school</v>
      </c>
      <c r="AO490" s="120" t="str">
        <f>IFERROR(VLOOKUP(Table1[RespondentID],'All Data'!$A$3:$CW$999,96,FALSE),"unknown")</f>
        <v>Retired</v>
      </c>
      <c r="AP490" s="120" t="str">
        <f>IFERROR(VLOOKUP(Table1[RespondentID],'All Data'!$A$3:$CW$999,97,FALSE),"unknown")</f>
        <v>Yes</v>
      </c>
      <c r="AQ490" s="120" t="str">
        <f>IFERROR(VLOOKUP(Table1[RespondentID],'All Data'!$A$3:$CW$999,98,FALSE),"unknown")</f>
        <v>Medicare</v>
      </c>
      <c r="AR490" s="120" t="str">
        <f>IFERROR(VLOOKUP(Table1[RespondentID],'All Data'!$A$3:$CW$999,99,FALSE),"unknown")</f>
        <v>Yes</v>
      </c>
    </row>
    <row r="491" spans="1:44" ht="16">
      <c r="A491" s="133">
        <v>18031747137</v>
      </c>
      <c r="B491" s="173"/>
      <c r="C491" s="174"/>
      <c r="D491" s="174"/>
      <c r="E491" s="174"/>
      <c r="F491" s="174"/>
      <c r="G491" s="174"/>
      <c r="H491" s="174"/>
      <c r="I491" s="174"/>
      <c r="J491" s="174" t="s">
        <v>37</v>
      </c>
      <c r="K491" s="174"/>
      <c r="L491" s="174"/>
      <c r="M491" s="170">
        <f t="shared" si="119"/>
        <v>1</v>
      </c>
      <c r="N491" s="170">
        <f t="shared" si="120"/>
        <v>3</v>
      </c>
      <c r="O491" s="170"/>
      <c r="P491" s="170">
        <f t="shared" si="121"/>
        <v>0</v>
      </c>
      <c r="Q491" s="170">
        <f t="shared" si="122"/>
        <v>0</v>
      </c>
      <c r="R491" s="170">
        <f t="shared" si="123"/>
        <v>0</v>
      </c>
      <c r="S491" s="170">
        <f t="shared" si="124"/>
        <v>0</v>
      </c>
      <c r="T491" s="170">
        <f t="shared" si="125"/>
        <v>0</v>
      </c>
      <c r="U491" s="170">
        <f t="shared" si="126"/>
        <v>0</v>
      </c>
      <c r="V491" s="175">
        <f t="shared" si="127"/>
        <v>0</v>
      </c>
      <c r="W491" s="170">
        <f t="shared" si="128"/>
        <v>0</v>
      </c>
      <c r="X491" s="170">
        <f t="shared" si="129"/>
        <v>1</v>
      </c>
      <c r="Y491" s="170">
        <f t="shared" si="130"/>
        <v>0</v>
      </c>
      <c r="Z491" s="170"/>
      <c r="AA491" s="170"/>
      <c r="AB491" s="170">
        <f t="shared" si="131"/>
        <v>1</v>
      </c>
      <c r="AC491" s="170">
        <f t="shared" si="132"/>
        <v>1</v>
      </c>
      <c r="AD491" s="170" t="str">
        <f t="shared" si="133"/>
        <v>Correct</v>
      </c>
      <c r="AE491" s="133"/>
      <c r="AF491" s="120" t="str">
        <f>IFERROR(VLOOKUP(Table1[RespondentID],'All Data'!$A$3:$CO$999,87,FALSE),"unknown")</f>
        <v>Man</v>
      </c>
      <c r="AG491" s="120">
        <f>IFERROR(VLOOKUP(Table1[RespondentID],'All Data'!$A$3:$CO$999,88,FALSE),"unknown")</f>
        <v>57</v>
      </c>
      <c r="AH491" s="120" t="str">
        <f>IFERROR(VLOOKUP(Table1[RespondentID],'All Data'!$A$3:$CO$999,89,FALSE),"unknown")</f>
        <v>Nassau</v>
      </c>
      <c r="AI491" s="120" t="str">
        <f>IFERROR(VLOOKUP(Table1[RespondentID],'All Data'!$A$3:$CO$999,90,FALSE),"unknown")</f>
        <v>Floral Park, 11001</v>
      </c>
      <c r="AJ491" s="120" t="str">
        <f>IFERROR(VLOOKUP(Table1[RespondentID],'All Data'!$A$3:$CO$999,91,FALSE),"unknown")</f>
        <v>White</v>
      </c>
      <c r="AK491" s="120" t="str">
        <f>IFERROR(VLOOKUP(Table1[RespondentID],'All Data'!$A$3:$CO$999,92,FALSE),"unknown")</f>
        <v>Not Hispanic or Latino</v>
      </c>
      <c r="AL491" s="120" t="str">
        <f>IFERROR(VLOOKUP(Table1[RespondentID],'All Data'!$A$3:$CO$999,93,FALSE),"unknown")</f>
        <v>English</v>
      </c>
      <c r="AM491" s="120" t="str">
        <f>IFERROR(VLOOKUP(Table1[RespondentID],'All Data'!$A$3:$CW$999,94,FALSE),"unknown")</f>
        <v>$75,000 to $125,000</v>
      </c>
      <c r="AN491" s="120" t="str">
        <f>IFERROR(VLOOKUP(Table1[RespondentID],'All Data'!$A$3:$CW$999,95,FALSE),"unknown")</f>
        <v>High school graduate</v>
      </c>
      <c r="AO491" s="120" t="str">
        <f>IFERROR(VLOOKUP(Table1[RespondentID],'All Data'!$A$3:$CW$999,96,FALSE),"unknown")</f>
        <v>Retired</v>
      </c>
      <c r="AP491" s="120" t="str">
        <f>IFERROR(VLOOKUP(Table1[RespondentID],'All Data'!$A$3:$CW$999,97,FALSE),"unknown")</f>
        <v>Yes</v>
      </c>
      <c r="AQ491" s="120" t="str">
        <f>IFERROR(VLOOKUP(Table1[RespondentID],'All Data'!$A$3:$CW$999,98,FALSE),"unknown")</f>
        <v>Private/Commercial</v>
      </c>
      <c r="AR491" s="120" t="str">
        <f>IFERROR(VLOOKUP(Table1[RespondentID],'All Data'!$A$3:$CW$999,99,FALSE),"unknown")</f>
        <v>Yes</v>
      </c>
    </row>
    <row r="492" spans="1:44" ht="16">
      <c r="A492" s="133">
        <v>18031747033</v>
      </c>
      <c r="B492" s="173"/>
      <c r="C492" s="174"/>
      <c r="D492" s="174"/>
      <c r="E492" s="174"/>
      <c r="F492" s="174"/>
      <c r="G492" s="174"/>
      <c r="H492" s="174"/>
      <c r="I492" s="174"/>
      <c r="J492" s="174"/>
      <c r="K492" s="174"/>
      <c r="L492" s="174" t="s">
        <v>497</v>
      </c>
      <c r="M492" s="170">
        <f t="shared" si="119"/>
        <v>1</v>
      </c>
      <c r="N492" s="170">
        <f t="shared" si="120"/>
        <v>3</v>
      </c>
      <c r="O492" s="170"/>
      <c r="P492" s="170">
        <f t="shared" si="121"/>
        <v>0</v>
      </c>
      <c r="Q492" s="170">
        <f t="shared" si="122"/>
        <v>0</v>
      </c>
      <c r="R492" s="170">
        <f t="shared" si="123"/>
        <v>0</v>
      </c>
      <c r="S492" s="170">
        <f t="shared" si="124"/>
        <v>0</v>
      </c>
      <c r="T492" s="170">
        <f t="shared" si="125"/>
        <v>0</v>
      </c>
      <c r="U492" s="170">
        <f t="shared" si="126"/>
        <v>0</v>
      </c>
      <c r="V492" s="175">
        <f t="shared" si="127"/>
        <v>0</v>
      </c>
      <c r="W492" s="170">
        <f t="shared" si="128"/>
        <v>0</v>
      </c>
      <c r="X492" s="170">
        <f t="shared" si="129"/>
        <v>0</v>
      </c>
      <c r="Y492" s="170">
        <f t="shared" si="130"/>
        <v>0</v>
      </c>
      <c r="Z492" s="170"/>
      <c r="AA492" s="170"/>
      <c r="AB492" s="170">
        <f t="shared" si="131"/>
        <v>0</v>
      </c>
      <c r="AC492" s="170">
        <f t="shared" si="132"/>
        <v>1</v>
      </c>
      <c r="AD492" s="170" t="str">
        <f t="shared" si="133"/>
        <v>Wrong</v>
      </c>
      <c r="AE492" s="133"/>
      <c r="AF492" s="120" t="str">
        <f>IFERROR(VLOOKUP(Table1[RespondentID],'All Data'!$A$3:$CO$999,87,FALSE),"unknown")</f>
        <v>Woman</v>
      </c>
      <c r="AG492" s="120">
        <f>IFERROR(VLOOKUP(Table1[RespondentID],'All Data'!$A$3:$CO$999,88,FALSE),"unknown")</f>
        <v>56</v>
      </c>
      <c r="AH492" s="120" t="str">
        <f>IFERROR(VLOOKUP(Table1[RespondentID],'All Data'!$A$3:$CO$999,89,FALSE),"unknown")</f>
        <v>Nassau</v>
      </c>
      <c r="AI492" s="120" t="str">
        <f>IFERROR(VLOOKUP(Table1[RespondentID],'All Data'!$A$3:$CO$999,90,FALSE),"unknown")</f>
        <v>Floral Park, 11002</v>
      </c>
      <c r="AJ492" s="120">
        <f>IFERROR(VLOOKUP(Table1[RespondentID],'All Data'!$A$3:$CO$999,91,FALSE),"unknown")</f>
        <v>0</v>
      </c>
      <c r="AK492" s="120" t="str">
        <f>IFERROR(VLOOKUP(Table1[RespondentID],'All Data'!$A$3:$CO$999,92,FALSE),"unknown")</f>
        <v>Hispanic or Latino</v>
      </c>
      <c r="AL492" s="120" t="str">
        <f>IFERROR(VLOOKUP(Table1[RespondentID],'All Data'!$A$3:$CO$999,93,FALSE),"unknown")</f>
        <v>English,Spanish</v>
      </c>
      <c r="AM492" s="120" t="str">
        <f>IFERROR(VLOOKUP(Table1[RespondentID],'All Data'!$A$3:$CW$999,94,FALSE),"unknown")</f>
        <v>$75,000 to $125,000</v>
      </c>
      <c r="AN492" s="120" t="str">
        <f>IFERROR(VLOOKUP(Table1[RespondentID],'All Data'!$A$3:$CW$999,95,FALSE),"unknown")</f>
        <v>College graduate</v>
      </c>
      <c r="AO492" s="120" t="str">
        <f>IFERROR(VLOOKUP(Table1[RespondentID],'All Data'!$A$3:$CW$999,96,FALSE),"unknown")</f>
        <v>Employed for wages</v>
      </c>
      <c r="AP492" s="120" t="str">
        <f>IFERROR(VLOOKUP(Table1[RespondentID],'All Data'!$A$3:$CW$999,97,FALSE),"unknown")</f>
        <v>Yes</v>
      </c>
      <c r="AQ492" s="120" t="str">
        <f>IFERROR(VLOOKUP(Table1[RespondentID],'All Data'!$A$3:$CW$999,98,FALSE),"unknown")</f>
        <v>Private/Commercial</v>
      </c>
      <c r="AR492" s="120" t="str">
        <f>IFERROR(VLOOKUP(Table1[RespondentID],'All Data'!$A$3:$CW$999,99,FALSE),"unknown")</f>
        <v>Yes</v>
      </c>
    </row>
    <row r="493" spans="1:44" ht="16">
      <c r="A493" s="133">
        <v>18031743094</v>
      </c>
      <c r="B493" s="173"/>
      <c r="C493" s="174"/>
      <c r="D493" s="174"/>
      <c r="E493" s="174"/>
      <c r="F493" s="174"/>
      <c r="G493" s="174"/>
      <c r="H493" s="174"/>
      <c r="I493" s="174" t="s">
        <v>36</v>
      </c>
      <c r="J493" s="174" t="s">
        <v>37</v>
      </c>
      <c r="K493" s="174" t="s">
        <v>375</v>
      </c>
      <c r="L493" s="174"/>
      <c r="M493" s="170">
        <f t="shared" si="119"/>
        <v>3</v>
      </c>
      <c r="N493" s="170">
        <f t="shared" si="120"/>
        <v>1</v>
      </c>
      <c r="O493" s="170"/>
      <c r="P493" s="170">
        <f t="shared" si="121"/>
        <v>0</v>
      </c>
      <c r="Q493" s="170">
        <f t="shared" si="122"/>
        <v>0</v>
      </c>
      <c r="R493" s="170">
        <f t="shared" si="123"/>
        <v>0</v>
      </c>
      <c r="S493" s="170">
        <f t="shared" si="124"/>
        <v>0</v>
      </c>
      <c r="T493" s="170">
        <f t="shared" si="125"/>
        <v>0</v>
      </c>
      <c r="U493" s="170">
        <f t="shared" si="126"/>
        <v>0</v>
      </c>
      <c r="V493" s="175">
        <f t="shared" si="127"/>
        <v>0</v>
      </c>
      <c r="W493" s="170">
        <f t="shared" si="128"/>
        <v>1</v>
      </c>
      <c r="X493" s="170">
        <f t="shared" si="129"/>
        <v>1</v>
      </c>
      <c r="Y493" s="170">
        <f t="shared" si="130"/>
        <v>1</v>
      </c>
      <c r="Z493" s="170"/>
      <c r="AA493" s="170"/>
      <c r="AB493" s="170">
        <f t="shared" si="131"/>
        <v>3</v>
      </c>
      <c r="AC493" s="170">
        <f t="shared" si="132"/>
        <v>3</v>
      </c>
      <c r="AD493" s="170" t="str">
        <f t="shared" si="133"/>
        <v>Correct</v>
      </c>
      <c r="AE493" s="133"/>
      <c r="AF493" s="120" t="str">
        <f>IFERROR(VLOOKUP(Table1[RespondentID],'All Data'!$A$3:$CO$999,87,FALSE),"unknown")</f>
        <v>Man</v>
      </c>
      <c r="AG493" s="120">
        <f>IFERROR(VLOOKUP(Table1[RespondentID],'All Data'!$A$3:$CO$999,88,FALSE),"unknown")</f>
        <v>78</v>
      </c>
      <c r="AH493" s="120" t="str">
        <f>IFERROR(VLOOKUP(Table1[RespondentID],'All Data'!$A$3:$CO$999,89,FALSE),"unknown")</f>
        <v>Suffolk</v>
      </c>
      <c r="AI493" s="120" t="str">
        <f>IFERROR(VLOOKUP(Table1[RespondentID],'All Data'!$A$3:$CO$999,90,FALSE),"unknown")</f>
        <v>Coram, 11727</v>
      </c>
      <c r="AJ493" s="120" t="str">
        <f>IFERROR(VLOOKUP(Table1[RespondentID],'All Data'!$A$3:$CO$999,91,FALSE),"unknown")</f>
        <v>White</v>
      </c>
      <c r="AK493" s="120" t="str">
        <f>IFERROR(VLOOKUP(Table1[RespondentID],'All Data'!$A$3:$CO$999,92,FALSE),"unknown")</f>
        <v>Not Hispanic or Latino</v>
      </c>
      <c r="AL493" s="120" t="str">
        <f>IFERROR(VLOOKUP(Table1[RespondentID],'All Data'!$A$3:$CO$999,93,FALSE),"unknown")</f>
        <v>English,Italian</v>
      </c>
      <c r="AM493" s="120" t="str">
        <f>IFERROR(VLOOKUP(Table1[RespondentID],'All Data'!$A$3:$CW$999,94,FALSE),"unknown")</f>
        <v>$50,000 to $74,999</v>
      </c>
      <c r="AN493" s="120" t="str">
        <f>IFERROR(VLOOKUP(Table1[RespondentID],'All Data'!$A$3:$CW$999,95,FALSE),"unknown")</f>
        <v>Doctorate</v>
      </c>
      <c r="AO493" s="120" t="str">
        <f>IFERROR(VLOOKUP(Table1[RespondentID],'All Data'!$A$3:$CW$999,96,FALSE),"unknown")</f>
        <v>Retired</v>
      </c>
      <c r="AP493" s="120" t="str">
        <f>IFERROR(VLOOKUP(Table1[RespondentID],'All Data'!$A$3:$CW$999,97,FALSE),"unknown")</f>
        <v>Yes</v>
      </c>
      <c r="AQ493" s="120" t="str">
        <f>IFERROR(VLOOKUP(Table1[RespondentID],'All Data'!$A$3:$CW$999,98,FALSE),"unknown")</f>
        <v>Private/Commercial</v>
      </c>
      <c r="AR493" s="120" t="str">
        <f>IFERROR(VLOOKUP(Table1[RespondentID],'All Data'!$A$3:$CW$999,99,FALSE),"unknown")</f>
        <v>Yes</v>
      </c>
    </row>
    <row r="494" spans="1:44" ht="16">
      <c r="A494" s="133">
        <v>18031732007</v>
      </c>
      <c r="B494" s="173"/>
      <c r="C494" s="174"/>
      <c r="D494" s="174"/>
      <c r="E494" s="174"/>
      <c r="F494" s="174"/>
      <c r="G494" s="174"/>
      <c r="H494" s="174"/>
      <c r="I494" s="174"/>
      <c r="J494" s="174"/>
      <c r="K494" s="174" t="s">
        <v>375</v>
      </c>
      <c r="L494" s="174"/>
      <c r="M494" s="170">
        <f t="shared" ref="M494:M525" si="134">COUNTA(B494:L494)</f>
        <v>1</v>
      </c>
      <c r="N494" s="170">
        <f t="shared" ref="N494:N525" si="135">3/M494</f>
        <v>3</v>
      </c>
      <c r="O494" s="170"/>
      <c r="P494" s="170">
        <f t="shared" ref="P494:P530" si="136">IF($M494&lt;3,IF($B494=$B$1,1,0),IF($B494=$B$1,$N494,0))</f>
        <v>0</v>
      </c>
      <c r="Q494" s="170">
        <f t="shared" ref="Q494:Q530" si="137">IF($M494&lt;3,IF($C494=$C$1,1,0),IF($C494=$C$1,$N494,0))</f>
        <v>0</v>
      </c>
      <c r="R494" s="170">
        <f t="shared" ref="R494:R530" si="138">IF($M494&lt;3,IF($D494=$D$1,1,0),IF($D494=$D$1,$N494,0))</f>
        <v>0</v>
      </c>
      <c r="S494" s="170">
        <f t="shared" ref="S494:S530" si="139">IF($M494&lt;3,IF($E494=$E$1,1,0),IF($E494=$E$1,$N494,0))</f>
        <v>0</v>
      </c>
      <c r="T494" s="170">
        <f t="shared" ref="T494:T530" si="140">IF($M494&lt;3,IF($F494=$F$1,1,0),IF($F494=$F$1,$N494,0))</f>
        <v>0</v>
      </c>
      <c r="U494" s="170">
        <f t="shared" ref="U494:U530" si="141">IF($M494&lt;3,IF($G494=$G$1,1,0),IF($G494=$G$1,$N494,0))</f>
        <v>0</v>
      </c>
      <c r="V494" s="175">
        <f t="shared" ref="V494:V530" si="142">IF($M494&lt;3,IF($H494=$H$1,1,0),IF($H494=$H$1,$N494,0))</f>
        <v>0</v>
      </c>
      <c r="W494" s="170">
        <f t="shared" ref="W494:W530" si="143">IF($M494&lt;3,IF($I494=$I$1,1,0),IF($I494=$I$1,$N494,0))</f>
        <v>0</v>
      </c>
      <c r="X494" s="170">
        <f t="shared" ref="X494:X530" si="144">IF($M494&lt;3,IF($J494=$J$1,1,0),IF($J494=$J$1,$N494,0))</f>
        <v>0</v>
      </c>
      <c r="Y494" s="170">
        <f t="shared" ref="Y494:Y530" si="145">IF($M494&lt;3,IF($K494=$K$1,1,0),IF($K494=$K$1,$N494,0))</f>
        <v>1</v>
      </c>
      <c r="Z494" s="170"/>
      <c r="AA494" s="170"/>
      <c r="AB494" s="170">
        <f t="shared" ref="AB494:AB530" si="146">SUM(P494:Z494)</f>
        <v>1</v>
      </c>
      <c r="AC494" s="170">
        <f t="shared" ref="AC494:AC530" si="147">M494</f>
        <v>1</v>
      </c>
      <c r="AD494" s="170" t="str">
        <f t="shared" ref="AD494:AD525" si="148">IF(AB494=AC494,"Correct",IF(AB494=3,"Correct","Wrong"))</f>
        <v>Correct</v>
      </c>
      <c r="AE494" s="133"/>
      <c r="AF494" s="120" t="str">
        <f>IFERROR(VLOOKUP(Table1[RespondentID],'All Data'!$A$3:$CO$999,87,FALSE),"unknown")</f>
        <v>Man</v>
      </c>
      <c r="AG494" s="120">
        <f>IFERROR(VLOOKUP(Table1[RespondentID],'All Data'!$A$3:$CO$999,88,FALSE),"unknown")</f>
        <v>26</v>
      </c>
      <c r="AH494" s="120" t="str">
        <f>IFERROR(VLOOKUP(Table1[RespondentID],'All Data'!$A$3:$CO$999,89,FALSE),"unknown")</f>
        <v>Suffolk</v>
      </c>
      <c r="AI494" s="120" t="str">
        <f>IFERROR(VLOOKUP(Table1[RespondentID],'All Data'!$A$3:$CO$999,90,FALSE),"unknown")</f>
        <v>Northport, 11768</v>
      </c>
      <c r="AJ494" s="120" t="str">
        <f>IFERROR(VLOOKUP(Table1[RespondentID],'All Data'!$A$3:$CO$999,91,FALSE),"unknown")</f>
        <v>White</v>
      </c>
      <c r="AK494" s="120" t="str">
        <f>IFERROR(VLOOKUP(Table1[RespondentID],'All Data'!$A$3:$CO$999,92,FALSE),"unknown")</f>
        <v>Not Hispanic or Latino</v>
      </c>
      <c r="AL494" s="120" t="str">
        <f>IFERROR(VLOOKUP(Table1[RespondentID],'All Data'!$A$3:$CO$999,93,FALSE),"unknown")</f>
        <v>English</v>
      </c>
      <c r="AM494" s="120" t="str">
        <f>IFERROR(VLOOKUP(Table1[RespondentID],'All Data'!$A$3:$CW$999,94,FALSE),"unknown")</f>
        <v>$50,000 to $74,999</v>
      </c>
      <c r="AN494" s="120" t="str">
        <f>IFERROR(VLOOKUP(Table1[RespondentID],'All Data'!$A$3:$CW$999,95,FALSE),"unknown")</f>
        <v>Graduate school</v>
      </c>
      <c r="AO494" s="120" t="str">
        <f>IFERROR(VLOOKUP(Table1[RespondentID],'All Data'!$A$3:$CW$999,96,FALSE),"unknown")</f>
        <v>Employed for wages</v>
      </c>
      <c r="AP494" s="120" t="str">
        <f>IFERROR(VLOOKUP(Table1[RespondentID],'All Data'!$A$3:$CW$999,97,FALSE),"unknown")</f>
        <v>Yes</v>
      </c>
      <c r="AQ494" s="120" t="str">
        <f>IFERROR(VLOOKUP(Table1[RespondentID],'All Data'!$A$3:$CW$999,98,FALSE),"unknown")</f>
        <v>Private/Commercial</v>
      </c>
      <c r="AR494" s="120" t="str">
        <f>IFERROR(VLOOKUP(Table1[RespondentID],'All Data'!$A$3:$CW$999,99,FALSE),"unknown")</f>
        <v>Yes</v>
      </c>
    </row>
    <row r="495" spans="1:44" ht="16">
      <c r="A495" s="133">
        <v>18031555405</v>
      </c>
      <c r="B495" s="173"/>
      <c r="C495" s="174"/>
      <c r="D495" s="174"/>
      <c r="E495" s="174"/>
      <c r="F495" s="174" t="s">
        <v>33</v>
      </c>
      <c r="G495" s="174"/>
      <c r="H495" s="174"/>
      <c r="I495" s="174" t="s">
        <v>36</v>
      </c>
      <c r="J495" s="174"/>
      <c r="K495" s="174" t="s">
        <v>375</v>
      </c>
      <c r="L495" s="174"/>
      <c r="M495" s="170">
        <f t="shared" si="134"/>
        <v>3</v>
      </c>
      <c r="N495" s="170">
        <f t="shared" si="135"/>
        <v>1</v>
      </c>
      <c r="O495" s="170"/>
      <c r="P495" s="170">
        <f t="shared" si="136"/>
        <v>0</v>
      </c>
      <c r="Q495" s="170">
        <f t="shared" si="137"/>
        <v>0</v>
      </c>
      <c r="R495" s="170">
        <f t="shared" si="138"/>
        <v>0</v>
      </c>
      <c r="S495" s="170">
        <f t="shared" si="139"/>
        <v>0</v>
      </c>
      <c r="T495" s="170">
        <f t="shared" si="140"/>
        <v>1</v>
      </c>
      <c r="U495" s="170">
        <f t="shared" si="141"/>
        <v>0</v>
      </c>
      <c r="V495" s="175">
        <f t="shared" si="142"/>
        <v>0</v>
      </c>
      <c r="W495" s="170">
        <f t="shared" si="143"/>
        <v>1</v>
      </c>
      <c r="X495" s="170">
        <f t="shared" si="144"/>
        <v>0</v>
      </c>
      <c r="Y495" s="170">
        <f t="shared" si="145"/>
        <v>1</v>
      </c>
      <c r="Z495" s="170"/>
      <c r="AA495" s="170"/>
      <c r="AB495" s="170">
        <f t="shared" si="146"/>
        <v>3</v>
      </c>
      <c r="AC495" s="170">
        <f t="shared" si="147"/>
        <v>3</v>
      </c>
      <c r="AD495" s="170" t="str">
        <f t="shared" si="148"/>
        <v>Correct</v>
      </c>
      <c r="AE495" s="133"/>
      <c r="AF495" s="120" t="str">
        <f>IFERROR(VLOOKUP(Table1[RespondentID],'All Data'!$A$3:$CO$999,87,FALSE),"unknown")</f>
        <v>Woman</v>
      </c>
      <c r="AG495" s="120">
        <f>IFERROR(VLOOKUP(Table1[RespondentID],'All Data'!$A$3:$CO$999,88,FALSE),"unknown")</f>
        <v>16</v>
      </c>
      <c r="AH495" s="120" t="str">
        <f>IFERROR(VLOOKUP(Table1[RespondentID],'All Data'!$A$3:$CO$999,89,FALSE),"unknown")</f>
        <v>Suffolk</v>
      </c>
      <c r="AI495" s="120" t="str">
        <f>IFERROR(VLOOKUP(Table1[RespondentID],'All Data'!$A$3:$CO$999,90,FALSE),"unknown")</f>
        <v>Port Jefferson Station, 11776</v>
      </c>
      <c r="AJ495" s="120">
        <f>IFERROR(VLOOKUP(Table1[RespondentID],'All Data'!$A$3:$CO$999,91,FALSE),"unknown")</f>
        <v>0</v>
      </c>
      <c r="AK495" s="120" t="str">
        <f>IFERROR(VLOOKUP(Table1[RespondentID],'All Data'!$A$3:$CO$999,92,FALSE),"unknown")</f>
        <v>Hispanic or Latino</v>
      </c>
      <c r="AL495" s="120" t="str">
        <f>IFERROR(VLOOKUP(Table1[RespondentID],'All Data'!$A$3:$CO$999,93,FALSE),"unknown")</f>
        <v>English,Spanish</v>
      </c>
      <c r="AM495" s="120" t="str">
        <f>IFERROR(VLOOKUP(Table1[RespondentID],'All Data'!$A$3:$CW$999,94,FALSE),"unknown")</f>
        <v>$0-$19,999</v>
      </c>
      <c r="AN495" s="120" t="str">
        <f>IFERROR(VLOOKUP(Table1[RespondentID],'All Data'!$A$3:$CW$999,95,FALSE),"unknown")</f>
        <v>Some high school</v>
      </c>
      <c r="AO495" s="120" t="str">
        <f>IFERROR(VLOOKUP(Table1[RespondentID],'All Data'!$A$3:$CW$999,96,FALSE),"unknown")</f>
        <v>Out of work and looking for work</v>
      </c>
      <c r="AP495" s="120" t="str">
        <f>IFERROR(VLOOKUP(Table1[RespondentID],'All Data'!$A$3:$CW$999,97,FALSE),"unknown")</f>
        <v>Yes</v>
      </c>
      <c r="AQ495" s="120" t="str">
        <f>IFERROR(VLOOKUP(Table1[RespondentID],'All Data'!$A$3:$CW$999,98,FALSE),"unknown")</f>
        <v>Medicaid</v>
      </c>
      <c r="AR495" s="120" t="str">
        <f>IFERROR(VLOOKUP(Table1[RespondentID],'All Data'!$A$3:$CW$999,99,FALSE),"unknown")</f>
        <v>Yes</v>
      </c>
    </row>
    <row r="496" spans="1:44" ht="16">
      <c r="A496" s="133">
        <v>18031341675</v>
      </c>
      <c r="B496" s="173"/>
      <c r="C496" s="174" t="s">
        <v>30</v>
      </c>
      <c r="D496" s="174" t="s">
        <v>31</v>
      </c>
      <c r="E496" s="174" t="s">
        <v>32</v>
      </c>
      <c r="F496" s="174"/>
      <c r="G496" s="174"/>
      <c r="H496" s="174"/>
      <c r="I496" s="174" t="s">
        <v>36</v>
      </c>
      <c r="J496" s="174"/>
      <c r="K496" s="174"/>
      <c r="L496" s="174"/>
      <c r="M496" s="170">
        <f t="shared" si="134"/>
        <v>4</v>
      </c>
      <c r="N496" s="170">
        <f t="shared" si="135"/>
        <v>0.75</v>
      </c>
      <c r="O496" s="170"/>
      <c r="P496" s="170">
        <f t="shared" si="136"/>
        <v>0</v>
      </c>
      <c r="Q496" s="170">
        <f t="shared" si="137"/>
        <v>0.75</v>
      </c>
      <c r="R496" s="170">
        <f t="shared" si="138"/>
        <v>0.75</v>
      </c>
      <c r="S496" s="170">
        <f t="shared" si="139"/>
        <v>0.75</v>
      </c>
      <c r="T496" s="170">
        <f t="shared" si="140"/>
        <v>0</v>
      </c>
      <c r="U496" s="170">
        <f t="shared" si="141"/>
        <v>0</v>
      </c>
      <c r="V496" s="175">
        <f t="shared" si="142"/>
        <v>0</v>
      </c>
      <c r="W496" s="170">
        <f t="shared" si="143"/>
        <v>0.75</v>
      </c>
      <c r="X496" s="170">
        <f t="shared" si="144"/>
        <v>0</v>
      </c>
      <c r="Y496" s="170">
        <f t="shared" si="145"/>
        <v>0</v>
      </c>
      <c r="Z496" s="170"/>
      <c r="AA496" s="170"/>
      <c r="AB496" s="170">
        <f t="shared" si="146"/>
        <v>3</v>
      </c>
      <c r="AC496" s="170">
        <f t="shared" si="147"/>
        <v>4</v>
      </c>
      <c r="AD496" s="170" t="str">
        <f t="shared" si="148"/>
        <v>Correct</v>
      </c>
      <c r="AE496" s="133"/>
      <c r="AF496" s="120" t="str">
        <f>IFERROR(VLOOKUP(Table1[RespondentID],'All Data'!$A$3:$CO$999,87,FALSE),"unknown")</f>
        <v>Woman</v>
      </c>
      <c r="AG496" s="120">
        <f>IFERROR(VLOOKUP(Table1[RespondentID],'All Data'!$A$3:$CO$999,88,FALSE),"unknown")</f>
        <v>28</v>
      </c>
      <c r="AH496" s="120" t="str">
        <f>IFERROR(VLOOKUP(Table1[RespondentID],'All Data'!$A$3:$CO$999,89,FALSE),"unknown")</f>
        <v>Nassau</v>
      </c>
      <c r="AI496" s="120" t="str">
        <f>IFERROR(VLOOKUP(Table1[RespondentID],'All Data'!$A$3:$CO$999,90,FALSE),"unknown")</f>
        <v>Albertson, 11507</v>
      </c>
      <c r="AJ496" s="120" t="str">
        <f>IFERROR(VLOOKUP(Table1[RespondentID],'All Data'!$A$3:$CO$999,91,FALSE),"unknown")</f>
        <v>White</v>
      </c>
      <c r="AK496" s="120" t="str">
        <f>IFERROR(VLOOKUP(Table1[RespondentID],'All Data'!$A$3:$CO$999,92,FALSE),"unknown")</f>
        <v>Not Hispanic or Latino</v>
      </c>
      <c r="AL496" s="120" t="str">
        <f>IFERROR(VLOOKUP(Table1[RespondentID],'All Data'!$A$3:$CO$999,93,FALSE),"unknown")</f>
        <v>English</v>
      </c>
      <c r="AM496" s="120" t="str">
        <f>IFERROR(VLOOKUP(Table1[RespondentID],'All Data'!$A$3:$CW$999,94,FALSE),"unknown")</f>
        <v>$0-$19,999</v>
      </c>
      <c r="AN496" s="120" t="str">
        <f>IFERROR(VLOOKUP(Table1[RespondentID],'All Data'!$A$3:$CW$999,95,FALSE),"unknown")</f>
        <v>Doctorate</v>
      </c>
      <c r="AO496" s="120" t="str">
        <f>IFERROR(VLOOKUP(Table1[RespondentID],'All Data'!$A$3:$CW$999,96,FALSE),"unknown")</f>
        <v>Employed for wages</v>
      </c>
      <c r="AP496" s="120" t="str">
        <f>IFERROR(VLOOKUP(Table1[RespondentID],'All Data'!$A$3:$CW$999,97,FALSE),"unknown")</f>
        <v>Yes</v>
      </c>
      <c r="AQ496" s="120" t="str">
        <f>IFERROR(VLOOKUP(Table1[RespondentID],'All Data'!$A$3:$CW$999,98,FALSE),"unknown")</f>
        <v>Medicaid,Private/Commercial</v>
      </c>
      <c r="AR496" s="120" t="str">
        <f>IFERROR(VLOOKUP(Table1[RespondentID],'All Data'!$A$3:$CW$999,99,FALSE),"unknown")</f>
        <v>Yes</v>
      </c>
    </row>
    <row r="497" spans="1:44" ht="16">
      <c r="A497" s="133">
        <v>18029657257</v>
      </c>
      <c r="B497" s="173"/>
      <c r="C497" s="174"/>
      <c r="D497" s="174"/>
      <c r="E497" s="174" t="s">
        <v>32</v>
      </c>
      <c r="F497" s="174"/>
      <c r="G497" s="174"/>
      <c r="H497" s="174"/>
      <c r="I497" s="174"/>
      <c r="J497" s="174"/>
      <c r="K497" s="174"/>
      <c r="L497" s="174"/>
      <c r="M497" s="170">
        <f t="shared" si="134"/>
        <v>1</v>
      </c>
      <c r="N497" s="170">
        <f t="shared" si="135"/>
        <v>3</v>
      </c>
      <c r="O497" s="170"/>
      <c r="P497" s="170">
        <f t="shared" si="136"/>
        <v>0</v>
      </c>
      <c r="Q497" s="170">
        <f t="shared" si="137"/>
        <v>0</v>
      </c>
      <c r="R497" s="170">
        <f t="shared" si="138"/>
        <v>0</v>
      </c>
      <c r="S497" s="170">
        <f t="shared" si="139"/>
        <v>1</v>
      </c>
      <c r="T497" s="170">
        <f t="shared" si="140"/>
        <v>0</v>
      </c>
      <c r="U497" s="170">
        <f t="shared" si="141"/>
        <v>0</v>
      </c>
      <c r="V497" s="175">
        <f t="shared" si="142"/>
        <v>0</v>
      </c>
      <c r="W497" s="170">
        <f t="shared" si="143"/>
        <v>0</v>
      </c>
      <c r="X497" s="170">
        <f t="shared" si="144"/>
        <v>0</v>
      </c>
      <c r="Y497" s="170">
        <f t="shared" si="145"/>
        <v>0</v>
      </c>
      <c r="Z497" s="170"/>
      <c r="AA497" s="170"/>
      <c r="AB497" s="170">
        <f t="shared" si="146"/>
        <v>1</v>
      </c>
      <c r="AC497" s="170">
        <f t="shared" si="147"/>
        <v>1</v>
      </c>
      <c r="AD497" s="170" t="str">
        <f t="shared" si="148"/>
        <v>Correct</v>
      </c>
      <c r="AE497" s="133"/>
      <c r="AF497" s="120" t="str">
        <f>IFERROR(VLOOKUP(Table1[RespondentID],'All Data'!$A$3:$CO$999,87,FALSE),"unknown")</f>
        <v>Woman</v>
      </c>
      <c r="AG497" s="120">
        <f>IFERROR(VLOOKUP(Table1[RespondentID],'All Data'!$A$3:$CO$999,88,FALSE),"unknown")</f>
        <v>43</v>
      </c>
      <c r="AH497" s="120" t="str">
        <f>IFERROR(VLOOKUP(Table1[RespondentID],'All Data'!$A$3:$CO$999,89,FALSE),"unknown")</f>
        <v>Nassau</v>
      </c>
      <c r="AI497" s="120" t="str">
        <f>IFERROR(VLOOKUP(Table1[RespondentID],'All Data'!$A$3:$CO$999,90,FALSE),"unknown")</f>
        <v>Woodsburgh, 11598</v>
      </c>
      <c r="AJ497" s="120">
        <f>IFERROR(VLOOKUP(Table1[RespondentID],'All Data'!$A$3:$CO$999,91,FALSE),"unknown")</f>
        <v>0</v>
      </c>
      <c r="AK497" s="120">
        <f>IFERROR(VLOOKUP(Table1[RespondentID],'All Data'!$A$3:$CO$999,92,FALSE),"unknown")</f>
        <v>0</v>
      </c>
      <c r="AL497" s="120">
        <f>IFERROR(VLOOKUP(Table1[RespondentID],'All Data'!$A$3:$CO$999,93,FALSE),"unknown")</f>
        <v>0</v>
      </c>
      <c r="AM497" s="120">
        <f>IFERROR(VLOOKUP(Table1[RespondentID],'All Data'!$A$3:$CW$999,94,FALSE),"unknown")</f>
        <v>0</v>
      </c>
      <c r="AN497" s="120">
        <f>IFERROR(VLOOKUP(Table1[RespondentID],'All Data'!$A$3:$CW$999,95,FALSE),"unknown")</f>
        <v>0</v>
      </c>
      <c r="AO497" s="120">
        <f>IFERROR(VLOOKUP(Table1[RespondentID],'All Data'!$A$3:$CW$999,96,FALSE),"unknown")</f>
        <v>0</v>
      </c>
      <c r="AP497" s="120">
        <f>IFERROR(VLOOKUP(Table1[RespondentID],'All Data'!$A$3:$CW$999,97,FALSE),"unknown")</f>
        <v>0</v>
      </c>
      <c r="AQ497" s="120">
        <f>IFERROR(VLOOKUP(Table1[RespondentID],'All Data'!$A$3:$CW$999,98,FALSE),"unknown")</f>
        <v>0</v>
      </c>
      <c r="AR497" s="120">
        <f>IFERROR(VLOOKUP(Table1[RespondentID],'All Data'!$A$3:$CW$999,99,FALSE),"unknown")</f>
        <v>0</v>
      </c>
    </row>
    <row r="498" spans="1:44" ht="16">
      <c r="A498" s="133">
        <v>18029332229</v>
      </c>
      <c r="B498" s="173"/>
      <c r="C498" s="174"/>
      <c r="D498" s="174"/>
      <c r="E498" s="174"/>
      <c r="F498" s="174"/>
      <c r="G498" s="174"/>
      <c r="H498" s="174"/>
      <c r="I498" s="174"/>
      <c r="J498" s="174"/>
      <c r="K498" s="174"/>
      <c r="L498" s="174" t="s">
        <v>500</v>
      </c>
      <c r="M498" s="170">
        <f t="shared" si="134"/>
        <v>1</v>
      </c>
      <c r="N498" s="170">
        <f t="shared" si="135"/>
        <v>3</v>
      </c>
      <c r="O498" s="170"/>
      <c r="P498" s="170">
        <f t="shared" si="136"/>
        <v>0</v>
      </c>
      <c r="Q498" s="170">
        <f t="shared" si="137"/>
        <v>0</v>
      </c>
      <c r="R498" s="170">
        <f t="shared" si="138"/>
        <v>0</v>
      </c>
      <c r="S498" s="170">
        <f t="shared" si="139"/>
        <v>0</v>
      </c>
      <c r="T498" s="170">
        <f t="shared" si="140"/>
        <v>0</v>
      </c>
      <c r="U498" s="170">
        <f t="shared" si="141"/>
        <v>0</v>
      </c>
      <c r="V498" s="175">
        <f t="shared" si="142"/>
        <v>0</v>
      </c>
      <c r="W498" s="170">
        <f t="shared" si="143"/>
        <v>0</v>
      </c>
      <c r="X498" s="170">
        <f t="shared" si="144"/>
        <v>0</v>
      </c>
      <c r="Y498" s="170">
        <f t="shared" si="145"/>
        <v>0</v>
      </c>
      <c r="Z498" s="170"/>
      <c r="AA498" s="170"/>
      <c r="AB498" s="170">
        <f t="shared" si="146"/>
        <v>0</v>
      </c>
      <c r="AC498" s="170">
        <f t="shared" si="147"/>
        <v>1</v>
      </c>
      <c r="AD498" s="170" t="str">
        <f t="shared" si="148"/>
        <v>Wrong</v>
      </c>
      <c r="AE498" s="133"/>
      <c r="AF498" s="120" t="str">
        <f>IFERROR(VLOOKUP(Table1[RespondentID],'All Data'!$A$3:$CO$999,87,FALSE),"unknown")</f>
        <v>Man</v>
      </c>
      <c r="AG498" s="120">
        <f>IFERROR(VLOOKUP(Table1[RespondentID],'All Data'!$A$3:$CO$999,88,FALSE),"unknown")</f>
        <v>65</v>
      </c>
      <c r="AH498" s="120" t="str">
        <f>IFERROR(VLOOKUP(Table1[RespondentID],'All Data'!$A$3:$CO$999,89,FALSE),"unknown")</f>
        <v>Nassau</v>
      </c>
      <c r="AI498" s="120" t="str">
        <f>IFERROR(VLOOKUP(Table1[RespondentID],'All Data'!$A$3:$CO$999,90,FALSE),"unknown")</f>
        <v>Bellmore, 11710</v>
      </c>
      <c r="AJ498" s="120" t="str">
        <f>IFERROR(VLOOKUP(Table1[RespondentID],'All Data'!$A$3:$CO$999,91,FALSE),"unknown")</f>
        <v>Two or more races</v>
      </c>
      <c r="AK498" s="120">
        <f>IFERROR(VLOOKUP(Table1[RespondentID],'All Data'!$A$3:$CO$999,92,FALSE),"unknown")</f>
        <v>0</v>
      </c>
      <c r="AL498" s="120" t="str">
        <f>IFERROR(VLOOKUP(Table1[RespondentID],'All Data'!$A$3:$CO$999,93,FALSE),"unknown")</f>
        <v>English</v>
      </c>
      <c r="AM498" s="120" t="str">
        <f>IFERROR(VLOOKUP(Table1[RespondentID],'All Data'!$A$3:$CW$999,94,FALSE),"unknown")</f>
        <v>Over $125,000</v>
      </c>
      <c r="AN498" s="120" t="str">
        <f>IFERROR(VLOOKUP(Table1[RespondentID],'All Data'!$A$3:$CW$999,95,FALSE),"unknown")</f>
        <v>College graduate</v>
      </c>
      <c r="AO498" s="120" t="str">
        <f>IFERROR(VLOOKUP(Table1[RespondentID],'All Data'!$A$3:$CW$999,96,FALSE),"unknown")</f>
        <v>Employed for wages</v>
      </c>
      <c r="AP498" s="120" t="str">
        <f>IFERROR(VLOOKUP(Table1[RespondentID],'All Data'!$A$3:$CW$999,97,FALSE),"unknown")</f>
        <v>Yes</v>
      </c>
      <c r="AQ498" s="120" t="str">
        <f>IFERROR(VLOOKUP(Table1[RespondentID],'All Data'!$A$3:$CW$999,98,FALSE),"unknown")</f>
        <v>Private/Commercial</v>
      </c>
      <c r="AR498" s="120" t="str">
        <f>IFERROR(VLOOKUP(Table1[RespondentID],'All Data'!$A$3:$CW$999,99,FALSE),"unknown")</f>
        <v>Yes</v>
      </c>
    </row>
    <row r="499" spans="1:44" ht="16">
      <c r="A499" s="133">
        <v>18028570366</v>
      </c>
      <c r="B499" s="173"/>
      <c r="C499" s="174"/>
      <c r="D499" s="174"/>
      <c r="E499" s="174"/>
      <c r="F499" s="174"/>
      <c r="G499" s="174" t="s">
        <v>34</v>
      </c>
      <c r="H499" s="174"/>
      <c r="I499" s="174"/>
      <c r="J499" s="174"/>
      <c r="K499" s="174"/>
      <c r="L499" s="174"/>
      <c r="M499" s="170">
        <f t="shared" si="134"/>
        <v>1</v>
      </c>
      <c r="N499" s="170">
        <f t="shared" si="135"/>
        <v>3</v>
      </c>
      <c r="O499" s="170"/>
      <c r="P499" s="170">
        <f t="shared" si="136"/>
        <v>0</v>
      </c>
      <c r="Q499" s="170">
        <f t="shared" si="137"/>
        <v>0</v>
      </c>
      <c r="R499" s="170">
        <f t="shared" si="138"/>
        <v>0</v>
      </c>
      <c r="S499" s="170">
        <f t="shared" si="139"/>
        <v>0</v>
      </c>
      <c r="T499" s="170">
        <f t="shared" si="140"/>
        <v>0</v>
      </c>
      <c r="U499" s="170">
        <f t="shared" si="141"/>
        <v>1</v>
      </c>
      <c r="V499" s="175">
        <f t="shared" si="142"/>
        <v>0</v>
      </c>
      <c r="W499" s="170">
        <f t="shared" si="143"/>
        <v>0</v>
      </c>
      <c r="X499" s="170">
        <f t="shared" si="144"/>
        <v>0</v>
      </c>
      <c r="Y499" s="170">
        <f t="shared" si="145"/>
        <v>0</v>
      </c>
      <c r="Z499" s="170"/>
      <c r="AA499" s="170"/>
      <c r="AB499" s="170">
        <f t="shared" si="146"/>
        <v>1</v>
      </c>
      <c r="AC499" s="170">
        <f t="shared" si="147"/>
        <v>1</v>
      </c>
      <c r="AD499" s="170" t="str">
        <f t="shared" si="148"/>
        <v>Correct</v>
      </c>
      <c r="AE499" s="133"/>
      <c r="AF499" s="120" t="str">
        <f>IFERROR(VLOOKUP(Table1[RespondentID],'All Data'!$A$3:$CO$999,87,FALSE),"unknown")</f>
        <v>Man</v>
      </c>
      <c r="AG499" s="120">
        <f>IFERROR(VLOOKUP(Table1[RespondentID],'All Data'!$A$3:$CO$999,88,FALSE),"unknown")</f>
        <v>75</v>
      </c>
      <c r="AH499" s="120" t="str">
        <f>IFERROR(VLOOKUP(Table1[RespondentID],'All Data'!$A$3:$CO$999,89,FALSE),"unknown")</f>
        <v>Nassau</v>
      </c>
      <c r="AI499" s="120" t="str">
        <f>IFERROR(VLOOKUP(Table1[RespondentID],'All Data'!$A$3:$CO$999,90,FALSE),"unknown")</f>
        <v>Lawrence, 11559</v>
      </c>
      <c r="AJ499" s="120" t="str">
        <f>IFERROR(VLOOKUP(Table1[RespondentID],'All Data'!$A$3:$CO$999,91,FALSE),"unknown")</f>
        <v>White</v>
      </c>
      <c r="AK499" s="120" t="str">
        <f>IFERROR(VLOOKUP(Table1[RespondentID],'All Data'!$A$3:$CO$999,92,FALSE),"unknown")</f>
        <v>Not Hispanic or Latino</v>
      </c>
      <c r="AL499" s="120" t="str">
        <f>IFERROR(VLOOKUP(Table1[RespondentID],'All Data'!$A$3:$CO$999,93,FALSE),"unknown")</f>
        <v>English</v>
      </c>
      <c r="AM499" s="120">
        <f>IFERROR(VLOOKUP(Table1[RespondentID],'All Data'!$A$3:$CW$999,94,FALSE),"unknown")</f>
        <v>0</v>
      </c>
      <c r="AN499" s="120" t="str">
        <f>IFERROR(VLOOKUP(Table1[RespondentID],'All Data'!$A$3:$CW$999,95,FALSE),"unknown")</f>
        <v>Graduate school</v>
      </c>
      <c r="AO499" s="120" t="str">
        <f>IFERROR(VLOOKUP(Table1[RespondentID],'All Data'!$A$3:$CW$999,96,FALSE),"unknown")</f>
        <v>Self-employed</v>
      </c>
      <c r="AP499" s="120" t="str">
        <f>IFERROR(VLOOKUP(Table1[RespondentID],'All Data'!$A$3:$CW$999,97,FALSE),"unknown")</f>
        <v>Yes</v>
      </c>
      <c r="AQ499" s="120" t="str">
        <f>IFERROR(VLOOKUP(Table1[RespondentID],'All Data'!$A$3:$CW$999,98,FALSE),"unknown")</f>
        <v>Medicare</v>
      </c>
      <c r="AR499" s="120">
        <f>IFERROR(VLOOKUP(Table1[RespondentID],'All Data'!$A$3:$CW$999,99,FALSE),"unknown")</f>
        <v>0</v>
      </c>
    </row>
    <row r="500" spans="1:44" ht="16">
      <c r="A500" s="133">
        <v>18028478878</v>
      </c>
      <c r="B500" s="173"/>
      <c r="C500" s="174"/>
      <c r="D500" s="174"/>
      <c r="E500" s="174"/>
      <c r="F500" s="174"/>
      <c r="G500" s="174"/>
      <c r="H500" s="174"/>
      <c r="I500" s="174"/>
      <c r="J500" s="174"/>
      <c r="K500" s="174"/>
      <c r="L500" s="174"/>
      <c r="M500" s="170">
        <f t="shared" si="134"/>
        <v>0</v>
      </c>
      <c r="N500" s="170" t="e">
        <f t="shared" si="135"/>
        <v>#DIV/0!</v>
      </c>
      <c r="O500" s="170"/>
      <c r="P500" s="170">
        <f t="shared" si="136"/>
        <v>0</v>
      </c>
      <c r="Q500" s="170">
        <f t="shared" si="137"/>
        <v>0</v>
      </c>
      <c r="R500" s="170">
        <f t="shared" si="138"/>
        <v>0</v>
      </c>
      <c r="S500" s="170">
        <f t="shared" si="139"/>
        <v>0</v>
      </c>
      <c r="T500" s="170">
        <f t="shared" si="140"/>
        <v>0</v>
      </c>
      <c r="U500" s="170">
        <f t="shared" si="141"/>
        <v>0</v>
      </c>
      <c r="V500" s="175">
        <f t="shared" si="142"/>
        <v>0</v>
      </c>
      <c r="W500" s="170">
        <f t="shared" si="143"/>
        <v>0</v>
      </c>
      <c r="X500" s="170">
        <f t="shared" si="144"/>
        <v>0</v>
      </c>
      <c r="Y500" s="170">
        <f t="shared" si="145"/>
        <v>0</v>
      </c>
      <c r="Z500" s="170"/>
      <c r="AA500" s="170"/>
      <c r="AB500" s="170">
        <f t="shared" si="146"/>
        <v>0</v>
      </c>
      <c r="AC500" s="170">
        <f t="shared" si="147"/>
        <v>0</v>
      </c>
      <c r="AD500" s="170" t="str">
        <f t="shared" si="148"/>
        <v>Correct</v>
      </c>
      <c r="AE500" s="133"/>
      <c r="AF500" s="120">
        <f>IFERROR(VLOOKUP(Table1[RespondentID],'All Data'!$A$3:$CO$999,87,FALSE),"unknown")</f>
        <v>0</v>
      </c>
      <c r="AG500" s="120">
        <f>IFERROR(VLOOKUP(Table1[RespondentID],'All Data'!$A$3:$CO$999,88,FALSE),"unknown")</f>
        <v>0</v>
      </c>
      <c r="AH500" s="120">
        <f>IFERROR(VLOOKUP(Table1[RespondentID],'All Data'!$A$3:$CO$999,89,FALSE),"unknown")</f>
        <v>0</v>
      </c>
      <c r="AI500" s="120" t="str">
        <f>IFERROR(VLOOKUP(Table1[RespondentID],'All Data'!$A$3:$CO$999,90,FALSE),"unknown")</f>
        <v>Atlantic Beach, 11509</v>
      </c>
      <c r="AJ500" s="120">
        <f>IFERROR(VLOOKUP(Table1[RespondentID],'All Data'!$A$3:$CO$999,91,FALSE),"unknown")</f>
        <v>0</v>
      </c>
      <c r="AK500" s="120">
        <f>IFERROR(VLOOKUP(Table1[RespondentID],'All Data'!$A$3:$CO$999,92,FALSE),"unknown")</f>
        <v>0</v>
      </c>
      <c r="AL500" s="120">
        <f>IFERROR(VLOOKUP(Table1[RespondentID],'All Data'!$A$3:$CO$999,93,FALSE),"unknown")</f>
        <v>0</v>
      </c>
      <c r="AM500" s="120">
        <f>IFERROR(VLOOKUP(Table1[RespondentID],'All Data'!$A$3:$CW$999,94,FALSE),"unknown")</f>
        <v>0</v>
      </c>
      <c r="AN500" s="120">
        <f>IFERROR(VLOOKUP(Table1[RespondentID],'All Data'!$A$3:$CW$999,95,FALSE),"unknown")</f>
        <v>0</v>
      </c>
      <c r="AO500" s="120">
        <f>IFERROR(VLOOKUP(Table1[RespondentID],'All Data'!$A$3:$CW$999,96,FALSE),"unknown")</f>
        <v>0</v>
      </c>
      <c r="AP500" s="120">
        <f>IFERROR(VLOOKUP(Table1[RespondentID],'All Data'!$A$3:$CW$999,97,FALSE),"unknown")</f>
        <v>0</v>
      </c>
      <c r="AQ500" s="120">
        <f>IFERROR(VLOOKUP(Table1[RespondentID],'All Data'!$A$3:$CW$999,98,FALSE),"unknown")</f>
        <v>0</v>
      </c>
      <c r="AR500" s="120">
        <f>IFERROR(VLOOKUP(Table1[RespondentID],'All Data'!$A$3:$CW$999,99,FALSE),"unknown")</f>
        <v>0</v>
      </c>
    </row>
    <row r="501" spans="1:44" ht="16">
      <c r="A501" s="133">
        <v>18027546776</v>
      </c>
      <c r="B501" s="173"/>
      <c r="C501" s="174"/>
      <c r="D501" s="174"/>
      <c r="E501" s="174"/>
      <c r="F501" s="174"/>
      <c r="G501" s="174" t="s">
        <v>34</v>
      </c>
      <c r="H501" s="174"/>
      <c r="I501" s="174"/>
      <c r="J501" s="174"/>
      <c r="K501" s="174"/>
      <c r="L501" s="174"/>
      <c r="M501" s="170">
        <f t="shared" si="134"/>
        <v>1</v>
      </c>
      <c r="N501" s="170">
        <f t="shared" si="135"/>
        <v>3</v>
      </c>
      <c r="O501" s="170"/>
      <c r="P501" s="170">
        <f t="shared" si="136"/>
        <v>0</v>
      </c>
      <c r="Q501" s="170">
        <f t="shared" si="137"/>
        <v>0</v>
      </c>
      <c r="R501" s="170">
        <f t="shared" si="138"/>
        <v>0</v>
      </c>
      <c r="S501" s="170">
        <f t="shared" si="139"/>
        <v>0</v>
      </c>
      <c r="T501" s="170">
        <f t="shared" si="140"/>
        <v>0</v>
      </c>
      <c r="U501" s="170">
        <f t="shared" si="141"/>
        <v>1</v>
      </c>
      <c r="V501" s="175">
        <f t="shared" si="142"/>
        <v>0</v>
      </c>
      <c r="W501" s="170">
        <f t="shared" si="143"/>
        <v>0</v>
      </c>
      <c r="X501" s="170">
        <f t="shared" si="144"/>
        <v>0</v>
      </c>
      <c r="Y501" s="170">
        <f t="shared" si="145"/>
        <v>0</v>
      </c>
      <c r="Z501" s="170"/>
      <c r="AA501" s="170"/>
      <c r="AB501" s="170">
        <f t="shared" si="146"/>
        <v>1</v>
      </c>
      <c r="AC501" s="170">
        <f t="shared" si="147"/>
        <v>1</v>
      </c>
      <c r="AD501" s="170" t="str">
        <f t="shared" si="148"/>
        <v>Correct</v>
      </c>
      <c r="AE501" s="133"/>
      <c r="AF501" s="120">
        <f>IFERROR(VLOOKUP(Table1[RespondentID],'All Data'!$A$3:$CO$999,87,FALSE),"unknown")</f>
        <v>0</v>
      </c>
      <c r="AG501" s="120">
        <f>IFERROR(VLOOKUP(Table1[RespondentID],'All Data'!$A$3:$CO$999,88,FALSE),"unknown")</f>
        <v>0</v>
      </c>
      <c r="AH501" s="120" t="str">
        <f>IFERROR(VLOOKUP(Table1[RespondentID],'All Data'!$A$3:$CO$999,89,FALSE),"unknown")</f>
        <v>Nassau</v>
      </c>
      <c r="AI501" s="120" t="str">
        <f>IFERROR(VLOOKUP(Table1[RespondentID],'All Data'!$A$3:$CO$999,90,FALSE),"unknown")</f>
        <v>Massapequa, 11758</v>
      </c>
      <c r="AJ501" s="120" t="str">
        <f>IFERROR(VLOOKUP(Table1[RespondentID],'All Data'!$A$3:$CO$999,91,FALSE),"unknown")</f>
        <v>White</v>
      </c>
      <c r="AK501" s="120" t="str">
        <f>IFERROR(VLOOKUP(Table1[RespondentID],'All Data'!$A$3:$CO$999,92,FALSE),"unknown")</f>
        <v>Not Hispanic or Latino</v>
      </c>
      <c r="AL501" s="120" t="str">
        <f>IFERROR(VLOOKUP(Table1[RespondentID],'All Data'!$A$3:$CO$999,93,FALSE),"unknown")</f>
        <v>English</v>
      </c>
      <c r="AM501" s="120">
        <f>IFERROR(VLOOKUP(Table1[RespondentID],'All Data'!$A$3:$CW$999,94,FALSE),"unknown")</f>
        <v>0</v>
      </c>
      <c r="AN501" s="120" t="str">
        <f>IFERROR(VLOOKUP(Table1[RespondentID],'All Data'!$A$3:$CW$999,95,FALSE),"unknown")</f>
        <v>Graduate school</v>
      </c>
      <c r="AO501" s="120" t="str">
        <f>IFERROR(VLOOKUP(Table1[RespondentID],'All Data'!$A$3:$CW$999,96,FALSE),"unknown")</f>
        <v>Employed for wages</v>
      </c>
      <c r="AP501" s="120" t="str">
        <f>IFERROR(VLOOKUP(Table1[RespondentID],'All Data'!$A$3:$CW$999,97,FALSE),"unknown")</f>
        <v>Yes</v>
      </c>
      <c r="AQ501" s="120" t="str">
        <f>IFERROR(VLOOKUP(Table1[RespondentID],'All Data'!$A$3:$CW$999,98,FALSE),"unknown")</f>
        <v>Private/Commercial</v>
      </c>
      <c r="AR501" s="120">
        <f>IFERROR(VLOOKUP(Table1[RespondentID],'All Data'!$A$3:$CW$999,99,FALSE),"unknown")</f>
        <v>0</v>
      </c>
    </row>
    <row r="502" spans="1:44" ht="16">
      <c r="A502" s="133">
        <v>18027489857</v>
      </c>
      <c r="B502" s="173"/>
      <c r="C502" s="174"/>
      <c r="D502" s="174" t="s">
        <v>31</v>
      </c>
      <c r="E502" s="174"/>
      <c r="F502" s="174"/>
      <c r="G502" s="174"/>
      <c r="H502" s="174"/>
      <c r="I502" s="174"/>
      <c r="J502" s="174"/>
      <c r="K502" s="174"/>
      <c r="L502" s="174" t="s">
        <v>502</v>
      </c>
      <c r="M502" s="170">
        <f t="shared" si="134"/>
        <v>2</v>
      </c>
      <c r="N502" s="170">
        <f t="shared" si="135"/>
        <v>1.5</v>
      </c>
      <c r="O502" s="170"/>
      <c r="P502" s="170">
        <f t="shared" si="136"/>
        <v>0</v>
      </c>
      <c r="Q502" s="170">
        <f t="shared" si="137"/>
        <v>0</v>
      </c>
      <c r="R502" s="170">
        <f t="shared" si="138"/>
        <v>1</v>
      </c>
      <c r="S502" s="170">
        <f t="shared" si="139"/>
        <v>0</v>
      </c>
      <c r="T502" s="170">
        <f t="shared" si="140"/>
        <v>0</v>
      </c>
      <c r="U502" s="170">
        <f t="shared" si="141"/>
        <v>0</v>
      </c>
      <c r="V502" s="175">
        <f t="shared" si="142"/>
        <v>0</v>
      </c>
      <c r="W502" s="170">
        <f t="shared" si="143"/>
        <v>0</v>
      </c>
      <c r="X502" s="170">
        <f t="shared" si="144"/>
        <v>0</v>
      </c>
      <c r="Y502" s="170">
        <f t="shared" si="145"/>
        <v>0</v>
      </c>
      <c r="Z502" s="170"/>
      <c r="AA502" s="170"/>
      <c r="AB502" s="170">
        <f t="shared" si="146"/>
        <v>1</v>
      </c>
      <c r="AC502" s="170">
        <f t="shared" si="147"/>
        <v>2</v>
      </c>
      <c r="AD502" s="170" t="str">
        <f t="shared" si="148"/>
        <v>Wrong</v>
      </c>
      <c r="AE502" s="133"/>
      <c r="AF502" s="120" t="str">
        <f>IFERROR(VLOOKUP(Table1[RespondentID],'All Data'!$A$3:$CO$999,87,FALSE),"unknown")</f>
        <v>Woman</v>
      </c>
      <c r="AG502" s="120">
        <f>IFERROR(VLOOKUP(Table1[RespondentID],'All Data'!$A$3:$CO$999,88,FALSE),"unknown")</f>
        <v>25</v>
      </c>
      <c r="AH502" s="120" t="str">
        <f>IFERROR(VLOOKUP(Table1[RespondentID],'All Data'!$A$3:$CO$999,89,FALSE),"unknown")</f>
        <v>Nassau</v>
      </c>
      <c r="AI502" s="120" t="str">
        <f>IFERROR(VLOOKUP(Table1[RespondentID],'All Data'!$A$3:$CO$999,90,FALSE),"unknown")</f>
        <v>Massapequa Park, 11762</v>
      </c>
      <c r="AJ502" s="120" t="str">
        <f>IFERROR(VLOOKUP(Table1[RespondentID],'All Data'!$A$3:$CO$999,91,FALSE),"unknown")</f>
        <v>White</v>
      </c>
      <c r="AK502" s="120" t="str">
        <f>IFERROR(VLOOKUP(Table1[RespondentID],'All Data'!$A$3:$CO$999,92,FALSE),"unknown")</f>
        <v>Not Hispanic or Latino</v>
      </c>
      <c r="AL502" s="120">
        <f>IFERROR(VLOOKUP(Table1[RespondentID],'All Data'!$A$3:$CO$999,93,FALSE),"unknown")</f>
        <v>0</v>
      </c>
      <c r="AM502" s="120" t="str">
        <f>IFERROR(VLOOKUP(Table1[RespondentID],'All Data'!$A$3:$CW$999,94,FALSE),"unknown")</f>
        <v>$50,000 to $74,999</v>
      </c>
      <c r="AN502" s="120" t="str">
        <f>IFERROR(VLOOKUP(Table1[RespondentID],'All Data'!$A$3:$CW$999,95,FALSE),"unknown")</f>
        <v>College graduate</v>
      </c>
      <c r="AO502" s="120" t="str">
        <f>IFERROR(VLOOKUP(Table1[RespondentID],'All Data'!$A$3:$CW$999,96,FALSE),"unknown")</f>
        <v>Employed for wages</v>
      </c>
      <c r="AP502" s="120" t="str">
        <f>IFERROR(VLOOKUP(Table1[RespondentID],'All Data'!$A$3:$CW$999,97,FALSE),"unknown")</f>
        <v>Yes</v>
      </c>
      <c r="AQ502" s="120" t="str">
        <f>IFERROR(VLOOKUP(Table1[RespondentID],'All Data'!$A$3:$CW$999,98,FALSE),"unknown")</f>
        <v>Private/Commercial</v>
      </c>
      <c r="AR502" s="120" t="str">
        <f>IFERROR(VLOOKUP(Table1[RespondentID],'All Data'!$A$3:$CW$999,99,FALSE),"unknown")</f>
        <v>Yes</v>
      </c>
    </row>
    <row r="503" spans="1:44" ht="16">
      <c r="A503" s="133">
        <v>18027026943</v>
      </c>
      <c r="B503" s="173"/>
      <c r="C503" s="174" t="s">
        <v>30</v>
      </c>
      <c r="D503" s="174" t="s">
        <v>31</v>
      </c>
      <c r="E503" s="174"/>
      <c r="F503" s="174"/>
      <c r="G503" s="174"/>
      <c r="H503" s="174"/>
      <c r="I503" s="174"/>
      <c r="J503" s="174"/>
      <c r="K503" s="174"/>
      <c r="L503" s="174"/>
      <c r="M503" s="170">
        <f t="shared" si="134"/>
        <v>2</v>
      </c>
      <c r="N503" s="170">
        <f t="shared" si="135"/>
        <v>1.5</v>
      </c>
      <c r="O503" s="170"/>
      <c r="P503" s="170">
        <f t="shared" si="136"/>
        <v>0</v>
      </c>
      <c r="Q503" s="170">
        <f t="shared" si="137"/>
        <v>1</v>
      </c>
      <c r="R503" s="170">
        <f t="shared" si="138"/>
        <v>1</v>
      </c>
      <c r="S503" s="170">
        <f t="shared" si="139"/>
        <v>0</v>
      </c>
      <c r="T503" s="170">
        <f t="shared" si="140"/>
        <v>0</v>
      </c>
      <c r="U503" s="170">
        <f t="shared" si="141"/>
        <v>0</v>
      </c>
      <c r="V503" s="175">
        <f t="shared" si="142"/>
        <v>0</v>
      </c>
      <c r="W503" s="170">
        <f t="shared" si="143"/>
        <v>0</v>
      </c>
      <c r="X503" s="170">
        <f t="shared" si="144"/>
        <v>0</v>
      </c>
      <c r="Y503" s="170">
        <f t="shared" si="145"/>
        <v>0</v>
      </c>
      <c r="Z503" s="170"/>
      <c r="AA503" s="170"/>
      <c r="AB503" s="170">
        <f t="shared" si="146"/>
        <v>2</v>
      </c>
      <c r="AC503" s="170">
        <f t="shared" si="147"/>
        <v>2</v>
      </c>
      <c r="AD503" s="170" t="str">
        <f t="shared" si="148"/>
        <v>Correct</v>
      </c>
      <c r="AE503" s="133"/>
      <c r="AF503" s="120" t="str">
        <f>IFERROR(VLOOKUP(Table1[RespondentID],'All Data'!$A$3:$CO$999,87,FALSE),"unknown")</f>
        <v>Woman</v>
      </c>
      <c r="AG503" s="120">
        <f>IFERROR(VLOOKUP(Table1[RespondentID],'All Data'!$A$3:$CO$999,88,FALSE),"unknown")</f>
        <v>47</v>
      </c>
      <c r="AH503" s="120" t="str">
        <f>IFERROR(VLOOKUP(Table1[RespondentID],'All Data'!$A$3:$CO$999,89,FALSE),"unknown")</f>
        <v>Nassau</v>
      </c>
      <c r="AI503" s="120" t="str">
        <f>IFERROR(VLOOKUP(Table1[RespondentID],'All Data'!$A$3:$CO$999,90,FALSE),"unknown")</f>
        <v>Wantagh, 11793</v>
      </c>
      <c r="AJ503" s="120" t="str">
        <f>IFERROR(VLOOKUP(Table1[RespondentID],'All Data'!$A$3:$CO$999,91,FALSE),"unknown")</f>
        <v>White</v>
      </c>
      <c r="AK503" s="120" t="str">
        <f>IFERROR(VLOOKUP(Table1[RespondentID],'All Data'!$A$3:$CO$999,92,FALSE),"unknown")</f>
        <v>Not Hispanic or Latino</v>
      </c>
      <c r="AL503" s="120" t="str">
        <f>IFERROR(VLOOKUP(Table1[RespondentID],'All Data'!$A$3:$CO$999,93,FALSE),"unknown")</f>
        <v>English</v>
      </c>
      <c r="AM503" s="120" t="str">
        <f>IFERROR(VLOOKUP(Table1[RespondentID],'All Data'!$A$3:$CW$999,94,FALSE),"unknown")</f>
        <v>$75,000 to $125,000</v>
      </c>
      <c r="AN503" s="120" t="str">
        <f>IFERROR(VLOOKUP(Table1[RespondentID],'All Data'!$A$3:$CW$999,95,FALSE),"unknown")</f>
        <v>Some college</v>
      </c>
      <c r="AO503" s="120" t="str">
        <f>IFERROR(VLOOKUP(Table1[RespondentID],'All Data'!$A$3:$CW$999,96,FALSE),"unknown")</f>
        <v>Out of work, but not currently looking</v>
      </c>
      <c r="AP503" s="120">
        <f>IFERROR(VLOOKUP(Table1[RespondentID],'All Data'!$A$3:$CW$999,97,FALSE),"unknown")</f>
        <v>0</v>
      </c>
      <c r="AQ503" s="120" t="str">
        <f>IFERROR(VLOOKUP(Table1[RespondentID],'All Data'!$A$3:$CW$999,98,FALSE),"unknown")</f>
        <v>Medicaid</v>
      </c>
      <c r="AR503" s="120" t="str">
        <f>IFERROR(VLOOKUP(Table1[RespondentID],'All Data'!$A$3:$CW$999,99,FALSE),"unknown")</f>
        <v>Yes</v>
      </c>
    </row>
    <row r="504" spans="1:44" ht="16">
      <c r="A504" s="133">
        <v>18026792737</v>
      </c>
      <c r="B504" s="173" t="s">
        <v>29</v>
      </c>
      <c r="C504" s="174"/>
      <c r="D504" s="174"/>
      <c r="E504" s="174"/>
      <c r="F504" s="174"/>
      <c r="G504" s="174"/>
      <c r="H504" s="174" t="s">
        <v>35</v>
      </c>
      <c r="I504" s="174" t="s">
        <v>36</v>
      </c>
      <c r="J504" s="174"/>
      <c r="K504" s="174"/>
      <c r="L504" s="174"/>
      <c r="M504" s="170">
        <f t="shared" si="134"/>
        <v>3</v>
      </c>
      <c r="N504" s="170">
        <f t="shared" si="135"/>
        <v>1</v>
      </c>
      <c r="O504" s="170"/>
      <c r="P504" s="170">
        <f t="shared" si="136"/>
        <v>1</v>
      </c>
      <c r="Q504" s="170">
        <f t="shared" si="137"/>
        <v>0</v>
      </c>
      <c r="R504" s="170">
        <f t="shared" si="138"/>
        <v>0</v>
      </c>
      <c r="S504" s="170">
        <f t="shared" si="139"/>
        <v>0</v>
      </c>
      <c r="T504" s="170">
        <f t="shared" si="140"/>
        <v>0</v>
      </c>
      <c r="U504" s="170">
        <f t="shared" si="141"/>
        <v>0</v>
      </c>
      <c r="V504" s="175">
        <f t="shared" si="142"/>
        <v>1</v>
      </c>
      <c r="W504" s="170">
        <f t="shared" si="143"/>
        <v>1</v>
      </c>
      <c r="X504" s="170">
        <f t="shared" si="144"/>
        <v>0</v>
      </c>
      <c r="Y504" s="170">
        <f t="shared" si="145"/>
        <v>0</v>
      </c>
      <c r="Z504" s="170"/>
      <c r="AA504" s="170"/>
      <c r="AB504" s="170">
        <f t="shared" si="146"/>
        <v>3</v>
      </c>
      <c r="AC504" s="170">
        <f t="shared" si="147"/>
        <v>3</v>
      </c>
      <c r="AD504" s="170" t="str">
        <f t="shared" si="148"/>
        <v>Correct</v>
      </c>
      <c r="AE504" s="133"/>
      <c r="AF504" s="120" t="str">
        <f>IFERROR(VLOOKUP(Table1[RespondentID],'All Data'!$A$3:$CO$999,87,FALSE),"unknown")</f>
        <v>Man</v>
      </c>
      <c r="AG504" s="120">
        <f>IFERROR(VLOOKUP(Table1[RespondentID],'All Data'!$A$3:$CO$999,88,FALSE),"unknown")</f>
        <v>74</v>
      </c>
      <c r="AH504" s="120" t="str">
        <f>IFERROR(VLOOKUP(Table1[RespondentID],'All Data'!$A$3:$CO$999,89,FALSE),"unknown")</f>
        <v>Nassau</v>
      </c>
      <c r="AI504" s="120" t="str">
        <f>IFERROR(VLOOKUP(Table1[RespondentID],'All Data'!$A$3:$CO$999,90,FALSE),"unknown")</f>
        <v>Mineola, 11501</v>
      </c>
      <c r="AJ504" s="120">
        <f>IFERROR(VLOOKUP(Table1[RespondentID],'All Data'!$A$3:$CO$999,91,FALSE),"unknown")</f>
        <v>0</v>
      </c>
      <c r="AK504" s="120" t="str">
        <f>IFERROR(VLOOKUP(Table1[RespondentID],'All Data'!$A$3:$CO$999,92,FALSE),"unknown")</f>
        <v>Not Hispanic or Latino</v>
      </c>
      <c r="AL504" s="120">
        <f>IFERROR(VLOOKUP(Table1[RespondentID],'All Data'!$A$3:$CO$999,93,FALSE),"unknown")</f>
        <v>0</v>
      </c>
      <c r="AM504" s="120">
        <f>IFERROR(VLOOKUP(Table1[RespondentID],'All Data'!$A$3:$CW$999,94,FALSE),"unknown")</f>
        <v>0</v>
      </c>
      <c r="AN504" s="120">
        <f>IFERROR(VLOOKUP(Table1[RespondentID],'All Data'!$A$3:$CW$999,95,FALSE),"unknown")</f>
        <v>0</v>
      </c>
      <c r="AO504" s="120">
        <f>IFERROR(VLOOKUP(Table1[RespondentID],'All Data'!$A$3:$CW$999,96,FALSE),"unknown")</f>
        <v>0</v>
      </c>
      <c r="AP504" s="120">
        <f>IFERROR(VLOOKUP(Table1[RespondentID],'All Data'!$A$3:$CW$999,97,FALSE),"unknown")</f>
        <v>0</v>
      </c>
      <c r="AQ504" s="120">
        <f>IFERROR(VLOOKUP(Table1[RespondentID],'All Data'!$A$3:$CW$999,98,FALSE),"unknown")</f>
        <v>0</v>
      </c>
      <c r="AR504" s="120">
        <f>IFERROR(VLOOKUP(Table1[RespondentID],'All Data'!$A$3:$CW$999,99,FALSE),"unknown")</f>
        <v>0</v>
      </c>
    </row>
    <row r="505" spans="1:44" ht="16">
      <c r="A505" s="133">
        <v>18026792525</v>
      </c>
      <c r="B505" s="173"/>
      <c r="C505" s="174"/>
      <c r="D505" s="174"/>
      <c r="E505" s="174"/>
      <c r="F505" s="174"/>
      <c r="G505" s="174"/>
      <c r="H505" s="174" t="s">
        <v>35</v>
      </c>
      <c r="I505" s="174" t="s">
        <v>36</v>
      </c>
      <c r="J505" s="174"/>
      <c r="K505" s="174" t="s">
        <v>375</v>
      </c>
      <c r="L505" s="174"/>
      <c r="M505" s="170">
        <f t="shared" si="134"/>
        <v>3</v>
      </c>
      <c r="N505" s="170">
        <f t="shared" si="135"/>
        <v>1</v>
      </c>
      <c r="O505" s="170"/>
      <c r="P505" s="170">
        <f t="shared" si="136"/>
        <v>0</v>
      </c>
      <c r="Q505" s="170">
        <f t="shared" si="137"/>
        <v>0</v>
      </c>
      <c r="R505" s="170">
        <f t="shared" si="138"/>
        <v>0</v>
      </c>
      <c r="S505" s="170">
        <f t="shared" si="139"/>
        <v>0</v>
      </c>
      <c r="T505" s="170">
        <f t="shared" si="140"/>
        <v>0</v>
      </c>
      <c r="U505" s="170">
        <f t="shared" si="141"/>
        <v>0</v>
      </c>
      <c r="V505" s="175">
        <f t="shared" si="142"/>
        <v>1</v>
      </c>
      <c r="W505" s="170">
        <f t="shared" si="143"/>
        <v>1</v>
      </c>
      <c r="X505" s="170">
        <f t="shared" si="144"/>
        <v>0</v>
      </c>
      <c r="Y505" s="170">
        <f t="shared" si="145"/>
        <v>1</v>
      </c>
      <c r="Z505" s="170"/>
      <c r="AA505" s="170"/>
      <c r="AB505" s="170">
        <f t="shared" si="146"/>
        <v>3</v>
      </c>
      <c r="AC505" s="170">
        <f t="shared" si="147"/>
        <v>3</v>
      </c>
      <c r="AD505" s="170" t="str">
        <f t="shared" si="148"/>
        <v>Correct</v>
      </c>
      <c r="AE505" s="133"/>
      <c r="AF505" s="120" t="str">
        <f>IFERROR(VLOOKUP(Table1[RespondentID],'All Data'!$A$3:$CO$999,87,FALSE),"unknown")</f>
        <v>Woman</v>
      </c>
      <c r="AG505" s="120">
        <f>IFERROR(VLOOKUP(Table1[RespondentID],'All Data'!$A$3:$CO$999,88,FALSE),"unknown")</f>
        <v>63</v>
      </c>
      <c r="AH505" s="120" t="str">
        <f>IFERROR(VLOOKUP(Table1[RespondentID],'All Data'!$A$3:$CO$999,89,FALSE),"unknown")</f>
        <v>Nassau</v>
      </c>
      <c r="AI505" s="120" t="str">
        <f>IFERROR(VLOOKUP(Table1[RespondentID],'All Data'!$A$3:$CO$999,90,FALSE),"unknown")</f>
        <v>Mineola, 11501</v>
      </c>
      <c r="AJ505" s="120" t="str">
        <f>IFERROR(VLOOKUP(Table1[RespondentID],'All Data'!$A$3:$CO$999,91,FALSE),"unknown")</f>
        <v>White</v>
      </c>
      <c r="AK505" s="120" t="str">
        <f>IFERROR(VLOOKUP(Table1[RespondentID],'All Data'!$A$3:$CO$999,92,FALSE),"unknown")</f>
        <v>Not Hispanic or Latino</v>
      </c>
      <c r="AL505" s="120" t="str">
        <f>IFERROR(VLOOKUP(Table1[RespondentID],'All Data'!$A$3:$CO$999,93,FALSE),"unknown")</f>
        <v>English</v>
      </c>
      <c r="AM505" s="120" t="str">
        <f>IFERROR(VLOOKUP(Table1[RespondentID],'All Data'!$A$3:$CW$999,94,FALSE),"unknown")</f>
        <v>$20,000 to $34,999</v>
      </c>
      <c r="AN505" s="120" t="str">
        <f>IFERROR(VLOOKUP(Table1[RespondentID],'All Data'!$A$3:$CW$999,95,FALSE),"unknown")</f>
        <v>Graduate school</v>
      </c>
      <c r="AO505" s="120" t="str">
        <f>IFERROR(VLOOKUP(Table1[RespondentID],'All Data'!$A$3:$CW$999,96,FALSE),"unknown")</f>
        <v>Retired</v>
      </c>
      <c r="AP505" s="120" t="str">
        <f>IFERROR(VLOOKUP(Table1[RespondentID],'All Data'!$A$3:$CW$999,97,FALSE),"unknown")</f>
        <v>No</v>
      </c>
      <c r="AQ505" s="120" t="str">
        <f>IFERROR(VLOOKUP(Table1[RespondentID],'All Data'!$A$3:$CW$999,98,FALSE),"unknown")</f>
        <v>No Insurance</v>
      </c>
      <c r="AR505" s="120" t="str">
        <f>IFERROR(VLOOKUP(Table1[RespondentID],'All Data'!$A$3:$CW$999,99,FALSE),"unknown")</f>
        <v>Yes</v>
      </c>
    </row>
    <row r="506" spans="1:44" ht="16">
      <c r="A506" s="133">
        <v>18026792379</v>
      </c>
      <c r="B506" s="173"/>
      <c r="C506" s="174" t="s">
        <v>30</v>
      </c>
      <c r="D506" s="174"/>
      <c r="E506" s="174"/>
      <c r="F506" s="174" t="s">
        <v>33</v>
      </c>
      <c r="G506" s="174"/>
      <c r="H506" s="174"/>
      <c r="I506" s="174" t="s">
        <v>36</v>
      </c>
      <c r="J506" s="174"/>
      <c r="K506" s="174"/>
      <c r="L506" s="174"/>
      <c r="M506" s="170">
        <f t="shared" si="134"/>
        <v>3</v>
      </c>
      <c r="N506" s="170">
        <f t="shared" si="135"/>
        <v>1</v>
      </c>
      <c r="O506" s="170"/>
      <c r="P506" s="170">
        <f t="shared" si="136"/>
        <v>0</v>
      </c>
      <c r="Q506" s="170">
        <f t="shared" si="137"/>
        <v>1</v>
      </c>
      <c r="R506" s="170">
        <f t="shared" si="138"/>
        <v>0</v>
      </c>
      <c r="S506" s="170">
        <f t="shared" si="139"/>
        <v>0</v>
      </c>
      <c r="T506" s="170">
        <f t="shared" si="140"/>
        <v>1</v>
      </c>
      <c r="U506" s="170">
        <f t="shared" si="141"/>
        <v>0</v>
      </c>
      <c r="V506" s="175">
        <f t="shared" si="142"/>
        <v>0</v>
      </c>
      <c r="W506" s="170">
        <f t="shared" si="143"/>
        <v>1</v>
      </c>
      <c r="X506" s="170">
        <f t="shared" si="144"/>
        <v>0</v>
      </c>
      <c r="Y506" s="170">
        <f t="shared" si="145"/>
        <v>0</v>
      </c>
      <c r="Z506" s="170"/>
      <c r="AA506" s="170"/>
      <c r="AB506" s="170">
        <f t="shared" si="146"/>
        <v>3</v>
      </c>
      <c r="AC506" s="170">
        <f t="shared" si="147"/>
        <v>3</v>
      </c>
      <c r="AD506" s="170" t="str">
        <f t="shared" si="148"/>
        <v>Correct</v>
      </c>
      <c r="AE506" s="133"/>
      <c r="AF506" s="120" t="str">
        <f>IFERROR(VLOOKUP(Table1[RespondentID],'All Data'!$A$3:$CO$999,87,FALSE),"unknown")</f>
        <v>Woman</v>
      </c>
      <c r="AG506" s="120">
        <f>IFERROR(VLOOKUP(Table1[RespondentID],'All Data'!$A$3:$CO$999,88,FALSE),"unknown")</f>
        <v>71</v>
      </c>
      <c r="AH506" s="120" t="str">
        <f>IFERROR(VLOOKUP(Table1[RespondentID],'All Data'!$A$3:$CO$999,89,FALSE),"unknown")</f>
        <v>Nassau</v>
      </c>
      <c r="AI506" s="120" t="str">
        <f>IFERROR(VLOOKUP(Table1[RespondentID],'All Data'!$A$3:$CO$999,90,FALSE),"unknown")</f>
        <v>Mineola, 11501</v>
      </c>
      <c r="AJ506" s="120" t="str">
        <f>IFERROR(VLOOKUP(Table1[RespondentID],'All Data'!$A$3:$CO$999,91,FALSE),"unknown")</f>
        <v>White</v>
      </c>
      <c r="AK506" s="120" t="str">
        <f>IFERROR(VLOOKUP(Table1[RespondentID],'All Data'!$A$3:$CO$999,92,FALSE),"unknown")</f>
        <v>Not Hispanic or Latino</v>
      </c>
      <c r="AL506" s="120" t="str">
        <f>IFERROR(VLOOKUP(Table1[RespondentID],'All Data'!$A$3:$CO$999,93,FALSE),"unknown")</f>
        <v>English</v>
      </c>
      <c r="AM506" s="120" t="str">
        <f>IFERROR(VLOOKUP(Table1[RespondentID],'All Data'!$A$3:$CW$999,94,FALSE),"unknown")</f>
        <v>$20,000 to $34,999</v>
      </c>
      <c r="AN506" s="120" t="str">
        <f>IFERROR(VLOOKUP(Table1[RespondentID],'All Data'!$A$3:$CW$999,95,FALSE),"unknown")</f>
        <v>High school graduate</v>
      </c>
      <c r="AO506" s="120" t="str">
        <f>IFERROR(VLOOKUP(Table1[RespondentID],'All Data'!$A$3:$CW$999,96,FALSE),"unknown")</f>
        <v>Retired</v>
      </c>
      <c r="AP506" s="120" t="str">
        <f>IFERROR(VLOOKUP(Table1[RespondentID],'All Data'!$A$3:$CW$999,97,FALSE),"unknown")</f>
        <v>Yes</v>
      </c>
      <c r="AQ506" s="120" t="str">
        <f>IFERROR(VLOOKUP(Table1[RespondentID],'All Data'!$A$3:$CW$999,98,FALSE),"unknown")</f>
        <v>Medicare</v>
      </c>
      <c r="AR506" s="120" t="str">
        <f>IFERROR(VLOOKUP(Table1[RespondentID],'All Data'!$A$3:$CW$999,99,FALSE),"unknown")</f>
        <v>No</v>
      </c>
    </row>
    <row r="507" spans="1:44" ht="16">
      <c r="A507" s="133">
        <v>18026792254</v>
      </c>
      <c r="B507" s="173"/>
      <c r="C507" s="174"/>
      <c r="D507" s="174"/>
      <c r="E507" s="174"/>
      <c r="F507" s="174"/>
      <c r="G507" s="174"/>
      <c r="H507" s="174"/>
      <c r="I507" s="174"/>
      <c r="J507" s="174"/>
      <c r="K507" s="174" t="s">
        <v>375</v>
      </c>
      <c r="L507" s="174"/>
      <c r="M507" s="170">
        <f t="shared" si="134"/>
        <v>1</v>
      </c>
      <c r="N507" s="170">
        <f t="shared" si="135"/>
        <v>3</v>
      </c>
      <c r="O507" s="170"/>
      <c r="P507" s="170">
        <f t="shared" si="136"/>
        <v>0</v>
      </c>
      <c r="Q507" s="170">
        <f t="shared" si="137"/>
        <v>0</v>
      </c>
      <c r="R507" s="170">
        <f t="shared" si="138"/>
        <v>0</v>
      </c>
      <c r="S507" s="170">
        <f t="shared" si="139"/>
        <v>0</v>
      </c>
      <c r="T507" s="170">
        <f t="shared" si="140"/>
        <v>0</v>
      </c>
      <c r="U507" s="170">
        <f t="shared" si="141"/>
        <v>0</v>
      </c>
      <c r="V507" s="175">
        <f t="shared" si="142"/>
        <v>0</v>
      </c>
      <c r="W507" s="170">
        <f t="shared" si="143"/>
        <v>0</v>
      </c>
      <c r="X507" s="170">
        <f t="shared" si="144"/>
        <v>0</v>
      </c>
      <c r="Y507" s="170">
        <f t="shared" si="145"/>
        <v>1</v>
      </c>
      <c r="Z507" s="170"/>
      <c r="AA507" s="170"/>
      <c r="AB507" s="170">
        <f t="shared" si="146"/>
        <v>1</v>
      </c>
      <c r="AC507" s="170">
        <f t="shared" si="147"/>
        <v>1</v>
      </c>
      <c r="AD507" s="170" t="str">
        <f t="shared" si="148"/>
        <v>Correct</v>
      </c>
      <c r="AE507" s="133"/>
      <c r="AF507" s="120" t="str">
        <f>IFERROR(VLOOKUP(Table1[RespondentID],'All Data'!$A$3:$CO$999,87,FALSE),"unknown")</f>
        <v>Woman</v>
      </c>
      <c r="AG507" s="120">
        <f>IFERROR(VLOOKUP(Table1[RespondentID],'All Data'!$A$3:$CO$999,88,FALSE),"unknown")</f>
        <v>72</v>
      </c>
      <c r="AH507" s="120" t="str">
        <f>IFERROR(VLOOKUP(Table1[RespondentID],'All Data'!$A$3:$CO$999,89,FALSE),"unknown")</f>
        <v>Nassau</v>
      </c>
      <c r="AI507" s="120" t="str">
        <f>IFERROR(VLOOKUP(Table1[RespondentID],'All Data'!$A$3:$CO$999,90,FALSE),"unknown")</f>
        <v>Williston Park, 11596</v>
      </c>
      <c r="AJ507" s="120" t="str">
        <f>IFERROR(VLOOKUP(Table1[RespondentID],'All Data'!$A$3:$CO$999,91,FALSE),"unknown")</f>
        <v>White</v>
      </c>
      <c r="AK507" s="120" t="str">
        <f>IFERROR(VLOOKUP(Table1[RespondentID],'All Data'!$A$3:$CO$999,92,FALSE),"unknown")</f>
        <v>Not Hispanic or Latino</v>
      </c>
      <c r="AL507" s="120" t="str">
        <f>IFERROR(VLOOKUP(Table1[RespondentID],'All Data'!$A$3:$CO$999,93,FALSE),"unknown")</f>
        <v>English</v>
      </c>
      <c r="AM507" s="120" t="str">
        <f>IFERROR(VLOOKUP(Table1[RespondentID],'All Data'!$A$3:$CW$999,94,FALSE),"unknown")</f>
        <v>$75,000 to $125,000</v>
      </c>
      <c r="AN507" s="120" t="str">
        <f>IFERROR(VLOOKUP(Table1[RespondentID],'All Data'!$A$3:$CW$999,95,FALSE),"unknown")</f>
        <v>Graduate school</v>
      </c>
      <c r="AO507" s="120" t="str">
        <f>IFERROR(VLOOKUP(Table1[RespondentID],'All Data'!$A$3:$CW$999,96,FALSE),"unknown")</f>
        <v>Retired</v>
      </c>
      <c r="AP507" s="120" t="str">
        <f>IFERROR(VLOOKUP(Table1[RespondentID],'All Data'!$A$3:$CW$999,97,FALSE),"unknown")</f>
        <v>Yes</v>
      </c>
      <c r="AQ507" s="120" t="str">
        <f>IFERROR(VLOOKUP(Table1[RespondentID],'All Data'!$A$3:$CW$999,98,FALSE),"unknown")</f>
        <v>Medicare,Private/Commercial</v>
      </c>
      <c r="AR507" s="120" t="str">
        <f>IFERROR(VLOOKUP(Table1[RespondentID],'All Data'!$A$3:$CW$999,99,FALSE),"unknown")</f>
        <v>Yes</v>
      </c>
    </row>
    <row r="508" spans="1:44" ht="16">
      <c r="A508" s="133">
        <v>18026792090</v>
      </c>
      <c r="B508" s="173"/>
      <c r="C508" s="174"/>
      <c r="D508" s="174"/>
      <c r="E508" s="174"/>
      <c r="F508" s="174"/>
      <c r="G508" s="174"/>
      <c r="H508" s="174"/>
      <c r="I508" s="174"/>
      <c r="J508" s="174"/>
      <c r="K508" s="174"/>
      <c r="L508" s="174"/>
      <c r="M508" s="170">
        <f t="shared" si="134"/>
        <v>0</v>
      </c>
      <c r="N508" s="170" t="e">
        <f t="shared" si="135"/>
        <v>#DIV/0!</v>
      </c>
      <c r="O508" s="170"/>
      <c r="P508" s="170">
        <f t="shared" si="136"/>
        <v>0</v>
      </c>
      <c r="Q508" s="170">
        <f t="shared" si="137"/>
        <v>0</v>
      </c>
      <c r="R508" s="170">
        <f t="shared" si="138"/>
        <v>0</v>
      </c>
      <c r="S508" s="170">
        <f t="shared" si="139"/>
        <v>0</v>
      </c>
      <c r="T508" s="170">
        <f t="shared" si="140"/>
        <v>0</v>
      </c>
      <c r="U508" s="170">
        <f t="shared" si="141"/>
        <v>0</v>
      </c>
      <c r="V508" s="175">
        <f t="shared" si="142"/>
        <v>0</v>
      </c>
      <c r="W508" s="170">
        <f t="shared" si="143"/>
        <v>0</v>
      </c>
      <c r="X508" s="170">
        <f t="shared" si="144"/>
        <v>0</v>
      </c>
      <c r="Y508" s="170">
        <f t="shared" si="145"/>
        <v>0</v>
      </c>
      <c r="Z508" s="170"/>
      <c r="AA508" s="170"/>
      <c r="AB508" s="170">
        <f t="shared" si="146"/>
        <v>0</v>
      </c>
      <c r="AC508" s="170">
        <f t="shared" si="147"/>
        <v>0</v>
      </c>
      <c r="AD508" s="170" t="str">
        <f t="shared" si="148"/>
        <v>Correct</v>
      </c>
      <c r="AE508" s="133"/>
      <c r="AF508" s="120" t="str">
        <f>IFERROR(VLOOKUP(Table1[RespondentID],'All Data'!$A$3:$CO$999,87,FALSE),"unknown")</f>
        <v>Woman</v>
      </c>
      <c r="AG508" s="120">
        <f>IFERROR(VLOOKUP(Table1[RespondentID],'All Data'!$A$3:$CO$999,88,FALSE),"unknown")</f>
        <v>69</v>
      </c>
      <c r="AH508" s="120" t="str">
        <f>IFERROR(VLOOKUP(Table1[RespondentID],'All Data'!$A$3:$CO$999,89,FALSE),"unknown")</f>
        <v>Nassau</v>
      </c>
      <c r="AI508" s="120" t="str">
        <f>IFERROR(VLOOKUP(Table1[RespondentID],'All Data'!$A$3:$CO$999,90,FALSE),"unknown")</f>
        <v>Williston Park, 11596</v>
      </c>
      <c r="AJ508" s="120" t="str">
        <f>IFERROR(VLOOKUP(Table1[RespondentID],'All Data'!$A$3:$CO$999,91,FALSE),"unknown")</f>
        <v>White</v>
      </c>
      <c r="AK508" s="120" t="str">
        <f>IFERROR(VLOOKUP(Table1[RespondentID],'All Data'!$A$3:$CO$999,92,FALSE),"unknown")</f>
        <v>Not Hispanic or Latino</v>
      </c>
      <c r="AL508" s="120">
        <f>IFERROR(VLOOKUP(Table1[RespondentID],'All Data'!$A$3:$CO$999,93,FALSE),"unknown")</f>
        <v>0</v>
      </c>
      <c r="AM508" s="120">
        <f>IFERROR(VLOOKUP(Table1[RespondentID],'All Data'!$A$3:$CW$999,94,FALSE),"unknown")</f>
        <v>0</v>
      </c>
      <c r="AN508" s="120" t="str">
        <f>IFERROR(VLOOKUP(Table1[RespondentID],'All Data'!$A$3:$CW$999,95,FALSE),"unknown")</f>
        <v>College graduate</v>
      </c>
      <c r="AO508" s="120" t="str">
        <f>IFERROR(VLOOKUP(Table1[RespondentID],'All Data'!$A$3:$CW$999,96,FALSE),"unknown")</f>
        <v>Retired</v>
      </c>
      <c r="AP508" s="120" t="str">
        <f>IFERROR(VLOOKUP(Table1[RespondentID],'All Data'!$A$3:$CW$999,97,FALSE),"unknown")</f>
        <v>Yes</v>
      </c>
      <c r="AQ508" s="120" t="str">
        <f>IFERROR(VLOOKUP(Table1[RespondentID],'All Data'!$A$3:$CW$999,98,FALSE),"unknown")</f>
        <v>Medicare</v>
      </c>
      <c r="AR508" s="120" t="str">
        <f>IFERROR(VLOOKUP(Table1[RespondentID],'All Data'!$A$3:$CW$999,99,FALSE),"unknown")</f>
        <v>Yes</v>
      </c>
    </row>
    <row r="509" spans="1:44" ht="16">
      <c r="A509" s="133">
        <v>18026791962</v>
      </c>
      <c r="B509" s="173"/>
      <c r="C509" s="174"/>
      <c r="D509" s="174" t="s">
        <v>31</v>
      </c>
      <c r="E509" s="174"/>
      <c r="F509" s="174"/>
      <c r="G509" s="174"/>
      <c r="H509" s="174" t="s">
        <v>35</v>
      </c>
      <c r="I509" s="174"/>
      <c r="J509" s="174"/>
      <c r="K509" s="174" t="s">
        <v>375</v>
      </c>
      <c r="L509" s="174"/>
      <c r="M509" s="170">
        <f t="shared" si="134"/>
        <v>3</v>
      </c>
      <c r="N509" s="170">
        <f t="shared" si="135"/>
        <v>1</v>
      </c>
      <c r="O509" s="170"/>
      <c r="P509" s="170">
        <f t="shared" si="136"/>
        <v>0</v>
      </c>
      <c r="Q509" s="170">
        <f t="shared" si="137"/>
        <v>0</v>
      </c>
      <c r="R509" s="170">
        <f t="shared" si="138"/>
        <v>1</v>
      </c>
      <c r="S509" s="170">
        <f t="shared" si="139"/>
        <v>0</v>
      </c>
      <c r="T509" s="170">
        <f t="shared" si="140"/>
        <v>0</v>
      </c>
      <c r="U509" s="170">
        <f t="shared" si="141"/>
        <v>0</v>
      </c>
      <c r="V509" s="175">
        <f t="shared" si="142"/>
        <v>1</v>
      </c>
      <c r="W509" s="170">
        <f t="shared" si="143"/>
        <v>0</v>
      </c>
      <c r="X509" s="170">
        <f t="shared" si="144"/>
        <v>0</v>
      </c>
      <c r="Y509" s="170">
        <f t="shared" si="145"/>
        <v>1</v>
      </c>
      <c r="Z509" s="170"/>
      <c r="AA509" s="170"/>
      <c r="AB509" s="170">
        <f t="shared" si="146"/>
        <v>3</v>
      </c>
      <c r="AC509" s="170">
        <f t="shared" si="147"/>
        <v>3</v>
      </c>
      <c r="AD509" s="170" t="str">
        <f t="shared" si="148"/>
        <v>Correct</v>
      </c>
      <c r="AE509" s="133"/>
      <c r="AF509" s="120" t="str">
        <f>IFERROR(VLOOKUP(Table1[RespondentID],'All Data'!$A$3:$CO$999,87,FALSE),"unknown")</f>
        <v>Woman</v>
      </c>
      <c r="AG509" s="120">
        <f>IFERROR(VLOOKUP(Table1[RespondentID],'All Data'!$A$3:$CO$999,88,FALSE),"unknown")</f>
        <v>35</v>
      </c>
      <c r="AH509" s="120" t="str">
        <f>IFERROR(VLOOKUP(Table1[RespondentID],'All Data'!$A$3:$CO$999,89,FALSE),"unknown")</f>
        <v>Nassau</v>
      </c>
      <c r="AI509" s="120" t="str">
        <f>IFERROR(VLOOKUP(Table1[RespondentID],'All Data'!$A$3:$CO$999,90,FALSE),"unknown")</f>
        <v>Williston Park, 11596</v>
      </c>
      <c r="AJ509" s="120" t="str">
        <f>IFERROR(VLOOKUP(Table1[RespondentID],'All Data'!$A$3:$CO$999,91,FALSE),"unknown")</f>
        <v>Asian</v>
      </c>
      <c r="AK509" s="120" t="str">
        <f>IFERROR(VLOOKUP(Table1[RespondentID],'All Data'!$A$3:$CO$999,92,FALSE),"unknown")</f>
        <v>Not Hispanic or Latino</v>
      </c>
      <c r="AL509" s="120" t="str">
        <f>IFERROR(VLOOKUP(Table1[RespondentID],'All Data'!$A$3:$CO$999,93,FALSE),"unknown")</f>
        <v>English</v>
      </c>
      <c r="AM509" s="120">
        <f>IFERROR(VLOOKUP(Table1[RespondentID],'All Data'!$A$3:$CW$999,94,FALSE),"unknown")</f>
        <v>0</v>
      </c>
      <c r="AN509" s="120" t="str">
        <f>IFERROR(VLOOKUP(Table1[RespondentID],'All Data'!$A$3:$CW$999,95,FALSE),"unknown")</f>
        <v>College graduate</v>
      </c>
      <c r="AO509" s="120" t="str">
        <f>IFERROR(VLOOKUP(Table1[RespondentID],'All Data'!$A$3:$CW$999,96,FALSE),"unknown")</f>
        <v>Out of work, but not currently looking</v>
      </c>
      <c r="AP509" s="120" t="str">
        <f>IFERROR(VLOOKUP(Table1[RespondentID],'All Data'!$A$3:$CW$999,97,FALSE),"unknown")</f>
        <v>Yes</v>
      </c>
      <c r="AQ509" s="120" t="str">
        <f>IFERROR(VLOOKUP(Table1[RespondentID],'All Data'!$A$3:$CW$999,98,FALSE),"unknown")</f>
        <v>Private/Commercial</v>
      </c>
      <c r="AR509" s="120" t="str">
        <f>IFERROR(VLOOKUP(Table1[RespondentID],'All Data'!$A$3:$CW$999,99,FALSE),"unknown")</f>
        <v>Yes</v>
      </c>
    </row>
    <row r="510" spans="1:44" ht="16">
      <c r="A510" s="133">
        <v>18026791810</v>
      </c>
      <c r="B510" s="173"/>
      <c r="C510" s="174"/>
      <c r="D510" s="174"/>
      <c r="E510" s="174"/>
      <c r="F510" s="174"/>
      <c r="G510" s="174" t="s">
        <v>34</v>
      </c>
      <c r="H510" s="174"/>
      <c r="I510" s="174"/>
      <c r="J510" s="174"/>
      <c r="K510" s="174"/>
      <c r="L510" s="174"/>
      <c r="M510" s="170">
        <f t="shared" si="134"/>
        <v>1</v>
      </c>
      <c r="N510" s="170">
        <f t="shared" si="135"/>
        <v>3</v>
      </c>
      <c r="O510" s="170"/>
      <c r="P510" s="170">
        <f t="shared" si="136"/>
        <v>0</v>
      </c>
      <c r="Q510" s="170">
        <f t="shared" si="137"/>
        <v>0</v>
      </c>
      <c r="R510" s="170">
        <f t="shared" si="138"/>
        <v>0</v>
      </c>
      <c r="S510" s="170">
        <f t="shared" si="139"/>
        <v>0</v>
      </c>
      <c r="T510" s="170">
        <f t="shared" si="140"/>
        <v>0</v>
      </c>
      <c r="U510" s="170">
        <f t="shared" si="141"/>
        <v>1</v>
      </c>
      <c r="V510" s="175">
        <f t="shared" si="142"/>
        <v>0</v>
      </c>
      <c r="W510" s="170">
        <f t="shared" si="143"/>
        <v>0</v>
      </c>
      <c r="X510" s="170">
        <f t="shared" si="144"/>
        <v>0</v>
      </c>
      <c r="Y510" s="170">
        <f t="shared" si="145"/>
        <v>0</v>
      </c>
      <c r="Z510" s="170"/>
      <c r="AA510" s="170"/>
      <c r="AB510" s="170">
        <f t="shared" si="146"/>
        <v>1</v>
      </c>
      <c r="AC510" s="170">
        <f t="shared" si="147"/>
        <v>1</v>
      </c>
      <c r="AD510" s="170" t="str">
        <f t="shared" si="148"/>
        <v>Correct</v>
      </c>
      <c r="AE510" s="133"/>
      <c r="AF510" s="120" t="str">
        <f>IFERROR(VLOOKUP(Table1[RespondentID],'All Data'!$A$3:$CO$999,87,FALSE),"unknown")</f>
        <v>Woman</v>
      </c>
      <c r="AG510" s="120">
        <f>IFERROR(VLOOKUP(Table1[RespondentID],'All Data'!$A$3:$CO$999,88,FALSE),"unknown")</f>
        <v>85</v>
      </c>
      <c r="AH510" s="120" t="str">
        <f>IFERROR(VLOOKUP(Table1[RespondentID],'All Data'!$A$3:$CO$999,89,FALSE),"unknown")</f>
        <v>Nassau</v>
      </c>
      <c r="AI510" s="120" t="str">
        <f>IFERROR(VLOOKUP(Table1[RespondentID],'All Data'!$A$3:$CO$999,90,FALSE),"unknown")</f>
        <v>Massapequa, 11758</v>
      </c>
      <c r="AJ510" s="120" t="str">
        <f>IFERROR(VLOOKUP(Table1[RespondentID],'All Data'!$A$3:$CO$999,91,FALSE),"unknown")</f>
        <v>White</v>
      </c>
      <c r="AK510" s="120">
        <f>IFERROR(VLOOKUP(Table1[RespondentID],'All Data'!$A$3:$CO$999,92,FALSE),"unknown")</f>
        <v>0</v>
      </c>
      <c r="AL510" s="120" t="str">
        <f>IFERROR(VLOOKUP(Table1[RespondentID],'All Data'!$A$3:$CO$999,93,FALSE),"unknown")</f>
        <v>English</v>
      </c>
      <c r="AM510" s="120" t="str">
        <f>IFERROR(VLOOKUP(Table1[RespondentID],'All Data'!$A$3:$CW$999,94,FALSE),"unknown")</f>
        <v>$20,000 to $34,999</v>
      </c>
      <c r="AN510" s="120" t="str">
        <f>IFERROR(VLOOKUP(Table1[RespondentID],'All Data'!$A$3:$CW$999,95,FALSE),"unknown")</f>
        <v>College graduate</v>
      </c>
      <c r="AO510" s="120" t="str">
        <f>IFERROR(VLOOKUP(Table1[RespondentID],'All Data'!$A$3:$CW$999,96,FALSE),"unknown")</f>
        <v>Retired</v>
      </c>
      <c r="AP510" s="120" t="str">
        <f>IFERROR(VLOOKUP(Table1[RespondentID],'All Data'!$A$3:$CW$999,97,FALSE),"unknown")</f>
        <v>Yes</v>
      </c>
      <c r="AQ510" s="120" t="str">
        <f>IFERROR(VLOOKUP(Table1[RespondentID],'All Data'!$A$3:$CW$999,98,FALSE),"unknown")</f>
        <v>Medicare</v>
      </c>
      <c r="AR510" s="120" t="str">
        <f>IFERROR(VLOOKUP(Table1[RespondentID],'All Data'!$A$3:$CW$999,99,FALSE),"unknown")</f>
        <v>No</v>
      </c>
    </row>
    <row r="511" spans="1:44" ht="16">
      <c r="A511" s="133">
        <v>18026791613</v>
      </c>
      <c r="B511" s="173"/>
      <c r="C511" s="174"/>
      <c r="D511" s="174"/>
      <c r="E511" s="174" t="s">
        <v>32</v>
      </c>
      <c r="F511" s="174"/>
      <c r="G511" s="174"/>
      <c r="H511" s="174"/>
      <c r="I511" s="174" t="s">
        <v>36</v>
      </c>
      <c r="J511" s="174"/>
      <c r="K511" s="174" t="s">
        <v>375</v>
      </c>
      <c r="L511" s="174"/>
      <c r="M511" s="170">
        <f t="shared" si="134"/>
        <v>3</v>
      </c>
      <c r="N511" s="170">
        <f t="shared" si="135"/>
        <v>1</v>
      </c>
      <c r="O511" s="170"/>
      <c r="P511" s="170">
        <f t="shared" si="136"/>
        <v>0</v>
      </c>
      <c r="Q511" s="170">
        <f t="shared" si="137"/>
        <v>0</v>
      </c>
      <c r="R511" s="170">
        <f t="shared" si="138"/>
        <v>0</v>
      </c>
      <c r="S511" s="170">
        <f t="shared" si="139"/>
        <v>1</v>
      </c>
      <c r="T511" s="170">
        <f t="shared" si="140"/>
        <v>0</v>
      </c>
      <c r="U511" s="170">
        <f t="shared" si="141"/>
        <v>0</v>
      </c>
      <c r="V511" s="175">
        <f t="shared" si="142"/>
        <v>0</v>
      </c>
      <c r="W511" s="170">
        <f t="shared" si="143"/>
        <v>1</v>
      </c>
      <c r="X511" s="170">
        <f t="shared" si="144"/>
        <v>0</v>
      </c>
      <c r="Y511" s="170">
        <f t="shared" si="145"/>
        <v>1</v>
      </c>
      <c r="Z511" s="170"/>
      <c r="AA511" s="170"/>
      <c r="AB511" s="170">
        <f t="shared" si="146"/>
        <v>3</v>
      </c>
      <c r="AC511" s="170">
        <f t="shared" si="147"/>
        <v>3</v>
      </c>
      <c r="AD511" s="170" t="str">
        <f t="shared" si="148"/>
        <v>Correct</v>
      </c>
      <c r="AE511" s="133"/>
      <c r="AF511" s="120" t="str">
        <f>IFERROR(VLOOKUP(Table1[RespondentID],'All Data'!$A$3:$CO$999,87,FALSE),"unknown")</f>
        <v>Man</v>
      </c>
      <c r="AG511" s="120">
        <f>IFERROR(VLOOKUP(Table1[RespondentID],'All Data'!$A$3:$CO$999,88,FALSE),"unknown")</f>
        <v>68</v>
      </c>
      <c r="AH511" s="120" t="str">
        <f>IFERROR(VLOOKUP(Table1[RespondentID],'All Data'!$A$3:$CO$999,89,FALSE),"unknown")</f>
        <v>Nassau</v>
      </c>
      <c r="AI511" s="120" t="str">
        <f>IFERROR(VLOOKUP(Table1[RespondentID],'All Data'!$A$3:$CO$999,90,FALSE),"unknown")</f>
        <v>Farmingdale, 11735</v>
      </c>
      <c r="AJ511" s="120" t="str">
        <f>IFERROR(VLOOKUP(Table1[RespondentID],'All Data'!$A$3:$CO$999,91,FALSE),"unknown")</f>
        <v>White</v>
      </c>
      <c r="AK511" s="120">
        <f>IFERROR(VLOOKUP(Table1[RespondentID],'All Data'!$A$3:$CO$999,92,FALSE),"unknown")</f>
        <v>0</v>
      </c>
      <c r="AL511" s="120" t="str">
        <f>IFERROR(VLOOKUP(Table1[RespondentID],'All Data'!$A$3:$CO$999,93,FALSE),"unknown")</f>
        <v>English</v>
      </c>
      <c r="AM511" s="120">
        <f>IFERROR(VLOOKUP(Table1[RespondentID],'All Data'!$A$3:$CW$999,94,FALSE),"unknown")</f>
        <v>0</v>
      </c>
      <c r="AN511" s="120" t="str">
        <f>IFERROR(VLOOKUP(Table1[RespondentID],'All Data'!$A$3:$CW$999,95,FALSE),"unknown")</f>
        <v>Some college</v>
      </c>
      <c r="AO511" s="120" t="str">
        <f>IFERROR(VLOOKUP(Table1[RespondentID],'All Data'!$A$3:$CW$999,96,FALSE),"unknown")</f>
        <v>Retired</v>
      </c>
      <c r="AP511" s="120">
        <f>IFERROR(VLOOKUP(Table1[RespondentID],'All Data'!$A$3:$CW$999,97,FALSE),"unknown")</f>
        <v>0</v>
      </c>
      <c r="AQ511" s="120" t="str">
        <f>IFERROR(VLOOKUP(Table1[RespondentID],'All Data'!$A$3:$CW$999,98,FALSE),"unknown")</f>
        <v>Medicare</v>
      </c>
      <c r="AR511" s="120">
        <f>IFERROR(VLOOKUP(Table1[RespondentID],'All Data'!$A$3:$CW$999,99,FALSE),"unknown")</f>
        <v>0</v>
      </c>
    </row>
    <row r="512" spans="1:44" ht="16">
      <c r="A512" s="133">
        <v>18026791463</v>
      </c>
      <c r="B512" s="173"/>
      <c r="C512" s="174"/>
      <c r="D512" s="174" t="s">
        <v>31</v>
      </c>
      <c r="E512" s="174"/>
      <c r="F512" s="174"/>
      <c r="G512" s="174"/>
      <c r="H512" s="174"/>
      <c r="I512" s="174"/>
      <c r="J512" s="174" t="s">
        <v>37</v>
      </c>
      <c r="K512" s="174" t="s">
        <v>375</v>
      </c>
      <c r="L512" s="174"/>
      <c r="M512" s="170">
        <f t="shared" si="134"/>
        <v>3</v>
      </c>
      <c r="N512" s="170">
        <f t="shared" si="135"/>
        <v>1</v>
      </c>
      <c r="O512" s="170"/>
      <c r="P512" s="170">
        <f t="shared" si="136"/>
        <v>0</v>
      </c>
      <c r="Q512" s="170">
        <f t="shared" si="137"/>
        <v>0</v>
      </c>
      <c r="R512" s="170">
        <f t="shared" si="138"/>
        <v>1</v>
      </c>
      <c r="S512" s="170">
        <f t="shared" si="139"/>
        <v>0</v>
      </c>
      <c r="T512" s="170">
        <f t="shared" si="140"/>
        <v>0</v>
      </c>
      <c r="U512" s="170">
        <f t="shared" si="141"/>
        <v>0</v>
      </c>
      <c r="V512" s="175">
        <f t="shared" si="142"/>
        <v>0</v>
      </c>
      <c r="W512" s="170">
        <f t="shared" si="143"/>
        <v>0</v>
      </c>
      <c r="X512" s="170">
        <f t="shared" si="144"/>
        <v>1</v>
      </c>
      <c r="Y512" s="170">
        <f t="shared" si="145"/>
        <v>1</v>
      </c>
      <c r="Z512" s="170"/>
      <c r="AA512" s="170"/>
      <c r="AB512" s="170">
        <f t="shared" si="146"/>
        <v>3</v>
      </c>
      <c r="AC512" s="170">
        <f t="shared" si="147"/>
        <v>3</v>
      </c>
      <c r="AD512" s="170" t="str">
        <f t="shared" si="148"/>
        <v>Correct</v>
      </c>
      <c r="AE512" s="133"/>
      <c r="AF512" s="120" t="str">
        <f>IFERROR(VLOOKUP(Table1[RespondentID],'All Data'!$A$3:$CO$999,87,FALSE),"unknown")</f>
        <v>Woman</v>
      </c>
      <c r="AG512" s="120">
        <f>IFERROR(VLOOKUP(Table1[RespondentID],'All Data'!$A$3:$CO$999,88,FALSE),"unknown")</f>
        <v>75</v>
      </c>
      <c r="AH512" s="120" t="str">
        <f>IFERROR(VLOOKUP(Table1[RespondentID],'All Data'!$A$3:$CO$999,89,FALSE),"unknown")</f>
        <v>Nassau</v>
      </c>
      <c r="AI512" s="120" t="str">
        <f>IFERROR(VLOOKUP(Table1[RespondentID],'All Data'!$A$3:$CO$999,90,FALSE),"unknown")</f>
        <v>Farmingdale, 11735</v>
      </c>
      <c r="AJ512" s="120" t="str">
        <f>IFERROR(VLOOKUP(Table1[RespondentID],'All Data'!$A$3:$CO$999,91,FALSE),"unknown")</f>
        <v>White</v>
      </c>
      <c r="AK512" s="120" t="str">
        <f>IFERROR(VLOOKUP(Table1[RespondentID],'All Data'!$A$3:$CO$999,92,FALSE),"unknown")</f>
        <v>Not Hispanic or Latino</v>
      </c>
      <c r="AL512" s="120" t="str">
        <f>IFERROR(VLOOKUP(Table1[RespondentID],'All Data'!$A$3:$CO$999,93,FALSE),"unknown")</f>
        <v>English</v>
      </c>
      <c r="AM512" s="120" t="str">
        <f>IFERROR(VLOOKUP(Table1[RespondentID],'All Data'!$A$3:$CW$999,94,FALSE),"unknown")</f>
        <v>$20,000 to $34,999</v>
      </c>
      <c r="AN512" s="120" t="str">
        <f>IFERROR(VLOOKUP(Table1[RespondentID],'All Data'!$A$3:$CW$999,95,FALSE),"unknown")</f>
        <v>Some college</v>
      </c>
      <c r="AO512" s="120" t="str">
        <f>IFERROR(VLOOKUP(Table1[RespondentID],'All Data'!$A$3:$CW$999,96,FALSE),"unknown")</f>
        <v>Retired</v>
      </c>
      <c r="AP512" s="120" t="str">
        <f>IFERROR(VLOOKUP(Table1[RespondentID],'All Data'!$A$3:$CW$999,97,FALSE),"unknown")</f>
        <v>Yes</v>
      </c>
      <c r="AQ512" s="120" t="str">
        <f>IFERROR(VLOOKUP(Table1[RespondentID],'All Data'!$A$3:$CW$999,98,FALSE),"unknown")</f>
        <v>Medicare</v>
      </c>
      <c r="AR512" s="120">
        <f>IFERROR(VLOOKUP(Table1[RespondentID],'All Data'!$A$3:$CW$999,99,FALSE),"unknown")</f>
        <v>0</v>
      </c>
    </row>
    <row r="513" spans="1:44" ht="16">
      <c r="A513" s="133">
        <v>18026791236</v>
      </c>
      <c r="B513" s="173"/>
      <c r="C513" s="174"/>
      <c r="D513" s="174" t="s">
        <v>31</v>
      </c>
      <c r="E513" s="174"/>
      <c r="F513" s="174"/>
      <c r="G513" s="174"/>
      <c r="H513" s="174"/>
      <c r="I513" s="174"/>
      <c r="J513" s="174"/>
      <c r="K513" s="174" t="s">
        <v>375</v>
      </c>
      <c r="L513" s="174"/>
      <c r="M513" s="170">
        <f t="shared" si="134"/>
        <v>2</v>
      </c>
      <c r="N513" s="170">
        <f t="shared" si="135"/>
        <v>1.5</v>
      </c>
      <c r="O513" s="170"/>
      <c r="P513" s="170">
        <f t="shared" si="136"/>
        <v>0</v>
      </c>
      <c r="Q513" s="170">
        <f t="shared" si="137"/>
        <v>0</v>
      </c>
      <c r="R513" s="170">
        <f t="shared" si="138"/>
        <v>1</v>
      </c>
      <c r="S513" s="170">
        <f t="shared" si="139"/>
        <v>0</v>
      </c>
      <c r="T513" s="170">
        <f t="shared" si="140"/>
        <v>0</v>
      </c>
      <c r="U513" s="170">
        <f t="shared" si="141"/>
        <v>0</v>
      </c>
      <c r="V513" s="175">
        <f t="shared" si="142"/>
        <v>0</v>
      </c>
      <c r="W513" s="170">
        <f t="shared" si="143"/>
        <v>0</v>
      </c>
      <c r="X513" s="170">
        <f t="shared" si="144"/>
        <v>0</v>
      </c>
      <c r="Y513" s="170">
        <f t="shared" si="145"/>
        <v>1</v>
      </c>
      <c r="Z513" s="170"/>
      <c r="AA513" s="170"/>
      <c r="AB513" s="170">
        <f t="shared" si="146"/>
        <v>2</v>
      </c>
      <c r="AC513" s="170">
        <f t="shared" si="147"/>
        <v>2</v>
      </c>
      <c r="AD513" s="170" t="str">
        <f t="shared" si="148"/>
        <v>Correct</v>
      </c>
      <c r="AE513" s="133"/>
      <c r="AF513" s="120" t="str">
        <f>IFERROR(VLOOKUP(Table1[RespondentID],'All Data'!$A$3:$CO$999,87,FALSE),"unknown")</f>
        <v>Man</v>
      </c>
      <c r="AG513" s="120">
        <f>IFERROR(VLOOKUP(Table1[RespondentID],'All Data'!$A$3:$CO$999,88,FALSE),"unknown")</f>
        <v>92</v>
      </c>
      <c r="AH513" s="120" t="str">
        <f>IFERROR(VLOOKUP(Table1[RespondentID],'All Data'!$A$3:$CO$999,89,FALSE),"unknown")</f>
        <v>Nassau</v>
      </c>
      <c r="AI513" s="120" t="str">
        <f>IFERROR(VLOOKUP(Table1[RespondentID],'All Data'!$A$3:$CO$999,90,FALSE),"unknown")</f>
        <v>Massapequa, 11758</v>
      </c>
      <c r="AJ513" s="120" t="str">
        <f>IFERROR(VLOOKUP(Table1[RespondentID],'All Data'!$A$3:$CO$999,91,FALSE),"unknown")</f>
        <v>White</v>
      </c>
      <c r="AK513" s="120" t="str">
        <f>IFERROR(VLOOKUP(Table1[RespondentID],'All Data'!$A$3:$CO$999,92,FALSE),"unknown")</f>
        <v>Not Hispanic or Latino</v>
      </c>
      <c r="AL513" s="120" t="str">
        <f>IFERROR(VLOOKUP(Table1[RespondentID],'All Data'!$A$3:$CO$999,93,FALSE),"unknown")</f>
        <v>English</v>
      </c>
      <c r="AM513" s="120" t="str">
        <f>IFERROR(VLOOKUP(Table1[RespondentID],'All Data'!$A$3:$CW$999,94,FALSE),"unknown")</f>
        <v>$50,000 to $74,999</v>
      </c>
      <c r="AN513" s="120" t="str">
        <f>IFERROR(VLOOKUP(Table1[RespondentID],'All Data'!$A$3:$CW$999,95,FALSE),"unknown")</f>
        <v>Some college</v>
      </c>
      <c r="AO513" s="120" t="str">
        <f>IFERROR(VLOOKUP(Table1[RespondentID],'All Data'!$A$3:$CW$999,96,FALSE),"unknown")</f>
        <v>Retired</v>
      </c>
      <c r="AP513" s="120" t="str">
        <f>IFERROR(VLOOKUP(Table1[RespondentID],'All Data'!$A$3:$CW$999,97,FALSE),"unknown")</f>
        <v>Yes</v>
      </c>
      <c r="AQ513" s="120" t="str">
        <f>IFERROR(VLOOKUP(Table1[RespondentID],'All Data'!$A$3:$CW$999,98,FALSE),"unknown")</f>
        <v>Medicare,Private/Commercial</v>
      </c>
      <c r="AR513" s="120">
        <f>IFERROR(VLOOKUP(Table1[RespondentID],'All Data'!$A$3:$CW$999,99,FALSE),"unknown")</f>
        <v>0</v>
      </c>
    </row>
    <row r="514" spans="1:44" ht="16">
      <c r="A514" s="133">
        <v>18026547733</v>
      </c>
      <c r="B514" s="173"/>
      <c r="C514" s="174" t="s">
        <v>30</v>
      </c>
      <c r="D514" s="174"/>
      <c r="E514" s="174"/>
      <c r="F514" s="174"/>
      <c r="G514" s="174"/>
      <c r="H514" s="174"/>
      <c r="I514" s="174"/>
      <c r="J514" s="174"/>
      <c r="K514" s="174"/>
      <c r="L514" s="174"/>
      <c r="M514" s="170">
        <f t="shared" si="134"/>
        <v>1</v>
      </c>
      <c r="N514" s="170">
        <f t="shared" si="135"/>
        <v>3</v>
      </c>
      <c r="O514" s="170"/>
      <c r="P514" s="170">
        <f t="shared" si="136"/>
        <v>0</v>
      </c>
      <c r="Q514" s="170">
        <f t="shared" si="137"/>
        <v>1</v>
      </c>
      <c r="R514" s="170">
        <f t="shared" si="138"/>
        <v>0</v>
      </c>
      <c r="S514" s="170">
        <f t="shared" si="139"/>
        <v>0</v>
      </c>
      <c r="T514" s="170">
        <f t="shared" si="140"/>
        <v>0</v>
      </c>
      <c r="U514" s="170">
        <f t="shared" si="141"/>
        <v>0</v>
      </c>
      <c r="V514" s="175">
        <f t="shared" si="142"/>
        <v>0</v>
      </c>
      <c r="W514" s="170">
        <f t="shared" si="143"/>
        <v>0</v>
      </c>
      <c r="X514" s="170">
        <f t="shared" si="144"/>
        <v>0</v>
      </c>
      <c r="Y514" s="170">
        <f t="shared" si="145"/>
        <v>0</v>
      </c>
      <c r="Z514" s="170"/>
      <c r="AA514" s="170"/>
      <c r="AB514" s="170">
        <f t="shared" si="146"/>
        <v>1</v>
      </c>
      <c r="AC514" s="170">
        <f t="shared" si="147"/>
        <v>1</v>
      </c>
      <c r="AD514" s="170" t="str">
        <f t="shared" si="148"/>
        <v>Correct</v>
      </c>
      <c r="AE514" s="133"/>
      <c r="AF514" s="120" t="str">
        <f>IFERROR(VLOOKUP(Table1[RespondentID],'All Data'!$A$3:$CO$999,87,FALSE),"unknown")</f>
        <v>Woman</v>
      </c>
      <c r="AG514" s="120">
        <f>IFERROR(VLOOKUP(Table1[RespondentID],'All Data'!$A$3:$CO$999,88,FALSE),"unknown")</f>
        <v>49</v>
      </c>
      <c r="AH514" s="120" t="str">
        <f>IFERROR(VLOOKUP(Table1[RespondentID],'All Data'!$A$3:$CO$999,89,FALSE),"unknown")</f>
        <v>Suffolk</v>
      </c>
      <c r="AI514" s="120" t="str">
        <f>IFERROR(VLOOKUP(Table1[RespondentID],'All Data'!$A$3:$CO$999,90,FALSE),"unknown")</f>
        <v>Lake Ronkonkoma, 11779</v>
      </c>
      <c r="AJ514" s="120" t="str">
        <f>IFERROR(VLOOKUP(Table1[RespondentID],'All Data'!$A$3:$CO$999,91,FALSE),"unknown")</f>
        <v>White</v>
      </c>
      <c r="AK514" s="120" t="str">
        <f>IFERROR(VLOOKUP(Table1[RespondentID],'All Data'!$A$3:$CO$999,92,FALSE),"unknown")</f>
        <v>Not Hispanic or Latino</v>
      </c>
      <c r="AL514" s="120" t="str">
        <f>IFERROR(VLOOKUP(Table1[RespondentID],'All Data'!$A$3:$CO$999,93,FALSE),"unknown")</f>
        <v>English</v>
      </c>
      <c r="AM514" s="120" t="str">
        <f>IFERROR(VLOOKUP(Table1[RespondentID],'All Data'!$A$3:$CW$999,94,FALSE),"unknown")</f>
        <v>Over $125,000</v>
      </c>
      <c r="AN514" s="120" t="str">
        <f>IFERROR(VLOOKUP(Table1[RespondentID],'All Data'!$A$3:$CW$999,95,FALSE),"unknown")</f>
        <v>College graduate</v>
      </c>
      <c r="AO514" s="120" t="str">
        <f>IFERROR(VLOOKUP(Table1[RespondentID],'All Data'!$A$3:$CW$999,96,FALSE),"unknown")</f>
        <v>Employed for wages</v>
      </c>
      <c r="AP514" s="120" t="str">
        <f>IFERROR(VLOOKUP(Table1[RespondentID],'All Data'!$A$3:$CW$999,97,FALSE),"unknown")</f>
        <v>Yes</v>
      </c>
      <c r="AQ514" s="120" t="str">
        <f>IFERROR(VLOOKUP(Table1[RespondentID],'All Data'!$A$3:$CW$999,98,FALSE),"unknown")</f>
        <v>Private/Commercial</v>
      </c>
      <c r="AR514" s="120" t="str">
        <f>IFERROR(VLOOKUP(Table1[RespondentID],'All Data'!$A$3:$CW$999,99,FALSE),"unknown")</f>
        <v>Yes</v>
      </c>
    </row>
    <row r="515" spans="1:44" ht="16">
      <c r="A515" s="133">
        <v>18026539753</v>
      </c>
      <c r="B515" s="173"/>
      <c r="C515" s="174"/>
      <c r="D515" s="174" t="s">
        <v>31</v>
      </c>
      <c r="E515" s="174"/>
      <c r="F515" s="174"/>
      <c r="G515" s="174"/>
      <c r="H515" s="174"/>
      <c r="I515" s="174"/>
      <c r="J515" s="174"/>
      <c r="K515" s="174"/>
      <c r="L515" s="174"/>
      <c r="M515" s="170">
        <f t="shared" si="134"/>
        <v>1</v>
      </c>
      <c r="N515" s="170">
        <f t="shared" si="135"/>
        <v>3</v>
      </c>
      <c r="O515" s="170"/>
      <c r="P515" s="170">
        <f t="shared" si="136"/>
        <v>0</v>
      </c>
      <c r="Q515" s="170">
        <f t="shared" si="137"/>
        <v>0</v>
      </c>
      <c r="R515" s="170">
        <f t="shared" si="138"/>
        <v>1</v>
      </c>
      <c r="S515" s="170">
        <f t="shared" si="139"/>
        <v>0</v>
      </c>
      <c r="T515" s="170">
        <f t="shared" si="140"/>
        <v>0</v>
      </c>
      <c r="U515" s="170">
        <f t="shared" si="141"/>
        <v>0</v>
      </c>
      <c r="V515" s="175">
        <f t="shared" si="142"/>
        <v>0</v>
      </c>
      <c r="W515" s="170">
        <f t="shared" si="143"/>
        <v>0</v>
      </c>
      <c r="X515" s="170">
        <f t="shared" si="144"/>
        <v>0</v>
      </c>
      <c r="Y515" s="170">
        <f t="shared" si="145"/>
        <v>0</v>
      </c>
      <c r="Z515" s="170"/>
      <c r="AA515" s="170"/>
      <c r="AB515" s="170">
        <f t="shared" si="146"/>
        <v>1</v>
      </c>
      <c r="AC515" s="170">
        <f t="shared" si="147"/>
        <v>1</v>
      </c>
      <c r="AD515" s="170" t="str">
        <f t="shared" si="148"/>
        <v>Correct</v>
      </c>
      <c r="AE515" s="133"/>
      <c r="AF515" s="120" t="str">
        <f>IFERROR(VLOOKUP(Table1[RespondentID],'All Data'!$A$3:$CO$999,87,FALSE),"unknown")</f>
        <v>Woman</v>
      </c>
      <c r="AG515" s="120">
        <f>IFERROR(VLOOKUP(Table1[RespondentID],'All Data'!$A$3:$CO$999,88,FALSE),"unknown")</f>
        <v>30</v>
      </c>
      <c r="AH515" s="120" t="str">
        <f>IFERROR(VLOOKUP(Table1[RespondentID],'All Data'!$A$3:$CO$999,89,FALSE),"unknown")</f>
        <v>Suffolk</v>
      </c>
      <c r="AI515" s="120" t="str">
        <f>IFERROR(VLOOKUP(Table1[RespondentID],'All Data'!$A$3:$CO$999,90,FALSE),"unknown")</f>
        <v>East Islip, 11730</v>
      </c>
      <c r="AJ515" s="120" t="str">
        <f>IFERROR(VLOOKUP(Table1[RespondentID],'All Data'!$A$3:$CO$999,91,FALSE),"unknown")</f>
        <v>White</v>
      </c>
      <c r="AK515" s="120" t="str">
        <f>IFERROR(VLOOKUP(Table1[RespondentID],'All Data'!$A$3:$CO$999,92,FALSE),"unknown")</f>
        <v>Not Hispanic or Latino</v>
      </c>
      <c r="AL515" s="120" t="str">
        <f>IFERROR(VLOOKUP(Table1[RespondentID],'All Data'!$A$3:$CO$999,93,FALSE),"unknown")</f>
        <v>English</v>
      </c>
      <c r="AM515" s="120" t="str">
        <f>IFERROR(VLOOKUP(Table1[RespondentID],'All Data'!$A$3:$CW$999,94,FALSE),"unknown")</f>
        <v>$75,000 to $125,000</v>
      </c>
      <c r="AN515" s="120" t="str">
        <f>IFERROR(VLOOKUP(Table1[RespondentID],'All Data'!$A$3:$CW$999,95,FALSE),"unknown")</f>
        <v>College graduate</v>
      </c>
      <c r="AO515" s="120" t="str">
        <f>IFERROR(VLOOKUP(Table1[RespondentID],'All Data'!$A$3:$CW$999,96,FALSE),"unknown")</f>
        <v>Employed for wages</v>
      </c>
      <c r="AP515" s="120" t="str">
        <f>IFERROR(VLOOKUP(Table1[RespondentID],'All Data'!$A$3:$CW$999,97,FALSE),"unknown")</f>
        <v>Yes</v>
      </c>
      <c r="AQ515" s="120" t="str">
        <f>IFERROR(VLOOKUP(Table1[RespondentID],'All Data'!$A$3:$CW$999,98,FALSE),"unknown")</f>
        <v>Private/Commercial</v>
      </c>
      <c r="AR515" s="120" t="str">
        <f>IFERROR(VLOOKUP(Table1[RespondentID],'All Data'!$A$3:$CW$999,99,FALSE),"unknown")</f>
        <v>Yes</v>
      </c>
    </row>
    <row r="516" spans="1:44" ht="16">
      <c r="A516" s="133">
        <v>18026486994</v>
      </c>
      <c r="B516" s="173"/>
      <c r="C516" s="174"/>
      <c r="D516" s="174"/>
      <c r="E516" s="174"/>
      <c r="F516" s="174"/>
      <c r="G516" s="174"/>
      <c r="H516" s="174"/>
      <c r="I516" s="174"/>
      <c r="J516" s="174"/>
      <c r="K516" s="174"/>
      <c r="L516" s="174" t="s">
        <v>504</v>
      </c>
      <c r="M516" s="170">
        <f t="shared" si="134"/>
        <v>1</v>
      </c>
      <c r="N516" s="170">
        <f t="shared" si="135"/>
        <v>3</v>
      </c>
      <c r="O516" s="170"/>
      <c r="P516" s="170">
        <f t="shared" si="136"/>
        <v>0</v>
      </c>
      <c r="Q516" s="170">
        <f t="shared" si="137"/>
        <v>0</v>
      </c>
      <c r="R516" s="170">
        <f t="shared" si="138"/>
        <v>0</v>
      </c>
      <c r="S516" s="170">
        <f t="shared" si="139"/>
        <v>0</v>
      </c>
      <c r="T516" s="170">
        <f t="shared" si="140"/>
        <v>0</v>
      </c>
      <c r="U516" s="170">
        <f t="shared" si="141"/>
        <v>0</v>
      </c>
      <c r="V516" s="175">
        <f t="shared" si="142"/>
        <v>0</v>
      </c>
      <c r="W516" s="170">
        <f t="shared" si="143"/>
        <v>0</v>
      </c>
      <c r="X516" s="170">
        <f t="shared" si="144"/>
        <v>0</v>
      </c>
      <c r="Y516" s="170">
        <f t="shared" si="145"/>
        <v>0</v>
      </c>
      <c r="Z516" s="170"/>
      <c r="AA516" s="170"/>
      <c r="AB516" s="170">
        <f t="shared" si="146"/>
        <v>0</v>
      </c>
      <c r="AC516" s="170">
        <f t="shared" si="147"/>
        <v>1</v>
      </c>
      <c r="AD516" s="170" t="str">
        <f t="shared" si="148"/>
        <v>Wrong</v>
      </c>
      <c r="AE516" s="133"/>
      <c r="AF516" s="120" t="str">
        <f>IFERROR(VLOOKUP(Table1[RespondentID],'All Data'!$A$3:$CO$999,87,FALSE),"unknown")</f>
        <v>Woman</v>
      </c>
      <c r="AG516" s="120">
        <f>IFERROR(VLOOKUP(Table1[RespondentID],'All Data'!$A$3:$CO$999,88,FALSE),"unknown")</f>
        <v>64</v>
      </c>
      <c r="AH516" s="120" t="str">
        <f>IFERROR(VLOOKUP(Table1[RespondentID],'All Data'!$A$3:$CO$999,89,FALSE),"unknown")</f>
        <v>Nassau</v>
      </c>
      <c r="AI516" s="120" t="str">
        <f>IFERROR(VLOOKUP(Table1[RespondentID],'All Data'!$A$3:$CO$999,90,FALSE),"unknown")</f>
        <v>Westbury, 11590</v>
      </c>
      <c r="AJ516" s="120" t="str">
        <f>IFERROR(VLOOKUP(Table1[RespondentID],'All Data'!$A$3:$CO$999,91,FALSE),"unknown")</f>
        <v>White</v>
      </c>
      <c r="AK516" s="120" t="str">
        <f>IFERROR(VLOOKUP(Table1[RespondentID],'All Data'!$A$3:$CO$999,92,FALSE),"unknown")</f>
        <v>Not Hispanic or Latino</v>
      </c>
      <c r="AL516" s="120" t="str">
        <f>IFERROR(VLOOKUP(Table1[RespondentID],'All Data'!$A$3:$CO$999,93,FALSE),"unknown")</f>
        <v>English</v>
      </c>
      <c r="AM516" s="120" t="str">
        <f>IFERROR(VLOOKUP(Table1[RespondentID],'All Data'!$A$3:$CW$999,94,FALSE),"unknown")</f>
        <v>Over $125,000</v>
      </c>
      <c r="AN516" s="120" t="str">
        <f>IFERROR(VLOOKUP(Table1[RespondentID],'All Data'!$A$3:$CW$999,95,FALSE),"unknown")</f>
        <v>College graduate</v>
      </c>
      <c r="AO516" s="120" t="str">
        <f>IFERROR(VLOOKUP(Table1[RespondentID],'All Data'!$A$3:$CW$999,96,FALSE),"unknown")</f>
        <v>Retired</v>
      </c>
      <c r="AP516" s="120" t="str">
        <f>IFERROR(VLOOKUP(Table1[RespondentID],'All Data'!$A$3:$CW$999,97,FALSE),"unknown")</f>
        <v>Yes</v>
      </c>
      <c r="AQ516" s="120" t="str">
        <f>IFERROR(VLOOKUP(Table1[RespondentID],'All Data'!$A$3:$CW$999,98,FALSE),"unknown")</f>
        <v>Private/Commercial</v>
      </c>
      <c r="AR516" s="120" t="str">
        <f>IFERROR(VLOOKUP(Table1[RespondentID],'All Data'!$A$3:$CW$999,99,FALSE),"unknown")</f>
        <v>Yes</v>
      </c>
    </row>
    <row r="517" spans="1:44" ht="16">
      <c r="A517" s="133">
        <v>18026481858</v>
      </c>
      <c r="B517" s="173"/>
      <c r="C517" s="174" t="s">
        <v>30</v>
      </c>
      <c r="D517" s="174" t="s">
        <v>31</v>
      </c>
      <c r="E517" s="174"/>
      <c r="F517" s="174"/>
      <c r="G517" s="174"/>
      <c r="H517" s="174"/>
      <c r="I517" s="174"/>
      <c r="J517" s="174" t="s">
        <v>37</v>
      </c>
      <c r="K517" s="174"/>
      <c r="L517" s="174"/>
      <c r="M517" s="170">
        <f t="shared" si="134"/>
        <v>3</v>
      </c>
      <c r="N517" s="170">
        <f t="shared" si="135"/>
        <v>1</v>
      </c>
      <c r="O517" s="170"/>
      <c r="P517" s="170">
        <f t="shared" si="136"/>
        <v>0</v>
      </c>
      <c r="Q517" s="170">
        <f t="shared" si="137"/>
        <v>1</v>
      </c>
      <c r="R517" s="170">
        <f t="shared" si="138"/>
        <v>1</v>
      </c>
      <c r="S517" s="170">
        <f t="shared" si="139"/>
        <v>0</v>
      </c>
      <c r="T517" s="170">
        <f t="shared" si="140"/>
        <v>0</v>
      </c>
      <c r="U517" s="170">
        <f t="shared" si="141"/>
        <v>0</v>
      </c>
      <c r="V517" s="175">
        <f t="shared" si="142"/>
        <v>0</v>
      </c>
      <c r="W517" s="170">
        <f t="shared" si="143"/>
        <v>0</v>
      </c>
      <c r="X517" s="170">
        <f t="shared" si="144"/>
        <v>1</v>
      </c>
      <c r="Y517" s="170">
        <f t="shared" si="145"/>
        <v>0</v>
      </c>
      <c r="Z517" s="170"/>
      <c r="AA517" s="170"/>
      <c r="AB517" s="170">
        <f t="shared" si="146"/>
        <v>3</v>
      </c>
      <c r="AC517" s="170">
        <f t="shared" si="147"/>
        <v>3</v>
      </c>
      <c r="AD517" s="170" t="str">
        <f t="shared" si="148"/>
        <v>Correct</v>
      </c>
      <c r="AE517" s="133"/>
      <c r="AF517" s="120" t="str">
        <f>IFERROR(VLOOKUP(Table1[RespondentID],'All Data'!$A$3:$CO$999,87,FALSE),"unknown")</f>
        <v>Man</v>
      </c>
      <c r="AG517" s="120">
        <f>IFERROR(VLOOKUP(Table1[RespondentID],'All Data'!$A$3:$CO$999,88,FALSE),"unknown")</f>
        <v>37</v>
      </c>
      <c r="AH517" s="120" t="str">
        <f>IFERROR(VLOOKUP(Table1[RespondentID],'All Data'!$A$3:$CO$999,89,FALSE),"unknown")</f>
        <v>Suffolk</v>
      </c>
      <c r="AI517" s="120" t="str">
        <f>IFERROR(VLOOKUP(Table1[RespondentID],'All Data'!$A$3:$CO$999,90,FALSE),"unknown")</f>
        <v>Stony Brook, 11790</v>
      </c>
      <c r="AJ517" s="120" t="str">
        <f>IFERROR(VLOOKUP(Table1[RespondentID],'All Data'!$A$3:$CO$999,91,FALSE),"unknown")</f>
        <v>White</v>
      </c>
      <c r="AK517" s="120" t="str">
        <f>IFERROR(VLOOKUP(Table1[RespondentID],'All Data'!$A$3:$CO$999,92,FALSE),"unknown")</f>
        <v>Not Hispanic or Latino</v>
      </c>
      <c r="AL517" s="120">
        <f>IFERROR(VLOOKUP(Table1[RespondentID],'All Data'!$A$3:$CO$999,93,FALSE),"unknown")</f>
        <v>0</v>
      </c>
      <c r="AM517" s="120" t="str">
        <f>IFERROR(VLOOKUP(Table1[RespondentID],'All Data'!$A$3:$CW$999,94,FALSE),"unknown")</f>
        <v>$20,000 to $34,999</v>
      </c>
      <c r="AN517" s="120" t="str">
        <f>IFERROR(VLOOKUP(Table1[RespondentID],'All Data'!$A$3:$CW$999,95,FALSE),"unknown")</f>
        <v>College graduate</v>
      </c>
      <c r="AO517" s="120" t="str">
        <f>IFERROR(VLOOKUP(Table1[RespondentID],'All Data'!$A$3:$CW$999,96,FALSE),"unknown")</f>
        <v>Out of work and looking for work</v>
      </c>
      <c r="AP517" s="120" t="str">
        <f>IFERROR(VLOOKUP(Table1[RespondentID],'All Data'!$A$3:$CW$999,97,FALSE),"unknown")</f>
        <v>Yes</v>
      </c>
      <c r="AQ517" s="120" t="str">
        <f>IFERROR(VLOOKUP(Table1[RespondentID],'All Data'!$A$3:$CW$999,98,FALSE),"unknown")</f>
        <v>Medicaid,Medicare</v>
      </c>
      <c r="AR517" s="120" t="str">
        <f>IFERROR(VLOOKUP(Table1[RespondentID],'All Data'!$A$3:$CW$999,99,FALSE),"unknown")</f>
        <v>Yes</v>
      </c>
    </row>
    <row r="518" spans="1:44" ht="16">
      <c r="A518" s="133">
        <v>18026458777</v>
      </c>
      <c r="B518" s="173"/>
      <c r="C518" s="174"/>
      <c r="D518" s="174"/>
      <c r="E518" s="174"/>
      <c r="F518" s="174"/>
      <c r="G518" s="174" t="s">
        <v>34</v>
      </c>
      <c r="H518" s="174"/>
      <c r="I518" s="174"/>
      <c r="J518" s="174"/>
      <c r="K518" s="174"/>
      <c r="L518" s="174"/>
      <c r="M518" s="170">
        <f t="shared" si="134"/>
        <v>1</v>
      </c>
      <c r="N518" s="170">
        <f t="shared" si="135"/>
        <v>3</v>
      </c>
      <c r="O518" s="170"/>
      <c r="P518" s="170">
        <f t="shared" si="136"/>
        <v>0</v>
      </c>
      <c r="Q518" s="170">
        <f t="shared" si="137"/>
        <v>0</v>
      </c>
      <c r="R518" s="170">
        <f t="shared" si="138"/>
        <v>0</v>
      </c>
      <c r="S518" s="170">
        <f t="shared" si="139"/>
        <v>0</v>
      </c>
      <c r="T518" s="170">
        <f t="shared" si="140"/>
        <v>0</v>
      </c>
      <c r="U518" s="170">
        <f t="shared" si="141"/>
        <v>1</v>
      </c>
      <c r="V518" s="175">
        <f t="shared" si="142"/>
        <v>0</v>
      </c>
      <c r="W518" s="170">
        <f t="shared" si="143"/>
        <v>0</v>
      </c>
      <c r="X518" s="170">
        <f t="shared" si="144"/>
        <v>0</v>
      </c>
      <c r="Y518" s="170">
        <f t="shared" si="145"/>
        <v>0</v>
      </c>
      <c r="Z518" s="170"/>
      <c r="AA518" s="170"/>
      <c r="AB518" s="170">
        <f t="shared" si="146"/>
        <v>1</v>
      </c>
      <c r="AC518" s="170">
        <f t="shared" si="147"/>
        <v>1</v>
      </c>
      <c r="AD518" s="170" t="str">
        <f t="shared" si="148"/>
        <v>Correct</v>
      </c>
      <c r="AE518" s="133"/>
      <c r="AF518" s="120" t="str">
        <f>IFERROR(VLOOKUP(Table1[RespondentID],'All Data'!$A$3:$CO$999,87,FALSE),"unknown")</f>
        <v>Woman</v>
      </c>
      <c r="AG518" s="120">
        <f>IFERROR(VLOOKUP(Table1[RespondentID],'All Data'!$A$3:$CO$999,88,FALSE),"unknown")</f>
        <v>55</v>
      </c>
      <c r="AH518" s="120" t="str">
        <f>IFERROR(VLOOKUP(Table1[RespondentID],'All Data'!$A$3:$CO$999,89,FALSE),"unknown")</f>
        <v>Suffolk</v>
      </c>
      <c r="AI518" s="120" t="str">
        <f>IFERROR(VLOOKUP(Table1[RespondentID],'All Data'!$A$3:$CO$999,90,FALSE),"unknown")</f>
        <v>Port Jefferson Station, 11776</v>
      </c>
      <c r="AJ518" s="120" t="str">
        <f>IFERROR(VLOOKUP(Table1[RespondentID],'All Data'!$A$3:$CO$999,91,FALSE),"unknown")</f>
        <v>White</v>
      </c>
      <c r="AK518" s="120" t="str">
        <f>IFERROR(VLOOKUP(Table1[RespondentID],'All Data'!$A$3:$CO$999,92,FALSE),"unknown")</f>
        <v>Not Hispanic or Latino</v>
      </c>
      <c r="AL518" s="120" t="str">
        <f>IFERROR(VLOOKUP(Table1[RespondentID],'All Data'!$A$3:$CO$999,93,FALSE),"unknown")</f>
        <v>English</v>
      </c>
      <c r="AM518" s="120" t="str">
        <f>IFERROR(VLOOKUP(Table1[RespondentID],'All Data'!$A$3:$CW$999,94,FALSE),"unknown")</f>
        <v>Over $125,000</v>
      </c>
      <c r="AN518" s="120" t="str">
        <f>IFERROR(VLOOKUP(Table1[RespondentID],'All Data'!$A$3:$CW$999,95,FALSE),"unknown")</f>
        <v>Graduate school</v>
      </c>
      <c r="AO518" s="120" t="str">
        <f>IFERROR(VLOOKUP(Table1[RespondentID],'All Data'!$A$3:$CW$999,96,FALSE),"unknown")</f>
        <v>Employed for wages</v>
      </c>
      <c r="AP518" s="120" t="str">
        <f>IFERROR(VLOOKUP(Table1[RespondentID],'All Data'!$A$3:$CW$999,97,FALSE),"unknown")</f>
        <v>Yes</v>
      </c>
      <c r="AQ518" s="120" t="str">
        <f>IFERROR(VLOOKUP(Table1[RespondentID],'All Data'!$A$3:$CW$999,98,FALSE),"unknown")</f>
        <v>Private/Commercial</v>
      </c>
      <c r="AR518" s="120" t="str">
        <f>IFERROR(VLOOKUP(Table1[RespondentID],'All Data'!$A$3:$CW$999,99,FALSE),"unknown")</f>
        <v>Yes</v>
      </c>
    </row>
    <row r="519" spans="1:44" ht="16">
      <c r="A519" s="133">
        <v>18031750233</v>
      </c>
      <c r="B519" s="173"/>
      <c r="C519" s="174"/>
      <c r="D519" s="174"/>
      <c r="E519" s="174" t="s">
        <v>32</v>
      </c>
      <c r="F519" s="174" t="s">
        <v>33</v>
      </c>
      <c r="G519" s="174"/>
      <c r="H519" s="174"/>
      <c r="I519" s="174" t="s">
        <v>36</v>
      </c>
      <c r="J519" s="174"/>
      <c r="K519" s="174"/>
      <c r="L519" s="174"/>
      <c r="M519" s="170">
        <f t="shared" si="134"/>
        <v>3</v>
      </c>
      <c r="N519" s="170">
        <f t="shared" si="135"/>
        <v>1</v>
      </c>
      <c r="O519" s="170"/>
      <c r="P519" s="170">
        <f t="shared" si="136"/>
        <v>0</v>
      </c>
      <c r="Q519" s="170">
        <f t="shared" si="137"/>
        <v>0</v>
      </c>
      <c r="R519" s="170">
        <f t="shared" si="138"/>
        <v>0</v>
      </c>
      <c r="S519" s="170">
        <f t="shared" si="139"/>
        <v>1</v>
      </c>
      <c r="T519" s="170">
        <f t="shared" si="140"/>
        <v>1</v>
      </c>
      <c r="U519" s="170">
        <f t="shared" si="141"/>
        <v>0</v>
      </c>
      <c r="V519" s="175">
        <f t="shared" si="142"/>
        <v>0</v>
      </c>
      <c r="W519" s="170">
        <f t="shared" si="143"/>
        <v>1</v>
      </c>
      <c r="X519" s="170">
        <f t="shared" si="144"/>
        <v>0</v>
      </c>
      <c r="Y519" s="170">
        <f t="shared" si="145"/>
        <v>0</v>
      </c>
      <c r="Z519" s="170"/>
      <c r="AA519" s="170"/>
      <c r="AB519" s="170">
        <f t="shared" si="146"/>
        <v>3</v>
      </c>
      <c r="AC519" s="170">
        <f t="shared" si="147"/>
        <v>3</v>
      </c>
      <c r="AD519" s="170" t="str">
        <f t="shared" si="148"/>
        <v>Correct</v>
      </c>
      <c r="AE519" s="133"/>
      <c r="AF519" s="120" t="str">
        <f>IFERROR(VLOOKUP(Table1[RespondentID],'All Data'!$A$3:$CO$999,87,FALSE),"unknown")</f>
        <v>Woman</v>
      </c>
      <c r="AG519" s="120">
        <f>IFERROR(VLOOKUP(Table1[RespondentID],'All Data'!$A$3:$CO$999,88,FALSE),"unknown")</f>
        <v>37</v>
      </c>
      <c r="AH519" s="120" t="str">
        <f>IFERROR(VLOOKUP(Table1[RespondentID],'All Data'!$A$3:$CO$999,89,FALSE),"unknown")</f>
        <v>Suffolk</v>
      </c>
      <c r="AI519" s="120" t="str">
        <f>IFERROR(VLOOKUP(Table1[RespondentID],'All Data'!$A$3:$CO$999,90,FALSE),"unknown")</f>
        <v>Huntington, 11743</v>
      </c>
      <c r="AJ519" s="120">
        <f>IFERROR(VLOOKUP(Table1[RespondentID],'All Data'!$A$3:$CO$999,91,FALSE),"unknown")</f>
        <v>0</v>
      </c>
      <c r="AK519" s="120" t="str">
        <f>IFERROR(VLOOKUP(Table1[RespondentID],'All Data'!$A$3:$CO$999,92,FALSE),"unknown")</f>
        <v>Hispanic or Latino</v>
      </c>
      <c r="AL519" s="120" t="str">
        <f>IFERROR(VLOOKUP(Table1[RespondentID],'All Data'!$A$3:$CO$999,93,FALSE),"unknown")</f>
        <v>Spanish</v>
      </c>
      <c r="AM519" s="120" t="str">
        <f>IFERROR(VLOOKUP(Table1[RespondentID],'All Data'!$A$3:$CW$999,94,FALSE),"unknown")</f>
        <v>$20,000 to $34,999</v>
      </c>
      <c r="AN519" s="120" t="str">
        <f>IFERROR(VLOOKUP(Table1[RespondentID],'All Data'!$A$3:$CW$999,95,FALSE),"unknown")</f>
        <v>K-8 grade</v>
      </c>
      <c r="AO519" s="120" t="str">
        <f>IFERROR(VLOOKUP(Table1[RespondentID],'All Data'!$A$3:$CW$999,96,FALSE),"unknown")</f>
        <v>Self-employed</v>
      </c>
      <c r="AP519" s="120" t="str">
        <f>IFERROR(VLOOKUP(Table1[RespondentID],'All Data'!$A$3:$CW$999,97,FALSE),"unknown")</f>
        <v>Yes</v>
      </c>
      <c r="AQ519" s="120" t="str">
        <f>IFERROR(VLOOKUP(Table1[RespondentID],'All Data'!$A$3:$CW$999,98,FALSE),"unknown")</f>
        <v>Private/Commercial</v>
      </c>
      <c r="AR519" s="120" t="str">
        <f>IFERROR(VLOOKUP(Table1[RespondentID],'All Data'!$A$3:$CW$999,99,FALSE),"unknown")</f>
        <v>Yes</v>
      </c>
    </row>
    <row r="520" spans="1:44" ht="16">
      <c r="A520" s="133">
        <v>18031750066</v>
      </c>
      <c r="B520" s="173"/>
      <c r="C520" s="174"/>
      <c r="D520" s="174" t="s">
        <v>31</v>
      </c>
      <c r="E520" s="174"/>
      <c r="F520" s="174"/>
      <c r="G520" s="174"/>
      <c r="H520" s="174"/>
      <c r="I520" s="174" t="s">
        <v>36</v>
      </c>
      <c r="J520" s="174"/>
      <c r="K520" s="174"/>
      <c r="L520" s="174"/>
      <c r="M520" s="170">
        <f t="shared" si="134"/>
        <v>2</v>
      </c>
      <c r="N520" s="170">
        <f t="shared" si="135"/>
        <v>1.5</v>
      </c>
      <c r="O520" s="170"/>
      <c r="P520" s="170">
        <f t="shared" si="136"/>
        <v>0</v>
      </c>
      <c r="Q520" s="170">
        <f t="shared" si="137"/>
        <v>0</v>
      </c>
      <c r="R520" s="170">
        <f t="shared" si="138"/>
        <v>1</v>
      </c>
      <c r="S520" s="170">
        <f t="shared" si="139"/>
        <v>0</v>
      </c>
      <c r="T520" s="170">
        <f t="shared" si="140"/>
        <v>0</v>
      </c>
      <c r="U520" s="170">
        <f t="shared" si="141"/>
        <v>0</v>
      </c>
      <c r="V520" s="175">
        <f t="shared" si="142"/>
        <v>0</v>
      </c>
      <c r="W520" s="170">
        <f t="shared" si="143"/>
        <v>1</v>
      </c>
      <c r="X520" s="170">
        <f t="shared" si="144"/>
        <v>0</v>
      </c>
      <c r="Y520" s="170">
        <f t="shared" si="145"/>
        <v>0</v>
      </c>
      <c r="Z520" s="170"/>
      <c r="AA520" s="170"/>
      <c r="AB520" s="170">
        <f t="shared" si="146"/>
        <v>2</v>
      </c>
      <c r="AC520" s="170">
        <f t="shared" si="147"/>
        <v>2</v>
      </c>
      <c r="AD520" s="170" t="str">
        <f t="shared" si="148"/>
        <v>Correct</v>
      </c>
      <c r="AE520" s="133"/>
      <c r="AF520" s="120" t="str">
        <f>IFERROR(VLOOKUP(Table1[RespondentID],'All Data'!$A$3:$CO$999,87,FALSE),"unknown")</f>
        <v>Man</v>
      </c>
      <c r="AG520" s="120">
        <f>IFERROR(VLOOKUP(Table1[RespondentID],'All Data'!$A$3:$CO$999,88,FALSE),"unknown")</f>
        <v>44</v>
      </c>
      <c r="AH520" s="120" t="str">
        <f>IFERROR(VLOOKUP(Table1[RespondentID],'All Data'!$A$3:$CO$999,89,FALSE),"unknown")</f>
        <v>Suffolk</v>
      </c>
      <c r="AI520" s="120" t="str">
        <f>IFERROR(VLOOKUP(Table1[RespondentID],'All Data'!$A$3:$CO$999,90,FALSE),"unknown")</f>
        <v>Huntington, 11743</v>
      </c>
      <c r="AJ520" s="120" t="str">
        <f>IFERROR(VLOOKUP(Table1[RespondentID],'All Data'!$A$3:$CO$999,91,FALSE),"unknown")</f>
        <v>White</v>
      </c>
      <c r="AK520" s="120" t="str">
        <f>IFERROR(VLOOKUP(Table1[RespondentID],'All Data'!$A$3:$CO$999,92,FALSE),"unknown")</f>
        <v>Hispanic or Latino</v>
      </c>
      <c r="AL520" s="120" t="str">
        <f>IFERROR(VLOOKUP(Table1[RespondentID],'All Data'!$A$3:$CO$999,93,FALSE),"unknown")</f>
        <v>Spanish</v>
      </c>
      <c r="AM520" s="120" t="str">
        <f>IFERROR(VLOOKUP(Table1[RespondentID],'All Data'!$A$3:$CW$999,94,FALSE),"unknown")</f>
        <v>$20,000 to $34,999</v>
      </c>
      <c r="AN520" s="120" t="str">
        <f>IFERROR(VLOOKUP(Table1[RespondentID],'All Data'!$A$3:$CW$999,95,FALSE),"unknown")</f>
        <v>Some high school</v>
      </c>
      <c r="AO520" s="120" t="str">
        <f>IFERROR(VLOOKUP(Table1[RespondentID],'All Data'!$A$3:$CW$999,96,FALSE),"unknown")</f>
        <v>Employed for wages</v>
      </c>
      <c r="AP520" s="120" t="str">
        <f>IFERROR(VLOOKUP(Table1[RespondentID],'All Data'!$A$3:$CW$999,97,FALSE),"unknown")</f>
        <v>No</v>
      </c>
      <c r="AQ520" s="120" t="str">
        <f>IFERROR(VLOOKUP(Table1[RespondentID],'All Data'!$A$3:$CW$999,98,FALSE),"unknown")</f>
        <v>No Insurance</v>
      </c>
      <c r="AR520" s="120" t="str">
        <f>IFERROR(VLOOKUP(Table1[RespondentID],'All Data'!$A$3:$CW$999,99,FALSE),"unknown")</f>
        <v>Yes</v>
      </c>
    </row>
    <row r="521" spans="1:44" ht="16">
      <c r="A521" s="133">
        <v>18031749313</v>
      </c>
      <c r="B521" s="173"/>
      <c r="C521" s="174"/>
      <c r="D521" s="174"/>
      <c r="E521" s="174"/>
      <c r="F521" s="174"/>
      <c r="G521" s="174"/>
      <c r="H521" s="174"/>
      <c r="I521" s="174" t="s">
        <v>36</v>
      </c>
      <c r="J521" s="174"/>
      <c r="K521" s="174"/>
      <c r="L521" s="174"/>
      <c r="M521" s="170">
        <f t="shared" si="134"/>
        <v>1</v>
      </c>
      <c r="N521" s="170">
        <f t="shared" si="135"/>
        <v>3</v>
      </c>
      <c r="O521" s="170"/>
      <c r="P521" s="170">
        <f t="shared" si="136"/>
        <v>0</v>
      </c>
      <c r="Q521" s="170">
        <f t="shared" si="137"/>
        <v>0</v>
      </c>
      <c r="R521" s="170">
        <f t="shared" si="138"/>
        <v>0</v>
      </c>
      <c r="S521" s="170">
        <f t="shared" si="139"/>
        <v>0</v>
      </c>
      <c r="T521" s="170">
        <f t="shared" si="140"/>
        <v>0</v>
      </c>
      <c r="U521" s="170">
        <f t="shared" si="141"/>
        <v>0</v>
      </c>
      <c r="V521" s="175">
        <f t="shared" si="142"/>
        <v>0</v>
      </c>
      <c r="W521" s="170">
        <f t="shared" si="143"/>
        <v>1</v>
      </c>
      <c r="X521" s="170">
        <f t="shared" si="144"/>
        <v>0</v>
      </c>
      <c r="Y521" s="170">
        <f t="shared" si="145"/>
        <v>0</v>
      </c>
      <c r="Z521" s="170"/>
      <c r="AA521" s="170"/>
      <c r="AB521" s="170">
        <f t="shared" si="146"/>
        <v>1</v>
      </c>
      <c r="AC521" s="170">
        <f t="shared" si="147"/>
        <v>1</v>
      </c>
      <c r="AD521" s="170" t="str">
        <f t="shared" si="148"/>
        <v>Correct</v>
      </c>
      <c r="AE521" s="133"/>
      <c r="AF521" s="120">
        <f>IFERROR(VLOOKUP(Table1[RespondentID],'All Data'!$A$3:$CO$999,87,FALSE),"unknown")</f>
        <v>0</v>
      </c>
      <c r="AG521" s="120">
        <f>IFERROR(VLOOKUP(Table1[RespondentID],'All Data'!$A$3:$CO$999,88,FALSE),"unknown")</f>
        <v>0</v>
      </c>
      <c r="AH521" s="120">
        <f>IFERROR(VLOOKUP(Table1[RespondentID],'All Data'!$A$3:$CO$999,89,FALSE),"unknown")</f>
        <v>0</v>
      </c>
      <c r="AI521" s="120">
        <f>IFERROR(VLOOKUP(Table1[RespondentID],'All Data'!$A$3:$CO$999,90,FALSE),"unknown")</f>
        <v>0</v>
      </c>
      <c r="AJ521" s="120">
        <f>IFERROR(VLOOKUP(Table1[RespondentID],'All Data'!$A$3:$CO$999,91,FALSE),"unknown")</f>
        <v>0</v>
      </c>
      <c r="AK521" s="120" t="str">
        <f>IFERROR(VLOOKUP(Table1[RespondentID],'All Data'!$A$3:$CO$999,92,FALSE),"unknown")</f>
        <v>Hispanic or Latino</v>
      </c>
      <c r="AL521" s="120" t="str">
        <f>IFERROR(VLOOKUP(Table1[RespondentID],'All Data'!$A$3:$CO$999,93,FALSE),"unknown")</f>
        <v>Spanish</v>
      </c>
      <c r="AM521" s="120" t="str">
        <f>IFERROR(VLOOKUP(Table1[RespondentID],'All Data'!$A$3:$CW$999,94,FALSE),"unknown")</f>
        <v>$20,000 to $34,999</v>
      </c>
      <c r="AN521" s="120" t="str">
        <f>IFERROR(VLOOKUP(Table1[RespondentID],'All Data'!$A$3:$CW$999,95,FALSE),"unknown")</f>
        <v>Some high school</v>
      </c>
      <c r="AO521" s="120">
        <f>IFERROR(VLOOKUP(Table1[RespondentID],'All Data'!$A$3:$CW$999,96,FALSE),"unknown")</f>
        <v>0</v>
      </c>
      <c r="AP521" s="120" t="str">
        <f>IFERROR(VLOOKUP(Table1[RespondentID],'All Data'!$A$3:$CW$999,97,FALSE),"unknown")</f>
        <v>No</v>
      </c>
      <c r="AQ521" s="120" t="str">
        <f>IFERROR(VLOOKUP(Table1[RespondentID],'All Data'!$A$3:$CW$999,98,FALSE),"unknown")</f>
        <v>No Insurance</v>
      </c>
      <c r="AR521" s="120" t="str">
        <f>IFERROR(VLOOKUP(Table1[RespondentID],'All Data'!$A$3:$CW$999,99,FALSE),"unknown")</f>
        <v>Yes</v>
      </c>
    </row>
    <row r="522" spans="1:44" ht="16">
      <c r="A522" s="133">
        <v>18031746891</v>
      </c>
      <c r="B522" s="173"/>
      <c r="C522" s="174"/>
      <c r="D522" s="174"/>
      <c r="E522" s="174"/>
      <c r="F522" s="174" t="s">
        <v>33</v>
      </c>
      <c r="G522" s="174"/>
      <c r="H522" s="174"/>
      <c r="I522" s="174" t="s">
        <v>36</v>
      </c>
      <c r="J522" s="174"/>
      <c r="K522" s="174"/>
      <c r="L522" s="174"/>
      <c r="M522" s="170">
        <f t="shared" si="134"/>
        <v>2</v>
      </c>
      <c r="N522" s="170">
        <f t="shared" si="135"/>
        <v>1.5</v>
      </c>
      <c r="O522" s="170"/>
      <c r="P522" s="170">
        <f t="shared" si="136"/>
        <v>0</v>
      </c>
      <c r="Q522" s="170">
        <f t="shared" si="137"/>
        <v>0</v>
      </c>
      <c r="R522" s="170">
        <f t="shared" si="138"/>
        <v>0</v>
      </c>
      <c r="S522" s="170">
        <f t="shared" si="139"/>
        <v>0</v>
      </c>
      <c r="T522" s="170">
        <f t="shared" si="140"/>
        <v>1</v>
      </c>
      <c r="U522" s="170">
        <f t="shared" si="141"/>
        <v>0</v>
      </c>
      <c r="V522" s="175">
        <f t="shared" si="142"/>
        <v>0</v>
      </c>
      <c r="W522" s="170">
        <f t="shared" si="143"/>
        <v>1</v>
      </c>
      <c r="X522" s="170">
        <f t="shared" si="144"/>
        <v>0</v>
      </c>
      <c r="Y522" s="170">
        <f t="shared" si="145"/>
        <v>0</v>
      </c>
      <c r="Z522" s="170"/>
      <c r="AA522" s="170"/>
      <c r="AB522" s="170">
        <f t="shared" si="146"/>
        <v>2</v>
      </c>
      <c r="AC522" s="170">
        <f t="shared" si="147"/>
        <v>2</v>
      </c>
      <c r="AD522" s="170" t="str">
        <f t="shared" si="148"/>
        <v>Correct</v>
      </c>
      <c r="AE522" s="133"/>
      <c r="AF522" s="120" t="str">
        <f>IFERROR(VLOOKUP(Table1[RespondentID],'All Data'!$A$3:$CO$999,87,FALSE),"unknown")</f>
        <v>Woman</v>
      </c>
      <c r="AG522" s="120">
        <f>IFERROR(VLOOKUP(Table1[RespondentID],'All Data'!$A$3:$CO$999,88,FALSE),"unknown")</f>
        <v>65</v>
      </c>
      <c r="AH522" s="120" t="str">
        <f>IFERROR(VLOOKUP(Table1[RespondentID],'All Data'!$A$3:$CO$999,89,FALSE),"unknown")</f>
        <v>Nassau</v>
      </c>
      <c r="AI522" s="120" t="str">
        <f>IFERROR(VLOOKUP(Table1[RespondentID],'All Data'!$A$3:$CO$999,90,FALSE),"unknown")</f>
        <v>Freeport, 11520</v>
      </c>
      <c r="AJ522" s="120">
        <f>IFERROR(VLOOKUP(Table1[RespondentID],'All Data'!$A$3:$CO$999,91,FALSE),"unknown")</f>
        <v>0</v>
      </c>
      <c r="AK522" s="120" t="str">
        <f>IFERROR(VLOOKUP(Table1[RespondentID],'All Data'!$A$3:$CO$999,92,FALSE),"unknown")</f>
        <v>Hispanic or Latino</v>
      </c>
      <c r="AL522" s="120" t="str">
        <f>IFERROR(VLOOKUP(Table1[RespondentID],'All Data'!$A$3:$CO$999,93,FALSE),"unknown")</f>
        <v>Spanish</v>
      </c>
      <c r="AM522" s="120">
        <f>IFERROR(VLOOKUP(Table1[RespondentID],'All Data'!$A$3:$CW$999,94,FALSE),"unknown")</f>
        <v>0</v>
      </c>
      <c r="AN522" s="120">
        <f>IFERROR(VLOOKUP(Table1[RespondentID],'All Data'!$A$3:$CW$999,95,FALSE),"unknown")</f>
        <v>0</v>
      </c>
      <c r="AO522" s="120" t="str">
        <f>IFERROR(VLOOKUP(Table1[RespondentID],'All Data'!$A$3:$CW$999,96,FALSE),"unknown")</f>
        <v>Retired</v>
      </c>
      <c r="AP522" s="120" t="str">
        <f>IFERROR(VLOOKUP(Table1[RespondentID],'All Data'!$A$3:$CW$999,97,FALSE),"unknown")</f>
        <v>Yes</v>
      </c>
      <c r="AQ522" s="120" t="str">
        <f>IFERROR(VLOOKUP(Table1[RespondentID],'All Data'!$A$3:$CW$999,98,FALSE),"unknown")</f>
        <v>Medicaid,Medicare</v>
      </c>
      <c r="AR522" s="120" t="str">
        <f>IFERROR(VLOOKUP(Table1[RespondentID],'All Data'!$A$3:$CW$999,99,FALSE),"unknown")</f>
        <v>Yes</v>
      </c>
    </row>
    <row r="523" spans="1:44" ht="16">
      <c r="A523" s="133">
        <v>18031746567</v>
      </c>
      <c r="B523" s="173"/>
      <c r="C523" s="174"/>
      <c r="D523" s="174"/>
      <c r="E523" s="174"/>
      <c r="F523" s="174" t="s">
        <v>33</v>
      </c>
      <c r="G523" s="174"/>
      <c r="H523" s="174"/>
      <c r="I523" s="174" t="s">
        <v>36</v>
      </c>
      <c r="J523" s="174"/>
      <c r="K523" s="174"/>
      <c r="L523" s="174"/>
      <c r="M523" s="170">
        <f t="shared" si="134"/>
        <v>2</v>
      </c>
      <c r="N523" s="170">
        <f t="shared" si="135"/>
        <v>1.5</v>
      </c>
      <c r="O523" s="170"/>
      <c r="P523" s="170">
        <f t="shared" si="136"/>
        <v>0</v>
      </c>
      <c r="Q523" s="170">
        <f t="shared" si="137"/>
        <v>0</v>
      </c>
      <c r="R523" s="170">
        <f t="shared" si="138"/>
        <v>0</v>
      </c>
      <c r="S523" s="170">
        <f t="shared" si="139"/>
        <v>0</v>
      </c>
      <c r="T523" s="170">
        <f t="shared" si="140"/>
        <v>1</v>
      </c>
      <c r="U523" s="170">
        <f t="shared" si="141"/>
        <v>0</v>
      </c>
      <c r="V523" s="175">
        <f t="shared" si="142"/>
        <v>0</v>
      </c>
      <c r="W523" s="170">
        <f t="shared" si="143"/>
        <v>1</v>
      </c>
      <c r="X523" s="170">
        <f t="shared" si="144"/>
        <v>0</v>
      </c>
      <c r="Y523" s="170">
        <f t="shared" si="145"/>
        <v>0</v>
      </c>
      <c r="Z523" s="170"/>
      <c r="AA523" s="170"/>
      <c r="AB523" s="170">
        <f t="shared" si="146"/>
        <v>2</v>
      </c>
      <c r="AC523" s="170">
        <f t="shared" si="147"/>
        <v>2</v>
      </c>
      <c r="AD523" s="170" t="str">
        <f t="shared" si="148"/>
        <v>Correct</v>
      </c>
      <c r="AE523" s="133"/>
      <c r="AF523" s="120" t="str">
        <f>IFERROR(VLOOKUP(Table1[RespondentID],'All Data'!$A$3:$CO$999,87,FALSE),"unknown")</f>
        <v>Woman</v>
      </c>
      <c r="AG523" s="120">
        <f>IFERROR(VLOOKUP(Table1[RespondentID],'All Data'!$A$3:$CO$999,88,FALSE),"unknown")</f>
        <v>65</v>
      </c>
      <c r="AH523" s="120" t="str">
        <f>IFERROR(VLOOKUP(Table1[RespondentID],'All Data'!$A$3:$CO$999,89,FALSE),"unknown")</f>
        <v>Nassau</v>
      </c>
      <c r="AI523" s="120" t="str">
        <f>IFERROR(VLOOKUP(Table1[RespondentID],'All Data'!$A$3:$CO$999,90,FALSE),"unknown")</f>
        <v>Freeport, 11520</v>
      </c>
      <c r="AJ523" s="120">
        <f>IFERROR(VLOOKUP(Table1[RespondentID],'All Data'!$A$3:$CO$999,91,FALSE),"unknown")</f>
        <v>0</v>
      </c>
      <c r="AK523" s="120">
        <f>IFERROR(VLOOKUP(Table1[RespondentID],'All Data'!$A$3:$CO$999,92,FALSE),"unknown")</f>
        <v>0</v>
      </c>
      <c r="AL523" s="120">
        <f>IFERROR(VLOOKUP(Table1[RespondentID],'All Data'!$A$3:$CO$999,93,FALSE),"unknown")</f>
        <v>0</v>
      </c>
      <c r="AM523" s="120">
        <f>IFERROR(VLOOKUP(Table1[RespondentID],'All Data'!$A$3:$CW$999,94,FALSE),"unknown")</f>
        <v>0</v>
      </c>
      <c r="AN523" s="120">
        <f>IFERROR(VLOOKUP(Table1[RespondentID],'All Data'!$A$3:$CW$999,95,FALSE),"unknown")</f>
        <v>0</v>
      </c>
      <c r="AO523" s="120">
        <f>IFERROR(VLOOKUP(Table1[RespondentID],'All Data'!$A$3:$CW$999,96,FALSE),"unknown")</f>
        <v>0</v>
      </c>
      <c r="AP523" s="120">
        <f>IFERROR(VLOOKUP(Table1[RespondentID],'All Data'!$A$3:$CW$999,97,FALSE),"unknown")</f>
        <v>0</v>
      </c>
      <c r="AQ523" s="120">
        <f>IFERROR(VLOOKUP(Table1[RespondentID],'All Data'!$A$3:$CW$999,98,FALSE),"unknown")</f>
        <v>0</v>
      </c>
      <c r="AR523" s="120">
        <f>IFERROR(VLOOKUP(Table1[RespondentID],'All Data'!$A$3:$CW$999,99,FALSE),"unknown")</f>
        <v>0</v>
      </c>
    </row>
    <row r="524" spans="1:44" ht="16">
      <c r="A524" s="133">
        <v>18031743313</v>
      </c>
      <c r="B524" s="173"/>
      <c r="C524" s="174"/>
      <c r="D524" s="174"/>
      <c r="E524" s="174"/>
      <c r="F524" s="174" t="s">
        <v>33</v>
      </c>
      <c r="G524" s="174"/>
      <c r="H524" s="174"/>
      <c r="I524" s="174" t="s">
        <v>36</v>
      </c>
      <c r="J524" s="174"/>
      <c r="K524" s="174"/>
      <c r="L524" s="174"/>
      <c r="M524" s="170">
        <f t="shared" si="134"/>
        <v>2</v>
      </c>
      <c r="N524" s="170">
        <f t="shared" si="135"/>
        <v>1.5</v>
      </c>
      <c r="O524" s="170"/>
      <c r="P524" s="170">
        <f t="shared" si="136"/>
        <v>0</v>
      </c>
      <c r="Q524" s="170">
        <f t="shared" si="137"/>
        <v>0</v>
      </c>
      <c r="R524" s="170">
        <f t="shared" si="138"/>
        <v>0</v>
      </c>
      <c r="S524" s="170">
        <f t="shared" si="139"/>
        <v>0</v>
      </c>
      <c r="T524" s="170">
        <f t="shared" si="140"/>
        <v>1</v>
      </c>
      <c r="U524" s="170">
        <f t="shared" si="141"/>
        <v>0</v>
      </c>
      <c r="V524" s="175">
        <f t="shared" si="142"/>
        <v>0</v>
      </c>
      <c r="W524" s="170">
        <f t="shared" si="143"/>
        <v>1</v>
      </c>
      <c r="X524" s="170">
        <f t="shared" si="144"/>
        <v>0</v>
      </c>
      <c r="Y524" s="170">
        <f t="shared" si="145"/>
        <v>0</v>
      </c>
      <c r="Z524" s="170"/>
      <c r="AA524" s="170"/>
      <c r="AB524" s="170">
        <f t="shared" si="146"/>
        <v>2</v>
      </c>
      <c r="AC524" s="170">
        <f t="shared" si="147"/>
        <v>2</v>
      </c>
      <c r="AD524" s="170" t="str">
        <f t="shared" si="148"/>
        <v>Correct</v>
      </c>
      <c r="AE524" s="133"/>
      <c r="AF524" s="120" t="str">
        <f>IFERROR(VLOOKUP(Table1[RespondentID],'All Data'!$A$3:$CO$999,87,FALSE),"unknown")</f>
        <v>Woman</v>
      </c>
      <c r="AG524" s="120">
        <f>IFERROR(VLOOKUP(Table1[RespondentID],'All Data'!$A$3:$CO$999,88,FALSE),"unknown")</f>
        <v>65</v>
      </c>
      <c r="AH524" s="120" t="str">
        <f>IFERROR(VLOOKUP(Table1[RespondentID],'All Data'!$A$3:$CO$999,89,FALSE),"unknown")</f>
        <v>Nassau</v>
      </c>
      <c r="AI524" s="120" t="str">
        <f>IFERROR(VLOOKUP(Table1[RespondentID],'All Data'!$A$3:$CO$999,90,FALSE),"unknown")</f>
        <v>Freeport, 11520</v>
      </c>
      <c r="AJ524" s="120">
        <f>IFERROR(VLOOKUP(Table1[RespondentID],'All Data'!$A$3:$CO$999,91,FALSE),"unknown")</f>
        <v>0</v>
      </c>
      <c r="AK524" s="120">
        <f>IFERROR(VLOOKUP(Table1[RespondentID],'All Data'!$A$3:$CO$999,92,FALSE),"unknown")</f>
        <v>0</v>
      </c>
      <c r="AL524" s="120">
        <f>IFERROR(VLOOKUP(Table1[RespondentID],'All Data'!$A$3:$CO$999,93,FALSE),"unknown")</f>
        <v>0</v>
      </c>
      <c r="AM524" s="120">
        <f>IFERROR(VLOOKUP(Table1[RespondentID],'All Data'!$A$3:$CW$999,94,FALSE),"unknown")</f>
        <v>0</v>
      </c>
      <c r="AN524" s="120">
        <f>IFERROR(VLOOKUP(Table1[RespondentID],'All Data'!$A$3:$CW$999,95,FALSE),"unknown")</f>
        <v>0</v>
      </c>
      <c r="AO524" s="120">
        <f>IFERROR(VLOOKUP(Table1[RespondentID],'All Data'!$A$3:$CW$999,96,FALSE),"unknown")</f>
        <v>0</v>
      </c>
      <c r="AP524" s="120">
        <f>IFERROR(VLOOKUP(Table1[RespondentID],'All Data'!$A$3:$CW$999,97,FALSE),"unknown")</f>
        <v>0</v>
      </c>
      <c r="AQ524" s="120">
        <f>IFERROR(VLOOKUP(Table1[RespondentID],'All Data'!$A$3:$CW$999,98,FALSE),"unknown")</f>
        <v>0</v>
      </c>
      <c r="AR524" s="120">
        <f>IFERROR(VLOOKUP(Table1[RespondentID],'All Data'!$A$3:$CW$999,99,FALSE),"unknown")</f>
        <v>0</v>
      </c>
    </row>
    <row r="525" spans="1:44" ht="16">
      <c r="A525" s="133">
        <v>18031103447</v>
      </c>
      <c r="B525" s="173"/>
      <c r="C525" s="174"/>
      <c r="D525" s="174"/>
      <c r="E525" s="174"/>
      <c r="F525" s="174"/>
      <c r="G525" s="174"/>
      <c r="H525" s="174"/>
      <c r="I525" s="174"/>
      <c r="J525" s="174"/>
      <c r="K525" s="174"/>
      <c r="L525" s="174"/>
      <c r="M525" s="170">
        <f t="shared" si="134"/>
        <v>0</v>
      </c>
      <c r="N525" s="170" t="e">
        <f t="shared" si="135"/>
        <v>#DIV/0!</v>
      </c>
      <c r="O525" s="170"/>
      <c r="P525" s="170">
        <f t="shared" si="136"/>
        <v>0</v>
      </c>
      <c r="Q525" s="170">
        <f t="shared" si="137"/>
        <v>0</v>
      </c>
      <c r="R525" s="170">
        <f t="shared" si="138"/>
        <v>0</v>
      </c>
      <c r="S525" s="170">
        <f t="shared" si="139"/>
        <v>0</v>
      </c>
      <c r="T525" s="170">
        <f t="shared" si="140"/>
        <v>0</v>
      </c>
      <c r="U525" s="170">
        <f t="shared" si="141"/>
        <v>0</v>
      </c>
      <c r="V525" s="175">
        <f t="shared" si="142"/>
        <v>0</v>
      </c>
      <c r="W525" s="170">
        <f t="shared" si="143"/>
        <v>0</v>
      </c>
      <c r="X525" s="170">
        <f t="shared" si="144"/>
        <v>0</v>
      </c>
      <c r="Y525" s="170">
        <f t="shared" si="145"/>
        <v>0</v>
      </c>
      <c r="Z525" s="170"/>
      <c r="AA525" s="170"/>
      <c r="AB525" s="170">
        <f t="shared" si="146"/>
        <v>0</v>
      </c>
      <c r="AC525" s="170">
        <f t="shared" si="147"/>
        <v>0</v>
      </c>
      <c r="AD525" s="170" t="str">
        <f t="shared" si="148"/>
        <v>Correct</v>
      </c>
      <c r="AE525" s="133"/>
      <c r="AF525" s="120">
        <f>IFERROR(VLOOKUP(Table1[RespondentID],'All Data'!$A$3:$CO$999,87,FALSE),"unknown")</f>
        <v>0</v>
      </c>
      <c r="AG525" s="120">
        <f>IFERROR(VLOOKUP(Table1[RespondentID],'All Data'!$A$3:$CO$999,88,FALSE),"unknown")</f>
        <v>0</v>
      </c>
      <c r="AH525" s="120">
        <f>IFERROR(VLOOKUP(Table1[RespondentID],'All Data'!$A$3:$CO$999,89,FALSE),"unknown")</f>
        <v>0</v>
      </c>
      <c r="AI525" s="120">
        <f>IFERROR(VLOOKUP(Table1[RespondentID],'All Data'!$A$3:$CO$999,90,FALSE),"unknown")</f>
        <v>0</v>
      </c>
      <c r="AJ525" s="120">
        <f>IFERROR(VLOOKUP(Table1[RespondentID],'All Data'!$A$3:$CO$999,91,FALSE),"unknown")</f>
        <v>0</v>
      </c>
      <c r="AK525" s="120">
        <f>IFERROR(VLOOKUP(Table1[RespondentID],'All Data'!$A$3:$CO$999,92,FALSE),"unknown")</f>
        <v>0</v>
      </c>
      <c r="AL525" s="120">
        <f>IFERROR(VLOOKUP(Table1[RespondentID],'All Data'!$A$3:$CO$999,93,FALSE),"unknown")</f>
        <v>0</v>
      </c>
      <c r="AM525" s="120">
        <f>IFERROR(VLOOKUP(Table1[RespondentID],'All Data'!$A$3:$CW$999,94,FALSE),"unknown")</f>
        <v>0</v>
      </c>
      <c r="AN525" s="120">
        <f>IFERROR(VLOOKUP(Table1[RespondentID],'All Data'!$A$3:$CW$999,95,FALSE),"unknown")</f>
        <v>0</v>
      </c>
      <c r="AO525" s="120">
        <f>IFERROR(VLOOKUP(Table1[RespondentID],'All Data'!$A$3:$CW$999,96,FALSE),"unknown")</f>
        <v>0</v>
      </c>
      <c r="AP525" s="120">
        <f>IFERROR(VLOOKUP(Table1[RespondentID],'All Data'!$A$3:$CW$999,97,FALSE),"unknown")</f>
        <v>0</v>
      </c>
      <c r="AQ525" s="120">
        <f>IFERROR(VLOOKUP(Table1[RespondentID],'All Data'!$A$3:$CW$999,98,FALSE),"unknown")</f>
        <v>0</v>
      </c>
      <c r="AR525" s="120">
        <f>IFERROR(VLOOKUP(Table1[RespondentID],'All Data'!$A$3:$CW$999,99,FALSE),"unknown")</f>
        <v>0</v>
      </c>
    </row>
    <row r="526" spans="1:44" ht="16">
      <c r="A526" s="133">
        <v>18030570632</v>
      </c>
      <c r="B526" s="173" t="s">
        <v>29</v>
      </c>
      <c r="C526" s="174" t="s">
        <v>30</v>
      </c>
      <c r="D526" s="174" t="s">
        <v>31</v>
      </c>
      <c r="E526" s="174"/>
      <c r="F526" s="174"/>
      <c r="G526" s="174" t="s">
        <v>34</v>
      </c>
      <c r="H526" s="174" t="s">
        <v>521</v>
      </c>
      <c r="I526" s="174"/>
      <c r="J526" s="174"/>
      <c r="K526" s="174"/>
      <c r="L526" s="174"/>
      <c r="M526" s="170">
        <f t="shared" ref="M526:M530" si="149">COUNTA(B526:L526)</f>
        <v>5</v>
      </c>
      <c r="N526" s="170">
        <f t="shared" ref="N526:N530" si="150">3/M526</f>
        <v>0.6</v>
      </c>
      <c r="O526" s="170"/>
      <c r="P526" s="170">
        <f t="shared" si="136"/>
        <v>0.6</v>
      </c>
      <c r="Q526" s="170">
        <f t="shared" si="137"/>
        <v>0.6</v>
      </c>
      <c r="R526" s="170">
        <f t="shared" si="138"/>
        <v>0.6</v>
      </c>
      <c r="S526" s="170">
        <f t="shared" si="139"/>
        <v>0</v>
      </c>
      <c r="T526" s="170">
        <f t="shared" si="140"/>
        <v>0</v>
      </c>
      <c r="U526" s="170">
        <f t="shared" si="141"/>
        <v>0.6</v>
      </c>
      <c r="V526" s="175">
        <f t="shared" si="142"/>
        <v>0</v>
      </c>
      <c r="W526" s="170">
        <f t="shared" si="143"/>
        <v>0</v>
      </c>
      <c r="X526" s="170">
        <f t="shared" si="144"/>
        <v>0</v>
      </c>
      <c r="Y526" s="170">
        <f t="shared" si="145"/>
        <v>0</v>
      </c>
      <c r="Z526" s="170"/>
      <c r="AA526" s="170"/>
      <c r="AB526" s="170">
        <f t="shared" si="146"/>
        <v>2.4</v>
      </c>
      <c r="AC526" s="170">
        <f t="shared" si="147"/>
        <v>5</v>
      </c>
      <c r="AD526" s="170" t="str">
        <f t="shared" ref="AD526:AD530" si="151">IF(AB526=AC526,"Correct",IF(AB526=3,"Correct","Wrong"))</f>
        <v>Wrong</v>
      </c>
      <c r="AE526" s="133"/>
      <c r="AF526" s="120" t="str">
        <f>IFERROR(VLOOKUP(Table1[RespondentID],'All Data'!$A$3:$CO$999,87,FALSE),"unknown")</f>
        <v>Man</v>
      </c>
      <c r="AG526" s="120">
        <f>IFERROR(VLOOKUP(Table1[RespondentID],'All Data'!$A$3:$CO$999,88,FALSE),"unknown")</f>
        <v>0</v>
      </c>
      <c r="AH526" s="120">
        <f>IFERROR(VLOOKUP(Table1[RespondentID],'All Data'!$A$3:$CO$999,89,FALSE),"unknown")</f>
        <v>0</v>
      </c>
      <c r="AI526" s="120" t="str">
        <f>IFERROR(VLOOKUP(Table1[RespondentID],'All Data'!$A$3:$CO$999,90,FALSE),"unknown")</f>
        <v>Hempstead, 11549</v>
      </c>
      <c r="AJ526" s="120" t="str">
        <f>IFERROR(VLOOKUP(Table1[RespondentID],'All Data'!$A$3:$CO$999,91,FALSE),"unknown")</f>
        <v>Black/African American</v>
      </c>
      <c r="AK526" s="120">
        <f>IFERROR(VLOOKUP(Table1[RespondentID],'All Data'!$A$3:$CO$999,92,FALSE),"unknown")</f>
        <v>0</v>
      </c>
      <c r="AL526" s="120" t="str">
        <f>IFERROR(VLOOKUP(Table1[RespondentID],'All Data'!$A$3:$CO$999,93,FALSE),"unknown")</f>
        <v>Farsi,Polish</v>
      </c>
      <c r="AM526" s="120" t="str">
        <f>IFERROR(VLOOKUP(Table1[RespondentID],'All Data'!$A$3:$CW$999,94,FALSE),"unknown")</f>
        <v>$0-$19,999</v>
      </c>
      <c r="AN526" s="120" t="str">
        <f>IFERROR(VLOOKUP(Table1[RespondentID],'All Data'!$A$3:$CW$999,95,FALSE),"unknown")</f>
        <v>Graduate school</v>
      </c>
      <c r="AO526" s="120" t="str">
        <f>IFERROR(VLOOKUP(Table1[RespondentID],'All Data'!$A$3:$CW$999,96,FALSE),"unknown")</f>
        <v>Retired</v>
      </c>
      <c r="AP526" s="120" t="str">
        <f>IFERROR(VLOOKUP(Table1[RespondentID],'All Data'!$A$3:$CW$999,97,FALSE),"unknown")</f>
        <v>No, but I did in the past</v>
      </c>
      <c r="AQ526" s="120">
        <f>IFERROR(VLOOKUP(Table1[RespondentID],'All Data'!$A$3:$CW$999,98,FALSE),"unknown")</f>
        <v>0</v>
      </c>
      <c r="AR526" s="120" t="str">
        <f>IFERROR(VLOOKUP(Table1[RespondentID],'All Data'!$A$3:$CW$999,99,FALSE),"unknown")</f>
        <v>Yes</v>
      </c>
    </row>
    <row r="527" spans="1:44" ht="16">
      <c r="A527" s="133">
        <v>18030570608</v>
      </c>
      <c r="B527" s="173"/>
      <c r="C527" s="174" t="s">
        <v>30</v>
      </c>
      <c r="D527" s="174"/>
      <c r="E527" s="174"/>
      <c r="F527" s="174"/>
      <c r="G527" s="174" t="s">
        <v>34</v>
      </c>
      <c r="H527" s="174" t="s">
        <v>521</v>
      </c>
      <c r="I527" s="174"/>
      <c r="J527" s="174"/>
      <c r="K527" s="174"/>
      <c r="L527" s="174"/>
      <c r="M527" s="170">
        <f t="shared" si="149"/>
        <v>3</v>
      </c>
      <c r="N527" s="170">
        <f t="shared" si="150"/>
        <v>1</v>
      </c>
      <c r="O527" s="170"/>
      <c r="P527" s="170">
        <f t="shared" si="136"/>
        <v>0</v>
      </c>
      <c r="Q527" s="170">
        <f t="shared" si="137"/>
        <v>1</v>
      </c>
      <c r="R527" s="170">
        <f t="shared" si="138"/>
        <v>0</v>
      </c>
      <c r="S527" s="170">
        <f t="shared" si="139"/>
        <v>0</v>
      </c>
      <c r="T527" s="170">
        <f t="shared" si="140"/>
        <v>0</v>
      </c>
      <c r="U527" s="170">
        <f t="shared" si="141"/>
        <v>1</v>
      </c>
      <c r="V527" s="175">
        <f t="shared" si="142"/>
        <v>0</v>
      </c>
      <c r="W527" s="170">
        <f t="shared" si="143"/>
        <v>0</v>
      </c>
      <c r="X527" s="170">
        <f t="shared" si="144"/>
        <v>0</v>
      </c>
      <c r="Y527" s="170">
        <f t="shared" si="145"/>
        <v>0</v>
      </c>
      <c r="Z527" s="170"/>
      <c r="AA527" s="170"/>
      <c r="AB527" s="170">
        <f t="shared" si="146"/>
        <v>2</v>
      </c>
      <c r="AC527" s="170">
        <f t="shared" si="147"/>
        <v>3</v>
      </c>
      <c r="AD527" s="170" t="str">
        <f t="shared" si="151"/>
        <v>Wrong</v>
      </c>
      <c r="AE527" s="133"/>
      <c r="AF527" s="120" t="str">
        <f>IFERROR(VLOOKUP(Table1[RespondentID],'All Data'!$A$3:$CO$999,87,FALSE),"unknown")</f>
        <v>Man</v>
      </c>
      <c r="AG527" s="120">
        <f>IFERROR(VLOOKUP(Table1[RespondentID],'All Data'!$A$3:$CO$999,88,FALSE),"unknown")</f>
        <v>26</v>
      </c>
      <c r="AH527" s="120" t="str">
        <f>IFERROR(VLOOKUP(Table1[RespondentID],'All Data'!$A$3:$CO$999,89,FALSE),"unknown")</f>
        <v>Nassau</v>
      </c>
      <c r="AI527" s="120">
        <f>IFERROR(VLOOKUP(Table1[RespondentID],'All Data'!$A$3:$CO$999,90,FALSE),"unknown")</f>
        <v>0</v>
      </c>
      <c r="AJ527" s="120">
        <f>IFERROR(VLOOKUP(Table1[RespondentID],'All Data'!$A$3:$CO$999,91,FALSE),"unknown")</f>
        <v>0</v>
      </c>
      <c r="AK527" s="120">
        <f>IFERROR(VLOOKUP(Table1[RespondentID],'All Data'!$A$3:$CO$999,92,FALSE),"unknown")</f>
        <v>0</v>
      </c>
      <c r="AL527" s="120">
        <f>IFERROR(VLOOKUP(Table1[RespondentID],'All Data'!$A$3:$CO$999,93,FALSE),"unknown")</f>
        <v>0</v>
      </c>
      <c r="AM527" s="120">
        <f>IFERROR(VLOOKUP(Table1[RespondentID],'All Data'!$A$3:$CW$999,94,FALSE),"unknown")</f>
        <v>0</v>
      </c>
      <c r="AN527" s="120">
        <f>IFERROR(VLOOKUP(Table1[RespondentID],'All Data'!$A$3:$CW$999,95,FALSE),"unknown")</f>
        <v>0</v>
      </c>
      <c r="AO527" s="120">
        <f>IFERROR(VLOOKUP(Table1[RespondentID],'All Data'!$A$3:$CW$999,96,FALSE),"unknown")</f>
        <v>0</v>
      </c>
      <c r="AP527" s="120">
        <f>IFERROR(VLOOKUP(Table1[RespondentID],'All Data'!$A$3:$CW$999,97,FALSE),"unknown")</f>
        <v>0</v>
      </c>
      <c r="AQ527" s="120">
        <f>IFERROR(VLOOKUP(Table1[RespondentID],'All Data'!$A$3:$CW$999,98,FALSE),"unknown")</f>
        <v>0</v>
      </c>
      <c r="AR527" s="120">
        <f>IFERROR(VLOOKUP(Table1[RespondentID],'All Data'!$A$3:$CW$999,99,FALSE),"unknown")</f>
        <v>0</v>
      </c>
    </row>
    <row r="528" spans="1:44" ht="16">
      <c r="A528" s="133">
        <v>18030569067</v>
      </c>
      <c r="B528" s="173"/>
      <c r="C528" s="174" t="s">
        <v>30</v>
      </c>
      <c r="D528" s="174" t="s">
        <v>31</v>
      </c>
      <c r="E528" s="174"/>
      <c r="F528" s="174"/>
      <c r="G528" s="174"/>
      <c r="H528" s="174"/>
      <c r="I528" s="174"/>
      <c r="J528" s="174"/>
      <c r="K528" s="174"/>
      <c r="L528" s="174"/>
      <c r="M528" s="170">
        <f t="shared" si="149"/>
        <v>2</v>
      </c>
      <c r="N528" s="170">
        <f t="shared" si="150"/>
        <v>1.5</v>
      </c>
      <c r="O528" s="170"/>
      <c r="P528" s="170">
        <f t="shared" si="136"/>
        <v>0</v>
      </c>
      <c r="Q528" s="170">
        <f t="shared" si="137"/>
        <v>1</v>
      </c>
      <c r="R528" s="170">
        <f t="shared" si="138"/>
        <v>1</v>
      </c>
      <c r="S528" s="170">
        <f t="shared" si="139"/>
        <v>0</v>
      </c>
      <c r="T528" s="170">
        <f t="shared" si="140"/>
        <v>0</v>
      </c>
      <c r="U528" s="170">
        <f t="shared" si="141"/>
        <v>0</v>
      </c>
      <c r="V528" s="175">
        <f t="shared" si="142"/>
        <v>0</v>
      </c>
      <c r="W528" s="170">
        <f t="shared" si="143"/>
        <v>0</v>
      </c>
      <c r="X528" s="170">
        <f t="shared" si="144"/>
        <v>0</v>
      </c>
      <c r="Y528" s="170">
        <f t="shared" si="145"/>
        <v>0</v>
      </c>
      <c r="Z528" s="170"/>
      <c r="AA528" s="170"/>
      <c r="AB528" s="170">
        <f t="shared" si="146"/>
        <v>2</v>
      </c>
      <c r="AC528" s="170">
        <f t="shared" si="147"/>
        <v>2</v>
      </c>
      <c r="AD528" s="170" t="str">
        <f t="shared" si="151"/>
        <v>Correct</v>
      </c>
      <c r="AE528" s="133"/>
      <c r="AF528" s="120">
        <f>IFERROR(VLOOKUP(Table1[RespondentID],'All Data'!$A$3:$CO$999,87,FALSE),"unknown")</f>
        <v>0</v>
      </c>
      <c r="AG528" s="120">
        <f>IFERROR(VLOOKUP(Table1[RespondentID],'All Data'!$A$3:$CO$999,88,FALSE),"unknown")</f>
        <v>0</v>
      </c>
      <c r="AH528" s="120">
        <f>IFERROR(VLOOKUP(Table1[RespondentID],'All Data'!$A$3:$CO$999,89,FALSE),"unknown")</f>
        <v>0</v>
      </c>
      <c r="AI528" s="120">
        <f>IFERROR(VLOOKUP(Table1[RespondentID],'All Data'!$A$3:$CO$999,90,FALSE),"unknown")</f>
        <v>0</v>
      </c>
      <c r="AJ528" s="120">
        <f>IFERROR(VLOOKUP(Table1[RespondentID],'All Data'!$A$3:$CO$999,91,FALSE),"unknown")</f>
        <v>0</v>
      </c>
      <c r="AK528" s="120">
        <f>IFERROR(VLOOKUP(Table1[RespondentID],'All Data'!$A$3:$CO$999,92,FALSE),"unknown")</f>
        <v>0</v>
      </c>
      <c r="AL528" s="120">
        <f>IFERROR(VLOOKUP(Table1[RespondentID],'All Data'!$A$3:$CO$999,93,FALSE),"unknown")</f>
        <v>0</v>
      </c>
      <c r="AM528" s="120">
        <f>IFERROR(VLOOKUP(Table1[RespondentID],'All Data'!$A$3:$CW$999,94,FALSE),"unknown")</f>
        <v>0</v>
      </c>
      <c r="AN528" s="120">
        <f>IFERROR(VLOOKUP(Table1[RespondentID],'All Data'!$A$3:$CW$999,95,FALSE),"unknown")</f>
        <v>0</v>
      </c>
      <c r="AO528" s="120">
        <f>IFERROR(VLOOKUP(Table1[RespondentID],'All Data'!$A$3:$CW$999,96,FALSE),"unknown")</f>
        <v>0</v>
      </c>
      <c r="AP528" s="120">
        <f>IFERROR(VLOOKUP(Table1[RespondentID],'All Data'!$A$3:$CW$999,97,FALSE),"unknown")</f>
        <v>0</v>
      </c>
      <c r="AQ528" s="120">
        <f>IFERROR(VLOOKUP(Table1[RespondentID],'All Data'!$A$3:$CW$999,98,FALSE),"unknown")</f>
        <v>0</v>
      </c>
      <c r="AR528" s="120">
        <f>IFERROR(VLOOKUP(Table1[RespondentID],'All Data'!$A$3:$CW$999,99,FALSE),"unknown")</f>
        <v>0</v>
      </c>
    </row>
    <row r="529" spans="1:44" ht="16">
      <c r="A529" s="133">
        <v>18030545755</v>
      </c>
      <c r="B529" s="173"/>
      <c r="C529" s="174" t="s">
        <v>30</v>
      </c>
      <c r="D529" s="174" t="s">
        <v>31</v>
      </c>
      <c r="E529" s="174"/>
      <c r="F529" s="174"/>
      <c r="G529" s="174"/>
      <c r="H529" s="174"/>
      <c r="I529" s="174"/>
      <c r="J529" s="174"/>
      <c r="K529" s="174"/>
      <c r="L529" s="174"/>
      <c r="M529" s="170">
        <f t="shared" si="149"/>
        <v>2</v>
      </c>
      <c r="N529" s="170">
        <f t="shared" si="150"/>
        <v>1.5</v>
      </c>
      <c r="O529" s="170"/>
      <c r="P529" s="170">
        <f t="shared" si="136"/>
        <v>0</v>
      </c>
      <c r="Q529" s="170">
        <f t="shared" si="137"/>
        <v>1</v>
      </c>
      <c r="R529" s="170">
        <f t="shared" si="138"/>
        <v>1</v>
      </c>
      <c r="S529" s="170">
        <f t="shared" si="139"/>
        <v>0</v>
      </c>
      <c r="T529" s="170">
        <f t="shared" si="140"/>
        <v>0</v>
      </c>
      <c r="U529" s="170">
        <f t="shared" si="141"/>
        <v>0</v>
      </c>
      <c r="V529" s="175">
        <f t="shared" si="142"/>
        <v>0</v>
      </c>
      <c r="W529" s="170">
        <f t="shared" si="143"/>
        <v>0</v>
      </c>
      <c r="X529" s="170">
        <f t="shared" si="144"/>
        <v>0</v>
      </c>
      <c r="Y529" s="170">
        <f t="shared" si="145"/>
        <v>0</v>
      </c>
      <c r="Z529" s="170"/>
      <c r="AA529" s="170"/>
      <c r="AB529" s="170">
        <f t="shared" si="146"/>
        <v>2</v>
      </c>
      <c r="AC529" s="170">
        <f t="shared" si="147"/>
        <v>2</v>
      </c>
      <c r="AD529" s="170" t="str">
        <f t="shared" si="151"/>
        <v>Correct</v>
      </c>
      <c r="AE529" s="133"/>
      <c r="AF529" s="120" t="str">
        <f>IFERROR(VLOOKUP(Table1[RespondentID],'All Data'!$A$3:$CO$999,87,FALSE),"unknown")</f>
        <v>Woman</v>
      </c>
      <c r="AG529" s="120">
        <f>IFERROR(VLOOKUP(Table1[RespondentID],'All Data'!$A$3:$CO$999,88,FALSE),"unknown")</f>
        <v>0</v>
      </c>
      <c r="AH529" s="120" t="str">
        <f>IFERROR(VLOOKUP(Table1[RespondentID],'All Data'!$A$3:$CO$999,89,FALSE),"unknown")</f>
        <v>Nassau</v>
      </c>
      <c r="AI529" s="120">
        <f>IFERROR(VLOOKUP(Table1[RespondentID],'All Data'!$A$3:$CO$999,90,FALSE),"unknown")</f>
        <v>0</v>
      </c>
      <c r="AJ529" s="120">
        <f>IFERROR(VLOOKUP(Table1[RespondentID],'All Data'!$A$3:$CO$999,91,FALSE),"unknown")</f>
        <v>0</v>
      </c>
      <c r="AK529" s="120">
        <f>IFERROR(VLOOKUP(Table1[RespondentID],'All Data'!$A$3:$CO$999,92,FALSE),"unknown")</f>
        <v>0</v>
      </c>
      <c r="AL529" s="120">
        <f>IFERROR(VLOOKUP(Table1[RespondentID],'All Data'!$A$3:$CO$999,93,FALSE),"unknown")</f>
        <v>0</v>
      </c>
      <c r="AM529" s="120">
        <f>IFERROR(VLOOKUP(Table1[RespondentID],'All Data'!$A$3:$CW$999,94,FALSE),"unknown")</f>
        <v>0</v>
      </c>
      <c r="AN529" s="120">
        <f>IFERROR(VLOOKUP(Table1[RespondentID],'All Data'!$A$3:$CW$999,95,FALSE),"unknown")</f>
        <v>0</v>
      </c>
      <c r="AO529" s="120">
        <f>IFERROR(VLOOKUP(Table1[RespondentID],'All Data'!$A$3:$CW$999,96,FALSE),"unknown")</f>
        <v>0</v>
      </c>
      <c r="AP529" s="120">
        <f>IFERROR(VLOOKUP(Table1[RespondentID],'All Data'!$A$3:$CW$999,97,FALSE),"unknown")</f>
        <v>0</v>
      </c>
      <c r="AQ529" s="120">
        <f>IFERROR(VLOOKUP(Table1[RespondentID],'All Data'!$A$3:$CW$999,98,FALSE),"unknown")</f>
        <v>0</v>
      </c>
      <c r="AR529" s="120">
        <f>IFERROR(VLOOKUP(Table1[RespondentID],'All Data'!$A$3:$CW$999,99,FALSE),"unknown")</f>
        <v>0</v>
      </c>
    </row>
    <row r="530" spans="1:44" ht="16">
      <c r="A530" s="136">
        <v>18029414524</v>
      </c>
      <c r="B530" s="176"/>
      <c r="C530" s="177"/>
      <c r="D530" s="177"/>
      <c r="E530" s="177"/>
      <c r="F530" s="177"/>
      <c r="G530" s="177"/>
      <c r="H530" s="177"/>
      <c r="I530" s="177"/>
      <c r="J530" s="177"/>
      <c r="K530" s="177"/>
      <c r="L530" s="177"/>
      <c r="M530" s="172">
        <f t="shared" si="149"/>
        <v>0</v>
      </c>
      <c r="N530" s="172" t="e">
        <f t="shared" si="150"/>
        <v>#DIV/0!</v>
      </c>
      <c r="O530" s="172"/>
      <c r="P530" s="172">
        <f t="shared" si="136"/>
        <v>0</v>
      </c>
      <c r="Q530" s="172">
        <f t="shared" si="137"/>
        <v>0</v>
      </c>
      <c r="R530" s="172">
        <f t="shared" si="138"/>
        <v>0</v>
      </c>
      <c r="S530" s="172">
        <f t="shared" si="139"/>
        <v>0</v>
      </c>
      <c r="T530" s="172">
        <f t="shared" si="140"/>
        <v>0</v>
      </c>
      <c r="U530" s="172">
        <f t="shared" si="141"/>
        <v>0</v>
      </c>
      <c r="V530" s="178">
        <f t="shared" si="142"/>
        <v>0</v>
      </c>
      <c r="W530" s="172">
        <f t="shared" si="143"/>
        <v>0</v>
      </c>
      <c r="X530" s="172">
        <f t="shared" si="144"/>
        <v>0</v>
      </c>
      <c r="Y530" s="172">
        <f t="shared" si="145"/>
        <v>0</v>
      </c>
      <c r="Z530" s="172"/>
      <c r="AA530" s="172"/>
      <c r="AB530" s="172">
        <f t="shared" si="146"/>
        <v>0</v>
      </c>
      <c r="AC530" s="172">
        <f t="shared" si="147"/>
        <v>0</v>
      </c>
      <c r="AD530" s="172" t="str">
        <f t="shared" si="151"/>
        <v>Correct</v>
      </c>
      <c r="AE530" s="136"/>
      <c r="AF530" s="120">
        <f>IFERROR(VLOOKUP(Table1[RespondentID],'All Data'!$A$3:$CO$999,87,FALSE),"unknown")</f>
        <v>0</v>
      </c>
      <c r="AG530" s="120">
        <f>IFERROR(VLOOKUP(Table1[RespondentID],'All Data'!$A$3:$CO$999,88,FALSE),"unknown")</f>
        <v>0</v>
      </c>
      <c r="AH530" s="120">
        <f>IFERROR(VLOOKUP(Table1[RespondentID],'All Data'!$A$3:$CO$999,89,FALSE),"unknown")</f>
        <v>0</v>
      </c>
      <c r="AI530" s="120" t="str">
        <f>IFERROR(VLOOKUP(Table1[RespondentID],'All Data'!$A$3:$CO$999,90,FALSE),"unknown")</f>
        <v>Floral Park, 11001</v>
      </c>
      <c r="AJ530" s="120">
        <f>IFERROR(VLOOKUP(Table1[RespondentID],'All Data'!$A$3:$CO$999,91,FALSE),"unknown")</f>
        <v>0</v>
      </c>
      <c r="AK530" s="120">
        <f>IFERROR(VLOOKUP(Table1[RespondentID],'All Data'!$A$3:$CO$999,92,FALSE),"unknown")</f>
        <v>0</v>
      </c>
      <c r="AL530" s="120">
        <f>IFERROR(VLOOKUP(Table1[RespondentID],'All Data'!$A$3:$CO$999,93,FALSE),"unknown")</f>
        <v>0</v>
      </c>
      <c r="AM530" s="120">
        <f>IFERROR(VLOOKUP(Table1[RespondentID],'All Data'!$A$3:$CW$999,94,FALSE),"unknown")</f>
        <v>0</v>
      </c>
      <c r="AN530" s="120">
        <f>IFERROR(VLOOKUP(Table1[RespondentID],'All Data'!$A$3:$CW$999,95,FALSE),"unknown")</f>
        <v>0</v>
      </c>
      <c r="AO530" s="120">
        <f>IFERROR(VLOOKUP(Table1[RespondentID],'All Data'!$A$3:$CW$999,96,FALSE),"unknown")</f>
        <v>0</v>
      </c>
      <c r="AP530" s="120">
        <f>IFERROR(VLOOKUP(Table1[RespondentID],'All Data'!$A$3:$CW$999,97,FALSE),"unknown")</f>
        <v>0</v>
      </c>
      <c r="AQ530" s="120">
        <f>IFERROR(VLOOKUP(Table1[RespondentID],'All Data'!$A$3:$CW$999,98,FALSE),"unknown")</f>
        <v>0</v>
      </c>
      <c r="AR530" s="120">
        <f>IFERROR(VLOOKUP(Table1[RespondentID],'All Data'!$A$3:$CW$999,99,FALSE),"unknown")</f>
        <v>0</v>
      </c>
    </row>
  </sheetData>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30"/>
  <sheetViews>
    <sheetView topLeftCell="AQ407" workbookViewId="0">
      <selection activeCell="AV429" sqref="AV429:AV530"/>
    </sheetView>
  </sheetViews>
  <sheetFormatPr defaultRowHeight="14.5"/>
  <cols>
    <col min="1" max="1" width="11" style="5" customWidth="1"/>
    <col min="2" max="2" width="16.26953125" customWidth="1"/>
    <col min="3" max="3" width="21.453125" customWidth="1"/>
    <col min="4" max="4" width="26.54296875" customWidth="1"/>
    <col min="5" max="5" width="34.81640625" customWidth="1"/>
    <col min="6" max="6" width="18.81640625" customWidth="1"/>
    <col min="7" max="7" width="14.1796875" customWidth="1"/>
    <col min="8" max="8" width="21.1796875" customWidth="1"/>
    <col min="9" max="9" width="20.7265625" customWidth="1"/>
    <col min="10" max="10" width="20.26953125" customWidth="1"/>
    <col min="11" max="11" width="16.7265625" customWidth="1"/>
    <col min="12" max="12" width="22.7265625" customWidth="1"/>
    <col min="13" max="13" width="14" customWidth="1"/>
    <col min="14" max="14" width="11" customWidth="1"/>
    <col min="15" max="15" width="3" style="100" customWidth="1"/>
    <col min="16" max="16" width="12" style="100" customWidth="1"/>
    <col min="17" max="17" width="11" style="100" customWidth="1"/>
    <col min="18" max="29" width="12" style="100" customWidth="1"/>
    <col min="30" max="31" width="11" style="100" customWidth="1"/>
    <col min="32" max="32" width="2" style="100" customWidth="1"/>
    <col min="33" max="33" width="3" style="100" customWidth="1"/>
    <col min="34" max="34" width="7.453125" style="100" customWidth="1"/>
    <col min="35" max="35" width="11" customWidth="1"/>
    <col min="36" max="36" width="7.54296875" style="6" customWidth="1"/>
    <col min="37" max="37" width="6.54296875" style="5" customWidth="1"/>
    <col min="38" max="38" width="7.26953125" style="5" customWidth="1"/>
    <col min="39" max="39" width="26.7265625" style="5" customWidth="1"/>
    <col min="40" max="40" width="22.453125" style="5" customWidth="1"/>
    <col min="41" max="41" width="4" style="5" customWidth="1"/>
    <col min="42" max="42" width="88.7265625" style="5" bestFit="1" customWidth="1"/>
    <col min="43" max="43" width="18.1796875" style="5" customWidth="1"/>
    <col min="44" max="44" width="19.7265625" style="5" customWidth="1"/>
    <col min="45" max="45" width="35.1796875" style="5" customWidth="1"/>
    <col min="46" max="46" width="22" style="5" customWidth="1"/>
    <col min="47" max="47" width="4" style="5" customWidth="1"/>
  </cols>
  <sheetData>
    <row r="1" spans="1:48" s="51" customFormat="1" ht="16">
      <c r="A1" s="2" t="s">
        <v>0</v>
      </c>
      <c r="B1" s="86" t="s">
        <v>38</v>
      </c>
      <c r="C1" s="85" t="s">
        <v>39</v>
      </c>
      <c r="D1" s="85" t="s">
        <v>40</v>
      </c>
      <c r="E1" s="85" t="s">
        <v>41</v>
      </c>
      <c r="F1" s="85" t="s">
        <v>42</v>
      </c>
      <c r="G1" s="85" t="s">
        <v>37</v>
      </c>
      <c r="H1" s="85" t="s">
        <v>43</v>
      </c>
      <c r="I1" s="85" t="s">
        <v>44</v>
      </c>
      <c r="J1" s="85" t="s">
        <v>45</v>
      </c>
      <c r="K1" s="85" t="s">
        <v>46</v>
      </c>
      <c r="L1" s="85" t="s">
        <v>47</v>
      </c>
      <c r="M1" s="85" t="s">
        <v>48</v>
      </c>
      <c r="N1" s="11" t="s">
        <v>395</v>
      </c>
      <c r="O1" s="114" t="s">
        <v>189</v>
      </c>
      <c r="P1" s="114" t="s">
        <v>190</v>
      </c>
      <c r="Q1" s="108" t="s">
        <v>208</v>
      </c>
      <c r="R1" s="114" t="s">
        <v>222</v>
      </c>
      <c r="S1" s="114" t="s">
        <v>223</v>
      </c>
      <c r="T1" s="114" t="s">
        <v>224</v>
      </c>
      <c r="U1" s="114" t="s">
        <v>225</v>
      </c>
      <c r="V1" s="114" t="s">
        <v>226</v>
      </c>
      <c r="W1" s="114" t="s">
        <v>227</v>
      </c>
      <c r="X1" s="114" t="s">
        <v>228</v>
      </c>
      <c r="Y1" s="114" t="s">
        <v>229</v>
      </c>
      <c r="Z1" s="114" t="s">
        <v>230</v>
      </c>
      <c r="AA1" s="114" t="s">
        <v>231</v>
      </c>
      <c r="AB1" s="114" t="s">
        <v>232</v>
      </c>
      <c r="AC1" s="114" t="s">
        <v>233</v>
      </c>
      <c r="AD1" s="108" t="s">
        <v>209</v>
      </c>
      <c r="AE1" s="108" t="s">
        <v>210</v>
      </c>
      <c r="AF1" s="114" t="s">
        <v>204</v>
      </c>
      <c r="AG1" s="114" t="s">
        <v>205</v>
      </c>
      <c r="AH1" s="108" t="s">
        <v>211</v>
      </c>
      <c r="AI1" s="51" t="s">
        <v>221</v>
      </c>
      <c r="AJ1" s="13" t="s">
        <v>6</v>
      </c>
      <c r="AK1" s="12" t="s">
        <v>7</v>
      </c>
      <c r="AL1" s="12" t="s">
        <v>8</v>
      </c>
      <c r="AM1" s="12" t="s">
        <v>188</v>
      </c>
      <c r="AN1" s="12" t="s">
        <v>9</v>
      </c>
      <c r="AO1" s="12" t="s">
        <v>10</v>
      </c>
      <c r="AP1" s="12" t="s">
        <v>11</v>
      </c>
      <c r="AQ1" s="12" t="s">
        <v>12</v>
      </c>
      <c r="AR1" s="12" t="s">
        <v>13</v>
      </c>
      <c r="AS1" s="12" t="s">
        <v>14</v>
      </c>
      <c r="AT1" s="12" t="s">
        <v>15</v>
      </c>
      <c r="AU1" s="12" t="s">
        <v>394</v>
      </c>
      <c r="AV1" s="12" t="s">
        <v>382</v>
      </c>
    </row>
    <row r="2" spans="1:48">
      <c r="A2" s="5">
        <v>18025536856</v>
      </c>
      <c r="B2" s="5" t="s">
        <v>38</v>
      </c>
      <c r="C2" s="5" t="s">
        <v>39</v>
      </c>
      <c r="D2" s="5"/>
      <c r="E2" s="5"/>
      <c r="F2" s="5"/>
      <c r="G2" s="5"/>
      <c r="H2" s="5"/>
      <c r="I2" s="5"/>
      <c r="J2" s="5"/>
      <c r="K2" s="5"/>
      <c r="L2" s="5"/>
      <c r="M2" s="5"/>
      <c r="N2" s="5"/>
      <c r="O2" s="5">
        <f t="shared" ref="O2:O65" si="0">COUNTA(B2:N2)</f>
        <v>2</v>
      </c>
      <c r="P2" s="5">
        <f t="shared" ref="P2:P65" si="1">3/O2</f>
        <v>1.5</v>
      </c>
      <c r="Q2" s="5"/>
      <c r="R2" s="5">
        <f t="shared" ref="R2:R65" si="2">IF($O2&lt;3,IF($B2=$B$1,1,0),IF($B2=$B$1,$P2,0))</f>
        <v>1</v>
      </c>
      <c r="S2" s="5">
        <f t="shared" ref="S2:S65" si="3">IF($O2&lt;3,IF($C2=$C$1,1,0),IF($C2=$C$1,$P2,0))</f>
        <v>1</v>
      </c>
      <c r="T2" s="5">
        <f t="shared" ref="T2:T65" si="4">IF($O2&lt;3,IF($D2=$D$1,1,0),IF($D2=$D$1,$P2,0))</f>
        <v>0</v>
      </c>
      <c r="U2" s="5">
        <f t="shared" ref="U2:U65" si="5">IF($O2&lt;3,IF($E2=$E$1,1,0),IF($E2=$E$1,$P2,0))</f>
        <v>0</v>
      </c>
      <c r="V2" s="5">
        <f t="shared" ref="V2:V65" si="6">IF($O2&lt;3,IF($F2=$F$1,1,0),IF($F2=$F$1,$P2,0))</f>
        <v>0</v>
      </c>
      <c r="W2" s="5">
        <f t="shared" ref="W2:W65" si="7">IF($O2&lt;3,IF($G2=$G$1,1,0),IF($G2=$G$1,$P2,0))</f>
        <v>0</v>
      </c>
      <c r="X2" s="5">
        <f t="shared" ref="X2:X65" si="8">IF($O2&lt;3,IF($H2=$H$1,1,0),IF($H2=$H$1,$P2,0))</f>
        <v>0</v>
      </c>
      <c r="Y2" s="5">
        <f t="shared" ref="Y2:Y65" si="9">IF($O2&lt;3,IF($I2=$I$1,1,0),IF($I2=$I$1,$P2,0))</f>
        <v>0</v>
      </c>
      <c r="Z2" s="5">
        <f t="shared" ref="Z2:Z65" si="10">IF($O2&lt;3,IF($J2=$J$1,1,0),IF($J2=$J$1,$P2,0))</f>
        <v>0</v>
      </c>
      <c r="AA2" s="5">
        <f t="shared" ref="AA2:AA65" si="11">IF($O2&lt;3,IF($K2=$K$1,1,0),IF($K2=$K$1,$P2,0))</f>
        <v>0</v>
      </c>
      <c r="AB2" s="5">
        <f t="shared" ref="AB2:AB65" si="12">IF($O2&lt;3,IF($L2=$L$1,1,0),IF($L2=$L$1,$P2,0))</f>
        <v>0</v>
      </c>
      <c r="AC2" s="5">
        <f t="shared" ref="AC2:AC65" si="13">IF($O2&lt;3,IF($M2=$M$1,1,0),IF($M2=$M$1,$P2,0))</f>
        <v>0</v>
      </c>
      <c r="AD2" s="5"/>
      <c r="AE2" s="5"/>
      <c r="AF2" s="5">
        <f t="shared" ref="AF2:AF65" si="14">SUM(R2:AD2)</f>
        <v>2</v>
      </c>
      <c r="AG2" s="5">
        <f t="shared" ref="AG2:AG65" si="15">O2</f>
        <v>2</v>
      </c>
      <c r="AH2" s="5" t="str">
        <f t="shared" ref="AH2:AH65" si="16">IF(AF2=AG2,"Correct",IF(AF2=3,"Correct","Wrong"))</f>
        <v>Correct</v>
      </c>
      <c r="AI2" s="5"/>
      <c r="AJ2" s="120" t="str">
        <f>IFERROR(VLOOKUP(Table1[RespondentID],'All Data'!$A$3:$CO$999,87,FALSE),"unknown")</f>
        <v>Man</v>
      </c>
      <c r="AK2" s="120">
        <f>IFERROR(VLOOKUP(Table1[RespondentID],'All Data'!$A$3:$CO$999,88,FALSE),"unknown")</f>
        <v>41</v>
      </c>
      <c r="AL2" s="120" t="str">
        <f>IFERROR(VLOOKUP(Table1[RespondentID],'All Data'!$A$3:$CO$999,89,FALSE),"unknown")</f>
        <v>Suffolk</v>
      </c>
      <c r="AM2" s="120" t="str">
        <f>IFERROR(VLOOKUP(Table1[RespondentID],'All Data'!$A$3:$CO$999,90,FALSE),"unknown")</f>
        <v>Ridge, 11961</v>
      </c>
      <c r="AN2" s="120" t="str">
        <f>IFERROR(VLOOKUP(Table1[RespondentID],'All Data'!$A$3:$CO$999,91,FALSE),"unknown")</f>
        <v>Asian</v>
      </c>
      <c r="AO2" s="120" t="str">
        <f>IFERROR(VLOOKUP(Table1[RespondentID],'All Data'!$A$3:$CO$999,92,FALSE),"unknown")</f>
        <v>Not Hispanic or Latino</v>
      </c>
      <c r="AP2" s="120">
        <f>IFERROR(VLOOKUP(Table1[RespondentID],'All Data'!$A$3:$CO$999,93,FALSE),"unknown")</f>
        <v>0</v>
      </c>
      <c r="AQ2" s="120" t="str">
        <f>IFERROR(VLOOKUP(Table1[RespondentID],'All Data'!$A$3:$CW$999,94,FALSE),"unknown")</f>
        <v>$50,000 to $74,999</v>
      </c>
      <c r="AR2" s="120" t="str">
        <f>IFERROR(VLOOKUP(Table1[RespondentID],'All Data'!$A$3:$CW$999,95,FALSE),"unknown")</f>
        <v>Other (please specify)</v>
      </c>
      <c r="AS2" s="120" t="str">
        <f>IFERROR(VLOOKUP(Table1[RespondentID],'All Data'!$A$3:$CW$999,96,FALSE),"unknown")</f>
        <v>Self-employed</v>
      </c>
      <c r="AT2" s="120" t="str">
        <f>IFERROR(VLOOKUP(Table1[RespondentID],'All Data'!$A$3:$CW$999,97,FALSE),"unknown")</f>
        <v>Yes</v>
      </c>
      <c r="AU2" s="120" t="str">
        <f>IFERROR(VLOOKUP(Table1[RespondentID],'All Data'!$A$3:$CW$999,98,FALSE),"unknown")</f>
        <v>Medicare</v>
      </c>
      <c r="AV2" s="120">
        <f>IFERROR(VLOOKUP(Table1[RespondentID],'All Data'!$A$3:$CW$999,99,FALSE),"unknown")</f>
        <v>0</v>
      </c>
    </row>
    <row r="3" spans="1:48">
      <c r="A3" s="5">
        <v>18025536720</v>
      </c>
      <c r="B3" s="5" t="s">
        <v>38</v>
      </c>
      <c r="C3" s="5"/>
      <c r="D3" s="5"/>
      <c r="E3" s="5"/>
      <c r="F3" s="5"/>
      <c r="G3" s="5"/>
      <c r="H3" s="5"/>
      <c r="I3" s="5"/>
      <c r="J3" s="5"/>
      <c r="K3" s="5"/>
      <c r="L3" s="5"/>
      <c r="M3" s="5" t="s">
        <v>48</v>
      </c>
      <c r="N3" s="5"/>
      <c r="O3" s="5">
        <f t="shared" si="0"/>
        <v>2</v>
      </c>
      <c r="P3" s="5">
        <f t="shared" si="1"/>
        <v>1.5</v>
      </c>
      <c r="Q3" s="5"/>
      <c r="R3" s="5">
        <f t="shared" si="2"/>
        <v>1</v>
      </c>
      <c r="S3" s="5">
        <f t="shared" si="3"/>
        <v>0</v>
      </c>
      <c r="T3" s="5">
        <f t="shared" si="4"/>
        <v>0</v>
      </c>
      <c r="U3" s="5">
        <f t="shared" si="5"/>
        <v>0</v>
      </c>
      <c r="V3" s="5">
        <f t="shared" si="6"/>
        <v>0</v>
      </c>
      <c r="W3" s="5">
        <f t="shared" si="7"/>
        <v>0</v>
      </c>
      <c r="X3" s="5">
        <f t="shared" si="8"/>
        <v>0</v>
      </c>
      <c r="Y3" s="5">
        <f t="shared" si="9"/>
        <v>0</v>
      </c>
      <c r="Z3" s="5">
        <f t="shared" si="10"/>
        <v>0</v>
      </c>
      <c r="AA3" s="5">
        <f t="shared" si="11"/>
        <v>0</v>
      </c>
      <c r="AB3" s="5">
        <f t="shared" si="12"/>
        <v>0</v>
      </c>
      <c r="AC3" s="5">
        <f t="shared" si="13"/>
        <v>1</v>
      </c>
      <c r="AD3" s="5"/>
      <c r="AE3" s="5"/>
      <c r="AF3" s="5">
        <f t="shared" si="14"/>
        <v>2</v>
      </c>
      <c r="AG3" s="5">
        <f t="shared" si="15"/>
        <v>2</v>
      </c>
      <c r="AH3" s="5" t="str">
        <f t="shared" si="16"/>
        <v>Correct</v>
      </c>
      <c r="AI3" s="5"/>
      <c r="AJ3" s="120" t="str">
        <f>IFERROR(VLOOKUP(Table1[RespondentID],'All Data'!$A$3:$CO$999,87,FALSE),"unknown")</f>
        <v>Woman</v>
      </c>
      <c r="AK3" s="120">
        <f>IFERROR(VLOOKUP(Table1[RespondentID],'All Data'!$A$3:$CO$999,88,FALSE),"unknown")</f>
        <v>45</v>
      </c>
      <c r="AL3" s="120" t="str">
        <f>IFERROR(VLOOKUP(Table1[RespondentID],'All Data'!$A$3:$CO$999,89,FALSE),"unknown")</f>
        <v>Suffolk</v>
      </c>
      <c r="AM3" s="120" t="str">
        <f>IFERROR(VLOOKUP(Table1[RespondentID],'All Data'!$A$3:$CO$999,90,FALSE),"unknown")</f>
        <v>Middle Island, 11953</v>
      </c>
      <c r="AN3" s="120" t="str">
        <f>IFERROR(VLOOKUP(Table1[RespondentID],'All Data'!$A$3:$CO$999,91,FALSE),"unknown")</f>
        <v>Other (please specify)</v>
      </c>
      <c r="AO3" s="120" t="str">
        <f>IFERROR(VLOOKUP(Table1[RespondentID],'All Data'!$A$3:$CO$999,92,FALSE),"unknown")</f>
        <v>Not Hispanic or Latino</v>
      </c>
      <c r="AP3" s="120">
        <f>IFERROR(VLOOKUP(Table1[RespondentID],'All Data'!$A$3:$CO$999,93,FALSE),"unknown")</f>
        <v>0</v>
      </c>
      <c r="AQ3" s="120" t="str">
        <f>IFERROR(VLOOKUP(Table1[RespondentID],'All Data'!$A$3:$CW$999,94,FALSE),"unknown")</f>
        <v>$20,000 to $34,999</v>
      </c>
      <c r="AR3" s="120" t="str">
        <f>IFERROR(VLOOKUP(Table1[RespondentID],'All Data'!$A$3:$CW$999,95,FALSE),"unknown")</f>
        <v>College graduate</v>
      </c>
      <c r="AS3" s="120" t="str">
        <f>IFERROR(VLOOKUP(Table1[RespondentID],'All Data'!$A$3:$CW$999,96,FALSE),"unknown")</f>
        <v>Self-employed</v>
      </c>
      <c r="AT3" s="120" t="str">
        <f>IFERROR(VLOOKUP(Table1[RespondentID],'All Data'!$A$3:$CW$999,97,FALSE),"unknown")</f>
        <v>Yes</v>
      </c>
      <c r="AU3" s="120" t="str">
        <f>IFERROR(VLOOKUP(Table1[RespondentID],'All Data'!$A$3:$CW$999,98,FALSE),"unknown")</f>
        <v>Medicare</v>
      </c>
      <c r="AV3" s="120">
        <f>IFERROR(VLOOKUP(Table1[RespondentID],'All Data'!$A$3:$CW$999,99,FALSE),"unknown")</f>
        <v>0</v>
      </c>
    </row>
    <row r="4" spans="1:48">
      <c r="A4" s="5">
        <v>18025536611</v>
      </c>
      <c r="B4" s="5"/>
      <c r="C4" s="5"/>
      <c r="D4" s="5"/>
      <c r="E4" s="5"/>
      <c r="F4" s="5"/>
      <c r="G4" s="5"/>
      <c r="H4" s="5"/>
      <c r="I4" s="5"/>
      <c r="J4" s="5"/>
      <c r="K4" s="5"/>
      <c r="L4" s="5"/>
      <c r="M4" s="5"/>
      <c r="N4" s="5"/>
      <c r="O4" s="5">
        <f t="shared" si="0"/>
        <v>0</v>
      </c>
      <c r="P4" s="5" t="e">
        <f t="shared" si="1"/>
        <v>#DIV/0!</v>
      </c>
      <c r="Q4" s="5"/>
      <c r="R4" s="5">
        <f t="shared" si="2"/>
        <v>0</v>
      </c>
      <c r="S4" s="5">
        <f t="shared" si="3"/>
        <v>0</v>
      </c>
      <c r="T4" s="5">
        <f t="shared" si="4"/>
        <v>0</v>
      </c>
      <c r="U4" s="5">
        <f t="shared" si="5"/>
        <v>0</v>
      </c>
      <c r="V4" s="5">
        <f t="shared" si="6"/>
        <v>0</v>
      </c>
      <c r="W4" s="5">
        <f t="shared" si="7"/>
        <v>0</v>
      </c>
      <c r="X4" s="5">
        <f t="shared" si="8"/>
        <v>0</v>
      </c>
      <c r="Y4" s="5">
        <f t="shared" si="9"/>
        <v>0</v>
      </c>
      <c r="Z4" s="5">
        <f t="shared" si="10"/>
        <v>0</v>
      </c>
      <c r="AA4" s="5">
        <f t="shared" si="11"/>
        <v>0</v>
      </c>
      <c r="AB4" s="5">
        <f t="shared" si="12"/>
        <v>0</v>
      </c>
      <c r="AC4" s="5">
        <f t="shared" si="13"/>
        <v>0</v>
      </c>
      <c r="AD4" s="5"/>
      <c r="AE4" s="5"/>
      <c r="AF4" s="5">
        <f t="shared" si="14"/>
        <v>0</v>
      </c>
      <c r="AG4" s="5">
        <f t="shared" si="15"/>
        <v>0</v>
      </c>
      <c r="AH4" s="5" t="str">
        <f t="shared" si="16"/>
        <v>Correct</v>
      </c>
      <c r="AI4" s="5"/>
      <c r="AJ4" s="120" t="str">
        <f>IFERROR(VLOOKUP(Table1[RespondentID],'All Data'!$A$3:$CO$999,87,FALSE),"unknown")</f>
        <v>Woman</v>
      </c>
      <c r="AK4" s="120">
        <f>IFERROR(VLOOKUP(Table1[RespondentID],'All Data'!$A$3:$CO$999,88,FALSE),"unknown")</f>
        <v>41</v>
      </c>
      <c r="AL4" s="120" t="str">
        <f>IFERROR(VLOOKUP(Table1[RespondentID],'All Data'!$A$3:$CO$999,89,FALSE),"unknown")</f>
        <v>Suffolk</v>
      </c>
      <c r="AM4" s="120" t="str">
        <f>IFERROR(VLOOKUP(Table1[RespondentID],'All Data'!$A$3:$CO$999,90,FALSE),"unknown")</f>
        <v>Ridge, 11961</v>
      </c>
      <c r="AN4" s="120" t="str">
        <f>IFERROR(VLOOKUP(Table1[RespondentID],'All Data'!$A$3:$CO$999,91,FALSE),"unknown")</f>
        <v>Asian</v>
      </c>
      <c r="AO4" s="120" t="str">
        <f>IFERROR(VLOOKUP(Table1[RespondentID],'All Data'!$A$3:$CO$999,92,FALSE),"unknown")</f>
        <v>Not Hispanic or Latino</v>
      </c>
      <c r="AP4" s="120">
        <f>IFERROR(VLOOKUP(Table1[RespondentID],'All Data'!$A$3:$CO$999,93,FALSE),"unknown")</f>
        <v>0</v>
      </c>
      <c r="AQ4" s="120" t="str">
        <f>IFERROR(VLOOKUP(Table1[RespondentID],'All Data'!$A$3:$CW$999,94,FALSE),"unknown")</f>
        <v>$20,000 to $34,999</v>
      </c>
      <c r="AR4" s="120" t="str">
        <f>IFERROR(VLOOKUP(Table1[RespondentID],'All Data'!$A$3:$CW$999,95,FALSE),"unknown")</f>
        <v>Graduate school</v>
      </c>
      <c r="AS4" s="120" t="str">
        <f>IFERROR(VLOOKUP(Table1[RespondentID],'All Data'!$A$3:$CW$999,96,FALSE),"unknown")</f>
        <v>Self-employed</v>
      </c>
      <c r="AT4" s="120">
        <f>IFERROR(VLOOKUP(Table1[RespondentID],'All Data'!$A$3:$CW$999,97,FALSE),"unknown")</f>
        <v>0</v>
      </c>
      <c r="AU4" s="120" t="str">
        <f>IFERROR(VLOOKUP(Table1[RespondentID],'All Data'!$A$3:$CW$999,98,FALSE),"unknown")</f>
        <v>Private/Commercial</v>
      </c>
      <c r="AV4" s="120">
        <f>IFERROR(VLOOKUP(Table1[RespondentID],'All Data'!$A$3:$CW$999,99,FALSE),"unknown")</f>
        <v>0</v>
      </c>
    </row>
    <row r="5" spans="1:48">
      <c r="A5" s="5">
        <v>18025536366</v>
      </c>
      <c r="B5" s="5"/>
      <c r="C5" s="5" t="s">
        <v>39</v>
      </c>
      <c r="D5" s="5"/>
      <c r="E5" s="5"/>
      <c r="F5" s="5"/>
      <c r="G5" s="5"/>
      <c r="H5" s="5"/>
      <c r="I5" s="5"/>
      <c r="J5" s="5"/>
      <c r="K5" s="5"/>
      <c r="L5" s="5"/>
      <c r="M5" s="5"/>
      <c r="N5" s="5"/>
      <c r="O5" s="5">
        <f t="shared" si="0"/>
        <v>1</v>
      </c>
      <c r="P5" s="5">
        <f t="shared" si="1"/>
        <v>3</v>
      </c>
      <c r="Q5" s="5"/>
      <c r="R5" s="5">
        <f t="shared" si="2"/>
        <v>0</v>
      </c>
      <c r="S5" s="5">
        <f t="shared" si="3"/>
        <v>1</v>
      </c>
      <c r="T5" s="5">
        <f t="shared" si="4"/>
        <v>0</v>
      </c>
      <c r="U5" s="5">
        <f t="shared" si="5"/>
        <v>0</v>
      </c>
      <c r="V5" s="5">
        <f t="shared" si="6"/>
        <v>0</v>
      </c>
      <c r="W5" s="5">
        <f t="shared" si="7"/>
        <v>0</v>
      </c>
      <c r="X5" s="5">
        <f t="shared" si="8"/>
        <v>0</v>
      </c>
      <c r="Y5" s="5">
        <f t="shared" si="9"/>
        <v>0</v>
      </c>
      <c r="Z5" s="5">
        <f t="shared" si="10"/>
        <v>0</v>
      </c>
      <c r="AA5" s="5">
        <f t="shared" si="11"/>
        <v>0</v>
      </c>
      <c r="AB5" s="5">
        <f t="shared" si="12"/>
        <v>0</v>
      </c>
      <c r="AC5" s="5">
        <f t="shared" si="13"/>
        <v>0</v>
      </c>
      <c r="AD5" s="5"/>
      <c r="AE5" s="5"/>
      <c r="AF5" s="5">
        <f t="shared" si="14"/>
        <v>1</v>
      </c>
      <c r="AG5" s="5">
        <f t="shared" si="15"/>
        <v>1</v>
      </c>
      <c r="AH5" s="5" t="str">
        <f t="shared" si="16"/>
        <v>Correct</v>
      </c>
      <c r="AI5" s="5"/>
      <c r="AJ5" s="120" t="str">
        <f>IFERROR(VLOOKUP(Table1[RespondentID],'All Data'!$A$3:$CO$999,87,FALSE),"unknown")</f>
        <v>Woman</v>
      </c>
      <c r="AK5" s="120">
        <f>IFERROR(VLOOKUP(Table1[RespondentID],'All Data'!$A$3:$CO$999,88,FALSE),"unknown")</f>
        <v>49</v>
      </c>
      <c r="AL5" s="120" t="str">
        <f>IFERROR(VLOOKUP(Table1[RespondentID],'All Data'!$A$3:$CO$999,89,FALSE),"unknown")</f>
        <v>Suffolk</v>
      </c>
      <c r="AM5" s="120" t="str">
        <f>IFERROR(VLOOKUP(Table1[RespondentID],'All Data'!$A$3:$CO$999,90,FALSE),"unknown")</f>
        <v>Middle Island, 11953</v>
      </c>
      <c r="AN5" s="120" t="str">
        <f>IFERROR(VLOOKUP(Table1[RespondentID],'All Data'!$A$3:$CO$999,91,FALSE),"unknown")</f>
        <v>White</v>
      </c>
      <c r="AO5" s="120" t="str">
        <f>IFERROR(VLOOKUP(Table1[RespondentID],'All Data'!$A$3:$CO$999,92,FALSE),"unknown")</f>
        <v>Not Hispanic or Latino</v>
      </c>
      <c r="AP5" s="120" t="str">
        <f>IFERROR(VLOOKUP(Table1[RespondentID],'All Data'!$A$3:$CO$999,93,FALSE),"unknown")</f>
        <v>English</v>
      </c>
      <c r="AQ5" s="120" t="str">
        <f>IFERROR(VLOOKUP(Table1[RespondentID],'All Data'!$A$3:$CW$999,94,FALSE),"unknown")</f>
        <v>$20,000 to $34,999</v>
      </c>
      <c r="AR5" s="120" t="str">
        <f>IFERROR(VLOOKUP(Table1[RespondentID],'All Data'!$A$3:$CW$999,95,FALSE),"unknown")</f>
        <v>College graduate</v>
      </c>
      <c r="AS5" s="120" t="str">
        <f>IFERROR(VLOOKUP(Table1[RespondentID],'All Data'!$A$3:$CW$999,96,FALSE),"unknown")</f>
        <v>Self-employed</v>
      </c>
      <c r="AT5" s="120" t="str">
        <f>IFERROR(VLOOKUP(Table1[RespondentID],'All Data'!$A$3:$CW$999,97,FALSE),"unknown")</f>
        <v>Yes</v>
      </c>
      <c r="AU5" s="120" t="str">
        <f>IFERROR(VLOOKUP(Table1[RespondentID],'All Data'!$A$3:$CW$999,98,FALSE),"unknown")</f>
        <v>Medicaid</v>
      </c>
      <c r="AV5" s="120">
        <f>IFERROR(VLOOKUP(Table1[RespondentID],'All Data'!$A$3:$CW$999,99,FALSE),"unknown")</f>
        <v>0</v>
      </c>
    </row>
    <row r="6" spans="1:48">
      <c r="A6" s="5">
        <v>18025536248</v>
      </c>
      <c r="B6" s="5"/>
      <c r="C6" s="5"/>
      <c r="D6" s="5" t="s">
        <v>40</v>
      </c>
      <c r="E6" s="5"/>
      <c r="F6" s="5"/>
      <c r="G6" s="5"/>
      <c r="H6" s="5"/>
      <c r="I6" s="5"/>
      <c r="J6" s="5"/>
      <c r="K6" s="5" t="s">
        <v>46</v>
      </c>
      <c r="L6" s="5"/>
      <c r="M6" s="5"/>
      <c r="N6" s="5"/>
      <c r="O6" s="5">
        <f t="shared" si="0"/>
        <v>2</v>
      </c>
      <c r="P6" s="5">
        <f t="shared" si="1"/>
        <v>1.5</v>
      </c>
      <c r="Q6" s="5"/>
      <c r="R6" s="5">
        <f t="shared" si="2"/>
        <v>0</v>
      </c>
      <c r="S6" s="5">
        <f t="shared" si="3"/>
        <v>0</v>
      </c>
      <c r="T6" s="5">
        <f t="shared" si="4"/>
        <v>1</v>
      </c>
      <c r="U6" s="5">
        <f t="shared" si="5"/>
        <v>0</v>
      </c>
      <c r="V6" s="5">
        <f t="shared" si="6"/>
        <v>0</v>
      </c>
      <c r="W6" s="5">
        <f t="shared" si="7"/>
        <v>0</v>
      </c>
      <c r="X6" s="5">
        <f t="shared" si="8"/>
        <v>0</v>
      </c>
      <c r="Y6" s="5">
        <f t="shared" si="9"/>
        <v>0</v>
      </c>
      <c r="Z6" s="5">
        <f t="shared" si="10"/>
        <v>0</v>
      </c>
      <c r="AA6" s="5">
        <f t="shared" si="11"/>
        <v>1</v>
      </c>
      <c r="AB6" s="5">
        <f t="shared" si="12"/>
        <v>0</v>
      </c>
      <c r="AC6" s="5">
        <f t="shared" si="13"/>
        <v>0</v>
      </c>
      <c r="AD6" s="5"/>
      <c r="AE6" s="5"/>
      <c r="AF6" s="5">
        <f t="shared" si="14"/>
        <v>2</v>
      </c>
      <c r="AG6" s="5">
        <f t="shared" si="15"/>
        <v>2</v>
      </c>
      <c r="AH6" s="5" t="str">
        <f t="shared" si="16"/>
        <v>Correct</v>
      </c>
      <c r="AI6" s="5"/>
      <c r="AJ6" s="120" t="str">
        <f>IFERROR(VLOOKUP(Table1[RespondentID],'All Data'!$A$3:$CO$999,87,FALSE),"unknown")</f>
        <v>Man</v>
      </c>
      <c r="AK6" s="120">
        <f>IFERROR(VLOOKUP(Table1[RespondentID],'All Data'!$A$3:$CO$999,88,FALSE),"unknown")</f>
        <v>36</v>
      </c>
      <c r="AL6" s="120" t="str">
        <f>IFERROR(VLOOKUP(Table1[RespondentID],'All Data'!$A$3:$CO$999,89,FALSE),"unknown")</f>
        <v>Suffolk</v>
      </c>
      <c r="AM6" s="120" t="str">
        <f>IFERROR(VLOOKUP(Table1[RespondentID],'All Data'!$A$3:$CO$999,90,FALSE),"unknown")</f>
        <v>Middle Island, 11953</v>
      </c>
      <c r="AN6" s="120" t="str">
        <f>IFERROR(VLOOKUP(Table1[RespondentID],'All Data'!$A$3:$CO$999,91,FALSE),"unknown")</f>
        <v>Other (please specify)</v>
      </c>
      <c r="AO6" s="120" t="str">
        <f>IFERROR(VLOOKUP(Table1[RespondentID],'All Data'!$A$3:$CO$999,92,FALSE),"unknown")</f>
        <v>Hispanic or Latino</v>
      </c>
      <c r="AP6" s="120" t="str">
        <f>IFERROR(VLOOKUP(Table1[RespondentID],'All Data'!$A$3:$CO$999,93,FALSE),"unknown")</f>
        <v>Spanish</v>
      </c>
      <c r="AQ6" s="120" t="str">
        <f>IFERROR(VLOOKUP(Table1[RespondentID],'All Data'!$A$3:$CW$999,94,FALSE),"unknown")</f>
        <v>$0-$19,999</v>
      </c>
      <c r="AR6" s="120" t="str">
        <f>IFERROR(VLOOKUP(Table1[RespondentID],'All Data'!$A$3:$CW$999,95,FALSE),"unknown")</f>
        <v>Technical school</v>
      </c>
      <c r="AS6" s="120" t="str">
        <f>IFERROR(VLOOKUP(Table1[RespondentID],'All Data'!$A$3:$CW$999,96,FALSE),"unknown")</f>
        <v>Out of work and looking for work</v>
      </c>
      <c r="AT6" s="120" t="str">
        <f>IFERROR(VLOOKUP(Table1[RespondentID],'All Data'!$A$3:$CW$999,97,FALSE),"unknown")</f>
        <v>Yes</v>
      </c>
      <c r="AU6" s="120" t="str">
        <f>IFERROR(VLOOKUP(Table1[RespondentID],'All Data'!$A$3:$CW$999,98,FALSE),"unknown")</f>
        <v>Medicaid</v>
      </c>
      <c r="AV6" s="120">
        <f>IFERROR(VLOOKUP(Table1[RespondentID],'All Data'!$A$3:$CW$999,99,FALSE),"unknown")</f>
        <v>0</v>
      </c>
    </row>
    <row r="7" spans="1:48">
      <c r="A7" s="5">
        <v>18025536153</v>
      </c>
      <c r="B7" s="5"/>
      <c r="C7" s="5"/>
      <c r="D7" s="5"/>
      <c r="E7" s="5"/>
      <c r="F7" s="5"/>
      <c r="G7" s="5"/>
      <c r="H7" s="5"/>
      <c r="I7" s="5"/>
      <c r="J7" s="5"/>
      <c r="K7" s="5" t="s">
        <v>46</v>
      </c>
      <c r="L7" s="5"/>
      <c r="M7" s="5"/>
      <c r="N7" s="5"/>
      <c r="O7" s="5">
        <f t="shared" si="0"/>
        <v>1</v>
      </c>
      <c r="P7" s="5">
        <f t="shared" si="1"/>
        <v>3</v>
      </c>
      <c r="Q7" s="5"/>
      <c r="R7" s="5">
        <f t="shared" si="2"/>
        <v>0</v>
      </c>
      <c r="S7" s="5">
        <f t="shared" si="3"/>
        <v>0</v>
      </c>
      <c r="T7" s="5">
        <f t="shared" si="4"/>
        <v>0</v>
      </c>
      <c r="U7" s="5">
        <f t="shared" si="5"/>
        <v>0</v>
      </c>
      <c r="V7" s="5">
        <f t="shared" si="6"/>
        <v>0</v>
      </c>
      <c r="W7" s="5">
        <f t="shared" si="7"/>
        <v>0</v>
      </c>
      <c r="X7" s="5">
        <f t="shared" si="8"/>
        <v>0</v>
      </c>
      <c r="Y7" s="5">
        <f t="shared" si="9"/>
        <v>0</v>
      </c>
      <c r="Z7" s="5">
        <f t="shared" si="10"/>
        <v>0</v>
      </c>
      <c r="AA7" s="5">
        <f t="shared" si="11"/>
        <v>1</v>
      </c>
      <c r="AB7" s="5">
        <f t="shared" si="12"/>
        <v>0</v>
      </c>
      <c r="AC7" s="5">
        <f t="shared" si="13"/>
        <v>0</v>
      </c>
      <c r="AD7" s="5"/>
      <c r="AE7" s="5"/>
      <c r="AF7" s="5">
        <f t="shared" si="14"/>
        <v>1</v>
      </c>
      <c r="AG7" s="5">
        <f t="shared" si="15"/>
        <v>1</v>
      </c>
      <c r="AH7" s="5" t="str">
        <f t="shared" si="16"/>
        <v>Correct</v>
      </c>
      <c r="AI7" s="5"/>
      <c r="AJ7" s="120" t="str">
        <f>IFERROR(VLOOKUP(Table1[RespondentID],'All Data'!$A$3:$CO$999,87,FALSE),"unknown")</f>
        <v>Woman</v>
      </c>
      <c r="AK7" s="120">
        <f>IFERROR(VLOOKUP(Table1[RespondentID],'All Data'!$A$3:$CO$999,88,FALSE),"unknown")</f>
        <v>34</v>
      </c>
      <c r="AL7" s="120" t="str">
        <f>IFERROR(VLOOKUP(Table1[RespondentID],'All Data'!$A$3:$CO$999,89,FALSE),"unknown")</f>
        <v>Suffolk</v>
      </c>
      <c r="AM7" s="120" t="str">
        <f>IFERROR(VLOOKUP(Table1[RespondentID],'All Data'!$A$3:$CO$999,90,FALSE),"unknown")</f>
        <v>Ridge, 11961</v>
      </c>
      <c r="AN7" s="120" t="str">
        <f>IFERROR(VLOOKUP(Table1[RespondentID],'All Data'!$A$3:$CO$999,91,FALSE),"unknown")</f>
        <v>Asian</v>
      </c>
      <c r="AO7" s="120" t="str">
        <f>IFERROR(VLOOKUP(Table1[RespondentID],'All Data'!$A$3:$CO$999,92,FALSE),"unknown")</f>
        <v>Not Hispanic or Latino</v>
      </c>
      <c r="AP7" s="120">
        <f>IFERROR(VLOOKUP(Table1[RespondentID],'All Data'!$A$3:$CO$999,93,FALSE),"unknown")</f>
        <v>0</v>
      </c>
      <c r="AQ7" s="120" t="str">
        <f>IFERROR(VLOOKUP(Table1[RespondentID],'All Data'!$A$3:$CW$999,94,FALSE),"unknown")</f>
        <v>$0-$19,999</v>
      </c>
      <c r="AR7" s="120" t="str">
        <f>IFERROR(VLOOKUP(Table1[RespondentID],'All Data'!$A$3:$CW$999,95,FALSE),"unknown")</f>
        <v>Graduate school</v>
      </c>
      <c r="AS7" s="120">
        <f>IFERROR(VLOOKUP(Table1[RespondentID],'All Data'!$A$3:$CW$999,96,FALSE),"unknown")</f>
        <v>0</v>
      </c>
      <c r="AT7" s="120" t="str">
        <f>IFERROR(VLOOKUP(Table1[RespondentID],'All Data'!$A$3:$CW$999,97,FALSE),"unknown")</f>
        <v>Yes</v>
      </c>
      <c r="AU7" s="120" t="str">
        <f>IFERROR(VLOOKUP(Table1[RespondentID],'All Data'!$A$3:$CW$999,98,FALSE),"unknown")</f>
        <v>Private/Commercial</v>
      </c>
      <c r="AV7" s="120">
        <f>IFERROR(VLOOKUP(Table1[RespondentID],'All Data'!$A$3:$CW$999,99,FALSE),"unknown")</f>
        <v>0</v>
      </c>
    </row>
    <row r="8" spans="1:48">
      <c r="A8" s="5">
        <v>18025536056</v>
      </c>
      <c r="B8" s="5"/>
      <c r="C8" s="5" t="s">
        <v>39</v>
      </c>
      <c r="D8" s="5"/>
      <c r="E8" s="5"/>
      <c r="F8" s="5"/>
      <c r="G8" s="5"/>
      <c r="H8" s="5"/>
      <c r="I8" s="5"/>
      <c r="J8" s="5"/>
      <c r="K8" s="5"/>
      <c r="L8" s="5"/>
      <c r="M8" s="5"/>
      <c r="N8" s="5"/>
      <c r="O8" s="5">
        <f t="shared" si="0"/>
        <v>1</v>
      </c>
      <c r="P8" s="5">
        <f t="shared" si="1"/>
        <v>3</v>
      </c>
      <c r="Q8" s="5"/>
      <c r="R8" s="5">
        <f t="shared" si="2"/>
        <v>0</v>
      </c>
      <c r="S8" s="5">
        <f t="shared" si="3"/>
        <v>1</v>
      </c>
      <c r="T8" s="5">
        <f t="shared" si="4"/>
        <v>0</v>
      </c>
      <c r="U8" s="5">
        <f t="shared" si="5"/>
        <v>0</v>
      </c>
      <c r="V8" s="5">
        <f t="shared" si="6"/>
        <v>0</v>
      </c>
      <c r="W8" s="5">
        <f t="shared" si="7"/>
        <v>0</v>
      </c>
      <c r="X8" s="5">
        <f t="shared" si="8"/>
        <v>0</v>
      </c>
      <c r="Y8" s="5">
        <f t="shared" si="9"/>
        <v>0</v>
      </c>
      <c r="Z8" s="5">
        <f t="shared" si="10"/>
        <v>0</v>
      </c>
      <c r="AA8" s="5">
        <f t="shared" si="11"/>
        <v>0</v>
      </c>
      <c r="AB8" s="5">
        <f t="shared" si="12"/>
        <v>0</v>
      </c>
      <c r="AC8" s="5">
        <f t="shared" si="13"/>
        <v>0</v>
      </c>
      <c r="AD8" s="5"/>
      <c r="AE8" s="5"/>
      <c r="AF8" s="5">
        <f t="shared" si="14"/>
        <v>1</v>
      </c>
      <c r="AG8" s="5">
        <f t="shared" si="15"/>
        <v>1</v>
      </c>
      <c r="AH8" s="5" t="str">
        <f t="shared" si="16"/>
        <v>Correct</v>
      </c>
      <c r="AI8" s="5"/>
      <c r="AJ8" s="120" t="str">
        <f>IFERROR(VLOOKUP(Table1[RespondentID],'All Data'!$A$3:$CO$999,87,FALSE),"unknown")</f>
        <v>Man</v>
      </c>
      <c r="AK8" s="120">
        <f>IFERROR(VLOOKUP(Table1[RespondentID],'All Data'!$A$3:$CO$999,88,FALSE),"unknown")</f>
        <v>30</v>
      </c>
      <c r="AL8" s="120" t="str">
        <f>IFERROR(VLOOKUP(Table1[RespondentID],'All Data'!$A$3:$CO$999,89,FALSE),"unknown")</f>
        <v>Suffolk</v>
      </c>
      <c r="AM8" s="120" t="str">
        <f>IFERROR(VLOOKUP(Table1[RespondentID],'All Data'!$A$3:$CO$999,90,FALSE),"unknown")</f>
        <v>Ridge, 11961</v>
      </c>
      <c r="AN8" s="120" t="str">
        <f>IFERROR(VLOOKUP(Table1[RespondentID],'All Data'!$A$3:$CO$999,91,FALSE),"unknown")</f>
        <v>Two or more races</v>
      </c>
      <c r="AO8" s="120" t="str">
        <f>IFERROR(VLOOKUP(Table1[RespondentID],'All Data'!$A$3:$CO$999,92,FALSE),"unknown")</f>
        <v>Not Hispanic or Latino</v>
      </c>
      <c r="AP8" s="120" t="str">
        <f>IFERROR(VLOOKUP(Table1[RespondentID],'All Data'!$A$3:$CO$999,93,FALSE),"unknown")</f>
        <v>English</v>
      </c>
      <c r="AQ8" s="120" t="str">
        <f>IFERROR(VLOOKUP(Table1[RespondentID],'All Data'!$A$3:$CW$999,94,FALSE),"unknown")</f>
        <v>$50,000 to $74,999</v>
      </c>
      <c r="AR8" s="120" t="str">
        <f>IFERROR(VLOOKUP(Table1[RespondentID],'All Data'!$A$3:$CW$999,95,FALSE),"unknown")</f>
        <v>Some college</v>
      </c>
      <c r="AS8" s="120" t="str">
        <f>IFERROR(VLOOKUP(Table1[RespondentID],'All Data'!$A$3:$CW$999,96,FALSE),"unknown")</f>
        <v>Self-employed</v>
      </c>
      <c r="AT8" s="120" t="str">
        <f>IFERROR(VLOOKUP(Table1[RespondentID],'All Data'!$A$3:$CW$999,97,FALSE),"unknown")</f>
        <v>Yes</v>
      </c>
      <c r="AU8" s="120" t="str">
        <f>IFERROR(VLOOKUP(Table1[RespondentID],'All Data'!$A$3:$CW$999,98,FALSE),"unknown")</f>
        <v>Medicare</v>
      </c>
      <c r="AV8" s="120">
        <f>IFERROR(VLOOKUP(Table1[RespondentID],'All Data'!$A$3:$CW$999,99,FALSE),"unknown")</f>
        <v>0</v>
      </c>
    </row>
    <row r="9" spans="1:48">
      <c r="A9" s="5">
        <v>18025535944</v>
      </c>
      <c r="B9" s="5"/>
      <c r="C9" s="5"/>
      <c r="D9" s="5"/>
      <c r="E9" s="5"/>
      <c r="F9" s="5"/>
      <c r="G9" s="5"/>
      <c r="H9" s="5"/>
      <c r="I9" s="5"/>
      <c r="J9" s="5" t="s">
        <v>45</v>
      </c>
      <c r="K9" s="5"/>
      <c r="L9" s="5"/>
      <c r="M9" s="5"/>
      <c r="N9" s="5"/>
      <c r="O9" s="5">
        <f t="shared" si="0"/>
        <v>1</v>
      </c>
      <c r="P9" s="5">
        <f t="shared" si="1"/>
        <v>3</v>
      </c>
      <c r="Q9" s="5"/>
      <c r="R9" s="5">
        <f t="shared" si="2"/>
        <v>0</v>
      </c>
      <c r="S9" s="5">
        <f t="shared" si="3"/>
        <v>0</v>
      </c>
      <c r="T9" s="5">
        <f t="shared" si="4"/>
        <v>0</v>
      </c>
      <c r="U9" s="5">
        <f t="shared" si="5"/>
        <v>0</v>
      </c>
      <c r="V9" s="5">
        <f t="shared" si="6"/>
        <v>0</v>
      </c>
      <c r="W9" s="5">
        <f t="shared" si="7"/>
        <v>0</v>
      </c>
      <c r="X9" s="5">
        <f t="shared" si="8"/>
        <v>0</v>
      </c>
      <c r="Y9" s="5">
        <f t="shared" si="9"/>
        <v>0</v>
      </c>
      <c r="Z9" s="5">
        <f t="shared" si="10"/>
        <v>1</v>
      </c>
      <c r="AA9" s="5">
        <f t="shared" si="11"/>
        <v>0</v>
      </c>
      <c r="AB9" s="5">
        <f t="shared" si="12"/>
        <v>0</v>
      </c>
      <c r="AC9" s="5">
        <f t="shared" si="13"/>
        <v>0</v>
      </c>
      <c r="AD9" s="5"/>
      <c r="AE9" s="5"/>
      <c r="AF9" s="5">
        <f t="shared" si="14"/>
        <v>1</v>
      </c>
      <c r="AG9" s="5">
        <f t="shared" si="15"/>
        <v>1</v>
      </c>
      <c r="AH9" s="5" t="str">
        <f t="shared" si="16"/>
        <v>Correct</v>
      </c>
      <c r="AI9" s="5"/>
      <c r="AJ9" s="120" t="str">
        <f>IFERROR(VLOOKUP(Table1[RespondentID],'All Data'!$A$3:$CO$999,87,FALSE),"unknown")</f>
        <v>Woman</v>
      </c>
      <c r="AK9" s="120">
        <f>IFERROR(VLOOKUP(Table1[RespondentID],'All Data'!$A$3:$CO$999,88,FALSE),"unknown")</f>
        <v>43</v>
      </c>
      <c r="AL9" s="120" t="str">
        <f>IFERROR(VLOOKUP(Table1[RespondentID],'All Data'!$A$3:$CO$999,89,FALSE),"unknown")</f>
        <v>Suffolk</v>
      </c>
      <c r="AM9" s="120" t="str">
        <f>IFERROR(VLOOKUP(Table1[RespondentID],'All Data'!$A$3:$CO$999,90,FALSE),"unknown")</f>
        <v>Ridge, 11961</v>
      </c>
      <c r="AN9" s="120" t="str">
        <f>IFERROR(VLOOKUP(Table1[RespondentID],'All Data'!$A$3:$CO$999,91,FALSE),"unknown")</f>
        <v>Asian</v>
      </c>
      <c r="AO9" s="120" t="str">
        <f>IFERROR(VLOOKUP(Table1[RespondentID],'All Data'!$A$3:$CO$999,92,FALSE),"unknown")</f>
        <v>Not Hispanic or Latino</v>
      </c>
      <c r="AP9" s="120">
        <f>IFERROR(VLOOKUP(Table1[RespondentID],'All Data'!$A$3:$CO$999,93,FALSE),"unknown")</f>
        <v>0</v>
      </c>
      <c r="AQ9" s="120" t="str">
        <f>IFERROR(VLOOKUP(Table1[RespondentID],'All Data'!$A$3:$CW$999,94,FALSE),"unknown")</f>
        <v>$75,000 to $125,000</v>
      </c>
      <c r="AR9" s="120" t="str">
        <f>IFERROR(VLOOKUP(Table1[RespondentID],'All Data'!$A$3:$CW$999,95,FALSE),"unknown")</f>
        <v>Other (please specify)</v>
      </c>
      <c r="AS9" s="120" t="str">
        <f>IFERROR(VLOOKUP(Table1[RespondentID],'All Data'!$A$3:$CW$999,96,FALSE),"unknown")</f>
        <v>Out of work and looking for work</v>
      </c>
      <c r="AT9" s="120" t="str">
        <f>IFERROR(VLOOKUP(Table1[RespondentID],'All Data'!$A$3:$CW$999,97,FALSE),"unknown")</f>
        <v>Yes</v>
      </c>
      <c r="AU9" s="120" t="str">
        <f>IFERROR(VLOOKUP(Table1[RespondentID],'All Data'!$A$3:$CW$999,98,FALSE),"unknown")</f>
        <v>Private/Commercial</v>
      </c>
      <c r="AV9" s="120">
        <f>IFERROR(VLOOKUP(Table1[RespondentID],'All Data'!$A$3:$CW$999,99,FALSE),"unknown")</f>
        <v>0</v>
      </c>
    </row>
    <row r="10" spans="1:48">
      <c r="A10" s="5">
        <v>18025535832</v>
      </c>
      <c r="B10" s="5"/>
      <c r="C10" s="5" t="s">
        <v>39</v>
      </c>
      <c r="D10" s="5"/>
      <c r="E10" s="5"/>
      <c r="F10" s="5"/>
      <c r="G10" s="5"/>
      <c r="H10" s="5"/>
      <c r="I10" s="5"/>
      <c r="J10" s="5"/>
      <c r="K10" s="5"/>
      <c r="L10" s="5"/>
      <c r="M10" s="5"/>
      <c r="N10" s="5"/>
      <c r="O10" s="5">
        <f t="shared" si="0"/>
        <v>1</v>
      </c>
      <c r="P10" s="5">
        <f t="shared" si="1"/>
        <v>3</v>
      </c>
      <c r="Q10" s="5"/>
      <c r="R10" s="5">
        <f t="shared" si="2"/>
        <v>0</v>
      </c>
      <c r="S10" s="5">
        <f t="shared" si="3"/>
        <v>1</v>
      </c>
      <c r="T10" s="5">
        <f t="shared" si="4"/>
        <v>0</v>
      </c>
      <c r="U10" s="5">
        <f t="shared" si="5"/>
        <v>0</v>
      </c>
      <c r="V10" s="5">
        <f t="shared" si="6"/>
        <v>0</v>
      </c>
      <c r="W10" s="5">
        <f t="shared" si="7"/>
        <v>0</v>
      </c>
      <c r="X10" s="5">
        <f t="shared" si="8"/>
        <v>0</v>
      </c>
      <c r="Y10" s="5">
        <f t="shared" si="9"/>
        <v>0</v>
      </c>
      <c r="Z10" s="5">
        <f t="shared" si="10"/>
        <v>0</v>
      </c>
      <c r="AA10" s="5">
        <f t="shared" si="11"/>
        <v>0</v>
      </c>
      <c r="AB10" s="5">
        <f t="shared" si="12"/>
        <v>0</v>
      </c>
      <c r="AC10" s="5">
        <f t="shared" si="13"/>
        <v>0</v>
      </c>
      <c r="AD10" s="5"/>
      <c r="AE10" s="5"/>
      <c r="AF10" s="5">
        <f t="shared" si="14"/>
        <v>1</v>
      </c>
      <c r="AG10" s="5">
        <f t="shared" si="15"/>
        <v>1</v>
      </c>
      <c r="AH10" s="5" t="str">
        <f t="shared" si="16"/>
        <v>Correct</v>
      </c>
      <c r="AI10" s="5"/>
      <c r="AJ10" s="120" t="str">
        <f>IFERROR(VLOOKUP(Table1[RespondentID],'All Data'!$A$3:$CO$999,87,FALSE),"unknown")</f>
        <v>Woman</v>
      </c>
      <c r="AK10" s="120">
        <f>IFERROR(VLOOKUP(Table1[RespondentID],'All Data'!$A$3:$CO$999,88,FALSE),"unknown")</f>
        <v>20</v>
      </c>
      <c r="AL10" s="120" t="str">
        <f>IFERROR(VLOOKUP(Table1[RespondentID],'All Data'!$A$3:$CO$999,89,FALSE),"unknown")</f>
        <v>Suffolk</v>
      </c>
      <c r="AM10" s="120" t="str">
        <f>IFERROR(VLOOKUP(Table1[RespondentID],'All Data'!$A$3:$CO$999,90,FALSE),"unknown")</f>
        <v>Ridge, 11961</v>
      </c>
      <c r="AN10" s="120" t="str">
        <f>IFERROR(VLOOKUP(Table1[RespondentID],'All Data'!$A$3:$CO$999,91,FALSE),"unknown")</f>
        <v>Asian</v>
      </c>
      <c r="AO10" s="120">
        <f>IFERROR(VLOOKUP(Table1[RespondentID],'All Data'!$A$3:$CO$999,92,FALSE),"unknown")</f>
        <v>0</v>
      </c>
      <c r="AP10" s="120">
        <f>IFERROR(VLOOKUP(Table1[RespondentID],'All Data'!$A$3:$CO$999,93,FALSE),"unknown")</f>
        <v>0</v>
      </c>
      <c r="AQ10" s="120" t="str">
        <f>IFERROR(VLOOKUP(Table1[RespondentID],'All Data'!$A$3:$CW$999,94,FALSE),"unknown")</f>
        <v>$0-$19,999</v>
      </c>
      <c r="AR10" s="120" t="str">
        <f>IFERROR(VLOOKUP(Table1[RespondentID],'All Data'!$A$3:$CW$999,95,FALSE),"unknown")</f>
        <v>High school graduate</v>
      </c>
      <c r="AS10" s="120" t="str">
        <f>IFERROR(VLOOKUP(Table1[RespondentID],'All Data'!$A$3:$CW$999,96,FALSE),"unknown")</f>
        <v>Student</v>
      </c>
      <c r="AT10" s="120" t="str">
        <f>IFERROR(VLOOKUP(Table1[RespondentID],'All Data'!$A$3:$CW$999,97,FALSE),"unknown")</f>
        <v>Yes</v>
      </c>
      <c r="AU10" s="120" t="str">
        <f>IFERROR(VLOOKUP(Table1[RespondentID],'All Data'!$A$3:$CW$999,98,FALSE),"unknown")</f>
        <v>Medicare</v>
      </c>
      <c r="AV10" s="120">
        <f>IFERROR(VLOOKUP(Table1[RespondentID],'All Data'!$A$3:$CW$999,99,FALSE),"unknown")</f>
        <v>0</v>
      </c>
    </row>
    <row r="11" spans="1:48">
      <c r="A11" s="5">
        <v>18025535657</v>
      </c>
      <c r="B11" s="5"/>
      <c r="C11" s="5"/>
      <c r="D11" s="5"/>
      <c r="E11" s="5"/>
      <c r="F11" s="5"/>
      <c r="G11" s="5"/>
      <c r="H11" s="5" t="s">
        <v>43</v>
      </c>
      <c r="I11" s="5"/>
      <c r="J11" s="5"/>
      <c r="K11" s="5" t="s">
        <v>46</v>
      </c>
      <c r="L11" s="5" t="s">
        <v>47</v>
      </c>
      <c r="M11" s="5"/>
      <c r="N11" s="5"/>
      <c r="O11" s="5">
        <f t="shared" si="0"/>
        <v>3</v>
      </c>
      <c r="P11" s="5">
        <f t="shared" si="1"/>
        <v>1</v>
      </c>
      <c r="Q11" s="5"/>
      <c r="R11" s="5">
        <f t="shared" si="2"/>
        <v>0</v>
      </c>
      <c r="S11" s="5">
        <f t="shared" si="3"/>
        <v>0</v>
      </c>
      <c r="T11" s="5">
        <f t="shared" si="4"/>
        <v>0</v>
      </c>
      <c r="U11" s="5">
        <f t="shared" si="5"/>
        <v>0</v>
      </c>
      <c r="V11" s="5">
        <f t="shared" si="6"/>
        <v>0</v>
      </c>
      <c r="W11" s="5">
        <f t="shared" si="7"/>
        <v>0</v>
      </c>
      <c r="X11" s="5">
        <f t="shared" si="8"/>
        <v>1</v>
      </c>
      <c r="Y11" s="5">
        <f t="shared" si="9"/>
        <v>0</v>
      </c>
      <c r="Z11" s="5">
        <f t="shared" si="10"/>
        <v>0</v>
      </c>
      <c r="AA11" s="5">
        <f t="shared" si="11"/>
        <v>1</v>
      </c>
      <c r="AB11" s="5">
        <f t="shared" si="12"/>
        <v>1</v>
      </c>
      <c r="AC11" s="5">
        <f t="shared" si="13"/>
        <v>0</v>
      </c>
      <c r="AD11" s="5"/>
      <c r="AE11" s="5"/>
      <c r="AF11" s="5">
        <f t="shared" si="14"/>
        <v>3</v>
      </c>
      <c r="AG11" s="5">
        <f t="shared" si="15"/>
        <v>3</v>
      </c>
      <c r="AH11" s="5" t="str">
        <f t="shared" si="16"/>
        <v>Correct</v>
      </c>
      <c r="AI11" s="5"/>
      <c r="AJ11" s="120">
        <f>IFERROR(VLOOKUP(Table1[RespondentID],'All Data'!$A$3:$CO$999,87,FALSE),"unknown")</f>
        <v>0</v>
      </c>
      <c r="AK11" s="120">
        <f>IFERROR(VLOOKUP(Table1[RespondentID],'All Data'!$A$3:$CO$999,88,FALSE),"unknown")</f>
        <v>17</v>
      </c>
      <c r="AL11" s="120" t="str">
        <f>IFERROR(VLOOKUP(Table1[RespondentID],'All Data'!$A$3:$CO$999,89,FALSE),"unknown")</f>
        <v>Suffolk</v>
      </c>
      <c r="AM11" s="120" t="str">
        <f>IFERROR(VLOOKUP(Table1[RespondentID],'All Data'!$A$3:$CO$999,90,FALSE),"unknown")</f>
        <v>Ridge, 11961</v>
      </c>
      <c r="AN11" s="120" t="str">
        <f>IFERROR(VLOOKUP(Table1[RespondentID],'All Data'!$A$3:$CO$999,91,FALSE),"unknown")</f>
        <v>Asian</v>
      </c>
      <c r="AO11" s="120" t="str">
        <f>IFERROR(VLOOKUP(Table1[RespondentID],'All Data'!$A$3:$CO$999,92,FALSE),"unknown")</f>
        <v>Not Hispanic or Latino</v>
      </c>
      <c r="AP11" s="120">
        <f>IFERROR(VLOOKUP(Table1[RespondentID],'All Data'!$A$3:$CO$999,93,FALSE),"unknown")</f>
        <v>0</v>
      </c>
      <c r="AQ11" s="120" t="str">
        <f>IFERROR(VLOOKUP(Table1[RespondentID],'All Data'!$A$3:$CW$999,94,FALSE),"unknown")</f>
        <v>$0-$19,999</v>
      </c>
      <c r="AR11" s="120" t="str">
        <f>IFERROR(VLOOKUP(Table1[RespondentID],'All Data'!$A$3:$CW$999,95,FALSE),"unknown")</f>
        <v>Some high school</v>
      </c>
      <c r="AS11" s="120" t="str">
        <f>IFERROR(VLOOKUP(Table1[RespondentID],'All Data'!$A$3:$CW$999,96,FALSE),"unknown")</f>
        <v>Out of work, but not currently looking</v>
      </c>
      <c r="AT11" s="120" t="str">
        <f>IFERROR(VLOOKUP(Table1[RespondentID],'All Data'!$A$3:$CW$999,97,FALSE),"unknown")</f>
        <v>Yes</v>
      </c>
      <c r="AU11" s="120" t="str">
        <f>IFERROR(VLOOKUP(Table1[RespondentID],'All Data'!$A$3:$CW$999,98,FALSE),"unknown")</f>
        <v>Medicare</v>
      </c>
      <c r="AV11" s="120">
        <f>IFERROR(VLOOKUP(Table1[RespondentID],'All Data'!$A$3:$CW$999,99,FALSE),"unknown")</f>
        <v>0</v>
      </c>
    </row>
    <row r="12" spans="1:48">
      <c r="A12" s="5">
        <v>18025535535</v>
      </c>
      <c r="B12" s="5"/>
      <c r="C12" s="5" t="s">
        <v>39</v>
      </c>
      <c r="D12" s="5"/>
      <c r="E12" s="5" t="s">
        <v>41</v>
      </c>
      <c r="F12" s="5"/>
      <c r="G12" s="5"/>
      <c r="H12" s="5"/>
      <c r="I12" s="5"/>
      <c r="J12" s="5"/>
      <c r="K12" s="5"/>
      <c r="L12" s="5"/>
      <c r="M12" s="5" t="s">
        <v>48</v>
      </c>
      <c r="N12" s="5"/>
      <c r="O12" s="5">
        <f t="shared" si="0"/>
        <v>3</v>
      </c>
      <c r="P12" s="5">
        <f t="shared" si="1"/>
        <v>1</v>
      </c>
      <c r="Q12" s="5"/>
      <c r="R12" s="5">
        <f t="shared" si="2"/>
        <v>0</v>
      </c>
      <c r="S12" s="5">
        <f t="shared" si="3"/>
        <v>1</v>
      </c>
      <c r="T12" s="5">
        <f t="shared" si="4"/>
        <v>0</v>
      </c>
      <c r="U12" s="5">
        <f t="shared" si="5"/>
        <v>1</v>
      </c>
      <c r="V12" s="5">
        <f t="shared" si="6"/>
        <v>0</v>
      </c>
      <c r="W12" s="5">
        <f t="shared" si="7"/>
        <v>0</v>
      </c>
      <c r="X12" s="5">
        <f t="shared" si="8"/>
        <v>0</v>
      </c>
      <c r="Y12" s="5">
        <f t="shared" si="9"/>
        <v>0</v>
      </c>
      <c r="Z12" s="5">
        <f t="shared" si="10"/>
        <v>0</v>
      </c>
      <c r="AA12" s="5">
        <f t="shared" si="11"/>
        <v>0</v>
      </c>
      <c r="AB12" s="5">
        <f t="shared" si="12"/>
        <v>0</v>
      </c>
      <c r="AC12" s="5">
        <f t="shared" si="13"/>
        <v>1</v>
      </c>
      <c r="AD12" s="5"/>
      <c r="AE12" s="5"/>
      <c r="AF12" s="5">
        <f t="shared" si="14"/>
        <v>3</v>
      </c>
      <c r="AG12" s="5">
        <f t="shared" si="15"/>
        <v>3</v>
      </c>
      <c r="AH12" s="5" t="str">
        <f t="shared" si="16"/>
        <v>Correct</v>
      </c>
      <c r="AI12" s="5"/>
      <c r="AJ12" s="120" t="str">
        <f>IFERROR(VLOOKUP(Table1[RespondentID],'All Data'!$A$3:$CO$999,87,FALSE),"unknown")</f>
        <v>Woman</v>
      </c>
      <c r="AK12" s="120">
        <f>IFERROR(VLOOKUP(Table1[RespondentID],'All Data'!$A$3:$CO$999,88,FALSE),"unknown")</f>
        <v>38</v>
      </c>
      <c r="AL12" s="120" t="str">
        <f>IFERROR(VLOOKUP(Table1[RespondentID],'All Data'!$A$3:$CO$999,89,FALSE),"unknown")</f>
        <v>Suffolk</v>
      </c>
      <c r="AM12" s="120" t="str">
        <f>IFERROR(VLOOKUP(Table1[RespondentID],'All Data'!$A$3:$CO$999,90,FALSE),"unknown")</f>
        <v>Baiting Hollow, 11933</v>
      </c>
      <c r="AN12" s="120" t="str">
        <f>IFERROR(VLOOKUP(Table1[RespondentID],'All Data'!$A$3:$CO$999,91,FALSE),"unknown")</f>
        <v>White</v>
      </c>
      <c r="AO12" s="120" t="str">
        <f>IFERROR(VLOOKUP(Table1[RespondentID],'All Data'!$A$3:$CO$999,92,FALSE),"unknown")</f>
        <v>Not Hispanic or Latino</v>
      </c>
      <c r="AP12" s="120" t="str">
        <f>IFERROR(VLOOKUP(Table1[RespondentID],'All Data'!$A$3:$CO$999,93,FALSE),"unknown")</f>
        <v>English</v>
      </c>
      <c r="AQ12" s="120" t="str">
        <f>IFERROR(VLOOKUP(Table1[RespondentID],'All Data'!$A$3:$CW$999,94,FALSE),"unknown")</f>
        <v>Over $125,000</v>
      </c>
      <c r="AR12" s="120" t="str">
        <f>IFERROR(VLOOKUP(Table1[RespondentID],'All Data'!$A$3:$CW$999,95,FALSE),"unknown")</f>
        <v>Some college</v>
      </c>
      <c r="AS12" s="120" t="str">
        <f>IFERROR(VLOOKUP(Table1[RespondentID],'All Data'!$A$3:$CW$999,96,FALSE),"unknown")</f>
        <v>Employed for wages</v>
      </c>
      <c r="AT12" s="120" t="str">
        <f>IFERROR(VLOOKUP(Table1[RespondentID],'All Data'!$A$3:$CW$999,97,FALSE),"unknown")</f>
        <v>No</v>
      </c>
      <c r="AU12" s="120" t="str">
        <f>IFERROR(VLOOKUP(Table1[RespondentID],'All Data'!$A$3:$CW$999,98,FALSE),"unknown")</f>
        <v>Private/Commercial</v>
      </c>
      <c r="AV12" s="120">
        <f>IFERROR(VLOOKUP(Table1[RespondentID],'All Data'!$A$3:$CW$999,99,FALSE),"unknown")</f>
        <v>0</v>
      </c>
    </row>
    <row r="13" spans="1:48">
      <c r="A13" s="5">
        <v>18025535409</v>
      </c>
      <c r="B13" s="5"/>
      <c r="C13" s="5" t="s">
        <v>39</v>
      </c>
      <c r="D13" s="5"/>
      <c r="E13" s="5"/>
      <c r="F13" s="5"/>
      <c r="G13" s="5"/>
      <c r="H13" s="5"/>
      <c r="I13" s="5"/>
      <c r="J13" s="5"/>
      <c r="K13" s="5"/>
      <c r="L13" s="5" t="s">
        <v>47</v>
      </c>
      <c r="M13" s="5"/>
      <c r="N13" s="5"/>
      <c r="O13" s="5">
        <f t="shared" si="0"/>
        <v>2</v>
      </c>
      <c r="P13" s="5">
        <f t="shared" si="1"/>
        <v>1.5</v>
      </c>
      <c r="Q13" s="5"/>
      <c r="R13" s="5">
        <f t="shared" si="2"/>
        <v>0</v>
      </c>
      <c r="S13" s="5">
        <f t="shared" si="3"/>
        <v>1</v>
      </c>
      <c r="T13" s="5">
        <f t="shared" si="4"/>
        <v>0</v>
      </c>
      <c r="U13" s="5">
        <f t="shared" si="5"/>
        <v>0</v>
      </c>
      <c r="V13" s="5">
        <f t="shared" si="6"/>
        <v>0</v>
      </c>
      <c r="W13" s="5">
        <f t="shared" si="7"/>
        <v>0</v>
      </c>
      <c r="X13" s="5">
        <f t="shared" si="8"/>
        <v>0</v>
      </c>
      <c r="Y13" s="5">
        <f t="shared" si="9"/>
        <v>0</v>
      </c>
      <c r="Z13" s="5">
        <f t="shared" si="10"/>
        <v>0</v>
      </c>
      <c r="AA13" s="5">
        <f t="shared" si="11"/>
        <v>0</v>
      </c>
      <c r="AB13" s="5">
        <f t="shared" si="12"/>
        <v>1</v>
      </c>
      <c r="AC13" s="5">
        <f t="shared" si="13"/>
        <v>0</v>
      </c>
      <c r="AD13" s="5"/>
      <c r="AE13" s="5"/>
      <c r="AF13" s="5">
        <f t="shared" si="14"/>
        <v>2</v>
      </c>
      <c r="AG13" s="5">
        <f t="shared" si="15"/>
        <v>2</v>
      </c>
      <c r="AH13" s="5" t="str">
        <f t="shared" si="16"/>
        <v>Correct</v>
      </c>
      <c r="AI13" s="5"/>
      <c r="AJ13" s="120" t="str">
        <f>IFERROR(VLOOKUP(Table1[RespondentID],'All Data'!$A$3:$CO$999,87,FALSE),"unknown")</f>
        <v>Woman</v>
      </c>
      <c r="AK13" s="120">
        <f>IFERROR(VLOOKUP(Table1[RespondentID],'All Data'!$A$3:$CO$999,88,FALSE),"unknown")</f>
        <v>51</v>
      </c>
      <c r="AL13" s="120" t="str">
        <f>IFERROR(VLOOKUP(Table1[RespondentID],'All Data'!$A$3:$CO$999,89,FALSE),"unknown")</f>
        <v>Suffolk</v>
      </c>
      <c r="AM13" s="120" t="str">
        <f>IFERROR(VLOOKUP(Table1[RespondentID],'All Data'!$A$3:$CO$999,90,FALSE),"unknown")</f>
        <v>Ridge, 11961</v>
      </c>
      <c r="AN13" s="120" t="str">
        <f>IFERROR(VLOOKUP(Table1[RespondentID],'All Data'!$A$3:$CO$999,91,FALSE),"unknown")</f>
        <v>White</v>
      </c>
      <c r="AO13" s="120" t="str">
        <f>IFERROR(VLOOKUP(Table1[RespondentID],'All Data'!$A$3:$CO$999,92,FALSE),"unknown")</f>
        <v>Not Hispanic or Latino</v>
      </c>
      <c r="AP13" s="120" t="str">
        <f>IFERROR(VLOOKUP(Table1[RespondentID],'All Data'!$A$3:$CO$999,93,FALSE),"unknown")</f>
        <v>English</v>
      </c>
      <c r="AQ13" s="120" t="str">
        <f>IFERROR(VLOOKUP(Table1[RespondentID],'All Data'!$A$3:$CW$999,94,FALSE),"unknown")</f>
        <v>Over $125,000</v>
      </c>
      <c r="AR13" s="120" t="str">
        <f>IFERROR(VLOOKUP(Table1[RespondentID],'All Data'!$A$3:$CW$999,95,FALSE),"unknown")</f>
        <v>High school graduate</v>
      </c>
      <c r="AS13" s="120" t="str">
        <f>IFERROR(VLOOKUP(Table1[RespondentID],'All Data'!$A$3:$CW$999,96,FALSE),"unknown")</f>
        <v>Employed for wages</v>
      </c>
      <c r="AT13" s="120" t="str">
        <f>IFERROR(VLOOKUP(Table1[RespondentID],'All Data'!$A$3:$CW$999,97,FALSE),"unknown")</f>
        <v>Yes</v>
      </c>
      <c r="AU13" s="120" t="str">
        <f>IFERROR(VLOOKUP(Table1[RespondentID],'All Data'!$A$3:$CW$999,98,FALSE),"unknown")</f>
        <v>Private/Commercial</v>
      </c>
      <c r="AV13" s="120">
        <f>IFERROR(VLOOKUP(Table1[RespondentID],'All Data'!$A$3:$CW$999,99,FALSE),"unknown")</f>
        <v>0</v>
      </c>
    </row>
    <row r="14" spans="1:48">
      <c r="A14" s="5">
        <v>18025535294</v>
      </c>
      <c r="B14" s="5"/>
      <c r="C14" s="5"/>
      <c r="D14" s="5" t="s">
        <v>40</v>
      </c>
      <c r="E14" s="5"/>
      <c r="F14" s="5"/>
      <c r="G14" s="5" t="s">
        <v>37</v>
      </c>
      <c r="H14" s="5"/>
      <c r="I14" s="5"/>
      <c r="J14" s="5" t="s">
        <v>45</v>
      </c>
      <c r="K14" s="5"/>
      <c r="L14" s="5"/>
      <c r="M14" s="5"/>
      <c r="N14" s="5"/>
      <c r="O14" s="5">
        <f t="shared" si="0"/>
        <v>3</v>
      </c>
      <c r="P14" s="5">
        <f t="shared" si="1"/>
        <v>1</v>
      </c>
      <c r="Q14" s="5"/>
      <c r="R14" s="5">
        <f t="shared" si="2"/>
        <v>0</v>
      </c>
      <c r="S14" s="5">
        <f t="shared" si="3"/>
        <v>0</v>
      </c>
      <c r="T14" s="5">
        <f t="shared" si="4"/>
        <v>1</v>
      </c>
      <c r="U14" s="5">
        <f t="shared" si="5"/>
        <v>0</v>
      </c>
      <c r="V14" s="5">
        <f t="shared" si="6"/>
        <v>0</v>
      </c>
      <c r="W14" s="5">
        <f t="shared" si="7"/>
        <v>1</v>
      </c>
      <c r="X14" s="5">
        <f t="shared" si="8"/>
        <v>0</v>
      </c>
      <c r="Y14" s="5">
        <f t="shared" si="9"/>
        <v>0</v>
      </c>
      <c r="Z14" s="5">
        <f t="shared" si="10"/>
        <v>1</v>
      </c>
      <c r="AA14" s="5">
        <f t="shared" si="11"/>
        <v>0</v>
      </c>
      <c r="AB14" s="5">
        <f t="shared" si="12"/>
        <v>0</v>
      </c>
      <c r="AC14" s="5">
        <f t="shared" si="13"/>
        <v>0</v>
      </c>
      <c r="AD14" s="5"/>
      <c r="AE14" s="5"/>
      <c r="AF14" s="5">
        <f t="shared" si="14"/>
        <v>3</v>
      </c>
      <c r="AG14" s="5">
        <f t="shared" si="15"/>
        <v>3</v>
      </c>
      <c r="AH14" s="5" t="str">
        <f t="shared" si="16"/>
        <v>Correct</v>
      </c>
      <c r="AI14" s="5"/>
      <c r="AJ14" s="120" t="str">
        <f>IFERROR(VLOOKUP(Table1[RespondentID],'All Data'!$A$3:$CO$999,87,FALSE),"unknown")</f>
        <v>Woman</v>
      </c>
      <c r="AK14" s="120">
        <f>IFERROR(VLOOKUP(Table1[RespondentID],'All Data'!$A$3:$CO$999,88,FALSE),"unknown")</f>
        <v>59</v>
      </c>
      <c r="AL14" s="120" t="str">
        <f>IFERROR(VLOOKUP(Table1[RespondentID],'All Data'!$A$3:$CO$999,89,FALSE),"unknown")</f>
        <v>Suffolk</v>
      </c>
      <c r="AM14" s="120" t="str">
        <f>IFERROR(VLOOKUP(Table1[RespondentID],'All Data'!$A$3:$CO$999,90,FALSE),"unknown")</f>
        <v>Ridge, 11961</v>
      </c>
      <c r="AN14" s="120" t="str">
        <f>IFERROR(VLOOKUP(Table1[RespondentID],'All Data'!$A$3:$CO$999,91,FALSE),"unknown")</f>
        <v>White</v>
      </c>
      <c r="AO14" s="120">
        <f>IFERROR(VLOOKUP(Table1[RespondentID],'All Data'!$A$3:$CO$999,92,FALSE),"unknown")</f>
        <v>0</v>
      </c>
      <c r="AP14" s="120" t="str">
        <f>IFERROR(VLOOKUP(Table1[RespondentID],'All Data'!$A$3:$CO$999,93,FALSE),"unknown")</f>
        <v>English</v>
      </c>
      <c r="AQ14" s="120" t="str">
        <f>IFERROR(VLOOKUP(Table1[RespondentID],'All Data'!$A$3:$CW$999,94,FALSE),"unknown")</f>
        <v>$50,000 to $74,999</v>
      </c>
      <c r="AR14" s="120" t="str">
        <f>IFERROR(VLOOKUP(Table1[RespondentID],'All Data'!$A$3:$CW$999,95,FALSE),"unknown")</f>
        <v>High school graduate</v>
      </c>
      <c r="AS14" s="120" t="str">
        <f>IFERROR(VLOOKUP(Table1[RespondentID],'All Data'!$A$3:$CW$999,96,FALSE),"unknown")</f>
        <v>Retired</v>
      </c>
      <c r="AT14" s="120" t="str">
        <f>IFERROR(VLOOKUP(Table1[RespondentID],'All Data'!$A$3:$CW$999,97,FALSE),"unknown")</f>
        <v>Yes</v>
      </c>
      <c r="AU14" s="120" t="str">
        <f>IFERROR(VLOOKUP(Table1[RespondentID],'All Data'!$A$3:$CW$999,98,FALSE),"unknown")</f>
        <v>Medicare</v>
      </c>
      <c r="AV14" s="120">
        <f>IFERROR(VLOOKUP(Table1[RespondentID],'All Data'!$A$3:$CW$999,99,FALSE),"unknown")</f>
        <v>0</v>
      </c>
    </row>
    <row r="15" spans="1:48">
      <c r="A15" s="5">
        <v>18025535123</v>
      </c>
      <c r="B15" s="5" t="s">
        <v>38</v>
      </c>
      <c r="C15" s="5"/>
      <c r="D15" s="5"/>
      <c r="E15" s="5"/>
      <c r="F15" s="5"/>
      <c r="G15" s="5"/>
      <c r="H15" s="5"/>
      <c r="I15" s="5" t="s">
        <v>44</v>
      </c>
      <c r="J15" s="5"/>
      <c r="K15" s="5"/>
      <c r="L15" s="5" t="s">
        <v>47</v>
      </c>
      <c r="M15" s="5"/>
      <c r="N15" s="5"/>
      <c r="O15" s="5">
        <f t="shared" si="0"/>
        <v>3</v>
      </c>
      <c r="P15" s="5">
        <f t="shared" si="1"/>
        <v>1</v>
      </c>
      <c r="Q15" s="5"/>
      <c r="R15" s="5">
        <f t="shared" si="2"/>
        <v>1</v>
      </c>
      <c r="S15" s="5">
        <f t="shared" si="3"/>
        <v>0</v>
      </c>
      <c r="T15" s="5">
        <f t="shared" si="4"/>
        <v>0</v>
      </c>
      <c r="U15" s="5">
        <f t="shared" si="5"/>
        <v>0</v>
      </c>
      <c r="V15" s="5">
        <f t="shared" si="6"/>
        <v>0</v>
      </c>
      <c r="W15" s="5">
        <f t="shared" si="7"/>
        <v>0</v>
      </c>
      <c r="X15" s="5">
        <f t="shared" si="8"/>
        <v>0</v>
      </c>
      <c r="Y15" s="5">
        <f t="shared" si="9"/>
        <v>1</v>
      </c>
      <c r="Z15" s="5">
        <f t="shared" si="10"/>
        <v>0</v>
      </c>
      <c r="AA15" s="5">
        <f t="shared" si="11"/>
        <v>0</v>
      </c>
      <c r="AB15" s="5">
        <f t="shared" si="12"/>
        <v>1</v>
      </c>
      <c r="AC15" s="5">
        <f t="shared" si="13"/>
        <v>0</v>
      </c>
      <c r="AD15" s="5"/>
      <c r="AE15" s="5"/>
      <c r="AF15" s="5">
        <f t="shared" si="14"/>
        <v>3</v>
      </c>
      <c r="AG15" s="5">
        <f t="shared" si="15"/>
        <v>3</v>
      </c>
      <c r="AH15" s="5" t="str">
        <f t="shared" si="16"/>
        <v>Correct</v>
      </c>
      <c r="AI15" s="5"/>
      <c r="AJ15" s="120" t="str">
        <f>IFERROR(VLOOKUP(Table1[RespondentID],'All Data'!$A$3:$CO$999,87,FALSE),"unknown")</f>
        <v>Woman</v>
      </c>
      <c r="AK15" s="120">
        <f>IFERROR(VLOOKUP(Table1[RespondentID],'All Data'!$A$3:$CO$999,88,FALSE),"unknown")</f>
        <v>24</v>
      </c>
      <c r="AL15" s="120" t="str">
        <f>IFERROR(VLOOKUP(Table1[RespondentID],'All Data'!$A$3:$CO$999,89,FALSE),"unknown")</f>
        <v>Suffolk</v>
      </c>
      <c r="AM15" s="120" t="str">
        <f>IFERROR(VLOOKUP(Table1[RespondentID],'All Data'!$A$3:$CO$999,90,FALSE),"unknown")</f>
        <v>Peconic, 11958</v>
      </c>
      <c r="AN15" s="120" t="str">
        <f>IFERROR(VLOOKUP(Table1[RespondentID],'All Data'!$A$3:$CO$999,91,FALSE),"unknown")</f>
        <v>Two or more races</v>
      </c>
      <c r="AO15" s="120" t="str">
        <f>IFERROR(VLOOKUP(Table1[RespondentID],'All Data'!$A$3:$CO$999,92,FALSE),"unknown")</f>
        <v>Not Hispanic or Latino</v>
      </c>
      <c r="AP15" s="120" t="str">
        <f>IFERROR(VLOOKUP(Table1[RespondentID],'All Data'!$A$3:$CO$999,93,FALSE),"unknown")</f>
        <v>French Creole</v>
      </c>
      <c r="AQ15" s="120" t="str">
        <f>IFERROR(VLOOKUP(Table1[RespondentID],'All Data'!$A$3:$CW$999,94,FALSE),"unknown")</f>
        <v>$75,000 to $125,000</v>
      </c>
      <c r="AR15" s="120" t="str">
        <f>IFERROR(VLOOKUP(Table1[RespondentID],'All Data'!$A$3:$CW$999,95,FALSE),"unknown")</f>
        <v>Doctorate</v>
      </c>
      <c r="AS15" s="120" t="str">
        <f>IFERROR(VLOOKUP(Table1[RespondentID],'All Data'!$A$3:$CW$999,96,FALSE),"unknown")</f>
        <v>Employed for wages</v>
      </c>
      <c r="AT15" s="120" t="str">
        <f>IFERROR(VLOOKUP(Table1[RespondentID],'All Data'!$A$3:$CW$999,97,FALSE),"unknown")</f>
        <v>Yes</v>
      </c>
      <c r="AU15" s="120">
        <f>IFERROR(VLOOKUP(Table1[RespondentID],'All Data'!$A$3:$CW$999,98,FALSE),"unknown")</f>
        <v>0</v>
      </c>
      <c r="AV15" s="120">
        <f>IFERROR(VLOOKUP(Table1[RespondentID],'All Data'!$A$3:$CW$999,99,FALSE),"unknown")</f>
        <v>0</v>
      </c>
    </row>
    <row r="16" spans="1:48">
      <c r="A16" s="5">
        <v>18025534952</v>
      </c>
      <c r="B16" s="5" t="s">
        <v>38</v>
      </c>
      <c r="C16" s="5"/>
      <c r="D16" s="5"/>
      <c r="E16" s="5"/>
      <c r="F16" s="5"/>
      <c r="G16" s="5"/>
      <c r="H16" s="5" t="s">
        <v>43</v>
      </c>
      <c r="I16" s="5" t="s">
        <v>44</v>
      </c>
      <c r="J16" s="5"/>
      <c r="K16" s="5"/>
      <c r="L16" s="5" t="s">
        <v>47</v>
      </c>
      <c r="M16" s="5"/>
      <c r="N16" s="5"/>
      <c r="O16" s="5">
        <f t="shared" si="0"/>
        <v>4</v>
      </c>
      <c r="P16" s="5">
        <f t="shared" si="1"/>
        <v>0.75</v>
      </c>
      <c r="Q16" s="5"/>
      <c r="R16" s="5">
        <f t="shared" si="2"/>
        <v>0.75</v>
      </c>
      <c r="S16" s="5">
        <f t="shared" si="3"/>
        <v>0</v>
      </c>
      <c r="T16" s="5">
        <f t="shared" si="4"/>
        <v>0</v>
      </c>
      <c r="U16" s="5">
        <f t="shared" si="5"/>
        <v>0</v>
      </c>
      <c r="V16" s="5">
        <f t="shared" si="6"/>
        <v>0</v>
      </c>
      <c r="W16" s="5">
        <f t="shared" si="7"/>
        <v>0</v>
      </c>
      <c r="X16" s="5">
        <f t="shared" si="8"/>
        <v>0.75</v>
      </c>
      <c r="Y16" s="5">
        <f t="shared" si="9"/>
        <v>0.75</v>
      </c>
      <c r="Z16" s="5">
        <f t="shared" si="10"/>
        <v>0</v>
      </c>
      <c r="AA16" s="5">
        <f t="shared" si="11"/>
        <v>0</v>
      </c>
      <c r="AB16" s="5">
        <f t="shared" si="12"/>
        <v>0.75</v>
      </c>
      <c r="AC16" s="5">
        <f t="shared" si="13"/>
        <v>0</v>
      </c>
      <c r="AD16" s="5"/>
      <c r="AE16" s="5"/>
      <c r="AF16" s="5">
        <f t="shared" si="14"/>
        <v>3</v>
      </c>
      <c r="AG16" s="5">
        <f t="shared" si="15"/>
        <v>4</v>
      </c>
      <c r="AH16" s="5" t="str">
        <f t="shared" si="16"/>
        <v>Correct</v>
      </c>
      <c r="AI16" s="5"/>
      <c r="AJ16" s="120" t="str">
        <f>IFERROR(VLOOKUP(Table1[RespondentID],'All Data'!$A$3:$CO$999,87,FALSE),"unknown")</f>
        <v>Woman</v>
      </c>
      <c r="AK16" s="120">
        <f>IFERROR(VLOOKUP(Table1[RespondentID],'All Data'!$A$3:$CO$999,88,FALSE),"unknown")</f>
        <v>31</v>
      </c>
      <c r="AL16" s="120" t="str">
        <f>IFERROR(VLOOKUP(Table1[RespondentID],'All Data'!$A$3:$CO$999,89,FALSE),"unknown")</f>
        <v>Suffolk</v>
      </c>
      <c r="AM16" s="120" t="str">
        <f>IFERROR(VLOOKUP(Table1[RespondentID],'All Data'!$A$3:$CO$999,90,FALSE),"unknown")</f>
        <v>Patchogue, 11772</v>
      </c>
      <c r="AN16" s="120" t="str">
        <f>IFERROR(VLOOKUP(Table1[RespondentID],'All Data'!$A$3:$CO$999,91,FALSE),"unknown")</f>
        <v>White</v>
      </c>
      <c r="AO16" s="120">
        <f>IFERROR(VLOOKUP(Table1[RespondentID],'All Data'!$A$3:$CO$999,92,FALSE),"unknown")</f>
        <v>0</v>
      </c>
      <c r="AP16" s="120" t="str">
        <f>IFERROR(VLOOKUP(Table1[RespondentID],'All Data'!$A$3:$CO$999,93,FALSE),"unknown")</f>
        <v>English</v>
      </c>
      <c r="AQ16" s="120" t="str">
        <f>IFERROR(VLOOKUP(Table1[RespondentID],'All Data'!$A$3:$CW$999,94,FALSE),"unknown")</f>
        <v>Over $125,000</v>
      </c>
      <c r="AR16" s="120" t="str">
        <f>IFERROR(VLOOKUP(Table1[RespondentID],'All Data'!$A$3:$CW$999,95,FALSE),"unknown")</f>
        <v>College graduate</v>
      </c>
      <c r="AS16" s="120" t="str">
        <f>IFERROR(VLOOKUP(Table1[RespondentID],'All Data'!$A$3:$CW$999,96,FALSE),"unknown")</f>
        <v>Employed for wages</v>
      </c>
      <c r="AT16" s="120" t="str">
        <f>IFERROR(VLOOKUP(Table1[RespondentID],'All Data'!$A$3:$CW$999,97,FALSE),"unknown")</f>
        <v>Yes</v>
      </c>
      <c r="AU16" s="120" t="str">
        <f>IFERROR(VLOOKUP(Table1[RespondentID],'All Data'!$A$3:$CW$999,98,FALSE),"unknown")</f>
        <v>Private/Commercial</v>
      </c>
      <c r="AV16" s="120">
        <f>IFERROR(VLOOKUP(Table1[RespondentID],'All Data'!$A$3:$CW$999,99,FALSE),"unknown")</f>
        <v>0</v>
      </c>
    </row>
    <row r="17" spans="1:48">
      <c r="A17" s="5">
        <v>18025534839</v>
      </c>
      <c r="B17" s="5"/>
      <c r="C17" s="5"/>
      <c r="D17" s="5"/>
      <c r="E17" s="5"/>
      <c r="F17" s="5"/>
      <c r="G17" s="5" t="s">
        <v>37</v>
      </c>
      <c r="H17" s="5"/>
      <c r="I17" s="5"/>
      <c r="J17" s="5"/>
      <c r="K17" s="5" t="s">
        <v>46</v>
      </c>
      <c r="L17" s="5"/>
      <c r="M17" s="5" t="s">
        <v>48</v>
      </c>
      <c r="N17" s="5"/>
      <c r="O17" s="5">
        <f t="shared" si="0"/>
        <v>3</v>
      </c>
      <c r="P17" s="5">
        <f t="shared" si="1"/>
        <v>1</v>
      </c>
      <c r="Q17" s="5"/>
      <c r="R17" s="5">
        <f t="shared" si="2"/>
        <v>0</v>
      </c>
      <c r="S17" s="5">
        <f t="shared" si="3"/>
        <v>0</v>
      </c>
      <c r="T17" s="5">
        <f t="shared" si="4"/>
        <v>0</v>
      </c>
      <c r="U17" s="5">
        <f t="shared" si="5"/>
        <v>0</v>
      </c>
      <c r="V17" s="5">
        <f t="shared" si="6"/>
        <v>0</v>
      </c>
      <c r="W17" s="5">
        <f t="shared" si="7"/>
        <v>1</v>
      </c>
      <c r="X17" s="5">
        <f t="shared" si="8"/>
        <v>0</v>
      </c>
      <c r="Y17" s="5">
        <f t="shared" si="9"/>
        <v>0</v>
      </c>
      <c r="Z17" s="5">
        <f t="shared" si="10"/>
        <v>0</v>
      </c>
      <c r="AA17" s="5">
        <f t="shared" si="11"/>
        <v>1</v>
      </c>
      <c r="AB17" s="5">
        <f t="shared" si="12"/>
        <v>0</v>
      </c>
      <c r="AC17" s="5">
        <f t="shared" si="13"/>
        <v>1</v>
      </c>
      <c r="AD17" s="5"/>
      <c r="AE17" s="5"/>
      <c r="AF17" s="5">
        <f t="shared" si="14"/>
        <v>3</v>
      </c>
      <c r="AG17" s="5">
        <f t="shared" si="15"/>
        <v>3</v>
      </c>
      <c r="AH17" s="5" t="str">
        <f t="shared" si="16"/>
        <v>Correct</v>
      </c>
      <c r="AI17" s="5"/>
      <c r="AJ17" s="120" t="str">
        <f>IFERROR(VLOOKUP(Table1[RespondentID],'All Data'!$A$3:$CO$999,87,FALSE),"unknown")</f>
        <v>Woman</v>
      </c>
      <c r="AK17" s="120">
        <f>IFERROR(VLOOKUP(Table1[RespondentID],'All Data'!$A$3:$CO$999,88,FALSE),"unknown")</f>
        <v>57</v>
      </c>
      <c r="AL17" s="120" t="str">
        <f>IFERROR(VLOOKUP(Table1[RespondentID],'All Data'!$A$3:$CO$999,89,FALSE),"unknown")</f>
        <v>Suffolk</v>
      </c>
      <c r="AM17" s="120" t="str">
        <f>IFERROR(VLOOKUP(Table1[RespondentID],'All Data'!$A$3:$CO$999,90,FALSE),"unknown")</f>
        <v>Ronkonkoma, 11779</v>
      </c>
      <c r="AN17" s="120" t="str">
        <f>IFERROR(VLOOKUP(Table1[RespondentID],'All Data'!$A$3:$CO$999,91,FALSE),"unknown")</f>
        <v>White</v>
      </c>
      <c r="AO17" s="120" t="str">
        <f>IFERROR(VLOOKUP(Table1[RespondentID],'All Data'!$A$3:$CO$999,92,FALSE),"unknown")</f>
        <v>Not Hispanic or Latino</v>
      </c>
      <c r="AP17" s="120" t="str">
        <f>IFERROR(VLOOKUP(Table1[RespondentID],'All Data'!$A$3:$CO$999,93,FALSE),"unknown")</f>
        <v>English</v>
      </c>
      <c r="AQ17" s="120" t="str">
        <f>IFERROR(VLOOKUP(Table1[RespondentID],'All Data'!$A$3:$CW$999,94,FALSE),"unknown")</f>
        <v>Over $125,000</v>
      </c>
      <c r="AR17" s="120" t="str">
        <f>IFERROR(VLOOKUP(Table1[RespondentID],'All Data'!$A$3:$CW$999,95,FALSE),"unknown")</f>
        <v>Technical school</v>
      </c>
      <c r="AS17" s="120" t="str">
        <f>IFERROR(VLOOKUP(Table1[RespondentID],'All Data'!$A$3:$CW$999,96,FALSE),"unknown")</f>
        <v>Employed for wages</v>
      </c>
      <c r="AT17" s="120" t="str">
        <f>IFERROR(VLOOKUP(Table1[RespondentID],'All Data'!$A$3:$CW$999,97,FALSE),"unknown")</f>
        <v>Yes</v>
      </c>
      <c r="AU17" s="120" t="str">
        <f>IFERROR(VLOOKUP(Table1[RespondentID],'All Data'!$A$3:$CW$999,98,FALSE),"unknown")</f>
        <v>Private/Commercial</v>
      </c>
      <c r="AV17" s="120">
        <f>IFERROR(VLOOKUP(Table1[RespondentID],'All Data'!$A$3:$CW$999,99,FALSE),"unknown")</f>
        <v>0</v>
      </c>
    </row>
    <row r="18" spans="1:48">
      <c r="A18" s="5">
        <v>18025534704</v>
      </c>
      <c r="B18" s="5"/>
      <c r="C18" s="5"/>
      <c r="D18" s="5"/>
      <c r="E18" s="5"/>
      <c r="F18" s="5"/>
      <c r="G18" s="5"/>
      <c r="H18" s="5"/>
      <c r="I18" s="5"/>
      <c r="J18" s="5"/>
      <c r="K18" s="5"/>
      <c r="L18" s="5" t="s">
        <v>47</v>
      </c>
      <c r="M18" s="5"/>
      <c r="N18" s="5"/>
      <c r="O18" s="5">
        <f t="shared" si="0"/>
        <v>1</v>
      </c>
      <c r="P18" s="5">
        <f t="shared" si="1"/>
        <v>3</v>
      </c>
      <c r="Q18" s="5"/>
      <c r="R18" s="5">
        <f t="shared" si="2"/>
        <v>0</v>
      </c>
      <c r="S18" s="5">
        <f t="shared" si="3"/>
        <v>0</v>
      </c>
      <c r="T18" s="5">
        <f t="shared" si="4"/>
        <v>0</v>
      </c>
      <c r="U18" s="5">
        <f t="shared" si="5"/>
        <v>0</v>
      </c>
      <c r="V18" s="5">
        <f t="shared" si="6"/>
        <v>0</v>
      </c>
      <c r="W18" s="5">
        <f t="shared" si="7"/>
        <v>0</v>
      </c>
      <c r="X18" s="5">
        <f t="shared" si="8"/>
        <v>0</v>
      </c>
      <c r="Y18" s="5">
        <f t="shared" si="9"/>
        <v>0</v>
      </c>
      <c r="Z18" s="5">
        <f t="shared" si="10"/>
        <v>0</v>
      </c>
      <c r="AA18" s="5">
        <f t="shared" si="11"/>
        <v>0</v>
      </c>
      <c r="AB18" s="5">
        <f t="shared" si="12"/>
        <v>1</v>
      </c>
      <c r="AC18" s="5">
        <f t="shared" si="13"/>
        <v>0</v>
      </c>
      <c r="AD18" s="5"/>
      <c r="AE18" s="5"/>
      <c r="AF18" s="5">
        <f t="shared" si="14"/>
        <v>1</v>
      </c>
      <c r="AG18" s="5">
        <f t="shared" si="15"/>
        <v>1</v>
      </c>
      <c r="AH18" s="5" t="str">
        <f t="shared" si="16"/>
        <v>Correct</v>
      </c>
      <c r="AI18" s="5"/>
      <c r="AJ18" s="120" t="str">
        <f>IFERROR(VLOOKUP(Table1[RespondentID],'All Data'!$A$3:$CO$999,87,FALSE),"unknown")</f>
        <v>Man</v>
      </c>
      <c r="AK18" s="120">
        <f>IFERROR(VLOOKUP(Table1[RespondentID],'All Data'!$A$3:$CO$999,88,FALSE),"unknown")</f>
        <v>48</v>
      </c>
      <c r="AL18" s="120" t="str">
        <f>IFERROR(VLOOKUP(Table1[RespondentID],'All Data'!$A$3:$CO$999,89,FALSE),"unknown")</f>
        <v>Suffolk</v>
      </c>
      <c r="AM18" s="120" t="str">
        <f>IFERROR(VLOOKUP(Table1[RespondentID],'All Data'!$A$3:$CO$999,90,FALSE),"unknown")</f>
        <v>Ridge, 11961</v>
      </c>
      <c r="AN18" s="120" t="str">
        <f>IFERROR(VLOOKUP(Table1[RespondentID],'All Data'!$A$3:$CO$999,91,FALSE),"unknown")</f>
        <v>White</v>
      </c>
      <c r="AO18" s="120" t="str">
        <f>IFERROR(VLOOKUP(Table1[RespondentID],'All Data'!$A$3:$CO$999,92,FALSE),"unknown")</f>
        <v>Not Hispanic or Latino</v>
      </c>
      <c r="AP18" s="120" t="str">
        <f>IFERROR(VLOOKUP(Table1[RespondentID],'All Data'!$A$3:$CO$999,93,FALSE),"unknown")</f>
        <v>English</v>
      </c>
      <c r="AQ18" s="120" t="str">
        <f>IFERROR(VLOOKUP(Table1[RespondentID],'All Data'!$A$3:$CW$999,94,FALSE),"unknown")</f>
        <v>Over $125,000</v>
      </c>
      <c r="AR18" s="120" t="str">
        <f>IFERROR(VLOOKUP(Table1[RespondentID],'All Data'!$A$3:$CW$999,95,FALSE),"unknown")</f>
        <v>High school graduate</v>
      </c>
      <c r="AS18" s="120" t="str">
        <f>IFERROR(VLOOKUP(Table1[RespondentID],'All Data'!$A$3:$CW$999,96,FALSE),"unknown")</f>
        <v>Retired</v>
      </c>
      <c r="AT18" s="120" t="str">
        <f>IFERROR(VLOOKUP(Table1[RespondentID],'All Data'!$A$3:$CW$999,97,FALSE),"unknown")</f>
        <v>Yes</v>
      </c>
      <c r="AU18" s="120" t="str">
        <f>IFERROR(VLOOKUP(Table1[RespondentID],'All Data'!$A$3:$CW$999,98,FALSE),"unknown")</f>
        <v>Private/Commercial</v>
      </c>
      <c r="AV18" s="120">
        <f>IFERROR(VLOOKUP(Table1[RespondentID],'All Data'!$A$3:$CW$999,99,FALSE),"unknown")</f>
        <v>0</v>
      </c>
    </row>
    <row r="19" spans="1:48">
      <c r="A19" s="5">
        <v>18025534585</v>
      </c>
      <c r="B19" s="5"/>
      <c r="C19" s="5"/>
      <c r="D19" s="5"/>
      <c r="E19" s="5" t="s">
        <v>41</v>
      </c>
      <c r="F19" s="5" t="s">
        <v>42</v>
      </c>
      <c r="G19" s="5"/>
      <c r="H19" s="5" t="s">
        <v>43</v>
      </c>
      <c r="I19" s="5"/>
      <c r="J19" s="5"/>
      <c r="K19" s="5"/>
      <c r="L19" s="5" t="s">
        <v>47</v>
      </c>
      <c r="M19" s="5"/>
      <c r="N19" s="5"/>
      <c r="O19" s="5">
        <f t="shared" si="0"/>
        <v>4</v>
      </c>
      <c r="P19" s="5">
        <f t="shared" si="1"/>
        <v>0.75</v>
      </c>
      <c r="Q19" s="5"/>
      <c r="R19" s="5">
        <f t="shared" si="2"/>
        <v>0</v>
      </c>
      <c r="S19" s="5">
        <f t="shared" si="3"/>
        <v>0</v>
      </c>
      <c r="T19" s="5">
        <f t="shared" si="4"/>
        <v>0</v>
      </c>
      <c r="U19" s="5">
        <f t="shared" si="5"/>
        <v>0.75</v>
      </c>
      <c r="V19" s="5">
        <f t="shared" si="6"/>
        <v>0.75</v>
      </c>
      <c r="W19" s="5">
        <f t="shared" si="7"/>
        <v>0</v>
      </c>
      <c r="X19" s="5">
        <f t="shared" si="8"/>
        <v>0.75</v>
      </c>
      <c r="Y19" s="5">
        <f t="shared" si="9"/>
        <v>0</v>
      </c>
      <c r="Z19" s="5">
        <f t="shared" si="10"/>
        <v>0</v>
      </c>
      <c r="AA19" s="5">
        <f t="shared" si="11"/>
        <v>0</v>
      </c>
      <c r="AB19" s="5">
        <f t="shared" si="12"/>
        <v>0.75</v>
      </c>
      <c r="AC19" s="5">
        <f t="shared" si="13"/>
        <v>0</v>
      </c>
      <c r="AD19" s="5"/>
      <c r="AE19" s="5"/>
      <c r="AF19" s="5">
        <f t="shared" si="14"/>
        <v>3</v>
      </c>
      <c r="AG19" s="5">
        <f t="shared" si="15"/>
        <v>4</v>
      </c>
      <c r="AH19" s="5" t="str">
        <f t="shared" si="16"/>
        <v>Correct</v>
      </c>
      <c r="AI19" s="5"/>
      <c r="AJ19" s="120" t="str">
        <f>IFERROR(VLOOKUP(Table1[RespondentID],'All Data'!$A$3:$CO$999,87,FALSE),"unknown")</f>
        <v>Woman</v>
      </c>
      <c r="AK19" s="120">
        <f>IFERROR(VLOOKUP(Table1[RespondentID],'All Data'!$A$3:$CO$999,88,FALSE),"unknown")</f>
        <v>84</v>
      </c>
      <c r="AL19" s="120" t="str">
        <f>IFERROR(VLOOKUP(Table1[RespondentID],'All Data'!$A$3:$CO$999,89,FALSE),"unknown")</f>
        <v>Suffolk</v>
      </c>
      <c r="AM19" s="120" t="str">
        <f>IFERROR(VLOOKUP(Table1[RespondentID],'All Data'!$A$3:$CO$999,90,FALSE),"unknown")</f>
        <v>Selden, 11784</v>
      </c>
      <c r="AN19" s="120">
        <f>IFERROR(VLOOKUP(Table1[RespondentID],'All Data'!$A$3:$CO$999,91,FALSE),"unknown")</f>
        <v>0</v>
      </c>
      <c r="AO19" s="120">
        <f>IFERROR(VLOOKUP(Table1[RespondentID],'All Data'!$A$3:$CO$999,92,FALSE),"unknown")</f>
        <v>0</v>
      </c>
      <c r="AP19" s="120" t="str">
        <f>IFERROR(VLOOKUP(Table1[RespondentID],'All Data'!$A$3:$CO$999,93,FALSE),"unknown")</f>
        <v>English</v>
      </c>
      <c r="AQ19" s="120" t="str">
        <f>IFERROR(VLOOKUP(Table1[RespondentID],'All Data'!$A$3:$CW$999,94,FALSE),"unknown")</f>
        <v>$0-$19,999</v>
      </c>
      <c r="AR19" s="120" t="str">
        <f>IFERROR(VLOOKUP(Table1[RespondentID],'All Data'!$A$3:$CW$999,95,FALSE),"unknown")</f>
        <v>Technical school</v>
      </c>
      <c r="AS19" s="120" t="str">
        <f>IFERROR(VLOOKUP(Table1[RespondentID],'All Data'!$A$3:$CW$999,96,FALSE),"unknown")</f>
        <v>Retired</v>
      </c>
      <c r="AT19" s="120" t="str">
        <f>IFERROR(VLOOKUP(Table1[RespondentID],'All Data'!$A$3:$CW$999,97,FALSE),"unknown")</f>
        <v>Yes</v>
      </c>
      <c r="AU19" s="120" t="str">
        <f>IFERROR(VLOOKUP(Table1[RespondentID],'All Data'!$A$3:$CW$999,98,FALSE),"unknown")</f>
        <v>Medicare</v>
      </c>
      <c r="AV19" s="120">
        <f>IFERROR(VLOOKUP(Table1[RespondentID],'All Data'!$A$3:$CW$999,99,FALSE),"unknown")</f>
        <v>0</v>
      </c>
    </row>
    <row r="20" spans="1:48">
      <c r="A20" s="5">
        <v>18025500754</v>
      </c>
      <c r="B20" s="5"/>
      <c r="C20" s="5"/>
      <c r="D20" s="5"/>
      <c r="E20" s="5"/>
      <c r="F20" s="5"/>
      <c r="G20" s="5"/>
      <c r="H20" s="5" t="s">
        <v>43</v>
      </c>
      <c r="I20" s="5"/>
      <c r="J20" s="5"/>
      <c r="K20" s="5"/>
      <c r="L20" s="5"/>
      <c r="M20" s="5"/>
      <c r="N20" s="5"/>
      <c r="O20" s="5">
        <f t="shared" si="0"/>
        <v>1</v>
      </c>
      <c r="P20" s="5">
        <f t="shared" si="1"/>
        <v>3</v>
      </c>
      <c r="Q20" s="5"/>
      <c r="R20" s="5">
        <f t="shared" si="2"/>
        <v>0</v>
      </c>
      <c r="S20" s="5">
        <f t="shared" si="3"/>
        <v>0</v>
      </c>
      <c r="T20" s="5">
        <f t="shared" si="4"/>
        <v>0</v>
      </c>
      <c r="U20" s="5">
        <f t="shared" si="5"/>
        <v>0</v>
      </c>
      <c r="V20" s="5">
        <f t="shared" si="6"/>
        <v>0</v>
      </c>
      <c r="W20" s="5">
        <f t="shared" si="7"/>
        <v>0</v>
      </c>
      <c r="X20" s="5">
        <f t="shared" si="8"/>
        <v>1</v>
      </c>
      <c r="Y20" s="5">
        <f t="shared" si="9"/>
        <v>0</v>
      </c>
      <c r="Z20" s="5">
        <f t="shared" si="10"/>
        <v>0</v>
      </c>
      <c r="AA20" s="5">
        <f t="shared" si="11"/>
        <v>0</v>
      </c>
      <c r="AB20" s="5">
        <f t="shared" si="12"/>
        <v>0</v>
      </c>
      <c r="AC20" s="5">
        <f t="shared" si="13"/>
        <v>0</v>
      </c>
      <c r="AD20" s="5"/>
      <c r="AE20" s="5"/>
      <c r="AF20" s="5">
        <f t="shared" si="14"/>
        <v>1</v>
      </c>
      <c r="AG20" s="5">
        <f t="shared" si="15"/>
        <v>1</v>
      </c>
      <c r="AH20" s="5" t="str">
        <f t="shared" si="16"/>
        <v>Correct</v>
      </c>
      <c r="AI20" s="5"/>
      <c r="AJ20" s="120">
        <f>IFERROR(VLOOKUP(Table1[RespondentID],'All Data'!$A$3:$CO$999,87,FALSE),"unknown")</f>
        <v>0</v>
      </c>
      <c r="AK20" s="120">
        <f>IFERROR(VLOOKUP(Table1[RespondentID],'All Data'!$A$3:$CO$999,88,FALSE),"unknown")</f>
        <v>0</v>
      </c>
      <c r="AL20" s="120">
        <f>IFERROR(VLOOKUP(Table1[RespondentID],'All Data'!$A$3:$CO$999,89,FALSE),"unknown")</f>
        <v>0</v>
      </c>
      <c r="AM20" s="120">
        <f>IFERROR(VLOOKUP(Table1[RespondentID],'All Data'!$A$3:$CO$999,90,FALSE),"unknown")</f>
        <v>0</v>
      </c>
      <c r="AN20" s="120">
        <f>IFERROR(VLOOKUP(Table1[RespondentID],'All Data'!$A$3:$CO$999,91,FALSE),"unknown")</f>
        <v>0</v>
      </c>
      <c r="AO20" s="120">
        <f>IFERROR(VLOOKUP(Table1[RespondentID],'All Data'!$A$3:$CO$999,92,FALSE),"unknown")</f>
        <v>0</v>
      </c>
      <c r="AP20" s="120">
        <f>IFERROR(VLOOKUP(Table1[RespondentID],'All Data'!$A$3:$CO$999,93,FALSE),"unknown")</f>
        <v>0</v>
      </c>
      <c r="AQ20" s="120">
        <f>IFERROR(VLOOKUP(Table1[RespondentID],'All Data'!$A$3:$CW$999,94,FALSE),"unknown")</f>
        <v>0</v>
      </c>
      <c r="AR20" s="120">
        <f>IFERROR(VLOOKUP(Table1[RespondentID],'All Data'!$A$3:$CW$999,95,FALSE),"unknown")</f>
        <v>0</v>
      </c>
      <c r="AS20" s="120">
        <f>IFERROR(VLOOKUP(Table1[RespondentID],'All Data'!$A$3:$CW$999,96,FALSE),"unknown")</f>
        <v>0</v>
      </c>
      <c r="AT20" s="120">
        <f>IFERROR(VLOOKUP(Table1[RespondentID],'All Data'!$A$3:$CW$999,97,FALSE),"unknown")</f>
        <v>0</v>
      </c>
      <c r="AU20" s="120">
        <f>IFERROR(VLOOKUP(Table1[RespondentID],'All Data'!$A$3:$CW$999,98,FALSE),"unknown")</f>
        <v>0</v>
      </c>
      <c r="AV20" s="120">
        <f>IFERROR(VLOOKUP(Table1[RespondentID],'All Data'!$A$3:$CW$999,99,FALSE),"unknown")</f>
        <v>0</v>
      </c>
    </row>
    <row r="21" spans="1:48">
      <c r="A21" s="5">
        <v>18025435174</v>
      </c>
      <c r="B21" s="5"/>
      <c r="C21" s="5"/>
      <c r="D21" s="5"/>
      <c r="E21" s="5"/>
      <c r="F21" s="5"/>
      <c r="G21" s="5"/>
      <c r="H21" s="5"/>
      <c r="I21" s="5"/>
      <c r="J21" s="5"/>
      <c r="K21" s="5"/>
      <c r="L21" s="5"/>
      <c r="M21" s="5"/>
      <c r="N21" s="5"/>
      <c r="O21" s="5">
        <f t="shared" si="0"/>
        <v>0</v>
      </c>
      <c r="P21" s="5" t="e">
        <f t="shared" si="1"/>
        <v>#DIV/0!</v>
      </c>
      <c r="Q21" s="5"/>
      <c r="R21" s="5">
        <f t="shared" si="2"/>
        <v>0</v>
      </c>
      <c r="S21" s="5">
        <f t="shared" si="3"/>
        <v>0</v>
      </c>
      <c r="T21" s="5">
        <f t="shared" si="4"/>
        <v>0</v>
      </c>
      <c r="U21" s="5">
        <f t="shared" si="5"/>
        <v>0</v>
      </c>
      <c r="V21" s="5">
        <f t="shared" si="6"/>
        <v>0</v>
      </c>
      <c r="W21" s="5">
        <f t="shared" si="7"/>
        <v>0</v>
      </c>
      <c r="X21" s="5">
        <f t="shared" si="8"/>
        <v>0</v>
      </c>
      <c r="Y21" s="5">
        <f t="shared" si="9"/>
        <v>0</v>
      </c>
      <c r="Z21" s="5">
        <f t="shared" si="10"/>
        <v>0</v>
      </c>
      <c r="AA21" s="5">
        <f t="shared" si="11"/>
        <v>0</v>
      </c>
      <c r="AB21" s="5">
        <f t="shared" si="12"/>
        <v>0</v>
      </c>
      <c r="AC21" s="5">
        <f t="shared" si="13"/>
        <v>0</v>
      </c>
      <c r="AD21" s="5"/>
      <c r="AE21" s="5"/>
      <c r="AF21" s="5">
        <f t="shared" si="14"/>
        <v>0</v>
      </c>
      <c r="AG21" s="5">
        <f t="shared" si="15"/>
        <v>0</v>
      </c>
      <c r="AH21" s="5" t="str">
        <f t="shared" si="16"/>
        <v>Correct</v>
      </c>
      <c r="AI21" s="5"/>
      <c r="AJ21" s="120">
        <f>IFERROR(VLOOKUP(Table1[RespondentID],'All Data'!$A$3:$CO$999,87,FALSE),"unknown")</f>
        <v>0</v>
      </c>
      <c r="AK21" s="120">
        <f>IFERROR(VLOOKUP(Table1[RespondentID],'All Data'!$A$3:$CO$999,88,FALSE),"unknown")</f>
        <v>0</v>
      </c>
      <c r="AL21" s="120">
        <f>IFERROR(VLOOKUP(Table1[RespondentID],'All Data'!$A$3:$CO$999,89,FALSE),"unknown")</f>
        <v>0</v>
      </c>
      <c r="AM21" s="120" t="str">
        <f>IFERROR(VLOOKUP(Table1[RespondentID],'All Data'!$A$3:$CO$999,90,FALSE),"unknown")</f>
        <v>Albertson, 11507</v>
      </c>
      <c r="AN21" s="120">
        <f>IFERROR(VLOOKUP(Table1[RespondentID],'All Data'!$A$3:$CO$999,91,FALSE),"unknown")</f>
        <v>0</v>
      </c>
      <c r="AO21" s="120">
        <f>IFERROR(VLOOKUP(Table1[RespondentID],'All Data'!$A$3:$CO$999,92,FALSE),"unknown")</f>
        <v>0</v>
      </c>
      <c r="AP21" s="120">
        <f>IFERROR(VLOOKUP(Table1[RespondentID],'All Data'!$A$3:$CO$999,93,FALSE),"unknown")</f>
        <v>0</v>
      </c>
      <c r="AQ21" s="120">
        <f>IFERROR(VLOOKUP(Table1[RespondentID],'All Data'!$A$3:$CW$999,94,FALSE),"unknown")</f>
        <v>0</v>
      </c>
      <c r="AR21" s="120">
        <f>IFERROR(VLOOKUP(Table1[RespondentID],'All Data'!$A$3:$CW$999,95,FALSE),"unknown")</f>
        <v>0</v>
      </c>
      <c r="AS21" s="120">
        <f>IFERROR(VLOOKUP(Table1[RespondentID],'All Data'!$A$3:$CW$999,96,FALSE),"unknown")</f>
        <v>0</v>
      </c>
      <c r="AT21" s="120">
        <f>IFERROR(VLOOKUP(Table1[RespondentID],'All Data'!$A$3:$CW$999,97,FALSE),"unknown")</f>
        <v>0</v>
      </c>
      <c r="AU21" s="120">
        <f>IFERROR(VLOOKUP(Table1[RespondentID],'All Data'!$A$3:$CW$999,98,FALSE),"unknown")</f>
        <v>0</v>
      </c>
      <c r="AV21" s="120">
        <f>IFERROR(VLOOKUP(Table1[RespondentID],'All Data'!$A$3:$CW$999,99,FALSE),"unknown")</f>
        <v>0</v>
      </c>
    </row>
    <row r="22" spans="1:48">
      <c r="A22" s="5">
        <v>18025209840</v>
      </c>
      <c r="B22" s="5" t="s">
        <v>38</v>
      </c>
      <c r="C22" s="5"/>
      <c r="D22" s="5"/>
      <c r="E22" s="5"/>
      <c r="F22" s="5" t="s">
        <v>42</v>
      </c>
      <c r="G22" s="5"/>
      <c r="H22" s="5" t="s">
        <v>43</v>
      </c>
      <c r="I22" s="5"/>
      <c r="J22" s="5"/>
      <c r="K22" s="5"/>
      <c r="L22" s="5"/>
      <c r="M22" s="5"/>
      <c r="N22" s="5"/>
      <c r="O22" s="5">
        <f t="shared" si="0"/>
        <v>3</v>
      </c>
      <c r="P22" s="5">
        <f t="shared" si="1"/>
        <v>1</v>
      </c>
      <c r="Q22" s="5"/>
      <c r="R22" s="5">
        <f t="shared" si="2"/>
        <v>1</v>
      </c>
      <c r="S22" s="5">
        <f t="shared" si="3"/>
        <v>0</v>
      </c>
      <c r="T22" s="5">
        <f t="shared" si="4"/>
        <v>0</v>
      </c>
      <c r="U22" s="5">
        <f t="shared" si="5"/>
        <v>0</v>
      </c>
      <c r="V22" s="5">
        <f t="shared" si="6"/>
        <v>1</v>
      </c>
      <c r="W22" s="5">
        <f t="shared" si="7"/>
        <v>0</v>
      </c>
      <c r="X22" s="5">
        <f t="shared" si="8"/>
        <v>1</v>
      </c>
      <c r="Y22" s="5">
        <f t="shared" si="9"/>
        <v>0</v>
      </c>
      <c r="Z22" s="5">
        <f t="shared" si="10"/>
        <v>0</v>
      </c>
      <c r="AA22" s="5">
        <f t="shared" si="11"/>
        <v>0</v>
      </c>
      <c r="AB22" s="5">
        <f t="shared" si="12"/>
        <v>0</v>
      </c>
      <c r="AC22" s="5">
        <f t="shared" si="13"/>
        <v>0</v>
      </c>
      <c r="AD22" s="5"/>
      <c r="AE22" s="5"/>
      <c r="AF22" s="5">
        <f t="shared" si="14"/>
        <v>3</v>
      </c>
      <c r="AG22" s="5">
        <f t="shared" si="15"/>
        <v>3</v>
      </c>
      <c r="AH22" s="5" t="str">
        <f t="shared" si="16"/>
        <v>Correct</v>
      </c>
      <c r="AI22" s="5"/>
      <c r="AJ22" s="120" t="str">
        <f>IFERROR(VLOOKUP(Table1[RespondentID],'All Data'!$A$3:$CO$999,87,FALSE),"unknown")</f>
        <v>Woman</v>
      </c>
      <c r="AK22" s="120">
        <f>IFERROR(VLOOKUP(Table1[RespondentID],'All Data'!$A$3:$CO$999,88,FALSE),"unknown")</f>
        <v>60</v>
      </c>
      <c r="AL22" s="120" t="str">
        <f>IFERROR(VLOOKUP(Table1[RespondentID],'All Data'!$A$3:$CO$999,89,FALSE),"unknown")</f>
        <v>Nassau</v>
      </c>
      <c r="AM22" s="120" t="str">
        <f>IFERROR(VLOOKUP(Table1[RespondentID],'All Data'!$A$3:$CO$999,90,FALSE),"unknown")</f>
        <v>Seaford, 11783</v>
      </c>
      <c r="AN22" s="120" t="str">
        <f>IFERROR(VLOOKUP(Table1[RespondentID],'All Data'!$A$3:$CO$999,91,FALSE),"unknown")</f>
        <v>White</v>
      </c>
      <c r="AO22" s="120" t="str">
        <f>IFERROR(VLOOKUP(Table1[RespondentID],'All Data'!$A$3:$CO$999,92,FALSE),"unknown")</f>
        <v>Not Hispanic or Latino</v>
      </c>
      <c r="AP22" s="120" t="str">
        <f>IFERROR(VLOOKUP(Table1[RespondentID],'All Data'!$A$3:$CO$999,93,FALSE),"unknown")</f>
        <v>English</v>
      </c>
      <c r="AQ22" s="120" t="str">
        <f>IFERROR(VLOOKUP(Table1[RespondentID],'All Data'!$A$3:$CW$999,94,FALSE),"unknown")</f>
        <v>$35,000 to $49,999</v>
      </c>
      <c r="AR22" s="120" t="str">
        <f>IFERROR(VLOOKUP(Table1[RespondentID],'All Data'!$A$3:$CW$999,95,FALSE),"unknown")</f>
        <v>Doctorate</v>
      </c>
      <c r="AS22" s="120" t="str">
        <f>IFERROR(VLOOKUP(Table1[RespondentID],'All Data'!$A$3:$CW$999,96,FALSE),"unknown")</f>
        <v>Out of work and looking for work</v>
      </c>
      <c r="AT22" s="120" t="str">
        <f>IFERROR(VLOOKUP(Table1[RespondentID],'All Data'!$A$3:$CW$999,97,FALSE),"unknown")</f>
        <v>Yes</v>
      </c>
      <c r="AU22" s="120" t="str">
        <f>IFERROR(VLOOKUP(Table1[RespondentID],'All Data'!$A$3:$CW$999,98,FALSE),"unknown")</f>
        <v>Private/Commercial</v>
      </c>
      <c r="AV22" s="120" t="str">
        <f>IFERROR(VLOOKUP(Table1[RespondentID],'All Data'!$A$3:$CW$999,99,FALSE),"unknown")</f>
        <v>Yes</v>
      </c>
    </row>
    <row r="23" spans="1:48">
      <c r="A23" s="5">
        <v>18025186517</v>
      </c>
      <c r="B23" s="5"/>
      <c r="C23" s="5" t="s">
        <v>39</v>
      </c>
      <c r="D23" s="5"/>
      <c r="E23" s="5"/>
      <c r="F23" s="5"/>
      <c r="G23" s="5" t="s">
        <v>37</v>
      </c>
      <c r="H23" s="5"/>
      <c r="I23" s="5"/>
      <c r="J23" s="5"/>
      <c r="K23" s="5" t="s">
        <v>46</v>
      </c>
      <c r="L23" s="5"/>
      <c r="M23" s="5"/>
      <c r="N23" s="5"/>
      <c r="O23" s="5">
        <f t="shared" si="0"/>
        <v>3</v>
      </c>
      <c r="P23" s="5">
        <f t="shared" si="1"/>
        <v>1</v>
      </c>
      <c r="Q23" s="5"/>
      <c r="R23" s="5">
        <f t="shared" si="2"/>
        <v>0</v>
      </c>
      <c r="S23" s="5">
        <f t="shared" si="3"/>
        <v>1</v>
      </c>
      <c r="T23" s="5">
        <f t="shared" si="4"/>
        <v>0</v>
      </c>
      <c r="U23" s="5">
        <f t="shared" si="5"/>
        <v>0</v>
      </c>
      <c r="V23" s="5">
        <f t="shared" si="6"/>
        <v>0</v>
      </c>
      <c r="W23" s="5">
        <f t="shared" si="7"/>
        <v>1</v>
      </c>
      <c r="X23" s="5">
        <f t="shared" si="8"/>
        <v>0</v>
      </c>
      <c r="Y23" s="5">
        <f t="shared" si="9"/>
        <v>0</v>
      </c>
      <c r="Z23" s="5">
        <f t="shared" si="10"/>
        <v>0</v>
      </c>
      <c r="AA23" s="5">
        <f t="shared" si="11"/>
        <v>1</v>
      </c>
      <c r="AB23" s="5">
        <f t="shared" si="12"/>
        <v>0</v>
      </c>
      <c r="AC23" s="5">
        <f t="shared" si="13"/>
        <v>0</v>
      </c>
      <c r="AD23" s="5"/>
      <c r="AE23" s="5"/>
      <c r="AF23" s="5">
        <f t="shared" si="14"/>
        <v>3</v>
      </c>
      <c r="AG23" s="5">
        <f t="shared" si="15"/>
        <v>3</v>
      </c>
      <c r="AH23" s="5" t="str">
        <f t="shared" si="16"/>
        <v>Correct</v>
      </c>
      <c r="AI23" s="5"/>
      <c r="AJ23" s="120" t="str">
        <f>IFERROR(VLOOKUP(Table1[RespondentID],'All Data'!$A$3:$CO$999,87,FALSE),"unknown")</f>
        <v>Woman</v>
      </c>
      <c r="AK23" s="120">
        <f>IFERROR(VLOOKUP(Table1[RespondentID],'All Data'!$A$3:$CO$999,88,FALSE),"unknown")</f>
        <v>21</v>
      </c>
      <c r="AL23" s="120" t="str">
        <f>IFERROR(VLOOKUP(Table1[RespondentID],'All Data'!$A$3:$CO$999,89,FALSE),"unknown")</f>
        <v>Suffolk</v>
      </c>
      <c r="AM23" s="120" t="str">
        <f>IFERROR(VLOOKUP(Table1[RespondentID],'All Data'!$A$3:$CO$999,90,FALSE),"unknown")</f>
        <v>Centerport, 11721</v>
      </c>
      <c r="AN23" s="120" t="str">
        <f>IFERROR(VLOOKUP(Table1[RespondentID],'All Data'!$A$3:$CO$999,91,FALSE),"unknown")</f>
        <v>White</v>
      </c>
      <c r="AO23" s="120" t="str">
        <f>IFERROR(VLOOKUP(Table1[RespondentID],'All Data'!$A$3:$CO$999,92,FALSE),"unknown")</f>
        <v>Not Hispanic or Latino</v>
      </c>
      <c r="AP23" s="120" t="str">
        <f>IFERROR(VLOOKUP(Table1[RespondentID],'All Data'!$A$3:$CO$999,93,FALSE),"unknown")</f>
        <v>English</v>
      </c>
      <c r="AQ23" s="120" t="str">
        <f>IFERROR(VLOOKUP(Table1[RespondentID],'All Data'!$A$3:$CW$999,94,FALSE),"unknown")</f>
        <v>$75,000 to $125,000</v>
      </c>
      <c r="AR23" s="120" t="str">
        <f>IFERROR(VLOOKUP(Table1[RespondentID],'All Data'!$A$3:$CW$999,95,FALSE),"unknown")</f>
        <v>Some college</v>
      </c>
      <c r="AS23" s="120" t="str">
        <f>IFERROR(VLOOKUP(Table1[RespondentID],'All Data'!$A$3:$CW$999,96,FALSE),"unknown")</f>
        <v>Employed for wages</v>
      </c>
      <c r="AT23" s="120" t="str">
        <f>IFERROR(VLOOKUP(Table1[RespondentID],'All Data'!$A$3:$CW$999,97,FALSE),"unknown")</f>
        <v>Yes</v>
      </c>
      <c r="AU23" s="120">
        <f>IFERROR(VLOOKUP(Table1[RespondentID],'All Data'!$A$3:$CW$999,98,FALSE),"unknown")</f>
        <v>0</v>
      </c>
      <c r="AV23" s="120">
        <f>IFERROR(VLOOKUP(Table1[RespondentID],'All Data'!$A$3:$CW$999,99,FALSE),"unknown")</f>
        <v>0</v>
      </c>
    </row>
    <row r="24" spans="1:48">
      <c r="A24" s="5">
        <v>18025186406</v>
      </c>
      <c r="B24" s="5"/>
      <c r="C24" s="5"/>
      <c r="D24" s="5" t="s">
        <v>40</v>
      </c>
      <c r="E24" s="5"/>
      <c r="F24" s="5"/>
      <c r="G24" s="5" t="s">
        <v>37</v>
      </c>
      <c r="H24" s="5"/>
      <c r="I24" s="5"/>
      <c r="J24" s="5"/>
      <c r="K24" s="5"/>
      <c r="L24" s="5" t="s">
        <v>47</v>
      </c>
      <c r="M24" s="5"/>
      <c r="N24" s="5"/>
      <c r="O24" s="5">
        <f t="shared" si="0"/>
        <v>3</v>
      </c>
      <c r="P24" s="5">
        <f t="shared" si="1"/>
        <v>1</v>
      </c>
      <c r="Q24" s="5"/>
      <c r="R24" s="5">
        <f t="shared" si="2"/>
        <v>0</v>
      </c>
      <c r="S24" s="5">
        <f t="shared" si="3"/>
        <v>0</v>
      </c>
      <c r="T24" s="5">
        <f t="shared" si="4"/>
        <v>1</v>
      </c>
      <c r="U24" s="5">
        <f t="shared" si="5"/>
        <v>0</v>
      </c>
      <c r="V24" s="5">
        <f t="shared" si="6"/>
        <v>0</v>
      </c>
      <c r="W24" s="5">
        <f t="shared" si="7"/>
        <v>1</v>
      </c>
      <c r="X24" s="5">
        <f t="shared" si="8"/>
        <v>0</v>
      </c>
      <c r="Y24" s="5">
        <f t="shared" si="9"/>
        <v>0</v>
      </c>
      <c r="Z24" s="5">
        <f t="shared" si="10"/>
        <v>0</v>
      </c>
      <c r="AA24" s="5">
        <f t="shared" si="11"/>
        <v>0</v>
      </c>
      <c r="AB24" s="5">
        <f t="shared" si="12"/>
        <v>1</v>
      </c>
      <c r="AC24" s="5">
        <f t="shared" si="13"/>
        <v>0</v>
      </c>
      <c r="AD24" s="5"/>
      <c r="AE24" s="5"/>
      <c r="AF24" s="5">
        <f t="shared" si="14"/>
        <v>3</v>
      </c>
      <c r="AG24" s="5">
        <f t="shared" si="15"/>
        <v>3</v>
      </c>
      <c r="AH24" s="5" t="str">
        <f t="shared" si="16"/>
        <v>Correct</v>
      </c>
      <c r="AI24" s="5"/>
      <c r="AJ24" s="120" t="str">
        <f>IFERROR(VLOOKUP(Table1[RespondentID],'All Data'!$A$3:$CO$999,87,FALSE),"unknown")</f>
        <v>Man</v>
      </c>
      <c r="AK24" s="120">
        <f>IFERROR(VLOOKUP(Table1[RespondentID],'All Data'!$A$3:$CO$999,88,FALSE),"unknown")</f>
        <v>56</v>
      </c>
      <c r="AL24" s="120" t="str">
        <f>IFERROR(VLOOKUP(Table1[RespondentID],'All Data'!$A$3:$CO$999,89,FALSE),"unknown")</f>
        <v>Suffolk</v>
      </c>
      <c r="AM24" s="120" t="str">
        <f>IFERROR(VLOOKUP(Table1[RespondentID],'All Data'!$A$3:$CO$999,90,FALSE),"unknown")</f>
        <v>Smithtown, 11787</v>
      </c>
      <c r="AN24" s="120" t="str">
        <f>IFERROR(VLOOKUP(Table1[RespondentID],'All Data'!$A$3:$CO$999,91,FALSE),"unknown")</f>
        <v>White</v>
      </c>
      <c r="AO24" s="120" t="str">
        <f>IFERROR(VLOOKUP(Table1[RespondentID],'All Data'!$A$3:$CO$999,92,FALSE),"unknown")</f>
        <v>Not Hispanic or Latino</v>
      </c>
      <c r="AP24" s="120" t="str">
        <f>IFERROR(VLOOKUP(Table1[RespondentID],'All Data'!$A$3:$CO$999,93,FALSE),"unknown")</f>
        <v>English</v>
      </c>
      <c r="AQ24" s="120" t="str">
        <f>IFERROR(VLOOKUP(Table1[RespondentID],'All Data'!$A$3:$CW$999,94,FALSE),"unknown")</f>
        <v>Over $125,000</v>
      </c>
      <c r="AR24" s="120" t="str">
        <f>IFERROR(VLOOKUP(Table1[RespondentID],'All Data'!$A$3:$CW$999,95,FALSE),"unknown")</f>
        <v>Doctorate</v>
      </c>
      <c r="AS24" s="120" t="str">
        <f>IFERROR(VLOOKUP(Table1[RespondentID],'All Data'!$A$3:$CW$999,96,FALSE),"unknown")</f>
        <v>Employed for wages</v>
      </c>
      <c r="AT24" s="120" t="str">
        <f>IFERROR(VLOOKUP(Table1[RespondentID],'All Data'!$A$3:$CW$999,97,FALSE),"unknown")</f>
        <v>Yes</v>
      </c>
      <c r="AU24" s="120">
        <f>IFERROR(VLOOKUP(Table1[RespondentID],'All Data'!$A$3:$CW$999,98,FALSE),"unknown")</f>
        <v>0</v>
      </c>
      <c r="AV24" s="120">
        <f>IFERROR(VLOOKUP(Table1[RespondentID],'All Data'!$A$3:$CW$999,99,FALSE),"unknown")</f>
        <v>0</v>
      </c>
    </row>
    <row r="25" spans="1:48">
      <c r="A25" s="5">
        <v>18025186288</v>
      </c>
      <c r="B25" s="5"/>
      <c r="C25" s="5"/>
      <c r="D25" s="5"/>
      <c r="E25" s="5"/>
      <c r="F25" s="5"/>
      <c r="G25" s="5"/>
      <c r="H25" s="5" t="s">
        <v>43</v>
      </c>
      <c r="I25" s="5"/>
      <c r="J25" s="5"/>
      <c r="K25" s="5"/>
      <c r="L25" s="5"/>
      <c r="M25" s="5"/>
      <c r="N25" s="5"/>
      <c r="O25" s="5">
        <f t="shared" si="0"/>
        <v>1</v>
      </c>
      <c r="P25" s="5">
        <f t="shared" si="1"/>
        <v>3</v>
      </c>
      <c r="Q25" s="5"/>
      <c r="R25" s="5">
        <f t="shared" si="2"/>
        <v>0</v>
      </c>
      <c r="S25" s="5">
        <f t="shared" si="3"/>
        <v>0</v>
      </c>
      <c r="T25" s="5">
        <f t="shared" si="4"/>
        <v>0</v>
      </c>
      <c r="U25" s="5">
        <f t="shared" si="5"/>
        <v>0</v>
      </c>
      <c r="V25" s="5">
        <f t="shared" si="6"/>
        <v>0</v>
      </c>
      <c r="W25" s="5">
        <f t="shared" si="7"/>
        <v>0</v>
      </c>
      <c r="X25" s="5">
        <f t="shared" si="8"/>
        <v>1</v>
      </c>
      <c r="Y25" s="5">
        <f t="shared" si="9"/>
        <v>0</v>
      </c>
      <c r="Z25" s="5">
        <f t="shared" si="10"/>
        <v>0</v>
      </c>
      <c r="AA25" s="5">
        <f t="shared" si="11"/>
        <v>0</v>
      </c>
      <c r="AB25" s="5">
        <f t="shared" si="12"/>
        <v>0</v>
      </c>
      <c r="AC25" s="5">
        <f t="shared" si="13"/>
        <v>0</v>
      </c>
      <c r="AD25" s="5"/>
      <c r="AE25" s="5"/>
      <c r="AF25" s="5">
        <f t="shared" si="14"/>
        <v>1</v>
      </c>
      <c r="AG25" s="5">
        <f t="shared" si="15"/>
        <v>1</v>
      </c>
      <c r="AH25" s="5" t="str">
        <f t="shared" si="16"/>
        <v>Correct</v>
      </c>
      <c r="AI25" s="5"/>
      <c r="AJ25" s="120" t="str">
        <f>IFERROR(VLOOKUP(Table1[RespondentID],'All Data'!$A$3:$CO$999,87,FALSE),"unknown")</f>
        <v>Woman</v>
      </c>
      <c r="AK25" s="120">
        <f>IFERROR(VLOOKUP(Table1[RespondentID],'All Data'!$A$3:$CO$999,88,FALSE),"unknown")</f>
        <v>78</v>
      </c>
      <c r="AL25" s="120" t="str">
        <f>IFERROR(VLOOKUP(Table1[RespondentID],'All Data'!$A$3:$CO$999,89,FALSE),"unknown")</f>
        <v>Suffolk</v>
      </c>
      <c r="AM25" s="120" t="str">
        <f>IFERROR(VLOOKUP(Table1[RespondentID],'All Data'!$A$3:$CO$999,90,FALSE),"unknown")</f>
        <v>Smithtown, 11787</v>
      </c>
      <c r="AN25" s="120" t="str">
        <f>IFERROR(VLOOKUP(Table1[RespondentID],'All Data'!$A$3:$CO$999,91,FALSE),"unknown")</f>
        <v>White</v>
      </c>
      <c r="AO25" s="120" t="str">
        <f>IFERROR(VLOOKUP(Table1[RespondentID],'All Data'!$A$3:$CO$999,92,FALSE),"unknown")</f>
        <v>Not Hispanic or Latino</v>
      </c>
      <c r="AP25" s="120" t="str">
        <f>IFERROR(VLOOKUP(Table1[RespondentID],'All Data'!$A$3:$CO$999,93,FALSE),"unknown")</f>
        <v>English</v>
      </c>
      <c r="AQ25" s="120" t="str">
        <f>IFERROR(VLOOKUP(Table1[RespondentID],'All Data'!$A$3:$CW$999,94,FALSE),"unknown")</f>
        <v>$35,000 to $49,999</v>
      </c>
      <c r="AR25" s="120" t="str">
        <f>IFERROR(VLOOKUP(Table1[RespondentID],'All Data'!$A$3:$CW$999,95,FALSE),"unknown")</f>
        <v>Some college</v>
      </c>
      <c r="AS25" s="120" t="str">
        <f>IFERROR(VLOOKUP(Table1[RespondentID],'All Data'!$A$3:$CW$999,96,FALSE),"unknown")</f>
        <v>Retired</v>
      </c>
      <c r="AT25" s="120" t="str">
        <f>IFERROR(VLOOKUP(Table1[RespondentID],'All Data'!$A$3:$CW$999,97,FALSE),"unknown")</f>
        <v>Yes</v>
      </c>
      <c r="AU25" s="120">
        <f>IFERROR(VLOOKUP(Table1[RespondentID],'All Data'!$A$3:$CW$999,98,FALSE),"unknown")</f>
        <v>0</v>
      </c>
      <c r="AV25" s="120">
        <f>IFERROR(VLOOKUP(Table1[RespondentID],'All Data'!$A$3:$CW$999,99,FALSE),"unknown")</f>
        <v>0</v>
      </c>
    </row>
    <row r="26" spans="1:48">
      <c r="A26" s="5">
        <v>18025186085</v>
      </c>
      <c r="B26" s="5"/>
      <c r="C26" s="5" t="s">
        <v>39</v>
      </c>
      <c r="D26" s="5"/>
      <c r="E26" s="5" t="s">
        <v>41</v>
      </c>
      <c r="F26" s="5"/>
      <c r="G26" s="5"/>
      <c r="H26" s="5"/>
      <c r="I26" s="5"/>
      <c r="J26" s="5"/>
      <c r="K26" s="5" t="s">
        <v>46</v>
      </c>
      <c r="L26" s="5"/>
      <c r="M26" s="5"/>
      <c r="N26" s="5"/>
      <c r="O26" s="5">
        <f t="shared" si="0"/>
        <v>3</v>
      </c>
      <c r="P26" s="5">
        <f t="shared" si="1"/>
        <v>1</v>
      </c>
      <c r="Q26" s="5"/>
      <c r="R26" s="5">
        <f t="shared" si="2"/>
        <v>0</v>
      </c>
      <c r="S26" s="5">
        <f t="shared" si="3"/>
        <v>1</v>
      </c>
      <c r="T26" s="5">
        <f t="shared" si="4"/>
        <v>0</v>
      </c>
      <c r="U26" s="5">
        <f t="shared" si="5"/>
        <v>1</v>
      </c>
      <c r="V26" s="5">
        <f t="shared" si="6"/>
        <v>0</v>
      </c>
      <c r="W26" s="5">
        <f t="shared" si="7"/>
        <v>0</v>
      </c>
      <c r="X26" s="5">
        <f t="shared" si="8"/>
        <v>0</v>
      </c>
      <c r="Y26" s="5">
        <f t="shared" si="9"/>
        <v>0</v>
      </c>
      <c r="Z26" s="5">
        <f t="shared" si="10"/>
        <v>0</v>
      </c>
      <c r="AA26" s="5">
        <f t="shared" si="11"/>
        <v>1</v>
      </c>
      <c r="AB26" s="5">
        <f t="shared" si="12"/>
        <v>0</v>
      </c>
      <c r="AC26" s="5">
        <f t="shared" si="13"/>
        <v>0</v>
      </c>
      <c r="AD26" s="5"/>
      <c r="AE26" s="5"/>
      <c r="AF26" s="5">
        <f t="shared" si="14"/>
        <v>3</v>
      </c>
      <c r="AG26" s="5">
        <f t="shared" si="15"/>
        <v>3</v>
      </c>
      <c r="AH26" s="5" t="str">
        <f t="shared" si="16"/>
        <v>Correct</v>
      </c>
      <c r="AI26" s="5"/>
      <c r="AJ26" s="120" t="str">
        <f>IFERROR(VLOOKUP(Table1[RespondentID],'All Data'!$A$3:$CO$999,87,FALSE),"unknown")</f>
        <v>Man</v>
      </c>
      <c r="AK26" s="120">
        <f>IFERROR(VLOOKUP(Table1[RespondentID],'All Data'!$A$3:$CO$999,88,FALSE),"unknown")</f>
        <v>56</v>
      </c>
      <c r="AL26" s="120" t="str">
        <f>IFERROR(VLOOKUP(Table1[RespondentID],'All Data'!$A$3:$CO$999,89,FALSE),"unknown")</f>
        <v>Suffolk</v>
      </c>
      <c r="AM26" s="120" t="str">
        <f>IFERROR(VLOOKUP(Table1[RespondentID],'All Data'!$A$3:$CO$999,90,FALSE),"unknown")</f>
        <v>Centerport, 11721</v>
      </c>
      <c r="AN26" s="120" t="str">
        <f>IFERROR(VLOOKUP(Table1[RespondentID],'All Data'!$A$3:$CO$999,91,FALSE),"unknown")</f>
        <v>White</v>
      </c>
      <c r="AO26" s="120" t="str">
        <f>IFERROR(VLOOKUP(Table1[RespondentID],'All Data'!$A$3:$CO$999,92,FALSE),"unknown")</f>
        <v>Not Hispanic or Latino</v>
      </c>
      <c r="AP26" s="120" t="str">
        <f>IFERROR(VLOOKUP(Table1[RespondentID],'All Data'!$A$3:$CO$999,93,FALSE),"unknown")</f>
        <v>English</v>
      </c>
      <c r="AQ26" s="120" t="str">
        <f>IFERROR(VLOOKUP(Table1[RespondentID],'All Data'!$A$3:$CW$999,94,FALSE),"unknown")</f>
        <v>$75,000 to $125,000</v>
      </c>
      <c r="AR26" s="120" t="str">
        <f>IFERROR(VLOOKUP(Table1[RespondentID],'All Data'!$A$3:$CW$999,95,FALSE),"unknown")</f>
        <v>Doctorate</v>
      </c>
      <c r="AS26" s="120" t="str">
        <f>IFERROR(VLOOKUP(Table1[RespondentID],'All Data'!$A$3:$CW$999,96,FALSE),"unknown")</f>
        <v>Employed for wages</v>
      </c>
      <c r="AT26" s="120" t="str">
        <f>IFERROR(VLOOKUP(Table1[RespondentID],'All Data'!$A$3:$CW$999,97,FALSE),"unknown")</f>
        <v>Yes</v>
      </c>
      <c r="AU26" s="120">
        <f>IFERROR(VLOOKUP(Table1[RespondentID],'All Data'!$A$3:$CW$999,98,FALSE),"unknown")</f>
        <v>0</v>
      </c>
      <c r="AV26" s="120">
        <f>IFERROR(VLOOKUP(Table1[RespondentID],'All Data'!$A$3:$CW$999,99,FALSE),"unknown")</f>
        <v>0</v>
      </c>
    </row>
    <row r="27" spans="1:48">
      <c r="A27" s="5">
        <v>18025185956</v>
      </c>
      <c r="B27" s="5"/>
      <c r="C27" s="5" t="s">
        <v>39</v>
      </c>
      <c r="D27" s="5"/>
      <c r="E27" s="5"/>
      <c r="F27" s="5"/>
      <c r="G27" s="5"/>
      <c r="H27" s="5"/>
      <c r="I27" s="5"/>
      <c r="J27" s="5"/>
      <c r="K27" s="5"/>
      <c r="L27" s="5"/>
      <c r="M27" s="5"/>
      <c r="N27" s="5"/>
      <c r="O27" s="5">
        <f t="shared" si="0"/>
        <v>1</v>
      </c>
      <c r="P27" s="5">
        <f t="shared" si="1"/>
        <v>3</v>
      </c>
      <c r="Q27" s="5"/>
      <c r="R27" s="5">
        <f t="shared" si="2"/>
        <v>0</v>
      </c>
      <c r="S27" s="5">
        <f t="shared" si="3"/>
        <v>1</v>
      </c>
      <c r="T27" s="5">
        <f t="shared" si="4"/>
        <v>0</v>
      </c>
      <c r="U27" s="5">
        <f t="shared" si="5"/>
        <v>0</v>
      </c>
      <c r="V27" s="5">
        <f t="shared" si="6"/>
        <v>0</v>
      </c>
      <c r="W27" s="5">
        <f t="shared" si="7"/>
        <v>0</v>
      </c>
      <c r="X27" s="5">
        <f t="shared" si="8"/>
        <v>0</v>
      </c>
      <c r="Y27" s="5">
        <f t="shared" si="9"/>
        <v>0</v>
      </c>
      <c r="Z27" s="5">
        <f t="shared" si="10"/>
        <v>0</v>
      </c>
      <c r="AA27" s="5">
        <f t="shared" si="11"/>
        <v>0</v>
      </c>
      <c r="AB27" s="5">
        <f t="shared" si="12"/>
        <v>0</v>
      </c>
      <c r="AC27" s="5">
        <f t="shared" si="13"/>
        <v>0</v>
      </c>
      <c r="AD27" s="5"/>
      <c r="AE27" s="5"/>
      <c r="AF27" s="5">
        <f t="shared" si="14"/>
        <v>1</v>
      </c>
      <c r="AG27" s="5">
        <f t="shared" si="15"/>
        <v>1</v>
      </c>
      <c r="AH27" s="5" t="str">
        <f t="shared" si="16"/>
        <v>Correct</v>
      </c>
      <c r="AI27" s="5"/>
      <c r="AJ27" s="120" t="str">
        <f>IFERROR(VLOOKUP(Table1[RespondentID],'All Data'!$A$3:$CO$999,87,FALSE),"unknown")</f>
        <v>Man</v>
      </c>
      <c r="AK27" s="120">
        <f>IFERROR(VLOOKUP(Table1[RespondentID],'All Data'!$A$3:$CO$999,88,FALSE),"unknown")</f>
        <v>19</v>
      </c>
      <c r="AL27" s="120" t="str">
        <f>IFERROR(VLOOKUP(Table1[RespondentID],'All Data'!$A$3:$CO$999,89,FALSE),"unknown")</f>
        <v>Suffolk</v>
      </c>
      <c r="AM27" s="120" t="str">
        <f>IFERROR(VLOOKUP(Table1[RespondentID],'All Data'!$A$3:$CO$999,90,FALSE),"unknown")</f>
        <v>Centerport, 11721</v>
      </c>
      <c r="AN27" s="120" t="str">
        <f>IFERROR(VLOOKUP(Table1[RespondentID],'All Data'!$A$3:$CO$999,91,FALSE),"unknown")</f>
        <v>White</v>
      </c>
      <c r="AO27" s="120" t="str">
        <f>IFERROR(VLOOKUP(Table1[RespondentID],'All Data'!$A$3:$CO$999,92,FALSE),"unknown")</f>
        <v>Not Hispanic or Latino</v>
      </c>
      <c r="AP27" s="120" t="str">
        <f>IFERROR(VLOOKUP(Table1[RespondentID],'All Data'!$A$3:$CO$999,93,FALSE),"unknown")</f>
        <v>English</v>
      </c>
      <c r="AQ27" s="120" t="str">
        <f>IFERROR(VLOOKUP(Table1[RespondentID],'All Data'!$A$3:$CW$999,94,FALSE),"unknown")</f>
        <v>Over $125,000</v>
      </c>
      <c r="AR27" s="120" t="str">
        <f>IFERROR(VLOOKUP(Table1[RespondentID],'All Data'!$A$3:$CW$999,95,FALSE),"unknown")</f>
        <v>Some college</v>
      </c>
      <c r="AS27" s="120" t="str">
        <f>IFERROR(VLOOKUP(Table1[RespondentID],'All Data'!$A$3:$CW$999,96,FALSE),"unknown")</f>
        <v>Student</v>
      </c>
      <c r="AT27" s="120" t="str">
        <f>IFERROR(VLOOKUP(Table1[RespondentID],'All Data'!$A$3:$CW$999,97,FALSE),"unknown")</f>
        <v>Yes</v>
      </c>
      <c r="AU27" s="120">
        <f>IFERROR(VLOOKUP(Table1[RespondentID],'All Data'!$A$3:$CW$999,98,FALSE),"unknown")</f>
        <v>0</v>
      </c>
      <c r="AV27" s="120">
        <f>IFERROR(VLOOKUP(Table1[RespondentID],'All Data'!$A$3:$CW$999,99,FALSE),"unknown")</f>
        <v>0</v>
      </c>
    </row>
    <row r="28" spans="1:48">
      <c r="A28" s="5">
        <v>18025185799</v>
      </c>
      <c r="B28" s="5"/>
      <c r="C28" s="5"/>
      <c r="D28" s="5"/>
      <c r="E28" s="5"/>
      <c r="F28" s="5"/>
      <c r="G28" s="5"/>
      <c r="H28" s="5"/>
      <c r="I28" s="5"/>
      <c r="J28" s="5"/>
      <c r="K28" s="5" t="s">
        <v>46</v>
      </c>
      <c r="L28" s="5"/>
      <c r="M28" s="5" t="s">
        <v>48</v>
      </c>
      <c r="N28" s="5"/>
      <c r="O28" s="5">
        <f t="shared" si="0"/>
        <v>2</v>
      </c>
      <c r="P28" s="5">
        <f t="shared" si="1"/>
        <v>1.5</v>
      </c>
      <c r="Q28" s="5"/>
      <c r="R28" s="5">
        <f t="shared" si="2"/>
        <v>0</v>
      </c>
      <c r="S28" s="5">
        <f t="shared" si="3"/>
        <v>0</v>
      </c>
      <c r="T28" s="5">
        <f t="shared" si="4"/>
        <v>0</v>
      </c>
      <c r="U28" s="5">
        <f t="shared" si="5"/>
        <v>0</v>
      </c>
      <c r="V28" s="5">
        <f t="shared" si="6"/>
        <v>0</v>
      </c>
      <c r="W28" s="5">
        <f t="shared" si="7"/>
        <v>0</v>
      </c>
      <c r="X28" s="5">
        <f t="shared" si="8"/>
        <v>0</v>
      </c>
      <c r="Y28" s="5">
        <f t="shared" si="9"/>
        <v>0</v>
      </c>
      <c r="Z28" s="5">
        <f t="shared" si="10"/>
        <v>0</v>
      </c>
      <c r="AA28" s="5">
        <f t="shared" si="11"/>
        <v>1</v>
      </c>
      <c r="AB28" s="5">
        <f t="shared" si="12"/>
        <v>0</v>
      </c>
      <c r="AC28" s="5">
        <f t="shared" si="13"/>
        <v>1</v>
      </c>
      <c r="AD28" s="5"/>
      <c r="AE28" s="5"/>
      <c r="AF28" s="5">
        <f t="shared" si="14"/>
        <v>2</v>
      </c>
      <c r="AG28" s="5">
        <f t="shared" si="15"/>
        <v>2</v>
      </c>
      <c r="AH28" s="5" t="str">
        <f t="shared" si="16"/>
        <v>Correct</v>
      </c>
      <c r="AI28" s="5"/>
      <c r="AJ28" s="120" t="str">
        <f>IFERROR(VLOOKUP(Table1[RespondentID],'All Data'!$A$3:$CO$999,87,FALSE),"unknown")</f>
        <v>Woman</v>
      </c>
      <c r="AK28" s="120">
        <f>IFERROR(VLOOKUP(Table1[RespondentID],'All Data'!$A$3:$CO$999,88,FALSE),"unknown")</f>
        <v>26</v>
      </c>
      <c r="AL28" s="120" t="str">
        <f>IFERROR(VLOOKUP(Table1[RespondentID],'All Data'!$A$3:$CO$999,89,FALSE),"unknown")</f>
        <v>Suffolk</v>
      </c>
      <c r="AM28" s="120" t="str">
        <f>IFERROR(VLOOKUP(Table1[RespondentID],'All Data'!$A$3:$CO$999,90,FALSE),"unknown")</f>
        <v>Greenlawn, 11740</v>
      </c>
      <c r="AN28" s="120" t="str">
        <f>IFERROR(VLOOKUP(Table1[RespondentID],'All Data'!$A$3:$CO$999,91,FALSE),"unknown")</f>
        <v>Black or African American</v>
      </c>
      <c r="AO28" s="120" t="str">
        <f>IFERROR(VLOOKUP(Table1[RespondentID],'All Data'!$A$3:$CO$999,92,FALSE),"unknown")</f>
        <v>Not Hispanic or Latino</v>
      </c>
      <c r="AP28" s="120" t="str">
        <f>IFERROR(VLOOKUP(Table1[RespondentID],'All Data'!$A$3:$CO$999,93,FALSE),"unknown")</f>
        <v>English, Haitian Creole</v>
      </c>
      <c r="AQ28" s="120" t="str">
        <f>IFERROR(VLOOKUP(Table1[RespondentID],'All Data'!$A$3:$CW$999,94,FALSE),"unknown")</f>
        <v>$50,000 to $74,999</v>
      </c>
      <c r="AR28" s="120" t="str">
        <f>IFERROR(VLOOKUP(Table1[RespondentID],'All Data'!$A$3:$CW$999,95,FALSE),"unknown")</f>
        <v>College graduate</v>
      </c>
      <c r="AS28" s="120" t="str">
        <f>IFERROR(VLOOKUP(Table1[RespondentID],'All Data'!$A$3:$CW$999,96,FALSE),"unknown")</f>
        <v>Self-employed</v>
      </c>
      <c r="AT28" s="120" t="str">
        <f>IFERROR(VLOOKUP(Table1[RespondentID],'All Data'!$A$3:$CW$999,97,FALSE),"unknown")</f>
        <v>Yes</v>
      </c>
      <c r="AU28" s="120">
        <f>IFERROR(VLOOKUP(Table1[RespondentID],'All Data'!$A$3:$CW$999,98,FALSE),"unknown")</f>
        <v>0</v>
      </c>
      <c r="AV28" s="120">
        <f>IFERROR(VLOOKUP(Table1[RespondentID],'All Data'!$A$3:$CW$999,99,FALSE),"unknown")</f>
        <v>0</v>
      </c>
    </row>
    <row r="29" spans="1:48">
      <c r="A29" s="5">
        <v>18025185651</v>
      </c>
      <c r="B29" s="5"/>
      <c r="C29" s="5" t="s">
        <v>39</v>
      </c>
      <c r="D29" s="5"/>
      <c r="E29" s="5"/>
      <c r="F29" s="5"/>
      <c r="G29" s="5"/>
      <c r="H29" s="5"/>
      <c r="I29" s="5"/>
      <c r="J29" s="5"/>
      <c r="K29" s="5"/>
      <c r="L29" s="5"/>
      <c r="M29" s="5"/>
      <c r="N29" s="5"/>
      <c r="O29" s="5">
        <f t="shared" si="0"/>
        <v>1</v>
      </c>
      <c r="P29" s="5">
        <f t="shared" si="1"/>
        <v>3</v>
      </c>
      <c r="Q29" s="5"/>
      <c r="R29" s="5">
        <f t="shared" si="2"/>
        <v>0</v>
      </c>
      <c r="S29" s="5">
        <f t="shared" si="3"/>
        <v>1</v>
      </c>
      <c r="T29" s="5">
        <f t="shared" si="4"/>
        <v>0</v>
      </c>
      <c r="U29" s="5">
        <f t="shared" si="5"/>
        <v>0</v>
      </c>
      <c r="V29" s="5">
        <f t="shared" si="6"/>
        <v>0</v>
      </c>
      <c r="W29" s="5">
        <f t="shared" si="7"/>
        <v>0</v>
      </c>
      <c r="X29" s="5">
        <f t="shared" si="8"/>
        <v>0</v>
      </c>
      <c r="Y29" s="5">
        <f t="shared" si="9"/>
        <v>0</v>
      </c>
      <c r="Z29" s="5">
        <f t="shared" si="10"/>
        <v>0</v>
      </c>
      <c r="AA29" s="5">
        <f t="shared" si="11"/>
        <v>0</v>
      </c>
      <c r="AB29" s="5">
        <f t="shared" si="12"/>
        <v>0</v>
      </c>
      <c r="AC29" s="5">
        <f t="shared" si="13"/>
        <v>0</v>
      </c>
      <c r="AD29" s="5"/>
      <c r="AE29" s="5"/>
      <c r="AF29" s="5">
        <f t="shared" si="14"/>
        <v>1</v>
      </c>
      <c r="AG29" s="5">
        <f t="shared" si="15"/>
        <v>1</v>
      </c>
      <c r="AH29" s="5" t="str">
        <f t="shared" si="16"/>
        <v>Correct</v>
      </c>
      <c r="AI29" s="5"/>
      <c r="AJ29" s="120" t="str">
        <f>IFERROR(VLOOKUP(Table1[RespondentID],'All Data'!$A$3:$CO$999,87,FALSE),"unknown")</f>
        <v>Woman</v>
      </c>
      <c r="AK29" s="120">
        <f>IFERROR(VLOOKUP(Table1[RespondentID],'All Data'!$A$3:$CO$999,88,FALSE),"unknown")</f>
        <v>17</v>
      </c>
      <c r="AL29" s="120" t="str">
        <f>IFERROR(VLOOKUP(Table1[RespondentID],'All Data'!$A$3:$CO$999,89,FALSE),"unknown")</f>
        <v>Suffolk</v>
      </c>
      <c r="AM29" s="120" t="str">
        <f>IFERROR(VLOOKUP(Table1[RespondentID],'All Data'!$A$3:$CO$999,90,FALSE),"unknown")</f>
        <v>Centerport, 11721</v>
      </c>
      <c r="AN29" s="120" t="str">
        <f>IFERROR(VLOOKUP(Table1[RespondentID],'All Data'!$A$3:$CO$999,91,FALSE),"unknown")</f>
        <v>White</v>
      </c>
      <c r="AO29" s="120" t="str">
        <f>IFERROR(VLOOKUP(Table1[RespondentID],'All Data'!$A$3:$CO$999,92,FALSE),"unknown")</f>
        <v>Not Hispanic or Latino</v>
      </c>
      <c r="AP29" s="120" t="str">
        <f>IFERROR(VLOOKUP(Table1[RespondentID],'All Data'!$A$3:$CO$999,93,FALSE),"unknown")</f>
        <v>English</v>
      </c>
      <c r="AQ29" s="120" t="str">
        <f>IFERROR(VLOOKUP(Table1[RespondentID],'All Data'!$A$3:$CW$999,94,FALSE),"unknown")</f>
        <v>Over $125,000</v>
      </c>
      <c r="AR29" s="120" t="str">
        <f>IFERROR(VLOOKUP(Table1[RespondentID],'All Data'!$A$3:$CW$999,95,FALSE),"unknown")</f>
        <v>Some high school</v>
      </c>
      <c r="AS29" s="120" t="str">
        <f>IFERROR(VLOOKUP(Table1[RespondentID],'All Data'!$A$3:$CW$999,96,FALSE),"unknown")</f>
        <v>Student</v>
      </c>
      <c r="AT29" s="120" t="str">
        <f>IFERROR(VLOOKUP(Table1[RespondentID],'All Data'!$A$3:$CW$999,97,FALSE),"unknown")</f>
        <v>Yes</v>
      </c>
      <c r="AU29" s="120">
        <f>IFERROR(VLOOKUP(Table1[RespondentID],'All Data'!$A$3:$CW$999,98,FALSE),"unknown")</f>
        <v>0</v>
      </c>
      <c r="AV29" s="120">
        <f>IFERROR(VLOOKUP(Table1[RespondentID],'All Data'!$A$3:$CW$999,99,FALSE),"unknown")</f>
        <v>0</v>
      </c>
    </row>
    <row r="30" spans="1:48">
      <c r="A30" s="5">
        <v>18025185458</v>
      </c>
      <c r="B30" s="5"/>
      <c r="C30" s="5"/>
      <c r="D30" s="5"/>
      <c r="E30" s="5"/>
      <c r="F30" s="5"/>
      <c r="G30" s="5"/>
      <c r="H30" s="5"/>
      <c r="I30" s="5"/>
      <c r="J30" s="5" t="s">
        <v>45</v>
      </c>
      <c r="K30" s="5"/>
      <c r="L30" s="5"/>
      <c r="M30" s="5"/>
      <c r="N30" s="5"/>
      <c r="O30" s="5">
        <f t="shared" si="0"/>
        <v>1</v>
      </c>
      <c r="P30" s="5">
        <f t="shared" si="1"/>
        <v>3</v>
      </c>
      <c r="Q30" s="5"/>
      <c r="R30" s="5">
        <f t="shared" si="2"/>
        <v>0</v>
      </c>
      <c r="S30" s="5">
        <f t="shared" si="3"/>
        <v>0</v>
      </c>
      <c r="T30" s="5">
        <f t="shared" si="4"/>
        <v>0</v>
      </c>
      <c r="U30" s="5">
        <f t="shared" si="5"/>
        <v>0</v>
      </c>
      <c r="V30" s="5">
        <f t="shared" si="6"/>
        <v>0</v>
      </c>
      <c r="W30" s="5">
        <f t="shared" si="7"/>
        <v>0</v>
      </c>
      <c r="X30" s="5">
        <f t="shared" si="8"/>
        <v>0</v>
      </c>
      <c r="Y30" s="5">
        <f t="shared" si="9"/>
        <v>0</v>
      </c>
      <c r="Z30" s="5">
        <f t="shared" si="10"/>
        <v>1</v>
      </c>
      <c r="AA30" s="5">
        <f t="shared" si="11"/>
        <v>0</v>
      </c>
      <c r="AB30" s="5">
        <f t="shared" si="12"/>
        <v>0</v>
      </c>
      <c r="AC30" s="5">
        <f t="shared" si="13"/>
        <v>0</v>
      </c>
      <c r="AD30" s="5"/>
      <c r="AE30" s="5"/>
      <c r="AF30" s="5">
        <f t="shared" si="14"/>
        <v>1</v>
      </c>
      <c r="AG30" s="5">
        <f t="shared" si="15"/>
        <v>1</v>
      </c>
      <c r="AH30" s="5" t="str">
        <f t="shared" si="16"/>
        <v>Correct</v>
      </c>
      <c r="AI30" s="5"/>
      <c r="AJ30" s="120" t="str">
        <f>IFERROR(VLOOKUP(Table1[RespondentID],'All Data'!$A$3:$CO$999,87,FALSE),"unknown")</f>
        <v>Man</v>
      </c>
      <c r="AK30" s="120">
        <f>IFERROR(VLOOKUP(Table1[RespondentID],'All Data'!$A$3:$CO$999,88,FALSE),"unknown")</f>
        <v>38</v>
      </c>
      <c r="AL30" s="120" t="str">
        <f>IFERROR(VLOOKUP(Table1[RespondentID],'All Data'!$A$3:$CO$999,89,FALSE),"unknown")</f>
        <v>Suffolk</v>
      </c>
      <c r="AM30" s="120" t="str">
        <f>IFERROR(VLOOKUP(Table1[RespondentID],'All Data'!$A$3:$CO$999,90,FALSE),"unknown")</f>
        <v>Cold Spring Harbor, 11724</v>
      </c>
      <c r="AN30" s="120" t="str">
        <f>IFERROR(VLOOKUP(Table1[RespondentID],'All Data'!$A$3:$CO$999,91,FALSE),"unknown")</f>
        <v>White</v>
      </c>
      <c r="AO30" s="120" t="str">
        <f>IFERROR(VLOOKUP(Table1[RespondentID],'All Data'!$A$3:$CO$999,92,FALSE),"unknown")</f>
        <v>Not Hispanic or Latino</v>
      </c>
      <c r="AP30" s="120" t="str">
        <f>IFERROR(VLOOKUP(Table1[RespondentID],'All Data'!$A$3:$CO$999,93,FALSE),"unknown")</f>
        <v>English</v>
      </c>
      <c r="AQ30" s="120" t="str">
        <f>IFERROR(VLOOKUP(Table1[RespondentID],'All Data'!$A$3:$CW$999,94,FALSE),"unknown")</f>
        <v>$35,000 to $49,999</v>
      </c>
      <c r="AR30" s="120" t="str">
        <f>IFERROR(VLOOKUP(Table1[RespondentID],'All Data'!$A$3:$CW$999,95,FALSE),"unknown")</f>
        <v>College graduate</v>
      </c>
      <c r="AS30" s="120" t="str">
        <f>IFERROR(VLOOKUP(Table1[RespondentID],'All Data'!$A$3:$CW$999,96,FALSE),"unknown")</f>
        <v>Employed for wages</v>
      </c>
      <c r="AT30" s="120" t="str">
        <f>IFERROR(VLOOKUP(Table1[RespondentID],'All Data'!$A$3:$CW$999,97,FALSE),"unknown")</f>
        <v>Yes</v>
      </c>
      <c r="AU30" s="120">
        <f>IFERROR(VLOOKUP(Table1[RespondentID],'All Data'!$A$3:$CW$999,98,FALSE),"unknown")</f>
        <v>0</v>
      </c>
      <c r="AV30" s="120">
        <f>IFERROR(VLOOKUP(Table1[RespondentID],'All Data'!$A$3:$CW$999,99,FALSE),"unknown")</f>
        <v>0</v>
      </c>
    </row>
    <row r="31" spans="1:48">
      <c r="A31" s="5">
        <v>18025185352</v>
      </c>
      <c r="B31" s="5" t="s">
        <v>38</v>
      </c>
      <c r="C31" s="5"/>
      <c r="D31" s="5"/>
      <c r="E31" s="5"/>
      <c r="F31" s="5"/>
      <c r="G31" s="5"/>
      <c r="H31" s="5" t="s">
        <v>43</v>
      </c>
      <c r="I31" s="5"/>
      <c r="J31" s="5"/>
      <c r="K31" s="5"/>
      <c r="L31" s="5" t="s">
        <v>47</v>
      </c>
      <c r="M31" s="5"/>
      <c r="N31" s="5"/>
      <c r="O31" s="5">
        <f t="shared" si="0"/>
        <v>3</v>
      </c>
      <c r="P31" s="5">
        <f t="shared" si="1"/>
        <v>1</v>
      </c>
      <c r="Q31" s="5"/>
      <c r="R31" s="5">
        <f t="shared" si="2"/>
        <v>1</v>
      </c>
      <c r="S31" s="5">
        <f t="shared" si="3"/>
        <v>0</v>
      </c>
      <c r="T31" s="5">
        <f t="shared" si="4"/>
        <v>0</v>
      </c>
      <c r="U31" s="5">
        <f t="shared" si="5"/>
        <v>0</v>
      </c>
      <c r="V31" s="5">
        <f t="shared" si="6"/>
        <v>0</v>
      </c>
      <c r="W31" s="5">
        <f t="shared" si="7"/>
        <v>0</v>
      </c>
      <c r="X31" s="5">
        <f t="shared" si="8"/>
        <v>1</v>
      </c>
      <c r="Y31" s="5">
        <f t="shared" si="9"/>
        <v>0</v>
      </c>
      <c r="Z31" s="5">
        <f t="shared" si="10"/>
        <v>0</v>
      </c>
      <c r="AA31" s="5">
        <f t="shared" si="11"/>
        <v>0</v>
      </c>
      <c r="AB31" s="5">
        <f t="shared" si="12"/>
        <v>1</v>
      </c>
      <c r="AC31" s="5">
        <f t="shared" si="13"/>
        <v>0</v>
      </c>
      <c r="AD31" s="5"/>
      <c r="AE31" s="5"/>
      <c r="AF31" s="5">
        <f t="shared" si="14"/>
        <v>3</v>
      </c>
      <c r="AG31" s="5">
        <f t="shared" si="15"/>
        <v>3</v>
      </c>
      <c r="AH31" s="5" t="str">
        <f t="shared" si="16"/>
        <v>Correct</v>
      </c>
      <c r="AI31" s="5"/>
      <c r="AJ31" s="120" t="str">
        <f>IFERROR(VLOOKUP(Table1[RespondentID],'All Data'!$A$3:$CO$999,87,FALSE),"unknown")</f>
        <v>Man</v>
      </c>
      <c r="AK31" s="120">
        <f>IFERROR(VLOOKUP(Table1[RespondentID],'All Data'!$A$3:$CO$999,88,FALSE),"unknown")</f>
        <v>53</v>
      </c>
      <c r="AL31" s="120" t="str">
        <f>IFERROR(VLOOKUP(Table1[RespondentID],'All Data'!$A$3:$CO$999,89,FALSE),"unknown")</f>
        <v>Suffolk</v>
      </c>
      <c r="AM31" s="120" t="str">
        <f>IFERROR(VLOOKUP(Table1[RespondentID],'All Data'!$A$3:$CO$999,90,FALSE),"unknown")</f>
        <v>Saint James, 11780</v>
      </c>
      <c r="AN31" s="120" t="str">
        <f>IFERROR(VLOOKUP(Table1[RespondentID],'All Data'!$A$3:$CO$999,91,FALSE),"unknown")</f>
        <v>White</v>
      </c>
      <c r="AO31" s="120" t="str">
        <f>IFERROR(VLOOKUP(Table1[RespondentID],'All Data'!$A$3:$CO$999,92,FALSE),"unknown")</f>
        <v>Not Hispanic or Latino</v>
      </c>
      <c r="AP31" s="120" t="str">
        <f>IFERROR(VLOOKUP(Table1[RespondentID],'All Data'!$A$3:$CO$999,93,FALSE),"unknown")</f>
        <v>English</v>
      </c>
      <c r="AQ31" s="120" t="str">
        <f>IFERROR(VLOOKUP(Table1[RespondentID],'All Data'!$A$3:$CW$999,94,FALSE),"unknown")</f>
        <v>Over $125,000</v>
      </c>
      <c r="AR31" s="120" t="str">
        <f>IFERROR(VLOOKUP(Table1[RespondentID],'All Data'!$A$3:$CW$999,95,FALSE),"unknown")</f>
        <v>College graduate</v>
      </c>
      <c r="AS31" s="120" t="str">
        <f>IFERROR(VLOOKUP(Table1[RespondentID],'All Data'!$A$3:$CW$999,96,FALSE),"unknown")</f>
        <v>Employed for wages</v>
      </c>
      <c r="AT31" s="120" t="str">
        <f>IFERROR(VLOOKUP(Table1[RespondentID],'All Data'!$A$3:$CW$999,97,FALSE),"unknown")</f>
        <v>Yes</v>
      </c>
      <c r="AU31" s="120">
        <f>IFERROR(VLOOKUP(Table1[RespondentID],'All Data'!$A$3:$CW$999,98,FALSE),"unknown")</f>
        <v>0</v>
      </c>
      <c r="AV31" s="120">
        <f>IFERROR(VLOOKUP(Table1[RespondentID],'All Data'!$A$3:$CW$999,99,FALSE),"unknown")</f>
        <v>0</v>
      </c>
    </row>
    <row r="32" spans="1:48">
      <c r="A32" s="5">
        <v>18025185219</v>
      </c>
      <c r="B32" s="5"/>
      <c r="C32" s="5"/>
      <c r="D32" s="5"/>
      <c r="E32" s="5"/>
      <c r="F32" s="5" t="s">
        <v>42</v>
      </c>
      <c r="G32" s="5"/>
      <c r="H32" s="5" t="s">
        <v>43</v>
      </c>
      <c r="I32" s="5"/>
      <c r="J32" s="5" t="s">
        <v>45</v>
      </c>
      <c r="K32" s="5"/>
      <c r="L32" s="5"/>
      <c r="M32" s="5"/>
      <c r="N32" s="5"/>
      <c r="O32" s="5">
        <f t="shared" si="0"/>
        <v>3</v>
      </c>
      <c r="P32" s="5">
        <f t="shared" si="1"/>
        <v>1</v>
      </c>
      <c r="Q32" s="5"/>
      <c r="R32" s="5">
        <f t="shared" si="2"/>
        <v>0</v>
      </c>
      <c r="S32" s="5">
        <f t="shared" si="3"/>
        <v>0</v>
      </c>
      <c r="T32" s="5">
        <f t="shared" si="4"/>
        <v>0</v>
      </c>
      <c r="U32" s="5">
        <f t="shared" si="5"/>
        <v>0</v>
      </c>
      <c r="V32" s="5">
        <f t="shared" si="6"/>
        <v>1</v>
      </c>
      <c r="W32" s="5">
        <f t="shared" si="7"/>
        <v>0</v>
      </c>
      <c r="X32" s="5">
        <f t="shared" si="8"/>
        <v>1</v>
      </c>
      <c r="Y32" s="5">
        <f t="shared" si="9"/>
        <v>0</v>
      </c>
      <c r="Z32" s="5">
        <f t="shared" si="10"/>
        <v>1</v>
      </c>
      <c r="AA32" s="5">
        <f t="shared" si="11"/>
        <v>0</v>
      </c>
      <c r="AB32" s="5">
        <f t="shared" si="12"/>
        <v>0</v>
      </c>
      <c r="AC32" s="5">
        <f t="shared" si="13"/>
        <v>0</v>
      </c>
      <c r="AD32" s="5"/>
      <c r="AE32" s="5"/>
      <c r="AF32" s="5">
        <f t="shared" si="14"/>
        <v>3</v>
      </c>
      <c r="AG32" s="5">
        <f t="shared" si="15"/>
        <v>3</v>
      </c>
      <c r="AH32" s="5" t="str">
        <f t="shared" si="16"/>
        <v>Correct</v>
      </c>
      <c r="AI32" s="5"/>
      <c r="AJ32" s="120" t="str">
        <f>IFERROR(VLOOKUP(Table1[RespondentID],'All Data'!$A$3:$CO$999,87,FALSE),"unknown")</f>
        <v>Man</v>
      </c>
      <c r="AK32" s="120">
        <f>IFERROR(VLOOKUP(Table1[RespondentID],'All Data'!$A$3:$CO$999,88,FALSE),"unknown")</f>
        <v>40</v>
      </c>
      <c r="AL32" s="120" t="str">
        <f>IFERROR(VLOOKUP(Table1[RespondentID],'All Data'!$A$3:$CO$999,89,FALSE),"unknown")</f>
        <v>Suffolk</v>
      </c>
      <c r="AM32" s="120" t="str">
        <f>IFERROR(VLOOKUP(Table1[RespondentID],'All Data'!$A$3:$CO$999,90,FALSE),"unknown")</f>
        <v>Kings Park, 11754</v>
      </c>
      <c r="AN32" s="120" t="str">
        <f>IFERROR(VLOOKUP(Table1[RespondentID],'All Data'!$A$3:$CO$999,91,FALSE),"unknown")</f>
        <v>White</v>
      </c>
      <c r="AO32" s="120" t="str">
        <f>IFERROR(VLOOKUP(Table1[RespondentID],'All Data'!$A$3:$CO$999,92,FALSE),"unknown")</f>
        <v>Hispanic or Latino</v>
      </c>
      <c r="AP32" s="120" t="str">
        <f>IFERROR(VLOOKUP(Table1[RespondentID],'All Data'!$A$3:$CO$999,93,FALSE),"unknown")</f>
        <v>English</v>
      </c>
      <c r="AQ32" s="120" t="str">
        <f>IFERROR(VLOOKUP(Table1[RespondentID],'All Data'!$A$3:$CW$999,94,FALSE),"unknown")</f>
        <v>Over $125,000</v>
      </c>
      <c r="AR32" s="120" t="str">
        <f>IFERROR(VLOOKUP(Table1[RespondentID],'All Data'!$A$3:$CW$999,95,FALSE),"unknown")</f>
        <v>Graduate school</v>
      </c>
      <c r="AS32" s="120" t="str">
        <f>IFERROR(VLOOKUP(Table1[RespondentID],'All Data'!$A$3:$CW$999,96,FALSE),"unknown")</f>
        <v>Employed for wages</v>
      </c>
      <c r="AT32" s="120" t="str">
        <f>IFERROR(VLOOKUP(Table1[RespondentID],'All Data'!$A$3:$CW$999,97,FALSE),"unknown")</f>
        <v>Yes</v>
      </c>
      <c r="AU32" s="120">
        <f>IFERROR(VLOOKUP(Table1[RespondentID],'All Data'!$A$3:$CW$999,98,FALSE),"unknown")</f>
        <v>0</v>
      </c>
      <c r="AV32" s="120">
        <f>IFERROR(VLOOKUP(Table1[RespondentID],'All Data'!$A$3:$CW$999,99,FALSE),"unknown")</f>
        <v>0</v>
      </c>
    </row>
    <row r="33" spans="1:48">
      <c r="A33" s="5">
        <v>18025185091</v>
      </c>
      <c r="B33" s="5"/>
      <c r="C33" s="5" t="s">
        <v>39</v>
      </c>
      <c r="D33" s="5" t="s">
        <v>40</v>
      </c>
      <c r="E33" s="5"/>
      <c r="F33" s="5"/>
      <c r="G33" s="5"/>
      <c r="H33" s="5"/>
      <c r="I33" s="5"/>
      <c r="J33" s="5"/>
      <c r="K33" s="5" t="s">
        <v>46</v>
      </c>
      <c r="L33" s="5"/>
      <c r="M33" s="5"/>
      <c r="N33" s="5"/>
      <c r="O33" s="5">
        <f t="shared" si="0"/>
        <v>3</v>
      </c>
      <c r="P33" s="5">
        <f t="shared" si="1"/>
        <v>1</v>
      </c>
      <c r="Q33" s="5"/>
      <c r="R33" s="5">
        <f t="shared" si="2"/>
        <v>0</v>
      </c>
      <c r="S33" s="5">
        <f t="shared" si="3"/>
        <v>1</v>
      </c>
      <c r="T33" s="5">
        <f t="shared" si="4"/>
        <v>1</v>
      </c>
      <c r="U33" s="5">
        <f t="shared" si="5"/>
        <v>0</v>
      </c>
      <c r="V33" s="5">
        <f t="shared" si="6"/>
        <v>0</v>
      </c>
      <c r="W33" s="5">
        <f t="shared" si="7"/>
        <v>0</v>
      </c>
      <c r="X33" s="5">
        <f t="shared" si="8"/>
        <v>0</v>
      </c>
      <c r="Y33" s="5">
        <f t="shared" si="9"/>
        <v>0</v>
      </c>
      <c r="Z33" s="5">
        <f t="shared" si="10"/>
        <v>0</v>
      </c>
      <c r="AA33" s="5">
        <f t="shared" si="11"/>
        <v>1</v>
      </c>
      <c r="AB33" s="5">
        <f t="shared" si="12"/>
        <v>0</v>
      </c>
      <c r="AC33" s="5">
        <f t="shared" si="13"/>
        <v>0</v>
      </c>
      <c r="AD33" s="5"/>
      <c r="AE33" s="5"/>
      <c r="AF33" s="5">
        <f t="shared" si="14"/>
        <v>3</v>
      </c>
      <c r="AG33" s="5">
        <f t="shared" si="15"/>
        <v>3</v>
      </c>
      <c r="AH33" s="5" t="str">
        <f t="shared" si="16"/>
        <v>Correct</v>
      </c>
      <c r="AI33" s="5"/>
      <c r="AJ33" s="120" t="str">
        <f>IFERROR(VLOOKUP(Table1[RespondentID],'All Data'!$A$3:$CO$999,87,FALSE),"unknown")</f>
        <v>Woman</v>
      </c>
      <c r="AK33" s="120">
        <f>IFERROR(VLOOKUP(Table1[RespondentID],'All Data'!$A$3:$CO$999,88,FALSE),"unknown")</f>
        <v>25</v>
      </c>
      <c r="AL33" s="120" t="str">
        <f>IFERROR(VLOOKUP(Table1[RespondentID],'All Data'!$A$3:$CO$999,89,FALSE),"unknown")</f>
        <v>Suffolk</v>
      </c>
      <c r="AM33" s="120" t="str">
        <f>IFERROR(VLOOKUP(Table1[RespondentID],'All Data'!$A$3:$CO$999,90,FALSE),"unknown")</f>
        <v>Smithtown, 11787</v>
      </c>
      <c r="AN33" s="120" t="str">
        <f>IFERROR(VLOOKUP(Table1[RespondentID],'All Data'!$A$3:$CO$999,91,FALSE),"unknown")</f>
        <v>White</v>
      </c>
      <c r="AO33" s="120" t="str">
        <f>IFERROR(VLOOKUP(Table1[RespondentID],'All Data'!$A$3:$CO$999,92,FALSE),"unknown")</f>
        <v>Not Hispanic or Latino</v>
      </c>
      <c r="AP33" s="120" t="str">
        <f>IFERROR(VLOOKUP(Table1[RespondentID],'All Data'!$A$3:$CO$999,93,FALSE),"unknown")</f>
        <v>English</v>
      </c>
      <c r="AQ33" s="120" t="str">
        <f>IFERROR(VLOOKUP(Table1[RespondentID],'All Data'!$A$3:$CW$999,94,FALSE),"unknown")</f>
        <v>Over $125,000</v>
      </c>
      <c r="AR33" s="120" t="str">
        <f>IFERROR(VLOOKUP(Table1[RespondentID],'All Data'!$A$3:$CW$999,95,FALSE),"unknown")</f>
        <v>Graduate school</v>
      </c>
      <c r="AS33" s="120" t="str">
        <f>IFERROR(VLOOKUP(Table1[RespondentID],'All Data'!$A$3:$CW$999,96,FALSE),"unknown")</f>
        <v>Employed for wages</v>
      </c>
      <c r="AT33" s="120" t="str">
        <f>IFERROR(VLOOKUP(Table1[RespondentID],'All Data'!$A$3:$CW$999,97,FALSE),"unknown")</f>
        <v>Yes</v>
      </c>
      <c r="AU33" s="120">
        <f>IFERROR(VLOOKUP(Table1[RespondentID],'All Data'!$A$3:$CW$999,98,FALSE),"unknown")</f>
        <v>0</v>
      </c>
      <c r="AV33" s="120">
        <f>IFERROR(VLOOKUP(Table1[RespondentID],'All Data'!$A$3:$CW$999,99,FALSE),"unknown")</f>
        <v>0</v>
      </c>
    </row>
    <row r="34" spans="1:48">
      <c r="A34" s="5">
        <v>18025184990</v>
      </c>
      <c r="B34" s="5"/>
      <c r="C34" s="5"/>
      <c r="D34" s="5"/>
      <c r="E34" s="5"/>
      <c r="F34" s="5" t="s">
        <v>42</v>
      </c>
      <c r="G34" s="5"/>
      <c r="H34" s="5"/>
      <c r="I34" s="5" t="s">
        <v>44</v>
      </c>
      <c r="J34" s="5" t="s">
        <v>45</v>
      </c>
      <c r="K34" s="5"/>
      <c r="L34" s="5"/>
      <c r="M34" s="5"/>
      <c r="N34" s="5"/>
      <c r="O34" s="5">
        <f t="shared" si="0"/>
        <v>3</v>
      </c>
      <c r="P34" s="5">
        <f t="shared" si="1"/>
        <v>1</v>
      </c>
      <c r="Q34" s="5"/>
      <c r="R34" s="5">
        <f t="shared" si="2"/>
        <v>0</v>
      </c>
      <c r="S34" s="5">
        <f t="shared" si="3"/>
        <v>0</v>
      </c>
      <c r="T34" s="5">
        <f t="shared" si="4"/>
        <v>0</v>
      </c>
      <c r="U34" s="5">
        <f t="shared" si="5"/>
        <v>0</v>
      </c>
      <c r="V34" s="5">
        <f t="shared" si="6"/>
        <v>1</v>
      </c>
      <c r="W34" s="5">
        <f t="shared" si="7"/>
        <v>0</v>
      </c>
      <c r="X34" s="5">
        <f t="shared" si="8"/>
        <v>0</v>
      </c>
      <c r="Y34" s="5">
        <f t="shared" si="9"/>
        <v>1</v>
      </c>
      <c r="Z34" s="5">
        <f t="shared" si="10"/>
        <v>1</v>
      </c>
      <c r="AA34" s="5">
        <f t="shared" si="11"/>
        <v>0</v>
      </c>
      <c r="AB34" s="5">
        <f t="shared" si="12"/>
        <v>0</v>
      </c>
      <c r="AC34" s="5">
        <f t="shared" si="13"/>
        <v>0</v>
      </c>
      <c r="AD34" s="5"/>
      <c r="AE34" s="5"/>
      <c r="AF34" s="5">
        <f t="shared" si="14"/>
        <v>3</v>
      </c>
      <c r="AG34" s="5">
        <f t="shared" si="15"/>
        <v>3</v>
      </c>
      <c r="AH34" s="5" t="str">
        <f t="shared" si="16"/>
        <v>Correct</v>
      </c>
      <c r="AI34" s="5"/>
      <c r="AJ34" s="120" t="str">
        <f>IFERROR(VLOOKUP(Table1[RespondentID],'All Data'!$A$3:$CO$999,87,FALSE),"unknown")</f>
        <v>Woman</v>
      </c>
      <c r="AK34" s="120">
        <f>IFERROR(VLOOKUP(Table1[RespondentID],'All Data'!$A$3:$CO$999,88,FALSE),"unknown")</f>
        <v>26</v>
      </c>
      <c r="AL34" s="120" t="str">
        <f>IFERROR(VLOOKUP(Table1[RespondentID],'All Data'!$A$3:$CO$999,89,FALSE),"unknown")</f>
        <v>Suffolk</v>
      </c>
      <c r="AM34" s="120" t="str">
        <f>IFERROR(VLOOKUP(Table1[RespondentID],'All Data'!$A$3:$CO$999,90,FALSE),"unknown")</f>
        <v>Saint James, 11780</v>
      </c>
      <c r="AN34" s="120" t="str">
        <f>IFERROR(VLOOKUP(Table1[RespondentID],'All Data'!$A$3:$CO$999,91,FALSE),"unknown")</f>
        <v>White</v>
      </c>
      <c r="AO34" s="120" t="str">
        <f>IFERROR(VLOOKUP(Table1[RespondentID],'All Data'!$A$3:$CO$999,92,FALSE),"unknown")</f>
        <v>Not Hispanic or Latino</v>
      </c>
      <c r="AP34" s="120" t="str">
        <f>IFERROR(VLOOKUP(Table1[RespondentID],'All Data'!$A$3:$CO$999,93,FALSE),"unknown")</f>
        <v>English</v>
      </c>
      <c r="AQ34" s="120" t="str">
        <f>IFERROR(VLOOKUP(Table1[RespondentID],'All Data'!$A$3:$CW$999,94,FALSE),"unknown")</f>
        <v>$75,000 to $125,000</v>
      </c>
      <c r="AR34" s="120" t="str">
        <f>IFERROR(VLOOKUP(Table1[RespondentID],'All Data'!$A$3:$CW$999,95,FALSE),"unknown")</f>
        <v>College graduate</v>
      </c>
      <c r="AS34" s="120" t="str">
        <f>IFERROR(VLOOKUP(Table1[RespondentID],'All Data'!$A$3:$CW$999,96,FALSE),"unknown")</f>
        <v>Employed for wages</v>
      </c>
      <c r="AT34" s="120" t="str">
        <f>IFERROR(VLOOKUP(Table1[RespondentID],'All Data'!$A$3:$CW$999,97,FALSE),"unknown")</f>
        <v>Yes</v>
      </c>
      <c r="AU34" s="120">
        <f>IFERROR(VLOOKUP(Table1[RespondentID],'All Data'!$A$3:$CW$999,98,FALSE),"unknown")</f>
        <v>0</v>
      </c>
      <c r="AV34" s="120">
        <f>IFERROR(VLOOKUP(Table1[RespondentID],'All Data'!$A$3:$CW$999,99,FALSE),"unknown")</f>
        <v>0</v>
      </c>
    </row>
    <row r="35" spans="1:48">
      <c r="A35" s="5">
        <v>18025184829</v>
      </c>
      <c r="B35" s="5"/>
      <c r="C35" s="5" t="s">
        <v>39</v>
      </c>
      <c r="D35" s="5"/>
      <c r="E35" s="5"/>
      <c r="F35" s="5"/>
      <c r="G35" s="5"/>
      <c r="H35" s="5" t="s">
        <v>43</v>
      </c>
      <c r="I35" s="5"/>
      <c r="J35" s="5" t="s">
        <v>45</v>
      </c>
      <c r="K35" s="5"/>
      <c r="L35" s="5"/>
      <c r="M35" s="5"/>
      <c r="N35" s="5"/>
      <c r="O35" s="5">
        <f t="shared" si="0"/>
        <v>3</v>
      </c>
      <c r="P35" s="5">
        <f t="shared" si="1"/>
        <v>1</v>
      </c>
      <c r="Q35" s="5"/>
      <c r="R35" s="5">
        <f t="shared" si="2"/>
        <v>0</v>
      </c>
      <c r="S35" s="5">
        <f t="shared" si="3"/>
        <v>1</v>
      </c>
      <c r="T35" s="5">
        <f t="shared" si="4"/>
        <v>0</v>
      </c>
      <c r="U35" s="5">
        <f t="shared" si="5"/>
        <v>0</v>
      </c>
      <c r="V35" s="5">
        <f t="shared" si="6"/>
        <v>0</v>
      </c>
      <c r="W35" s="5">
        <f t="shared" si="7"/>
        <v>0</v>
      </c>
      <c r="X35" s="5">
        <f t="shared" si="8"/>
        <v>1</v>
      </c>
      <c r="Y35" s="5">
        <f t="shared" si="9"/>
        <v>0</v>
      </c>
      <c r="Z35" s="5">
        <f t="shared" si="10"/>
        <v>1</v>
      </c>
      <c r="AA35" s="5">
        <f t="shared" si="11"/>
        <v>0</v>
      </c>
      <c r="AB35" s="5">
        <f t="shared" si="12"/>
        <v>0</v>
      </c>
      <c r="AC35" s="5">
        <f t="shared" si="13"/>
        <v>0</v>
      </c>
      <c r="AD35" s="5"/>
      <c r="AE35" s="5"/>
      <c r="AF35" s="5">
        <f t="shared" si="14"/>
        <v>3</v>
      </c>
      <c r="AG35" s="5">
        <f t="shared" si="15"/>
        <v>3</v>
      </c>
      <c r="AH35" s="5" t="str">
        <f t="shared" si="16"/>
        <v>Correct</v>
      </c>
      <c r="AI35" s="5"/>
      <c r="AJ35" s="120" t="str">
        <f>IFERROR(VLOOKUP(Table1[RespondentID],'All Data'!$A$3:$CO$999,87,FALSE),"unknown")</f>
        <v>Woman</v>
      </c>
      <c r="AK35" s="120">
        <f>IFERROR(VLOOKUP(Table1[RespondentID],'All Data'!$A$3:$CO$999,88,FALSE),"unknown")</f>
        <v>48</v>
      </c>
      <c r="AL35" s="120" t="str">
        <f>IFERROR(VLOOKUP(Table1[RespondentID],'All Data'!$A$3:$CO$999,89,FALSE),"unknown")</f>
        <v>Suffolk</v>
      </c>
      <c r="AM35" s="120" t="str">
        <f>IFERROR(VLOOKUP(Table1[RespondentID],'All Data'!$A$3:$CO$999,90,FALSE),"unknown")</f>
        <v>Smithtown, 11787</v>
      </c>
      <c r="AN35" s="120" t="str">
        <f>IFERROR(VLOOKUP(Table1[RespondentID],'All Data'!$A$3:$CO$999,91,FALSE),"unknown")</f>
        <v>White</v>
      </c>
      <c r="AO35" s="120" t="str">
        <f>IFERROR(VLOOKUP(Table1[RespondentID],'All Data'!$A$3:$CO$999,92,FALSE),"unknown")</f>
        <v>Not Hispanic or Latino</v>
      </c>
      <c r="AP35" s="120" t="str">
        <f>IFERROR(VLOOKUP(Table1[RespondentID],'All Data'!$A$3:$CO$999,93,FALSE),"unknown")</f>
        <v>English, Italian</v>
      </c>
      <c r="AQ35" s="120" t="str">
        <f>IFERROR(VLOOKUP(Table1[RespondentID],'All Data'!$A$3:$CW$999,94,FALSE),"unknown")</f>
        <v>Over $125,000</v>
      </c>
      <c r="AR35" s="120" t="str">
        <f>IFERROR(VLOOKUP(Table1[RespondentID],'All Data'!$A$3:$CW$999,95,FALSE),"unknown")</f>
        <v>Graduate school</v>
      </c>
      <c r="AS35" s="120" t="str">
        <f>IFERROR(VLOOKUP(Table1[RespondentID],'All Data'!$A$3:$CW$999,96,FALSE),"unknown")</f>
        <v>Employed for wages</v>
      </c>
      <c r="AT35" s="120" t="str">
        <f>IFERROR(VLOOKUP(Table1[RespondentID],'All Data'!$A$3:$CW$999,97,FALSE),"unknown")</f>
        <v>Yes</v>
      </c>
      <c r="AU35" s="120">
        <f>IFERROR(VLOOKUP(Table1[RespondentID],'All Data'!$A$3:$CW$999,98,FALSE),"unknown")</f>
        <v>0</v>
      </c>
      <c r="AV35" s="120">
        <f>IFERROR(VLOOKUP(Table1[RespondentID],'All Data'!$A$3:$CW$999,99,FALSE),"unknown")</f>
        <v>0</v>
      </c>
    </row>
    <row r="36" spans="1:48">
      <c r="A36" s="5">
        <v>18025184660</v>
      </c>
      <c r="B36" s="5"/>
      <c r="C36" s="5"/>
      <c r="D36" s="5"/>
      <c r="E36" s="5" t="s">
        <v>41</v>
      </c>
      <c r="F36" s="5" t="s">
        <v>42</v>
      </c>
      <c r="G36" s="5"/>
      <c r="H36" s="5"/>
      <c r="I36" s="5"/>
      <c r="J36" s="5" t="s">
        <v>45</v>
      </c>
      <c r="K36" s="5"/>
      <c r="L36" s="5"/>
      <c r="M36" s="5"/>
      <c r="N36" s="5"/>
      <c r="O36" s="5">
        <f t="shared" si="0"/>
        <v>3</v>
      </c>
      <c r="P36" s="5">
        <f t="shared" si="1"/>
        <v>1</v>
      </c>
      <c r="Q36" s="5"/>
      <c r="R36" s="5">
        <f t="shared" si="2"/>
        <v>0</v>
      </c>
      <c r="S36" s="5">
        <f t="shared" si="3"/>
        <v>0</v>
      </c>
      <c r="T36" s="5">
        <f t="shared" si="4"/>
        <v>0</v>
      </c>
      <c r="U36" s="5">
        <f t="shared" si="5"/>
        <v>1</v>
      </c>
      <c r="V36" s="5">
        <f t="shared" si="6"/>
        <v>1</v>
      </c>
      <c r="W36" s="5">
        <f t="shared" si="7"/>
        <v>0</v>
      </c>
      <c r="X36" s="5">
        <f t="shared" si="8"/>
        <v>0</v>
      </c>
      <c r="Y36" s="5">
        <f t="shared" si="9"/>
        <v>0</v>
      </c>
      <c r="Z36" s="5">
        <f t="shared" si="10"/>
        <v>1</v>
      </c>
      <c r="AA36" s="5">
        <f t="shared" si="11"/>
        <v>0</v>
      </c>
      <c r="AB36" s="5">
        <f t="shared" si="12"/>
        <v>0</v>
      </c>
      <c r="AC36" s="5">
        <f t="shared" si="13"/>
        <v>0</v>
      </c>
      <c r="AD36" s="5"/>
      <c r="AE36" s="5"/>
      <c r="AF36" s="5">
        <f t="shared" si="14"/>
        <v>3</v>
      </c>
      <c r="AG36" s="5">
        <f t="shared" si="15"/>
        <v>3</v>
      </c>
      <c r="AH36" s="5" t="str">
        <f t="shared" si="16"/>
        <v>Correct</v>
      </c>
      <c r="AI36" s="5"/>
      <c r="AJ36" s="120" t="str">
        <f>IFERROR(VLOOKUP(Table1[RespondentID],'All Data'!$A$3:$CO$999,87,FALSE),"unknown")</f>
        <v>Man</v>
      </c>
      <c r="AK36" s="120">
        <f>IFERROR(VLOOKUP(Table1[RespondentID],'All Data'!$A$3:$CO$999,88,FALSE),"unknown")</f>
        <v>47</v>
      </c>
      <c r="AL36" s="120" t="str">
        <f>IFERROR(VLOOKUP(Table1[RespondentID],'All Data'!$A$3:$CO$999,89,FALSE),"unknown")</f>
        <v>Suffolk</v>
      </c>
      <c r="AM36" s="120" t="str">
        <f>IFERROR(VLOOKUP(Table1[RespondentID],'All Data'!$A$3:$CO$999,90,FALSE),"unknown")</f>
        <v>Saint James, 11780</v>
      </c>
      <c r="AN36" s="120" t="str">
        <f>IFERROR(VLOOKUP(Table1[RespondentID],'All Data'!$A$3:$CO$999,91,FALSE),"unknown")</f>
        <v>White</v>
      </c>
      <c r="AO36" s="120" t="str">
        <f>IFERROR(VLOOKUP(Table1[RespondentID],'All Data'!$A$3:$CO$999,92,FALSE),"unknown")</f>
        <v>Not Hispanic or Latino</v>
      </c>
      <c r="AP36" s="120" t="str">
        <f>IFERROR(VLOOKUP(Table1[RespondentID],'All Data'!$A$3:$CO$999,93,FALSE),"unknown")</f>
        <v>English</v>
      </c>
      <c r="AQ36" s="120" t="str">
        <f>IFERROR(VLOOKUP(Table1[RespondentID],'All Data'!$A$3:$CW$999,94,FALSE),"unknown")</f>
        <v>Over $125,000</v>
      </c>
      <c r="AR36" s="120" t="str">
        <f>IFERROR(VLOOKUP(Table1[RespondentID],'All Data'!$A$3:$CW$999,95,FALSE),"unknown")</f>
        <v>Graduate school</v>
      </c>
      <c r="AS36" s="120" t="str">
        <f>IFERROR(VLOOKUP(Table1[RespondentID],'All Data'!$A$3:$CW$999,96,FALSE),"unknown")</f>
        <v>Employed for wages</v>
      </c>
      <c r="AT36" s="120" t="str">
        <f>IFERROR(VLOOKUP(Table1[RespondentID],'All Data'!$A$3:$CW$999,97,FALSE),"unknown")</f>
        <v>Yes</v>
      </c>
      <c r="AU36" s="120">
        <f>IFERROR(VLOOKUP(Table1[RespondentID],'All Data'!$A$3:$CW$999,98,FALSE),"unknown")</f>
        <v>0</v>
      </c>
      <c r="AV36" s="120">
        <f>IFERROR(VLOOKUP(Table1[RespondentID],'All Data'!$A$3:$CW$999,99,FALSE),"unknown")</f>
        <v>0</v>
      </c>
    </row>
    <row r="37" spans="1:48">
      <c r="A37" s="5">
        <v>18025184519</v>
      </c>
      <c r="B37" s="5"/>
      <c r="C37" s="5" t="s">
        <v>39</v>
      </c>
      <c r="D37" s="5"/>
      <c r="E37" s="5" t="s">
        <v>41</v>
      </c>
      <c r="F37" s="5"/>
      <c r="G37" s="5"/>
      <c r="H37" s="5"/>
      <c r="I37" s="5"/>
      <c r="J37" s="5"/>
      <c r="K37" s="5"/>
      <c r="L37" s="5"/>
      <c r="M37" s="5"/>
      <c r="N37" s="5"/>
      <c r="O37" s="5">
        <f t="shared" si="0"/>
        <v>2</v>
      </c>
      <c r="P37" s="5">
        <f t="shared" si="1"/>
        <v>1.5</v>
      </c>
      <c r="Q37" s="5"/>
      <c r="R37" s="5">
        <f t="shared" si="2"/>
        <v>0</v>
      </c>
      <c r="S37" s="5">
        <f t="shared" si="3"/>
        <v>1</v>
      </c>
      <c r="T37" s="5">
        <f t="shared" si="4"/>
        <v>0</v>
      </c>
      <c r="U37" s="5">
        <f t="shared" si="5"/>
        <v>1</v>
      </c>
      <c r="V37" s="5">
        <f t="shared" si="6"/>
        <v>0</v>
      </c>
      <c r="W37" s="5">
        <f t="shared" si="7"/>
        <v>0</v>
      </c>
      <c r="X37" s="5">
        <f t="shared" si="8"/>
        <v>0</v>
      </c>
      <c r="Y37" s="5">
        <f t="shared" si="9"/>
        <v>0</v>
      </c>
      <c r="Z37" s="5">
        <f t="shared" si="10"/>
        <v>0</v>
      </c>
      <c r="AA37" s="5">
        <f t="shared" si="11"/>
        <v>0</v>
      </c>
      <c r="AB37" s="5">
        <f t="shared" si="12"/>
        <v>0</v>
      </c>
      <c r="AC37" s="5">
        <f t="shared" si="13"/>
        <v>0</v>
      </c>
      <c r="AD37" s="5"/>
      <c r="AE37" s="5"/>
      <c r="AF37" s="5">
        <f t="shared" si="14"/>
        <v>2</v>
      </c>
      <c r="AG37" s="5">
        <f t="shared" si="15"/>
        <v>2</v>
      </c>
      <c r="AH37" s="5" t="str">
        <f t="shared" si="16"/>
        <v>Correct</v>
      </c>
      <c r="AI37" s="5"/>
      <c r="AJ37" s="120" t="str">
        <f>IFERROR(VLOOKUP(Table1[RespondentID],'All Data'!$A$3:$CO$999,87,FALSE),"unknown")</f>
        <v>Woman</v>
      </c>
      <c r="AK37" s="120">
        <f>IFERROR(VLOOKUP(Table1[RespondentID],'All Data'!$A$3:$CO$999,88,FALSE),"unknown")</f>
        <v>39</v>
      </c>
      <c r="AL37" s="120" t="str">
        <f>IFERROR(VLOOKUP(Table1[RespondentID],'All Data'!$A$3:$CO$999,89,FALSE),"unknown")</f>
        <v>Suffolk</v>
      </c>
      <c r="AM37" s="120" t="str">
        <f>IFERROR(VLOOKUP(Table1[RespondentID],'All Data'!$A$3:$CO$999,90,FALSE),"unknown")</f>
        <v>Nesconset, 11767</v>
      </c>
      <c r="AN37" s="120" t="str">
        <f>IFERROR(VLOOKUP(Table1[RespondentID],'All Data'!$A$3:$CO$999,91,FALSE),"unknown")</f>
        <v>White</v>
      </c>
      <c r="AO37" s="120" t="str">
        <f>IFERROR(VLOOKUP(Table1[RespondentID],'All Data'!$A$3:$CO$999,92,FALSE),"unknown")</f>
        <v>Not Hispanic or Latino</v>
      </c>
      <c r="AP37" s="120" t="str">
        <f>IFERROR(VLOOKUP(Table1[RespondentID],'All Data'!$A$3:$CO$999,93,FALSE),"unknown")</f>
        <v>English</v>
      </c>
      <c r="AQ37" s="120" t="str">
        <f>IFERROR(VLOOKUP(Table1[RespondentID],'All Data'!$A$3:$CW$999,94,FALSE),"unknown")</f>
        <v>Over $125,000</v>
      </c>
      <c r="AR37" s="120" t="str">
        <f>IFERROR(VLOOKUP(Table1[RespondentID],'All Data'!$A$3:$CW$999,95,FALSE),"unknown")</f>
        <v>Graduate school</v>
      </c>
      <c r="AS37" s="120" t="str">
        <f>IFERROR(VLOOKUP(Table1[RespondentID],'All Data'!$A$3:$CW$999,96,FALSE),"unknown")</f>
        <v>Employed for wages</v>
      </c>
      <c r="AT37" s="120" t="str">
        <f>IFERROR(VLOOKUP(Table1[RespondentID],'All Data'!$A$3:$CW$999,97,FALSE),"unknown")</f>
        <v>Yes</v>
      </c>
      <c r="AU37" s="120">
        <f>IFERROR(VLOOKUP(Table1[RespondentID],'All Data'!$A$3:$CW$999,98,FALSE),"unknown")</f>
        <v>0</v>
      </c>
      <c r="AV37" s="120">
        <f>IFERROR(VLOOKUP(Table1[RespondentID],'All Data'!$A$3:$CW$999,99,FALSE),"unknown")</f>
        <v>0</v>
      </c>
    </row>
    <row r="38" spans="1:48">
      <c r="A38" s="5">
        <v>18025184369</v>
      </c>
      <c r="B38" s="5"/>
      <c r="C38" s="5" t="s">
        <v>39</v>
      </c>
      <c r="D38" s="5" t="s">
        <v>40</v>
      </c>
      <c r="E38" s="5" t="s">
        <v>41</v>
      </c>
      <c r="F38" s="5"/>
      <c r="G38" s="5"/>
      <c r="H38" s="5"/>
      <c r="I38" s="5"/>
      <c r="J38" s="5"/>
      <c r="K38" s="5"/>
      <c r="L38" s="5"/>
      <c r="M38" s="5"/>
      <c r="N38" s="5"/>
      <c r="O38" s="5">
        <f t="shared" si="0"/>
        <v>3</v>
      </c>
      <c r="P38" s="5">
        <f t="shared" si="1"/>
        <v>1</v>
      </c>
      <c r="Q38" s="5"/>
      <c r="R38" s="5">
        <f t="shared" si="2"/>
        <v>0</v>
      </c>
      <c r="S38" s="5">
        <f t="shared" si="3"/>
        <v>1</v>
      </c>
      <c r="T38" s="5">
        <f t="shared" si="4"/>
        <v>1</v>
      </c>
      <c r="U38" s="5">
        <f t="shared" si="5"/>
        <v>1</v>
      </c>
      <c r="V38" s="5">
        <f t="shared" si="6"/>
        <v>0</v>
      </c>
      <c r="W38" s="5">
        <f t="shared" si="7"/>
        <v>0</v>
      </c>
      <c r="X38" s="5">
        <f t="shared" si="8"/>
        <v>0</v>
      </c>
      <c r="Y38" s="5">
        <f t="shared" si="9"/>
        <v>0</v>
      </c>
      <c r="Z38" s="5">
        <f t="shared" si="10"/>
        <v>0</v>
      </c>
      <c r="AA38" s="5">
        <f t="shared" si="11"/>
        <v>0</v>
      </c>
      <c r="AB38" s="5">
        <f t="shared" si="12"/>
        <v>0</v>
      </c>
      <c r="AC38" s="5">
        <f t="shared" si="13"/>
        <v>0</v>
      </c>
      <c r="AD38" s="5"/>
      <c r="AE38" s="5"/>
      <c r="AF38" s="5">
        <f t="shared" si="14"/>
        <v>3</v>
      </c>
      <c r="AG38" s="5">
        <f t="shared" si="15"/>
        <v>3</v>
      </c>
      <c r="AH38" s="5" t="str">
        <f t="shared" si="16"/>
        <v>Correct</v>
      </c>
      <c r="AI38" s="5"/>
      <c r="AJ38" s="120" t="str">
        <f>IFERROR(VLOOKUP(Table1[RespondentID],'All Data'!$A$3:$CO$999,87,FALSE),"unknown")</f>
        <v>Woman</v>
      </c>
      <c r="AK38" s="120">
        <f>IFERROR(VLOOKUP(Table1[RespondentID],'All Data'!$A$3:$CO$999,88,FALSE),"unknown")</f>
        <v>52</v>
      </c>
      <c r="AL38" s="120" t="str">
        <f>IFERROR(VLOOKUP(Table1[RespondentID],'All Data'!$A$3:$CO$999,89,FALSE),"unknown")</f>
        <v>Suffolk</v>
      </c>
      <c r="AM38" s="120" t="str">
        <f>IFERROR(VLOOKUP(Table1[RespondentID],'All Data'!$A$3:$CO$999,90,FALSE),"unknown")</f>
        <v>Smithtown, 11787</v>
      </c>
      <c r="AN38" s="120" t="str">
        <f>IFERROR(VLOOKUP(Table1[RespondentID],'All Data'!$A$3:$CO$999,91,FALSE),"unknown")</f>
        <v>White</v>
      </c>
      <c r="AO38" s="120" t="str">
        <f>IFERROR(VLOOKUP(Table1[RespondentID],'All Data'!$A$3:$CO$999,92,FALSE),"unknown")</f>
        <v>Hispanic or Latino</v>
      </c>
      <c r="AP38" s="120" t="str">
        <f>IFERROR(VLOOKUP(Table1[RespondentID],'All Data'!$A$3:$CO$999,93,FALSE),"unknown")</f>
        <v>English, Spanish</v>
      </c>
      <c r="AQ38" s="120" t="str">
        <f>IFERROR(VLOOKUP(Table1[RespondentID],'All Data'!$A$3:$CW$999,94,FALSE),"unknown")</f>
        <v>$75,000 to $125,000</v>
      </c>
      <c r="AR38" s="120" t="str">
        <f>IFERROR(VLOOKUP(Table1[RespondentID],'All Data'!$A$3:$CW$999,95,FALSE),"unknown")</f>
        <v>Graduate school</v>
      </c>
      <c r="AS38" s="120" t="str">
        <f>IFERROR(VLOOKUP(Table1[RespondentID],'All Data'!$A$3:$CW$999,96,FALSE),"unknown")</f>
        <v>Employed for wages</v>
      </c>
      <c r="AT38" s="120" t="str">
        <f>IFERROR(VLOOKUP(Table1[RespondentID],'All Data'!$A$3:$CW$999,97,FALSE),"unknown")</f>
        <v>Yes</v>
      </c>
      <c r="AU38" s="120">
        <f>IFERROR(VLOOKUP(Table1[RespondentID],'All Data'!$A$3:$CW$999,98,FALSE),"unknown")</f>
        <v>0</v>
      </c>
      <c r="AV38" s="120">
        <f>IFERROR(VLOOKUP(Table1[RespondentID],'All Data'!$A$3:$CW$999,99,FALSE),"unknown")</f>
        <v>0</v>
      </c>
    </row>
    <row r="39" spans="1:48">
      <c r="A39" s="5">
        <v>18025184067</v>
      </c>
      <c r="B39" s="5"/>
      <c r="C39" s="5"/>
      <c r="D39" s="5"/>
      <c r="E39" s="5"/>
      <c r="F39" s="5"/>
      <c r="G39" s="5"/>
      <c r="H39" s="5" t="s">
        <v>43</v>
      </c>
      <c r="I39" s="5"/>
      <c r="J39" s="5"/>
      <c r="K39" s="5"/>
      <c r="L39" s="5"/>
      <c r="M39" s="5"/>
      <c r="N39" s="5"/>
      <c r="O39" s="5">
        <f t="shared" si="0"/>
        <v>1</v>
      </c>
      <c r="P39" s="5">
        <f t="shared" si="1"/>
        <v>3</v>
      </c>
      <c r="Q39" s="5"/>
      <c r="R39" s="5">
        <f t="shared" si="2"/>
        <v>0</v>
      </c>
      <c r="S39" s="5">
        <f t="shared" si="3"/>
        <v>0</v>
      </c>
      <c r="T39" s="5">
        <f t="shared" si="4"/>
        <v>0</v>
      </c>
      <c r="U39" s="5">
        <f t="shared" si="5"/>
        <v>0</v>
      </c>
      <c r="V39" s="5">
        <f t="shared" si="6"/>
        <v>0</v>
      </c>
      <c r="W39" s="5">
        <f t="shared" si="7"/>
        <v>0</v>
      </c>
      <c r="X39" s="5">
        <f t="shared" si="8"/>
        <v>1</v>
      </c>
      <c r="Y39" s="5">
        <f t="shared" si="9"/>
        <v>0</v>
      </c>
      <c r="Z39" s="5">
        <f t="shared" si="10"/>
        <v>0</v>
      </c>
      <c r="AA39" s="5">
        <f t="shared" si="11"/>
        <v>0</v>
      </c>
      <c r="AB39" s="5">
        <f t="shared" si="12"/>
        <v>0</v>
      </c>
      <c r="AC39" s="5">
        <f t="shared" si="13"/>
        <v>0</v>
      </c>
      <c r="AD39" s="5"/>
      <c r="AE39" s="5"/>
      <c r="AF39" s="5">
        <f t="shared" si="14"/>
        <v>1</v>
      </c>
      <c r="AG39" s="5">
        <f t="shared" si="15"/>
        <v>1</v>
      </c>
      <c r="AH39" s="5" t="str">
        <f t="shared" si="16"/>
        <v>Correct</v>
      </c>
      <c r="AI39" s="5"/>
      <c r="AJ39" s="120" t="str">
        <f>IFERROR(VLOOKUP(Table1[RespondentID],'All Data'!$A$3:$CO$999,87,FALSE),"unknown")</f>
        <v>Woman</v>
      </c>
      <c r="AK39" s="120">
        <f>IFERROR(VLOOKUP(Table1[RespondentID],'All Data'!$A$3:$CO$999,88,FALSE),"unknown")</f>
        <v>40</v>
      </c>
      <c r="AL39" s="120" t="str">
        <f>IFERROR(VLOOKUP(Table1[RespondentID],'All Data'!$A$3:$CO$999,89,FALSE),"unknown")</f>
        <v>Suffolk</v>
      </c>
      <c r="AM39" s="120" t="str">
        <f>IFERROR(VLOOKUP(Table1[RespondentID],'All Data'!$A$3:$CO$999,90,FALSE),"unknown")</f>
        <v>Baiting Hollow, 11933</v>
      </c>
      <c r="AN39" s="120" t="str">
        <f>IFERROR(VLOOKUP(Table1[RespondentID],'All Data'!$A$3:$CO$999,91,FALSE),"unknown")</f>
        <v>White</v>
      </c>
      <c r="AO39" s="120" t="str">
        <f>IFERROR(VLOOKUP(Table1[RespondentID],'All Data'!$A$3:$CO$999,92,FALSE),"unknown")</f>
        <v>Not Hispanic or Latino</v>
      </c>
      <c r="AP39" s="120" t="str">
        <f>IFERROR(VLOOKUP(Table1[RespondentID],'All Data'!$A$3:$CO$999,93,FALSE),"unknown")</f>
        <v>English</v>
      </c>
      <c r="AQ39" s="120" t="str">
        <f>IFERROR(VLOOKUP(Table1[RespondentID],'All Data'!$A$3:$CW$999,94,FALSE),"unknown")</f>
        <v>Over $125,000</v>
      </c>
      <c r="AR39" s="120" t="str">
        <f>IFERROR(VLOOKUP(Table1[RespondentID],'All Data'!$A$3:$CW$999,95,FALSE),"unknown")</f>
        <v>Other (please specify)</v>
      </c>
      <c r="AS39" s="120" t="str">
        <f>IFERROR(VLOOKUP(Table1[RespondentID],'All Data'!$A$3:$CW$999,96,FALSE),"unknown")</f>
        <v>Employed for wages</v>
      </c>
      <c r="AT39" s="120" t="str">
        <f>IFERROR(VLOOKUP(Table1[RespondentID],'All Data'!$A$3:$CW$999,97,FALSE),"unknown")</f>
        <v>Yes</v>
      </c>
      <c r="AU39" s="120">
        <f>IFERROR(VLOOKUP(Table1[RespondentID],'All Data'!$A$3:$CW$999,98,FALSE),"unknown")</f>
        <v>0</v>
      </c>
      <c r="AV39" s="120">
        <f>IFERROR(VLOOKUP(Table1[RespondentID],'All Data'!$A$3:$CW$999,99,FALSE),"unknown")</f>
        <v>0</v>
      </c>
    </row>
    <row r="40" spans="1:48">
      <c r="A40" s="5">
        <v>18025183911</v>
      </c>
      <c r="B40" s="5"/>
      <c r="C40" s="5" t="s">
        <v>39</v>
      </c>
      <c r="D40" s="5"/>
      <c r="E40" s="5"/>
      <c r="F40" s="5"/>
      <c r="G40" s="5" t="s">
        <v>37</v>
      </c>
      <c r="H40" s="5"/>
      <c r="I40" s="5"/>
      <c r="J40" s="5"/>
      <c r="K40" s="5"/>
      <c r="L40" s="5" t="s">
        <v>47</v>
      </c>
      <c r="M40" s="5"/>
      <c r="N40" s="5"/>
      <c r="O40" s="5">
        <f t="shared" si="0"/>
        <v>3</v>
      </c>
      <c r="P40" s="5">
        <f t="shared" si="1"/>
        <v>1</v>
      </c>
      <c r="Q40" s="5"/>
      <c r="R40" s="5">
        <f t="shared" si="2"/>
        <v>0</v>
      </c>
      <c r="S40" s="5">
        <f t="shared" si="3"/>
        <v>1</v>
      </c>
      <c r="T40" s="5">
        <f t="shared" si="4"/>
        <v>0</v>
      </c>
      <c r="U40" s="5">
        <f t="shared" si="5"/>
        <v>0</v>
      </c>
      <c r="V40" s="5">
        <f t="shared" si="6"/>
        <v>0</v>
      </c>
      <c r="W40" s="5">
        <f t="shared" si="7"/>
        <v>1</v>
      </c>
      <c r="X40" s="5">
        <f t="shared" si="8"/>
        <v>0</v>
      </c>
      <c r="Y40" s="5">
        <f t="shared" si="9"/>
        <v>0</v>
      </c>
      <c r="Z40" s="5">
        <f t="shared" si="10"/>
        <v>0</v>
      </c>
      <c r="AA40" s="5">
        <f t="shared" si="11"/>
        <v>0</v>
      </c>
      <c r="AB40" s="5">
        <f t="shared" si="12"/>
        <v>1</v>
      </c>
      <c r="AC40" s="5">
        <f t="shared" si="13"/>
        <v>0</v>
      </c>
      <c r="AD40" s="5"/>
      <c r="AE40" s="5"/>
      <c r="AF40" s="5">
        <f t="shared" si="14"/>
        <v>3</v>
      </c>
      <c r="AG40" s="5">
        <f t="shared" si="15"/>
        <v>3</v>
      </c>
      <c r="AH40" s="5" t="str">
        <f t="shared" si="16"/>
        <v>Correct</v>
      </c>
      <c r="AI40" s="5"/>
      <c r="AJ40" s="120" t="str">
        <f>IFERROR(VLOOKUP(Table1[RespondentID],'All Data'!$A$3:$CO$999,87,FALSE),"unknown")</f>
        <v>Man</v>
      </c>
      <c r="AK40" s="120">
        <f>IFERROR(VLOOKUP(Table1[RespondentID],'All Data'!$A$3:$CO$999,88,FALSE),"unknown")</f>
        <v>46</v>
      </c>
      <c r="AL40" s="120" t="str">
        <f>IFERROR(VLOOKUP(Table1[RespondentID],'All Data'!$A$3:$CO$999,89,FALSE),"unknown")</f>
        <v>Suffolk</v>
      </c>
      <c r="AM40" s="120" t="str">
        <f>IFERROR(VLOOKUP(Table1[RespondentID],'All Data'!$A$3:$CO$999,90,FALSE),"unknown")</f>
        <v>Smithtown, 11787</v>
      </c>
      <c r="AN40" s="120" t="str">
        <f>IFERROR(VLOOKUP(Table1[RespondentID],'All Data'!$A$3:$CO$999,91,FALSE),"unknown")</f>
        <v>White</v>
      </c>
      <c r="AO40" s="120" t="str">
        <f>IFERROR(VLOOKUP(Table1[RespondentID],'All Data'!$A$3:$CO$999,92,FALSE),"unknown")</f>
        <v>Not Hispanic or Latino</v>
      </c>
      <c r="AP40" s="120" t="str">
        <f>IFERROR(VLOOKUP(Table1[RespondentID],'All Data'!$A$3:$CO$999,93,FALSE),"unknown")</f>
        <v>English</v>
      </c>
      <c r="AQ40" s="120" t="str">
        <f>IFERROR(VLOOKUP(Table1[RespondentID],'All Data'!$A$3:$CW$999,94,FALSE),"unknown")</f>
        <v>$75,000 to $125,000</v>
      </c>
      <c r="AR40" s="120" t="str">
        <f>IFERROR(VLOOKUP(Table1[RespondentID],'All Data'!$A$3:$CW$999,95,FALSE),"unknown")</f>
        <v>College graduate</v>
      </c>
      <c r="AS40" s="120" t="str">
        <f>IFERROR(VLOOKUP(Table1[RespondentID],'All Data'!$A$3:$CW$999,96,FALSE),"unknown")</f>
        <v>Employed for wages</v>
      </c>
      <c r="AT40" s="120" t="str">
        <f>IFERROR(VLOOKUP(Table1[RespondentID],'All Data'!$A$3:$CW$999,97,FALSE),"unknown")</f>
        <v>Yes</v>
      </c>
      <c r="AU40" s="120">
        <f>IFERROR(VLOOKUP(Table1[RespondentID],'All Data'!$A$3:$CW$999,98,FALSE),"unknown")</f>
        <v>0</v>
      </c>
      <c r="AV40" s="120">
        <f>IFERROR(VLOOKUP(Table1[RespondentID],'All Data'!$A$3:$CW$999,99,FALSE),"unknown")</f>
        <v>0</v>
      </c>
    </row>
    <row r="41" spans="1:48">
      <c r="A41" s="5">
        <v>18025183737</v>
      </c>
      <c r="B41" s="5" t="s">
        <v>38</v>
      </c>
      <c r="C41" s="5"/>
      <c r="D41" s="5"/>
      <c r="E41" s="5"/>
      <c r="F41" s="5"/>
      <c r="G41" s="5"/>
      <c r="H41" s="5"/>
      <c r="I41" s="5"/>
      <c r="J41" s="5"/>
      <c r="K41" s="5"/>
      <c r="L41" s="5" t="s">
        <v>47</v>
      </c>
      <c r="M41" s="5"/>
      <c r="N41" s="5"/>
      <c r="O41" s="5">
        <f t="shared" si="0"/>
        <v>2</v>
      </c>
      <c r="P41" s="5">
        <f t="shared" si="1"/>
        <v>1.5</v>
      </c>
      <c r="Q41" s="5"/>
      <c r="R41" s="5">
        <f t="shared" si="2"/>
        <v>1</v>
      </c>
      <c r="S41" s="5">
        <f t="shared" si="3"/>
        <v>0</v>
      </c>
      <c r="T41" s="5">
        <f t="shared" si="4"/>
        <v>0</v>
      </c>
      <c r="U41" s="5">
        <f t="shared" si="5"/>
        <v>0</v>
      </c>
      <c r="V41" s="5">
        <f t="shared" si="6"/>
        <v>0</v>
      </c>
      <c r="W41" s="5">
        <f t="shared" si="7"/>
        <v>0</v>
      </c>
      <c r="X41" s="5">
        <f t="shared" si="8"/>
        <v>0</v>
      </c>
      <c r="Y41" s="5">
        <f t="shared" si="9"/>
        <v>0</v>
      </c>
      <c r="Z41" s="5">
        <f t="shared" si="10"/>
        <v>0</v>
      </c>
      <c r="AA41" s="5">
        <f t="shared" si="11"/>
        <v>0</v>
      </c>
      <c r="AB41" s="5">
        <f t="shared" si="12"/>
        <v>1</v>
      </c>
      <c r="AC41" s="5">
        <f t="shared" si="13"/>
        <v>0</v>
      </c>
      <c r="AD41" s="5"/>
      <c r="AE41" s="5"/>
      <c r="AF41" s="5">
        <f t="shared" si="14"/>
        <v>2</v>
      </c>
      <c r="AG41" s="5">
        <f t="shared" si="15"/>
        <v>2</v>
      </c>
      <c r="AH41" s="5" t="str">
        <f t="shared" si="16"/>
        <v>Correct</v>
      </c>
      <c r="AI41" s="5"/>
      <c r="AJ41" s="120" t="str">
        <f>IFERROR(VLOOKUP(Table1[RespondentID],'All Data'!$A$3:$CO$999,87,FALSE),"unknown")</f>
        <v>Woman</v>
      </c>
      <c r="AK41" s="120">
        <f>IFERROR(VLOOKUP(Table1[RespondentID],'All Data'!$A$3:$CO$999,88,FALSE),"unknown")</f>
        <v>39</v>
      </c>
      <c r="AL41" s="120" t="str">
        <f>IFERROR(VLOOKUP(Table1[RespondentID],'All Data'!$A$3:$CO$999,89,FALSE),"unknown")</f>
        <v>Suffolk</v>
      </c>
      <c r="AM41" s="120" t="str">
        <f>IFERROR(VLOOKUP(Table1[RespondentID],'All Data'!$A$3:$CO$999,90,FALSE),"unknown")</f>
        <v>Ronkonkoma, 11779</v>
      </c>
      <c r="AN41" s="120" t="str">
        <f>IFERROR(VLOOKUP(Table1[RespondentID],'All Data'!$A$3:$CO$999,91,FALSE),"unknown")</f>
        <v>Two or more races</v>
      </c>
      <c r="AO41" s="120" t="str">
        <f>IFERROR(VLOOKUP(Table1[RespondentID],'All Data'!$A$3:$CO$999,92,FALSE),"unknown")</f>
        <v>Hispanic or Latino</v>
      </c>
      <c r="AP41" s="120" t="str">
        <f>IFERROR(VLOOKUP(Table1[RespondentID],'All Data'!$A$3:$CO$999,93,FALSE),"unknown")</f>
        <v>English, Spanish</v>
      </c>
      <c r="AQ41" s="120" t="str">
        <f>IFERROR(VLOOKUP(Table1[RespondentID],'All Data'!$A$3:$CW$999,94,FALSE),"unknown")</f>
        <v>$50,000 to $74,999</v>
      </c>
      <c r="AR41" s="120" t="str">
        <f>IFERROR(VLOOKUP(Table1[RespondentID],'All Data'!$A$3:$CW$999,95,FALSE),"unknown")</f>
        <v>Technical school</v>
      </c>
      <c r="AS41" s="120" t="str">
        <f>IFERROR(VLOOKUP(Table1[RespondentID],'All Data'!$A$3:$CW$999,96,FALSE),"unknown")</f>
        <v>Employed for wages</v>
      </c>
      <c r="AT41" s="120" t="str">
        <f>IFERROR(VLOOKUP(Table1[RespondentID],'All Data'!$A$3:$CW$999,97,FALSE),"unknown")</f>
        <v>Yes</v>
      </c>
      <c r="AU41" s="120">
        <f>IFERROR(VLOOKUP(Table1[RespondentID],'All Data'!$A$3:$CW$999,98,FALSE),"unknown")</f>
        <v>0</v>
      </c>
      <c r="AV41" s="120">
        <f>IFERROR(VLOOKUP(Table1[RespondentID],'All Data'!$A$3:$CW$999,99,FALSE),"unknown")</f>
        <v>0</v>
      </c>
    </row>
    <row r="42" spans="1:48">
      <c r="A42" s="5">
        <v>18025183581</v>
      </c>
      <c r="B42" s="5"/>
      <c r="C42" s="5"/>
      <c r="D42" s="5" t="s">
        <v>40</v>
      </c>
      <c r="E42" s="5"/>
      <c r="F42" s="5"/>
      <c r="G42" s="5" t="s">
        <v>37</v>
      </c>
      <c r="H42" s="5"/>
      <c r="I42" s="5"/>
      <c r="J42" s="5"/>
      <c r="K42" s="5"/>
      <c r="L42" s="5" t="s">
        <v>47</v>
      </c>
      <c r="M42" s="5"/>
      <c r="N42" s="5"/>
      <c r="O42" s="5">
        <f t="shared" si="0"/>
        <v>3</v>
      </c>
      <c r="P42" s="5">
        <f t="shared" si="1"/>
        <v>1</v>
      </c>
      <c r="Q42" s="5"/>
      <c r="R42" s="5">
        <f t="shared" si="2"/>
        <v>0</v>
      </c>
      <c r="S42" s="5">
        <f t="shared" si="3"/>
        <v>0</v>
      </c>
      <c r="T42" s="5">
        <f t="shared" si="4"/>
        <v>1</v>
      </c>
      <c r="U42" s="5">
        <f t="shared" si="5"/>
        <v>0</v>
      </c>
      <c r="V42" s="5">
        <f t="shared" si="6"/>
        <v>0</v>
      </c>
      <c r="W42" s="5">
        <f t="shared" si="7"/>
        <v>1</v>
      </c>
      <c r="X42" s="5">
        <f t="shared" si="8"/>
        <v>0</v>
      </c>
      <c r="Y42" s="5">
        <f t="shared" si="9"/>
        <v>0</v>
      </c>
      <c r="Z42" s="5">
        <f t="shared" si="10"/>
        <v>0</v>
      </c>
      <c r="AA42" s="5">
        <f t="shared" si="11"/>
        <v>0</v>
      </c>
      <c r="AB42" s="5">
        <f t="shared" si="12"/>
        <v>1</v>
      </c>
      <c r="AC42" s="5">
        <f t="shared" si="13"/>
        <v>0</v>
      </c>
      <c r="AD42" s="5"/>
      <c r="AE42" s="5"/>
      <c r="AF42" s="5">
        <f t="shared" si="14"/>
        <v>3</v>
      </c>
      <c r="AG42" s="5">
        <f t="shared" si="15"/>
        <v>3</v>
      </c>
      <c r="AH42" s="5" t="str">
        <f t="shared" si="16"/>
        <v>Correct</v>
      </c>
      <c r="AI42" s="5"/>
      <c r="AJ42" s="120" t="str">
        <f>IFERROR(VLOOKUP(Table1[RespondentID],'All Data'!$A$3:$CO$999,87,FALSE),"unknown")</f>
        <v>Man</v>
      </c>
      <c r="AK42" s="120">
        <f>IFERROR(VLOOKUP(Table1[RespondentID],'All Data'!$A$3:$CO$999,88,FALSE),"unknown")</f>
        <v>56</v>
      </c>
      <c r="AL42" s="120" t="str">
        <f>IFERROR(VLOOKUP(Table1[RespondentID],'All Data'!$A$3:$CO$999,89,FALSE),"unknown")</f>
        <v>Suffolk</v>
      </c>
      <c r="AM42" s="120" t="str">
        <f>IFERROR(VLOOKUP(Table1[RespondentID],'All Data'!$A$3:$CO$999,90,FALSE),"unknown")</f>
        <v>Smithtown, 11787</v>
      </c>
      <c r="AN42" s="120" t="str">
        <f>IFERROR(VLOOKUP(Table1[RespondentID],'All Data'!$A$3:$CO$999,91,FALSE),"unknown")</f>
        <v>White</v>
      </c>
      <c r="AO42" s="120" t="str">
        <f>IFERROR(VLOOKUP(Table1[RespondentID],'All Data'!$A$3:$CO$999,92,FALSE),"unknown")</f>
        <v>Not Hispanic or Latino</v>
      </c>
      <c r="AP42" s="120" t="str">
        <f>IFERROR(VLOOKUP(Table1[RespondentID],'All Data'!$A$3:$CO$999,93,FALSE),"unknown")</f>
        <v>English</v>
      </c>
      <c r="AQ42" s="120" t="str">
        <f>IFERROR(VLOOKUP(Table1[RespondentID],'All Data'!$A$3:$CW$999,94,FALSE),"unknown")</f>
        <v>Over $125,000</v>
      </c>
      <c r="AR42" s="120" t="str">
        <f>IFERROR(VLOOKUP(Table1[RespondentID],'All Data'!$A$3:$CW$999,95,FALSE),"unknown")</f>
        <v>Doctorate</v>
      </c>
      <c r="AS42" s="120" t="str">
        <f>IFERROR(VLOOKUP(Table1[RespondentID],'All Data'!$A$3:$CW$999,96,FALSE),"unknown")</f>
        <v>Employed for wages</v>
      </c>
      <c r="AT42" s="120" t="str">
        <f>IFERROR(VLOOKUP(Table1[RespondentID],'All Data'!$A$3:$CW$999,97,FALSE),"unknown")</f>
        <v>Yes</v>
      </c>
      <c r="AU42" s="120">
        <f>IFERROR(VLOOKUP(Table1[RespondentID],'All Data'!$A$3:$CW$999,98,FALSE),"unknown")</f>
        <v>0</v>
      </c>
      <c r="AV42" s="120">
        <f>IFERROR(VLOOKUP(Table1[RespondentID],'All Data'!$A$3:$CW$999,99,FALSE),"unknown")</f>
        <v>0</v>
      </c>
    </row>
    <row r="43" spans="1:48">
      <c r="A43" s="5">
        <v>18025183430</v>
      </c>
      <c r="B43" s="5"/>
      <c r="C43" s="5" t="s">
        <v>39</v>
      </c>
      <c r="D43" s="5"/>
      <c r="E43" s="5" t="s">
        <v>41</v>
      </c>
      <c r="F43" s="5"/>
      <c r="G43" s="5"/>
      <c r="H43" s="5"/>
      <c r="I43" s="5"/>
      <c r="J43" s="5"/>
      <c r="K43" s="5" t="s">
        <v>46</v>
      </c>
      <c r="L43" s="5"/>
      <c r="M43" s="5"/>
      <c r="N43" s="5"/>
      <c r="O43" s="5">
        <f t="shared" si="0"/>
        <v>3</v>
      </c>
      <c r="P43" s="5">
        <f t="shared" si="1"/>
        <v>1</v>
      </c>
      <c r="Q43" s="5"/>
      <c r="R43" s="5">
        <f t="shared" si="2"/>
        <v>0</v>
      </c>
      <c r="S43" s="5">
        <f t="shared" si="3"/>
        <v>1</v>
      </c>
      <c r="T43" s="5">
        <f t="shared" si="4"/>
        <v>0</v>
      </c>
      <c r="U43" s="5">
        <f t="shared" si="5"/>
        <v>1</v>
      </c>
      <c r="V43" s="5">
        <f t="shared" si="6"/>
        <v>0</v>
      </c>
      <c r="W43" s="5">
        <f t="shared" si="7"/>
        <v>0</v>
      </c>
      <c r="X43" s="5">
        <f t="shared" si="8"/>
        <v>0</v>
      </c>
      <c r="Y43" s="5">
        <f t="shared" si="9"/>
        <v>0</v>
      </c>
      <c r="Z43" s="5">
        <f t="shared" si="10"/>
        <v>0</v>
      </c>
      <c r="AA43" s="5">
        <f t="shared" si="11"/>
        <v>1</v>
      </c>
      <c r="AB43" s="5">
        <f t="shared" si="12"/>
        <v>0</v>
      </c>
      <c r="AC43" s="5">
        <f t="shared" si="13"/>
        <v>0</v>
      </c>
      <c r="AD43" s="5"/>
      <c r="AE43" s="5"/>
      <c r="AF43" s="5">
        <f t="shared" si="14"/>
        <v>3</v>
      </c>
      <c r="AG43" s="5">
        <f t="shared" si="15"/>
        <v>3</v>
      </c>
      <c r="AH43" s="5" t="str">
        <f t="shared" si="16"/>
        <v>Correct</v>
      </c>
      <c r="AI43" s="5"/>
      <c r="AJ43" s="120" t="str">
        <f>IFERROR(VLOOKUP(Table1[RespondentID],'All Data'!$A$3:$CO$999,87,FALSE),"unknown")</f>
        <v>Woman</v>
      </c>
      <c r="AK43" s="120">
        <f>IFERROR(VLOOKUP(Table1[RespondentID],'All Data'!$A$3:$CO$999,88,FALSE),"unknown")</f>
        <v>22</v>
      </c>
      <c r="AL43" s="120" t="str">
        <f>IFERROR(VLOOKUP(Table1[RespondentID],'All Data'!$A$3:$CO$999,89,FALSE),"unknown")</f>
        <v>Suffolk</v>
      </c>
      <c r="AM43" s="120" t="str">
        <f>IFERROR(VLOOKUP(Table1[RespondentID],'All Data'!$A$3:$CO$999,90,FALSE),"unknown")</f>
        <v>Brentwood, 11717</v>
      </c>
      <c r="AN43" s="120" t="str">
        <f>IFERROR(VLOOKUP(Table1[RespondentID],'All Data'!$A$3:$CO$999,91,FALSE),"unknown")</f>
        <v>Two or more races</v>
      </c>
      <c r="AO43" s="120">
        <f>IFERROR(VLOOKUP(Table1[RespondentID],'All Data'!$A$3:$CO$999,92,FALSE),"unknown")</f>
        <v>0</v>
      </c>
      <c r="AP43" s="120" t="str">
        <f>IFERROR(VLOOKUP(Table1[RespondentID],'All Data'!$A$3:$CO$999,93,FALSE),"unknown")</f>
        <v>English</v>
      </c>
      <c r="AQ43" s="120" t="str">
        <f>IFERROR(VLOOKUP(Table1[RespondentID],'All Data'!$A$3:$CW$999,94,FALSE),"unknown")</f>
        <v>$35,000 to $49,999</v>
      </c>
      <c r="AR43" s="120" t="str">
        <f>IFERROR(VLOOKUP(Table1[RespondentID],'All Data'!$A$3:$CW$999,95,FALSE),"unknown")</f>
        <v>College graduate</v>
      </c>
      <c r="AS43" s="120" t="str">
        <f>IFERROR(VLOOKUP(Table1[RespondentID],'All Data'!$A$3:$CW$999,96,FALSE),"unknown")</f>
        <v>Employed for wages</v>
      </c>
      <c r="AT43" s="120" t="str">
        <f>IFERROR(VLOOKUP(Table1[RespondentID],'All Data'!$A$3:$CW$999,97,FALSE),"unknown")</f>
        <v>Yes</v>
      </c>
      <c r="AU43" s="120" t="str">
        <f>IFERROR(VLOOKUP(Table1[RespondentID],'All Data'!$A$3:$CW$999,98,FALSE),"unknown")</f>
        <v>Private/Commercial</v>
      </c>
      <c r="AV43" s="120">
        <f>IFERROR(VLOOKUP(Table1[RespondentID],'All Data'!$A$3:$CW$999,99,FALSE),"unknown")</f>
        <v>0</v>
      </c>
    </row>
    <row r="44" spans="1:48">
      <c r="A44" s="5">
        <v>18025183271</v>
      </c>
      <c r="B44" s="5" t="s">
        <v>38</v>
      </c>
      <c r="C44" s="5" t="s">
        <v>39</v>
      </c>
      <c r="D44" s="5"/>
      <c r="E44" s="5" t="s">
        <v>41</v>
      </c>
      <c r="F44" s="5"/>
      <c r="G44" s="5"/>
      <c r="H44" s="5"/>
      <c r="I44" s="5"/>
      <c r="J44" s="5"/>
      <c r="K44" s="5"/>
      <c r="L44" s="5" t="s">
        <v>47</v>
      </c>
      <c r="M44" s="5"/>
      <c r="N44" s="5"/>
      <c r="O44" s="5">
        <f t="shared" si="0"/>
        <v>4</v>
      </c>
      <c r="P44" s="5">
        <f t="shared" si="1"/>
        <v>0.75</v>
      </c>
      <c r="Q44" s="5"/>
      <c r="R44" s="5">
        <f t="shared" si="2"/>
        <v>0.75</v>
      </c>
      <c r="S44" s="5">
        <f t="shared" si="3"/>
        <v>0.75</v>
      </c>
      <c r="T44" s="5">
        <f t="shared" si="4"/>
        <v>0</v>
      </c>
      <c r="U44" s="5">
        <f t="shared" si="5"/>
        <v>0.75</v>
      </c>
      <c r="V44" s="5">
        <f t="shared" si="6"/>
        <v>0</v>
      </c>
      <c r="W44" s="5">
        <f t="shared" si="7"/>
        <v>0</v>
      </c>
      <c r="X44" s="5">
        <f t="shared" si="8"/>
        <v>0</v>
      </c>
      <c r="Y44" s="5">
        <f t="shared" si="9"/>
        <v>0</v>
      </c>
      <c r="Z44" s="5">
        <f t="shared" si="10"/>
        <v>0</v>
      </c>
      <c r="AA44" s="5">
        <f t="shared" si="11"/>
        <v>0</v>
      </c>
      <c r="AB44" s="5">
        <f t="shared" si="12"/>
        <v>0.75</v>
      </c>
      <c r="AC44" s="5">
        <f t="shared" si="13"/>
        <v>0</v>
      </c>
      <c r="AD44" s="5"/>
      <c r="AE44" s="5"/>
      <c r="AF44" s="5">
        <f t="shared" si="14"/>
        <v>3</v>
      </c>
      <c r="AG44" s="5">
        <f t="shared" si="15"/>
        <v>4</v>
      </c>
      <c r="AH44" s="5" t="str">
        <f t="shared" si="16"/>
        <v>Correct</v>
      </c>
      <c r="AI44" s="5"/>
      <c r="AJ44" s="120" t="str">
        <f>IFERROR(VLOOKUP(Table1[RespondentID],'All Data'!$A$3:$CO$999,87,FALSE),"unknown")</f>
        <v>Woman</v>
      </c>
      <c r="AK44" s="120">
        <f>IFERROR(VLOOKUP(Table1[RespondentID],'All Data'!$A$3:$CO$999,88,FALSE),"unknown")</f>
        <v>28</v>
      </c>
      <c r="AL44" s="120" t="str">
        <f>IFERROR(VLOOKUP(Table1[RespondentID],'All Data'!$A$3:$CO$999,89,FALSE),"unknown")</f>
        <v>Suffolk</v>
      </c>
      <c r="AM44" s="120" t="str">
        <f>IFERROR(VLOOKUP(Table1[RespondentID],'All Data'!$A$3:$CO$999,90,FALSE),"unknown")</f>
        <v>Hauppauge, 11788</v>
      </c>
      <c r="AN44" s="120" t="str">
        <f>IFERROR(VLOOKUP(Table1[RespondentID],'All Data'!$A$3:$CO$999,91,FALSE),"unknown")</f>
        <v>White</v>
      </c>
      <c r="AO44" s="120">
        <f>IFERROR(VLOOKUP(Table1[RespondentID],'All Data'!$A$3:$CO$999,92,FALSE),"unknown")</f>
        <v>0</v>
      </c>
      <c r="AP44" s="120" t="str">
        <f>IFERROR(VLOOKUP(Table1[RespondentID],'All Data'!$A$3:$CO$999,93,FALSE),"unknown")</f>
        <v>English</v>
      </c>
      <c r="AQ44" s="120" t="str">
        <f>IFERROR(VLOOKUP(Table1[RespondentID],'All Data'!$A$3:$CW$999,94,FALSE),"unknown")</f>
        <v>$50,000 to $74,999</v>
      </c>
      <c r="AR44" s="120" t="str">
        <f>IFERROR(VLOOKUP(Table1[RespondentID],'All Data'!$A$3:$CW$999,95,FALSE),"unknown")</f>
        <v>College graduate</v>
      </c>
      <c r="AS44" s="120" t="str">
        <f>IFERROR(VLOOKUP(Table1[RespondentID],'All Data'!$A$3:$CW$999,96,FALSE),"unknown")</f>
        <v>Self-employed</v>
      </c>
      <c r="AT44" s="120" t="str">
        <f>IFERROR(VLOOKUP(Table1[RespondentID],'All Data'!$A$3:$CW$999,97,FALSE),"unknown")</f>
        <v>Yes</v>
      </c>
      <c r="AU44" s="120" t="str">
        <f>IFERROR(VLOOKUP(Table1[RespondentID],'All Data'!$A$3:$CW$999,98,FALSE),"unknown")</f>
        <v>Private/Commercial</v>
      </c>
      <c r="AV44" s="120">
        <f>IFERROR(VLOOKUP(Table1[RespondentID],'All Data'!$A$3:$CW$999,99,FALSE),"unknown")</f>
        <v>0</v>
      </c>
    </row>
    <row r="45" spans="1:48">
      <c r="A45" s="5">
        <v>18025183125</v>
      </c>
      <c r="B45" s="5"/>
      <c r="C45" s="5" t="s">
        <v>39</v>
      </c>
      <c r="D45" s="5"/>
      <c r="E45" s="5"/>
      <c r="F45" s="5"/>
      <c r="G45" s="5"/>
      <c r="H45" s="5"/>
      <c r="I45" s="5"/>
      <c r="J45" s="5"/>
      <c r="K45" s="5"/>
      <c r="L45" s="5"/>
      <c r="M45" s="5"/>
      <c r="N45" s="5"/>
      <c r="O45" s="5">
        <f t="shared" si="0"/>
        <v>1</v>
      </c>
      <c r="P45" s="5">
        <f t="shared" si="1"/>
        <v>3</v>
      </c>
      <c r="Q45" s="5"/>
      <c r="R45" s="5">
        <f t="shared" si="2"/>
        <v>0</v>
      </c>
      <c r="S45" s="5">
        <f t="shared" si="3"/>
        <v>1</v>
      </c>
      <c r="T45" s="5">
        <f t="shared" si="4"/>
        <v>0</v>
      </c>
      <c r="U45" s="5">
        <f t="shared" si="5"/>
        <v>0</v>
      </c>
      <c r="V45" s="5">
        <f t="shared" si="6"/>
        <v>0</v>
      </c>
      <c r="W45" s="5">
        <f t="shared" si="7"/>
        <v>0</v>
      </c>
      <c r="X45" s="5">
        <f t="shared" si="8"/>
        <v>0</v>
      </c>
      <c r="Y45" s="5">
        <f t="shared" si="9"/>
        <v>0</v>
      </c>
      <c r="Z45" s="5">
        <f t="shared" si="10"/>
        <v>0</v>
      </c>
      <c r="AA45" s="5">
        <f t="shared" si="11"/>
        <v>0</v>
      </c>
      <c r="AB45" s="5">
        <f t="shared" si="12"/>
        <v>0</v>
      </c>
      <c r="AC45" s="5">
        <f t="shared" si="13"/>
        <v>0</v>
      </c>
      <c r="AD45" s="5"/>
      <c r="AE45" s="5"/>
      <c r="AF45" s="5">
        <f t="shared" si="14"/>
        <v>1</v>
      </c>
      <c r="AG45" s="5">
        <f t="shared" si="15"/>
        <v>1</v>
      </c>
      <c r="AH45" s="5" t="str">
        <f t="shared" si="16"/>
        <v>Correct</v>
      </c>
      <c r="AI45" s="5"/>
      <c r="AJ45" s="120" t="str">
        <f>IFERROR(VLOOKUP(Table1[RespondentID],'All Data'!$A$3:$CO$999,87,FALSE),"unknown")</f>
        <v>Man</v>
      </c>
      <c r="AK45" s="120">
        <f>IFERROR(VLOOKUP(Table1[RespondentID],'All Data'!$A$3:$CO$999,88,FALSE),"unknown")</f>
        <v>28</v>
      </c>
      <c r="AL45" s="120" t="str">
        <f>IFERROR(VLOOKUP(Table1[RespondentID],'All Data'!$A$3:$CO$999,89,FALSE),"unknown")</f>
        <v>Suffolk</v>
      </c>
      <c r="AM45" s="120" t="str">
        <f>IFERROR(VLOOKUP(Table1[RespondentID],'All Data'!$A$3:$CO$999,90,FALSE),"unknown")</f>
        <v>Greenlawn, 11740</v>
      </c>
      <c r="AN45" s="120" t="str">
        <f>IFERROR(VLOOKUP(Table1[RespondentID],'All Data'!$A$3:$CO$999,91,FALSE),"unknown")</f>
        <v>White</v>
      </c>
      <c r="AO45" s="120" t="str">
        <f>IFERROR(VLOOKUP(Table1[RespondentID],'All Data'!$A$3:$CO$999,92,FALSE),"unknown")</f>
        <v>Not Hispanic or Latino</v>
      </c>
      <c r="AP45" s="120" t="str">
        <f>IFERROR(VLOOKUP(Table1[RespondentID],'All Data'!$A$3:$CO$999,93,FALSE),"unknown")</f>
        <v>English</v>
      </c>
      <c r="AQ45" s="120" t="str">
        <f>IFERROR(VLOOKUP(Table1[RespondentID],'All Data'!$A$3:$CW$999,94,FALSE),"unknown")</f>
        <v>$75,000 to $125,000</v>
      </c>
      <c r="AR45" s="120" t="str">
        <f>IFERROR(VLOOKUP(Table1[RespondentID],'All Data'!$A$3:$CW$999,95,FALSE),"unknown")</f>
        <v>Some college</v>
      </c>
      <c r="AS45" s="120" t="str">
        <f>IFERROR(VLOOKUP(Table1[RespondentID],'All Data'!$A$3:$CW$999,96,FALSE),"unknown")</f>
        <v>Out of work and looking for work</v>
      </c>
      <c r="AT45" s="120">
        <f>IFERROR(VLOOKUP(Table1[RespondentID],'All Data'!$A$3:$CW$999,97,FALSE),"unknown")</f>
        <v>0</v>
      </c>
      <c r="AU45" s="120">
        <f>IFERROR(VLOOKUP(Table1[RespondentID],'All Data'!$A$3:$CW$999,98,FALSE),"unknown")</f>
        <v>0</v>
      </c>
      <c r="AV45" s="120">
        <f>IFERROR(VLOOKUP(Table1[RespondentID],'All Data'!$A$3:$CW$999,99,FALSE),"unknown")</f>
        <v>0</v>
      </c>
    </row>
    <row r="46" spans="1:48">
      <c r="A46" s="5">
        <v>18025182993</v>
      </c>
      <c r="B46" s="5" t="s">
        <v>38</v>
      </c>
      <c r="C46" s="5" t="s">
        <v>39</v>
      </c>
      <c r="D46" s="5"/>
      <c r="E46" s="5" t="s">
        <v>41</v>
      </c>
      <c r="F46" s="5"/>
      <c r="G46" s="5"/>
      <c r="H46" s="5"/>
      <c r="I46" s="5"/>
      <c r="J46" s="5"/>
      <c r="K46" s="5"/>
      <c r="L46" s="5"/>
      <c r="M46" s="5"/>
      <c r="N46" s="5"/>
      <c r="O46" s="5">
        <f t="shared" si="0"/>
        <v>3</v>
      </c>
      <c r="P46" s="5">
        <f t="shared" si="1"/>
        <v>1</v>
      </c>
      <c r="Q46" s="5"/>
      <c r="R46" s="5">
        <f t="shared" si="2"/>
        <v>1</v>
      </c>
      <c r="S46" s="5">
        <f t="shared" si="3"/>
        <v>1</v>
      </c>
      <c r="T46" s="5">
        <f t="shared" si="4"/>
        <v>0</v>
      </c>
      <c r="U46" s="5">
        <f t="shared" si="5"/>
        <v>1</v>
      </c>
      <c r="V46" s="5">
        <f t="shared" si="6"/>
        <v>0</v>
      </c>
      <c r="W46" s="5">
        <f t="shared" si="7"/>
        <v>0</v>
      </c>
      <c r="X46" s="5">
        <f t="shared" si="8"/>
        <v>0</v>
      </c>
      <c r="Y46" s="5">
        <f t="shared" si="9"/>
        <v>0</v>
      </c>
      <c r="Z46" s="5">
        <f t="shared" si="10"/>
        <v>0</v>
      </c>
      <c r="AA46" s="5">
        <f t="shared" si="11"/>
        <v>0</v>
      </c>
      <c r="AB46" s="5">
        <f t="shared" si="12"/>
        <v>0</v>
      </c>
      <c r="AC46" s="5">
        <f t="shared" si="13"/>
        <v>0</v>
      </c>
      <c r="AD46" s="5"/>
      <c r="AE46" s="5"/>
      <c r="AF46" s="5">
        <f t="shared" si="14"/>
        <v>3</v>
      </c>
      <c r="AG46" s="5">
        <f t="shared" si="15"/>
        <v>3</v>
      </c>
      <c r="AH46" s="5" t="str">
        <f t="shared" si="16"/>
        <v>Correct</v>
      </c>
      <c r="AI46" s="5"/>
      <c r="AJ46" s="120" t="str">
        <f>IFERROR(VLOOKUP(Table1[RespondentID],'All Data'!$A$3:$CO$999,87,FALSE),"unknown")</f>
        <v>Man</v>
      </c>
      <c r="AK46" s="120">
        <f>IFERROR(VLOOKUP(Table1[RespondentID],'All Data'!$A$3:$CO$999,88,FALSE),"unknown")</f>
        <v>60</v>
      </c>
      <c r="AL46" s="120" t="str">
        <f>IFERROR(VLOOKUP(Table1[RespondentID],'All Data'!$A$3:$CO$999,89,FALSE),"unknown")</f>
        <v>Suffolk</v>
      </c>
      <c r="AM46" s="120" t="str">
        <f>IFERROR(VLOOKUP(Table1[RespondentID],'All Data'!$A$3:$CO$999,90,FALSE),"unknown")</f>
        <v>Greenlawn, 11740</v>
      </c>
      <c r="AN46" s="120" t="str">
        <f>IFERROR(VLOOKUP(Table1[RespondentID],'All Data'!$A$3:$CO$999,91,FALSE),"unknown")</f>
        <v>Two or more races</v>
      </c>
      <c r="AO46" s="120" t="str">
        <f>IFERROR(VLOOKUP(Table1[RespondentID],'All Data'!$A$3:$CO$999,92,FALSE),"unknown")</f>
        <v>Hispanic or Latino</v>
      </c>
      <c r="AP46" s="120" t="str">
        <f>IFERROR(VLOOKUP(Table1[RespondentID],'All Data'!$A$3:$CO$999,93,FALSE),"unknown")</f>
        <v>English</v>
      </c>
      <c r="AQ46" s="120" t="str">
        <f>IFERROR(VLOOKUP(Table1[RespondentID],'All Data'!$A$3:$CW$999,94,FALSE),"unknown")</f>
        <v>Over $125,000</v>
      </c>
      <c r="AR46" s="120" t="str">
        <f>IFERROR(VLOOKUP(Table1[RespondentID],'All Data'!$A$3:$CW$999,95,FALSE),"unknown")</f>
        <v>Graduate school</v>
      </c>
      <c r="AS46" s="120" t="str">
        <f>IFERROR(VLOOKUP(Table1[RespondentID],'All Data'!$A$3:$CW$999,96,FALSE),"unknown")</f>
        <v>Retired</v>
      </c>
      <c r="AT46" s="120" t="str">
        <f>IFERROR(VLOOKUP(Table1[RespondentID],'All Data'!$A$3:$CW$999,97,FALSE),"unknown")</f>
        <v>Yes</v>
      </c>
      <c r="AU46" s="120" t="str">
        <f>IFERROR(VLOOKUP(Table1[RespondentID],'All Data'!$A$3:$CW$999,98,FALSE),"unknown")</f>
        <v>Private/Commercial</v>
      </c>
      <c r="AV46" s="120">
        <f>IFERROR(VLOOKUP(Table1[RespondentID],'All Data'!$A$3:$CW$999,99,FALSE),"unknown")</f>
        <v>0</v>
      </c>
    </row>
    <row r="47" spans="1:48">
      <c r="A47" s="5">
        <v>18025182885</v>
      </c>
      <c r="B47" s="5"/>
      <c r="C47" s="5" t="s">
        <v>39</v>
      </c>
      <c r="D47" s="5"/>
      <c r="E47" s="5" t="s">
        <v>41</v>
      </c>
      <c r="F47" s="5"/>
      <c r="G47" s="5"/>
      <c r="H47" s="5"/>
      <c r="I47" s="5"/>
      <c r="J47" s="5"/>
      <c r="K47" s="5"/>
      <c r="L47" s="5" t="s">
        <v>47</v>
      </c>
      <c r="M47" s="5"/>
      <c r="N47" s="5"/>
      <c r="O47" s="5">
        <f t="shared" si="0"/>
        <v>3</v>
      </c>
      <c r="P47" s="5">
        <f t="shared" si="1"/>
        <v>1</v>
      </c>
      <c r="Q47" s="5"/>
      <c r="R47" s="5">
        <f t="shared" si="2"/>
        <v>0</v>
      </c>
      <c r="S47" s="5">
        <f t="shared" si="3"/>
        <v>1</v>
      </c>
      <c r="T47" s="5">
        <f t="shared" si="4"/>
        <v>0</v>
      </c>
      <c r="U47" s="5">
        <f t="shared" si="5"/>
        <v>1</v>
      </c>
      <c r="V47" s="5">
        <f t="shared" si="6"/>
        <v>0</v>
      </c>
      <c r="W47" s="5">
        <f t="shared" si="7"/>
        <v>0</v>
      </c>
      <c r="X47" s="5">
        <f t="shared" si="8"/>
        <v>0</v>
      </c>
      <c r="Y47" s="5">
        <f t="shared" si="9"/>
        <v>0</v>
      </c>
      <c r="Z47" s="5">
        <f t="shared" si="10"/>
        <v>0</v>
      </c>
      <c r="AA47" s="5">
        <f t="shared" si="11"/>
        <v>0</v>
      </c>
      <c r="AB47" s="5">
        <f t="shared" si="12"/>
        <v>1</v>
      </c>
      <c r="AC47" s="5">
        <f t="shared" si="13"/>
        <v>0</v>
      </c>
      <c r="AD47" s="5"/>
      <c r="AE47" s="5"/>
      <c r="AF47" s="5">
        <f t="shared" si="14"/>
        <v>3</v>
      </c>
      <c r="AG47" s="5">
        <f t="shared" si="15"/>
        <v>3</v>
      </c>
      <c r="AH47" s="5" t="str">
        <f t="shared" si="16"/>
        <v>Correct</v>
      </c>
      <c r="AI47" s="5"/>
      <c r="AJ47" s="120">
        <f>IFERROR(VLOOKUP(Table1[RespondentID],'All Data'!$A$3:$CO$999,87,FALSE),"unknown")</f>
        <v>0</v>
      </c>
      <c r="AK47" s="120">
        <f>IFERROR(VLOOKUP(Table1[RespondentID],'All Data'!$A$3:$CO$999,88,FALSE),"unknown")</f>
        <v>55</v>
      </c>
      <c r="AL47" s="120" t="str">
        <f>IFERROR(VLOOKUP(Table1[RespondentID],'All Data'!$A$3:$CO$999,89,FALSE),"unknown")</f>
        <v>Suffolk</v>
      </c>
      <c r="AM47" s="120" t="str">
        <f>IFERROR(VLOOKUP(Table1[RespondentID],'All Data'!$A$3:$CO$999,90,FALSE),"unknown")</f>
        <v>Greenlawn, 11740</v>
      </c>
      <c r="AN47" s="120" t="str">
        <f>IFERROR(VLOOKUP(Table1[RespondentID],'All Data'!$A$3:$CO$999,91,FALSE),"unknown")</f>
        <v>White</v>
      </c>
      <c r="AO47" s="120" t="str">
        <f>IFERROR(VLOOKUP(Table1[RespondentID],'All Data'!$A$3:$CO$999,92,FALSE),"unknown")</f>
        <v>Not Hispanic or Latino</v>
      </c>
      <c r="AP47" s="120" t="str">
        <f>IFERROR(VLOOKUP(Table1[RespondentID],'All Data'!$A$3:$CO$999,93,FALSE),"unknown")</f>
        <v>English</v>
      </c>
      <c r="AQ47" s="120" t="str">
        <f>IFERROR(VLOOKUP(Table1[RespondentID],'All Data'!$A$3:$CW$999,94,FALSE),"unknown")</f>
        <v>Over $125,000</v>
      </c>
      <c r="AR47" s="120" t="str">
        <f>IFERROR(VLOOKUP(Table1[RespondentID],'All Data'!$A$3:$CW$999,95,FALSE),"unknown")</f>
        <v>College graduate</v>
      </c>
      <c r="AS47" s="120" t="str">
        <f>IFERROR(VLOOKUP(Table1[RespondentID],'All Data'!$A$3:$CW$999,96,FALSE),"unknown")</f>
        <v>Employed for wages</v>
      </c>
      <c r="AT47" s="120" t="str">
        <f>IFERROR(VLOOKUP(Table1[RespondentID],'All Data'!$A$3:$CW$999,97,FALSE),"unknown")</f>
        <v>Yes</v>
      </c>
      <c r="AU47" s="120">
        <f>IFERROR(VLOOKUP(Table1[RespondentID],'All Data'!$A$3:$CW$999,98,FALSE),"unknown")</f>
        <v>0</v>
      </c>
      <c r="AV47" s="120">
        <f>IFERROR(VLOOKUP(Table1[RespondentID],'All Data'!$A$3:$CW$999,99,FALSE),"unknown")</f>
        <v>0</v>
      </c>
    </row>
    <row r="48" spans="1:48">
      <c r="A48" s="5">
        <v>18025182704</v>
      </c>
      <c r="B48" s="5" t="s">
        <v>38</v>
      </c>
      <c r="C48" s="5" t="s">
        <v>39</v>
      </c>
      <c r="D48" s="5"/>
      <c r="E48" s="5" t="s">
        <v>41</v>
      </c>
      <c r="F48" s="5" t="s">
        <v>42</v>
      </c>
      <c r="G48" s="5"/>
      <c r="H48" s="5" t="s">
        <v>43</v>
      </c>
      <c r="I48" s="5"/>
      <c r="J48" s="5"/>
      <c r="K48" s="5" t="s">
        <v>46</v>
      </c>
      <c r="L48" s="5"/>
      <c r="M48" s="5"/>
      <c r="N48" s="5"/>
      <c r="O48" s="5">
        <f t="shared" si="0"/>
        <v>6</v>
      </c>
      <c r="P48" s="5">
        <f t="shared" si="1"/>
        <v>0.5</v>
      </c>
      <c r="Q48" s="5"/>
      <c r="R48" s="5">
        <f t="shared" si="2"/>
        <v>0.5</v>
      </c>
      <c r="S48" s="5">
        <f t="shared" si="3"/>
        <v>0.5</v>
      </c>
      <c r="T48" s="5">
        <f t="shared" si="4"/>
        <v>0</v>
      </c>
      <c r="U48" s="5">
        <f t="shared" si="5"/>
        <v>0.5</v>
      </c>
      <c r="V48" s="5">
        <f t="shared" si="6"/>
        <v>0.5</v>
      </c>
      <c r="W48" s="5">
        <f t="shared" si="7"/>
        <v>0</v>
      </c>
      <c r="X48" s="5">
        <f t="shared" si="8"/>
        <v>0.5</v>
      </c>
      <c r="Y48" s="5">
        <f t="shared" si="9"/>
        <v>0</v>
      </c>
      <c r="Z48" s="5">
        <f t="shared" si="10"/>
        <v>0</v>
      </c>
      <c r="AA48" s="5">
        <f t="shared" si="11"/>
        <v>0.5</v>
      </c>
      <c r="AB48" s="5">
        <f t="shared" si="12"/>
        <v>0</v>
      </c>
      <c r="AC48" s="5">
        <f t="shared" si="13"/>
        <v>0</v>
      </c>
      <c r="AD48" s="5"/>
      <c r="AE48" s="5"/>
      <c r="AF48" s="5">
        <f t="shared" si="14"/>
        <v>3</v>
      </c>
      <c r="AG48" s="5">
        <f t="shared" si="15"/>
        <v>6</v>
      </c>
      <c r="AH48" s="5" t="str">
        <f t="shared" si="16"/>
        <v>Correct</v>
      </c>
      <c r="AI48" s="5"/>
      <c r="AJ48" s="120" t="str">
        <f>IFERROR(VLOOKUP(Table1[RespondentID],'All Data'!$A$3:$CO$999,87,FALSE),"unknown")</f>
        <v>Man</v>
      </c>
      <c r="AK48" s="120">
        <f>IFERROR(VLOOKUP(Table1[RespondentID],'All Data'!$A$3:$CO$999,88,FALSE),"unknown")</f>
        <v>19</v>
      </c>
      <c r="AL48" s="120" t="str">
        <f>IFERROR(VLOOKUP(Table1[RespondentID],'All Data'!$A$3:$CO$999,89,FALSE),"unknown")</f>
        <v>Nassau</v>
      </c>
      <c r="AM48" s="120" t="str">
        <f>IFERROR(VLOOKUP(Table1[RespondentID],'All Data'!$A$3:$CO$999,90,FALSE),"unknown")</f>
        <v>Hicksville, 11801</v>
      </c>
      <c r="AN48" s="120" t="str">
        <f>IFERROR(VLOOKUP(Table1[RespondentID],'All Data'!$A$3:$CO$999,91,FALSE),"unknown")</f>
        <v>White</v>
      </c>
      <c r="AO48" s="120">
        <f>IFERROR(VLOOKUP(Table1[RespondentID],'All Data'!$A$3:$CO$999,92,FALSE),"unknown")</f>
        <v>0</v>
      </c>
      <c r="AP48" s="120" t="str">
        <f>IFERROR(VLOOKUP(Table1[RespondentID],'All Data'!$A$3:$CO$999,93,FALSE),"unknown")</f>
        <v>English</v>
      </c>
      <c r="AQ48" s="120" t="str">
        <f>IFERROR(VLOOKUP(Table1[RespondentID],'All Data'!$A$3:$CW$999,94,FALSE),"unknown")</f>
        <v>$35,000 to $49,999</v>
      </c>
      <c r="AR48" s="120" t="str">
        <f>IFERROR(VLOOKUP(Table1[RespondentID],'All Data'!$A$3:$CW$999,95,FALSE),"unknown")</f>
        <v>Some college</v>
      </c>
      <c r="AS48" s="120" t="str">
        <f>IFERROR(VLOOKUP(Table1[RespondentID],'All Data'!$A$3:$CW$999,96,FALSE),"unknown")</f>
        <v>Student</v>
      </c>
      <c r="AT48" s="120" t="str">
        <f>IFERROR(VLOOKUP(Table1[RespondentID],'All Data'!$A$3:$CW$999,97,FALSE),"unknown")</f>
        <v>Yes</v>
      </c>
      <c r="AU48" s="120" t="str">
        <f>IFERROR(VLOOKUP(Table1[RespondentID],'All Data'!$A$3:$CW$999,98,FALSE),"unknown")</f>
        <v>Private/Commercial</v>
      </c>
      <c r="AV48" s="120">
        <f>IFERROR(VLOOKUP(Table1[RespondentID],'All Data'!$A$3:$CW$999,99,FALSE),"unknown")</f>
        <v>0</v>
      </c>
    </row>
    <row r="49" spans="1:48">
      <c r="A49" s="5">
        <v>18025182523</v>
      </c>
      <c r="B49" s="5" t="s">
        <v>38</v>
      </c>
      <c r="C49" s="5"/>
      <c r="D49" s="5"/>
      <c r="E49" s="5"/>
      <c r="F49" s="5"/>
      <c r="G49" s="5"/>
      <c r="H49" s="5"/>
      <c r="I49" s="5"/>
      <c r="J49" s="5"/>
      <c r="K49" s="5" t="s">
        <v>46</v>
      </c>
      <c r="L49" s="5"/>
      <c r="M49" s="5"/>
      <c r="N49" s="5"/>
      <c r="O49" s="5">
        <f t="shared" si="0"/>
        <v>2</v>
      </c>
      <c r="P49" s="5">
        <f t="shared" si="1"/>
        <v>1.5</v>
      </c>
      <c r="Q49" s="5"/>
      <c r="R49" s="5">
        <f t="shared" si="2"/>
        <v>1</v>
      </c>
      <c r="S49" s="5">
        <f t="shared" si="3"/>
        <v>0</v>
      </c>
      <c r="T49" s="5">
        <f t="shared" si="4"/>
        <v>0</v>
      </c>
      <c r="U49" s="5">
        <f t="shared" si="5"/>
        <v>0</v>
      </c>
      <c r="V49" s="5">
        <f t="shared" si="6"/>
        <v>0</v>
      </c>
      <c r="W49" s="5">
        <f t="shared" si="7"/>
        <v>0</v>
      </c>
      <c r="X49" s="5">
        <f t="shared" si="8"/>
        <v>0</v>
      </c>
      <c r="Y49" s="5">
        <f t="shared" si="9"/>
        <v>0</v>
      </c>
      <c r="Z49" s="5">
        <f t="shared" si="10"/>
        <v>0</v>
      </c>
      <c r="AA49" s="5">
        <f t="shared" si="11"/>
        <v>1</v>
      </c>
      <c r="AB49" s="5">
        <f t="shared" si="12"/>
        <v>0</v>
      </c>
      <c r="AC49" s="5">
        <f t="shared" si="13"/>
        <v>0</v>
      </c>
      <c r="AD49" s="5"/>
      <c r="AE49" s="5"/>
      <c r="AF49" s="5">
        <f t="shared" si="14"/>
        <v>2</v>
      </c>
      <c r="AG49" s="5">
        <f t="shared" si="15"/>
        <v>2</v>
      </c>
      <c r="AH49" s="5" t="str">
        <f t="shared" si="16"/>
        <v>Correct</v>
      </c>
      <c r="AI49" s="5"/>
      <c r="AJ49" s="120">
        <f>IFERROR(VLOOKUP(Table1[RespondentID],'All Data'!$A$3:$CO$999,87,FALSE),"unknown")</f>
        <v>0</v>
      </c>
      <c r="AK49" s="120">
        <f>IFERROR(VLOOKUP(Table1[RespondentID],'All Data'!$A$3:$CO$999,88,FALSE),"unknown")</f>
        <v>65</v>
      </c>
      <c r="AL49" s="120" t="str">
        <f>IFERROR(VLOOKUP(Table1[RespondentID],'All Data'!$A$3:$CO$999,89,FALSE),"unknown")</f>
        <v>Nassau</v>
      </c>
      <c r="AM49" s="120" t="str">
        <f>IFERROR(VLOOKUP(Table1[RespondentID],'All Data'!$A$3:$CO$999,90,FALSE),"unknown")</f>
        <v>Floral Park, 11001</v>
      </c>
      <c r="AN49" s="120" t="str">
        <f>IFERROR(VLOOKUP(Table1[RespondentID],'All Data'!$A$3:$CO$999,91,FALSE),"unknown")</f>
        <v>White</v>
      </c>
      <c r="AO49" s="120">
        <f>IFERROR(VLOOKUP(Table1[RespondentID],'All Data'!$A$3:$CO$999,92,FALSE),"unknown")</f>
        <v>0</v>
      </c>
      <c r="AP49" s="120" t="str">
        <f>IFERROR(VLOOKUP(Table1[RespondentID],'All Data'!$A$3:$CO$999,93,FALSE),"unknown")</f>
        <v>English</v>
      </c>
      <c r="AQ49" s="120" t="str">
        <f>IFERROR(VLOOKUP(Table1[RespondentID],'All Data'!$A$3:$CW$999,94,FALSE),"unknown")</f>
        <v>$50,000 to $74,999</v>
      </c>
      <c r="AR49" s="120" t="str">
        <f>IFERROR(VLOOKUP(Table1[RespondentID],'All Data'!$A$3:$CW$999,95,FALSE),"unknown")</f>
        <v>College graduate</v>
      </c>
      <c r="AS49" s="120" t="str">
        <f>IFERROR(VLOOKUP(Table1[RespondentID],'All Data'!$A$3:$CW$999,96,FALSE),"unknown")</f>
        <v>Retired</v>
      </c>
      <c r="AT49" s="120" t="str">
        <f>IFERROR(VLOOKUP(Table1[RespondentID],'All Data'!$A$3:$CW$999,97,FALSE),"unknown")</f>
        <v>Yes</v>
      </c>
      <c r="AU49" s="120" t="str">
        <f>IFERROR(VLOOKUP(Table1[RespondentID],'All Data'!$A$3:$CW$999,98,FALSE),"unknown")</f>
        <v>Private/Commercial</v>
      </c>
      <c r="AV49" s="120">
        <f>IFERROR(VLOOKUP(Table1[RespondentID],'All Data'!$A$3:$CW$999,99,FALSE),"unknown")</f>
        <v>0</v>
      </c>
    </row>
    <row r="50" spans="1:48">
      <c r="A50" s="5">
        <v>18025182362</v>
      </c>
      <c r="B50" s="5"/>
      <c r="C50" s="5" t="s">
        <v>39</v>
      </c>
      <c r="D50" s="5"/>
      <c r="E50" s="5"/>
      <c r="F50" s="5" t="s">
        <v>42</v>
      </c>
      <c r="G50" s="5"/>
      <c r="H50" s="5"/>
      <c r="I50" s="5"/>
      <c r="J50" s="5"/>
      <c r="K50" s="5"/>
      <c r="L50" s="5" t="s">
        <v>47</v>
      </c>
      <c r="M50" s="5"/>
      <c r="N50" s="5"/>
      <c r="O50" s="5">
        <f t="shared" si="0"/>
        <v>3</v>
      </c>
      <c r="P50" s="5">
        <f t="shared" si="1"/>
        <v>1</v>
      </c>
      <c r="Q50" s="5"/>
      <c r="R50" s="5">
        <f t="shared" si="2"/>
        <v>0</v>
      </c>
      <c r="S50" s="5">
        <f t="shared" si="3"/>
        <v>1</v>
      </c>
      <c r="T50" s="5">
        <f t="shared" si="4"/>
        <v>0</v>
      </c>
      <c r="U50" s="5">
        <f t="shared" si="5"/>
        <v>0</v>
      </c>
      <c r="V50" s="5">
        <f t="shared" si="6"/>
        <v>1</v>
      </c>
      <c r="W50" s="5">
        <f t="shared" si="7"/>
        <v>0</v>
      </c>
      <c r="X50" s="5">
        <f t="shared" si="8"/>
        <v>0</v>
      </c>
      <c r="Y50" s="5">
        <f t="shared" si="9"/>
        <v>0</v>
      </c>
      <c r="Z50" s="5">
        <f t="shared" si="10"/>
        <v>0</v>
      </c>
      <c r="AA50" s="5">
        <f t="shared" si="11"/>
        <v>0</v>
      </c>
      <c r="AB50" s="5">
        <f t="shared" si="12"/>
        <v>1</v>
      </c>
      <c r="AC50" s="5">
        <f t="shared" si="13"/>
        <v>0</v>
      </c>
      <c r="AD50" s="5"/>
      <c r="AE50" s="5"/>
      <c r="AF50" s="5">
        <f t="shared" si="14"/>
        <v>3</v>
      </c>
      <c r="AG50" s="5">
        <f t="shared" si="15"/>
        <v>3</v>
      </c>
      <c r="AH50" s="5" t="str">
        <f t="shared" si="16"/>
        <v>Correct</v>
      </c>
      <c r="AI50" s="5"/>
      <c r="AJ50" s="120" t="str">
        <f>IFERROR(VLOOKUP(Table1[RespondentID],'All Data'!$A$3:$CO$999,87,FALSE),"unknown")</f>
        <v>Man</v>
      </c>
      <c r="AK50" s="120">
        <f>IFERROR(VLOOKUP(Table1[RespondentID],'All Data'!$A$3:$CO$999,88,FALSE),"unknown")</f>
        <v>30</v>
      </c>
      <c r="AL50" s="120" t="str">
        <f>IFERROR(VLOOKUP(Table1[RespondentID],'All Data'!$A$3:$CO$999,89,FALSE),"unknown")</f>
        <v>Suffolk</v>
      </c>
      <c r="AM50" s="120" t="str">
        <f>IFERROR(VLOOKUP(Table1[RespondentID],'All Data'!$A$3:$CO$999,90,FALSE),"unknown")</f>
        <v>Huntington, 11743</v>
      </c>
      <c r="AN50" s="120">
        <f>IFERROR(VLOOKUP(Table1[RespondentID],'All Data'!$A$3:$CO$999,91,FALSE),"unknown")</f>
        <v>0</v>
      </c>
      <c r="AO50" s="120">
        <f>IFERROR(VLOOKUP(Table1[RespondentID],'All Data'!$A$3:$CO$999,92,FALSE),"unknown")</f>
        <v>0</v>
      </c>
      <c r="AP50" s="120" t="str">
        <f>IFERROR(VLOOKUP(Table1[RespondentID],'All Data'!$A$3:$CO$999,93,FALSE),"unknown")</f>
        <v>Spanish</v>
      </c>
      <c r="AQ50" s="120" t="str">
        <f>IFERROR(VLOOKUP(Table1[RespondentID],'All Data'!$A$3:$CW$999,94,FALSE),"unknown")</f>
        <v>$35,000 to $49,999</v>
      </c>
      <c r="AR50" s="120" t="str">
        <f>IFERROR(VLOOKUP(Table1[RespondentID],'All Data'!$A$3:$CW$999,95,FALSE),"unknown")</f>
        <v>Some college</v>
      </c>
      <c r="AS50" s="120" t="str">
        <f>IFERROR(VLOOKUP(Table1[RespondentID],'All Data'!$A$3:$CW$999,96,FALSE),"unknown")</f>
        <v>Out of work and looking for work</v>
      </c>
      <c r="AT50" s="120" t="str">
        <f>IFERROR(VLOOKUP(Table1[RespondentID],'All Data'!$A$3:$CW$999,97,FALSE),"unknown")</f>
        <v>No</v>
      </c>
      <c r="AU50" s="120">
        <f>IFERROR(VLOOKUP(Table1[RespondentID],'All Data'!$A$3:$CW$999,98,FALSE),"unknown")</f>
        <v>0</v>
      </c>
      <c r="AV50" s="120">
        <f>IFERROR(VLOOKUP(Table1[RespondentID],'All Data'!$A$3:$CW$999,99,FALSE),"unknown")</f>
        <v>0</v>
      </c>
    </row>
    <row r="51" spans="1:48">
      <c r="A51" s="5">
        <v>18025182185</v>
      </c>
      <c r="B51" s="5"/>
      <c r="C51" s="5"/>
      <c r="D51" s="5"/>
      <c r="E51" s="5"/>
      <c r="F51" s="5"/>
      <c r="G51" s="5"/>
      <c r="H51" s="5" t="s">
        <v>43</v>
      </c>
      <c r="I51" s="5"/>
      <c r="J51" s="5"/>
      <c r="K51" s="5"/>
      <c r="L51" s="5"/>
      <c r="M51" s="5"/>
      <c r="N51" s="5"/>
      <c r="O51" s="5">
        <f t="shared" si="0"/>
        <v>1</v>
      </c>
      <c r="P51" s="5">
        <f t="shared" si="1"/>
        <v>3</v>
      </c>
      <c r="Q51" s="5"/>
      <c r="R51" s="5">
        <f t="shared" si="2"/>
        <v>0</v>
      </c>
      <c r="S51" s="5">
        <f t="shared" si="3"/>
        <v>0</v>
      </c>
      <c r="T51" s="5">
        <f t="shared" si="4"/>
        <v>0</v>
      </c>
      <c r="U51" s="5">
        <f t="shared" si="5"/>
        <v>0</v>
      </c>
      <c r="V51" s="5">
        <f t="shared" si="6"/>
        <v>0</v>
      </c>
      <c r="W51" s="5">
        <f t="shared" si="7"/>
        <v>0</v>
      </c>
      <c r="X51" s="5">
        <f t="shared" si="8"/>
        <v>1</v>
      </c>
      <c r="Y51" s="5">
        <f t="shared" si="9"/>
        <v>0</v>
      </c>
      <c r="Z51" s="5">
        <f t="shared" si="10"/>
        <v>0</v>
      </c>
      <c r="AA51" s="5">
        <f t="shared" si="11"/>
        <v>0</v>
      </c>
      <c r="AB51" s="5">
        <f t="shared" si="12"/>
        <v>0</v>
      </c>
      <c r="AC51" s="5">
        <f t="shared" si="13"/>
        <v>0</v>
      </c>
      <c r="AD51" s="5"/>
      <c r="AE51" s="5"/>
      <c r="AF51" s="5">
        <f t="shared" si="14"/>
        <v>1</v>
      </c>
      <c r="AG51" s="5">
        <f t="shared" si="15"/>
        <v>1</v>
      </c>
      <c r="AH51" s="5" t="str">
        <f t="shared" si="16"/>
        <v>Correct</v>
      </c>
      <c r="AI51" s="5"/>
      <c r="AJ51" s="120" t="str">
        <f>IFERROR(VLOOKUP(Table1[RespondentID],'All Data'!$A$3:$CO$999,87,FALSE),"unknown")</f>
        <v>Woman</v>
      </c>
      <c r="AK51" s="120">
        <f>IFERROR(VLOOKUP(Table1[RespondentID],'All Data'!$A$3:$CO$999,88,FALSE),"unknown")</f>
        <v>37</v>
      </c>
      <c r="AL51" s="120" t="str">
        <f>IFERROR(VLOOKUP(Table1[RespondentID],'All Data'!$A$3:$CO$999,89,FALSE),"unknown")</f>
        <v>Suffolk</v>
      </c>
      <c r="AM51" s="120" t="str">
        <f>IFERROR(VLOOKUP(Table1[RespondentID],'All Data'!$A$3:$CO$999,90,FALSE),"unknown")</f>
        <v>Huntington, 11743</v>
      </c>
      <c r="AN51" s="120">
        <f>IFERROR(VLOOKUP(Table1[RespondentID],'All Data'!$A$3:$CO$999,91,FALSE),"unknown")</f>
        <v>0</v>
      </c>
      <c r="AO51" s="120">
        <f>IFERROR(VLOOKUP(Table1[RespondentID],'All Data'!$A$3:$CO$999,92,FALSE),"unknown")</f>
        <v>0</v>
      </c>
      <c r="AP51" s="120" t="str">
        <f>IFERROR(VLOOKUP(Table1[RespondentID],'All Data'!$A$3:$CO$999,93,FALSE),"unknown")</f>
        <v>English, Spanish</v>
      </c>
      <c r="AQ51" s="120">
        <f>IFERROR(VLOOKUP(Table1[RespondentID],'All Data'!$A$3:$CW$999,94,FALSE),"unknown")</f>
        <v>0</v>
      </c>
      <c r="AR51" s="120" t="str">
        <f>IFERROR(VLOOKUP(Table1[RespondentID],'All Data'!$A$3:$CW$999,95,FALSE),"unknown")</f>
        <v>Graduate school</v>
      </c>
      <c r="AS51" s="120" t="str">
        <f>IFERROR(VLOOKUP(Table1[RespondentID],'All Data'!$A$3:$CW$999,96,FALSE),"unknown")</f>
        <v>Employed for wages</v>
      </c>
      <c r="AT51" s="120" t="str">
        <f>IFERROR(VLOOKUP(Table1[RespondentID],'All Data'!$A$3:$CW$999,97,FALSE),"unknown")</f>
        <v>Yes</v>
      </c>
      <c r="AU51" s="120" t="str">
        <f>IFERROR(VLOOKUP(Table1[RespondentID],'All Data'!$A$3:$CW$999,98,FALSE),"unknown")</f>
        <v>Private/Commercial</v>
      </c>
      <c r="AV51" s="120">
        <f>IFERROR(VLOOKUP(Table1[RespondentID],'All Data'!$A$3:$CW$999,99,FALSE),"unknown")</f>
        <v>0</v>
      </c>
    </row>
    <row r="52" spans="1:48">
      <c r="A52" s="5">
        <v>18025182059</v>
      </c>
      <c r="B52" s="5"/>
      <c r="C52" s="5" t="s">
        <v>39</v>
      </c>
      <c r="D52" s="5"/>
      <c r="E52" s="5"/>
      <c r="F52" s="5"/>
      <c r="G52" s="5"/>
      <c r="H52" s="5" t="s">
        <v>43</v>
      </c>
      <c r="I52" s="5"/>
      <c r="J52" s="5"/>
      <c r="K52" s="5"/>
      <c r="L52" s="5" t="s">
        <v>47</v>
      </c>
      <c r="M52" s="5"/>
      <c r="N52" s="5"/>
      <c r="O52" s="5">
        <f t="shared" si="0"/>
        <v>3</v>
      </c>
      <c r="P52" s="5">
        <f t="shared" si="1"/>
        <v>1</v>
      </c>
      <c r="Q52" s="5"/>
      <c r="R52" s="5">
        <f t="shared" si="2"/>
        <v>0</v>
      </c>
      <c r="S52" s="5">
        <f t="shared" si="3"/>
        <v>1</v>
      </c>
      <c r="T52" s="5">
        <f t="shared" si="4"/>
        <v>0</v>
      </c>
      <c r="U52" s="5">
        <f t="shared" si="5"/>
        <v>0</v>
      </c>
      <c r="V52" s="5">
        <f t="shared" si="6"/>
        <v>0</v>
      </c>
      <c r="W52" s="5">
        <f t="shared" si="7"/>
        <v>0</v>
      </c>
      <c r="X52" s="5">
        <f t="shared" si="8"/>
        <v>1</v>
      </c>
      <c r="Y52" s="5">
        <f t="shared" si="9"/>
        <v>0</v>
      </c>
      <c r="Z52" s="5">
        <f t="shared" si="10"/>
        <v>0</v>
      </c>
      <c r="AA52" s="5">
        <f t="shared" si="11"/>
        <v>0</v>
      </c>
      <c r="AB52" s="5">
        <f t="shared" si="12"/>
        <v>1</v>
      </c>
      <c r="AC52" s="5">
        <f t="shared" si="13"/>
        <v>0</v>
      </c>
      <c r="AD52" s="5"/>
      <c r="AE52" s="5"/>
      <c r="AF52" s="5">
        <f t="shared" si="14"/>
        <v>3</v>
      </c>
      <c r="AG52" s="5">
        <f t="shared" si="15"/>
        <v>3</v>
      </c>
      <c r="AH52" s="5" t="str">
        <f t="shared" si="16"/>
        <v>Correct</v>
      </c>
      <c r="AI52" s="5"/>
      <c r="AJ52" s="120" t="str">
        <f>IFERROR(VLOOKUP(Table1[RespondentID],'All Data'!$A$3:$CO$999,87,FALSE),"unknown")</f>
        <v>Man</v>
      </c>
      <c r="AK52" s="120">
        <f>IFERROR(VLOOKUP(Table1[RespondentID],'All Data'!$A$3:$CO$999,88,FALSE),"unknown")</f>
        <v>58</v>
      </c>
      <c r="AL52" s="120" t="str">
        <f>IFERROR(VLOOKUP(Table1[RespondentID],'All Data'!$A$3:$CO$999,89,FALSE),"unknown")</f>
        <v>Suffolk</v>
      </c>
      <c r="AM52" s="120" t="str">
        <f>IFERROR(VLOOKUP(Table1[RespondentID],'All Data'!$A$3:$CO$999,90,FALSE),"unknown")</f>
        <v>Centerport, 11721</v>
      </c>
      <c r="AN52" s="120" t="str">
        <f>IFERROR(VLOOKUP(Table1[RespondentID],'All Data'!$A$3:$CO$999,91,FALSE),"unknown")</f>
        <v>White</v>
      </c>
      <c r="AO52" s="120" t="str">
        <f>IFERROR(VLOOKUP(Table1[RespondentID],'All Data'!$A$3:$CO$999,92,FALSE),"unknown")</f>
        <v>Not Hispanic or Latino</v>
      </c>
      <c r="AP52" s="120" t="str">
        <f>IFERROR(VLOOKUP(Table1[RespondentID],'All Data'!$A$3:$CO$999,93,FALSE),"unknown")</f>
        <v>English</v>
      </c>
      <c r="AQ52" s="120" t="str">
        <f>IFERROR(VLOOKUP(Table1[RespondentID],'All Data'!$A$3:$CW$999,94,FALSE),"unknown")</f>
        <v>Over $125,000</v>
      </c>
      <c r="AR52" s="120" t="str">
        <f>IFERROR(VLOOKUP(Table1[RespondentID],'All Data'!$A$3:$CW$999,95,FALSE),"unknown")</f>
        <v>Doctorate</v>
      </c>
      <c r="AS52" s="120" t="str">
        <f>IFERROR(VLOOKUP(Table1[RespondentID],'All Data'!$A$3:$CW$999,96,FALSE),"unknown")</f>
        <v>Self-employed</v>
      </c>
      <c r="AT52" s="120" t="str">
        <f>IFERROR(VLOOKUP(Table1[RespondentID],'All Data'!$A$3:$CW$999,97,FALSE),"unknown")</f>
        <v>Yes</v>
      </c>
      <c r="AU52" s="120">
        <f>IFERROR(VLOOKUP(Table1[RespondentID],'All Data'!$A$3:$CW$999,98,FALSE),"unknown")</f>
        <v>0</v>
      </c>
      <c r="AV52" s="120">
        <f>IFERROR(VLOOKUP(Table1[RespondentID],'All Data'!$A$3:$CW$999,99,FALSE),"unknown")</f>
        <v>0</v>
      </c>
    </row>
    <row r="53" spans="1:48">
      <c r="A53" s="5">
        <v>18025181795</v>
      </c>
      <c r="B53" s="5"/>
      <c r="C53" s="5" t="s">
        <v>39</v>
      </c>
      <c r="D53" s="5"/>
      <c r="E53" s="5"/>
      <c r="F53" s="5"/>
      <c r="G53" s="5"/>
      <c r="H53" s="5" t="s">
        <v>43</v>
      </c>
      <c r="I53" s="5"/>
      <c r="J53" s="5"/>
      <c r="K53" s="5"/>
      <c r="L53" s="5" t="s">
        <v>47</v>
      </c>
      <c r="M53" s="5"/>
      <c r="N53" s="5"/>
      <c r="O53" s="5">
        <f t="shared" si="0"/>
        <v>3</v>
      </c>
      <c r="P53" s="5">
        <f t="shared" si="1"/>
        <v>1</v>
      </c>
      <c r="Q53" s="5"/>
      <c r="R53" s="5">
        <f t="shared" si="2"/>
        <v>0</v>
      </c>
      <c r="S53" s="5">
        <f t="shared" si="3"/>
        <v>1</v>
      </c>
      <c r="T53" s="5">
        <f t="shared" si="4"/>
        <v>0</v>
      </c>
      <c r="U53" s="5">
        <f t="shared" si="5"/>
        <v>0</v>
      </c>
      <c r="V53" s="5">
        <f t="shared" si="6"/>
        <v>0</v>
      </c>
      <c r="W53" s="5">
        <f t="shared" si="7"/>
        <v>0</v>
      </c>
      <c r="X53" s="5">
        <f t="shared" si="8"/>
        <v>1</v>
      </c>
      <c r="Y53" s="5">
        <f t="shared" si="9"/>
        <v>0</v>
      </c>
      <c r="Z53" s="5">
        <f t="shared" si="10"/>
        <v>0</v>
      </c>
      <c r="AA53" s="5">
        <f t="shared" si="11"/>
        <v>0</v>
      </c>
      <c r="AB53" s="5">
        <f t="shared" si="12"/>
        <v>1</v>
      </c>
      <c r="AC53" s="5">
        <f t="shared" si="13"/>
        <v>0</v>
      </c>
      <c r="AD53" s="5"/>
      <c r="AE53" s="5"/>
      <c r="AF53" s="5">
        <f t="shared" si="14"/>
        <v>3</v>
      </c>
      <c r="AG53" s="5">
        <f t="shared" si="15"/>
        <v>3</v>
      </c>
      <c r="AH53" s="5" t="str">
        <f t="shared" si="16"/>
        <v>Correct</v>
      </c>
      <c r="AI53" s="5"/>
      <c r="AJ53" s="120" t="str">
        <f>IFERROR(VLOOKUP(Table1[RespondentID],'All Data'!$A$3:$CO$999,87,FALSE),"unknown")</f>
        <v>Man</v>
      </c>
      <c r="AK53" s="120">
        <f>IFERROR(VLOOKUP(Table1[RespondentID],'All Data'!$A$3:$CO$999,88,FALSE),"unknown")</f>
        <v>58</v>
      </c>
      <c r="AL53" s="120" t="str">
        <f>IFERROR(VLOOKUP(Table1[RespondentID],'All Data'!$A$3:$CO$999,89,FALSE),"unknown")</f>
        <v>Suffolk</v>
      </c>
      <c r="AM53" s="120" t="str">
        <f>IFERROR(VLOOKUP(Table1[RespondentID],'All Data'!$A$3:$CO$999,90,FALSE),"unknown")</f>
        <v>Centerport, 11721</v>
      </c>
      <c r="AN53" s="120" t="str">
        <f>IFERROR(VLOOKUP(Table1[RespondentID],'All Data'!$A$3:$CO$999,91,FALSE),"unknown")</f>
        <v>White</v>
      </c>
      <c r="AO53" s="120" t="str">
        <f>IFERROR(VLOOKUP(Table1[RespondentID],'All Data'!$A$3:$CO$999,92,FALSE),"unknown")</f>
        <v>Not Hispanic or Latino</v>
      </c>
      <c r="AP53" s="120" t="str">
        <f>IFERROR(VLOOKUP(Table1[RespondentID],'All Data'!$A$3:$CO$999,93,FALSE),"unknown")</f>
        <v>English</v>
      </c>
      <c r="AQ53" s="120" t="str">
        <f>IFERROR(VLOOKUP(Table1[RespondentID],'All Data'!$A$3:$CW$999,94,FALSE),"unknown")</f>
        <v>Over $125,000</v>
      </c>
      <c r="AR53" s="120" t="str">
        <f>IFERROR(VLOOKUP(Table1[RespondentID],'All Data'!$A$3:$CW$999,95,FALSE),"unknown")</f>
        <v>Doctorate</v>
      </c>
      <c r="AS53" s="120" t="str">
        <f>IFERROR(VLOOKUP(Table1[RespondentID],'All Data'!$A$3:$CW$999,96,FALSE),"unknown")</f>
        <v>Employed for wages</v>
      </c>
      <c r="AT53" s="120" t="str">
        <f>IFERROR(VLOOKUP(Table1[RespondentID],'All Data'!$A$3:$CW$999,97,FALSE),"unknown")</f>
        <v>Yes</v>
      </c>
      <c r="AU53" s="120">
        <f>IFERROR(VLOOKUP(Table1[RespondentID],'All Data'!$A$3:$CW$999,98,FALSE),"unknown")</f>
        <v>0</v>
      </c>
      <c r="AV53" s="120">
        <f>IFERROR(VLOOKUP(Table1[RespondentID],'All Data'!$A$3:$CW$999,99,FALSE),"unknown")</f>
        <v>0</v>
      </c>
    </row>
    <row r="54" spans="1:48">
      <c r="A54" s="5">
        <v>18025181633</v>
      </c>
      <c r="B54" s="5"/>
      <c r="C54" s="5" t="s">
        <v>39</v>
      </c>
      <c r="D54" s="5"/>
      <c r="E54" s="5" t="s">
        <v>41</v>
      </c>
      <c r="F54" s="5"/>
      <c r="G54" s="5"/>
      <c r="H54" s="5"/>
      <c r="I54" s="5"/>
      <c r="J54" s="5"/>
      <c r="K54" s="5"/>
      <c r="L54" s="5" t="s">
        <v>47</v>
      </c>
      <c r="M54" s="5"/>
      <c r="N54" s="5"/>
      <c r="O54" s="5">
        <f t="shared" si="0"/>
        <v>3</v>
      </c>
      <c r="P54" s="5">
        <f t="shared" si="1"/>
        <v>1</v>
      </c>
      <c r="Q54" s="5"/>
      <c r="R54" s="5">
        <f t="shared" si="2"/>
        <v>0</v>
      </c>
      <c r="S54" s="5">
        <f t="shared" si="3"/>
        <v>1</v>
      </c>
      <c r="T54" s="5">
        <f t="shared" si="4"/>
        <v>0</v>
      </c>
      <c r="U54" s="5">
        <f t="shared" si="5"/>
        <v>1</v>
      </c>
      <c r="V54" s="5">
        <f t="shared" si="6"/>
        <v>0</v>
      </c>
      <c r="W54" s="5">
        <f t="shared" si="7"/>
        <v>0</v>
      </c>
      <c r="X54" s="5">
        <f t="shared" si="8"/>
        <v>0</v>
      </c>
      <c r="Y54" s="5">
        <f t="shared" si="9"/>
        <v>0</v>
      </c>
      <c r="Z54" s="5">
        <f t="shared" si="10"/>
        <v>0</v>
      </c>
      <c r="AA54" s="5">
        <f t="shared" si="11"/>
        <v>0</v>
      </c>
      <c r="AB54" s="5">
        <f t="shared" si="12"/>
        <v>1</v>
      </c>
      <c r="AC54" s="5">
        <f t="shared" si="13"/>
        <v>0</v>
      </c>
      <c r="AD54" s="5"/>
      <c r="AE54" s="5"/>
      <c r="AF54" s="5">
        <f t="shared" si="14"/>
        <v>3</v>
      </c>
      <c r="AG54" s="5">
        <f t="shared" si="15"/>
        <v>3</v>
      </c>
      <c r="AH54" s="5" t="str">
        <f t="shared" si="16"/>
        <v>Correct</v>
      </c>
      <c r="AI54" s="5"/>
      <c r="AJ54" s="120" t="str">
        <f>IFERROR(VLOOKUP(Table1[RespondentID],'All Data'!$A$3:$CO$999,87,FALSE),"unknown")</f>
        <v>Man</v>
      </c>
      <c r="AK54" s="120">
        <f>IFERROR(VLOOKUP(Table1[RespondentID],'All Data'!$A$3:$CO$999,88,FALSE),"unknown")</f>
        <v>26</v>
      </c>
      <c r="AL54" s="120" t="str">
        <f>IFERROR(VLOOKUP(Table1[RespondentID],'All Data'!$A$3:$CO$999,89,FALSE),"unknown")</f>
        <v>Queens</v>
      </c>
      <c r="AM54" s="120">
        <f>IFERROR(VLOOKUP(Table1[RespondentID],'All Data'!$A$3:$CO$999,90,FALSE),"unknown")</f>
        <v>11231</v>
      </c>
      <c r="AN54" s="120" t="str">
        <f>IFERROR(VLOOKUP(Table1[RespondentID],'All Data'!$A$3:$CO$999,91,FALSE),"unknown")</f>
        <v>White</v>
      </c>
      <c r="AO54" s="120" t="str">
        <f>IFERROR(VLOOKUP(Table1[RespondentID],'All Data'!$A$3:$CO$999,92,FALSE),"unknown")</f>
        <v>Hispanic or Latino</v>
      </c>
      <c r="AP54" s="120" t="str">
        <f>IFERROR(VLOOKUP(Table1[RespondentID],'All Data'!$A$3:$CO$999,93,FALSE),"unknown")</f>
        <v>English</v>
      </c>
      <c r="AQ54" s="120" t="str">
        <f>IFERROR(VLOOKUP(Table1[RespondentID],'All Data'!$A$3:$CW$999,94,FALSE),"unknown")</f>
        <v>$75,000 to $125,000</v>
      </c>
      <c r="AR54" s="120" t="str">
        <f>IFERROR(VLOOKUP(Table1[RespondentID],'All Data'!$A$3:$CW$999,95,FALSE),"unknown")</f>
        <v>College graduate</v>
      </c>
      <c r="AS54" s="120" t="str">
        <f>IFERROR(VLOOKUP(Table1[RespondentID],'All Data'!$A$3:$CW$999,96,FALSE),"unknown")</f>
        <v>Employed for wages</v>
      </c>
      <c r="AT54" s="120" t="str">
        <f>IFERROR(VLOOKUP(Table1[RespondentID],'All Data'!$A$3:$CW$999,97,FALSE),"unknown")</f>
        <v>Yes</v>
      </c>
      <c r="AU54" s="120" t="str">
        <f>IFERROR(VLOOKUP(Table1[RespondentID],'All Data'!$A$3:$CW$999,98,FALSE),"unknown")</f>
        <v>Private/Commercial</v>
      </c>
      <c r="AV54" s="120">
        <f>IFERROR(VLOOKUP(Table1[RespondentID],'All Data'!$A$3:$CW$999,99,FALSE),"unknown")</f>
        <v>0</v>
      </c>
    </row>
    <row r="55" spans="1:48">
      <c r="A55" s="5">
        <v>18025180780</v>
      </c>
      <c r="B55" s="5"/>
      <c r="C55" s="5" t="s">
        <v>39</v>
      </c>
      <c r="D55" s="5"/>
      <c r="E55" s="5"/>
      <c r="F55" s="5"/>
      <c r="G55" s="5"/>
      <c r="H55" s="5"/>
      <c r="I55" s="5" t="s">
        <v>44</v>
      </c>
      <c r="J55" s="5"/>
      <c r="K55" s="5" t="s">
        <v>46</v>
      </c>
      <c r="L55" s="5"/>
      <c r="M55" s="5"/>
      <c r="N55" s="5"/>
      <c r="O55" s="5">
        <f t="shared" si="0"/>
        <v>3</v>
      </c>
      <c r="P55" s="5">
        <f t="shared" si="1"/>
        <v>1</v>
      </c>
      <c r="Q55" s="5"/>
      <c r="R55" s="5">
        <f t="shared" si="2"/>
        <v>0</v>
      </c>
      <c r="S55" s="5">
        <f t="shared" si="3"/>
        <v>1</v>
      </c>
      <c r="T55" s="5">
        <f t="shared" si="4"/>
        <v>0</v>
      </c>
      <c r="U55" s="5">
        <f t="shared" si="5"/>
        <v>0</v>
      </c>
      <c r="V55" s="5">
        <f t="shared" si="6"/>
        <v>0</v>
      </c>
      <c r="W55" s="5">
        <f t="shared" si="7"/>
        <v>0</v>
      </c>
      <c r="X55" s="5">
        <f t="shared" si="8"/>
        <v>0</v>
      </c>
      <c r="Y55" s="5">
        <f t="shared" si="9"/>
        <v>1</v>
      </c>
      <c r="Z55" s="5">
        <f t="shared" si="10"/>
        <v>0</v>
      </c>
      <c r="AA55" s="5">
        <f t="shared" si="11"/>
        <v>1</v>
      </c>
      <c r="AB55" s="5">
        <f t="shared" si="12"/>
        <v>0</v>
      </c>
      <c r="AC55" s="5">
        <f t="shared" si="13"/>
        <v>0</v>
      </c>
      <c r="AD55" s="5"/>
      <c r="AE55" s="5"/>
      <c r="AF55" s="5">
        <f t="shared" si="14"/>
        <v>3</v>
      </c>
      <c r="AG55" s="5">
        <f t="shared" si="15"/>
        <v>3</v>
      </c>
      <c r="AH55" s="5" t="str">
        <f t="shared" si="16"/>
        <v>Correct</v>
      </c>
      <c r="AI55" s="5"/>
      <c r="AJ55" s="120" t="str">
        <f>IFERROR(VLOOKUP(Table1[RespondentID],'All Data'!$A$3:$CO$999,87,FALSE),"unknown")</f>
        <v>Man</v>
      </c>
      <c r="AK55" s="120">
        <f>IFERROR(VLOOKUP(Table1[RespondentID],'All Data'!$A$3:$CO$999,88,FALSE),"unknown")</f>
        <v>42</v>
      </c>
      <c r="AL55" s="120" t="str">
        <f>IFERROR(VLOOKUP(Table1[RespondentID],'All Data'!$A$3:$CO$999,89,FALSE),"unknown")</f>
        <v>Nassau</v>
      </c>
      <c r="AM55" s="120" t="str">
        <f>IFERROR(VLOOKUP(Table1[RespondentID],'All Data'!$A$3:$CO$999,90,FALSE),"unknown")</f>
        <v>Jericho, 11753</v>
      </c>
      <c r="AN55" s="120" t="str">
        <f>IFERROR(VLOOKUP(Table1[RespondentID],'All Data'!$A$3:$CO$999,91,FALSE),"unknown")</f>
        <v>Asian</v>
      </c>
      <c r="AO55" s="120" t="str">
        <f>IFERROR(VLOOKUP(Table1[RespondentID],'All Data'!$A$3:$CO$999,92,FALSE),"unknown")</f>
        <v>Not Hispanic or Latino</v>
      </c>
      <c r="AP55" s="120" t="str">
        <f>IFERROR(VLOOKUP(Table1[RespondentID],'All Data'!$A$3:$CO$999,93,FALSE),"unknown")</f>
        <v>English, Hindi</v>
      </c>
      <c r="AQ55" s="120" t="str">
        <f>IFERROR(VLOOKUP(Table1[RespondentID],'All Data'!$A$3:$CW$999,94,FALSE),"unknown")</f>
        <v>$50,000 to $74,999</v>
      </c>
      <c r="AR55" s="120" t="str">
        <f>IFERROR(VLOOKUP(Table1[RespondentID],'All Data'!$A$3:$CW$999,95,FALSE),"unknown")</f>
        <v>High school graduate</v>
      </c>
      <c r="AS55" s="120" t="str">
        <f>IFERROR(VLOOKUP(Table1[RespondentID],'All Data'!$A$3:$CW$999,96,FALSE),"unknown")</f>
        <v>Self-employed</v>
      </c>
      <c r="AT55" s="120" t="str">
        <f>IFERROR(VLOOKUP(Table1[RespondentID],'All Data'!$A$3:$CW$999,97,FALSE),"unknown")</f>
        <v>Yes</v>
      </c>
      <c r="AU55" s="120">
        <f>IFERROR(VLOOKUP(Table1[RespondentID],'All Data'!$A$3:$CW$999,98,FALSE),"unknown")</f>
        <v>0</v>
      </c>
      <c r="AV55" s="120">
        <f>IFERROR(VLOOKUP(Table1[RespondentID],'All Data'!$A$3:$CW$999,99,FALSE),"unknown")</f>
        <v>0</v>
      </c>
    </row>
    <row r="56" spans="1:48">
      <c r="A56" s="5">
        <v>18025180610</v>
      </c>
      <c r="B56" s="5"/>
      <c r="C56" s="5" t="s">
        <v>39</v>
      </c>
      <c r="D56" s="5"/>
      <c r="E56" s="5"/>
      <c r="F56" s="5"/>
      <c r="G56" s="5"/>
      <c r="H56" s="5" t="s">
        <v>43</v>
      </c>
      <c r="I56" s="5" t="s">
        <v>44</v>
      </c>
      <c r="J56" s="5"/>
      <c r="K56" s="5"/>
      <c r="L56" s="5"/>
      <c r="M56" s="5"/>
      <c r="N56" s="5"/>
      <c r="O56" s="5">
        <f t="shared" si="0"/>
        <v>3</v>
      </c>
      <c r="P56" s="5">
        <f t="shared" si="1"/>
        <v>1</v>
      </c>
      <c r="Q56" s="5"/>
      <c r="R56" s="5">
        <f t="shared" si="2"/>
        <v>0</v>
      </c>
      <c r="S56" s="5">
        <f t="shared" si="3"/>
        <v>1</v>
      </c>
      <c r="T56" s="5">
        <f t="shared" si="4"/>
        <v>0</v>
      </c>
      <c r="U56" s="5">
        <f t="shared" si="5"/>
        <v>0</v>
      </c>
      <c r="V56" s="5">
        <f t="shared" si="6"/>
        <v>0</v>
      </c>
      <c r="W56" s="5">
        <f t="shared" si="7"/>
        <v>0</v>
      </c>
      <c r="X56" s="5">
        <f t="shared" si="8"/>
        <v>1</v>
      </c>
      <c r="Y56" s="5">
        <f t="shared" si="9"/>
        <v>1</v>
      </c>
      <c r="Z56" s="5">
        <f t="shared" si="10"/>
        <v>0</v>
      </c>
      <c r="AA56" s="5">
        <f t="shared" si="11"/>
        <v>0</v>
      </c>
      <c r="AB56" s="5">
        <f t="shared" si="12"/>
        <v>0</v>
      </c>
      <c r="AC56" s="5">
        <f t="shared" si="13"/>
        <v>0</v>
      </c>
      <c r="AD56" s="5"/>
      <c r="AE56" s="5"/>
      <c r="AF56" s="5">
        <f t="shared" si="14"/>
        <v>3</v>
      </c>
      <c r="AG56" s="5">
        <f t="shared" si="15"/>
        <v>3</v>
      </c>
      <c r="AH56" s="5" t="str">
        <f t="shared" si="16"/>
        <v>Correct</v>
      </c>
      <c r="AI56" s="5"/>
      <c r="AJ56" s="120" t="str">
        <f>IFERROR(VLOOKUP(Table1[RespondentID],'All Data'!$A$3:$CO$999,87,FALSE),"unknown")</f>
        <v>Woman</v>
      </c>
      <c r="AK56" s="120">
        <f>IFERROR(VLOOKUP(Table1[RespondentID],'All Data'!$A$3:$CO$999,88,FALSE),"unknown")</f>
        <v>44</v>
      </c>
      <c r="AL56" s="120" t="str">
        <f>IFERROR(VLOOKUP(Table1[RespondentID],'All Data'!$A$3:$CO$999,89,FALSE),"unknown")</f>
        <v>Suffolk</v>
      </c>
      <c r="AM56" s="120" t="str">
        <f>IFERROR(VLOOKUP(Table1[RespondentID],'All Data'!$A$3:$CO$999,90,FALSE),"unknown")</f>
        <v>Huntington, 11743</v>
      </c>
      <c r="AN56" s="120" t="str">
        <f>IFERROR(VLOOKUP(Table1[RespondentID],'All Data'!$A$3:$CO$999,91,FALSE),"unknown")</f>
        <v>Asian</v>
      </c>
      <c r="AO56" s="120" t="str">
        <f>IFERROR(VLOOKUP(Table1[RespondentID],'All Data'!$A$3:$CO$999,92,FALSE),"unknown")</f>
        <v>Not Hispanic or Latino</v>
      </c>
      <c r="AP56" s="120" t="str">
        <f>IFERROR(VLOOKUP(Table1[RespondentID],'All Data'!$A$3:$CO$999,93,FALSE),"unknown")</f>
        <v>Hindi</v>
      </c>
      <c r="AQ56" s="120" t="str">
        <f>IFERROR(VLOOKUP(Table1[RespondentID],'All Data'!$A$3:$CW$999,94,FALSE),"unknown")</f>
        <v>$50,000 to $74,999</v>
      </c>
      <c r="AR56" s="120" t="str">
        <f>IFERROR(VLOOKUP(Table1[RespondentID],'All Data'!$A$3:$CW$999,95,FALSE),"unknown")</f>
        <v>College graduate</v>
      </c>
      <c r="AS56" s="120" t="str">
        <f>IFERROR(VLOOKUP(Table1[RespondentID],'All Data'!$A$3:$CW$999,96,FALSE),"unknown")</f>
        <v>Employed for wages</v>
      </c>
      <c r="AT56" s="120" t="str">
        <f>IFERROR(VLOOKUP(Table1[RespondentID],'All Data'!$A$3:$CW$999,97,FALSE),"unknown")</f>
        <v>Yes</v>
      </c>
      <c r="AU56" s="120">
        <f>IFERROR(VLOOKUP(Table1[RespondentID],'All Data'!$A$3:$CW$999,98,FALSE),"unknown")</f>
        <v>0</v>
      </c>
      <c r="AV56" s="120">
        <f>IFERROR(VLOOKUP(Table1[RespondentID],'All Data'!$A$3:$CW$999,99,FALSE),"unknown")</f>
        <v>0</v>
      </c>
    </row>
    <row r="57" spans="1:48">
      <c r="A57" s="5">
        <v>18025180456</v>
      </c>
      <c r="B57" s="5"/>
      <c r="C57" s="5" t="s">
        <v>39</v>
      </c>
      <c r="D57" s="5"/>
      <c r="E57" s="5" t="s">
        <v>41</v>
      </c>
      <c r="F57" s="5"/>
      <c r="G57" s="5" t="s">
        <v>37</v>
      </c>
      <c r="H57" s="5"/>
      <c r="I57" s="5"/>
      <c r="J57" s="5"/>
      <c r="K57" s="5"/>
      <c r="L57" s="5"/>
      <c r="M57" s="5"/>
      <c r="N57" s="5"/>
      <c r="O57" s="5">
        <f t="shared" si="0"/>
        <v>3</v>
      </c>
      <c r="P57" s="5">
        <f t="shared" si="1"/>
        <v>1</v>
      </c>
      <c r="Q57" s="5"/>
      <c r="R57" s="5">
        <f t="shared" si="2"/>
        <v>0</v>
      </c>
      <c r="S57" s="5">
        <f t="shared" si="3"/>
        <v>1</v>
      </c>
      <c r="T57" s="5">
        <f t="shared" si="4"/>
        <v>0</v>
      </c>
      <c r="U57" s="5">
        <f t="shared" si="5"/>
        <v>1</v>
      </c>
      <c r="V57" s="5">
        <f t="shared" si="6"/>
        <v>0</v>
      </c>
      <c r="W57" s="5">
        <f t="shared" si="7"/>
        <v>1</v>
      </c>
      <c r="X57" s="5">
        <f t="shared" si="8"/>
        <v>0</v>
      </c>
      <c r="Y57" s="5">
        <f t="shared" si="9"/>
        <v>0</v>
      </c>
      <c r="Z57" s="5">
        <f t="shared" si="10"/>
        <v>0</v>
      </c>
      <c r="AA57" s="5">
        <f t="shared" si="11"/>
        <v>0</v>
      </c>
      <c r="AB57" s="5">
        <f t="shared" si="12"/>
        <v>0</v>
      </c>
      <c r="AC57" s="5">
        <f t="shared" si="13"/>
        <v>0</v>
      </c>
      <c r="AD57" s="5"/>
      <c r="AE57" s="5"/>
      <c r="AF57" s="5">
        <f t="shared" si="14"/>
        <v>3</v>
      </c>
      <c r="AG57" s="5">
        <f t="shared" si="15"/>
        <v>3</v>
      </c>
      <c r="AH57" s="5" t="str">
        <f t="shared" si="16"/>
        <v>Correct</v>
      </c>
      <c r="AI57" s="5"/>
      <c r="AJ57" s="120" t="str">
        <f>IFERROR(VLOOKUP(Table1[RespondentID],'All Data'!$A$3:$CO$999,87,FALSE),"unknown")</f>
        <v>Man</v>
      </c>
      <c r="AK57" s="120">
        <f>IFERROR(VLOOKUP(Table1[RespondentID],'All Data'!$A$3:$CO$999,88,FALSE),"unknown")</f>
        <v>65</v>
      </c>
      <c r="AL57" s="120" t="str">
        <f>IFERROR(VLOOKUP(Table1[RespondentID],'All Data'!$A$3:$CO$999,89,FALSE),"unknown")</f>
        <v>Suffolk</v>
      </c>
      <c r="AM57" s="120" t="str">
        <f>IFERROR(VLOOKUP(Table1[RespondentID],'All Data'!$A$3:$CO$999,90,FALSE),"unknown")</f>
        <v>Huntington, 11743</v>
      </c>
      <c r="AN57" s="120" t="str">
        <f>IFERROR(VLOOKUP(Table1[RespondentID],'All Data'!$A$3:$CO$999,91,FALSE),"unknown")</f>
        <v>Asian</v>
      </c>
      <c r="AO57" s="120" t="str">
        <f>IFERROR(VLOOKUP(Table1[RespondentID],'All Data'!$A$3:$CO$999,92,FALSE),"unknown")</f>
        <v>Not Hispanic or Latino</v>
      </c>
      <c r="AP57" s="120" t="str">
        <f>IFERROR(VLOOKUP(Table1[RespondentID],'All Data'!$A$3:$CO$999,93,FALSE),"unknown")</f>
        <v>Hindi</v>
      </c>
      <c r="AQ57" s="120" t="str">
        <f>IFERROR(VLOOKUP(Table1[RespondentID],'All Data'!$A$3:$CW$999,94,FALSE),"unknown")</f>
        <v>$50,000 to $74,999</v>
      </c>
      <c r="AR57" s="120" t="str">
        <f>IFERROR(VLOOKUP(Table1[RespondentID],'All Data'!$A$3:$CW$999,95,FALSE),"unknown")</f>
        <v>Some high school</v>
      </c>
      <c r="AS57" s="120" t="str">
        <f>IFERROR(VLOOKUP(Table1[RespondentID],'All Data'!$A$3:$CW$999,96,FALSE),"unknown")</f>
        <v>Self-employed</v>
      </c>
      <c r="AT57" s="120" t="str">
        <f>IFERROR(VLOOKUP(Table1[RespondentID],'All Data'!$A$3:$CW$999,97,FALSE),"unknown")</f>
        <v>Yes</v>
      </c>
      <c r="AU57" s="120">
        <f>IFERROR(VLOOKUP(Table1[RespondentID],'All Data'!$A$3:$CW$999,98,FALSE),"unknown")</f>
        <v>0</v>
      </c>
      <c r="AV57" s="120">
        <f>IFERROR(VLOOKUP(Table1[RespondentID],'All Data'!$A$3:$CW$999,99,FALSE),"unknown")</f>
        <v>0</v>
      </c>
    </row>
    <row r="58" spans="1:48">
      <c r="A58" s="5">
        <v>18025180354</v>
      </c>
      <c r="B58" s="5"/>
      <c r="C58" s="5" t="s">
        <v>39</v>
      </c>
      <c r="D58" s="5"/>
      <c r="E58" s="5"/>
      <c r="F58" s="5"/>
      <c r="G58" s="5"/>
      <c r="H58" s="5" t="s">
        <v>43</v>
      </c>
      <c r="I58" s="5"/>
      <c r="J58" s="5"/>
      <c r="K58" s="5" t="s">
        <v>46</v>
      </c>
      <c r="L58" s="5"/>
      <c r="M58" s="5"/>
      <c r="N58" s="5"/>
      <c r="O58" s="5">
        <f t="shared" si="0"/>
        <v>3</v>
      </c>
      <c r="P58" s="5">
        <f t="shared" si="1"/>
        <v>1</v>
      </c>
      <c r="Q58" s="5"/>
      <c r="R58" s="5">
        <f t="shared" si="2"/>
        <v>0</v>
      </c>
      <c r="S58" s="5">
        <f t="shared" si="3"/>
        <v>1</v>
      </c>
      <c r="T58" s="5">
        <f t="shared" si="4"/>
        <v>0</v>
      </c>
      <c r="U58" s="5">
        <f t="shared" si="5"/>
        <v>0</v>
      </c>
      <c r="V58" s="5">
        <f t="shared" si="6"/>
        <v>0</v>
      </c>
      <c r="W58" s="5">
        <f t="shared" si="7"/>
        <v>0</v>
      </c>
      <c r="X58" s="5">
        <f t="shared" si="8"/>
        <v>1</v>
      </c>
      <c r="Y58" s="5">
        <f t="shared" si="9"/>
        <v>0</v>
      </c>
      <c r="Z58" s="5">
        <f t="shared" si="10"/>
        <v>0</v>
      </c>
      <c r="AA58" s="5">
        <f t="shared" si="11"/>
        <v>1</v>
      </c>
      <c r="AB58" s="5">
        <f t="shared" si="12"/>
        <v>0</v>
      </c>
      <c r="AC58" s="5">
        <f t="shared" si="13"/>
        <v>0</v>
      </c>
      <c r="AD58" s="5"/>
      <c r="AE58" s="5"/>
      <c r="AF58" s="5">
        <f t="shared" si="14"/>
        <v>3</v>
      </c>
      <c r="AG58" s="5">
        <f t="shared" si="15"/>
        <v>3</v>
      </c>
      <c r="AH58" s="5" t="str">
        <f t="shared" si="16"/>
        <v>Correct</v>
      </c>
      <c r="AI58" s="5"/>
      <c r="AJ58" s="120" t="str">
        <f>IFERROR(VLOOKUP(Table1[RespondentID],'All Data'!$A$3:$CO$999,87,FALSE),"unknown")</f>
        <v>Man</v>
      </c>
      <c r="AK58" s="120">
        <f>IFERROR(VLOOKUP(Table1[RespondentID],'All Data'!$A$3:$CO$999,88,FALSE),"unknown")</f>
        <v>18</v>
      </c>
      <c r="AL58" s="120" t="str">
        <f>IFERROR(VLOOKUP(Table1[RespondentID],'All Data'!$A$3:$CO$999,89,FALSE),"unknown")</f>
        <v>Suffolk</v>
      </c>
      <c r="AM58" s="120" t="str">
        <f>IFERROR(VLOOKUP(Table1[RespondentID],'All Data'!$A$3:$CO$999,90,FALSE),"unknown")</f>
        <v>Huntington, 11743</v>
      </c>
      <c r="AN58" s="120" t="str">
        <f>IFERROR(VLOOKUP(Table1[RespondentID],'All Data'!$A$3:$CO$999,91,FALSE),"unknown")</f>
        <v>White</v>
      </c>
      <c r="AO58" s="120" t="str">
        <f>IFERROR(VLOOKUP(Table1[RespondentID],'All Data'!$A$3:$CO$999,92,FALSE),"unknown")</f>
        <v>Not Hispanic or Latino</v>
      </c>
      <c r="AP58" s="120" t="str">
        <f>IFERROR(VLOOKUP(Table1[RespondentID],'All Data'!$A$3:$CO$999,93,FALSE),"unknown")</f>
        <v>English</v>
      </c>
      <c r="AQ58" s="120" t="str">
        <f>IFERROR(VLOOKUP(Table1[RespondentID],'All Data'!$A$3:$CW$999,94,FALSE),"unknown")</f>
        <v>$75,000 to $125,000</v>
      </c>
      <c r="AR58" s="120" t="str">
        <f>IFERROR(VLOOKUP(Table1[RespondentID],'All Data'!$A$3:$CW$999,95,FALSE),"unknown")</f>
        <v>High school graduate</v>
      </c>
      <c r="AS58" s="120" t="str">
        <f>IFERROR(VLOOKUP(Table1[RespondentID],'All Data'!$A$3:$CW$999,96,FALSE),"unknown")</f>
        <v>Employed for wages</v>
      </c>
      <c r="AT58" s="120" t="str">
        <f>IFERROR(VLOOKUP(Table1[RespondentID],'All Data'!$A$3:$CW$999,97,FALSE),"unknown")</f>
        <v>Yes</v>
      </c>
      <c r="AU58" s="120">
        <f>IFERROR(VLOOKUP(Table1[RespondentID],'All Data'!$A$3:$CW$999,98,FALSE),"unknown")</f>
        <v>0</v>
      </c>
      <c r="AV58" s="120">
        <f>IFERROR(VLOOKUP(Table1[RespondentID],'All Data'!$A$3:$CW$999,99,FALSE),"unknown")</f>
        <v>0</v>
      </c>
    </row>
    <row r="59" spans="1:48">
      <c r="A59" s="5">
        <v>18025180228</v>
      </c>
      <c r="B59" s="5"/>
      <c r="C59" s="5" t="s">
        <v>39</v>
      </c>
      <c r="D59" s="5"/>
      <c r="E59" s="5"/>
      <c r="F59" s="5"/>
      <c r="G59" s="5"/>
      <c r="H59" s="5" t="s">
        <v>43</v>
      </c>
      <c r="I59" s="5"/>
      <c r="J59" s="5"/>
      <c r="K59" s="5"/>
      <c r="L59" s="5" t="s">
        <v>47</v>
      </c>
      <c r="M59" s="5"/>
      <c r="N59" s="5"/>
      <c r="O59" s="5">
        <f t="shared" si="0"/>
        <v>3</v>
      </c>
      <c r="P59" s="5">
        <f t="shared" si="1"/>
        <v>1</v>
      </c>
      <c r="Q59" s="5"/>
      <c r="R59" s="5">
        <f t="shared" si="2"/>
        <v>0</v>
      </c>
      <c r="S59" s="5">
        <f t="shared" si="3"/>
        <v>1</v>
      </c>
      <c r="T59" s="5">
        <f t="shared" si="4"/>
        <v>0</v>
      </c>
      <c r="U59" s="5">
        <f t="shared" si="5"/>
        <v>0</v>
      </c>
      <c r="V59" s="5">
        <f t="shared" si="6"/>
        <v>0</v>
      </c>
      <c r="W59" s="5">
        <f t="shared" si="7"/>
        <v>0</v>
      </c>
      <c r="X59" s="5">
        <f t="shared" si="8"/>
        <v>1</v>
      </c>
      <c r="Y59" s="5">
        <f t="shared" si="9"/>
        <v>0</v>
      </c>
      <c r="Z59" s="5">
        <f t="shared" si="10"/>
        <v>0</v>
      </c>
      <c r="AA59" s="5">
        <f t="shared" si="11"/>
        <v>0</v>
      </c>
      <c r="AB59" s="5">
        <f t="shared" si="12"/>
        <v>1</v>
      </c>
      <c r="AC59" s="5">
        <f t="shared" si="13"/>
        <v>0</v>
      </c>
      <c r="AD59" s="5"/>
      <c r="AE59" s="5"/>
      <c r="AF59" s="5">
        <f t="shared" si="14"/>
        <v>3</v>
      </c>
      <c r="AG59" s="5">
        <f t="shared" si="15"/>
        <v>3</v>
      </c>
      <c r="AH59" s="5" t="str">
        <f t="shared" si="16"/>
        <v>Correct</v>
      </c>
      <c r="AI59" s="5"/>
      <c r="AJ59" s="120" t="str">
        <f>IFERROR(VLOOKUP(Table1[RespondentID],'All Data'!$A$3:$CO$999,87,FALSE),"unknown")</f>
        <v>Woman</v>
      </c>
      <c r="AK59" s="120">
        <f>IFERROR(VLOOKUP(Table1[RespondentID],'All Data'!$A$3:$CO$999,88,FALSE),"unknown")</f>
        <v>18</v>
      </c>
      <c r="AL59" s="120" t="str">
        <f>IFERROR(VLOOKUP(Table1[RespondentID],'All Data'!$A$3:$CO$999,89,FALSE),"unknown")</f>
        <v>Suffolk</v>
      </c>
      <c r="AM59" s="120" t="str">
        <f>IFERROR(VLOOKUP(Table1[RespondentID],'All Data'!$A$3:$CO$999,90,FALSE),"unknown")</f>
        <v>Centerport, 11721</v>
      </c>
      <c r="AN59" s="120" t="str">
        <f>IFERROR(VLOOKUP(Table1[RespondentID],'All Data'!$A$3:$CO$999,91,FALSE),"unknown")</f>
        <v>White</v>
      </c>
      <c r="AO59" s="120" t="str">
        <f>IFERROR(VLOOKUP(Table1[RespondentID],'All Data'!$A$3:$CO$999,92,FALSE),"unknown")</f>
        <v>Not Hispanic or Latino</v>
      </c>
      <c r="AP59" s="120" t="str">
        <f>IFERROR(VLOOKUP(Table1[RespondentID],'All Data'!$A$3:$CO$999,93,FALSE),"unknown")</f>
        <v>English</v>
      </c>
      <c r="AQ59" s="120" t="str">
        <f>IFERROR(VLOOKUP(Table1[RespondentID],'All Data'!$A$3:$CW$999,94,FALSE),"unknown")</f>
        <v>$75,000 to $125,000</v>
      </c>
      <c r="AR59" s="120" t="str">
        <f>IFERROR(VLOOKUP(Table1[RespondentID],'All Data'!$A$3:$CW$999,95,FALSE),"unknown")</f>
        <v>High school graduate</v>
      </c>
      <c r="AS59" s="120" t="str">
        <f>IFERROR(VLOOKUP(Table1[RespondentID],'All Data'!$A$3:$CW$999,96,FALSE),"unknown")</f>
        <v>Student</v>
      </c>
      <c r="AT59" s="120" t="str">
        <f>IFERROR(VLOOKUP(Table1[RespondentID],'All Data'!$A$3:$CW$999,97,FALSE),"unknown")</f>
        <v>Yes</v>
      </c>
      <c r="AU59" s="120">
        <f>IFERROR(VLOOKUP(Table1[RespondentID],'All Data'!$A$3:$CW$999,98,FALSE),"unknown")</f>
        <v>0</v>
      </c>
      <c r="AV59" s="120">
        <f>IFERROR(VLOOKUP(Table1[RespondentID],'All Data'!$A$3:$CW$999,99,FALSE),"unknown")</f>
        <v>0</v>
      </c>
    </row>
    <row r="60" spans="1:48">
      <c r="A60" s="5">
        <v>18025180094</v>
      </c>
      <c r="B60" s="5"/>
      <c r="C60" s="5" t="s">
        <v>39</v>
      </c>
      <c r="D60" s="5"/>
      <c r="E60" s="5"/>
      <c r="F60" s="5"/>
      <c r="G60" s="5" t="s">
        <v>37</v>
      </c>
      <c r="H60" s="5"/>
      <c r="I60" s="5"/>
      <c r="J60" s="5"/>
      <c r="K60" s="5"/>
      <c r="L60" s="5" t="s">
        <v>47</v>
      </c>
      <c r="M60" s="5"/>
      <c r="N60" s="5"/>
      <c r="O60" s="5">
        <f t="shared" si="0"/>
        <v>3</v>
      </c>
      <c r="P60" s="5">
        <f t="shared" si="1"/>
        <v>1</v>
      </c>
      <c r="Q60" s="5"/>
      <c r="R60" s="5">
        <f t="shared" si="2"/>
        <v>0</v>
      </c>
      <c r="S60" s="5">
        <f t="shared" si="3"/>
        <v>1</v>
      </c>
      <c r="T60" s="5">
        <f t="shared" si="4"/>
        <v>0</v>
      </c>
      <c r="U60" s="5">
        <f t="shared" si="5"/>
        <v>0</v>
      </c>
      <c r="V60" s="5">
        <f t="shared" si="6"/>
        <v>0</v>
      </c>
      <c r="W60" s="5">
        <f t="shared" si="7"/>
        <v>1</v>
      </c>
      <c r="X60" s="5">
        <f t="shared" si="8"/>
        <v>0</v>
      </c>
      <c r="Y60" s="5">
        <f t="shared" si="9"/>
        <v>0</v>
      </c>
      <c r="Z60" s="5">
        <f t="shared" si="10"/>
        <v>0</v>
      </c>
      <c r="AA60" s="5">
        <f t="shared" si="11"/>
        <v>0</v>
      </c>
      <c r="AB60" s="5">
        <f t="shared" si="12"/>
        <v>1</v>
      </c>
      <c r="AC60" s="5">
        <f t="shared" si="13"/>
        <v>0</v>
      </c>
      <c r="AD60" s="5"/>
      <c r="AE60" s="5"/>
      <c r="AF60" s="5">
        <f t="shared" si="14"/>
        <v>3</v>
      </c>
      <c r="AG60" s="5">
        <f t="shared" si="15"/>
        <v>3</v>
      </c>
      <c r="AH60" s="5" t="str">
        <f t="shared" si="16"/>
        <v>Correct</v>
      </c>
      <c r="AI60" s="5"/>
      <c r="AJ60" s="120" t="str">
        <f>IFERROR(VLOOKUP(Table1[RespondentID],'All Data'!$A$3:$CO$999,87,FALSE),"unknown")</f>
        <v>Woman</v>
      </c>
      <c r="AK60" s="120">
        <f>IFERROR(VLOOKUP(Table1[RespondentID],'All Data'!$A$3:$CO$999,88,FALSE),"unknown")</f>
        <v>46</v>
      </c>
      <c r="AL60" s="120" t="str">
        <f>IFERROR(VLOOKUP(Table1[RespondentID],'All Data'!$A$3:$CO$999,89,FALSE),"unknown")</f>
        <v>Suffolk</v>
      </c>
      <c r="AM60" s="120" t="str">
        <f>IFERROR(VLOOKUP(Table1[RespondentID],'All Data'!$A$3:$CO$999,90,FALSE),"unknown")</f>
        <v>Brightwaters, 11718</v>
      </c>
      <c r="AN60" s="120" t="str">
        <f>IFERROR(VLOOKUP(Table1[RespondentID],'All Data'!$A$3:$CO$999,91,FALSE),"unknown")</f>
        <v>White</v>
      </c>
      <c r="AO60" s="120" t="str">
        <f>IFERROR(VLOOKUP(Table1[RespondentID],'All Data'!$A$3:$CO$999,92,FALSE),"unknown")</f>
        <v>Not Hispanic or Latino</v>
      </c>
      <c r="AP60" s="120" t="str">
        <f>IFERROR(VLOOKUP(Table1[RespondentID],'All Data'!$A$3:$CO$999,93,FALSE),"unknown")</f>
        <v>English</v>
      </c>
      <c r="AQ60" s="120" t="str">
        <f>IFERROR(VLOOKUP(Table1[RespondentID],'All Data'!$A$3:$CW$999,94,FALSE),"unknown")</f>
        <v>$75,000 to $125,000</v>
      </c>
      <c r="AR60" s="120" t="str">
        <f>IFERROR(VLOOKUP(Table1[RespondentID],'All Data'!$A$3:$CW$999,95,FALSE),"unknown")</f>
        <v>Graduate school</v>
      </c>
      <c r="AS60" s="120" t="str">
        <f>IFERROR(VLOOKUP(Table1[RespondentID],'All Data'!$A$3:$CW$999,96,FALSE),"unknown")</f>
        <v>Employed for wages</v>
      </c>
      <c r="AT60" s="120" t="str">
        <f>IFERROR(VLOOKUP(Table1[RespondentID],'All Data'!$A$3:$CW$999,97,FALSE),"unknown")</f>
        <v>Yes</v>
      </c>
      <c r="AU60" s="120">
        <f>IFERROR(VLOOKUP(Table1[RespondentID],'All Data'!$A$3:$CW$999,98,FALSE),"unknown")</f>
        <v>0</v>
      </c>
      <c r="AV60" s="120">
        <f>IFERROR(VLOOKUP(Table1[RespondentID],'All Data'!$A$3:$CW$999,99,FALSE),"unknown")</f>
        <v>0</v>
      </c>
    </row>
    <row r="61" spans="1:48">
      <c r="A61" s="5">
        <v>18025179894</v>
      </c>
      <c r="B61" s="5" t="s">
        <v>38</v>
      </c>
      <c r="C61" s="5" t="s">
        <v>39</v>
      </c>
      <c r="D61" s="5"/>
      <c r="E61" s="5"/>
      <c r="F61" s="5"/>
      <c r="G61" s="5"/>
      <c r="H61" s="5"/>
      <c r="I61" s="5"/>
      <c r="J61" s="5"/>
      <c r="K61" s="5" t="s">
        <v>46</v>
      </c>
      <c r="L61" s="5"/>
      <c r="M61" s="5"/>
      <c r="N61" s="5"/>
      <c r="O61" s="5">
        <f t="shared" si="0"/>
        <v>3</v>
      </c>
      <c r="P61" s="5">
        <f t="shared" si="1"/>
        <v>1</v>
      </c>
      <c r="Q61" s="5"/>
      <c r="R61" s="5">
        <f t="shared" si="2"/>
        <v>1</v>
      </c>
      <c r="S61" s="5">
        <f t="shared" si="3"/>
        <v>1</v>
      </c>
      <c r="T61" s="5">
        <f t="shared" si="4"/>
        <v>0</v>
      </c>
      <c r="U61" s="5">
        <f t="shared" si="5"/>
        <v>0</v>
      </c>
      <c r="V61" s="5">
        <f t="shared" si="6"/>
        <v>0</v>
      </c>
      <c r="W61" s="5">
        <f t="shared" si="7"/>
        <v>0</v>
      </c>
      <c r="X61" s="5">
        <f t="shared" si="8"/>
        <v>0</v>
      </c>
      <c r="Y61" s="5">
        <f t="shared" si="9"/>
        <v>0</v>
      </c>
      <c r="Z61" s="5">
        <f t="shared" si="10"/>
        <v>0</v>
      </c>
      <c r="AA61" s="5">
        <f t="shared" si="11"/>
        <v>1</v>
      </c>
      <c r="AB61" s="5">
        <f t="shared" si="12"/>
        <v>0</v>
      </c>
      <c r="AC61" s="5">
        <f t="shared" si="13"/>
        <v>0</v>
      </c>
      <c r="AD61" s="5"/>
      <c r="AE61" s="5"/>
      <c r="AF61" s="5">
        <f t="shared" si="14"/>
        <v>3</v>
      </c>
      <c r="AG61" s="5">
        <f t="shared" si="15"/>
        <v>3</v>
      </c>
      <c r="AH61" s="5" t="str">
        <f t="shared" si="16"/>
        <v>Correct</v>
      </c>
      <c r="AI61" s="5"/>
      <c r="AJ61" s="120" t="str">
        <f>IFERROR(VLOOKUP(Table1[RespondentID],'All Data'!$A$3:$CO$999,87,FALSE),"unknown")</f>
        <v>Man</v>
      </c>
      <c r="AK61" s="120">
        <f>IFERROR(VLOOKUP(Table1[RespondentID],'All Data'!$A$3:$CO$999,88,FALSE),"unknown")</f>
        <v>18</v>
      </c>
      <c r="AL61" s="120" t="str">
        <f>IFERROR(VLOOKUP(Table1[RespondentID],'All Data'!$A$3:$CO$999,89,FALSE),"unknown")</f>
        <v>Suffolk</v>
      </c>
      <c r="AM61" s="120" t="str">
        <f>IFERROR(VLOOKUP(Table1[RespondentID],'All Data'!$A$3:$CO$999,90,FALSE),"unknown")</f>
        <v>Centerport, 11721</v>
      </c>
      <c r="AN61" s="120" t="str">
        <f>IFERROR(VLOOKUP(Table1[RespondentID],'All Data'!$A$3:$CO$999,91,FALSE),"unknown")</f>
        <v>White</v>
      </c>
      <c r="AO61" s="120" t="str">
        <f>IFERROR(VLOOKUP(Table1[RespondentID],'All Data'!$A$3:$CO$999,92,FALSE),"unknown")</f>
        <v>Not Hispanic or Latino</v>
      </c>
      <c r="AP61" s="120" t="str">
        <f>IFERROR(VLOOKUP(Table1[RespondentID],'All Data'!$A$3:$CO$999,93,FALSE),"unknown")</f>
        <v>English</v>
      </c>
      <c r="AQ61" s="120" t="str">
        <f>IFERROR(VLOOKUP(Table1[RespondentID],'All Data'!$A$3:$CW$999,94,FALSE),"unknown")</f>
        <v>Over $125,000</v>
      </c>
      <c r="AR61" s="120" t="str">
        <f>IFERROR(VLOOKUP(Table1[RespondentID],'All Data'!$A$3:$CW$999,95,FALSE),"unknown")</f>
        <v>High school graduate</v>
      </c>
      <c r="AS61" s="120" t="str">
        <f>IFERROR(VLOOKUP(Table1[RespondentID],'All Data'!$A$3:$CW$999,96,FALSE),"unknown")</f>
        <v>Student</v>
      </c>
      <c r="AT61" s="120" t="str">
        <f>IFERROR(VLOOKUP(Table1[RespondentID],'All Data'!$A$3:$CW$999,97,FALSE),"unknown")</f>
        <v>Yes</v>
      </c>
      <c r="AU61" s="120">
        <f>IFERROR(VLOOKUP(Table1[RespondentID],'All Data'!$A$3:$CW$999,98,FALSE),"unknown")</f>
        <v>0</v>
      </c>
      <c r="AV61" s="120">
        <f>IFERROR(VLOOKUP(Table1[RespondentID],'All Data'!$A$3:$CW$999,99,FALSE),"unknown")</f>
        <v>0</v>
      </c>
    </row>
    <row r="62" spans="1:48">
      <c r="A62" s="5">
        <v>18025179745</v>
      </c>
      <c r="B62" s="5" t="s">
        <v>38</v>
      </c>
      <c r="C62" s="5" t="s">
        <v>39</v>
      </c>
      <c r="D62" s="5"/>
      <c r="E62" s="5"/>
      <c r="F62" s="5"/>
      <c r="G62" s="5" t="s">
        <v>37</v>
      </c>
      <c r="H62" s="5"/>
      <c r="I62" s="5"/>
      <c r="J62" s="5"/>
      <c r="K62" s="5"/>
      <c r="L62" s="5"/>
      <c r="M62" s="5"/>
      <c r="N62" s="5"/>
      <c r="O62" s="5">
        <f t="shared" si="0"/>
        <v>3</v>
      </c>
      <c r="P62" s="5">
        <f t="shared" si="1"/>
        <v>1</v>
      </c>
      <c r="Q62" s="5"/>
      <c r="R62" s="5">
        <f t="shared" si="2"/>
        <v>1</v>
      </c>
      <c r="S62" s="5">
        <f t="shared" si="3"/>
        <v>1</v>
      </c>
      <c r="T62" s="5">
        <f t="shared" si="4"/>
        <v>0</v>
      </c>
      <c r="U62" s="5">
        <f t="shared" si="5"/>
        <v>0</v>
      </c>
      <c r="V62" s="5">
        <f t="shared" si="6"/>
        <v>0</v>
      </c>
      <c r="W62" s="5">
        <f t="shared" si="7"/>
        <v>1</v>
      </c>
      <c r="X62" s="5">
        <f t="shared" si="8"/>
        <v>0</v>
      </c>
      <c r="Y62" s="5">
        <f t="shared" si="9"/>
        <v>0</v>
      </c>
      <c r="Z62" s="5">
        <f t="shared" si="10"/>
        <v>0</v>
      </c>
      <c r="AA62" s="5">
        <f t="shared" si="11"/>
        <v>0</v>
      </c>
      <c r="AB62" s="5">
        <f t="shared" si="12"/>
        <v>0</v>
      </c>
      <c r="AC62" s="5">
        <f t="shared" si="13"/>
        <v>0</v>
      </c>
      <c r="AD62" s="5"/>
      <c r="AE62" s="5"/>
      <c r="AF62" s="5">
        <f t="shared" si="14"/>
        <v>3</v>
      </c>
      <c r="AG62" s="5">
        <f t="shared" si="15"/>
        <v>3</v>
      </c>
      <c r="AH62" s="5" t="str">
        <f t="shared" si="16"/>
        <v>Correct</v>
      </c>
      <c r="AI62" s="5"/>
      <c r="AJ62" s="120" t="str">
        <f>IFERROR(VLOOKUP(Table1[RespondentID],'All Data'!$A$3:$CO$999,87,FALSE),"unknown")</f>
        <v>Man</v>
      </c>
      <c r="AK62" s="120">
        <f>IFERROR(VLOOKUP(Table1[RespondentID],'All Data'!$A$3:$CO$999,88,FALSE),"unknown")</f>
        <v>39</v>
      </c>
      <c r="AL62" s="120" t="str">
        <f>IFERROR(VLOOKUP(Table1[RespondentID],'All Data'!$A$3:$CO$999,89,FALSE),"unknown")</f>
        <v>Suffolk</v>
      </c>
      <c r="AM62" s="120" t="str">
        <f>IFERROR(VLOOKUP(Table1[RespondentID],'All Data'!$A$3:$CO$999,90,FALSE),"unknown")</f>
        <v>Northport, 11768</v>
      </c>
      <c r="AN62" s="120" t="str">
        <f>IFERROR(VLOOKUP(Table1[RespondentID],'All Data'!$A$3:$CO$999,91,FALSE),"unknown")</f>
        <v>White</v>
      </c>
      <c r="AO62" s="120" t="str">
        <f>IFERROR(VLOOKUP(Table1[RespondentID],'All Data'!$A$3:$CO$999,92,FALSE),"unknown")</f>
        <v>Not Hispanic or Latino</v>
      </c>
      <c r="AP62" s="120" t="str">
        <f>IFERROR(VLOOKUP(Table1[RespondentID],'All Data'!$A$3:$CO$999,93,FALSE),"unknown")</f>
        <v>English</v>
      </c>
      <c r="AQ62" s="120" t="str">
        <f>IFERROR(VLOOKUP(Table1[RespondentID],'All Data'!$A$3:$CW$999,94,FALSE),"unknown")</f>
        <v>Over $125,000</v>
      </c>
      <c r="AR62" s="120" t="str">
        <f>IFERROR(VLOOKUP(Table1[RespondentID],'All Data'!$A$3:$CW$999,95,FALSE),"unknown")</f>
        <v>Graduate school</v>
      </c>
      <c r="AS62" s="120" t="str">
        <f>IFERROR(VLOOKUP(Table1[RespondentID],'All Data'!$A$3:$CW$999,96,FALSE),"unknown")</f>
        <v>Employed for wages</v>
      </c>
      <c r="AT62" s="120" t="str">
        <f>IFERROR(VLOOKUP(Table1[RespondentID],'All Data'!$A$3:$CW$999,97,FALSE),"unknown")</f>
        <v>Yes</v>
      </c>
      <c r="AU62" s="120">
        <f>IFERROR(VLOOKUP(Table1[RespondentID],'All Data'!$A$3:$CW$999,98,FALSE),"unknown")</f>
        <v>0</v>
      </c>
      <c r="AV62" s="120">
        <f>IFERROR(VLOOKUP(Table1[RespondentID],'All Data'!$A$3:$CW$999,99,FALSE),"unknown")</f>
        <v>0</v>
      </c>
    </row>
    <row r="63" spans="1:48">
      <c r="A63" s="5">
        <v>18025179616</v>
      </c>
      <c r="B63" s="5"/>
      <c r="C63" s="5" t="s">
        <v>39</v>
      </c>
      <c r="D63" s="5"/>
      <c r="E63" s="5" t="s">
        <v>41</v>
      </c>
      <c r="F63" s="5"/>
      <c r="G63" s="5"/>
      <c r="H63" s="5" t="s">
        <v>43</v>
      </c>
      <c r="I63" s="5"/>
      <c r="J63" s="5"/>
      <c r="K63" s="5"/>
      <c r="L63" s="5"/>
      <c r="M63" s="5"/>
      <c r="N63" s="5"/>
      <c r="O63" s="5">
        <f t="shared" si="0"/>
        <v>3</v>
      </c>
      <c r="P63" s="5">
        <f t="shared" si="1"/>
        <v>1</v>
      </c>
      <c r="Q63" s="5"/>
      <c r="R63" s="5">
        <f t="shared" si="2"/>
        <v>0</v>
      </c>
      <c r="S63" s="5">
        <f t="shared" si="3"/>
        <v>1</v>
      </c>
      <c r="T63" s="5">
        <f t="shared" si="4"/>
        <v>0</v>
      </c>
      <c r="U63" s="5">
        <f t="shared" si="5"/>
        <v>1</v>
      </c>
      <c r="V63" s="5">
        <f t="shared" si="6"/>
        <v>0</v>
      </c>
      <c r="W63" s="5">
        <f t="shared" si="7"/>
        <v>0</v>
      </c>
      <c r="X63" s="5">
        <f t="shared" si="8"/>
        <v>1</v>
      </c>
      <c r="Y63" s="5">
        <f t="shared" si="9"/>
        <v>0</v>
      </c>
      <c r="Z63" s="5">
        <f t="shared" si="10"/>
        <v>0</v>
      </c>
      <c r="AA63" s="5">
        <f t="shared" si="11"/>
        <v>0</v>
      </c>
      <c r="AB63" s="5">
        <f t="shared" si="12"/>
        <v>0</v>
      </c>
      <c r="AC63" s="5">
        <f t="shared" si="13"/>
        <v>0</v>
      </c>
      <c r="AD63" s="5"/>
      <c r="AE63" s="5"/>
      <c r="AF63" s="5">
        <f t="shared" si="14"/>
        <v>3</v>
      </c>
      <c r="AG63" s="5">
        <f t="shared" si="15"/>
        <v>3</v>
      </c>
      <c r="AH63" s="5" t="str">
        <f t="shared" si="16"/>
        <v>Correct</v>
      </c>
      <c r="AI63" s="5"/>
      <c r="AJ63" s="120" t="str">
        <f>IFERROR(VLOOKUP(Table1[RespondentID],'All Data'!$A$3:$CO$999,87,FALSE),"unknown")</f>
        <v>Woman</v>
      </c>
      <c r="AK63" s="120">
        <f>IFERROR(VLOOKUP(Table1[RespondentID],'All Data'!$A$3:$CO$999,88,FALSE),"unknown")</f>
        <v>40</v>
      </c>
      <c r="AL63" s="120" t="str">
        <f>IFERROR(VLOOKUP(Table1[RespondentID],'All Data'!$A$3:$CO$999,89,FALSE),"unknown")</f>
        <v>Suffolk</v>
      </c>
      <c r="AM63" s="120" t="str">
        <f>IFERROR(VLOOKUP(Table1[RespondentID],'All Data'!$A$3:$CO$999,90,FALSE),"unknown")</f>
        <v>South Huntington, 11746</v>
      </c>
      <c r="AN63" s="120" t="str">
        <f>IFERROR(VLOOKUP(Table1[RespondentID],'All Data'!$A$3:$CO$999,91,FALSE),"unknown")</f>
        <v>Asian</v>
      </c>
      <c r="AO63" s="120" t="str">
        <f>IFERROR(VLOOKUP(Table1[RespondentID],'All Data'!$A$3:$CO$999,92,FALSE),"unknown")</f>
        <v>Not Hispanic or Latino</v>
      </c>
      <c r="AP63" s="120" t="str">
        <f>IFERROR(VLOOKUP(Table1[RespondentID],'All Data'!$A$3:$CO$999,93,FALSE),"unknown")</f>
        <v>English, Hindi</v>
      </c>
      <c r="AQ63" s="120" t="str">
        <f>IFERROR(VLOOKUP(Table1[RespondentID],'All Data'!$A$3:$CW$999,94,FALSE),"unknown")</f>
        <v>$75,000 to $125,000</v>
      </c>
      <c r="AR63" s="120" t="str">
        <f>IFERROR(VLOOKUP(Table1[RespondentID],'All Data'!$A$3:$CW$999,95,FALSE),"unknown")</f>
        <v>College graduate</v>
      </c>
      <c r="AS63" s="120" t="str">
        <f>IFERROR(VLOOKUP(Table1[RespondentID],'All Data'!$A$3:$CW$999,96,FALSE),"unknown")</f>
        <v>Employed for wages</v>
      </c>
      <c r="AT63" s="120" t="str">
        <f>IFERROR(VLOOKUP(Table1[RespondentID],'All Data'!$A$3:$CW$999,97,FALSE),"unknown")</f>
        <v>Yes</v>
      </c>
      <c r="AU63" s="120">
        <f>IFERROR(VLOOKUP(Table1[RespondentID],'All Data'!$A$3:$CW$999,98,FALSE),"unknown")</f>
        <v>0</v>
      </c>
      <c r="AV63" s="120">
        <f>IFERROR(VLOOKUP(Table1[RespondentID],'All Data'!$A$3:$CW$999,99,FALSE),"unknown")</f>
        <v>0</v>
      </c>
    </row>
    <row r="64" spans="1:48">
      <c r="A64" s="5">
        <v>18025179232</v>
      </c>
      <c r="B64" s="5"/>
      <c r="C64" s="5" t="s">
        <v>39</v>
      </c>
      <c r="D64" s="5"/>
      <c r="E64" s="5"/>
      <c r="F64" s="5"/>
      <c r="G64" s="5"/>
      <c r="H64" s="5" t="s">
        <v>43</v>
      </c>
      <c r="I64" s="5"/>
      <c r="J64" s="5" t="s">
        <v>45</v>
      </c>
      <c r="K64" s="5"/>
      <c r="L64" s="5"/>
      <c r="M64" s="5"/>
      <c r="N64" s="5"/>
      <c r="O64" s="5">
        <f t="shared" si="0"/>
        <v>3</v>
      </c>
      <c r="P64" s="5">
        <f t="shared" si="1"/>
        <v>1</v>
      </c>
      <c r="Q64" s="5"/>
      <c r="R64" s="5">
        <f t="shared" si="2"/>
        <v>0</v>
      </c>
      <c r="S64" s="5">
        <f t="shared" si="3"/>
        <v>1</v>
      </c>
      <c r="T64" s="5">
        <f t="shared" si="4"/>
        <v>0</v>
      </c>
      <c r="U64" s="5">
        <f t="shared" si="5"/>
        <v>0</v>
      </c>
      <c r="V64" s="5">
        <f t="shared" si="6"/>
        <v>0</v>
      </c>
      <c r="W64" s="5">
        <f t="shared" si="7"/>
        <v>0</v>
      </c>
      <c r="X64" s="5">
        <f t="shared" si="8"/>
        <v>1</v>
      </c>
      <c r="Y64" s="5">
        <f t="shared" si="9"/>
        <v>0</v>
      </c>
      <c r="Z64" s="5">
        <f t="shared" si="10"/>
        <v>1</v>
      </c>
      <c r="AA64" s="5">
        <f t="shared" si="11"/>
        <v>0</v>
      </c>
      <c r="AB64" s="5">
        <f t="shared" si="12"/>
        <v>0</v>
      </c>
      <c r="AC64" s="5">
        <f t="shared" si="13"/>
        <v>0</v>
      </c>
      <c r="AD64" s="5"/>
      <c r="AE64" s="5"/>
      <c r="AF64" s="5">
        <f t="shared" si="14"/>
        <v>3</v>
      </c>
      <c r="AG64" s="5">
        <f t="shared" si="15"/>
        <v>3</v>
      </c>
      <c r="AH64" s="5" t="str">
        <f t="shared" si="16"/>
        <v>Correct</v>
      </c>
      <c r="AI64" s="5"/>
      <c r="AJ64" s="120" t="str">
        <f>IFERROR(VLOOKUP(Table1[RespondentID],'All Data'!$A$3:$CO$999,87,FALSE),"unknown")</f>
        <v>Woman</v>
      </c>
      <c r="AK64" s="120">
        <f>IFERROR(VLOOKUP(Table1[RespondentID],'All Data'!$A$3:$CO$999,88,FALSE),"unknown")</f>
        <v>44</v>
      </c>
      <c r="AL64" s="120" t="str">
        <f>IFERROR(VLOOKUP(Table1[RespondentID],'All Data'!$A$3:$CO$999,89,FALSE),"unknown")</f>
        <v>Suffolk</v>
      </c>
      <c r="AM64" s="120" t="str">
        <f>IFERROR(VLOOKUP(Table1[RespondentID],'All Data'!$A$3:$CO$999,90,FALSE),"unknown")</f>
        <v>Deer Park, 11729</v>
      </c>
      <c r="AN64" s="120" t="str">
        <f>IFERROR(VLOOKUP(Table1[RespondentID],'All Data'!$A$3:$CO$999,91,FALSE),"unknown")</f>
        <v>Asian</v>
      </c>
      <c r="AO64" s="120" t="str">
        <f>IFERROR(VLOOKUP(Table1[RespondentID],'All Data'!$A$3:$CO$999,92,FALSE),"unknown")</f>
        <v>Not Hispanic or Latino</v>
      </c>
      <c r="AP64" s="120" t="str">
        <f>IFERROR(VLOOKUP(Table1[RespondentID],'All Data'!$A$3:$CO$999,93,FALSE),"unknown")</f>
        <v>English, Farsi</v>
      </c>
      <c r="AQ64" s="120" t="str">
        <f>IFERROR(VLOOKUP(Table1[RespondentID],'All Data'!$A$3:$CW$999,94,FALSE),"unknown")</f>
        <v>$75,000 to $125,000</v>
      </c>
      <c r="AR64" s="120" t="str">
        <f>IFERROR(VLOOKUP(Table1[RespondentID],'All Data'!$A$3:$CW$999,95,FALSE),"unknown")</f>
        <v>College graduate</v>
      </c>
      <c r="AS64" s="120" t="str">
        <f>IFERROR(VLOOKUP(Table1[RespondentID],'All Data'!$A$3:$CW$999,96,FALSE),"unknown")</f>
        <v>Self-employed</v>
      </c>
      <c r="AT64" s="120" t="str">
        <f>IFERROR(VLOOKUP(Table1[RespondentID],'All Data'!$A$3:$CW$999,97,FALSE),"unknown")</f>
        <v>Yes</v>
      </c>
      <c r="AU64" s="120">
        <f>IFERROR(VLOOKUP(Table1[RespondentID],'All Data'!$A$3:$CW$999,98,FALSE),"unknown")</f>
        <v>0</v>
      </c>
      <c r="AV64" s="120">
        <f>IFERROR(VLOOKUP(Table1[RespondentID],'All Data'!$A$3:$CW$999,99,FALSE),"unknown")</f>
        <v>0</v>
      </c>
    </row>
    <row r="65" spans="1:48">
      <c r="A65" s="5">
        <v>18025179113</v>
      </c>
      <c r="B65" s="5"/>
      <c r="C65" s="5"/>
      <c r="D65" s="5"/>
      <c r="E65" s="5"/>
      <c r="F65" s="5"/>
      <c r="G65" s="5"/>
      <c r="H65" s="5" t="s">
        <v>43</v>
      </c>
      <c r="I65" s="5"/>
      <c r="J65" s="5" t="s">
        <v>45</v>
      </c>
      <c r="K65" s="5"/>
      <c r="L65" s="5"/>
      <c r="M65" s="5"/>
      <c r="N65" s="5"/>
      <c r="O65" s="5">
        <f t="shared" si="0"/>
        <v>2</v>
      </c>
      <c r="P65" s="5">
        <f t="shared" si="1"/>
        <v>1.5</v>
      </c>
      <c r="Q65" s="5"/>
      <c r="R65" s="5">
        <f t="shared" si="2"/>
        <v>0</v>
      </c>
      <c r="S65" s="5">
        <f t="shared" si="3"/>
        <v>0</v>
      </c>
      <c r="T65" s="5">
        <f t="shared" si="4"/>
        <v>0</v>
      </c>
      <c r="U65" s="5">
        <f t="shared" si="5"/>
        <v>0</v>
      </c>
      <c r="V65" s="5">
        <f t="shared" si="6"/>
        <v>0</v>
      </c>
      <c r="W65" s="5">
        <f t="shared" si="7"/>
        <v>0</v>
      </c>
      <c r="X65" s="5">
        <f t="shared" si="8"/>
        <v>1</v>
      </c>
      <c r="Y65" s="5">
        <f t="shared" si="9"/>
        <v>0</v>
      </c>
      <c r="Z65" s="5">
        <f t="shared" si="10"/>
        <v>1</v>
      </c>
      <c r="AA65" s="5">
        <f t="shared" si="11"/>
        <v>0</v>
      </c>
      <c r="AB65" s="5">
        <f t="shared" si="12"/>
        <v>0</v>
      </c>
      <c r="AC65" s="5">
        <f t="shared" si="13"/>
        <v>0</v>
      </c>
      <c r="AD65" s="5"/>
      <c r="AE65" s="5"/>
      <c r="AF65" s="5">
        <f t="shared" si="14"/>
        <v>2</v>
      </c>
      <c r="AG65" s="5">
        <f t="shared" si="15"/>
        <v>2</v>
      </c>
      <c r="AH65" s="5" t="str">
        <f t="shared" si="16"/>
        <v>Correct</v>
      </c>
      <c r="AI65" s="5"/>
      <c r="AJ65" s="120" t="str">
        <f>IFERROR(VLOOKUP(Table1[RespondentID],'All Data'!$A$3:$CO$999,87,FALSE),"unknown")</f>
        <v>Woman</v>
      </c>
      <c r="AK65" s="120">
        <f>IFERROR(VLOOKUP(Table1[RespondentID],'All Data'!$A$3:$CO$999,88,FALSE),"unknown")</f>
        <v>53</v>
      </c>
      <c r="AL65" s="120" t="str">
        <f>IFERROR(VLOOKUP(Table1[RespondentID],'All Data'!$A$3:$CO$999,89,FALSE),"unknown")</f>
        <v>Suffolk</v>
      </c>
      <c r="AM65" s="120" t="str">
        <f>IFERROR(VLOOKUP(Table1[RespondentID],'All Data'!$A$3:$CO$999,90,FALSE),"unknown")</f>
        <v>Kings Park, 11754</v>
      </c>
      <c r="AN65" s="120" t="str">
        <f>IFERROR(VLOOKUP(Table1[RespondentID],'All Data'!$A$3:$CO$999,91,FALSE),"unknown")</f>
        <v>Asian</v>
      </c>
      <c r="AO65" s="120" t="str">
        <f>IFERROR(VLOOKUP(Table1[RespondentID],'All Data'!$A$3:$CO$999,92,FALSE),"unknown")</f>
        <v>Not Hispanic or Latino</v>
      </c>
      <c r="AP65" s="120" t="str">
        <f>IFERROR(VLOOKUP(Table1[RespondentID],'All Data'!$A$3:$CO$999,93,FALSE),"unknown")</f>
        <v>English</v>
      </c>
      <c r="AQ65" s="120" t="str">
        <f>IFERROR(VLOOKUP(Table1[RespondentID],'All Data'!$A$3:$CW$999,94,FALSE),"unknown")</f>
        <v>$75,000 to $125,000</v>
      </c>
      <c r="AR65" s="120" t="str">
        <f>IFERROR(VLOOKUP(Table1[RespondentID],'All Data'!$A$3:$CW$999,95,FALSE),"unknown")</f>
        <v>High school graduate</v>
      </c>
      <c r="AS65" s="120" t="str">
        <f>IFERROR(VLOOKUP(Table1[RespondentID],'All Data'!$A$3:$CW$999,96,FALSE),"unknown")</f>
        <v>Out of work, but not currently looking</v>
      </c>
      <c r="AT65" s="120" t="str">
        <f>IFERROR(VLOOKUP(Table1[RespondentID],'All Data'!$A$3:$CW$999,97,FALSE),"unknown")</f>
        <v>Yes</v>
      </c>
      <c r="AU65" s="120">
        <f>IFERROR(VLOOKUP(Table1[RespondentID],'All Data'!$A$3:$CW$999,98,FALSE),"unknown")</f>
        <v>0</v>
      </c>
      <c r="AV65" s="120">
        <f>IFERROR(VLOOKUP(Table1[RespondentID],'All Data'!$A$3:$CW$999,99,FALSE),"unknown")</f>
        <v>0</v>
      </c>
    </row>
    <row r="66" spans="1:48">
      <c r="A66" s="5">
        <v>18025179000</v>
      </c>
      <c r="B66" s="5"/>
      <c r="C66" s="5" t="s">
        <v>39</v>
      </c>
      <c r="D66" s="5"/>
      <c r="E66" s="5"/>
      <c r="F66" s="5"/>
      <c r="G66" s="5"/>
      <c r="H66" s="5" t="s">
        <v>43</v>
      </c>
      <c r="I66" s="5"/>
      <c r="J66" s="5" t="s">
        <v>45</v>
      </c>
      <c r="K66" s="5"/>
      <c r="L66" s="5"/>
      <c r="M66" s="5"/>
      <c r="N66" s="5"/>
      <c r="O66" s="5">
        <f t="shared" ref="O66:O129" si="17">COUNTA(B66:N66)</f>
        <v>3</v>
      </c>
      <c r="P66" s="5">
        <f t="shared" ref="P66:P129" si="18">3/O66</f>
        <v>1</v>
      </c>
      <c r="Q66" s="5"/>
      <c r="R66" s="5">
        <f t="shared" ref="R66:R129" si="19">IF($O66&lt;3,IF($B66=$B$1,1,0),IF($B66=$B$1,$P66,0))</f>
        <v>0</v>
      </c>
      <c r="S66" s="5">
        <f t="shared" ref="S66:S129" si="20">IF($O66&lt;3,IF($C66=$C$1,1,0),IF($C66=$C$1,$P66,0))</f>
        <v>1</v>
      </c>
      <c r="T66" s="5">
        <f t="shared" ref="T66:T129" si="21">IF($O66&lt;3,IF($D66=$D$1,1,0),IF($D66=$D$1,$P66,0))</f>
        <v>0</v>
      </c>
      <c r="U66" s="5">
        <f t="shared" ref="U66:U129" si="22">IF($O66&lt;3,IF($E66=$E$1,1,0),IF($E66=$E$1,$P66,0))</f>
        <v>0</v>
      </c>
      <c r="V66" s="5">
        <f t="shared" ref="V66:V129" si="23">IF($O66&lt;3,IF($F66=$F$1,1,0),IF($F66=$F$1,$P66,0))</f>
        <v>0</v>
      </c>
      <c r="W66" s="5">
        <f t="shared" ref="W66:W129" si="24">IF($O66&lt;3,IF($G66=$G$1,1,0),IF($G66=$G$1,$P66,0))</f>
        <v>0</v>
      </c>
      <c r="X66" s="5">
        <f t="shared" ref="X66:X129" si="25">IF($O66&lt;3,IF($H66=$H$1,1,0),IF($H66=$H$1,$P66,0))</f>
        <v>1</v>
      </c>
      <c r="Y66" s="5">
        <f t="shared" ref="Y66:Y129" si="26">IF($O66&lt;3,IF($I66=$I$1,1,0),IF($I66=$I$1,$P66,0))</f>
        <v>0</v>
      </c>
      <c r="Z66" s="5">
        <f t="shared" ref="Z66:Z129" si="27">IF($O66&lt;3,IF($J66=$J$1,1,0),IF($J66=$J$1,$P66,0))</f>
        <v>1</v>
      </c>
      <c r="AA66" s="5">
        <f t="shared" ref="AA66:AA129" si="28">IF($O66&lt;3,IF($K66=$K$1,1,0),IF($K66=$K$1,$P66,0))</f>
        <v>0</v>
      </c>
      <c r="AB66" s="5">
        <f t="shared" ref="AB66:AB129" si="29">IF($O66&lt;3,IF($L66=$L$1,1,0),IF($L66=$L$1,$P66,0))</f>
        <v>0</v>
      </c>
      <c r="AC66" s="5">
        <f t="shared" ref="AC66:AC129" si="30">IF($O66&lt;3,IF($M66=$M$1,1,0),IF($M66=$M$1,$P66,0))</f>
        <v>0</v>
      </c>
      <c r="AD66" s="5"/>
      <c r="AE66" s="5"/>
      <c r="AF66" s="5">
        <f t="shared" ref="AF66:AF129" si="31">SUM(R66:AD66)</f>
        <v>3</v>
      </c>
      <c r="AG66" s="5">
        <f t="shared" ref="AG66:AG129" si="32">O66</f>
        <v>3</v>
      </c>
      <c r="AH66" s="5" t="str">
        <f t="shared" ref="AH66:AH129" si="33">IF(AF66=AG66,"Correct",IF(AF66=3,"Correct","Wrong"))</f>
        <v>Correct</v>
      </c>
      <c r="AI66" s="5"/>
      <c r="AJ66" s="120" t="str">
        <f>IFERROR(VLOOKUP(Table1[RespondentID],'All Data'!$A$3:$CO$999,87,FALSE),"unknown")</f>
        <v>Man</v>
      </c>
      <c r="AK66" s="120">
        <f>IFERROR(VLOOKUP(Table1[RespondentID],'All Data'!$A$3:$CO$999,88,FALSE),"unknown")</f>
        <v>0</v>
      </c>
      <c r="AL66" s="120" t="str">
        <f>IFERROR(VLOOKUP(Table1[RespondentID],'All Data'!$A$3:$CO$999,89,FALSE),"unknown")</f>
        <v>Suffolk</v>
      </c>
      <c r="AM66" s="120" t="str">
        <f>IFERROR(VLOOKUP(Table1[RespondentID],'All Data'!$A$3:$CO$999,90,FALSE),"unknown")</f>
        <v>East Northport, 11731</v>
      </c>
      <c r="AN66" s="120" t="str">
        <f>IFERROR(VLOOKUP(Table1[RespondentID],'All Data'!$A$3:$CO$999,91,FALSE),"unknown")</f>
        <v>Asian</v>
      </c>
      <c r="AO66" s="120" t="str">
        <f>IFERROR(VLOOKUP(Table1[RespondentID],'All Data'!$A$3:$CO$999,92,FALSE),"unknown")</f>
        <v>Not Hispanic or Latino</v>
      </c>
      <c r="AP66" s="120" t="str">
        <f>IFERROR(VLOOKUP(Table1[RespondentID],'All Data'!$A$3:$CO$999,93,FALSE),"unknown")</f>
        <v>English</v>
      </c>
      <c r="AQ66" s="120">
        <f>IFERROR(VLOOKUP(Table1[RespondentID],'All Data'!$A$3:$CW$999,94,FALSE),"unknown")</f>
        <v>0</v>
      </c>
      <c r="AR66" s="120" t="str">
        <f>IFERROR(VLOOKUP(Table1[RespondentID],'All Data'!$A$3:$CW$999,95,FALSE),"unknown")</f>
        <v>College graduate</v>
      </c>
      <c r="AS66" s="120" t="str">
        <f>IFERROR(VLOOKUP(Table1[RespondentID],'All Data'!$A$3:$CW$999,96,FALSE),"unknown")</f>
        <v>Self-employed</v>
      </c>
      <c r="AT66" s="120" t="str">
        <f>IFERROR(VLOOKUP(Table1[RespondentID],'All Data'!$A$3:$CW$999,97,FALSE),"unknown")</f>
        <v>Yes</v>
      </c>
      <c r="AU66" s="120">
        <f>IFERROR(VLOOKUP(Table1[RespondentID],'All Data'!$A$3:$CW$999,98,FALSE),"unknown")</f>
        <v>0</v>
      </c>
      <c r="AV66" s="120">
        <f>IFERROR(VLOOKUP(Table1[RespondentID],'All Data'!$A$3:$CW$999,99,FALSE),"unknown")</f>
        <v>0</v>
      </c>
    </row>
    <row r="67" spans="1:48">
      <c r="A67" s="5">
        <v>18025178810</v>
      </c>
      <c r="B67" s="5"/>
      <c r="C67" s="5" t="s">
        <v>39</v>
      </c>
      <c r="D67" s="5"/>
      <c r="E67" s="5" t="s">
        <v>41</v>
      </c>
      <c r="F67" s="5"/>
      <c r="G67" s="5"/>
      <c r="H67" s="5"/>
      <c r="I67" s="5"/>
      <c r="J67" s="5" t="s">
        <v>45</v>
      </c>
      <c r="K67" s="5"/>
      <c r="L67" s="5"/>
      <c r="M67" s="5"/>
      <c r="N67" s="5"/>
      <c r="O67" s="5">
        <f t="shared" si="17"/>
        <v>3</v>
      </c>
      <c r="P67" s="5">
        <f t="shared" si="18"/>
        <v>1</v>
      </c>
      <c r="Q67" s="5"/>
      <c r="R67" s="5">
        <f t="shared" si="19"/>
        <v>0</v>
      </c>
      <c r="S67" s="5">
        <f t="shared" si="20"/>
        <v>1</v>
      </c>
      <c r="T67" s="5">
        <f t="shared" si="21"/>
        <v>0</v>
      </c>
      <c r="U67" s="5">
        <f t="shared" si="22"/>
        <v>1</v>
      </c>
      <c r="V67" s="5">
        <f t="shared" si="23"/>
        <v>0</v>
      </c>
      <c r="W67" s="5">
        <f t="shared" si="24"/>
        <v>0</v>
      </c>
      <c r="X67" s="5">
        <f t="shared" si="25"/>
        <v>0</v>
      </c>
      <c r="Y67" s="5">
        <f t="shared" si="26"/>
        <v>0</v>
      </c>
      <c r="Z67" s="5">
        <f t="shared" si="27"/>
        <v>1</v>
      </c>
      <c r="AA67" s="5">
        <f t="shared" si="28"/>
        <v>0</v>
      </c>
      <c r="AB67" s="5">
        <f t="shared" si="29"/>
        <v>0</v>
      </c>
      <c r="AC67" s="5">
        <f t="shared" si="30"/>
        <v>0</v>
      </c>
      <c r="AD67" s="5"/>
      <c r="AE67" s="5"/>
      <c r="AF67" s="5">
        <f t="shared" si="31"/>
        <v>3</v>
      </c>
      <c r="AG67" s="5">
        <f t="shared" si="32"/>
        <v>3</v>
      </c>
      <c r="AH67" s="5" t="str">
        <f t="shared" si="33"/>
        <v>Correct</v>
      </c>
      <c r="AI67" s="5"/>
      <c r="AJ67" s="120" t="str">
        <f>IFERROR(VLOOKUP(Table1[RespondentID],'All Data'!$A$3:$CO$999,87,FALSE),"unknown")</f>
        <v>Woman</v>
      </c>
      <c r="AK67" s="120">
        <f>IFERROR(VLOOKUP(Table1[RespondentID],'All Data'!$A$3:$CO$999,88,FALSE),"unknown")</f>
        <v>32</v>
      </c>
      <c r="AL67" s="120" t="str">
        <f>IFERROR(VLOOKUP(Table1[RespondentID],'All Data'!$A$3:$CO$999,89,FALSE),"unknown")</f>
        <v>Suffolk</v>
      </c>
      <c r="AM67" s="120" t="str">
        <f>IFERROR(VLOOKUP(Table1[RespondentID],'All Data'!$A$3:$CO$999,90,FALSE),"unknown")</f>
        <v>Kings Park, 11754</v>
      </c>
      <c r="AN67" s="120" t="str">
        <f>IFERROR(VLOOKUP(Table1[RespondentID],'All Data'!$A$3:$CO$999,91,FALSE),"unknown")</f>
        <v>Two or more races</v>
      </c>
      <c r="AO67" s="120" t="str">
        <f>IFERROR(VLOOKUP(Table1[RespondentID],'All Data'!$A$3:$CO$999,92,FALSE),"unknown")</f>
        <v>Hispanic or Latino</v>
      </c>
      <c r="AP67" s="120" t="str">
        <f>IFERROR(VLOOKUP(Table1[RespondentID],'All Data'!$A$3:$CO$999,93,FALSE),"unknown")</f>
        <v>English, Spanish</v>
      </c>
      <c r="AQ67" s="120" t="str">
        <f>IFERROR(VLOOKUP(Table1[RespondentID],'All Data'!$A$3:$CW$999,94,FALSE),"unknown")</f>
        <v>Over $125,000</v>
      </c>
      <c r="AR67" s="120" t="str">
        <f>IFERROR(VLOOKUP(Table1[RespondentID],'All Data'!$A$3:$CW$999,95,FALSE),"unknown")</f>
        <v>Doctorate</v>
      </c>
      <c r="AS67" s="120" t="str">
        <f>IFERROR(VLOOKUP(Table1[RespondentID],'All Data'!$A$3:$CW$999,96,FALSE),"unknown")</f>
        <v>Out of work, but not currently looking</v>
      </c>
      <c r="AT67" s="120" t="str">
        <f>IFERROR(VLOOKUP(Table1[RespondentID],'All Data'!$A$3:$CW$999,97,FALSE),"unknown")</f>
        <v>Yes</v>
      </c>
      <c r="AU67" s="120">
        <f>IFERROR(VLOOKUP(Table1[RespondentID],'All Data'!$A$3:$CW$999,98,FALSE),"unknown")</f>
        <v>0</v>
      </c>
      <c r="AV67" s="120">
        <f>IFERROR(VLOOKUP(Table1[RespondentID],'All Data'!$A$3:$CW$999,99,FALSE),"unknown")</f>
        <v>0</v>
      </c>
    </row>
    <row r="68" spans="1:48">
      <c r="A68" s="5">
        <v>18025178531</v>
      </c>
      <c r="B68" s="5"/>
      <c r="C68" s="5"/>
      <c r="D68" s="5"/>
      <c r="E68" s="5"/>
      <c r="F68" s="5"/>
      <c r="G68" s="5"/>
      <c r="H68" s="5"/>
      <c r="I68" s="5" t="s">
        <v>44</v>
      </c>
      <c r="J68" s="5"/>
      <c r="K68" s="5"/>
      <c r="L68" s="5"/>
      <c r="M68" s="5"/>
      <c r="N68" s="5"/>
      <c r="O68" s="5">
        <f t="shared" si="17"/>
        <v>1</v>
      </c>
      <c r="P68" s="5">
        <f t="shared" si="18"/>
        <v>3</v>
      </c>
      <c r="Q68" s="5"/>
      <c r="R68" s="5">
        <f t="shared" si="19"/>
        <v>0</v>
      </c>
      <c r="S68" s="5">
        <f t="shared" si="20"/>
        <v>0</v>
      </c>
      <c r="T68" s="5">
        <f t="shared" si="21"/>
        <v>0</v>
      </c>
      <c r="U68" s="5">
        <f t="shared" si="22"/>
        <v>0</v>
      </c>
      <c r="V68" s="5">
        <f t="shared" si="23"/>
        <v>0</v>
      </c>
      <c r="W68" s="5">
        <f t="shared" si="24"/>
        <v>0</v>
      </c>
      <c r="X68" s="5">
        <f t="shared" si="25"/>
        <v>0</v>
      </c>
      <c r="Y68" s="5">
        <f t="shared" si="26"/>
        <v>1</v>
      </c>
      <c r="Z68" s="5">
        <f t="shared" si="27"/>
        <v>0</v>
      </c>
      <c r="AA68" s="5">
        <f t="shared" si="28"/>
        <v>0</v>
      </c>
      <c r="AB68" s="5">
        <f t="shared" si="29"/>
        <v>0</v>
      </c>
      <c r="AC68" s="5">
        <f t="shared" si="30"/>
        <v>0</v>
      </c>
      <c r="AD68" s="5"/>
      <c r="AE68" s="5"/>
      <c r="AF68" s="5">
        <f t="shared" si="31"/>
        <v>1</v>
      </c>
      <c r="AG68" s="5">
        <f t="shared" si="32"/>
        <v>1</v>
      </c>
      <c r="AH68" s="5" t="str">
        <f t="shared" si="33"/>
        <v>Correct</v>
      </c>
      <c r="AI68" s="5"/>
      <c r="AJ68" s="120" t="str">
        <f>IFERROR(VLOOKUP(Table1[RespondentID],'All Data'!$A$3:$CO$999,87,FALSE),"unknown")</f>
        <v>Man</v>
      </c>
      <c r="AK68" s="120">
        <f>IFERROR(VLOOKUP(Table1[RespondentID],'All Data'!$A$3:$CO$999,88,FALSE),"unknown")</f>
        <v>39</v>
      </c>
      <c r="AL68" s="120" t="str">
        <f>IFERROR(VLOOKUP(Table1[RespondentID],'All Data'!$A$3:$CO$999,89,FALSE),"unknown")</f>
        <v>Suffolk</v>
      </c>
      <c r="AM68" s="120" t="str">
        <f>IFERROR(VLOOKUP(Table1[RespondentID],'All Data'!$A$3:$CO$999,90,FALSE),"unknown")</f>
        <v>Commack, 11725</v>
      </c>
      <c r="AN68" s="120" t="str">
        <f>IFERROR(VLOOKUP(Table1[RespondentID],'All Data'!$A$3:$CO$999,91,FALSE),"unknown")</f>
        <v>White</v>
      </c>
      <c r="AO68" s="120">
        <f>IFERROR(VLOOKUP(Table1[RespondentID],'All Data'!$A$3:$CO$999,92,FALSE),"unknown")</f>
        <v>0</v>
      </c>
      <c r="AP68" s="120" t="str">
        <f>IFERROR(VLOOKUP(Table1[RespondentID],'All Data'!$A$3:$CO$999,93,FALSE),"unknown")</f>
        <v>English</v>
      </c>
      <c r="AQ68" s="120" t="str">
        <f>IFERROR(VLOOKUP(Table1[RespondentID],'All Data'!$A$3:$CW$999,94,FALSE),"unknown")</f>
        <v>$75,000 to $125,000</v>
      </c>
      <c r="AR68" s="120" t="str">
        <f>IFERROR(VLOOKUP(Table1[RespondentID],'All Data'!$A$3:$CW$999,95,FALSE),"unknown")</f>
        <v>College graduate</v>
      </c>
      <c r="AS68" s="120" t="str">
        <f>IFERROR(VLOOKUP(Table1[RespondentID],'All Data'!$A$3:$CW$999,96,FALSE),"unknown")</f>
        <v>Employed for wages</v>
      </c>
      <c r="AT68" s="120" t="str">
        <f>IFERROR(VLOOKUP(Table1[RespondentID],'All Data'!$A$3:$CW$999,97,FALSE),"unknown")</f>
        <v>Yes</v>
      </c>
      <c r="AU68" s="120">
        <f>IFERROR(VLOOKUP(Table1[RespondentID],'All Data'!$A$3:$CW$999,98,FALSE),"unknown")</f>
        <v>0</v>
      </c>
      <c r="AV68" s="120">
        <f>IFERROR(VLOOKUP(Table1[RespondentID],'All Data'!$A$3:$CW$999,99,FALSE),"unknown")</f>
        <v>0</v>
      </c>
    </row>
    <row r="69" spans="1:48">
      <c r="A69" s="5">
        <v>18025178424</v>
      </c>
      <c r="B69" s="5"/>
      <c r="C69" s="5"/>
      <c r="D69" s="5"/>
      <c r="E69" s="5" t="s">
        <v>41</v>
      </c>
      <c r="F69" s="5"/>
      <c r="G69" s="5" t="s">
        <v>37</v>
      </c>
      <c r="H69" s="5"/>
      <c r="I69" s="5"/>
      <c r="J69" s="5"/>
      <c r="K69" s="5"/>
      <c r="L69" s="5" t="s">
        <v>47</v>
      </c>
      <c r="M69" s="5"/>
      <c r="N69" s="5"/>
      <c r="O69" s="5">
        <f t="shared" si="17"/>
        <v>3</v>
      </c>
      <c r="P69" s="5">
        <f t="shared" si="18"/>
        <v>1</v>
      </c>
      <c r="Q69" s="5"/>
      <c r="R69" s="5">
        <f t="shared" si="19"/>
        <v>0</v>
      </c>
      <c r="S69" s="5">
        <f t="shared" si="20"/>
        <v>0</v>
      </c>
      <c r="T69" s="5">
        <f t="shared" si="21"/>
        <v>0</v>
      </c>
      <c r="U69" s="5">
        <f t="shared" si="22"/>
        <v>1</v>
      </c>
      <c r="V69" s="5">
        <f t="shared" si="23"/>
        <v>0</v>
      </c>
      <c r="W69" s="5">
        <f t="shared" si="24"/>
        <v>1</v>
      </c>
      <c r="X69" s="5">
        <f t="shared" si="25"/>
        <v>0</v>
      </c>
      <c r="Y69" s="5">
        <f t="shared" si="26"/>
        <v>0</v>
      </c>
      <c r="Z69" s="5">
        <f t="shared" si="27"/>
        <v>0</v>
      </c>
      <c r="AA69" s="5">
        <f t="shared" si="28"/>
        <v>0</v>
      </c>
      <c r="AB69" s="5">
        <f t="shared" si="29"/>
        <v>1</v>
      </c>
      <c r="AC69" s="5">
        <f t="shared" si="30"/>
        <v>0</v>
      </c>
      <c r="AD69" s="5"/>
      <c r="AE69" s="5"/>
      <c r="AF69" s="5">
        <f t="shared" si="31"/>
        <v>3</v>
      </c>
      <c r="AG69" s="5">
        <f t="shared" si="32"/>
        <v>3</v>
      </c>
      <c r="AH69" s="5" t="str">
        <f t="shared" si="33"/>
        <v>Correct</v>
      </c>
      <c r="AI69" s="5"/>
      <c r="AJ69" s="120" t="str">
        <f>IFERROR(VLOOKUP(Table1[RespondentID],'All Data'!$A$3:$CO$999,87,FALSE),"unknown")</f>
        <v>Woman</v>
      </c>
      <c r="AK69" s="120">
        <f>IFERROR(VLOOKUP(Table1[RespondentID],'All Data'!$A$3:$CO$999,88,FALSE),"unknown")</f>
        <v>59</v>
      </c>
      <c r="AL69" s="120" t="str">
        <f>IFERROR(VLOOKUP(Table1[RespondentID],'All Data'!$A$3:$CO$999,89,FALSE),"unknown")</f>
        <v>Suffolk</v>
      </c>
      <c r="AM69" s="120" t="str">
        <f>IFERROR(VLOOKUP(Table1[RespondentID],'All Data'!$A$3:$CO$999,90,FALSE),"unknown")</f>
        <v>Saint James, 11780</v>
      </c>
      <c r="AN69" s="120" t="str">
        <f>IFERROR(VLOOKUP(Table1[RespondentID],'All Data'!$A$3:$CO$999,91,FALSE),"unknown")</f>
        <v>White</v>
      </c>
      <c r="AO69" s="120" t="str">
        <f>IFERROR(VLOOKUP(Table1[RespondentID],'All Data'!$A$3:$CO$999,92,FALSE),"unknown")</f>
        <v>Not Hispanic or Latino</v>
      </c>
      <c r="AP69" s="120" t="str">
        <f>IFERROR(VLOOKUP(Table1[RespondentID],'All Data'!$A$3:$CO$999,93,FALSE),"unknown")</f>
        <v>English</v>
      </c>
      <c r="AQ69" s="120" t="str">
        <f>IFERROR(VLOOKUP(Table1[RespondentID],'All Data'!$A$3:$CW$999,94,FALSE),"unknown")</f>
        <v>Over $125,000</v>
      </c>
      <c r="AR69" s="120" t="str">
        <f>IFERROR(VLOOKUP(Table1[RespondentID],'All Data'!$A$3:$CW$999,95,FALSE),"unknown")</f>
        <v>College graduate</v>
      </c>
      <c r="AS69" s="120" t="str">
        <f>IFERROR(VLOOKUP(Table1[RespondentID],'All Data'!$A$3:$CW$999,96,FALSE),"unknown")</f>
        <v>Employed for wages</v>
      </c>
      <c r="AT69" s="120" t="str">
        <f>IFERROR(VLOOKUP(Table1[RespondentID],'All Data'!$A$3:$CW$999,97,FALSE),"unknown")</f>
        <v>Yes</v>
      </c>
      <c r="AU69" s="120" t="str">
        <f>IFERROR(VLOOKUP(Table1[RespondentID],'All Data'!$A$3:$CW$999,98,FALSE),"unknown")</f>
        <v>Private/Commercial</v>
      </c>
      <c r="AV69" s="120">
        <f>IFERROR(VLOOKUP(Table1[RespondentID],'All Data'!$A$3:$CW$999,99,FALSE),"unknown")</f>
        <v>0</v>
      </c>
    </row>
    <row r="70" spans="1:48">
      <c r="A70" s="5">
        <v>18025178298</v>
      </c>
      <c r="B70" s="5" t="s">
        <v>38</v>
      </c>
      <c r="C70" s="5"/>
      <c r="D70" s="5"/>
      <c r="E70" s="5"/>
      <c r="F70" s="5"/>
      <c r="G70" s="5"/>
      <c r="H70" s="5" t="s">
        <v>43</v>
      </c>
      <c r="I70" s="5"/>
      <c r="J70" s="5"/>
      <c r="K70" s="5"/>
      <c r="L70" s="5"/>
      <c r="M70" s="5"/>
      <c r="N70" s="5"/>
      <c r="O70" s="5">
        <f t="shared" si="17"/>
        <v>2</v>
      </c>
      <c r="P70" s="5">
        <f t="shared" si="18"/>
        <v>1.5</v>
      </c>
      <c r="Q70" s="5"/>
      <c r="R70" s="5">
        <f t="shared" si="19"/>
        <v>1</v>
      </c>
      <c r="S70" s="5">
        <f t="shared" si="20"/>
        <v>0</v>
      </c>
      <c r="T70" s="5">
        <f t="shared" si="21"/>
        <v>0</v>
      </c>
      <c r="U70" s="5">
        <f t="shared" si="22"/>
        <v>0</v>
      </c>
      <c r="V70" s="5">
        <f t="shared" si="23"/>
        <v>0</v>
      </c>
      <c r="W70" s="5">
        <f t="shared" si="24"/>
        <v>0</v>
      </c>
      <c r="X70" s="5">
        <f t="shared" si="25"/>
        <v>1</v>
      </c>
      <c r="Y70" s="5">
        <f t="shared" si="26"/>
        <v>0</v>
      </c>
      <c r="Z70" s="5">
        <f t="shared" si="27"/>
        <v>0</v>
      </c>
      <c r="AA70" s="5">
        <f t="shared" si="28"/>
        <v>0</v>
      </c>
      <c r="AB70" s="5">
        <f t="shared" si="29"/>
        <v>0</v>
      </c>
      <c r="AC70" s="5">
        <f t="shared" si="30"/>
        <v>0</v>
      </c>
      <c r="AD70" s="5"/>
      <c r="AE70" s="5"/>
      <c r="AF70" s="5">
        <f t="shared" si="31"/>
        <v>2</v>
      </c>
      <c r="AG70" s="5">
        <f t="shared" si="32"/>
        <v>2</v>
      </c>
      <c r="AH70" s="5" t="str">
        <f t="shared" si="33"/>
        <v>Correct</v>
      </c>
      <c r="AI70" s="5"/>
      <c r="AJ70" s="120" t="str">
        <f>IFERROR(VLOOKUP(Table1[RespondentID],'All Data'!$A$3:$CO$999,87,FALSE),"unknown")</f>
        <v>Woman</v>
      </c>
      <c r="AK70" s="120">
        <f>IFERROR(VLOOKUP(Table1[RespondentID],'All Data'!$A$3:$CO$999,88,FALSE),"unknown")</f>
        <v>42</v>
      </c>
      <c r="AL70" s="120" t="str">
        <f>IFERROR(VLOOKUP(Table1[RespondentID],'All Data'!$A$3:$CO$999,89,FALSE),"unknown")</f>
        <v>Suffolk</v>
      </c>
      <c r="AM70" s="120" t="str">
        <f>IFERROR(VLOOKUP(Table1[RespondentID],'All Data'!$A$3:$CO$999,90,FALSE),"unknown")</f>
        <v>Commack, 11725</v>
      </c>
      <c r="AN70" s="120" t="str">
        <f>IFERROR(VLOOKUP(Table1[RespondentID],'All Data'!$A$3:$CO$999,91,FALSE),"unknown")</f>
        <v>Asian</v>
      </c>
      <c r="AO70" s="120">
        <f>IFERROR(VLOOKUP(Table1[RespondentID],'All Data'!$A$3:$CO$999,92,FALSE),"unknown")</f>
        <v>0</v>
      </c>
      <c r="AP70" s="120">
        <f>IFERROR(VLOOKUP(Table1[RespondentID],'All Data'!$A$3:$CO$999,93,FALSE),"unknown")</f>
        <v>0</v>
      </c>
      <c r="AQ70" s="120" t="str">
        <f>IFERROR(VLOOKUP(Table1[RespondentID],'All Data'!$A$3:$CW$999,94,FALSE),"unknown")</f>
        <v>Over $125,000</v>
      </c>
      <c r="AR70" s="120" t="str">
        <f>IFERROR(VLOOKUP(Table1[RespondentID],'All Data'!$A$3:$CW$999,95,FALSE),"unknown")</f>
        <v>Graduate school</v>
      </c>
      <c r="AS70" s="120" t="str">
        <f>IFERROR(VLOOKUP(Table1[RespondentID],'All Data'!$A$3:$CW$999,96,FALSE),"unknown")</f>
        <v>Out of work, but not currently looking</v>
      </c>
      <c r="AT70" s="120" t="str">
        <f>IFERROR(VLOOKUP(Table1[RespondentID],'All Data'!$A$3:$CW$999,97,FALSE),"unknown")</f>
        <v>Yes</v>
      </c>
      <c r="AU70" s="120">
        <f>IFERROR(VLOOKUP(Table1[RespondentID],'All Data'!$A$3:$CW$999,98,FALSE),"unknown")</f>
        <v>0</v>
      </c>
      <c r="AV70" s="120">
        <f>IFERROR(VLOOKUP(Table1[RespondentID],'All Data'!$A$3:$CW$999,99,FALSE),"unknown")</f>
        <v>0</v>
      </c>
    </row>
    <row r="71" spans="1:48">
      <c r="A71" s="5">
        <v>18025178212</v>
      </c>
      <c r="B71" s="5"/>
      <c r="C71" s="5"/>
      <c r="D71" s="5"/>
      <c r="E71" s="5"/>
      <c r="F71" s="5"/>
      <c r="G71" s="5"/>
      <c r="H71" s="5"/>
      <c r="I71" s="5" t="s">
        <v>44</v>
      </c>
      <c r="J71" s="5" t="s">
        <v>45</v>
      </c>
      <c r="K71" s="5"/>
      <c r="L71" s="5"/>
      <c r="M71" s="5"/>
      <c r="N71" s="5"/>
      <c r="O71" s="5">
        <f t="shared" si="17"/>
        <v>2</v>
      </c>
      <c r="P71" s="5">
        <f t="shared" si="18"/>
        <v>1.5</v>
      </c>
      <c r="Q71" s="5"/>
      <c r="R71" s="5">
        <f t="shared" si="19"/>
        <v>0</v>
      </c>
      <c r="S71" s="5">
        <f t="shared" si="20"/>
        <v>0</v>
      </c>
      <c r="T71" s="5">
        <f t="shared" si="21"/>
        <v>0</v>
      </c>
      <c r="U71" s="5">
        <f t="shared" si="22"/>
        <v>0</v>
      </c>
      <c r="V71" s="5">
        <f t="shared" si="23"/>
        <v>0</v>
      </c>
      <c r="W71" s="5">
        <f t="shared" si="24"/>
        <v>0</v>
      </c>
      <c r="X71" s="5">
        <f t="shared" si="25"/>
        <v>0</v>
      </c>
      <c r="Y71" s="5">
        <f t="shared" si="26"/>
        <v>1</v>
      </c>
      <c r="Z71" s="5">
        <f t="shared" si="27"/>
        <v>1</v>
      </c>
      <c r="AA71" s="5">
        <f t="shared" si="28"/>
        <v>0</v>
      </c>
      <c r="AB71" s="5">
        <f t="shared" si="29"/>
        <v>0</v>
      </c>
      <c r="AC71" s="5">
        <f t="shared" si="30"/>
        <v>0</v>
      </c>
      <c r="AD71" s="5"/>
      <c r="AE71" s="5"/>
      <c r="AF71" s="5">
        <f t="shared" si="31"/>
        <v>2</v>
      </c>
      <c r="AG71" s="5">
        <f t="shared" si="32"/>
        <v>2</v>
      </c>
      <c r="AH71" s="5" t="str">
        <f t="shared" si="33"/>
        <v>Correct</v>
      </c>
      <c r="AI71" s="5"/>
      <c r="AJ71" s="120" t="str">
        <f>IFERROR(VLOOKUP(Table1[RespondentID],'All Data'!$A$3:$CO$999,87,FALSE),"unknown")</f>
        <v>Woman</v>
      </c>
      <c r="AK71" s="120">
        <f>IFERROR(VLOOKUP(Table1[RespondentID],'All Data'!$A$3:$CO$999,88,FALSE),"unknown")</f>
        <v>46</v>
      </c>
      <c r="AL71" s="120" t="str">
        <f>IFERROR(VLOOKUP(Table1[RespondentID],'All Data'!$A$3:$CO$999,89,FALSE),"unknown")</f>
        <v>Suffolk</v>
      </c>
      <c r="AM71" s="120" t="str">
        <f>IFERROR(VLOOKUP(Table1[RespondentID],'All Data'!$A$3:$CO$999,90,FALSE),"unknown")</f>
        <v>East Northport, 11731</v>
      </c>
      <c r="AN71" s="120" t="str">
        <f>IFERROR(VLOOKUP(Table1[RespondentID],'All Data'!$A$3:$CO$999,91,FALSE),"unknown")</f>
        <v>Asian</v>
      </c>
      <c r="AO71" s="120" t="str">
        <f>IFERROR(VLOOKUP(Table1[RespondentID],'All Data'!$A$3:$CO$999,92,FALSE),"unknown")</f>
        <v>Not Hispanic or Latino</v>
      </c>
      <c r="AP71" s="120">
        <f>IFERROR(VLOOKUP(Table1[RespondentID],'All Data'!$A$3:$CO$999,93,FALSE),"unknown")</f>
        <v>0</v>
      </c>
      <c r="AQ71" s="120" t="str">
        <f>IFERROR(VLOOKUP(Table1[RespondentID],'All Data'!$A$3:$CW$999,94,FALSE),"unknown")</f>
        <v>$75,000 to $125,000</v>
      </c>
      <c r="AR71" s="120" t="str">
        <f>IFERROR(VLOOKUP(Table1[RespondentID],'All Data'!$A$3:$CW$999,95,FALSE),"unknown")</f>
        <v>Graduate school</v>
      </c>
      <c r="AS71" s="120" t="str">
        <f>IFERROR(VLOOKUP(Table1[RespondentID],'All Data'!$A$3:$CW$999,96,FALSE),"unknown")</f>
        <v>Out of work, but not currently looking</v>
      </c>
      <c r="AT71" s="120" t="str">
        <f>IFERROR(VLOOKUP(Table1[RespondentID],'All Data'!$A$3:$CW$999,97,FALSE),"unknown")</f>
        <v>Yes</v>
      </c>
      <c r="AU71" s="120">
        <f>IFERROR(VLOOKUP(Table1[RespondentID],'All Data'!$A$3:$CW$999,98,FALSE),"unknown")</f>
        <v>0</v>
      </c>
      <c r="AV71" s="120">
        <f>IFERROR(VLOOKUP(Table1[RespondentID],'All Data'!$A$3:$CW$999,99,FALSE),"unknown")</f>
        <v>0</v>
      </c>
    </row>
    <row r="72" spans="1:48">
      <c r="A72" s="5">
        <v>18025178011</v>
      </c>
      <c r="B72" s="5" t="s">
        <v>38</v>
      </c>
      <c r="C72" s="5"/>
      <c r="D72" s="5"/>
      <c r="E72" s="5"/>
      <c r="F72" s="5"/>
      <c r="G72" s="5"/>
      <c r="H72" s="5"/>
      <c r="I72" s="5"/>
      <c r="J72" s="5"/>
      <c r="K72" s="5"/>
      <c r="L72" s="5"/>
      <c r="M72" s="5"/>
      <c r="N72" s="5"/>
      <c r="O72" s="5">
        <f t="shared" si="17"/>
        <v>1</v>
      </c>
      <c r="P72" s="5">
        <f t="shared" si="18"/>
        <v>3</v>
      </c>
      <c r="Q72" s="5"/>
      <c r="R72" s="5">
        <f t="shared" si="19"/>
        <v>1</v>
      </c>
      <c r="S72" s="5">
        <f t="shared" si="20"/>
        <v>0</v>
      </c>
      <c r="T72" s="5">
        <f t="shared" si="21"/>
        <v>0</v>
      </c>
      <c r="U72" s="5">
        <f t="shared" si="22"/>
        <v>0</v>
      </c>
      <c r="V72" s="5">
        <f t="shared" si="23"/>
        <v>0</v>
      </c>
      <c r="W72" s="5">
        <f t="shared" si="24"/>
        <v>0</v>
      </c>
      <c r="X72" s="5">
        <f t="shared" si="25"/>
        <v>0</v>
      </c>
      <c r="Y72" s="5">
        <f t="shared" si="26"/>
        <v>0</v>
      </c>
      <c r="Z72" s="5">
        <f t="shared" si="27"/>
        <v>0</v>
      </c>
      <c r="AA72" s="5">
        <f t="shared" si="28"/>
        <v>0</v>
      </c>
      <c r="AB72" s="5">
        <f t="shared" si="29"/>
        <v>0</v>
      </c>
      <c r="AC72" s="5">
        <f t="shared" si="30"/>
        <v>0</v>
      </c>
      <c r="AD72" s="5"/>
      <c r="AE72" s="5"/>
      <c r="AF72" s="5">
        <f t="shared" si="31"/>
        <v>1</v>
      </c>
      <c r="AG72" s="5">
        <f t="shared" si="32"/>
        <v>1</v>
      </c>
      <c r="AH72" s="5" t="str">
        <f t="shared" si="33"/>
        <v>Correct</v>
      </c>
      <c r="AI72" s="5"/>
      <c r="AJ72" s="120" t="str">
        <f>IFERROR(VLOOKUP(Table1[RespondentID],'All Data'!$A$3:$CO$999,87,FALSE),"unknown")</f>
        <v>Man</v>
      </c>
      <c r="AK72" s="120">
        <f>IFERROR(VLOOKUP(Table1[RespondentID],'All Data'!$A$3:$CO$999,88,FALSE),"unknown")</f>
        <v>52</v>
      </c>
      <c r="AL72" s="120" t="str">
        <f>IFERROR(VLOOKUP(Table1[RespondentID],'All Data'!$A$3:$CO$999,89,FALSE),"unknown")</f>
        <v>Suffolk</v>
      </c>
      <c r="AM72" s="120" t="str">
        <f>IFERROR(VLOOKUP(Table1[RespondentID],'All Data'!$A$3:$CO$999,90,FALSE),"unknown")</f>
        <v>East Northport, 11731</v>
      </c>
      <c r="AN72" s="120" t="str">
        <f>IFERROR(VLOOKUP(Table1[RespondentID],'All Data'!$A$3:$CO$999,91,FALSE),"unknown")</f>
        <v>Asian</v>
      </c>
      <c r="AO72" s="120" t="str">
        <f>IFERROR(VLOOKUP(Table1[RespondentID],'All Data'!$A$3:$CO$999,92,FALSE),"unknown")</f>
        <v>Not Hispanic or Latino</v>
      </c>
      <c r="AP72" s="120">
        <f>IFERROR(VLOOKUP(Table1[RespondentID],'All Data'!$A$3:$CO$999,93,FALSE),"unknown")</f>
        <v>0</v>
      </c>
      <c r="AQ72" s="120" t="str">
        <f>IFERROR(VLOOKUP(Table1[RespondentID],'All Data'!$A$3:$CW$999,94,FALSE),"unknown")</f>
        <v>Over $125,000</v>
      </c>
      <c r="AR72" s="120" t="str">
        <f>IFERROR(VLOOKUP(Table1[RespondentID],'All Data'!$A$3:$CW$999,95,FALSE),"unknown")</f>
        <v>College graduate</v>
      </c>
      <c r="AS72" s="120" t="str">
        <f>IFERROR(VLOOKUP(Table1[RespondentID],'All Data'!$A$3:$CW$999,96,FALSE),"unknown")</f>
        <v>Self-employed</v>
      </c>
      <c r="AT72" s="120" t="str">
        <f>IFERROR(VLOOKUP(Table1[RespondentID],'All Data'!$A$3:$CW$999,97,FALSE),"unknown")</f>
        <v>Yes</v>
      </c>
      <c r="AU72" s="120">
        <f>IFERROR(VLOOKUP(Table1[RespondentID],'All Data'!$A$3:$CW$999,98,FALSE),"unknown")</f>
        <v>0</v>
      </c>
      <c r="AV72" s="120">
        <f>IFERROR(VLOOKUP(Table1[RespondentID],'All Data'!$A$3:$CW$999,99,FALSE),"unknown")</f>
        <v>0</v>
      </c>
    </row>
    <row r="73" spans="1:48">
      <c r="A73" s="5">
        <v>18025177820</v>
      </c>
      <c r="B73" s="5"/>
      <c r="C73" s="5" t="s">
        <v>39</v>
      </c>
      <c r="D73" s="5"/>
      <c r="E73" s="5"/>
      <c r="F73" s="5"/>
      <c r="G73" s="5"/>
      <c r="H73" s="5"/>
      <c r="I73" s="5" t="s">
        <v>44</v>
      </c>
      <c r="J73" s="5"/>
      <c r="K73" s="5" t="s">
        <v>46</v>
      </c>
      <c r="L73" s="5"/>
      <c r="M73" s="5"/>
      <c r="N73" s="5"/>
      <c r="O73" s="5">
        <f t="shared" si="17"/>
        <v>3</v>
      </c>
      <c r="P73" s="5">
        <f t="shared" si="18"/>
        <v>1</v>
      </c>
      <c r="Q73" s="5"/>
      <c r="R73" s="5">
        <f t="shared" si="19"/>
        <v>0</v>
      </c>
      <c r="S73" s="5">
        <f t="shared" si="20"/>
        <v>1</v>
      </c>
      <c r="T73" s="5">
        <f t="shared" si="21"/>
        <v>0</v>
      </c>
      <c r="U73" s="5">
        <f t="shared" si="22"/>
        <v>0</v>
      </c>
      <c r="V73" s="5">
        <f t="shared" si="23"/>
        <v>0</v>
      </c>
      <c r="W73" s="5">
        <f t="shared" si="24"/>
        <v>0</v>
      </c>
      <c r="X73" s="5">
        <f t="shared" si="25"/>
        <v>0</v>
      </c>
      <c r="Y73" s="5">
        <f t="shared" si="26"/>
        <v>1</v>
      </c>
      <c r="Z73" s="5">
        <f t="shared" si="27"/>
        <v>0</v>
      </c>
      <c r="AA73" s="5">
        <f t="shared" si="28"/>
        <v>1</v>
      </c>
      <c r="AB73" s="5">
        <f t="shared" si="29"/>
        <v>0</v>
      </c>
      <c r="AC73" s="5">
        <f t="shared" si="30"/>
        <v>0</v>
      </c>
      <c r="AD73" s="5"/>
      <c r="AE73" s="5"/>
      <c r="AF73" s="5">
        <f t="shared" si="31"/>
        <v>3</v>
      </c>
      <c r="AG73" s="5">
        <f t="shared" si="32"/>
        <v>3</v>
      </c>
      <c r="AH73" s="5" t="str">
        <f t="shared" si="33"/>
        <v>Correct</v>
      </c>
      <c r="AI73" s="5"/>
      <c r="AJ73" s="120" t="str">
        <f>IFERROR(VLOOKUP(Table1[RespondentID],'All Data'!$A$3:$CO$999,87,FALSE),"unknown")</f>
        <v>Woman</v>
      </c>
      <c r="AK73" s="120">
        <f>IFERROR(VLOOKUP(Table1[RespondentID],'All Data'!$A$3:$CO$999,88,FALSE),"unknown")</f>
        <v>18</v>
      </c>
      <c r="AL73" s="120" t="str">
        <f>IFERROR(VLOOKUP(Table1[RespondentID],'All Data'!$A$3:$CO$999,89,FALSE),"unknown")</f>
        <v>Suffolk</v>
      </c>
      <c r="AM73" s="120" t="str">
        <f>IFERROR(VLOOKUP(Table1[RespondentID],'All Data'!$A$3:$CO$999,90,FALSE),"unknown")</f>
        <v>East Northport, 11731</v>
      </c>
      <c r="AN73" s="120" t="str">
        <f>IFERROR(VLOOKUP(Table1[RespondentID],'All Data'!$A$3:$CO$999,91,FALSE),"unknown")</f>
        <v>Asian</v>
      </c>
      <c r="AO73" s="120" t="str">
        <f>IFERROR(VLOOKUP(Table1[RespondentID],'All Data'!$A$3:$CO$999,92,FALSE),"unknown")</f>
        <v>Not Hispanic or Latino</v>
      </c>
      <c r="AP73" s="120">
        <f>IFERROR(VLOOKUP(Table1[RespondentID],'All Data'!$A$3:$CO$999,93,FALSE),"unknown")</f>
        <v>0</v>
      </c>
      <c r="AQ73" s="120" t="str">
        <f>IFERROR(VLOOKUP(Table1[RespondentID],'All Data'!$A$3:$CW$999,94,FALSE),"unknown")</f>
        <v>Over $125,000</v>
      </c>
      <c r="AR73" s="120" t="str">
        <f>IFERROR(VLOOKUP(Table1[RespondentID],'All Data'!$A$3:$CW$999,95,FALSE),"unknown")</f>
        <v>Some high school</v>
      </c>
      <c r="AS73" s="120" t="str">
        <f>IFERROR(VLOOKUP(Table1[RespondentID],'All Data'!$A$3:$CW$999,96,FALSE),"unknown")</f>
        <v>Student</v>
      </c>
      <c r="AT73" s="120" t="str">
        <f>IFERROR(VLOOKUP(Table1[RespondentID],'All Data'!$A$3:$CW$999,97,FALSE),"unknown")</f>
        <v>Yes</v>
      </c>
      <c r="AU73" s="120">
        <f>IFERROR(VLOOKUP(Table1[RespondentID],'All Data'!$A$3:$CW$999,98,FALSE),"unknown")</f>
        <v>0</v>
      </c>
      <c r="AV73" s="120">
        <f>IFERROR(VLOOKUP(Table1[RespondentID],'All Data'!$A$3:$CW$999,99,FALSE),"unknown")</f>
        <v>0</v>
      </c>
    </row>
    <row r="74" spans="1:48">
      <c r="A74" s="5">
        <v>18025177600</v>
      </c>
      <c r="B74" s="5"/>
      <c r="C74" s="5"/>
      <c r="D74" s="5"/>
      <c r="E74" s="5"/>
      <c r="F74" s="5"/>
      <c r="G74" s="5"/>
      <c r="H74" s="5"/>
      <c r="I74" s="5"/>
      <c r="J74" s="5"/>
      <c r="K74" s="5"/>
      <c r="L74" s="5"/>
      <c r="M74" s="5"/>
      <c r="N74" s="5"/>
      <c r="O74" s="5">
        <f t="shared" si="17"/>
        <v>0</v>
      </c>
      <c r="P74" s="5" t="e">
        <f t="shared" si="18"/>
        <v>#DIV/0!</v>
      </c>
      <c r="Q74" s="5"/>
      <c r="R74" s="5">
        <f t="shared" si="19"/>
        <v>0</v>
      </c>
      <c r="S74" s="5">
        <f t="shared" si="20"/>
        <v>0</v>
      </c>
      <c r="T74" s="5">
        <f t="shared" si="21"/>
        <v>0</v>
      </c>
      <c r="U74" s="5">
        <f t="shared" si="22"/>
        <v>0</v>
      </c>
      <c r="V74" s="5">
        <f t="shared" si="23"/>
        <v>0</v>
      </c>
      <c r="W74" s="5">
        <f t="shared" si="24"/>
        <v>0</v>
      </c>
      <c r="X74" s="5">
        <f t="shared" si="25"/>
        <v>0</v>
      </c>
      <c r="Y74" s="5">
        <f t="shared" si="26"/>
        <v>0</v>
      </c>
      <c r="Z74" s="5">
        <f t="shared" si="27"/>
        <v>0</v>
      </c>
      <c r="AA74" s="5">
        <f t="shared" si="28"/>
        <v>0</v>
      </c>
      <c r="AB74" s="5">
        <f t="shared" si="29"/>
        <v>0</v>
      </c>
      <c r="AC74" s="5">
        <f t="shared" si="30"/>
        <v>0</v>
      </c>
      <c r="AD74" s="5"/>
      <c r="AE74" s="5"/>
      <c r="AF74" s="5">
        <f t="shared" si="31"/>
        <v>0</v>
      </c>
      <c r="AG74" s="5">
        <f t="shared" si="32"/>
        <v>0</v>
      </c>
      <c r="AH74" s="5" t="str">
        <f t="shared" si="33"/>
        <v>Correct</v>
      </c>
      <c r="AI74" s="5"/>
      <c r="AJ74" s="120" t="str">
        <f>IFERROR(VLOOKUP(Table1[RespondentID],'All Data'!$A$3:$CO$999,87,FALSE),"unknown")</f>
        <v>Woman</v>
      </c>
      <c r="AK74" s="120">
        <f>IFERROR(VLOOKUP(Table1[RespondentID],'All Data'!$A$3:$CO$999,88,FALSE),"unknown")</f>
        <v>62</v>
      </c>
      <c r="AL74" s="120" t="str">
        <f>IFERROR(VLOOKUP(Table1[RespondentID],'All Data'!$A$3:$CO$999,89,FALSE),"unknown")</f>
        <v>Suffolk</v>
      </c>
      <c r="AM74" s="120" t="str">
        <f>IFERROR(VLOOKUP(Table1[RespondentID],'All Data'!$A$3:$CO$999,90,FALSE),"unknown")</f>
        <v>Kings Park, 11754</v>
      </c>
      <c r="AN74" s="120" t="str">
        <f>IFERROR(VLOOKUP(Table1[RespondentID],'All Data'!$A$3:$CO$999,91,FALSE),"unknown")</f>
        <v>White</v>
      </c>
      <c r="AO74" s="120" t="str">
        <f>IFERROR(VLOOKUP(Table1[RespondentID],'All Data'!$A$3:$CO$999,92,FALSE),"unknown")</f>
        <v>Not Hispanic or Latino</v>
      </c>
      <c r="AP74" s="120">
        <f>IFERROR(VLOOKUP(Table1[RespondentID],'All Data'!$A$3:$CO$999,93,FALSE),"unknown")</f>
        <v>0</v>
      </c>
      <c r="AQ74" s="120" t="str">
        <f>IFERROR(VLOOKUP(Table1[RespondentID],'All Data'!$A$3:$CW$999,94,FALSE),"unknown")</f>
        <v>Over $125,000</v>
      </c>
      <c r="AR74" s="120" t="str">
        <f>IFERROR(VLOOKUP(Table1[RespondentID],'All Data'!$A$3:$CW$999,95,FALSE),"unknown")</f>
        <v>Some college</v>
      </c>
      <c r="AS74" s="120" t="str">
        <f>IFERROR(VLOOKUP(Table1[RespondentID],'All Data'!$A$3:$CW$999,96,FALSE),"unknown")</f>
        <v>Self-employed</v>
      </c>
      <c r="AT74" s="120" t="str">
        <f>IFERROR(VLOOKUP(Table1[RespondentID],'All Data'!$A$3:$CW$999,97,FALSE),"unknown")</f>
        <v>Yes</v>
      </c>
      <c r="AU74" s="120" t="str">
        <f>IFERROR(VLOOKUP(Table1[RespondentID],'All Data'!$A$3:$CW$999,98,FALSE),"unknown")</f>
        <v>Private/Commercial</v>
      </c>
      <c r="AV74" s="120">
        <f>IFERROR(VLOOKUP(Table1[RespondentID],'All Data'!$A$3:$CW$999,99,FALSE),"unknown")</f>
        <v>0</v>
      </c>
    </row>
    <row r="75" spans="1:48">
      <c r="A75" s="5">
        <v>18025177479</v>
      </c>
      <c r="B75" s="5" t="s">
        <v>38</v>
      </c>
      <c r="C75" s="5"/>
      <c r="D75" s="5" t="s">
        <v>40</v>
      </c>
      <c r="E75" s="5" t="s">
        <v>41</v>
      </c>
      <c r="F75" s="5"/>
      <c r="G75" s="5"/>
      <c r="H75" s="5"/>
      <c r="I75" s="5"/>
      <c r="J75" s="5"/>
      <c r="K75" s="5"/>
      <c r="L75" s="5"/>
      <c r="M75" s="5"/>
      <c r="N75" s="5"/>
      <c r="O75" s="5">
        <f t="shared" si="17"/>
        <v>3</v>
      </c>
      <c r="P75" s="5">
        <f t="shared" si="18"/>
        <v>1</v>
      </c>
      <c r="Q75" s="5"/>
      <c r="R75" s="5">
        <f t="shared" si="19"/>
        <v>1</v>
      </c>
      <c r="S75" s="5">
        <f t="shared" si="20"/>
        <v>0</v>
      </c>
      <c r="T75" s="5">
        <f t="shared" si="21"/>
        <v>1</v>
      </c>
      <c r="U75" s="5">
        <f t="shared" si="22"/>
        <v>1</v>
      </c>
      <c r="V75" s="5">
        <f t="shared" si="23"/>
        <v>0</v>
      </c>
      <c r="W75" s="5">
        <f t="shared" si="24"/>
        <v>0</v>
      </c>
      <c r="X75" s="5">
        <f t="shared" si="25"/>
        <v>0</v>
      </c>
      <c r="Y75" s="5">
        <f t="shared" si="26"/>
        <v>0</v>
      </c>
      <c r="Z75" s="5">
        <f t="shared" si="27"/>
        <v>0</v>
      </c>
      <c r="AA75" s="5">
        <f t="shared" si="28"/>
        <v>0</v>
      </c>
      <c r="AB75" s="5">
        <f t="shared" si="29"/>
        <v>0</v>
      </c>
      <c r="AC75" s="5">
        <f t="shared" si="30"/>
        <v>0</v>
      </c>
      <c r="AD75" s="5"/>
      <c r="AE75" s="5"/>
      <c r="AF75" s="5">
        <f t="shared" si="31"/>
        <v>3</v>
      </c>
      <c r="AG75" s="5">
        <f t="shared" si="32"/>
        <v>3</v>
      </c>
      <c r="AH75" s="5" t="str">
        <f t="shared" si="33"/>
        <v>Correct</v>
      </c>
      <c r="AI75" s="5"/>
      <c r="AJ75" s="120" t="str">
        <f>IFERROR(VLOOKUP(Table1[RespondentID],'All Data'!$A$3:$CO$999,87,FALSE),"unknown")</f>
        <v>Man</v>
      </c>
      <c r="AK75" s="120">
        <f>IFERROR(VLOOKUP(Table1[RespondentID],'All Data'!$A$3:$CO$999,88,FALSE),"unknown")</f>
        <v>64</v>
      </c>
      <c r="AL75" s="120" t="str">
        <f>IFERROR(VLOOKUP(Table1[RespondentID],'All Data'!$A$3:$CO$999,89,FALSE),"unknown")</f>
        <v>Suffolk</v>
      </c>
      <c r="AM75" s="120" t="str">
        <f>IFERROR(VLOOKUP(Table1[RespondentID],'All Data'!$A$3:$CO$999,90,FALSE),"unknown")</f>
        <v>Farmingville, 11738</v>
      </c>
      <c r="AN75" s="120" t="str">
        <f>IFERROR(VLOOKUP(Table1[RespondentID],'All Data'!$A$3:$CO$999,91,FALSE),"unknown")</f>
        <v>White</v>
      </c>
      <c r="AO75" s="120" t="str">
        <f>IFERROR(VLOOKUP(Table1[RespondentID],'All Data'!$A$3:$CO$999,92,FALSE),"unknown")</f>
        <v>Not Hispanic or Latino</v>
      </c>
      <c r="AP75" s="120" t="str">
        <f>IFERROR(VLOOKUP(Table1[RespondentID],'All Data'!$A$3:$CO$999,93,FALSE),"unknown")</f>
        <v>English</v>
      </c>
      <c r="AQ75" s="120" t="str">
        <f>IFERROR(VLOOKUP(Table1[RespondentID],'All Data'!$A$3:$CW$999,94,FALSE),"unknown")</f>
        <v>$75,000 to $125,000</v>
      </c>
      <c r="AR75" s="120" t="str">
        <f>IFERROR(VLOOKUP(Table1[RespondentID],'All Data'!$A$3:$CW$999,95,FALSE),"unknown")</f>
        <v>Graduate school</v>
      </c>
      <c r="AS75" s="120" t="str">
        <f>IFERROR(VLOOKUP(Table1[RespondentID],'All Data'!$A$3:$CW$999,96,FALSE),"unknown")</f>
        <v>Retired</v>
      </c>
      <c r="AT75" s="120" t="str">
        <f>IFERROR(VLOOKUP(Table1[RespondentID],'All Data'!$A$3:$CW$999,97,FALSE),"unknown")</f>
        <v>Yes</v>
      </c>
      <c r="AU75" s="120" t="str">
        <f>IFERROR(VLOOKUP(Table1[RespondentID],'All Data'!$A$3:$CW$999,98,FALSE),"unknown")</f>
        <v>Medicare</v>
      </c>
      <c r="AV75" s="120">
        <f>IFERROR(VLOOKUP(Table1[RespondentID],'All Data'!$A$3:$CW$999,99,FALSE),"unknown")</f>
        <v>0</v>
      </c>
    </row>
    <row r="76" spans="1:48">
      <c r="A76" s="5">
        <v>18025177067</v>
      </c>
      <c r="B76" s="5" t="s">
        <v>38</v>
      </c>
      <c r="C76" s="5"/>
      <c r="D76" s="5"/>
      <c r="E76" s="5"/>
      <c r="F76" s="5" t="s">
        <v>42</v>
      </c>
      <c r="G76" s="5"/>
      <c r="H76" s="5" t="s">
        <v>43</v>
      </c>
      <c r="I76" s="5"/>
      <c r="J76" s="5" t="s">
        <v>45</v>
      </c>
      <c r="K76" s="5"/>
      <c r="L76" s="5"/>
      <c r="M76" s="5"/>
      <c r="N76" s="5"/>
      <c r="O76" s="5">
        <f t="shared" si="17"/>
        <v>4</v>
      </c>
      <c r="P76" s="5">
        <f t="shared" si="18"/>
        <v>0.75</v>
      </c>
      <c r="Q76" s="5"/>
      <c r="R76" s="5">
        <f t="shared" si="19"/>
        <v>0.75</v>
      </c>
      <c r="S76" s="5">
        <f t="shared" si="20"/>
        <v>0</v>
      </c>
      <c r="T76" s="5">
        <f t="shared" si="21"/>
        <v>0</v>
      </c>
      <c r="U76" s="5">
        <f t="shared" si="22"/>
        <v>0</v>
      </c>
      <c r="V76" s="5">
        <f t="shared" si="23"/>
        <v>0.75</v>
      </c>
      <c r="W76" s="5">
        <f t="shared" si="24"/>
        <v>0</v>
      </c>
      <c r="X76" s="5">
        <f t="shared" si="25"/>
        <v>0.75</v>
      </c>
      <c r="Y76" s="5">
        <f t="shared" si="26"/>
        <v>0</v>
      </c>
      <c r="Z76" s="5">
        <f t="shared" si="27"/>
        <v>0.75</v>
      </c>
      <c r="AA76" s="5">
        <f t="shared" si="28"/>
        <v>0</v>
      </c>
      <c r="AB76" s="5">
        <f t="shared" si="29"/>
        <v>0</v>
      </c>
      <c r="AC76" s="5">
        <f t="shared" si="30"/>
        <v>0</v>
      </c>
      <c r="AD76" s="5"/>
      <c r="AE76" s="5"/>
      <c r="AF76" s="5">
        <f t="shared" si="31"/>
        <v>3</v>
      </c>
      <c r="AG76" s="5">
        <f t="shared" si="32"/>
        <v>4</v>
      </c>
      <c r="AH76" s="5" t="str">
        <f t="shared" si="33"/>
        <v>Correct</v>
      </c>
      <c r="AI76" s="5"/>
      <c r="AJ76" s="120" t="str">
        <f>IFERROR(VLOOKUP(Table1[RespondentID],'All Data'!$A$3:$CO$999,87,FALSE),"unknown")</f>
        <v>Man</v>
      </c>
      <c r="AK76" s="120">
        <f>IFERROR(VLOOKUP(Table1[RespondentID],'All Data'!$A$3:$CO$999,88,FALSE),"unknown")</f>
        <v>36</v>
      </c>
      <c r="AL76" s="120" t="str">
        <f>IFERROR(VLOOKUP(Table1[RespondentID],'All Data'!$A$3:$CO$999,89,FALSE),"unknown")</f>
        <v>Suffolk</v>
      </c>
      <c r="AM76" s="120" t="str">
        <f>IFERROR(VLOOKUP(Table1[RespondentID],'All Data'!$A$3:$CO$999,90,FALSE),"unknown")</f>
        <v>Wading River, 11792</v>
      </c>
      <c r="AN76" s="120" t="str">
        <f>IFERROR(VLOOKUP(Table1[RespondentID],'All Data'!$A$3:$CO$999,91,FALSE),"unknown")</f>
        <v>Two or more races</v>
      </c>
      <c r="AO76" s="120" t="str">
        <f>IFERROR(VLOOKUP(Table1[RespondentID],'All Data'!$A$3:$CO$999,92,FALSE),"unknown")</f>
        <v>Hispanic or Latino</v>
      </c>
      <c r="AP76" s="120" t="str">
        <f>IFERROR(VLOOKUP(Table1[RespondentID],'All Data'!$A$3:$CO$999,93,FALSE),"unknown")</f>
        <v>English</v>
      </c>
      <c r="AQ76" s="120" t="str">
        <f>IFERROR(VLOOKUP(Table1[RespondentID],'All Data'!$A$3:$CW$999,94,FALSE),"unknown")</f>
        <v>$50,000 to $74,999</v>
      </c>
      <c r="AR76" s="120" t="str">
        <f>IFERROR(VLOOKUP(Table1[RespondentID],'All Data'!$A$3:$CW$999,95,FALSE),"unknown")</f>
        <v>College graduate</v>
      </c>
      <c r="AS76" s="120" t="str">
        <f>IFERROR(VLOOKUP(Table1[RespondentID],'All Data'!$A$3:$CW$999,96,FALSE),"unknown")</f>
        <v>Self-employed</v>
      </c>
      <c r="AT76" s="120" t="str">
        <f>IFERROR(VLOOKUP(Table1[RespondentID],'All Data'!$A$3:$CW$999,97,FALSE),"unknown")</f>
        <v>Yes</v>
      </c>
      <c r="AU76" s="120" t="str">
        <f>IFERROR(VLOOKUP(Table1[RespondentID],'All Data'!$A$3:$CW$999,98,FALSE),"unknown")</f>
        <v>Private/Commercial</v>
      </c>
      <c r="AV76" s="120">
        <f>IFERROR(VLOOKUP(Table1[RespondentID],'All Data'!$A$3:$CW$999,99,FALSE),"unknown")</f>
        <v>0</v>
      </c>
    </row>
    <row r="77" spans="1:48">
      <c r="A77" s="5">
        <v>18024285770</v>
      </c>
      <c r="B77" s="5"/>
      <c r="C77" s="5" t="s">
        <v>39</v>
      </c>
      <c r="D77" s="5"/>
      <c r="E77" s="5"/>
      <c r="F77" s="5"/>
      <c r="G77" s="5"/>
      <c r="H77" s="5"/>
      <c r="I77" s="5"/>
      <c r="J77" s="5"/>
      <c r="K77" s="5"/>
      <c r="L77" s="5"/>
      <c r="M77" s="5"/>
      <c r="N77" s="5"/>
      <c r="O77" s="5">
        <f t="shared" si="17"/>
        <v>1</v>
      </c>
      <c r="P77" s="5">
        <f t="shared" si="18"/>
        <v>3</v>
      </c>
      <c r="Q77" s="5"/>
      <c r="R77" s="5">
        <f t="shared" si="19"/>
        <v>0</v>
      </c>
      <c r="S77" s="5">
        <f t="shared" si="20"/>
        <v>1</v>
      </c>
      <c r="T77" s="5">
        <f t="shared" si="21"/>
        <v>0</v>
      </c>
      <c r="U77" s="5">
        <f t="shared" si="22"/>
        <v>0</v>
      </c>
      <c r="V77" s="5">
        <f t="shared" si="23"/>
        <v>0</v>
      </c>
      <c r="W77" s="5">
        <f t="shared" si="24"/>
        <v>0</v>
      </c>
      <c r="X77" s="5">
        <f t="shared" si="25"/>
        <v>0</v>
      </c>
      <c r="Y77" s="5">
        <f t="shared" si="26"/>
        <v>0</v>
      </c>
      <c r="Z77" s="5">
        <f t="shared" si="27"/>
        <v>0</v>
      </c>
      <c r="AA77" s="5">
        <f t="shared" si="28"/>
        <v>0</v>
      </c>
      <c r="AB77" s="5">
        <f t="shared" si="29"/>
        <v>0</v>
      </c>
      <c r="AC77" s="5">
        <f t="shared" si="30"/>
        <v>0</v>
      </c>
      <c r="AD77" s="5"/>
      <c r="AE77" s="5"/>
      <c r="AF77" s="5">
        <f t="shared" si="31"/>
        <v>1</v>
      </c>
      <c r="AG77" s="5">
        <f t="shared" si="32"/>
        <v>1</v>
      </c>
      <c r="AH77" s="5" t="str">
        <f t="shared" si="33"/>
        <v>Correct</v>
      </c>
      <c r="AI77" s="5"/>
      <c r="AJ77" s="120" t="str">
        <f>IFERROR(VLOOKUP(Table1[RespondentID],'All Data'!$A$3:$CO$999,87,FALSE),"unknown")</f>
        <v>Man</v>
      </c>
      <c r="AK77" s="120">
        <f>IFERROR(VLOOKUP(Table1[RespondentID],'All Data'!$A$3:$CO$999,88,FALSE),"unknown")</f>
        <v>0</v>
      </c>
      <c r="AL77" s="120" t="str">
        <f>IFERROR(VLOOKUP(Table1[RespondentID],'All Data'!$A$3:$CO$999,89,FALSE),"unknown")</f>
        <v>Suffolk</v>
      </c>
      <c r="AM77" s="120" t="str">
        <f>IFERROR(VLOOKUP(Table1[RespondentID],'All Data'!$A$3:$CO$999,90,FALSE),"unknown")</f>
        <v>Smithtown, 11787</v>
      </c>
      <c r="AN77" s="120" t="str">
        <f>IFERROR(VLOOKUP(Table1[RespondentID],'All Data'!$A$3:$CO$999,91,FALSE),"unknown")</f>
        <v>White</v>
      </c>
      <c r="AO77" s="120" t="str">
        <f>IFERROR(VLOOKUP(Table1[RespondentID],'All Data'!$A$3:$CO$999,92,FALSE),"unknown")</f>
        <v>Not Hispanic or Latino</v>
      </c>
      <c r="AP77" s="120" t="str">
        <f>IFERROR(VLOOKUP(Table1[RespondentID],'All Data'!$A$3:$CO$999,93,FALSE),"unknown")</f>
        <v>English</v>
      </c>
      <c r="AQ77" s="120" t="str">
        <f>IFERROR(VLOOKUP(Table1[RespondentID],'All Data'!$A$3:$CW$999,94,FALSE),"unknown")</f>
        <v>$0-$19,999</v>
      </c>
      <c r="AR77" s="120" t="str">
        <f>IFERROR(VLOOKUP(Table1[RespondentID],'All Data'!$A$3:$CW$999,95,FALSE),"unknown")</f>
        <v>High school graduate</v>
      </c>
      <c r="AS77" s="120" t="str">
        <f>IFERROR(VLOOKUP(Table1[RespondentID],'All Data'!$A$3:$CW$999,96,FALSE),"unknown")</f>
        <v>Out of work, but not currently looking</v>
      </c>
      <c r="AT77" s="120" t="str">
        <f>IFERROR(VLOOKUP(Table1[RespondentID],'All Data'!$A$3:$CW$999,97,FALSE),"unknown")</f>
        <v>Yes</v>
      </c>
      <c r="AU77" s="120" t="str">
        <f>IFERROR(VLOOKUP(Table1[RespondentID],'All Data'!$A$3:$CW$999,98,FALSE),"unknown")</f>
        <v>Medicaid</v>
      </c>
      <c r="AV77" s="120" t="str">
        <f>IFERROR(VLOOKUP(Table1[RespondentID],'All Data'!$A$3:$CW$999,99,FALSE),"unknown")</f>
        <v>Yes</v>
      </c>
    </row>
    <row r="78" spans="1:48">
      <c r="A78" s="5">
        <v>18024204548</v>
      </c>
      <c r="B78" s="5"/>
      <c r="C78" s="5"/>
      <c r="D78" s="5"/>
      <c r="E78" s="5"/>
      <c r="F78" s="5"/>
      <c r="G78" s="5"/>
      <c r="H78" s="5"/>
      <c r="I78" s="5"/>
      <c r="J78" s="5"/>
      <c r="K78" s="5"/>
      <c r="L78" s="5"/>
      <c r="M78" s="5"/>
      <c r="N78" s="5"/>
      <c r="O78" s="5">
        <f t="shared" si="17"/>
        <v>0</v>
      </c>
      <c r="P78" s="5" t="e">
        <f t="shared" si="18"/>
        <v>#DIV/0!</v>
      </c>
      <c r="Q78" s="5"/>
      <c r="R78" s="5">
        <f t="shared" si="19"/>
        <v>0</v>
      </c>
      <c r="S78" s="5">
        <f t="shared" si="20"/>
        <v>0</v>
      </c>
      <c r="T78" s="5">
        <f t="shared" si="21"/>
        <v>0</v>
      </c>
      <c r="U78" s="5">
        <f t="shared" si="22"/>
        <v>0</v>
      </c>
      <c r="V78" s="5">
        <f t="shared" si="23"/>
        <v>0</v>
      </c>
      <c r="W78" s="5">
        <f t="shared" si="24"/>
        <v>0</v>
      </c>
      <c r="X78" s="5">
        <f t="shared" si="25"/>
        <v>0</v>
      </c>
      <c r="Y78" s="5">
        <f t="shared" si="26"/>
        <v>0</v>
      </c>
      <c r="Z78" s="5">
        <f t="shared" si="27"/>
        <v>0</v>
      </c>
      <c r="AA78" s="5">
        <f t="shared" si="28"/>
        <v>0</v>
      </c>
      <c r="AB78" s="5">
        <f t="shared" si="29"/>
        <v>0</v>
      </c>
      <c r="AC78" s="5">
        <f t="shared" si="30"/>
        <v>0</v>
      </c>
      <c r="AD78" s="5"/>
      <c r="AE78" s="5"/>
      <c r="AF78" s="5">
        <f t="shared" si="31"/>
        <v>0</v>
      </c>
      <c r="AG78" s="5">
        <f t="shared" si="32"/>
        <v>0</v>
      </c>
      <c r="AH78" s="5" t="str">
        <f t="shared" si="33"/>
        <v>Correct</v>
      </c>
      <c r="AI78" s="5"/>
      <c r="AJ78" s="120">
        <f>IFERROR(VLOOKUP(Table1[RespondentID],'All Data'!$A$3:$CO$999,87,FALSE),"unknown")</f>
        <v>0</v>
      </c>
      <c r="AK78" s="120">
        <f>IFERROR(VLOOKUP(Table1[RespondentID],'All Data'!$A$3:$CO$999,88,FALSE),"unknown")</f>
        <v>0</v>
      </c>
      <c r="AL78" s="120">
        <f>IFERROR(VLOOKUP(Table1[RespondentID],'All Data'!$A$3:$CO$999,89,FALSE),"unknown")</f>
        <v>0</v>
      </c>
      <c r="AM78" s="120" t="str">
        <f>IFERROR(VLOOKUP(Table1[RespondentID],'All Data'!$A$3:$CO$999,90,FALSE),"unknown")</f>
        <v>Allenwood, 11021</v>
      </c>
      <c r="AN78" s="120">
        <f>IFERROR(VLOOKUP(Table1[RespondentID],'All Data'!$A$3:$CO$999,91,FALSE),"unknown")</f>
        <v>0</v>
      </c>
      <c r="AO78" s="120">
        <f>IFERROR(VLOOKUP(Table1[RespondentID],'All Data'!$A$3:$CO$999,92,FALSE),"unknown")</f>
        <v>0</v>
      </c>
      <c r="AP78" s="120">
        <f>IFERROR(VLOOKUP(Table1[RespondentID],'All Data'!$A$3:$CO$999,93,FALSE),"unknown")</f>
        <v>0</v>
      </c>
      <c r="AQ78" s="120">
        <f>IFERROR(VLOOKUP(Table1[RespondentID],'All Data'!$A$3:$CW$999,94,FALSE),"unknown")</f>
        <v>0</v>
      </c>
      <c r="AR78" s="120">
        <f>IFERROR(VLOOKUP(Table1[RespondentID],'All Data'!$A$3:$CW$999,95,FALSE),"unknown")</f>
        <v>0</v>
      </c>
      <c r="AS78" s="120">
        <f>IFERROR(VLOOKUP(Table1[RespondentID],'All Data'!$A$3:$CW$999,96,FALSE),"unknown")</f>
        <v>0</v>
      </c>
      <c r="AT78" s="120">
        <f>IFERROR(VLOOKUP(Table1[RespondentID],'All Data'!$A$3:$CW$999,97,FALSE),"unknown")</f>
        <v>0</v>
      </c>
      <c r="AU78" s="120">
        <f>IFERROR(VLOOKUP(Table1[RespondentID],'All Data'!$A$3:$CW$999,98,FALSE),"unknown")</f>
        <v>0</v>
      </c>
      <c r="AV78" s="120">
        <f>IFERROR(VLOOKUP(Table1[RespondentID],'All Data'!$A$3:$CW$999,99,FALSE),"unknown")</f>
        <v>0</v>
      </c>
    </row>
    <row r="79" spans="1:48">
      <c r="A79" s="5">
        <v>18024007695</v>
      </c>
      <c r="B79" s="5"/>
      <c r="C79" s="5"/>
      <c r="D79" s="5"/>
      <c r="E79" s="5"/>
      <c r="F79" s="5"/>
      <c r="G79" s="5"/>
      <c r="H79" s="5"/>
      <c r="I79" s="5"/>
      <c r="J79" s="5"/>
      <c r="K79" s="5"/>
      <c r="L79" s="5"/>
      <c r="M79" s="5"/>
      <c r="N79" s="5"/>
      <c r="O79" s="5">
        <f t="shared" si="17"/>
        <v>0</v>
      </c>
      <c r="P79" s="5" t="e">
        <f t="shared" si="18"/>
        <v>#DIV/0!</v>
      </c>
      <c r="Q79" s="5"/>
      <c r="R79" s="5">
        <f t="shared" si="19"/>
        <v>0</v>
      </c>
      <c r="S79" s="5">
        <f t="shared" si="20"/>
        <v>0</v>
      </c>
      <c r="T79" s="5">
        <f t="shared" si="21"/>
        <v>0</v>
      </c>
      <c r="U79" s="5">
        <f t="shared" si="22"/>
        <v>0</v>
      </c>
      <c r="V79" s="5">
        <f t="shared" si="23"/>
        <v>0</v>
      </c>
      <c r="W79" s="5">
        <f t="shared" si="24"/>
        <v>0</v>
      </c>
      <c r="X79" s="5">
        <f t="shared" si="25"/>
        <v>0</v>
      </c>
      <c r="Y79" s="5">
        <f t="shared" si="26"/>
        <v>0</v>
      </c>
      <c r="Z79" s="5">
        <f t="shared" si="27"/>
        <v>0</v>
      </c>
      <c r="AA79" s="5">
        <f t="shared" si="28"/>
        <v>0</v>
      </c>
      <c r="AB79" s="5">
        <f t="shared" si="29"/>
        <v>0</v>
      </c>
      <c r="AC79" s="5">
        <f t="shared" si="30"/>
        <v>0</v>
      </c>
      <c r="AD79" s="5"/>
      <c r="AE79" s="5"/>
      <c r="AF79" s="5">
        <f t="shared" si="31"/>
        <v>0</v>
      </c>
      <c r="AG79" s="5">
        <f t="shared" si="32"/>
        <v>0</v>
      </c>
      <c r="AH79" s="5" t="str">
        <f t="shared" si="33"/>
        <v>Correct</v>
      </c>
      <c r="AI79" s="5"/>
      <c r="AJ79" s="120">
        <f>IFERROR(VLOOKUP(Table1[RespondentID],'All Data'!$A$3:$CO$999,87,FALSE),"unknown")</f>
        <v>0</v>
      </c>
      <c r="AK79" s="120">
        <f>IFERROR(VLOOKUP(Table1[RespondentID],'All Data'!$A$3:$CO$999,88,FALSE),"unknown")</f>
        <v>0</v>
      </c>
      <c r="AL79" s="120">
        <f>IFERROR(VLOOKUP(Table1[RespondentID],'All Data'!$A$3:$CO$999,89,FALSE),"unknown")</f>
        <v>0</v>
      </c>
      <c r="AM79" s="120" t="str">
        <f>IFERROR(VLOOKUP(Table1[RespondentID],'All Data'!$A$3:$CO$999,90,FALSE),"unknown")</f>
        <v>Albertson, 11507</v>
      </c>
      <c r="AN79" s="120">
        <f>IFERROR(VLOOKUP(Table1[RespondentID],'All Data'!$A$3:$CO$999,91,FALSE),"unknown")</f>
        <v>0</v>
      </c>
      <c r="AO79" s="120">
        <f>IFERROR(VLOOKUP(Table1[RespondentID],'All Data'!$A$3:$CO$999,92,FALSE),"unknown")</f>
        <v>0</v>
      </c>
      <c r="AP79" s="120">
        <f>IFERROR(VLOOKUP(Table1[RespondentID],'All Data'!$A$3:$CO$999,93,FALSE),"unknown")</f>
        <v>0</v>
      </c>
      <c r="AQ79" s="120">
        <f>IFERROR(VLOOKUP(Table1[RespondentID],'All Data'!$A$3:$CW$999,94,FALSE),"unknown")</f>
        <v>0</v>
      </c>
      <c r="AR79" s="120">
        <f>IFERROR(VLOOKUP(Table1[RespondentID],'All Data'!$A$3:$CW$999,95,FALSE),"unknown")</f>
        <v>0</v>
      </c>
      <c r="AS79" s="120">
        <f>IFERROR(VLOOKUP(Table1[RespondentID],'All Data'!$A$3:$CW$999,96,FALSE),"unknown")</f>
        <v>0</v>
      </c>
      <c r="AT79" s="120">
        <f>IFERROR(VLOOKUP(Table1[RespondentID],'All Data'!$A$3:$CW$999,97,FALSE),"unknown")</f>
        <v>0</v>
      </c>
      <c r="AU79" s="120">
        <f>IFERROR(VLOOKUP(Table1[RespondentID],'All Data'!$A$3:$CW$999,98,FALSE),"unknown")</f>
        <v>0</v>
      </c>
      <c r="AV79" s="120">
        <f>IFERROR(VLOOKUP(Table1[RespondentID],'All Data'!$A$3:$CW$999,99,FALSE),"unknown")</f>
        <v>0</v>
      </c>
    </row>
    <row r="80" spans="1:48">
      <c r="A80" s="5">
        <v>18023492246</v>
      </c>
      <c r="B80" s="5"/>
      <c r="C80" s="5" t="s">
        <v>39</v>
      </c>
      <c r="D80" s="5"/>
      <c r="E80" s="5" t="s">
        <v>41</v>
      </c>
      <c r="F80" s="5"/>
      <c r="G80" s="5"/>
      <c r="H80" s="5"/>
      <c r="I80" s="5"/>
      <c r="J80" s="5" t="s">
        <v>45</v>
      </c>
      <c r="K80" s="5"/>
      <c r="L80" s="5"/>
      <c r="M80" s="5"/>
      <c r="N80" s="5"/>
      <c r="O80" s="5">
        <f t="shared" si="17"/>
        <v>3</v>
      </c>
      <c r="P80" s="5">
        <f t="shared" si="18"/>
        <v>1</v>
      </c>
      <c r="Q80" s="5"/>
      <c r="R80" s="5">
        <f t="shared" si="19"/>
        <v>0</v>
      </c>
      <c r="S80" s="5">
        <f t="shared" si="20"/>
        <v>1</v>
      </c>
      <c r="T80" s="5">
        <f t="shared" si="21"/>
        <v>0</v>
      </c>
      <c r="U80" s="5">
        <f t="shared" si="22"/>
        <v>1</v>
      </c>
      <c r="V80" s="5">
        <f t="shared" si="23"/>
        <v>0</v>
      </c>
      <c r="W80" s="5">
        <f t="shared" si="24"/>
        <v>0</v>
      </c>
      <c r="X80" s="5">
        <f t="shared" si="25"/>
        <v>0</v>
      </c>
      <c r="Y80" s="5">
        <f t="shared" si="26"/>
        <v>0</v>
      </c>
      <c r="Z80" s="5">
        <f t="shared" si="27"/>
        <v>1</v>
      </c>
      <c r="AA80" s="5">
        <f t="shared" si="28"/>
        <v>0</v>
      </c>
      <c r="AB80" s="5">
        <f t="shared" si="29"/>
        <v>0</v>
      </c>
      <c r="AC80" s="5">
        <f t="shared" si="30"/>
        <v>0</v>
      </c>
      <c r="AD80" s="5"/>
      <c r="AE80" s="5"/>
      <c r="AF80" s="5">
        <f t="shared" si="31"/>
        <v>3</v>
      </c>
      <c r="AG80" s="5">
        <f t="shared" si="32"/>
        <v>3</v>
      </c>
      <c r="AH80" s="5" t="str">
        <f t="shared" si="33"/>
        <v>Correct</v>
      </c>
      <c r="AI80" s="5"/>
      <c r="AJ80" s="120">
        <f>IFERROR(VLOOKUP(Table1[RespondentID],'All Data'!$A$3:$CO$999,87,FALSE),"unknown")</f>
        <v>0</v>
      </c>
      <c r="AK80" s="120">
        <f>IFERROR(VLOOKUP(Table1[RespondentID],'All Data'!$A$3:$CO$999,88,FALSE),"unknown")</f>
        <v>0</v>
      </c>
      <c r="AL80" s="120">
        <f>IFERROR(VLOOKUP(Table1[RespondentID],'All Data'!$A$3:$CO$999,89,FALSE),"unknown")</f>
        <v>0</v>
      </c>
      <c r="AM80" s="120">
        <f>IFERROR(VLOOKUP(Table1[RespondentID],'All Data'!$A$3:$CO$999,90,FALSE),"unknown")</f>
        <v>0</v>
      </c>
      <c r="AN80" s="120">
        <f>IFERROR(VLOOKUP(Table1[RespondentID],'All Data'!$A$3:$CO$999,91,FALSE),"unknown")</f>
        <v>0</v>
      </c>
      <c r="AO80" s="120">
        <f>IFERROR(VLOOKUP(Table1[RespondentID],'All Data'!$A$3:$CO$999,92,FALSE),"unknown")</f>
        <v>0</v>
      </c>
      <c r="AP80" s="120">
        <f>IFERROR(VLOOKUP(Table1[RespondentID],'All Data'!$A$3:$CO$999,93,FALSE),"unknown")</f>
        <v>0</v>
      </c>
      <c r="AQ80" s="120">
        <f>IFERROR(VLOOKUP(Table1[RespondentID],'All Data'!$A$3:$CW$999,94,FALSE),"unknown")</f>
        <v>0</v>
      </c>
      <c r="AR80" s="120">
        <f>IFERROR(VLOOKUP(Table1[RespondentID],'All Data'!$A$3:$CW$999,95,FALSE),"unknown")</f>
        <v>0</v>
      </c>
      <c r="AS80" s="120">
        <f>IFERROR(VLOOKUP(Table1[RespondentID],'All Data'!$A$3:$CW$999,96,FALSE),"unknown")</f>
        <v>0</v>
      </c>
      <c r="AT80" s="120">
        <f>IFERROR(VLOOKUP(Table1[RespondentID],'All Data'!$A$3:$CW$999,97,FALSE),"unknown")</f>
        <v>0</v>
      </c>
      <c r="AU80" s="120">
        <f>IFERROR(VLOOKUP(Table1[RespondentID],'All Data'!$A$3:$CW$999,98,FALSE),"unknown")</f>
        <v>0</v>
      </c>
      <c r="AV80" s="120">
        <f>IFERROR(VLOOKUP(Table1[RespondentID],'All Data'!$A$3:$CW$999,99,FALSE),"unknown")</f>
        <v>0</v>
      </c>
    </row>
    <row r="81" spans="1:48">
      <c r="A81" s="5">
        <v>18023288956</v>
      </c>
      <c r="B81" s="5"/>
      <c r="C81" s="5"/>
      <c r="D81" s="5"/>
      <c r="E81" s="5" t="s">
        <v>41</v>
      </c>
      <c r="F81" s="5"/>
      <c r="G81" s="5" t="s">
        <v>37</v>
      </c>
      <c r="H81" s="5"/>
      <c r="I81" s="5"/>
      <c r="J81" s="5"/>
      <c r="K81" s="5"/>
      <c r="L81" s="5" t="s">
        <v>47</v>
      </c>
      <c r="M81" s="5"/>
      <c r="N81" s="5"/>
      <c r="O81" s="5">
        <f t="shared" si="17"/>
        <v>3</v>
      </c>
      <c r="P81" s="5">
        <f t="shared" si="18"/>
        <v>1</v>
      </c>
      <c r="Q81" s="5"/>
      <c r="R81" s="5">
        <f t="shared" si="19"/>
        <v>0</v>
      </c>
      <c r="S81" s="5">
        <f t="shared" si="20"/>
        <v>0</v>
      </c>
      <c r="T81" s="5">
        <f t="shared" si="21"/>
        <v>0</v>
      </c>
      <c r="U81" s="5">
        <f t="shared" si="22"/>
        <v>1</v>
      </c>
      <c r="V81" s="5">
        <f t="shared" si="23"/>
        <v>0</v>
      </c>
      <c r="W81" s="5">
        <f t="shared" si="24"/>
        <v>1</v>
      </c>
      <c r="X81" s="5">
        <f t="shared" si="25"/>
        <v>0</v>
      </c>
      <c r="Y81" s="5">
        <f t="shared" si="26"/>
        <v>0</v>
      </c>
      <c r="Z81" s="5">
        <f t="shared" si="27"/>
        <v>0</v>
      </c>
      <c r="AA81" s="5">
        <f t="shared" si="28"/>
        <v>0</v>
      </c>
      <c r="AB81" s="5">
        <f t="shared" si="29"/>
        <v>1</v>
      </c>
      <c r="AC81" s="5">
        <f t="shared" si="30"/>
        <v>0</v>
      </c>
      <c r="AD81" s="5"/>
      <c r="AE81" s="5"/>
      <c r="AF81" s="5">
        <f t="shared" si="31"/>
        <v>3</v>
      </c>
      <c r="AG81" s="5">
        <f t="shared" si="32"/>
        <v>3</v>
      </c>
      <c r="AH81" s="5" t="str">
        <f t="shared" si="33"/>
        <v>Correct</v>
      </c>
      <c r="AI81" s="5"/>
      <c r="AJ81" s="120" t="str">
        <f>IFERROR(VLOOKUP(Table1[RespondentID],'All Data'!$A$3:$CO$999,87,FALSE),"unknown")</f>
        <v>Woman</v>
      </c>
      <c r="AK81" s="120">
        <f>IFERROR(VLOOKUP(Table1[RespondentID],'All Data'!$A$3:$CO$999,88,FALSE),"unknown")</f>
        <v>33</v>
      </c>
      <c r="AL81" s="120" t="str">
        <f>IFERROR(VLOOKUP(Table1[RespondentID],'All Data'!$A$3:$CO$999,89,FALSE),"unknown")</f>
        <v>Suffolk</v>
      </c>
      <c r="AM81" s="120" t="str">
        <f>IFERROR(VLOOKUP(Table1[RespondentID],'All Data'!$A$3:$CO$999,90,FALSE),"unknown")</f>
        <v>Deer Park, 11729</v>
      </c>
      <c r="AN81" s="120" t="str">
        <f>IFERROR(VLOOKUP(Table1[RespondentID],'All Data'!$A$3:$CO$999,91,FALSE),"unknown")</f>
        <v>Asian</v>
      </c>
      <c r="AO81" s="120">
        <f>IFERROR(VLOOKUP(Table1[RespondentID],'All Data'!$A$3:$CO$999,92,FALSE),"unknown")</f>
        <v>0</v>
      </c>
      <c r="AP81" s="120" t="str">
        <f>IFERROR(VLOOKUP(Table1[RespondentID],'All Data'!$A$3:$CO$999,93,FALSE),"unknown")</f>
        <v>English</v>
      </c>
      <c r="AQ81" s="120" t="str">
        <f>IFERROR(VLOOKUP(Table1[RespondentID],'All Data'!$A$3:$CW$999,94,FALSE),"unknown")</f>
        <v>$50,000 to $74,999</v>
      </c>
      <c r="AR81" s="120" t="str">
        <f>IFERROR(VLOOKUP(Table1[RespondentID],'All Data'!$A$3:$CW$999,95,FALSE),"unknown")</f>
        <v>Some college</v>
      </c>
      <c r="AS81" s="120" t="str">
        <f>IFERROR(VLOOKUP(Table1[RespondentID],'All Data'!$A$3:$CW$999,96,FALSE),"unknown")</f>
        <v>Employed for wages</v>
      </c>
      <c r="AT81" s="120" t="str">
        <f>IFERROR(VLOOKUP(Table1[RespondentID],'All Data'!$A$3:$CW$999,97,FALSE),"unknown")</f>
        <v>Yes</v>
      </c>
      <c r="AU81" s="120">
        <f>IFERROR(VLOOKUP(Table1[RespondentID],'All Data'!$A$3:$CW$999,98,FALSE),"unknown")</f>
        <v>0</v>
      </c>
      <c r="AV81" s="120">
        <f>IFERROR(VLOOKUP(Table1[RespondentID],'All Data'!$A$3:$CW$999,99,FALSE),"unknown")</f>
        <v>0</v>
      </c>
    </row>
    <row r="82" spans="1:48">
      <c r="A82" s="5">
        <v>18023288812</v>
      </c>
      <c r="B82" s="5"/>
      <c r="C82" s="5" t="s">
        <v>39</v>
      </c>
      <c r="D82" s="5"/>
      <c r="E82" s="5"/>
      <c r="F82" s="5"/>
      <c r="G82" s="5"/>
      <c r="H82" s="5"/>
      <c r="I82" s="5"/>
      <c r="J82" s="5"/>
      <c r="K82" s="5" t="s">
        <v>46</v>
      </c>
      <c r="L82" s="5"/>
      <c r="M82" s="5"/>
      <c r="N82" s="5"/>
      <c r="O82" s="5">
        <f t="shared" si="17"/>
        <v>2</v>
      </c>
      <c r="P82" s="5">
        <f t="shared" si="18"/>
        <v>1.5</v>
      </c>
      <c r="Q82" s="5"/>
      <c r="R82" s="5">
        <f t="shared" si="19"/>
        <v>0</v>
      </c>
      <c r="S82" s="5">
        <f t="shared" si="20"/>
        <v>1</v>
      </c>
      <c r="T82" s="5">
        <f t="shared" si="21"/>
        <v>0</v>
      </c>
      <c r="U82" s="5">
        <f t="shared" si="22"/>
        <v>0</v>
      </c>
      <c r="V82" s="5">
        <f t="shared" si="23"/>
        <v>0</v>
      </c>
      <c r="W82" s="5">
        <f t="shared" si="24"/>
        <v>0</v>
      </c>
      <c r="X82" s="5">
        <f t="shared" si="25"/>
        <v>0</v>
      </c>
      <c r="Y82" s="5">
        <f t="shared" si="26"/>
        <v>0</v>
      </c>
      <c r="Z82" s="5">
        <f t="shared" si="27"/>
        <v>0</v>
      </c>
      <c r="AA82" s="5">
        <f t="shared" si="28"/>
        <v>1</v>
      </c>
      <c r="AB82" s="5">
        <f t="shared" si="29"/>
        <v>0</v>
      </c>
      <c r="AC82" s="5">
        <f t="shared" si="30"/>
        <v>0</v>
      </c>
      <c r="AD82" s="5"/>
      <c r="AE82" s="5"/>
      <c r="AF82" s="5">
        <f t="shared" si="31"/>
        <v>2</v>
      </c>
      <c r="AG82" s="5">
        <f t="shared" si="32"/>
        <v>2</v>
      </c>
      <c r="AH82" s="5" t="str">
        <f t="shared" si="33"/>
        <v>Correct</v>
      </c>
      <c r="AI82" s="5"/>
      <c r="AJ82" s="120" t="str">
        <f>IFERROR(VLOOKUP(Table1[RespondentID],'All Data'!$A$3:$CO$999,87,FALSE),"unknown")</f>
        <v>Man</v>
      </c>
      <c r="AK82" s="120">
        <f>IFERROR(VLOOKUP(Table1[RespondentID],'All Data'!$A$3:$CO$999,88,FALSE),"unknown")</f>
        <v>18</v>
      </c>
      <c r="AL82" s="120" t="str">
        <f>IFERROR(VLOOKUP(Table1[RespondentID],'All Data'!$A$3:$CO$999,89,FALSE),"unknown")</f>
        <v>Suffolk</v>
      </c>
      <c r="AM82" s="120" t="str">
        <f>IFERROR(VLOOKUP(Table1[RespondentID],'All Data'!$A$3:$CO$999,90,FALSE),"unknown")</f>
        <v>Huntington Station, 11746</v>
      </c>
      <c r="AN82" s="120" t="str">
        <f>IFERROR(VLOOKUP(Table1[RespondentID],'All Data'!$A$3:$CO$999,91,FALSE),"unknown")</f>
        <v>White</v>
      </c>
      <c r="AO82" s="120" t="str">
        <f>IFERROR(VLOOKUP(Table1[RespondentID],'All Data'!$A$3:$CO$999,92,FALSE),"unknown")</f>
        <v>Hispanic or Latino</v>
      </c>
      <c r="AP82" s="120" t="str">
        <f>IFERROR(VLOOKUP(Table1[RespondentID],'All Data'!$A$3:$CO$999,93,FALSE),"unknown")</f>
        <v>English</v>
      </c>
      <c r="AQ82" s="120" t="str">
        <f>IFERROR(VLOOKUP(Table1[RespondentID],'All Data'!$A$3:$CW$999,94,FALSE),"unknown")</f>
        <v>Over $125,000</v>
      </c>
      <c r="AR82" s="120" t="str">
        <f>IFERROR(VLOOKUP(Table1[RespondentID],'All Data'!$A$3:$CW$999,95,FALSE),"unknown")</f>
        <v>High school graduate</v>
      </c>
      <c r="AS82" s="120" t="str">
        <f>IFERROR(VLOOKUP(Table1[RespondentID],'All Data'!$A$3:$CW$999,96,FALSE),"unknown")</f>
        <v>Out of work, but not currently looking</v>
      </c>
      <c r="AT82" s="120" t="str">
        <f>IFERROR(VLOOKUP(Table1[RespondentID],'All Data'!$A$3:$CW$999,97,FALSE),"unknown")</f>
        <v>Yes</v>
      </c>
      <c r="AU82" s="120" t="str">
        <f>IFERROR(VLOOKUP(Table1[RespondentID],'All Data'!$A$3:$CW$999,98,FALSE),"unknown")</f>
        <v>Medicaid</v>
      </c>
      <c r="AV82" s="120">
        <f>IFERROR(VLOOKUP(Table1[RespondentID],'All Data'!$A$3:$CW$999,99,FALSE),"unknown")</f>
        <v>0</v>
      </c>
    </row>
    <row r="83" spans="1:48">
      <c r="A83" s="5">
        <v>18023288714</v>
      </c>
      <c r="B83" s="5"/>
      <c r="C83" s="5" t="s">
        <v>39</v>
      </c>
      <c r="D83" s="5"/>
      <c r="E83" s="5"/>
      <c r="F83" s="5"/>
      <c r="G83" s="5"/>
      <c r="H83" s="5"/>
      <c r="I83" s="5"/>
      <c r="J83" s="5"/>
      <c r="K83" s="5"/>
      <c r="L83" s="5"/>
      <c r="M83" s="5"/>
      <c r="N83" s="5"/>
      <c r="O83" s="5">
        <f t="shared" si="17"/>
        <v>1</v>
      </c>
      <c r="P83" s="5">
        <f t="shared" si="18"/>
        <v>3</v>
      </c>
      <c r="Q83" s="5"/>
      <c r="R83" s="5">
        <f t="shared" si="19"/>
        <v>0</v>
      </c>
      <c r="S83" s="5">
        <f t="shared" si="20"/>
        <v>1</v>
      </c>
      <c r="T83" s="5">
        <f t="shared" si="21"/>
        <v>0</v>
      </c>
      <c r="U83" s="5">
        <f t="shared" si="22"/>
        <v>0</v>
      </c>
      <c r="V83" s="5">
        <f t="shared" si="23"/>
        <v>0</v>
      </c>
      <c r="W83" s="5">
        <f t="shared" si="24"/>
        <v>0</v>
      </c>
      <c r="X83" s="5">
        <f t="shared" si="25"/>
        <v>0</v>
      </c>
      <c r="Y83" s="5">
        <f t="shared" si="26"/>
        <v>0</v>
      </c>
      <c r="Z83" s="5">
        <f t="shared" si="27"/>
        <v>0</v>
      </c>
      <c r="AA83" s="5">
        <f t="shared" si="28"/>
        <v>0</v>
      </c>
      <c r="AB83" s="5">
        <f t="shared" si="29"/>
        <v>0</v>
      </c>
      <c r="AC83" s="5">
        <f t="shared" si="30"/>
        <v>0</v>
      </c>
      <c r="AD83" s="5"/>
      <c r="AE83" s="5"/>
      <c r="AF83" s="5">
        <f t="shared" si="31"/>
        <v>1</v>
      </c>
      <c r="AG83" s="5">
        <f t="shared" si="32"/>
        <v>1</v>
      </c>
      <c r="AH83" s="5" t="str">
        <f t="shared" si="33"/>
        <v>Correct</v>
      </c>
      <c r="AI83" s="5"/>
      <c r="AJ83" s="120" t="str">
        <f>IFERROR(VLOOKUP(Table1[RespondentID],'All Data'!$A$3:$CO$999,87,FALSE),"unknown")</f>
        <v>Woman</v>
      </c>
      <c r="AK83" s="120">
        <f>IFERROR(VLOOKUP(Table1[RespondentID],'All Data'!$A$3:$CO$999,88,FALSE),"unknown")</f>
        <v>53</v>
      </c>
      <c r="AL83" s="120" t="str">
        <f>IFERROR(VLOOKUP(Table1[RespondentID],'All Data'!$A$3:$CO$999,89,FALSE),"unknown")</f>
        <v>Suffolk</v>
      </c>
      <c r="AM83" s="120" t="str">
        <f>IFERROR(VLOOKUP(Table1[RespondentID],'All Data'!$A$3:$CO$999,90,FALSE),"unknown")</f>
        <v>Huntington Station, 11746</v>
      </c>
      <c r="AN83" s="120" t="str">
        <f>IFERROR(VLOOKUP(Table1[RespondentID],'All Data'!$A$3:$CO$999,91,FALSE),"unknown")</f>
        <v>White</v>
      </c>
      <c r="AO83" s="120" t="str">
        <f>IFERROR(VLOOKUP(Table1[RespondentID],'All Data'!$A$3:$CO$999,92,FALSE),"unknown")</f>
        <v>Hispanic or Latino</v>
      </c>
      <c r="AP83" s="120" t="str">
        <f>IFERROR(VLOOKUP(Table1[RespondentID],'All Data'!$A$3:$CO$999,93,FALSE),"unknown")</f>
        <v>English</v>
      </c>
      <c r="AQ83" s="120" t="str">
        <f>IFERROR(VLOOKUP(Table1[RespondentID],'All Data'!$A$3:$CW$999,94,FALSE),"unknown")</f>
        <v>Over $125,000</v>
      </c>
      <c r="AR83" s="120" t="str">
        <f>IFERROR(VLOOKUP(Table1[RespondentID],'All Data'!$A$3:$CW$999,95,FALSE),"unknown")</f>
        <v>College graduate</v>
      </c>
      <c r="AS83" s="120" t="str">
        <f>IFERROR(VLOOKUP(Table1[RespondentID],'All Data'!$A$3:$CW$999,96,FALSE),"unknown")</f>
        <v>Employed for wages</v>
      </c>
      <c r="AT83" s="120" t="str">
        <f>IFERROR(VLOOKUP(Table1[RespondentID],'All Data'!$A$3:$CW$999,97,FALSE),"unknown")</f>
        <v>Yes</v>
      </c>
      <c r="AU83" s="120" t="str">
        <f>IFERROR(VLOOKUP(Table1[RespondentID],'All Data'!$A$3:$CW$999,98,FALSE),"unknown")</f>
        <v>Private/Commercial</v>
      </c>
      <c r="AV83" s="120">
        <f>IFERROR(VLOOKUP(Table1[RespondentID],'All Data'!$A$3:$CW$999,99,FALSE),"unknown")</f>
        <v>0</v>
      </c>
    </row>
    <row r="84" spans="1:48">
      <c r="A84" s="5">
        <v>18023288631</v>
      </c>
      <c r="B84" s="5"/>
      <c r="C84" s="5" t="s">
        <v>39</v>
      </c>
      <c r="D84" s="5"/>
      <c r="E84" s="5"/>
      <c r="F84" s="5" t="s">
        <v>42</v>
      </c>
      <c r="G84" s="5"/>
      <c r="H84" s="5"/>
      <c r="I84" s="5"/>
      <c r="J84" s="5" t="s">
        <v>45</v>
      </c>
      <c r="K84" s="5"/>
      <c r="L84" s="5"/>
      <c r="M84" s="5"/>
      <c r="N84" s="5"/>
      <c r="O84" s="5">
        <f t="shared" si="17"/>
        <v>3</v>
      </c>
      <c r="P84" s="5">
        <f t="shared" si="18"/>
        <v>1</v>
      </c>
      <c r="Q84" s="5"/>
      <c r="R84" s="5">
        <f t="shared" si="19"/>
        <v>0</v>
      </c>
      <c r="S84" s="5">
        <f t="shared" si="20"/>
        <v>1</v>
      </c>
      <c r="T84" s="5">
        <f t="shared" si="21"/>
        <v>0</v>
      </c>
      <c r="U84" s="5">
        <f t="shared" si="22"/>
        <v>0</v>
      </c>
      <c r="V84" s="5">
        <f t="shared" si="23"/>
        <v>1</v>
      </c>
      <c r="W84" s="5">
        <f t="shared" si="24"/>
        <v>0</v>
      </c>
      <c r="X84" s="5">
        <f t="shared" si="25"/>
        <v>0</v>
      </c>
      <c r="Y84" s="5">
        <f t="shared" si="26"/>
        <v>0</v>
      </c>
      <c r="Z84" s="5">
        <f t="shared" si="27"/>
        <v>1</v>
      </c>
      <c r="AA84" s="5">
        <f t="shared" si="28"/>
        <v>0</v>
      </c>
      <c r="AB84" s="5">
        <f t="shared" si="29"/>
        <v>0</v>
      </c>
      <c r="AC84" s="5">
        <f t="shared" si="30"/>
        <v>0</v>
      </c>
      <c r="AD84" s="5"/>
      <c r="AE84" s="5"/>
      <c r="AF84" s="5">
        <f t="shared" si="31"/>
        <v>3</v>
      </c>
      <c r="AG84" s="5">
        <f t="shared" si="32"/>
        <v>3</v>
      </c>
      <c r="AH84" s="5" t="str">
        <f t="shared" si="33"/>
        <v>Correct</v>
      </c>
      <c r="AI84" s="5"/>
      <c r="AJ84" s="120" t="str">
        <f>IFERROR(VLOOKUP(Table1[RespondentID],'All Data'!$A$3:$CO$999,87,FALSE),"unknown")</f>
        <v>Man</v>
      </c>
      <c r="AK84" s="120">
        <f>IFERROR(VLOOKUP(Table1[RespondentID],'All Data'!$A$3:$CO$999,88,FALSE),"unknown")</f>
        <v>49</v>
      </c>
      <c r="AL84" s="120" t="str">
        <f>IFERROR(VLOOKUP(Table1[RespondentID],'All Data'!$A$3:$CO$999,89,FALSE),"unknown")</f>
        <v>Suffolk</v>
      </c>
      <c r="AM84" s="120" t="str">
        <f>IFERROR(VLOOKUP(Table1[RespondentID],'All Data'!$A$3:$CO$999,90,FALSE),"unknown")</f>
        <v>Kings Park, 11754</v>
      </c>
      <c r="AN84" s="120" t="str">
        <f>IFERROR(VLOOKUP(Table1[RespondentID],'All Data'!$A$3:$CO$999,91,FALSE),"unknown")</f>
        <v>White</v>
      </c>
      <c r="AO84" s="120" t="str">
        <f>IFERROR(VLOOKUP(Table1[RespondentID],'All Data'!$A$3:$CO$999,92,FALSE),"unknown")</f>
        <v>Hispanic or Latino</v>
      </c>
      <c r="AP84" s="120" t="str">
        <f>IFERROR(VLOOKUP(Table1[RespondentID],'All Data'!$A$3:$CO$999,93,FALSE),"unknown")</f>
        <v>English</v>
      </c>
      <c r="AQ84" s="120" t="str">
        <f>IFERROR(VLOOKUP(Table1[RespondentID],'All Data'!$A$3:$CW$999,94,FALSE),"unknown")</f>
        <v>Over $125,000</v>
      </c>
      <c r="AR84" s="120" t="str">
        <f>IFERROR(VLOOKUP(Table1[RespondentID],'All Data'!$A$3:$CW$999,95,FALSE),"unknown")</f>
        <v>Graduate school</v>
      </c>
      <c r="AS84" s="120" t="str">
        <f>IFERROR(VLOOKUP(Table1[RespondentID],'All Data'!$A$3:$CW$999,96,FALSE),"unknown")</f>
        <v>Employed for wages</v>
      </c>
      <c r="AT84" s="120" t="str">
        <f>IFERROR(VLOOKUP(Table1[RespondentID],'All Data'!$A$3:$CW$999,97,FALSE),"unknown")</f>
        <v>Yes</v>
      </c>
      <c r="AU84" s="120" t="str">
        <f>IFERROR(VLOOKUP(Table1[RespondentID],'All Data'!$A$3:$CW$999,98,FALSE),"unknown")</f>
        <v>Private/Commercial</v>
      </c>
      <c r="AV84" s="120">
        <f>IFERROR(VLOOKUP(Table1[RespondentID],'All Data'!$A$3:$CW$999,99,FALSE),"unknown")</f>
        <v>0</v>
      </c>
    </row>
    <row r="85" spans="1:48">
      <c r="A85" s="5">
        <v>18023288504</v>
      </c>
      <c r="B85" s="5"/>
      <c r="C85" s="5" t="s">
        <v>39</v>
      </c>
      <c r="D85" s="5"/>
      <c r="E85" s="5"/>
      <c r="F85" s="5"/>
      <c r="G85" s="5"/>
      <c r="H85" s="5" t="s">
        <v>43</v>
      </c>
      <c r="I85" s="5"/>
      <c r="J85" s="5" t="s">
        <v>45</v>
      </c>
      <c r="K85" s="5"/>
      <c r="L85" s="5"/>
      <c r="M85" s="5"/>
      <c r="N85" s="5"/>
      <c r="O85" s="5">
        <f t="shared" si="17"/>
        <v>3</v>
      </c>
      <c r="P85" s="5">
        <f t="shared" si="18"/>
        <v>1</v>
      </c>
      <c r="Q85" s="5"/>
      <c r="R85" s="5">
        <f t="shared" si="19"/>
        <v>0</v>
      </c>
      <c r="S85" s="5">
        <f t="shared" si="20"/>
        <v>1</v>
      </c>
      <c r="T85" s="5">
        <f t="shared" si="21"/>
        <v>0</v>
      </c>
      <c r="U85" s="5">
        <f t="shared" si="22"/>
        <v>0</v>
      </c>
      <c r="V85" s="5">
        <f t="shared" si="23"/>
        <v>0</v>
      </c>
      <c r="W85" s="5">
        <f t="shared" si="24"/>
        <v>0</v>
      </c>
      <c r="X85" s="5">
        <f t="shared" si="25"/>
        <v>1</v>
      </c>
      <c r="Y85" s="5">
        <f t="shared" si="26"/>
        <v>0</v>
      </c>
      <c r="Z85" s="5">
        <f t="shared" si="27"/>
        <v>1</v>
      </c>
      <c r="AA85" s="5">
        <f t="shared" si="28"/>
        <v>0</v>
      </c>
      <c r="AB85" s="5">
        <f t="shared" si="29"/>
        <v>0</v>
      </c>
      <c r="AC85" s="5">
        <f t="shared" si="30"/>
        <v>0</v>
      </c>
      <c r="AD85" s="5"/>
      <c r="AE85" s="5"/>
      <c r="AF85" s="5">
        <f t="shared" si="31"/>
        <v>3</v>
      </c>
      <c r="AG85" s="5">
        <f t="shared" si="32"/>
        <v>3</v>
      </c>
      <c r="AH85" s="5" t="str">
        <f t="shared" si="33"/>
        <v>Correct</v>
      </c>
      <c r="AI85" s="5"/>
      <c r="AJ85" s="120" t="str">
        <f>IFERROR(VLOOKUP(Table1[RespondentID],'All Data'!$A$3:$CO$999,87,FALSE),"unknown")</f>
        <v>Man</v>
      </c>
      <c r="AK85" s="120">
        <f>IFERROR(VLOOKUP(Table1[RespondentID],'All Data'!$A$3:$CO$999,88,FALSE),"unknown")</f>
        <v>59</v>
      </c>
      <c r="AL85" s="120" t="str">
        <f>IFERROR(VLOOKUP(Table1[RespondentID],'All Data'!$A$3:$CO$999,89,FALSE),"unknown")</f>
        <v>Suffolk</v>
      </c>
      <c r="AM85" s="120" t="str">
        <f>IFERROR(VLOOKUP(Table1[RespondentID],'All Data'!$A$3:$CO$999,90,FALSE),"unknown")</f>
        <v>Deer Park, 11729</v>
      </c>
      <c r="AN85" s="120" t="str">
        <f>IFERROR(VLOOKUP(Table1[RespondentID],'All Data'!$A$3:$CO$999,91,FALSE),"unknown")</f>
        <v>White</v>
      </c>
      <c r="AO85" s="120" t="str">
        <f>IFERROR(VLOOKUP(Table1[RespondentID],'All Data'!$A$3:$CO$999,92,FALSE),"unknown")</f>
        <v>Hispanic or Latino</v>
      </c>
      <c r="AP85" s="120" t="str">
        <f>IFERROR(VLOOKUP(Table1[RespondentID],'All Data'!$A$3:$CO$999,93,FALSE),"unknown")</f>
        <v>English</v>
      </c>
      <c r="AQ85" s="120" t="str">
        <f>IFERROR(VLOOKUP(Table1[RespondentID],'All Data'!$A$3:$CW$999,94,FALSE),"unknown")</f>
        <v>Over $125,000</v>
      </c>
      <c r="AR85" s="120" t="str">
        <f>IFERROR(VLOOKUP(Table1[RespondentID],'All Data'!$A$3:$CW$999,95,FALSE),"unknown")</f>
        <v>Graduate school</v>
      </c>
      <c r="AS85" s="120" t="str">
        <f>IFERROR(VLOOKUP(Table1[RespondentID],'All Data'!$A$3:$CW$999,96,FALSE),"unknown")</f>
        <v>Employed for wages</v>
      </c>
      <c r="AT85" s="120" t="str">
        <f>IFERROR(VLOOKUP(Table1[RespondentID],'All Data'!$A$3:$CW$999,97,FALSE),"unknown")</f>
        <v>Yes</v>
      </c>
      <c r="AU85" s="120" t="str">
        <f>IFERROR(VLOOKUP(Table1[RespondentID],'All Data'!$A$3:$CW$999,98,FALSE),"unknown")</f>
        <v>Private/Commercial</v>
      </c>
      <c r="AV85" s="120">
        <f>IFERROR(VLOOKUP(Table1[RespondentID],'All Data'!$A$3:$CW$999,99,FALSE),"unknown")</f>
        <v>0</v>
      </c>
    </row>
    <row r="86" spans="1:48">
      <c r="A86" s="5">
        <v>18023288405</v>
      </c>
      <c r="B86" s="5" t="s">
        <v>38</v>
      </c>
      <c r="C86" s="5"/>
      <c r="D86" s="5"/>
      <c r="E86" s="5"/>
      <c r="F86" s="5"/>
      <c r="G86" s="5"/>
      <c r="H86" s="5"/>
      <c r="I86" s="5"/>
      <c r="J86" s="5"/>
      <c r="K86" s="5"/>
      <c r="L86" s="5"/>
      <c r="M86" s="5"/>
      <c r="N86" s="5"/>
      <c r="O86" s="5">
        <f t="shared" si="17"/>
        <v>1</v>
      </c>
      <c r="P86" s="5">
        <f t="shared" si="18"/>
        <v>3</v>
      </c>
      <c r="Q86" s="5"/>
      <c r="R86" s="5">
        <f t="shared" si="19"/>
        <v>1</v>
      </c>
      <c r="S86" s="5">
        <f t="shared" si="20"/>
        <v>0</v>
      </c>
      <c r="T86" s="5">
        <f t="shared" si="21"/>
        <v>0</v>
      </c>
      <c r="U86" s="5">
        <f t="shared" si="22"/>
        <v>0</v>
      </c>
      <c r="V86" s="5">
        <f t="shared" si="23"/>
        <v>0</v>
      </c>
      <c r="W86" s="5">
        <f t="shared" si="24"/>
        <v>0</v>
      </c>
      <c r="X86" s="5">
        <f t="shared" si="25"/>
        <v>0</v>
      </c>
      <c r="Y86" s="5">
        <f t="shared" si="26"/>
        <v>0</v>
      </c>
      <c r="Z86" s="5">
        <f t="shared" si="27"/>
        <v>0</v>
      </c>
      <c r="AA86" s="5">
        <f t="shared" si="28"/>
        <v>0</v>
      </c>
      <c r="AB86" s="5">
        <f t="shared" si="29"/>
        <v>0</v>
      </c>
      <c r="AC86" s="5">
        <f t="shared" si="30"/>
        <v>0</v>
      </c>
      <c r="AD86" s="5"/>
      <c r="AE86" s="5"/>
      <c r="AF86" s="5">
        <f t="shared" si="31"/>
        <v>1</v>
      </c>
      <c r="AG86" s="5">
        <f t="shared" si="32"/>
        <v>1</v>
      </c>
      <c r="AH86" s="5" t="str">
        <f t="shared" si="33"/>
        <v>Correct</v>
      </c>
      <c r="AI86" s="5"/>
      <c r="AJ86" s="120" t="str">
        <f>IFERROR(VLOOKUP(Table1[RespondentID],'All Data'!$A$3:$CO$999,87,FALSE),"unknown")</f>
        <v>Man</v>
      </c>
      <c r="AK86" s="120">
        <f>IFERROR(VLOOKUP(Table1[RespondentID],'All Data'!$A$3:$CO$999,88,FALSE),"unknown")</f>
        <v>57</v>
      </c>
      <c r="AL86" s="120" t="str">
        <f>IFERROR(VLOOKUP(Table1[RespondentID],'All Data'!$A$3:$CO$999,89,FALSE),"unknown")</f>
        <v>Suffolk</v>
      </c>
      <c r="AM86" s="120" t="str">
        <f>IFERROR(VLOOKUP(Table1[RespondentID],'All Data'!$A$3:$CO$999,90,FALSE),"unknown")</f>
        <v>Kings Park, 11754</v>
      </c>
      <c r="AN86" s="120" t="str">
        <f>IFERROR(VLOOKUP(Table1[RespondentID],'All Data'!$A$3:$CO$999,91,FALSE),"unknown")</f>
        <v>White</v>
      </c>
      <c r="AO86" s="120" t="str">
        <f>IFERROR(VLOOKUP(Table1[RespondentID],'All Data'!$A$3:$CO$999,92,FALSE),"unknown")</f>
        <v>Hispanic or Latino</v>
      </c>
      <c r="AP86" s="120" t="str">
        <f>IFERROR(VLOOKUP(Table1[RespondentID],'All Data'!$A$3:$CO$999,93,FALSE),"unknown")</f>
        <v>English</v>
      </c>
      <c r="AQ86" s="120" t="str">
        <f>IFERROR(VLOOKUP(Table1[RespondentID],'All Data'!$A$3:$CW$999,94,FALSE),"unknown")</f>
        <v>Over $125,000</v>
      </c>
      <c r="AR86" s="120" t="str">
        <f>IFERROR(VLOOKUP(Table1[RespondentID],'All Data'!$A$3:$CW$999,95,FALSE),"unknown")</f>
        <v>Graduate school</v>
      </c>
      <c r="AS86" s="120" t="str">
        <f>IFERROR(VLOOKUP(Table1[RespondentID],'All Data'!$A$3:$CW$999,96,FALSE),"unknown")</f>
        <v>Employed for wages</v>
      </c>
      <c r="AT86" s="120" t="str">
        <f>IFERROR(VLOOKUP(Table1[RespondentID],'All Data'!$A$3:$CW$999,97,FALSE),"unknown")</f>
        <v>Yes</v>
      </c>
      <c r="AU86" s="120" t="str">
        <f>IFERROR(VLOOKUP(Table1[RespondentID],'All Data'!$A$3:$CW$999,98,FALSE),"unknown")</f>
        <v>Private/Commercial</v>
      </c>
      <c r="AV86" s="120">
        <f>IFERROR(VLOOKUP(Table1[RespondentID],'All Data'!$A$3:$CW$999,99,FALSE),"unknown")</f>
        <v>0</v>
      </c>
    </row>
    <row r="87" spans="1:48">
      <c r="A87" s="5">
        <v>18023288287</v>
      </c>
      <c r="B87" s="5"/>
      <c r="C87" s="5" t="s">
        <v>39</v>
      </c>
      <c r="D87" s="5"/>
      <c r="E87" s="5"/>
      <c r="F87" s="5"/>
      <c r="G87" s="5"/>
      <c r="H87" s="5" t="s">
        <v>43</v>
      </c>
      <c r="I87" s="5" t="s">
        <v>44</v>
      </c>
      <c r="J87" s="5"/>
      <c r="K87" s="5"/>
      <c r="L87" s="5"/>
      <c r="M87" s="5"/>
      <c r="N87" s="5"/>
      <c r="O87" s="5">
        <f t="shared" si="17"/>
        <v>3</v>
      </c>
      <c r="P87" s="5">
        <f t="shared" si="18"/>
        <v>1</v>
      </c>
      <c r="Q87" s="5"/>
      <c r="R87" s="5">
        <f t="shared" si="19"/>
        <v>0</v>
      </c>
      <c r="S87" s="5">
        <f t="shared" si="20"/>
        <v>1</v>
      </c>
      <c r="T87" s="5">
        <f t="shared" si="21"/>
        <v>0</v>
      </c>
      <c r="U87" s="5">
        <f t="shared" si="22"/>
        <v>0</v>
      </c>
      <c r="V87" s="5">
        <f t="shared" si="23"/>
        <v>0</v>
      </c>
      <c r="W87" s="5">
        <f t="shared" si="24"/>
        <v>0</v>
      </c>
      <c r="X87" s="5">
        <f t="shared" si="25"/>
        <v>1</v>
      </c>
      <c r="Y87" s="5">
        <f t="shared" si="26"/>
        <v>1</v>
      </c>
      <c r="Z87" s="5">
        <f t="shared" si="27"/>
        <v>0</v>
      </c>
      <c r="AA87" s="5">
        <f t="shared" si="28"/>
        <v>0</v>
      </c>
      <c r="AB87" s="5">
        <f t="shared" si="29"/>
        <v>0</v>
      </c>
      <c r="AC87" s="5">
        <f t="shared" si="30"/>
        <v>0</v>
      </c>
      <c r="AD87" s="5"/>
      <c r="AE87" s="5"/>
      <c r="AF87" s="5">
        <f t="shared" si="31"/>
        <v>3</v>
      </c>
      <c r="AG87" s="5">
        <f t="shared" si="32"/>
        <v>3</v>
      </c>
      <c r="AH87" s="5" t="str">
        <f t="shared" si="33"/>
        <v>Correct</v>
      </c>
      <c r="AI87" s="5"/>
      <c r="AJ87" s="120" t="str">
        <f>IFERROR(VLOOKUP(Table1[RespondentID],'All Data'!$A$3:$CO$999,87,FALSE),"unknown")</f>
        <v>Man</v>
      </c>
      <c r="AK87" s="120">
        <f>IFERROR(VLOOKUP(Table1[RespondentID],'All Data'!$A$3:$CO$999,88,FALSE),"unknown")</f>
        <v>50</v>
      </c>
      <c r="AL87" s="120" t="str">
        <f>IFERROR(VLOOKUP(Table1[RespondentID],'All Data'!$A$3:$CO$999,89,FALSE),"unknown")</f>
        <v>Suffolk</v>
      </c>
      <c r="AM87" s="120" t="str">
        <f>IFERROR(VLOOKUP(Table1[RespondentID],'All Data'!$A$3:$CO$999,90,FALSE),"unknown")</f>
        <v>Melville, 11747</v>
      </c>
      <c r="AN87" s="120" t="str">
        <f>IFERROR(VLOOKUP(Table1[RespondentID],'All Data'!$A$3:$CO$999,91,FALSE),"unknown")</f>
        <v>White</v>
      </c>
      <c r="AO87" s="120" t="str">
        <f>IFERROR(VLOOKUP(Table1[RespondentID],'All Data'!$A$3:$CO$999,92,FALSE),"unknown")</f>
        <v>Not Hispanic or Latino</v>
      </c>
      <c r="AP87" s="120" t="str">
        <f>IFERROR(VLOOKUP(Table1[RespondentID],'All Data'!$A$3:$CO$999,93,FALSE),"unknown")</f>
        <v>English, Spanish</v>
      </c>
      <c r="AQ87" s="120" t="str">
        <f>IFERROR(VLOOKUP(Table1[RespondentID],'All Data'!$A$3:$CW$999,94,FALSE),"unknown")</f>
        <v>Over $125,000</v>
      </c>
      <c r="AR87" s="120" t="str">
        <f>IFERROR(VLOOKUP(Table1[RespondentID],'All Data'!$A$3:$CW$999,95,FALSE),"unknown")</f>
        <v>Graduate school</v>
      </c>
      <c r="AS87" s="120" t="str">
        <f>IFERROR(VLOOKUP(Table1[RespondentID],'All Data'!$A$3:$CW$999,96,FALSE),"unknown")</f>
        <v>Employed for wages</v>
      </c>
      <c r="AT87" s="120" t="str">
        <f>IFERROR(VLOOKUP(Table1[RespondentID],'All Data'!$A$3:$CW$999,97,FALSE),"unknown")</f>
        <v>Yes</v>
      </c>
      <c r="AU87" s="120" t="str">
        <f>IFERROR(VLOOKUP(Table1[RespondentID],'All Data'!$A$3:$CW$999,98,FALSE),"unknown")</f>
        <v>Private/Commercial</v>
      </c>
      <c r="AV87" s="120">
        <f>IFERROR(VLOOKUP(Table1[RespondentID],'All Data'!$A$3:$CW$999,99,FALSE),"unknown")</f>
        <v>0</v>
      </c>
    </row>
    <row r="88" spans="1:48">
      <c r="A88" s="5">
        <v>18023288205</v>
      </c>
      <c r="B88" s="5"/>
      <c r="C88" s="5" t="s">
        <v>39</v>
      </c>
      <c r="D88" s="5"/>
      <c r="E88" s="5"/>
      <c r="F88" s="5" t="s">
        <v>42</v>
      </c>
      <c r="G88" s="5"/>
      <c r="H88" s="5"/>
      <c r="I88" s="5"/>
      <c r="J88" s="5" t="s">
        <v>45</v>
      </c>
      <c r="K88" s="5"/>
      <c r="L88" s="5"/>
      <c r="M88" s="5"/>
      <c r="N88" s="5"/>
      <c r="O88" s="5">
        <f t="shared" si="17"/>
        <v>3</v>
      </c>
      <c r="P88" s="5">
        <f t="shared" si="18"/>
        <v>1</v>
      </c>
      <c r="Q88" s="5"/>
      <c r="R88" s="5">
        <f t="shared" si="19"/>
        <v>0</v>
      </c>
      <c r="S88" s="5">
        <f t="shared" si="20"/>
        <v>1</v>
      </c>
      <c r="T88" s="5">
        <f t="shared" si="21"/>
        <v>0</v>
      </c>
      <c r="U88" s="5">
        <f t="shared" si="22"/>
        <v>0</v>
      </c>
      <c r="V88" s="5">
        <f t="shared" si="23"/>
        <v>1</v>
      </c>
      <c r="W88" s="5">
        <f t="shared" si="24"/>
        <v>0</v>
      </c>
      <c r="X88" s="5">
        <f t="shared" si="25"/>
        <v>0</v>
      </c>
      <c r="Y88" s="5">
        <f t="shared" si="26"/>
        <v>0</v>
      </c>
      <c r="Z88" s="5">
        <f t="shared" si="27"/>
        <v>1</v>
      </c>
      <c r="AA88" s="5">
        <f t="shared" si="28"/>
        <v>0</v>
      </c>
      <c r="AB88" s="5">
        <f t="shared" si="29"/>
        <v>0</v>
      </c>
      <c r="AC88" s="5">
        <f t="shared" si="30"/>
        <v>0</v>
      </c>
      <c r="AD88" s="5"/>
      <c r="AE88" s="5"/>
      <c r="AF88" s="5">
        <f t="shared" si="31"/>
        <v>3</v>
      </c>
      <c r="AG88" s="5">
        <f t="shared" si="32"/>
        <v>3</v>
      </c>
      <c r="AH88" s="5" t="str">
        <f t="shared" si="33"/>
        <v>Correct</v>
      </c>
      <c r="AI88" s="5"/>
      <c r="AJ88" s="120" t="str">
        <f>IFERROR(VLOOKUP(Table1[RespondentID],'All Data'!$A$3:$CO$999,87,FALSE),"unknown")</f>
        <v>Man</v>
      </c>
      <c r="AK88" s="120">
        <f>IFERROR(VLOOKUP(Table1[RespondentID],'All Data'!$A$3:$CO$999,88,FALSE),"unknown")</f>
        <v>52</v>
      </c>
      <c r="AL88" s="120" t="str">
        <f>IFERROR(VLOOKUP(Table1[RespondentID],'All Data'!$A$3:$CO$999,89,FALSE),"unknown")</f>
        <v>Suffolk</v>
      </c>
      <c r="AM88" s="120" t="str">
        <f>IFERROR(VLOOKUP(Table1[RespondentID],'All Data'!$A$3:$CO$999,90,FALSE),"unknown")</f>
        <v>Huntington Station, 11746</v>
      </c>
      <c r="AN88" s="120" t="str">
        <f>IFERROR(VLOOKUP(Table1[RespondentID],'All Data'!$A$3:$CO$999,91,FALSE),"unknown")</f>
        <v>White</v>
      </c>
      <c r="AO88" s="120" t="str">
        <f>IFERROR(VLOOKUP(Table1[RespondentID],'All Data'!$A$3:$CO$999,92,FALSE),"unknown")</f>
        <v>Hispanic or Latino</v>
      </c>
      <c r="AP88" s="120" t="str">
        <f>IFERROR(VLOOKUP(Table1[RespondentID],'All Data'!$A$3:$CO$999,93,FALSE),"unknown")</f>
        <v>English</v>
      </c>
      <c r="AQ88" s="120" t="str">
        <f>IFERROR(VLOOKUP(Table1[RespondentID],'All Data'!$A$3:$CW$999,94,FALSE),"unknown")</f>
        <v>Over $125,000</v>
      </c>
      <c r="AR88" s="120" t="str">
        <f>IFERROR(VLOOKUP(Table1[RespondentID],'All Data'!$A$3:$CW$999,95,FALSE),"unknown")</f>
        <v>Graduate school</v>
      </c>
      <c r="AS88" s="120" t="str">
        <f>IFERROR(VLOOKUP(Table1[RespondentID],'All Data'!$A$3:$CW$999,96,FALSE),"unknown")</f>
        <v>Employed for wages</v>
      </c>
      <c r="AT88" s="120" t="str">
        <f>IFERROR(VLOOKUP(Table1[RespondentID],'All Data'!$A$3:$CW$999,97,FALSE),"unknown")</f>
        <v>Yes</v>
      </c>
      <c r="AU88" s="120" t="str">
        <f>IFERROR(VLOOKUP(Table1[RespondentID],'All Data'!$A$3:$CW$999,98,FALSE),"unknown")</f>
        <v>Private/Commercial</v>
      </c>
      <c r="AV88" s="120">
        <f>IFERROR(VLOOKUP(Table1[RespondentID],'All Data'!$A$3:$CW$999,99,FALSE),"unknown")</f>
        <v>0</v>
      </c>
    </row>
    <row r="89" spans="1:48">
      <c r="A89" s="5">
        <v>18023288112</v>
      </c>
      <c r="B89" s="5"/>
      <c r="C89" s="5" t="s">
        <v>39</v>
      </c>
      <c r="D89" s="5"/>
      <c r="E89" s="5" t="s">
        <v>41</v>
      </c>
      <c r="F89" s="5"/>
      <c r="G89" s="5"/>
      <c r="H89" s="5"/>
      <c r="I89" s="5" t="s">
        <v>44</v>
      </c>
      <c r="J89" s="5"/>
      <c r="K89" s="5"/>
      <c r="L89" s="5"/>
      <c r="M89" s="5"/>
      <c r="N89" s="5"/>
      <c r="O89" s="5">
        <f t="shared" si="17"/>
        <v>3</v>
      </c>
      <c r="P89" s="5">
        <f t="shared" si="18"/>
        <v>1</v>
      </c>
      <c r="Q89" s="5"/>
      <c r="R89" s="5">
        <f t="shared" si="19"/>
        <v>0</v>
      </c>
      <c r="S89" s="5">
        <f t="shared" si="20"/>
        <v>1</v>
      </c>
      <c r="T89" s="5">
        <f t="shared" si="21"/>
        <v>0</v>
      </c>
      <c r="U89" s="5">
        <f t="shared" si="22"/>
        <v>1</v>
      </c>
      <c r="V89" s="5">
        <f t="shared" si="23"/>
        <v>0</v>
      </c>
      <c r="W89" s="5">
        <f t="shared" si="24"/>
        <v>0</v>
      </c>
      <c r="X89" s="5">
        <f t="shared" si="25"/>
        <v>0</v>
      </c>
      <c r="Y89" s="5">
        <f t="shared" si="26"/>
        <v>1</v>
      </c>
      <c r="Z89" s="5">
        <f t="shared" si="27"/>
        <v>0</v>
      </c>
      <c r="AA89" s="5">
        <f t="shared" si="28"/>
        <v>0</v>
      </c>
      <c r="AB89" s="5">
        <f t="shared" si="29"/>
        <v>0</v>
      </c>
      <c r="AC89" s="5">
        <f t="shared" si="30"/>
        <v>0</v>
      </c>
      <c r="AD89" s="5"/>
      <c r="AE89" s="5"/>
      <c r="AF89" s="5">
        <f t="shared" si="31"/>
        <v>3</v>
      </c>
      <c r="AG89" s="5">
        <f t="shared" si="32"/>
        <v>3</v>
      </c>
      <c r="AH89" s="5" t="str">
        <f t="shared" si="33"/>
        <v>Correct</v>
      </c>
      <c r="AI89" s="5"/>
      <c r="AJ89" s="120" t="str">
        <f>IFERROR(VLOOKUP(Table1[RespondentID],'All Data'!$A$3:$CO$999,87,FALSE),"unknown")</f>
        <v>Man</v>
      </c>
      <c r="AK89" s="120">
        <f>IFERROR(VLOOKUP(Table1[RespondentID],'All Data'!$A$3:$CO$999,88,FALSE),"unknown")</f>
        <v>48</v>
      </c>
      <c r="AL89" s="120" t="str">
        <f>IFERROR(VLOOKUP(Table1[RespondentID],'All Data'!$A$3:$CO$999,89,FALSE),"unknown")</f>
        <v>Suffolk</v>
      </c>
      <c r="AM89" s="120" t="str">
        <f>IFERROR(VLOOKUP(Table1[RespondentID],'All Data'!$A$3:$CO$999,90,FALSE),"unknown")</f>
        <v>East Northport, 11731</v>
      </c>
      <c r="AN89" s="120" t="str">
        <f>IFERROR(VLOOKUP(Table1[RespondentID],'All Data'!$A$3:$CO$999,91,FALSE),"unknown")</f>
        <v>White</v>
      </c>
      <c r="AO89" s="120" t="str">
        <f>IFERROR(VLOOKUP(Table1[RespondentID],'All Data'!$A$3:$CO$999,92,FALSE),"unknown")</f>
        <v>Hispanic or Latino</v>
      </c>
      <c r="AP89" s="120" t="str">
        <f>IFERROR(VLOOKUP(Table1[RespondentID],'All Data'!$A$3:$CO$999,93,FALSE),"unknown")</f>
        <v>English</v>
      </c>
      <c r="AQ89" s="120" t="str">
        <f>IFERROR(VLOOKUP(Table1[RespondentID],'All Data'!$A$3:$CW$999,94,FALSE),"unknown")</f>
        <v>Over $125,000</v>
      </c>
      <c r="AR89" s="120" t="str">
        <f>IFERROR(VLOOKUP(Table1[RespondentID],'All Data'!$A$3:$CW$999,95,FALSE),"unknown")</f>
        <v>Graduate school</v>
      </c>
      <c r="AS89" s="120" t="str">
        <f>IFERROR(VLOOKUP(Table1[RespondentID],'All Data'!$A$3:$CW$999,96,FALSE),"unknown")</f>
        <v>Employed for wages</v>
      </c>
      <c r="AT89" s="120">
        <f>IFERROR(VLOOKUP(Table1[RespondentID],'All Data'!$A$3:$CW$999,97,FALSE),"unknown")</f>
        <v>0</v>
      </c>
      <c r="AU89" s="120" t="str">
        <f>IFERROR(VLOOKUP(Table1[RespondentID],'All Data'!$A$3:$CW$999,98,FALSE),"unknown")</f>
        <v>Private/Commercial</v>
      </c>
      <c r="AV89" s="120">
        <f>IFERROR(VLOOKUP(Table1[RespondentID],'All Data'!$A$3:$CW$999,99,FALSE),"unknown")</f>
        <v>0</v>
      </c>
    </row>
    <row r="90" spans="1:48">
      <c r="A90" s="5">
        <v>18023288040</v>
      </c>
      <c r="B90" s="5"/>
      <c r="C90" s="5"/>
      <c r="D90" s="5" t="s">
        <v>40</v>
      </c>
      <c r="E90" s="5"/>
      <c r="F90" s="5"/>
      <c r="G90" s="5"/>
      <c r="H90" s="5"/>
      <c r="I90" s="5"/>
      <c r="J90" s="5"/>
      <c r="K90" s="5"/>
      <c r="L90" s="5" t="s">
        <v>47</v>
      </c>
      <c r="M90" s="5"/>
      <c r="N90" s="5"/>
      <c r="O90" s="5">
        <f t="shared" si="17"/>
        <v>2</v>
      </c>
      <c r="P90" s="5">
        <f t="shared" si="18"/>
        <v>1.5</v>
      </c>
      <c r="Q90" s="5"/>
      <c r="R90" s="5">
        <f t="shared" si="19"/>
        <v>0</v>
      </c>
      <c r="S90" s="5">
        <f t="shared" si="20"/>
        <v>0</v>
      </c>
      <c r="T90" s="5">
        <f t="shared" si="21"/>
        <v>1</v>
      </c>
      <c r="U90" s="5">
        <f t="shared" si="22"/>
        <v>0</v>
      </c>
      <c r="V90" s="5">
        <f t="shared" si="23"/>
        <v>0</v>
      </c>
      <c r="W90" s="5">
        <f t="shared" si="24"/>
        <v>0</v>
      </c>
      <c r="X90" s="5">
        <f t="shared" si="25"/>
        <v>0</v>
      </c>
      <c r="Y90" s="5">
        <f t="shared" si="26"/>
        <v>0</v>
      </c>
      <c r="Z90" s="5">
        <f t="shared" si="27"/>
        <v>0</v>
      </c>
      <c r="AA90" s="5">
        <f t="shared" si="28"/>
        <v>0</v>
      </c>
      <c r="AB90" s="5">
        <f t="shared" si="29"/>
        <v>1</v>
      </c>
      <c r="AC90" s="5">
        <f t="shared" si="30"/>
        <v>0</v>
      </c>
      <c r="AD90" s="5"/>
      <c r="AE90" s="5"/>
      <c r="AF90" s="5">
        <f t="shared" si="31"/>
        <v>2</v>
      </c>
      <c r="AG90" s="5">
        <f t="shared" si="32"/>
        <v>2</v>
      </c>
      <c r="AH90" s="5" t="str">
        <f t="shared" si="33"/>
        <v>Correct</v>
      </c>
      <c r="AI90" s="5"/>
      <c r="AJ90" s="120" t="str">
        <f>IFERROR(VLOOKUP(Table1[RespondentID],'All Data'!$A$3:$CO$999,87,FALSE),"unknown")</f>
        <v>Man</v>
      </c>
      <c r="AK90" s="120">
        <f>IFERROR(VLOOKUP(Table1[RespondentID],'All Data'!$A$3:$CO$999,88,FALSE),"unknown")</f>
        <v>49</v>
      </c>
      <c r="AL90" s="120" t="str">
        <f>IFERROR(VLOOKUP(Table1[RespondentID],'All Data'!$A$3:$CO$999,89,FALSE),"unknown")</f>
        <v>Suffolk</v>
      </c>
      <c r="AM90" s="120" t="str">
        <f>IFERROR(VLOOKUP(Table1[RespondentID],'All Data'!$A$3:$CO$999,90,FALSE),"unknown")</f>
        <v>Smithtown, 11787</v>
      </c>
      <c r="AN90" s="120" t="str">
        <f>IFERROR(VLOOKUP(Table1[RespondentID],'All Data'!$A$3:$CO$999,91,FALSE),"unknown")</f>
        <v>White</v>
      </c>
      <c r="AO90" s="120" t="str">
        <f>IFERROR(VLOOKUP(Table1[RespondentID],'All Data'!$A$3:$CO$999,92,FALSE),"unknown")</f>
        <v>Hispanic or Latino</v>
      </c>
      <c r="AP90" s="120" t="str">
        <f>IFERROR(VLOOKUP(Table1[RespondentID],'All Data'!$A$3:$CO$999,93,FALSE),"unknown")</f>
        <v>English</v>
      </c>
      <c r="AQ90" s="120" t="str">
        <f>IFERROR(VLOOKUP(Table1[RespondentID],'All Data'!$A$3:$CW$999,94,FALSE),"unknown")</f>
        <v>Over $125,000</v>
      </c>
      <c r="AR90" s="120" t="str">
        <f>IFERROR(VLOOKUP(Table1[RespondentID],'All Data'!$A$3:$CW$999,95,FALSE),"unknown")</f>
        <v>Graduate school</v>
      </c>
      <c r="AS90" s="120" t="str">
        <f>IFERROR(VLOOKUP(Table1[RespondentID],'All Data'!$A$3:$CW$999,96,FALSE),"unknown")</f>
        <v>Employed for wages</v>
      </c>
      <c r="AT90" s="120">
        <f>IFERROR(VLOOKUP(Table1[RespondentID],'All Data'!$A$3:$CW$999,97,FALSE),"unknown")</f>
        <v>0</v>
      </c>
      <c r="AU90" s="120" t="str">
        <f>IFERROR(VLOOKUP(Table1[RespondentID],'All Data'!$A$3:$CW$999,98,FALSE),"unknown")</f>
        <v>Private/Commercial</v>
      </c>
      <c r="AV90" s="120">
        <f>IFERROR(VLOOKUP(Table1[RespondentID],'All Data'!$A$3:$CW$999,99,FALSE),"unknown")</f>
        <v>0</v>
      </c>
    </row>
    <row r="91" spans="1:48">
      <c r="A91" s="5">
        <v>18023287912</v>
      </c>
      <c r="B91" s="5"/>
      <c r="C91" s="5" t="s">
        <v>39</v>
      </c>
      <c r="D91" s="5"/>
      <c r="E91" s="5"/>
      <c r="F91" s="5"/>
      <c r="G91" s="5"/>
      <c r="H91" s="5"/>
      <c r="I91" s="5"/>
      <c r="J91" s="5"/>
      <c r="K91" s="5"/>
      <c r="L91" s="5"/>
      <c r="M91" s="5"/>
      <c r="N91" s="5"/>
      <c r="O91" s="5">
        <f t="shared" si="17"/>
        <v>1</v>
      </c>
      <c r="P91" s="5">
        <f t="shared" si="18"/>
        <v>3</v>
      </c>
      <c r="Q91" s="5"/>
      <c r="R91" s="5">
        <f t="shared" si="19"/>
        <v>0</v>
      </c>
      <c r="S91" s="5">
        <f t="shared" si="20"/>
        <v>1</v>
      </c>
      <c r="T91" s="5">
        <f t="shared" si="21"/>
        <v>0</v>
      </c>
      <c r="U91" s="5">
        <f t="shared" si="22"/>
        <v>0</v>
      </c>
      <c r="V91" s="5">
        <f t="shared" si="23"/>
        <v>0</v>
      </c>
      <c r="W91" s="5">
        <f t="shared" si="24"/>
        <v>0</v>
      </c>
      <c r="X91" s="5">
        <f t="shared" si="25"/>
        <v>0</v>
      </c>
      <c r="Y91" s="5">
        <f t="shared" si="26"/>
        <v>0</v>
      </c>
      <c r="Z91" s="5">
        <f t="shared" si="27"/>
        <v>0</v>
      </c>
      <c r="AA91" s="5">
        <f t="shared" si="28"/>
        <v>0</v>
      </c>
      <c r="AB91" s="5">
        <f t="shared" si="29"/>
        <v>0</v>
      </c>
      <c r="AC91" s="5">
        <f t="shared" si="30"/>
        <v>0</v>
      </c>
      <c r="AD91" s="5"/>
      <c r="AE91" s="5"/>
      <c r="AF91" s="5">
        <f t="shared" si="31"/>
        <v>1</v>
      </c>
      <c r="AG91" s="5">
        <f t="shared" si="32"/>
        <v>1</v>
      </c>
      <c r="AH91" s="5" t="str">
        <f t="shared" si="33"/>
        <v>Correct</v>
      </c>
      <c r="AI91" s="5"/>
      <c r="AJ91" s="120" t="str">
        <f>IFERROR(VLOOKUP(Table1[RespondentID],'All Data'!$A$3:$CO$999,87,FALSE),"unknown")</f>
        <v>Man</v>
      </c>
      <c r="AK91" s="120">
        <f>IFERROR(VLOOKUP(Table1[RespondentID],'All Data'!$A$3:$CO$999,88,FALSE),"unknown")</f>
        <v>47</v>
      </c>
      <c r="AL91" s="120" t="str">
        <f>IFERROR(VLOOKUP(Table1[RespondentID],'All Data'!$A$3:$CO$999,89,FALSE),"unknown")</f>
        <v>Suffolk</v>
      </c>
      <c r="AM91" s="120" t="str">
        <f>IFERROR(VLOOKUP(Table1[RespondentID],'All Data'!$A$3:$CO$999,90,FALSE),"unknown")</f>
        <v>Stony Brook, 11790</v>
      </c>
      <c r="AN91" s="120" t="str">
        <f>IFERROR(VLOOKUP(Table1[RespondentID],'All Data'!$A$3:$CO$999,91,FALSE),"unknown")</f>
        <v>White</v>
      </c>
      <c r="AO91" s="120" t="str">
        <f>IFERROR(VLOOKUP(Table1[RespondentID],'All Data'!$A$3:$CO$999,92,FALSE),"unknown")</f>
        <v>Hispanic or Latino</v>
      </c>
      <c r="AP91" s="120" t="str">
        <f>IFERROR(VLOOKUP(Table1[RespondentID],'All Data'!$A$3:$CO$999,93,FALSE),"unknown")</f>
        <v>English</v>
      </c>
      <c r="AQ91" s="120" t="str">
        <f>IFERROR(VLOOKUP(Table1[RespondentID],'All Data'!$A$3:$CW$999,94,FALSE),"unknown")</f>
        <v>Over $125,000</v>
      </c>
      <c r="AR91" s="120" t="str">
        <f>IFERROR(VLOOKUP(Table1[RespondentID],'All Data'!$A$3:$CW$999,95,FALSE),"unknown")</f>
        <v>Graduate school</v>
      </c>
      <c r="AS91" s="120" t="str">
        <f>IFERROR(VLOOKUP(Table1[RespondentID],'All Data'!$A$3:$CW$999,96,FALSE),"unknown")</f>
        <v>Employed for wages</v>
      </c>
      <c r="AT91" s="120" t="str">
        <f>IFERROR(VLOOKUP(Table1[RespondentID],'All Data'!$A$3:$CW$999,97,FALSE),"unknown")</f>
        <v>Yes</v>
      </c>
      <c r="AU91" s="120" t="str">
        <f>IFERROR(VLOOKUP(Table1[RespondentID],'All Data'!$A$3:$CW$999,98,FALSE),"unknown")</f>
        <v>Private/Commercial</v>
      </c>
      <c r="AV91" s="120">
        <f>IFERROR(VLOOKUP(Table1[RespondentID],'All Data'!$A$3:$CW$999,99,FALSE),"unknown")</f>
        <v>0</v>
      </c>
    </row>
    <row r="92" spans="1:48">
      <c r="A92" s="5">
        <v>18023287497</v>
      </c>
      <c r="B92" s="5" t="s">
        <v>38</v>
      </c>
      <c r="C92" s="5" t="s">
        <v>39</v>
      </c>
      <c r="D92" s="5"/>
      <c r="E92" s="5" t="s">
        <v>41</v>
      </c>
      <c r="F92" s="5"/>
      <c r="G92" s="5"/>
      <c r="H92" s="5"/>
      <c r="I92" s="5"/>
      <c r="J92" s="5"/>
      <c r="K92" s="5"/>
      <c r="L92" s="5"/>
      <c r="M92" s="5"/>
      <c r="N92" s="5"/>
      <c r="O92" s="5">
        <f t="shared" si="17"/>
        <v>3</v>
      </c>
      <c r="P92" s="5">
        <f t="shared" si="18"/>
        <v>1</v>
      </c>
      <c r="Q92" s="5"/>
      <c r="R92" s="5">
        <f t="shared" si="19"/>
        <v>1</v>
      </c>
      <c r="S92" s="5">
        <f t="shared" si="20"/>
        <v>1</v>
      </c>
      <c r="T92" s="5">
        <f t="shared" si="21"/>
        <v>0</v>
      </c>
      <c r="U92" s="5">
        <f t="shared" si="22"/>
        <v>1</v>
      </c>
      <c r="V92" s="5">
        <f t="shared" si="23"/>
        <v>0</v>
      </c>
      <c r="W92" s="5">
        <f t="shared" si="24"/>
        <v>0</v>
      </c>
      <c r="X92" s="5">
        <f t="shared" si="25"/>
        <v>0</v>
      </c>
      <c r="Y92" s="5">
        <f t="shared" si="26"/>
        <v>0</v>
      </c>
      <c r="Z92" s="5">
        <f t="shared" si="27"/>
        <v>0</v>
      </c>
      <c r="AA92" s="5">
        <f t="shared" si="28"/>
        <v>0</v>
      </c>
      <c r="AB92" s="5">
        <f t="shared" si="29"/>
        <v>0</v>
      </c>
      <c r="AC92" s="5">
        <f t="shared" si="30"/>
        <v>0</v>
      </c>
      <c r="AD92" s="5"/>
      <c r="AE92" s="5"/>
      <c r="AF92" s="5">
        <f t="shared" si="31"/>
        <v>3</v>
      </c>
      <c r="AG92" s="5">
        <f t="shared" si="32"/>
        <v>3</v>
      </c>
      <c r="AH92" s="5" t="str">
        <f t="shared" si="33"/>
        <v>Correct</v>
      </c>
      <c r="AI92" s="5"/>
      <c r="AJ92" s="120" t="str">
        <f>IFERROR(VLOOKUP(Table1[RespondentID],'All Data'!$A$3:$CO$999,87,FALSE),"unknown")</f>
        <v>Woman</v>
      </c>
      <c r="AK92" s="120">
        <f>IFERROR(VLOOKUP(Table1[RespondentID],'All Data'!$A$3:$CO$999,88,FALSE),"unknown")</f>
        <v>52</v>
      </c>
      <c r="AL92" s="120" t="str">
        <f>IFERROR(VLOOKUP(Table1[RespondentID],'All Data'!$A$3:$CO$999,89,FALSE),"unknown")</f>
        <v>Suffolk</v>
      </c>
      <c r="AM92" s="120" t="str">
        <f>IFERROR(VLOOKUP(Table1[RespondentID],'All Data'!$A$3:$CO$999,90,FALSE),"unknown")</f>
        <v>Smithtown, 11787</v>
      </c>
      <c r="AN92" s="120" t="str">
        <f>IFERROR(VLOOKUP(Table1[RespondentID],'All Data'!$A$3:$CO$999,91,FALSE),"unknown")</f>
        <v>White</v>
      </c>
      <c r="AO92" s="120" t="str">
        <f>IFERROR(VLOOKUP(Table1[RespondentID],'All Data'!$A$3:$CO$999,92,FALSE),"unknown")</f>
        <v>Hispanic or Latino</v>
      </c>
      <c r="AP92" s="120" t="str">
        <f>IFERROR(VLOOKUP(Table1[RespondentID],'All Data'!$A$3:$CO$999,93,FALSE),"unknown")</f>
        <v>English</v>
      </c>
      <c r="AQ92" s="120" t="str">
        <f>IFERROR(VLOOKUP(Table1[RespondentID],'All Data'!$A$3:$CW$999,94,FALSE),"unknown")</f>
        <v>Over $125,000</v>
      </c>
      <c r="AR92" s="120" t="str">
        <f>IFERROR(VLOOKUP(Table1[RespondentID],'All Data'!$A$3:$CW$999,95,FALSE),"unknown")</f>
        <v>College graduate</v>
      </c>
      <c r="AS92" s="120" t="str">
        <f>IFERROR(VLOOKUP(Table1[RespondentID],'All Data'!$A$3:$CW$999,96,FALSE),"unknown")</f>
        <v>Employed for wages</v>
      </c>
      <c r="AT92" s="120">
        <f>IFERROR(VLOOKUP(Table1[RespondentID],'All Data'!$A$3:$CW$999,97,FALSE),"unknown")</f>
        <v>0</v>
      </c>
      <c r="AU92" s="120">
        <f>IFERROR(VLOOKUP(Table1[RespondentID],'All Data'!$A$3:$CW$999,98,FALSE),"unknown")</f>
        <v>0</v>
      </c>
      <c r="AV92" s="120">
        <f>IFERROR(VLOOKUP(Table1[RespondentID],'All Data'!$A$3:$CW$999,99,FALSE),"unknown")</f>
        <v>0</v>
      </c>
    </row>
    <row r="93" spans="1:48">
      <c r="A93" s="5">
        <v>18023287370</v>
      </c>
      <c r="B93" s="5" t="s">
        <v>38</v>
      </c>
      <c r="C93" s="5"/>
      <c r="D93" s="5"/>
      <c r="E93" s="5"/>
      <c r="F93" s="5"/>
      <c r="G93" s="5"/>
      <c r="H93" s="5"/>
      <c r="I93" s="5"/>
      <c r="J93" s="5"/>
      <c r="K93" s="5"/>
      <c r="L93" s="5"/>
      <c r="M93" s="5"/>
      <c r="N93" s="5"/>
      <c r="O93" s="5">
        <f t="shared" si="17"/>
        <v>1</v>
      </c>
      <c r="P93" s="5">
        <f t="shared" si="18"/>
        <v>3</v>
      </c>
      <c r="Q93" s="5"/>
      <c r="R93" s="5">
        <f t="shared" si="19"/>
        <v>1</v>
      </c>
      <c r="S93" s="5">
        <f t="shared" si="20"/>
        <v>0</v>
      </c>
      <c r="T93" s="5">
        <f t="shared" si="21"/>
        <v>0</v>
      </c>
      <c r="U93" s="5">
        <f t="shared" si="22"/>
        <v>0</v>
      </c>
      <c r="V93" s="5">
        <f t="shared" si="23"/>
        <v>0</v>
      </c>
      <c r="W93" s="5">
        <f t="shared" si="24"/>
        <v>0</v>
      </c>
      <c r="X93" s="5">
        <f t="shared" si="25"/>
        <v>0</v>
      </c>
      <c r="Y93" s="5">
        <f t="shared" si="26"/>
        <v>0</v>
      </c>
      <c r="Z93" s="5">
        <f t="shared" si="27"/>
        <v>0</v>
      </c>
      <c r="AA93" s="5">
        <f t="shared" si="28"/>
        <v>0</v>
      </c>
      <c r="AB93" s="5">
        <f t="shared" si="29"/>
        <v>0</v>
      </c>
      <c r="AC93" s="5">
        <f t="shared" si="30"/>
        <v>0</v>
      </c>
      <c r="AD93" s="5"/>
      <c r="AE93" s="5"/>
      <c r="AF93" s="5">
        <f t="shared" si="31"/>
        <v>1</v>
      </c>
      <c r="AG93" s="5">
        <f t="shared" si="32"/>
        <v>1</v>
      </c>
      <c r="AH93" s="5" t="str">
        <f t="shared" si="33"/>
        <v>Correct</v>
      </c>
      <c r="AI93" s="5"/>
      <c r="AJ93" s="120" t="str">
        <f>IFERROR(VLOOKUP(Table1[RespondentID],'All Data'!$A$3:$CO$999,87,FALSE),"unknown")</f>
        <v>Man</v>
      </c>
      <c r="AK93" s="120">
        <f>IFERROR(VLOOKUP(Table1[RespondentID],'All Data'!$A$3:$CO$999,88,FALSE),"unknown")</f>
        <v>23</v>
      </c>
      <c r="AL93" s="120" t="str">
        <f>IFERROR(VLOOKUP(Table1[RespondentID],'All Data'!$A$3:$CO$999,89,FALSE),"unknown")</f>
        <v>Suffolk</v>
      </c>
      <c r="AM93" s="120" t="str">
        <f>IFERROR(VLOOKUP(Table1[RespondentID],'All Data'!$A$3:$CO$999,90,FALSE),"unknown")</f>
        <v>Central Islip, 11722</v>
      </c>
      <c r="AN93" s="120">
        <f>IFERROR(VLOOKUP(Table1[RespondentID],'All Data'!$A$3:$CO$999,91,FALSE),"unknown")</f>
        <v>0</v>
      </c>
      <c r="AO93" s="120" t="str">
        <f>IFERROR(VLOOKUP(Table1[RespondentID],'All Data'!$A$3:$CO$999,92,FALSE),"unknown")</f>
        <v>Not Hispanic or Latino</v>
      </c>
      <c r="AP93" s="120" t="str">
        <f>IFERROR(VLOOKUP(Table1[RespondentID],'All Data'!$A$3:$CO$999,93,FALSE),"unknown")</f>
        <v>Spanish</v>
      </c>
      <c r="AQ93" s="120" t="str">
        <f>IFERROR(VLOOKUP(Table1[RespondentID],'All Data'!$A$3:$CW$999,94,FALSE),"unknown")</f>
        <v>$20,000 to $34,999</v>
      </c>
      <c r="AR93" s="120" t="str">
        <f>IFERROR(VLOOKUP(Table1[RespondentID],'All Data'!$A$3:$CW$999,95,FALSE),"unknown")</f>
        <v>Some college</v>
      </c>
      <c r="AS93" s="120" t="str">
        <f>IFERROR(VLOOKUP(Table1[RespondentID],'All Data'!$A$3:$CW$999,96,FALSE),"unknown")</f>
        <v>Employed for wages</v>
      </c>
      <c r="AT93" s="120" t="str">
        <f>IFERROR(VLOOKUP(Table1[RespondentID],'All Data'!$A$3:$CW$999,97,FALSE),"unknown")</f>
        <v>Yes</v>
      </c>
      <c r="AU93" s="120">
        <f>IFERROR(VLOOKUP(Table1[RespondentID],'All Data'!$A$3:$CW$999,98,FALSE),"unknown")</f>
        <v>0</v>
      </c>
      <c r="AV93" s="120">
        <f>IFERROR(VLOOKUP(Table1[RespondentID],'All Data'!$A$3:$CW$999,99,FALSE),"unknown")</f>
        <v>0</v>
      </c>
    </row>
    <row r="94" spans="1:48">
      <c r="A94" s="5">
        <v>18023287265</v>
      </c>
      <c r="B94" s="5"/>
      <c r="C94" s="5" t="s">
        <v>39</v>
      </c>
      <c r="D94" s="5"/>
      <c r="E94" s="5" t="s">
        <v>41</v>
      </c>
      <c r="F94" s="5"/>
      <c r="G94" s="5"/>
      <c r="H94" s="5"/>
      <c r="I94" s="5"/>
      <c r="J94" s="5"/>
      <c r="K94" s="5" t="s">
        <v>46</v>
      </c>
      <c r="L94" s="5"/>
      <c r="M94" s="5"/>
      <c r="N94" s="5"/>
      <c r="O94" s="5">
        <f t="shared" si="17"/>
        <v>3</v>
      </c>
      <c r="P94" s="5">
        <f t="shared" si="18"/>
        <v>1</v>
      </c>
      <c r="Q94" s="5"/>
      <c r="R94" s="5">
        <f t="shared" si="19"/>
        <v>0</v>
      </c>
      <c r="S94" s="5">
        <f t="shared" si="20"/>
        <v>1</v>
      </c>
      <c r="T94" s="5">
        <f t="shared" si="21"/>
        <v>0</v>
      </c>
      <c r="U94" s="5">
        <f t="shared" si="22"/>
        <v>1</v>
      </c>
      <c r="V94" s="5">
        <f t="shared" si="23"/>
        <v>0</v>
      </c>
      <c r="W94" s="5">
        <f t="shared" si="24"/>
        <v>0</v>
      </c>
      <c r="X94" s="5">
        <f t="shared" si="25"/>
        <v>0</v>
      </c>
      <c r="Y94" s="5">
        <f t="shared" si="26"/>
        <v>0</v>
      </c>
      <c r="Z94" s="5">
        <f t="shared" si="27"/>
        <v>0</v>
      </c>
      <c r="AA94" s="5">
        <f t="shared" si="28"/>
        <v>1</v>
      </c>
      <c r="AB94" s="5">
        <f t="shared" si="29"/>
        <v>0</v>
      </c>
      <c r="AC94" s="5">
        <f t="shared" si="30"/>
        <v>0</v>
      </c>
      <c r="AD94" s="5"/>
      <c r="AE94" s="5"/>
      <c r="AF94" s="5">
        <f t="shared" si="31"/>
        <v>3</v>
      </c>
      <c r="AG94" s="5">
        <f t="shared" si="32"/>
        <v>3</v>
      </c>
      <c r="AH94" s="5" t="str">
        <f t="shared" si="33"/>
        <v>Correct</v>
      </c>
      <c r="AI94" s="5"/>
      <c r="AJ94" s="120" t="str">
        <f>IFERROR(VLOOKUP(Table1[RespondentID],'All Data'!$A$3:$CO$999,87,FALSE),"unknown")</f>
        <v>Woman</v>
      </c>
      <c r="AK94" s="120">
        <f>IFERROR(VLOOKUP(Table1[RespondentID],'All Data'!$A$3:$CO$999,88,FALSE),"unknown")</f>
        <v>33</v>
      </c>
      <c r="AL94" s="120" t="str">
        <f>IFERROR(VLOOKUP(Table1[RespondentID],'All Data'!$A$3:$CO$999,89,FALSE),"unknown")</f>
        <v>Suffolk</v>
      </c>
      <c r="AM94" s="120" t="str">
        <f>IFERROR(VLOOKUP(Table1[RespondentID],'All Data'!$A$3:$CO$999,90,FALSE),"unknown")</f>
        <v>North Babylon, 11703</v>
      </c>
      <c r="AN94" s="120" t="str">
        <f>IFERROR(VLOOKUP(Table1[RespondentID],'All Data'!$A$3:$CO$999,91,FALSE),"unknown")</f>
        <v>White</v>
      </c>
      <c r="AO94" s="120" t="str">
        <f>IFERROR(VLOOKUP(Table1[RespondentID],'All Data'!$A$3:$CO$999,92,FALSE),"unknown")</f>
        <v>Not Hispanic or Latino</v>
      </c>
      <c r="AP94" s="120" t="str">
        <f>IFERROR(VLOOKUP(Table1[RespondentID],'All Data'!$A$3:$CO$999,93,FALSE),"unknown")</f>
        <v>English</v>
      </c>
      <c r="AQ94" s="120" t="str">
        <f>IFERROR(VLOOKUP(Table1[RespondentID],'All Data'!$A$3:$CW$999,94,FALSE),"unknown")</f>
        <v>Over $125,000</v>
      </c>
      <c r="AR94" s="120" t="str">
        <f>IFERROR(VLOOKUP(Table1[RespondentID],'All Data'!$A$3:$CW$999,95,FALSE),"unknown")</f>
        <v>College graduate</v>
      </c>
      <c r="AS94" s="120" t="str">
        <f>IFERROR(VLOOKUP(Table1[RespondentID],'All Data'!$A$3:$CW$999,96,FALSE),"unknown")</f>
        <v>Employed for wages</v>
      </c>
      <c r="AT94" s="120" t="str">
        <f>IFERROR(VLOOKUP(Table1[RespondentID],'All Data'!$A$3:$CW$999,97,FALSE),"unknown")</f>
        <v>Yes</v>
      </c>
      <c r="AU94" s="120">
        <f>IFERROR(VLOOKUP(Table1[RespondentID],'All Data'!$A$3:$CW$999,98,FALSE),"unknown")</f>
        <v>0</v>
      </c>
      <c r="AV94" s="120">
        <f>IFERROR(VLOOKUP(Table1[RespondentID],'All Data'!$A$3:$CW$999,99,FALSE),"unknown")</f>
        <v>0</v>
      </c>
    </row>
    <row r="95" spans="1:48">
      <c r="A95" s="5">
        <v>18023287153</v>
      </c>
      <c r="B95" s="5" t="s">
        <v>38</v>
      </c>
      <c r="C95" s="5" t="s">
        <v>39</v>
      </c>
      <c r="D95" s="5"/>
      <c r="E95" s="5"/>
      <c r="F95" s="5"/>
      <c r="G95" s="5"/>
      <c r="H95" s="5"/>
      <c r="I95" s="5"/>
      <c r="J95" s="5" t="s">
        <v>45</v>
      </c>
      <c r="K95" s="5"/>
      <c r="L95" s="5"/>
      <c r="M95" s="5"/>
      <c r="N95" s="5"/>
      <c r="O95" s="5">
        <f t="shared" si="17"/>
        <v>3</v>
      </c>
      <c r="P95" s="5">
        <f t="shared" si="18"/>
        <v>1</v>
      </c>
      <c r="Q95" s="5"/>
      <c r="R95" s="5">
        <f t="shared" si="19"/>
        <v>1</v>
      </c>
      <c r="S95" s="5">
        <f t="shared" si="20"/>
        <v>1</v>
      </c>
      <c r="T95" s="5">
        <f t="shared" si="21"/>
        <v>0</v>
      </c>
      <c r="U95" s="5">
        <f t="shared" si="22"/>
        <v>0</v>
      </c>
      <c r="V95" s="5">
        <f t="shared" si="23"/>
        <v>0</v>
      </c>
      <c r="W95" s="5">
        <f t="shared" si="24"/>
        <v>0</v>
      </c>
      <c r="X95" s="5">
        <f t="shared" si="25"/>
        <v>0</v>
      </c>
      <c r="Y95" s="5">
        <f t="shared" si="26"/>
        <v>0</v>
      </c>
      <c r="Z95" s="5">
        <f t="shared" si="27"/>
        <v>1</v>
      </c>
      <c r="AA95" s="5">
        <f t="shared" si="28"/>
        <v>0</v>
      </c>
      <c r="AB95" s="5">
        <f t="shared" si="29"/>
        <v>0</v>
      </c>
      <c r="AC95" s="5">
        <f t="shared" si="30"/>
        <v>0</v>
      </c>
      <c r="AD95" s="5"/>
      <c r="AE95" s="5"/>
      <c r="AF95" s="5">
        <f t="shared" si="31"/>
        <v>3</v>
      </c>
      <c r="AG95" s="5">
        <f t="shared" si="32"/>
        <v>3</v>
      </c>
      <c r="AH95" s="5" t="str">
        <f t="shared" si="33"/>
        <v>Correct</v>
      </c>
      <c r="AI95" s="5"/>
      <c r="AJ95" s="120" t="str">
        <f>IFERROR(VLOOKUP(Table1[RespondentID],'All Data'!$A$3:$CO$999,87,FALSE),"unknown")</f>
        <v>Woman</v>
      </c>
      <c r="AK95" s="120">
        <f>IFERROR(VLOOKUP(Table1[RespondentID],'All Data'!$A$3:$CO$999,88,FALSE),"unknown")</f>
        <v>60</v>
      </c>
      <c r="AL95" s="120" t="str">
        <f>IFERROR(VLOOKUP(Table1[RespondentID],'All Data'!$A$3:$CO$999,89,FALSE),"unknown")</f>
        <v>Suffolk</v>
      </c>
      <c r="AM95" s="120" t="str">
        <f>IFERROR(VLOOKUP(Table1[RespondentID],'All Data'!$A$3:$CO$999,90,FALSE),"unknown")</f>
        <v>Smithtown, 11787</v>
      </c>
      <c r="AN95" s="120" t="str">
        <f>IFERROR(VLOOKUP(Table1[RespondentID],'All Data'!$A$3:$CO$999,91,FALSE),"unknown")</f>
        <v>White</v>
      </c>
      <c r="AO95" s="120" t="str">
        <f>IFERROR(VLOOKUP(Table1[RespondentID],'All Data'!$A$3:$CO$999,92,FALSE),"unknown")</f>
        <v>Hispanic or Latino</v>
      </c>
      <c r="AP95" s="120" t="str">
        <f>IFERROR(VLOOKUP(Table1[RespondentID],'All Data'!$A$3:$CO$999,93,FALSE),"unknown")</f>
        <v>English</v>
      </c>
      <c r="AQ95" s="120" t="str">
        <f>IFERROR(VLOOKUP(Table1[RespondentID],'All Data'!$A$3:$CW$999,94,FALSE),"unknown")</f>
        <v>$75,000 to $125,000</v>
      </c>
      <c r="AR95" s="120" t="str">
        <f>IFERROR(VLOOKUP(Table1[RespondentID],'All Data'!$A$3:$CW$999,95,FALSE),"unknown")</f>
        <v>College graduate</v>
      </c>
      <c r="AS95" s="120" t="str">
        <f>IFERROR(VLOOKUP(Table1[RespondentID],'All Data'!$A$3:$CW$999,96,FALSE),"unknown")</f>
        <v>Employed for wages</v>
      </c>
      <c r="AT95" s="120" t="str">
        <f>IFERROR(VLOOKUP(Table1[RespondentID],'All Data'!$A$3:$CW$999,97,FALSE),"unknown")</f>
        <v>Yes</v>
      </c>
      <c r="AU95" s="120">
        <f>IFERROR(VLOOKUP(Table1[RespondentID],'All Data'!$A$3:$CW$999,98,FALSE),"unknown")</f>
        <v>0</v>
      </c>
      <c r="AV95" s="120">
        <f>IFERROR(VLOOKUP(Table1[RespondentID],'All Data'!$A$3:$CW$999,99,FALSE),"unknown")</f>
        <v>0</v>
      </c>
    </row>
    <row r="96" spans="1:48">
      <c r="A96" s="5">
        <v>18023287064</v>
      </c>
      <c r="B96" s="5" t="s">
        <v>38</v>
      </c>
      <c r="C96" s="5"/>
      <c r="D96" s="5"/>
      <c r="E96" s="5" t="s">
        <v>41</v>
      </c>
      <c r="F96" s="5"/>
      <c r="G96" s="5"/>
      <c r="H96" s="5"/>
      <c r="I96" s="5"/>
      <c r="J96" s="5"/>
      <c r="K96" s="5"/>
      <c r="L96" s="5"/>
      <c r="M96" s="5"/>
      <c r="N96" s="5"/>
      <c r="O96" s="5">
        <f t="shared" si="17"/>
        <v>2</v>
      </c>
      <c r="P96" s="5">
        <f t="shared" si="18"/>
        <v>1.5</v>
      </c>
      <c r="Q96" s="5"/>
      <c r="R96" s="5">
        <f t="shared" si="19"/>
        <v>1</v>
      </c>
      <c r="S96" s="5">
        <f t="shared" si="20"/>
        <v>0</v>
      </c>
      <c r="T96" s="5">
        <f t="shared" si="21"/>
        <v>0</v>
      </c>
      <c r="U96" s="5">
        <f t="shared" si="22"/>
        <v>1</v>
      </c>
      <c r="V96" s="5">
        <f t="shared" si="23"/>
        <v>0</v>
      </c>
      <c r="W96" s="5">
        <f t="shared" si="24"/>
        <v>0</v>
      </c>
      <c r="X96" s="5">
        <f t="shared" si="25"/>
        <v>0</v>
      </c>
      <c r="Y96" s="5">
        <f t="shared" si="26"/>
        <v>0</v>
      </c>
      <c r="Z96" s="5">
        <f t="shared" si="27"/>
        <v>0</v>
      </c>
      <c r="AA96" s="5">
        <f t="shared" si="28"/>
        <v>0</v>
      </c>
      <c r="AB96" s="5">
        <f t="shared" si="29"/>
        <v>0</v>
      </c>
      <c r="AC96" s="5">
        <f t="shared" si="30"/>
        <v>0</v>
      </c>
      <c r="AD96" s="5"/>
      <c r="AE96" s="5"/>
      <c r="AF96" s="5">
        <f t="shared" si="31"/>
        <v>2</v>
      </c>
      <c r="AG96" s="5">
        <f t="shared" si="32"/>
        <v>2</v>
      </c>
      <c r="AH96" s="5" t="str">
        <f t="shared" si="33"/>
        <v>Correct</v>
      </c>
      <c r="AI96" s="5"/>
      <c r="AJ96" s="120" t="str">
        <f>IFERROR(VLOOKUP(Table1[RespondentID],'All Data'!$A$3:$CO$999,87,FALSE),"unknown")</f>
        <v>Man</v>
      </c>
      <c r="AK96" s="120">
        <f>IFERROR(VLOOKUP(Table1[RespondentID],'All Data'!$A$3:$CO$999,88,FALSE),"unknown")</f>
        <v>60</v>
      </c>
      <c r="AL96" s="120" t="str">
        <f>IFERROR(VLOOKUP(Table1[RespondentID],'All Data'!$A$3:$CO$999,89,FALSE),"unknown")</f>
        <v>Suffolk</v>
      </c>
      <c r="AM96" s="120" t="str">
        <f>IFERROR(VLOOKUP(Table1[RespondentID],'All Data'!$A$3:$CO$999,90,FALSE),"unknown")</f>
        <v>Holtsville, 11742</v>
      </c>
      <c r="AN96" s="120" t="str">
        <f>IFERROR(VLOOKUP(Table1[RespondentID],'All Data'!$A$3:$CO$999,91,FALSE),"unknown")</f>
        <v>White</v>
      </c>
      <c r="AO96" s="120" t="str">
        <f>IFERROR(VLOOKUP(Table1[RespondentID],'All Data'!$A$3:$CO$999,92,FALSE),"unknown")</f>
        <v>Hispanic or Latino</v>
      </c>
      <c r="AP96" s="120" t="str">
        <f>IFERROR(VLOOKUP(Table1[RespondentID],'All Data'!$A$3:$CO$999,93,FALSE),"unknown")</f>
        <v>English</v>
      </c>
      <c r="AQ96" s="120" t="str">
        <f>IFERROR(VLOOKUP(Table1[RespondentID],'All Data'!$A$3:$CW$999,94,FALSE),"unknown")</f>
        <v>$75,000 to $125,000</v>
      </c>
      <c r="AR96" s="120" t="str">
        <f>IFERROR(VLOOKUP(Table1[RespondentID],'All Data'!$A$3:$CW$999,95,FALSE),"unknown")</f>
        <v>Technical school</v>
      </c>
      <c r="AS96" s="120" t="str">
        <f>IFERROR(VLOOKUP(Table1[RespondentID],'All Data'!$A$3:$CW$999,96,FALSE),"unknown")</f>
        <v>Employed for wages</v>
      </c>
      <c r="AT96" s="120" t="str">
        <f>IFERROR(VLOOKUP(Table1[RespondentID],'All Data'!$A$3:$CW$999,97,FALSE),"unknown")</f>
        <v>Yes</v>
      </c>
      <c r="AU96" s="120">
        <f>IFERROR(VLOOKUP(Table1[RespondentID],'All Data'!$A$3:$CW$999,98,FALSE),"unknown")</f>
        <v>0</v>
      </c>
      <c r="AV96" s="120">
        <f>IFERROR(VLOOKUP(Table1[RespondentID],'All Data'!$A$3:$CW$999,99,FALSE),"unknown")</f>
        <v>0</v>
      </c>
    </row>
    <row r="97" spans="1:48">
      <c r="A97" s="5">
        <v>18023286963</v>
      </c>
      <c r="B97" s="5" t="s">
        <v>38</v>
      </c>
      <c r="C97" s="5" t="s">
        <v>39</v>
      </c>
      <c r="D97" s="5"/>
      <c r="E97" s="5"/>
      <c r="F97" s="5"/>
      <c r="G97" s="5"/>
      <c r="H97" s="5"/>
      <c r="I97" s="5"/>
      <c r="J97" s="5"/>
      <c r="K97" s="5" t="s">
        <v>46</v>
      </c>
      <c r="L97" s="5"/>
      <c r="M97" s="5"/>
      <c r="N97" s="5"/>
      <c r="O97" s="5">
        <f t="shared" si="17"/>
        <v>3</v>
      </c>
      <c r="P97" s="5">
        <f t="shared" si="18"/>
        <v>1</v>
      </c>
      <c r="Q97" s="5"/>
      <c r="R97" s="5">
        <f t="shared" si="19"/>
        <v>1</v>
      </c>
      <c r="S97" s="5">
        <f t="shared" si="20"/>
        <v>1</v>
      </c>
      <c r="T97" s="5">
        <f t="shared" si="21"/>
        <v>0</v>
      </c>
      <c r="U97" s="5">
        <f t="shared" si="22"/>
        <v>0</v>
      </c>
      <c r="V97" s="5">
        <f t="shared" si="23"/>
        <v>0</v>
      </c>
      <c r="W97" s="5">
        <f t="shared" si="24"/>
        <v>0</v>
      </c>
      <c r="X97" s="5">
        <f t="shared" si="25"/>
        <v>0</v>
      </c>
      <c r="Y97" s="5">
        <f t="shared" si="26"/>
        <v>0</v>
      </c>
      <c r="Z97" s="5">
        <f t="shared" si="27"/>
        <v>0</v>
      </c>
      <c r="AA97" s="5">
        <f t="shared" si="28"/>
        <v>1</v>
      </c>
      <c r="AB97" s="5">
        <f t="shared" si="29"/>
        <v>0</v>
      </c>
      <c r="AC97" s="5">
        <f t="shared" si="30"/>
        <v>0</v>
      </c>
      <c r="AD97" s="5"/>
      <c r="AE97" s="5"/>
      <c r="AF97" s="5">
        <f t="shared" si="31"/>
        <v>3</v>
      </c>
      <c r="AG97" s="5">
        <f t="shared" si="32"/>
        <v>3</v>
      </c>
      <c r="AH97" s="5" t="str">
        <f t="shared" si="33"/>
        <v>Correct</v>
      </c>
      <c r="AI97" s="5"/>
      <c r="AJ97" s="120" t="str">
        <f>IFERROR(VLOOKUP(Table1[RespondentID],'All Data'!$A$3:$CO$999,87,FALSE),"unknown")</f>
        <v>Man</v>
      </c>
      <c r="AK97" s="120">
        <f>IFERROR(VLOOKUP(Table1[RespondentID],'All Data'!$A$3:$CO$999,88,FALSE),"unknown")</f>
        <v>50</v>
      </c>
      <c r="AL97" s="120" t="str">
        <f>IFERROR(VLOOKUP(Table1[RespondentID],'All Data'!$A$3:$CO$999,89,FALSE),"unknown")</f>
        <v>Suffolk</v>
      </c>
      <c r="AM97" s="120" t="str">
        <f>IFERROR(VLOOKUP(Table1[RespondentID],'All Data'!$A$3:$CO$999,90,FALSE),"unknown")</f>
        <v>Smithtown, 11787</v>
      </c>
      <c r="AN97" s="120" t="str">
        <f>IFERROR(VLOOKUP(Table1[RespondentID],'All Data'!$A$3:$CO$999,91,FALSE),"unknown")</f>
        <v>White</v>
      </c>
      <c r="AO97" s="120" t="str">
        <f>IFERROR(VLOOKUP(Table1[RespondentID],'All Data'!$A$3:$CO$999,92,FALSE),"unknown")</f>
        <v>Hispanic or Latino</v>
      </c>
      <c r="AP97" s="120" t="str">
        <f>IFERROR(VLOOKUP(Table1[RespondentID],'All Data'!$A$3:$CO$999,93,FALSE),"unknown")</f>
        <v>English</v>
      </c>
      <c r="AQ97" s="120" t="str">
        <f>IFERROR(VLOOKUP(Table1[RespondentID],'All Data'!$A$3:$CW$999,94,FALSE),"unknown")</f>
        <v>Over $125,000</v>
      </c>
      <c r="AR97" s="120" t="str">
        <f>IFERROR(VLOOKUP(Table1[RespondentID],'All Data'!$A$3:$CW$999,95,FALSE),"unknown")</f>
        <v>Some college</v>
      </c>
      <c r="AS97" s="120" t="str">
        <f>IFERROR(VLOOKUP(Table1[RespondentID],'All Data'!$A$3:$CW$999,96,FALSE),"unknown")</f>
        <v>Employed for wages</v>
      </c>
      <c r="AT97" s="120" t="str">
        <f>IFERROR(VLOOKUP(Table1[RespondentID],'All Data'!$A$3:$CW$999,97,FALSE),"unknown")</f>
        <v>Yes</v>
      </c>
      <c r="AU97" s="120">
        <f>IFERROR(VLOOKUP(Table1[RespondentID],'All Data'!$A$3:$CW$999,98,FALSE),"unknown")</f>
        <v>0</v>
      </c>
      <c r="AV97" s="120">
        <f>IFERROR(VLOOKUP(Table1[RespondentID],'All Data'!$A$3:$CW$999,99,FALSE),"unknown")</f>
        <v>0</v>
      </c>
    </row>
    <row r="98" spans="1:48">
      <c r="A98" s="5">
        <v>18023286873</v>
      </c>
      <c r="B98" s="5"/>
      <c r="C98" s="5"/>
      <c r="D98" s="5" t="s">
        <v>40</v>
      </c>
      <c r="E98" s="5"/>
      <c r="F98" s="5"/>
      <c r="G98" s="5"/>
      <c r="H98" s="5"/>
      <c r="I98" s="5"/>
      <c r="J98" s="5"/>
      <c r="K98" s="5"/>
      <c r="L98" s="5"/>
      <c r="M98" s="5"/>
      <c r="N98" s="5"/>
      <c r="O98" s="5">
        <f t="shared" si="17"/>
        <v>1</v>
      </c>
      <c r="P98" s="5">
        <f t="shared" si="18"/>
        <v>3</v>
      </c>
      <c r="Q98" s="5"/>
      <c r="R98" s="5">
        <f t="shared" si="19"/>
        <v>0</v>
      </c>
      <c r="S98" s="5">
        <f t="shared" si="20"/>
        <v>0</v>
      </c>
      <c r="T98" s="5">
        <f t="shared" si="21"/>
        <v>1</v>
      </c>
      <c r="U98" s="5">
        <f t="shared" si="22"/>
        <v>0</v>
      </c>
      <c r="V98" s="5">
        <f t="shared" si="23"/>
        <v>0</v>
      </c>
      <c r="W98" s="5">
        <f t="shared" si="24"/>
        <v>0</v>
      </c>
      <c r="X98" s="5">
        <f t="shared" si="25"/>
        <v>0</v>
      </c>
      <c r="Y98" s="5">
        <f t="shared" si="26"/>
        <v>0</v>
      </c>
      <c r="Z98" s="5">
        <f t="shared" si="27"/>
        <v>0</v>
      </c>
      <c r="AA98" s="5">
        <f t="shared" si="28"/>
        <v>0</v>
      </c>
      <c r="AB98" s="5">
        <f t="shared" si="29"/>
        <v>0</v>
      </c>
      <c r="AC98" s="5">
        <f t="shared" si="30"/>
        <v>0</v>
      </c>
      <c r="AD98" s="5"/>
      <c r="AE98" s="5"/>
      <c r="AF98" s="5">
        <f t="shared" si="31"/>
        <v>1</v>
      </c>
      <c r="AG98" s="5">
        <f t="shared" si="32"/>
        <v>1</v>
      </c>
      <c r="AH98" s="5" t="str">
        <f t="shared" si="33"/>
        <v>Correct</v>
      </c>
      <c r="AI98" s="5"/>
      <c r="AJ98" s="120" t="str">
        <f>IFERROR(VLOOKUP(Table1[RespondentID],'All Data'!$A$3:$CO$999,87,FALSE),"unknown")</f>
        <v>Man</v>
      </c>
      <c r="AK98" s="120">
        <f>IFERROR(VLOOKUP(Table1[RespondentID],'All Data'!$A$3:$CO$999,88,FALSE),"unknown")</f>
        <v>34</v>
      </c>
      <c r="AL98" s="120" t="str">
        <f>IFERROR(VLOOKUP(Table1[RespondentID],'All Data'!$A$3:$CO$999,89,FALSE),"unknown")</f>
        <v>Suffolk</v>
      </c>
      <c r="AM98" s="120" t="str">
        <f>IFERROR(VLOOKUP(Table1[RespondentID],'All Data'!$A$3:$CO$999,90,FALSE),"unknown")</f>
        <v>Rocky Point, 11778</v>
      </c>
      <c r="AN98" s="120" t="str">
        <f>IFERROR(VLOOKUP(Table1[RespondentID],'All Data'!$A$3:$CO$999,91,FALSE),"unknown")</f>
        <v>White</v>
      </c>
      <c r="AO98" s="120" t="str">
        <f>IFERROR(VLOOKUP(Table1[RespondentID],'All Data'!$A$3:$CO$999,92,FALSE),"unknown")</f>
        <v>Hispanic or Latino</v>
      </c>
      <c r="AP98" s="120" t="str">
        <f>IFERROR(VLOOKUP(Table1[RespondentID],'All Data'!$A$3:$CO$999,93,FALSE),"unknown")</f>
        <v>English</v>
      </c>
      <c r="AQ98" s="120" t="str">
        <f>IFERROR(VLOOKUP(Table1[RespondentID],'All Data'!$A$3:$CW$999,94,FALSE),"unknown")</f>
        <v>$50,000 to $74,999</v>
      </c>
      <c r="AR98" s="120" t="str">
        <f>IFERROR(VLOOKUP(Table1[RespondentID],'All Data'!$A$3:$CW$999,95,FALSE),"unknown")</f>
        <v>College graduate</v>
      </c>
      <c r="AS98" s="120" t="str">
        <f>IFERROR(VLOOKUP(Table1[RespondentID],'All Data'!$A$3:$CW$999,96,FALSE),"unknown")</f>
        <v>Employed for wages</v>
      </c>
      <c r="AT98" s="120" t="str">
        <f>IFERROR(VLOOKUP(Table1[RespondentID],'All Data'!$A$3:$CW$999,97,FALSE),"unknown")</f>
        <v>Yes</v>
      </c>
      <c r="AU98" s="120">
        <f>IFERROR(VLOOKUP(Table1[RespondentID],'All Data'!$A$3:$CW$999,98,FALSE),"unknown")</f>
        <v>0</v>
      </c>
      <c r="AV98" s="120">
        <f>IFERROR(VLOOKUP(Table1[RespondentID],'All Data'!$A$3:$CW$999,99,FALSE),"unknown")</f>
        <v>0</v>
      </c>
    </row>
    <row r="99" spans="1:48">
      <c r="A99" s="5">
        <v>18023000376</v>
      </c>
      <c r="B99" s="5"/>
      <c r="C99" s="5" t="s">
        <v>39</v>
      </c>
      <c r="D99" s="5"/>
      <c r="E99" s="5"/>
      <c r="F99" s="5" t="s">
        <v>42</v>
      </c>
      <c r="G99" s="5"/>
      <c r="H99" s="5" t="s">
        <v>43</v>
      </c>
      <c r="I99" s="5"/>
      <c r="J99" s="5"/>
      <c r="K99" s="5"/>
      <c r="L99" s="5"/>
      <c r="M99" s="5"/>
      <c r="N99" s="5"/>
      <c r="O99" s="5">
        <f t="shared" si="17"/>
        <v>3</v>
      </c>
      <c r="P99" s="5">
        <f t="shared" si="18"/>
        <v>1</v>
      </c>
      <c r="Q99" s="5"/>
      <c r="R99" s="5">
        <f t="shared" si="19"/>
        <v>0</v>
      </c>
      <c r="S99" s="5">
        <f t="shared" si="20"/>
        <v>1</v>
      </c>
      <c r="T99" s="5">
        <f t="shared" si="21"/>
        <v>0</v>
      </c>
      <c r="U99" s="5">
        <f t="shared" si="22"/>
        <v>0</v>
      </c>
      <c r="V99" s="5">
        <f t="shared" si="23"/>
        <v>1</v>
      </c>
      <c r="W99" s="5">
        <f t="shared" si="24"/>
        <v>0</v>
      </c>
      <c r="X99" s="5">
        <f t="shared" si="25"/>
        <v>1</v>
      </c>
      <c r="Y99" s="5">
        <f t="shared" si="26"/>
        <v>0</v>
      </c>
      <c r="Z99" s="5">
        <f t="shared" si="27"/>
        <v>0</v>
      </c>
      <c r="AA99" s="5">
        <f t="shared" si="28"/>
        <v>0</v>
      </c>
      <c r="AB99" s="5">
        <f t="shared" si="29"/>
        <v>0</v>
      </c>
      <c r="AC99" s="5">
        <f t="shared" si="30"/>
        <v>0</v>
      </c>
      <c r="AD99" s="5"/>
      <c r="AE99" s="5"/>
      <c r="AF99" s="5">
        <f t="shared" si="31"/>
        <v>3</v>
      </c>
      <c r="AG99" s="5">
        <f t="shared" si="32"/>
        <v>3</v>
      </c>
      <c r="AH99" s="5" t="str">
        <f t="shared" si="33"/>
        <v>Correct</v>
      </c>
      <c r="AI99" s="5"/>
      <c r="AJ99" s="120" t="str">
        <f>IFERROR(VLOOKUP(Table1[RespondentID],'All Data'!$A$3:$CO$999,87,FALSE),"unknown")</f>
        <v>Man</v>
      </c>
      <c r="AK99" s="120">
        <f>IFERROR(VLOOKUP(Table1[RespondentID],'All Data'!$A$3:$CO$999,88,FALSE),"unknown")</f>
        <v>30</v>
      </c>
      <c r="AL99" s="120" t="str">
        <f>IFERROR(VLOOKUP(Table1[RespondentID],'All Data'!$A$3:$CO$999,89,FALSE),"unknown")</f>
        <v>Suffolk</v>
      </c>
      <c r="AM99" s="120" t="str">
        <f>IFERROR(VLOOKUP(Table1[RespondentID],'All Data'!$A$3:$CO$999,90,FALSE),"unknown")</f>
        <v>Miller Place, 11764</v>
      </c>
      <c r="AN99" s="120" t="str">
        <f>IFERROR(VLOOKUP(Table1[RespondentID],'All Data'!$A$3:$CO$999,91,FALSE),"unknown")</f>
        <v>White</v>
      </c>
      <c r="AO99" s="120" t="str">
        <f>IFERROR(VLOOKUP(Table1[RespondentID],'All Data'!$A$3:$CO$999,92,FALSE),"unknown")</f>
        <v>Hispanic or Latino</v>
      </c>
      <c r="AP99" s="120" t="str">
        <f>IFERROR(VLOOKUP(Table1[RespondentID],'All Data'!$A$3:$CO$999,93,FALSE),"unknown")</f>
        <v>English</v>
      </c>
      <c r="AQ99" s="120" t="str">
        <f>IFERROR(VLOOKUP(Table1[RespondentID],'All Data'!$A$3:$CW$999,94,FALSE),"unknown")</f>
        <v>$75,000 to $125,000</v>
      </c>
      <c r="AR99" s="120" t="str">
        <f>IFERROR(VLOOKUP(Table1[RespondentID],'All Data'!$A$3:$CW$999,95,FALSE),"unknown")</f>
        <v>College graduate</v>
      </c>
      <c r="AS99" s="120" t="str">
        <f>IFERROR(VLOOKUP(Table1[RespondentID],'All Data'!$A$3:$CW$999,96,FALSE),"unknown")</f>
        <v>Employed for wages</v>
      </c>
      <c r="AT99" s="120" t="str">
        <f>IFERROR(VLOOKUP(Table1[RespondentID],'All Data'!$A$3:$CW$999,97,FALSE),"unknown")</f>
        <v>Yes</v>
      </c>
      <c r="AU99" s="120" t="str">
        <f>IFERROR(VLOOKUP(Table1[RespondentID],'All Data'!$A$3:$CW$999,98,FALSE),"unknown")</f>
        <v>Private/Commercial</v>
      </c>
      <c r="AV99" s="120" t="str">
        <f>IFERROR(VLOOKUP(Table1[RespondentID],'All Data'!$A$3:$CW$999,99,FALSE),"unknown")</f>
        <v>Yes</v>
      </c>
    </row>
    <row r="100" spans="1:48">
      <c r="A100" s="5">
        <v>18022999885</v>
      </c>
      <c r="B100" s="5"/>
      <c r="C100" s="5" t="s">
        <v>39</v>
      </c>
      <c r="D100" s="5"/>
      <c r="E100" s="5"/>
      <c r="F100" s="5"/>
      <c r="G100" s="5"/>
      <c r="H100" s="5" t="s">
        <v>43</v>
      </c>
      <c r="I100" s="5"/>
      <c r="J100" s="5"/>
      <c r="K100" s="5"/>
      <c r="L100" s="5"/>
      <c r="M100" s="5"/>
      <c r="N100" s="5"/>
      <c r="O100" s="5">
        <f t="shared" si="17"/>
        <v>2</v>
      </c>
      <c r="P100" s="5">
        <f t="shared" si="18"/>
        <v>1.5</v>
      </c>
      <c r="Q100" s="5"/>
      <c r="R100" s="5">
        <f t="shared" si="19"/>
        <v>0</v>
      </c>
      <c r="S100" s="5">
        <f t="shared" si="20"/>
        <v>1</v>
      </c>
      <c r="T100" s="5">
        <f t="shared" si="21"/>
        <v>0</v>
      </c>
      <c r="U100" s="5">
        <f t="shared" si="22"/>
        <v>0</v>
      </c>
      <c r="V100" s="5">
        <f t="shared" si="23"/>
        <v>0</v>
      </c>
      <c r="W100" s="5">
        <f t="shared" si="24"/>
        <v>0</v>
      </c>
      <c r="X100" s="5">
        <f t="shared" si="25"/>
        <v>1</v>
      </c>
      <c r="Y100" s="5">
        <f t="shared" si="26"/>
        <v>0</v>
      </c>
      <c r="Z100" s="5">
        <f t="shared" si="27"/>
        <v>0</v>
      </c>
      <c r="AA100" s="5">
        <f t="shared" si="28"/>
        <v>0</v>
      </c>
      <c r="AB100" s="5">
        <f t="shared" si="29"/>
        <v>0</v>
      </c>
      <c r="AC100" s="5">
        <f t="shared" si="30"/>
        <v>0</v>
      </c>
      <c r="AD100" s="5"/>
      <c r="AE100" s="5"/>
      <c r="AF100" s="5">
        <f t="shared" si="31"/>
        <v>2</v>
      </c>
      <c r="AG100" s="5">
        <f t="shared" si="32"/>
        <v>2</v>
      </c>
      <c r="AH100" s="5" t="str">
        <f t="shared" si="33"/>
        <v>Correct</v>
      </c>
      <c r="AI100" s="5"/>
      <c r="AJ100" s="120" t="str">
        <f>IFERROR(VLOOKUP(Table1[RespondentID],'All Data'!$A$3:$CO$999,87,FALSE),"unknown")</f>
        <v>Man</v>
      </c>
      <c r="AK100" s="120">
        <f>IFERROR(VLOOKUP(Table1[RespondentID],'All Data'!$A$3:$CO$999,88,FALSE),"unknown")</f>
        <v>24</v>
      </c>
      <c r="AL100" s="120" t="str">
        <f>IFERROR(VLOOKUP(Table1[RespondentID],'All Data'!$A$3:$CO$999,89,FALSE),"unknown")</f>
        <v>Suffolk</v>
      </c>
      <c r="AM100" s="120" t="str">
        <f>IFERROR(VLOOKUP(Table1[RespondentID],'All Data'!$A$3:$CO$999,90,FALSE),"unknown")</f>
        <v>Coram, 11727</v>
      </c>
      <c r="AN100" s="120" t="str">
        <f>IFERROR(VLOOKUP(Table1[RespondentID],'All Data'!$A$3:$CO$999,91,FALSE),"unknown")</f>
        <v>White</v>
      </c>
      <c r="AO100" s="120" t="str">
        <f>IFERROR(VLOOKUP(Table1[RespondentID],'All Data'!$A$3:$CO$999,92,FALSE),"unknown")</f>
        <v>Hispanic or Latino</v>
      </c>
      <c r="AP100" s="120" t="str">
        <f>IFERROR(VLOOKUP(Table1[RespondentID],'All Data'!$A$3:$CO$999,93,FALSE),"unknown")</f>
        <v>English</v>
      </c>
      <c r="AQ100" s="120" t="str">
        <f>IFERROR(VLOOKUP(Table1[RespondentID],'All Data'!$A$3:$CW$999,94,FALSE),"unknown")</f>
        <v>$75,000 to $125,000</v>
      </c>
      <c r="AR100" s="120" t="str">
        <f>IFERROR(VLOOKUP(Table1[RespondentID],'All Data'!$A$3:$CW$999,95,FALSE),"unknown")</f>
        <v>College graduate</v>
      </c>
      <c r="AS100" s="120" t="str">
        <f>IFERROR(VLOOKUP(Table1[RespondentID],'All Data'!$A$3:$CW$999,96,FALSE),"unknown")</f>
        <v>Employed for wages</v>
      </c>
      <c r="AT100" s="120" t="str">
        <f>IFERROR(VLOOKUP(Table1[RespondentID],'All Data'!$A$3:$CW$999,97,FALSE),"unknown")</f>
        <v>Yes</v>
      </c>
      <c r="AU100" s="120" t="str">
        <f>IFERROR(VLOOKUP(Table1[RespondentID],'All Data'!$A$3:$CW$999,98,FALSE),"unknown")</f>
        <v>Private/Commercial</v>
      </c>
      <c r="AV100" s="120" t="str">
        <f>IFERROR(VLOOKUP(Table1[RespondentID],'All Data'!$A$3:$CW$999,99,FALSE),"unknown")</f>
        <v>Yes</v>
      </c>
    </row>
    <row r="101" spans="1:48">
      <c r="A101" s="5">
        <v>18022879421</v>
      </c>
      <c r="B101" s="5" t="s">
        <v>38</v>
      </c>
      <c r="C101" s="5" t="s">
        <v>39</v>
      </c>
      <c r="D101" s="5"/>
      <c r="E101" s="5" t="s">
        <v>41</v>
      </c>
      <c r="F101" s="5"/>
      <c r="G101" s="5"/>
      <c r="H101" s="5"/>
      <c r="I101" s="5"/>
      <c r="J101" s="5"/>
      <c r="K101" s="5"/>
      <c r="L101" s="5"/>
      <c r="M101" s="5"/>
      <c r="N101" s="5"/>
      <c r="O101" s="5">
        <f t="shared" si="17"/>
        <v>3</v>
      </c>
      <c r="P101" s="5">
        <f t="shared" si="18"/>
        <v>1</v>
      </c>
      <c r="Q101" s="5"/>
      <c r="R101" s="5">
        <f t="shared" si="19"/>
        <v>1</v>
      </c>
      <c r="S101" s="5">
        <f t="shared" si="20"/>
        <v>1</v>
      </c>
      <c r="T101" s="5">
        <f t="shared" si="21"/>
        <v>0</v>
      </c>
      <c r="U101" s="5">
        <f t="shared" si="22"/>
        <v>1</v>
      </c>
      <c r="V101" s="5">
        <f t="shared" si="23"/>
        <v>0</v>
      </c>
      <c r="W101" s="5">
        <f t="shared" si="24"/>
        <v>0</v>
      </c>
      <c r="X101" s="5">
        <f t="shared" si="25"/>
        <v>0</v>
      </c>
      <c r="Y101" s="5">
        <f t="shared" si="26"/>
        <v>0</v>
      </c>
      <c r="Z101" s="5">
        <f t="shared" si="27"/>
        <v>0</v>
      </c>
      <c r="AA101" s="5">
        <f t="shared" si="28"/>
        <v>0</v>
      </c>
      <c r="AB101" s="5">
        <f t="shared" si="29"/>
        <v>0</v>
      </c>
      <c r="AC101" s="5">
        <f t="shared" si="30"/>
        <v>0</v>
      </c>
      <c r="AD101" s="5"/>
      <c r="AE101" s="5"/>
      <c r="AF101" s="5">
        <f t="shared" si="31"/>
        <v>3</v>
      </c>
      <c r="AG101" s="5">
        <f t="shared" si="32"/>
        <v>3</v>
      </c>
      <c r="AH101" s="5" t="str">
        <f t="shared" si="33"/>
        <v>Correct</v>
      </c>
      <c r="AI101" s="5"/>
      <c r="AJ101" s="120" t="str">
        <f>IFERROR(VLOOKUP(Table1[RespondentID],'All Data'!$A$3:$CO$999,87,FALSE),"unknown")</f>
        <v>Man</v>
      </c>
      <c r="AK101" s="120">
        <f>IFERROR(VLOOKUP(Table1[RespondentID],'All Data'!$A$3:$CO$999,88,FALSE),"unknown")</f>
        <v>52</v>
      </c>
      <c r="AL101" s="120" t="str">
        <f>IFERROR(VLOOKUP(Table1[RespondentID],'All Data'!$A$3:$CO$999,89,FALSE),"unknown")</f>
        <v>Suffolk</v>
      </c>
      <c r="AM101" s="120" t="str">
        <f>IFERROR(VLOOKUP(Table1[RespondentID],'All Data'!$A$3:$CO$999,90,FALSE),"unknown")</f>
        <v>Smithtown, 11787</v>
      </c>
      <c r="AN101" s="120" t="str">
        <f>IFERROR(VLOOKUP(Table1[RespondentID],'All Data'!$A$3:$CO$999,91,FALSE),"unknown")</f>
        <v>White</v>
      </c>
      <c r="AO101" s="120" t="str">
        <f>IFERROR(VLOOKUP(Table1[RespondentID],'All Data'!$A$3:$CO$999,92,FALSE),"unknown")</f>
        <v>Hispanic or Latino</v>
      </c>
      <c r="AP101" s="120" t="str">
        <f>IFERROR(VLOOKUP(Table1[RespondentID],'All Data'!$A$3:$CO$999,93,FALSE),"unknown")</f>
        <v>English</v>
      </c>
      <c r="AQ101" s="120" t="str">
        <f>IFERROR(VLOOKUP(Table1[RespondentID],'All Data'!$A$3:$CW$999,94,FALSE),"unknown")</f>
        <v>Over $125,000</v>
      </c>
      <c r="AR101" s="120" t="str">
        <f>IFERROR(VLOOKUP(Table1[RespondentID],'All Data'!$A$3:$CW$999,95,FALSE),"unknown")</f>
        <v>College graduate</v>
      </c>
      <c r="AS101" s="120" t="str">
        <f>IFERROR(VLOOKUP(Table1[RespondentID],'All Data'!$A$3:$CW$999,96,FALSE),"unknown")</f>
        <v>Employed for wages</v>
      </c>
      <c r="AT101" s="120" t="str">
        <f>IFERROR(VLOOKUP(Table1[RespondentID],'All Data'!$A$3:$CW$999,97,FALSE),"unknown")</f>
        <v>Yes</v>
      </c>
      <c r="AU101" s="120">
        <f>IFERROR(VLOOKUP(Table1[RespondentID],'All Data'!$A$3:$CW$999,98,FALSE),"unknown")</f>
        <v>0</v>
      </c>
      <c r="AV101" s="120">
        <f>IFERROR(VLOOKUP(Table1[RespondentID],'All Data'!$A$3:$CW$999,99,FALSE),"unknown")</f>
        <v>0</v>
      </c>
    </row>
    <row r="102" spans="1:48">
      <c r="A102" s="5">
        <v>18022879253</v>
      </c>
      <c r="B102" s="5"/>
      <c r="C102" s="5"/>
      <c r="D102" s="5" t="s">
        <v>40</v>
      </c>
      <c r="E102" s="5"/>
      <c r="F102" s="5"/>
      <c r="G102" s="5"/>
      <c r="H102" s="5" t="s">
        <v>43</v>
      </c>
      <c r="I102" s="5" t="s">
        <v>44</v>
      </c>
      <c r="J102" s="5"/>
      <c r="K102" s="5"/>
      <c r="L102" s="5"/>
      <c r="M102" s="5"/>
      <c r="N102" s="5"/>
      <c r="O102" s="5">
        <f t="shared" si="17"/>
        <v>3</v>
      </c>
      <c r="P102" s="5">
        <f t="shared" si="18"/>
        <v>1</v>
      </c>
      <c r="Q102" s="5"/>
      <c r="R102" s="5">
        <f t="shared" si="19"/>
        <v>0</v>
      </c>
      <c r="S102" s="5">
        <f t="shared" si="20"/>
        <v>0</v>
      </c>
      <c r="T102" s="5">
        <f t="shared" si="21"/>
        <v>1</v>
      </c>
      <c r="U102" s="5">
        <f t="shared" si="22"/>
        <v>0</v>
      </c>
      <c r="V102" s="5">
        <f t="shared" si="23"/>
        <v>0</v>
      </c>
      <c r="W102" s="5">
        <f t="shared" si="24"/>
        <v>0</v>
      </c>
      <c r="X102" s="5">
        <f t="shared" si="25"/>
        <v>1</v>
      </c>
      <c r="Y102" s="5">
        <f t="shared" si="26"/>
        <v>1</v>
      </c>
      <c r="Z102" s="5">
        <f t="shared" si="27"/>
        <v>0</v>
      </c>
      <c r="AA102" s="5">
        <f t="shared" si="28"/>
        <v>0</v>
      </c>
      <c r="AB102" s="5">
        <f t="shared" si="29"/>
        <v>0</v>
      </c>
      <c r="AC102" s="5">
        <f t="shared" si="30"/>
        <v>0</v>
      </c>
      <c r="AD102" s="5"/>
      <c r="AE102" s="5"/>
      <c r="AF102" s="5">
        <f t="shared" si="31"/>
        <v>3</v>
      </c>
      <c r="AG102" s="5">
        <f t="shared" si="32"/>
        <v>3</v>
      </c>
      <c r="AH102" s="5" t="str">
        <f t="shared" si="33"/>
        <v>Correct</v>
      </c>
      <c r="AI102" s="5"/>
      <c r="AJ102" s="120" t="str">
        <f>IFERROR(VLOOKUP(Table1[RespondentID],'All Data'!$A$3:$CO$999,87,FALSE),"unknown")</f>
        <v>Woman</v>
      </c>
      <c r="AK102" s="120">
        <f>IFERROR(VLOOKUP(Table1[RespondentID],'All Data'!$A$3:$CO$999,88,FALSE),"unknown")</f>
        <v>60</v>
      </c>
      <c r="AL102" s="120" t="str">
        <f>IFERROR(VLOOKUP(Table1[RespondentID],'All Data'!$A$3:$CO$999,89,FALSE),"unknown")</f>
        <v>Suffolk</v>
      </c>
      <c r="AM102" s="120" t="str">
        <f>IFERROR(VLOOKUP(Table1[RespondentID],'All Data'!$A$3:$CO$999,90,FALSE),"unknown")</f>
        <v>Lake Ronkonkoma, 11779</v>
      </c>
      <c r="AN102" s="120" t="str">
        <f>IFERROR(VLOOKUP(Table1[RespondentID],'All Data'!$A$3:$CO$999,91,FALSE),"unknown")</f>
        <v>White</v>
      </c>
      <c r="AO102" s="120" t="str">
        <f>IFERROR(VLOOKUP(Table1[RespondentID],'All Data'!$A$3:$CO$999,92,FALSE),"unknown")</f>
        <v>Hispanic or Latino</v>
      </c>
      <c r="AP102" s="120" t="str">
        <f>IFERROR(VLOOKUP(Table1[RespondentID],'All Data'!$A$3:$CO$999,93,FALSE),"unknown")</f>
        <v>English, Italian</v>
      </c>
      <c r="AQ102" s="120" t="str">
        <f>IFERROR(VLOOKUP(Table1[RespondentID],'All Data'!$A$3:$CW$999,94,FALSE),"unknown")</f>
        <v>$50,000 to $74,999</v>
      </c>
      <c r="AR102" s="120" t="str">
        <f>IFERROR(VLOOKUP(Table1[RespondentID],'All Data'!$A$3:$CW$999,95,FALSE),"unknown")</f>
        <v>Some college</v>
      </c>
      <c r="AS102" s="120" t="str">
        <f>IFERROR(VLOOKUP(Table1[RespondentID],'All Data'!$A$3:$CW$999,96,FALSE),"unknown")</f>
        <v>Employed for wages</v>
      </c>
      <c r="AT102" s="120" t="str">
        <f>IFERROR(VLOOKUP(Table1[RespondentID],'All Data'!$A$3:$CW$999,97,FALSE),"unknown")</f>
        <v>No</v>
      </c>
      <c r="AU102" s="120">
        <f>IFERROR(VLOOKUP(Table1[RespondentID],'All Data'!$A$3:$CW$999,98,FALSE),"unknown")</f>
        <v>0</v>
      </c>
      <c r="AV102" s="120">
        <f>IFERROR(VLOOKUP(Table1[RespondentID],'All Data'!$A$3:$CW$999,99,FALSE),"unknown")</f>
        <v>0</v>
      </c>
    </row>
    <row r="103" spans="1:48">
      <c r="A103" s="5">
        <v>18022879053</v>
      </c>
      <c r="B103" s="5" t="s">
        <v>38</v>
      </c>
      <c r="C103" s="5"/>
      <c r="D103" s="5"/>
      <c r="E103" s="5"/>
      <c r="F103" s="5"/>
      <c r="G103" s="5"/>
      <c r="H103" s="5"/>
      <c r="I103" s="5" t="s">
        <v>44</v>
      </c>
      <c r="J103" s="5"/>
      <c r="K103" s="5"/>
      <c r="L103" s="5"/>
      <c r="M103" s="5" t="s">
        <v>48</v>
      </c>
      <c r="N103" s="5"/>
      <c r="O103" s="5">
        <f t="shared" si="17"/>
        <v>3</v>
      </c>
      <c r="P103" s="5">
        <f t="shared" si="18"/>
        <v>1</v>
      </c>
      <c r="Q103" s="5"/>
      <c r="R103" s="5">
        <f t="shared" si="19"/>
        <v>1</v>
      </c>
      <c r="S103" s="5">
        <f t="shared" si="20"/>
        <v>0</v>
      </c>
      <c r="T103" s="5">
        <f t="shared" si="21"/>
        <v>0</v>
      </c>
      <c r="U103" s="5">
        <f t="shared" si="22"/>
        <v>0</v>
      </c>
      <c r="V103" s="5">
        <f t="shared" si="23"/>
        <v>0</v>
      </c>
      <c r="W103" s="5">
        <f t="shared" si="24"/>
        <v>0</v>
      </c>
      <c r="X103" s="5">
        <f t="shared" si="25"/>
        <v>0</v>
      </c>
      <c r="Y103" s="5">
        <f t="shared" si="26"/>
        <v>1</v>
      </c>
      <c r="Z103" s="5">
        <f t="shared" si="27"/>
        <v>0</v>
      </c>
      <c r="AA103" s="5">
        <f t="shared" si="28"/>
        <v>0</v>
      </c>
      <c r="AB103" s="5">
        <f t="shared" si="29"/>
        <v>0</v>
      </c>
      <c r="AC103" s="5">
        <f t="shared" si="30"/>
        <v>1</v>
      </c>
      <c r="AD103" s="5"/>
      <c r="AE103" s="5"/>
      <c r="AF103" s="5">
        <f t="shared" si="31"/>
        <v>3</v>
      </c>
      <c r="AG103" s="5">
        <f t="shared" si="32"/>
        <v>3</v>
      </c>
      <c r="AH103" s="5" t="str">
        <f t="shared" si="33"/>
        <v>Correct</v>
      </c>
      <c r="AI103" s="5"/>
      <c r="AJ103" s="120" t="str">
        <f>IFERROR(VLOOKUP(Table1[RespondentID],'All Data'!$A$3:$CO$999,87,FALSE),"unknown")</f>
        <v>Man</v>
      </c>
      <c r="AK103" s="120">
        <f>IFERROR(VLOOKUP(Table1[RespondentID],'All Data'!$A$3:$CO$999,88,FALSE),"unknown")</f>
        <v>54</v>
      </c>
      <c r="AL103" s="120" t="str">
        <f>IFERROR(VLOOKUP(Table1[RespondentID],'All Data'!$A$3:$CO$999,89,FALSE),"unknown")</f>
        <v>Suffolk</v>
      </c>
      <c r="AM103" s="120" t="str">
        <f>IFERROR(VLOOKUP(Table1[RespondentID],'All Data'!$A$3:$CO$999,90,FALSE),"unknown")</f>
        <v>Ronkonkoma, 11779</v>
      </c>
      <c r="AN103" s="120" t="str">
        <f>IFERROR(VLOOKUP(Table1[RespondentID],'All Data'!$A$3:$CO$999,91,FALSE),"unknown")</f>
        <v>White</v>
      </c>
      <c r="AO103" s="120" t="str">
        <f>IFERROR(VLOOKUP(Table1[RespondentID],'All Data'!$A$3:$CO$999,92,FALSE),"unknown")</f>
        <v>Hispanic or Latino</v>
      </c>
      <c r="AP103" s="120" t="str">
        <f>IFERROR(VLOOKUP(Table1[RespondentID],'All Data'!$A$3:$CO$999,93,FALSE),"unknown")</f>
        <v>English</v>
      </c>
      <c r="AQ103" s="120" t="str">
        <f>IFERROR(VLOOKUP(Table1[RespondentID],'All Data'!$A$3:$CW$999,94,FALSE),"unknown")</f>
        <v>$50,000 to $74,999</v>
      </c>
      <c r="AR103" s="120" t="str">
        <f>IFERROR(VLOOKUP(Table1[RespondentID],'All Data'!$A$3:$CW$999,95,FALSE),"unknown")</f>
        <v>High school graduate</v>
      </c>
      <c r="AS103" s="120" t="str">
        <f>IFERROR(VLOOKUP(Table1[RespondentID],'All Data'!$A$3:$CW$999,96,FALSE),"unknown")</f>
        <v>Employed for wages</v>
      </c>
      <c r="AT103" s="120" t="str">
        <f>IFERROR(VLOOKUP(Table1[RespondentID],'All Data'!$A$3:$CW$999,97,FALSE),"unknown")</f>
        <v>Yes</v>
      </c>
      <c r="AU103" s="120">
        <f>IFERROR(VLOOKUP(Table1[RespondentID],'All Data'!$A$3:$CW$999,98,FALSE),"unknown")</f>
        <v>0</v>
      </c>
      <c r="AV103" s="120">
        <f>IFERROR(VLOOKUP(Table1[RespondentID],'All Data'!$A$3:$CW$999,99,FALSE),"unknown")</f>
        <v>0</v>
      </c>
    </row>
    <row r="104" spans="1:48">
      <c r="A104" s="5">
        <v>18022878819</v>
      </c>
      <c r="B104" s="5"/>
      <c r="C104" s="5"/>
      <c r="D104" s="5"/>
      <c r="E104" s="5"/>
      <c r="F104" s="5"/>
      <c r="G104" s="5"/>
      <c r="H104" s="5"/>
      <c r="I104" s="5"/>
      <c r="J104" s="5"/>
      <c r="K104" s="5" t="s">
        <v>46</v>
      </c>
      <c r="L104" s="5"/>
      <c r="M104" s="5"/>
      <c r="N104" s="5"/>
      <c r="O104" s="5">
        <f t="shared" si="17"/>
        <v>1</v>
      </c>
      <c r="P104" s="5">
        <f t="shared" si="18"/>
        <v>3</v>
      </c>
      <c r="Q104" s="5"/>
      <c r="R104" s="5">
        <f t="shared" si="19"/>
        <v>0</v>
      </c>
      <c r="S104" s="5">
        <f t="shared" si="20"/>
        <v>0</v>
      </c>
      <c r="T104" s="5">
        <f t="shared" si="21"/>
        <v>0</v>
      </c>
      <c r="U104" s="5">
        <f t="shared" si="22"/>
        <v>0</v>
      </c>
      <c r="V104" s="5">
        <f t="shared" si="23"/>
        <v>0</v>
      </c>
      <c r="W104" s="5">
        <f t="shared" si="24"/>
        <v>0</v>
      </c>
      <c r="X104" s="5">
        <f t="shared" si="25"/>
        <v>0</v>
      </c>
      <c r="Y104" s="5">
        <f t="shared" si="26"/>
        <v>0</v>
      </c>
      <c r="Z104" s="5">
        <f t="shared" si="27"/>
        <v>0</v>
      </c>
      <c r="AA104" s="5">
        <f t="shared" si="28"/>
        <v>1</v>
      </c>
      <c r="AB104" s="5">
        <f t="shared" si="29"/>
        <v>0</v>
      </c>
      <c r="AC104" s="5">
        <f t="shared" si="30"/>
        <v>0</v>
      </c>
      <c r="AD104" s="5"/>
      <c r="AE104" s="5"/>
      <c r="AF104" s="5">
        <f t="shared" si="31"/>
        <v>1</v>
      </c>
      <c r="AG104" s="5">
        <f t="shared" si="32"/>
        <v>1</v>
      </c>
      <c r="AH104" s="5" t="str">
        <f t="shared" si="33"/>
        <v>Correct</v>
      </c>
      <c r="AI104" s="5"/>
      <c r="AJ104" s="120" t="str">
        <f>IFERROR(VLOOKUP(Table1[RespondentID],'All Data'!$A$3:$CO$999,87,FALSE),"unknown")</f>
        <v>Woman</v>
      </c>
      <c r="AK104" s="120">
        <f>IFERROR(VLOOKUP(Table1[RespondentID],'All Data'!$A$3:$CO$999,88,FALSE),"unknown")</f>
        <v>25</v>
      </c>
      <c r="AL104" s="120" t="str">
        <f>IFERROR(VLOOKUP(Table1[RespondentID],'All Data'!$A$3:$CO$999,89,FALSE),"unknown")</f>
        <v>Suffolk</v>
      </c>
      <c r="AM104" s="120" t="str">
        <f>IFERROR(VLOOKUP(Table1[RespondentID],'All Data'!$A$3:$CO$999,90,FALSE),"unknown")</f>
        <v>Mastic, 11950</v>
      </c>
      <c r="AN104" s="120" t="str">
        <f>IFERROR(VLOOKUP(Table1[RespondentID],'All Data'!$A$3:$CO$999,91,FALSE),"unknown")</f>
        <v>White</v>
      </c>
      <c r="AO104" s="120" t="str">
        <f>IFERROR(VLOOKUP(Table1[RespondentID],'All Data'!$A$3:$CO$999,92,FALSE),"unknown")</f>
        <v>Hispanic or Latino</v>
      </c>
      <c r="AP104" s="120" t="str">
        <f>IFERROR(VLOOKUP(Table1[RespondentID],'All Data'!$A$3:$CO$999,93,FALSE),"unknown")</f>
        <v>English</v>
      </c>
      <c r="AQ104" s="120" t="str">
        <f>IFERROR(VLOOKUP(Table1[RespondentID],'All Data'!$A$3:$CW$999,94,FALSE),"unknown")</f>
        <v>$75,000 to $125,000</v>
      </c>
      <c r="AR104" s="120" t="str">
        <f>IFERROR(VLOOKUP(Table1[RespondentID],'All Data'!$A$3:$CW$999,95,FALSE),"unknown")</f>
        <v>College graduate</v>
      </c>
      <c r="AS104" s="120" t="str">
        <f>IFERROR(VLOOKUP(Table1[RespondentID],'All Data'!$A$3:$CW$999,96,FALSE),"unknown")</f>
        <v>Employed for wages</v>
      </c>
      <c r="AT104" s="120" t="str">
        <f>IFERROR(VLOOKUP(Table1[RespondentID],'All Data'!$A$3:$CW$999,97,FALSE),"unknown")</f>
        <v>Yes</v>
      </c>
      <c r="AU104" s="120">
        <f>IFERROR(VLOOKUP(Table1[RespondentID],'All Data'!$A$3:$CW$999,98,FALSE),"unknown")</f>
        <v>0</v>
      </c>
      <c r="AV104" s="120">
        <f>IFERROR(VLOOKUP(Table1[RespondentID],'All Data'!$A$3:$CW$999,99,FALSE),"unknown")</f>
        <v>0</v>
      </c>
    </row>
    <row r="105" spans="1:48">
      <c r="A105" s="5">
        <v>18022878706</v>
      </c>
      <c r="B105" s="5"/>
      <c r="C105" s="5"/>
      <c r="D105" s="5"/>
      <c r="E105" s="5"/>
      <c r="F105" s="5"/>
      <c r="G105" s="5"/>
      <c r="H105" s="5"/>
      <c r="I105" s="5" t="s">
        <v>44</v>
      </c>
      <c r="J105" s="5"/>
      <c r="K105" s="5"/>
      <c r="L105" s="5" t="s">
        <v>47</v>
      </c>
      <c r="M105" s="5"/>
      <c r="N105" s="5"/>
      <c r="O105" s="5">
        <f t="shared" si="17"/>
        <v>2</v>
      </c>
      <c r="P105" s="5">
        <f t="shared" si="18"/>
        <v>1.5</v>
      </c>
      <c r="Q105" s="5"/>
      <c r="R105" s="5">
        <f t="shared" si="19"/>
        <v>0</v>
      </c>
      <c r="S105" s="5">
        <f t="shared" si="20"/>
        <v>0</v>
      </c>
      <c r="T105" s="5">
        <f t="shared" si="21"/>
        <v>0</v>
      </c>
      <c r="U105" s="5">
        <f t="shared" si="22"/>
        <v>0</v>
      </c>
      <c r="V105" s="5">
        <f t="shared" si="23"/>
        <v>0</v>
      </c>
      <c r="W105" s="5">
        <f t="shared" si="24"/>
        <v>0</v>
      </c>
      <c r="X105" s="5">
        <f t="shared" si="25"/>
        <v>0</v>
      </c>
      <c r="Y105" s="5">
        <f t="shared" si="26"/>
        <v>1</v>
      </c>
      <c r="Z105" s="5">
        <f t="shared" si="27"/>
        <v>0</v>
      </c>
      <c r="AA105" s="5">
        <f t="shared" si="28"/>
        <v>0</v>
      </c>
      <c r="AB105" s="5">
        <f t="shared" si="29"/>
        <v>1</v>
      </c>
      <c r="AC105" s="5">
        <f t="shared" si="30"/>
        <v>0</v>
      </c>
      <c r="AD105" s="5"/>
      <c r="AE105" s="5"/>
      <c r="AF105" s="5">
        <f t="shared" si="31"/>
        <v>2</v>
      </c>
      <c r="AG105" s="5">
        <f t="shared" si="32"/>
        <v>2</v>
      </c>
      <c r="AH105" s="5" t="str">
        <f t="shared" si="33"/>
        <v>Correct</v>
      </c>
      <c r="AI105" s="5"/>
      <c r="AJ105" s="120" t="str">
        <f>IFERROR(VLOOKUP(Table1[RespondentID],'All Data'!$A$3:$CO$999,87,FALSE),"unknown")</f>
        <v>Man</v>
      </c>
      <c r="AK105" s="120">
        <f>IFERROR(VLOOKUP(Table1[RespondentID],'All Data'!$A$3:$CO$999,88,FALSE),"unknown")</f>
        <v>32</v>
      </c>
      <c r="AL105" s="120" t="str">
        <f>IFERROR(VLOOKUP(Table1[RespondentID],'All Data'!$A$3:$CO$999,89,FALSE),"unknown")</f>
        <v>Suffolk</v>
      </c>
      <c r="AM105" s="120" t="str">
        <f>IFERROR(VLOOKUP(Table1[RespondentID],'All Data'!$A$3:$CO$999,90,FALSE),"unknown")</f>
        <v>Smithtown, 11787</v>
      </c>
      <c r="AN105" s="120" t="str">
        <f>IFERROR(VLOOKUP(Table1[RespondentID],'All Data'!$A$3:$CO$999,91,FALSE),"unknown")</f>
        <v>White</v>
      </c>
      <c r="AO105" s="120" t="str">
        <f>IFERROR(VLOOKUP(Table1[RespondentID],'All Data'!$A$3:$CO$999,92,FALSE),"unknown")</f>
        <v>Hispanic or Latino</v>
      </c>
      <c r="AP105" s="120" t="str">
        <f>IFERROR(VLOOKUP(Table1[RespondentID],'All Data'!$A$3:$CO$999,93,FALSE),"unknown")</f>
        <v>English</v>
      </c>
      <c r="AQ105" s="120" t="str">
        <f>IFERROR(VLOOKUP(Table1[RespondentID],'All Data'!$A$3:$CW$999,94,FALSE),"unknown")</f>
        <v>Over $125,000</v>
      </c>
      <c r="AR105" s="120" t="str">
        <f>IFERROR(VLOOKUP(Table1[RespondentID],'All Data'!$A$3:$CW$999,95,FALSE),"unknown")</f>
        <v>High school graduate</v>
      </c>
      <c r="AS105" s="120" t="str">
        <f>IFERROR(VLOOKUP(Table1[RespondentID],'All Data'!$A$3:$CW$999,96,FALSE),"unknown")</f>
        <v>Employed for wages</v>
      </c>
      <c r="AT105" s="120">
        <f>IFERROR(VLOOKUP(Table1[RespondentID],'All Data'!$A$3:$CW$999,97,FALSE),"unknown")</f>
        <v>0</v>
      </c>
      <c r="AU105" s="120">
        <f>IFERROR(VLOOKUP(Table1[RespondentID],'All Data'!$A$3:$CW$999,98,FALSE),"unknown")</f>
        <v>0</v>
      </c>
      <c r="AV105" s="120">
        <f>IFERROR(VLOOKUP(Table1[RespondentID],'All Data'!$A$3:$CW$999,99,FALSE),"unknown")</f>
        <v>0</v>
      </c>
    </row>
    <row r="106" spans="1:48">
      <c r="A106" s="5">
        <v>18022878547</v>
      </c>
      <c r="B106" s="5"/>
      <c r="C106" s="5" t="s">
        <v>39</v>
      </c>
      <c r="D106" s="5"/>
      <c r="E106" s="5"/>
      <c r="F106" s="5"/>
      <c r="G106" s="5"/>
      <c r="H106" s="5"/>
      <c r="I106" s="5"/>
      <c r="J106" s="5"/>
      <c r="K106" s="5"/>
      <c r="L106" s="5"/>
      <c r="M106" s="5"/>
      <c r="N106" s="5"/>
      <c r="O106" s="5">
        <f t="shared" si="17"/>
        <v>1</v>
      </c>
      <c r="P106" s="5">
        <f t="shared" si="18"/>
        <v>3</v>
      </c>
      <c r="Q106" s="5"/>
      <c r="R106" s="5">
        <f t="shared" si="19"/>
        <v>0</v>
      </c>
      <c r="S106" s="5">
        <f t="shared" si="20"/>
        <v>1</v>
      </c>
      <c r="T106" s="5">
        <f t="shared" si="21"/>
        <v>0</v>
      </c>
      <c r="U106" s="5">
        <f t="shared" si="22"/>
        <v>0</v>
      </c>
      <c r="V106" s="5">
        <f t="shared" si="23"/>
        <v>0</v>
      </c>
      <c r="W106" s="5">
        <f t="shared" si="24"/>
        <v>0</v>
      </c>
      <c r="X106" s="5">
        <f t="shared" si="25"/>
        <v>0</v>
      </c>
      <c r="Y106" s="5">
        <f t="shared" si="26"/>
        <v>0</v>
      </c>
      <c r="Z106" s="5">
        <f t="shared" si="27"/>
        <v>0</v>
      </c>
      <c r="AA106" s="5">
        <f t="shared" si="28"/>
        <v>0</v>
      </c>
      <c r="AB106" s="5">
        <f t="shared" si="29"/>
        <v>0</v>
      </c>
      <c r="AC106" s="5">
        <f t="shared" si="30"/>
        <v>0</v>
      </c>
      <c r="AD106" s="5"/>
      <c r="AE106" s="5"/>
      <c r="AF106" s="5">
        <f t="shared" si="31"/>
        <v>1</v>
      </c>
      <c r="AG106" s="5">
        <f t="shared" si="32"/>
        <v>1</v>
      </c>
      <c r="AH106" s="5" t="str">
        <f t="shared" si="33"/>
        <v>Correct</v>
      </c>
      <c r="AI106" s="5"/>
      <c r="AJ106" s="120" t="str">
        <f>IFERROR(VLOOKUP(Table1[RespondentID],'All Data'!$A$3:$CO$999,87,FALSE),"unknown")</f>
        <v>Man</v>
      </c>
      <c r="AK106" s="120">
        <f>IFERROR(VLOOKUP(Table1[RespondentID],'All Data'!$A$3:$CO$999,88,FALSE),"unknown")</f>
        <v>50</v>
      </c>
      <c r="AL106" s="120" t="str">
        <f>IFERROR(VLOOKUP(Table1[RespondentID],'All Data'!$A$3:$CO$999,89,FALSE),"unknown")</f>
        <v>Suffolk</v>
      </c>
      <c r="AM106" s="120" t="str">
        <f>IFERROR(VLOOKUP(Table1[RespondentID],'All Data'!$A$3:$CO$999,90,FALSE),"unknown")</f>
        <v>Shirley, 11967</v>
      </c>
      <c r="AN106" s="120" t="str">
        <f>IFERROR(VLOOKUP(Table1[RespondentID],'All Data'!$A$3:$CO$999,91,FALSE),"unknown")</f>
        <v>White</v>
      </c>
      <c r="AO106" s="120" t="str">
        <f>IFERROR(VLOOKUP(Table1[RespondentID],'All Data'!$A$3:$CO$999,92,FALSE),"unknown")</f>
        <v>Hispanic or Latino</v>
      </c>
      <c r="AP106" s="120" t="str">
        <f>IFERROR(VLOOKUP(Table1[RespondentID],'All Data'!$A$3:$CO$999,93,FALSE),"unknown")</f>
        <v>English</v>
      </c>
      <c r="AQ106" s="120" t="str">
        <f>IFERROR(VLOOKUP(Table1[RespondentID],'All Data'!$A$3:$CW$999,94,FALSE),"unknown")</f>
        <v>$0-$19,999</v>
      </c>
      <c r="AR106" s="120" t="str">
        <f>IFERROR(VLOOKUP(Table1[RespondentID],'All Data'!$A$3:$CW$999,95,FALSE),"unknown")</f>
        <v>High school graduate</v>
      </c>
      <c r="AS106" s="120" t="str">
        <f>IFERROR(VLOOKUP(Table1[RespondentID],'All Data'!$A$3:$CW$999,96,FALSE),"unknown")</f>
        <v>Out of work, but not currently looking</v>
      </c>
      <c r="AT106" s="120" t="str">
        <f>IFERROR(VLOOKUP(Table1[RespondentID],'All Data'!$A$3:$CW$999,97,FALSE),"unknown")</f>
        <v>Yes</v>
      </c>
      <c r="AU106" s="120">
        <f>IFERROR(VLOOKUP(Table1[RespondentID],'All Data'!$A$3:$CW$999,98,FALSE),"unknown")</f>
        <v>0</v>
      </c>
      <c r="AV106" s="120">
        <f>IFERROR(VLOOKUP(Table1[RespondentID],'All Data'!$A$3:$CW$999,99,FALSE),"unknown")</f>
        <v>0</v>
      </c>
    </row>
    <row r="107" spans="1:48">
      <c r="A107" s="5">
        <v>18022878424</v>
      </c>
      <c r="B107" s="5"/>
      <c r="C107" s="5" t="s">
        <v>39</v>
      </c>
      <c r="D107" s="5"/>
      <c r="E107" s="5"/>
      <c r="F107" s="5"/>
      <c r="G107" s="5"/>
      <c r="H107" s="5"/>
      <c r="I107" s="5"/>
      <c r="J107" s="5"/>
      <c r="K107" s="5"/>
      <c r="L107" s="5"/>
      <c r="M107" s="5"/>
      <c r="N107" s="5"/>
      <c r="O107" s="5">
        <f t="shared" si="17"/>
        <v>1</v>
      </c>
      <c r="P107" s="5">
        <f t="shared" si="18"/>
        <v>3</v>
      </c>
      <c r="Q107" s="5"/>
      <c r="R107" s="5">
        <f t="shared" si="19"/>
        <v>0</v>
      </c>
      <c r="S107" s="5">
        <f t="shared" si="20"/>
        <v>1</v>
      </c>
      <c r="T107" s="5">
        <f t="shared" si="21"/>
        <v>0</v>
      </c>
      <c r="U107" s="5">
        <f t="shared" si="22"/>
        <v>0</v>
      </c>
      <c r="V107" s="5">
        <f t="shared" si="23"/>
        <v>0</v>
      </c>
      <c r="W107" s="5">
        <f t="shared" si="24"/>
        <v>0</v>
      </c>
      <c r="X107" s="5">
        <f t="shared" si="25"/>
        <v>0</v>
      </c>
      <c r="Y107" s="5">
        <f t="shared" si="26"/>
        <v>0</v>
      </c>
      <c r="Z107" s="5">
        <f t="shared" si="27"/>
        <v>0</v>
      </c>
      <c r="AA107" s="5">
        <f t="shared" si="28"/>
        <v>0</v>
      </c>
      <c r="AB107" s="5">
        <f t="shared" si="29"/>
        <v>0</v>
      </c>
      <c r="AC107" s="5">
        <f t="shared" si="30"/>
        <v>0</v>
      </c>
      <c r="AD107" s="5"/>
      <c r="AE107" s="5"/>
      <c r="AF107" s="5">
        <f t="shared" si="31"/>
        <v>1</v>
      </c>
      <c r="AG107" s="5">
        <f t="shared" si="32"/>
        <v>1</v>
      </c>
      <c r="AH107" s="5" t="str">
        <f t="shared" si="33"/>
        <v>Correct</v>
      </c>
      <c r="AI107" s="5"/>
      <c r="AJ107" s="120" t="str">
        <f>IFERROR(VLOOKUP(Table1[RespondentID],'All Data'!$A$3:$CO$999,87,FALSE),"unknown")</f>
        <v>Man</v>
      </c>
      <c r="AK107" s="120">
        <f>IFERROR(VLOOKUP(Table1[RespondentID],'All Data'!$A$3:$CO$999,88,FALSE),"unknown")</f>
        <v>26</v>
      </c>
      <c r="AL107" s="120" t="str">
        <f>IFERROR(VLOOKUP(Table1[RespondentID],'All Data'!$A$3:$CO$999,89,FALSE),"unknown")</f>
        <v>Suffolk</v>
      </c>
      <c r="AM107" s="120" t="str">
        <f>IFERROR(VLOOKUP(Table1[RespondentID],'All Data'!$A$3:$CO$999,90,FALSE),"unknown")</f>
        <v>Moriches, 11955</v>
      </c>
      <c r="AN107" s="120" t="str">
        <f>IFERROR(VLOOKUP(Table1[RespondentID],'All Data'!$A$3:$CO$999,91,FALSE),"unknown")</f>
        <v>White</v>
      </c>
      <c r="AO107" s="120" t="str">
        <f>IFERROR(VLOOKUP(Table1[RespondentID],'All Data'!$A$3:$CO$999,92,FALSE),"unknown")</f>
        <v>Hispanic or Latino</v>
      </c>
      <c r="AP107" s="120" t="str">
        <f>IFERROR(VLOOKUP(Table1[RespondentID],'All Data'!$A$3:$CO$999,93,FALSE),"unknown")</f>
        <v>English</v>
      </c>
      <c r="AQ107" s="120" t="str">
        <f>IFERROR(VLOOKUP(Table1[RespondentID],'All Data'!$A$3:$CW$999,94,FALSE),"unknown")</f>
        <v>Over $125,000</v>
      </c>
      <c r="AR107" s="120" t="str">
        <f>IFERROR(VLOOKUP(Table1[RespondentID],'All Data'!$A$3:$CW$999,95,FALSE),"unknown")</f>
        <v>Technical school</v>
      </c>
      <c r="AS107" s="120" t="str">
        <f>IFERROR(VLOOKUP(Table1[RespondentID],'All Data'!$A$3:$CW$999,96,FALSE),"unknown")</f>
        <v>Employed for wages</v>
      </c>
      <c r="AT107" s="120" t="str">
        <f>IFERROR(VLOOKUP(Table1[RespondentID],'All Data'!$A$3:$CW$999,97,FALSE),"unknown")</f>
        <v>Yes</v>
      </c>
      <c r="AU107" s="120">
        <f>IFERROR(VLOOKUP(Table1[RespondentID],'All Data'!$A$3:$CW$999,98,FALSE),"unknown")</f>
        <v>0</v>
      </c>
      <c r="AV107" s="120">
        <f>IFERROR(VLOOKUP(Table1[RespondentID],'All Data'!$A$3:$CW$999,99,FALSE),"unknown")</f>
        <v>0</v>
      </c>
    </row>
    <row r="108" spans="1:48">
      <c r="A108" s="5">
        <v>18022878292</v>
      </c>
      <c r="B108" s="5"/>
      <c r="C108" s="5" t="s">
        <v>39</v>
      </c>
      <c r="D108" s="5" t="s">
        <v>40</v>
      </c>
      <c r="E108" s="5" t="s">
        <v>41</v>
      </c>
      <c r="F108" s="5"/>
      <c r="G108" s="5"/>
      <c r="H108" s="5"/>
      <c r="I108" s="5"/>
      <c r="J108" s="5"/>
      <c r="K108" s="5"/>
      <c r="L108" s="5"/>
      <c r="M108" s="5"/>
      <c r="N108" s="5"/>
      <c r="O108" s="5">
        <f t="shared" si="17"/>
        <v>3</v>
      </c>
      <c r="P108" s="5">
        <f t="shared" si="18"/>
        <v>1</v>
      </c>
      <c r="Q108" s="5"/>
      <c r="R108" s="5">
        <f t="shared" si="19"/>
        <v>0</v>
      </c>
      <c r="S108" s="5">
        <f t="shared" si="20"/>
        <v>1</v>
      </c>
      <c r="T108" s="5">
        <f t="shared" si="21"/>
        <v>1</v>
      </c>
      <c r="U108" s="5">
        <f t="shared" si="22"/>
        <v>1</v>
      </c>
      <c r="V108" s="5">
        <f t="shared" si="23"/>
        <v>0</v>
      </c>
      <c r="W108" s="5">
        <f t="shared" si="24"/>
        <v>0</v>
      </c>
      <c r="X108" s="5">
        <f t="shared" si="25"/>
        <v>0</v>
      </c>
      <c r="Y108" s="5">
        <f t="shared" si="26"/>
        <v>0</v>
      </c>
      <c r="Z108" s="5">
        <f t="shared" si="27"/>
        <v>0</v>
      </c>
      <c r="AA108" s="5">
        <f t="shared" si="28"/>
        <v>0</v>
      </c>
      <c r="AB108" s="5">
        <f t="shared" si="29"/>
        <v>0</v>
      </c>
      <c r="AC108" s="5">
        <f t="shared" si="30"/>
        <v>0</v>
      </c>
      <c r="AD108" s="5"/>
      <c r="AE108" s="5"/>
      <c r="AF108" s="5">
        <f t="shared" si="31"/>
        <v>3</v>
      </c>
      <c r="AG108" s="5">
        <f t="shared" si="32"/>
        <v>3</v>
      </c>
      <c r="AH108" s="5" t="str">
        <f t="shared" si="33"/>
        <v>Correct</v>
      </c>
      <c r="AI108" s="5"/>
      <c r="AJ108" s="120" t="str">
        <f>IFERROR(VLOOKUP(Table1[RespondentID],'All Data'!$A$3:$CO$999,87,FALSE),"unknown")</f>
        <v>Man</v>
      </c>
      <c r="AK108" s="120">
        <f>IFERROR(VLOOKUP(Table1[RespondentID],'All Data'!$A$3:$CO$999,88,FALSE),"unknown")</f>
        <v>47</v>
      </c>
      <c r="AL108" s="120" t="str">
        <f>IFERROR(VLOOKUP(Table1[RespondentID],'All Data'!$A$3:$CO$999,89,FALSE),"unknown")</f>
        <v>Suffolk</v>
      </c>
      <c r="AM108" s="120" t="str">
        <f>IFERROR(VLOOKUP(Table1[RespondentID],'All Data'!$A$3:$CO$999,90,FALSE),"unknown")</f>
        <v>Smithtown, 11787</v>
      </c>
      <c r="AN108" s="120" t="str">
        <f>IFERROR(VLOOKUP(Table1[RespondentID],'All Data'!$A$3:$CO$999,91,FALSE),"unknown")</f>
        <v>White</v>
      </c>
      <c r="AO108" s="120" t="str">
        <f>IFERROR(VLOOKUP(Table1[RespondentID],'All Data'!$A$3:$CO$999,92,FALSE),"unknown")</f>
        <v>Hispanic or Latino</v>
      </c>
      <c r="AP108" s="120" t="str">
        <f>IFERROR(VLOOKUP(Table1[RespondentID],'All Data'!$A$3:$CO$999,93,FALSE),"unknown")</f>
        <v>English</v>
      </c>
      <c r="AQ108" s="120" t="str">
        <f>IFERROR(VLOOKUP(Table1[RespondentID],'All Data'!$A$3:$CW$999,94,FALSE),"unknown")</f>
        <v>Over $125,000</v>
      </c>
      <c r="AR108" s="120" t="str">
        <f>IFERROR(VLOOKUP(Table1[RespondentID],'All Data'!$A$3:$CW$999,95,FALSE),"unknown")</f>
        <v>Some college</v>
      </c>
      <c r="AS108" s="120" t="str">
        <f>IFERROR(VLOOKUP(Table1[RespondentID],'All Data'!$A$3:$CW$999,96,FALSE),"unknown")</f>
        <v>Employed for wages</v>
      </c>
      <c r="AT108" s="120" t="str">
        <f>IFERROR(VLOOKUP(Table1[RespondentID],'All Data'!$A$3:$CW$999,97,FALSE),"unknown")</f>
        <v>Yes</v>
      </c>
      <c r="AU108" s="120">
        <f>IFERROR(VLOOKUP(Table1[RespondentID],'All Data'!$A$3:$CW$999,98,FALSE),"unknown")</f>
        <v>0</v>
      </c>
      <c r="AV108" s="120">
        <f>IFERROR(VLOOKUP(Table1[RespondentID],'All Data'!$A$3:$CW$999,99,FALSE),"unknown")</f>
        <v>0</v>
      </c>
    </row>
    <row r="109" spans="1:48">
      <c r="A109" s="5">
        <v>18022878149</v>
      </c>
      <c r="B109" s="5"/>
      <c r="C109" s="5"/>
      <c r="D109" s="5" t="s">
        <v>40</v>
      </c>
      <c r="E109" s="5" t="s">
        <v>41</v>
      </c>
      <c r="F109" s="5"/>
      <c r="G109" s="5"/>
      <c r="H109" s="5"/>
      <c r="I109" s="5"/>
      <c r="J109" s="5"/>
      <c r="K109" s="5"/>
      <c r="L109" s="5"/>
      <c r="M109" s="5"/>
      <c r="N109" s="5"/>
      <c r="O109" s="5">
        <f t="shared" si="17"/>
        <v>2</v>
      </c>
      <c r="P109" s="5">
        <f t="shared" si="18"/>
        <v>1.5</v>
      </c>
      <c r="Q109" s="5"/>
      <c r="R109" s="5">
        <f t="shared" si="19"/>
        <v>0</v>
      </c>
      <c r="S109" s="5">
        <f t="shared" si="20"/>
        <v>0</v>
      </c>
      <c r="T109" s="5">
        <f t="shared" si="21"/>
        <v>1</v>
      </c>
      <c r="U109" s="5">
        <f t="shared" si="22"/>
        <v>1</v>
      </c>
      <c r="V109" s="5">
        <f t="shared" si="23"/>
        <v>0</v>
      </c>
      <c r="W109" s="5">
        <f t="shared" si="24"/>
        <v>0</v>
      </c>
      <c r="X109" s="5">
        <f t="shared" si="25"/>
        <v>0</v>
      </c>
      <c r="Y109" s="5">
        <f t="shared" si="26"/>
        <v>0</v>
      </c>
      <c r="Z109" s="5">
        <f t="shared" si="27"/>
        <v>0</v>
      </c>
      <c r="AA109" s="5">
        <f t="shared" si="28"/>
        <v>0</v>
      </c>
      <c r="AB109" s="5">
        <f t="shared" si="29"/>
        <v>0</v>
      </c>
      <c r="AC109" s="5">
        <f t="shared" si="30"/>
        <v>0</v>
      </c>
      <c r="AD109" s="5"/>
      <c r="AE109" s="5"/>
      <c r="AF109" s="5">
        <f t="shared" si="31"/>
        <v>2</v>
      </c>
      <c r="AG109" s="5">
        <f t="shared" si="32"/>
        <v>2</v>
      </c>
      <c r="AH109" s="5" t="str">
        <f t="shared" si="33"/>
        <v>Correct</v>
      </c>
      <c r="AI109" s="5"/>
      <c r="AJ109" s="120" t="str">
        <f>IFERROR(VLOOKUP(Table1[RespondentID],'All Data'!$A$3:$CO$999,87,FALSE),"unknown")</f>
        <v>Woman</v>
      </c>
      <c r="AK109" s="120">
        <f>IFERROR(VLOOKUP(Table1[RespondentID],'All Data'!$A$3:$CO$999,88,FALSE),"unknown")</f>
        <v>49</v>
      </c>
      <c r="AL109" s="120" t="str">
        <f>IFERROR(VLOOKUP(Table1[RespondentID],'All Data'!$A$3:$CO$999,89,FALSE),"unknown")</f>
        <v>Suffolk</v>
      </c>
      <c r="AM109" s="120" t="str">
        <f>IFERROR(VLOOKUP(Table1[RespondentID],'All Data'!$A$3:$CO$999,90,FALSE),"unknown")</f>
        <v>Smithtown, 11787</v>
      </c>
      <c r="AN109" s="120" t="str">
        <f>IFERROR(VLOOKUP(Table1[RespondentID],'All Data'!$A$3:$CO$999,91,FALSE),"unknown")</f>
        <v>White</v>
      </c>
      <c r="AO109" s="120">
        <f>IFERROR(VLOOKUP(Table1[RespondentID],'All Data'!$A$3:$CO$999,92,FALSE),"unknown")</f>
        <v>0</v>
      </c>
      <c r="AP109" s="120" t="str">
        <f>IFERROR(VLOOKUP(Table1[RespondentID],'All Data'!$A$3:$CO$999,93,FALSE),"unknown")</f>
        <v>English</v>
      </c>
      <c r="AQ109" s="120" t="str">
        <f>IFERROR(VLOOKUP(Table1[RespondentID],'All Data'!$A$3:$CW$999,94,FALSE),"unknown")</f>
        <v>Over $125,000</v>
      </c>
      <c r="AR109" s="120" t="str">
        <f>IFERROR(VLOOKUP(Table1[RespondentID],'All Data'!$A$3:$CW$999,95,FALSE),"unknown")</f>
        <v>Technical school</v>
      </c>
      <c r="AS109" s="120" t="str">
        <f>IFERROR(VLOOKUP(Table1[RespondentID],'All Data'!$A$3:$CW$999,96,FALSE),"unknown")</f>
        <v>Self-employed</v>
      </c>
      <c r="AT109" s="120" t="str">
        <f>IFERROR(VLOOKUP(Table1[RespondentID],'All Data'!$A$3:$CW$999,97,FALSE),"unknown")</f>
        <v>Yes</v>
      </c>
      <c r="AU109" s="120">
        <f>IFERROR(VLOOKUP(Table1[RespondentID],'All Data'!$A$3:$CW$999,98,FALSE),"unknown")</f>
        <v>0</v>
      </c>
      <c r="AV109" s="120">
        <f>IFERROR(VLOOKUP(Table1[RespondentID],'All Data'!$A$3:$CW$999,99,FALSE),"unknown")</f>
        <v>0</v>
      </c>
    </row>
    <row r="110" spans="1:48">
      <c r="A110" s="5">
        <v>18022878031</v>
      </c>
      <c r="B110" s="5"/>
      <c r="C110" s="5"/>
      <c r="D110" s="5"/>
      <c r="E110" s="5"/>
      <c r="F110" s="5" t="s">
        <v>42</v>
      </c>
      <c r="G110" s="5"/>
      <c r="H110" s="5" t="s">
        <v>43</v>
      </c>
      <c r="I110" s="5"/>
      <c r="J110" s="5" t="s">
        <v>45</v>
      </c>
      <c r="K110" s="5"/>
      <c r="L110" s="5"/>
      <c r="M110" s="5"/>
      <c r="N110" s="5"/>
      <c r="O110" s="5">
        <f t="shared" si="17"/>
        <v>3</v>
      </c>
      <c r="P110" s="5">
        <f t="shared" si="18"/>
        <v>1</v>
      </c>
      <c r="Q110" s="5"/>
      <c r="R110" s="5">
        <f t="shared" si="19"/>
        <v>0</v>
      </c>
      <c r="S110" s="5">
        <f t="shared" si="20"/>
        <v>0</v>
      </c>
      <c r="T110" s="5">
        <f t="shared" si="21"/>
        <v>0</v>
      </c>
      <c r="U110" s="5">
        <f t="shared" si="22"/>
        <v>0</v>
      </c>
      <c r="V110" s="5">
        <f t="shared" si="23"/>
        <v>1</v>
      </c>
      <c r="W110" s="5">
        <f t="shared" si="24"/>
        <v>0</v>
      </c>
      <c r="X110" s="5">
        <f t="shared" si="25"/>
        <v>1</v>
      </c>
      <c r="Y110" s="5">
        <f t="shared" si="26"/>
        <v>0</v>
      </c>
      <c r="Z110" s="5">
        <f t="shared" si="27"/>
        <v>1</v>
      </c>
      <c r="AA110" s="5">
        <f t="shared" si="28"/>
        <v>0</v>
      </c>
      <c r="AB110" s="5">
        <f t="shared" si="29"/>
        <v>0</v>
      </c>
      <c r="AC110" s="5">
        <f t="shared" si="30"/>
        <v>0</v>
      </c>
      <c r="AD110" s="5"/>
      <c r="AE110" s="5"/>
      <c r="AF110" s="5">
        <f t="shared" si="31"/>
        <v>3</v>
      </c>
      <c r="AG110" s="5">
        <f t="shared" si="32"/>
        <v>3</v>
      </c>
      <c r="AH110" s="5" t="str">
        <f t="shared" si="33"/>
        <v>Correct</v>
      </c>
      <c r="AI110" s="5"/>
      <c r="AJ110" s="120" t="str">
        <f>IFERROR(VLOOKUP(Table1[RespondentID],'All Data'!$A$3:$CO$999,87,FALSE),"unknown")</f>
        <v>Man</v>
      </c>
      <c r="AK110" s="120">
        <f>IFERROR(VLOOKUP(Table1[RespondentID],'All Data'!$A$3:$CO$999,88,FALSE),"unknown")</f>
        <v>23</v>
      </c>
      <c r="AL110" s="120" t="str">
        <f>IFERROR(VLOOKUP(Table1[RespondentID],'All Data'!$A$3:$CO$999,89,FALSE),"unknown")</f>
        <v>Suffolk</v>
      </c>
      <c r="AM110" s="120" t="str">
        <f>IFERROR(VLOOKUP(Table1[RespondentID],'All Data'!$A$3:$CO$999,90,FALSE),"unknown")</f>
        <v>Selden, 11784</v>
      </c>
      <c r="AN110" s="120" t="str">
        <f>IFERROR(VLOOKUP(Table1[RespondentID],'All Data'!$A$3:$CO$999,91,FALSE),"unknown")</f>
        <v>White</v>
      </c>
      <c r="AO110" s="120" t="str">
        <f>IFERROR(VLOOKUP(Table1[RespondentID],'All Data'!$A$3:$CO$999,92,FALSE),"unknown")</f>
        <v>Hispanic or Latino</v>
      </c>
      <c r="AP110" s="120" t="str">
        <f>IFERROR(VLOOKUP(Table1[RespondentID],'All Data'!$A$3:$CO$999,93,FALSE),"unknown")</f>
        <v>English</v>
      </c>
      <c r="AQ110" s="120" t="str">
        <f>IFERROR(VLOOKUP(Table1[RespondentID],'All Data'!$A$3:$CW$999,94,FALSE),"unknown")</f>
        <v>$35,000 to $49,999</v>
      </c>
      <c r="AR110" s="120" t="str">
        <f>IFERROR(VLOOKUP(Table1[RespondentID],'All Data'!$A$3:$CW$999,95,FALSE),"unknown")</f>
        <v>Some college</v>
      </c>
      <c r="AS110" s="120" t="str">
        <f>IFERROR(VLOOKUP(Table1[RespondentID],'All Data'!$A$3:$CW$999,96,FALSE),"unknown")</f>
        <v>Student</v>
      </c>
      <c r="AT110" s="120" t="str">
        <f>IFERROR(VLOOKUP(Table1[RespondentID],'All Data'!$A$3:$CW$999,97,FALSE),"unknown")</f>
        <v>Yes</v>
      </c>
      <c r="AU110" s="120">
        <f>IFERROR(VLOOKUP(Table1[RespondentID],'All Data'!$A$3:$CW$999,98,FALSE),"unknown")</f>
        <v>0</v>
      </c>
      <c r="AV110" s="120">
        <f>IFERROR(VLOOKUP(Table1[RespondentID],'All Data'!$A$3:$CW$999,99,FALSE),"unknown")</f>
        <v>0</v>
      </c>
    </row>
    <row r="111" spans="1:48">
      <c r="A111" s="5">
        <v>18022877886</v>
      </c>
      <c r="B111" s="5"/>
      <c r="C111" s="5"/>
      <c r="D111" s="5"/>
      <c r="E111" s="5" t="s">
        <v>41</v>
      </c>
      <c r="F111" s="5"/>
      <c r="G111" s="5"/>
      <c r="H111" s="5" t="s">
        <v>43</v>
      </c>
      <c r="I111" s="5"/>
      <c r="J111" s="5"/>
      <c r="K111" s="5" t="s">
        <v>46</v>
      </c>
      <c r="L111" s="5"/>
      <c r="M111" s="5"/>
      <c r="N111" s="5"/>
      <c r="O111" s="5">
        <f t="shared" si="17"/>
        <v>3</v>
      </c>
      <c r="P111" s="5">
        <f t="shared" si="18"/>
        <v>1</v>
      </c>
      <c r="Q111" s="5"/>
      <c r="R111" s="5">
        <f t="shared" si="19"/>
        <v>0</v>
      </c>
      <c r="S111" s="5">
        <f t="shared" si="20"/>
        <v>0</v>
      </c>
      <c r="T111" s="5">
        <f t="shared" si="21"/>
        <v>0</v>
      </c>
      <c r="U111" s="5">
        <f t="shared" si="22"/>
        <v>1</v>
      </c>
      <c r="V111" s="5">
        <f t="shared" si="23"/>
        <v>0</v>
      </c>
      <c r="W111" s="5">
        <f t="shared" si="24"/>
        <v>0</v>
      </c>
      <c r="X111" s="5">
        <f t="shared" si="25"/>
        <v>1</v>
      </c>
      <c r="Y111" s="5">
        <f t="shared" si="26"/>
        <v>0</v>
      </c>
      <c r="Z111" s="5">
        <f t="shared" si="27"/>
        <v>0</v>
      </c>
      <c r="AA111" s="5">
        <f t="shared" si="28"/>
        <v>1</v>
      </c>
      <c r="AB111" s="5">
        <f t="shared" si="29"/>
        <v>0</v>
      </c>
      <c r="AC111" s="5">
        <f t="shared" si="30"/>
        <v>0</v>
      </c>
      <c r="AD111" s="5"/>
      <c r="AE111" s="5"/>
      <c r="AF111" s="5">
        <f t="shared" si="31"/>
        <v>3</v>
      </c>
      <c r="AG111" s="5">
        <f t="shared" si="32"/>
        <v>3</v>
      </c>
      <c r="AH111" s="5" t="str">
        <f t="shared" si="33"/>
        <v>Correct</v>
      </c>
      <c r="AI111" s="5"/>
      <c r="AJ111" s="120" t="str">
        <f>IFERROR(VLOOKUP(Table1[RespondentID],'All Data'!$A$3:$CO$999,87,FALSE),"unknown")</f>
        <v>Man</v>
      </c>
      <c r="AK111" s="120">
        <f>IFERROR(VLOOKUP(Table1[RespondentID],'All Data'!$A$3:$CO$999,88,FALSE),"unknown")</f>
        <v>18</v>
      </c>
      <c r="AL111" s="120" t="str">
        <f>IFERROR(VLOOKUP(Table1[RespondentID],'All Data'!$A$3:$CO$999,89,FALSE),"unknown")</f>
        <v>Suffolk</v>
      </c>
      <c r="AM111" s="120" t="str">
        <f>IFERROR(VLOOKUP(Table1[RespondentID],'All Data'!$A$3:$CO$999,90,FALSE),"unknown")</f>
        <v>Centereach, 11720</v>
      </c>
      <c r="AN111" s="120" t="str">
        <f>IFERROR(VLOOKUP(Table1[RespondentID],'All Data'!$A$3:$CO$999,91,FALSE),"unknown")</f>
        <v>White</v>
      </c>
      <c r="AO111" s="120" t="str">
        <f>IFERROR(VLOOKUP(Table1[RespondentID],'All Data'!$A$3:$CO$999,92,FALSE),"unknown")</f>
        <v>Hispanic or Latino</v>
      </c>
      <c r="AP111" s="120" t="str">
        <f>IFERROR(VLOOKUP(Table1[RespondentID],'All Data'!$A$3:$CO$999,93,FALSE),"unknown")</f>
        <v>English</v>
      </c>
      <c r="AQ111" s="120" t="str">
        <f>IFERROR(VLOOKUP(Table1[RespondentID],'All Data'!$A$3:$CW$999,94,FALSE),"unknown")</f>
        <v>$75,000 to $125,000</v>
      </c>
      <c r="AR111" s="120" t="str">
        <f>IFERROR(VLOOKUP(Table1[RespondentID],'All Data'!$A$3:$CW$999,95,FALSE),"unknown")</f>
        <v>College graduate</v>
      </c>
      <c r="AS111" s="120" t="str">
        <f>IFERROR(VLOOKUP(Table1[RespondentID],'All Data'!$A$3:$CW$999,96,FALSE),"unknown")</f>
        <v>Student</v>
      </c>
      <c r="AT111" s="120" t="str">
        <f>IFERROR(VLOOKUP(Table1[RespondentID],'All Data'!$A$3:$CW$999,97,FALSE),"unknown")</f>
        <v>Yes</v>
      </c>
      <c r="AU111" s="120">
        <f>IFERROR(VLOOKUP(Table1[RespondentID],'All Data'!$A$3:$CW$999,98,FALSE),"unknown")</f>
        <v>0</v>
      </c>
      <c r="AV111" s="120">
        <f>IFERROR(VLOOKUP(Table1[RespondentID],'All Data'!$A$3:$CW$999,99,FALSE),"unknown")</f>
        <v>0</v>
      </c>
    </row>
    <row r="112" spans="1:48">
      <c r="A112" s="5">
        <v>18022877779</v>
      </c>
      <c r="B112" s="5"/>
      <c r="C112" s="5"/>
      <c r="D112" s="5"/>
      <c r="E112" s="5"/>
      <c r="F112" s="5"/>
      <c r="G112" s="5"/>
      <c r="H112" s="5"/>
      <c r="I112" s="5"/>
      <c r="J112" s="5"/>
      <c r="K112" s="5"/>
      <c r="L112" s="5"/>
      <c r="M112" s="5"/>
      <c r="N112" s="5"/>
      <c r="O112" s="5">
        <f t="shared" si="17"/>
        <v>0</v>
      </c>
      <c r="P112" s="5" t="e">
        <f t="shared" si="18"/>
        <v>#DIV/0!</v>
      </c>
      <c r="Q112" s="5"/>
      <c r="R112" s="5">
        <f t="shared" si="19"/>
        <v>0</v>
      </c>
      <c r="S112" s="5">
        <f t="shared" si="20"/>
        <v>0</v>
      </c>
      <c r="T112" s="5">
        <f t="shared" si="21"/>
        <v>0</v>
      </c>
      <c r="U112" s="5">
        <f t="shared" si="22"/>
        <v>0</v>
      </c>
      <c r="V112" s="5">
        <f t="shared" si="23"/>
        <v>0</v>
      </c>
      <c r="W112" s="5">
        <f t="shared" si="24"/>
        <v>0</v>
      </c>
      <c r="X112" s="5">
        <f t="shared" si="25"/>
        <v>0</v>
      </c>
      <c r="Y112" s="5">
        <f t="shared" si="26"/>
        <v>0</v>
      </c>
      <c r="Z112" s="5">
        <f t="shared" si="27"/>
        <v>0</v>
      </c>
      <c r="AA112" s="5">
        <f t="shared" si="28"/>
        <v>0</v>
      </c>
      <c r="AB112" s="5">
        <f t="shared" si="29"/>
        <v>0</v>
      </c>
      <c r="AC112" s="5">
        <f t="shared" si="30"/>
        <v>0</v>
      </c>
      <c r="AD112" s="5"/>
      <c r="AE112" s="5"/>
      <c r="AF112" s="5">
        <f t="shared" si="31"/>
        <v>0</v>
      </c>
      <c r="AG112" s="5">
        <f t="shared" si="32"/>
        <v>0</v>
      </c>
      <c r="AH112" s="5" t="str">
        <f t="shared" si="33"/>
        <v>Correct</v>
      </c>
      <c r="AI112" s="5"/>
      <c r="AJ112" s="120">
        <f>IFERROR(VLOOKUP(Table1[RespondentID],'All Data'!$A$3:$CO$999,87,FALSE),"unknown")</f>
        <v>0</v>
      </c>
      <c r="AK112" s="120">
        <f>IFERROR(VLOOKUP(Table1[RespondentID],'All Data'!$A$3:$CO$999,88,FALSE),"unknown")</f>
        <v>21</v>
      </c>
      <c r="AL112" s="120" t="str">
        <f>IFERROR(VLOOKUP(Table1[RespondentID],'All Data'!$A$3:$CO$999,89,FALSE),"unknown")</f>
        <v>Suffolk</v>
      </c>
      <c r="AM112" s="120" t="str">
        <f>IFERROR(VLOOKUP(Table1[RespondentID],'All Data'!$A$3:$CO$999,90,FALSE),"unknown")</f>
        <v>Saint James, 11780</v>
      </c>
      <c r="AN112" s="120" t="str">
        <f>IFERROR(VLOOKUP(Table1[RespondentID],'All Data'!$A$3:$CO$999,91,FALSE),"unknown")</f>
        <v>White</v>
      </c>
      <c r="AO112" s="120">
        <f>IFERROR(VLOOKUP(Table1[RespondentID],'All Data'!$A$3:$CO$999,92,FALSE),"unknown")</f>
        <v>0</v>
      </c>
      <c r="AP112" s="120" t="str">
        <f>IFERROR(VLOOKUP(Table1[RespondentID],'All Data'!$A$3:$CO$999,93,FALSE),"unknown")</f>
        <v>English</v>
      </c>
      <c r="AQ112" s="120" t="str">
        <f>IFERROR(VLOOKUP(Table1[RespondentID],'All Data'!$A$3:$CW$999,94,FALSE),"unknown")</f>
        <v>$75,000 to $125,000</v>
      </c>
      <c r="AR112" s="120" t="str">
        <f>IFERROR(VLOOKUP(Table1[RespondentID],'All Data'!$A$3:$CW$999,95,FALSE),"unknown")</f>
        <v>Technical school</v>
      </c>
      <c r="AS112" s="120" t="str">
        <f>IFERROR(VLOOKUP(Table1[RespondentID],'All Data'!$A$3:$CW$999,96,FALSE),"unknown")</f>
        <v>Employed for wages</v>
      </c>
      <c r="AT112" s="120" t="str">
        <f>IFERROR(VLOOKUP(Table1[RespondentID],'All Data'!$A$3:$CW$999,97,FALSE),"unknown")</f>
        <v>Yes</v>
      </c>
      <c r="AU112" s="120">
        <f>IFERROR(VLOOKUP(Table1[RespondentID],'All Data'!$A$3:$CW$999,98,FALSE),"unknown")</f>
        <v>0</v>
      </c>
      <c r="AV112" s="120">
        <f>IFERROR(VLOOKUP(Table1[RespondentID],'All Data'!$A$3:$CW$999,99,FALSE),"unknown")</f>
        <v>0</v>
      </c>
    </row>
    <row r="113" spans="1:48">
      <c r="A113" s="5">
        <v>18022877531</v>
      </c>
      <c r="B113" s="5"/>
      <c r="C113" s="5"/>
      <c r="D113" s="5"/>
      <c r="E113" s="5" t="s">
        <v>41</v>
      </c>
      <c r="F113" s="5"/>
      <c r="G113" s="5"/>
      <c r="H113" s="5"/>
      <c r="I113" s="5"/>
      <c r="J113" s="5"/>
      <c r="K113" s="5"/>
      <c r="L113" s="5"/>
      <c r="M113" s="5"/>
      <c r="N113" s="5"/>
      <c r="O113" s="5">
        <f t="shared" si="17"/>
        <v>1</v>
      </c>
      <c r="P113" s="5">
        <f t="shared" si="18"/>
        <v>3</v>
      </c>
      <c r="Q113" s="5"/>
      <c r="R113" s="5">
        <f t="shared" si="19"/>
        <v>0</v>
      </c>
      <c r="S113" s="5">
        <f t="shared" si="20"/>
        <v>0</v>
      </c>
      <c r="T113" s="5">
        <f t="shared" si="21"/>
        <v>0</v>
      </c>
      <c r="U113" s="5">
        <f t="shared" si="22"/>
        <v>1</v>
      </c>
      <c r="V113" s="5">
        <f t="shared" si="23"/>
        <v>0</v>
      </c>
      <c r="W113" s="5">
        <f t="shared" si="24"/>
        <v>0</v>
      </c>
      <c r="X113" s="5">
        <f t="shared" si="25"/>
        <v>0</v>
      </c>
      <c r="Y113" s="5">
        <f t="shared" si="26"/>
        <v>0</v>
      </c>
      <c r="Z113" s="5">
        <f t="shared" si="27"/>
        <v>0</v>
      </c>
      <c r="AA113" s="5">
        <f t="shared" si="28"/>
        <v>0</v>
      </c>
      <c r="AB113" s="5">
        <f t="shared" si="29"/>
        <v>0</v>
      </c>
      <c r="AC113" s="5">
        <f t="shared" si="30"/>
        <v>0</v>
      </c>
      <c r="AD113" s="5"/>
      <c r="AE113" s="5"/>
      <c r="AF113" s="5">
        <f t="shared" si="31"/>
        <v>1</v>
      </c>
      <c r="AG113" s="5">
        <f t="shared" si="32"/>
        <v>1</v>
      </c>
      <c r="AH113" s="5" t="str">
        <f t="shared" si="33"/>
        <v>Correct</v>
      </c>
      <c r="AI113" s="5"/>
      <c r="AJ113" s="120" t="str">
        <f>IFERROR(VLOOKUP(Table1[RespondentID],'All Data'!$A$3:$CO$999,87,FALSE),"unknown")</f>
        <v>Man</v>
      </c>
      <c r="AK113" s="120">
        <f>IFERROR(VLOOKUP(Table1[RespondentID],'All Data'!$A$3:$CO$999,88,FALSE),"unknown")</f>
        <v>37</v>
      </c>
      <c r="AL113" s="120" t="str">
        <f>IFERROR(VLOOKUP(Table1[RespondentID],'All Data'!$A$3:$CO$999,89,FALSE),"unknown")</f>
        <v>Suffolk</v>
      </c>
      <c r="AM113" s="120" t="str">
        <f>IFERROR(VLOOKUP(Table1[RespondentID],'All Data'!$A$3:$CO$999,90,FALSE),"unknown")</f>
        <v>Smithtown, 11787</v>
      </c>
      <c r="AN113" s="120" t="str">
        <f>IFERROR(VLOOKUP(Table1[RespondentID],'All Data'!$A$3:$CO$999,91,FALSE),"unknown")</f>
        <v>White</v>
      </c>
      <c r="AO113" s="120" t="str">
        <f>IFERROR(VLOOKUP(Table1[RespondentID],'All Data'!$A$3:$CO$999,92,FALSE),"unknown")</f>
        <v>Hispanic or Latino</v>
      </c>
      <c r="AP113" s="120" t="str">
        <f>IFERROR(VLOOKUP(Table1[RespondentID],'All Data'!$A$3:$CO$999,93,FALSE),"unknown")</f>
        <v>English</v>
      </c>
      <c r="AQ113" s="120" t="str">
        <f>IFERROR(VLOOKUP(Table1[RespondentID],'All Data'!$A$3:$CW$999,94,FALSE),"unknown")</f>
        <v>$75,000 to $125,000</v>
      </c>
      <c r="AR113" s="120" t="str">
        <f>IFERROR(VLOOKUP(Table1[RespondentID],'All Data'!$A$3:$CW$999,95,FALSE),"unknown")</f>
        <v>High school graduate</v>
      </c>
      <c r="AS113" s="120" t="str">
        <f>IFERROR(VLOOKUP(Table1[RespondentID],'All Data'!$A$3:$CW$999,96,FALSE),"unknown")</f>
        <v>Self-employed</v>
      </c>
      <c r="AT113" s="120" t="str">
        <f>IFERROR(VLOOKUP(Table1[RespondentID],'All Data'!$A$3:$CW$999,97,FALSE),"unknown")</f>
        <v>No</v>
      </c>
      <c r="AU113" s="120">
        <f>IFERROR(VLOOKUP(Table1[RespondentID],'All Data'!$A$3:$CW$999,98,FALSE),"unknown")</f>
        <v>0</v>
      </c>
      <c r="AV113" s="120">
        <f>IFERROR(VLOOKUP(Table1[RespondentID],'All Data'!$A$3:$CW$999,99,FALSE),"unknown")</f>
        <v>0</v>
      </c>
    </row>
    <row r="114" spans="1:48">
      <c r="A114" s="5">
        <v>18022877402</v>
      </c>
      <c r="B114" s="5"/>
      <c r="C114" s="5"/>
      <c r="D114" s="5"/>
      <c r="E114" s="5" t="s">
        <v>41</v>
      </c>
      <c r="F114" s="5"/>
      <c r="G114" s="5"/>
      <c r="H114" s="5"/>
      <c r="I114" s="5"/>
      <c r="J114" s="5"/>
      <c r="K114" s="5"/>
      <c r="L114" s="5"/>
      <c r="M114" s="5"/>
      <c r="N114" s="5"/>
      <c r="O114" s="5">
        <f t="shared" si="17"/>
        <v>1</v>
      </c>
      <c r="P114" s="5">
        <f t="shared" si="18"/>
        <v>3</v>
      </c>
      <c r="Q114" s="5"/>
      <c r="R114" s="5">
        <f t="shared" si="19"/>
        <v>0</v>
      </c>
      <c r="S114" s="5">
        <f t="shared" si="20"/>
        <v>0</v>
      </c>
      <c r="T114" s="5">
        <f t="shared" si="21"/>
        <v>0</v>
      </c>
      <c r="U114" s="5">
        <f t="shared" si="22"/>
        <v>1</v>
      </c>
      <c r="V114" s="5">
        <f t="shared" si="23"/>
        <v>0</v>
      </c>
      <c r="W114" s="5">
        <f t="shared" si="24"/>
        <v>0</v>
      </c>
      <c r="X114" s="5">
        <f t="shared" si="25"/>
        <v>0</v>
      </c>
      <c r="Y114" s="5">
        <f t="shared" si="26"/>
        <v>0</v>
      </c>
      <c r="Z114" s="5">
        <f t="shared" si="27"/>
        <v>0</v>
      </c>
      <c r="AA114" s="5">
        <f t="shared" si="28"/>
        <v>0</v>
      </c>
      <c r="AB114" s="5">
        <f t="shared" si="29"/>
        <v>0</v>
      </c>
      <c r="AC114" s="5">
        <f t="shared" si="30"/>
        <v>0</v>
      </c>
      <c r="AD114" s="5"/>
      <c r="AE114" s="5"/>
      <c r="AF114" s="5">
        <f t="shared" si="31"/>
        <v>1</v>
      </c>
      <c r="AG114" s="5">
        <f t="shared" si="32"/>
        <v>1</v>
      </c>
      <c r="AH114" s="5" t="str">
        <f t="shared" si="33"/>
        <v>Correct</v>
      </c>
      <c r="AI114" s="5"/>
      <c r="AJ114" s="120" t="str">
        <f>IFERROR(VLOOKUP(Table1[RespondentID],'All Data'!$A$3:$CO$999,87,FALSE),"unknown")</f>
        <v>Man</v>
      </c>
      <c r="AK114" s="120">
        <f>IFERROR(VLOOKUP(Table1[RespondentID],'All Data'!$A$3:$CO$999,88,FALSE),"unknown")</f>
        <v>32</v>
      </c>
      <c r="AL114" s="120" t="str">
        <f>IFERROR(VLOOKUP(Table1[RespondentID],'All Data'!$A$3:$CO$999,89,FALSE),"unknown")</f>
        <v>Suffolk</v>
      </c>
      <c r="AM114" s="120" t="str">
        <f>IFERROR(VLOOKUP(Table1[RespondentID],'All Data'!$A$3:$CO$999,90,FALSE),"unknown")</f>
        <v>Smithtown, 11787</v>
      </c>
      <c r="AN114" s="120" t="str">
        <f>IFERROR(VLOOKUP(Table1[RespondentID],'All Data'!$A$3:$CO$999,91,FALSE),"unknown")</f>
        <v>White</v>
      </c>
      <c r="AO114" s="120" t="str">
        <f>IFERROR(VLOOKUP(Table1[RespondentID],'All Data'!$A$3:$CO$999,92,FALSE),"unknown")</f>
        <v>Hispanic or Latino</v>
      </c>
      <c r="AP114" s="120" t="str">
        <f>IFERROR(VLOOKUP(Table1[RespondentID],'All Data'!$A$3:$CO$999,93,FALSE),"unknown")</f>
        <v>English</v>
      </c>
      <c r="AQ114" s="120" t="str">
        <f>IFERROR(VLOOKUP(Table1[RespondentID],'All Data'!$A$3:$CW$999,94,FALSE),"unknown")</f>
        <v>$35,000 to $49,999</v>
      </c>
      <c r="AR114" s="120">
        <f>IFERROR(VLOOKUP(Table1[RespondentID],'All Data'!$A$3:$CW$999,95,FALSE),"unknown")</f>
        <v>0</v>
      </c>
      <c r="AS114" s="120" t="str">
        <f>IFERROR(VLOOKUP(Table1[RespondentID],'All Data'!$A$3:$CW$999,96,FALSE),"unknown")</f>
        <v>Employed for wages</v>
      </c>
      <c r="AT114" s="120" t="str">
        <f>IFERROR(VLOOKUP(Table1[RespondentID],'All Data'!$A$3:$CW$999,97,FALSE),"unknown")</f>
        <v>No</v>
      </c>
      <c r="AU114" s="120">
        <f>IFERROR(VLOOKUP(Table1[RespondentID],'All Data'!$A$3:$CW$999,98,FALSE),"unknown")</f>
        <v>0</v>
      </c>
      <c r="AV114" s="120">
        <f>IFERROR(VLOOKUP(Table1[RespondentID],'All Data'!$A$3:$CW$999,99,FALSE),"unknown")</f>
        <v>0</v>
      </c>
    </row>
    <row r="115" spans="1:48">
      <c r="A115" s="5">
        <v>18022877220</v>
      </c>
      <c r="B115" s="5"/>
      <c r="C115" s="5"/>
      <c r="D115" s="5"/>
      <c r="E115" s="5" t="s">
        <v>41</v>
      </c>
      <c r="F115" s="5"/>
      <c r="G115" s="5"/>
      <c r="H115" s="5"/>
      <c r="I115" s="5"/>
      <c r="J115" s="5"/>
      <c r="K115" s="5"/>
      <c r="L115" s="5"/>
      <c r="M115" s="5"/>
      <c r="N115" s="5"/>
      <c r="O115" s="5">
        <f t="shared" si="17"/>
        <v>1</v>
      </c>
      <c r="P115" s="5">
        <f t="shared" si="18"/>
        <v>3</v>
      </c>
      <c r="Q115" s="5"/>
      <c r="R115" s="5">
        <f t="shared" si="19"/>
        <v>0</v>
      </c>
      <c r="S115" s="5">
        <f t="shared" si="20"/>
        <v>0</v>
      </c>
      <c r="T115" s="5">
        <f t="shared" si="21"/>
        <v>0</v>
      </c>
      <c r="U115" s="5">
        <f t="shared" si="22"/>
        <v>1</v>
      </c>
      <c r="V115" s="5">
        <f t="shared" si="23"/>
        <v>0</v>
      </c>
      <c r="W115" s="5">
        <f t="shared" si="24"/>
        <v>0</v>
      </c>
      <c r="X115" s="5">
        <f t="shared" si="25"/>
        <v>0</v>
      </c>
      <c r="Y115" s="5">
        <f t="shared" si="26"/>
        <v>0</v>
      </c>
      <c r="Z115" s="5">
        <f t="shared" si="27"/>
        <v>0</v>
      </c>
      <c r="AA115" s="5">
        <f t="shared" si="28"/>
        <v>0</v>
      </c>
      <c r="AB115" s="5">
        <f t="shared" si="29"/>
        <v>0</v>
      </c>
      <c r="AC115" s="5">
        <f t="shared" si="30"/>
        <v>0</v>
      </c>
      <c r="AD115" s="5"/>
      <c r="AE115" s="5"/>
      <c r="AF115" s="5">
        <f t="shared" si="31"/>
        <v>1</v>
      </c>
      <c r="AG115" s="5">
        <f t="shared" si="32"/>
        <v>1</v>
      </c>
      <c r="AH115" s="5" t="str">
        <f t="shared" si="33"/>
        <v>Correct</v>
      </c>
      <c r="AI115" s="5"/>
      <c r="AJ115" s="120" t="str">
        <f>IFERROR(VLOOKUP(Table1[RespondentID],'All Data'!$A$3:$CO$999,87,FALSE),"unknown")</f>
        <v>Man</v>
      </c>
      <c r="AK115" s="120">
        <f>IFERROR(VLOOKUP(Table1[RespondentID],'All Data'!$A$3:$CO$999,88,FALSE),"unknown")</f>
        <v>63</v>
      </c>
      <c r="AL115" s="120" t="str">
        <f>IFERROR(VLOOKUP(Table1[RespondentID],'All Data'!$A$3:$CO$999,89,FALSE),"unknown")</f>
        <v>Suffolk</v>
      </c>
      <c r="AM115" s="120" t="str">
        <f>IFERROR(VLOOKUP(Table1[RespondentID],'All Data'!$A$3:$CO$999,90,FALSE),"unknown")</f>
        <v>Kings Park, 11754</v>
      </c>
      <c r="AN115" s="120" t="str">
        <f>IFERROR(VLOOKUP(Table1[RespondentID],'All Data'!$A$3:$CO$999,91,FALSE),"unknown")</f>
        <v>White</v>
      </c>
      <c r="AO115" s="120" t="str">
        <f>IFERROR(VLOOKUP(Table1[RespondentID],'All Data'!$A$3:$CO$999,92,FALSE),"unknown")</f>
        <v>Hispanic or Latino</v>
      </c>
      <c r="AP115" s="120" t="str">
        <f>IFERROR(VLOOKUP(Table1[RespondentID],'All Data'!$A$3:$CO$999,93,FALSE),"unknown")</f>
        <v>English</v>
      </c>
      <c r="AQ115" s="120" t="str">
        <f>IFERROR(VLOOKUP(Table1[RespondentID],'All Data'!$A$3:$CW$999,94,FALSE),"unknown")</f>
        <v>Over $125,000</v>
      </c>
      <c r="AR115" s="120" t="str">
        <f>IFERROR(VLOOKUP(Table1[RespondentID],'All Data'!$A$3:$CW$999,95,FALSE),"unknown")</f>
        <v>High school graduate</v>
      </c>
      <c r="AS115" s="120" t="str">
        <f>IFERROR(VLOOKUP(Table1[RespondentID],'All Data'!$A$3:$CW$999,96,FALSE),"unknown")</f>
        <v>Retired</v>
      </c>
      <c r="AT115" s="120" t="str">
        <f>IFERROR(VLOOKUP(Table1[RespondentID],'All Data'!$A$3:$CW$999,97,FALSE),"unknown")</f>
        <v>Yes</v>
      </c>
      <c r="AU115" s="120">
        <f>IFERROR(VLOOKUP(Table1[RespondentID],'All Data'!$A$3:$CW$999,98,FALSE),"unknown")</f>
        <v>0</v>
      </c>
      <c r="AV115" s="120">
        <f>IFERROR(VLOOKUP(Table1[RespondentID],'All Data'!$A$3:$CW$999,99,FALSE),"unknown")</f>
        <v>0</v>
      </c>
    </row>
    <row r="116" spans="1:48">
      <c r="A116" s="5">
        <v>18022760139</v>
      </c>
      <c r="B116" s="5"/>
      <c r="C116" s="5" t="s">
        <v>39</v>
      </c>
      <c r="D116" s="5"/>
      <c r="E116" s="5" t="s">
        <v>41</v>
      </c>
      <c r="F116" s="5"/>
      <c r="G116" s="5"/>
      <c r="H116" s="5"/>
      <c r="I116" s="5"/>
      <c r="J116" s="5" t="s">
        <v>45</v>
      </c>
      <c r="K116" s="5"/>
      <c r="L116" s="5"/>
      <c r="M116" s="5"/>
      <c r="N116" s="5"/>
      <c r="O116" s="5">
        <f t="shared" si="17"/>
        <v>3</v>
      </c>
      <c r="P116" s="5">
        <f t="shared" si="18"/>
        <v>1</v>
      </c>
      <c r="Q116" s="5"/>
      <c r="R116" s="5">
        <f t="shared" si="19"/>
        <v>0</v>
      </c>
      <c r="S116" s="5">
        <f t="shared" si="20"/>
        <v>1</v>
      </c>
      <c r="T116" s="5">
        <f t="shared" si="21"/>
        <v>0</v>
      </c>
      <c r="U116" s="5">
        <f t="shared" si="22"/>
        <v>1</v>
      </c>
      <c r="V116" s="5">
        <f t="shared" si="23"/>
        <v>0</v>
      </c>
      <c r="W116" s="5">
        <f t="shared" si="24"/>
        <v>0</v>
      </c>
      <c r="X116" s="5">
        <f t="shared" si="25"/>
        <v>0</v>
      </c>
      <c r="Y116" s="5">
        <f t="shared" si="26"/>
        <v>0</v>
      </c>
      <c r="Z116" s="5">
        <f t="shared" si="27"/>
        <v>1</v>
      </c>
      <c r="AA116" s="5">
        <f t="shared" si="28"/>
        <v>0</v>
      </c>
      <c r="AB116" s="5">
        <f t="shared" si="29"/>
        <v>0</v>
      </c>
      <c r="AC116" s="5">
        <f t="shared" si="30"/>
        <v>0</v>
      </c>
      <c r="AD116" s="5"/>
      <c r="AE116" s="5"/>
      <c r="AF116" s="5">
        <f t="shared" si="31"/>
        <v>3</v>
      </c>
      <c r="AG116" s="5">
        <f t="shared" si="32"/>
        <v>3</v>
      </c>
      <c r="AH116" s="5" t="str">
        <f t="shared" si="33"/>
        <v>Correct</v>
      </c>
      <c r="AI116" s="5"/>
      <c r="AJ116" s="120" t="str">
        <f>IFERROR(VLOOKUP(Table1[RespondentID],'All Data'!$A$3:$CO$999,87,FALSE),"unknown")</f>
        <v>Man</v>
      </c>
      <c r="AK116" s="120">
        <f>IFERROR(VLOOKUP(Table1[RespondentID],'All Data'!$A$3:$CO$999,88,FALSE),"unknown")</f>
        <v>66</v>
      </c>
      <c r="AL116" s="120" t="str">
        <f>IFERROR(VLOOKUP(Table1[RespondentID],'All Data'!$A$3:$CO$999,89,FALSE),"unknown")</f>
        <v>Nassau</v>
      </c>
      <c r="AM116" s="120" t="str">
        <f>IFERROR(VLOOKUP(Table1[RespondentID],'All Data'!$A$3:$CO$999,90,FALSE),"unknown")</f>
        <v>Merrick, 11566</v>
      </c>
      <c r="AN116" s="120" t="str">
        <f>IFERROR(VLOOKUP(Table1[RespondentID],'All Data'!$A$3:$CO$999,91,FALSE),"unknown")</f>
        <v>White</v>
      </c>
      <c r="AO116" s="120" t="str">
        <f>IFERROR(VLOOKUP(Table1[RespondentID],'All Data'!$A$3:$CO$999,92,FALSE),"unknown")</f>
        <v>Hispanic or Latino</v>
      </c>
      <c r="AP116" s="120" t="str">
        <f>IFERROR(VLOOKUP(Table1[RespondentID],'All Data'!$A$3:$CO$999,93,FALSE),"unknown")</f>
        <v>English</v>
      </c>
      <c r="AQ116" s="120" t="str">
        <f>IFERROR(VLOOKUP(Table1[RespondentID],'All Data'!$A$3:$CW$999,94,FALSE),"unknown")</f>
        <v>Over $125,000</v>
      </c>
      <c r="AR116" s="120" t="str">
        <f>IFERROR(VLOOKUP(Table1[RespondentID],'All Data'!$A$3:$CW$999,95,FALSE),"unknown")</f>
        <v>Graduate school</v>
      </c>
      <c r="AS116" s="120" t="str">
        <f>IFERROR(VLOOKUP(Table1[RespondentID],'All Data'!$A$3:$CW$999,96,FALSE),"unknown")</f>
        <v>Employed for wages</v>
      </c>
      <c r="AT116" s="120" t="str">
        <f>IFERROR(VLOOKUP(Table1[RespondentID],'All Data'!$A$3:$CW$999,97,FALSE),"unknown")</f>
        <v>Yes</v>
      </c>
      <c r="AU116" s="120" t="str">
        <f>IFERROR(VLOOKUP(Table1[RespondentID],'All Data'!$A$3:$CW$999,98,FALSE),"unknown")</f>
        <v>Medicare, Private/Commercial</v>
      </c>
      <c r="AV116" s="120" t="str">
        <f>IFERROR(VLOOKUP(Table1[RespondentID],'All Data'!$A$3:$CW$999,99,FALSE),"unknown")</f>
        <v>Yes</v>
      </c>
    </row>
    <row r="117" spans="1:48">
      <c r="A117" s="5">
        <v>18022520402</v>
      </c>
      <c r="B117" s="5"/>
      <c r="C117" s="5" t="s">
        <v>39</v>
      </c>
      <c r="D117" s="5"/>
      <c r="E117" s="5" t="s">
        <v>41</v>
      </c>
      <c r="F117" s="5"/>
      <c r="G117" s="5"/>
      <c r="H117" s="5"/>
      <c r="I117" s="5"/>
      <c r="J117" s="5"/>
      <c r="K117" s="5"/>
      <c r="L117" s="5"/>
      <c r="M117" s="5"/>
      <c r="N117" s="5"/>
      <c r="O117" s="5">
        <f t="shared" si="17"/>
        <v>2</v>
      </c>
      <c r="P117" s="5">
        <f t="shared" si="18"/>
        <v>1.5</v>
      </c>
      <c r="Q117" s="5"/>
      <c r="R117" s="5">
        <f t="shared" si="19"/>
        <v>0</v>
      </c>
      <c r="S117" s="5">
        <f t="shared" si="20"/>
        <v>1</v>
      </c>
      <c r="T117" s="5">
        <f t="shared" si="21"/>
        <v>0</v>
      </c>
      <c r="U117" s="5">
        <f t="shared" si="22"/>
        <v>1</v>
      </c>
      <c r="V117" s="5">
        <f t="shared" si="23"/>
        <v>0</v>
      </c>
      <c r="W117" s="5">
        <f t="shared" si="24"/>
        <v>0</v>
      </c>
      <c r="X117" s="5">
        <f t="shared" si="25"/>
        <v>0</v>
      </c>
      <c r="Y117" s="5">
        <f t="shared" si="26"/>
        <v>0</v>
      </c>
      <c r="Z117" s="5">
        <f t="shared" si="27"/>
        <v>0</v>
      </c>
      <c r="AA117" s="5">
        <f t="shared" si="28"/>
        <v>0</v>
      </c>
      <c r="AB117" s="5">
        <f t="shared" si="29"/>
        <v>0</v>
      </c>
      <c r="AC117" s="5">
        <f t="shared" si="30"/>
        <v>0</v>
      </c>
      <c r="AD117" s="5"/>
      <c r="AE117" s="5"/>
      <c r="AF117" s="5">
        <f t="shared" si="31"/>
        <v>2</v>
      </c>
      <c r="AG117" s="5">
        <f t="shared" si="32"/>
        <v>2</v>
      </c>
      <c r="AH117" s="5" t="str">
        <f t="shared" si="33"/>
        <v>Correct</v>
      </c>
      <c r="AI117" s="5"/>
      <c r="AJ117" s="120" t="str">
        <f>IFERROR(VLOOKUP(Table1[RespondentID],'All Data'!$A$3:$CO$999,87,FALSE),"unknown")</f>
        <v>Man</v>
      </c>
      <c r="AK117" s="120">
        <f>IFERROR(VLOOKUP(Table1[RespondentID],'All Data'!$A$3:$CO$999,88,FALSE),"unknown")</f>
        <v>55</v>
      </c>
      <c r="AL117" s="120" t="str">
        <f>IFERROR(VLOOKUP(Table1[RespondentID],'All Data'!$A$3:$CO$999,89,FALSE),"unknown")</f>
        <v>Suffolk</v>
      </c>
      <c r="AM117" s="120" t="str">
        <f>IFERROR(VLOOKUP(Table1[RespondentID],'All Data'!$A$3:$CO$999,90,FALSE),"unknown")</f>
        <v>East Northport, 11731</v>
      </c>
      <c r="AN117" s="120" t="str">
        <f>IFERROR(VLOOKUP(Table1[RespondentID],'All Data'!$A$3:$CO$999,91,FALSE),"unknown")</f>
        <v>White</v>
      </c>
      <c r="AO117" s="120" t="str">
        <f>IFERROR(VLOOKUP(Table1[RespondentID],'All Data'!$A$3:$CO$999,92,FALSE),"unknown")</f>
        <v>Hispanic or Latino</v>
      </c>
      <c r="AP117" s="120" t="str">
        <f>IFERROR(VLOOKUP(Table1[RespondentID],'All Data'!$A$3:$CO$999,93,FALSE),"unknown")</f>
        <v>English</v>
      </c>
      <c r="AQ117" s="120" t="str">
        <f>IFERROR(VLOOKUP(Table1[RespondentID],'All Data'!$A$3:$CW$999,94,FALSE),"unknown")</f>
        <v>Over $125,000</v>
      </c>
      <c r="AR117" s="120" t="str">
        <f>IFERROR(VLOOKUP(Table1[RespondentID],'All Data'!$A$3:$CW$999,95,FALSE),"unknown")</f>
        <v>College graduate</v>
      </c>
      <c r="AS117" s="120" t="str">
        <f>IFERROR(VLOOKUP(Table1[RespondentID],'All Data'!$A$3:$CW$999,96,FALSE),"unknown")</f>
        <v>Employed for wages</v>
      </c>
      <c r="AT117" s="120" t="str">
        <f>IFERROR(VLOOKUP(Table1[RespondentID],'All Data'!$A$3:$CW$999,97,FALSE),"unknown")</f>
        <v>Yes</v>
      </c>
      <c r="AU117" s="120">
        <f>IFERROR(VLOOKUP(Table1[RespondentID],'All Data'!$A$3:$CW$999,98,FALSE),"unknown")</f>
        <v>0</v>
      </c>
      <c r="AV117" s="120">
        <f>IFERROR(VLOOKUP(Table1[RespondentID],'All Data'!$A$3:$CW$999,99,FALSE),"unknown")</f>
        <v>0</v>
      </c>
    </row>
    <row r="118" spans="1:48">
      <c r="A118" s="5">
        <v>18022520259</v>
      </c>
      <c r="B118" s="5"/>
      <c r="C118" s="5"/>
      <c r="D118" s="5"/>
      <c r="E118" s="5"/>
      <c r="F118" s="5" t="s">
        <v>42</v>
      </c>
      <c r="G118" s="5"/>
      <c r="H118" s="5"/>
      <c r="I118" s="5" t="s">
        <v>44</v>
      </c>
      <c r="J118" s="5"/>
      <c r="K118" s="5"/>
      <c r="L118" s="5" t="s">
        <v>47</v>
      </c>
      <c r="M118" s="5"/>
      <c r="N118" s="5"/>
      <c r="O118" s="5">
        <f t="shared" si="17"/>
        <v>3</v>
      </c>
      <c r="P118" s="5">
        <f t="shared" si="18"/>
        <v>1</v>
      </c>
      <c r="Q118" s="5"/>
      <c r="R118" s="5">
        <f t="shared" si="19"/>
        <v>0</v>
      </c>
      <c r="S118" s="5">
        <f t="shared" si="20"/>
        <v>0</v>
      </c>
      <c r="T118" s="5">
        <f t="shared" si="21"/>
        <v>0</v>
      </c>
      <c r="U118" s="5">
        <f t="shared" si="22"/>
        <v>0</v>
      </c>
      <c r="V118" s="5">
        <f t="shared" si="23"/>
        <v>1</v>
      </c>
      <c r="W118" s="5">
        <f t="shared" si="24"/>
        <v>0</v>
      </c>
      <c r="X118" s="5">
        <f t="shared" si="25"/>
        <v>0</v>
      </c>
      <c r="Y118" s="5">
        <f t="shared" si="26"/>
        <v>1</v>
      </c>
      <c r="Z118" s="5">
        <f t="shared" si="27"/>
        <v>0</v>
      </c>
      <c r="AA118" s="5">
        <f t="shared" si="28"/>
        <v>0</v>
      </c>
      <c r="AB118" s="5">
        <f t="shared" si="29"/>
        <v>1</v>
      </c>
      <c r="AC118" s="5">
        <f t="shared" si="30"/>
        <v>0</v>
      </c>
      <c r="AD118" s="5"/>
      <c r="AE118" s="5"/>
      <c r="AF118" s="5">
        <f t="shared" si="31"/>
        <v>3</v>
      </c>
      <c r="AG118" s="5">
        <f t="shared" si="32"/>
        <v>3</v>
      </c>
      <c r="AH118" s="5" t="str">
        <f t="shared" si="33"/>
        <v>Correct</v>
      </c>
      <c r="AI118" s="5"/>
      <c r="AJ118" s="120" t="str">
        <f>IFERROR(VLOOKUP(Table1[RespondentID],'All Data'!$A$3:$CO$999,87,FALSE),"unknown")</f>
        <v>Transgender</v>
      </c>
      <c r="AK118" s="120">
        <f>IFERROR(VLOOKUP(Table1[RespondentID],'All Data'!$A$3:$CO$999,88,FALSE),"unknown")</f>
        <v>52</v>
      </c>
      <c r="AL118" s="120" t="str">
        <f>IFERROR(VLOOKUP(Table1[RespondentID],'All Data'!$A$3:$CO$999,89,FALSE),"unknown")</f>
        <v>Suffolk</v>
      </c>
      <c r="AM118" s="120" t="str">
        <f>IFERROR(VLOOKUP(Table1[RespondentID],'All Data'!$A$3:$CO$999,90,FALSE),"unknown")</f>
        <v>Commack, 11725</v>
      </c>
      <c r="AN118" s="120" t="str">
        <f>IFERROR(VLOOKUP(Table1[RespondentID],'All Data'!$A$3:$CO$999,91,FALSE),"unknown")</f>
        <v>Asian</v>
      </c>
      <c r="AO118" s="120" t="str">
        <f>IFERROR(VLOOKUP(Table1[RespondentID],'All Data'!$A$3:$CO$999,92,FALSE),"unknown")</f>
        <v>Hispanic or Latino</v>
      </c>
      <c r="AP118" s="120" t="str">
        <f>IFERROR(VLOOKUP(Table1[RespondentID],'All Data'!$A$3:$CO$999,93,FALSE),"unknown")</f>
        <v>English, Spanish, Farsi, Polish, Korean, Hindi</v>
      </c>
      <c r="AQ118" s="120" t="str">
        <f>IFERROR(VLOOKUP(Table1[RespondentID],'All Data'!$A$3:$CW$999,94,FALSE),"unknown")</f>
        <v>Over $125,000</v>
      </c>
      <c r="AR118" s="120" t="str">
        <f>IFERROR(VLOOKUP(Table1[RespondentID],'All Data'!$A$3:$CW$999,95,FALSE),"unknown")</f>
        <v>Doctorate</v>
      </c>
      <c r="AS118" s="120" t="str">
        <f>IFERROR(VLOOKUP(Table1[RespondentID],'All Data'!$A$3:$CW$999,96,FALSE),"unknown")</f>
        <v>Self-employed</v>
      </c>
      <c r="AT118" s="120" t="str">
        <f>IFERROR(VLOOKUP(Table1[RespondentID],'All Data'!$A$3:$CW$999,97,FALSE),"unknown")</f>
        <v>Yes</v>
      </c>
      <c r="AU118" s="120">
        <f>IFERROR(VLOOKUP(Table1[RespondentID],'All Data'!$A$3:$CW$999,98,FALSE),"unknown")</f>
        <v>0</v>
      </c>
      <c r="AV118" s="120">
        <f>IFERROR(VLOOKUP(Table1[RespondentID],'All Data'!$A$3:$CW$999,99,FALSE),"unknown")</f>
        <v>0</v>
      </c>
    </row>
    <row r="119" spans="1:48">
      <c r="A119" s="5">
        <v>18022520086</v>
      </c>
      <c r="B119" s="5" t="s">
        <v>38</v>
      </c>
      <c r="C119" s="5" t="s">
        <v>39</v>
      </c>
      <c r="D119" s="5"/>
      <c r="E119" s="5"/>
      <c r="F119" s="5"/>
      <c r="G119" s="5"/>
      <c r="H119" s="5" t="s">
        <v>43</v>
      </c>
      <c r="I119" s="5"/>
      <c r="J119" s="5"/>
      <c r="K119" s="5"/>
      <c r="L119" s="5"/>
      <c r="M119" s="5"/>
      <c r="N119" s="5"/>
      <c r="O119" s="5">
        <f t="shared" si="17"/>
        <v>3</v>
      </c>
      <c r="P119" s="5">
        <f t="shared" si="18"/>
        <v>1</v>
      </c>
      <c r="Q119" s="5"/>
      <c r="R119" s="5">
        <f t="shared" si="19"/>
        <v>1</v>
      </c>
      <c r="S119" s="5">
        <f t="shared" si="20"/>
        <v>1</v>
      </c>
      <c r="T119" s="5">
        <f t="shared" si="21"/>
        <v>0</v>
      </c>
      <c r="U119" s="5">
        <f t="shared" si="22"/>
        <v>0</v>
      </c>
      <c r="V119" s="5">
        <f t="shared" si="23"/>
        <v>0</v>
      </c>
      <c r="W119" s="5">
        <f t="shared" si="24"/>
        <v>0</v>
      </c>
      <c r="X119" s="5">
        <f t="shared" si="25"/>
        <v>1</v>
      </c>
      <c r="Y119" s="5">
        <f t="shared" si="26"/>
        <v>0</v>
      </c>
      <c r="Z119" s="5">
        <f t="shared" si="27"/>
        <v>0</v>
      </c>
      <c r="AA119" s="5">
        <f t="shared" si="28"/>
        <v>0</v>
      </c>
      <c r="AB119" s="5">
        <f t="shared" si="29"/>
        <v>0</v>
      </c>
      <c r="AC119" s="5">
        <f t="shared" si="30"/>
        <v>0</v>
      </c>
      <c r="AD119" s="5"/>
      <c r="AE119" s="5"/>
      <c r="AF119" s="5">
        <f t="shared" si="31"/>
        <v>3</v>
      </c>
      <c r="AG119" s="5">
        <f t="shared" si="32"/>
        <v>3</v>
      </c>
      <c r="AH119" s="5" t="str">
        <f t="shared" si="33"/>
        <v>Correct</v>
      </c>
      <c r="AI119" s="5"/>
      <c r="AJ119" s="120" t="str">
        <f>IFERROR(VLOOKUP(Table1[RespondentID],'All Data'!$A$3:$CO$999,87,FALSE),"unknown")</f>
        <v>Man</v>
      </c>
      <c r="AK119" s="120">
        <f>IFERROR(VLOOKUP(Table1[RespondentID],'All Data'!$A$3:$CO$999,88,FALSE),"unknown")</f>
        <v>29</v>
      </c>
      <c r="AL119" s="120" t="str">
        <f>IFERROR(VLOOKUP(Table1[RespondentID],'All Data'!$A$3:$CO$999,89,FALSE),"unknown")</f>
        <v>Suffolk</v>
      </c>
      <c r="AM119" s="120" t="str">
        <f>IFERROR(VLOOKUP(Table1[RespondentID],'All Data'!$A$3:$CO$999,90,FALSE),"unknown")</f>
        <v>Commack, 11725</v>
      </c>
      <c r="AN119" s="120" t="str">
        <f>IFERROR(VLOOKUP(Table1[RespondentID],'All Data'!$A$3:$CO$999,91,FALSE),"unknown")</f>
        <v>American Indian and Alaska Native</v>
      </c>
      <c r="AO119" s="120" t="str">
        <f>IFERROR(VLOOKUP(Table1[RespondentID],'All Data'!$A$3:$CO$999,92,FALSE),"unknown")</f>
        <v>Hispanic or Latino</v>
      </c>
      <c r="AP119" s="120" t="str">
        <f>IFERROR(VLOOKUP(Table1[RespondentID],'All Data'!$A$3:$CO$999,93,FALSE),"unknown")</f>
        <v>English, Spanish, Hindi</v>
      </c>
      <c r="AQ119" s="120" t="str">
        <f>IFERROR(VLOOKUP(Table1[RespondentID],'All Data'!$A$3:$CW$999,94,FALSE),"unknown")</f>
        <v>Over $125,000</v>
      </c>
      <c r="AR119" s="120" t="str">
        <f>IFERROR(VLOOKUP(Table1[RespondentID],'All Data'!$A$3:$CW$999,95,FALSE),"unknown")</f>
        <v>Graduate school</v>
      </c>
      <c r="AS119" s="120" t="str">
        <f>IFERROR(VLOOKUP(Table1[RespondentID],'All Data'!$A$3:$CW$999,96,FALSE),"unknown")</f>
        <v>Employed for wages</v>
      </c>
      <c r="AT119" s="120" t="str">
        <f>IFERROR(VLOOKUP(Table1[RespondentID],'All Data'!$A$3:$CW$999,97,FALSE),"unknown")</f>
        <v>Yes</v>
      </c>
      <c r="AU119" s="120">
        <f>IFERROR(VLOOKUP(Table1[RespondentID],'All Data'!$A$3:$CW$999,98,FALSE),"unknown")</f>
        <v>0</v>
      </c>
      <c r="AV119" s="120">
        <f>IFERROR(VLOOKUP(Table1[RespondentID],'All Data'!$A$3:$CW$999,99,FALSE),"unknown")</f>
        <v>0</v>
      </c>
    </row>
    <row r="120" spans="1:48">
      <c r="A120" s="5">
        <v>18022519957</v>
      </c>
      <c r="B120" s="5"/>
      <c r="C120" s="5" t="s">
        <v>39</v>
      </c>
      <c r="D120" s="5"/>
      <c r="E120" s="5"/>
      <c r="F120" s="5"/>
      <c r="G120" s="5" t="s">
        <v>37</v>
      </c>
      <c r="H120" s="5" t="s">
        <v>43</v>
      </c>
      <c r="I120" s="5"/>
      <c r="J120" s="5"/>
      <c r="K120" s="5"/>
      <c r="L120" s="5"/>
      <c r="M120" s="5"/>
      <c r="N120" s="5"/>
      <c r="O120" s="5">
        <f t="shared" si="17"/>
        <v>3</v>
      </c>
      <c r="P120" s="5">
        <f t="shared" si="18"/>
        <v>1</v>
      </c>
      <c r="Q120" s="5"/>
      <c r="R120" s="5">
        <f t="shared" si="19"/>
        <v>0</v>
      </c>
      <c r="S120" s="5">
        <f t="shared" si="20"/>
        <v>1</v>
      </c>
      <c r="T120" s="5">
        <f t="shared" si="21"/>
        <v>0</v>
      </c>
      <c r="U120" s="5">
        <f t="shared" si="22"/>
        <v>0</v>
      </c>
      <c r="V120" s="5">
        <f t="shared" si="23"/>
        <v>0</v>
      </c>
      <c r="W120" s="5">
        <f t="shared" si="24"/>
        <v>1</v>
      </c>
      <c r="X120" s="5">
        <f t="shared" si="25"/>
        <v>1</v>
      </c>
      <c r="Y120" s="5">
        <f t="shared" si="26"/>
        <v>0</v>
      </c>
      <c r="Z120" s="5">
        <f t="shared" si="27"/>
        <v>0</v>
      </c>
      <c r="AA120" s="5">
        <f t="shared" si="28"/>
        <v>0</v>
      </c>
      <c r="AB120" s="5">
        <f t="shared" si="29"/>
        <v>0</v>
      </c>
      <c r="AC120" s="5">
        <f t="shared" si="30"/>
        <v>0</v>
      </c>
      <c r="AD120" s="5"/>
      <c r="AE120" s="5"/>
      <c r="AF120" s="5">
        <f t="shared" si="31"/>
        <v>3</v>
      </c>
      <c r="AG120" s="5">
        <f t="shared" si="32"/>
        <v>3</v>
      </c>
      <c r="AH120" s="5" t="str">
        <f t="shared" si="33"/>
        <v>Correct</v>
      </c>
      <c r="AI120" s="5"/>
      <c r="AJ120" s="120" t="str">
        <f>IFERROR(VLOOKUP(Table1[RespondentID],'All Data'!$A$3:$CO$999,87,FALSE),"unknown")</f>
        <v>Man</v>
      </c>
      <c r="AK120" s="120">
        <f>IFERROR(VLOOKUP(Table1[RespondentID],'All Data'!$A$3:$CO$999,88,FALSE),"unknown")</f>
        <v>18</v>
      </c>
      <c r="AL120" s="120" t="str">
        <f>IFERROR(VLOOKUP(Table1[RespondentID],'All Data'!$A$3:$CO$999,89,FALSE),"unknown")</f>
        <v>Suffolk</v>
      </c>
      <c r="AM120" s="120" t="str">
        <f>IFERROR(VLOOKUP(Table1[RespondentID],'All Data'!$A$3:$CO$999,90,FALSE),"unknown")</f>
        <v>Dix Hills, 11746</v>
      </c>
      <c r="AN120" s="120" t="str">
        <f>IFERROR(VLOOKUP(Table1[RespondentID],'All Data'!$A$3:$CO$999,91,FALSE),"unknown")</f>
        <v>White</v>
      </c>
      <c r="AO120" s="120" t="str">
        <f>IFERROR(VLOOKUP(Table1[RespondentID],'All Data'!$A$3:$CO$999,92,FALSE),"unknown")</f>
        <v>Hispanic or Latino</v>
      </c>
      <c r="AP120" s="120" t="str">
        <f>IFERROR(VLOOKUP(Table1[RespondentID],'All Data'!$A$3:$CO$999,93,FALSE),"unknown")</f>
        <v>English</v>
      </c>
      <c r="AQ120" s="120" t="str">
        <f>IFERROR(VLOOKUP(Table1[RespondentID],'All Data'!$A$3:$CW$999,94,FALSE),"unknown")</f>
        <v>$75,000 to $125,000</v>
      </c>
      <c r="AR120" s="120" t="str">
        <f>IFERROR(VLOOKUP(Table1[RespondentID],'All Data'!$A$3:$CW$999,95,FALSE),"unknown")</f>
        <v>High school graduate</v>
      </c>
      <c r="AS120" s="120" t="str">
        <f>IFERROR(VLOOKUP(Table1[RespondentID],'All Data'!$A$3:$CW$999,96,FALSE),"unknown")</f>
        <v>Student</v>
      </c>
      <c r="AT120" s="120" t="str">
        <f>IFERROR(VLOOKUP(Table1[RespondentID],'All Data'!$A$3:$CW$999,97,FALSE),"unknown")</f>
        <v>Yes</v>
      </c>
      <c r="AU120" s="120">
        <f>IFERROR(VLOOKUP(Table1[RespondentID],'All Data'!$A$3:$CW$999,98,FALSE),"unknown")</f>
        <v>0</v>
      </c>
      <c r="AV120" s="120">
        <f>IFERROR(VLOOKUP(Table1[RespondentID],'All Data'!$A$3:$CW$999,99,FALSE),"unknown")</f>
        <v>0</v>
      </c>
    </row>
    <row r="121" spans="1:48">
      <c r="A121" s="5">
        <v>18022519838</v>
      </c>
      <c r="B121" s="5"/>
      <c r="C121" s="5"/>
      <c r="D121" s="5"/>
      <c r="E121" s="5" t="s">
        <v>41</v>
      </c>
      <c r="F121" s="5"/>
      <c r="G121" s="5"/>
      <c r="H121" s="5"/>
      <c r="I121" s="5"/>
      <c r="J121" s="5"/>
      <c r="K121" s="5"/>
      <c r="L121" s="5"/>
      <c r="M121" s="5"/>
      <c r="N121" s="5"/>
      <c r="O121" s="5">
        <f t="shared" si="17"/>
        <v>1</v>
      </c>
      <c r="P121" s="5">
        <f t="shared" si="18"/>
        <v>3</v>
      </c>
      <c r="Q121" s="5"/>
      <c r="R121" s="5">
        <f t="shared" si="19"/>
        <v>0</v>
      </c>
      <c r="S121" s="5">
        <f t="shared" si="20"/>
        <v>0</v>
      </c>
      <c r="T121" s="5">
        <f t="shared" si="21"/>
        <v>0</v>
      </c>
      <c r="U121" s="5">
        <f t="shared" si="22"/>
        <v>1</v>
      </c>
      <c r="V121" s="5">
        <f t="shared" si="23"/>
        <v>0</v>
      </c>
      <c r="W121" s="5">
        <f t="shared" si="24"/>
        <v>0</v>
      </c>
      <c r="X121" s="5">
        <f t="shared" si="25"/>
        <v>0</v>
      </c>
      <c r="Y121" s="5">
        <f t="shared" si="26"/>
        <v>0</v>
      </c>
      <c r="Z121" s="5">
        <f t="shared" si="27"/>
        <v>0</v>
      </c>
      <c r="AA121" s="5">
        <f t="shared" si="28"/>
        <v>0</v>
      </c>
      <c r="AB121" s="5">
        <f t="shared" si="29"/>
        <v>0</v>
      </c>
      <c r="AC121" s="5">
        <f t="shared" si="30"/>
        <v>0</v>
      </c>
      <c r="AD121" s="5"/>
      <c r="AE121" s="5"/>
      <c r="AF121" s="5">
        <f t="shared" si="31"/>
        <v>1</v>
      </c>
      <c r="AG121" s="5">
        <f t="shared" si="32"/>
        <v>1</v>
      </c>
      <c r="AH121" s="5" t="str">
        <f t="shared" si="33"/>
        <v>Correct</v>
      </c>
      <c r="AI121" s="5"/>
      <c r="AJ121" s="120" t="str">
        <f>IFERROR(VLOOKUP(Table1[RespondentID],'All Data'!$A$3:$CO$999,87,FALSE),"unknown")</f>
        <v>Man</v>
      </c>
      <c r="AK121" s="120">
        <f>IFERROR(VLOOKUP(Table1[RespondentID],'All Data'!$A$3:$CO$999,88,FALSE),"unknown")</f>
        <v>0</v>
      </c>
      <c r="AL121" s="120" t="str">
        <f>IFERROR(VLOOKUP(Table1[RespondentID],'All Data'!$A$3:$CO$999,89,FALSE),"unknown")</f>
        <v>Suffolk</v>
      </c>
      <c r="AM121" s="120" t="str">
        <f>IFERROR(VLOOKUP(Table1[RespondentID],'All Data'!$A$3:$CO$999,90,FALSE),"unknown")</f>
        <v>Commack, 11725</v>
      </c>
      <c r="AN121" s="120" t="str">
        <f>IFERROR(VLOOKUP(Table1[RespondentID],'All Data'!$A$3:$CO$999,91,FALSE),"unknown")</f>
        <v>White</v>
      </c>
      <c r="AO121" s="120">
        <f>IFERROR(VLOOKUP(Table1[RespondentID],'All Data'!$A$3:$CO$999,92,FALSE),"unknown")</f>
        <v>0</v>
      </c>
      <c r="AP121" s="120" t="str">
        <f>IFERROR(VLOOKUP(Table1[RespondentID],'All Data'!$A$3:$CO$999,93,FALSE),"unknown")</f>
        <v>English</v>
      </c>
      <c r="AQ121" s="120">
        <f>IFERROR(VLOOKUP(Table1[RespondentID],'All Data'!$A$3:$CW$999,94,FALSE),"unknown")</f>
        <v>0</v>
      </c>
      <c r="AR121" s="120" t="str">
        <f>IFERROR(VLOOKUP(Table1[RespondentID],'All Data'!$A$3:$CW$999,95,FALSE),"unknown")</f>
        <v>College graduate</v>
      </c>
      <c r="AS121" s="120" t="str">
        <f>IFERROR(VLOOKUP(Table1[RespondentID],'All Data'!$A$3:$CW$999,96,FALSE),"unknown")</f>
        <v>Employed for wages</v>
      </c>
      <c r="AT121" s="120" t="str">
        <f>IFERROR(VLOOKUP(Table1[RespondentID],'All Data'!$A$3:$CW$999,97,FALSE),"unknown")</f>
        <v>Yes</v>
      </c>
      <c r="AU121" s="120">
        <f>IFERROR(VLOOKUP(Table1[RespondentID],'All Data'!$A$3:$CW$999,98,FALSE),"unknown")</f>
        <v>0</v>
      </c>
      <c r="AV121" s="120">
        <f>IFERROR(VLOOKUP(Table1[RespondentID],'All Data'!$A$3:$CW$999,99,FALSE),"unknown")</f>
        <v>0</v>
      </c>
    </row>
    <row r="122" spans="1:48">
      <c r="A122" s="5">
        <v>18022519606</v>
      </c>
      <c r="B122" s="5"/>
      <c r="C122" s="5" t="s">
        <v>39</v>
      </c>
      <c r="D122" s="5"/>
      <c r="E122" s="5"/>
      <c r="F122" s="5"/>
      <c r="G122" s="5"/>
      <c r="H122" s="5"/>
      <c r="I122" s="5"/>
      <c r="J122" s="5"/>
      <c r="K122" s="5"/>
      <c r="L122" s="5"/>
      <c r="M122" s="5"/>
      <c r="N122" s="5"/>
      <c r="O122" s="5">
        <f t="shared" si="17"/>
        <v>1</v>
      </c>
      <c r="P122" s="5">
        <f t="shared" si="18"/>
        <v>3</v>
      </c>
      <c r="Q122" s="5"/>
      <c r="R122" s="5">
        <f t="shared" si="19"/>
        <v>0</v>
      </c>
      <c r="S122" s="5">
        <f t="shared" si="20"/>
        <v>1</v>
      </c>
      <c r="T122" s="5">
        <f t="shared" si="21"/>
        <v>0</v>
      </c>
      <c r="U122" s="5">
        <f t="shared" si="22"/>
        <v>0</v>
      </c>
      <c r="V122" s="5">
        <f t="shared" si="23"/>
        <v>0</v>
      </c>
      <c r="W122" s="5">
        <f t="shared" si="24"/>
        <v>0</v>
      </c>
      <c r="X122" s="5">
        <f t="shared" si="25"/>
        <v>0</v>
      </c>
      <c r="Y122" s="5">
        <f t="shared" si="26"/>
        <v>0</v>
      </c>
      <c r="Z122" s="5">
        <f t="shared" si="27"/>
        <v>0</v>
      </c>
      <c r="AA122" s="5">
        <f t="shared" si="28"/>
        <v>0</v>
      </c>
      <c r="AB122" s="5">
        <f t="shared" si="29"/>
        <v>0</v>
      </c>
      <c r="AC122" s="5">
        <f t="shared" si="30"/>
        <v>0</v>
      </c>
      <c r="AD122" s="5"/>
      <c r="AE122" s="5"/>
      <c r="AF122" s="5">
        <f t="shared" si="31"/>
        <v>1</v>
      </c>
      <c r="AG122" s="5">
        <f t="shared" si="32"/>
        <v>1</v>
      </c>
      <c r="AH122" s="5" t="str">
        <f t="shared" si="33"/>
        <v>Correct</v>
      </c>
      <c r="AI122" s="5"/>
      <c r="AJ122" s="120" t="str">
        <f>IFERROR(VLOOKUP(Table1[RespondentID],'All Data'!$A$3:$CO$999,87,FALSE),"unknown")</f>
        <v>Woman</v>
      </c>
      <c r="AK122" s="120">
        <f>IFERROR(VLOOKUP(Table1[RespondentID],'All Data'!$A$3:$CO$999,88,FALSE),"unknown")</f>
        <v>32</v>
      </c>
      <c r="AL122" s="120" t="str">
        <f>IFERROR(VLOOKUP(Table1[RespondentID],'All Data'!$A$3:$CO$999,89,FALSE),"unknown")</f>
        <v>Suffolk</v>
      </c>
      <c r="AM122" s="120" t="str">
        <f>IFERROR(VLOOKUP(Table1[RespondentID],'All Data'!$A$3:$CO$999,90,FALSE),"unknown")</f>
        <v>West Islip, 11795</v>
      </c>
      <c r="AN122" s="120" t="str">
        <f>IFERROR(VLOOKUP(Table1[RespondentID],'All Data'!$A$3:$CO$999,91,FALSE),"unknown")</f>
        <v>White</v>
      </c>
      <c r="AO122" s="120" t="str">
        <f>IFERROR(VLOOKUP(Table1[RespondentID],'All Data'!$A$3:$CO$999,92,FALSE),"unknown")</f>
        <v>Hispanic or Latino</v>
      </c>
      <c r="AP122" s="120" t="str">
        <f>IFERROR(VLOOKUP(Table1[RespondentID],'All Data'!$A$3:$CO$999,93,FALSE),"unknown")</f>
        <v>English</v>
      </c>
      <c r="AQ122" s="120" t="str">
        <f>IFERROR(VLOOKUP(Table1[RespondentID],'All Data'!$A$3:$CW$999,94,FALSE),"unknown")</f>
        <v>$50,000 to $74,999</v>
      </c>
      <c r="AR122" s="120" t="str">
        <f>IFERROR(VLOOKUP(Table1[RespondentID],'All Data'!$A$3:$CW$999,95,FALSE),"unknown")</f>
        <v>Graduate school</v>
      </c>
      <c r="AS122" s="120" t="str">
        <f>IFERROR(VLOOKUP(Table1[RespondentID],'All Data'!$A$3:$CW$999,96,FALSE),"unknown")</f>
        <v>Employed for wages</v>
      </c>
      <c r="AT122" s="120" t="str">
        <f>IFERROR(VLOOKUP(Table1[RespondentID],'All Data'!$A$3:$CW$999,97,FALSE),"unknown")</f>
        <v>Yes</v>
      </c>
      <c r="AU122" s="120">
        <f>IFERROR(VLOOKUP(Table1[RespondentID],'All Data'!$A$3:$CW$999,98,FALSE),"unknown")</f>
        <v>0</v>
      </c>
      <c r="AV122" s="120">
        <f>IFERROR(VLOOKUP(Table1[RespondentID],'All Data'!$A$3:$CW$999,99,FALSE),"unknown")</f>
        <v>0</v>
      </c>
    </row>
    <row r="123" spans="1:48">
      <c r="A123" s="5">
        <v>18022519229</v>
      </c>
      <c r="B123" s="5"/>
      <c r="C123" s="5"/>
      <c r="D123" s="5"/>
      <c r="E123" s="5"/>
      <c r="F123" s="5"/>
      <c r="G123" s="5"/>
      <c r="H123" s="5" t="s">
        <v>43</v>
      </c>
      <c r="I123" s="5"/>
      <c r="J123" s="5"/>
      <c r="K123" s="5"/>
      <c r="L123" s="5"/>
      <c r="M123" s="5"/>
      <c r="N123" s="5"/>
      <c r="O123" s="5">
        <f t="shared" si="17"/>
        <v>1</v>
      </c>
      <c r="P123" s="5">
        <f t="shared" si="18"/>
        <v>3</v>
      </c>
      <c r="Q123" s="5"/>
      <c r="R123" s="5">
        <f t="shared" si="19"/>
        <v>0</v>
      </c>
      <c r="S123" s="5">
        <f t="shared" si="20"/>
        <v>0</v>
      </c>
      <c r="T123" s="5">
        <f t="shared" si="21"/>
        <v>0</v>
      </c>
      <c r="U123" s="5">
        <f t="shared" si="22"/>
        <v>0</v>
      </c>
      <c r="V123" s="5">
        <f t="shared" si="23"/>
        <v>0</v>
      </c>
      <c r="W123" s="5">
        <f t="shared" si="24"/>
        <v>0</v>
      </c>
      <c r="X123" s="5">
        <f t="shared" si="25"/>
        <v>1</v>
      </c>
      <c r="Y123" s="5">
        <f t="shared" si="26"/>
        <v>0</v>
      </c>
      <c r="Z123" s="5">
        <f t="shared" si="27"/>
        <v>0</v>
      </c>
      <c r="AA123" s="5">
        <f t="shared" si="28"/>
        <v>0</v>
      </c>
      <c r="AB123" s="5">
        <f t="shared" si="29"/>
        <v>0</v>
      </c>
      <c r="AC123" s="5">
        <f t="shared" si="30"/>
        <v>0</v>
      </c>
      <c r="AD123" s="5"/>
      <c r="AE123" s="5"/>
      <c r="AF123" s="5">
        <f t="shared" si="31"/>
        <v>1</v>
      </c>
      <c r="AG123" s="5">
        <f t="shared" si="32"/>
        <v>1</v>
      </c>
      <c r="AH123" s="5" t="str">
        <f t="shared" si="33"/>
        <v>Correct</v>
      </c>
      <c r="AI123" s="5"/>
      <c r="AJ123" s="120" t="str">
        <f>IFERROR(VLOOKUP(Table1[RespondentID],'All Data'!$A$3:$CO$999,87,FALSE),"unknown")</f>
        <v>Man</v>
      </c>
      <c r="AK123" s="120">
        <f>IFERROR(VLOOKUP(Table1[RespondentID],'All Data'!$A$3:$CO$999,88,FALSE),"unknown")</f>
        <v>45</v>
      </c>
      <c r="AL123" s="120" t="str">
        <f>IFERROR(VLOOKUP(Table1[RespondentID],'All Data'!$A$3:$CO$999,89,FALSE),"unknown")</f>
        <v>Suffolk</v>
      </c>
      <c r="AM123" s="120" t="str">
        <f>IFERROR(VLOOKUP(Table1[RespondentID],'All Data'!$A$3:$CO$999,90,FALSE),"unknown")</f>
        <v>Commack, 11725</v>
      </c>
      <c r="AN123" s="120" t="str">
        <f>IFERROR(VLOOKUP(Table1[RespondentID],'All Data'!$A$3:$CO$999,91,FALSE),"unknown")</f>
        <v>White</v>
      </c>
      <c r="AO123" s="120">
        <f>IFERROR(VLOOKUP(Table1[RespondentID],'All Data'!$A$3:$CO$999,92,FALSE),"unknown")</f>
        <v>0</v>
      </c>
      <c r="AP123" s="120" t="str">
        <f>IFERROR(VLOOKUP(Table1[RespondentID],'All Data'!$A$3:$CO$999,93,FALSE),"unknown")</f>
        <v>English</v>
      </c>
      <c r="AQ123" s="120" t="str">
        <f>IFERROR(VLOOKUP(Table1[RespondentID],'All Data'!$A$3:$CW$999,94,FALSE),"unknown")</f>
        <v>$50,000 to $74,999</v>
      </c>
      <c r="AR123" s="120" t="str">
        <f>IFERROR(VLOOKUP(Table1[RespondentID],'All Data'!$A$3:$CW$999,95,FALSE),"unknown")</f>
        <v>Graduate school</v>
      </c>
      <c r="AS123" s="120" t="str">
        <f>IFERROR(VLOOKUP(Table1[RespondentID],'All Data'!$A$3:$CW$999,96,FALSE),"unknown")</f>
        <v>Employed for wages</v>
      </c>
      <c r="AT123" s="120" t="str">
        <f>IFERROR(VLOOKUP(Table1[RespondentID],'All Data'!$A$3:$CW$999,97,FALSE),"unknown")</f>
        <v>Yes</v>
      </c>
      <c r="AU123" s="120">
        <f>IFERROR(VLOOKUP(Table1[RespondentID],'All Data'!$A$3:$CW$999,98,FALSE),"unknown")</f>
        <v>0</v>
      </c>
      <c r="AV123" s="120">
        <f>IFERROR(VLOOKUP(Table1[RespondentID],'All Data'!$A$3:$CW$999,99,FALSE),"unknown")</f>
        <v>0</v>
      </c>
    </row>
    <row r="124" spans="1:48">
      <c r="A124" s="5">
        <v>18022519049</v>
      </c>
      <c r="B124" s="5"/>
      <c r="C124" s="5"/>
      <c r="D124" s="5"/>
      <c r="E124" s="5"/>
      <c r="F124" s="5"/>
      <c r="G124" s="5"/>
      <c r="H124" s="5" t="s">
        <v>43</v>
      </c>
      <c r="I124" s="5"/>
      <c r="J124" s="5"/>
      <c r="K124" s="5"/>
      <c r="L124" s="5"/>
      <c r="M124" s="5"/>
      <c r="N124" s="5"/>
      <c r="O124" s="5">
        <f t="shared" si="17"/>
        <v>1</v>
      </c>
      <c r="P124" s="5">
        <f t="shared" si="18"/>
        <v>3</v>
      </c>
      <c r="Q124" s="5"/>
      <c r="R124" s="5">
        <f t="shared" si="19"/>
        <v>0</v>
      </c>
      <c r="S124" s="5">
        <f t="shared" si="20"/>
        <v>0</v>
      </c>
      <c r="T124" s="5">
        <f t="shared" si="21"/>
        <v>0</v>
      </c>
      <c r="U124" s="5">
        <f t="shared" si="22"/>
        <v>0</v>
      </c>
      <c r="V124" s="5">
        <f t="shared" si="23"/>
        <v>0</v>
      </c>
      <c r="W124" s="5">
        <f t="shared" si="24"/>
        <v>0</v>
      </c>
      <c r="X124" s="5">
        <f t="shared" si="25"/>
        <v>1</v>
      </c>
      <c r="Y124" s="5">
        <f t="shared" si="26"/>
        <v>0</v>
      </c>
      <c r="Z124" s="5">
        <f t="shared" si="27"/>
        <v>0</v>
      </c>
      <c r="AA124" s="5">
        <f t="shared" si="28"/>
        <v>0</v>
      </c>
      <c r="AB124" s="5">
        <f t="shared" si="29"/>
        <v>0</v>
      </c>
      <c r="AC124" s="5">
        <f t="shared" si="30"/>
        <v>0</v>
      </c>
      <c r="AD124" s="5"/>
      <c r="AE124" s="5"/>
      <c r="AF124" s="5">
        <f t="shared" si="31"/>
        <v>1</v>
      </c>
      <c r="AG124" s="5">
        <f t="shared" si="32"/>
        <v>1</v>
      </c>
      <c r="AH124" s="5" t="str">
        <f t="shared" si="33"/>
        <v>Correct</v>
      </c>
      <c r="AI124" s="5"/>
      <c r="AJ124" s="120" t="str">
        <f>IFERROR(VLOOKUP(Table1[RespondentID],'All Data'!$A$3:$CO$999,87,FALSE),"unknown")</f>
        <v>Man</v>
      </c>
      <c r="AK124" s="120">
        <f>IFERROR(VLOOKUP(Table1[RespondentID],'All Data'!$A$3:$CO$999,88,FALSE),"unknown")</f>
        <v>44</v>
      </c>
      <c r="AL124" s="120" t="str">
        <f>IFERROR(VLOOKUP(Table1[RespondentID],'All Data'!$A$3:$CO$999,89,FALSE),"unknown")</f>
        <v>Suffolk</v>
      </c>
      <c r="AM124" s="120" t="str">
        <f>IFERROR(VLOOKUP(Table1[RespondentID],'All Data'!$A$3:$CO$999,90,FALSE),"unknown")</f>
        <v>Commack, 11725</v>
      </c>
      <c r="AN124" s="120" t="str">
        <f>IFERROR(VLOOKUP(Table1[RespondentID],'All Data'!$A$3:$CO$999,91,FALSE),"unknown")</f>
        <v>White</v>
      </c>
      <c r="AO124" s="120" t="str">
        <f>IFERROR(VLOOKUP(Table1[RespondentID],'All Data'!$A$3:$CO$999,92,FALSE),"unknown")</f>
        <v>Hispanic or Latino</v>
      </c>
      <c r="AP124" s="120" t="str">
        <f>IFERROR(VLOOKUP(Table1[RespondentID],'All Data'!$A$3:$CO$999,93,FALSE),"unknown")</f>
        <v>English</v>
      </c>
      <c r="AQ124" s="120" t="str">
        <f>IFERROR(VLOOKUP(Table1[RespondentID],'All Data'!$A$3:$CW$999,94,FALSE),"unknown")</f>
        <v>Over $125,000</v>
      </c>
      <c r="AR124" s="120" t="str">
        <f>IFERROR(VLOOKUP(Table1[RespondentID],'All Data'!$A$3:$CW$999,95,FALSE),"unknown")</f>
        <v>Some college</v>
      </c>
      <c r="AS124" s="120">
        <f>IFERROR(VLOOKUP(Table1[RespondentID],'All Data'!$A$3:$CW$999,96,FALSE),"unknown")</f>
        <v>0</v>
      </c>
      <c r="AT124" s="120" t="str">
        <f>IFERROR(VLOOKUP(Table1[RespondentID],'All Data'!$A$3:$CW$999,97,FALSE),"unknown")</f>
        <v>Yes</v>
      </c>
      <c r="AU124" s="120">
        <f>IFERROR(VLOOKUP(Table1[RespondentID],'All Data'!$A$3:$CW$999,98,FALSE),"unknown")</f>
        <v>0</v>
      </c>
      <c r="AV124" s="120">
        <f>IFERROR(VLOOKUP(Table1[RespondentID],'All Data'!$A$3:$CW$999,99,FALSE),"unknown")</f>
        <v>0</v>
      </c>
    </row>
    <row r="125" spans="1:48">
      <c r="A125" s="5">
        <v>18022518816</v>
      </c>
      <c r="B125" s="5"/>
      <c r="C125" s="5" t="s">
        <v>39</v>
      </c>
      <c r="D125" s="5"/>
      <c r="E125" s="5"/>
      <c r="F125" s="5"/>
      <c r="G125" s="5"/>
      <c r="H125" s="5"/>
      <c r="I125" s="5"/>
      <c r="J125" s="5"/>
      <c r="K125" s="5"/>
      <c r="L125" s="5"/>
      <c r="M125" s="5"/>
      <c r="N125" s="5"/>
      <c r="O125" s="5">
        <f t="shared" si="17"/>
        <v>1</v>
      </c>
      <c r="P125" s="5">
        <f t="shared" si="18"/>
        <v>3</v>
      </c>
      <c r="Q125" s="5"/>
      <c r="R125" s="5">
        <f t="shared" si="19"/>
        <v>0</v>
      </c>
      <c r="S125" s="5">
        <f t="shared" si="20"/>
        <v>1</v>
      </c>
      <c r="T125" s="5">
        <f t="shared" si="21"/>
        <v>0</v>
      </c>
      <c r="U125" s="5">
        <f t="shared" si="22"/>
        <v>0</v>
      </c>
      <c r="V125" s="5">
        <f t="shared" si="23"/>
        <v>0</v>
      </c>
      <c r="W125" s="5">
        <f t="shared" si="24"/>
        <v>0</v>
      </c>
      <c r="X125" s="5">
        <f t="shared" si="25"/>
        <v>0</v>
      </c>
      <c r="Y125" s="5">
        <f t="shared" si="26"/>
        <v>0</v>
      </c>
      <c r="Z125" s="5">
        <f t="shared" si="27"/>
        <v>0</v>
      </c>
      <c r="AA125" s="5">
        <f t="shared" si="28"/>
        <v>0</v>
      </c>
      <c r="AB125" s="5">
        <f t="shared" si="29"/>
        <v>0</v>
      </c>
      <c r="AC125" s="5">
        <f t="shared" si="30"/>
        <v>0</v>
      </c>
      <c r="AD125" s="5"/>
      <c r="AE125" s="5"/>
      <c r="AF125" s="5">
        <f t="shared" si="31"/>
        <v>1</v>
      </c>
      <c r="AG125" s="5">
        <f t="shared" si="32"/>
        <v>1</v>
      </c>
      <c r="AH125" s="5" t="str">
        <f t="shared" si="33"/>
        <v>Correct</v>
      </c>
      <c r="AI125" s="5"/>
      <c r="AJ125" s="120" t="str">
        <f>IFERROR(VLOOKUP(Table1[RespondentID],'All Data'!$A$3:$CO$999,87,FALSE),"unknown")</f>
        <v>Man</v>
      </c>
      <c r="AK125" s="120">
        <f>IFERROR(VLOOKUP(Table1[RespondentID],'All Data'!$A$3:$CO$999,88,FALSE),"unknown")</f>
        <v>18</v>
      </c>
      <c r="AL125" s="120" t="str">
        <f>IFERROR(VLOOKUP(Table1[RespondentID],'All Data'!$A$3:$CO$999,89,FALSE),"unknown")</f>
        <v>Suffolk</v>
      </c>
      <c r="AM125" s="120" t="str">
        <f>IFERROR(VLOOKUP(Table1[RespondentID],'All Data'!$A$3:$CO$999,90,FALSE),"unknown")</f>
        <v>Smithtown, 11787</v>
      </c>
      <c r="AN125" s="120" t="str">
        <f>IFERROR(VLOOKUP(Table1[RespondentID],'All Data'!$A$3:$CO$999,91,FALSE),"unknown")</f>
        <v>White</v>
      </c>
      <c r="AO125" s="120">
        <f>IFERROR(VLOOKUP(Table1[RespondentID],'All Data'!$A$3:$CO$999,92,FALSE),"unknown")</f>
        <v>0</v>
      </c>
      <c r="AP125" s="120" t="str">
        <f>IFERROR(VLOOKUP(Table1[RespondentID],'All Data'!$A$3:$CO$999,93,FALSE),"unknown")</f>
        <v>English</v>
      </c>
      <c r="AQ125" s="120" t="str">
        <f>IFERROR(VLOOKUP(Table1[RespondentID],'All Data'!$A$3:$CW$999,94,FALSE),"unknown")</f>
        <v>$75,000 to $125,000</v>
      </c>
      <c r="AR125" s="120" t="str">
        <f>IFERROR(VLOOKUP(Table1[RespondentID],'All Data'!$A$3:$CW$999,95,FALSE),"unknown")</f>
        <v>Some high school</v>
      </c>
      <c r="AS125" s="120">
        <f>IFERROR(VLOOKUP(Table1[RespondentID],'All Data'!$A$3:$CW$999,96,FALSE),"unknown")</f>
        <v>0</v>
      </c>
      <c r="AT125" s="120" t="str">
        <f>IFERROR(VLOOKUP(Table1[RespondentID],'All Data'!$A$3:$CW$999,97,FALSE),"unknown")</f>
        <v>Yes</v>
      </c>
      <c r="AU125" s="120">
        <f>IFERROR(VLOOKUP(Table1[RespondentID],'All Data'!$A$3:$CW$999,98,FALSE),"unknown")</f>
        <v>0</v>
      </c>
      <c r="AV125" s="120">
        <f>IFERROR(VLOOKUP(Table1[RespondentID],'All Data'!$A$3:$CW$999,99,FALSE),"unknown")</f>
        <v>0</v>
      </c>
    </row>
    <row r="126" spans="1:48">
      <c r="A126" s="5">
        <v>18022518632</v>
      </c>
      <c r="B126" s="5"/>
      <c r="C126" s="5" t="s">
        <v>39</v>
      </c>
      <c r="D126" s="5"/>
      <c r="E126" s="5"/>
      <c r="F126" s="5"/>
      <c r="G126" s="5"/>
      <c r="H126" s="5"/>
      <c r="I126" s="5"/>
      <c r="J126" s="5"/>
      <c r="K126" s="5"/>
      <c r="L126" s="5"/>
      <c r="M126" s="5"/>
      <c r="N126" s="5"/>
      <c r="O126" s="5">
        <f t="shared" si="17"/>
        <v>1</v>
      </c>
      <c r="P126" s="5">
        <f t="shared" si="18"/>
        <v>3</v>
      </c>
      <c r="Q126" s="5"/>
      <c r="R126" s="5">
        <f t="shared" si="19"/>
        <v>0</v>
      </c>
      <c r="S126" s="5">
        <f t="shared" si="20"/>
        <v>1</v>
      </c>
      <c r="T126" s="5">
        <f t="shared" si="21"/>
        <v>0</v>
      </c>
      <c r="U126" s="5">
        <f t="shared" si="22"/>
        <v>0</v>
      </c>
      <c r="V126" s="5">
        <f t="shared" si="23"/>
        <v>0</v>
      </c>
      <c r="W126" s="5">
        <f t="shared" si="24"/>
        <v>0</v>
      </c>
      <c r="X126" s="5">
        <f t="shared" si="25"/>
        <v>0</v>
      </c>
      <c r="Y126" s="5">
        <f t="shared" si="26"/>
        <v>0</v>
      </c>
      <c r="Z126" s="5">
        <f t="shared" si="27"/>
        <v>0</v>
      </c>
      <c r="AA126" s="5">
        <f t="shared" si="28"/>
        <v>0</v>
      </c>
      <c r="AB126" s="5">
        <f t="shared" si="29"/>
        <v>0</v>
      </c>
      <c r="AC126" s="5">
        <f t="shared" si="30"/>
        <v>0</v>
      </c>
      <c r="AD126" s="5"/>
      <c r="AE126" s="5"/>
      <c r="AF126" s="5">
        <f t="shared" si="31"/>
        <v>1</v>
      </c>
      <c r="AG126" s="5">
        <f t="shared" si="32"/>
        <v>1</v>
      </c>
      <c r="AH126" s="5" t="str">
        <f t="shared" si="33"/>
        <v>Correct</v>
      </c>
      <c r="AI126" s="5"/>
      <c r="AJ126" s="120" t="str">
        <f>IFERROR(VLOOKUP(Table1[RespondentID],'All Data'!$A$3:$CO$999,87,FALSE),"unknown")</f>
        <v>Man</v>
      </c>
      <c r="AK126" s="120">
        <f>IFERROR(VLOOKUP(Table1[RespondentID],'All Data'!$A$3:$CO$999,88,FALSE),"unknown")</f>
        <v>18</v>
      </c>
      <c r="AL126" s="120" t="str">
        <f>IFERROR(VLOOKUP(Table1[RespondentID],'All Data'!$A$3:$CO$999,89,FALSE),"unknown")</f>
        <v>Suffolk</v>
      </c>
      <c r="AM126" s="120" t="str">
        <f>IFERROR(VLOOKUP(Table1[RespondentID],'All Data'!$A$3:$CO$999,90,FALSE),"unknown")</f>
        <v>East Northport, 11731</v>
      </c>
      <c r="AN126" s="120" t="str">
        <f>IFERROR(VLOOKUP(Table1[RespondentID],'All Data'!$A$3:$CO$999,91,FALSE),"unknown")</f>
        <v>White</v>
      </c>
      <c r="AO126" s="120" t="str">
        <f>IFERROR(VLOOKUP(Table1[RespondentID],'All Data'!$A$3:$CO$999,92,FALSE),"unknown")</f>
        <v>Hispanic or Latino</v>
      </c>
      <c r="AP126" s="120" t="str">
        <f>IFERROR(VLOOKUP(Table1[RespondentID],'All Data'!$A$3:$CO$999,93,FALSE),"unknown")</f>
        <v>English</v>
      </c>
      <c r="AQ126" s="120">
        <f>IFERROR(VLOOKUP(Table1[RespondentID],'All Data'!$A$3:$CW$999,94,FALSE),"unknown")</f>
        <v>0</v>
      </c>
      <c r="AR126" s="120" t="str">
        <f>IFERROR(VLOOKUP(Table1[RespondentID],'All Data'!$A$3:$CW$999,95,FALSE),"unknown")</f>
        <v>Some high school</v>
      </c>
      <c r="AS126" s="120" t="str">
        <f>IFERROR(VLOOKUP(Table1[RespondentID],'All Data'!$A$3:$CW$999,96,FALSE),"unknown")</f>
        <v>Student</v>
      </c>
      <c r="AT126" s="120" t="str">
        <f>IFERROR(VLOOKUP(Table1[RespondentID],'All Data'!$A$3:$CW$999,97,FALSE),"unknown")</f>
        <v>Yes</v>
      </c>
      <c r="AU126" s="120">
        <f>IFERROR(VLOOKUP(Table1[RespondentID],'All Data'!$A$3:$CW$999,98,FALSE),"unknown")</f>
        <v>0</v>
      </c>
      <c r="AV126" s="120">
        <f>IFERROR(VLOOKUP(Table1[RespondentID],'All Data'!$A$3:$CW$999,99,FALSE),"unknown")</f>
        <v>0</v>
      </c>
    </row>
    <row r="127" spans="1:48">
      <c r="A127" s="5">
        <v>18022518486</v>
      </c>
      <c r="B127" s="5"/>
      <c r="C127" s="5"/>
      <c r="D127" s="5"/>
      <c r="E127" s="5" t="s">
        <v>41</v>
      </c>
      <c r="F127" s="5"/>
      <c r="G127" s="5"/>
      <c r="H127" s="5"/>
      <c r="I127" s="5" t="s">
        <v>44</v>
      </c>
      <c r="J127" s="5"/>
      <c r="K127" s="5"/>
      <c r="L127" s="5" t="s">
        <v>47</v>
      </c>
      <c r="M127" s="5"/>
      <c r="N127" s="5"/>
      <c r="O127" s="5">
        <f t="shared" si="17"/>
        <v>3</v>
      </c>
      <c r="P127" s="5">
        <f t="shared" si="18"/>
        <v>1</v>
      </c>
      <c r="Q127" s="5"/>
      <c r="R127" s="5">
        <f t="shared" si="19"/>
        <v>0</v>
      </c>
      <c r="S127" s="5">
        <f t="shared" si="20"/>
        <v>0</v>
      </c>
      <c r="T127" s="5">
        <f t="shared" si="21"/>
        <v>0</v>
      </c>
      <c r="U127" s="5">
        <f t="shared" si="22"/>
        <v>1</v>
      </c>
      <c r="V127" s="5">
        <f t="shared" si="23"/>
        <v>0</v>
      </c>
      <c r="W127" s="5">
        <f t="shared" si="24"/>
        <v>0</v>
      </c>
      <c r="X127" s="5">
        <f t="shared" si="25"/>
        <v>0</v>
      </c>
      <c r="Y127" s="5">
        <f t="shared" si="26"/>
        <v>1</v>
      </c>
      <c r="Z127" s="5">
        <f t="shared" si="27"/>
        <v>0</v>
      </c>
      <c r="AA127" s="5">
        <f t="shared" si="28"/>
        <v>0</v>
      </c>
      <c r="AB127" s="5">
        <f t="shared" si="29"/>
        <v>1</v>
      </c>
      <c r="AC127" s="5">
        <f t="shared" si="30"/>
        <v>0</v>
      </c>
      <c r="AD127" s="5"/>
      <c r="AE127" s="5"/>
      <c r="AF127" s="5">
        <f t="shared" si="31"/>
        <v>3</v>
      </c>
      <c r="AG127" s="5">
        <f t="shared" si="32"/>
        <v>3</v>
      </c>
      <c r="AH127" s="5" t="str">
        <f t="shared" si="33"/>
        <v>Correct</v>
      </c>
      <c r="AI127" s="5"/>
      <c r="AJ127" s="120" t="str">
        <f>IFERROR(VLOOKUP(Table1[RespondentID],'All Data'!$A$3:$CO$999,87,FALSE),"unknown")</f>
        <v>Man</v>
      </c>
      <c r="AK127" s="120">
        <f>IFERROR(VLOOKUP(Table1[RespondentID],'All Data'!$A$3:$CO$999,88,FALSE),"unknown")</f>
        <v>18</v>
      </c>
      <c r="AL127" s="120" t="str">
        <f>IFERROR(VLOOKUP(Table1[RespondentID],'All Data'!$A$3:$CO$999,89,FALSE),"unknown")</f>
        <v>Suffolk</v>
      </c>
      <c r="AM127" s="120" t="str">
        <f>IFERROR(VLOOKUP(Table1[RespondentID],'All Data'!$A$3:$CO$999,90,FALSE),"unknown")</f>
        <v>Commack, 11725</v>
      </c>
      <c r="AN127" s="120" t="str">
        <f>IFERROR(VLOOKUP(Table1[RespondentID],'All Data'!$A$3:$CO$999,91,FALSE),"unknown")</f>
        <v>White</v>
      </c>
      <c r="AO127" s="120" t="str">
        <f>IFERROR(VLOOKUP(Table1[RespondentID],'All Data'!$A$3:$CO$999,92,FALSE),"unknown")</f>
        <v>Not Hispanic or Latino</v>
      </c>
      <c r="AP127" s="120" t="str">
        <f>IFERROR(VLOOKUP(Table1[RespondentID],'All Data'!$A$3:$CO$999,93,FALSE),"unknown")</f>
        <v>English, Spanish</v>
      </c>
      <c r="AQ127" s="120">
        <f>IFERROR(VLOOKUP(Table1[RespondentID],'All Data'!$A$3:$CW$999,94,FALSE),"unknown")</f>
        <v>0</v>
      </c>
      <c r="AR127" s="120" t="str">
        <f>IFERROR(VLOOKUP(Table1[RespondentID],'All Data'!$A$3:$CW$999,95,FALSE),"unknown")</f>
        <v>Some high school</v>
      </c>
      <c r="AS127" s="120" t="str">
        <f>IFERROR(VLOOKUP(Table1[RespondentID],'All Data'!$A$3:$CW$999,96,FALSE),"unknown")</f>
        <v>Employed for wages</v>
      </c>
      <c r="AT127" s="120" t="str">
        <f>IFERROR(VLOOKUP(Table1[RespondentID],'All Data'!$A$3:$CW$999,97,FALSE),"unknown")</f>
        <v>Yes</v>
      </c>
      <c r="AU127" s="120">
        <f>IFERROR(VLOOKUP(Table1[RespondentID],'All Data'!$A$3:$CW$999,98,FALSE),"unknown")</f>
        <v>0</v>
      </c>
      <c r="AV127" s="120">
        <f>IFERROR(VLOOKUP(Table1[RespondentID],'All Data'!$A$3:$CW$999,99,FALSE),"unknown")</f>
        <v>0</v>
      </c>
    </row>
    <row r="128" spans="1:48">
      <c r="A128" s="5">
        <v>18022518320</v>
      </c>
      <c r="B128" s="5"/>
      <c r="C128" s="5" t="s">
        <v>39</v>
      </c>
      <c r="D128" s="5"/>
      <c r="E128" s="5" t="s">
        <v>41</v>
      </c>
      <c r="F128" s="5"/>
      <c r="G128" s="5"/>
      <c r="H128" s="5"/>
      <c r="I128" s="5" t="s">
        <v>44</v>
      </c>
      <c r="J128" s="5"/>
      <c r="K128" s="5"/>
      <c r="L128" s="5"/>
      <c r="M128" s="5"/>
      <c r="N128" s="5"/>
      <c r="O128" s="5">
        <f t="shared" si="17"/>
        <v>3</v>
      </c>
      <c r="P128" s="5">
        <f t="shared" si="18"/>
        <v>1</v>
      </c>
      <c r="Q128" s="5"/>
      <c r="R128" s="5">
        <f t="shared" si="19"/>
        <v>0</v>
      </c>
      <c r="S128" s="5">
        <f t="shared" si="20"/>
        <v>1</v>
      </c>
      <c r="T128" s="5">
        <f t="shared" si="21"/>
        <v>0</v>
      </c>
      <c r="U128" s="5">
        <f t="shared" si="22"/>
        <v>1</v>
      </c>
      <c r="V128" s="5">
        <f t="shared" si="23"/>
        <v>0</v>
      </c>
      <c r="W128" s="5">
        <f t="shared" si="24"/>
        <v>0</v>
      </c>
      <c r="X128" s="5">
        <f t="shared" si="25"/>
        <v>0</v>
      </c>
      <c r="Y128" s="5">
        <f t="shared" si="26"/>
        <v>1</v>
      </c>
      <c r="Z128" s="5">
        <f t="shared" si="27"/>
        <v>0</v>
      </c>
      <c r="AA128" s="5">
        <f t="shared" si="28"/>
        <v>0</v>
      </c>
      <c r="AB128" s="5">
        <f t="shared" si="29"/>
        <v>0</v>
      </c>
      <c r="AC128" s="5">
        <f t="shared" si="30"/>
        <v>0</v>
      </c>
      <c r="AD128" s="5"/>
      <c r="AE128" s="5"/>
      <c r="AF128" s="5">
        <f t="shared" si="31"/>
        <v>3</v>
      </c>
      <c r="AG128" s="5">
        <f t="shared" si="32"/>
        <v>3</v>
      </c>
      <c r="AH128" s="5" t="str">
        <f t="shared" si="33"/>
        <v>Correct</v>
      </c>
      <c r="AI128" s="5"/>
      <c r="AJ128" s="120" t="str">
        <f>IFERROR(VLOOKUP(Table1[RespondentID],'All Data'!$A$3:$CO$999,87,FALSE),"unknown")</f>
        <v>Woman</v>
      </c>
      <c r="AK128" s="120">
        <f>IFERROR(VLOOKUP(Table1[RespondentID],'All Data'!$A$3:$CO$999,88,FALSE),"unknown")</f>
        <v>18</v>
      </c>
      <c r="AL128" s="120" t="str">
        <f>IFERROR(VLOOKUP(Table1[RespondentID],'All Data'!$A$3:$CO$999,89,FALSE),"unknown")</f>
        <v>Suffolk</v>
      </c>
      <c r="AM128" s="120" t="str">
        <f>IFERROR(VLOOKUP(Table1[RespondentID],'All Data'!$A$3:$CO$999,90,FALSE),"unknown")</f>
        <v>Commack, 11725</v>
      </c>
      <c r="AN128" s="120" t="str">
        <f>IFERROR(VLOOKUP(Table1[RespondentID],'All Data'!$A$3:$CO$999,91,FALSE),"unknown")</f>
        <v>White</v>
      </c>
      <c r="AO128" s="120" t="str">
        <f>IFERROR(VLOOKUP(Table1[RespondentID],'All Data'!$A$3:$CO$999,92,FALSE),"unknown")</f>
        <v>Hispanic or Latino</v>
      </c>
      <c r="AP128" s="120" t="str">
        <f>IFERROR(VLOOKUP(Table1[RespondentID],'All Data'!$A$3:$CO$999,93,FALSE),"unknown")</f>
        <v>English</v>
      </c>
      <c r="AQ128" s="120" t="str">
        <f>IFERROR(VLOOKUP(Table1[RespondentID],'All Data'!$A$3:$CW$999,94,FALSE),"unknown")</f>
        <v>$50,000 to $74,999</v>
      </c>
      <c r="AR128" s="120" t="str">
        <f>IFERROR(VLOOKUP(Table1[RespondentID],'All Data'!$A$3:$CW$999,95,FALSE),"unknown")</f>
        <v>Some high school</v>
      </c>
      <c r="AS128" s="120">
        <f>IFERROR(VLOOKUP(Table1[RespondentID],'All Data'!$A$3:$CW$999,96,FALSE),"unknown")</f>
        <v>0</v>
      </c>
      <c r="AT128" s="120" t="str">
        <f>IFERROR(VLOOKUP(Table1[RespondentID],'All Data'!$A$3:$CW$999,97,FALSE),"unknown")</f>
        <v>Yes</v>
      </c>
      <c r="AU128" s="120">
        <f>IFERROR(VLOOKUP(Table1[RespondentID],'All Data'!$A$3:$CW$999,98,FALSE),"unknown")</f>
        <v>0</v>
      </c>
      <c r="AV128" s="120">
        <f>IFERROR(VLOOKUP(Table1[RespondentID],'All Data'!$A$3:$CW$999,99,FALSE),"unknown")</f>
        <v>0</v>
      </c>
    </row>
    <row r="129" spans="1:48">
      <c r="A129" s="5">
        <v>18022518124</v>
      </c>
      <c r="B129" s="5"/>
      <c r="C129" s="5" t="s">
        <v>39</v>
      </c>
      <c r="D129" s="5"/>
      <c r="E129" s="5" t="s">
        <v>41</v>
      </c>
      <c r="F129" s="5"/>
      <c r="G129" s="5"/>
      <c r="H129" s="5"/>
      <c r="I129" s="5"/>
      <c r="J129" s="5"/>
      <c r="K129" s="5" t="s">
        <v>46</v>
      </c>
      <c r="L129" s="5"/>
      <c r="M129" s="5"/>
      <c r="N129" s="5"/>
      <c r="O129" s="5">
        <f t="shared" si="17"/>
        <v>3</v>
      </c>
      <c r="P129" s="5">
        <f t="shared" si="18"/>
        <v>1</v>
      </c>
      <c r="Q129" s="5"/>
      <c r="R129" s="5">
        <f t="shared" si="19"/>
        <v>0</v>
      </c>
      <c r="S129" s="5">
        <f t="shared" si="20"/>
        <v>1</v>
      </c>
      <c r="T129" s="5">
        <f t="shared" si="21"/>
        <v>0</v>
      </c>
      <c r="U129" s="5">
        <f t="shared" si="22"/>
        <v>1</v>
      </c>
      <c r="V129" s="5">
        <f t="shared" si="23"/>
        <v>0</v>
      </c>
      <c r="W129" s="5">
        <f t="shared" si="24"/>
        <v>0</v>
      </c>
      <c r="X129" s="5">
        <f t="shared" si="25"/>
        <v>0</v>
      </c>
      <c r="Y129" s="5">
        <f t="shared" si="26"/>
        <v>0</v>
      </c>
      <c r="Z129" s="5">
        <f t="shared" si="27"/>
        <v>0</v>
      </c>
      <c r="AA129" s="5">
        <f t="shared" si="28"/>
        <v>1</v>
      </c>
      <c r="AB129" s="5">
        <f t="shared" si="29"/>
        <v>0</v>
      </c>
      <c r="AC129" s="5">
        <f t="shared" si="30"/>
        <v>0</v>
      </c>
      <c r="AD129" s="5"/>
      <c r="AE129" s="5"/>
      <c r="AF129" s="5">
        <f t="shared" si="31"/>
        <v>3</v>
      </c>
      <c r="AG129" s="5">
        <f t="shared" si="32"/>
        <v>3</v>
      </c>
      <c r="AH129" s="5" t="str">
        <f t="shared" si="33"/>
        <v>Correct</v>
      </c>
      <c r="AI129" s="5"/>
      <c r="AJ129" s="120" t="str">
        <f>IFERROR(VLOOKUP(Table1[RespondentID],'All Data'!$A$3:$CO$999,87,FALSE),"unknown")</f>
        <v>Woman</v>
      </c>
      <c r="AK129" s="120">
        <f>IFERROR(VLOOKUP(Table1[RespondentID],'All Data'!$A$3:$CO$999,88,FALSE),"unknown")</f>
        <v>42</v>
      </c>
      <c r="AL129" s="120" t="str">
        <f>IFERROR(VLOOKUP(Table1[RespondentID],'All Data'!$A$3:$CO$999,89,FALSE),"unknown")</f>
        <v>Nassau</v>
      </c>
      <c r="AM129" s="120" t="str">
        <f>IFERROR(VLOOKUP(Table1[RespondentID],'All Data'!$A$3:$CO$999,90,FALSE),"unknown")</f>
        <v>Westbury, 11590</v>
      </c>
      <c r="AN129" s="120" t="str">
        <f>IFERROR(VLOOKUP(Table1[RespondentID],'All Data'!$A$3:$CO$999,91,FALSE),"unknown")</f>
        <v>White</v>
      </c>
      <c r="AO129" s="120">
        <f>IFERROR(VLOOKUP(Table1[RespondentID],'All Data'!$A$3:$CO$999,92,FALSE),"unknown")</f>
        <v>0</v>
      </c>
      <c r="AP129" s="120" t="str">
        <f>IFERROR(VLOOKUP(Table1[RespondentID],'All Data'!$A$3:$CO$999,93,FALSE),"unknown")</f>
        <v>English</v>
      </c>
      <c r="AQ129" s="120" t="str">
        <f>IFERROR(VLOOKUP(Table1[RespondentID],'All Data'!$A$3:$CW$999,94,FALSE),"unknown")</f>
        <v>Over $125,000</v>
      </c>
      <c r="AR129" s="120" t="str">
        <f>IFERROR(VLOOKUP(Table1[RespondentID],'All Data'!$A$3:$CW$999,95,FALSE),"unknown")</f>
        <v>Doctorate</v>
      </c>
      <c r="AS129" s="120" t="str">
        <f>IFERROR(VLOOKUP(Table1[RespondentID],'All Data'!$A$3:$CW$999,96,FALSE),"unknown")</f>
        <v>Employed for wages</v>
      </c>
      <c r="AT129" s="120" t="str">
        <f>IFERROR(VLOOKUP(Table1[RespondentID],'All Data'!$A$3:$CW$999,97,FALSE),"unknown")</f>
        <v>Yes</v>
      </c>
      <c r="AU129" s="120">
        <f>IFERROR(VLOOKUP(Table1[RespondentID],'All Data'!$A$3:$CW$999,98,FALSE),"unknown")</f>
        <v>0</v>
      </c>
      <c r="AV129" s="120">
        <f>IFERROR(VLOOKUP(Table1[RespondentID],'All Data'!$A$3:$CW$999,99,FALSE),"unknown")</f>
        <v>0</v>
      </c>
    </row>
    <row r="130" spans="1:48">
      <c r="A130" s="5">
        <v>18022517936</v>
      </c>
      <c r="B130" s="5"/>
      <c r="C130" s="5" t="s">
        <v>39</v>
      </c>
      <c r="D130" s="5"/>
      <c r="E130" s="5"/>
      <c r="F130" s="5"/>
      <c r="G130" s="5"/>
      <c r="H130" s="5" t="s">
        <v>43</v>
      </c>
      <c r="I130" s="5"/>
      <c r="J130" s="5"/>
      <c r="K130" s="5" t="s">
        <v>46</v>
      </c>
      <c r="L130" s="5"/>
      <c r="M130" s="5"/>
      <c r="N130" s="5"/>
      <c r="O130" s="5">
        <f t="shared" ref="O130:O193" si="34">COUNTA(B130:N130)</f>
        <v>3</v>
      </c>
      <c r="P130" s="5">
        <f t="shared" ref="P130:P193" si="35">3/O130</f>
        <v>1</v>
      </c>
      <c r="Q130" s="5"/>
      <c r="R130" s="5">
        <f t="shared" ref="R130:R193" si="36">IF($O130&lt;3,IF($B130=$B$1,1,0),IF($B130=$B$1,$P130,0))</f>
        <v>0</v>
      </c>
      <c r="S130" s="5">
        <f t="shared" ref="S130:S193" si="37">IF($O130&lt;3,IF($C130=$C$1,1,0),IF($C130=$C$1,$P130,0))</f>
        <v>1</v>
      </c>
      <c r="T130" s="5">
        <f t="shared" ref="T130:T193" si="38">IF($O130&lt;3,IF($D130=$D$1,1,0),IF($D130=$D$1,$P130,0))</f>
        <v>0</v>
      </c>
      <c r="U130" s="5">
        <f t="shared" ref="U130:U193" si="39">IF($O130&lt;3,IF($E130=$E$1,1,0),IF($E130=$E$1,$P130,0))</f>
        <v>0</v>
      </c>
      <c r="V130" s="5">
        <f t="shared" ref="V130:V193" si="40">IF($O130&lt;3,IF($F130=$F$1,1,0),IF($F130=$F$1,$P130,0))</f>
        <v>0</v>
      </c>
      <c r="W130" s="5">
        <f t="shared" ref="W130:W193" si="41">IF($O130&lt;3,IF($G130=$G$1,1,0),IF($G130=$G$1,$P130,0))</f>
        <v>0</v>
      </c>
      <c r="X130" s="5">
        <f t="shared" ref="X130:X193" si="42">IF($O130&lt;3,IF($H130=$H$1,1,0),IF($H130=$H$1,$P130,0))</f>
        <v>1</v>
      </c>
      <c r="Y130" s="5">
        <f t="shared" ref="Y130:Y193" si="43">IF($O130&lt;3,IF($I130=$I$1,1,0),IF($I130=$I$1,$P130,0))</f>
        <v>0</v>
      </c>
      <c r="Z130" s="5">
        <f t="shared" ref="Z130:Z193" si="44">IF($O130&lt;3,IF($J130=$J$1,1,0),IF($J130=$J$1,$P130,0))</f>
        <v>0</v>
      </c>
      <c r="AA130" s="5">
        <f t="shared" ref="AA130:AA193" si="45">IF($O130&lt;3,IF($K130=$K$1,1,0),IF($K130=$K$1,$P130,0))</f>
        <v>1</v>
      </c>
      <c r="AB130" s="5">
        <f t="shared" ref="AB130:AB193" si="46">IF($O130&lt;3,IF($L130=$L$1,1,0),IF($L130=$L$1,$P130,0))</f>
        <v>0</v>
      </c>
      <c r="AC130" s="5">
        <f t="shared" ref="AC130:AC193" si="47">IF($O130&lt;3,IF($M130=$M$1,1,0),IF($M130=$M$1,$P130,0))</f>
        <v>0</v>
      </c>
      <c r="AD130" s="5"/>
      <c r="AE130" s="5"/>
      <c r="AF130" s="5">
        <f t="shared" ref="AF130:AF193" si="48">SUM(R130:AD130)</f>
        <v>3</v>
      </c>
      <c r="AG130" s="5">
        <f t="shared" ref="AG130:AG193" si="49">O130</f>
        <v>3</v>
      </c>
      <c r="AH130" s="5" t="str">
        <f t="shared" ref="AH130:AH193" si="50">IF(AF130=AG130,"Correct",IF(AF130=3,"Correct","Wrong"))</f>
        <v>Correct</v>
      </c>
      <c r="AI130" s="5"/>
      <c r="AJ130" s="120" t="str">
        <f>IFERROR(VLOOKUP(Table1[RespondentID],'All Data'!$A$3:$CO$999,87,FALSE),"unknown")</f>
        <v>Man</v>
      </c>
      <c r="AK130" s="120">
        <f>IFERROR(VLOOKUP(Table1[RespondentID],'All Data'!$A$3:$CO$999,88,FALSE),"unknown")</f>
        <v>18</v>
      </c>
      <c r="AL130" s="120" t="str">
        <f>IFERROR(VLOOKUP(Table1[RespondentID],'All Data'!$A$3:$CO$999,89,FALSE),"unknown")</f>
        <v>Suffolk</v>
      </c>
      <c r="AM130" s="120" t="str">
        <f>IFERROR(VLOOKUP(Table1[RespondentID],'All Data'!$A$3:$CO$999,90,FALSE),"unknown")</f>
        <v>Dix Hills, 11746</v>
      </c>
      <c r="AN130" s="120" t="str">
        <f>IFERROR(VLOOKUP(Table1[RespondentID],'All Data'!$A$3:$CO$999,91,FALSE),"unknown")</f>
        <v>White</v>
      </c>
      <c r="AO130" s="120" t="str">
        <f>IFERROR(VLOOKUP(Table1[RespondentID],'All Data'!$A$3:$CO$999,92,FALSE),"unknown")</f>
        <v>Hispanic or Latino</v>
      </c>
      <c r="AP130" s="120" t="str">
        <f>IFERROR(VLOOKUP(Table1[RespondentID],'All Data'!$A$3:$CO$999,93,FALSE),"unknown")</f>
        <v>English</v>
      </c>
      <c r="AQ130" s="120" t="str">
        <f>IFERROR(VLOOKUP(Table1[RespondentID],'All Data'!$A$3:$CW$999,94,FALSE),"unknown")</f>
        <v>$75,000 to $125,000</v>
      </c>
      <c r="AR130" s="120" t="str">
        <f>IFERROR(VLOOKUP(Table1[RespondentID],'All Data'!$A$3:$CW$999,95,FALSE),"unknown")</f>
        <v>High school graduate</v>
      </c>
      <c r="AS130" s="120">
        <f>IFERROR(VLOOKUP(Table1[RespondentID],'All Data'!$A$3:$CW$999,96,FALSE),"unknown")</f>
        <v>0</v>
      </c>
      <c r="AT130" s="120" t="str">
        <f>IFERROR(VLOOKUP(Table1[RespondentID],'All Data'!$A$3:$CW$999,97,FALSE),"unknown")</f>
        <v>Yes</v>
      </c>
      <c r="AU130" s="120">
        <f>IFERROR(VLOOKUP(Table1[RespondentID],'All Data'!$A$3:$CW$999,98,FALSE),"unknown")</f>
        <v>0</v>
      </c>
      <c r="AV130" s="120">
        <f>IFERROR(VLOOKUP(Table1[RespondentID],'All Data'!$A$3:$CW$999,99,FALSE),"unknown")</f>
        <v>0</v>
      </c>
    </row>
    <row r="131" spans="1:48">
      <c r="A131" s="5">
        <v>18022517728</v>
      </c>
      <c r="B131" s="5"/>
      <c r="C131" s="5" t="s">
        <v>39</v>
      </c>
      <c r="D131" s="5"/>
      <c r="E131" s="5"/>
      <c r="F131" s="5"/>
      <c r="G131" s="5"/>
      <c r="H131" s="5" t="s">
        <v>43</v>
      </c>
      <c r="I131" s="5"/>
      <c r="J131" s="5" t="s">
        <v>45</v>
      </c>
      <c r="K131" s="5"/>
      <c r="L131" s="5"/>
      <c r="M131" s="5"/>
      <c r="N131" s="5"/>
      <c r="O131" s="5">
        <f t="shared" si="34"/>
        <v>3</v>
      </c>
      <c r="P131" s="5">
        <f t="shared" si="35"/>
        <v>1</v>
      </c>
      <c r="Q131" s="5"/>
      <c r="R131" s="5">
        <f t="shared" si="36"/>
        <v>0</v>
      </c>
      <c r="S131" s="5">
        <f t="shared" si="37"/>
        <v>1</v>
      </c>
      <c r="T131" s="5">
        <f t="shared" si="38"/>
        <v>0</v>
      </c>
      <c r="U131" s="5">
        <f t="shared" si="39"/>
        <v>0</v>
      </c>
      <c r="V131" s="5">
        <f t="shared" si="40"/>
        <v>0</v>
      </c>
      <c r="W131" s="5">
        <f t="shared" si="41"/>
        <v>0</v>
      </c>
      <c r="X131" s="5">
        <f t="shared" si="42"/>
        <v>1</v>
      </c>
      <c r="Y131" s="5">
        <f t="shared" si="43"/>
        <v>0</v>
      </c>
      <c r="Z131" s="5">
        <f t="shared" si="44"/>
        <v>1</v>
      </c>
      <c r="AA131" s="5">
        <f t="shared" si="45"/>
        <v>0</v>
      </c>
      <c r="AB131" s="5">
        <f t="shared" si="46"/>
        <v>0</v>
      </c>
      <c r="AC131" s="5">
        <f t="shared" si="47"/>
        <v>0</v>
      </c>
      <c r="AD131" s="5"/>
      <c r="AE131" s="5"/>
      <c r="AF131" s="5">
        <f t="shared" si="48"/>
        <v>3</v>
      </c>
      <c r="AG131" s="5">
        <f t="shared" si="49"/>
        <v>3</v>
      </c>
      <c r="AH131" s="5" t="str">
        <f t="shared" si="50"/>
        <v>Correct</v>
      </c>
      <c r="AI131" s="5"/>
      <c r="AJ131" s="120" t="str">
        <f>IFERROR(VLOOKUP(Table1[RespondentID],'All Data'!$A$3:$CO$999,87,FALSE),"unknown")</f>
        <v>Man</v>
      </c>
      <c r="AK131" s="120">
        <f>IFERROR(VLOOKUP(Table1[RespondentID],'All Data'!$A$3:$CO$999,88,FALSE),"unknown")</f>
        <v>18</v>
      </c>
      <c r="AL131" s="120" t="str">
        <f>IFERROR(VLOOKUP(Table1[RespondentID],'All Data'!$A$3:$CO$999,89,FALSE),"unknown")</f>
        <v>Suffolk</v>
      </c>
      <c r="AM131" s="120" t="str">
        <f>IFERROR(VLOOKUP(Table1[RespondentID],'All Data'!$A$3:$CO$999,90,FALSE),"unknown")</f>
        <v>Commack, 11725</v>
      </c>
      <c r="AN131" s="120" t="str">
        <f>IFERROR(VLOOKUP(Table1[RespondentID],'All Data'!$A$3:$CO$999,91,FALSE),"unknown")</f>
        <v>White</v>
      </c>
      <c r="AO131" s="120" t="str">
        <f>IFERROR(VLOOKUP(Table1[RespondentID],'All Data'!$A$3:$CO$999,92,FALSE),"unknown")</f>
        <v>Not Hispanic or Latino</v>
      </c>
      <c r="AP131" s="120" t="str">
        <f>IFERROR(VLOOKUP(Table1[RespondentID],'All Data'!$A$3:$CO$999,93,FALSE),"unknown")</f>
        <v>English</v>
      </c>
      <c r="AQ131" s="120" t="str">
        <f>IFERROR(VLOOKUP(Table1[RespondentID],'All Data'!$A$3:$CW$999,94,FALSE),"unknown")</f>
        <v>$20,000 to $34,999</v>
      </c>
      <c r="AR131" s="120" t="str">
        <f>IFERROR(VLOOKUP(Table1[RespondentID],'All Data'!$A$3:$CW$999,95,FALSE),"unknown")</f>
        <v>High school graduate</v>
      </c>
      <c r="AS131" s="120" t="str">
        <f>IFERROR(VLOOKUP(Table1[RespondentID],'All Data'!$A$3:$CW$999,96,FALSE),"unknown")</f>
        <v>Student</v>
      </c>
      <c r="AT131" s="120" t="str">
        <f>IFERROR(VLOOKUP(Table1[RespondentID],'All Data'!$A$3:$CW$999,97,FALSE),"unknown")</f>
        <v>Yes</v>
      </c>
      <c r="AU131" s="120">
        <f>IFERROR(VLOOKUP(Table1[RespondentID],'All Data'!$A$3:$CW$999,98,FALSE),"unknown")</f>
        <v>0</v>
      </c>
      <c r="AV131" s="120">
        <f>IFERROR(VLOOKUP(Table1[RespondentID],'All Data'!$A$3:$CW$999,99,FALSE),"unknown")</f>
        <v>0</v>
      </c>
    </row>
    <row r="132" spans="1:48">
      <c r="A132" s="5">
        <v>18022517350</v>
      </c>
      <c r="B132" s="5"/>
      <c r="C132" s="5"/>
      <c r="D132" s="5"/>
      <c r="E132" s="5"/>
      <c r="F132" s="5"/>
      <c r="G132" s="5"/>
      <c r="H132" s="5"/>
      <c r="I132" s="5" t="s">
        <v>44</v>
      </c>
      <c r="J132" s="5"/>
      <c r="K132" s="5"/>
      <c r="L132" s="5"/>
      <c r="M132" s="5"/>
      <c r="N132" s="5"/>
      <c r="O132" s="5">
        <f t="shared" si="34"/>
        <v>1</v>
      </c>
      <c r="P132" s="5">
        <f t="shared" si="35"/>
        <v>3</v>
      </c>
      <c r="Q132" s="5"/>
      <c r="R132" s="5">
        <f t="shared" si="36"/>
        <v>0</v>
      </c>
      <c r="S132" s="5">
        <f t="shared" si="37"/>
        <v>0</v>
      </c>
      <c r="T132" s="5">
        <f t="shared" si="38"/>
        <v>0</v>
      </c>
      <c r="U132" s="5">
        <f t="shared" si="39"/>
        <v>0</v>
      </c>
      <c r="V132" s="5">
        <f t="shared" si="40"/>
        <v>0</v>
      </c>
      <c r="W132" s="5">
        <f t="shared" si="41"/>
        <v>0</v>
      </c>
      <c r="X132" s="5">
        <f t="shared" si="42"/>
        <v>0</v>
      </c>
      <c r="Y132" s="5">
        <f t="shared" si="43"/>
        <v>1</v>
      </c>
      <c r="Z132" s="5">
        <f t="shared" si="44"/>
        <v>0</v>
      </c>
      <c r="AA132" s="5">
        <f t="shared" si="45"/>
        <v>0</v>
      </c>
      <c r="AB132" s="5">
        <f t="shared" si="46"/>
        <v>0</v>
      </c>
      <c r="AC132" s="5">
        <f t="shared" si="47"/>
        <v>0</v>
      </c>
      <c r="AD132" s="5"/>
      <c r="AE132" s="5"/>
      <c r="AF132" s="5">
        <f t="shared" si="48"/>
        <v>1</v>
      </c>
      <c r="AG132" s="5">
        <f t="shared" si="49"/>
        <v>1</v>
      </c>
      <c r="AH132" s="5" t="str">
        <f t="shared" si="50"/>
        <v>Correct</v>
      </c>
      <c r="AI132" s="5"/>
      <c r="AJ132" s="120" t="str">
        <f>IFERROR(VLOOKUP(Table1[RespondentID],'All Data'!$A$3:$CO$999,87,FALSE),"unknown")</f>
        <v>Man</v>
      </c>
      <c r="AK132" s="120">
        <f>IFERROR(VLOOKUP(Table1[RespondentID],'All Data'!$A$3:$CO$999,88,FALSE),"unknown")</f>
        <v>18</v>
      </c>
      <c r="AL132" s="120" t="str">
        <f>IFERROR(VLOOKUP(Table1[RespondentID],'All Data'!$A$3:$CO$999,89,FALSE),"unknown")</f>
        <v>Suffolk</v>
      </c>
      <c r="AM132" s="120" t="str">
        <f>IFERROR(VLOOKUP(Table1[RespondentID],'All Data'!$A$3:$CO$999,90,FALSE),"unknown")</f>
        <v>Commack, 11725</v>
      </c>
      <c r="AN132" s="120" t="str">
        <f>IFERROR(VLOOKUP(Table1[RespondentID],'All Data'!$A$3:$CO$999,91,FALSE),"unknown")</f>
        <v>White</v>
      </c>
      <c r="AO132" s="120" t="str">
        <f>IFERROR(VLOOKUP(Table1[RespondentID],'All Data'!$A$3:$CO$999,92,FALSE),"unknown")</f>
        <v>Hispanic or Latino</v>
      </c>
      <c r="AP132" s="120" t="str">
        <f>IFERROR(VLOOKUP(Table1[RespondentID],'All Data'!$A$3:$CO$999,93,FALSE),"unknown")</f>
        <v>English</v>
      </c>
      <c r="AQ132" s="120" t="str">
        <f>IFERROR(VLOOKUP(Table1[RespondentID],'All Data'!$A$3:$CW$999,94,FALSE),"unknown")</f>
        <v>Over $125,000</v>
      </c>
      <c r="AR132" s="120" t="str">
        <f>IFERROR(VLOOKUP(Table1[RespondentID],'All Data'!$A$3:$CW$999,95,FALSE),"unknown")</f>
        <v>High school graduate</v>
      </c>
      <c r="AS132" s="120" t="str">
        <f>IFERROR(VLOOKUP(Table1[RespondentID],'All Data'!$A$3:$CW$999,96,FALSE),"unknown")</f>
        <v>Student</v>
      </c>
      <c r="AT132" s="120" t="str">
        <f>IFERROR(VLOOKUP(Table1[RespondentID],'All Data'!$A$3:$CW$999,97,FALSE),"unknown")</f>
        <v>Yes</v>
      </c>
      <c r="AU132" s="120">
        <f>IFERROR(VLOOKUP(Table1[RespondentID],'All Data'!$A$3:$CW$999,98,FALSE),"unknown")</f>
        <v>0</v>
      </c>
      <c r="AV132" s="120">
        <f>IFERROR(VLOOKUP(Table1[RespondentID],'All Data'!$A$3:$CW$999,99,FALSE),"unknown")</f>
        <v>0</v>
      </c>
    </row>
    <row r="133" spans="1:48">
      <c r="A133" s="5">
        <v>18022517003</v>
      </c>
      <c r="B133" s="5"/>
      <c r="C133" s="5"/>
      <c r="D133" s="5"/>
      <c r="E133" s="5"/>
      <c r="F133" s="5"/>
      <c r="G133" s="5" t="s">
        <v>37</v>
      </c>
      <c r="H133" s="5"/>
      <c r="I133" s="5"/>
      <c r="J133" s="5" t="s">
        <v>45</v>
      </c>
      <c r="K133" s="5"/>
      <c r="L133" s="5"/>
      <c r="M133" s="5"/>
      <c r="N133" s="5"/>
      <c r="O133" s="5">
        <f t="shared" si="34"/>
        <v>2</v>
      </c>
      <c r="P133" s="5">
        <f t="shared" si="35"/>
        <v>1.5</v>
      </c>
      <c r="Q133" s="5"/>
      <c r="R133" s="5">
        <f t="shared" si="36"/>
        <v>0</v>
      </c>
      <c r="S133" s="5">
        <f t="shared" si="37"/>
        <v>0</v>
      </c>
      <c r="T133" s="5">
        <f t="shared" si="38"/>
        <v>0</v>
      </c>
      <c r="U133" s="5">
        <f t="shared" si="39"/>
        <v>0</v>
      </c>
      <c r="V133" s="5">
        <f t="shared" si="40"/>
        <v>0</v>
      </c>
      <c r="W133" s="5">
        <f t="shared" si="41"/>
        <v>1</v>
      </c>
      <c r="X133" s="5">
        <f t="shared" si="42"/>
        <v>0</v>
      </c>
      <c r="Y133" s="5">
        <f t="shared" si="43"/>
        <v>0</v>
      </c>
      <c r="Z133" s="5">
        <f t="shared" si="44"/>
        <v>1</v>
      </c>
      <c r="AA133" s="5">
        <f t="shared" si="45"/>
        <v>0</v>
      </c>
      <c r="AB133" s="5">
        <f t="shared" si="46"/>
        <v>0</v>
      </c>
      <c r="AC133" s="5">
        <f t="shared" si="47"/>
        <v>0</v>
      </c>
      <c r="AD133" s="5"/>
      <c r="AE133" s="5"/>
      <c r="AF133" s="5">
        <f t="shared" si="48"/>
        <v>2</v>
      </c>
      <c r="AG133" s="5">
        <f t="shared" si="49"/>
        <v>2</v>
      </c>
      <c r="AH133" s="5" t="str">
        <f t="shared" si="50"/>
        <v>Correct</v>
      </c>
      <c r="AI133" s="5"/>
      <c r="AJ133" s="120" t="str">
        <f>IFERROR(VLOOKUP(Table1[RespondentID],'All Data'!$A$3:$CO$999,87,FALSE),"unknown")</f>
        <v>Woman</v>
      </c>
      <c r="AK133" s="120">
        <f>IFERROR(VLOOKUP(Table1[RespondentID],'All Data'!$A$3:$CO$999,88,FALSE),"unknown")</f>
        <v>52</v>
      </c>
      <c r="AL133" s="120" t="str">
        <f>IFERROR(VLOOKUP(Table1[RespondentID],'All Data'!$A$3:$CO$999,89,FALSE),"unknown")</f>
        <v>Suffolk</v>
      </c>
      <c r="AM133" s="120" t="str">
        <f>IFERROR(VLOOKUP(Table1[RespondentID],'All Data'!$A$3:$CO$999,90,FALSE),"unknown")</f>
        <v>Kings Park, 11754</v>
      </c>
      <c r="AN133" s="120" t="str">
        <f>IFERROR(VLOOKUP(Table1[RespondentID],'All Data'!$A$3:$CO$999,91,FALSE),"unknown")</f>
        <v>White</v>
      </c>
      <c r="AO133" s="120" t="str">
        <f>IFERROR(VLOOKUP(Table1[RespondentID],'All Data'!$A$3:$CO$999,92,FALSE),"unknown")</f>
        <v>Hispanic or Latino</v>
      </c>
      <c r="AP133" s="120" t="str">
        <f>IFERROR(VLOOKUP(Table1[RespondentID],'All Data'!$A$3:$CO$999,93,FALSE),"unknown")</f>
        <v>English</v>
      </c>
      <c r="AQ133" s="120" t="str">
        <f>IFERROR(VLOOKUP(Table1[RespondentID],'All Data'!$A$3:$CW$999,94,FALSE),"unknown")</f>
        <v>Over $125,000</v>
      </c>
      <c r="AR133" s="120" t="str">
        <f>IFERROR(VLOOKUP(Table1[RespondentID],'All Data'!$A$3:$CW$999,95,FALSE),"unknown")</f>
        <v>Graduate school</v>
      </c>
      <c r="AS133" s="120" t="str">
        <f>IFERROR(VLOOKUP(Table1[RespondentID],'All Data'!$A$3:$CW$999,96,FALSE),"unknown")</f>
        <v>Employed for wages</v>
      </c>
      <c r="AT133" s="120" t="str">
        <f>IFERROR(VLOOKUP(Table1[RespondentID],'All Data'!$A$3:$CW$999,97,FALSE),"unknown")</f>
        <v>Yes</v>
      </c>
      <c r="AU133" s="120" t="str">
        <f>IFERROR(VLOOKUP(Table1[RespondentID],'All Data'!$A$3:$CW$999,98,FALSE),"unknown")</f>
        <v>Private/Commercial</v>
      </c>
      <c r="AV133" s="120">
        <f>IFERROR(VLOOKUP(Table1[RespondentID],'All Data'!$A$3:$CW$999,99,FALSE),"unknown")</f>
        <v>0</v>
      </c>
    </row>
    <row r="134" spans="1:48">
      <c r="A134" s="5">
        <v>18022515327</v>
      </c>
      <c r="B134" s="5"/>
      <c r="C134" s="5"/>
      <c r="D134" s="5"/>
      <c r="E134" s="5"/>
      <c r="F134" s="5"/>
      <c r="G134" s="5"/>
      <c r="H134" s="5" t="s">
        <v>43</v>
      </c>
      <c r="I134" s="5"/>
      <c r="J134" s="5"/>
      <c r="K134" s="5" t="s">
        <v>46</v>
      </c>
      <c r="L134" s="5"/>
      <c r="M134" s="5" t="s">
        <v>48</v>
      </c>
      <c r="N134" s="5"/>
      <c r="O134" s="5">
        <f t="shared" si="34"/>
        <v>3</v>
      </c>
      <c r="P134" s="5">
        <f t="shared" si="35"/>
        <v>1</v>
      </c>
      <c r="Q134" s="5"/>
      <c r="R134" s="5">
        <f t="shared" si="36"/>
        <v>0</v>
      </c>
      <c r="S134" s="5">
        <f t="shared" si="37"/>
        <v>0</v>
      </c>
      <c r="T134" s="5">
        <f t="shared" si="38"/>
        <v>0</v>
      </c>
      <c r="U134" s="5">
        <f t="shared" si="39"/>
        <v>0</v>
      </c>
      <c r="V134" s="5">
        <f t="shared" si="40"/>
        <v>0</v>
      </c>
      <c r="W134" s="5">
        <f t="shared" si="41"/>
        <v>0</v>
      </c>
      <c r="X134" s="5">
        <f t="shared" si="42"/>
        <v>1</v>
      </c>
      <c r="Y134" s="5">
        <f t="shared" si="43"/>
        <v>0</v>
      </c>
      <c r="Z134" s="5">
        <f t="shared" si="44"/>
        <v>0</v>
      </c>
      <c r="AA134" s="5">
        <f t="shared" si="45"/>
        <v>1</v>
      </c>
      <c r="AB134" s="5">
        <f t="shared" si="46"/>
        <v>0</v>
      </c>
      <c r="AC134" s="5">
        <f t="shared" si="47"/>
        <v>1</v>
      </c>
      <c r="AD134" s="5"/>
      <c r="AE134" s="5"/>
      <c r="AF134" s="5">
        <f t="shared" si="48"/>
        <v>3</v>
      </c>
      <c r="AG134" s="5">
        <f t="shared" si="49"/>
        <v>3</v>
      </c>
      <c r="AH134" s="5" t="str">
        <f t="shared" si="50"/>
        <v>Correct</v>
      </c>
      <c r="AI134" s="5"/>
      <c r="AJ134" s="120" t="str">
        <f>IFERROR(VLOOKUP(Table1[RespondentID],'All Data'!$A$3:$CO$999,87,FALSE),"unknown")</f>
        <v>Woman</v>
      </c>
      <c r="AK134" s="120">
        <f>IFERROR(VLOOKUP(Table1[RespondentID],'All Data'!$A$3:$CO$999,88,FALSE),"unknown")</f>
        <v>47</v>
      </c>
      <c r="AL134" s="120" t="str">
        <f>IFERROR(VLOOKUP(Table1[RespondentID],'All Data'!$A$3:$CO$999,89,FALSE),"unknown")</f>
        <v>Suffolk</v>
      </c>
      <c r="AM134" s="120" t="str">
        <f>IFERROR(VLOOKUP(Table1[RespondentID],'All Data'!$A$3:$CO$999,90,FALSE),"unknown")</f>
        <v>Smithtown, 11787</v>
      </c>
      <c r="AN134" s="120" t="str">
        <f>IFERROR(VLOOKUP(Table1[RespondentID],'All Data'!$A$3:$CO$999,91,FALSE),"unknown")</f>
        <v>American Indian and Alaska Native</v>
      </c>
      <c r="AO134" s="120" t="str">
        <f>IFERROR(VLOOKUP(Table1[RespondentID],'All Data'!$A$3:$CO$999,92,FALSE),"unknown")</f>
        <v>Hispanic or Latino</v>
      </c>
      <c r="AP134" s="120" t="str">
        <f>IFERROR(VLOOKUP(Table1[RespondentID],'All Data'!$A$3:$CO$999,93,FALSE),"unknown")</f>
        <v>Korean</v>
      </c>
      <c r="AQ134" s="120" t="str">
        <f>IFERROR(VLOOKUP(Table1[RespondentID],'All Data'!$A$3:$CW$999,94,FALSE),"unknown")</f>
        <v>$75,000 to $125,000</v>
      </c>
      <c r="AR134" s="120" t="str">
        <f>IFERROR(VLOOKUP(Table1[RespondentID],'All Data'!$A$3:$CW$999,95,FALSE),"unknown")</f>
        <v>College graduate</v>
      </c>
      <c r="AS134" s="120" t="str">
        <f>IFERROR(VLOOKUP(Table1[RespondentID],'All Data'!$A$3:$CW$999,96,FALSE),"unknown")</f>
        <v>Employed for wages</v>
      </c>
      <c r="AT134" s="120" t="str">
        <f>IFERROR(VLOOKUP(Table1[RespondentID],'All Data'!$A$3:$CW$999,97,FALSE),"unknown")</f>
        <v>Yes</v>
      </c>
      <c r="AU134" s="120" t="str">
        <f>IFERROR(VLOOKUP(Table1[RespondentID],'All Data'!$A$3:$CW$999,98,FALSE),"unknown")</f>
        <v>Private/Commercial</v>
      </c>
      <c r="AV134" s="120" t="str">
        <f>IFERROR(VLOOKUP(Table1[RespondentID],'All Data'!$A$3:$CW$999,99,FALSE),"unknown")</f>
        <v>Yes</v>
      </c>
    </row>
    <row r="135" spans="1:48">
      <c r="A135" s="5">
        <v>18022426389</v>
      </c>
      <c r="B135" s="5"/>
      <c r="C135" s="5" t="s">
        <v>39</v>
      </c>
      <c r="D135" s="5"/>
      <c r="E135" s="5" t="s">
        <v>41</v>
      </c>
      <c r="F135" s="5"/>
      <c r="G135" s="5"/>
      <c r="H135" s="5"/>
      <c r="I135" s="5" t="s">
        <v>44</v>
      </c>
      <c r="J135" s="5"/>
      <c r="K135" s="5"/>
      <c r="L135" s="5"/>
      <c r="M135" s="5"/>
      <c r="N135" s="5"/>
      <c r="O135" s="5">
        <f t="shared" si="34"/>
        <v>3</v>
      </c>
      <c r="P135" s="5">
        <f t="shared" si="35"/>
        <v>1</v>
      </c>
      <c r="Q135" s="5"/>
      <c r="R135" s="5">
        <f t="shared" si="36"/>
        <v>0</v>
      </c>
      <c r="S135" s="5">
        <f t="shared" si="37"/>
        <v>1</v>
      </c>
      <c r="T135" s="5">
        <f t="shared" si="38"/>
        <v>0</v>
      </c>
      <c r="U135" s="5">
        <f t="shared" si="39"/>
        <v>1</v>
      </c>
      <c r="V135" s="5">
        <f t="shared" si="40"/>
        <v>0</v>
      </c>
      <c r="W135" s="5">
        <f t="shared" si="41"/>
        <v>0</v>
      </c>
      <c r="X135" s="5">
        <f t="shared" si="42"/>
        <v>0</v>
      </c>
      <c r="Y135" s="5">
        <f t="shared" si="43"/>
        <v>1</v>
      </c>
      <c r="Z135" s="5">
        <f t="shared" si="44"/>
        <v>0</v>
      </c>
      <c r="AA135" s="5">
        <f t="shared" si="45"/>
        <v>0</v>
      </c>
      <c r="AB135" s="5">
        <f t="shared" si="46"/>
        <v>0</v>
      </c>
      <c r="AC135" s="5">
        <f t="shared" si="47"/>
        <v>0</v>
      </c>
      <c r="AD135" s="5"/>
      <c r="AE135" s="5"/>
      <c r="AF135" s="5">
        <f t="shared" si="48"/>
        <v>3</v>
      </c>
      <c r="AG135" s="5">
        <f t="shared" si="49"/>
        <v>3</v>
      </c>
      <c r="AH135" s="5" t="str">
        <f t="shared" si="50"/>
        <v>Correct</v>
      </c>
      <c r="AI135" s="5"/>
      <c r="AJ135" s="120" t="str">
        <f>IFERROR(VLOOKUP(Table1[RespondentID],'All Data'!$A$3:$CO$999,87,FALSE),"unknown")</f>
        <v>Man</v>
      </c>
      <c r="AK135" s="120">
        <f>IFERROR(VLOOKUP(Table1[RespondentID],'All Data'!$A$3:$CO$999,88,FALSE),"unknown")</f>
        <v>48</v>
      </c>
      <c r="AL135" s="120" t="str">
        <f>IFERROR(VLOOKUP(Table1[RespondentID],'All Data'!$A$3:$CO$999,89,FALSE),"unknown")</f>
        <v>Suffolk</v>
      </c>
      <c r="AM135" s="120" t="str">
        <f>IFERROR(VLOOKUP(Table1[RespondentID],'All Data'!$A$3:$CO$999,90,FALSE),"unknown")</f>
        <v>Kings Park, 11754</v>
      </c>
      <c r="AN135" s="120" t="str">
        <f>IFERROR(VLOOKUP(Table1[RespondentID],'All Data'!$A$3:$CO$999,91,FALSE),"unknown")</f>
        <v>White</v>
      </c>
      <c r="AO135" s="120" t="str">
        <f>IFERROR(VLOOKUP(Table1[RespondentID],'All Data'!$A$3:$CO$999,92,FALSE),"unknown")</f>
        <v>Hispanic or Latino</v>
      </c>
      <c r="AP135" s="120" t="str">
        <f>IFERROR(VLOOKUP(Table1[RespondentID],'All Data'!$A$3:$CO$999,93,FALSE),"unknown")</f>
        <v>English</v>
      </c>
      <c r="AQ135" s="120" t="str">
        <f>IFERROR(VLOOKUP(Table1[RespondentID],'All Data'!$A$3:$CW$999,94,FALSE),"unknown")</f>
        <v>Over $125,000</v>
      </c>
      <c r="AR135" s="120" t="str">
        <f>IFERROR(VLOOKUP(Table1[RespondentID],'All Data'!$A$3:$CW$999,95,FALSE),"unknown")</f>
        <v>Other (please specify)</v>
      </c>
      <c r="AS135" s="120" t="str">
        <f>IFERROR(VLOOKUP(Table1[RespondentID],'All Data'!$A$3:$CW$999,96,FALSE),"unknown")</f>
        <v>Employed for wages</v>
      </c>
      <c r="AT135" s="120" t="str">
        <f>IFERROR(VLOOKUP(Table1[RespondentID],'All Data'!$A$3:$CW$999,97,FALSE),"unknown")</f>
        <v>Yes</v>
      </c>
      <c r="AU135" s="120" t="str">
        <f>IFERROR(VLOOKUP(Table1[RespondentID],'All Data'!$A$3:$CW$999,98,FALSE),"unknown")</f>
        <v>Private/Commercial</v>
      </c>
      <c r="AV135" s="120" t="str">
        <f>IFERROR(VLOOKUP(Table1[RespondentID],'All Data'!$A$3:$CW$999,99,FALSE),"unknown")</f>
        <v>Yes</v>
      </c>
    </row>
    <row r="136" spans="1:48">
      <c r="A136" s="5">
        <v>18022425382</v>
      </c>
      <c r="B136" s="5" t="s">
        <v>38</v>
      </c>
      <c r="C136" s="5"/>
      <c r="D136" s="5"/>
      <c r="E136" s="5" t="s">
        <v>41</v>
      </c>
      <c r="F136" s="5"/>
      <c r="G136" s="5"/>
      <c r="H136" s="5"/>
      <c r="I136" s="5" t="s">
        <v>44</v>
      </c>
      <c r="J136" s="5"/>
      <c r="K136" s="5"/>
      <c r="L136" s="5"/>
      <c r="M136" s="5"/>
      <c r="N136" s="5"/>
      <c r="O136" s="5">
        <f t="shared" si="34"/>
        <v>3</v>
      </c>
      <c r="P136" s="5">
        <f t="shared" si="35"/>
        <v>1</v>
      </c>
      <c r="Q136" s="5"/>
      <c r="R136" s="5">
        <f t="shared" si="36"/>
        <v>1</v>
      </c>
      <c r="S136" s="5">
        <f t="shared" si="37"/>
        <v>0</v>
      </c>
      <c r="T136" s="5">
        <f t="shared" si="38"/>
        <v>0</v>
      </c>
      <c r="U136" s="5">
        <f t="shared" si="39"/>
        <v>1</v>
      </c>
      <c r="V136" s="5">
        <f t="shared" si="40"/>
        <v>0</v>
      </c>
      <c r="W136" s="5">
        <f t="shared" si="41"/>
        <v>0</v>
      </c>
      <c r="X136" s="5">
        <f t="shared" si="42"/>
        <v>0</v>
      </c>
      <c r="Y136" s="5">
        <f t="shared" si="43"/>
        <v>1</v>
      </c>
      <c r="Z136" s="5">
        <f t="shared" si="44"/>
        <v>0</v>
      </c>
      <c r="AA136" s="5">
        <f t="shared" si="45"/>
        <v>0</v>
      </c>
      <c r="AB136" s="5">
        <f t="shared" si="46"/>
        <v>0</v>
      </c>
      <c r="AC136" s="5">
        <f t="shared" si="47"/>
        <v>0</v>
      </c>
      <c r="AD136" s="5"/>
      <c r="AE136" s="5"/>
      <c r="AF136" s="5">
        <f t="shared" si="48"/>
        <v>3</v>
      </c>
      <c r="AG136" s="5">
        <f t="shared" si="49"/>
        <v>3</v>
      </c>
      <c r="AH136" s="5" t="str">
        <f t="shared" si="50"/>
        <v>Correct</v>
      </c>
      <c r="AI136" s="5"/>
      <c r="AJ136" s="120" t="str">
        <f>IFERROR(VLOOKUP(Table1[RespondentID],'All Data'!$A$3:$CO$999,87,FALSE),"unknown")</f>
        <v>Woman</v>
      </c>
      <c r="AK136" s="120">
        <f>IFERROR(VLOOKUP(Table1[RespondentID],'All Data'!$A$3:$CO$999,88,FALSE),"unknown")</f>
        <v>50</v>
      </c>
      <c r="AL136" s="120" t="str">
        <f>IFERROR(VLOOKUP(Table1[RespondentID],'All Data'!$A$3:$CO$999,89,FALSE),"unknown")</f>
        <v>Suffolk</v>
      </c>
      <c r="AM136" s="120" t="str">
        <f>IFERROR(VLOOKUP(Table1[RespondentID],'All Data'!$A$3:$CO$999,90,FALSE),"unknown")</f>
        <v>Hauppauge, 11788</v>
      </c>
      <c r="AN136" s="120" t="str">
        <f>IFERROR(VLOOKUP(Table1[RespondentID],'All Data'!$A$3:$CO$999,91,FALSE),"unknown")</f>
        <v>White</v>
      </c>
      <c r="AO136" s="120" t="str">
        <f>IFERROR(VLOOKUP(Table1[RespondentID],'All Data'!$A$3:$CO$999,92,FALSE),"unknown")</f>
        <v>Hispanic or Latino</v>
      </c>
      <c r="AP136" s="120" t="str">
        <f>IFERROR(VLOOKUP(Table1[RespondentID],'All Data'!$A$3:$CO$999,93,FALSE),"unknown")</f>
        <v>English</v>
      </c>
      <c r="AQ136" s="120" t="str">
        <f>IFERROR(VLOOKUP(Table1[RespondentID],'All Data'!$A$3:$CW$999,94,FALSE),"unknown")</f>
        <v>Over $125,000</v>
      </c>
      <c r="AR136" s="120" t="str">
        <f>IFERROR(VLOOKUP(Table1[RespondentID],'All Data'!$A$3:$CW$999,95,FALSE),"unknown")</f>
        <v>College graduate</v>
      </c>
      <c r="AS136" s="120" t="str">
        <f>IFERROR(VLOOKUP(Table1[RespondentID],'All Data'!$A$3:$CW$999,96,FALSE),"unknown")</f>
        <v>Employed for wages</v>
      </c>
      <c r="AT136" s="120" t="str">
        <f>IFERROR(VLOOKUP(Table1[RespondentID],'All Data'!$A$3:$CW$999,97,FALSE),"unknown")</f>
        <v>Yes</v>
      </c>
      <c r="AU136" s="120" t="str">
        <f>IFERROR(VLOOKUP(Table1[RespondentID],'All Data'!$A$3:$CW$999,98,FALSE),"unknown")</f>
        <v>Private/Commercial</v>
      </c>
      <c r="AV136" s="120" t="str">
        <f>IFERROR(VLOOKUP(Table1[RespondentID],'All Data'!$A$3:$CW$999,99,FALSE),"unknown")</f>
        <v>Yes</v>
      </c>
    </row>
    <row r="137" spans="1:48">
      <c r="A137" s="5">
        <v>18022420665</v>
      </c>
      <c r="B137" s="5" t="s">
        <v>38</v>
      </c>
      <c r="C137" s="5" t="s">
        <v>39</v>
      </c>
      <c r="D137" s="5"/>
      <c r="E137" s="5" t="s">
        <v>41</v>
      </c>
      <c r="F137" s="5"/>
      <c r="G137" s="5"/>
      <c r="H137" s="5"/>
      <c r="I137" s="5"/>
      <c r="J137" s="5"/>
      <c r="K137" s="5" t="s">
        <v>46</v>
      </c>
      <c r="L137" s="5" t="s">
        <v>47</v>
      </c>
      <c r="M137" s="5"/>
      <c r="N137" s="5"/>
      <c r="O137" s="5">
        <f t="shared" si="34"/>
        <v>5</v>
      </c>
      <c r="P137" s="5">
        <f t="shared" si="35"/>
        <v>0.6</v>
      </c>
      <c r="Q137" s="5"/>
      <c r="R137" s="5">
        <f t="shared" si="36"/>
        <v>0.6</v>
      </c>
      <c r="S137" s="5">
        <f t="shared" si="37"/>
        <v>0.6</v>
      </c>
      <c r="T137" s="5">
        <f t="shared" si="38"/>
        <v>0</v>
      </c>
      <c r="U137" s="5">
        <f t="shared" si="39"/>
        <v>0.6</v>
      </c>
      <c r="V137" s="5">
        <f t="shared" si="40"/>
        <v>0</v>
      </c>
      <c r="W137" s="5">
        <f t="shared" si="41"/>
        <v>0</v>
      </c>
      <c r="X137" s="5">
        <f t="shared" si="42"/>
        <v>0</v>
      </c>
      <c r="Y137" s="5">
        <f t="shared" si="43"/>
        <v>0</v>
      </c>
      <c r="Z137" s="5">
        <f t="shared" si="44"/>
        <v>0</v>
      </c>
      <c r="AA137" s="5">
        <f t="shared" si="45"/>
        <v>0.6</v>
      </c>
      <c r="AB137" s="5">
        <f t="shared" si="46"/>
        <v>0.6</v>
      </c>
      <c r="AC137" s="5">
        <f t="shared" si="47"/>
        <v>0</v>
      </c>
      <c r="AD137" s="5"/>
      <c r="AE137" s="5"/>
      <c r="AF137" s="5">
        <f t="shared" si="48"/>
        <v>3</v>
      </c>
      <c r="AG137" s="5">
        <f t="shared" si="49"/>
        <v>5</v>
      </c>
      <c r="AH137" s="5" t="str">
        <f t="shared" si="50"/>
        <v>Correct</v>
      </c>
      <c r="AI137" s="5"/>
      <c r="AJ137" s="120" t="str">
        <f>IFERROR(VLOOKUP(Table1[RespondentID],'All Data'!$A$3:$CO$999,87,FALSE),"unknown")</f>
        <v>Man</v>
      </c>
      <c r="AK137" s="120">
        <f>IFERROR(VLOOKUP(Table1[RespondentID],'All Data'!$A$3:$CO$999,88,FALSE),"unknown")</f>
        <v>55</v>
      </c>
      <c r="AL137" s="120" t="str">
        <f>IFERROR(VLOOKUP(Table1[RespondentID],'All Data'!$A$3:$CO$999,89,FALSE),"unknown")</f>
        <v>Suffolk</v>
      </c>
      <c r="AM137" s="120" t="str">
        <f>IFERROR(VLOOKUP(Table1[RespondentID],'All Data'!$A$3:$CO$999,90,FALSE),"unknown")</f>
        <v>Commack, 11725</v>
      </c>
      <c r="AN137" s="120" t="str">
        <f>IFERROR(VLOOKUP(Table1[RespondentID],'All Data'!$A$3:$CO$999,91,FALSE),"unknown")</f>
        <v>White</v>
      </c>
      <c r="AO137" s="120" t="str">
        <f>IFERROR(VLOOKUP(Table1[RespondentID],'All Data'!$A$3:$CO$999,92,FALSE),"unknown")</f>
        <v>Hispanic or Latino</v>
      </c>
      <c r="AP137" s="120" t="str">
        <f>IFERROR(VLOOKUP(Table1[RespondentID],'All Data'!$A$3:$CO$999,93,FALSE),"unknown")</f>
        <v>English</v>
      </c>
      <c r="AQ137" s="120" t="str">
        <f>IFERROR(VLOOKUP(Table1[RespondentID],'All Data'!$A$3:$CW$999,94,FALSE),"unknown")</f>
        <v>$50,000 to $74,999</v>
      </c>
      <c r="AR137" s="120" t="str">
        <f>IFERROR(VLOOKUP(Table1[RespondentID],'All Data'!$A$3:$CW$999,95,FALSE),"unknown")</f>
        <v>College graduate</v>
      </c>
      <c r="AS137" s="120" t="str">
        <f>IFERROR(VLOOKUP(Table1[RespondentID],'All Data'!$A$3:$CW$999,96,FALSE),"unknown")</f>
        <v>Employed for wages</v>
      </c>
      <c r="AT137" s="120" t="str">
        <f>IFERROR(VLOOKUP(Table1[RespondentID],'All Data'!$A$3:$CW$999,97,FALSE),"unknown")</f>
        <v>Yes</v>
      </c>
      <c r="AU137" s="120" t="str">
        <f>IFERROR(VLOOKUP(Table1[RespondentID],'All Data'!$A$3:$CW$999,98,FALSE),"unknown")</f>
        <v>Private/Commercial</v>
      </c>
      <c r="AV137" s="120" t="str">
        <f>IFERROR(VLOOKUP(Table1[RespondentID],'All Data'!$A$3:$CW$999,99,FALSE),"unknown")</f>
        <v>Yes</v>
      </c>
    </row>
    <row r="138" spans="1:48">
      <c r="A138" s="5">
        <v>18022420608</v>
      </c>
      <c r="B138" s="5" t="s">
        <v>38</v>
      </c>
      <c r="C138" s="5" t="s">
        <v>39</v>
      </c>
      <c r="D138" s="5"/>
      <c r="E138" s="5" t="s">
        <v>41</v>
      </c>
      <c r="F138" s="5" t="s">
        <v>42</v>
      </c>
      <c r="G138" s="5"/>
      <c r="H138" s="5" t="s">
        <v>43</v>
      </c>
      <c r="I138" s="5"/>
      <c r="J138" s="5"/>
      <c r="K138" s="5"/>
      <c r="L138" s="5"/>
      <c r="M138" s="5"/>
      <c r="N138" s="5"/>
      <c r="O138" s="5">
        <f t="shared" si="34"/>
        <v>5</v>
      </c>
      <c r="P138" s="5">
        <f t="shared" si="35"/>
        <v>0.6</v>
      </c>
      <c r="Q138" s="5"/>
      <c r="R138" s="5">
        <f t="shared" si="36"/>
        <v>0.6</v>
      </c>
      <c r="S138" s="5">
        <f t="shared" si="37"/>
        <v>0.6</v>
      </c>
      <c r="T138" s="5">
        <f t="shared" si="38"/>
        <v>0</v>
      </c>
      <c r="U138" s="5">
        <f t="shared" si="39"/>
        <v>0.6</v>
      </c>
      <c r="V138" s="5">
        <f t="shared" si="40"/>
        <v>0.6</v>
      </c>
      <c r="W138" s="5">
        <f t="shared" si="41"/>
        <v>0</v>
      </c>
      <c r="X138" s="5">
        <f t="shared" si="42"/>
        <v>0.6</v>
      </c>
      <c r="Y138" s="5">
        <f t="shared" si="43"/>
        <v>0</v>
      </c>
      <c r="Z138" s="5">
        <f t="shared" si="44"/>
        <v>0</v>
      </c>
      <c r="AA138" s="5">
        <f t="shared" si="45"/>
        <v>0</v>
      </c>
      <c r="AB138" s="5">
        <f t="shared" si="46"/>
        <v>0</v>
      </c>
      <c r="AC138" s="5">
        <f t="shared" si="47"/>
        <v>0</v>
      </c>
      <c r="AD138" s="5"/>
      <c r="AE138" s="5"/>
      <c r="AF138" s="5">
        <f t="shared" si="48"/>
        <v>3</v>
      </c>
      <c r="AG138" s="5">
        <f t="shared" si="49"/>
        <v>5</v>
      </c>
      <c r="AH138" s="5" t="str">
        <f t="shared" si="50"/>
        <v>Correct</v>
      </c>
      <c r="AI138" s="5"/>
      <c r="AJ138" s="120" t="str">
        <f>IFERROR(VLOOKUP(Table1[RespondentID],'All Data'!$A$3:$CO$999,87,FALSE),"unknown")</f>
        <v>Man</v>
      </c>
      <c r="AK138" s="120">
        <f>IFERROR(VLOOKUP(Table1[RespondentID],'All Data'!$A$3:$CO$999,88,FALSE),"unknown")</f>
        <v>81</v>
      </c>
      <c r="AL138" s="120" t="str">
        <f>IFERROR(VLOOKUP(Table1[RespondentID],'All Data'!$A$3:$CO$999,89,FALSE),"unknown")</f>
        <v>Suffolk</v>
      </c>
      <c r="AM138" s="120" t="str">
        <f>IFERROR(VLOOKUP(Table1[RespondentID],'All Data'!$A$3:$CO$999,90,FALSE),"unknown")</f>
        <v>Ridge, 11961</v>
      </c>
      <c r="AN138" s="120" t="str">
        <f>IFERROR(VLOOKUP(Table1[RespondentID],'All Data'!$A$3:$CO$999,91,FALSE),"unknown")</f>
        <v>White</v>
      </c>
      <c r="AO138" s="120" t="str">
        <f>IFERROR(VLOOKUP(Table1[RespondentID],'All Data'!$A$3:$CO$999,92,FALSE),"unknown")</f>
        <v>Not Hispanic or Latino</v>
      </c>
      <c r="AP138" s="120" t="str">
        <f>IFERROR(VLOOKUP(Table1[RespondentID],'All Data'!$A$3:$CO$999,93,FALSE),"unknown")</f>
        <v>English, Spanish</v>
      </c>
      <c r="AQ138" s="120" t="str">
        <f>IFERROR(VLOOKUP(Table1[RespondentID],'All Data'!$A$3:$CW$999,94,FALSE),"unknown")</f>
        <v>Over $125,000</v>
      </c>
      <c r="AR138" s="120" t="str">
        <f>IFERROR(VLOOKUP(Table1[RespondentID],'All Data'!$A$3:$CW$999,95,FALSE),"unknown")</f>
        <v>College graduate</v>
      </c>
      <c r="AS138" s="120" t="str">
        <f>IFERROR(VLOOKUP(Table1[RespondentID],'All Data'!$A$3:$CW$999,96,FALSE),"unknown")</f>
        <v>Retired</v>
      </c>
      <c r="AT138" s="120" t="str">
        <f>IFERROR(VLOOKUP(Table1[RespondentID],'All Data'!$A$3:$CW$999,97,FALSE),"unknown")</f>
        <v>Yes</v>
      </c>
      <c r="AU138" s="120" t="str">
        <f>IFERROR(VLOOKUP(Table1[RespondentID],'All Data'!$A$3:$CW$999,98,FALSE),"unknown")</f>
        <v>Medicare</v>
      </c>
      <c r="AV138" s="120" t="str">
        <f>IFERROR(VLOOKUP(Table1[RespondentID],'All Data'!$A$3:$CW$999,99,FALSE),"unknown")</f>
        <v>Yes</v>
      </c>
    </row>
    <row r="139" spans="1:48">
      <c r="A139" s="5">
        <v>18022392509</v>
      </c>
      <c r="B139" s="5" t="s">
        <v>38</v>
      </c>
      <c r="C139" s="5" t="s">
        <v>39</v>
      </c>
      <c r="D139" s="5"/>
      <c r="E139" s="5"/>
      <c r="F139" s="5"/>
      <c r="G139" s="5"/>
      <c r="H139" s="5" t="s">
        <v>43</v>
      </c>
      <c r="I139" s="5" t="s">
        <v>44</v>
      </c>
      <c r="J139" s="5" t="s">
        <v>45</v>
      </c>
      <c r="K139" s="5"/>
      <c r="L139" s="5" t="s">
        <v>47</v>
      </c>
      <c r="M139" s="5"/>
      <c r="N139" s="5"/>
      <c r="O139" s="5">
        <f t="shared" si="34"/>
        <v>6</v>
      </c>
      <c r="P139" s="5">
        <f t="shared" si="35"/>
        <v>0.5</v>
      </c>
      <c r="Q139" s="5"/>
      <c r="R139" s="5">
        <f t="shared" si="36"/>
        <v>0.5</v>
      </c>
      <c r="S139" s="5">
        <f t="shared" si="37"/>
        <v>0.5</v>
      </c>
      <c r="T139" s="5">
        <f t="shared" si="38"/>
        <v>0</v>
      </c>
      <c r="U139" s="5">
        <f t="shared" si="39"/>
        <v>0</v>
      </c>
      <c r="V139" s="5">
        <f t="shared" si="40"/>
        <v>0</v>
      </c>
      <c r="W139" s="5">
        <f t="shared" si="41"/>
        <v>0</v>
      </c>
      <c r="X139" s="5">
        <f t="shared" si="42"/>
        <v>0.5</v>
      </c>
      <c r="Y139" s="5">
        <f t="shared" si="43"/>
        <v>0.5</v>
      </c>
      <c r="Z139" s="5">
        <f t="shared" si="44"/>
        <v>0.5</v>
      </c>
      <c r="AA139" s="5">
        <f t="shared" si="45"/>
        <v>0</v>
      </c>
      <c r="AB139" s="5">
        <f t="shared" si="46"/>
        <v>0.5</v>
      </c>
      <c r="AC139" s="5">
        <f t="shared" si="47"/>
        <v>0</v>
      </c>
      <c r="AD139" s="5"/>
      <c r="AE139" s="5"/>
      <c r="AF139" s="5">
        <f t="shared" si="48"/>
        <v>3</v>
      </c>
      <c r="AG139" s="5">
        <f t="shared" si="49"/>
        <v>6</v>
      </c>
      <c r="AH139" s="5" t="str">
        <f t="shared" si="50"/>
        <v>Correct</v>
      </c>
      <c r="AI139" s="5"/>
      <c r="AJ139" s="120" t="str">
        <f>IFERROR(VLOOKUP(Table1[RespondentID],'All Data'!$A$3:$CO$999,87,FALSE),"unknown")</f>
        <v>Woman</v>
      </c>
      <c r="AK139" s="120">
        <f>IFERROR(VLOOKUP(Table1[RespondentID],'All Data'!$A$3:$CO$999,88,FALSE),"unknown")</f>
        <v>64</v>
      </c>
      <c r="AL139" s="120" t="str">
        <f>IFERROR(VLOOKUP(Table1[RespondentID],'All Data'!$A$3:$CO$999,89,FALSE),"unknown")</f>
        <v>Suffolk</v>
      </c>
      <c r="AM139" s="120" t="str">
        <f>IFERROR(VLOOKUP(Table1[RespondentID],'All Data'!$A$3:$CO$999,90,FALSE),"unknown")</f>
        <v>West Sayville, 11796</v>
      </c>
      <c r="AN139" s="120" t="str">
        <f>IFERROR(VLOOKUP(Table1[RespondentID],'All Data'!$A$3:$CO$999,91,FALSE),"unknown")</f>
        <v>White</v>
      </c>
      <c r="AO139" s="120" t="str">
        <f>IFERROR(VLOOKUP(Table1[RespondentID],'All Data'!$A$3:$CO$999,92,FALSE),"unknown")</f>
        <v>Hispanic or Latino</v>
      </c>
      <c r="AP139" s="120" t="str">
        <f>IFERROR(VLOOKUP(Table1[RespondentID],'All Data'!$A$3:$CO$999,93,FALSE),"unknown")</f>
        <v>English</v>
      </c>
      <c r="AQ139" s="120" t="str">
        <f>IFERROR(VLOOKUP(Table1[RespondentID],'All Data'!$A$3:$CW$999,94,FALSE),"unknown")</f>
        <v>$75,000 to $125,000</v>
      </c>
      <c r="AR139" s="120" t="str">
        <f>IFERROR(VLOOKUP(Table1[RespondentID],'All Data'!$A$3:$CW$999,95,FALSE),"unknown")</f>
        <v>High school graduate</v>
      </c>
      <c r="AS139" s="120" t="str">
        <f>IFERROR(VLOOKUP(Table1[RespondentID],'All Data'!$A$3:$CW$999,96,FALSE),"unknown")</f>
        <v>Employed for wages</v>
      </c>
      <c r="AT139" s="120" t="str">
        <f>IFERROR(VLOOKUP(Table1[RespondentID],'All Data'!$A$3:$CW$999,97,FALSE),"unknown")</f>
        <v>Yes</v>
      </c>
      <c r="AU139" s="120" t="str">
        <f>IFERROR(VLOOKUP(Table1[RespondentID],'All Data'!$A$3:$CW$999,98,FALSE),"unknown")</f>
        <v>Private/Commercial</v>
      </c>
      <c r="AV139" s="120" t="str">
        <f>IFERROR(VLOOKUP(Table1[RespondentID],'All Data'!$A$3:$CW$999,99,FALSE),"unknown")</f>
        <v>Yes</v>
      </c>
    </row>
    <row r="140" spans="1:48">
      <c r="A140" s="5">
        <v>18022346650</v>
      </c>
      <c r="B140" s="5" t="s">
        <v>38</v>
      </c>
      <c r="C140" s="5" t="s">
        <v>39</v>
      </c>
      <c r="D140" s="5"/>
      <c r="E140" s="5"/>
      <c r="F140" s="5"/>
      <c r="G140" s="5"/>
      <c r="H140" s="5"/>
      <c r="I140" s="5"/>
      <c r="J140" s="5"/>
      <c r="K140" s="5"/>
      <c r="L140" s="5"/>
      <c r="M140" s="5"/>
      <c r="N140" s="5"/>
      <c r="O140" s="5">
        <f t="shared" si="34"/>
        <v>2</v>
      </c>
      <c r="P140" s="5">
        <f t="shared" si="35"/>
        <v>1.5</v>
      </c>
      <c r="Q140" s="5"/>
      <c r="R140" s="5">
        <f t="shared" si="36"/>
        <v>1</v>
      </c>
      <c r="S140" s="5">
        <f t="shared" si="37"/>
        <v>1</v>
      </c>
      <c r="T140" s="5">
        <f t="shared" si="38"/>
        <v>0</v>
      </c>
      <c r="U140" s="5">
        <f t="shared" si="39"/>
        <v>0</v>
      </c>
      <c r="V140" s="5">
        <f t="shared" si="40"/>
        <v>0</v>
      </c>
      <c r="W140" s="5">
        <f t="shared" si="41"/>
        <v>0</v>
      </c>
      <c r="X140" s="5">
        <f t="shared" si="42"/>
        <v>0</v>
      </c>
      <c r="Y140" s="5">
        <f t="shared" si="43"/>
        <v>0</v>
      </c>
      <c r="Z140" s="5">
        <f t="shared" si="44"/>
        <v>0</v>
      </c>
      <c r="AA140" s="5">
        <f t="shared" si="45"/>
        <v>0</v>
      </c>
      <c r="AB140" s="5">
        <f t="shared" si="46"/>
        <v>0</v>
      </c>
      <c r="AC140" s="5">
        <f t="shared" si="47"/>
        <v>0</v>
      </c>
      <c r="AD140" s="5"/>
      <c r="AE140" s="5"/>
      <c r="AF140" s="5">
        <f t="shared" si="48"/>
        <v>2</v>
      </c>
      <c r="AG140" s="5">
        <f t="shared" si="49"/>
        <v>2</v>
      </c>
      <c r="AH140" s="5" t="str">
        <f t="shared" si="50"/>
        <v>Correct</v>
      </c>
      <c r="AI140" s="5"/>
      <c r="AJ140" s="120" t="str">
        <f>IFERROR(VLOOKUP(Table1[RespondentID],'All Data'!$A$3:$CO$999,87,FALSE),"unknown")</f>
        <v>Man</v>
      </c>
      <c r="AK140" s="120">
        <f>IFERROR(VLOOKUP(Table1[RespondentID],'All Data'!$A$3:$CO$999,88,FALSE),"unknown")</f>
        <v>37</v>
      </c>
      <c r="AL140" s="120" t="str">
        <f>IFERROR(VLOOKUP(Table1[RespondentID],'All Data'!$A$3:$CO$999,89,FALSE),"unknown")</f>
        <v>Suffolk</v>
      </c>
      <c r="AM140" s="120" t="str">
        <f>IFERROR(VLOOKUP(Table1[RespondentID],'All Data'!$A$3:$CO$999,90,FALSE),"unknown")</f>
        <v>Lake Grove, 11755</v>
      </c>
      <c r="AN140" s="120" t="str">
        <f>IFERROR(VLOOKUP(Table1[RespondentID],'All Data'!$A$3:$CO$999,91,FALSE),"unknown")</f>
        <v>Other (please specify)</v>
      </c>
      <c r="AO140" s="120" t="str">
        <f>IFERROR(VLOOKUP(Table1[RespondentID],'All Data'!$A$3:$CO$999,92,FALSE),"unknown")</f>
        <v>Not Hispanic or Latino</v>
      </c>
      <c r="AP140" s="120" t="str">
        <f>IFERROR(VLOOKUP(Table1[RespondentID],'All Data'!$A$3:$CO$999,93,FALSE),"unknown")</f>
        <v>English, Spanish</v>
      </c>
      <c r="AQ140" s="120" t="str">
        <f>IFERROR(VLOOKUP(Table1[RespondentID],'All Data'!$A$3:$CW$999,94,FALSE),"unknown")</f>
        <v>Over $125,000</v>
      </c>
      <c r="AR140" s="120">
        <f>IFERROR(VLOOKUP(Table1[RespondentID],'All Data'!$A$3:$CW$999,95,FALSE),"unknown")</f>
        <v>0</v>
      </c>
      <c r="AS140" s="120" t="str">
        <f>IFERROR(VLOOKUP(Table1[RespondentID],'All Data'!$A$3:$CW$999,96,FALSE),"unknown")</f>
        <v>Employed for wages</v>
      </c>
      <c r="AT140" s="120" t="str">
        <f>IFERROR(VLOOKUP(Table1[RespondentID],'All Data'!$A$3:$CW$999,97,FALSE),"unknown")</f>
        <v>Yes</v>
      </c>
      <c r="AU140" s="120" t="str">
        <f>IFERROR(VLOOKUP(Table1[RespondentID],'All Data'!$A$3:$CW$999,98,FALSE),"unknown")</f>
        <v>Private/Commercial</v>
      </c>
      <c r="AV140" s="120" t="str">
        <f>IFERROR(VLOOKUP(Table1[RespondentID],'All Data'!$A$3:$CW$999,99,FALSE),"unknown")</f>
        <v>Yes</v>
      </c>
    </row>
    <row r="141" spans="1:48">
      <c r="A141" s="5">
        <v>18022301049</v>
      </c>
      <c r="B141" s="5"/>
      <c r="C141" s="5" t="s">
        <v>39</v>
      </c>
      <c r="D141" s="5"/>
      <c r="E141" s="5" t="s">
        <v>41</v>
      </c>
      <c r="F141" s="5"/>
      <c r="G141" s="5"/>
      <c r="H141" s="5"/>
      <c r="I141" s="5" t="s">
        <v>44</v>
      </c>
      <c r="J141" s="5"/>
      <c r="K141" s="5"/>
      <c r="L141" s="5" t="s">
        <v>47</v>
      </c>
      <c r="M141" s="5"/>
      <c r="N141" s="5"/>
      <c r="O141" s="5">
        <f t="shared" si="34"/>
        <v>4</v>
      </c>
      <c r="P141" s="5">
        <f t="shared" si="35"/>
        <v>0.75</v>
      </c>
      <c r="Q141" s="5"/>
      <c r="R141" s="5">
        <f t="shared" si="36"/>
        <v>0</v>
      </c>
      <c r="S141" s="5">
        <f t="shared" si="37"/>
        <v>0.75</v>
      </c>
      <c r="T141" s="5">
        <f t="shared" si="38"/>
        <v>0</v>
      </c>
      <c r="U141" s="5">
        <f t="shared" si="39"/>
        <v>0.75</v>
      </c>
      <c r="V141" s="5">
        <f t="shared" si="40"/>
        <v>0</v>
      </c>
      <c r="W141" s="5">
        <f t="shared" si="41"/>
        <v>0</v>
      </c>
      <c r="X141" s="5">
        <f t="shared" si="42"/>
        <v>0</v>
      </c>
      <c r="Y141" s="5">
        <f t="shared" si="43"/>
        <v>0.75</v>
      </c>
      <c r="Z141" s="5">
        <f t="shared" si="44"/>
        <v>0</v>
      </c>
      <c r="AA141" s="5">
        <f t="shared" si="45"/>
        <v>0</v>
      </c>
      <c r="AB141" s="5">
        <f t="shared" si="46"/>
        <v>0.75</v>
      </c>
      <c r="AC141" s="5">
        <f t="shared" si="47"/>
        <v>0</v>
      </c>
      <c r="AD141" s="5"/>
      <c r="AE141" s="5"/>
      <c r="AF141" s="5">
        <f t="shared" si="48"/>
        <v>3</v>
      </c>
      <c r="AG141" s="5">
        <f t="shared" si="49"/>
        <v>4</v>
      </c>
      <c r="AH141" s="5" t="str">
        <f t="shared" si="50"/>
        <v>Correct</v>
      </c>
      <c r="AI141" s="5"/>
      <c r="AJ141" s="120" t="str">
        <f>IFERROR(VLOOKUP(Table1[RespondentID],'All Data'!$A$3:$CO$999,87,FALSE),"unknown")</f>
        <v>Man</v>
      </c>
      <c r="AK141" s="120">
        <f>IFERROR(VLOOKUP(Table1[RespondentID],'All Data'!$A$3:$CO$999,88,FALSE),"unknown")</f>
        <v>16</v>
      </c>
      <c r="AL141" s="120" t="str">
        <f>IFERROR(VLOOKUP(Table1[RespondentID],'All Data'!$A$3:$CO$999,89,FALSE),"unknown")</f>
        <v>Suffolk</v>
      </c>
      <c r="AM141" s="120" t="str">
        <f>IFERROR(VLOOKUP(Table1[RespondentID],'All Data'!$A$3:$CO$999,90,FALSE),"unknown")</f>
        <v>Dix Hills, 11746</v>
      </c>
      <c r="AN141" s="120" t="str">
        <f>IFERROR(VLOOKUP(Table1[RespondentID],'All Data'!$A$3:$CO$999,91,FALSE),"unknown")</f>
        <v>White</v>
      </c>
      <c r="AO141" s="120" t="str">
        <f>IFERROR(VLOOKUP(Table1[RespondentID],'All Data'!$A$3:$CO$999,92,FALSE),"unknown")</f>
        <v>Not Hispanic or Latino</v>
      </c>
      <c r="AP141" s="120" t="str">
        <f>IFERROR(VLOOKUP(Table1[RespondentID],'All Data'!$A$3:$CO$999,93,FALSE),"unknown")</f>
        <v>English</v>
      </c>
      <c r="AQ141" s="120" t="str">
        <f>IFERROR(VLOOKUP(Table1[RespondentID],'All Data'!$A$3:$CW$999,94,FALSE),"unknown")</f>
        <v>Over $125,000</v>
      </c>
      <c r="AR141" s="120" t="str">
        <f>IFERROR(VLOOKUP(Table1[RespondentID],'All Data'!$A$3:$CW$999,95,FALSE),"unknown")</f>
        <v>Some high school</v>
      </c>
      <c r="AS141" s="120" t="str">
        <f>IFERROR(VLOOKUP(Table1[RespondentID],'All Data'!$A$3:$CW$999,96,FALSE),"unknown")</f>
        <v>Student</v>
      </c>
      <c r="AT141" s="120" t="str">
        <f>IFERROR(VLOOKUP(Table1[RespondentID],'All Data'!$A$3:$CW$999,97,FALSE),"unknown")</f>
        <v>Yes</v>
      </c>
      <c r="AU141" s="120" t="str">
        <f>IFERROR(VLOOKUP(Table1[RespondentID],'All Data'!$A$3:$CW$999,98,FALSE),"unknown")</f>
        <v>Medicaid</v>
      </c>
      <c r="AV141" s="120" t="str">
        <f>IFERROR(VLOOKUP(Table1[RespondentID],'All Data'!$A$3:$CW$999,99,FALSE),"unknown")</f>
        <v>Yes</v>
      </c>
    </row>
    <row r="142" spans="1:48">
      <c r="A142" s="5">
        <v>18022218440</v>
      </c>
      <c r="B142" s="5"/>
      <c r="C142" s="5"/>
      <c r="D142" s="5"/>
      <c r="E142" s="5"/>
      <c r="F142" s="5"/>
      <c r="G142" s="5"/>
      <c r="H142" s="5"/>
      <c r="I142" s="5"/>
      <c r="J142" s="5" t="s">
        <v>45</v>
      </c>
      <c r="K142" s="5"/>
      <c r="L142" s="5"/>
      <c r="M142" s="5"/>
      <c r="N142" s="5"/>
      <c r="O142" s="5">
        <f t="shared" si="34"/>
        <v>1</v>
      </c>
      <c r="P142" s="5">
        <f t="shared" si="35"/>
        <v>3</v>
      </c>
      <c r="Q142" s="5"/>
      <c r="R142" s="5">
        <f t="shared" si="36"/>
        <v>0</v>
      </c>
      <c r="S142" s="5">
        <f t="shared" si="37"/>
        <v>0</v>
      </c>
      <c r="T142" s="5">
        <f t="shared" si="38"/>
        <v>0</v>
      </c>
      <c r="U142" s="5">
        <f t="shared" si="39"/>
        <v>0</v>
      </c>
      <c r="V142" s="5">
        <f t="shared" si="40"/>
        <v>0</v>
      </c>
      <c r="W142" s="5">
        <f t="shared" si="41"/>
        <v>0</v>
      </c>
      <c r="X142" s="5">
        <f t="shared" si="42"/>
        <v>0</v>
      </c>
      <c r="Y142" s="5">
        <f t="shared" si="43"/>
        <v>0</v>
      </c>
      <c r="Z142" s="5">
        <f t="shared" si="44"/>
        <v>1</v>
      </c>
      <c r="AA142" s="5">
        <f t="shared" si="45"/>
        <v>0</v>
      </c>
      <c r="AB142" s="5">
        <f t="shared" si="46"/>
        <v>0</v>
      </c>
      <c r="AC142" s="5">
        <f t="shared" si="47"/>
        <v>0</v>
      </c>
      <c r="AD142" s="5"/>
      <c r="AE142" s="5"/>
      <c r="AF142" s="5">
        <f t="shared" si="48"/>
        <v>1</v>
      </c>
      <c r="AG142" s="5">
        <f t="shared" si="49"/>
        <v>1</v>
      </c>
      <c r="AH142" s="5" t="str">
        <f t="shared" si="50"/>
        <v>Correct</v>
      </c>
      <c r="AI142" s="5"/>
      <c r="AJ142" s="120" t="str">
        <f>IFERROR(VLOOKUP(Table1[RespondentID],'All Data'!$A$3:$CO$999,87,FALSE),"unknown")</f>
        <v>Woman</v>
      </c>
      <c r="AK142" s="120">
        <f>IFERROR(VLOOKUP(Table1[RespondentID],'All Data'!$A$3:$CO$999,88,FALSE),"unknown")</f>
        <v>42</v>
      </c>
      <c r="AL142" s="120" t="str">
        <f>IFERROR(VLOOKUP(Table1[RespondentID],'All Data'!$A$3:$CO$999,89,FALSE),"unknown")</f>
        <v>Suffolk</v>
      </c>
      <c r="AM142" s="120" t="str">
        <f>IFERROR(VLOOKUP(Table1[RespondentID],'All Data'!$A$3:$CO$999,90,FALSE),"unknown")</f>
        <v>East Northport, 11731</v>
      </c>
      <c r="AN142" s="120" t="str">
        <f>IFERROR(VLOOKUP(Table1[RespondentID],'All Data'!$A$3:$CO$999,91,FALSE),"unknown")</f>
        <v>White</v>
      </c>
      <c r="AO142" s="120" t="str">
        <f>IFERROR(VLOOKUP(Table1[RespondentID],'All Data'!$A$3:$CO$999,92,FALSE),"unknown")</f>
        <v>Hispanic or Latino</v>
      </c>
      <c r="AP142" s="120">
        <f>IFERROR(VLOOKUP(Table1[RespondentID],'All Data'!$A$3:$CO$999,93,FALSE),"unknown")</f>
        <v>0</v>
      </c>
      <c r="AQ142" s="120" t="str">
        <f>IFERROR(VLOOKUP(Table1[RespondentID],'All Data'!$A$3:$CW$999,94,FALSE),"unknown")</f>
        <v>Over $125,000</v>
      </c>
      <c r="AR142" s="120" t="str">
        <f>IFERROR(VLOOKUP(Table1[RespondentID],'All Data'!$A$3:$CW$999,95,FALSE),"unknown")</f>
        <v>Graduate school</v>
      </c>
      <c r="AS142" s="120" t="str">
        <f>IFERROR(VLOOKUP(Table1[RespondentID],'All Data'!$A$3:$CW$999,96,FALSE),"unknown")</f>
        <v>Employed for wages</v>
      </c>
      <c r="AT142" s="120" t="str">
        <f>IFERROR(VLOOKUP(Table1[RespondentID],'All Data'!$A$3:$CW$999,97,FALSE),"unknown")</f>
        <v>Yes</v>
      </c>
      <c r="AU142" s="120" t="str">
        <f>IFERROR(VLOOKUP(Table1[RespondentID],'All Data'!$A$3:$CW$999,98,FALSE),"unknown")</f>
        <v>Private/Commercial</v>
      </c>
      <c r="AV142" s="120" t="str">
        <f>IFERROR(VLOOKUP(Table1[RespondentID],'All Data'!$A$3:$CW$999,99,FALSE),"unknown")</f>
        <v>Yes</v>
      </c>
    </row>
    <row r="143" spans="1:48">
      <c r="A143" s="5">
        <v>18022157625</v>
      </c>
      <c r="B143" s="5" t="s">
        <v>38</v>
      </c>
      <c r="C143" s="5" t="s">
        <v>39</v>
      </c>
      <c r="D143" s="5"/>
      <c r="E143" s="5"/>
      <c r="F143" s="5"/>
      <c r="G143" s="5" t="s">
        <v>37</v>
      </c>
      <c r="H143" s="5"/>
      <c r="I143" s="5"/>
      <c r="J143" s="5"/>
      <c r="K143" s="5"/>
      <c r="L143" s="5"/>
      <c r="M143" s="5"/>
      <c r="N143" s="5"/>
      <c r="O143" s="5">
        <f t="shared" si="34"/>
        <v>3</v>
      </c>
      <c r="P143" s="5">
        <f t="shared" si="35"/>
        <v>1</v>
      </c>
      <c r="Q143" s="5"/>
      <c r="R143" s="5">
        <f t="shared" si="36"/>
        <v>1</v>
      </c>
      <c r="S143" s="5">
        <f t="shared" si="37"/>
        <v>1</v>
      </c>
      <c r="T143" s="5">
        <f t="shared" si="38"/>
        <v>0</v>
      </c>
      <c r="U143" s="5">
        <f t="shared" si="39"/>
        <v>0</v>
      </c>
      <c r="V143" s="5">
        <f t="shared" si="40"/>
        <v>0</v>
      </c>
      <c r="W143" s="5">
        <f t="shared" si="41"/>
        <v>1</v>
      </c>
      <c r="X143" s="5">
        <f t="shared" si="42"/>
        <v>0</v>
      </c>
      <c r="Y143" s="5">
        <f t="shared" si="43"/>
        <v>0</v>
      </c>
      <c r="Z143" s="5">
        <f t="shared" si="44"/>
        <v>0</v>
      </c>
      <c r="AA143" s="5">
        <f t="shared" si="45"/>
        <v>0</v>
      </c>
      <c r="AB143" s="5">
        <f t="shared" si="46"/>
        <v>0</v>
      </c>
      <c r="AC143" s="5">
        <f t="shared" si="47"/>
        <v>0</v>
      </c>
      <c r="AD143" s="5"/>
      <c r="AE143" s="5"/>
      <c r="AF143" s="5">
        <f t="shared" si="48"/>
        <v>3</v>
      </c>
      <c r="AG143" s="5">
        <f t="shared" si="49"/>
        <v>3</v>
      </c>
      <c r="AH143" s="5" t="str">
        <f t="shared" si="50"/>
        <v>Correct</v>
      </c>
      <c r="AI143" s="5"/>
      <c r="AJ143" s="120" t="str">
        <f>IFERROR(VLOOKUP(Table1[RespondentID],'All Data'!$A$3:$CO$999,87,FALSE),"unknown")</f>
        <v>Man</v>
      </c>
      <c r="AK143" s="120">
        <f>IFERROR(VLOOKUP(Table1[RespondentID],'All Data'!$A$3:$CO$999,88,FALSE),"unknown")</f>
        <v>20</v>
      </c>
      <c r="AL143" s="120" t="str">
        <f>IFERROR(VLOOKUP(Table1[RespondentID],'All Data'!$A$3:$CO$999,89,FALSE),"unknown")</f>
        <v>Suffolk</v>
      </c>
      <c r="AM143" s="120" t="str">
        <f>IFERROR(VLOOKUP(Table1[RespondentID],'All Data'!$A$3:$CO$999,90,FALSE),"unknown")</f>
        <v>Kings Park, 11754</v>
      </c>
      <c r="AN143" s="120" t="str">
        <f>IFERROR(VLOOKUP(Table1[RespondentID],'All Data'!$A$3:$CO$999,91,FALSE),"unknown")</f>
        <v>White</v>
      </c>
      <c r="AO143" s="120" t="str">
        <f>IFERROR(VLOOKUP(Table1[RespondentID],'All Data'!$A$3:$CO$999,92,FALSE),"unknown")</f>
        <v>Hispanic or Latino</v>
      </c>
      <c r="AP143" s="120" t="str">
        <f>IFERROR(VLOOKUP(Table1[RespondentID],'All Data'!$A$3:$CO$999,93,FALSE),"unknown")</f>
        <v>English</v>
      </c>
      <c r="AQ143" s="120" t="str">
        <f>IFERROR(VLOOKUP(Table1[RespondentID],'All Data'!$A$3:$CW$999,94,FALSE),"unknown")</f>
        <v>Over $125,000</v>
      </c>
      <c r="AR143" s="120" t="str">
        <f>IFERROR(VLOOKUP(Table1[RespondentID],'All Data'!$A$3:$CW$999,95,FALSE),"unknown")</f>
        <v>High school graduate</v>
      </c>
      <c r="AS143" s="120" t="str">
        <f>IFERROR(VLOOKUP(Table1[RespondentID],'All Data'!$A$3:$CW$999,96,FALSE),"unknown")</f>
        <v>Employed for wages</v>
      </c>
      <c r="AT143" s="120" t="str">
        <f>IFERROR(VLOOKUP(Table1[RespondentID],'All Data'!$A$3:$CW$999,97,FALSE),"unknown")</f>
        <v>Yes</v>
      </c>
      <c r="AU143" s="120" t="str">
        <f>IFERROR(VLOOKUP(Table1[RespondentID],'All Data'!$A$3:$CW$999,98,FALSE),"unknown")</f>
        <v>Medicare</v>
      </c>
      <c r="AV143" s="120">
        <f>IFERROR(VLOOKUP(Table1[RespondentID],'All Data'!$A$3:$CW$999,99,FALSE),"unknown")</f>
        <v>0</v>
      </c>
    </row>
    <row r="144" spans="1:48">
      <c r="A144" s="5">
        <v>18022157486</v>
      </c>
      <c r="B144" s="5"/>
      <c r="C144" s="5" t="s">
        <v>39</v>
      </c>
      <c r="D144" s="5"/>
      <c r="E144" s="5" t="s">
        <v>41</v>
      </c>
      <c r="F144" s="5"/>
      <c r="G144" s="5"/>
      <c r="H144" s="5" t="s">
        <v>43</v>
      </c>
      <c r="I144" s="5"/>
      <c r="J144" s="5"/>
      <c r="K144" s="5"/>
      <c r="L144" s="5"/>
      <c r="M144" s="5"/>
      <c r="N144" s="5"/>
      <c r="O144" s="5">
        <f t="shared" si="34"/>
        <v>3</v>
      </c>
      <c r="P144" s="5">
        <f t="shared" si="35"/>
        <v>1</v>
      </c>
      <c r="Q144" s="5"/>
      <c r="R144" s="5">
        <f t="shared" si="36"/>
        <v>0</v>
      </c>
      <c r="S144" s="5">
        <f t="shared" si="37"/>
        <v>1</v>
      </c>
      <c r="T144" s="5">
        <f t="shared" si="38"/>
        <v>0</v>
      </c>
      <c r="U144" s="5">
        <f t="shared" si="39"/>
        <v>1</v>
      </c>
      <c r="V144" s="5">
        <f t="shared" si="40"/>
        <v>0</v>
      </c>
      <c r="W144" s="5">
        <f t="shared" si="41"/>
        <v>0</v>
      </c>
      <c r="X144" s="5">
        <f t="shared" si="42"/>
        <v>1</v>
      </c>
      <c r="Y144" s="5">
        <f t="shared" si="43"/>
        <v>0</v>
      </c>
      <c r="Z144" s="5">
        <f t="shared" si="44"/>
        <v>0</v>
      </c>
      <c r="AA144" s="5">
        <f t="shared" si="45"/>
        <v>0</v>
      </c>
      <c r="AB144" s="5">
        <f t="shared" si="46"/>
        <v>0</v>
      </c>
      <c r="AC144" s="5">
        <f t="shared" si="47"/>
        <v>0</v>
      </c>
      <c r="AD144" s="5"/>
      <c r="AE144" s="5"/>
      <c r="AF144" s="5">
        <f t="shared" si="48"/>
        <v>3</v>
      </c>
      <c r="AG144" s="5">
        <f t="shared" si="49"/>
        <v>3</v>
      </c>
      <c r="AH144" s="5" t="str">
        <f t="shared" si="50"/>
        <v>Correct</v>
      </c>
      <c r="AI144" s="5"/>
      <c r="AJ144" s="120" t="str">
        <f>IFERROR(VLOOKUP(Table1[RespondentID],'All Data'!$A$3:$CO$999,87,FALSE),"unknown")</f>
        <v>Woman</v>
      </c>
      <c r="AK144" s="120">
        <f>IFERROR(VLOOKUP(Table1[RespondentID],'All Data'!$A$3:$CO$999,88,FALSE),"unknown")</f>
        <v>18</v>
      </c>
      <c r="AL144" s="120" t="str">
        <f>IFERROR(VLOOKUP(Table1[RespondentID],'All Data'!$A$3:$CO$999,89,FALSE),"unknown")</f>
        <v>Suffolk</v>
      </c>
      <c r="AM144" s="120" t="str">
        <f>IFERROR(VLOOKUP(Table1[RespondentID],'All Data'!$A$3:$CO$999,90,FALSE),"unknown")</f>
        <v>Kings Park, 11754</v>
      </c>
      <c r="AN144" s="120" t="str">
        <f>IFERROR(VLOOKUP(Table1[RespondentID],'All Data'!$A$3:$CO$999,91,FALSE),"unknown")</f>
        <v>White</v>
      </c>
      <c r="AO144" s="120">
        <f>IFERROR(VLOOKUP(Table1[RespondentID],'All Data'!$A$3:$CO$999,92,FALSE),"unknown")</f>
        <v>0</v>
      </c>
      <c r="AP144" s="120" t="str">
        <f>IFERROR(VLOOKUP(Table1[RespondentID],'All Data'!$A$3:$CO$999,93,FALSE),"unknown")</f>
        <v>English, Spanish</v>
      </c>
      <c r="AQ144" s="120" t="str">
        <f>IFERROR(VLOOKUP(Table1[RespondentID],'All Data'!$A$3:$CW$999,94,FALSE),"unknown")</f>
        <v>$0-$19,999</v>
      </c>
      <c r="AR144" s="120" t="str">
        <f>IFERROR(VLOOKUP(Table1[RespondentID],'All Data'!$A$3:$CW$999,95,FALSE),"unknown")</f>
        <v>High school graduate</v>
      </c>
      <c r="AS144" s="120" t="str">
        <f>IFERROR(VLOOKUP(Table1[RespondentID],'All Data'!$A$3:$CW$999,96,FALSE),"unknown")</f>
        <v>Employed for wages</v>
      </c>
      <c r="AT144" s="120">
        <f>IFERROR(VLOOKUP(Table1[RespondentID],'All Data'!$A$3:$CW$999,97,FALSE),"unknown")</f>
        <v>0</v>
      </c>
      <c r="AU144" s="120" t="str">
        <f>IFERROR(VLOOKUP(Table1[RespondentID],'All Data'!$A$3:$CW$999,98,FALSE),"unknown")</f>
        <v>Private/Commercial</v>
      </c>
      <c r="AV144" s="120">
        <f>IFERROR(VLOOKUP(Table1[RespondentID],'All Data'!$A$3:$CW$999,99,FALSE),"unknown")</f>
        <v>0</v>
      </c>
    </row>
    <row r="145" spans="1:48">
      <c r="A145" s="5">
        <v>18022157371</v>
      </c>
      <c r="B145" s="5"/>
      <c r="C145" s="5" t="s">
        <v>39</v>
      </c>
      <c r="D145" s="5"/>
      <c r="E145" s="5"/>
      <c r="F145" s="5" t="s">
        <v>42</v>
      </c>
      <c r="G145" s="5"/>
      <c r="H145" s="5" t="s">
        <v>43</v>
      </c>
      <c r="I145" s="5"/>
      <c r="J145" s="5"/>
      <c r="K145" s="5"/>
      <c r="L145" s="5"/>
      <c r="M145" s="5"/>
      <c r="N145" s="5"/>
      <c r="O145" s="5">
        <f t="shared" si="34"/>
        <v>3</v>
      </c>
      <c r="P145" s="5">
        <f t="shared" si="35"/>
        <v>1</v>
      </c>
      <c r="Q145" s="5"/>
      <c r="R145" s="5">
        <f t="shared" si="36"/>
        <v>0</v>
      </c>
      <c r="S145" s="5">
        <f t="shared" si="37"/>
        <v>1</v>
      </c>
      <c r="T145" s="5">
        <f t="shared" si="38"/>
        <v>0</v>
      </c>
      <c r="U145" s="5">
        <f t="shared" si="39"/>
        <v>0</v>
      </c>
      <c r="V145" s="5">
        <f t="shared" si="40"/>
        <v>1</v>
      </c>
      <c r="W145" s="5">
        <f t="shared" si="41"/>
        <v>0</v>
      </c>
      <c r="X145" s="5">
        <f t="shared" si="42"/>
        <v>1</v>
      </c>
      <c r="Y145" s="5">
        <f t="shared" si="43"/>
        <v>0</v>
      </c>
      <c r="Z145" s="5">
        <f t="shared" si="44"/>
        <v>0</v>
      </c>
      <c r="AA145" s="5">
        <f t="shared" si="45"/>
        <v>0</v>
      </c>
      <c r="AB145" s="5">
        <f t="shared" si="46"/>
        <v>0</v>
      </c>
      <c r="AC145" s="5">
        <f t="shared" si="47"/>
        <v>0</v>
      </c>
      <c r="AD145" s="5"/>
      <c r="AE145" s="5"/>
      <c r="AF145" s="5">
        <f t="shared" si="48"/>
        <v>3</v>
      </c>
      <c r="AG145" s="5">
        <f t="shared" si="49"/>
        <v>3</v>
      </c>
      <c r="AH145" s="5" t="str">
        <f t="shared" si="50"/>
        <v>Correct</v>
      </c>
      <c r="AI145" s="5"/>
      <c r="AJ145" s="120" t="str">
        <f>IFERROR(VLOOKUP(Table1[RespondentID],'All Data'!$A$3:$CO$999,87,FALSE),"unknown")</f>
        <v>Man</v>
      </c>
      <c r="AK145" s="120">
        <f>IFERROR(VLOOKUP(Table1[RespondentID],'All Data'!$A$3:$CO$999,88,FALSE),"unknown")</f>
        <v>42</v>
      </c>
      <c r="AL145" s="120" t="str">
        <f>IFERROR(VLOOKUP(Table1[RespondentID],'All Data'!$A$3:$CO$999,89,FALSE),"unknown")</f>
        <v>Suffolk</v>
      </c>
      <c r="AM145" s="120" t="str">
        <f>IFERROR(VLOOKUP(Table1[RespondentID],'All Data'!$A$3:$CO$999,90,FALSE),"unknown")</f>
        <v>Hauppauge, 11788</v>
      </c>
      <c r="AN145" s="120" t="str">
        <f>IFERROR(VLOOKUP(Table1[RespondentID],'All Data'!$A$3:$CO$999,91,FALSE),"unknown")</f>
        <v>White</v>
      </c>
      <c r="AO145" s="120" t="str">
        <f>IFERROR(VLOOKUP(Table1[RespondentID],'All Data'!$A$3:$CO$999,92,FALSE),"unknown")</f>
        <v>Hispanic or Latino</v>
      </c>
      <c r="AP145" s="120" t="str">
        <f>IFERROR(VLOOKUP(Table1[RespondentID],'All Data'!$A$3:$CO$999,93,FALSE),"unknown")</f>
        <v>English</v>
      </c>
      <c r="AQ145" s="120" t="str">
        <f>IFERROR(VLOOKUP(Table1[RespondentID],'All Data'!$A$3:$CW$999,94,FALSE),"unknown")</f>
        <v>Over $125,000</v>
      </c>
      <c r="AR145" s="120" t="str">
        <f>IFERROR(VLOOKUP(Table1[RespondentID],'All Data'!$A$3:$CW$999,95,FALSE),"unknown")</f>
        <v>Graduate school</v>
      </c>
      <c r="AS145" s="120" t="str">
        <f>IFERROR(VLOOKUP(Table1[RespondentID],'All Data'!$A$3:$CW$999,96,FALSE),"unknown")</f>
        <v>Employed for wages</v>
      </c>
      <c r="AT145" s="120" t="str">
        <f>IFERROR(VLOOKUP(Table1[RespondentID],'All Data'!$A$3:$CW$999,97,FALSE),"unknown")</f>
        <v>Yes</v>
      </c>
      <c r="AU145" s="120" t="str">
        <f>IFERROR(VLOOKUP(Table1[RespondentID],'All Data'!$A$3:$CW$999,98,FALSE),"unknown")</f>
        <v>Private/Commercial</v>
      </c>
      <c r="AV145" s="120">
        <f>IFERROR(VLOOKUP(Table1[RespondentID],'All Data'!$A$3:$CW$999,99,FALSE),"unknown")</f>
        <v>0</v>
      </c>
    </row>
    <row r="146" spans="1:48">
      <c r="A146" s="5">
        <v>18022157215</v>
      </c>
      <c r="B146" s="5"/>
      <c r="C146" s="5" t="s">
        <v>39</v>
      </c>
      <c r="D146" s="5"/>
      <c r="E146" s="5"/>
      <c r="F146" s="5"/>
      <c r="G146" s="5"/>
      <c r="H146" s="5" t="s">
        <v>43</v>
      </c>
      <c r="I146" s="5"/>
      <c r="J146" s="5"/>
      <c r="K146" s="5" t="s">
        <v>46</v>
      </c>
      <c r="L146" s="5"/>
      <c r="M146" s="5"/>
      <c r="N146" s="5"/>
      <c r="O146" s="5">
        <f t="shared" si="34"/>
        <v>3</v>
      </c>
      <c r="P146" s="5">
        <f t="shared" si="35"/>
        <v>1</v>
      </c>
      <c r="Q146" s="5"/>
      <c r="R146" s="5">
        <f t="shared" si="36"/>
        <v>0</v>
      </c>
      <c r="S146" s="5">
        <f t="shared" si="37"/>
        <v>1</v>
      </c>
      <c r="T146" s="5">
        <f t="shared" si="38"/>
        <v>0</v>
      </c>
      <c r="U146" s="5">
        <f t="shared" si="39"/>
        <v>0</v>
      </c>
      <c r="V146" s="5">
        <f t="shared" si="40"/>
        <v>0</v>
      </c>
      <c r="W146" s="5">
        <f t="shared" si="41"/>
        <v>0</v>
      </c>
      <c r="X146" s="5">
        <f t="shared" si="42"/>
        <v>1</v>
      </c>
      <c r="Y146" s="5">
        <f t="shared" si="43"/>
        <v>0</v>
      </c>
      <c r="Z146" s="5">
        <f t="shared" si="44"/>
        <v>0</v>
      </c>
      <c r="AA146" s="5">
        <f t="shared" si="45"/>
        <v>1</v>
      </c>
      <c r="AB146" s="5">
        <f t="shared" si="46"/>
        <v>0</v>
      </c>
      <c r="AC146" s="5">
        <f t="shared" si="47"/>
        <v>0</v>
      </c>
      <c r="AD146" s="5"/>
      <c r="AE146" s="5"/>
      <c r="AF146" s="5">
        <f t="shared" si="48"/>
        <v>3</v>
      </c>
      <c r="AG146" s="5">
        <f t="shared" si="49"/>
        <v>3</v>
      </c>
      <c r="AH146" s="5" t="str">
        <f t="shared" si="50"/>
        <v>Correct</v>
      </c>
      <c r="AI146" s="5"/>
      <c r="AJ146" s="120" t="str">
        <f>IFERROR(VLOOKUP(Table1[RespondentID],'All Data'!$A$3:$CO$999,87,FALSE),"unknown")</f>
        <v>Man</v>
      </c>
      <c r="AK146" s="120">
        <f>IFERROR(VLOOKUP(Table1[RespondentID],'All Data'!$A$3:$CO$999,88,FALSE),"unknown")</f>
        <v>18</v>
      </c>
      <c r="AL146" s="120" t="str">
        <f>IFERROR(VLOOKUP(Table1[RespondentID],'All Data'!$A$3:$CO$999,89,FALSE),"unknown")</f>
        <v>Suffolk</v>
      </c>
      <c r="AM146" s="120" t="str">
        <f>IFERROR(VLOOKUP(Table1[RespondentID],'All Data'!$A$3:$CO$999,90,FALSE),"unknown")</f>
        <v>Kings Park, 11754</v>
      </c>
      <c r="AN146" s="120" t="str">
        <f>IFERROR(VLOOKUP(Table1[RespondentID],'All Data'!$A$3:$CO$999,91,FALSE),"unknown")</f>
        <v>White</v>
      </c>
      <c r="AO146" s="120" t="str">
        <f>IFERROR(VLOOKUP(Table1[RespondentID],'All Data'!$A$3:$CO$999,92,FALSE),"unknown")</f>
        <v>Hispanic or Latino</v>
      </c>
      <c r="AP146" s="120" t="str">
        <f>IFERROR(VLOOKUP(Table1[RespondentID],'All Data'!$A$3:$CO$999,93,FALSE),"unknown")</f>
        <v>English</v>
      </c>
      <c r="AQ146" s="120" t="str">
        <f>IFERROR(VLOOKUP(Table1[RespondentID],'All Data'!$A$3:$CW$999,94,FALSE),"unknown")</f>
        <v>Over $125,000</v>
      </c>
      <c r="AR146" s="120" t="str">
        <f>IFERROR(VLOOKUP(Table1[RespondentID],'All Data'!$A$3:$CW$999,95,FALSE),"unknown")</f>
        <v>High school graduate</v>
      </c>
      <c r="AS146" s="120" t="str">
        <f>IFERROR(VLOOKUP(Table1[RespondentID],'All Data'!$A$3:$CW$999,96,FALSE),"unknown")</f>
        <v>Student</v>
      </c>
      <c r="AT146" s="120">
        <f>IFERROR(VLOOKUP(Table1[RespondentID],'All Data'!$A$3:$CW$999,97,FALSE),"unknown")</f>
        <v>0</v>
      </c>
      <c r="AU146" s="120" t="str">
        <f>IFERROR(VLOOKUP(Table1[RespondentID],'All Data'!$A$3:$CW$999,98,FALSE),"unknown")</f>
        <v>Medicare</v>
      </c>
      <c r="AV146" s="120">
        <f>IFERROR(VLOOKUP(Table1[RespondentID],'All Data'!$A$3:$CW$999,99,FALSE),"unknown")</f>
        <v>0</v>
      </c>
    </row>
    <row r="147" spans="1:48">
      <c r="A147" s="5">
        <v>18022157058</v>
      </c>
      <c r="B147" s="5" t="s">
        <v>38</v>
      </c>
      <c r="C147" s="5"/>
      <c r="D147" s="5"/>
      <c r="E147" s="5" t="s">
        <v>41</v>
      </c>
      <c r="F147" s="5"/>
      <c r="G147" s="5"/>
      <c r="H147" s="5" t="s">
        <v>43</v>
      </c>
      <c r="I147" s="5"/>
      <c r="J147" s="5"/>
      <c r="K147" s="5" t="s">
        <v>46</v>
      </c>
      <c r="L147" s="5"/>
      <c r="M147" s="5"/>
      <c r="N147" s="5"/>
      <c r="O147" s="5">
        <f t="shared" si="34"/>
        <v>4</v>
      </c>
      <c r="P147" s="5">
        <f t="shared" si="35"/>
        <v>0.75</v>
      </c>
      <c r="Q147" s="5"/>
      <c r="R147" s="5">
        <f t="shared" si="36"/>
        <v>0.75</v>
      </c>
      <c r="S147" s="5">
        <f t="shared" si="37"/>
        <v>0</v>
      </c>
      <c r="T147" s="5">
        <f t="shared" si="38"/>
        <v>0</v>
      </c>
      <c r="U147" s="5">
        <f t="shared" si="39"/>
        <v>0.75</v>
      </c>
      <c r="V147" s="5">
        <f t="shared" si="40"/>
        <v>0</v>
      </c>
      <c r="W147" s="5">
        <f t="shared" si="41"/>
        <v>0</v>
      </c>
      <c r="X147" s="5">
        <f t="shared" si="42"/>
        <v>0.75</v>
      </c>
      <c r="Y147" s="5">
        <f t="shared" si="43"/>
        <v>0</v>
      </c>
      <c r="Z147" s="5">
        <f t="shared" si="44"/>
        <v>0</v>
      </c>
      <c r="AA147" s="5">
        <f t="shared" si="45"/>
        <v>0.75</v>
      </c>
      <c r="AB147" s="5">
        <f t="shared" si="46"/>
        <v>0</v>
      </c>
      <c r="AC147" s="5">
        <f t="shared" si="47"/>
        <v>0</v>
      </c>
      <c r="AD147" s="5"/>
      <c r="AE147" s="5"/>
      <c r="AF147" s="5">
        <f t="shared" si="48"/>
        <v>3</v>
      </c>
      <c r="AG147" s="5">
        <f t="shared" si="49"/>
        <v>4</v>
      </c>
      <c r="AH147" s="5" t="str">
        <f t="shared" si="50"/>
        <v>Correct</v>
      </c>
      <c r="AI147" s="5"/>
      <c r="AJ147" s="120" t="str">
        <f>IFERROR(VLOOKUP(Table1[RespondentID],'All Data'!$A$3:$CO$999,87,FALSE),"unknown")</f>
        <v>Man</v>
      </c>
      <c r="AK147" s="120">
        <f>IFERROR(VLOOKUP(Table1[RespondentID],'All Data'!$A$3:$CO$999,88,FALSE),"unknown")</f>
        <v>18</v>
      </c>
      <c r="AL147" s="120" t="str">
        <f>IFERROR(VLOOKUP(Table1[RespondentID],'All Data'!$A$3:$CO$999,89,FALSE),"unknown")</f>
        <v>Suffolk</v>
      </c>
      <c r="AM147" s="120" t="str">
        <f>IFERROR(VLOOKUP(Table1[RespondentID],'All Data'!$A$3:$CO$999,90,FALSE),"unknown")</f>
        <v>Kings Park, 11754</v>
      </c>
      <c r="AN147" s="120" t="str">
        <f>IFERROR(VLOOKUP(Table1[RespondentID],'All Data'!$A$3:$CO$999,91,FALSE),"unknown")</f>
        <v>White</v>
      </c>
      <c r="AO147" s="120" t="str">
        <f>IFERROR(VLOOKUP(Table1[RespondentID],'All Data'!$A$3:$CO$999,92,FALSE),"unknown")</f>
        <v>Hispanic or Latino</v>
      </c>
      <c r="AP147" s="120" t="str">
        <f>IFERROR(VLOOKUP(Table1[RespondentID],'All Data'!$A$3:$CO$999,93,FALSE),"unknown")</f>
        <v>English</v>
      </c>
      <c r="AQ147" s="120" t="str">
        <f>IFERROR(VLOOKUP(Table1[RespondentID],'All Data'!$A$3:$CW$999,94,FALSE),"unknown")</f>
        <v>$75,000 to $125,000</v>
      </c>
      <c r="AR147" s="120" t="str">
        <f>IFERROR(VLOOKUP(Table1[RespondentID],'All Data'!$A$3:$CW$999,95,FALSE),"unknown")</f>
        <v>Some high school</v>
      </c>
      <c r="AS147" s="120" t="str">
        <f>IFERROR(VLOOKUP(Table1[RespondentID],'All Data'!$A$3:$CW$999,96,FALSE),"unknown")</f>
        <v>Self-employed</v>
      </c>
      <c r="AT147" s="120" t="str">
        <f>IFERROR(VLOOKUP(Table1[RespondentID],'All Data'!$A$3:$CW$999,97,FALSE),"unknown")</f>
        <v>Yes</v>
      </c>
      <c r="AU147" s="120">
        <f>IFERROR(VLOOKUP(Table1[RespondentID],'All Data'!$A$3:$CW$999,98,FALSE),"unknown")</f>
        <v>0</v>
      </c>
      <c r="AV147" s="120">
        <f>IFERROR(VLOOKUP(Table1[RespondentID],'All Data'!$A$3:$CW$999,99,FALSE),"unknown")</f>
        <v>0</v>
      </c>
    </row>
    <row r="148" spans="1:48">
      <c r="A148" s="5">
        <v>18022156869</v>
      </c>
      <c r="B148" s="5"/>
      <c r="C148" s="5" t="s">
        <v>39</v>
      </c>
      <c r="D148" s="5"/>
      <c r="E148" s="5"/>
      <c r="F148" s="5"/>
      <c r="G148" s="5"/>
      <c r="H148" s="5" t="s">
        <v>43</v>
      </c>
      <c r="I148" s="5"/>
      <c r="J148" s="5"/>
      <c r="K148" s="5" t="s">
        <v>46</v>
      </c>
      <c r="L148" s="5"/>
      <c r="M148" s="5"/>
      <c r="N148" s="5"/>
      <c r="O148" s="5">
        <f t="shared" si="34"/>
        <v>3</v>
      </c>
      <c r="P148" s="5">
        <f t="shared" si="35"/>
        <v>1</v>
      </c>
      <c r="Q148" s="5"/>
      <c r="R148" s="5">
        <f t="shared" si="36"/>
        <v>0</v>
      </c>
      <c r="S148" s="5">
        <f t="shared" si="37"/>
        <v>1</v>
      </c>
      <c r="T148" s="5">
        <f t="shared" si="38"/>
        <v>0</v>
      </c>
      <c r="U148" s="5">
        <f t="shared" si="39"/>
        <v>0</v>
      </c>
      <c r="V148" s="5">
        <f t="shared" si="40"/>
        <v>0</v>
      </c>
      <c r="W148" s="5">
        <f t="shared" si="41"/>
        <v>0</v>
      </c>
      <c r="X148" s="5">
        <f t="shared" si="42"/>
        <v>1</v>
      </c>
      <c r="Y148" s="5">
        <f t="shared" si="43"/>
        <v>0</v>
      </c>
      <c r="Z148" s="5">
        <f t="shared" si="44"/>
        <v>0</v>
      </c>
      <c r="AA148" s="5">
        <f t="shared" si="45"/>
        <v>1</v>
      </c>
      <c r="AB148" s="5">
        <f t="shared" si="46"/>
        <v>0</v>
      </c>
      <c r="AC148" s="5">
        <f t="shared" si="47"/>
        <v>0</v>
      </c>
      <c r="AD148" s="5"/>
      <c r="AE148" s="5"/>
      <c r="AF148" s="5">
        <f t="shared" si="48"/>
        <v>3</v>
      </c>
      <c r="AG148" s="5">
        <f t="shared" si="49"/>
        <v>3</v>
      </c>
      <c r="AH148" s="5" t="str">
        <f t="shared" si="50"/>
        <v>Correct</v>
      </c>
      <c r="AI148" s="5"/>
      <c r="AJ148" s="120" t="str">
        <f>IFERROR(VLOOKUP(Table1[RespondentID],'All Data'!$A$3:$CO$999,87,FALSE),"unknown")</f>
        <v>Man</v>
      </c>
      <c r="AK148" s="120">
        <f>IFERROR(VLOOKUP(Table1[RespondentID],'All Data'!$A$3:$CO$999,88,FALSE),"unknown")</f>
        <v>18</v>
      </c>
      <c r="AL148" s="120" t="str">
        <f>IFERROR(VLOOKUP(Table1[RespondentID],'All Data'!$A$3:$CO$999,89,FALSE),"unknown")</f>
        <v>Suffolk</v>
      </c>
      <c r="AM148" s="120" t="str">
        <f>IFERROR(VLOOKUP(Table1[RespondentID],'All Data'!$A$3:$CO$999,90,FALSE),"unknown")</f>
        <v>Kings Park, 11754</v>
      </c>
      <c r="AN148" s="120" t="str">
        <f>IFERROR(VLOOKUP(Table1[RespondentID],'All Data'!$A$3:$CO$999,91,FALSE),"unknown")</f>
        <v>White</v>
      </c>
      <c r="AO148" s="120" t="str">
        <f>IFERROR(VLOOKUP(Table1[RespondentID],'All Data'!$A$3:$CO$999,92,FALSE),"unknown")</f>
        <v>Hispanic or Latino</v>
      </c>
      <c r="AP148" s="120" t="str">
        <f>IFERROR(VLOOKUP(Table1[RespondentID],'All Data'!$A$3:$CO$999,93,FALSE),"unknown")</f>
        <v>English</v>
      </c>
      <c r="AQ148" s="120" t="str">
        <f>IFERROR(VLOOKUP(Table1[RespondentID],'All Data'!$A$3:$CW$999,94,FALSE),"unknown")</f>
        <v>Over $125,000</v>
      </c>
      <c r="AR148" s="120" t="str">
        <f>IFERROR(VLOOKUP(Table1[RespondentID],'All Data'!$A$3:$CW$999,95,FALSE),"unknown")</f>
        <v>Other (please specify)</v>
      </c>
      <c r="AS148" s="120" t="str">
        <f>IFERROR(VLOOKUP(Table1[RespondentID],'All Data'!$A$3:$CW$999,96,FALSE),"unknown")</f>
        <v>Employed for wages</v>
      </c>
      <c r="AT148" s="120" t="str">
        <f>IFERROR(VLOOKUP(Table1[RespondentID],'All Data'!$A$3:$CW$999,97,FALSE),"unknown")</f>
        <v>Yes</v>
      </c>
      <c r="AU148" s="120" t="str">
        <f>IFERROR(VLOOKUP(Table1[RespondentID],'All Data'!$A$3:$CW$999,98,FALSE),"unknown")</f>
        <v>Medicare</v>
      </c>
      <c r="AV148" s="120">
        <f>IFERROR(VLOOKUP(Table1[RespondentID],'All Data'!$A$3:$CW$999,99,FALSE),"unknown")</f>
        <v>0</v>
      </c>
    </row>
    <row r="149" spans="1:48">
      <c r="A149" s="5">
        <v>18022156726</v>
      </c>
      <c r="B149" s="5"/>
      <c r="C149" s="5"/>
      <c r="D149" s="5"/>
      <c r="E149" s="5"/>
      <c r="F149" s="5"/>
      <c r="G149" s="5"/>
      <c r="H149" s="5"/>
      <c r="I149" s="5"/>
      <c r="J149" s="5" t="s">
        <v>45</v>
      </c>
      <c r="K149" s="5"/>
      <c r="L149" s="5"/>
      <c r="M149" s="5"/>
      <c r="N149" s="5"/>
      <c r="O149" s="5">
        <f t="shared" si="34"/>
        <v>1</v>
      </c>
      <c r="P149" s="5">
        <f t="shared" si="35"/>
        <v>3</v>
      </c>
      <c r="Q149" s="5"/>
      <c r="R149" s="5">
        <f t="shared" si="36"/>
        <v>0</v>
      </c>
      <c r="S149" s="5">
        <f t="shared" si="37"/>
        <v>0</v>
      </c>
      <c r="T149" s="5">
        <f t="shared" si="38"/>
        <v>0</v>
      </c>
      <c r="U149" s="5">
        <f t="shared" si="39"/>
        <v>0</v>
      </c>
      <c r="V149" s="5">
        <f t="shared" si="40"/>
        <v>0</v>
      </c>
      <c r="W149" s="5">
        <f t="shared" si="41"/>
        <v>0</v>
      </c>
      <c r="X149" s="5">
        <f t="shared" si="42"/>
        <v>0</v>
      </c>
      <c r="Y149" s="5">
        <f t="shared" si="43"/>
        <v>0</v>
      </c>
      <c r="Z149" s="5">
        <f t="shared" si="44"/>
        <v>1</v>
      </c>
      <c r="AA149" s="5">
        <f t="shared" si="45"/>
        <v>0</v>
      </c>
      <c r="AB149" s="5">
        <f t="shared" si="46"/>
        <v>0</v>
      </c>
      <c r="AC149" s="5">
        <f t="shared" si="47"/>
        <v>0</v>
      </c>
      <c r="AD149" s="5"/>
      <c r="AE149" s="5"/>
      <c r="AF149" s="5">
        <f t="shared" si="48"/>
        <v>1</v>
      </c>
      <c r="AG149" s="5">
        <f t="shared" si="49"/>
        <v>1</v>
      </c>
      <c r="AH149" s="5" t="str">
        <f t="shared" si="50"/>
        <v>Correct</v>
      </c>
      <c r="AI149" s="5"/>
      <c r="AJ149" s="120" t="str">
        <f>IFERROR(VLOOKUP(Table1[RespondentID],'All Data'!$A$3:$CO$999,87,FALSE),"unknown")</f>
        <v>Man</v>
      </c>
      <c r="AK149" s="120">
        <f>IFERROR(VLOOKUP(Table1[RespondentID],'All Data'!$A$3:$CO$999,88,FALSE),"unknown")</f>
        <v>39</v>
      </c>
      <c r="AL149" s="120" t="str">
        <f>IFERROR(VLOOKUP(Table1[RespondentID],'All Data'!$A$3:$CO$999,89,FALSE),"unknown")</f>
        <v>Suffolk</v>
      </c>
      <c r="AM149" s="120" t="str">
        <f>IFERROR(VLOOKUP(Table1[RespondentID],'All Data'!$A$3:$CO$999,90,FALSE),"unknown")</f>
        <v>Medford, 11763</v>
      </c>
      <c r="AN149" s="120" t="str">
        <f>IFERROR(VLOOKUP(Table1[RespondentID],'All Data'!$A$3:$CO$999,91,FALSE),"unknown")</f>
        <v>White</v>
      </c>
      <c r="AO149" s="120" t="str">
        <f>IFERROR(VLOOKUP(Table1[RespondentID],'All Data'!$A$3:$CO$999,92,FALSE),"unknown")</f>
        <v>Hispanic or Latino</v>
      </c>
      <c r="AP149" s="120" t="str">
        <f>IFERROR(VLOOKUP(Table1[RespondentID],'All Data'!$A$3:$CO$999,93,FALSE),"unknown")</f>
        <v>English</v>
      </c>
      <c r="AQ149" s="120" t="str">
        <f>IFERROR(VLOOKUP(Table1[RespondentID],'All Data'!$A$3:$CW$999,94,FALSE),"unknown")</f>
        <v>Over $125,000</v>
      </c>
      <c r="AR149" s="120" t="str">
        <f>IFERROR(VLOOKUP(Table1[RespondentID],'All Data'!$A$3:$CW$999,95,FALSE),"unknown")</f>
        <v>Graduate school</v>
      </c>
      <c r="AS149" s="120" t="str">
        <f>IFERROR(VLOOKUP(Table1[RespondentID],'All Data'!$A$3:$CW$999,96,FALSE),"unknown")</f>
        <v>Employed for wages</v>
      </c>
      <c r="AT149" s="120" t="str">
        <f>IFERROR(VLOOKUP(Table1[RespondentID],'All Data'!$A$3:$CW$999,97,FALSE),"unknown")</f>
        <v>Yes</v>
      </c>
      <c r="AU149" s="120">
        <f>IFERROR(VLOOKUP(Table1[RespondentID],'All Data'!$A$3:$CW$999,98,FALSE),"unknown")</f>
        <v>0</v>
      </c>
      <c r="AV149" s="120">
        <f>IFERROR(VLOOKUP(Table1[RespondentID],'All Data'!$A$3:$CW$999,99,FALSE),"unknown")</f>
        <v>0</v>
      </c>
    </row>
    <row r="150" spans="1:48">
      <c r="A150" s="5">
        <v>18022156601</v>
      </c>
      <c r="B150" s="5"/>
      <c r="C150" s="5"/>
      <c r="D150" s="5"/>
      <c r="E150" s="5"/>
      <c r="F150" s="5" t="s">
        <v>42</v>
      </c>
      <c r="G150" s="5" t="s">
        <v>37</v>
      </c>
      <c r="H150" s="5" t="s">
        <v>43</v>
      </c>
      <c r="I150" s="5"/>
      <c r="J150" s="5"/>
      <c r="K150" s="5"/>
      <c r="L150" s="5"/>
      <c r="M150" s="5"/>
      <c r="N150" s="5"/>
      <c r="O150" s="5">
        <f t="shared" si="34"/>
        <v>3</v>
      </c>
      <c r="P150" s="5">
        <f t="shared" si="35"/>
        <v>1</v>
      </c>
      <c r="Q150" s="5"/>
      <c r="R150" s="5">
        <f t="shared" si="36"/>
        <v>0</v>
      </c>
      <c r="S150" s="5">
        <f t="shared" si="37"/>
        <v>0</v>
      </c>
      <c r="T150" s="5">
        <f t="shared" si="38"/>
        <v>0</v>
      </c>
      <c r="U150" s="5">
        <f t="shared" si="39"/>
        <v>0</v>
      </c>
      <c r="V150" s="5">
        <f t="shared" si="40"/>
        <v>1</v>
      </c>
      <c r="W150" s="5">
        <f t="shared" si="41"/>
        <v>1</v>
      </c>
      <c r="X150" s="5">
        <f t="shared" si="42"/>
        <v>1</v>
      </c>
      <c r="Y150" s="5">
        <f t="shared" si="43"/>
        <v>0</v>
      </c>
      <c r="Z150" s="5">
        <f t="shared" si="44"/>
        <v>0</v>
      </c>
      <c r="AA150" s="5">
        <f t="shared" si="45"/>
        <v>0</v>
      </c>
      <c r="AB150" s="5">
        <f t="shared" si="46"/>
        <v>0</v>
      </c>
      <c r="AC150" s="5">
        <f t="shared" si="47"/>
        <v>0</v>
      </c>
      <c r="AD150" s="5"/>
      <c r="AE150" s="5"/>
      <c r="AF150" s="5">
        <f t="shared" si="48"/>
        <v>3</v>
      </c>
      <c r="AG150" s="5">
        <f t="shared" si="49"/>
        <v>3</v>
      </c>
      <c r="AH150" s="5" t="str">
        <f t="shared" si="50"/>
        <v>Correct</v>
      </c>
      <c r="AI150" s="5"/>
      <c r="AJ150" s="120" t="str">
        <f>IFERROR(VLOOKUP(Table1[RespondentID],'All Data'!$A$3:$CO$999,87,FALSE),"unknown")</f>
        <v>Man</v>
      </c>
      <c r="AK150" s="120">
        <f>IFERROR(VLOOKUP(Table1[RespondentID],'All Data'!$A$3:$CO$999,88,FALSE),"unknown")</f>
        <v>49</v>
      </c>
      <c r="AL150" s="120" t="str">
        <f>IFERROR(VLOOKUP(Table1[RespondentID],'All Data'!$A$3:$CO$999,89,FALSE),"unknown")</f>
        <v>Suffolk</v>
      </c>
      <c r="AM150" s="120" t="str">
        <f>IFERROR(VLOOKUP(Table1[RespondentID],'All Data'!$A$3:$CO$999,90,FALSE),"unknown")</f>
        <v>Kings Park, 11754</v>
      </c>
      <c r="AN150" s="120" t="str">
        <f>IFERROR(VLOOKUP(Table1[RespondentID],'All Data'!$A$3:$CO$999,91,FALSE),"unknown")</f>
        <v>White</v>
      </c>
      <c r="AO150" s="120" t="str">
        <f>IFERROR(VLOOKUP(Table1[RespondentID],'All Data'!$A$3:$CO$999,92,FALSE),"unknown")</f>
        <v>Hispanic or Latino</v>
      </c>
      <c r="AP150" s="120" t="str">
        <f>IFERROR(VLOOKUP(Table1[RespondentID],'All Data'!$A$3:$CO$999,93,FALSE),"unknown")</f>
        <v>English</v>
      </c>
      <c r="AQ150" s="120" t="str">
        <f>IFERROR(VLOOKUP(Table1[RespondentID],'All Data'!$A$3:$CW$999,94,FALSE),"unknown")</f>
        <v>Over $125,000</v>
      </c>
      <c r="AR150" s="120" t="str">
        <f>IFERROR(VLOOKUP(Table1[RespondentID],'All Data'!$A$3:$CW$999,95,FALSE),"unknown")</f>
        <v>High school graduate</v>
      </c>
      <c r="AS150" s="120" t="str">
        <f>IFERROR(VLOOKUP(Table1[RespondentID],'All Data'!$A$3:$CW$999,96,FALSE),"unknown")</f>
        <v>Out of work, but not currently looking</v>
      </c>
      <c r="AT150" s="120" t="str">
        <f>IFERROR(VLOOKUP(Table1[RespondentID],'All Data'!$A$3:$CW$999,97,FALSE),"unknown")</f>
        <v>Yes</v>
      </c>
      <c r="AU150" s="120" t="str">
        <f>IFERROR(VLOOKUP(Table1[RespondentID],'All Data'!$A$3:$CW$999,98,FALSE),"unknown")</f>
        <v>Private/Commercial</v>
      </c>
      <c r="AV150" s="120">
        <f>IFERROR(VLOOKUP(Table1[RespondentID],'All Data'!$A$3:$CW$999,99,FALSE),"unknown")</f>
        <v>0</v>
      </c>
    </row>
    <row r="151" spans="1:48">
      <c r="A151" s="5">
        <v>18022142040</v>
      </c>
      <c r="B151" s="5"/>
      <c r="C151" s="5" t="s">
        <v>39</v>
      </c>
      <c r="D151" s="5"/>
      <c r="E151" s="5" t="s">
        <v>41</v>
      </c>
      <c r="F151" s="5"/>
      <c r="G151" s="5"/>
      <c r="H151" s="5"/>
      <c r="I151" s="5" t="s">
        <v>44</v>
      </c>
      <c r="J151" s="5"/>
      <c r="K151" s="5"/>
      <c r="L151" s="5"/>
      <c r="M151" s="5"/>
      <c r="N151" s="5"/>
      <c r="O151" s="5">
        <f t="shared" si="34"/>
        <v>3</v>
      </c>
      <c r="P151" s="5">
        <f t="shared" si="35"/>
        <v>1</v>
      </c>
      <c r="Q151" s="5"/>
      <c r="R151" s="5">
        <f t="shared" si="36"/>
        <v>0</v>
      </c>
      <c r="S151" s="5">
        <f t="shared" si="37"/>
        <v>1</v>
      </c>
      <c r="T151" s="5">
        <f t="shared" si="38"/>
        <v>0</v>
      </c>
      <c r="U151" s="5">
        <f t="shared" si="39"/>
        <v>1</v>
      </c>
      <c r="V151" s="5">
        <f t="shared" si="40"/>
        <v>0</v>
      </c>
      <c r="W151" s="5">
        <f t="shared" si="41"/>
        <v>0</v>
      </c>
      <c r="X151" s="5">
        <f t="shared" si="42"/>
        <v>0</v>
      </c>
      <c r="Y151" s="5">
        <f t="shared" si="43"/>
        <v>1</v>
      </c>
      <c r="Z151" s="5">
        <f t="shared" si="44"/>
        <v>0</v>
      </c>
      <c r="AA151" s="5">
        <f t="shared" si="45"/>
        <v>0</v>
      </c>
      <c r="AB151" s="5">
        <f t="shared" si="46"/>
        <v>0</v>
      </c>
      <c r="AC151" s="5">
        <f t="shared" si="47"/>
        <v>0</v>
      </c>
      <c r="AD151" s="5"/>
      <c r="AE151" s="5"/>
      <c r="AF151" s="5">
        <f t="shared" si="48"/>
        <v>3</v>
      </c>
      <c r="AG151" s="5">
        <f t="shared" si="49"/>
        <v>3</v>
      </c>
      <c r="AH151" s="5" t="str">
        <f t="shared" si="50"/>
        <v>Correct</v>
      </c>
      <c r="AI151" s="5"/>
      <c r="AJ151" s="120" t="str">
        <f>IFERROR(VLOOKUP(Table1[RespondentID],'All Data'!$A$3:$CO$999,87,FALSE),"unknown")</f>
        <v>Woman</v>
      </c>
      <c r="AK151" s="120">
        <f>IFERROR(VLOOKUP(Table1[RespondentID],'All Data'!$A$3:$CO$999,88,FALSE),"unknown")</f>
        <v>37</v>
      </c>
      <c r="AL151" s="120" t="str">
        <f>IFERROR(VLOOKUP(Table1[RespondentID],'All Data'!$A$3:$CO$999,89,FALSE),"unknown")</f>
        <v>Suffolk</v>
      </c>
      <c r="AM151" s="120" t="str">
        <f>IFERROR(VLOOKUP(Table1[RespondentID],'All Data'!$A$3:$CO$999,90,FALSE),"unknown")</f>
        <v>Miller Place, 11764</v>
      </c>
      <c r="AN151" s="120" t="str">
        <f>IFERROR(VLOOKUP(Table1[RespondentID],'All Data'!$A$3:$CO$999,91,FALSE),"unknown")</f>
        <v>White</v>
      </c>
      <c r="AO151" s="120" t="str">
        <f>IFERROR(VLOOKUP(Table1[RespondentID],'All Data'!$A$3:$CO$999,92,FALSE),"unknown")</f>
        <v>Hispanic or Latino</v>
      </c>
      <c r="AP151" s="120" t="str">
        <f>IFERROR(VLOOKUP(Table1[RespondentID],'All Data'!$A$3:$CO$999,93,FALSE),"unknown")</f>
        <v>English</v>
      </c>
      <c r="AQ151" s="120" t="str">
        <f>IFERROR(VLOOKUP(Table1[RespondentID],'All Data'!$A$3:$CW$999,94,FALSE),"unknown")</f>
        <v>Over $125,000</v>
      </c>
      <c r="AR151" s="120" t="str">
        <f>IFERROR(VLOOKUP(Table1[RespondentID],'All Data'!$A$3:$CW$999,95,FALSE),"unknown")</f>
        <v>Graduate school</v>
      </c>
      <c r="AS151" s="120" t="str">
        <f>IFERROR(VLOOKUP(Table1[RespondentID],'All Data'!$A$3:$CW$999,96,FALSE),"unknown")</f>
        <v>Employed for wages</v>
      </c>
      <c r="AT151" s="120" t="str">
        <f>IFERROR(VLOOKUP(Table1[RespondentID],'All Data'!$A$3:$CW$999,97,FALSE),"unknown")</f>
        <v>Yes</v>
      </c>
      <c r="AU151" s="120" t="str">
        <f>IFERROR(VLOOKUP(Table1[RespondentID],'All Data'!$A$3:$CW$999,98,FALSE),"unknown")</f>
        <v>Private/Commercial</v>
      </c>
      <c r="AV151" s="120" t="str">
        <f>IFERROR(VLOOKUP(Table1[RespondentID],'All Data'!$A$3:$CW$999,99,FALSE),"unknown")</f>
        <v>Yes</v>
      </c>
    </row>
    <row r="152" spans="1:48">
      <c r="A152" s="5">
        <v>18022097237</v>
      </c>
      <c r="B152" s="5"/>
      <c r="C152" s="5"/>
      <c r="D152" s="5"/>
      <c r="E152" s="5"/>
      <c r="F152" s="5"/>
      <c r="G152" s="5"/>
      <c r="H152" s="5" t="s">
        <v>43</v>
      </c>
      <c r="I152" s="5"/>
      <c r="J152" s="5"/>
      <c r="K152" s="5"/>
      <c r="L152" s="5"/>
      <c r="M152" s="5"/>
      <c r="N152" s="5"/>
      <c r="O152" s="5">
        <f t="shared" si="34"/>
        <v>1</v>
      </c>
      <c r="P152" s="5">
        <f t="shared" si="35"/>
        <v>3</v>
      </c>
      <c r="Q152" s="5"/>
      <c r="R152" s="5">
        <f t="shared" si="36"/>
        <v>0</v>
      </c>
      <c r="S152" s="5">
        <f t="shared" si="37"/>
        <v>0</v>
      </c>
      <c r="T152" s="5">
        <f t="shared" si="38"/>
        <v>0</v>
      </c>
      <c r="U152" s="5">
        <f t="shared" si="39"/>
        <v>0</v>
      </c>
      <c r="V152" s="5">
        <f t="shared" si="40"/>
        <v>0</v>
      </c>
      <c r="W152" s="5">
        <f t="shared" si="41"/>
        <v>0</v>
      </c>
      <c r="X152" s="5">
        <f t="shared" si="42"/>
        <v>1</v>
      </c>
      <c r="Y152" s="5">
        <f t="shared" si="43"/>
        <v>0</v>
      </c>
      <c r="Z152" s="5">
        <f t="shared" si="44"/>
        <v>0</v>
      </c>
      <c r="AA152" s="5">
        <f t="shared" si="45"/>
        <v>0</v>
      </c>
      <c r="AB152" s="5">
        <f t="shared" si="46"/>
        <v>0</v>
      </c>
      <c r="AC152" s="5">
        <f t="shared" si="47"/>
        <v>0</v>
      </c>
      <c r="AD152" s="5"/>
      <c r="AE152" s="5"/>
      <c r="AF152" s="5">
        <f t="shared" si="48"/>
        <v>1</v>
      </c>
      <c r="AG152" s="5">
        <f t="shared" si="49"/>
        <v>1</v>
      </c>
      <c r="AH152" s="5" t="str">
        <f t="shared" si="50"/>
        <v>Correct</v>
      </c>
      <c r="AI152" s="5"/>
      <c r="AJ152" s="120" t="str">
        <f>IFERROR(VLOOKUP(Table1[RespondentID],'All Data'!$A$3:$CO$999,87,FALSE),"unknown")</f>
        <v>Man</v>
      </c>
      <c r="AK152" s="120">
        <f>IFERROR(VLOOKUP(Table1[RespondentID],'All Data'!$A$3:$CO$999,88,FALSE),"unknown")</f>
        <v>38</v>
      </c>
      <c r="AL152" s="120" t="str">
        <f>IFERROR(VLOOKUP(Table1[RespondentID],'All Data'!$A$3:$CO$999,89,FALSE),"unknown")</f>
        <v>Suffolk</v>
      </c>
      <c r="AM152" s="120" t="str">
        <f>IFERROR(VLOOKUP(Table1[RespondentID],'All Data'!$A$3:$CO$999,90,FALSE),"unknown")</f>
        <v>Saint James, 11780</v>
      </c>
      <c r="AN152" s="120" t="str">
        <f>IFERROR(VLOOKUP(Table1[RespondentID],'All Data'!$A$3:$CO$999,91,FALSE),"unknown")</f>
        <v>White</v>
      </c>
      <c r="AO152" s="120" t="str">
        <f>IFERROR(VLOOKUP(Table1[RespondentID],'All Data'!$A$3:$CO$999,92,FALSE),"unknown")</f>
        <v>Hispanic or Latino</v>
      </c>
      <c r="AP152" s="120" t="str">
        <f>IFERROR(VLOOKUP(Table1[RespondentID],'All Data'!$A$3:$CO$999,93,FALSE),"unknown")</f>
        <v>English</v>
      </c>
      <c r="AQ152" s="120" t="str">
        <f>IFERROR(VLOOKUP(Table1[RespondentID],'All Data'!$A$3:$CW$999,94,FALSE),"unknown")</f>
        <v>Over $125,000</v>
      </c>
      <c r="AR152" s="120" t="str">
        <f>IFERROR(VLOOKUP(Table1[RespondentID],'All Data'!$A$3:$CW$999,95,FALSE),"unknown")</f>
        <v>Graduate school</v>
      </c>
      <c r="AS152" s="120" t="str">
        <f>IFERROR(VLOOKUP(Table1[RespondentID],'All Data'!$A$3:$CW$999,96,FALSE),"unknown")</f>
        <v>Employed for wages</v>
      </c>
      <c r="AT152" s="120" t="str">
        <f>IFERROR(VLOOKUP(Table1[RespondentID],'All Data'!$A$3:$CW$999,97,FALSE),"unknown")</f>
        <v>Yes</v>
      </c>
      <c r="AU152" s="120" t="str">
        <f>IFERROR(VLOOKUP(Table1[RespondentID],'All Data'!$A$3:$CW$999,98,FALSE),"unknown")</f>
        <v>Private/Commercial</v>
      </c>
      <c r="AV152" s="120" t="str">
        <f>IFERROR(VLOOKUP(Table1[RespondentID],'All Data'!$A$3:$CW$999,99,FALSE),"unknown")</f>
        <v>Yes</v>
      </c>
    </row>
    <row r="153" spans="1:48">
      <c r="A153" s="5">
        <v>18022088692</v>
      </c>
      <c r="B153" s="5" t="s">
        <v>38</v>
      </c>
      <c r="C153" s="5"/>
      <c r="D153" s="5"/>
      <c r="E153" s="5"/>
      <c r="F153" s="5"/>
      <c r="G153" s="5"/>
      <c r="H153" s="5"/>
      <c r="I153" s="5"/>
      <c r="J153" s="5"/>
      <c r="K153" s="5"/>
      <c r="L153" s="5"/>
      <c r="M153" s="5"/>
      <c r="N153" s="5"/>
      <c r="O153" s="5">
        <f t="shared" si="34"/>
        <v>1</v>
      </c>
      <c r="P153" s="5">
        <f t="shared" si="35"/>
        <v>3</v>
      </c>
      <c r="Q153" s="5"/>
      <c r="R153" s="5">
        <f t="shared" si="36"/>
        <v>1</v>
      </c>
      <c r="S153" s="5">
        <f t="shared" si="37"/>
        <v>0</v>
      </c>
      <c r="T153" s="5">
        <f t="shared" si="38"/>
        <v>0</v>
      </c>
      <c r="U153" s="5">
        <f t="shared" si="39"/>
        <v>0</v>
      </c>
      <c r="V153" s="5">
        <f t="shared" si="40"/>
        <v>0</v>
      </c>
      <c r="W153" s="5">
        <f t="shared" si="41"/>
        <v>0</v>
      </c>
      <c r="X153" s="5">
        <f t="shared" si="42"/>
        <v>0</v>
      </c>
      <c r="Y153" s="5">
        <f t="shared" si="43"/>
        <v>0</v>
      </c>
      <c r="Z153" s="5">
        <f t="shared" si="44"/>
        <v>0</v>
      </c>
      <c r="AA153" s="5">
        <f t="shared" si="45"/>
        <v>0</v>
      </c>
      <c r="AB153" s="5">
        <f t="shared" si="46"/>
        <v>0</v>
      </c>
      <c r="AC153" s="5">
        <f t="shared" si="47"/>
        <v>0</v>
      </c>
      <c r="AD153" s="5"/>
      <c r="AE153" s="5"/>
      <c r="AF153" s="5">
        <f t="shared" si="48"/>
        <v>1</v>
      </c>
      <c r="AG153" s="5">
        <f t="shared" si="49"/>
        <v>1</v>
      </c>
      <c r="AH153" s="5" t="str">
        <f t="shared" si="50"/>
        <v>Correct</v>
      </c>
      <c r="AI153" s="5"/>
      <c r="AJ153" s="120" t="str">
        <f>IFERROR(VLOOKUP(Table1[RespondentID],'All Data'!$A$3:$CO$999,87,FALSE),"unknown")</f>
        <v>Man</v>
      </c>
      <c r="AK153" s="120">
        <f>IFERROR(VLOOKUP(Table1[RespondentID],'All Data'!$A$3:$CO$999,88,FALSE),"unknown")</f>
        <v>50</v>
      </c>
      <c r="AL153" s="120" t="str">
        <f>IFERROR(VLOOKUP(Table1[RespondentID],'All Data'!$A$3:$CO$999,89,FALSE),"unknown")</f>
        <v>Suffolk</v>
      </c>
      <c r="AM153" s="120" t="str">
        <f>IFERROR(VLOOKUP(Table1[RespondentID],'All Data'!$A$3:$CO$999,90,FALSE),"unknown")</f>
        <v>Saint James, 11780</v>
      </c>
      <c r="AN153" s="120" t="str">
        <f>IFERROR(VLOOKUP(Table1[RespondentID],'All Data'!$A$3:$CO$999,91,FALSE),"unknown")</f>
        <v>White</v>
      </c>
      <c r="AO153" s="120" t="str">
        <f>IFERROR(VLOOKUP(Table1[RespondentID],'All Data'!$A$3:$CO$999,92,FALSE),"unknown")</f>
        <v>Hispanic or Latino</v>
      </c>
      <c r="AP153" s="120" t="str">
        <f>IFERROR(VLOOKUP(Table1[RespondentID],'All Data'!$A$3:$CO$999,93,FALSE),"unknown")</f>
        <v>English</v>
      </c>
      <c r="AQ153" s="120" t="str">
        <f>IFERROR(VLOOKUP(Table1[RespondentID],'All Data'!$A$3:$CW$999,94,FALSE),"unknown")</f>
        <v>Over $125,000</v>
      </c>
      <c r="AR153" s="120" t="str">
        <f>IFERROR(VLOOKUP(Table1[RespondentID],'All Data'!$A$3:$CW$999,95,FALSE),"unknown")</f>
        <v>Graduate school</v>
      </c>
      <c r="AS153" s="120" t="str">
        <f>IFERROR(VLOOKUP(Table1[RespondentID],'All Data'!$A$3:$CW$999,96,FALSE),"unknown")</f>
        <v>Employed for wages</v>
      </c>
      <c r="AT153" s="120" t="str">
        <f>IFERROR(VLOOKUP(Table1[RespondentID],'All Data'!$A$3:$CW$999,97,FALSE),"unknown")</f>
        <v>Yes</v>
      </c>
      <c r="AU153" s="120" t="str">
        <f>IFERROR(VLOOKUP(Table1[RespondentID],'All Data'!$A$3:$CW$999,98,FALSE),"unknown")</f>
        <v>Private/Commercial</v>
      </c>
      <c r="AV153" s="120" t="str">
        <f>IFERROR(VLOOKUP(Table1[RespondentID],'All Data'!$A$3:$CW$999,99,FALSE),"unknown")</f>
        <v>Yes</v>
      </c>
    </row>
    <row r="154" spans="1:48">
      <c r="A154" s="5">
        <v>18022063568</v>
      </c>
      <c r="B154" s="5"/>
      <c r="C154" s="5" t="s">
        <v>39</v>
      </c>
      <c r="D154" s="5"/>
      <c r="E154" s="5" t="s">
        <v>41</v>
      </c>
      <c r="F154" s="5"/>
      <c r="G154" s="5"/>
      <c r="H154" s="5"/>
      <c r="I154" s="5"/>
      <c r="J154" s="5"/>
      <c r="K154" s="5"/>
      <c r="L154" s="5" t="s">
        <v>47</v>
      </c>
      <c r="M154" s="5"/>
      <c r="N154" s="5"/>
      <c r="O154" s="5">
        <f t="shared" si="34"/>
        <v>3</v>
      </c>
      <c r="P154" s="5">
        <f t="shared" si="35"/>
        <v>1</v>
      </c>
      <c r="Q154" s="5"/>
      <c r="R154" s="5">
        <f t="shared" si="36"/>
        <v>0</v>
      </c>
      <c r="S154" s="5">
        <f t="shared" si="37"/>
        <v>1</v>
      </c>
      <c r="T154" s="5">
        <f t="shared" si="38"/>
        <v>0</v>
      </c>
      <c r="U154" s="5">
        <f t="shared" si="39"/>
        <v>1</v>
      </c>
      <c r="V154" s="5">
        <f t="shared" si="40"/>
        <v>0</v>
      </c>
      <c r="W154" s="5">
        <f t="shared" si="41"/>
        <v>0</v>
      </c>
      <c r="X154" s="5">
        <f t="shared" si="42"/>
        <v>0</v>
      </c>
      <c r="Y154" s="5">
        <f t="shared" si="43"/>
        <v>0</v>
      </c>
      <c r="Z154" s="5">
        <f t="shared" si="44"/>
        <v>0</v>
      </c>
      <c r="AA154" s="5">
        <f t="shared" si="45"/>
        <v>0</v>
      </c>
      <c r="AB154" s="5">
        <f t="shared" si="46"/>
        <v>1</v>
      </c>
      <c r="AC154" s="5">
        <f t="shared" si="47"/>
        <v>0</v>
      </c>
      <c r="AD154" s="5"/>
      <c r="AE154" s="5"/>
      <c r="AF154" s="5">
        <f t="shared" si="48"/>
        <v>3</v>
      </c>
      <c r="AG154" s="5">
        <f t="shared" si="49"/>
        <v>3</v>
      </c>
      <c r="AH154" s="5" t="str">
        <f t="shared" si="50"/>
        <v>Correct</v>
      </c>
      <c r="AI154" s="5"/>
      <c r="AJ154" s="120" t="str">
        <f>IFERROR(VLOOKUP(Table1[RespondentID],'All Data'!$A$3:$CO$999,87,FALSE),"unknown")</f>
        <v>Man</v>
      </c>
      <c r="AK154" s="120">
        <f>IFERROR(VLOOKUP(Table1[RespondentID],'All Data'!$A$3:$CO$999,88,FALSE),"unknown")</f>
        <v>66</v>
      </c>
      <c r="AL154" s="120" t="str">
        <f>IFERROR(VLOOKUP(Table1[RespondentID],'All Data'!$A$3:$CO$999,89,FALSE),"unknown")</f>
        <v>Suffolk</v>
      </c>
      <c r="AM154" s="120" t="str">
        <f>IFERROR(VLOOKUP(Table1[RespondentID],'All Data'!$A$3:$CO$999,90,FALSE),"unknown")</f>
        <v>Islip Manor, 11751</v>
      </c>
      <c r="AN154" s="120" t="str">
        <f>IFERROR(VLOOKUP(Table1[RespondentID],'All Data'!$A$3:$CO$999,91,FALSE),"unknown")</f>
        <v>White</v>
      </c>
      <c r="AO154" s="120" t="str">
        <f>IFERROR(VLOOKUP(Table1[RespondentID],'All Data'!$A$3:$CO$999,92,FALSE),"unknown")</f>
        <v>Hispanic or Latino</v>
      </c>
      <c r="AP154" s="120" t="str">
        <f>IFERROR(VLOOKUP(Table1[RespondentID],'All Data'!$A$3:$CO$999,93,FALSE),"unknown")</f>
        <v>English</v>
      </c>
      <c r="AQ154" s="120" t="str">
        <f>IFERROR(VLOOKUP(Table1[RespondentID],'All Data'!$A$3:$CW$999,94,FALSE),"unknown")</f>
        <v>$75,000 to $125,000</v>
      </c>
      <c r="AR154" s="120" t="str">
        <f>IFERROR(VLOOKUP(Table1[RespondentID],'All Data'!$A$3:$CW$999,95,FALSE),"unknown")</f>
        <v>College graduate</v>
      </c>
      <c r="AS154" s="120" t="str">
        <f>IFERROR(VLOOKUP(Table1[RespondentID],'All Data'!$A$3:$CW$999,96,FALSE),"unknown")</f>
        <v>Retired</v>
      </c>
      <c r="AT154" s="120" t="str">
        <f>IFERROR(VLOOKUP(Table1[RespondentID],'All Data'!$A$3:$CW$999,97,FALSE),"unknown")</f>
        <v>Yes</v>
      </c>
      <c r="AU154" s="120" t="str">
        <f>IFERROR(VLOOKUP(Table1[RespondentID],'All Data'!$A$3:$CW$999,98,FALSE),"unknown")</f>
        <v>Medicare, Private/Commercial</v>
      </c>
      <c r="AV154" s="120" t="str">
        <f>IFERROR(VLOOKUP(Table1[RespondentID],'All Data'!$A$3:$CW$999,99,FALSE),"unknown")</f>
        <v>Yes</v>
      </c>
    </row>
    <row r="155" spans="1:48">
      <c r="A155" s="5">
        <v>18021911363</v>
      </c>
      <c r="B155" s="5"/>
      <c r="C155" s="5"/>
      <c r="D155" s="5"/>
      <c r="E155" s="5"/>
      <c r="F155" s="5" t="s">
        <v>42</v>
      </c>
      <c r="G155" s="5"/>
      <c r="H155" s="5" t="s">
        <v>43</v>
      </c>
      <c r="I155" s="5"/>
      <c r="J155" s="5" t="s">
        <v>45</v>
      </c>
      <c r="K155" s="5"/>
      <c r="L155" s="5" t="s">
        <v>47</v>
      </c>
      <c r="M155" s="5"/>
      <c r="N155" s="5"/>
      <c r="O155" s="5">
        <f t="shared" si="34"/>
        <v>4</v>
      </c>
      <c r="P155" s="5">
        <f t="shared" si="35"/>
        <v>0.75</v>
      </c>
      <c r="Q155" s="5"/>
      <c r="R155" s="5">
        <f t="shared" si="36"/>
        <v>0</v>
      </c>
      <c r="S155" s="5">
        <f t="shared" si="37"/>
        <v>0</v>
      </c>
      <c r="T155" s="5">
        <f t="shared" si="38"/>
        <v>0</v>
      </c>
      <c r="U155" s="5">
        <f t="shared" si="39"/>
        <v>0</v>
      </c>
      <c r="V155" s="5">
        <f t="shared" si="40"/>
        <v>0.75</v>
      </c>
      <c r="W155" s="5">
        <f t="shared" si="41"/>
        <v>0</v>
      </c>
      <c r="X155" s="5">
        <f t="shared" si="42"/>
        <v>0.75</v>
      </c>
      <c r="Y155" s="5">
        <f t="shared" si="43"/>
        <v>0</v>
      </c>
      <c r="Z155" s="5">
        <f t="shared" si="44"/>
        <v>0.75</v>
      </c>
      <c r="AA155" s="5">
        <f t="shared" si="45"/>
        <v>0</v>
      </c>
      <c r="AB155" s="5">
        <f t="shared" si="46"/>
        <v>0.75</v>
      </c>
      <c r="AC155" s="5">
        <f t="shared" si="47"/>
        <v>0</v>
      </c>
      <c r="AD155" s="5"/>
      <c r="AE155" s="5"/>
      <c r="AF155" s="5">
        <f t="shared" si="48"/>
        <v>3</v>
      </c>
      <c r="AG155" s="5">
        <f t="shared" si="49"/>
        <v>4</v>
      </c>
      <c r="AH155" s="5" t="str">
        <f t="shared" si="50"/>
        <v>Correct</v>
      </c>
      <c r="AI155" s="5"/>
      <c r="AJ155" s="120" t="str">
        <f>IFERROR(VLOOKUP(Table1[RespondentID],'All Data'!$A$3:$CO$999,87,FALSE),"unknown")</f>
        <v>Man</v>
      </c>
      <c r="AK155" s="120">
        <f>IFERROR(VLOOKUP(Table1[RespondentID],'All Data'!$A$3:$CO$999,88,FALSE),"unknown")</f>
        <v>40</v>
      </c>
      <c r="AL155" s="120" t="str">
        <f>IFERROR(VLOOKUP(Table1[RespondentID],'All Data'!$A$3:$CO$999,89,FALSE),"unknown")</f>
        <v>Suffolk</v>
      </c>
      <c r="AM155" s="120" t="str">
        <f>IFERROR(VLOOKUP(Table1[RespondentID],'All Data'!$A$3:$CO$999,90,FALSE),"unknown")</f>
        <v>Deer Park, 11729</v>
      </c>
      <c r="AN155" s="120" t="str">
        <f>IFERROR(VLOOKUP(Table1[RespondentID],'All Data'!$A$3:$CO$999,91,FALSE),"unknown")</f>
        <v>White</v>
      </c>
      <c r="AO155" s="120" t="str">
        <f>IFERROR(VLOOKUP(Table1[RespondentID],'All Data'!$A$3:$CO$999,92,FALSE),"unknown")</f>
        <v>Hispanic or Latino</v>
      </c>
      <c r="AP155" s="120" t="str">
        <f>IFERROR(VLOOKUP(Table1[RespondentID],'All Data'!$A$3:$CO$999,93,FALSE),"unknown")</f>
        <v>English</v>
      </c>
      <c r="AQ155" s="120" t="str">
        <f>IFERROR(VLOOKUP(Table1[RespondentID],'All Data'!$A$3:$CW$999,94,FALSE),"unknown")</f>
        <v>$75,000 to $125,000</v>
      </c>
      <c r="AR155" s="120" t="str">
        <f>IFERROR(VLOOKUP(Table1[RespondentID],'All Data'!$A$3:$CW$999,95,FALSE),"unknown")</f>
        <v>Graduate school</v>
      </c>
      <c r="AS155" s="120" t="str">
        <f>IFERROR(VLOOKUP(Table1[RespondentID],'All Data'!$A$3:$CW$999,96,FALSE),"unknown")</f>
        <v>Employed for wages</v>
      </c>
      <c r="AT155" s="120" t="str">
        <f>IFERROR(VLOOKUP(Table1[RespondentID],'All Data'!$A$3:$CW$999,97,FALSE),"unknown")</f>
        <v>Yes</v>
      </c>
      <c r="AU155" s="120" t="str">
        <f>IFERROR(VLOOKUP(Table1[RespondentID],'All Data'!$A$3:$CW$999,98,FALSE),"unknown")</f>
        <v>Private/Commercial</v>
      </c>
      <c r="AV155" s="120" t="str">
        <f>IFERROR(VLOOKUP(Table1[RespondentID],'All Data'!$A$3:$CW$999,99,FALSE),"unknown")</f>
        <v>Yes</v>
      </c>
    </row>
    <row r="156" spans="1:48">
      <c r="A156" s="5">
        <v>18021903702</v>
      </c>
      <c r="B156" s="5"/>
      <c r="C156" s="5" t="s">
        <v>39</v>
      </c>
      <c r="D156" s="5"/>
      <c r="E156" s="5"/>
      <c r="F156" s="5" t="s">
        <v>42</v>
      </c>
      <c r="G156" s="5"/>
      <c r="H156" s="5"/>
      <c r="I156" s="5"/>
      <c r="J156" s="5"/>
      <c r="K156" s="5"/>
      <c r="L156" s="5" t="s">
        <v>47</v>
      </c>
      <c r="M156" s="5"/>
      <c r="N156" s="5"/>
      <c r="O156" s="5">
        <f t="shared" si="34"/>
        <v>3</v>
      </c>
      <c r="P156" s="5">
        <f t="shared" si="35"/>
        <v>1</v>
      </c>
      <c r="Q156" s="5"/>
      <c r="R156" s="5">
        <f t="shared" si="36"/>
        <v>0</v>
      </c>
      <c r="S156" s="5">
        <f t="shared" si="37"/>
        <v>1</v>
      </c>
      <c r="T156" s="5">
        <f t="shared" si="38"/>
        <v>0</v>
      </c>
      <c r="U156" s="5">
        <f t="shared" si="39"/>
        <v>0</v>
      </c>
      <c r="V156" s="5">
        <f t="shared" si="40"/>
        <v>1</v>
      </c>
      <c r="W156" s="5">
        <f t="shared" si="41"/>
        <v>0</v>
      </c>
      <c r="X156" s="5">
        <f t="shared" si="42"/>
        <v>0</v>
      </c>
      <c r="Y156" s="5">
        <f t="shared" si="43"/>
        <v>0</v>
      </c>
      <c r="Z156" s="5">
        <f t="shared" si="44"/>
        <v>0</v>
      </c>
      <c r="AA156" s="5">
        <f t="shared" si="45"/>
        <v>0</v>
      </c>
      <c r="AB156" s="5">
        <f t="shared" si="46"/>
        <v>1</v>
      </c>
      <c r="AC156" s="5">
        <f t="shared" si="47"/>
        <v>0</v>
      </c>
      <c r="AD156" s="5"/>
      <c r="AE156" s="5"/>
      <c r="AF156" s="5">
        <f t="shared" si="48"/>
        <v>3</v>
      </c>
      <c r="AG156" s="5">
        <f t="shared" si="49"/>
        <v>3</v>
      </c>
      <c r="AH156" s="5" t="str">
        <f t="shared" si="50"/>
        <v>Correct</v>
      </c>
      <c r="AI156" s="5"/>
      <c r="AJ156" s="120" t="str">
        <f>IFERROR(VLOOKUP(Table1[RespondentID],'All Data'!$A$3:$CO$999,87,FALSE),"unknown")</f>
        <v>Man</v>
      </c>
      <c r="AK156" s="120">
        <f>IFERROR(VLOOKUP(Table1[RespondentID],'All Data'!$A$3:$CO$999,88,FALSE),"unknown")</f>
        <v>49</v>
      </c>
      <c r="AL156" s="120" t="str">
        <f>IFERROR(VLOOKUP(Table1[RespondentID],'All Data'!$A$3:$CO$999,89,FALSE),"unknown")</f>
        <v>Suffolk</v>
      </c>
      <c r="AM156" s="120" t="str">
        <f>IFERROR(VLOOKUP(Table1[RespondentID],'All Data'!$A$3:$CO$999,90,FALSE),"unknown")</f>
        <v>Copiague, 11726</v>
      </c>
      <c r="AN156" s="120" t="str">
        <f>IFERROR(VLOOKUP(Table1[RespondentID],'All Data'!$A$3:$CO$999,91,FALSE),"unknown")</f>
        <v>Other (please specify)</v>
      </c>
      <c r="AO156" s="120" t="str">
        <f>IFERROR(VLOOKUP(Table1[RespondentID],'All Data'!$A$3:$CO$999,92,FALSE),"unknown")</f>
        <v>Not Hispanic or Latino</v>
      </c>
      <c r="AP156" s="120" t="str">
        <f>IFERROR(VLOOKUP(Table1[RespondentID],'All Data'!$A$3:$CO$999,93,FALSE),"unknown")</f>
        <v>English</v>
      </c>
      <c r="AQ156" s="120" t="str">
        <f>IFERROR(VLOOKUP(Table1[RespondentID],'All Data'!$A$3:$CW$999,94,FALSE),"unknown")</f>
        <v>Over $125,000</v>
      </c>
      <c r="AR156" s="120" t="str">
        <f>IFERROR(VLOOKUP(Table1[RespondentID],'All Data'!$A$3:$CW$999,95,FALSE),"unknown")</f>
        <v>College graduate</v>
      </c>
      <c r="AS156" s="120" t="str">
        <f>IFERROR(VLOOKUP(Table1[RespondentID],'All Data'!$A$3:$CW$999,96,FALSE),"unknown")</f>
        <v>Employed for wages</v>
      </c>
      <c r="AT156" s="120" t="str">
        <f>IFERROR(VLOOKUP(Table1[RespondentID],'All Data'!$A$3:$CW$999,97,FALSE),"unknown")</f>
        <v>Yes</v>
      </c>
      <c r="AU156" s="120" t="str">
        <f>IFERROR(VLOOKUP(Table1[RespondentID],'All Data'!$A$3:$CW$999,98,FALSE),"unknown")</f>
        <v>Private/Commercial</v>
      </c>
      <c r="AV156" s="120" t="str">
        <f>IFERROR(VLOOKUP(Table1[RespondentID],'All Data'!$A$3:$CW$999,99,FALSE),"unknown")</f>
        <v>Yes</v>
      </c>
    </row>
    <row r="157" spans="1:48">
      <c r="A157" s="5">
        <v>18021801473</v>
      </c>
      <c r="B157" s="5"/>
      <c r="C157" s="5"/>
      <c r="D157" s="5"/>
      <c r="E157" s="5"/>
      <c r="F157" s="5"/>
      <c r="G157" s="5" t="s">
        <v>37</v>
      </c>
      <c r="H157" s="5"/>
      <c r="I157" s="5" t="s">
        <v>44</v>
      </c>
      <c r="J157" s="5"/>
      <c r="K157" s="5" t="s">
        <v>46</v>
      </c>
      <c r="L157" s="5"/>
      <c r="M157" s="5"/>
      <c r="N157" s="5"/>
      <c r="O157" s="5">
        <f t="shared" si="34"/>
        <v>3</v>
      </c>
      <c r="P157" s="5">
        <f t="shared" si="35"/>
        <v>1</v>
      </c>
      <c r="Q157" s="5"/>
      <c r="R157" s="5">
        <f t="shared" si="36"/>
        <v>0</v>
      </c>
      <c r="S157" s="5">
        <f t="shared" si="37"/>
        <v>0</v>
      </c>
      <c r="T157" s="5">
        <f t="shared" si="38"/>
        <v>0</v>
      </c>
      <c r="U157" s="5">
        <f t="shared" si="39"/>
        <v>0</v>
      </c>
      <c r="V157" s="5">
        <f t="shared" si="40"/>
        <v>0</v>
      </c>
      <c r="W157" s="5">
        <f t="shared" si="41"/>
        <v>1</v>
      </c>
      <c r="X157" s="5">
        <f t="shared" si="42"/>
        <v>0</v>
      </c>
      <c r="Y157" s="5">
        <f t="shared" si="43"/>
        <v>1</v>
      </c>
      <c r="Z157" s="5">
        <f t="shared" si="44"/>
        <v>0</v>
      </c>
      <c r="AA157" s="5">
        <f t="shared" si="45"/>
        <v>1</v>
      </c>
      <c r="AB157" s="5">
        <f t="shared" si="46"/>
        <v>0</v>
      </c>
      <c r="AC157" s="5">
        <f t="shared" si="47"/>
        <v>0</v>
      </c>
      <c r="AD157" s="5"/>
      <c r="AE157" s="5"/>
      <c r="AF157" s="5">
        <f t="shared" si="48"/>
        <v>3</v>
      </c>
      <c r="AG157" s="5">
        <f t="shared" si="49"/>
        <v>3</v>
      </c>
      <c r="AH157" s="5" t="str">
        <f t="shared" si="50"/>
        <v>Correct</v>
      </c>
      <c r="AI157" s="5"/>
      <c r="AJ157" s="120" t="str">
        <f>IFERROR(VLOOKUP(Table1[RespondentID],'All Data'!$A$3:$CO$999,87,FALSE),"unknown")</f>
        <v>Man</v>
      </c>
      <c r="AK157" s="120">
        <f>IFERROR(VLOOKUP(Table1[RespondentID],'All Data'!$A$3:$CO$999,88,FALSE),"unknown")</f>
        <v>18</v>
      </c>
      <c r="AL157" s="120">
        <f>IFERROR(VLOOKUP(Table1[RespondentID],'All Data'!$A$3:$CO$999,89,FALSE),"unknown")</f>
        <v>0</v>
      </c>
      <c r="AM157" s="120">
        <f>IFERROR(VLOOKUP(Table1[RespondentID],'All Data'!$A$3:$CO$999,90,FALSE),"unknown")</f>
        <v>0</v>
      </c>
      <c r="AN157" s="120">
        <f>IFERROR(VLOOKUP(Table1[RespondentID],'All Data'!$A$3:$CO$999,91,FALSE),"unknown")</f>
        <v>0</v>
      </c>
      <c r="AO157" s="120">
        <f>IFERROR(VLOOKUP(Table1[RespondentID],'All Data'!$A$3:$CO$999,92,FALSE),"unknown")</f>
        <v>0</v>
      </c>
      <c r="AP157" s="120">
        <f>IFERROR(VLOOKUP(Table1[RespondentID],'All Data'!$A$3:$CO$999,93,FALSE),"unknown")</f>
        <v>0</v>
      </c>
      <c r="AQ157" s="120">
        <f>IFERROR(VLOOKUP(Table1[RespondentID],'All Data'!$A$3:$CW$999,94,FALSE),"unknown")</f>
        <v>0</v>
      </c>
      <c r="AR157" s="120">
        <f>IFERROR(VLOOKUP(Table1[RespondentID],'All Data'!$A$3:$CW$999,95,FALSE),"unknown")</f>
        <v>0</v>
      </c>
      <c r="AS157" s="120">
        <f>IFERROR(VLOOKUP(Table1[RespondentID],'All Data'!$A$3:$CW$999,96,FALSE),"unknown")</f>
        <v>0</v>
      </c>
      <c r="AT157" s="120">
        <f>IFERROR(VLOOKUP(Table1[RespondentID],'All Data'!$A$3:$CW$999,97,FALSE),"unknown")</f>
        <v>0</v>
      </c>
      <c r="AU157" s="120">
        <f>IFERROR(VLOOKUP(Table1[RespondentID],'All Data'!$A$3:$CW$999,98,FALSE),"unknown")</f>
        <v>0</v>
      </c>
      <c r="AV157" s="120">
        <f>IFERROR(VLOOKUP(Table1[RespondentID],'All Data'!$A$3:$CW$999,99,FALSE),"unknown")</f>
        <v>0</v>
      </c>
    </row>
    <row r="158" spans="1:48">
      <c r="A158" s="5">
        <v>18021801305</v>
      </c>
      <c r="B158" s="5"/>
      <c r="C158" s="5" t="s">
        <v>39</v>
      </c>
      <c r="D158" s="5"/>
      <c r="E158" s="5"/>
      <c r="F158" s="5"/>
      <c r="G158" s="5"/>
      <c r="H158" s="5"/>
      <c r="I158" s="5" t="s">
        <v>44</v>
      </c>
      <c r="J158" s="5"/>
      <c r="K158" s="5"/>
      <c r="L158" s="5" t="s">
        <v>47</v>
      </c>
      <c r="M158" s="5"/>
      <c r="N158" s="5"/>
      <c r="O158" s="5">
        <f t="shared" si="34"/>
        <v>3</v>
      </c>
      <c r="P158" s="5">
        <f t="shared" si="35"/>
        <v>1</v>
      </c>
      <c r="Q158" s="5"/>
      <c r="R158" s="5">
        <f t="shared" si="36"/>
        <v>0</v>
      </c>
      <c r="S158" s="5">
        <f t="shared" si="37"/>
        <v>1</v>
      </c>
      <c r="T158" s="5">
        <f t="shared" si="38"/>
        <v>0</v>
      </c>
      <c r="U158" s="5">
        <f t="shared" si="39"/>
        <v>0</v>
      </c>
      <c r="V158" s="5">
        <f t="shared" si="40"/>
        <v>0</v>
      </c>
      <c r="W158" s="5">
        <f t="shared" si="41"/>
        <v>0</v>
      </c>
      <c r="X158" s="5">
        <f t="shared" si="42"/>
        <v>0</v>
      </c>
      <c r="Y158" s="5">
        <f t="shared" si="43"/>
        <v>1</v>
      </c>
      <c r="Z158" s="5">
        <f t="shared" si="44"/>
        <v>0</v>
      </c>
      <c r="AA158" s="5">
        <f t="shared" si="45"/>
        <v>0</v>
      </c>
      <c r="AB158" s="5">
        <f t="shared" si="46"/>
        <v>1</v>
      </c>
      <c r="AC158" s="5">
        <f t="shared" si="47"/>
        <v>0</v>
      </c>
      <c r="AD158" s="5"/>
      <c r="AE158" s="5"/>
      <c r="AF158" s="5">
        <f t="shared" si="48"/>
        <v>3</v>
      </c>
      <c r="AG158" s="5">
        <f t="shared" si="49"/>
        <v>3</v>
      </c>
      <c r="AH158" s="5" t="str">
        <f t="shared" si="50"/>
        <v>Correct</v>
      </c>
      <c r="AI158" s="5"/>
      <c r="AJ158" s="120" t="str">
        <f>IFERROR(VLOOKUP(Table1[RespondentID],'All Data'!$A$3:$CO$999,87,FALSE),"unknown")</f>
        <v>Woman</v>
      </c>
      <c r="AK158" s="120">
        <f>IFERROR(VLOOKUP(Table1[RespondentID],'All Data'!$A$3:$CO$999,88,FALSE),"unknown")</f>
        <v>18</v>
      </c>
      <c r="AL158" s="120" t="str">
        <f>IFERROR(VLOOKUP(Table1[RespondentID],'All Data'!$A$3:$CO$999,89,FALSE),"unknown")</f>
        <v>Suffolk</v>
      </c>
      <c r="AM158" s="120" t="str">
        <f>IFERROR(VLOOKUP(Table1[RespondentID],'All Data'!$A$3:$CO$999,90,FALSE),"unknown")</f>
        <v>Commack, 11725</v>
      </c>
      <c r="AN158" s="120" t="str">
        <f>IFERROR(VLOOKUP(Table1[RespondentID],'All Data'!$A$3:$CO$999,91,FALSE),"unknown")</f>
        <v>American Indian and Alaska Native</v>
      </c>
      <c r="AO158" s="120" t="str">
        <f>IFERROR(VLOOKUP(Table1[RespondentID],'All Data'!$A$3:$CO$999,92,FALSE),"unknown")</f>
        <v>Hispanic or Latino</v>
      </c>
      <c r="AP158" s="120" t="str">
        <f>IFERROR(VLOOKUP(Table1[RespondentID],'All Data'!$A$3:$CO$999,93,FALSE),"unknown")</f>
        <v>English</v>
      </c>
      <c r="AQ158" s="120" t="str">
        <f>IFERROR(VLOOKUP(Table1[RespondentID],'All Data'!$A$3:$CW$999,94,FALSE),"unknown")</f>
        <v>Over $125,000</v>
      </c>
      <c r="AR158" s="120" t="str">
        <f>IFERROR(VLOOKUP(Table1[RespondentID],'All Data'!$A$3:$CW$999,95,FALSE),"unknown")</f>
        <v>High school graduate</v>
      </c>
      <c r="AS158" s="120" t="str">
        <f>IFERROR(VLOOKUP(Table1[RespondentID],'All Data'!$A$3:$CW$999,96,FALSE),"unknown")</f>
        <v>Student</v>
      </c>
      <c r="AT158" s="120" t="str">
        <f>IFERROR(VLOOKUP(Table1[RespondentID],'All Data'!$A$3:$CW$999,97,FALSE),"unknown")</f>
        <v>Yes</v>
      </c>
      <c r="AU158" s="120">
        <f>IFERROR(VLOOKUP(Table1[RespondentID],'All Data'!$A$3:$CW$999,98,FALSE),"unknown")</f>
        <v>0</v>
      </c>
      <c r="AV158" s="120">
        <f>IFERROR(VLOOKUP(Table1[RespondentID],'All Data'!$A$3:$CW$999,99,FALSE),"unknown")</f>
        <v>0</v>
      </c>
    </row>
    <row r="159" spans="1:48">
      <c r="A159" s="5">
        <v>18021801172</v>
      </c>
      <c r="B159" s="5"/>
      <c r="C159" s="5" t="s">
        <v>39</v>
      </c>
      <c r="D159" s="5"/>
      <c r="E159" s="5"/>
      <c r="F159" s="5" t="s">
        <v>42</v>
      </c>
      <c r="G159" s="5"/>
      <c r="H159" s="5"/>
      <c r="I159" s="5" t="s">
        <v>44</v>
      </c>
      <c r="J159" s="5"/>
      <c r="K159" s="5"/>
      <c r="L159" s="5"/>
      <c r="M159" s="5"/>
      <c r="N159" s="5"/>
      <c r="O159" s="5">
        <f t="shared" si="34"/>
        <v>3</v>
      </c>
      <c r="P159" s="5">
        <f t="shared" si="35"/>
        <v>1</v>
      </c>
      <c r="Q159" s="5"/>
      <c r="R159" s="5">
        <f t="shared" si="36"/>
        <v>0</v>
      </c>
      <c r="S159" s="5">
        <f t="shared" si="37"/>
        <v>1</v>
      </c>
      <c r="T159" s="5">
        <f t="shared" si="38"/>
        <v>0</v>
      </c>
      <c r="U159" s="5">
        <f t="shared" si="39"/>
        <v>0</v>
      </c>
      <c r="V159" s="5">
        <f t="shared" si="40"/>
        <v>1</v>
      </c>
      <c r="W159" s="5">
        <f t="shared" si="41"/>
        <v>0</v>
      </c>
      <c r="X159" s="5">
        <f t="shared" si="42"/>
        <v>0</v>
      </c>
      <c r="Y159" s="5">
        <f t="shared" si="43"/>
        <v>1</v>
      </c>
      <c r="Z159" s="5">
        <f t="shared" si="44"/>
        <v>0</v>
      </c>
      <c r="AA159" s="5">
        <f t="shared" si="45"/>
        <v>0</v>
      </c>
      <c r="AB159" s="5">
        <f t="shared" si="46"/>
        <v>0</v>
      </c>
      <c r="AC159" s="5">
        <f t="shared" si="47"/>
        <v>0</v>
      </c>
      <c r="AD159" s="5"/>
      <c r="AE159" s="5"/>
      <c r="AF159" s="5">
        <f t="shared" si="48"/>
        <v>3</v>
      </c>
      <c r="AG159" s="5">
        <f t="shared" si="49"/>
        <v>3</v>
      </c>
      <c r="AH159" s="5" t="str">
        <f t="shared" si="50"/>
        <v>Correct</v>
      </c>
      <c r="AI159" s="5"/>
      <c r="AJ159" s="120" t="str">
        <f>IFERROR(VLOOKUP(Table1[RespondentID],'All Data'!$A$3:$CO$999,87,FALSE),"unknown")</f>
        <v>Transgender</v>
      </c>
      <c r="AK159" s="120">
        <f>IFERROR(VLOOKUP(Table1[RespondentID],'All Data'!$A$3:$CO$999,88,FALSE),"unknown")</f>
        <v>27</v>
      </c>
      <c r="AL159" s="120" t="str">
        <f>IFERROR(VLOOKUP(Table1[RespondentID],'All Data'!$A$3:$CO$999,89,FALSE),"unknown")</f>
        <v>Suffolk</v>
      </c>
      <c r="AM159" s="120" t="str">
        <f>IFERROR(VLOOKUP(Table1[RespondentID],'All Data'!$A$3:$CO$999,90,FALSE),"unknown")</f>
        <v>Commack, 11725</v>
      </c>
      <c r="AN159" s="120" t="str">
        <f>IFERROR(VLOOKUP(Table1[RespondentID],'All Data'!$A$3:$CO$999,91,FALSE),"unknown")</f>
        <v>American Indian and Alaska Native</v>
      </c>
      <c r="AO159" s="120" t="str">
        <f>IFERROR(VLOOKUP(Table1[RespondentID],'All Data'!$A$3:$CO$999,92,FALSE),"unknown")</f>
        <v>Not Hispanic or Latino</v>
      </c>
      <c r="AP159" s="120" t="str">
        <f>IFERROR(VLOOKUP(Table1[RespondentID],'All Data'!$A$3:$CO$999,93,FALSE),"unknown")</f>
        <v>English</v>
      </c>
      <c r="AQ159" s="120" t="str">
        <f>IFERROR(VLOOKUP(Table1[RespondentID],'All Data'!$A$3:$CW$999,94,FALSE),"unknown")</f>
        <v>Over $125,000</v>
      </c>
      <c r="AR159" s="120" t="str">
        <f>IFERROR(VLOOKUP(Table1[RespondentID],'All Data'!$A$3:$CW$999,95,FALSE),"unknown")</f>
        <v>Some college</v>
      </c>
      <c r="AS159" s="120" t="str">
        <f>IFERROR(VLOOKUP(Table1[RespondentID],'All Data'!$A$3:$CW$999,96,FALSE),"unknown")</f>
        <v>Self-employed</v>
      </c>
      <c r="AT159" s="120" t="str">
        <f>IFERROR(VLOOKUP(Table1[RespondentID],'All Data'!$A$3:$CW$999,97,FALSE),"unknown")</f>
        <v>Yes</v>
      </c>
      <c r="AU159" s="120">
        <f>IFERROR(VLOOKUP(Table1[RespondentID],'All Data'!$A$3:$CW$999,98,FALSE),"unknown")</f>
        <v>0</v>
      </c>
      <c r="AV159" s="120">
        <f>IFERROR(VLOOKUP(Table1[RespondentID],'All Data'!$A$3:$CW$999,99,FALSE),"unknown")</f>
        <v>0</v>
      </c>
    </row>
    <row r="160" spans="1:48">
      <c r="A160" s="5">
        <v>18021800907</v>
      </c>
      <c r="B160" s="5"/>
      <c r="C160" s="5" t="s">
        <v>39</v>
      </c>
      <c r="D160" s="5"/>
      <c r="E160" s="5"/>
      <c r="F160" s="5" t="s">
        <v>42</v>
      </c>
      <c r="G160" s="5"/>
      <c r="H160" s="5"/>
      <c r="I160" s="5"/>
      <c r="J160" s="5"/>
      <c r="K160" s="5"/>
      <c r="L160" s="5" t="s">
        <v>47</v>
      </c>
      <c r="M160" s="5"/>
      <c r="N160" s="5"/>
      <c r="O160" s="5">
        <f t="shared" si="34"/>
        <v>3</v>
      </c>
      <c r="P160" s="5">
        <f t="shared" si="35"/>
        <v>1</v>
      </c>
      <c r="Q160" s="5"/>
      <c r="R160" s="5">
        <f t="shared" si="36"/>
        <v>0</v>
      </c>
      <c r="S160" s="5">
        <f t="shared" si="37"/>
        <v>1</v>
      </c>
      <c r="T160" s="5">
        <f t="shared" si="38"/>
        <v>0</v>
      </c>
      <c r="U160" s="5">
        <f t="shared" si="39"/>
        <v>0</v>
      </c>
      <c r="V160" s="5">
        <f t="shared" si="40"/>
        <v>1</v>
      </c>
      <c r="W160" s="5">
        <f t="shared" si="41"/>
        <v>0</v>
      </c>
      <c r="X160" s="5">
        <f t="shared" si="42"/>
        <v>0</v>
      </c>
      <c r="Y160" s="5">
        <f t="shared" si="43"/>
        <v>0</v>
      </c>
      <c r="Z160" s="5">
        <f t="shared" si="44"/>
        <v>0</v>
      </c>
      <c r="AA160" s="5">
        <f t="shared" si="45"/>
        <v>0</v>
      </c>
      <c r="AB160" s="5">
        <f t="shared" si="46"/>
        <v>1</v>
      </c>
      <c r="AC160" s="5">
        <f t="shared" si="47"/>
        <v>0</v>
      </c>
      <c r="AD160" s="5"/>
      <c r="AE160" s="5"/>
      <c r="AF160" s="5">
        <f t="shared" si="48"/>
        <v>3</v>
      </c>
      <c r="AG160" s="5">
        <f t="shared" si="49"/>
        <v>3</v>
      </c>
      <c r="AH160" s="5" t="str">
        <f t="shared" si="50"/>
        <v>Correct</v>
      </c>
      <c r="AI160" s="5"/>
      <c r="AJ160" s="120" t="str">
        <f>IFERROR(VLOOKUP(Table1[RespondentID],'All Data'!$A$3:$CO$999,87,FALSE),"unknown")</f>
        <v>Man</v>
      </c>
      <c r="AK160" s="120">
        <f>IFERROR(VLOOKUP(Table1[RespondentID],'All Data'!$A$3:$CO$999,88,FALSE),"unknown")</f>
        <v>43</v>
      </c>
      <c r="AL160" s="120" t="str">
        <f>IFERROR(VLOOKUP(Table1[RespondentID],'All Data'!$A$3:$CO$999,89,FALSE),"unknown")</f>
        <v>Suffolk</v>
      </c>
      <c r="AM160" s="120" t="str">
        <f>IFERROR(VLOOKUP(Table1[RespondentID],'All Data'!$A$3:$CO$999,90,FALSE),"unknown")</f>
        <v>Commack, 11725</v>
      </c>
      <c r="AN160" s="120" t="str">
        <f>IFERROR(VLOOKUP(Table1[RespondentID],'All Data'!$A$3:$CO$999,91,FALSE),"unknown")</f>
        <v>American Indian and Alaska Native</v>
      </c>
      <c r="AO160" s="120" t="str">
        <f>IFERROR(VLOOKUP(Table1[RespondentID],'All Data'!$A$3:$CO$999,92,FALSE),"unknown")</f>
        <v>Hispanic or Latino</v>
      </c>
      <c r="AP160" s="120" t="str">
        <f>IFERROR(VLOOKUP(Table1[RespondentID],'All Data'!$A$3:$CO$999,93,FALSE),"unknown")</f>
        <v>English, Hindi</v>
      </c>
      <c r="AQ160" s="120" t="str">
        <f>IFERROR(VLOOKUP(Table1[RespondentID],'All Data'!$A$3:$CW$999,94,FALSE),"unknown")</f>
        <v>$50,000 to $74,999</v>
      </c>
      <c r="AR160" s="120" t="str">
        <f>IFERROR(VLOOKUP(Table1[RespondentID],'All Data'!$A$3:$CW$999,95,FALSE),"unknown")</f>
        <v>Some high school</v>
      </c>
      <c r="AS160" s="120" t="str">
        <f>IFERROR(VLOOKUP(Table1[RespondentID],'All Data'!$A$3:$CW$999,96,FALSE),"unknown")</f>
        <v>Employed for wages</v>
      </c>
      <c r="AT160" s="120" t="str">
        <f>IFERROR(VLOOKUP(Table1[RespondentID],'All Data'!$A$3:$CW$999,97,FALSE),"unknown")</f>
        <v>Yes</v>
      </c>
      <c r="AU160" s="120">
        <f>IFERROR(VLOOKUP(Table1[RespondentID],'All Data'!$A$3:$CW$999,98,FALSE),"unknown")</f>
        <v>0</v>
      </c>
      <c r="AV160" s="120">
        <f>IFERROR(VLOOKUP(Table1[RespondentID],'All Data'!$A$3:$CW$999,99,FALSE),"unknown")</f>
        <v>0</v>
      </c>
    </row>
    <row r="161" spans="1:48">
      <c r="A161" s="5">
        <v>18021800772</v>
      </c>
      <c r="B161" s="5"/>
      <c r="C161" s="5" t="s">
        <v>39</v>
      </c>
      <c r="D161" s="5"/>
      <c r="E161" s="5"/>
      <c r="F161" s="5"/>
      <c r="G161" s="5"/>
      <c r="H161" s="5"/>
      <c r="I161" s="5" t="s">
        <v>44</v>
      </c>
      <c r="J161" s="5"/>
      <c r="K161" s="5" t="s">
        <v>46</v>
      </c>
      <c r="L161" s="5"/>
      <c r="M161" s="5"/>
      <c r="N161" s="5"/>
      <c r="O161" s="5">
        <f t="shared" si="34"/>
        <v>3</v>
      </c>
      <c r="P161" s="5">
        <f t="shared" si="35"/>
        <v>1</v>
      </c>
      <c r="Q161" s="5"/>
      <c r="R161" s="5">
        <f t="shared" si="36"/>
        <v>0</v>
      </c>
      <c r="S161" s="5">
        <f t="shared" si="37"/>
        <v>1</v>
      </c>
      <c r="T161" s="5">
        <f t="shared" si="38"/>
        <v>0</v>
      </c>
      <c r="U161" s="5">
        <f t="shared" si="39"/>
        <v>0</v>
      </c>
      <c r="V161" s="5">
        <f t="shared" si="40"/>
        <v>0</v>
      </c>
      <c r="W161" s="5">
        <f t="shared" si="41"/>
        <v>0</v>
      </c>
      <c r="X161" s="5">
        <f t="shared" si="42"/>
        <v>0</v>
      </c>
      <c r="Y161" s="5">
        <f t="shared" si="43"/>
        <v>1</v>
      </c>
      <c r="Z161" s="5">
        <f t="shared" si="44"/>
        <v>0</v>
      </c>
      <c r="AA161" s="5">
        <f t="shared" si="45"/>
        <v>1</v>
      </c>
      <c r="AB161" s="5">
        <f t="shared" si="46"/>
        <v>0</v>
      </c>
      <c r="AC161" s="5">
        <f t="shared" si="47"/>
        <v>0</v>
      </c>
      <c r="AD161" s="5"/>
      <c r="AE161" s="5"/>
      <c r="AF161" s="5">
        <f t="shared" si="48"/>
        <v>3</v>
      </c>
      <c r="AG161" s="5">
        <f t="shared" si="49"/>
        <v>3</v>
      </c>
      <c r="AH161" s="5" t="str">
        <f t="shared" si="50"/>
        <v>Correct</v>
      </c>
      <c r="AI161" s="5"/>
      <c r="AJ161" s="120" t="str">
        <f>IFERROR(VLOOKUP(Table1[RespondentID],'All Data'!$A$3:$CO$999,87,FALSE),"unknown")</f>
        <v>Woman</v>
      </c>
      <c r="AK161" s="120">
        <f>IFERROR(VLOOKUP(Table1[RespondentID],'All Data'!$A$3:$CO$999,88,FALSE),"unknown")</f>
        <v>42</v>
      </c>
      <c r="AL161" s="120" t="str">
        <f>IFERROR(VLOOKUP(Table1[RespondentID],'All Data'!$A$3:$CO$999,89,FALSE),"unknown")</f>
        <v>Nassau</v>
      </c>
      <c r="AM161" s="120" t="str">
        <f>IFERROR(VLOOKUP(Table1[RespondentID],'All Data'!$A$3:$CO$999,90,FALSE),"unknown")</f>
        <v>Westbury, 11590</v>
      </c>
      <c r="AN161" s="120" t="str">
        <f>IFERROR(VLOOKUP(Table1[RespondentID],'All Data'!$A$3:$CO$999,91,FALSE),"unknown")</f>
        <v>White</v>
      </c>
      <c r="AO161" s="120" t="str">
        <f>IFERROR(VLOOKUP(Table1[RespondentID],'All Data'!$A$3:$CO$999,92,FALSE),"unknown")</f>
        <v>Hispanic or Latino</v>
      </c>
      <c r="AP161" s="120" t="str">
        <f>IFERROR(VLOOKUP(Table1[RespondentID],'All Data'!$A$3:$CO$999,93,FALSE),"unknown")</f>
        <v>English</v>
      </c>
      <c r="AQ161" s="120" t="str">
        <f>IFERROR(VLOOKUP(Table1[RespondentID],'All Data'!$A$3:$CW$999,94,FALSE),"unknown")</f>
        <v>Over $125,000</v>
      </c>
      <c r="AR161" s="120" t="str">
        <f>IFERROR(VLOOKUP(Table1[RespondentID],'All Data'!$A$3:$CW$999,95,FALSE),"unknown")</f>
        <v>Doctorate</v>
      </c>
      <c r="AS161" s="120" t="str">
        <f>IFERROR(VLOOKUP(Table1[RespondentID],'All Data'!$A$3:$CW$999,96,FALSE),"unknown")</f>
        <v>Employed for wages</v>
      </c>
      <c r="AT161" s="120" t="str">
        <f>IFERROR(VLOOKUP(Table1[RespondentID],'All Data'!$A$3:$CW$999,97,FALSE),"unknown")</f>
        <v>Yes</v>
      </c>
      <c r="AU161" s="120">
        <f>IFERROR(VLOOKUP(Table1[RespondentID],'All Data'!$A$3:$CW$999,98,FALSE),"unknown")</f>
        <v>0</v>
      </c>
      <c r="AV161" s="120">
        <f>IFERROR(VLOOKUP(Table1[RespondentID],'All Data'!$A$3:$CW$999,99,FALSE),"unknown")</f>
        <v>0</v>
      </c>
    </row>
    <row r="162" spans="1:48">
      <c r="A162" s="5">
        <v>18021800631</v>
      </c>
      <c r="B162" s="5" t="s">
        <v>38</v>
      </c>
      <c r="C162" s="5"/>
      <c r="D162" s="5"/>
      <c r="E162" s="5"/>
      <c r="F162" s="5"/>
      <c r="G162" s="5"/>
      <c r="H162" s="5" t="s">
        <v>43</v>
      </c>
      <c r="I162" s="5"/>
      <c r="J162" s="5"/>
      <c r="K162" s="5" t="s">
        <v>46</v>
      </c>
      <c r="L162" s="5"/>
      <c r="M162" s="5"/>
      <c r="N162" s="5"/>
      <c r="O162" s="5">
        <f t="shared" si="34"/>
        <v>3</v>
      </c>
      <c r="P162" s="5">
        <f t="shared" si="35"/>
        <v>1</v>
      </c>
      <c r="Q162" s="5"/>
      <c r="R162" s="5">
        <f t="shared" si="36"/>
        <v>1</v>
      </c>
      <c r="S162" s="5">
        <f t="shared" si="37"/>
        <v>0</v>
      </c>
      <c r="T162" s="5">
        <f t="shared" si="38"/>
        <v>0</v>
      </c>
      <c r="U162" s="5">
        <f t="shared" si="39"/>
        <v>0</v>
      </c>
      <c r="V162" s="5">
        <f t="shared" si="40"/>
        <v>0</v>
      </c>
      <c r="W162" s="5">
        <f t="shared" si="41"/>
        <v>0</v>
      </c>
      <c r="X162" s="5">
        <f t="shared" si="42"/>
        <v>1</v>
      </c>
      <c r="Y162" s="5">
        <f t="shared" si="43"/>
        <v>0</v>
      </c>
      <c r="Z162" s="5">
        <f t="shared" si="44"/>
        <v>0</v>
      </c>
      <c r="AA162" s="5">
        <f t="shared" si="45"/>
        <v>1</v>
      </c>
      <c r="AB162" s="5">
        <f t="shared" si="46"/>
        <v>0</v>
      </c>
      <c r="AC162" s="5">
        <f t="shared" si="47"/>
        <v>0</v>
      </c>
      <c r="AD162" s="5"/>
      <c r="AE162" s="5"/>
      <c r="AF162" s="5">
        <f t="shared" si="48"/>
        <v>3</v>
      </c>
      <c r="AG162" s="5">
        <f t="shared" si="49"/>
        <v>3</v>
      </c>
      <c r="AH162" s="5" t="str">
        <f t="shared" si="50"/>
        <v>Correct</v>
      </c>
      <c r="AI162" s="5"/>
      <c r="AJ162" s="120" t="str">
        <f>IFERROR(VLOOKUP(Table1[RespondentID],'All Data'!$A$3:$CO$999,87,FALSE),"unknown")</f>
        <v>Man</v>
      </c>
      <c r="AK162" s="120">
        <f>IFERROR(VLOOKUP(Table1[RespondentID],'All Data'!$A$3:$CO$999,88,FALSE),"unknown")</f>
        <v>54</v>
      </c>
      <c r="AL162" s="120" t="str">
        <f>IFERROR(VLOOKUP(Table1[RespondentID],'All Data'!$A$3:$CO$999,89,FALSE),"unknown")</f>
        <v>Nassau</v>
      </c>
      <c r="AM162" s="120" t="str">
        <f>IFERROR(VLOOKUP(Table1[RespondentID],'All Data'!$A$3:$CO$999,90,FALSE),"unknown")</f>
        <v>Bethpage, 11714</v>
      </c>
      <c r="AN162" s="120" t="str">
        <f>IFERROR(VLOOKUP(Table1[RespondentID],'All Data'!$A$3:$CO$999,91,FALSE),"unknown")</f>
        <v>White</v>
      </c>
      <c r="AO162" s="120" t="str">
        <f>IFERROR(VLOOKUP(Table1[RespondentID],'All Data'!$A$3:$CO$999,92,FALSE),"unknown")</f>
        <v>Hispanic or Latino</v>
      </c>
      <c r="AP162" s="120" t="str">
        <f>IFERROR(VLOOKUP(Table1[RespondentID],'All Data'!$A$3:$CO$999,93,FALSE),"unknown")</f>
        <v>English</v>
      </c>
      <c r="AQ162" s="120" t="str">
        <f>IFERROR(VLOOKUP(Table1[RespondentID],'All Data'!$A$3:$CW$999,94,FALSE),"unknown")</f>
        <v>Over $125,000</v>
      </c>
      <c r="AR162" s="120" t="str">
        <f>IFERROR(VLOOKUP(Table1[RespondentID],'All Data'!$A$3:$CW$999,95,FALSE),"unknown")</f>
        <v>Graduate school</v>
      </c>
      <c r="AS162" s="120" t="str">
        <f>IFERROR(VLOOKUP(Table1[RespondentID],'All Data'!$A$3:$CW$999,96,FALSE),"unknown")</f>
        <v>Employed for wages</v>
      </c>
      <c r="AT162" s="120" t="str">
        <f>IFERROR(VLOOKUP(Table1[RespondentID],'All Data'!$A$3:$CW$999,97,FALSE),"unknown")</f>
        <v>Yes</v>
      </c>
      <c r="AU162" s="120">
        <f>IFERROR(VLOOKUP(Table1[RespondentID],'All Data'!$A$3:$CW$999,98,FALSE),"unknown")</f>
        <v>0</v>
      </c>
      <c r="AV162" s="120">
        <f>IFERROR(VLOOKUP(Table1[RespondentID],'All Data'!$A$3:$CW$999,99,FALSE),"unknown")</f>
        <v>0</v>
      </c>
    </row>
    <row r="163" spans="1:48">
      <c r="A163" s="5">
        <v>18021800480</v>
      </c>
      <c r="B163" s="5"/>
      <c r="C163" s="5" t="s">
        <v>39</v>
      </c>
      <c r="D163" s="5"/>
      <c r="E163" s="5" t="s">
        <v>41</v>
      </c>
      <c r="F163" s="5"/>
      <c r="G163" s="5"/>
      <c r="H163" s="5"/>
      <c r="I163" s="5"/>
      <c r="J163" s="5"/>
      <c r="K163" s="5"/>
      <c r="L163" s="5"/>
      <c r="M163" s="5"/>
      <c r="N163" s="5"/>
      <c r="O163" s="5">
        <f t="shared" si="34"/>
        <v>2</v>
      </c>
      <c r="P163" s="5">
        <f t="shared" si="35"/>
        <v>1.5</v>
      </c>
      <c r="Q163" s="5"/>
      <c r="R163" s="5">
        <f t="shared" si="36"/>
        <v>0</v>
      </c>
      <c r="S163" s="5">
        <f t="shared" si="37"/>
        <v>1</v>
      </c>
      <c r="T163" s="5">
        <f t="shared" si="38"/>
        <v>0</v>
      </c>
      <c r="U163" s="5">
        <f t="shared" si="39"/>
        <v>1</v>
      </c>
      <c r="V163" s="5">
        <f t="shared" si="40"/>
        <v>0</v>
      </c>
      <c r="W163" s="5">
        <f t="shared" si="41"/>
        <v>0</v>
      </c>
      <c r="X163" s="5">
        <f t="shared" si="42"/>
        <v>0</v>
      </c>
      <c r="Y163" s="5">
        <f t="shared" si="43"/>
        <v>0</v>
      </c>
      <c r="Z163" s="5">
        <f t="shared" si="44"/>
        <v>0</v>
      </c>
      <c r="AA163" s="5">
        <f t="shared" si="45"/>
        <v>0</v>
      </c>
      <c r="AB163" s="5">
        <f t="shared" si="46"/>
        <v>0</v>
      </c>
      <c r="AC163" s="5">
        <f t="shared" si="47"/>
        <v>0</v>
      </c>
      <c r="AD163" s="5"/>
      <c r="AE163" s="5"/>
      <c r="AF163" s="5">
        <f t="shared" si="48"/>
        <v>2</v>
      </c>
      <c r="AG163" s="5">
        <f t="shared" si="49"/>
        <v>2</v>
      </c>
      <c r="AH163" s="5" t="str">
        <f t="shared" si="50"/>
        <v>Correct</v>
      </c>
      <c r="AI163" s="5"/>
      <c r="AJ163" s="120" t="str">
        <f>IFERROR(VLOOKUP(Table1[RespondentID],'All Data'!$A$3:$CO$999,87,FALSE),"unknown")</f>
        <v>Woman</v>
      </c>
      <c r="AK163" s="120">
        <f>IFERROR(VLOOKUP(Table1[RespondentID],'All Data'!$A$3:$CO$999,88,FALSE),"unknown")</f>
        <v>18</v>
      </c>
      <c r="AL163" s="120" t="str">
        <f>IFERROR(VLOOKUP(Table1[RespondentID],'All Data'!$A$3:$CO$999,89,FALSE),"unknown")</f>
        <v>Suffolk</v>
      </c>
      <c r="AM163" s="120" t="str">
        <f>IFERROR(VLOOKUP(Table1[RespondentID],'All Data'!$A$3:$CO$999,90,FALSE),"unknown")</f>
        <v>Commack, 11725</v>
      </c>
      <c r="AN163" s="120" t="str">
        <f>IFERROR(VLOOKUP(Table1[RespondentID],'All Data'!$A$3:$CO$999,91,FALSE),"unknown")</f>
        <v>White</v>
      </c>
      <c r="AO163" s="120" t="str">
        <f>IFERROR(VLOOKUP(Table1[RespondentID],'All Data'!$A$3:$CO$999,92,FALSE),"unknown")</f>
        <v>Hispanic or Latino</v>
      </c>
      <c r="AP163" s="120" t="str">
        <f>IFERROR(VLOOKUP(Table1[RespondentID],'All Data'!$A$3:$CO$999,93,FALSE),"unknown")</f>
        <v>English</v>
      </c>
      <c r="AQ163" s="120" t="str">
        <f>IFERROR(VLOOKUP(Table1[RespondentID],'All Data'!$A$3:$CW$999,94,FALSE),"unknown")</f>
        <v>Over $125,000</v>
      </c>
      <c r="AR163" s="120" t="str">
        <f>IFERROR(VLOOKUP(Table1[RespondentID],'All Data'!$A$3:$CW$999,95,FALSE),"unknown")</f>
        <v>High school graduate</v>
      </c>
      <c r="AS163" s="120" t="str">
        <f>IFERROR(VLOOKUP(Table1[RespondentID],'All Data'!$A$3:$CW$999,96,FALSE),"unknown")</f>
        <v>Employed for wages</v>
      </c>
      <c r="AT163" s="120" t="str">
        <f>IFERROR(VLOOKUP(Table1[RespondentID],'All Data'!$A$3:$CW$999,97,FALSE),"unknown")</f>
        <v>Yes</v>
      </c>
      <c r="AU163" s="120">
        <f>IFERROR(VLOOKUP(Table1[RespondentID],'All Data'!$A$3:$CW$999,98,FALSE),"unknown")</f>
        <v>0</v>
      </c>
      <c r="AV163" s="120">
        <f>IFERROR(VLOOKUP(Table1[RespondentID],'All Data'!$A$3:$CW$999,99,FALSE),"unknown")</f>
        <v>0</v>
      </c>
    </row>
    <row r="164" spans="1:48">
      <c r="A164" s="5">
        <v>18021800333</v>
      </c>
      <c r="B164" s="5"/>
      <c r="C164" s="5" t="s">
        <v>39</v>
      </c>
      <c r="D164" s="5"/>
      <c r="E164" s="5" t="s">
        <v>41</v>
      </c>
      <c r="F164" s="5"/>
      <c r="G164" s="5"/>
      <c r="H164" s="5"/>
      <c r="I164" s="5"/>
      <c r="J164" s="5" t="s">
        <v>45</v>
      </c>
      <c r="K164" s="5"/>
      <c r="L164" s="5"/>
      <c r="M164" s="5"/>
      <c r="N164" s="5"/>
      <c r="O164" s="5">
        <f t="shared" si="34"/>
        <v>3</v>
      </c>
      <c r="P164" s="5">
        <f t="shared" si="35"/>
        <v>1</v>
      </c>
      <c r="Q164" s="5"/>
      <c r="R164" s="5">
        <f t="shared" si="36"/>
        <v>0</v>
      </c>
      <c r="S164" s="5">
        <f t="shared" si="37"/>
        <v>1</v>
      </c>
      <c r="T164" s="5">
        <f t="shared" si="38"/>
        <v>0</v>
      </c>
      <c r="U164" s="5">
        <f t="shared" si="39"/>
        <v>1</v>
      </c>
      <c r="V164" s="5">
        <f t="shared" si="40"/>
        <v>0</v>
      </c>
      <c r="W164" s="5">
        <f t="shared" si="41"/>
        <v>0</v>
      </c>
      <c r="X164" s="5">
        <f t="shared" si="42"/>
        <v>0</v>
      </c>
      <c r="Y164" s="5">
        <f t="shared" si="43"/>
        <v>0</v>
      </c>
      <c r="Z164" s="5">
        <f t="shared" si="44"/>
        <v>1</v>
      </c>
      <c r="AA164" s="5">
        <f t="shared" si="45"/>
        <v>0</v>
      </c>
      <c r="AB164" s="5">
        <f t="shared" si="46"/>
        <v>0</v>
      </c>
      <c r="AC164" s="5">
        <f t="shared" si="47"/>
        <v>0</v>
      </c>
      <c r="AD164" s="5"/>
      <c r="AE164" s="5"/>
      <c r="AF164" s="5">
        <f t="shared" si="48"/>
        <v>3</v>
      </c>
      <c r="AG164" s="5">
        <f t="shared" si="49"/>
        <v>3</v>
      </c>
      <c r="AH164" s="5" t="str">
        <f t="shared" si="50"/>
        <v>Correct</v>
      </c>
      <c r="AI164" s="5"/>
      <c r="AJ164" s="120" t="str">
        <f>IFERROR(VLOOKUP(Table1[RespondentID],'All Data'!$A$3:$CO$999,87,FALSE),"unknown")</f>
        <v>Woman</v>
      </c>
      <c r="AK164" s="120">
        <f>IFERROR(VLOOKUP(Table1[RespondentID],'All Data'!$A$3:$CO$999,88,FALSE),"unknown")</f>
        <v>18</v>
      </c>
      <c r="AL164" s="120" t="str">
        <f>IFERROR(VLOOKUP(Table1[RespondentID],'All Data'!$A$3:$CO$999,89,FALSE),"unknown")</f>
        <v>Suffolk</v>
      </c>
      <c r="AM164" s="120" t="str">
        <f>IFERROR(VLOOKUP(Table1[RespondentID],'All Data'!$A$3:$CO$999,90,FALSE),"unknown")</f>
        <v>Dix Hills, 11746</v>
      </c>
      <c r="AN164" s="120" t="str">
        <f>IFERROR(VLOOKUP(Table1[RespondentID],'All Data'!$A$3:$CO$999,91,FALSE),"unknown")</f>
        <v>American Indian and Alaska Native</v>
      </c>
      <c r="AO164" s="120" t="str">
        <f>IFERROR(VLOOKUP(Table1[RespondentID],'All Data'!$A$3:$CO$999,92,FALSE),"unknown")</f>
        <v>Hispanic or Latino</v>
      </c>
      <c r="AP164" s="120" t="str">
        <f>IFERROR(VLOOKUP(Table1[RespondentID],'All Data'!$A$3:$CO$999,93,FALSE),"unknown")</f>
        <v>English, Korean</v>
      </c>
      <c r="AQ164" s="120" t="str">
        <f>IFERROR(VLOOKUP(Table1[RespondentID],'All Data'!$A$3:$CW$999,94,FALSE),"unknown")</f>
        <v>Over $125,000</v>
      </c>
      <c r="AR164" s="120" t="str">
        <f>IFERROR(VLOOKUP(Table1[RespondentID],'All Data'!$A$3:$CW$999,95,FALSE),"unknown")</f>
        <v>Some high school</v>
      </c>
      <c r="AS164" s="120" t="str">
        <f>IFERROR(VLOOKUP(Table1[RespondentID],'All Data'!$A$3:$CW$999,96,FALSE),"unknown")</f>
        <v>Self-employed</v>
      </c>
      <c r="AT164" s="120" t="str">
        <f>IFERROR(VLOOKUP(Table1[RespondentID],'All Data'!$A$3:$CW$999,97,FALSE),"unknown")</f>
        <v>Yes</v>
      </c>
      <c r="AU164" s="120">
        <f>IFERROR(VLOOKUP(Table1[RespondentID],'All Data'!$A$3:$CW$999,98,FALSE),"unknown")</f>
        <v>0</v>
      </c>
      <c r="AV164" s="120">
        <f>IFERROR(VLOOKUP(Table1[RespondentID],'All Data'!$A$3:$CW$999,99,FALSE),"unknown")</f>
        <v>0</v>
      </c>
    </row>
    <row r="165" spans="1:48">
      <c r="A165" s="5">
        <v>18021800200</v>
      </c>
      <c r="B165" s="5"/>
      <c r="C165" s="5" t="s">
        <v>39</v>
      </c>
      <c r="D165" s="5"/>
      <c r="E165" s="5"/>
      <c r="F165" s="5"/>
      <c r="G165" s="5" t="s">
        <v>37</v>
      </c>
      <c r="H165" s="5"/>
      <c r="I165" s="5"/>
      <c r="J165" s="5"/>
      <c r="K165" s="5"/>
      <c r="L165" s="5" t="s">
        <v>47</v>
      </c>
      <c r="M165" s="5"/>
      <c r="N165" s="5"/>
      <c r="O165" s="5">
        <f t="shared" si="34"/>
        <v>3</v>
      </c>
      <c r="P165" s="5">
        <f t="shared" si="35"/>
        <v>1</v>
      </c>
      <c r="Q165" s="5"/>
      <c r="R165" s="5">
        <f t="shared" si="36"/>
        <v>0</v>
      </c>
      <c r="S165" s="5">
        <f t="shared" si="37"/>
        <v>1</v>
      </c>
      <c r="T165" s="5">
        <f t="shared" si="38"/>
        <v>0</v>
      </c>
      <c r="U165" s="5">
        <f t="shared" si="39"/>
        <v>0</v>
      </c>
      <c r="V165" s="5">
        <f t="shared" si="40"/>
        <v>0</v>
      </c>
      <c r="W165" s="5">
        <f t="shared" si="41"/>
        <v>1</v>
      </c>
      <c r="X165" s="5">
        <f t="shared" si="42"/>
        <v>0</v>
      </c>
      <c r="Y165" s="5">
        <f t="shared" si="43"/>
        <v>0</v>
      </c>
      <c r="Z165" s="5">
        <f t="shared" si="44"/>
        <v>0</v>
      </c>
      <c r="AA165" s="5">
        <f t="shared" si="45"/>
        <v>0</v>
      </c>
      <c r="AB165" s="5">
        <f t="shared" si="46"/>
        <v>1</v>
      </c>
      <c r="AC165" s="5">
        <f t="shared" si="47"/>
        <v>0</v>
      </c>
      <c r="AD165" s="5"/>
      <c r="AE165" s="5"/>
      <c r="AF165" s="5">
        <f t="shared" si="48"/>
        <v>3</v>
      </c>
      <c r="AG165" s="5">
        <f t="shared" si="49"/>
        <v>3</v>
      </c>
      <c r="AH165" s="5" t="str">
        <f t="shared" si="50"/>
        <v>Correct</v>
      </c>
      <c r="AI165" s="5"/>
      <c r="AJ165" s="120" t="str">
        <f>IFERROR(VLOOKUP(Table1[RespondentID],'All Data'!$A$3:$CO$999,87,FALSE),"unknown")</f>
        <v>Woman</v>
      </c>
      <c r="AK165" s="120">
        <f>IFERROR(VLOOKUP(Table1[RespondentID],'All Data'!$A$3:$CO$999,88,FALSE),"unknown")</f>
        <v>18</v>
      </c>
      <c r="AL165" s="120" t="str">
        <f>IFERROR(VLOOKUP(Table1[RespondentID],'All Data'!$A$3:$CO$999,89,FALSE),"unknown")</f>
        <v>Suffolk</v>
      </c>
      <c r="AM165" s="120" t="str">
        <f>IFERROR(VLOOKUP(Table1[RespondentID],'All Data'!$A$3:$CO$999,90,FALSE),"unknown")</f>
        <v>Commack, 11725</v>
      </c>
      <c r="AN165" s="120" t="str">
        <f>IFERROR(VLOOKUP(Table1[RespondentID],'All Data'!$A$3:$CO$999,91,FALSE),"unknown")</f>
        <v>American Indian and Alaska Native</v>
      </c>
      <c r="AO165" s="120" t="str">
        <f>IFERROR(VLOOKUP(Table1[RespondentID],'All Data'!$A$3:$CO$999,92,FALSE),"unknown")</f>
        <v>Hispanic or Latino</v>
      </c>
      <c r="AP165" s="120" t="str">
        <f>IFERROR(VLOOKUP(Table1[RespondentID],'All Data'!$A$3:$CO$999,93,FALSE),"unknown")</f>
        <v>English, Korean</v>
      </c>
      <c r="AQ165" s="120" t="str">
        <f>IFERROR(VLOOKUP(Table1[RespondentID],'All Data'!$A$3:$CW$999,94,FALSE),"unknown")</f>
        <v>$75,000 to $125,000</v>
      </c>
      <c r="AR165" s="120" t="str">
        <f>IFERROR(VLOOKUP(Table1[RespondentID],'All Data'!$A$3:$CW$999,95,FALSE),"unknown")</f>
        <v>Some high school</v>
      </c>
      <c r="AS165" s="120" t="str">
        <f>IFERROR(VLOOKUP(Table1[RespondentID],'All Data'!$A$3:$CW$999,96,FALSE),"unknown")</f>
        <v>Student</v>
      </c>
      <c r="AT165" s="120" t="str">
        <f>IFERROR(VLOOKUP(Table1[RespondentID],'All Data'!$A$3:$CW$999,97,FALSE),"unknown")</f>
        <v>Yes</v>
      </c>
      <c r="AU165" s="120">
        <f>IFERROR(VLOOKUP(Table1[RespondentID],'All Data'!$A$3:$CW$999,98,FALSE),"unknown")</f>
        <v>0</v>
      </c>
      <c r="AV165" s="120">
        <f>IFERROR(VLOOKUP(Table1[RespondentID],'All Data'!$A$3:$CW$999,99,FALSE),"unknown")</f>
        <v>0</v>
      </c>
    </row>
    <row r="166" spans="1:48">
      <c r="A166" s="5">
        <v>18021800054</v>
      </c>
      <c r="B166" s="5"/>
      <c r="C166" s="5"/>
      <c r="D166" s="5"/>
      <c r="E166" s="5" t="s">
        <v>41</v>
      </c>
      <c r="F166" s="5" t="s">
        <v>42</v>
      </c>
      <c r="G166" s="5" t="s">
        <v>37</v>
      </c>
      <c r="H166" s="5"/>
      <c r="I166" s="5"/>
      <c r="J166" s="5"/>
      <c r="K166" s="5"/>
      <c r="L166" s="5"/>
      <c r="M166" s="5"/>
      <c r="N166" s="5"/>
      <c r="O166" s="5">
        <f t="shared" si="34"/>
        <v>3</v>
      </c>
      <c r="P166" s="5">
        <f t="shared" si="35"/>
        <v>1</v>
      </c>
      <c r="Q166" s="5"/>
      <c r="R166" s="5">
        <f t="shared" si="36"/>
        <v>0</v>
      </c>
      <c r="S166" s="5">
        <f t="shared" si="37"/>
        <v>0</v>
      </c>
      <c r="T166" s="5">
        <f t="shared" si="38"/>
        <v>0</v>
      </c>
      <c r="U166" s="5">
        <f t="shared" si="39"/>
        <v>1</v>
      </c>
      <c r="V166" s="5">
        <f t="shared" si="40"/>
        <v>1</v>
      </c>
      <c r="W166" s="5">
        <f t="shared" si="41"/>
        <v>1</v>
      </c>
      <c r="X166" s="5">
        <f t="shared" si="42"/>
        <v>0</v>
      </c>
      <c r="Y166" s="5">
        <f t="shared" si="43"/>
        <v>0</v>
      </c>
      <c r="Z166" s="5">
        <f t="shared" si="44"/>
        <v>0</v>
      </c>
      <c r="AA166" s="5">
        <f t="shared" si="45"/>
        <v>0</v>
      </c>
      <c r="AB166" s="5">
        <f t="shared" si="46"/>
        <v>0</v>
      </c>
      <c r="AC166" s="5">
        <f t="shared" si="47"/>
        <v>0</v>
      </c>
      <c r="AD166" s="5"/>
      <c r="AE166" s="5"/>
      <c r="AF166" s="5">
        <f t="shared" si="48"/>
        <v>3</v>
      </c>
      <c r="AG166" s="5">
        <f t="shared" si="49"/>
        <v>3</v>
      </c>
      <c r="AH166" s="5" t="str">
        <f t="shared" si="50"/>
        <v>Correct</v>
      </c>
      <c r="AI166" s="5"/>
      <c r="AJ166" s="120" t="str">
        <f>IFERROR(VLOOKUP(Table1[RespondentID],'All Data'!$A$3:$CO$999,87,FALSE),"unknown")</f>
        <v>Woman</v>
      </c>
      <c r="AK166" s="120">
        <f>IFERROR(VLOOKUP(Table1[RespondentID],'All Data'!$A$3:$CO$999,88,FALSE),"unknown")</f>
        <v>18</v>
      </c>
      <c r="AL166" s="120" t="str">
        <f>IFERROR(VLOOKUP(Table1[RespondentID],'All Data'!$A$3:$CO$999,89,FALSE),"unknown")</f>
        <v>Suffolk</v>
      </c>
      <c r="AM166" s="120" t="str">
        <f>IFERROR(VLOOKUP(Table1[RespondentID],'All Data'!$A$3:$CO$999,90,FALSE),"unknown")</f>
        <v>Commack, 11725</v>
      </c>
      <c r="AN166" s="120" t="str">
        <f>IFERROR(VLOOKUP(Table1[RespondentID],'All Data'!$A$3:$CO$999,91,FALSE),"unknown")</f>
        <v>White</v>
      </c>
      <c r="AO166" s="120" t="str">
        <f>IFERROR(VLOOKUP(Table1[RespondentID],'All Data'!$A$3:$CO$999,92,FALSE),"unknown")</f>
        <v>Hispanic or Latino</v>
      </c>
      <c r="AP166" s="120" t="str">
        <f>IFERROR(VLOOKUP(Table1[RespondentID],'All Data'!$A$3:$CO$999,93,FALSE),"unknown")</f>
        <v>English</v>
      </c>
      <c r="AQ166" s="120" t="str">
        <f>IFERROR(VLOOKUP(Table1[RespondentID],'All Data'!$A$3:$CW$999,94,FALSE),"unknown")</f>
        <v>Over $125,000</v>
      </c>
      <c r="AR166" s="120" t="str">
        <f>IFERROR(VLOOKUP(Table1[RespondentID],'All Data'!$A$3:$CW$999,95,FALSE),"unknown")</f>
        <v>High school graduate</v>
      </c>
      <c r="AS166" s="120" t="str">
        <f>IFERROR(VLOOKUP(Table1[RespondentID],'All Data'!$A$3:$CW$999,96,FALSE),"unknown")</f>
        <v>Employed for wages</v>
      </c>
      <c r="AT166" s="120" t="str">
        <f>IFERROR(VLOOKUP(Table1[RespondentID],'All Data'!$A$3:$CW$999,97,FALSE),"unknown")</f>
        <v>Yes</v>
      </c>
      <c r="AU166" s="120">
        <f>IFERROR(VLOOKUP(Table1[RespondentID],'All Data'!$A$3:$CW$999,98,FALSE),"unknown")</f>
        <v>0</v>
      </c>
      <c r="AV166" s="120">
        <f>IFERROR(VLOOKUP(Table1[RespondentID],'All Data'!$A$3:$CW$999,99,FALSE),"unknown")</f>
        <v>0</v>
      </c>
    </row>
    <row r="167" spans="1:48">
      <c r="A167" s="5">
        <v>18021799930</v>
      </c>
      <c r="B167" s="5"/>
      <c r="C167" s="5" t="s">
        <v>39</v>
      </c>
      <c r="D167" s="5"/>
      <c r="E167" s="5"/>
      <c r="F167" s="5"/>
      <c r="G167" s="5" t="s">
        <v>37</v>
      </c>
      <c r="H167" s="5"/>
      <c r="I167" s="5"/>
      <c r="J167" s="5"/>
      <c r="K167" s="5"/>
      <c r="L167" s="5"/>
      <c r="M167" s="5"/>
      <c r="N167" s="5"/>
      <c r="O167" s="5">
        <f t="shared" si="34"/>
        <v>2</v>
      </c>
      <c r="P167" s="5">
        <f t="shared" si="35"/>
        <v>1.5</v>
      </c>
      <c r="Q167" s="5"/>
      <c r="R167" s="5">
        <f t="shared" si="36"/>
        <v>0</v>
      </c>
      <c r="S167" s="5">
        <f t="shared" si="37"/>
        <v>1</v>
      </c>
      <c r="T167" s="5">
        <f t="shared" si="38"/>
        <v>0</v>
      </c>
      <c r="U167" s="5">
        <f t="shared" si="39"/>
        <v>0</v>
      </c>
      <c r="V167" s="5">
        <f t="shared" si="40"/>
        <v>0</v>
      </c>
      <c r="W167" s="5">
        <f t="shared" si="41"/>
        <v>1</v>
      </c>
      <c r="X167" s="5">
        <f t="shared" si="42"/>
        <v>0</v>
      </c>
      <c r="Y167" s="5">
        <f t="shared" si="43"/>
        <v>0</v>
      </c>
      <c r="Z167" s="5">
        <f t="shared" si="44"/>
        <v>0</v>
      </c>
      <c r="AA167" s="5">
        <f t="shared" si="45"/>
        <v>0</v>
      </c>
      <c r="AB167" s="5">
        <f t="shared" si="46"/>
        <v>0</v>
      </c>
      <c r="AC167" s="5">
        <f t="shared" si="47"/>
        <v>0</v>
      </c>
      <c r="AD167" s="5"/>
      <c r="AE167" s="5"/>
      <c r="AF167" s="5">
        <f t="shared" si="48"/>
        <v>2</v>
      </c>
      <c r="AG167" s="5">
        <f t="shared" si="49"/>
        <v>2</v>
      </c>
      <c r="AH167" s="5" t="str">
        <f t="shared" si="50"/>
        <v>Correct</v>
      </c>
      <c r="AI167" s="5"/>
      <c r="AJ167" s="120" t="str">
        <f>IFERROR(VLOOKUP(Table1[RespondentID],'All Data'!$A$3:$CO$999,87,FALSE),"unknown")</f>
        <v>Woman</v>
      </c>
      <c r="AK167" s="120">
        <f>IFERROR(VLOOKUP(Table1[RespondentID],'All Data'!$A$3:$CO$999,88,FALSE),"unknown")</f>
        <v>18</v>
      </c>
      <c r="AL167" s="120" t="str">
        <f>IFERROR(VLOOKUP(Table1[RespondentID],'All Data'!$A$3:$CO$999,89,FALSE),"unknown")</f>
        <v>Suffolk</v>
      </c>
      <c r="AM167" s="120" t="str">
        <f>IFERROR(VLOOKUP(Table1[RespondentID],'All Data'!$A$3:$CO$999,90,FALSE),"unknown")</f>
        <v>Commack, 11725</v>
      </c>
      <c r="AN167" s="120" t="str">
        <f>IFERROR(VLOOKUP(Table1[RespondentID],'All Data'!$A$3:$CO$999,91,FALSE),"unknown")</f>
        <v>American Indian and Alaska Native</v>
      </c>
      <c r="AO167" s="120" t="str">
        <f>IFERROR(VLOOKUP(Table1[RespondentID],'All Data'!$A$3:$CO$999,92,FALSE),"unknown")</f>
        <v>Hispanic or Latino</v>
      </c>
      <c r="AP167" s="120" t="str">
        <f>IFERROR(VLOOKUP(Table1[RespondentID],'All Data'!$A$3:$CO$999,93,FALSE),"unknown")</f>
        <v>English, Korean</v>
      </c>
      <c r="AQ167" s="120" t="str">
        <f>IFERROR(VLOOKUP(Table1[RespondentID],'All Data'!$A$3:$CW$999,94,FALSE),"unknown")</f>
        <v>$20,000 to $34,999</v>
      </c>
      <c r="AR167" s="120" t="str">
        <f>IFERROR(VLOOKUP(Table1[RespondentID],'All Data'!$A$3:$CW$999,95,FALSE),"unknown")</f>
        <v>Some high school</v>
      </c>
      <c r="AS167" s="120" t="str">
        <f>IFERROR(VLOOKUP(Table1[RespondentID],'All Data'!$A$3:$CW$999,96,FALSE),"unknown")</f>
        <v>Employed for wages</v>
      </c>
      <c r="AT167" s="120" t="str">
        <f>IFERROR(VLOOKUP(Table1[RespondentID],'All Data'!$A$3:$CW$999,97,FALSE),"unknown")</f>
        <v>Yes</v>
      </c>
      <c r="AU167" s="120">
        <f>IFERROR(VLOOKUP(Table1[RespondentID],'All Data'!$A$3:$CW$999,98,FALSE),"unknown")</f>
        <v>0</v>
      </c>
      <c r="AV167" s="120">
        <f>IFERROR(VLOOKUP(Table1[RespondentID],'All Data'!$A$3:$CW$999,99,FALSE),"unknown")</f>
        <v>0</v>
      </c>
    </row>
    <row r="168" spans="1:48">
      <c r="A168" s="5">
        <v>18021799815</v>
      </c>
      <c r="B168" s="5"/>
      <c r="C168" s="5"/>
      <c r="D168" s="5"/>
      <c r="E168" s="5"/>
      <c r="F168" s="5"/>
      <c r="G168" s="5"/>
      <c r="H168" s="5"/>
      <c r="I168" s="5" t="s">
        <v>44</v>
      </c>
      <c r="J168" s="5"/>
      <c r="K168" s="5" t="s">
        <v>46</v>
      </c>
      <c r="L168" s="5" t="s">
        <v>47</v>
      </c>
      <c r="M168" s="5"/>
      <c r="N168" s="5"/>
      <c r="O168" s="5">
        <f t="shared" si="34"/>
        <v>3</v>
      </c>
      <c r="P168" s="5">
        <f t="shared" si="35"/>
        <v>1</v>
      </c>
      <c r="Q168" s="5"/>
      <c r="R168" s="5">
        <f t="shared" si="36"/>
        <v>0</v>
      </c>
      <c r="S168" s="5">
        <f t="shared" si="37"/>
        <v>0</v>
      </c>
      <c r="T168" s="5">
        <f t="shared" si="38"/>
        <v>0</v>
      </c>
      <c r="U168" s="5">
        <f t="shared" si="39"/>
        <v>0</v>
      </c>
      <c r="V168" s="5">
        <f t="shared" si="40"/>
        <v>0</v>
      </c>
      <c r="W168" s="5">
        <f t="shared" si="41"/>
        <v>0</v>
      </c>
      <c r="X168" s="5">
        <f t="shared" si="42"/>
        <v>0</v>
      </c>
      <c r="Y168" s="5">
        <f t="shared" si="43"/>
        <v>1</v>
      </c>
      <c r="Z168" s="5">
        <f t="shared" si="44"/>
        <v>0</v>
      </c>
      <c r="AA168" s="5">
        <f t="shared" si="45"/>
        <v>1</v>
      </c>
      <c r="AB168" s="5">
        <f t="shared" si="46"/>
        <v>1</v>
      </c>
      <c r="AC168" s="5">
        <f t="shared" si="47"/>
        <v>0</v>
      </c>
      <c r="AD168" s="5"/>
      <c r="AE168" s="5"/>
      <c r="AF168" s="5">
        <f t="shared" si="48"/>
        <v>3</v>
      </c>
      <c r="AG168" s="5">
        <f t="shared" si="49"/>
        <v>3</v>
      </c>
      <c r="AH168" s="5" t="str">
        <f t="shared" si="50"/>
        <v>Correct</v>
      </c>
      <c r="AI168" s="5"/>
      <c r="AJ168" s="120" t="str">
        <f>IFERROR(VLOOKUP(Table1[RespondentID],'All Data'!$A$3:$CO$999,87,FALSE),"unknown")</f>
        <v>Woman</v>
      </c>
      <c r="AK168" s="120">
        <f>IFERROR(VLOOKUP(Table1[RespondentID],'All Data'!$A$3:$CO$999,88,FALSE),"unknown")</f>
        <v>18</v>
      </c>
      <c r="AL168" s="120" t="str">
        <f>IFERROR(VLOOKUP(Table1[RespondentID],'All Data'!$A$3:$CO$999,89,FALSE),"unknown")</f>
        <v>Suffolk</v>
      </c>
      <c r="AM168" s="120" t="str">
        <f>IFERROR(VLOOKUP(Table1[RespondentID],'All Data'!$A$3:$CO$999,90,FALSE),"unknown")</f>
        <v>Commack, 11725</v>
      </c>
      <c r="AN168" s="120" t="str">
        <f>IFERROR(VLOOKUP(Table1[RespondentID],'All Data'!$A$3:$CO$999,91,FALSE),"unknown")</f>
        <v>White</v>
      </c>
      <c r="AO168" s="120" t="str">
        <f>IFERROR(VLOOKUP(Table1[RespondentID],'All Data'!$A$3:$CO$999,92,FALSE),"unknown")</f>
        <v>Hispanic or Latino</v>
      </c>
      <c r="AP168" s="120" t="str">
        <f>IFERROR(VLOOKUP(Table1[RespondentID],'All Data'!$A$3:$CO$999,93,FALSE),"unknown")</f>
        <v>English</v>
      </c>
      <c r="AQ168" s="120" t="str">
        <f>IFERROR(VLOOKUP(Table1[RespondentID],'All Data'!$A$3:$CW$999,94,FALSE),"unknown")</f>
        <v>Over $125,000</v>
      </c>
      <c r="AR168" s="120" t="str">
        <f>IFERROR(VLOOKUP(Table1[RespondentID],'All Data'!$A$3:$CW$999,95,FALSE),"unknown")</f>
        <v>Some high school</v>
      </c>
      <c r="AS168" s="120" t="str">
        <f>IFERROR(VLOOKUP(Table1[RespondentID],'All Data'!$A$3:$CW$999,96,FALSE),"unknown")</f>
        <v>Employed for wages</v>
      </c>
      <c r="AT168" s="120" t="str">
        <f>IFERROR(VLOOKUP(Table1[RespondentID],'All Data'!$A$3:$CW$999,97,FALSE),"unknown")</f>
        <v>No</v>
      </c>
      <c r="AU168" s="120">
        <f>IFERROR(VLOOKUP(Table1[RespondentID],'All Data'!$A$3:$CW$999,98,FALSE),"unknown")</f>
        <v>0</v>
      </c>
      <c r="AV168" s="120">
        <f>IFERROR(VLOOKUP(Table1[RespondentID],'All Data'!$A$3:$CW$999,99,FALSE),"unknown")</f>
        <v>0</v>
      </c>
    </row>
    <row r="169" spans="1:48">
      <c r="A169" s="5">
        <v>18021799565</v>
      </c>
      <c r="B169" s="5"/>
      <c r="C169" s="5"/>
      <c r="D169" s="5"/>
      <c r="E169" s="5" t="s">
        <v>41</v>
      </c>
      <c r="F169" s="5"/>
      <c r="G169" s="5"/>
      <c r="H169" s="5" t="s">
        <v>43</v>
      </c>
      <c r="I169" s="5"/>
      <c r="J169" s="5"/>
      <c r="K169" s="5" t="s">
        <v>46</v>
      </c>
      <c r="L169" s="5"/>
      <c r="M169" s="5"/>
      <c r="N169" s="5"/>
      <c r="O169" s="5">
        <f t="shared" si="34"/>
        <v>3</v>
      </c>
      <c r="P169" s="5">
        <f t="shared" si="35"/>
        <v>1</v>
      </c>
      <c r="Q169" s="5"/>
      <c r="R169" s="5">
        <f t="shared" si="36"/>
        <v>0</v>
      </c>
      <c r="S169" s="5">
        <f t="shared" si="37"/>
        <v>0</v>
      </c>
      <c r="T169" s="5">
        <f t="shared" si="38"/>
        <v>0</v>
      </c>
      <c r="U169" s="5">
        <f t="shared" si="39"/>
        <v>1</v>
      </c>
      <c r="V169" s="5">
        <f t="shared" si="40"/>
        <v>0</v>
      </c>
      <c r="W169" s="5">
        <f t="shared" si="41"/>
        <v>0</v>
      </c>
      <c r="X169" s="5">
        <f t="shared" si="42"/>
        <v>1</v>
      </c>
      <c r="Y169" s="5">
        <f t="shared" si="43"/>
        <v>0</v>
      </c>
      <c r="Z169" s="5">
        <f t="shared" si="44"/>
        <v>0</v>
      </c>
      <c r="AA169" s="5">
        <f t="shared" si="45"/>
        <v>1</v>
      </c>
      <c r="AB169" s="5">
        <f t="shared" si="46"/>
        <v>0</v>
      </c>
      <c r="AC169" s="5">
        <f t="shared" si="47"/>
        <v>0</v>
      </c>
      <c r="AD169" s="5"/>
      <c r="AE169" s="5"/>
      <c r="AF169" s="5">
        <f t="shared" si="48"/>
        <v>3</v>
      </c>
      <c r="AG169" s="5">
        <f t="shared" si="49"/>
        <v>3</v>
      </c>
      <c r="AH169" s="5" t="str">
        <f t="shared" si="50"/>
        <v>Correct</v>
      </c>
      <c r="AI169" s="5"/>
      <c r="AJ169" s="120" t="str">
        <f>IFERROR(VLOOKUP(Table1[RespondentID],'All Data'!$A$3:$CO$999,87,FALSE),"unknown")</f>
        <v>Woman</v>
      </c>
      <c r="AK169" s="120">
        <f>IFERROR(VLOOKUP(Table1[RespondentID],'All Data'!$A$3:$CO$999,88,FALSE),"unknown")</f>
        <v>43</v>
      </c>
      <c r="AL169" s="120" t="str">
        <f>IFERROR(VLOOKUP(Table1[RespondentID],'All Data'!$A$3:$CO$999,89,FALSE),"unknown")</f>
        <v>Suffolk</v>
      </c>
      <c r="AM169" s="120" t="str">
        <f>IFERROR(VLOOKUP(Table1[RespondentID],'All Data'!$A$3:$CO$999,90,FALSE),"unknown")</f>
        <v>Smithtown, 11787</v>
      </c>
      <c r="AN169" s="120" t="str">
        <f>IFERROR(VLOOKUP(Table1[RespondentID],'All Data'!$A$3:$CO$999,91,FALSE),"unknown")</f>
        <v>White</v>
      </c>
      <c r="AO169" s="120" t="str">
        <f>IFERROR(VLOOKUP(Table1[RespondentID],'All Data'!$A$3:$CO$999,92,FALSE),"unknown")</f>
        <v>Hispanic or Latino</v>
      </c>
      <c r="AP169" s="120" t="str">
        <f>IFERROR(VLOOKUP(Table1[RespondentID],'All Data'!$A$3:$CO$999,93,FALSE),"unknown")</f>
        <v>English</v>
      </c>
      <c r="AQ169" s="120" t="str">
        <f>IFERROR(VLOOKUP(Table1[RespondentID],'All Data'!$A$3:$CW$999,94,FALSE),"unknown")</f>
        <v>$75,000 to $125,000</v>
      </c>
      <c r="AR169" s="120" t="str">
        <f>IFERROR(VLOOKUP(Table1[RespondentID],'All Data'!$A$3:$CW$999,95,FALSE),"unknown")</f>
        <v>Doctorate</v>
      </c>
      <c r="AS169" s="120" t="str">
        <f>IFERROR(VLOOKUP(Table1[RespondentID],'All Data'!$A$3:$CW$999,96,FALSE),"unknown")</f>
        <v>Employed for wages</v>
      </c>
      <c r="AT169" s="120" t="str">
        <f>IFERROR(VLOOKUP(Table1[RespondentID],'All Data'!$A$3:$CW$999,97,FALSE),"unknown")</f>
        <v>Yes</v>
      </c>
      <c r="AU169" s="120">
        <f>IFERROR(VLOOKUP(Table1[RespondentID],'All Data'!$A$3:$CW$999,98,FALSE),"unknown")</f>
        <v>0</v>
      </c>
      <c r="AV169" s="120">
        <f>IFERROR(VLOOKUP(Table1[RespondentID],'All Data'!$A$3:$CW$999,99,FALSE),"unknown")</f>
        <v>0</v>
      </c>
    </row>
    <row r="170" spans="1:48">
      <c r="A170" s="5">
        <v>18021799358</v>
      </c>
      <c r="B170" s="5"/>
      <c r="C170" s="5" t="s">
        <v>39</v>
      </c>
      <c r="D170" s="5"/>
      <c r="E170" s="5" t="s">
        <v>41</v>
      </c>
      <c r="F170" s="5"/>
      <c r="G170" s="5" t="s">
        <v>37</v>
      </c>
      <c r="H170" s="5"/>
      <c r="I170" s="5"/>
      <c r="J170" s="5"/>
      <c r="K170" s="5"/>
      <c r="L170" s="5"/>
      <c r="M170" s="5"/>
      <c r="N170" s="5"/>
      <c r="O170" s="5">
        <f t="shared" si="34"/>
        <v>3</v>
      </c>
      <c r="P170" s="5">
        <f t="shared" si="35"/>
        <v>1</v>
      </c>
      <c r="Q170" s="5"/>
      <c r="R170" s="5">
        <f t="shared" si="36"/>
        <v>0</v>
      </c>
      <c r="S170" s="5">
        <f t="shared" si="37"/>
        <v>1</v>
      </c>
      <c r="T170" s="5">
        <f t="shared" si="38"/>
        <v>0</v>
      </c>
      <c r="U170" s="5">
        <f t="shared" si="39"/>
        <v>1</v>
      </c>
      <c r="V170" s="5">
        <f t="shared" si="40"/>
        <v>0</v>
      </c>
      <c r="W170" s="5">
        <f t="shared" si="41"/>
        <v>1</v>
      </c>
      <c r="X170" s="5">
        <f t="shared" si="42"/>
        <v>0</v>
      </c>
      <c r="Y170" s="5">
        <f t="shared" si="43"/>
        <v>0</v>
      </c>
      <c r="Z170" s="5">
        <f t="shared" si="44"/>
        <v>0</v>
      </c>
      <c r="AA170" s="5">
        <f t="shared" si="45"/>
        <v>0</v>
      </c>
      <c r="AB170" s="5">
        <f t="shared" si="46"/>
        <v>0</v>
      </c>
      <c r="AC170" s="5">
        <f t="shared" si="47"/>
        <v>0</v>
      </c>
      <c r="AD170" s="5"/>
      <c r="AE170" s="5"/>
      <c r="AF170" s="5">
        <f t="shared" si="48"/>
        <v>3</v>
      </c>
      <c r="AG170" s="5">
        <f t="shared" si="49"/>
        <v>3</v>
      </c>
      <c r="AH170" s="5" t="str">
        <f t="shared" si="50"/>
        <v>Correct</v>
      </c>
      <c r="AI170" s="5"/>
      <c r="AJ170" s="120" t="str">
        <f>IFERROR(VLOOKUP(Table1[RespondentID],'All Data'!$A$3:$CO$999,87,FALSE),"unknown")</f>
        <v>Man</v>
      </c>
      <c r="AK170" s="120">
        <f>IFERROR(VLOOKUP(Table1[RespondentID],'All Data'!$A$3:$CO$999,88,FALSE),"unknown")</f>
        <v>29</v>
      </c>
      <c r="AL170" s="120" t="str">
        <f>IFERROR(VLOOKUP(Table1[RespondentID],'All Data'!$A$3:$CO$999,89,FALSE),"unknown")</f>
        <v>Suffolk</v>
      </c>
      <c r="AM170" s="120" t="str">
        <f>IFERROR(VLOOKUP(Table1[RespondentID],'All Data'!$A$3:$CO$999,90,FALSE),"unknown")</f>
        <v>Lake Grove, 11755</v>
      </c>
      <c r="AN170" s="120" t="str">
        <f>IFERROR(VLOOKUP(Table1[RespondentID],'All Data'!$A$3:$CO$999,91,FALSE),"unknown")</f>
        <v>Native Hawaiian and Other Pacific Islander</v>
      </c>
      <c r="AO170" s="120">
        <f>IFERROR(VLOOKUP(Table1[RespondentID],'All Data'!$A$3:$CO$999,92,FALSE),"unknown")</f>
        <v>0</v>
      </c>
      <c r="AP170" s="120" t="str">
        <f>IFERROR(VLOOKUP(Table1[RespondentID],'All Data'!$A$3:$CO$999,93,FALSE),"unknown")</f>
        <v>Portuguese</v>
      </c>
      <c r="AQ170" s="120">
        <f>IFERROR(VLOOKUP(Table1[RespondentID],'All Data'!$A$3:$CW$999,94,FALSE),"unknown")</f>
        <v>0</v>
      </c>
      <c r="AR170" s="120" t="str">
        <f>IFERROR(VLOOKUP(Table1[RespondentID],'All Data'!$A$3:$CW$999,95,FALSE),"unknown")</f>
        <v>Technical school</v>
      </c>
      <c r="AS170" s="120">
        <f>IFERROR(VLOOKUP(Table1[RespondentID],'All Data'!$A$3:$CW$999,96,FALSE),"unknown")</f>
        <v>0</v>
      </c>
      <c r="AT170" s="120" t="str">
        <f>IFERROR(VLOOKUP(Table1[RespondentID],'All Data'!$A$3:$CW$999,97,FALSE),"unknown")</f>
        <v>No, but I did in the past</v>
      </c>
      <c r="AU170" s="120">
        <f>IFERROR(VLOOKUP(Table1[RespondentID],'All Data'!$A$3:$CW$999,98,FALSE),"unknown")</f>
        <v>0</v>
      </c>
      <c r="AV170" s="120">
        <f>IFERROR(VLOOKUP(Table1[RespondentID],'All Data'!$A$3:$CW$999,99,FALSE),"unknown")</f>
        <v>0</v>
      </c>
    </row>
    <row r="171" spans="1:48">
      <c r="A171" s="5">
        <v>18021799148</v>
      </c>
      <c r="B171" s="5"/>
      <c r="C171" s="5" t="s">
        <v>39</v>
      </c>
      <c r="D171" s="5"/>
      <c r="E171" s="5"/>
      <c r="F171" s="5" t="s">
        <v>42</v>
      </c>
      <c r="G171" s="5" t="s">
        <v>37</v>
      </c>
      <c r="H171" s="5"/>
      <c r="I171" s="5"/>
      <c r="J171" s="5"/>
      <c r="K171" s="5"/>
      <c r="L171" s="5"/>
      <c r="M171" s="5"/>
      <c r="N171" s="5"/>
      <c r="O171" s="5">
        <f t="shared" si="34"/>
        <v>3</v>
      </c>
      <c r="P171" s="5">
        <f t="shared" si="35"/>
        <v>1</v>
      </c>
      <c r="Q171" s="5"/>
      <c r="R171" s="5">
        <f t="shared" si="36"/>
        <v>0</v>
      </c>
      <c r="S171" s="5">
        <f t="shared" si="37"/>
        <v>1</v>
      </c>
      <c r="T171" s="5">
        <f t="shared" si="38"/>
        <v>0</v>
      </c>
      <c r="U171" s="5">
        <f t="shared" si="39"/>
        <v>0</v>
      </c>
      <c r="V171" s="5">
        <f t="shared" si="40"/>
        <v>1</v>
      </c>
      <c r="W171" s="5">
        <f t="shared" si="41"/>
        <v>1</v>
      </c>
      <c r="X171" s="5">
        <f t="shared" si="42"/>
        <v>0</v>
      </c>
      <c r="Y171" s="5">
        <f t="shared" si="43"/>
        <v>0</v>
      </c>
      <c r="Z171" s="5">
        <f t="shared" si="44"/>
        <v>0</v>
      </c>
      <c r="AA171" s="5">
        <f t="shared" si="45"/>
        <v>0</v>
      </c>
      <c r="AB171" s="5">
        <f t="shared" si="46"/>
        <v>0</v>
      </c>
      <c r="AC171" s="5">
        <f t="shared" si="47"/>
        <v>0</v>
      </c>
      <c r="AD171" s="5"/>
      <c r="AE171" s="5"/>
      <c r="AF171" s="5">
        <f t="shared" si="48"/>
        <v>3</v>
      </c>
      <c r="AG171" s="5">
        <f t="shared" si="49"/>
        <v>3</v>
      </c>
      <c r="AH171" s="5" t="str">
        <f t="shared" si="50"/>
        <v>Correct</v>
      </c>
      <c r="AI171" s="5"/>
      <c r="AJ171" s="120">
        <f>IFERROR(VLOOKUP(Table1[RespondentID],'All Data'!$A$3:$CO$999,87,FALSE),"unknown")</f>
        <v>0</v>
      </c>
      <c r="AK171" s="120">
        <f>IFERROR(VLOOKUP(Table1[RespondentID],'All Data'!$A$3:$CO$999,88,FALSE),"unknown")</f>
        <v>18</v>
      </c>
      <c r="AL171" s="120" t="str">
        <f>IFERROR(VLOOKUP(Table1[RespondentID],'All Data'!$A$3:$CO$999,89,FALSE),"unknown")</f>
        <v>Suffolk</v>
      </c>
      <c r="AM171" s="120" t="str">
        <f>IFERROR(VLOOKUP(Table1[RespondentID],'All Data'!$A$3:$CO$999,90,FALSE),"unknown")</f>
        <v>Kings Park, 11754</v>
      </c>
      <c r="AN171" s="120" t="str">
        <f>IFERROR(VLOOKUP(Table1[RespondentID],'All Data'!$A$3:$CO$999,91,FALSE),"unknown")</f>
        <v>American Indian and Alaska Native</v>
      </c>
      <c r="AO171" s="120">
        <f>IFERROR(VLOOKUP(Table1[RespondentID],'All Data'!$A$3:$CO$999,92,FALSE),"unknown")</f>
        <v>0</v>
      </c>
      <c r="AP171" s="120" t="str">
        <f>IFERROR(VLOOKUP(Table1[RespondentID],'All Data'!$A$3:$CO$999,93,FALSE),"unknown")</f>
        <v>Polish, Korean</v>
      </c>
      <c r="AQ171" s="120">
        <f>IFERROR(VLOOKUP(Table1[RespondentID],'All Data'!$A$3:$CW$999,94,FALSE),"unknown")</f>
        <v>0</v>
      </c>
      <c r="AR171" s="120" t="str">
        <f>IFERROR(VLOOKUP(Table1[RespondentID],'All Data'!$A$3:$CW$999,95,FALSE),"unknown")</f>
        <v>Some high school</v>
      </c>
      <c r="AS171" s="120">
        <f>IFERROR(VLOOKUP(Table1[RespondentID],'All Data'!$A$3:$CW$999,96,FALSE),"unknown")</f>
        <v>0</v>
      </c>
      <c r="AT171" s="120">
        <f>IFERROR(VLOOKUP(Table1[RespondentID],'All Data'!$A$3:$CW$999,97,FALSE),"unknown")</f>
        <v>0</v>
      </c>
      <c r="AU171" s="120">
        <f>IFERROR(VLOOKUP(Table1[RespondentID],'All Data'!$A$3:$CW$999,98,FALSE),"unknown")</f>
        <v>0</v>
      </c>
      <c r="AV171" s="120">
        <f>IFERROR(VLOOKUP(Table1[RespondentID],'All Data'!$A$3:$CW$999,99,FALSE),"unknown")</f>
        <v>0</v>
      </c>
    </row>
    <row r="172" spans="1:48">
      <c r="A172" s="5">
        <v>18021798948</v>
      </c>
      <c r="B172" s="5"/>
      <c r="C172" s="5" t="s">
        <v>39</v>
      </c>
      <c r="D172" s="5"/>
      <c r="E172" s="5" t="s">
        <v>41</v>
      </c>
      <c r="F172" s="5"/>
      <c r="G172" s="5" t="s">
        <v>37</v>
      </c>
      <c r="H172" s="5"/>
      <c r="I172" s="5"/>
      <c r="J172" s="5"/>
      <c r="K172" s="5"/>
      <c r="L172" s="5"/>
      <c r="M172" s="5"/>
      <c r="N172" s="5"/>
      <c r="O172" s="5">
        <f t="shared" si="34"/>
        <v>3</v>
      </c>
      <c r="P172" s="5">
        <f t="shared" si="35"/>
        <v>1</v>
      </c>
      <c r="Q172" s="5"/>
      <c r="R172" s="5">
        <f t="shared" si="36"/>
        <v>0</v>
      </c>
      <c r="S172" s="5">
        <f t="shared" si="37"/>
        <v>1</v>
      </c>
      <c r="T172" s="5">
        <f t="shared" si="38"/>
        <v>0</v>
      </c>
      <c r="U172" s="5">
        <f t="shared" si="39"/>
        <v>1</v>
      </c>
      <c r="V172" s="5">
        <f t="shared" si="40"/>
        <v>0</v>
      </c>
      <c r="W172" s="5">
        <f t="shared" si="41"/>
        <v>1</v>
      </c>
      <c r="X172" s="5">
        <f t="shared" si="42"/>
        <v>0</v>
      </c>
      <c r="Y172" s="5">
        <f t="shared" si="43"/>
        <v>0</v>
      </c>
      <c r="Z172" s="5">
        <f t="shared" si="44"/>
        <v>0</v>
      </c>
      <c r="AA172" s="5">
        <f t="shared" si="45"/>
        <v>0</v>
      </c>
      <c r="AB172" s="5">
        <f t="shared" si="46"/>
        <v>0</v>
      </c>
      <c r="AC172" s="5">
        <f t="shared" si="47"/>
        <v>0</v>
      </c>
      <c r="AD172" s="5"/>
      <c r="AE172" s="5"/>
      <c r="AF172" s="5">
        <f t="shared" si="48"/>
        <v>3</v>
      </c>
      <c r="AG172" s="5">
        <f t="shared" si="49"/>
        <v>3</v>
      </c>
      <c r="AH172" s="5" t="str">
        <f t="shared" si="50"/>
        <v>Correct</v>
      </c>
      <c r="AI172" s="5"/>
      <c r="AJ172" s="120" t="str">
        <f>IFERROR(VLOOKUP(Table1[RespondentID],'All Data'!$A$3:$CO$999,87,FALSE),"unknown")</f>
        <v>Man</v>
      </c>
      <c r="AK172" s="120">
        <f>IFERROR(VLOOKUP(Table1[RespondentID],'All Data'!$A$3:$CO$999,88,FALSE),"unknown")</f>
        <v>29</v>
      </c>
      <c r="AL172" s="120" t="str">
        <f>IFERROR(VLOOKUP(Table1[RespondentID],'All Data'!$A$3:$CO$999,89,FALSE),"unknown")</f>
        <v>Suffolk</v>
      </c>
      <c r="AM172" s="120" t="str">
        <f>IFERROR(VLOOKUP(Table1[RespondentID],'All Data'!$A$3:$CO$999,90,FALSE),"unknown")</f>
        <v>Lake Grove, 11755</v>
      </c>
      <c r="AN172" s="120" t="str">
        <f>IFERROR(VLOOKUP(Table1[RespondentID],'All Data'!$A$3:$CO$999,91,FALSE),"unknown")</f>
        <v>Native Hawaiian and Other Pacific Islander</v>
      </c>
      <c r="AO172" s="120">
        <f>IFERROR(VLOOKUP(Table1[RespondentID],'All Data'!$A$3:$CO$999,92,FALSE),"unknown")</f>
        <v>0</v>
      </c>
      <c r="AP172" s="120" t="str">
        <f>IFERROR(VLOOKUP(Table1[RespondentID],'All Data'!$A$3:$CO$999,93,FALSE),"unknown")</f>
        <v>Portuguese</v>
      </c>
      <c r="AQ172" s="120">
        <f>IFERROR(VLOOKUP(Table1[RespondentID],'All Data'!$A$3:$CW$999,94,FALSE),"unknown")</f>
        <v>0</v>
      </c>
      <c r="AR172" s="120" t="str">
        <f>IFERROR(VLOOKUP(Table1[RespondentID],'All Data'!$A$3:$CW$999,95,FALSE),"unknown")</f>
        <v>Technical school</v>
      </c>
      <c r="AS172" s="120">
        <f>IFERROR(VLOOKUP(Table1[RespondentID],'All Data'!$A$3:$CW$999,96,FALSE),"unknown")</f>
        <v>0</v>
      </c>
      <c r="AT172" s="120" t="str">
        <f>IFERROR(VLOOKUP(Table1[RespondentID],'All Data'!$A$3:$CW$999,97,FALSE),"unknown")</f>
        <v>No, but I did in the past</v>
      </c>
      <c r="AU172" s="120">
        <f>IFERROR(VLOOKUP(Table1[RespondentID],'All Data'!$A$3:$CW$999,98,FALSE),"unknown")</f>
        <v>0</v>
      </c>
      <c r="AV172" s="120">
        <f>IFERROR(VLOOKUP(Table1[RespondentID],'All Data'!$A$3:$CW$999,99,FALSE),"unknown")</f>
        <v>0</v>
      </c>
    </row>
    <row r="173" spans="1:48">
      <c r="A173" s="5">
        <v>18021798764</v>
      </c>
      <c r="B173" s="5"/>
      <c r="C173" s="5"/>
      <c r="D173" s="5"/>
      <c r="E173" s="5"/>
      <c r="F173" s="5"/>
      <c r="G173" s="5"/>
      <c r="H173" s="5"/>
      <c r="I173" s="5"/>
      <c r="J173" s="5"/>
      <c r="K173" s="5"/>
      <c r="L173" s="5"/>
      <c r="M173" s="5"/>
      <c r="N173" s="5"/>
      <c r="O173" s="5">
        <f t="shared" si="34"/>
        <v>0</v>
      </c>
      <c r="P173" s="5" t="e">
        <f t="shared" si="35"/>
        <v>#DIV/0!</v>
      </c>
      <c r="Q173" s="5"/>
      <c r="R173" s="5">
        <f t="shared" si="36"/>
        <v>0</v>
      </c>
      <c r="S173" s="5">
        <f t="shared" si="37"/>
        <v>0</v>
      </c>
      <c r="T173" s="5">
        <f t="shared" si="38"/>
        <v>0</v>
      </c>
      <c r="U173" s="5">
        <f t="shared" si="39"/>
        <v>0</v>
      </c>
      <c r="V173" s="5">
        <f t="shared" si="40"/>
        <v>0</v>
      </c>
      <c r="W173" s="5">
        <f t="shared" si="41"/>
        <v>0</v>
      </c>
      <c r="X173" s="5">
        <f t="shared" si="42"/>
        <v>0</v>
      </c>
      <c r="Y173" s="5">
        <f t="shared" si="43"/>
        <v>0</v>
      </c>
      <c r="Z173" s="5">
        <f t="shared" si="44"/>
        <v>0</v>
      </c>
      <c r="AA173" s="5">
        <f t="shared" si="45"/>
        <v>0</v>
      </c>
      <c r="AB173" s="5">
        <f t="shared" si="46"/>
        <v>0</v>
      </c>
      <c r="AC173" s="5">
        <f t="shared" si="47"/>
        <v>0</v>
      </c>
      <c r="AD173" s="5"/>
      <c r="AE173" s="5"/>
      <c r="AF173" s="5">
        <f t="shared" si="48"/>
        <v>0</v>
      </c>
      <c r="AG173" s="5">
        <f t="shared" si="49"/>
        <v>0</v>
      </c>
      <c r="AH173" s="5" t="str">
        <f t="shared" si="50"/>
        <v>Correct</v>
      </c>
      <c r="AI173" s="5"/>
      <c r="AJ173" s="120" t="str">
        <f>IFERROR(VLOOKUP(Table1[RespondentID],'All Data'!$A$3:$CO$999,87,FALSE),"unknown")</f>
        <v>Woman</v>
      </c>
      <c r="AK173" s="120">
        <f>IFERROR(VLOOKUP(Table1[RespondentID],'All Data'!$A$3:$CO$999,88,FALSE),"unknown")</f>
        <v>18</v>
      </c>
      <c r="AL173" s="120" t="str">
        <f>IFERROR(VLOOKUP(Table1[RespondentID],'All Data'!$A$3:$CO$999,89,FALSE),"unknown")</f>
        <v>Suffolk</v>
      </c>
      <c r="AM173" s="120" t="str">
        <f>IFERROR(VLOOKUP(Table1[RespondentID],'All Data'!$A$3:$CO$999,90,FALSE),"unknown")</f>
        <v>Lake Grove, 11755</v>
      </c>
      <c r="AN173" s="120" t="str">
        <f>IFERROR(VLOOKUP(Table1[RespondentID],'All Data'!$A$3:$CO$999,91,FALSE),"unknown")</f>
        <v>Black or African American</v>
      </c>
      <c r="AO173" s="120">
        <f>IFERROR(VLOOKUP(Table1[RespondentID],'All Data'!$A$3:$CO$999,92,FALSE),"unknown")</f>
        <v>0</v>
      </c>
      <c r="AP173" s="120" t="str">
        <f>IFERROR(VLOOKUP(Table1[RespondentID],'All Data'!$A$3:$CO$999,93,FALSE),"unknown")</f>
        <v>Portuguese</v>
      </c>
      <c r="AQ173" s="120" t="str">
        <f>IFERROR(VLOOKUP(Table1[RespondentID],'All Data'!$A$3:$CW$999,94,FALSE),"unknown")</f>
        <v>$50,000 to $74,999</v>
      </c>
      <c r="AR173" s="120" t="str">
        <f>IFERROR(VLOOKUP(Table1[RespondentID],'All Data'!$A$3:$CW$999,95,FALSE),"unknown")</f>
        <v>Some high school</v>
      </c>
      <c r="AS173" s="120">
        <f>IFERROR(VLOOKUP(Table1[RespondentID],'All Data'!$A$3:$CW$999,96,FALSE),"unknown")</f>
        <v>0</v>
      </c>
      <c r="AT173" s="120" t="str">
        <f>IFERROR(VLOOKUP(Table1[RespondentID],'All Data'!$A$3:$CW$999,97,FALSE),"unknown")</f>
        <v>No, but I did in the past</v>
      </c>
      <c r="AU173" s="120">
        <f>IFERROR(VLOOKUP(Table1[RespondentID],'All Data'!$A$3:$CW$999,98,FALSE),"unknown")</f>
        <v>0</v>
      </c>
      <c r="AV173" s="120">
        <f>IFERROR(VLOOKUP(Table1[RespondentID],'All Data'!$A$3:$CW$999,99,FALSE),"unknown")</f>
        <v>0</v>
      </c>
    </row>
    <row r="174" spans="1:48">
      <c r="A174" s="5">
        <v>18021798571</v>
      </c>
      <c r="B174" s="5" t="s">
        <v>38</v>
      </c>
      <c r="C174" s="5"/>
      <c r="D174" s="5"/>
      <c r="E174" s="5"/>
      <c r="F174" s="5" t="s">
        <v>42</v>
      </c>
      <c r="G174" s="5"/>
      <c r="H174" s="5"/>
      <c r="I174" s="5"/>
      <c r="J174" s="5" t="s">
        <v>45</v>
      </c>
      <c r="K174" s="5"/>
      <c r="L174" s="5"/>
      <c r="M174" s="5"/>
      <c r="N174" s="5"/>
      <c r="O174" s="5">
        <f t="shared" si="34"/>
        <v>3</v>
      </c>
      <c r="P174" s="5">
        <f t="shared" si="35"/>
        <v>1</v>
      </c>
      <c r="Q174" s="5"/>
      <c r="R174" s="5">
        <f t="shared" si="36"/>
        <v>1</v>
      </c>
      <c r="S174" s="5">
        <f t="shared" si="37"/>
        <v>0</v>
      </c>
      <c r="T174" s="5">
        <f t="shared" si="38"/>
        <v>0</v>
      </c>
      <c r="U174" s="5">
        <f t="shared" si="39"/>
        <v>0</v>
      </c>
      <c r="V174" s="5">
        <f t="shared" si="40"/>
        <v>1</v>
      </c>
      <c r="W174" s="5">
        <f t="shared" si="41"/>
        <v>0</v>
      </c>
      <c r="X174" s="5">
        <f t="shared" si="42"/>
        <v>0</v>
      </c>
      <c r="Y174" s="5">
        <f t="shared" si="43"/>
        <v>0</v>
      </c>
      <c r="Z174" s="5">
        <f t="shared" si="44"/>
        <v>1</v>
      </c>
      <c r="AA174" s="5">
        <f t="shared" si="45"/>
        <v>0</v>
      </c>
      <c r="AB174" s="5">
        <f t="shared" si="46"/>
        <v>0</v>
      </c>
      <c r="AC174" s="5">
        <f t="shared" si="47"/>
        <v>0</v>
      </c>
      <c r="AD174" s="5"/>
      <c r="AE174" s="5"/>
      <c r="AF174" s="5">
        <f t="shared" si="48"/>
        <v>3</v>
      </c>
      <c r="AG174" s="5">
        <f t="shared" si="49"/>
        <v>3</v>
      </c>
      <c r="AH174" s="5" t="str">
        <f t="shared" si="50"/>
        <v>Correct</v>
      </c>
      <c r="AI174" s="5"/>
      <c r="AJ174" s="120" t="str">
        <f>IFERROR(VLOOKUP(Table1[RespondentID],'All Data'!$A$3:$CO$999,87,FALSE),"unknown")</f>
        <v>Man</v>
      </c>
      <c r="AK174" s="120">
        <f>IFERROR(VLOOKUP(Table1[RespondentID],'All Data'!$A$3:$CO$999,88,FALSE),"unknown")</f>
        <v>21</v>
      </c>
      <c r="AL174" s="120" t="str">
        <f>IFERROR(VLOOKUP(Table1[RespondentID],'All Data'!$A$3:$CO$999,89,FALSE),"unknown")</f>
        <v>Nassau</v>
      </c>
      <c r="AM174" s="120" t="str">
        <f>IFERROR(VLOOKUP(Table1[RespondentID],'All Data'!$A$3:$CO$999,90,FALSE),"unknown")</f>
        <v>Syosset, 11773</v>
      </c>
      <c r="AN174" s="120" t="str">
        <f>IFERROR(VLOOKUP(Table1[RespondentID],'All Data'!$A$3:$CO$999,91,FALSE),"unknown")</f>
        <v>White</v>
      </c>
      <c r="AO174" s="120">
        <f>IFERROR(VLOOKUP(Table1[RespondentID],'All Data'!$A$3:$CO$999,92,FALSE),"unknown")</f>
        <v>0</v>
      </c>
      <c r="AP174" s="120" t="str">
        <f>IFERROR(VLOOKUP(Table1[RespondentID],'All Data'!$A$3:$CO$999,93,FALSE),"unknown")</f>
        <v>Korean</v>
      </c>
      <c r="AQ174" s="120" t="str">
        <f>IFERROR(VLOOKUP(Table1[RespondentID],'All Data'!$A$3:$CW$999,94,FALSE),"unknown")</f>
        <v>$75,000 to $125,000</v>
      </c>
      <c r="AR174" s="120" t="str">
        <f>IFERROR(VLOOKUP(Table1[RespondentID],'All Data'!$A$3:$CW$999,95,FALSE),"unknown")</f>
        <v>Some high school</v>
      </c>
      <c r="AS174" s="120" t="str">
        <f>IFERROR(VLOOKUP(Table1[RespondentID],'All Data'!$A$3:$CW$999,96,FALSE),"unknown")</f>
        <v>Student</v>
      </c>
      <c r="AT174" s="120" t="str">
        <f>IFERROR(VLOOKUP(Table1[RespondentID],'All Data'!$A$3:$CW$999,97,FALSE),"unknown")</f>
        <v>No, but I did in the past</v>
      </c>
      <c r="AU174" s="120">
        <f>IFERROR(VLOOKUP(Table1[RespondentID],'All Data'!$A$3:$CW$999,98,FALSE),"unknown")</f>
        <v>0</v>
      </c>
      <c r="AV174" s="120">
        <f>IFERROR(VLOOKUP(Table1[RespondentID],'All Data'!$A$3:$CW$999,99,FALSE),"unknown")</f>
        <v>0</v>
      </c>
    </row>
    <row r="175" spans="1:48">
      <c r="A175" s="5">
        <v>18021798337</v>
      </c>
      <c r="B175" s="5" t="s">
        <v>38</v>
      </c>
      <c r="C175" s="5"/>
      <c r="D175" s="5"/>
      <c r="E175" s="5"/>
      <c r="F175" s="5" t="s">
        <v>42</v>
      </c>
      <c r="G175" s="5"/>
      <c r="H175" s="5"/>
      <c r="I175" s="5"/>
      <c r="J175" s="5" t="s">
        <v>45</v>
      </c>
      <c r="K175" s="5"/>
      <c r="L175" s="5"/>
      <c r="M175" s="5"/>
      <c r="N175" s="5"/>
      <c r="O175" s="5">
        <f t="shared" si="34"/>
        <v>3</v>
      </c>
      <c r="P175" s="5">
        <f t="shared" si="35"/>
        <v>1</v>
      </c>
      <c r="Q175" s="5"/>
      <c r="R175" s="5">
        <f t="shared" si="36"/>
        <v>1</v>
      </c>
      <c r="S175" s="5">
        <f t="shared" si="37"/>
        <v>0</v>
      </c>
      <c r="T175" s="5">
        <f t="shared" si="38"/>
        <v>0</v>
      </c>
      <c r="U175" s="5">
        <f t="shared" si="39"/>
        <v>0</v>
      </c>
      <c r="V175" s="5">
        <f t="shared" si="40"/>
        <v>1</v>
      </c>
      <c r="W175" s="5">
        <f t="shared" si="41"/>
        <v>0</v>
      </c>
      <c r="X175" s="5">
        <f t="shared" si="42"/>
        <v>0</v>
      </c>
      <c r="Y175" s="5">
        <f t="shared" si="43"/>
        <v>0</v>
      </c>
      <c r="Z175" s="5">
        <f t="shared" si="44"/>
        <v>1</v>
      </c>
      <c r="AA175" s="5">
        <f t="shared" si="45"/>
        <v>0</v>
      </c>
      <c r="AB175" s="5">
        <f t="shared" si="46"/>
        <v>0</v>
      </c>
      <c r="AC175" s="5">
        <f t="shared" si="47"/>
        <v>0</v>
      </c>
      <c r="AD175" s="5"/>
      <c r="AE175" s="5"/>
      <c r="AF175" s="5">
        <f t="shared" si="48"/>
        <v>3</v>
      </c>
      <c r="AG175" s="5">
        <f t="shared" si="49"/>
        <v>3</v>
      </c>
      <c r="AH175" s="5" t="str">
        <f t="shared" si="50"/>
        <v>Correct</v>
      </c>
      <c r="AI175" s="5"/>
      <c r="AJ175" s="120" t="str">
        <f>IFERROR(VLOOKUP(Table1[RespondentID],'All Data'!$A$3:$CO$999,87,FALSE),"unknown")</f>
        <v>Woman</v>
      </c>
      <c r="AK175" s="120">
        <f>IFERROR(VLOOKUP(Table1[RespondentID],'All Data'!$A$3:$CO$999,88,FALSE),"unknown")</f>
        <v>17</v>
      </c>
      <c r="AL175" s="120" t="str">
        <f>IFERROR(VLOOKUP(Table1[RespondentID],'All Data'!$A$3:$CO$999,89,FALSE),"unknown")</f>
        <v>Nassau</v>
      </c>
      <c r="AM175" s="120" t="str">
        <f>IFERROR(VLOOKUP(Table1[RespondentID],'All Data'!$A$3:$CO$999,90,FALSE),"unknown")</f>
        <v>Syosset, 11791</v>
      </c>
      <c r="AN175" s="120" t="str">
        <f>IFERROR(VLOOKUP(Table1[RespondentID],'All Data'!$A$3:$CO$999,91,FALSE),"unknown")</f>
        <v>White</v>
      </c>
      <c r="AO175" s="120">
        <f>IFERROR(VLOOKUP(Table1[RespondentID],'All Data'!$A$3:$CO$999,92,FALSE),"unknown")</f>
        <v>0</v>
      </c>
      <c r="AP175" s="120" t="str">
        <f>IFERROR(VLOOKUP(Table1[RespondentID],'All Data'!$A$3:$CO$999,93,FALSE),"unknown")</f>
        <v>Korean</v>
      </c>
      <c r="AQ175" s="120" t="str">
        <f>IFERROR(VLOOKUP(Table1[RespondentID],'All Data'!$A$3:$CW$999,94,FALSE),"unknown")</f>
        <v>$75,000 to $125,000</v>
      </c>
      <c r="AR175" s="120" t="str">
        <f>IFERROR(VLOOKUP(Table1[RespondentID],'All Data'!$A$3:$CW$999,95,FALSE),"unknown")</f>
        <v>Some high school</v>
      </c>
      <c r="AS175" s="120" t="str">
        <f>IFERROR(VLOOKUP(Table1[RespondentID],'All Data'!$A$3:$CW$999,96,FALSE),"unknown")</f>
        <v>Student</v>
      </c>
      <c r="AT175" s="120" t="str">
        <f>IFERROR(VLOOKUP(Table1[RespondentID],'All Data'!$A$3:$CW$999,97,FALSE),"unknown")</f>
        <v>No, but I did in the past</v>
      </c>
      <c r="AU175" s="120">
        <f>IFERROR(VLOOKUP(Table1[RespondentID],'All Data'!$A$3:$CW$999,98,FALSE),"unknown")</f>
        <v>0</v>
      </c>
      <c r="AV175" s="120">
        <f>IFERROR(VLOOKUP(Table1[RespondentID],'All Data'!$A$3:$CW$999,99,FALSE),"unknown")</f>
        <v>0</v>
      </c>
    </row>
    <row r="176" spans="1:48">
      <c r="A176" s="5">
        <v>18021797894</v>
      </c>
      <c r="B176" s="5"/>
      <c r="C176" s="5"/>
      <c r="D176" s="5"/>
      <c r="E176" s="5" t="s">
        <v>41</v>
      </c>
      <c r="F176" s="5"/>
      <c r="G176" s="5"/>
      <c r="H176" s="5"/>
      <c r="I176" s="5" t="s">
        <v>44</v>
      </c>
      <c r="J176" s="5" t="s">
        <v>45</v>
      </c>
      <c r="K176" s="5"/>
      <c r="L176" s="5"/>
      <c r="M176" s="5" t="s">
        <v>48</v>
      </c>
      <c r="N176" s="5"/>
      <c r="O176" s="5">
        <f t="shared" si="34"/>
        <v>4</v>
      </c>
      <c r="P176" s="5">
        <f t="shared" si="35"/>
        <v>0.75</v>
      </c>
      <c r="Q176" s="5"/>
      <c r="R176" s="5">
        <f t="shared" si="36"/>
        <v>0</v>
      </c>
      <c r="S176" s="5">
        <f t="shared" si="37"/>
        <v>0</v>
      </c>
      <c r="T176" s="5">
        <f t="shared" si="38"/>
        <v>0</v>
      </c>
      <c r="U176" s="5">
        <f t="shared" si="39"/>
        <v>0.75</v>
      </c>
      <c r="V176" s="5">
        <f t="shared" si="40"/>
        <v>0</v>
      </c>
      <c r="W176" s="5">
        <f t="shared" si="41"/>
        <v>0</v>
      </c>
      <c r="X176" s="5">
        <f t="shared" si="42"/>
        <v>0</v>
      </c>
      <c r="Y176" s="5">
        <f t="shared" si="43"/>
        <v>0.75</v>
      </c>
      <c r="Z176" s="5">
        <f t="shared" si="44"/>
        <v>0.75</v>
      </c>
      <c r="AA176" s="5">
        <f t="shared" si="45"/>
        <v>0</v>
      </c>
      <c r="AB176" s="5">
        <f t="shared" si="46"/>
        <v>0</v>
      </c>
      <c r="AC176" s="5">
        <f t="shared" si="47"/>
        <v>0.75</v>
      </c>
      <c r="AD176" s="5"/>
      <c r="AE176" s="5"/>
      <c r="AF176" s="5">
        <f t="shared" si="48"/>
        <v>3</v>
      </c>
      <c r="AG176" s="5">
        <f t="shared" si="49"/>
        <v>4</v>
      </c>
      <c r="AH176" s="5" t="str">
        <f t="shared" si="50"/>
        <v>Correct</v>
      </c>
      <c r="AI176" s="5"/>
      <c r="AJ176" s="120" t="str">
        <f>IFERROR(VLOOKUP(Table1[RespondentID],'All Data'!$A$3:$CO$999,87,FALSE),"unknown")</f>
        <v>Woman</v>
      </c>
      <c r="AK176" s="120">
        <f>IFERROR(VLOOKUP(Table1[RespondentID],'All Data'!$A$3:$CO$999,88,FALSE),"unknown")</f>
        <v>18</v>
      </c>
      <c r="AL176" s="120" t="str">
        <f>IFERROR(VLOOKUP(Table1[RespondentID],'All Data'!$A$3:$CO$999,89,FALSE),"unknown")</f>
        <v>Suffolk</v>
      </c>
      <c r="AM176" s="120" t="str">
        <f>IFERROR(VLOOKUP(Table1[RespondentID],'All Data'!$A$3:$CO$999,90,FALSE),"unknown")</f>
        <v>Commack, 11725</v>
      </c>
      <c r="AN176" s="120" t="str">
        <f>IFERROR(VLOOKUP(Table1[RespondentID],'All Data'!$A$3:$CO$999,91,FALSE),"unknown")</f>
        <v>Black or African American</v>
      </c>
      <c r="AO176" s="120">
        <f>IFERROR(VLOOKUP(Table1[RespondentID],'All Data'!$A$3:$CO$999,92,FALSE),"unknown")</f>
        <v>0</v>
      </c>
      <c r="AP176" s="120" t="str">
        <f>IFERROR(VLOOKUP(Table1[RespondentID],'All Data'!$A$3:$CO$999,93,FALSE),"unknown")</f>
        <v>Korean</v>
      </c>
      <c r="AQ176" s="120" t="str">
        <f>IFERROR(VLOOKUP(Table1[RespondentID],'All Data'!$A$3:$CW$999,94,FALSE),"unknown")</f>
        <v>$75,000 to $125,000</v>
      </c>
      <c r="AR176" s="120" t="str">
        <f>IFERROR(VLOOKUP(Table1[RespondentID],'All Data'!$A$3:$CW$999,95,FALSE),"unknown")</f>
        <v>Some high school</v>
      </c>
      <c r="AS176" s="120" t="str">
        <f>IFERROR(VLOOKUP(Table1[RespondentID],'All Data'!$A$3:$CW$999,96,FALSE),"unknown")</f>
        <v>Student</v>
      </c>
      <c r="AT176" s="120" t="str">
        <f>IFERROR(VLOOKUP(Table1[RespondentID],'All Data'!$A$3:$CW$999,97,FALSE),"unknown")</f>
        <v>No, but I did in the past</v>
      </c>
      <c r="AU176" s="120">
        <f>IFERROR(VLOOKUP(Table1[RespondentID],'All Data'!$A$3:$CW$999,98,FALSE),"unknown")</f>
        <v>0</v>
      </c>
      <c r="AV176" s="120">
        <f>IFERROR(VLOOKUP(Table1[RespondentID],'All Data'!$A$3:$CW$999,99,FALSE),"unknown")</f>
        <v>0</v>
      </c>
    </row>
    <row r="177" spans="1:48">
      <c r="A177" s="5">
        <v>18021797663</v>
      </c>
      <c r="B177" s="5" t="s">
        <v>38</v>
      </c>
      <c r="C177" s="5" t="s">
        <v>39</v>
      </c>
      <c r="D177" s="5"/>
      <c r="E177" s="5"/>
      <c r="F177" s="5"/>
      <c r="G177" s="5"/>
      <c r="H177" s="5"/>
      <c r="I177" s="5"/>
      <c r="J177" s="5"/>
      <c r="K177" s="5" t="s">
        <v>46</v>
      </c>
      <c r="L177" s="5"/>
      <c r="M177" s="5"/>
      <c r="N177" s="5"/>
      <c r="O177" s="5">
        <f t="shared" si="34"/>
        <v>3</v>
      </c>
      <c r="P177" s="5">
        <f t="shared" si="35"/>
        <v>1</v>
      </c>
      <c r="Q177" s="5"/>
      <c r="R177" s="5">
        <f t="shared" si="36"/>
        <v>1</v>
      </c>
      <c r="S177" s="5">
        <f t="shared" si="37"/>
        <v>1</v>
      </c>
      <c r="T177" s="5">
        <f t="shared" si="38"/>
        <v>0</v>
      </c>
      <c r="U177" s="5">
        <f t="shared" si="39"/>
        <v>0</v>
      </c>
      <c r="V177" s="5">
        <f t="shared" si="40"/>
        <v>0</v>
      </c>
      <c r="W177" s="5">
        <f t="shared" si="41"/>
        <v>0</v>
      </c>
      <c r="X177" s="5">
        <f t="shared" si="42"/>
        <v>0</v>
      </c>
      <c r="Y177" s="5">
        <f t="shared" si="43"/>
        <v>0</v>
      </c>
      <c r="Z177" s="5">
        <f t="shared" si="44"/>
        <v>0</v>
      </c>
      <c r="AA177" s="5">
        <f t="shared" si="45"/>
        <v>1</v>
      </c>
      <c r="AB177" s="5">
        <f t="shared" si="46"/>
        <v>0</v>
      </c>
      <c r="AC177" s="5">
        <f t="shared" si="47"/>
        <v>0</v>
      </c>
      <c r="AD177" s="5"/>
      <c r="AE177" s="5"/>
      <c r="AF177" s="5">
        <f t="shared" si="48"/>
        <v>3</v>
      </c>
      <c r="AG177" s="5">
        <f t="shared" si="49"/>
        <v>3</v>
      </c>
      <c r="AH177" s="5" t="str">
        <f t="shared" si="50"/>
        <v>Correct</v>
      </c>
      <c r="AI177" s="5"/>
      <c r="AJ177" s="120" t="str">
        <f>IFERROR(VLOOKUP(Table1[RespondentID],'All Data'!$A$3:$CO$999,87,FALSE),"unknown")</f>
        <v>Man</v>
      </c>
      <c r="AK177" s="120">
        <f>IFERROR(VLOOKUP(Table1[RespondentID],'All Data'!$A$3:$CO$999,88,FALSE),"unknown")</f>
        <v>18</v>
      </c>
      <c r="AL177" s="120" t="str">
        <f>IFERROR(VLOOKUP(Table1[RespondentID],'All Data'!$A$3:$CO$999,89,FALSE),"unknown")</f>
        <v>Suffolk</v>
      </c>
      <c r="AM177" s="120" t="str">
        <f>IFERROR(VLOOKUP(Table1[RespondentID],'All Data'!$A$3:$CO$999,90,FALSE),"unknown")</f>
        <v>Commack, 11725</v>
      </c>
      <c r="AN177" s="120" t="str">
        <f>IFERROR(VLOOKUP(Table1[RespondentID],'All Data'!$A$3:$CO$999,91,FALSE),"unknown")</f>
        <v>White</v>
      </c>
      <c r="AO177" s="120" t="str">
        <f>IFERROR(VLOOKUP(Table1[RespondentID],'All Data'!$A$3:$CO$999,92,FALSE),"unknown")</f>
        <v>Hispanic or Latino</v>
      </c>
      <c r="AP177" s="120" t="str">
        <f>IFERROR(VLOOKUP(Table1[RespondentID],'All Data'!$A$3:$CO$999,93,FALSE),"unknown")</f>
        <v>Chinese</v>
      </c>
      <c r="AQ177" s="120">
        <f>IFERROR(VLOOKUP(Table1[RespondentID],'All Data'!$A$3:$CW$999,94,FALSE),"unknown")</f>
        <v>0</v>
      </c>
      <c r="AR177" s="120">
        <f>IFERROR(VLOOKUP(Table1[RespondentID],'All Data'!$A$3:$CW$999,95,FALSE),"unknown")</f>
        <v>0</v>
      </c>
      <c r="AS177" s="120" t="str">
        <f>IFERROR(VLOOKUP(Table1[RespondentID],'All Data'!$A$3:$CW$999,96,FALSE),"unknown")</f>
        <v>Student</v>
      </c>
      <c r="AT177" s="120">
        <f>IFERROR(VLOOKUP(Table1[RespondentID],'All Data'!$A$3:$CW$999,97,FALSE),"unknown")</f>
        <v>0</v>
      </c>
      <c r="AU177" s="120">
        <f>IFERROR(VLOOKUP(Table1[RespondentID],'All Data'!$A$3:$CW$999,98,FALSE),"unknown")</f>
        <v>0</v>
      </c>
      <c r="AV177" s="120">
        <f>IFERROR(VLOOKUP(Table1[RespondentID],'All Data'!$A$3:$CW$999,99,FALSE),"unknown")</f>
        <v>0</v>
      </c>
    </row>
    <row r="178" spans="1:48">
      <c r="A178" s="5">
        <v>18021797480</v>
      </c>
      <c r="B178" s="5"/>
      <c r="C178" s="5"/>
      <c r="D178" s="5" t="s">
        <v>40</v>
      </c>
      <c r="E178" s="5" t="s">
        <v>41</v>
      </c>
      <c r="F178" s="5"/>
      <c r="G178" s="5"/>
      <c r="H178" s="5"/>
      <c r="I178" s="5"/>
      <c r="J178" s="5"/>
      <c r="K178" s="5"/>
      <c r="L178" s="5"/>
      <c r="M178" s="5"/>
      <c r="N178" s="5"/>
      <c r="O178" s="5">
        <f t="shared" si="34"/>
        <v>2</v>
      </c>
      <c r="P178" s="5">
        <f t="shared" si="35"/>
        <v>1.5</v>
      </c>
      <c r="Q178" s="5"/>
      <c r="R178" s="5">
        <f t="shared" si="36"/>
        <v>0</v>
      </c>
      <c r="S178" s="5">
        <f t="shared" si="37"/>
        <v>0</v>
      </c>
      <c r="T178" s="5">
        <f t="shared" si="38"/>
        <v>1</v>
      </c>
      <c r="U178" s="5">
        <f t="shared" si="39"/>
        <v>1</v>
      </c>
      <c r="V178" s="5">
        <f t="shared" si="40"/>
        <v>0</v>
      </c>
      <c r="W178" s="5">
        <f t="shared" si="41"/>
        <v>0</v>
      </c>
      <c r="X178" s="5">
        <f t="shared" si="42"/>
        <v>0</v>
      </c>
      <c r="Y178" s="5">
        <f t="shared" si="43"/>
        <v>0</v>
      </c>
      <c r="Z178" s="5">
        <f t="shared" si="44"/>
        <v>0</v>
      </c>
      <c r="AA178" s="5">
        <f t="shared" si="45"/>
        <v>0</v>
      </c>
      <c r="AB178" s="5">
        <f t="shared" si="46"/>
        <v>0</v>
      </c>
      <c r="AC178" s="5">
        <f t="shared" si="47"/>
        <v>0</v>
      </c>
      <c r="AD178" s="5"/>
      <c r="AE178" s="5"/>
      <c r="AF178" s="5">
        <f t="shared" si="48"/>
        <v>2</v>
      </c>
      <c r="AG178" s="5">
        <f t="shared" si="49"/>
        <v>2</v>
      </c>
      <c r="AH178" s="5" t="str">
        <f t="shared" si="50"/>
        <v>Correct</v>
      </c>
      <c r="AI178" s="5"/>
      <c r="AJ178" s="120" t="str">
        <f>IFERROR(VLOOKUP(Table1[RespondentID],'All Data'!$A$3:$CO$999,87,FALSE),"unknown")</f>
        <v>Woman</v>
      </c>
      <c r="AK178" s="120">
        <f>IFERROR(VLOOKUP(Table1[RespondentID],'All Data'!$A$3:$CO$999,88,FALSE),"unknown")</f>
        <v>61</v>
      </c>
      <c r="AL178" s="120" t="str">
        <f>IFERROR(VLOOKUP(Table1[RespondentID],'All Data'!$A$3:$CO$999,89,FALSE),"unknown")</f>
        <v>Suffolk</v>
      </c>
      <c r="AM178" s="120" t="str">
        <f>IFERROR(VLOOKUP(Table1[RespondentID],'All Data'!$A$3:$CO$999,90,FALSE),"unknown")</f>
        <v>East Northport, 11731</v>
      </c>
      <c r="AN178" s="120" t="str">
        <f>IFERROR(VLOOKUP(Table1[RespondentID],'All Data'!$A$3:$CO$999,91,FALSE),"unknown")</f>
        <v>American Indian and Alaska Native</v>
      </c>
      <c r="AO178" s="120">
        <f>IFERROR(VLOOKUP(Table1[RespondentID],'All Data'!$A$3:$CO$999,92,FALSE),"unknown")</f>
        <v>0</v>
      </c>
      <c r="AP178" s="120" t="str">
        <f>IFERROR(VLOOKUP(Table1[RespondentID],'All Data'!$A$3:$CO$999,93,FALSE),"unknown")</f>
        <v>Korean</v>
      </c>
      <c r="AQ178" s="120" t="str">
        <f>IFERROR(VLOOKUP(Table1[RespondentID],'All Data'!$A$3:$CW$999,94,FALSE),"unknown")</f>
        <v>$0-$19,999</v>
      </c>
      <c r="AR178" s="120" t="str">
        <f>IFERROR(VLOOKUP(Table1[RespondentID],'All Data'!$A$3:$CW$999,95,FALSE),"unknown")</f>
        <v>College graduate</v>
      </c>
      <c r="AS178" s="120" t="str">
        <f>IFERROR(VLOOKUP(Table1[RespondentID],'All Data'!$A$3:$CW$999,96,FALSE),"unknown")</f>
        <v>Employed for wages</v>
      </c>
      <c r="AT178" s="120" t="str">
        <f>IFERROR(VLOOKUP(Table1[RespondentID],'All Data'!$A$3:$CW$999,97,FALSE),"unknown")</f>
        <v>Yes</v>
      </c>
      <c r="AU178" s="120">
        <f>IFERROR(VLOOKUP(Table1[RespondentID],'All Data'!$A$3:$CW$999,98,FALSE),"unknown")</f>
        <v>0</v>
      </c>
      <c r="AV178" s="120">
        <f>IFERROR(VLOOKUP(Table1[RespondentID],'All Data'!$A$3:$CW$999,99,FALSE),"unknown")</f>
        <v>0</v>
      </c>
    </row>
    <row r="179" spans="1:48">
      <c r="A179" s="5">
        <v>18021796836</v>
      </c>
      <c r="B179" s="5"/>
      <c r="C179" s="5"/>
      <c r="D179" s="5" t="s">
        <v>40</v>
      </c>
      <c r="E179" s="5" t="s">
        <v>41</v>
      </c>
      <c r="F179" s="5"/>
      <c r="G179" s="5"/>
      <c r="H179" s="5"/>
      <c r="I179" s="5"/>
      <c r="J179" s="5"/>
      <c r="K179" s="5"/>
      <c r="L179" s="5"/>
      <c r="M179" s="5"/>
      <c r="N179" s="5"/>
      <c r="O179" s="5">
        <f t="shared" si="34"/>
        <v>2</v>
      </c>
      <c r="P179" s="5">
        <f t="shared" si="35"/>
        <v>1.5</v>
      </c>
      <c r="Q179" s="5"/>
      <c r="R179" s="5">
        <f t="shared" si="36"/>
        <v>0</v>
      </c>
      <c r="S179" s="5">
        <f t="shared" si="37"/>
        <v>0</v>
      </c>
      <c r="T179" s="5">
        <f t="shared" si="38"/>
        <v>1</v>
      </c>
      <c r="U179" s="5">
        <f t="shared" si="39"/>
        <v>1</v>
      </c>
      <c r="V179" s="5">
        <f t="shared" si="40"/>
        <v>0</v>
      </c>
      <c r="W179" s="5">
        <f t="shared" si="41"/>
        <v>0</v>
      </c>
      <c r="X179" s="5">
        <f t="shared" si="42"/>
        <v>0</v>
      </c>
      <c r="Y179" s="5">
        <f t="shared" si="43"/>
        <v>0</v>
      </c>
      <c r="Z179" s="5">
        <f t="shared" si="44"/>
        <v>0</v>
      </c>
      <c r="AA179" s="5">
        <f t="shared" si="45"/>
        <v>0</v>
      </c>
      <c r="AB179" s="5">
        <f t="shared" si="46"/>
        <v>0</v>
      </c>
      <c r="AC179" s="5">
        <f t="shared" si="47"/>
        <v>0</v>
      </c>
      <c r="AD179" s="5"/>
      <c r="AE179" s="5"/>
      <c r="AF179" s="5">
        <f t="shared" si="48"/>
        <v>2</v>
      </c>
      <c r="AG179" s="5">
        <f t="shared" si="49"/>
        <v>2</v>
      </c>
      <c r="AH179" s="5" t="str">
        <f t="shared" si="50"/>
        <v>Correct</v>
      </c>
      <c r="AI179" s="5"/>
      <c r="AJ179" s="120" t="str">
        <f>IFERROR(VLOOKUP(Table1[RespondentID],'All Data'!$A$3:$CO$999,87,FALSE),"unknown")</f>
        <v>Man</v>
      </c>
      <c r="AK179" s="120">
        <f>IFERROR(VLOOKUP(Table1[RespondentID],'All Data'!$A$3:$CO$999,88,FALSE),"unknown")</f>
        <v>60</v>
      </c>
      <c r="AL179" s="120" t="str">
        <f>IFERROR(VLOOKUP(Table1[RespondentID],'All Data'!$A$3:$CO$999,89,FALSE),"unknown")</f>
        <v>Suffolk</v>
      </c>
      <c r="AM179" s="120" t="str">
        <f>IFERROR(VLOOKUP(Table1[RespondentID],'All Data'!$A$3:$CO$999,90,FALSE),"unknown")</f>
        <v>Commack, 11725</v>
      </c>
      <c r="AN179" s="120" t="str">
        <f>IFERROR(VLOOKUP(Table1[RespondentID],'All Data'!$A$3:$CO$999,91,FALSE),"unknown")</f>
        <v>American Indian and Alaska Native</v>
      </c>
      <c r="AO179" s="120">
        <f>IFERROR(VLOOKUP(Table1[RespondentID],'All Data'!$A$3:$CO$999,92,FALSE),"unknown")</f>
        <v>0</v>
      </c>
      <c r="AP179" s="120" t="str">
        <f>IFERROR(VLOOKUP(Table1[RespondentID],'All Data'!$A$3:$CO$999,93,FALSE),"unknown")</f>
        <v>Korean</v>
      </c>
      <c r="AQ179" s="120" t="str">
        <f>IFERROR(VLOOKUP(Table1[RespondentID],'All Data'!$A$3:$CW$999,94,FALSE),"unknown")</f>
        <v>$0-$19,999</v>
      </c>
      <c r="AR179" s="120" t="str">
        <f>IFERROR(VLOOKUP(Table1[RespondentID],'All Data'!$A$3:$CW$999,95,FALSE),"unknown")</f>
        <v>College graduate</v>
      </c>
      <c r="AS179" s="120" t="str">
        <f>IFERROR(VLOOKUP(Table1[RespondentID],'All Data'!$A$3:$CW$999,96,FALSE),"unknown")</f>
        <v>Employed for wages</v>
      </c>
      <c r="AT179" s="120" t="str">
        <f>IFERROR(VLOOKUP(Table1[RespondentID],'All Data'!$A$3:$CW$999,97,FALSE),"unknown")</f>
        <v>Yes</v>
      </c>
      <c r="AU179" s="120">
        <f>IFERROR(VLOOKUP(Table1[RespondentID],'All Data'!$A$3:$CW$999,98,FALSE),"unknown")</f>
        <v>0</v>
      </c>
      <c r="AV179" s="120">
        <f>IFERROR(VLOOKUP(Table1[RespondentID],'All Data'!$A$3:$CW$999,99,FALSE),"unknown")</f>
        <v>0</v>
      </c>
    </row>
    <row r="180" spans="1:48">
      <c r="A180" s="5">
        <v>18021796390</v>
      </c>
      <c r="B180" s="5"/>
      <c r="C180" s="5"/>
      <c r="D180" s="5"/>
      <c r="E180" s="5"/>
      <c r="F180" s="5"/>
      <c r="G180" s="5" t="s">
        <v>37</v>
      </c>
      <c r="H180" s="5"/>
      <c r="I180" s="5" t="s">
        <v>44</v>
      </c>
      <c r="J180" s="5"/>
      <c r="K180" s="5"/>
      <c r="L180" s="5" t="s">
        <v>47</v>
      </c>
      <c r="M180" s="5"/>
      <c r="N180" s="5"/>
      <c r="O180" s="5">
        <f t="shared" si="34"/>
        <v>3</v>
      </c>
      <c r="P180" s="5">
        <f t="shared" si="35"/>
        <v>1</v>
      </c>
      <c r="Q180" s="5"/>
      <c r="R180" s="5">
        <f t="shared" si="36"/>
        <v>0</v>
      </c>
      <c r="S180" s="5">
        <f t="shared" si="37"/>
        <v>0</v>
      </c>
      <c r="T180" s="5">
        <f t="shared" si="38"/>
        <v>0</v>
      </c>
      <c r="U180" s="5">
        <f t="shared" si="39"/>
        <v>0</v>
      </c>
      <c r="V180" s="5">
        <f t="shared" si="40"/>
        <v>0</v>
      </c>
      <c r="W180" s="5">
        <f t="shared" si="41"/>
        <v>1</v>
      </c>
      <c r="X180" s="5">
        <f t="shared" si="42"/>
        <v>0</v>
      </c>
      <c r="Y180" s="5">
        <f t="shared" si="43"/>
        <v>1</v>
      </c>
      <c r="Z180" s="5">
        <f t="shared" si="44"/>
        <v>0</v>
      </c>
      <c r="AA180" s="5">
        <f t="shared" si="45"/>
        <v>0</v>
      </c>
      <c r="AB180" s="5">
        <f t="shared" si="46"/>
        <v>1</v>
      </c>
      <c r="AC180" s="5">
        <f t="shared" si="47"/>
        <v>0</v>
      </c>
      <c r="AD180" s="5"/>
      <c r="AE180" s="5"/>
      <c r="AF180" s="5">
        <f t="shared" si="48"/>
        <v>3</v>
      </c>
      <c r="AG180" s="5">
        <f t="shared" si="49"/>
        <v>3</v>
      </c>
      <c r="AH180" s="5" t="str">
        <f t="shared" si="50"/>
        <v>Correct</v>
      </c>
      <c r="AI180" s="5"/>
      <c r="AJ180" s="120" t="str">
        <f>IFERROR(VLOOKUP(Table1[RespondentID],'All Data'!$A$3:$CO$999,87,FALSE),"unknown")</f>
        <v>Man</v>
      </c>
      <c r="AK180" s="120">
        <f>IFERROR(VLOOKUP(Table1[RespondentID],'All Data'!$A$3:$CO$999,88,FALSE),"unknown")</f>
        <v>26</v>
      </c>
      <c r="AL180" s="120" t="str">
        <f>IFERROR(VLOOKUP(Table1[RespondentID],'All Data'!$A$3:$CO$999,89,FALSE),"unknown")</f>
        <v>Suffolk</v>
      </c>
      <c r="AM180" s="120" t="str">
        <f>IFERROR(VLOOKUP(Table1[RespondentID],'All Data'!$A$3:$CO$999,90,FALSE),"unknown")</f>
        <v>Port Jefferson Station, 11776</v>
      </c>
      <c r="AN180" s="120" t="str">
        <f>IFERROR(VLOOKUP(Table1[RespondentID],'All Data'!$A$3:$CO$999,91,FALSE),"unknown")</f>
        <v>White</v>
      </c>
      <c r="AO180" s="120" t="str">
        <f>IFERROR(VLOOKUP(Table1[RespondentID],'All Data'!$A$3:$CO$999,92,FALSE),"unknown")</f>
        <v>Hispanic or Latino</v>
      </c>
      <c r="AP180" s="120" t="str">
        <f>IFERROR(VLOOKUP(Table1[RespondentID],'All Data'!$A$3:$CO$999,93,FALSE),"unknown")</f>
        <v>English</v>
      </c>
      <c r="AQ180" s="120" t="str">
        <f>IFERROR(VLOOKUP(Table1[RespondentID],'All Data'!$A$3:$CW$999,94,FALSE),"unknown")</f>
        <v>Over $125,000</v>
      </c>
      <c r="AR180" s="120" t="str">
        <f>IFERROR(VLOOKUP(Table1[RespondentID],'All Data'!$A$3:$CW$999,95,FALSE),"unknown")</f>
        <v>Some college</v>
      </c>
      <c r="AS180" s="120" t="str">
        <f>IFERROR(VLOOKUP(Table1[RespondentID],'All Data'!$A$3:$CW$999,96,FALSE),"unknown")</f>
        <v>Out of work and looking for work</v>
      </c>
      <c r="AT180" s="120" t="str">
        <f>IFERROR(VLOOKUP(Table1[RespondentID],'All Data'!$A$3:$CW$999,97,FALSE),"unknown")</f>
        <v>Yes</v>
      </c>
      <c r="AU180" s="120">
        <f>IFERROR(VLOOKUP(Table1[RespondentID],'All Data'!$A$3:$CW$999,98,FALSE),"unknown")</f>
        <v>0</v>
      </c>
      <c r="AV180" s="120">
        <f>IFERROR(VLOOKUP(Table1[RespondentID],'All Data'!$A$3:$CW$999,99,FALSE),"unknown")</f>
        <v>0</v>
      </c>
    </row>
    <row r="181" spans="1:48">
      <c r="A181" s="5">
        <v>18021796214</v>
      </c>
      <c r="B181" s="5"/>
      <c r="C181" s="5"/>
      <c r="D181" s="5"/>
      <c r="E181" s="5"/>
      <c r="F181" s="5"/>
      <c r="G181" s="5"/>
      <c r="H181" s="5"/>
      <c r="I181" s="5"/>
      <c r="J181" s="5" t="s">
        <v>45</v>
      </c>
      <c r="K181" s="5" t="s">
        <v>46</v>
      </c>
      <c r="L181" s="5" t="s">
        <v>47</v>
      </c>
      <c r="M181" s="5"/>
      <c r="N181" s="5"/>
      <c r="O181" s="5">
        <f t="shared" si="34"/>
        <v>3</v>
      </c>
      <c r="P181" s="5">
        <f t="shared" si="35"/>
        <v>1</v>
      </c>
      <c r="Q181" s="5"/>
      <c r="R181" s="5">
        <f t="shared" si="36"/>
        <v>0</v>
      </c>
      <c r="S181" s="5">
        <f t="shared" si="37"/>
        <v>0</v>
      </c>
      <c r="T181" s="5">
        <f t="shared" si="38"/>
        <v>0</v>
      </c>
      <c r="U181" s="5">
        <f t="shared" si="39"/>
        <v>0</v>
      </c>
      <c r="V181" s="5">
        <f t="shared" si="40"/>
        <v>0</v>
      </c>
      <c r="W181" s="5">
        <f t="shared" si="41"/>
        <v>0</v>
      </c>
      <c r="X181" s="5">
        <f t="shared" si="42"/>
        <v>0</v>
      </c>
      <c r="Y181" s="5">
        <f t="shared" si="43"/>
        <v>0</v>
      </c>
      <c r="Z181" s="5">
        <f t="shared" si="44"/>
        <v>1</v>
      </c>
      <c r="AA181" s="5">
        <f t="shared" si="45"/>
        <v>1</v>
      </c>
      <c r="AB181" s="5">
        <f t="shared" si="46"/>
        <v>1</v>
      </c>
      <c r="AC181" s="5">
        <f t="shared" si="47"/>
        <v>0</v>
      </c>
      <c r="AD181" s="5"/>
      <c r="AE181" s="5"/>
      <c r="AF181" s="5">
        <f t="shared" si="48"/>
        <v>3</v>
      </c>
      <c r="AG181" s="5">
        <f t="shared" si="49"/>
        <v>3</v>
      </c>
      <c r="AH181" s="5" t="str">
        <f t="shared" si="50"/>
        <v>Correct</v>
      </c>
      <c r="AI181" s="5"/>
      <c r="AJ181" s="120" t="str">
        <f>IFERROR(VLOOKUP(Table1[RespondentID],'All Data'!$A$3:$CO$999,87,FALSE),"unknown")</f>
        <v>Woman</v>
      </c>
      <c r="AK181" s="120">
        <f>IFERROR(VLOOKUP(Table1[RespondentID],'All Data'!$A$3:$CO$999,88,FALSE),"unknown")</f>
        <v>46</v>
      </c>
      <c r="AL181" s="120" t="str">
        <f>IFERROR(VLOOKUP(Table1[RespondentID],'All Data'!$A$3:$CO$999,89,FALSE),"unknown")</f>
        <v>Nassau</v>
      </c>
      <c r="AM181" s="120" t="str">
        <f>IFERROR(VLOOKUP(Table1[RespondentID],'All Data'!$A$3:$CO$999,90,FALSE),"unknown")</f>
        <v>Long Beach, 11561</v>
      </c>
      <c r="AN181" s="120" t="str">
        <f>IFERROR(VLOOKUP(Table1[RespondentID],'All Data'!$A$3:$CO$999,91,FALSE),"unknown")</f>
        <v>White</v>
      </c>
      <c r="AO181" s="120" t="str">
        <f>IFERROR(VLOOKUP(Table1[RespondentID],'All Data'!$A$3:$CO$999,92,FALSE),"unknown")</f>
        <v>Hispanic or Latino</v>
      </c>
      <c r="AP181" s="120" t="str">
        <f>IFERROR(VLOOKUP(Table1[RespondentID],'All Data'!$A$3:$CO$999,93,FALSE),"unknown")</f>
        <v>English</v>
      </c>
      <c r="AQ181" s="120" t="str">
        <f>IFERROR(VLOOKUP(Table1[RespondentID],'All Data'!$A$3:$CW$999,94,FALSE),"unknown")</f>
        <v>Over $125,000</v>
      </c>
      <c r="AR181" s="120" t="str">
        <f>IFERROR(VLOOKUP(Table1[RespondentID],'All Data'!$A$3:$CW$999,95,FALSE),"unknown")</f>
        <v>Graduate school</v>
      </c>
      <c r="AS181" s="120" t="str">
        <f>IFERROR(VLOOKUP(Table1[RespondentID],'All Data'!$A$3:$CW$999,96,FALSE),"unknown")</f>
        <v>Employed for wages</v>
      </c>
      <c r="AT181" s="120" t="str">
        <f>IFERROR(VLOOKUP(Table1[RespondentID],'All Data'!$A$3:$CW$999,97,FALSE),"unknown")</f>
        <v>Yes</v>
      </c>
      <c r="AU181" s="120">
        <f>IFERROR(VLOOKUP(Table1[RespondentID],'All Data'!$A$3:$CW$999,98,FALSE),"unknown")</f>
        <v>0</v>
      </c>
      <c r="AV181" s="120">
        <f>IFERROR(VLOOKUP(Table1[RespondentID],'All Data'!$A$3:$CW$999,99,FALSE),"unknown")</f>
        <v>0</v>
      </c>
    </row>
    <row r="182" spans="1:48">
      <c r="A182" s="5">
        <v>18021795979</v>
      </c>
      <c r="B182" s="5" t="s">
        <v>38</v>
      </c>
      <c r="C182" s="5"/>
      <c r="D182" s="5" t="s">
        <v>40</v>
      </c>
      <c r="E182" s="5"/>
      <c r="F182" s="5"/>
      <c r="G182" s="5"/>
      <c r="H182" s="5"/>
      <c r="I182" s="5"/>
      <c r="J182" s="5"/>
      <c r="K182" s="5"/>
      <c r="L182" s="5"/>
      <c r="M182" s="5" t="s">
        <v>48</v>
      </c>
      <c r="N182" s="5"/>
      <c r="O182" s="5">
        <f t="shared" si="34"/>
        <v>3</v>
      </c>
      <c r="P182" s="5">
        <f t="shared" si="35"/>
        <v>1</v>
      </c>
      <c r="Q182" s="5"/>
      <c r="R182" s="5">
        <f t="shared" si="36"/>
        <v>1</v>
      </c>
      <c r="S182" s="5">
        <f t="shared" si="37"/>
        <v>0</v>
      </c>
      <c r="T182" s="5">
        <f t="shared" si="38"/>
        <v>1</v>
      </c>
      <c r="U182" s="5">
        <f t="shared" si="39"/>
        <v>0</v>
      </c>
      <c r="V182" s="5">
        <f t="shared" si="40"/>
        <v>0</v>
      </c>
      <c r="W182" s="5">
        <f t="shared" si="41"/>
        <v>0</v>
      </c>
      <c r="X182" s="5">
        <f t="shared" si="42"/>
        <v>0</v>
      </c>
      <c r="Y182" s="5">
        <f t="shared" si="43"/>
        <v>0</v>
      </c>
      <c r="Z182" s="5">
        <f t="shared" si="44"/>
        <v>0</v>
      </c>
      <c r="AA182" s="5">
        <f t="shared" si="45"/>
        <v>0</v>
      </c>
      <c r="AB182" s="5">
        <f t="shared" si="46"/>
        <v>0</v>
      </c>
      <c r="AC182" s="5">
        <f t="shared" si="47"/>
        <v>1</v>
      </c>
      <c r="AD182" s="5"/>
      <c r="AE182" s="5"/>
      <c r="AF182" s="5">
        <f t="shared" si="48"/>
        <v>3</v>
      </c>
      <c r="AG182" s="5">
        <f t="shared" si="49"/>
        <v>3</v>
      </c>
      <c r="AH182" s="5" t="str">
        <f t="shared" si="50"/>
        <v>Correct</v>
      </c>
      <c r="AI182" s="5"/>
      <c r="AJ182" s="120" t="str">
        <f>IFERROR(VLOOKUP(Table1[RespondentID],'All Data'!$A$3:$CO$999,87,FALSE),"unknown")</f>
        <v>Man</v>
      </c>
      <c r="AK182" s="120">
        <f>IFERROR(VLOOKUP(Table1[RespondentID],'All Data'!$A$3:$CO$999,88,FALSE),"unknown")</f>
        <v>34</v>
      </c>
      <c r="AL182" s="120" t="str">
        <f>IFERROR(VLOOKUP(Table1[RespondentID],'All Data'!$A$3:$CO$999,89,FALSE),"unknown")</f>
        <v>Suffolk</v>
      </c>
      <c r="AM182" s="120" t="str">
        <f>IFERROR(VLOOKUP(Table1[RespondentID],'All Data'!$A$3:$CO$999,90,FALSE),"unknown")</f>
        <v>Stony Brook, 11790</v>
      </c>
      <c r="AN182" s="120" t="str">
        <f>IFERROR(VLOOKUP(Table1[RespondentID],'All Data'!$A$3:$CO$999,91,FALSE),"unknown")</f>
        <v>White</v>
      </c>
      <c r="AO182" s="120" t="str">
        <f>IFERROR(VLOOKUP(Table1[RespondentID],'All Data'!$A$3:$CO$999,92,FALSE),"unknown")</f>
        <v>Hispanic or Latino</v>
      </c>
      <c r="AP182" s="120" t="str">
        <f>IFERROR(VLOOKUP(Table1[RespondentID],'All Data'!$A$3:$CO$999,93,FALSE),"unknown")</f>
        <v>English</v>
      </c>
      <c r="AQ182" s="120" t="str">
        <f>IFERROR(VLOOKUP(Table1[RespondentID],'All Data'!$A$3:$CW$999,94,FALSE),"unknown")</f>
        <v>$35,000 to $49,999</v>
      </c>
      <c r="AR182" s="120" t="str">
        <f>IFERROR(VLOOKUP(Table1[RespondentID],'All Data'!$A$3:$CW$999,95,FALSE),"unknown")</f>
        <v>Some college</v>
      </c>
      <c r="AS182" s="120" t="str">
        <f>IFERROR(VLOOKUP(Table1[RespondentID],'All Data'!$A$3:$CW$999,96,FALSE),"unknown")</f>
        <v>Employed for wages</v>
      </c>
      <c r="AT182" s="120" t="str">
        <f>IFERROR(VLOOKUP(Table1[RespondentID],'All Data'!$A$3:$CW$999,97,FALSE),"unknown")</f>
        <v>Yes</v>
      </c>
      <c r="AU182" s="120">
        <f>IFERROR(VLOOKUP(Table1[RespondentID],'All Data'!$A$3:$CW$999,98,FALSE),"unknown")</f>
        <v>0</v>
      </c>
      <c r="AV182" s="120">
        <f>IFERROR(VLOOKUP(Table1[RespondentID],'All Data'!$A$3:$CW$999,99,FALSE),"unknown")</f>
        <v>0</v>
      </c>
    </row>
    <row r="183" spans="1:48">
      <c r="A183" s="5">
        <v>18021795763</v>
      </c>
      <c r="B183" s="5"/>
      <c r="C183" s="5" t="s">
        <v>39</v>
      </c>
      <c r="D183" s="5" t="s">
        <v>40</v>
      </c>
      <c r="E183" s="5"/>
      <c r="F183" s="5"/>
      <c r="G183" s="5"/>
      <c r="H183" s="5" t="s">
        <v>43</v>
      </c>
      <c r="I183" s="5"/>
      <c r="J183" s="5"/>
      <c r="K183" s="5"/>
      <c r="L183" s="5"/>
      <c r="M183" s="5"/>
      <c r="N183" s="5"/>
      <c r="O183" s="5">
        <f t="shared" si="34"/>
        <v>3</v>
      </c>
      <c r="P183" s="5">
        <f t="shared" si="35"/>
        <v>1</v>
      </c>
      <c r="Q183" s="5"/>
      <c r="R183" s="5">
        <f t="shared" si="36"/>
        <v>0</v>
      </c>
      <c r="S183" s="5">
        <f t="shared" si="37"/>
        <v>1</v>
      </c>
      <c r="T183" s="5">
        <f t="shared" si="38"/>
        <v>1</v>
      </c>
      <c r="U183" s="5">
        <f t="shared" si="39"/>
        <v>0</v>
      </c>
      <c r="V183" s="5">
        <f t="shared" si="40"/>
        <v>0</v>
      </c>
      <c r="W183" s="5">
        <f t="shared" si="41"/>
        <v>0</v>
      </c>
      <c r="X183" s="5">
        <f t="shared" si="42"/>
        <v>1</v>
      </c>
      <c r="Y183" s="5">
        <f t="shared" si="43"/>
        <v>0</v>
      </c>
      <c r="Z183" s="5">
        <f t="shared" si="44"/>
        <v>0</v>
      </c>
      <c r="AA183" s="5">
        <f t="shared" si="45"/>
        <v>0</v>
      </c>
      <c r="AB183" s="5">
        <f t="shared" si="46"/>
        <v>0</v>
      </c>
      <c r="AC183" s="5">
        <f t="shared" si="47"/>
        <v>0</v>
      </c>
      <c r="AD183" s="5"/>
      <c r="AE183" s="5"/>
      <c r="AF183" s="5">
        <f t="shared" si="48"/>
        <v>3</v>
      </c>
      <c r="AG183" s="5">
        <f t="shared" si="49"/>
        <v>3</v>
      </c>
      <c r="AH183" s="5" t="str">
        <f t="shared" si="50"/>
        <v>Correct</v>
      </c>
      <c r="AI183" s="5"/>
      <c r="AJ183" s="120" t="str">
        <f>IFERROR(VLOOKUP(Table1[RespondentID],'All Data'!$A$3:$CO$999,87,FALSE),"unknown")</f>
        <v>Man</v>
      </c>
      <c r="AK183" s="120">
        <f>IFERROR(VLOOKUP(Table1[RespondentID],'All Data'!$A$3:$CO$999,88,FALSE),"unknown")</f>
        <v>18</v>
      </c>
      <c r="AL183" s="120" t="str">
        <f>IFERROR(VLOOKUP(Table1[RespondentID],'All Data'!$A$3:$CO$999,89,FALSE),"unknown")</f>
        <v>Suffolk</v>
      </c>
      <c r="AM183" s="120" t="str">
        <f>IFERROR(VLOOKUP(Table1[RespondentID],'All Data'!$A$3:$CO$999,90,FALSE),"unknown")</f>
        <v>Commack, 11725</v>
      </c>
      <c r="AN183" s="120" t="str">
        <f>IFERROR(VLOOKUP(Table1[RespondentID],'All Data'!$A$3:$CO$999,91,FALSE),"unknown")</f>
        <v>White</v>
      </c>
      <c r="AO183" s="120" t="str">
        <f>IFERROR(VLOOKUP(Table1[RespondentID],'All Data'!$A$3:$CO$999,92,FALSE),"unknown")</f>
        <v>Hispanic or Latino</v>
      </c>
      <c r="AP183" s="120" t="str">
        <f>IFERROR(VLOOKUP(Table1[RespondentID],'All Data'!$A$3:$CO$999,93,FALSE),"unknown")</f>
        <v>English</v>
      </c>
      <c r="AQ183" s="120" t="str">
        <f>IFERROR(VLOOKUP(Table1[RespondentID],'All Data'!$A$3:$CW$999,94,FALSE),"unknown")</f>
        <v>$50,000 to $74,999</v>
      </c>
      <c r="AR183" s="120" t="str">
        <f>IFERROR(VLOOKUP(Table1[RespondentID],'All Data'!$A$3:$CW$999,95,FALSE),"unknown")</f>
        <v>High school graduate</v>
      </c>
      <c r="AS183" s="120" t="str">
        <f>IFERROR(VLOOKUP(Table1[RespondentID],'All Data'!$A$3:$CW$999,96,FALSE),"unknown")</f>
        <v>Student</v>
      </c>
      <c r="AT183" s="120" t="str">
        <f>IFERROR(VLOOKUP(Table1[RespondentID],'All Data'!$A$3:$CW$999,97,FALSE),"unknown")</f>
        <v>Yes</v>
      </c>
      <c r="AU183" s="120">
        <f>IFERROR(VLOOKUP(Table1[RespondentID],'All Data'!$A$3:$CW$999,98,FALSE),"unknown")</f>
        <v>0</v>
      </c>
      <c r="AV183" s="120">
        <f>IFERROR(VLOOKUP(Table1[RespondentID],'All Data'!$A$3:$CW$999,99,FALSE),"unknown")</f>
        <v>0</v>
      </c>
    </row>
    <row r="184" spans="1:48">
      <c r="A184" s="5">
        <v>18021795588</v>
      </c>
      <c r="B184" s="5" t="s">
        <v>38</v>
      </c>
      <c r="C184" s="5"/>
      <c r="D184" s="5"/>
      <c r="E184" s="5"/>
      <c r="F184" s="5"/>
      <c r="G184" s="5"/>
      <c r="H184" s="5" t="s">
        <v>43</v>
      </c>
      <c r="I184" s="5" t="s">
        <v>44</v>
      </c>
      <c r="J184" s="5"/>
      <c r="K184" s="5"/>
      <c r="L184" s="5"/>
      <c r="M184" s="5"/>
      <c r="N184" s="5"/>
      <c r="O184" s="5">
        <f t="shared" si="34"/>
        <v>3</v>
      </c>
      <c r="P184" s="5">
        <f t="shared" si="35"/>
        <v>1</v>
      </c>
      <c r="Q184" s="5"/>
      <c r="R184" s="5">
        <f t="shared" si="36"/>
        <v>1</v>
      </c>
      <c r="S184" s="5">
        <f t="shared" si="37"/>
        <v>0</v>
      </c>
      <c r="T184" s="5">
        <f t="shared" si="38"/>
        <v>0</v>
      </c>
      <c r="U184" s="5">
        <f t="shared" si="39"/>
        <v>0</v>
      </c>
      <c r="V184" s="5">
        <f t="shared" si="40"/>
        <v>0</v>
      </c>
      <c r="W184" s="5">
        <f t="shared" si="41"/>
        <v>0</v>
      </c>
      <c r="X184" s="5">
        <f t="shared" si="42"/>
        <v>1</v>
      </c>
      <c r="Y184" s="5">
        <f t="shared" si="43"/>
        <v>1</v>
      </c>
      <c r="Z184" s="5">
        <f t="shared" si="44"/>
        <v>0</v>
      </c>
      <c r="AA184" s="5">
        <f t="shared" si="45"/>
        <v>0</v>
      </c>
      <c r="AB184" s="5">
        <f t="shared" si="46"/>
        <v>0</v>
      </c>
      <c r="AC184" s="5">
        <f t="shared" si="47"/>
        <v>0</v>
      </c>
      <c r="AD184" s="5"/>
      <c r="AE184" s="5"/>
      <c r="AF184" s="5">
        <f t="shared" si="48"/>
        <v>3</v>
      </c>
      <c r="AG184" s="5">
        <f t="shared" si="49"/>
        <v>3</v>
      </c>
      <c r="AH184" s="5" t="str">
        <f t="shared" si="50"/>
        <v>Correct</v>
      </c>
      <c r="AI184" s="5"/>
      <c r="AJ184" s="120" t="str">
        <f>IFERROR(VLOOKUP(Table1[RespondentID],'All Data'!$A$3:$CO$999,87,FALSE),"unknown")</f>
        <v>Woman</v>
      </c>
      <c r="AK184" s="120">
        <f>IFERROR(VLOOKUP(Table1[RespondentID],'All Data'!$A$3:$CO$999,88,FALSE),"unknown")</f>
        <v>64</v>
      </c>
      <c r="AL184" s="120" t="str">
        <f>IFERROR(VLOOKUP(Table1[RespondentID],'All Data'!$A$3:$CO$999,89,FALSE),"unknown")</f>
        <v>Suffolk</v>
      </c>
      <c r="AM184" s="120" t="str">
        <f>IFERROR(VLOOKUP(Table1[RespondentID],'All Data'!$A$3:$CO$999,90,FALSE),"unknown")</f>
        <v>Northport, 11768</v>
      </c>
      <c r="AN184" s="120" t="str">
        <f>IFERROR(VLOOKUP(Table1[RespondentID],'All Data'!$A$3:$CO$999,91,FALSE),"unknown")</f>
        <v>White</v>
      </c>
      <c r="AO184" s="120" t="str">
        <f>IFERROR(VLOOKUP(Table1[RespondentID],'All Data'!$A$3:$CO$999,92,FALSE),"unknown")</f>
        <v>Hispanic or Latino</v>
      </c>
      <c r="AP184" s="120" t="str">
        <f>IFERROR(VLOOKUP(Table1[RespondentID],'All Data'!$A$3:$CO$999,93,FALSE),"unknown")</f>
        <v>English</v>
      </c>
      <c r="AQ184" s="120" t="str">
        <f>IFERROR(VLOOKUP(Table1[RespondentID],'All Data'!$A$3:$CW$999,94,FALSE),"unknown")</f>
        <v>Over $125,000</v>
      </c>
      <c r="AR184" s="120" t="str">
        <f>IFERROR(VLOOKUP(Table1[RespondentID],'All Data'!$A$3:$CW$999,95,FALSE),"unknown")</f>
        <v>Graduate school</v>
      </c>
      <c r="AS184" s="120" t="str">
        <f>IFERROR(VLOOKUP(Table1[RespondentID],'All Data'!$A$3:$CW$999,96,FALSE),"unknown")</f>
        <v>Employed for wages</v>
      </c>
      <c r="AT184" s="120" t="str">
        <f>IFERROR(VLOOKUP(Table1[RespondentID],'All Data'!$A$3:$CW$999,97,FALSE),"unknown")</f>
        <v>Yes</v>
      </c>
      <c r="AU184" s="120">
        <f>IFERROR(VLOOKUP(Table1[RespondentID],'All Data'!$A$3:$CW$999,98,FALSE),"unknown")</f>
        <v>0</v>
      </c>
      <c r="AV184" s="120">
        <f>IFERROR(VLOOKUP(Table1[RespondentID],'All Data'!$A$3:$CW$999,99,FALSE),"unknown")</f>
        <v>0</v>
      </c>
    </row>
    <row r="185" spans="1:48">
      <c r="A185" s="5">
        <v>18021795380</v>
      </c>
      <c r="B185" s="5" t="s">
        <v>38</v>
      </c>
      <c r="C185" s="5"/>
      <c r="D185" s="5"/>
      <c r="E185" s="5"/>
      <c r="F185" s="5"/>
      <c r="G185" s="5"/>
      <c r="H185" s="5" t="s">
        <v>43</v>
      </c>
      <c r="I185" s="5"/>
      <c r="J185" s="5"/>
      <c r="K185" s="5" t="s">
        <v>46</v>
      </c>
      <c r="L185" s="5"/>
      <c r="M185" s="5"/>
      <c r="N185" s="5"/>
      <c r="O185" s="5">
        <f t="shared" si="34"/>
        <v>3</v>
      </c>
      <c r="P185" s="5">
        <f t="shared" si="35"/>
        <v>1</v>
      </c>
      <c r="Q185" s="5"/>
      <c r="R185" s="5">
        <f t="shared" si="36"/>
        <v>1</v>
      </c>
      <c r="S185" s="5">
        <f t="shared" si="37"/>
        <v>0</v>
      </c>
      <c r="T185" s="5">
        <f t="shared" si="38"/>
        <v>0</v>
      </c>
      <c r="U185" s="5">
        <f t="shared" si="39"/>
        <v>0</v>
      </c>
      <c r="V185" s="5">
        <f t="shared" si="40"/>
        <v>0</v>
      </c>
      <c r="W185" s="5">
        <f t="shared" si="41"/>
        <v>0</v>
      </c>
      <c r="X185" s="5">
        <f t="shared" si="42"/>
        <v>1</v>
      </c>
      <c r="Y185" s="5">
        <f t="shared" si="43"/>
        <v>0</v>
      </c>
      <c r="Z185" s="5">
        <f t="shared" si="44"/>
        <v>0</v>
      </c>
      <c r="AA185" s="5">
        <f t="shared" si="45"/>
        <v>1</v>
      </c>
      <c r="AB185" s="5">
        <f t="shared" si="46"/>
        <v>0</v>
      </c>
      <c r="AC185" s="5">
        <f t="shared" si="47"/>
        <v>0</v>
      </c>
      <c r="AD185" s="5"/>
      <c r="AE185" s="5"/>
      <c r="AF185" s="5">
        <f t="shared" si="48"/>
        <v>3</v>
      </c>
      <c r="AG185" s="5">
        <f t="shared" si="49"/>
        <v>3</v>
      </c>
      <c r="AH185" s="5" t="str">
        <f t="shared" si="50"/>
        <v>Correct</v>
      </c>
      <c r="AI185" s="5"/>
      <c r="AJ185" s="120" t="str">
        <f>IFERROR(VLOOKUP(Table1[RespondentID],'All Data'!$A$3:$CO$999,87,FALSE),"unknown")</f>
        <v>Woman</v>
      </c>
      <c r="AK185" s="120">
        <f>IFERROR(VLOOKUP(Table1[RespondentID],'All Data'!$A$3:$CO$999,88,FALSE),"unknown")</f>
        <v>50</v>
      </c>
      <c r="AL185" s="120" t="str">
        <f>IFERROR(VLOOKUP(Table1[RespondentID],'All Data'!$A$3:$CO$999,89,FALSE),"unknown")</f>
        <v>Suffolk</v>
      </c>
      <c r="AM185" s="120" t="str">
        <f>IFERROR(VLOOKUP(Table1[RespondentID],'All Data'!$A$3:$CO$999,90,FALSE),"unknown")</f>
        <v>Dix Hills, 11746</v>
      </c>
      <c r="AN185" s="120" t="str">
        <f>IFERROR(VLOOKUP(Table1[RespondentID],'All Data'!$A$3:$CO$999,91,FALSE),"unknown")</f>
        <v>American Indian and Alaska Native</v>
      </c>
      <c r="AO185" s="120" t="str">
        <f>IFERROR(VLOOKUP(Table1[RespondentID],'All Data'!$A$3:$CO$999,92,FALSE),"unknown")</f>
        <v>Hispanic or Latino</v>
      </c>
      <c r="AP185" s="120" t="str">
        <f>IFERROR(VLOOKUP(Table1[RespondentID],'All Data'!$A$3:$CO$999,93,FALSE),"unknown")</f>
        <v>English</v>
      </c>
      <c r="AQ185" s="120" t="str">
        <f>IFERROR(VLOOKUP(Table1[RespondentID],'All Data'!$A$3:$CW$999,94,FALSE),"unknown")</f>
        <v>$50,000 to $74,999</v>
      </c>
      <c r="AR185" s="120" t="str">
        <f>IFERROR(VLOOKUP(Table1[RespondentID],'All Data'!$A$3:$CW$999,95,FALSE),"unknown")</f>
        <v>Some college</v>
      </c>
      <c r="AS185" s="120" t="str">
        <f>IFERROR(VLOOKUP(Table1[RespondentID],'All Data'!$A$3:$CW$999,96,FALSE),"unknown")</f>
        <v>Employed for wages</v>
      </c>
      <c r="AT185" s="120" t="str">
        <f>IFERROR(VLOOKUP(Table1[RespondentID],'All Data'!$A$3:$CW$999,97,FALSE),"unknown")</f>
        <v>Yes</v>
      </c>
      <c r="AU185" s="120">
        <f>IFERROR(VLOOKUP(Table1[RespondentID],'All Data'!$A$3:$CW$999,98,FALSE),"unknown")</f>
        <v>0</v>
      </c>
      <c r="AV185" s="120">
        <f>IFERROR(VLOOKUP(Table1[RespondentID],'All Data'!$A$3:$CW$999,99,FALSE),"unknown")</f>
        <v>0</v>
      </c>
    </row>
    <row r="186" spans="1:48">
      <c r="A186" s="5">
        <v>18021795224</v>
      </c>
      <c r="B186" s="5" t="s">
        <v>38</v>
      </c>
      <c r="C186" s="5"/>
      <c r="D186" s="5"/>
      <c r="E186" s="5" t="s">
        <v>41</v>
      </c>
      <c r="F186" s="5"/>
      <c r="G186" s="5"/>
      <c r="H186" s="5" t="s">
        <v>43</v>
      </c>
      <c r="I186" s="5"/>
      <c r="J186" s="5"/>
      <c r="K186" s="5"/>
      <c r="L186" s="5"/>
      <c r="M186" s="5"/>
      <c r="N186" s="5"/>
      <c r="O186" s="5">
        <f t="shared" si="34"/>
        <v>3</v>
      </c>
      <c r="P186" s="5">
        <f t="shared" si="35"/>
        <v>1</v>
      </c>
      <c r="Q186" s="5"/>
      <c r="R186" s="5">
        <f t="shared" si="36"/>
        <v>1</v>
      </c>
      <c r="S186" s="5">
        <f t="shared" si="37"/>
        <v>0</v>
      </c>
      <c r="T186" s="5">
        <f t="shared" si="38"/>
        <v>0</v>
      </c>
      <c r="U186" s="5">
        <f t="shared" si="39"/>
        <v>1</v>
      </c>
      <c r="V186" s="5">
        <f t="shared" si="40"/>
        <v>0</v>
      </c>
      <c r="W186" s="5">
        <f t="shared" si="41"/>
        <v>0</v>
      </c>
      <c r="X186" s="5">
        <f t="shared" si="42"/>
        <v>1</v>
      </c>
      <c r="Y186" s="5">
        <f t="shared" si="43"/>
        <v>0</v>
      </c>
      <c r="Z186" s="5">
        <f t="shared" si="44"/>
        <v>0</v>
      </c>
      <c r="AA186" s="5">
        <f t="shared" si="45"/>
        <v>0</v>
      </c>
      <c r="AB186" s="5">
        <f t="shared" si="46"/>
        <v>0</v>
      </c>
      <c r="AC186" s="5">
        <f t="shared" si="47"/>
        <v>0</v>
      </c>
      <c r="AD186" s="5"/>
      <c r="AE186" s="5"/>
      <c r="AF186" s="5">
        <f t="shared" si="48"/>
        <v>3</v>
      </c>
      <c r="AG186" s="5">
        <f t="shared" si="49"/>
        <v>3</v>
      </c>
      <c r="AH186" s="5" t="str">
        <f t="shared" si="50"/>
        <v>Correct</v>
      </c>
      <c r="AI186" s="5"/>
      <c r="AJ186" s="120" t="str">
        <f>IFERROR(VLOOKUP(Table1[RespondentID],'All Data'!$A$3:$CO$999,87,FALSE),"unknown")</f>
        <v>Man</v>
      </c>
      <c r="AK186" s="120">
        <f>IFERROR(VLOOKUP(Table1[RespondentID],'All Data'!$A$3:$CO$999,88,FALSE),"unknown")</f>
        <v>86</v>
      </c>
      <c r="AL186" s="120" t="str">
        <f>IFERROR(VLOOKUP(Table1[RespondentID],'All Data'!$A$3:$CO$999,89,FALSE),"unknown")</f>
        <v>Suffolk</v>
      </c>
      <c r="AM186" s="120" t="str">
        <f>IFERROR(VLOOKUP(Table1[RespondentID],'All Data'!$A$3:$CO$999,90,FALSE),"unknown")</f>
        <v>Dix Hills, 11746</v>
      </c>
      <c r="AN186" s="120" t="str">
        <f>IFERROR(VLOOKUP(Table1[RespondentID],'All Data'!$A$3:$CO$999,91,FALSE),"unknown")</f>
        <v>American Indian and Alaska Native</v>
      </c>
      <c r="AO186" s="120" t="str">
        <f>IFERROR(VLOOKUP(Table1[RespondentID],'All Data'!$A$3:$CO$999,92,FALSE),"unknown")</f>
        <v>Hispanic or Latino</v>
      </c>
      <c r="AP186" s="120" t="str">
        <f>IFERROR(VLOOKUP(Table1[RespondentID],'All Data'!$A$3:$CO$999,93,FALSE),"unknown")</f>
        <v>English</v>
      </c>
      <c r="AQ186" s="120" t="str">
        <f>IFERROR(VLOOKUP(Table1[RespondentID],'All Data'!$A$3:$CW$999,94,FALSE),"unknown")</f>
        <v>$50,000 to $74,999</v>
      </c>
      <c r="AR186" s="120" t="str">
        <f>IFERROR(VLOOKUP(Table1[RespondentID],'All Data'!$A$3:$CW$999,95,FALSE),"unknown")</f>
        <v>Some high school</v>
      </c>
      <c r="AS186" s="120" t="str">
        <f>IFERROR(VLOOKUP(Table1[RespondentID],'All Data'!$A$3:$CW$999,96,FALSE),"unknown")</f>
        <v>Retired</v>
      </c>
      <c r="AT186" s="120" t="str">
        <f>IFERROR(VLOOKUP(Table1[RespondentID],'All Data'!$A$3:$CW$999,97,FALSE),"unknown")</f>
        <v>Yes</v>
      </c>
      <c r="AU186" s="120">
        <f>IFERROR(VLOOKUP(Table1[RespondentID],'All Data'!$A$3:$CW$999,98,FALSE),"unknown")</f>
        <v>0</v>
      </c>
      <c r="AV186" s="120">
        <f>IFERROR(VLOOKUP(Table1[RespondentID],'All Data'!$A$3:$CW$999,99,FALSE),"unknown")</f>
        <v>0</v>
      </c>
    </row>
    <row r="187" spans="1:48">
      <c r="A187" s="5">
        <v>18021795037</v>
      </c>
      <c r="B187" s="5"/>
      <c r="C187" s="5" t="s">
        <v>39</v>
      </c>
      <c r="D187" s="5"/>
      <c r="E187" s="5"/>
      <c r="F187" s="5"/>
      <c r="G187" s="5"/>
      <c r="H187" s="5" t="s">
        <v>43</v>
      </c>
      <c r="I187" s="5" t="s">
        <v>44</v>
      </c>
      <c r="J187" s="5"/>
      <c r="K187" s="5"/>
      <c r="L187" s="5"/>
      <c r="M187" s="5"/>
      <c r="N187" s="5"/>
      <c r="O187" s="5">
        <f t="shared" si="34"/>
        <v>3</v>
      </c>
      <c r="P187" s="5">
        <f t="shared" si="35"/>
        <v>1</v>
      </c>
      <c r="Q187" s="5"/>
      <c r="R187" s="5">
        <f t="shared" si="36"/>
        <v>0</v>
      </c>
      <c r="S187" s="5">
        <f t="shared" si="37"/>
        <v>1</v>
      </c>
      <c r="T187" s="5">
        <f t="shared" si="38"/>
        <v>0</v>
      </c>
      <c r="U187" s="5">
        <f t="shared" si="39"/>
        <v>0</v>
      </c>
      <c r="V187" s="5">
        <f t="shared" si="40"/>
        <v>0</v>
      </c>
      <c r="W187" s="5">
        <f t="shared" si="41"/>
        <v>0</v>
      </c>
      <c r="X187" s="5">
        <f t="shared" si="42"/>
        <v>1</v>
      </c>
      <c r="Y187" s="5">
        <f t="shared" si="43"/>
        <v>1</v>
      </c>
      <c r="Z187" s="5">
        <f t="shared" si="44"/>
        <v>0</v>
      </c>
      <c r="AA187" s="5">
        <f t="shared" si="45"/>
        <v>0</v>
      </c>
      <c r="AB187" s="5">
        <f t="shared" si="46"/>
        <v>0</v>
      </c>
      <c r="AC187" s="5">
        <f t="shared" si="47"/>
        <v>0</v>
      </c>
      <c r="AD187" s="5"/>
      <c r="AE187" s="5"/>
      <c r="AF187" s="5">
        <f t="shared" si="48"/>
        <v>3</v>
      </c>
      <c r="AG187" s="5">
        <f t="shared" si="49"/>
        <v>3</v>
      </c>
      <c r="AH187" s="5" t="str">
        <f t="shared" si="50"/>
        <v>Correct</v>
      </c>
      <c r="AI187" s="5"/>
      <c r="AJ187" s="120" t="str">
        <f>IFERROR(VLOOKUP(Table1[RespondentID],'All Data'!$A$3:$CO$999,87,FALSE),"unknown")</f>
        <v>Man</v>
      </c>
      <c r="AK187" s="120">
        <f>IFERROR(VLOOKUP(Table1[RespondentID],'All Data'!$A$3:$CO$999,88,FALSE),"unknown")</f>
        <v>46</v>
      </c>
      <c r="AL187" s="120" t="str">
        <f>IFERROR(VLOOKUP(Table1[RespondentID],'All Data'!$A$3:$CO$999,89,FALSE),"unknown")</f>
        <v>Suffolk</v>
      </c>
      <c r="AM187" s="120" t="str">
        <f>IFERROR(VLOOKUP(Table1[RespondentID],'All Data'!$A$3:$CO$999,90,FALSE),"unknown")</f>
        <v>Dix Hills, 11746</v>
      </c>
      <c r="AN187" s="120" t="str">
        <f>IFERROR(VLOOKUP(Table1[RespondentID],'All Data'!$A$3:$CO$999,91,FALSE),"unknown")</f>
        <v>American Indian and Alaska Native</v>
      </c>
      <c r="AO187" s="120" t="str">
        <f>IFERROR(VLOOKUP(Table1[RespondentID],'All Data'!$A$3:$CO$999,92,FALSE),"unknown")</f>
        <v>Hispanic or Latino</v>
      </c>
      <c r="AP187" s="120" t="str">
        <f>IFERROR(VLOOKUP(Table1[RespondentID],'All Data'!$A$3:$CO$999,93,FALSE),"unknown")</f>
        <v>English</v>
      </c>
      <c r="AQ187" s="120" t="str">
        <f>IFERROR(VLOOKUP(Table1[RespondentID],'All Data'!$A$3:$CW$999,94,FALSE),"unknown")</f>
        <v>$50,000 to $74,999</v>
      </c>
      <c r="AR187" s="120" t="str">
        <f>IFERROR(VLOOKUP(Table1[RespondentID],'All Data'!$A$3:$CW$999,95,FALSE),"unknown")</f>
        <v>Some college</v>
      </c>
      <c r="AS187" s="120" t="str">
        <f>IFERROR(VLOOKUP(Table1[RespondentID],'All Data'!$A$3:$CW$999,96,FALSE),"unknown")</f>
        <v>Employed for wages</v>
      </c>
      <c r="AT187" s="120" t="str">
        <f>IFERROR(VLOOKUP(Table1[RespondentID],'All Data'!$A$3:$CW$999,97,FALSE),"unknown")</f>
        <v>Yes</v>
      </c>
      <c r="AU187" s="120">
        <f>IFERROR(VLOOKUP(Table1[RespondentID],'All Data'!$A$3:$CW$999,98,FALSE),"unknown")</f>
        <v>0</v>
      </c>
      <c r="AV187" s="120">
        <f>IFERROR(VLOOKUP(Table1[RespondentID],'All Data'!$A$3:$CW$999,99,FALSE),"unknown")</f>
        <v>0</v>
      </c>
    </row>
    <row r="188" spans="1:48">
      <c r="A188" s="5">
        <v>18021794841</v>
      </c>
      <c r="B188" s="5"/>
      <c r="C188" s="5"/>
      <c r="D188" s="5"/>
      <c r="E188" s="5"/>
      <c r="F188" s="5"/>
      <c r="G188" s="5"/>
      <c r="H188" s="5" t="s">
        <v>43</v>
      </c>
      <c r="I188" s="5"/>
      <c r="J188" s="5"/>
      <c r="K188" s="5"/>
      <c r="L188" s="5"/>
      <c r="M188" s="5"/>
      <c r="N188" s="5"/>
      <c r="O188" s="5">
        <f t="shared" si="34"/>
        <v>1</v>
      </c>
      <c r="P188" s="5">
        <f t="shared" si="35"/>
        <v>3</v>
      </c>
      <c r="Q188" s="5"/>
      <c r="R188" s="5">
        <f t="shared" si="36"/>
        <v>0</v>
      </c>
      <c r="S188" s="5">
        <f t="shared" si="37"/>
        <v>0</v>
      </c>
      <c r="T188" s="5">
        <f t="shared" si="38"/>
        <v>0</v>
      </c>
      <c r="U188" s="5">
        <f t="shared" si="39"/>
        <v>0</v>
      </c>
      <c r="V188" s="5">
        <f t="shared" si="40"/>
        <v>0</v>
      </c>
      <c r="W188" s="5">
        <f t="shared" si="41"/>
        <v>0</v>
      </c>
      <c r="X188" s="5">
        <f t="shared" si="42"/>
        <v>1</v>
      </c>
      <c r="Y188" s="5">
        <f t="shared" si="43"/>
        <v>0</v>
      </c>
      <c r="Z188" s="5">
        <f t="shared" si="44"/>
        <v>0</v>
      </c>
      <c r="AA188" s="5">
        <f t="shared" si="45"/>
        <v>0</v>
      </c>
      <c r="AB188" s="5">
        <f t="shared" si="46"/>
        <v>0</v>
      </c>
      <c r="AC188" s="5">
        <f t="shared" si="47"/>
        <v>0</v>
      </c>
      <c r="AD188" s="5"/>
      <c r="AE188" s="5"/>
      <c r="AF188" s="5">
        <f t="shared" si="48"/>
        <v>1</v>
      </c>
      <c r="AG188" s="5">
        <f t="shared" si="49"/>
        <v>1</v>
      </c>
      <c r="AH188" s="5" t="str">
        <f t="shared" si="50"/>
        <v>Correct</v>
      </c>
      <c r="AI188" s="5"/>
      <c r="AJ188" s="120" t="str">
        <f>IFERROR(VLOOKUP(Table1[RespondentID],'All Data'!$A$3:$CO$999,87,FALSE),"unknown")</f>
        <v>Woman</v>
      </c>
      <c r="AK188" s="120">
        <f>IFERROR(VLOOKUP(Table1[RespondentID],'All Data'!$A$3:$CO$999,88,FALSE),"unknown")</f>
        <v>18</v>
      </c>
      <c r="AL188" s="120" t="str">
        <f>IFERROR(VLOOKUP(Table1[RespondentID],'All Data'!$A$3:$CO$999,89,FALSE),"unknown")</f>
        <v>Suffolk</v>
      </c>
      <c r="AM188" s="120" t="str">
        <f>IFERROR(VLOOKUP(Table1[RespondentID],'All Data'!$A$3:$CO$999,90,FALSE),"unknown")</f>
        <v>East Northport, 11731</v>
      </c>
      <c r="AN188" s="120" t="str">
        <f>IFERROR(VLOOKUP(Table1[RespondentID],'All Data'!$A$3:$CO$999,91,FALSE),"unknown")</f>
        <v>White</v>
      </c>
      <c r="AO188" s="120" t="str">
        <f>IFERROR(VLOOKUP(Table1[RespondentID],'All Data'!$A$3:$CO$999,92,FALSE),"unknown")</f>
        <v>Hispanic or Latino</v>
      </c>
      <c r="AP188" s="120" t="str">
        <f>IFERROR(VLOOKUP(Table1[RespondentID],'All Data'!$A$3:$CO$999,93,FALSE),"unknown")</f>
        <v>English</v>
      </c>
      <c r="AQ188" s="120" t="str">
        <f>IFERROR(VLOOKUP(Table1[RespondentID],'All Data'!$A$3:$CW$999,94,FALSE),"unknown")</f>
        <v>Over $125,000</v>
      </c>
      <c r="AR188" s="120" t="str">
        <f>IFERROR(VLOOKUP(Table1[RespondentID],'All Data'!$A$3:$CW$999,95,FALSE),"unknown")</f>
        <v>High school graduate</v>
      </c>
      <c r="AS188" s="120" t="str">
        <f>IFERROR(VLOOKUP(Table1[RespondentID],'All Data'!$A$3:$CW$999,96,FALSE),"unknown")</f>
        <v>Student</v>
      </c>
      <c r="AT188" s="120" t="str">
        <f>IFERROR(VLOOKUP(Table1[RespondentID],'All Data'!$A$3:$CW$999,97,FALSE),"unknown")</f>
        <v>Yes</v>
      </c>
      <c r="AU188" s="120">
        <f>IFERROR(VLOOKUP(Table1[RespondentID],'All Data'!$A$3:$CW$999,98,FALSE),"unknown")</f>
        <v>0</v>
      </c>
      <c r="AV188" s="120">
        <f>IFERROR(VLOOKUP(Table1[RespondentID],'All Data'!$A$3:$CW$999,99,FALSE),"unknown")</f>
        <v>0</v>
      </c>
    </row>
    <row r="189" spans="1:48">
      <c r="A189" s="5">
        <v>18021794694</v>
      </c>
      <c r="B189" s="5"/>
      <c r="C189" s="5"/>
      <c r="D189" s="5"/>
      <c r="E189" s="5" t="s">
        <v>41</v>
      </c>
      <c r="F189" s="5"/>
      <c r="G189" s="5"/>
      <c r="H189" s="5"/>
      <c r="I189" s="5" t="s">
        <v>44</v>
      </c>
      <c r="J189" s="5" t="s">
        <v>45</v>
      </c>
      <c r="K189" s="5"/>
      <c r="L189" s="5"/>
      <c r="M189" s="5"/>
      <c r="N189" s="5"/>
      <c r="O189" s="5">
        <f t="shared" si="34"/>
        <v>3</v>
      </c>
      <c r="P189" s="5">
        <f t="shared" si="35"/>
        <v>1</v>
      </c>
      <c r="Q189" s="5"/>
      <c r="R189" s="5">
        <f t="shared" si="36"/>
        <v>0</v>
      </c>
      <c r="S189" s="5">
        <f t="shared" si="37"/>
        <v>0</v>
      </c>
      <c r="T189" s="5">
        <f t="shared" si="38"/>
        <v>0</v>
      </c>
      <c r="U189" s="5">
        <f t="shared" si="39"/>
        <v>1</v>
      </c>
      <c r="V189" s="5">
        <f t="shared" si="40"/>
        <v>0</v>
      </c>
      <c r="W189" s="5">
        <f t="shared" si="41"/>
        <v>0</v>
      </c>
      <c r="X189" s="5">
        <f t="shared" si="42"/>
        <v>0</v>
      </c>
      <c r="Y189" s="5">
        <f t="shared" si="43"/>
        <v>1</v>
      </c>
      <c r="Z189" s="5">
        <f t="shared" si="44"/>
        <v>1</v>
      </c>
      <c r="AA189" s="5">
        <f t="shared" si="45"/>
        <v>0</v>
      </c>
      <c r="AB189" s="5">
        <f t="shared" si="46"/>
        <v>0</v>
      </c>
      <c r="AC189" s="5">
        <f t="shared" si="47"/>
        <v>0</v>
      </c>
      <c r="AD189" s="5"/>
      <c r="AE189" s="5"/>
      <c r="AF189" s="5">
        <f t="shared" si="48"/>
        <v>3</v>
      </c>
      <c r="AG189" s="5">
        <f t="shared" si="49"/>
        <v>3</v>
      </c>
      <c r="AH189" s="5" t="str">
        <f t="shared" si="50"/>
        <v>Correct</v>
      </c>
      <c r="AI189" s="5"/>
      <c r="AJ189" s="120" t="str">
        <f>IFERROR(VLOOKUP(Table1[RespondentID],'All Data'!$A$3:$CO$999,87,FALSE),"unknown")</f>
        <v>Woman</v>
      </c>
      <c r="AK189" s="120">
        <f>IFERROR(VLOOKUP(Table1[RespondentID],'All Data'!$A$3:$CO$999,88,FALSE),"unknown")</f>
        <v>49</v>
      </c>
      <c r="AL189" s="120" t="str">
        <f>IFERROR(VLOOKUP(Table1[RespondentID],'All Data'!$A$3:$CO$999,89,FALSE),"unknown")</f>
        <v>Queens</v>
      </c>
      <c r="AM189" s="120">
        <f>IFERROR(VLOOKUP(Table1[RespondentID],'All Data'!$A$3:$CO$999,90,FALSE),"unknown")</f>
        <v>11372</v>
      </c>
      <c r="AN189" s="120">
        <f>IFERROR(VLOOKUP(Table1[RespondentID],'All Data'!$A$3:$CO$999,91,FALSE),"unknown")</f>
        <v>0</v>
      </c>
      <c r="AO189" s="120" t="str">
        <f>IFERROR(VLOOKUP(Table1[RespondentID],'All Data'!$A$3:$CO$999,92,FALSE),"unknown")</f>
        <v>Not Hispanic or Latino</v>
      </c>
      <c r="AP189" s="120" t="str">
        <f>IFERROR(VLOOKUP(Table1[RespondentID],'All Data'!$A$3:$CO$999,93,FALSE),"unknown")</f>
        <v>English, Spanish</v>
      </c>
      <c r="AQ189" s="120" t="str">
        <f>IFERROR(VLOOKUP(Table1[RespondentID],'All Data'!$A$3:$CW$999,94,FALSE),"unknown")</f>
        <v>$75,000 to $125,000</v>
      </c>
      <c r="AR189" s="120" t="str">
        <f>IFERROR(VLOOKUP(Table1[RespondentID],'All Data'!$A$3:$CW$999,95,FALSE),"unknown")</f>
        <v>College graduate</v>
      </c>
      <c r="AS189" s="120" t="str">
        <f>IFERROR(VLOOKUP(Table1[RespondentID],'All Data'!$A$3:$CW$999,96,FALSE),"unknown")</f>
        <v>Employed for wages</v>
      </c>
      <c r="AT189" s="120" t="str">
        <f>IFERROR(VLOOKUP(Table1[RespondentID],'All Data'!$A$3:$CW$999,97,FALSE),"unknown")</f>
        <v>Yes</v>
      </c>
      <c r="AU189" s="120">
        <f>IFERROR(VLOOKUP(Table1[RespondentID],'All Data'!$A$3:$CW$999,98,FALSE),"unknown")</f>
        <v>0</v>
      </c>
      <c r="AV189" s="120" t="str">
        <f>IFERROR(VLOOKUP(Table1[RespondentID],'All Data'!$A$3:$CW$999,99,FALSE),"unknown")</f>
        <v>Yes</v>
      </c>
    </row>
    <row r="190" spans="1:48">
      <c r="A190" s="5">
        <v>18021794399</v>
      </c>
      <c r="B190" s="5" t="s">
        <v>38</v>
      </c>
      <c r="C190" s="5" t="s">
        <v>39</v>
      </c>
      <c r="D190" s="5"/>
      <c r="E190" s="5"/>
      <c r="F190" s="5"/>
      <c r="G190" s="5"/>
      <c r="H190" s="5" t="s">
        <v>43</v>
      </c>
      <c r="I190" s="5"/>
      <c r="J190" s="5"/>
      <c r="K190" s="5"/>
      <c r="L190" s="5"/>
      <c r="M190" s="5"/>
      <c r="N190" s="5"/>
      <c r="O190" s="5">
        <f t="shared" si="34"/>
        <v>3</v>
      </c>
      <c r="P190" s="5">
        <f t="shared" si="35"/>
        <v>1</v>
      </c>
      <c r="Q190" s="5"/>
      <c r="R190" s="5">
        <f t="shared" si="36"/>
        <v>1</v>
      </c>
      <c r="S190" s="5">
        <f t="shared" si="37"/>
        <v>1</v>
      </c>
      <c r="T190" s="5">
        <f t="shared" si="38"/>
        <v>0</v>
      </c>
      <c r="U190" s="5">
        <f t="shared" si="39"/>
        <v>0</v>
      </c>
      <c r="V190" s="5">
        <f t="shared" si="40"/>
        <v>0</v>
      </c>
      <c r="W190" s="5">
        <f t="shared" si="41"/>
        <v>0</v>
      </c>
      <c r="X190" s="5">
        <f t="shared" si="42"/>
        <v>1</v>
      </c>
      <c r="Y190" s="5">
        <f t="shared" si="43"/>
        <v>0</v>
      </c>
      <c r="Z190" s="5">
        <f t="shared" si="44"/>
        <v>0</v>
      </c>
      <c r="AA190" s="5">
        <f t="shared" si="45"/>
        <v>0</v>
      </c>
      <c r="AB190" s="5">
        <f t="shared" si="46"/>
        <v>0</v>
      </c>
      <c r="AC190" s="5">
        <f t="shared" si="47"/>
        <v>0</v>
      </c>
      <c r="AD190" s="5"/>
      <c r="AE190" s="5"/>
      <c r="AF190" s="5">
        <f t="shared" si="48"/>
        <v>3</v>
      </c>
      <c r="AG190" s="5">
        <f t="shared" si="49"/>
        <v>3</v>
      </c>
      <c r="AH190" s="5" t="str">
        <f t="shared" si="50"/>
        <v>Correct</v>
      </c>
      <c r="AI190" s="5"/>
      <c r="AJ190" s="120" t="str">
        <f>IFERROR(VLOOKUP(Table1[RespondentID],'All Data'!$A$3:$CO$999,87,FALSE),"unknown")</f>
        <v>Man</v>
      </c>
      <c r="AK190" s="120">
        <f>IFERROR(VLOOKUP(Table1[RespondentID],'All Data'!$A$3:$CO$999,88,FALSE),"unknown")</f>
        <v>61</v>
      </c>
      <c r="AL190" s="120" t="str">
        <f>IFERROR(VLOOKUP(Table1[RespondentID],'All Data'!$A$3:$CO$999,89,FALSE),"unknown")</f>
        <v>Queens</v>
      </c>
      <c r="AM190" s="120">
        <f>IFERROR(VLOOKUP(Table1[RespondentID],'All Data'!$A$3:$CO$999,90,FALSE),"unknown")</f>
        <v>11372</v>
      </c>
      <c r="AN190" s="120" t="str">
        <f>IFERROR(VLOOKUP(Table1[RespondentID],'All Data'!$A$3:$CO$999,91,FALSE),"unknown")</f>
        <v>American Indian and Alaska Native</v>
      </c>
      <c r="AO190" s="120" t="str">
        <f>IFERROR(VLOOKUP(Table1[RespondentID],'All Data'!$A$3:$CO$999,92,FALSE),"unknown")</f>
        <v>Hispanic or Latino</v>
      </c>
      <c r="AP190" s="120" t="str">
        <f>IFERROR(VLOOKUP(Table1[RespondentID],'All Data'!$A$3:$CO$999,93,FALSE),"unknown")</f>
        <v>English, Spanish</v>
      </c>
      <c r="AQ190" s="120" t="str">
        <f>IFERROR(VLOOKUP(Table1[RespondentID],'All Data'!$A$3:$CW$999,94,FALSE),"unknown")</f>
        <v>$75,000 to $125,000</v>
      </c>
      <c r="AR190" s="120" t="str">
        <f>IFERROR(VLOOKUP(Table1[RespondentID],'All Data'!$A$3:$CW$999,95,FALSE),"unknown")</f>
        <v>Some college</v>
      </c>
      <c r="AS190" s="120" t="str">
        <f>IFERROR(VLOOKUP(Table1[RespondentID],'All Data'!$A$3:$CW$999,96,FALSE),"unknown")</f>
        <v>Employed for wages</v>
      </c>
      <c r="AT190" s="120" t="str">
        <f>IFERROR(VLOOKUP(Table1[RespondentID],'All Data'!$A$3:$CW$999,97,FALSE),"unknown")</f>
        <v>Yes</v>
      </c>
      <c r="AU190" s="120">
        <f>IFERROR(VLOOKUP(Table1[RespondentID],'All Data'!$A$3:$CW$999,98,FALSE),"unknown")</f>
        <v>0</v>
      </c>
      <c r="AV190" s="120" t="str">
        <f>IFERROR(VLOOKUP(Table1[RespondentID],'All Data'!$A$3:$CW$999,99,FALSE),"unknown")</f>
        <v>Yes</v>
      </c>
    </row>
    <row r="191" spans="1:48">
      <c r="A191" s="5">
        <v>18021794261</v>
      </c>
      <c r="B191" s="5"/>
      <c r="C191" s="5" t="s">
        <v>39</v>
      </c>
      <c r="D191" s="5"/>
      <c r="E191" s="5" t="s">
        <v>41</v>
      </c>
      <c r="F191" s="5"/>
      <c r="G191" s="5"/>
      <c r="H191" s="5"/>
      <c r="I191" s="5"/>
      <c r="J191" s="5"/>
      <c r="K191" s="5"/>
      <c r="L191" s="5"/>
      <c r="M191" s="5"/>
      <c r="N191" s="5"/>
      <c r="O191" s="5">
        <f t="shared" si="34"/>
        <v>2</v>
      </c>
      <c r="P191" s="5">
        <f t="shared" si="35"/>
        <v>1.5</v>
      </c>
      <c r="Q191" s="5"/>
      <c r="R191" s="5">
        <f t="shared" si="36"/>
        <v>0</v>
      </c>
      <c r="S191" s="5">
        <f t="shared" si="37"/>
        <v>1</v>
      </c>
      <c r="T191" s="5">
        <f t="shared" si="38"/>
        <v>0</v>
      </c>
      <c r="U191" s="5">
        <f t="shared" si="39"/>
        <v>1</v>
      </c>
      <c r="V191" s="5">
        <f t="shared" si="40"/>
        <v>0</v>
      </c>
      <c r="W191" s="5">
        <f t="shared" si="41"/>
        <v>0</v>
      </c>
      <c r="X191" s="5">
        <f t="shared" si="42"/>
        <v>0</v>
      </c>
      <c r="Y191" s="5">
        <f t="shared" si="43"/>
        <v>0</v>
      </c>
      <c r="Z191" s="5">
        <f t="shared" si="44"/>
        <v>0</v>
      </c>
      <c r="AA191" s="5">
        <f t="shared" si="45"/>
        <v>0</v>
      </c>
      <c r="AB191" s="5">
        <f t="shared" si="46"/>
        <v>0</v>
      </c>
      <c r="AC191" s="5">
        <f t="shared" si="47"/>
        <v>0</v>
      </c>
      <c r="AD191" s="5"/>
      <c r="AE191" s="5"/>
      <c r="AF191" s="5">
        <f t="shared" si="48"/>
        <v>2</v>
      </c>
      <c r="AG191" s="5">
        <f t="shared" si="49"/>
        <v>2</v>
      </c>
      <c r="AH191" s="5" t="str">
        <f t="shared" si="50"/>
        <v>Correct</v>
      </c>
      <c r="AI191" s="5"/>
      <c r="AJ191" s="120" t="str">
        <f>IFERROR(VLOOKUP(Table1[RespondentID],'All Data'!$A$3:$CO$999,87,FALSE),"unknown")</f>
        <v>Man</v>
      </c>
      <c r="AK191" s="120">
        <f>IFERROR(VLOOKUP(Table1[RespondentID],'All Data'!$A$3:$CO$999,88,FALSE),"unknown")</f>
        <v>44</v>
      </c>
      <c r="AL191" s="120" t="str">
        <f>IFERROR(VLOOKUP(Table1[RespondentID],'All Data'!$A$3:$CO$999,89,FALSE),"unknown")</f>
        <v>Suffolk</v>
      </c>
      <c r="AM191" s="120" t="str">
        <f>IFERROR(VLOOKUP(Table1[RespondentID],'All Data'!$A$3:$CO$999,90,FALSE),"unknown")</f>
        <v>Port Jefferson Station, 11776</v>
      </c>
      <c r="AN191" s="120" t="str">
        <f>IFERROR(VLOOKUP(Table1[RespondentID],'All Data'!$A$3:$CO$999,91,FALSE),"unknown")</f>
        <v>White</v>
      </c>
      <c r="AO191" s="120" t="str">
        <f>IFERROR(VLOOKUP(Table1[RespondentID],'All Data'!$A$3:$CO$999,92,FALSE),"unknown")</f>
        <v>Hispanic or Latino</v>
      </c>
      <c r="AP191" s="120" t="str">
        <f>IFERROR(VLOOKUP(Table1[RespondentID],'All Data'!$A$3:$CO$999,93,FALSE),"unknown")</f>
        <v>English</v>
      </c>
      <c r="AQ191" s="120" t="str">
        <f>IFERROR(VLOOKUP(Table1[RespondentID],'All Data'!$A$3:$CW$999,94,FALSE),"unknown")</f>
        <v>Over $125,000</v>
      </c>
      <c r="AR191" s="120" t="str">
        <f>IFERROR(VLOOKUP(Table1[RespondentID],'All Data'!$A$3:$CW$999,95,FALSE),"unknown")</f>
        <v>Graduate school</v>
      </c>
      <c r="AS191" s="120" t="str">
        <f>IFERROR(VLOOKUP(Table1[RespondentID],'All Data'!$A$3:$CW$999,96,FALSE),"unknown")</f>
        <v>Employed for wages</v>
      </c>
      <c r="AT191" s="120" t="str">
        <f>IFERROR(VLOOKUP(Table1[RespondentID],'All Data'!$A$3:$CW$999,97,FALSE),"unknown")</f>
        <v>Yes</v>
      </c>
      <c r="AU191" s="120">
        <f>IFERROR(VLOOKUP(Table1[RespondentID],'All Data'!$A$3:$CW$999,98,FALSE),"unknown")</f>
        <v>0</v>
      </c>
      <c r="AV191" s="120">
        <f>IFERROR(VLOOKUP(Table1[RespondentID],'All Data'!$A$3:$CW$999,99,FALSE),"unknown")</f>
        <v>0</v>
      </c>
    </row>
    <row r="192" spans="1:48">
      <c r="A192" s="5">
        <v>18021634437</v>
      </c>
      <c r="B192" s="5"/>
      <c r="C192" s="5"/>
      <c r="D192" s="5"/>
      <c r="E192" s="5"/>
      <c r="F192" s="5"/>
      <c r="G192" s="5"/>
      <c r="H192" s="5" t="s">
        <v>43</v>
      </c>
      <c r="I192" s="5"/>
      <c r="J192" s="5"/>
      <c r="K192" s="5"/>
      <c r="L192" s="5" t="s">
        <v>47</v>
      </c>
      <c r="M192" s="5"/>
      <c r="N192" s="5"/>
      <c r="O192" s="5">
        <f t="shared" si="34"/>
        <v>2</v>
      </c>
      <c r="P192" s="5">
        <f t="shared" si="35"/>
        <v>1.5</v>
      </c>
      <c r="Q192" s="5"/>
      <c r="R192" s="5">
        <f t="shared" si="36"/>
        <v>0</v>
      </c>
      <c r="S192" s="5">
        <f t="shared" si="37"/>
        <v>0</v>
      </c>
      <c r="T192" s="5">
        <f t="shared" si="38"/>
        <v>0</v>
      </c>
      <c r="U192" s="5">
        <f t="shared" si="39"/>
        <v>0</v>
      </c>
      <c r="V192" s="5">
        <f t="shared" si="40"/>
        <v>0</v>
      </c>
      <c r="W192" s="5">
        <f t="shared" si="41"/>
        <v>0</v>
      </c>
      <c r="X192" s="5">
        <f t="shared" si="42"/>
        <v>1</v>
      </c>
      <c r="Y192" s="5">
        <f t="shared" si="43"/>
        <v>0</v>
      </c>
      <c r="Z192" s="5">
        <f t="shared" si="44"/>
        <v>0</v>
      </c>
      <c r="AA192" s="5">
        <f t="shared" si="45"/>
        <v>0</v>
      </c>
      <c r="AB192" s="5">
        <f t="shared" si="46"/>
        <v>1</v>
      </c>
      <c r="AC192" s="5">
        <f t="shared" si="47"/>
        <v>0</v>
      </c>
      <c r="AD192" s="5"/>
      <c r="AE192" s="5"/>
      <c r="AF192" s="5">
        <f t="shared" si="48"/>
        <v>2</v>
      </c>
      <c r="AG192" s="5">
        <f t="shared" si="49"/>
        <v>2</v>
      </c>
      <c r="AH192" s="5" t="str">
        <f t="shared" si="50"/>
        <v>Correct</v>
      </c>
      <c r="AI192" s="5"/>
      <c r="AJ192" s="120" t="str">
        <f>IFERROR(VLOOKUP(Table1[RespondentID],'All Data'!$A$3:$CO$999,87,FALSE),"unknown")</f>
        <v>Woman</v>
      </c>
      <c r="AK192" s="120">
        <f>IFERROR(VLOOKUP(Table1[RespondentID],'All Data'!$A$3:$CO$999,88,FALSE),"unknown")</f>
        <v>47</v>
      </c>
      <c r="AL192" s="120" t="str">
        <f>IFERROR(VLOOKUP(Table1[RespondentID],'All Data'!$A$3:$CO$999,89,FALSE),"unknown")</f>
        <v>Suffolk</v>
      </c>
      <c r="AM192" s="120" t="str">
        <f>IFERROR(VLOOKUP(Table1[RespondentID],'All Data'!$A$3:$CO$999,90,FALSE),"unknown")</f>
        <v>Miller Place, 11764</v>
      </c>
      <c r="AN192" s="120" t="str">
        <f>IFERROR(VLOOKUP(Table1[RespondentID],'All Data'!$A$3:$CO$999,91,FALSE),"unknown")</f>
        <v>White</v>
      </c>
      <c r="AO192" s="120" t="str">
        <f>IFERROR(VLOOKUP(Table1[RespondentID],'All Data'!$A$3:$CO$999,92,FALSE),"unknown")</f>
        <v>Hispanic or Latino</v>
      </c>
      <c r="AP192" s="120" t="str">
        <f>IFERROR(VLOOKUP(Table1[RespondentID],'All Data'!$A$3:$CO$999,93,FALSE),"unknown")</f>
        <v>English, Spanish</v>
      </c>
      <c r="AQ192" s="120" t="str">
        <f>IFERROR(VLOOKUP(Table1[RespondentID],'All Data'!$A$3:$CW$999,94,FALSE),"unknown")</f>
        <v>Over $125,000</v>
      </c>
      <c r="AR192" s="120" t="str">
        <f>IFERROR(VLOOKUP(Table1[RespondentID],'All Data'!$A$3:$CW$999,95,FALSE),"unknown")</f>
        <v>College graduate</v>
      </c>
      <c r="AS192" s="120" t="str">
        <f>IFERROR(VLOOKUP(Table1[RespondentID],'All Data'!$A$3:$CW$999,96,FALSE),"unknown")</f>
        <v>Employed for wages</v>
      </c>
      <c r="AT192" s="120" t="str">
        <f>IFERROR(VLOOKUP(Table1[RespondentID],'All Data'!$A$3:$CW$999,97,FALSE),"unknown")</f>
        <v>Yes</v>
      </c>
      <c r="AU192" s="120" t="str">
        <f>IFERROR(VLOOKUP(Table1[RespondentID],'All Data'!$A$3:$CW$999,98,FALSE),"unknown")</f>
        <v>Private/Commercial</v>
      </c>
      <c r="AV192" s="120" t="str">
        <f>IFERROR(VLOOKUP(Table1[RespondentID],'All Data'!$A$3:$CW$999,99,FALSE),"unknown")</f>
        <v>Yes</v>
      </c>
    </row>
    <row r="193" spans="1:48">
      <c r="A193" s="5">
        <v>18021525704</v>
      </c>
      <c r="B193" s="5"/>
      <c r="C193" s="5"/>
      <c r="D193" s="5"/>
      <c r="E193" s="5" t="s">
        <v>41</v>
      </c>
      <c r="F193" s="5"/>
      <c r="G193" s="5"/>
      <c r="H193" s="5" t="s">
        <v>43</v>
      </c>
      <c r="I193" s="5"/>
      <c r="J193" s="5"/>
      <c r="K193" s="5" t="s">
        <v>46</v>
      </c>
      <c r="L193" s="5"/>
      <c r="M193" s="5"/>
      <c r="N193" s="5"/>
      <c r="O193" s="5">
        <f t="shared" si="34"/>
        <v>3</v>
      </c>
      <c r="P193" s="5">
        <f t="shared" si="35"/>
        <v>1</v>
      </c>
      <c r="Q193" s="5"/>
      <c r="R193" s="5">
        <f t="shared" si="36"/>
        <v>0</v>
      </c>
      <c r="S193" s="5">
        <f t="shared" si="37"/>
        <v>0</v>
      </c>
      <c r="T193" s="5">
        <f t="shared" si="38"/>
        <v>0</v>
      </c>
      <c r="U193" s="5">
        <f t="shared" si="39"/>
        <v>1</v>
      </c>
      <c r="V193" s="5">
        <f t="shared" si="40"/>
        <v>0</v>
      </c>
      <c r="W193" s="5">
        <f t="shared" si="41"/>
        <v>0</v>
      </c>
      <c r="X193" s="5">
        <f t="shared" si="42"/>
        <v>1</v>
      </c>
      <c r="Y193" s="5">
        <f t="shared" si="43"/>
        <v>0</v>
      </c>
      <c r="Z193" s="5">
        <f t="shared" si="44"/>
        <v>0</v>
      </c>
      <c r="AA193" s="5">
        <f t="shared" si="45"/>
        <v>1</v>
      </c>
      <c r="AB193" s="5">
        <f t="shared" si="46"/>
        <v>0</v>
      </c>
      <c r="AC193" s="5">
        <f t="shared" si="47"/>
        <v>0</v>
      </c>
      <c r="AD193" s="5"/>
      <c r="AE193" s="5"/>
      <c r="AF193" s="5">
        <f t="shared" si="48"/>
        <v>3</v>
      </c>
      <c r="AG193" s="5">
        <f t="shared" si="49"/>
        <v>3</v>
      </c>
      <c r="AH193" s="5" t="str">
        <f t="shared" si="50"/>
        <v>Correct</v>
      </c>
      <c r="AI193" s="5"/>
      <c r="AJ193" s="120" t="str">
        <f>IFERROR(VLOOKUP(Table1[RespondentID],'All Data'!$A$3:$CO$999,87,FALSE),"unknown")</f>
        <v>Man</v>
      </c>
      <c r="AK193" s="120">
        <f>IFERROR(VLOOKUP(Table1[RespondentID],'All Data'!$A$3:$CO$999,88,FALSE),"unknown")</f>
        <v>0</v>
      </c>
      <c r="AL193" s="120" t="str">
        <f>IFERROR(VLOOKUP(Table1[RespondentID],'All Data'!$A$3:$CO$999,89,FALSE),"unknown")</f>
        <v>Suffolk</v>
      </c>
      <c r="AM193" s="120" t="str">
        <f>IFERROR(VLOOKUP(Table1[RespondentID],'All Data'!$A$3:$CO$999,90,FALSE),"unknown")</f>
        <v>Amityville, 11708</v>
      </c>
      <c r="AN193" s="120" t="str">
        <f>IFERROR(VLOOKUP(Table1[RespondentID],'All Data'!$A$3:$CO$999,91,FALSE),"unknown")</f>
        <v>Native Hawaiian and Other Pacific Islander</v>
      </c>
      <c r="AO193" s="120" t="str">
        <f>IFERROR(VLOOKUP(Table1[RespondentID],'All Data'!$A$3:$CO$999,92,FALSE),"unknown")</f>
        <v>Not Hispanic or Latino</v>
      </c>
      <c r="AP193" s="120" t="str">
        <f>IFERROR(VLOOKUP(Table1[RespondentID],'All Data'!$A$3:$CO$999,93,FALSE),"unknown")</f>
        <v>English</v>
      </c>
      <c r="AQ193" s="120" t="str">
        <f>IFERROR(VLOOKUP(Table1[RespondentID],'All Data'!$A$3:$CW$999,94,FALSE),"unknown")</f>
        <v>$75,000 to $125,000</v>
      </c>
      <c r="AR193" s="120" t="str">
        <f>IFERROR(VLOOKUP(Table1[RespondentID],'All Data'!$A$3:$CW$999,95,FALSE),"unknown")</f>
        <v>High school graduate</v>
      </c>
      <c r="AS193" s="120" t="str">
        <f>IFERROR(VLOOKUP(Table1[RespondentID],'All Data'!$A$3:$CW$999,96,FALSE),"unknown")</f>
        <v>Self-employed</v>
      </c>
      <c r="AT193" s="120" t="str">
        <f>IFERROR(VLOOKUP(Table1[RespondentID],'All Data'!$A$3:$CW$999,97,FALSE),"unknown")</f>
        <v>Yes</v>
      </c>
      <c r="AU193" s="120" t="str">
        <f>IFERROR(VLOOKUP(Table1[RespondentID],'All Data'!$A$3:$CW$999,98,FALSE),"unknown")</f>
        <v>Medicaid</v>
      </c>
      <c r="AV193" s="120" t="str">
        <f>IFERROR(VLOOKUP(Table1[RespondentID],'All Data'!$A$3:$CW$999,99,FALSE),"unknown")</f>
        <v>Yes</v>
      </c>
    </row>
    <row r="194" spans="1:48">
      <c r="A194" s="5">
        <v>18021525431</v>
      </c>
      <c r="B194" s="5"/>
      <c r="C194" s="5"/>
      <c r="D194" s="5"/>
      <c r="E194" s="5"/>
      <c r="F194" s="5"/>
      <c r="G194" s="5"/>
      <c r="H194" s="5" t="s">
        <v>43</v>
      </c>
      <c r="I194" s="5"/>
      <c r="J194" s="5"/>
      <c r="K194" s="5" t="s">
        <v>46</v>
      </c>
      <c r="L194" s="5"/>
      <c r="M194" s="5"/>
      <c r="N194" s="5"/>
      <c r="O194" s="5">
        <f t="shared" ref="O194:O257" si="51">COUNTA(B194:N194)</f>
        <v>2</v>
      </c>
      <c r="P194" s="5">
        <f t="shared" ref="P194:P257" si="52">3/O194</f>
        <v>1.5</v>
      </c>
      <c r="Q194" s="5"/>
      <c r="R194" s="5">
        <f t="shared" ref="R194:R257" si="53">IF($O194&lt;3,IF($B194=$B$1,1,0),IF($B194=$B$1,$P194,0))</f>
        <v>0</v>
      </c>
      <c r="S194" s="5">
        <f t="shared" ref="S194:S257" si="54">IF($O194&lt;3,IF($C194=$C$1,1,0),IF($C194=$C$1,$P194,0))</f>
        <v>0</v>
      </c>
      <c r="T194" s="5">
        <f t="shared" ref="T194:T257" si="55">IF($O194&lt;3,IF($D194=$D$1,1,0),IF($D194=$D$1,$P194,0))</f>
        <v>0</v>
      </c>
      <c r="U194" s="5">
        <f t="shared" ref="U194:U257" si="56">IF($O194&lt;3,IF($E194=$E$1,1,0),IF($E194=$E$1,$P194,0))</f>
        <v>0</v>
      </c>
      <c r="V194" s="5">
        <f t="shared" ref="V194:V257" si="57">IF($O194&lt;3,IF($F194=$F$1,1,0),IF($F194=$F$1,$P194,0))</f>
        <v>0</v>
      </c>
      <c r="W194" s="5">
        <f t="shared" ref="W194:W257" si="58">IF($O194&lt;3,IF($G194=$G$1,1,0),IF($G194=$G$1,$P194,0))</f>
        <v>0</v>
      </c>
      <c r="X194" s="5">
        <f t="shared" ref="X194:X257" si="59">IF($O194&lt;3,IF($H194=$H$1,1,0),IF($H194=$H$1,$P194,0))</f>
        <v>1</v>
      </c>
      <c r="Y194" s="5">
        <f t="shared" ref="Y194:Y257" si="60">IF($O194&lt;3,IF($I194=$I$1,1,0),IF($I194=$I$1,$P194,0))</f>
        <v>0</v>
      </c>
      <c r="Z194" s="5">
        <f t="shared" ref="Z194:Z257" si="61">IF($O194&lt;3,IF($J194=$J$1,1,0),IF($J194=$J$1,$P194,0))</f>
        <v>0</v>
      </c>
      <c r="AA194" s="5">
        <f t="shared" ref="AA194:AA257" si="62">IF($O194&lt;3,IF($K194=$K$1,1,0),IF($K194=$K$1,$P194,0))</f>
        <v>1</v>
      </c>
      <c r="AB194" s="5">
        <f t="shared" ref="AB194:AB257" si="63">IF($O194&lt;3,IF($L194=$L$1,1,0),IF($L194=$L$1,$P194,0))</f>
        <v>0</v>
      </c>
      <c r="AC194" s="5">
        <f t="shared" ref="AC194:AC257" si="64">IF($O194&lt;3,IF($M194=$M$1,1,0),IF($M194=$M$1,$P194,0))</f>
        <v>0</v>
      </c>
      <c r="AD194" s="5"/>
      <c r="AE194" s="5"/>
      <c r="AF194" s="5">
        <f t="shared" ref="AF194:AF257" si="65">SUM(R194:AD194)</f>
        <v>2</v>
      </c>
      <c r="AG194" s="5">
        <f t="shared" ref="AG194:AG257" si="66">O194</f>
        <v>2</v>
      </c>
      <c r="AH194" s="5" t="str">
        <f t="shared" ref="AH194:AH257" si="67">IF(AF194=AG194,"Correct",IF(AF194=3,"Correct","Wrong"))</f>
        <v>Correct</v>
      </c>
      <c r="AI194" s="5"/>
      <c r="AJ194" s="120" t="str">
        <f>IFERROR(VLOOKUP(Table1[RespondentID],'All Data'!$A$3:$CO$999,87,FALSE),"unknown")</f>
        <v>Man</v>
      </c>
      <c r="AK194" s="120">
        <f>IFERROR(VLOOKUP(Table1[RespondentID],'All Data'!$A$3:$CO$999,88,FALSE),"unknown")</f>
        <v>0</v>
      </c>
      <c r="AL194" s="120" t="str">
        <f>IFERROR(VLOOKUP(Table1[RespondentID],'All Data'!$A$3:$CO$999,89,FALSE),"unknown")</f>
        <v>Suffolk</v>
      </c>
      <c r="AM194" s="120" t="str">
        <f>IFERROR(VLOOKUP(Table1[RespondentID],'All Data'!$A$3:$CO$999,90,FALSE),"unknown")</f>
        <v>Amityville, 11701</v>
      </c>
      <c r="AN194" s="120" t="str">
        <f>IFERROR(VLOOKUP(Table1[RespondentID],'All Data'!$A$3:$CO$999,91,FALSE),"unknown")</f>
        <v>Black or African American</v>
      </c>
      <c r="AO194" s="120" t="str">
        <f>IFERROR(VLOOKUP(Table1[RespondentID],'All Data'!$A$3:$CO$999,92,FALSE),"unknown")</f>
        <v>Not Hispanic or Latino</v>
      </c>
      <c r="AP194" s="120" t="str">
        <f>IFERROR(VLOOKUP(Table1[RespondentID],'All Data'!$A$3:$CO$999,93,FALSE),"unknown")</f>
        <v>Chinese</v>
      </c>
      <c r="AQ194" s="120" t="str">
        <f>IFERROR(VLOOKUP(Table1[RespondentID],'All Data'!$A$3:$CW$999,94,FALSE),"unknown")</f>
        <v>$20,000 to $34,999</v>
      </c>
      <c r="AR194" s="120" t="str">
        <f>IFERROR(VLOOKUP(Table1[RespondentID],'All Data'!$A$3:$CW$999,95,FALSE),"unknown")</f>
        <v>Graduate school</v>
      </c>
      <c r="AS194" s="120" t="str">
        <f>IFERROR(VLOOKUP(Table1[RespondentID],'All Data'!$A$3:$CW$999,96,FALSE),"unknown")</f>
        <v>Employed for wages</v>
      </c>
      <c r="AT194" s="120" t="str">
        <f>IFERROR(VLOOKUP(Table1[RespondentID],'All Data'!$A$3:$CW$999,97,FALSE),"unknown")</f>
        <v>Yes</v>
      </c>
      <c r="AU194" s="120" t="str">
        <f>IFERROR(VLOOKUP(Table1[RespondentID],'All Data'!$A$3:$CW$999,98,FALSE),"unknown")</f>
        <v>Medicare</v>
      </c>
      <c r="AV194" s="120" t="str">
        <f>IFERROR(VLOOKUP(Table1[RespondentID],'All Data'!$A$3:$CW$999,99,FALSE),"unknown")</f>
        <v>No</v>
      </c>
    </row>
    <row r="195" spans="1:48">
      <c r="A195" s="5">
        <v>18021263997</v>
      </c>
      <c r="B195" s="5"/>
      <c r="C195" s="5" t="s">
        <v>39</v>
      </c>
      <c r="D195" s="5"/>
      <c r="E195" s="5" t="s">
        <v>41</v>
      </c>
      <c r="F195" s="5"/>
      <c r="G195" s="5" t="s">
        <v>37</v>
      </c>
      <c r="H195" s="5"/>
      <c r="I195" s="5"/>
      <c r="J195" s="5"/>
      <c r="K195" s="5"/>
      <c r="L195" s="5"/>
      <c r="M195" s="5"/>
      <c r="N195" s="5"/>
      <c r="O195" s="5">
        <f t="shared" si="51"/>
        <v>3</v>
      </c>
      <c r="P195" s="5">
        <f t="shared" si="52"/>
        <v>1</v>
      </c>
      <c r="Q195" s="5"/>
      <c r="R195" s="5">
        <f t="shared" si="53"/>
        <v>0</v>
      </c>
      <c r="S195" s="5">
        <f t="shared" si="54"/>
        <v>1</v>
      </c>
      <c r="T195" s="5">
        <f t="shared" si="55"/>
        <v>0</v>
      </c>
      <c r="U195" s="5">
        <f t="shared" si="56"/>
        <v>1</v>
      </c>
      <c r="V195" s="5">
        <f t="shared" si="57"/>
        <v>0</v>
      </c>
      <c r="W195" s="5">
        <f t="shared" si="58"/>
        <v>1</v>
      </c>
      <c r="X195" s="5">
        <f t="shared" si="59"/>
        <v>0</v>
      </c>
      <c r="Y195" s="5">
        <f t="shared" si="60"/>
        <v>0</v>
      </c>
      <c r="Z195" s="5">
        <f t="shared" si="61"/>
        <v>0</v>
      </c>
      <c r="AA195" s="5">
        <f t="shared" si="62"/>
        <v>0</v>
      </c>
      <c r="AB195" s="5">
        <f t="shared" si="63"/>
        <v>0</v>
      </c>
      <c r="AC195" s="5">
        <f t="shared" si="64"/>
        <v>0</v>
      </c>
      <c r="AD195" s="5"/>
      <c r="AE195" s="5"/>
      <c r="AF195" s="5">
        <f t="shared" si="65"/>
        <v>3</v>
      </c>
      <c r="AG195" s="5">
        <f t="shared" si="66"/>
        <v>3</v>
      </c>
      <c r="AH195" s="5" t="str">
        <f t="shared" si="67"/>
        <v>Correct</v>
      </c>
      <c r="AI195" s="5"/>
      <c r="AJ195" s="120" t="str">
        <f>IFERROR(VLOOKUP(Table1[RespondentID],'All Data'!$A$3:$CO$999,87,FALSE),"unknown")</f>
        <v>Man</v>
      </c>
      <c r="AK195" s="120">
        <f>IFERROR(VLOOKUP(Table1[RespondentID],'All Data'!$A$3:$CO$999,88,FALSE),"unknown")</f>
        <v>52</v>
      </c>
      <c r="AL195" s="120" t="str">
        <f>IFERROR(VLOOKUP(Table1[RespondentID],'All Data'!$A$3:$CO$999,89,FALSE),"unknown")</f>
        <v>Suffolk</v>
      </c>
      <c r="AM195" s="120" t="str">
        <f>IFERROR(VLOOKUP(Table1[RespondentID],'All Data'!$A$3:$CO$999,90,FALSE),"unknown")</f>
        <v>Northport, 11768</v>
      </c>
      <c r="AN195" s="120" t="str">
        <f>IFERROR(VLOOKUP(Table1[RespondentID],'All Data'!$A$3:$CO$999,91,FALSE),"unknown")</f>
        <v>White</v>
      </c>
      <c r="AO195" s="120" t="str">
        <f>IFERROR(VLOOKUP(Table1[RespondentID],'All Data'!$A$3:$CO$999,92,FALSE),"unknown")</f>
        <v>Hispanic or Latino</v>
      </c>
      <c r="AP195" s="120" t="str">
        <f>IFERROR(VLOOKUP(Table1[RespondentID],'All Data'!$A$3:$CO$999,93,FALSE),"unknown")</f>
        <v>English</v>
      </c>
      <c r="AQ195" s="120" t="str">
        <f>IFERROR(VLOOKUP(Table1[RespondentID],'All Data'!$A$3:$CW$999,94,FALSE),"unknown")</f>
        <v>Over $125,000</v>
      </c>
      <c r="AR195" s="120" t="str">
        <f>IFERROR(VLOOKUP(Table1[RespondentID],'All Data'!$A$3:$CW$999,95,FALSE),"unknown")</f>
        <v>Graduate school</v>
      </c>
      <c r="AS195" s="120" t="str">
        <f>IFERROR(VLOOKUP(Table1[RespondentID],'All Data'!$A$3:$CW$999,96,FALSE),"unknown")</f>
        <v>Employed for wages</v>
      </c>
      <c r="AT195" s="120" t="str">
        <f>IFERROR(VLOOKUP(Table1[RespondentID],'All Data'!$A$3:$CW$999,97,FALSE),"unknown")</f>
        <v>Yes</v>
      </c>
      <c r="AU195" s="120" t="str">
        <f>IFERROR(VLOOKUP(Table1[RespondentID],'All Data'!$A$3:$CW$999,98,FALSE),"unknown")</f>
        <v>Private/Commercial</v>
      </c>
      <c r="AV195" s="120" t="str">
        <f>IFERROR(VLOOKUP(Table1[RespondentID],'All Data'!$A$3:$CW$999,99,FALSE),"unknown")</f>
        <v>Yes</v>
      </c>
    </row>
    <row r="196" spans="1:48">
      <c r="A196" s="5">
        <v>18021096939</v>
      </c>
      <c r="B196" s="5"/>
      <c r="C196" s="5"/>
      <c r="D196" s="5"/>
      <c r="E196" s="5" t="s">
        <v>41</v>
      </c>
      <c r="F196" s="5"/>
      <c r="G196" s="5"/>
      <c r="H196" s="5" t="s">
        <v>43</v>
      </c>
      <c r="I196" s="5" t="s">
        <v>44</v>
      </c>
      <c r="J196" s="5"/>
      <c r="K196" s="5" t="s">
        <v>46</v>
      </c>
      <c r="L196" s="5" t="s">
        <v>47</v>
      </c>
      <c r="M196" s="5"/>
      <c r="N196" s="5"/>
      <c r="O196" s="5">
        <f t="shared" si="51"/>
        <v>5</v>
      </c>
      <c r="P196" s="5">
        <f t="shared" si="52"/>
        <v>0.6</v>
      </c>
      <c r="Q196" s="5"/>
      <c r="R196" s="5">
        <f t="shared" si="53"/>
        <v>0</v>
      </c>
      <c r="S196" s="5">
        <f t="shared" si="54"/>
        <v>0</v>
      </c>
      <c r="T196" s="5">
        <f t="shared" si="55"/>
        <v>0</v>
      </c>
      <c r="U196" s="5">
        <f t="shared" si="56"/>
        <v>0.6</v>
      </c>
      <c r="V196" s="5">
        <f t="shared" si="57"/>
        <v>0</v>
      </c>
      <c r="W196" s="5">
        <f t="shared" si="58"/>
        <v>0</v>
      </c>
      <c r="X196" s="5">
        <f t="shared" si="59"/>
        <v>0.6</v>
      </c>
      <c r="Y196" s="5">
        <f t="shared" si="60"/>
        <v>0.6</v>
      </c>
      <c r="Z196" s="5">
        <f t="shared" si="61"/>
        <v>0</v>
      </c>
      <c r="AA196" s="5">
        <f t="shared" si="62"/>
        <v>0.6</v>
      </c>
      <c r="AB196" s="5">
        <f t="shared" si="63"/>
        <v>0.6</v>
      </c>
      <c r="AC196" s="5">
        <f t="shared" si="64"/>
        <v>0</v>
      </c>
      <c r="AD196" s="5"/>
      <c r="AE196" s="5"/>
      <c r="AF196" s="5">
        <f t="shared" si="65"/>
        <v>3</v>
      </c>
      <c r="AG196" s="5">
        <f t="shared" si="66"/>
        <v>5</v>
      </c>
      <c r="AH196" s="5" t="str">
        <f t="shared" si="67"/>
        <v>Correct</v>
      </c>
      <c r="AI196" s="5"/>
      <c r="AJ196" s="120" t="str">
        <f>IFERROR(VLOOKUP(Table1[RespondentID],'All Data'!$A$3:$CO$999,87,FALSE),"unknown")</f>
        <v>Man</v>
      </c>
      <c r="AK196" s="120">
        <f>IFERROR(VLOOKUP(Table1[RespondentID],'All Data'!$A$3:$CO$999,88,FALSE),"unknown")</f>
        <v>16</v>
      </c>
      <c r="AL196" s="120" t="str">
        <f>IFERROR(VLOOKUP(Table1[RespondentID],'All Data'!$A$3:$CO$999,89,FALSE),"unknown")</f>
        <v>Suffolk</v>
      </c>
      <c r="AM196" s="120" t="str">
        <f>IFERROR(VLOOKUP(Table1[RespondentID],'All Data'!$A$3:$CO$999,90,FALSE),"unknown")</f>
        <v>Nesconset, 11767</v>
      </c>
      <c r="AN196" s="120" t="str">
        <f>IFERROR(VLOOKUP(Table1[RespondentID],'All Data'!$A$3:$CO$999,91,FALSE),"unknown")</f>
        <v>American Indian and Alaska Native</v>
      </c>
      <c r="AO196" s="120" t="str">
        <f>IFERROR(VLOOKUP(Table1[RespondentID],'All Data'!$A$3:$CO$999,92,FALSE),"unknown")</f>
        <v>Hispanic or Latino</v>
      </c>
      <c r="AP196" s="120" t="str">
        <f>IFERROR(VLOOKUP(Table1[RespondentID],'All Data'!$A$3:$CO$999,93,FALSE),"unknown")</f>
        <v>English, Hindi</v>
      </c>
      <c r="AQ196" s="120" t="str">
        <f>IFERROR(VLOOKUP(Table1[RespondentID],'All Data'!$A$3:$CW$999,94,FALSE),"unknown")</f>
        <v>$75,000 to $125,000</v>
      </c>
      <c r="AR196" s="120" t="str">
        <f>IFERROR(VLOOKUP(Table1[RespondentID],'All Data'!$A$3:$CW$999,95,FALSE),"unknown")</f>
        <v>Some high school</v>
      </c>
      <c r="AS196" s="120" t="str">
        <f>IFERROR(VLOOKUP(Table1[RespondentID],'All Data'!$A$3:$CW$999,96,FALSE),"unknown")</f>
        <v>Out of work, but not currently looking</v>
      </c>
      <c r="AT196" s="120" t="str">
        <f>IFERROR(VLOOKUP(Table1[RespondentID],'All Data'!$A$3:$CW$999,97,FALSE),"unknown")</f>
        <v>Yes</v>
      </c>
      <c r="AU196" s="120" t="str">
        <f>IFERROR(VLOOKUP(Table1[RespondentID],'All Data'!$A$3:$CW$999,98,FALSE),"unknown")</f>
        <v>Private/Commercial</v>
      </c>
      <c r="AV196" s="120" t="str">
        <f>IFERROR(VLOOKUP(Table1[RespondentID],'All Data'!$A$3:$CW$999,99,FALSE),"unknown")</f>
        <v>Yes</v>
      </c>
    </row>
    <row r="197" spans="1:48">
      <c r="A197" s="5">
        <v>18020847868</v>
      </c>
      <c r="B197" s="5"/>
      <c r="C197" s="5" t="s">
        <v>39</v>
      </c>
      <c r="D197" s="5"/>
      <c r="E197" s="5"/>
      <c r="F197" s="5"/>
      <c r="G197" s="5"/>
      <c r="H197" s="5"/>
      <c r="I197" s="5"/>
      <c r="J197" s="5"/>
      <c r="K197" s="5"/>
      <c r="L197" s="5" t="s">
        <v>47</v>
      </c>
      <c r="M197" s="5" t="s">
        <v>48</v>
      </c>
      <c r="N197" s="5"/>
      <c r="O197" s="5">
        <f t="shared" si="51"/>
        <v>3</v>
      </c>
      <c r="P197" s="5">
        <f t="shared" si="52"/>
        <v>1</v>
      </c>
      <c r="Q197" s="5"/>
      <c r="R197" s="5">
        <f t="shared" si="53"/>
        <v>0</v>
      </c>
      <c r="S197" s="5">
        <f t="shared" si="54"/>
        <v>1</v>
      </c>
      <c r="T197" s="5">
        <f t="shared" si="55"/>
        <v>0</v>
      </c>
      <c r="U197" s="5">
        <f t="shared" si="56"/>
        <v>0</v>
      </c>
      <c r="V197" s="5">
        <f t="shared" si="57"/>
        <v>0</v>
      </c>
      <c r="W197" s="5">
        <f t="shared" si="58"/>
        <v>0</v>
      </c>
      <c r="X197" s="5">
        <f t="shared" si="59"/>
        <v>0</v>
      </c>
      <c r="Y197" s="5">
        <f t="shared" si="60"/>
        <v>0</v>
      </c>
      <c r="Z197" s="5">
        <f t="shared" si="61"/>
        <v>0</v>
      </c>
      <c r="AA197" s="5">
        <f t="shared" si="62"/>
        <v>0</v>
      </c>
      <c r="AB197" s="5">
        <f t="shared" si="63"/>
        <v>1</v>
      </c>
      <c r="AC197" s="5">
        <f t="shared" si="64"/>
        <v>1</v>
      </c>
      <c r="AD197" s="5"/>
      <c r="AE197" s="5"/>
      <c r="AF197" s="5">
        <f t="shared" si="65"/>
        <v>3</v>
      </c>
      <c r="AG197" s="5">
        <f t="shared" si="66"/>
        <v>3</v>
      </c>
      <c r="AH197" s="5" t="str">
        <f t="shared" si="67"/>
        <v>Correct</v>
      </c>
      <c r="AI197" s="5"/>
      <c r="AJ197" s="120" t="str">
        <f>IFERROR(VLOOKUP(Table1[RespondentID],'All Data'!$A$3:$CO$999,87,FALSE),"unknown")</f>
        <v>Man</v>
      </c>
      <c r="AK197" s="120">
        <f>IFERROR(VLOOKUP(Table1[RespondentID],'All Data'!$A$3:$CO$999,88,FALSE),"unknown")</f>
        <v>21</v>
      </c>
      <c r="AL197" s="120" t="str">
        <f>IFERROR(VLOOKUP(Table1[RespondentID],'All Data'!$A$3:$CO$999,89,FALSE),"unknown")</f>
        <v>Suffolk</v>
      </c>
      <c r="AM197" s="120" t="str">
        <f>IFERROR(VLOOKUP(Table1[RespondentID],'All Data'!$A$3:$CO$999,90,FALSE),"unknown")</f>
        <v>East Northport, 11731</v>
      </c>
      <c r="AN197" s="120" t="str">
        <f>IFERROR(VLOOKUP(Table1[RespondentID],'All Data'!$A$3:$CO$999,91,FALSE),"unknown")</f>
        <v>White</v>
      </c>
      <c r="AO197" s="120" t="str">
        <f>IFERROR(VLOOKUP(Table1[RespondentID],'All Data'!$A$3:$CO$999,92,FALSE),"unknown")</f>
        <v>Hispanic or Latino</v>
      </c>
      <c r="AP197" s="120" t="str">
        <f>IFERROR(VLOOKUP(Table1[RespondentID],'All Data'!$A$3:$CO$999,93,FALSE),"unknown")</f>
        <v>English</v>
      </c>
      <c r="AQ197" s="120" t="str">
        <f>IFERROR(VLOOKUP(Table1[RespondentID],'All Data'!$A$3:$CW$999,94,FALSE),"unknown")</f>
        <v>$50,000 to $74,999</v>
      </c>
      <c r="AR197" s="120" t="str">
        <f>IFERROR(VLOOKUP(Table1[RespondentID],'All Data'!$A$3:$CW$999,95,FALSE),"unknown")</f>
        <v>Some college</v>
      </c>
      <c r="AS197" s="120" t="str">
        <f>IFERROR(VLOOKUP(Table1[RespondentID],'All Data'!$A$3:$CW$999,96,FALSE),"unknown")</f>
        <v>Employed for wages</v>
      </c>
      <c r="AT197" s="120" t="str">
        <f>IFERROR(VLOOKUP(Table1[RespondentID],'All Data'!$A$3:$CW$999,97,FALSE),"unknown")</f>
        <v>Yes</v>
      </c>
      <c r="AU197" s="120" t="str">
        <f>IFERROR(VLOOKUP(Table1[RespondentID],'All Data'!$A$3:$CW$999,98,FALSE),"unknown")</f>
        <v>Medicaid, Medicare</v>
      </c>
      <c r="AV197" s="120" t="str">
        <f>IFERROR(VLOOKUP(Table1[RespondentID],'All Data'!$A$3:$CW$999,99,FALSE),"unknown")</f>
        <v>Yes</v>
      </c>
    </row>
    <row r="198" spans="1:48">
      <c r="A198" s="5">
        <v>18020259192</v>
      </c>
      <c r="B198" s="5"/>
      <c r="C198" s="5"/>
      <c r="D198" s="5"/>
      <c r="E198" s="5"/>
      <c r="F198" s="5" t="s">
        <v>42</v>
      </c>
      <c r="G198" s="5" t="s">
        <v>37</v>
      </c>
      <c r="H198" s="5"/>
      <c r="I198" s="5"/>
      <c r="J198" s="5" t="s">
        <v>45</v>
      </c>
      <c r="K198" s="5"/>
      <c r="L198" s="5"/>
      <c r="M198" s="5"/>
      <c r="N198" s="5"/>
      <c r="O198" s="5">
        <f t="shared" si="51"/>
        <v>3</v>
      </c>
      <c r="P198" s="5">
        <f t="shared" si="52"/>
        <v>1</v>
      </c>
      <c r="Q198" s="5"/>
      <c r="R198" s="5">
        <f t="shared" si="53"/>
        <v>0</v>
      </c>
      <c r="S198" s="5">
        <f t="shared" si="54"/>
        <v>0</v>
      </c>
      <c r="T198" s="5">
        <f t="shared" si="55"/>
        <v>0</v>
      </c>
      <c r="U198" s="5">
        <f t="shared" si="56"/>
        <v>0</v>
      </c>
      <c r="V198" s="5">
        <f t="shared" si="57"/>
        <v>1</v>
      </c>
      <c r="W198" s="5">
        <f t="shared" si="58"/>
        <v>1</v>
      </c>
      <c r="X198" s="5">
        <f t="shared" si="59"/>
        <v>0</v>
      </c>
      <c r="Y198" s="5">
        <f t="shared" si="60"/>
        <v>0</v>
      </c>
      <c r="Z198" s="5">
        <f t="shared" si="61"/>
        <v>1</v>
      </c>
      <c r="AA198" s="5">
        <f t="shared" si="62"/>
        <v>0</v>
      </c>
      <c r="AB198" s="5">
        <f t="shared" si="63"/>
        <v>0</v>
      </c>
      <c r="AC198" s="5">
        <f t="shared" si="64"/>
        <v>0</v>
      </c>
      <c r="AD198" s="5"/>
      <c r="AE198" s="5"/>
      <c r="AF198" s="5">
        <f t="shared" si="65"/>
        <v>3</v>
      </c>
      <c r="AG198" s="5">
        <f t="shared" si="66"/>
        <v>3</v>
      </c>
      <c r="AH198" s="5" t="str">
        <f t="shared" si="67"/>
        <v>Correct</v>
      </c>
      <c r="AI198" s="5"/>
      <c r="AJ198" s="120" t="str">
        <f>IFERROR(VLOOKUP(Table1[RespondentID],'All Data'!$A$3:$CO$999,87,FALSE),"unknown")</f>
        <v>Man</v>
      </c>
      <c r="AK198" s="120">
        <f>IFERROR(VLOOKUP(Table1[RespondentID],'All Data'!$A$3:$CO$999,88,FALSE),"unknown")</f>
        <v>39</v>
      </c>
      <c r="AL198" s="120" t="str">
        <f>IFERROR(VLOOKUP(Table1[RespondentID],'All Data'!$A$3:$CO$999,89,FALSE),"unknown")</f>
        <v>Nassau</v>
      </c>
      <c r="AM198" s="120" t="str">
        <f>IFERROR(VLOOKUP(Table1[RespondentID],'All Data'!$A$3:$CO$999,90,FALSE),"unknown")</f>
        <v>Williston Park, 11596</v>
      </c>
      <c r="AN198" s="120" t="str">
        <f>IFERROR(VLOOKUP(Table1[RespondentID],'All Data'!$A$3:$CO$999,91,FALSE),"unknown")</f>
        <v>American Indian and Alaska Native</v>
      </c>
      <c r="AO198" s="120" t="str">
        <f>IFERROR(VLOOKUP(Table1[RespondentID],'All Data'!$A$3:$CO$999,92,FALSE),"unknown")</f>
        <v>Hispanic or Latino</v>
      </c>
      <c r="AP198" s="120" t="str">
        <f>IFERROR(VLOOKUP(Table1[RespondentID],'All Data'!$A$3:$CO$999,93,FALSE),"unknown")</f>
        <v>English</v>
      </c>
      <c r="AQ198" s="120" t="str">
        <f>IFERROR(VLOOKUP(Table1[RespondentID],'All Data'!$A$3:$CW$999,94,FALSE),"unknown")</f>
        <v>Over $125,000</v>
      </c>
      <c r="AR198" s="120" t="str">
        <f>IFERROR(VLOOKUP(Table1[RespondentID],'All Data'!$A$3:$CW$999,95,FALSE),"unknown")</f>
        <v>College graduate</v>
      </c>
      <c r="AS198" s="120" t="str">
        <f>IFERROR(VLOOKUP(Table1[RespondentID],'All Data'!$A$3:$CW$999,96,FALSE),"unknown")</f>
        <v>Employed for wages</v>
      </c>
      <c r="AT198" s="120" t="str">
        <f>IFERROR(VLOOKUP(Table1[RespondentID],'All Data'!$A$3:$CW$999,97,FALSE),"unknown")</f>
        <v>Yes</v>
      </c>
      <c r="AU198" s="120" t="str">
        <f>IFERROR(VLOOKUP(Table1[RespondentID],'All Data'!$A$3:$CW$999,98,FALSE),"unknown")</f>
        <v>Private/Commercial</v>
      </c>
      <c r="AV198" s="120" t="str">
        <f>IFERROR(VLOOKUP(Table1[RespondentID],'All Data'!$A$3:$CW$999,99,FALSE),"unknown")</f>
        <v>Yes</v>
      </c>
    </row>
    <row r="199" spans="1:48">
      <c r="A199" s="5">
        <v>18020253334</v>
      </c>
      <c r="B199" s="5"/>
      <c r="C199" s="5"/>
      <c r="D199" s="5"/>
      <c r="E199" s="5"/>
      <c r="F199" s="5"/>
      <c r="G199" s="5"/>
      <c r="H199" s="5"/>
      <c r="I199" s="5" t="s">
        <v>44</v>
      </c>
      <c r="J199" s="5"/>
      <c r="K199" s="5"/>
      <c r="L199" s="5" t="s">
        <v>47</v>
      </c>
      <c r="M199" s="5" t="s">
        <v>48</v>
      </c>
      <c r="N199" s="5"/>
      <c r="O199" s="5">
        <f t="shared" si="51"/>
        <v>3</v>
      </c>
      <c r="P199" s="5">
        <f t="shared" si="52"/>
        <v>1</v>
      </c>
      <c r="Q199" s="5"/>
      <c r="R199" s="5">
        <f t="shared" si="53"/>
        <v>0</v>
      </c>
      <c r="S199" s="5">
        <f t="shared" si="54"/>
        <v>0</v>
      </c>
      <c r="T199" s="5">
        <f t="shared" si="55"/>
        <v>0</v>
      </c>
      <c r="U199" s="5">
        <f t="shared" si="56"/>
        <v>0</v>
      </c>
      <c r="V199" s="5">
        <f t="shared" si="57"/>
        <v>0</v>
      </c>
      <c r="W199" s="5">
        <f t="shared" si="58"/>
        <v>0</v>
      </c>
      <c r="X199" s="5">
        <f t="shared" si="59"/>
        <v>0</v>
      </c>
      <c r="Y199" s="5">
        <f t="shared" si="60"/>
        <v>1</v>
      </c>
      <c r="Z199" s="5">
        <f t="shared" si="61"/>
        <v>0</v>
      </c>
      <c r="AA199" s="5">
        <f t="shared" si="62"/>
        <v>0</v>
      </c>
      <c r="AB199" s="5">
        <f t="shared" si="63"/>
        <v>1</v>
      </c>
      <c r="AC199" s="5">
        <f t="shared" si="64"/>
        <v>1</v>
      </c>
      <c r="AD199" s="5"/>
      <c r="AE199" s="5"/>
      <c r="AF199" s="5">
        <f t="shared" si="65"/>
        <v>3</v>
      </c>
      <c r="AG199" s="5">
        <f t="shared" si="66"/>
        <v>3</v>
      </c>
      <c r="AH199" s="5" t="str">
        <f t="shared" si="67"/>
        <v>Correct</v>
      </c>
      <c r="AI199" s="5"/>
      <c r="AJ199" s="120" t="str">
        <f>IFERROR(VLOOKUP(Table1[RespondentID],'All Data'!$A$3:$CO$999,87,FALSE),"unknown")</f>
        <v>Woman</v>
      </c>
      <c r="AK199" s="120">
        <f>IFERROR(VLOOKUP(Table1[RespondentID],'All Data'!$A$3:$CO$999,88,FALSE),"unknown")</f>
        <v>40</v>
      </c>
      <c r="AL199" s="120" t="str">
        <f>IFERROR(VLOOKUP(Table1[RespondentID],'All Data'!$A$3:$CO$999,89,FALSE),"unknown")</f>
        <v>Nassau</v>
      </c>
      <c r="AM199" s="120" t="str">
        <f>IFERROR(VLOOKUP(Table1[RespondentID],'All Data'!$A$3:$CO$999,90,FALSE),"unknown")</f>
        <v>Herricks, 11040</v>
      </c>
      <c r="AN199" s="120" t="str">
        <f>IFERROR(VLOOKUP(Table1[RespondentID],'All Data'!$A$3:$CO$999,91,FALSE),"unknown")</f>
        <v>American Indian and Alaska Native</v>
      </c>
      <c r="AO199" s="120" t="str">
        <f>IFERROR(VLOOKUP(Table1[RespondentID],'All Data'!$A$3:$CO$999,92,FALSE),"unknown")</f>
        <v>Hispanic or Latino</v>
      </c>
      <c r="AP199" s="120" t="str">
        <f>IFERROR(VLOOKUP(Table1[RespondentID],'All Data'!$A$3:$CO$999,93,FALSE),"unknown")</f>
        <v>English</v>
      </c>
      <c r="AQ199" s="120" t="str">
        <f>IFERROR(VLOOKUP(Table1[RespondentID],'All Data'!$A$3:$CW$999,94,FALSE),"unknown")</f>
        <v>$75,000 to $125,000</v>
      </c>
      <c r="AR199" s="120" t="str">
        <f>IFERROR(VLOOKUP(Table1[RespondentID],'All Data'!$A$3:$CW$999,95,FALSE),"unknown")</f>
        <v>College graduate</v>
      </c>
      <c r="AS199" s="120" t="str">
        <f>IFERROR(VLOOKUP(Table1[RespondentID],'All Data'!$A$3:$CW$999,96,FALSE),"unknown")</f>
        <v>Employed for wages</v>
      </c>
      <c r="AT199" s="120" t="str">
        <f>IFERROR(VLOOKUP(Table1[RespondentID],'All Data'!$A$3:$CW$999,97,FALSE),"unknown")</f>
        <v>Yes</v>
      </c>
      <c r="AU199" s="120" t="str">
        <f>IFERROR(VLOOKUP(Table1[RespondentID],'All Data'!$A$3:$CW$999,98,FALSE),"unknown")</f>
        <v>Private/Commercial</v>
      </c>
      <c r="AV199" s="120" t="str">
        <f>IFERROR(VLOOKUP(Table1[RespondentID],'All Data'!$A$3:$CW$999,99,FALSE),"unknown")</f>
        <v>Yes</v>
      </c>
    </row>
    <row r="200" spans="1:48">
      <c r="A200" s="5">
        <v>18020047097</v>
      </c>
      <c r="B200" s="5"/>
      <c r="C200" s="5"/>
      <c r="D200" s="5"/>
      <c r="E200" s="5"/>
      <c r="F200" s="5"/>
      <c r="G200" s="5"/>
      <c r="H200" s="5"/>
      <c r="I200" s="5"/>
      <c r="J200" s="5"/>
      <c r="K200" s="5"/>
      <c r="L200" s="5"/>
      <c r="M200" s="5"/>
      <c r="N200" s="5"/>
      <c r="O200" s="5">
        <f t="shared" si="51"/>
        <v>0</v>
      </c>
      <c r="P200" s="5" t="e">
        <f t="shared" si="52"/>
        <v>#DIV/0!</v>
      </c>
      <c r="Q200" s="5"/>
      <c r="R200" s="5">
        <f t="shared" si="53"/>
        <v>0</v>
      </c>
      <c r="S200" s="5">
        <f t="shared" si="54"/>
        <v>0</v>
      </c>
      <c r="T200" s="5">
        <f t="shared" si="55"/>
        <v>0</v>
      </c>
      <c r="U200" s="5">
        <f t="shared" si="56"/>
        <v>0</v>
      </c>
      <c r="V200" s="5">
        <f t="shared" si="57"/>
        <v>0</v>
      </c>
      <c r="W200" s="5">
        <f t="shared" si="58"/>
        <v>0</v>
      </c>
      <c r="X200" s="5">
        <f t="shared" si="59"/>
        <v>0</v>
      </c>
      <c r="Y200" s="5">
        <f t="shared" si="60"/>
        <v>0</v>
      </c>
      <c r="Z200" s="5">
        <f t="shared" si="61"/>
        <v>0</v>
      </c>
      <c r="AA200" s="5">
        <f t="shared" si="62"/>
        <v>0</v>
      </c>
      <c r="AB200" s="5">
        <f t="shared" si="63"/>
        <v>0</v>
      </c>
      <c r="AC200" s="5">
        <f t="shared" si="64"/>
        <v>0</v>
      </c>
      <c r="AD200" s="5"/>
      <c r="AE200" s="5"/>
      <c r="AF200" s="5">
        <f t="shared" si="65"/>
        <v>0</v>
      </c>
      <c r="AG200" s="5">
        <f t="shared" si="66"/>
        <v>0</v>
      </c>
      <c r="AH200" s="5" t="str">
        <f t="shared" si="67"/>
        <v>Correct</v>
      </c>
      <c r="AI200" s="5"/>
      <c r="AJ200" s="120">
        <f>IFERROR(VLOOKUP(Table1[RespondentID],'All Data'!$A$3:$CO$999,87,FALSE),"unknown")</f>
        <v>0</v>
      </c>
      <c r="AK200" s="120">
        <f>IFERROR(VLOOKUP(Table1[RespondentID],'All Data'!$A$3:$CO$999,88,FALSE),"unknown")</f>
        <v>0</v>
      </c>
      <c r="AL200" s="120">
        <f>IFERROR(VLOOKUP(Table1[RespondentID],'All Data'!$A$3:$CO$999,89,FALSE),"unknown")</f>
        <v>0</v>
      </c>
      <c r="AM200" s="120" t="str">
        <f>IFERROR(VLOOKUP(Table1[RespondentID],'All Data'!$A$3:$CO$999,90,FALSE),"unknown")</f>
        <v>Alden Manor, 11003</v>
      </c>
      <c r="AN200" s="120">
        <f>IFERROR(VLOOKUP(Table1[RespondentID],'All Data'!$A$3:$CO$999,91,FALSE),"unknown")</f>
        <v>0</v>
      </c>
      <c r="AO200" s="120">
        <f>IFERROR(VLOOKUP(Table1[RespondentID],'All Data'!$A$3:$CO$999,92,FALSE),"unknown")</f>
        <v>0</v>
      </c>
      <c r="AP200" s="120">
        <f>IFERROR(VLOOKUP(Table1[RespondentID],'All Data'!$A$3:$CO$999,93,FALSE),"unknown")</f>
        <v>0</v>
      </c>
      <c r="AQ200" s="120">
        <f>IFERROR(VLOOKUP(Table1[RespondentID],'All Data'!$A$3:$CW$999,94,FALSE),"unknown")</f>
        <v>0</v>
      </c>
      <c r="AR200" s="120">
        <f>IFERROR(VLOOKUP(Table1[RespondentID],'All Data'!$A$3:$CW$999,95,FALSE),"unknown")</f>
        <v>0</v>
      </c>
      <c r="AS200" s="120">
        <f>IFERROR(VLOOKUP(Table1[RespondentID],'All Data'!$A$3:$CW$999,96,FALSE),"unknown")</f>
        <v>0</v>
      </c>
      <c r="AT200" s="120">
        <f>IFERROR(VLOOKUP(Table1[RespondentID],'All Data'!$A$3:$CW$999,97,FALSE),"unknown")</f>
        <v>0</v>
      </c>
      <c r="AU200" s="120">
        <f>IFERROR(VLOOKUP(Table1[RespondentID],'All Data'!$A$3:$CW$999,98,FALSE),"unknown")</f>
        <v>0</v>
      </c>
      <c r="AV200" s="120">
        <f>IFERROR(VLOOKUP(Table1[RespondentID],'All Data'!$A$3:$CW$999,99,FALSE),"unknown")</f>
        <v>0</v>
      </c>
    </row>
    <row r="201" spans="1:48">
      <c r="A201" s="5">
        <v>18019933763</v>
      </c>
      <c r="B201" s="5"/>
      <c r="C201" s="5" t="s">
        <v>39</v>
      </c>
      <c r="D201" s="5"/>
      <c r="E201" s="5"/>
      <c r="F201" s="5" t="s">
        <v>42</v>
      </c>
      <c r="G201" s="5"/>
      <c r="H201" s="5"/>
      <c r="I201" s="5"/>
      <c r="J201" s="5"/>
      <c r="K201" s="5"/>
      <c r="L201" s="5" t="s">
        <v>47</v>
      </c>
      <c r="M201" s="5"/>
      <c r="N201" s="5"/>
      <c r="O201" s="5">
        <f t="shared" si="51"/>
        <v>3</v>
      </c>
      <c r="P201" s="5">
        <f t="shared" si="52"/>
        <v>1</v>
      </c>
      <c r="Q201" s="5"/>
      <c r="R201" s="5">
        <f t="shared" si="53"/>
        <v>0</v>
      </c>
      <c r="S201" s="5">
        <f t="shared" si="54"/>
        <v>1</v>
      </c>
      <c r="T201" s="5">
        <f t="shared" si="55"/>
        <v>0</v>
      </c>
      <c r="U201" s="5">
        <f t="shared" si="56"/>
        <v>0</v>
      </c>
      <c r="V201" s="5">
        <f t="shared" si="57"/>
        <v>1</v>
      </c>
      <c r="W201" s="5">
        <f t="shared" si="58"/>
        <v>0</v>
      </c>
      <c r="X201" s="5">
        <f t="shared" si="59"/>
        <v>0</v>
      </c>
      <c r="Y201" s="5">
        <f t="shared" si="60"/>
        <v>0</v>
      </c>
      <c r="Z201" s="5">
        <f t="shared" si="61"/>
        <v>0</v>
      </c>
      <c r="AA201" s="5">
        <f t="shared" si="62"/>
        <v>0</v>
      </c>
      <c r="AB201" s="5">
        <f t="shared" si="63"/>
        <v>1</v>
      </c>
      <c r="AC201" s="5">
        <f t="shared" si="64"/>
        <v>0</v>
      </c>
      <c r="AD201" s="5"/>
      <c r="AE201" s="5"/>
      <c r="AF201" s="5">
        <f t="shared" si="65"/>
        <v>3</v>
      </c>
      <c r="AG201" s="5">
        <f t="shared" si="66"/>
        <v>3</v>
      </c>
      <c r="AH201" s="5" t="str">
        <f t="shared" si="67"/>
        <v>Correct</v>
      </c>
      <c r="AI201" s="5"/>
      <c r="AJ201" s="120" t="str">
        <f>IFERROR(VLOOKUP(Table1[RespondentID],'All Data'!$A$3:$CO$999,87,FALSE),"unknown")</f>
        <v>Woman</v>
      </c>
      <c r="AK201" s="120">
        <f>IFERROR(VLOOKUP(Table1[RespondentID],'All Data'!$A$3:$CO$999,88,FALSE),"unknown")</f>
        <v>24</v>
      </c>
      <c r="AL201" s="120" t="str">
        <f>IFERROR(VLOOKUP(Table1[RespondentID],'All Data'!$A$3:$CO$999,89,FALSE),"unknown")</f>
        <v>Suffolk</v>
      </c>
      <c r="AM201" s="120" t="str">
        <f>IFERROR(VLOOKUP(Table1[RespondentID],'All Data'!$A$3:$CO$999,90,FALSE),"unknown")</f>
        <v>Selden, 11784</v>
      </c>
      <c r="AN201" s="120" t="str">
        <f>IFERROR(VLOOKUP(Table1[RespondentID],'All Data'!$A$3:$CO$999,91,FALSE),"unknown")</f>
        <v>Native Hawaiian and Other Pacific Islander</v>
      </c>
      <c r="AO201" s="120" t="str">
        <f>IFERROR(VLOOKUP(Table1[RespondentID],'All Data'!$A$3:$CO$999,92,FALSE),"unknown")</f>
        <v>Hispanic or Latino</v>
      </c>
      <c r="AP201" s="120" t="str">
        <f>IFERROR(VLOOKUP(Table1[RespondentID],'All Data'!$A$3:$CO$999,93,FALSE),"unknown")</f>
        <v>English</v>
      </c>
      <c r="AQ201" s="120" t="str">
        <f>IFERROR(VLOOKUP(Table1[RespondentID],'All Data'!$A$3:$CW$999,94,FALSE),"unknown")</f>
        <v>$75,000 to $125,000</v>
      </c>
      <c r="AR201" s="120" t="str">
        <f>IFERROR(VLOOKUP(Table1[RespondentID],'All Data'!$A$3:$CW$999,95,FALSE),"unknown")</f>
        <v>College graduate</v>
      </c>
      <c r="AS201" s="120" t="str">
        <f>IFERROR(VLOOKUP(Table1[RespondentID],'All Data'!$A$3:$CW$999,96,FALSE),"unknown")</f>
        <v>Employed for wages</v>
      </c>
      <c r="AT201" s="120" t="str">
        <f>IFERROR(VLOOKUP(Table1[RespondentID],'All Data'!$A$3:$CW$999,97,FALSE),"unknown")</f>
        <v>Yes</v>
      </c>
      <c r="AU201" s="120" t="str">
        <f>IFERROR(VLOOKUP(Table1[RespondentID],'All Data'!$A$3:$CW$999,98,FALSE),"unknown")</f>
        <v>Medicare</v>
      </c>
      <c r="AV201" s="120" t="str">
        <f>IFERROR(VLOOKUP(Table1[RespondentID],'All Data'!$A$3:$CW$999,99,FALSE),"unknown")</f>
        <v>Yes</v>
      </c>
    </row>
    <row r="202" spans="1:48">
      <c r="A202" s="5">
        <v>18019511473</v>
      </c>
      <c r="B202" s="5"/>
      <c r="C202" s="5" t="s">
        <v>39</v>
      </c>
      <c r="D202" s="5"/>
      <c r="E202" s="5"/>
      <c r="F202" s="5" t="s">
        <v>42</v>
      </c>
      <c r="G202" s="5"/>
      <c r="H202" s="5"/>
      <c r="I202" s="5"/>
      <c r="J202" s="5"/>
      <c r="K202" s="5"/>
      <c r="L202" s="5" t="s">
        <v>47</v>
      </c>
      <c r="M202" s="5"/>
      <c r="N202" s="5"/>
      <c r="O202" s="5">
        <f t="shared" si="51"/>
        <v>3</v>
      </c>
      <c r="P202" s="5">
        <f t="shared" si="52"/>
        <v>1</v>
      </c>
      <c r="Q202" s="5"/>
      <c r="R202" s="5">
        <f t="shared" si="53"/>
        <v>0</v>
      </c>
      <c r="S202" s="5">
        <f t="shared" si="54"/>
        <v>1</v>
      </c>
      <c r="T202" s="5">
        <f t="shared" si="55"/>
        <v>0</v>
      </c>
      <c r="U202" s="5">
        <f t="shared" si="56"/>
        <v>0</v>
      </c>
      <c r="V202" s="5">
        <f t="shared" si="57"/>
        <v>1</v>
      </c>
      <c r="W202" s="5">
        <f t="shared" si="58"/>
        <v>0</v>
      </c>
      <c r="X202" s="5">
        <f t="shared" si="59"/>
        <v>0</v>
      </c>
      <c r="Y202" s="5">
        <f t="shared" si="60"/>
        <v>0</v>
      </c>
      <c r="Z202" s="5">
        <f t="shared" si="61"/>
        <v>0</v>
      </c>
      <c r="AA202" s="5">
        <f t="shared" si="62"/>
        <v>0</v>
      </c>
      <c r="AB202" s="5">
        <f t="shared" si="63"/>
        <v>1</v>
      </c>
      <c r="AC202" s="5">
        <f t="shared" si="64"/>
        <v>0</v>
      </c>
      <c r="AD202" s="5"/>
      <c r="AE202" s="5"/>
      <c r="AF202" s="5">
        <f t="shared" si="65"/>
        <v>3</v>
      </c>
      <c r="AG202" s="5">
        <f t="shared" si="66"/>
        <v>3</v>
      </c>
      <c r="AH202" s="5" t="str">
        <f t="shared" si="67"/>
        <v>Correct</v>
      </c>
      <c r="AI202" s="5"/>
      <c r="AJ202" s="120" t="str">
        <f>IFERROR(VLOOKUP(Table1[RespondentID],'All Data'!$A$3:$CO$999,87,FALSE),"unknown")</f>
        <v>Man</v>
      </c>
      <c r="AK202" s="120">
        <f>IFERROR(VLOOKUP(Table1[RespondentID],'All Data'!$A$3:$CO$999,88,FALSE),"unknown")</f>
        <v>0</v>
      </c>
      <c r="AL202" s="120" t="str">
        <f>IFERROR(VLOOKUP(Table1[RespondentID],'All Data'!$A$3:$CO$999,89,FALSE),"unknown")</f>
        <v>Suffolk</v>
      </c>
      <c r="AM202" s="120" t="str">
        <f>IFERROR(VLOOKUP(Table1[RespondentID],'All Data'!$A$3:$CO$999,90,FALSE),"unknown")</f>
        <v>Smithtown, 11787</v>
      </c>
      <c r="AN202" s="120" t="str">
        <f>IFERROR(VLOOKUP(Table1[RespondentID],'All Data'!$A$3:$CO$999,91,FALSE),"unknown")</f>
        <v>White</v>
      </c>
      <c r="AO202" s="120" t="str">
        <f>IFERROR(VLOOKUP(Table1[RespondentID],'All Data'!$A$3:$CO$999,92,FALSE),"unknown")</f>
        <v>Hispanic or Latino</v>
      </c>
      <c r="AP202" s="120" t="str">
        <f>IFERROR(VLOOKUP(Table1[RespondentID],'All Data'!$A$3:$CO$999,93,FALSE),"unknown")</f>
        <v>English</v>
      </c>
      <c r="AQ202" s="120" t="str">
        <f>IFERROR(VLOOKUP(Table1[RespondentID],'All Data'!$A$3:$CW$999,94,FALSE),"unknown")</f>
        <v>Over $125,000</v>
      </c>
      <c r="AR202" s="120" t="str">
        <f>IFERROR(VLOOKUP(Table1[RespondentID],'All Data'!$A$3:$CW$999,95,FALSE),"unknown")</f>
        <v>Some college</v>
      </c>
      <c r="AS202" s="120" t="str">
        <f>IFERROR(VLOOKUP(Table1[RespondentID],'All Data'!$A$3:$CW$999,96,FALSE),"unknown")</f>
        <v>Employed for wages</v>
      </c>
      <c r="AT202" s="120" t="str">
        <f>IFERROR(VLOOKUP(Table1[RespondentID],'All Data'!$A$3:$CW$999,97,FALSE),"unknown")</f>
        <v>No</v>
      </c>
      <c r="AU202" s="120" t="str">
        <f>IFERROR(VLOOKUP(Table1[RespondentID],'All Data'!$A$3:$CW$999,98,FALSE),"unknown")</f>
        <v>No Insurance</v>
      </c>
      <c r="AV202" s="120" t="str">
        <f>IFERROR(VLOOKUP(Table1[RespondentID],'All Data'!$A$3:$CW$999,99,FALSE),"unknown")</f>
        <v>Yes</v>
      </c>
    </row>
    <row r="203" spans="1:48">
      <c r="A203" s="5">
        <v>18019480989</v>
      </c>
      <c r="B203" s="5"/>
      <c r="C203" s="5"/>
      <c r="D203" s="5" t="s">
        <v>40</v>
      </c>
      <c r="E203" s="5"/>
      <c r="F203" s="5"/>
      <c r="G203" s="5"/>
      <c r="H203" s="5"/>
      <c r="I203" s="5"/>
      <c r="J203" s="5"/>
      <c r="K203" s="5"/>
      <c r="L203" s="5" t="s">
        <v>47</v>
      </c>
      <c r="M203" s="5"/>
      <c r="N203" s="5"/>
      <c r="O203" s="5">
        <f t="shared" si="51"/>
        <v>2</v>
      </c>
      <c r="P203" s="5">
        <f t="shared" si="52"/>
        <v>1.5</v>
      </c>
      <c r="Q203" s="5"/>
      <c r="R203" s="5">
        <f t="shared" si="53"/>
        <v>0</v>
      </c>
      <c r="S203" s="5">
        <f t="shared" si="54"/>
        <v>0</v>
      </c>
      <c r="T203" s="5">
        <f t="shared" si="55"/>
        <v>1</v>
      </c>
      <c r="U203" s="5">
        <f t="shared" si="56"/>
        <v>0</v>
      </c>
      <c r="V203" s="5">
        <f t="shared" si="57"/>
        <v>0</v>
      </c>
      <c r="W203" s="5">
        <f t="shared" si="58"/>
        <v>0</v>
      </c>
      <c r="X203" s="5">
        <f t="shared" si="59"/>
        <v>0</v>
      </c>
      <c r="Y203" s="5">
        <f t="shared" si="60"/>
        <v>0</v>
      </c>
      <c r="Z203" s="5">
        <f t="shared" si="61"/>
        <v>0</v>
      </c>
      <c r="AA203" s="5">
        <f t="shared" si="62"/>
        <v>0</v>
      </c>
      <c r="AB203" s="5">
        <f t="shared" si="63"/>
        <v>1</v>
      </c>
      <c r="AC203" s="5">
        <f t="shared" si="64"/>
        <v>0</v>
      </c>
      <c r="AD203" s="5"/>
      <c r="AE203" s="5"/>
      <c r="AF203" s="5">
        <f t="shared" si="65"/>
        <v>2</v>
      </c>
      <c r="AG203" s="5">
        <f t="shared" si="66"/>
        <v>2</v>
      </c>
      <c r="AH203" s="5" t="str">
        <f t="shared" si="67"/>
        <v>Correct</v>
      </c>
      <c r="AI203" s="5"/>
      <c r="AJ203" s="120" t="str">
        <f>IFERROR(VLOOKUP(Table1[RespondentID],'All Data'!$A$3:$CO$999,87,FALSE),"unknown")</f>
        <v>Man</v>
      </c>
      <c r="AK203" s="120">
        <f>IFERROR(VLOOKUP(Table1[RespondentID],'All Data'!$A$3:$CO$999,88,FALSE),"unknown")</f>
        <v>23</v>
      </c>
      <c r="AL203" s="120" t="str">
        <f>IFERROR(VLOOKUP(Table1[RespondentID],'All Data'!$A$3:$CO$999,89,FALSE),"unknown")</f>
        <v>Suffolk</v>
      </c>
      <c r="AM203" s="120" t="str">
        <f>IFERROR(VLOOKUP(Table1[RespondentID],'All Data'!$A$3:$CO$999,90,FALSE),"unknown")</f>
        <v>Saint James, 11780</v>
      </c>
      <c r="AN203" s="120" t="str">
        <f>IFERROR(VLOOKUP(Table1[RespondentID],'All Data'!$A$3:$CO$999,91,FALSE),"unknown")</f>
        <v>White</v>
      </c>
      <c r="AO203" s="120" t="str">
        <f>IFERROR(VLOOKUP(Table1[RespondentID],'All Data'!$A$3:$CO$999,92,FALSE),"unknown")</f>
        <v>Hispanic or Latino</v>
      </c>
      <c r="AP203" s="120" t="str">
        <f>IFERROR(VLOOKUP(Table1[RespondentID],'All Data'!$A$3:$CO$999,93,FALSE),"unknown")</f>
        <v>English</v>
      </c>
      <c r="AQ203" s="120" t="str">
        <f>IFERROR(VLOOKUP(Table1[RespondentID],'All Data'!$A$3:$CW$999,94,FALSE),"unknown")</f>
        <v>$0-$19,999</v>
      </c>
      <c r="AR203" s="120" t="str">
        <f>IFERROR(VLOOKUP(Table1[RespondentID],'All Data'!$A$3:$CW$999,95,FALSE),"unknown")</f>
        <v>Graduate school</v>
      </c>
      <c r="AS203" s="120" t="str">
        <f>IFERROR(VLOOKUP(Table1[RespondentID],'All Data'!$A$3:$CW$999,96,FALSE),"unknown")</f>
        <v>Employed for wages</v>
      </c>
      <c r="AT203" s="120" t="str">
        <f>IFERROR(VLOOKUP(Table1[RespondentID],'All Data'!$A$3:$CW$999,97,FALSE),"unknown")</f>
        <v>Yes</v>
      </c>
      <c r="AU203" s="120">
        <f>IFERROR(VLOOKUP(Table1[RespondentID],'All Data'!$A$3:$CW$999,98,FALSE),"unknown")</f>
        <v>0</v>
      </c>
      <c r="AV203" s="120">
        <f>IFERROR(VLOOKUP(Table1[RespondentID],'All Data'!$A$3:$CW$999,99,FALSE),"unknown")</f>
        <v>0</v>
      </c>
    </row>
    <row r="204" spans="1:48">
      <c r="A204" s="5">
        <v>18019480837</v>
      </c>
      <c r="B204" s="5" t="s">
        <v>38</v>
      </c>
      <c r="C204" s="5"/>
      <c r="D204" s="5"/>
      <c r="E204" s="5"/>
      <c r="F204" s="5"/>
      <c r="G204" s="5"/>
      <c r="H204" s="5"/>
      <c r="I204" s="5"/>
      <c r="J204" s="5"/>
      <c r="K204" s="5"/>
      <c r="L204" s="5"/>
      <c r="M204" s="5"/>
      <c r="N204" s="5"/>
      <c r="O204" s="5">
        <f t="shared" si="51"/>
        <v>1</v>
      </c>
      <c r="P204" s="5">
        <f t="shared" si="52"/>
        <v>3</v>
      </c>
      <c r="Q204" s="5"/>
      <c r="R204" s="5">
        <f t="shared" si="53"/>
        <v>1</v>
      </c>
      <c r="S204" s="5">
        <f t="shared" si="54"/>
        <v>0</v>
      </c>
      <c r="T204" s="5">
        <f t="shared" si="55"/>
        <v>0</v>
      </c>
      <c r="U204" s="5">
        <f t="shared" si="56"/>
        <v>0</v>
      </c>
      <c r="V204" s="5">
        <f t="shared" si="57"/>
        <v>0</v>
      </c>
      <c r="W204" s="5">
        <f t="shared" si="58"/>
        <v>0</v>
      </c>
      <c r="X204" s="5">
        <f t="shared" si="59"/>
        <v>0</v>
      </c>
      <c r="Y204" s="5">
        <f t="shared" si="60"/>
        <v>0</v>
      </c>
      <c r="Z204" s="5">
        <f t="shared" si="61"/>
        <v>0</v>
      </c>
      <c r="AA204" s="5">
        <f t="shared" si="62"/>
        <v>0</v>
      </c>
      <c r="AB204" s="5">
        <f t="shared" si="63"/>
        <v>0</v>
      </c>
      <c r="AC204" s="5">
        <f t="shared" si="64"/>
        <v>0</v>
      </c>
      <c r="AD204" s="5"/>
      <c r="AE204" s="5"/>
      <c r="AF204" s="5">
        <f t="shared" si="65"/>
        <v>1</v>
      </c>
      <c r="AG204" s="5">
        <f t="shared" si="66"/>
        <v>1</v>
      </c>
      <c r="AH204" s="5" t="str">
        <f t="shared" si="67"/>
        <v>Correct</v>
      </c>
      <c r="AI204" s="5"/>
      <c r="AJ204" s="120" t="str">
        <f>IFERROR(VLOOKUP(Table1[RespondentID],'All Data'!$A$3:$CO$999,87,FALSE),"unknown")</f>
        <v>Woman</v>
      </c>
      <c r="AK204" s="120">
        <f>IFERROR(VLOOKUP(Table1[RespondentID],'All Data'!$A$3:$CO$999,88,FALSE),"unknown")</f>
        <v>49</v>
      </c>
      <c r="AL204" s="120" t="str">
        <f>IFERROR(VLOOKUP(Table1[RespondentID],'All Data'!$A$3:$CO$999,89,FALSE),"unknown")</f>
        <v>Suffolk</v>
      </c>
      <c r="AM204" s="120" t="str">
        <f>IFERROR(VLOOKUP(Table1[RespondentID],'All Data'!$A$3:$CO$999,90,FALSE),"unknown")</f>
        <v>Smithtown, 11787</v>
      </c>
      <c r="AN204" s="120" t="str">
        <f>IFERROR(VLOOKUP(Table1[RespondentID],'All Data'!$A$3:$CO$999,91,FALSE),"unknown")</f>
        <v>White</v>
      </c>
      <c r="AO204" s="120" t="str">
        <f>IFERROR(VLOOKUP(Table1[RespondentID],'All Data'!$A$3:$CO$999,92,FALSE),"unknown")</f>
        <v>Hispanic or Latino</v>
      </c>
      <c r="AP204" s="120" t="str">
        <f>IFERROR(VLOOKUP(Table1[RespondentID],'All Data'!$A$3:$CO$999,93,FALSE),"unknown")</f>
        <v>English</v>
      </c>
      <c r="AQ204" s="120" t="str">
        <f>IFERROR(VLOOKUP(Table1[RespondentID],'All Data'!$A$3:$CW$999,94,FALSE),"unknown")</f>
        <v>$50,000 to $74,999</v>
      </c>
      <c r="AR204" s="120" t="str">
        <f>IFERROR(VLOOKUP(Table1[RespondentID],'All Data'!$A$3:$CW$999,95,FALSE),"unknown")</f>
        <v>High school graduate</v>
      </c>
      <c r="AS204" s="120" t="str">
        <f>IFERROR(VLOOKUP(Table1[RespondentID],'All Data'!$A$3:$CW$999,96,FALSE),"unknown")</f>
        <v>Self-employed</v>
      </c>
      <c r="AT204" s="120" t="str">
        <f>IFERROR(VLOOKUP(Table1[RespondentID],'All Data'!$A$3:$CW$999,97,FALSE),"unknown")</f>
        <v>Yes</v>
      </c>
      <c r="AU204" s="120">
        <f>IFERROR(VLOOKUP(Table1[RespondentID],'All Data'!$A$3:$CW$999,98,FALSE),"unknown")</f>
        <v>0</v>
      </c>
      <c r="AV204" s="120">
        <f>IFERROR(VLOOKUP(Table1[RespondentID],'All Data'!$A$3:$CW$999,99,FALSE),"unknown")</f>
        <v>0</v>
      </c>
    </row>
    <row r="205" spans="1:48">
      <c r="A205" s="5">
        <v>18019480727</v>
      </c>
      <c r="B205" s="5"/>
      <c r="C205" s="5"/>
      <c r="D205" s="5"/>
      <c r="E205" s="5"/>
      <c r="F205" s="5"/>
      <c r="G205" s="5"/>
      <c r="H205" s="5" t="s">
        <v>43</v>
      </c>
      <c r="I205" s="5"/>
      <c r="J205" s="5"/>
      <c r="K205" s="5" t="s">
        <v>46</v>
      </c>
      <c r="L205" s="5" t="s">
        <v>47</v>
      </c>
      <c r="M205" s="5"/>
      <c r="N205" s="5"/>
      <c r="O205" s="5">
        <f t="shared" si="51"/>
        <v>3</v>
      </c>
      <c r="P205" s="5">
        <f t="shared" si="52"/>
        <v>1</v>
      </c>
      <c r="Q205" s="5"/>
      <c r="R205" s="5">
        <f t="shared" si="53"/>
        <v>0</v>
      </c>
      <c r="S205" s="5">
        <f t="shared" si="54"/>
        <v>0</v>
      </c>
      <c r="T205" s="5">
        <f t="shared" si="55"/>
        <v>0</v>
      </c>
      <c r="U205" s="5">
        <f t="shared" si="56"/>
        <v>0</v>
      </c>
      <c r="V205" s="5">
        <f t="shared" si="57"/>
        <v>0</v>
      </c>
      <c r="W205" s="5">
        <f t="shared" si="58"/>
        <v>0</v>
      </c>
      <c r="X205" s="5">
        <f t="shared" si="59"/>
        <v>1</v>
      </c>
      <c r="Y205" s="5">
        <f t="shared" si="60"/>
        <v>0</v>
      </c>
      <c r="Z205" s="5">
        <f t="shared" si="61"/>
        <v>0</v>
      </c>
      <c r="AA205" s="5">
        <f t="shared" si="62"/>
        <v>1</v>
      </c>
      <c r="AB205" s="5">
        <f t="shared" si="63"/>
        <v>1</v>
      </c>
      <c r="AC205" s="5">
        <f t="shared" si="64"/>
        <v>0</v>
      </c>
      <c r="AD205" s="5"/>
      <c r="AE205" s="5"/>
      <c r="AF205" s="5">
        <f t="shared" si="65"/>
        <v>3</v>
      </c>
      <c r="AG205" s="5">
        <f t="shared" si="66"/>
        <v>3</v>
      </c>
      <c r="AH205" s="5" t="str">
        <f t="shared" si="67"/>
        <v>Correct</v>
      </c>
      <c r="AI205" s="5"/>
      <c r="AJ205" s="120" t="str">
        <f>IFERROR(VLOOKUP(Table1[RespondentID],'All Data'!$A$3:$CO$999,87,FALSE),"unknown")</f>
        <v>Man</v>
      </c>
      <c r="AK205" s="120">
        <f>IFERROR(VLOOKUP(Table1[RespondentID],'All Data'!$A$3:$CO$999,88,FALSE),"unknown")</f>
        <v>50</v>
      </c>
      <c r="AL205" s="120" t="str">
        <f>IFERROR(VLOOKUP(Table1[RespondentID],'All Data'!$A$3:$CO$999,89,FALSE),"unknown")</f>
        <v>Suffolk</v>
      </c>
      <c r="AM205" s="120" t="str">
        <f>IFERROR(VLOOKUP(Table1[RespondentID],'All Data'!$A$3:$CO$999,90,FALSE),"unknown")</f>
        <v>Saint James, 11780</v>
      </c>
      <c r="AN205" s="120" t="str">
        <f>IFERROR(VLOOKUP(Table1[RespondentID],'All Data'!$A$3:$CO$999,91,FALSE),"unknown")</f>
        <v>White</v>
      </c>
      <c r="AO205" s="120" t="str">
        <f>IFERROR(VLOOKUP(Table1[RespondentID],'All Data'!$A$3:$CO$999,92,FALSE),"unknown")</f>
        <v>Hispanic or Latino</v>
      </c>
      <c r="AP205" s="120" t="str">
        <f>IFERROR(VLOOKUP(Table1[RespondentID],'All Data'!$A$3:$CO$999,93,FALSE),"unknown")</f>
        <v>English</v>
      </c>
      <c r="AQ205" s="120" t="str">
        <f>IFERROR(VLOOKUP(Table1[RespondentID],'All Data'!$A$3:$CW$999,94,FALSE),"unknown")</f>
        <v>$50,000 to $74,999</v>
      </c>
      <c r="AR205" s="120" t="str">
        <f>IFERROR(VLOOKUP(Table1[RespondentID],'All Data'!$A$3:$CW$999,95,FALSE),"unknown")</f>
        <v>Some college</v>
      </c>
      <c r="AS205" s="120" t="str">
        <f>IFERROR(VLOOKUP(Table1[RespondentID],'All Data'!$A$3:$CW$999,96,FALSE),"unknown")</f>
        <v>Out of work, but not currently looking</v>
      </c>
      <c r="AT205" s="120" t="str">
        <f>IFERROR(VLOOKUP(Table1[RespondentID],'All Data'!$A$3:$CW$999,97,FALSE),"unknown")</f>
        <v>Yes</v>
      </c>
      <c r="AU205" s="120">
        <f>IFERROR(VLOOKUP(Table1[RespondentID],'All Data'!$A$3:$CW$999,98,FALSE),"unknown")</f>
        <v>0</v>
      </c>
      <c r="AV205" s="120">
        <f>IFERROR(VLOOKUP(Table1[RespondentID],'All Data'!$A$3:$CW$999,99,FALSE),"unknown")</f>
        <v>0</v>
      </c>
    </row>
    <row r="206" spans="1:48">
      <c r="A206" s="5">
        <v>18019480579</v>
      </c>
      <c r="B206" s="5"/>
      <c r="C206" s="5" t="s">
        <v>39</v>
      </c>
      <c r="D206" s="5" t="s">
        <v>40</v>
      </c>
      <c r="E206" s="5"/>
      <c r="F206" s="5"/>
      <c r="G206" s="5"/>
      <c r="H206" s="5"/>
      <c r="I206" s="5"/>
      <c r="J206" s="5"/>
      <c r="K206" s="5" t="s">
        <v>46</v>
      </c>
      <c r="L206" s="5"/>
      <c r="M206" s="5"/>
      <c r="N206" s="5"/>
      <c r="O206" s="5">
        <f t="shared" si="51"/>
        <v>3</v>
      </c>
      <c r="P206" s="5">
        <f t="shared" si="52"/>
        <v>1</v>
      </c>
      <c r="Q206" s="5"/>
      <c r="R206" s="5">
        <f t="shared" si="53"/>
        <v>0</v>
      </c>
      <c r="S206" s="5">
        <f t="shared" si="54"/>
        <v>1</v>
      </c>
      <c r="T206" s="5">
        <f t="shared" si="55"/>
        <v>1</v>
      </c>
      <c r="U206" s="5">
        <f t="shared" si="56"/>
        <v>0</v>
      </c>
      <c r="V206" s="5">
        <f t="shared" si="57"/>
        <v>0</v>
      </c>
      <c r="W206" s="5">
        <f t="shared" si="58"/>
        <v>0</v>
      </c>
      <c r="X206" s="5">
        <f t="shared" si="59"/>
        <v>0</v>
      </c>
      <c r="Y206" s="5">
        <f t="shared" si="60"/>
        <v>0</v>
      </c>
      <c r="Z206" s="5">
        <f t="shared" si="61"/>
        <v>0</v>
      </c>
      <c r="AA206" s="5">
        <f t="shared" si="62"/>
        <v>1</v>
      </c>
      <c r="AB206" s="5">
        <f t="shared" si="63"/>
        <v>0</v>
      </c>
      <c r="AC206" s="5">
        <f t="shared" si="64"/>
        <v>0</v>
      </c>
      <c r="AD206" s="5"/>
      <c r="AE206" s="5"/>
      <c r="AF206" s="5">
        <f t="shared" si="65"/>
        <v>3</v>
      </c>
      <c r="AG206" s="5">
        <f t="shared" si="66"/>
        <v>3</v>
      </c>
      <c r="AH206" s="5" t="str">
        <f t="shared" si="67"/>
        <v>Correct</v>
      </c>
      <c r="AI206" s="5"/>
      <c r="AJ206" s="120" t="str">
        <f>IFERROR(VLOOKUP(Table1[RespondentID],'All Data'!$A$3:$CO$999,87,FALSE),"unknown")</f>
        <v>Man</v>
      </c>
      <c r="AK206" s="120">
        <f>IFERROR(VLOOKUP(Table1[RespondentID],'All Data'!$A$3:$CO$999,88,FALSE),"unknown")</f>
        <v>45</v>
      </c>
      <c r="AL206" s="120" t="str">
        <f>IFERROR(VLOOKUP(Table1[RespondentID],'All Data'!$A$3:$CO$999,89,FALSE),"unknown")</f>
        <v>Suffolk</v>
      </c>
      <c r="AM206" s="120" t="str">
        <f>IFERROR(VLOOKUP(Table1[RespondentID],'All Data'!$A$3:$CO$999,90,FALSE),"unknown")</f>
        <v>Saint James, 11780</v>
      </c>
      <c r="AN206" s="120" t="str">
        <f>IFERROR(VLOOKUP(Table1[RespondentID],'All Data'!$A$3:$CO$999,91,FALSE),"unknown")</f>
        <v>White</v>
      </c>
      <c r="AO206" s="120" t="str">
        <f>IFERROR(VLOOKUP(Table1[RespondentID],'All Data'!$A$3:$CO$999,92,FALSE),"unknown")</f>
        <v>Hispanic or Latino</v>
      </c>
      <c r="AP206" s="120" t="str">
        <f>IFERROR(VLOOKUP(Table1[RespondentID],'All Data'!$A$3:$CO$999,93,FALSE),"unknown")</f>
        <v>English</v>
      </c>
      <c r="AQ206" s="120" t="str">
        <f>IFERROR(VLOOKUP(Table1[RespondentID],'All Data'!$A$3:$CW$999,94,FALSE),"unknown")</f>
        <v>$20,000 to $34,999</v>
      </c>
      <c r="AR206" s="120" t="str">
        <f>IFERROR(VLOOKUP(Table1[RespondentID],'All Data'!$A$3:$CW$999,95,FALSE),"unknown")</f>
        <v>High school graduate</v>
      </c>
      <c r="AS206" s="120" t="str">
        <f>IFERROR(VLOOKUP(Table1[RespondentID],'All Data'!$A$3:$CW$999,96,FALSE),"unknown")</f>
        <v>Employed for wages</v>
      </c>
      <c r="AT206" s="120" t="str">
        <f>IFERROR(VLOOKUP(Table1[RespondentID],'All Data'!$A$3:$CW$999,97,FALSE),"unknown")</f>
        <v>Yes</v>
      </c>
      <c r="AU206" s="120">
        <f>IFERROR(VLOOKUP(Table1[RespondentID],'All Data'!$A$3:$CW$999,98,FALSE),"unknown")</f>
        <v>0</v>
      </c>
      <c r="AV206" s="120">
        <f>IFERROR(VLOOKUP(Table1[RespondentID],'All Data'!$A$3:$CW$999,99,FALSE),"unknown")</f>
        <v>0</v>
      </c>
    </row>
    <row r="207" spans="1:48">
      <c r="A207" s="5">
        <v>18019480437</v>
      </c>
      <c r="B207" s="5"/>
      <c r="C207" s="5"/>
      <c r="D207" s="5"/>
      <c r="E207" s="5" t="s">
        <v>41</v>
      </c>
      <c r="F207" s="5"/>
      <c r="G207" s="5"/>
      <c r="H207" s="5"/>
      <c r="I207" s="5"/>
      <c r="J207" s="5"/>
      <c r="K207" s="5"/>
      <c r="L207" s="5"/>
      <c r="M207" s="5"/>
      <c r="N207" s="5"/>
      <c r="O207" s="5">
        <f t="shared" si="51"/>
        <v>1</v>
      </c>
      <c r="P207" s="5">
        <f t="shared" si="52"/>
        <v>3</v>
      </c>
      <c r="Q207" s="5"/>
      <c r="R207" s="5">
        <f t="shared" si="53"/>
        <v>0</v>
      </c>
      <c r="S207" s="5">
        <f t="shared" si="54"/>
        <v>0</v>
      </c>
      <c r="T207" s="5">
        <f t="shared" si="55"/>
        <v>0</v>
      </c>
      <c r="U207" s="5">
        <f t="shared" si="56"/>
        <v>1</v>
      </c>
      <c r="V207" s="5">
        <f t="shared" si="57"/>
        <v>0</v>
      </c>
      <c r="W207" s="5">
        <f t="shared" si="58"/>
        <v>0</v>
      </c>
      <c r="X207" s="5">
        <f t="shared" si="59"/>
        <v>0</v>
      </c>
      <c r="Y207" s="5">
        <f t="shared" si="60"/>
        <v>0</v>
      </c>
      <c r="Z207" s="5">
        <f t="shared" si="61"/>
        <v>0</v>
      </c>
      <c r="AA207" s="5">
        <f t="shared" si="62"/>
        <v>0</v>
      </c>
      <c r="AB207" s="5">
        <f t="shared" si="63"/>
        <v>0</v>
      </c>
      <c r="AC207" s="5">
        <f t="shared" si="64"/>
        <v>0</v>
      </c>
      <c r="AD207" s="5"/>
      <c r="AE207" s="5"/>
      <c r="AF207" s="5">
        <f t="shared" si="65"/>
        <v>1</v>
      </c>
      <c r="AG207" s="5">
        <f t="shared" si="66"/>
        <v>1</v>
      </c>
      <c r="AH207" s="5" t="str">
        <f t="shared" si="67"/>
        <v>Correct</v>
      </c>
      <c r="AI207" s="5"/>
      <c r="AJ207" s="120" t="str">
        <f>IFERROR(VLOOKUP(Table1[RespondentID],'All Data'!$A$3:$CO$999,87,FALSE),"unknown")</f>
        <v>Woman</v>
      </c>
      <c r="AK207" s="120">
        <f>IFERROR(VLOOKUP(Table1[RespondentID],'All Data'!$A$3:$CO$999,88,FALSE),"unknown")</f>
        <v>47</v>
      </c>
      <c r="AL207" s="120" t="str">
        <f>IFERROR(VLOOKUP(Table1[RespondentID],'All Data'!$A$3:$CO$999,89,FALSE),"unknown")</f>
        <v>Suffolk</v>
      </c>
      <c r="AM207" s="120" t="str">
        <f>IFERROR(VLOOKUP(Table1[RespondentID],'All Data'!$A$3:$CO$999,90,FALSE),"unknown")</f>
        <v>Saint James, 11780</v>
      </c>
      <c r="AN207" s="120" t="str">
        <f>IFERROR(VLOOKUP(Table1[RespondentID],'All Data'!$A$3:$CO$999,91,FALSE),"unknown")</f>
        <v>White</v>
      </c>
      <c r="AO207" s="120" t="str">
        <f>IFERROR(VLOOKUP(Table1[RespondentID],'All Data'!$A$3:$CO$999,92,FALSE),"unknown")</f>
        <v>Hispanic or Latino</v>
      </c>
      <c r="AP207" s="120" t="str">
        <f>IFERROR(VLOOKUP(Table1[RespondentID],'All Data'!$A$3:$CO$999,93,FALSE),"unknown")</f>
        <v>English</v>
      </c>
      <c r="AQ207" s="120" t="str">
        <f>IFERROR(VLOOKUP(Table1[RespondentID],'All Data'!$A$3:$CW$999,94,FALSE),"unknown")</f>
        <v>$75,000 to $125,000</v>
      </c>
      <c r="AR207" s="120" t="str">
        <f>IFERROR(VLOOKUP(Table1[RespondentID],'All Data'!$A$3:$CW$999,95,FALSE),"unknown")</f>
        <v>High school graduate</v>
      </c>
      <c r="AS207" s="120" t="str">
        <f>IFERROR(VLOOKUP(Table1[RespondentID],'All Data'!$A$3:$CW$999,96,FALSE),"unknown")</f>
        <v>Self-employed</v>
      </c>
      <c r="AT207" s="120" t="str">
        <f>IFERROR(VLOOKUP(Table1[RespondentID],'All Data'!$A$3:$CW$999,97,FALSE),"unknown")</f>
        <v>No</v>
      </c>
      <c r="AU207" s="120">
        <f>IFERROR(VLOOKUP(Table1[RespondentID],'All Data'!$A$3:$CW$999,98,FALSE),"unknown")</f>
        <v>0</v>
      </c>
      <c r="AV207" s="120">
        <f>IFERROR(VLOOKUP(Table1[RespondentID],'All Data'!$A$3:$CW$999,99,FALSE),"unknown")</f>
        <v>0</v>
      </c>
    </row>
    <row r="208" spans="1:48">
      <c r="A208" s="5">
        <v>18019480319</v>
      </c>
      <c r="B208" s="5"/>
      <c r="C208" s="5" t="s">
        <v>39</v>
      </c>
      <c r="D208" s="5"/>
      <c r="E208" s="5" t="s">
        <v>41</v>
      </c>
      <c r="F208" s="5"/>
      <c r="G208" s="5"/>
      <c r="H208" s="5" t="s">
        <v>43</v>
      </c>
      <c r="I208" s="5"/>
      <c r="J208" s="5"/>
      <c r="K208" s="5"/>
      <c r="L208" s="5"/>
      <c r="M208" s="5"/>
      <c r="N208" s="5"/>
      <c r="O208" s="5">
        <f t="shared" si="51"/>
        <v>3</v>
      </c>
      <c r="P208" s="5">
        <f t="shared" si="52"/>
        <v>1</v>
      </c>
      <c r="Q208" s="5"/>
      <c r="R208" s="5">
        <f t="shared" si="53"/>
        <v>0</v>
      </c>
      <c r="S208" s="5">
        <f t="shared" si="54"/>
        <v>1</v>
      </c>
      <c r="T208" s="5">
        <f t="shared" si="55"/>
        <v>0</v>
      </c>
      <c r="U208" s="5">
        <f t="shared" si="56"/>
        <v>1</v>
      </c>
      <c r="V208" s="5">
        <f t="shared" si="57"/>
        <v>0</v>
      </c>
      <c r="W208" s="5">
        <f t="shared" si="58"/>
        <v>0</v>
      </c>
      <c r="X208" s="5">
        <f t="shared" si="59"/>
        <v>1</v>
      </c>
      <c r="Y208" s="5">
        <f t="shared" si="60"/>
        <v>0</v>
      </c>
      <c r="Z208" s="5">
        <f t="shared" si="61"/>
        <v>0</v>
      </c>
      <c r="AA208" s="5">
        <f t="shared" si="62"/>
        <v>0</v>
      </c>
      <c r="AB208" s="5">
        <f t="shared" si="63"/>
        <v>0</v>
      </c>
      <c r="AC208" s="5">
        <f t="shared" si="64"/>
        <v>0</v>
      </c>
      <c r="AD208" s="5"/>
      <c r="AE208" s="5"/>
      <c r="AF208" s="5">
        <f t="shared" si="65"/>
        <v>3</v>
      </c>
      <c r="AG208" s="5">
        <f t="shared" si="66"/>
        <v>3</v>
      </c>
      <c r="AH208" s="5" t="str">
        <f t="shared" si="67"/>
        <v>Correct</v>
      </c>
      <c r="AI208" s="5"/>
      <c r="AJ208" s="120" t="str">
        <f>IFERROR(VLOOKUP(Table1[RespondentID],'All Data'!$A$3:$CO$999,87,FALSE),"unknown")</f>
        <v>Woman</v>
      </c>
      <c r="AK208" s="120">
        <f>IFERROR(VLOOKUP(Table1[RespondentID],'All Data'!$A$3:$CO$999,88,FALSE),"unknown")</f>
        <v>65</v>
      </c>
      <c r="AL208" s="120" t="str">
        <f>IFERROR(VLOOKUP(Table1[RespondentID],'All Data'!$A$3:$CO$999,89,FALSE),"unknown")</f>
        <v>Suffolk</v>
      </c>
      <c r="AM208" s="120" t="str">
        <f>IFERROR(VLOOKUP(Table1[RespondentID],'All Data'!$A$3:$CO$999,90,FALSE),"unknown")</f>
        <v>Kings Park, 11754</v>
      </c>
      <c r="AN208" s="120" t="str">
        <f>IFERROR(VLOOKUP(Table1[RespondentID],'All Data'!$A$3:$CO$999,91,FALSE),"unknown")</f>
        <v>White</v>
      </c>
      <c r="AO208" s="120" t="str">
        <f>IFERROR(VLOOKUP(Table1[RespondentID],'All Data'!$A$3:$CO$999,92,FALSE),"unknown")</f>
        <v>Hispanic or Latino</v>
      </c>
      <c r="AP208" s="120" t="str">
        <f>IFERROR(VLOOKUP(Table1[RespondentID],'All Data'!$A$3:$CO$999,93,FALSE),"unknown")</f>
        <v>English</v>
      </c>
      <c r="AQ208" s="120">
        <f>IFERROR(VLOOKUP(Table1[RespondentID],'All Data'!$A$3:$CW$999,94,FALSE),"unknown")</f>
        <v>0</v>
      </c>
      <c r="AR208" s="120" t="str">
        <f>IFERROR(VLOOKUP(Table1[RespondentID],'All Data'!$A$3:$CW$999,95,FALSE),"unknown")</f>
        <v>High school graduate</v>
      </c>
      <c r="AS208" s="120" t="str">
        <f>IFERROR(VLOOKUP(Table1[RespondentID],'All Data'!$A$3:$CW$999,96,FALSE),"unknown")</f>
        <v>Retired</v>
      </c>
      <c r="AT208" s="120" t="str">
        <f>IFERROR(VLOOKUP(Table1[RespondentID],'All Data'!$A$3:$CW$999,97,FALSE),"unknown")</f>
        <v>Yes</v>
      </c>
      <c r="AU208" s="120">
        <f>IFERROR(VLOOKUP(Table1[RespondentID],'All Data'!$A$3:$CW$999,98,FALSE),"unknown")</f>
        <v>0</v>
      </c>
      <c r="AV208" s="120">
        <f>IFERROR(VLOOKUP(Table1[RespondentID],'All Data'!$A$3:$CW$999,99,FALSE),"unknown")</f>
        <v>0</v>
      </c>
    </row>
    <row r="209" spans="1:48">
      <c r="A209" s="5">
        <v>18019480185</v>
      </c>
      <c r="B209" s="5" t="s">
        <v>38</v>
      </c>
      <c r="C209" s="5" t="s">
        <v>39</v>
      </c>
      <c r="D209" s="5"/>
      <c r="E209" s="5" t="s">
        <v>41</v>
      </c>
      <c r="F209" s="5"/>
      <c r="G209" s="5"/>
      <c r="H209" s="5"/>
      <c r="I209" s="5"/>
      <c r="J209" s="5" t="s">
        <v>45</v>
      </c>
      <c r="K209" s="5"/>
      <c r="L209" s="5"/>
      <c r="M209" s="5"/>
      <c r="N209" s="5"/>
      <c r="O209" s="5">
        <f t="shared" si="51"/>
        <v>4</v>
      </c>
      <c r="P209" s="5">
        <f t="shared" si="52"/>
        <v>0.75</v>
      </c>
      <c r="Q209" s="5"/>
      <c r="R209" s="5">
        <f t="shared" si="53"/>
        <v>0.75</v>
      </c>
      <c r="S209" s="5">
        <f t="shared" si="54"/>
        <v>0.75</v>
      </c>
      <c r="T209" s="5">
        <f t="shared" si="55"/>
        <v>0</v>
      </c>
      <c r="U209" s="5">
        <f t="shared" si="56"/>
        <v>0.75</v>
      </c>
      <c r="V209" s="5">
        <f t="shared" si="57"/>
        <v>0</v>
      </c>
      <c r="W209" s="5">
        <f t="shared" si="58"/>
        <v>0</v>
      </c>
      <c r="X209" s="5">
        <f t="shared" si="59"/>
        <v>0</v>
      </c>
      <c r="Y209" s="5">
        <f t="shared" si="60"/>
        <v>0</v>
      </c>
      <c r="Z209" s="5">
        <f t="shared" si="61"/>
        <v>0.75</v>
      </c>
      <c r="AA209" s="5">
        <f t="shared" si="62"/>
        <v>0</v>
      </c>
      <c r="AB209" s="5">
        <f t="shared" si="63"/>
        <v>0</v>
      </c>
      <c r="AC209" s="5">
        <f t="shared" si="64"/>
        <v>0</v>
      </c>
      <c r="AD209" s="5"/>
      <c r="AE209" s="5"/>
      <c r="AF209" s="5">
        <f t="shared" si="65"/>
        <v>3</v>
      </c>
      <c r="AG209" s="5">
        <f t="shared" si="66"/>
        <v>4</v>
      </c>
      <c r="AH209" s="5" t="str">
        <f t="shared" si="67"/>
        <v>Correct</v>
      </c>
      <c r="AI209" s="5"/>
      <c r="AJ209" s="120" t="str">
        <f>IFERROR(VLOOKUP(Table1[RespondentID],'All Data'!$A$3:$CO$999,87,FALSE),"unknown")</f>
        <v>Woman</v>
      </c>
      <c r="AK209" s="120">
        <f>IFERROR(VLOOKUP(Table1[RespondentID],'All Data'!$A$3:$CO$999,88,FALSE),"unknown")</f>
        <v>44</v>
      </c>
      <c r="AL209" s="120" t="str">
        <f>IFERROR(VLOOKUP(Table1[RespondentID],'All Data'!$A$3:$CO$999,89,FALSE),"unknown")</f>
        <v>Suffolk</v>
      </c>
      <c r="AM209" s="120" t="str">
        <f>IFERROR(VLOOKUP(Table1[RespondentID],'All Data'!$A$3:$CO$999,90,FALSE),"unknown")</f>
        <v>Nesconset, 11767</v>
      </c>
      <c r="AN209" s="120" t="str">
        <f>IFERROR(VLOOKUP(Table1[RespondentID],'All Data'!$A$3:$CO$999,91,FALSE),"unknown")</f>
        <v>White</v>
      </c>
      <c r="AO209" s="120" t="str">
        <f>IFERROR(VLOOKUP(Table1[RespondentID],'All Data'!$A$3:$CO$999,92,FALSE),"unknown")</f>
        <v>Hispanic or Latino</v>
      </c>
      <c r="AP209" s="120" t="str">
        <f>IFERROR(VLOOKUP(Table1[RespondentID],'All Data'!$A$3:$CO$999,93,FALSE),"unknown")</f>
        <v>English</v>
      </c>
      <c r="AQ209" s="120" t="str">
        <f>IFERROR(VLOOKUP(Table1[RespondentID],'All Data'!$A$3:$CW$999,94,FALSE),"unknown")</f>
        <v>Over $125,000</v>
      </c>
      <c r="AR209" s="120" t="str">
        <f>IFERROR(VLOOKUP(Table1[RespondentID],'All Data'!$A$3:$CW$999,95,FALSE),"unknown")</f>
        <v>College graduate</v>
      </c>
      <c r="AS209" s="120" t="str">
        <f>IFERROR(VLOOKUP(Table1[RespondentID],'All Data'!$A$3:$CW$999,96,FALSE),"unknown")</f>
        <v>Self-employed</v>
      </c>
      <c r="AT209" s="120" t="str">
        <f>IFERROR(VLOOKUP(Table1[RespondentID],'All Data'!$A$3:$CW$999,97,FALSE),"unknown")</f>
        <v>Yes</v>
      </c>
      <c r="AU209" s="120">
        <f>IFERROR(VLOOKUP(Table1[RespondentID],'All Data'!$A$3:$CW$999,98,FALSE),"unknown")</f>
        <v>0</v>
      </c>
      <c r="AV209" s="120">
        <f>IFERROR(VLOOKUP(Table1[RespondentID],'All Data'!$A$3:$CW$999,99,FALSE),"unknown")</f>
        <v>0</v>
      </c>
    </row>
    <row r="210" spans="1:48">
      <c r="A210" s="5">
        <v>18019479995</v>
      </c>
      <c r="B210" s="5" t="s">
        <v>38</v>
      </c>
      <c r="C210" s="5"/>
      <c r="D210" s="5"/>
      <c r="E210" s="5"/>
      <c r="F210" s="5"/>
      <c r="G210" s="5"/>
      <c r="H210" s="5"/>
      <c r="I210" s="5"/>
      <c r="J210" s="5"/>
      <c r="K210" s="5"/>
      <c r="L210" s="5"/>
      <c r="M210" s="5"/>
      <c r="N210" s="5"/>
      <c r="O210" s="5">
        <f t="shared" si="51"/>
        <v>1</v>
      </c>
      <c r="P210" s="5">
        <f t="shared" si="52"/>
        <v>3</v>
      </c>
      <c r="Q210" s="5"/>
      <c r="R210" s="5">
        <f t="shared" si="53"/>
        <v>1</v>
      </c>
      <c r="S210" s="5">
        <f t="shared" si="54"/>
        <v>0</v>
      </c>
      <c r="T210" s="5">
        <f t="shared" si="55"/>
        <v>0</v>
      </c>
      <c r="U210" s="5">
        <f t="shared" si="56"/>
        <v>0</v>
      </c>
      <c r="V210" s="5">
        <f t="shared" si="57"/>
        <v>0</v>
      </c>
      <c r="W210" s="5">
        <f t="shared" si="58"/>
        <v>0</v>
      </c>
      <c r="X210" s="5">
        <f t="shared" si="59"/>
        <v>0</v>
      </c>
      <c r="Y210" s="5">
        <f t="shared" si="60"/>
        <v>0</v>
      </c>
      <c r="Z210" s="5">
        <f t="shared" si="61"/>
        <v>0</v>
      </c>
      <c r="AA210" s="5">
        <f t="shared" si="62"/>
        <v>0</v>
      </c>
      <c r="AB210" s="5">
        <f t="shared" si="63"/>
        <v>0</v>
      </c>
      <c r="AC210" s="5">
        <f t="shared" si="64"/>
        <v>0</v>
      </c>
      <c r="AD210" s="5"/>
      <c r="AE210" s="5"/>
      <c r="AF210" s="5">
        <f t="shared" si="65"/>
        <v>1</v>
      </c>
      <c r="AG210" s="5">
        <f t="shared" si="66"/>
        <v>1</v>
      </c>
      <c r="AH210" s="5" t="str">
        <f t="shared" si="67"/>
        <v>Correct</v>
      </c>
      <c r="AI210" s="5"/>
      <c r="AJ210" s="120" t="str">
        <f>IFERROR(VLOOKUP(Table1[RespondentID],'All Data'!$A$3:$CO$999,87,FALSE),"unknown")</f>
        <v>Man</v>
      </c>
      <c r="AK210" s="120">
        <f>IFERROR(VLOOKUP(Table1[RespondentID],'All Data'!$A$3:$CO$999,88,FALSE),"unknown")</f>
        <v>50</v>
      </c>
      <c r="AL210" s="120" t="str">
        <f>IFERROR(VLOOKUP(Table1[RespondentID],'All Data'!$A$3:$CO$999,89,FALSE),"unknown")</f>
        <v>Suffolk</v>
      </c>
      <c r="AM210" s="120" t="str">
        <f>IFERROR(VLOOKUP(Table1[RespondentID],'All Data'!$A$3:$CO$999,90,FALSE),"unknown")</f>
        <v>Huntington, 11743</v>
      </c>
      <c r="AN210" s="120" t="str">
        <f>IFERROR(VLOOKUP(Table1[RespondentID],'All Data'!$A$3:$CO$999,91,FALSE),"unknown")</f>
        <v>White</v>
      </c>
      <c r="AO210" s="120" t="str">
        <f>IFERROR(VLOOKUP(Table1[RespondentID],'All Data'!$A$3:$CO$999,92,FALSE),"unknown")</f>
        <v>Hispanic or Latino</v>
      </c>
      <c r="AP210" s="120" t="str">
        <f>IFERROR(VLOOKUP(Table1[RespondentID],'All Data'!$A$3:$CO$999,93,FALSE),"unknown")</f>
        <v>English</v>
      </c>
      <c r="AQ210" s="120" t="str">
        <f>IFERROR(VLOOKUP(Table1[RespondentID],'All Data'!$A$3:$CW$999,94,FALSE),"unknown")</f>
        <v>Over $125,000</v>
      </c>
      <c r="AR210" s="120" t="str">
        <f>IFERROR(VLOOKUP(Table1[RespondentID],'All Data'!$A$3:$CW$999,95,FALSE),"unknown")</f>
        <v>College graduate</v>
      </c>
      <c r="AS210" s="120" t="str">
        <f>IFERROR(VLOOKUP(Table1[RespondentID],'All Data'!$A$3:$CW$999,96,FALSE),"unknown")</f>
        <v>Employed for wages</v>
      </c>
      <c r="AT210" s="120" t="str">
        <f>IFERROR(VLOOKUP(Table1[RespondentID],'All Data'!$A$3:$CW$999,97,FALSE),"unknown")</f>
        <v>Yes</v>
      </c>
      <c r="AU210" s="120">
        <f>IFERROR(VLOOKUP(Table1[RespondentID],'All Data'!$A$3:$CW$999,98,FALSE),"unknown")</f>
        <v>0</v>
      </c>
      <c r="AV210" s="120">
        <f>IFERROR(VLOOKUP(Table1[RespondentID],'All Data'!$A$3:$CW$999,99,FALSE),"unknown")</f>
        <v>0</v>
      </c>
    </row>
    <row r="211" spans="1:48">
      <c r="A211" s="5">
        <v>18019479757</v>
      </c>
      <c r="B211" s="5"/>
      <c r="C211" s="5"/>
      <c r="D211" s="5"/>
      <c r="E211" s="5"/>
      <c r="F211" s="5"/>
      <c r="G211" s="5" t="s">
        <v>37</v>
      </c>
      <c r="H211" s="5"/>
      <c r="I211" s="5" t="s">
        <v>44</v>
      </c>
      <c r="J211" s="5"/>
      <c r="K211" s="5"/>
      <c r="L211" s="5"/>
      <c r="M211" s="5" t="s">
        <v>48</v>
      </c>
      <c r="N211" s="5"/>
      <c r="O211" s="5">
        <f t="shared" si="51"/>
        <v>3</v>
      </c>
      <c r="P211" s="5">
        <f t="shared" si="52"/>
        <v>1</v>
      </c>
      <c r="Q211" s="5"/>
      <c r="R211" s="5">
        <f t="shared" si="53"/>
        <v>0</v>
      </c>
      <c r="S211" s="5">
        <f t="shared" si="54"/>
        <v>0</v>
      </c>
      <c r="T211" s="5">
        <f t="shared" si="55"/>
        <v>0</v>
      </c>
      <c r="U211" s="5">
        <f t="shared" si="56"/>
        <v>0</v>
      </c>
      <c r="V211" s="5">
        <f t="shared" si="57"/>
        <v>0</v>
      </c>
      <c r="W211" s="5">
        <f t="shared" si="58"/>
        <v>1</v>
      </c>
      <c r="X211" s="5">
        <f t="shared" si="59"/>
        <v>0</v>
      </c>
      <c r="Y211" s="5">
        <f t="shared" si="60"/>
        <v>1</v>
      </c>
      <c r="Z211" s="5">
        <f t="shared" si="61"/>
        <v>0</v>
      </c>
      <c r="AA211" s="5">
        <f t="shared" si="62"/>
        <v>0</v>
      </c>
      <c r="AB211" s="5">
        <f t="shared" si="63"/>
        <v>0</v>
      </c>
      <c r="AC211" s="5">
        <f t="shared" si="64"/>
        <v>1</v>
      </c>
      <c r="AD211" s="5"/>
      <c r="AE211" s="5"/>
      <c r="AF211" s="5">
        <f t="shared" si="65"/>
        <v>3</v>
      </c>
      <c r="AG211" s="5">
        <f t="shared" si="66"/>
        <v>3</v>
      </c>
      <c r="AH211" s="5" t="str">
        <f t="shared" si="67"/>
        <v>Correct</v>
      </c>
      <c r="AI211" s="5"/>
      <c r="AJ211" s="120" t="str">
        <f>IFERROR(VLOOKUP(Table1[RespondentID],'All Data'!$A$3:$CO$999,87,FALSE),"unknown")</f>
        <v>Woman</v>
      </c>
      <c r="AK211" s="120">
        <f>IFERROR(VLOOKUP(Table1[RespondentID],'All Data'!$A$3:$CO$999,88,FALSE),"unknown")</f>
        <v>22</v>
      </c>
      <c r="AL211" s="120" t="str">
        <f>IFERROR(VLOOKUP(Table1[RespondentID],'All Data'!$A$3:$CO$999,89,FALSE),"unknown")</f>
        <v>Nassau</v>
      </c>
      <c r="AM211" s="120" t="str">
        <f>IFERROR(VLOOKUP(Table1[RespondentID],'All Data'!$A$3:$CO$999,90,FALSE),"unknown")</f>
        <v>Garden City, 11531</v>
      </c>
      <c r="AN211" s="120">
        <f>IFERROR(VLOOKUP(Table1[RespondentID],'All Data'!$A$3:$CO$999,91,FALSE),"unknown")</f>
        <v>0</v>
      </c>
      <c r="AO211" s="120">
        <f>IFERROR(VLOOKUP(Table1[RespondentID],'All Data'!$A$3:$CO$999,92,FALSE),"unknown")</f>
        <v>0</v>
      </c>
      <c r="AP211" s="120">
        <f>IFERROR(VLOOKUP(Table1[RespondentID],'All Data'!$A$3:$CO$999,93,FALSE),"unknown")</f>
        <v>0</v>
      </c>
      <c r="AQ211" s="120">
        <f>IFERROR(VLOOKUP(Table1[RespondentID],'All Data'!$A$3:$CW$999,94,FALSE),"unknown")</f>
        <v>0</v>
      </c>
      <c r="AR211" s="120">
        <f>IFERROR(VLOOKUP(Table1[RespondentID],'All Data'!$A$3:$CW$999,95,FALSE),"unknown")</f>
        <v>0</v>
      </c>
      <c r="AS211" s="120">
        <f>IFERROR(VLOOKUP(Table1[RespondentID],'All Data'!$A$3:$CW$999,96,FALSE),"unknown")</f>
        <v>0</v>
      </c>
      <c r="AT211" s="120">
        <f>IFERROR(VLOOKUP(Table1[RespondentID],'All Data'!$A$3:$CW$999,97,FALSE),"unknown")</f>
        <v>0</v>
      </c>
      <c r="AU211" s="120">
        <f>IFERROR(VLOOKUP(Table1[RespondentID],'All Data'!$A$3:$CW$999,98,FALSE),"unknown")</f>
        <v>0</v>
      </c>
      <c r="AV211" s="120">
        <f>IFERROR(VLOOKUP(Table1[RespondentID],'All Data'!$A$3:$CW$999,99,FALSE),"unknown")</f>
        <v>0</v>
      </c>
    </row>
    <row r="212" spans="1:48">
      <c r="A212" s="5">
        <v>18019479597</v>
      </c>
      <c r="B212" s="5"/>
      <c r="C212" s="5" t="s">
        <v>39</v>
      </c>
      <c r="D212" s="5"/>
      <c r="E212" s="5"/>
      <c r="F212" s="5"/>
      <c r="G212" s="5" t="s">
        <v>37</v>
      </c>
      <c r="H212" s="5"/>
      <c r="I212" s="5"/>
      <c r="J212" s="5"/>
      <c r="K212" s="5" t="s">
        <v>46</v>
      </c>
      <c r="L212" s="5"/>
      <c r="M212" s="5"/>
      <c r="N212" s="5"/>
      <c r="O212" s="5">
        <f t="shared" si="51"/>
        <v>3</v>
      </c>
      <c r="P212" s="5">
        <f t="shared" si="52"/>
        <v>1</v>
      </c>
      <c r="Q212" s="5"/>
      <c r="R212" s="5">
        <f t="shared" si="53"/>
        <v>0</v>
      </c>
      <c r="S212" s="5">
        <f t="shared" si="54"/>
        <v>1</v>
      </c>
      <c r="T212" s="5">
        <f t="shared" si="55"/>
        <v>0</v>
      </c>
      <c r="U212" s="5">
        <f t="shared" si="56"/>
        <v>0</v>
      </c>
      <c r="V212" s="5">
        <f t="shared" si="57"/>
        <v>0</v>
      </c>
      <c r="W212" s="5">
        <f t="shared" si="58"/>
        <v>1</v>
      </c>
      <c r="X212" s="5">
        <f t="shared" si="59"/>
        <v>0</v>
      </c>
      <c r="Y212" s="5">
        <f t="shared" si="60"/>
        <v>0</v>
      </c>
      <c r="Z212" s="5">
        <f t="shared" si="61"/>
        <v>0</v>
      </c>
      <c r="AA212" s="5">
        <f t="shared" si="62"/>
        <v>1</v>
      </c>
      <c r="AB212" s="5">
        <f t="shared" si="63"/>
        <v>0</v>
      </c>
      <c r="AC212" s="5">
        <f t="shared" si="64"/>
        <v>0</v>
      </c>
      <c r="AD212" s="5"/>
      <c r="AE212" s="5"/>
      <c r="AF212" s="5">
        <f t="shared" si="65"/>
        <v>3</v>
      </c>
      <c r="AG212" s="5">
        <f t="shared" si="66"/>
        <v>3</v>
      </c>
      <c r="AH212" s="5" t="str">
        <f t="shared" si="67"/>
        <v>Correct</v>
      </c>
      <c r="AI212" s="5"/>
      <c r="AJ212" s="120" t="str">
        <f>IFERROR(VLOOKUP(Table1[RespondentID],'All Data'!$A$3:$CO$999,87,FALSE),"unknown")</f>
        <v>Man</v>
      </c>
      <c r="AK212" s="120">
        <f>IFERROR(VLOOKUP(Table1[RespondentID],'All Data'!$A$3:$CO$999,88,FALSE),"unknown")</f>
        <v>19</v>
      </c>
      <c r="AL212" s="120" t="str">
        <f>IFERROR(VLOOKUP(Table1[RespondentID],'All Data'!$A$3:$CO$999,89,FALSE),"unknown")</f>
        <v>Suffolk</v>
      </c>
      <c r="AM212" s="120" t="str">
        <f>IFERROR(VLOOKUP(Table1[RespondentID],'All Data'!$A$3:$CO$999,90,FALSE),"unknown")</f>
        <v>Commack, 11725</v>
      </c>
      <c r="AN212" s="120" t="str">
        <f>IFERROR(VLOOKUP(Table1[RespondentID],'All Data'!$A$3:$CO$999,91,FALSE),"unknown")</f>
        <v>White</v>
      </c>
      <c r="AO212" s="120" t="str">
        <f>IFERROR(VLOOKUP(Table1[RespondentID],'All Data'!$A$3:$CO$999,92,FALSE),"unknown")</f>
        <v>Hispanic or Latino</v>
      </c>
      <c r="AP212" s="120" t="str">
        <f>IFERROR(VLOOKUP(Table1[RespondentID],'All Data'!$A$3:$CO$999,93,FALSE),"unknown")</f>
        <v>English</v>
      </c>
      <c r="AQ212" s="120" t="str">
        <f>IFERROR(VLOOKUP(Table1[RespondentID],'All Data'!$A$3:$CW$999,94,FALSE),"unknown")</f>
        <v>Over $125,000</v>
      </c>
      <c r="AR212" s="120" t="str">
        <f>IFERROR(VLOOKUP(Table1[RespondentID],'All Data'!$A$3:$CW$999,95,FALSE),"unknown")</f>
        <v>Some college</v>
      </c>
      <c r="AS212" s="120" t="str">
        <f>IFERROR(VLOOKUP(Table1[RespondentID],'All Data'!$A$3:$CW$999,96,FALSE),"unknown")</f>
        <v>Out of work and looking for work</v>
      </c>
      <c r="AT212" s="120" t="str">
        <f>IFERROR(VLOOKUP(Table1[RespondentID],'All Data'!$A$3:$CW$999,97,FALSE),"unknown")</f>
        <v>No</v>
      </c>
      <c r="AU212" s="120" t="str">
        <f>IFERROR(VLOOKUP(Table1[RespondentID],'All Data'!$A$3:$CW$999,98,FALSE),"unknown")</f>
        <v>No Insurance</v>
      </c>
      <c r="AV212" s="120" t="str">
        <f>IFERROR(VLOOKUP(Table1[RespondentID],'All Data'!$A$3:$CW$999,99,FALSE),"unknown")</f>
        <v>Yes</v>
      </c>
    </row>
    <row r="213" spans="1:48">
      <c r="A213" s="5">
        <v>18019479451</v>
      </c>
      <c r="B213" s="5"/>
      <c r="C213" s="5" t="s">
        <v>39</v>
      </c>
      <c r="D213" s="5"/>
      <c r="E213" s="5"/>
      <c r="F213" s="5"/>
      <c r="G213" s="5"/>
      <c r="H213" s="5"/>
      <c r="I213" s="5"/>
      <c r="J213" s="5" t="s">
        <v>45</v>
      </c>
      <c r="K213" s="5"/>
      <c r="L213" s="5"/>
      <c r="M213" s="5"/>
      <c r="N213" s="5"/>
      <c r="O213" s="5">
        <f t="shared" si="51"/>
        <v>2</v>
      </c>
      <c r="P213" s="5">
        <f t="shared" si="52"/>
        <v>1.5</v>
      </c>
      <c r="Q213" s="5"/>
      <c r="R213" s="5">
        <f t="shared" si="53"/>
        <v>0</v>
      </c>
      <c r="S213" s="5">
        <f t="shared" si="54"/>
        <v>1</v>
      </c>
      <c r="T213" s="5">
        <f t="shared" si="55"/>
        <v>0</v>
      </c>
      <c r="U213" s="5">
        <f t="shared" si="56"/>
        <v>0</v>
      </c>
      <c r="V213" s="5">
        <f t="shared" si="57"/>
        <v>0</v>
      </c>
      <c r="W213" s="5">
        <f t="shared" si="58"/>
        <v>0</v>
      </c>
      <c r="X213" s="5">
        <f t="shared" si="59"/>
        <v>0</v>
      </c>
      <c r="Y213" s="5">
        <f t="shared" si="60"/>
        <v>0</v>
      </c>
      <c r="Z213" s="5">
        <f t="shared" si="61"/>
        <v>1</v>
      </c>
      <c r="AA213" s="5">
        <f t="shared" si="62"/>
        <v>0</v>
      </c>
      <c r="AB213" s="5">
        <f t="shared" si="63"/>
        <v>0</v>
      </c>
      <c r="AC213" s="5">
        <f t="shared" si="64"/>
        <v>0</v>
      </c>
      <c r="AD213" s="5"/>
      <c r="AE213" s="5"/>
      <c r="AF213" s="5">
        <f t="shared" si="65"/>
        <v>2</v>
      </c>
      <c r="AG213" s="5">
        <f t="shared" si="66"/>
        <v>2</v>
      </c>
      <c r="AH213" s="5" t="str">
        <f t="shared" si="67"/>
        <v>Correct</v>
      </c>
      <c r="AI213" s="5"/>
      <c r="AJ213" s="120" t="str">
        <f>IFERROR(VLOOKUP(Table1[RespondentID],'All Data'!$A$3:$CO$999,87,FALSE),"unknown")</f>
        <v>Man</v>
      </c>
      <c r="AK213" s="120">
        <f>IFERROR(VLOOKUP(Table1[RespondentID],'All Data'!$A$3:$CO$999,88,FALSE),"unknown")</f>
        <v>54</v>
      </c>
      <c r="AL213" s="120" t="str">
        <f>IFERROR(VLOOKUP(Table1[RespondentID],'All Data'!$A$3:$CO$999,89,FALSE),"unknown")</f>
        <v>Suffolk</v>
      </c>
      <c r="AM213" s="120" t="str">
        <f>IFERROR(VLOOKUP(Table1[RespondentID],'All Data'!$A$3:$CO$999,90,FALSE),"unknown")</f>
        <v>Commack, 11725</v>
      </c>
      <c r="AN213" s="120" t="str">
        <f>IFERROR(VLOOKUP(Table1[RespondentID],'All Data'!$A$3:$CO$999,91,FALSE),"unknown")</f>
        <v>White</v>
      </c>
      <c r="AO213" s="120" t="str">
        <f>IFERROR(VLOOKUP(Table1[RespondentID],'All Data'!$A$3:$CO$999,92,FALSE),"unknown")</f>
        <v>Hispanic or Latino</v>
      </c>
      <c r="AP213" s="120" t="str">
        <f>IFERROR(VLOOKUP(Table1[RespondentID],'All Data'!$A$3:$CO$999,93,FALSE),"unknown")</f>
        <v>English</v>
      </c>
      <c r="AQ213" s="120" t="str">
        <f>IFERROR(VLOOKUP(Table1[RespondentID],'All Data'!$A$3:$CW$999,94,FALSE),"unknown")</f>
        <v>Over $125,000</v>
      </c>
      <c r="AR213" s="120" t="str">
        <f>IFERROR(VLOOKUP(Table1[RespondentID],'All Data'!$A$3:$CW$999,95,FALSE),"unknown")</f>
        <v>Graduate school</v>
      </c>
      <c r="AS213" s="120" t="str">
        <f>IFERROR(VLOOKUP(Table1[RespondentID],'All Data'!$A$3:$CW$999,96,FALSE),"unknown")</f>
        <v>Retired</v>
      </c>
      <c r="AT213" s="120" t="str">
        <f>IFERROR(VLOOKUP(Table1[RespondentID],'All Data'!$A$3:$CW$999,97,FALSE),"unknown")</f>
        <v>Yes</v>
      </c>
      <c r="AU213" s="120" t="str">
        <f>IFERROR(VLOOKUP(Table1[RespondentID],'All Data'!$A$3:$CW$999,98,FALSE),"unknown")</f>
        <v>Medicare</v>
      </c>
      <c r="AV213" s="120" t="str">
        <f>IFERROR(VLOOKUP(Table1[RespondentID],'All Data'!$A$3:$CW$999,99,FALSE),"unknown")</f>
        <v>Yes</v>
      </c>
    </row>
    <row r="214" spans="1:48">
      <c r="A214" s="5">
        <v>18019479157</v>
      </c>
      <c r="B214" s="5"/>
      <c r="C214" s="5" t="s">
        <v>39</v>
      </c>
      <c r="D214" s="5"/>
      <c r="E214" s="5" t="s">
        <v>41</v>
      </c>
      <c r="F214" s="5"/>
      <c r="G214" s="5"/>
      <c r="H214" s="5" t="s">
        <v>43</v>
      </c>
      <c r="I214" s="5"/>
      <c r="J214" s="5" t="s">
        <v>45</v>
      </c>
      <c r="K214" s="5"/>
      <c r="L214" s="5"/>
      <c r="M214" s="5"/>
      <c r="N214" s="5"/>
      <c r="O214" s="5">
        <f t="shared" si="51"/>
        <v>4</v>
      </c>
      <c r="P214" s="5">
        <f t="shared" si="52"/>
        <v>0.75</v>
      </c>
      <c r="Q214" s="5"/>
      <c r="R214" s="5">
        <f t="shared" si="53"/>
        <v>0</v>
      </c>
      <c r="S214" s="5">
        <f t="shared" si="54"/>
        <v>0.75</v>
      </c>
      <c r="T214" s="5">
        <f t="shared" si="55"/>
        <v>0</v>
      </c>
      <c r="U214" s="5">
        <f t="shared" si="56"/>
        <v>0.75</v>
      </c>
      <c r="V214" s="5">
        <f t="shared" si="57"/>
        <v>0</v>
      </c>
      <c r="W214" s="5">
        <f t="shared" si="58"/>
        <v>0</v>
      </c>
      <c r="X214" s="5">
        <f t="shared" si="59"/>
        <v>0.75</v>
      </c>
      <c r="Y214" s="5">
        <f t="shared" si="60"/>
        <v>0</v>
      </c>
      <c r="Z214" s="5">
        <f t="shared" si="61"/>
        <v>0.75</v>
      </c>
      <c r="AA214" s="5">
        <f t="shared" si="62"/>
        <v>0</v>
      </c>
      <c r="AB214" s="5">
        <f t="shared" si="63"/>
        <v>0</v>
      </c>
      <c r="AC214" s="5">
        <f t="shared" si="64"/>
        <v>0</v>
      </c>
      <c r="AD214" s="5"/>
      <c r="AE214" s="5"/>
      <c r="AF214" s="5">
        <f t="shared" si="65"/>
        <v>3</v>
      </c>
      <c r="AG214" s="5">
        <f t="shared" si="66"/>
        <v>4</v>
      </c>
      <c r="AH214" s="5" t="str">
        <f t="shared" si="67"/>
        <v>Correct</v>
      </c>
      <c r="AI214" s="5"/>
      <c r="AJ214" s="120" t="str">
        <f>IFERROR(VLOOKUP(Table1[RespondentID],'All Data'!$A$3:$CO$999,87,FALSE),"unknown")</f>
        <v>Woman</v>
      </c>
      <c r="AK214" s="120">
        <f>IFERROR(VLOOKUP(Table1[RespondentID],'All Data'!$A$3:$CO$999,88,FALSE),"unknown")</f>
        <v>50</v>
      </c>
      <c r="AL214" s="120" t="str">
        <f>IFERROR(VLOOKUP(Table1[RespondentID],'All Data'!$A$3:$CO$999,89,FALSE),"unknown")</f>
        <v>Suffolk</v>
      </c>
      <c r="AM214" s="120" t="str">
        <f>IFERROR(VLOOKUP(Table1[RespondentID],'All Data'!$A$3:$CO$999,90,FALSE),"unknown")</f>
        <v>Commack, 11725</v>
      </c>
      <c r="AN214" s="120" t="str">
        <f>IFERROR(VLOOKUP(Table1[RespondentID],'All Data'!$A$3:$CO$999,91,FALSE),"unknown")</f>
        <v>White</v>
      </c>
      <c r="AO214" s="120" t="str">
        <f>IFERROR(VLOOKUP(Table1[RespondentID],'All Data'!$A$3:$CO$999,92,FALSE),"unknown")</f>
        <v>Hispanic or Latino</v>
      </c>
      <c r="AP214" s="120" t="str">
        <f>IFERROR(VLOOKUP(Table1[RespondentID],'All Data'!$A$3:$CO$999,93,FALSE),"unknown")</f>
        <v>English</v>
      </c>
      <c r="AQ214" s="120" t="str">
        <f>IFERROR(VLOOKUP(Table1[RespondentID],'All Data'!$A$3:$CW$999,94,FALSE),"unknown")</f>
        <v>Over $125,000</v>
      </c>
      <c r="AR214" s="120" t="str">
        <f>IFERROR(VLOOKUP(Table1[RespondentID],'All Data'!$A$3:$CW$999,95,FALSE),"unknown")</f>
        <v>College graduate</v>
      </c>
      <c r="AS214" s="120" t="str">
        <f>IFERROR(VLOOKUP(Table1[RespondentID],'All Data'!$A$3:$CW$999,96,FALSE),"unknown")</f>
        <v>Employed for wages</v>
      </c>
      <c r="AT214" s="120" t="str">
        <f>IFERROR(VLOOKUP(Table1[RespondentID],'All Data'!$A$3:$CW$999,97,FALSE),"unknown")</f>
        <v>Yes</v>
      </c>
      <c r="AU214" s="120" t="str">
        <f>IFERROR(VLOOKUP(Table1[RespondentID],'All Data'!$A$3:$CW$999,98,FALSE),"unknown")</f>
        <v>Medicaid</v>
      </c>
      <c r="AV214" s="120" t="str">
        <f>IFERROR(VLOOKUP(Table1[RespondentID],'All Data'!$A$3:$CW$999,99,FALSE),"unknown")</f>
        <v>Yes</v>
      </c>
    </row>
    <row r="215" spans="1:48">
      <c r="A215" s="5">
        <v>18019478995</v>
      </c>
      <c r="B215" s="5"/>
      <c r="C215" s="5" t="s">
        <v>39</v>
      </c>
      <c r="D215" s="5"/>
      <c r="E215" s="5"/>
      <c r="F215" s="5"/>
      <c r="G215" s="5"/>
      <c r="H215" s="5" t="s">
        <v>43</v>
      </c>
      <c r="I215" s="5" t="s">
        <v>44</v>
      </c>
      <c r="J215" s="5"/>
      <c r="K215" s="5"/>
      <c r="L215" s="5"/>
      <c r="M215" s="5"/>
      <c r="N215" s="5"/>
      <c r="O215" s="5">
        <f t="shared" si="51"/>
        <v>3</v>
      </c>
      <c r="P215" s="5">
        <f t="shared" si="52"/>
        <v>1</v>
      </c>
      <c r="Q215" s="5"/>
      <c r="R215" s="5">
        <f t="shared" si="53"/>
        <v>0</v>
      </c>
      <c r="S215" s="5">
        <f t="shared" si="54"/>
        <v>1</v>
      </c>
      <c r="T215" s="5">
        <f t="shared" si="55"/>
        <v>0</v>
      </c>
      <c r="U215" s="5">
        <f t="shared" si="56"/>
        <v>0</v>
      </c>
      <c r="V215" s="5">
        <f t="shared" si="57"/>
        <v>0</v>
      </c>
      <c r="W215" s="5">
        <f t="shared" si="58"/>
        <v>0</v>
      </c>
      <c r="X215" s="5">
        <f t="shared" si="59"/>
        <v>1</v>
      </c>
      <c r="Y215" s="5">
        <f t="shared" si="60"/>
        <v>1</v>
      </c>
      <c r="Z215" s="5">
        <f t="shared" si="61"/>
        <v>0</v>
      </c>
      <c r="AA215" s="5">
        <f t="shared" si="62"/>
        <v>0</v>
      </c>
      <c r="AB215" s="5">
        <f t="shared" si="63"/>
        <v>0</v>
      </c>
      <c r="AC215" s="5">
        <f t="shared" si="64"/>
        <v>0</v>
      </c>
      <c r="AD215" s="5"/>
      <c r="AE215" s="5"/>
      <c r="AF215" s="5">
        <f t="shared" si="65"/>
        <v>3</v>
      </c>
      <c r="AG215" s="5">
        <f t="shared" si="66"/>
        <v>3</v>
      </c>
      <c r="AH215" s="5" t="str">
        <f t="shared" si="67"/>
        <v>Correct</v>
      </c>
      <c r="AI215" s="5"/>
      <c r="AJ215" s="120" t="str">
        <f>IFERROR(VLOOKUP(Table1[RespondentID],'All Data'!$A$3:$CO$999,87,FALSE),"unknown")</f>
        <v>Man</v>
      </c>
      <c r="AK215" s="120">
        <f>IFERROR(VLOOKUP(Table1[RespondentID],'All Data'!$A$3:$CO$999,88,FALSE),"unknown")</f>
        <v>0</v>
      </c>
      <c r="AL215" s="120" t="str">
        <f>IFERROR(VLOOKUP(Table1[RespondentID],'All Data'!$A$3:$CO$999,89,FALSE),"unknown")</f>
        <v>Suffolk</v>
      </c>
      <c r="AM215" s="120" t="str">
        <f>IFERROR(VLOOKUP(Table1[RespondentID],'All Data'!$A$3:$CO$999,90,FALSE),"unknown")</f>
        <v>East Northport, 11731</v>
      </c>
      <c r="AN215" s="120" t="str">
        <f>IFERROR(VLOOKUP(Table1[RespondentID],'All Data'!$A$3:$CO$999,91,FALSE),"unknown")</f>
        <v>Asian</v>
      </c>
      <c r="AO215" s="120" t="str">
        <f>IFERROR(VLOOKUP(Table1[RespondentID],'All Data'!$A$3:$CO$999,92,FALSE),"unknown")</f>
        <v>Not Hispanic or Latino</v>
      </c>
      <c r="AP215" s="120" t="str">
        <f>IFERROR(VLOOKUP(Table1[RespondentID],'All Data'!$A$3:$CO$999,93,FALSE),"unknown")</f>
        <v>English</v>
      </c>
      <c r="AQ215" s="120" t="str">
        <f>IFERROR(VLOOKUP(Table1[RespondentID],'All Data'!$A$3:$CW$999,94,FALSE),"unknown")</f>
        <v>$50,000 to $74,999</v>
      </c>
      <c r="AR215" s="120" t="str">
        <f>IFERROR(VLOOKUP(Table1[RespondentID],'All Data'!$A$3:$CW$999,95,FALSE),"unknown")</f>
        <v>Some college</v>
      </c>
      <c r="AS215" s="120" t="str">
        <f>IFERROR(VLOOKUP(Table1[RespondentID],'All Data'!$A$3:$CW$999,96,FALSE),"unknown")</f>
        <v>Employed for wages</v>
      </c>
      <c r="AT215" s="120" t="str">
        <f>IFERROR(VLOOKUP(Table1[RespondentID],'All Data'!$A$3:$CW$999,97,FALSE),"unknown")</f>
        <v>No</v>
      </c>
      <c r="AU215" s="120" t="str">
        <f>IFERROR(VLOOKUP(Table1[RespondentID],'All Data'!$A$3:$CW$999,98,FALSE),"unknown")</f>
        <v>No Insurance</v>
      </c>
      <c r="AV215" s="120" t="str">
        <f>IFERROR(VLOOKUP(Table1[RespondentID],'All Data'!$A$3:$CW$999,99,FALSE),"unknown")</f>
        <v>Yes</v>
      </c>
    </row>
    <row r="216" spans="1:48">
      <c r="A216" s="5">
        <v>18019349230</v>
      </c>
      <c r="B216" s="5"/>
      <c r="C216" s="5" t="s">
        <v>39</v>
      </c>
      <c r="D216" s="5"/>
      <c r="E216" s="5"/>
      <c r="F216" s="5"/>
      <c r="G216" s="5"/>
      <c r="H216" s="5" t="s">
        <v>43</v>
      </c>
      <c r="I216" s="5"/>
      <c r="J216" s="5"/>
      <c r="K216" s="5"/>
      <c r="L216" s="5"/>
      <c r="M216" s="5"/>
      <c r="N216" s="5"/>
      <c r="O216" s="5">
        <f t="shared" si="51"/>
        <v>2</v>
      </c>
      <c r="P216" s="5">
        <f t="shared" si="52"/>
        <v>1.5</v>
      </c>
      <c r="Q216" s="5"/>
      <c r="R216" s="5">
        <f t="shared" si="53"/>
        <v>0</v>
      </c>
      <c r="S216" s="5">
        <f t="shared" si="54"/>
        <v>1</v>
      </c>
      <c r="T216" s="5">
        <f t="shared" si="55"/>
        <v>0</v>
      </c>
      <c r="U216" s="5">
        <f t="shared" si="56"/>
        <v>0</v>
      </c>
      <c r="V216" s="5">
        <f t="shared" si="57"/>
        <v>0</v>
      </c>
      <c r="W216" s="5">
        <f t="shared" si="58"/>
        <v>0</v>
      </c>
      <c r="X216" s="5">
        <f t="shared" si="59"/>
        <v>1</v>
      </c>
      <c r="Y216" s="5">
        <f t="shared" si="60"/>
        <v>0</v>
      </c>
      <c r="Z216" s="5">
        <f t="shared" si="61"/>
        <v>0</v>
      </c>
      <c r="AA216" s="5">
        <f t="shared" si="62"/>
        <v>0</v>
      </c>
      <c r="AB216" s="5">
        <f t="shared" si="63"/>
        <v>0</v>
      </c>
      <c r="AC216" s="5">
        <f t="shared" si="64"/>
        <v>0</v>
      </c>
      <c r="AD216" s="5"/>
      <c r="AE216" s="5"/>
      <c r="AF216" s="5">
        <f t="shared" si="65"/>
        <v>2</v>
      </c>
      <c r="AG216" s="5">
        <f t="shared" si="66"/>
        <v>2</v>
      </c>
      <c r="AH216" s="5" t="str">
        <f t="shared" si="67"/>
        <v>Correct</v>
      </c>
      <c r="AI216" s="5"/>
      <c r="AJ216" s="120" t="str">
        <f>IFERROR(VLOOKUP(Table1[RespondentID],'All Data'!$A$3:$CO$999,87,FALSE),"unknown")</f>
        <v>Man</v>
      </c>
      <c r="AK216" s="120">
        <f>IFERROR(VLOOKUP(Table1[RespondentID],'All Data'!$A$3:$CO$999,88,FALSE),"unknown")</f>
        <v>16</v>
      </c>
      <c r="AL216" s="120" t="str">
        <f>IFERROR(VLOOKUP(Table1[RespondentID],'All Data'!$A$3:$CO$999,89,FALSE),"unknown")</f>
        <v>Suffolk</v>
      </c>
      <c r="AM216" s="120" t="str">
        <f>IFERROR(VLOOKUP(Table1[RespondentID],'All Data'!$A$3:$CO$999,90,FALSE),"unknown")</f>
        <v>Centerport, 11721</v>
      </c>
      <c r="AN216" s="120" t="str">
        <f>IFERROR(VLOOKUP(Table1[RespondentID],'All Data'!$A$3:$CO$999,91,FALSE),"unknown")</f>
        <v>Native Hawaiian and Other Pacific Islander</v>
      </c>
      <c r="AO216" s="120" t="str">
        <f>IFERROR(VLOOKUP(Table1[RespondentID],'All Data'!$A$3:$CO$999,92,FALSE),"unknown")</f>
        <v>Hispanic or Latino</v>
      </c>
      <c r="AP216" s="120" t="str">
        <f>IFERROR(VLOOKUP(Table1[RespondentID],'All Data'!$A$3:$CO$999,93,FALSE),"unknown")</f>
        <v>Haitian Creole</v>
      </c>
      <c r="AQ216" s="120" t="str">
        <f>IFERROR(VLOOKUP(Table1[RespondentID],'All Data'!$A$3:$CW$999,94,FALSE),"unknown")</f>
        <v>$35,000 to $49,999</v>
      </c>
      <c r="AR216" s="120" t="str">
        <f>IFERROR(VLOOKUP(Table1[RespondentID],'All Data'!$A$3:$CW$999,95,FALSE),"unknown")</f>
        <v>Some high school</v>
      </c>
      <c r="AS216" s="120" t="str">
        <f>IFERROR(VLOOKUP(Table1[RespondentID],'All Data'!$A$3:$CW$999,96,FALSE),"unknown")</f>
        <v>Student</v>
      </c>
      <c r="AT216" s="120">
        <f>IFERROR(VLOOKUP(Table1[RespondentID],'All Data'!$A$3:$CW$999,97,FALSE),"unknown")</f>
        <v>0</v>
      </c>
      <c r="AU216" s="120" t="str">
        <f>IFERROR(VLOOKUP(Table1[RespondentID],'All Data'!$A$3:$CW$999,98,FALSE),"unknown")</f>
        <v>Private/Commercial</v>
      </c>
      <c r="AV216" s="120" t="str">
        <f>IFERROR(VLOOKUP(Table1[RespondentID],'All Data'!$A$3:$CW$999,99,FALSE),"unknown")</f>
        <v>Yes</v>
      </c>
    </row>
    <row r="217" spans="1:48">
      <c r="A217" s="5">
        <v>18019193765</v>
      </c>
      <c r="B217" s="5"/>
      <c r="C217" s="5"/>
      <c r="D217" s="5"/>
      <c r="E217" s="5"/>
      <c r="F217" s="5"/>
      <c r="G217" s="5"/>
      <c r="H217" s="5"/>
      <c r="I217" s="5"/>
      <c r="J217" s="5"/>
      <c r="K217" s="5"/>
      <c r="L217" s="5"/>
      <c r="M217" s="5"/>
      <c r="N217" s="5"/>
      <c r="O217" s="5">
        <f t="shared" si="51"/>
        <v>0</v>
      </c>
      <c r="P217" s="5" t="e">
        <f t="shared" si="52"/>
        <v>#DIV/0!</v>
      </c>
      <c r="Q217" s="5"/>
      <c r="R217" s="5">
        <f t="shared" si="53"/>
        <v>0</v>
      </c>
      <c r="S217" s="5">
        <f t="shared" si="54"/>
        <v>0</v>
      </c>
      <c r="T217" s="5">
        <f t="shared" si="55"/>
        <v>0</v>
      </c>
      <c r="U217" s="5">
        <f t="shared" si="56"/>
        <v>0</v>
      </c>
      <c r="V217" s="5">
        <f t="shared" si="57"/>
        <v>0</v>
      </c>
      <c r="W217" s="5">
        <f t="shared" si="58"/>
        <v>0</v>
      </c>
      <c r="X217" s="5">
        <f t="shared" si="59"/>
        <v>0</v>
      </c>
      <c r="Y217" s="5">
        <f t="shared" si="60"/>
        <v>0</v>
      </c>
      <c r="Z217" s="5">
        <f t="shared" si="61"/>
        <v>0</v>
      </c>
      <c r="AA217" s="5">
        <f t="shared" si="62"/>
        <v>0</v>
      </c>
      <c r="AB217" s="5">
        <f t="shared" si="63"/>
        <v>0</v>
      </c>
      <c r="AC217" s="5">
        <f t="shared" si="64"/>
        <v>0</v>
      </c>
      <c r="AD217" s="5"/>
      <c r="AE217" s="5"/>
      <c r="AF217" s="5">
        <f t="shared" si="65"/>
        <v>0</v>
      </c>
      <c r="AG217" s="5">
        <f t="shared" si="66"/>
        <v>0</v>
      </c>
      <c r="AH217" s="5" t="str">
        <f t="shared" si="67"/>
        <v>Correct</v>
      </c>
      <c r="AI217" s="5"/>
      <c r="AJ217" s="120">
        <f>IFERROR(VLOOKUP(Table1[RespondentID],'All Data'!$A$3:$CO$999,87,FALSE),"unknown")</f>
        <v>0</v>
      </c>
      <c r="AK217" s="120">
        <f>IFERROR(VLOOKUP(Table1[RespondentID],'All Data'!$A$3:$CO$999,88,FALSE),"unknown")</f>
        <v>0</v>
      </c>
      <c r="AL217" s="120">
        <f>IFERROR(VLOOKUP(Table1[RespondentID],'All Data'!$A$3:$CO$999,89,FALSE),"unknown")</f>
        <v>0</v>
      </c>
      <c r="AM217" s="120" t="str">
        <f>IFERROR(VLOOKUP(Table1[RespondentID],'All Data'!$A$3:$CO$999,90,FALSE),"unknown")</f>
        <v>Brookville, 11545</v>
      </c>
      <c r="AN217" s="120">
        <f>IFERROR(VLOOKUP(Table1[RespondentID],'All Data'!$A$3:$CO$999,91,FALSE),"unknown")</f>
        <v>0</v>
      </c>
      <c r="AO217" s="120">
        <f>IFERROR(VLOOKUP(Table1[RespondentID],'All Data'!$A$3:$CO$999,92,FALSE),"unknown")</f>
        <v>0</v>
      </c>
      <c r="AP217" s="120">
        <f>IFERROR(VLOOKUP(Table1[RespondentID],'All Data'!$A$3:$CO$999,93,FALSE),"unknown")</f>
        <v>0</v>
      </c>
      <c r="AQ217" s="120">
        <f>IFERROR(VLOOKUP(Table1[RespondentID],'All Data'!$A$3:$CW$999,94,FALSE),"unknown")</f>
        <v>0</v>
      </c>
      <c r="AR217" s="120">
        <f>IFERROR(VLOOKUP(Table1[RespondentID],'All Data'!$A$3:$CW$999,95,FALSE),"unknown")</f>
        <v>0</v>
      </c>
      <c r="AS217" s="120">
        <f>IFERROR(VLOOKUP(Table1[RespondentID],'All Data'!$A$3:$CW$999,96,FALSE),"unknown")</f>
        <v>0</v>
      </c>
      <c r="AT217" s="120">
        <f>IFERROR(VLOOKUP(Table1[RespondentID],'All Data'!$A$3:$CW$999,97,FALSE),"unknown")</f>
        <v>0</v>
      </c>
      <c r="AU217" s="120">
        <f>IFERROR(VLOOKUP(Table1[RespondentID],'All Data'!$A$3:$CW$999,98,FALSE),"unknown")</f>
        <v>0</v>
      </c>
      <c r="AV217" s="120">
        <f>IFERROR(VLOOKUP(Table1[RespondentID],'All Data'!$A$3:$CW$999,99,FALSE),"unknown")</f>
        <v>0</v>
      </c>
    </row>
    <row r="218" spans="1:48">
      <c r="A218" s="5">
        <v>18019104432</v>
      </c>
      <c r="B218" s="5"/>
      <c r="C218" s="5"/>
      <c r="D218" s="5" t="s">
        <v>40</v>
      </c>
      <c r="E218" s="5"/>
      <c r="F218" s="5" t="s">
        <v>42</v>
      </c>
      <c r="G218" s="5"/>
      <c r="H218" s="5"/>
      <c r="I218" s="5"/>
      <c r="J218" s="5" t="s">
        <v>45</v>
      </c>
      <c r="K218" s="5"/>
      <c r="L218" s="5"/>
      <c r="M218" s="5"/>
      <c r="N218" s="5"/>
      <c r="O218" s="5">
        <f t="shared" si="51"/>
        <v>3</v>
      </c>
      <c r="P218" s="5">
        <f t="shared" si="52"/>
        <v>1</v>
      </c>
      <c r="Q218" s="5"/>
      <c r="R218" s="5">
        <f t="shared" si="53"/>
        <v>0</v>
      </c>
      <c r="S218" s="5">
        <f t="shared" si="54"/>
        <v>0</v>
      </c>
      <c r="T218" s="5">
        <f t="shared" si="55"/>
        <v>1</v>
      </c>
      <c r="U218" s="5">
        <f t="shared" si="56"/>
        <v>0</v>
      </c>
      <c r="V218" s="5">
        <f t="shared" si="57"/>
        <v>1</v>
      </c>
      <c r="W218" s="5">
        <f t="shared" si="58"/>
        <v>0</v>
      </c>
      <c r="X218" s="5">
        <f t="shared" si="59"/>
        <v>0</v>
      </c>
      <c r="Y218" s="5">
        <f t="shared" si="60"/>
        <v>0</v>
      </c>
      <c r="Z218" s="5">
        <f t="shared" si="61"/>
        <v>1</v>
      </c>
      <c r="AA218" s="5">
        <f t="shared" si="62"/>
        <v>0</v>
      </c>
      <c r="AB218" s="5">
        <f t="shared" si="63"/>
        <v>0</v>
      </c>
      <c r="AC218" s="5">
        <f t="shared" si="64"/>
        <v>0</v>
      </c>
      <c r="AD218" s="5"/>
      <c r="AE218" s="5"/>
      <c r="AF218" s="5">
        <f t="shared" si="65"/>
        <v>3</v>
      </c>
      <c r="AG218" s="5">
        <f t="shared" si="66"/>
        <v>3</v>
      </c>
      <c r="AH218" s="5" t="str">
        <f t="shared" si="67"/>
        <v>Correct</v>
      </c>
      <c r="AI218" s="5"/>
      <c r="AJ218" s="120" t="str">
        <f>IFERROR(VLOOKUP(Table1[RespondentID],'All Data'!$A$3:$CO$999,87,FALSE),"unknown")</f>
        <v>Woman</v>
      </c>
      <c r="AK218" s="120">
        <f>IFERROR(VLOOKUP(Table1[RespondentID],'All Data'!$A$3:$CO$999,88,FALSE),"unknown")</f>
        <v>23</v>
      </c>
      <c r="AL218" s="120" t="str">
        <f>IFERROR(VLOOKUP(Table1[RespondentID],'All Data'!$A$3:$CO$999,89,FALSE),"unknown")</f>
        <v>Suffolk</v>
      </c>
      <c r="AM218" s="120" t="str">
        <f>IFERROR(VLOOKUP(Table1[RespondentID],'All Data'!$A$3:$CO$999,90,FALSE),"unknown")</f>
        <v>Commack, 11725</v>
      </c>
      <c r="AN218" s="120" t="str">
        <f>IFERROR(VLOOKUP(Table1[RespondentID],'All Data'!$A$3:$CO$999,91,FALSE),"unknown")</f>
        <v>Native Hawaiian and Other Pacific Islander</v>
      </c>
      <c r="AO218" s="120" t="str">
        <f>IFERROR(VLOOKUP(Table1[RespondentID],'All Data'!$A$3:$CO$999,92,FALSE),"unknown")</f>
        <v>Hispanic or Latino</v>
      </c>
      <c r="AP218" s="120" t="str">
        <f>IFERROR(VLOOKUP(Table1[RespondentID],'All Data'!$A$3:$CO$999,93,FALSE),"unknown")</f>
        <v>English, Italian</v>
      </c>
      <c r="AQ218" s="120" t="str">
        <f>IFERROR(VLOOKUP(Table1[RespondentID],'All Data'!$A$3:$CW$999,94,FALSE),"unknown")</f>
        <v>$35,000 to $49,999</v>
      </c>
      <c r="AR218" s="120" t="str">
        <f>IFERROR(VLOOKUP(Table1[RespondentID],'All Data'!$A$3:$CW$999,95,FALSE),"unknown")</f>
        <v>High school graduate</v>
      </c>
      <c r="AS218" s="120" t="str">
        <f>IFERROR(VLOOKUP(Table1[RespondentID],'All Data'!$A$3:$CW$999,96,FALSE),"unknown")</f>
        <v>Employed for wages</v>
      </c>
      <c r="AT218" s="120" t="str">
        <f>IFERROR(VLOOKUP(Table1[RespondentID],'All Data'!$A$3:$CW$999,97,FALSE),"unknown")</f>
        <v>Yes</v>
      </c>
      <c r="AU218" s="120">
        <f>IFERROR(VLOOKUP(Table1[RespondentID],'All Data'!$A$3:$CW$999,98,FALSE),"unknown")</f>
        <v>0</v>
      </c>
      <c r="AV218" s="120">
        <f>IFERROR(VLOOKUP(Table1[RespondentID],'All Data'!$A$3:$CW$999,99,FALSE),"unknown")</f>
        <v>0</v>
      </c>
    </row>
    <row r="219" spans="1:48">
      <c r="A219" s="5">
        <v>18019104294</v>
      </c>
      <c r="B219" s="5"/>
      <c r="C219" s="5" t="s">
        <v>39</v>
      </c>
      <c r="D219" s="5"/>
      <c r="E219" s="5"/>
      <c r="F219" s="5"/>
      <c r="G219" s="5"/>
      <c r="H219" s="5"/>
      <c r="I219" s="5"/>
      <c r="J219" s="5"/>
      <c r="K219" s="5" t="s">
        <v>46</v>
      </c>
      <c r="L219" s="5" t="s">
        <v>47</v>
      </c>
      <c r="M219" s="5"/>
      <c r="N219" s="5"/>
      <c r="O219" s="5">
        <f t="shared" si="51"/>
        <v>3</v>
      </c>
      <c r="P219" s="5">
        <f t="shared" si="52"/>
        <v>1</v>
      </c>
      <c r="Q219" s="5"/>
      <c r="R219" s="5">
        <f t="shared" si="53"/>
        <v>0</v>
      </c>
      <c r="S219" s="5">
        <f t="shared" si="54"/>
        <v>1</v>
      </c>
      <c r="T219" s="5">
        <f t="shared" si="55"/>
        <v>0</v>
      </c>
      <c r="U219" s="5">
        <f t="shared" si="56"/>
        <v>0</v>
      </c>
      <c r="V219" s="5">
        <f t="shared" si="57"/>
        <v>0</v>
      </c>
      <c r="W219" s="5">
        <f t="shared" si="58"/>
        <v>0</v>
      </c>
      <c r="X219" s="5">
        <f t="shared" si="59"/>
        <v>0</v>
      </c>
      <c r="Y219" s="5">
        <f t="shared" si="60"/>
        <v>0</v>
      </c>
      <c r="Z219" s="5">
        <f t="shared" si="61"/>
        <v>0</v>
      </c>
      <c r="AA219" s="5">
        <f t="shared" si="62"/>
        <v>1</v>
      </c>
      <c r="AB219" s="5">
        <f t="shared" si="63"/>
        <v>1</v>
      </c>
      <c r="AC219" s="5">
        <f t="shared" si="64"/>
        <v>0</v>
      </c>
      <c r="AD219" s="5"/>
      <c r="AE219" s="5"/>
      <c r="AF219" s="5">
        <f t="shared" si="65"/>
        <v>3</v>
      </c>
      <c r="AG219" s="5">
        <f t="shared" si="66"/>
        <v>3</v>
      </c>
      <c r="AH219" s="5" t="str">
        <f t="shared" si="67"/>
        <v>Correct</v>
      </c>
      <c r="AI219" s="5"/>
      <c r="AJ219" s="120" t="str">
        <f>IFERROR(VLOOKUP(Table1[RespondentID],'All Data'!$A$3:$CO$999,87,FALSE),"unknown")</f>
        <v>Woman</v>
      </c>
      <c r="AK219" s="120">
        <f>IFERROR(VLOOKUP(Table1[RespondentID],'All Data'!$A$3:$CO$999,88,FALSE),"unknown")</f>
        <v>15</v>
      </c>
      <c r="AL219" s="120" t="str">
        <f>IFERROR(VLOOKUP(Table1[RespondentID],'All Data'!$A$3:$CO$999,89,FALSE),"unknown")</f>
        <v>Suffolk</v>
      </c>
      <c r="AM219" s="120" t="str">
        <f>IFERROR(VLOOKUP(Table1[RespondentID],'All Data'!$A$3:$CO$999,90,FALSE),"unknown")</f>
        <v>Commack, 11725</v>
      </c>
      <c r="AN219" s="120" t="str">
        <f>IFERROR(VLOOKUP(Table1[RespondentID],'All Data'!$A$3:$CO$999,91,FALSE),"unknown")</f>
        <v>White</v>
      </c>
      <c r="AO219" s="120" t="str">
        <f>IFERROR(VLOOKUP(Table1[RespondentID],'All Data'!$A$3:$CO$999,92,FALSE),"unknown")</f>
        <v>Hispanic or Latino</v>
      </c>
      <c r="AP219" s="120" t="str">
        <f>IFERROR(VLOOKUP(Table1[RespondentID],'All Data'!$A$3:$CO$999,93,FALSE),"unknown")</f>
        <v>English</v>
      </c>
      <c r="AQ219" s="120" t="str">
        <f>IFERROR(VLOOKUP(Table1[RespondentID],'All Data'!$A$3:$CW$999,94,FALSE),"unknown")</f>
        <v>$20,000 to $34,999</v>
      </c>
      <c r="AR219" s="120" t="str">
        <f>IFERROR(VLOOKUP(Table1[RespondentID],'All Data'!$A$3:$CW$999,95,FALSE),"unknown")</f>
        <v>Some high school</v>
      </c>
      <c r="AS219" s="120" t="str">
        <f>IFERROR(VLOOKUP(Table1[RespondentID],'All Data'!$A$3:$CW$999,96,FALSE),"unknown")</f>
        <v>Student</v>
      </c>
      <c r="AT219" s="120" t="str">
        <f>IFERROR(VLOOKUP(Table1[RespondentID],'All Data'!$A$3:$CW$999,97,FALSE),"unknown")</f>
        <v>No</v>
      </c>
      <c r="AU219" s="120">
        <f>IFERROR(VLOOKUP(Table1[RespondentID],'All Data'!$A$3:$CW$999,98,FALSE),"unknown")</f>
        <v>0</v>
      </c>
      <c r="AV219" s="120">
        <f>IFERROR(VLOOKUP(Table1[RespondentID],'All Data'!$A$3:$CW$999,99,FALSE),"unknown")</f>
        <v>0</v>
      </c>
    </row>
    <row r="220" spans="1:48">
      <c r="A220" s="5">
        <v>18019104165</v>
      </c>
      <c r="B220" s="5"/>
      <c r="C220" s="5" t="s">
        <v>39</v>
      </c>
      <c r="D220" s="5"/>
      <c r="E220" s="5" t="s">
        <v>41</v>
      </c>
      <c r="F220" s="5"/>
      <c r="G220" s="5"/>
      <c r="H220" s="5"/>
      <c r="I220" s="5"/>
      <c r="J220" s="5"/>
      <c r="K220" s="5" t="s">
        <v>46</v>
      </c>
      <c r="L220" s="5"/>
      <c r="M220" s="5"/>
      <c r="N220" s="5"/>
      <c r="O220" s="5">
        <f t="shared" si="51"/>
        <v>3</v>
      </c>
      <c r="P220" s="5">
        <f t="shared" si="52"/>
        <v>1</v>
      </c>
      <c r="Q220" s="5"/>
      <c r="R220" s="5">
        <f t="shared" si="53"/>
        <v>0</v>
      </c>
      <c r="S220" s="5">
        <f t="shared" si="54"/>
        <v>1</v>
      </c>
      <c r="T220" s="5">
        <f t="shared" si="55"/>
        <v>0</v>
      </c>
      <c r="U220" s="5">
        <f t="shared" si="56"/>
        <v>1</v>
      </c>
      <c r="V220" s="5">
        <f t="shared" si="57"/>
        <v>0</v>
      </c>
      <c r="W220" s="5">
        <f t="shared" si="58"/>
        <v>0</v>
      </c>
      <c r="X220" s="5">
        <f t="shared" si="59"/>
        <v>0</v>
      </c>
      <c r="Y220" s="5">
        <f t="shared" si="60"/>
        <v>0</v>
      </c>
      <c r="Z220" s="5">
        <f t="shared" si="61"/>
        <v>0</v>
      </c>
      <c r="AA220" s="5">
        <f t="shared" si="62"/>
        <v>1</v>
      </c>
      <c r="AB220" s="5">
        <f t="shared" si="63"/>
        <v>0</v>
      </c>
      <c r="AC220" s="5">
        <f t="shared" si="64"/>
        <v>0</v>
      </c>
      <c r="AD220" s="5"/>
      <c r="AE220" s="5"/>
      <c r="AF220" s="5">
        <f t="shared" si="65"/>
        <v>3</v>
      </c>
      <c r="AG220" s="5">
        <f t="shared" si="66"/>
        <v>3</v>
      </c>
      <c r="AH220" s="5" t="str">
        <f t="shared" si="67"/>
        <v>Correct</v>
      </c>
      <c r="AI220" s="5"/>
      <c r="AJ220" s="120" t="str">
        <f>IFERROR(VLOOKUP(Table1[RespondentID],'All Data'!$A$3:$CO$999,87,FALSE),"unknown")</f>
        <v>Man</v>
      </c>
      <c r="AK220" s="120">
        <f>IFERROR(VLOOKUP(Table1[RespondentID],'All Data'!$A$3:$CO$999,88,FALSE),"unknown")</f>
        <v>17</v>
      </c>
      <c r="AL220" s="120" t="str">
        <f>IFERROR(VLOOKUP(Table1[RespondentID],'All Data'!$A$3:$CO$999,89,FALSE),"unknown")</f>
        <v>Suffolk</v>
      </c>
      <c r="AM220" s="120" t="str">
        <f>IFERROR(VLOOKUP(Table1[RespondentID],'All Data'!$A$3:$CO$999,90,FALSE),"unknown")</f>
        <v>Commack, 11725</v>
      </c>
      <c r="AN220" s="120" t="str">
        <f>IFERROR(VLOOKUP(Table1[RespondentID],'All Data'!$A$3:$CO$999,91,FALSE),"unknown")</f>
        <v>American Indian and Alaska Native</v>
      </c>
      <c r="AO220" s="120" t="str">
        <f>IFERROR(VLOOKUP(Table1[RespondentID],'All Data'!$A$3:$CO$999,92,FALSE),"unknown")</f>
        <v>Hispanic or Latino</v>
      </c>
      <c r="AP220" s="120" t="str">
        <f>IFERROR(VLOOKUP(Table1[RespondentID],'All Data'!$A$3:$CO$999,93,FALSE),"unknown")</f>
        <v>English, Korean</v>
      </c>
      <c r="AQ220" s="120" t="str">
        <f>IFERROR(VLOOKUP(Table1[RespondentID],'All Data'!$A$3:$CW$999,94,FALSE),"unknown")</f>
        <v>$35,000 to $49,999</v>
      </c>
      <c r="AR220" s="120" t="str">
        <f>IFERROR(VLOOKUP(Table1[RespondentID],'All Data'!$A$3:$CW$999,95,FALSE),"unknown")</f>
        <v>Some high school</v>
      </c>
      <c r="AS220" s="120" t="str">
        <f>IFERROR(VLOOKUP(Table1[RespondentID],'All Data'!$A$3:$CW$999,96,FALSE),"unknown")</f>
        <v>Student</v>
      </c>
      <c r="AT220" s="120">
        <f>IFERROR(VLOOKUP(Table1[RespondentID],'All Data'!$A$3:$CW$999,97,FALSE),"unknown")</f>
        <v>0</v>
      </c>
      <c r="AU220" s="120">
        <f>IFERROR(VLOOKUP(Table1[RespondentID],'All Data'!$A$3:$CW$999,98,FALSE),"unknown")</f>
        <v>0</v>
      </c>
      <c r="AV220" s="120">
        <f>IFERROR(VLOOKUP(Table1[RespondentID],'All Data'!$A$3:$CW$999,99,FALSE),"unknown")</f>
        <v>0</v>
      </c>
    </row>
    <row r="221" spans="1:48">
      <c r="A221" s="5">
        <v>18019103935</v>
      </c>
      <c r="B221" s="5"/>
      <c r="C221" s="5" t="s">
        <v>39</v>
      </c>
      <c r="D221" s="5"/>
      <c r="E221" s="5"/>
      <c r="F221" s="5"/>
      <c r="G221" s="5"/>
      <c r="H221" s="5" t="s">
        <v>43</v>
      </c>
      <c r="I221" s="5" t="s">
        <v>44</v>
      </c>
      <c r="J221" s="5"/>
      <c r="K221" s="5"/>
      <c r="L221" s="5"/>
      <c r="M221" s="5"/>
      <c r="N221" s="5"/>
      <c r="O221" s="5">
        <f t="shared" si="51"/>
        <v>3</v>
      </c>
      <c r="P221" s="5">
        <f t="shared" si="52"/>
        <v>1</v>
      </c>
      <c r="Q221" s="5"/>
      <c r="R221" s="5">
        <f t="shared" si="53"/>
        <v>0</v>
      </c>
      <c r="S221" s="5">
        <f t="shared" si="54"/>
        <v>1</v>
      </c>
      <c r="T221" s="5">
        <f t="shared" si="55"/>
        <v>0</v>
      </c>
      <c r="U221" s="5">
        <f t="shared" si="56"/>
        <v>0</v>
      </c>
      <c r="V221" s="5">
        <f t="shared" si="57"/>
        <v>0</v>
      </c>
      <c r="W221" s="5">
        <f t="shared" si="58"/>
        <v>0</v>
      </c>
      <c r="X221" s="5">
        <f t="shared" si="59"/>
        <v>1</v>
      </c>
      <c r="Y221" s="5">
        <f t="shared" si="60"/>
        <v>1</v>
      </c>
      <c r="Z221" s="5">
        <f t="shared" si="61"/>
        <v>0</v>
      </c>
      <c r="AA221" s="5">
        <f t="shared" si="62"/>
        <v>0</v>
      </c>
      <c r="AB221" s="5">
        <f t="shared" si="63"/>
        <v>0</v>
      </c>
      <c r="AC221" s="5">
        <f t="shared" si="64"/>
        <v>0</v>
      </c>
      <c r="AD221" s="5"/>
      <c r="AE221" s="5"/>
      <c r="AF221" s="5">
        <f t="shared" si="65"/>
        <v>3</v>
      </c>
      <c r="AG221" s="5">
        <f t="shared" si="66"/>
        <v>3</v>
      </c>
      <c r="AH221" s="5" t="str">
        <f t="shared" si="67"/>
        <v>Correct</v>
      </c>
      <c r="AI221" s="5"/>
      <c r="AJ221" s="120" t="str">
        <f>IFERROR(VLOOKUP(Table1[RespondentID],'All Data'!$A$3:$CO$999,87,FALSE),"unknown")</f>
        <v>Woman</v>
      </c>
      <c r="AK221" s="120">
        <f>IFERROR(VLOOKUP(Table1[RespondentID],'All Data'!$A$3:$CO$999,88,FALSE),"unknown")</f>
        <v>42</v>
      </c>
      <c r="AL221" s="120" t="str">
        <f>IFERROR(VLOOKUP(Table1[RespondentID],'All Data'!$A$3:$CO$999,89,FALSE),"unknown")</f>
        <v>Suffolk</v>
      </c>
      <c r="AM221" s="120" t="str">
        <f>IFERROR(VLOOKUP(Table1[RespondentID],'All Data'!$A$3:$CO$999,90,FALSE),"unknown")</f>
        <v>Commack, 11725</v>
      </c>
      <c r="AN221" s="120" t="str">
        <f>IFERROR(VLOOKUP(Table1[RespondentID],'All Data'!$A$3:$CO$999,91,FALSE),"unknown")</f>
        <v>Asian</v>
      </c>
      <c r="AO221" s="120" t="str">
        <f>IFERROR(VLOOKUP(Table1[RespondentID],'All Data'!$A$3:$CO$999,92,FALSE),"unknown")</f>
        <v>Not Hispanic or Latino</v>
      </c>
      <c r="AP221" s="120" t="str">
        <f>IFERROR(VLOOKUP(Table1[RespondentID],'All Data'!$A$3:$CO$999,93,FALSE),"unknown")</f>
        <v>English, Portuguese, Spanish</v>
      </c>
      <c r="AQ221" s="120" t="str">
        <f>IFERROR(VLOOKUP(Table1[RespondentID],'All Data'!$A$3:$CW$999,94,FALSE),"unknown")</f>
        <v>$20,000 to $34,999</v>
      </c>
      <c r="AR221" s="120" t="str">
        <f>IFERROR(VLOOKUP(Table1[RespondentID],'All Data'!$A$3:$CW$999,95,FALSE),"unknown")</f>
        <v>College graduate</v>
      </c>
      <c r="AS221" s="120" t="str">
        <f>IFERROR(VLOOKUP(Table1[RespondentID],'All Data'!$A$3:$CW$999,96,FALSE),"unknown")</f>
        <v>Employed for wages</v>
      </c>
      <c r="AT221" s="120" t="str">
        <f>IFERROR(VLOOKUP(Table1[RespondentID],'All Data'!$A$3:$CW$999,97,FALSE),"unknown")</f>
        <v>Yes</v>
      </c>
      <c r="AU221" s="120">
        <f>IFERROR(VLOOKUP(Table1[RespondentID],'All Data'!$A$3:$CW$999,98,FALSE),"unknown")</f>
        <v>0</v>
      </c>
      <c r="AV221" s="120">
        <f>IFERROR(VLOOKUP(Table1[RespondentID],'All Data'!$A$3:$CW$999,99,FALSE),"unknown")</f>
        <v>0</v>
      </c>
    </row>
    <row r="222" spans="1:48">
      <c r="A222" s="5">
        <v>18019103724</v>
      </c>
      <c r="B222" s="5"/>
      <c r="C222" s="5"/>
      <c r="D222" s="5"/>
      <c r="E222" s="5"/>
      <c r="F222" s="5"/>
      <c r="G222" s="5"/>
      <c r="H222" s="5" t="s">
        <v>43</v>
      </c>
      <c r="I222" s="5"/>
      <c r="J222" s="5"/>
      <c r="K222" s="5"/>
      <c r="L222" s="5" t="s">
        <v>47</v>
      </c>
      <c r="M222" s="5" t="s">
        <v>48</v>
      </c>
      <c r="N222" s="5"/>
      <c r="O222" s="5">
        <f t="shared" si="51"/>
        <v>3</v>
      </c>
      <c r="P222" s="5">
        <f t="shared" si="52"/>
        <v>1</v>
      </c>
      <c r="Q222" s="5"/>
      <c r="R222" s="5">
        <f t="shared" si="53"/>
        <v>0</v>
      </c>
      <c r="S222" s="5">
        <f t="shared" si="54"/>
        <v>0</v>
      </c>
      <c r="T222" s="5">
        <f t="shared" si="55"/>
        <v>0</v>
      </c>
      <c r="U222" s="5">
        <f t="shared" si="56"/>
        <v>0</v>
      </c>
      <c r="V222" s="5">
        <f t="shared" si="57"/>
        <v>0</v>
      </c>
      <c r="W222" s="5">
        <f t="shared" si="58"/>
        <v>0</v>
      </c>
      <c r="X222" s="5">
        <f t="shared" si="59"/>
        <v>1</v>
      </c>
      <c r="Y222" s="5">
        <f t="shared" si="60"/>
        <v>0</v>
      </c>
      <c r="Z222" s="5">
        <f t="shared" si="61"/>
        <v>0</v>
      </c>
      <c r="AA222" s="5">
        <f t="shared" si="62"/>
        <v>0</v>
      </c>
      <c r="AB222" s="5">
        <f t="shared" si="63"/>
        <v>1</v>
      </c>
      <c r="AC222" s="5">
        <f t="shared" si="64"/>
        <v>1</v>
      </c>
      <c r="AD222" s="5"/>
      <c r="AE222" s="5"/>
      <c r="AF222" s="5">
        <f t="shared" si="65"/>
        <v>3</v>
      </c>
      <c r="AG222" s="5">
        <f t="shared" si="66"/>
        <v>3</v>
      </c>
      <c r="AH222" s="5" t="str">
        <f t="shared" si="67"/>
        <v>Correct</v>
      </c>
      <c r="AI222" s="5"/>
      <c r="AJ222" s="120" t="str">
        <f>IFERROR(VLOOKUP(Table1[RespondentID],'All Data'!$A$3:$CO$999,87,FALSE),"unknown")</f>
        <v>Man</v>
      </c>
      <c r="AK222" s="120">
        <f>IFERROR(VLOOKUP(Table1[RespondentID],'All Data'!$A$3:$CO$999,88,FALSE),"unknown")</f>
        <v>52</v>
      </c>
      <c r="AL222" s="120" t="str">
        <f>IFERROR(VLOOKUP(Table1[RespondentID],'All Data'!$A$3:$CO$999,89,FALSE),"unknown")</f>
        <v>Suffolk</v>
      </c>
      <c r="AM222" s="120" t="str">
        <f>IFERROR(VLOOKUP(Table1[RespondentID],'All Data'!$A$3:$CO$999,90,FALSE),"unknown")</f>
        <v>Commack, 11725</v>
      </c>
      <c r="AN222" s="120" t="str">
        <f>IFERROR(VLOOKUP(Table1[RespondentID],'All Data'!$A$3:$CO$999,91,FALSE),"unknown")</f>
        <v>Native Hawaiian and Other Pacific Islander</v>
      </c>
      <c r="AO222" s="120" t="str">
        <f>IFERROR(VLOOKUP(Table1[RespondentID],'All Data'!$A$3:$CO$999,92,FALSE),"unknown")</f>
        <v>Hispanic or Latino</v>
      </c>
      <c r="AP222" s="120" t="str">
        <f>IFERROR(VLOOKUP(Table1[RespondentID],'All Data'!$A$3:$CO$999,93,FALSE),"unknown")</f>
        <v>English, Spanish</v>
      </c>
      <c r="AQ222" s="120" t="str">
        <f>IFERROR(VLOOKUP(Table1[RespondentID],'All Data'!$A$3:$CW$999,94,FALSE),"unknown")</f>
        <v>$35,000 to $49,999</v>
      </c>
      <c r="AR222" s="120" t="str">
        <f>IFERROR(VLOOKUP(Table1[RespondentID],'All Data'!$A$3:$CW$999,95,FALSE),"unknown")</f>
        <v>Graduate school</v>
      </c>
      <c r="AS222" s="120" t="str">
        <f>IFERROR(VLOOKUP(Table1[RespondentID],'All Data'!$A$3:$CW$999,96,FALSE),"unknown")</f>
        <v>Employed for wages</v>
      </c>
      <c r="AT222" s="120" t="str">
        <f>IFERROR(VLOOKUP(Table1[RespondentID],'All Data'!$A$3:$CW$999,97,FALSE),"unknown")</f>
        <v>Yes</v>
      </c>
      <c r="AU222" s="120">
        <f>IFERROR(VLOOKUP(Table1[RespondentID],'All Data'!$A$3:$CW$999,98,FALSE),"unknown")</f>
        <v>0</v>
      </c>
      <c r="AV222" s="120">
        <f>IFERROR(VLOOKUP(Table1[RespondentID],'All Data'!$A$3:$CW$999,99,FALSE),"unknown")</f>
        <v>0</v>
      </c>
    </row>
    <row r="223" spans="1:48">
      <c r="A223" s="5">
        <v>18019103593</v>
      </c>
      <c r="B223" s="5"/>
      <c r="C223" s="5"/>
      <c r="D223" s="5" t="s">
        <v>40</v>
      </c>
      <c r="E223" s="5"/>
      <c r="F223" s="5" t="s">
        <v>42</v>
      </c>
      <c r="G223" s="5"/>
      <c r="H223" s="5"/>
      <c r="I223" s="5"/>
      <c r="J223" s="5"/>
      <c r="K223" s="5" t="s">
        <v>46</v>
      </c>
      <c r="L223" s="5"/>
      <c r="M223" s="5"/>
      <c r="N223" s="5"/>
      <c r="O223" s="5">
        <f t="shared" si="51"/>
        <v>3</v>
      </c>
      <c r="P223" s="5">
        <f t="shared" si="52"/>
        <v>1</v>
      </c>
      <c r="Q223" s="5"/>
      <c r="R223" s="5">
        <f t="shared" si="53"/>
        <v>0</v>
      </c>
      <c r="S223" s="5">
        <f t="shared" si="54"/>
        <v>0</v>
      </c>
      <c r="T223" s="5">
        <f t="shared" si="55"/>
        <v>1</v>
      </c>
      <c r="U223" s="5">
        <f t="shared" si="56"/>
        <v>0</v>
      </c>
      <c r="V223" s="5">
        <f t="shared" si="57"/>
        <v>1</v>
      </c>
      <c r="W223" s="5">
        <f t="shared" si="58"/>
        <v>0</v>
      </c>
      <c r="X223" s="5">
        <f t="shared" si="59"/>
        <v>0</v>
      </c>
      <c r="Y223" s="5">
        <f t="shared" si="60"/>
        <v>0</v>
      </c>
      <c r="Z223" s="5">
        <f t="shared" si="61"/>
        <v>0</v>
      </c>
      <c r="AA223" s="5">
        <f t="shared" si="62"/>
        <v>1</v>
      </c>
      <c r="AB223" s="5">
        <f t="shared" si="63"/>
        <v>0</v>
      </c>
      <c r="AC223" s="5">
        <f t="shared" si="64"/>
        <v>0</v>
      </c>
      <c r="AD223" s="5"/>
      <c r="AE223" s="5"/>
      <c r="AF223" s="5">
        <f t="shared" si="65"/>
        <v>3</v>
      </c>
      <c r="AG223" s="5">
        <f t="shared" si="66"/>
        <v>3</v>
      </c>
      <c r="AH223" s="5" t="str">
        <f t="shared" si="67"/>
        <v>Correct</v>
      </c>
      <c r="AI223" s="5"/>
      <c r="AJ223" s="120" t="str">
        <f>IFERROR(VLOOKUP(Table1[RespondentID],'All Data'!$A$3:$CO$999,87,FALSE),"unknown")</f>
        <v>Woman</v>
      </c>
      <c r="AK223" s="120">
        <f>IFERROR(VLOOKUP(Table1[RespondentID],'All Data'!$A$3:$CO$999,88,FALSE),"unknown")</f>
        <v>85</v>
      </c>
      <c r="AL223" s="120" t="str">
        <f>IFERROR(VLOOKUP(Table1[RespondentID],'All Data'!$A$3:$CO$999,89,FALSE),"unknown")</f>
        <v>Suffolk</v>
      </c>
      <c r="AM223" s="120" t="str">
        <f>IFERROR(VLOOKUP(Table1[RespondentID],'All Data'!$A$3:$CO$999,90,FALSE),"unknown")</f>
        <v>Commack, 11725</v>
      </c>
      <c r="AN223" s="120" t="str">
        <f>IFERROR(VLOOKUP(Table1[RespondentID],'All Data'!$A$3:$CO$999,91,FALSE),"unknown")</f>
        <v>Black or African American</v>
      </c>
      <c r="AO223" s="120" t="str">
        <f>IFERROR(VLOOKUP(Table1[RespondentID],'All Data'!$A$3:$CO$999,92,FALSE),"unknown")</f>
        <v>Hispanic or Latino</v>
      </c>
      <c r="AP223" s="120" t="str">
        <f>IFERROR(VLOOKUP(Table1[RespondentID],'All Data'!$A$3:$CO$999,93,FALSE),"unknown")</f>
        <v>English</v>
      </c>
      <c r="AQ223" s="120" t="str">
        <f>IFERROR(VLOOKUP(Table1[RespondentID],'All Data'!$A$3:$CW$999,94,FALSE),"unknown")</f>
        <v>$50,000 to $74,999</v>
      </c>
      <c r="AR223" s="120" t="str">
        <f>IFERROR(VLOOKUP(Table1[RespondentID],'All Data'!$A$3:$CW$999,95,FALSE),"unknown")</f>
        <v>College graduate</v>
      </c>
      <c r="AS223" s="120" t="str">
        <f>IFERROR(VLOOKUP(Table1[RespondentID],'All Data'!$A$3:$CW$999,96,FALSE),"unknown")</f>
        <v>Retired</v>
      </c>
      <c r="AT223" s="120" t="str">
        <f>IFERROR(VLOOKUP(Table1[RespondentID],'All Data'!$A$3:$CW$999,97,FALSE),"unknown")</f>
        <v>Yes</v>
      </c>
      <c r="AU223" s="120">
        <f>IFERROR(VLOOKUP(Table1[RespondentID],'All Data'!$A$3:$CW$999,98,FALSE),"unknown")</f>
        <v>0</v>
      </c>
      <c r="AV223" s="120">
        <f>IFERROR(VLOOKUP(Table1[RespondentID],'All Data'!$A$3:$CW$999,99,FALSE),"unknown")</f>
        <v>0</v>
      </c>
    </row>
    <row r="224" spans="1:48">
      <c r="A224" s="5">
        <v>18019103458</v>
      </c>
      <c r="B224" s="5"/>
      <c r="C224" s="5"/>
      <c r="D224" s="5"/>
      <c r="E224" s="5"/>
      <c r="F224" s="5"/>
      <c r="G224" s="5"/>
      <c r="H224" s="5" t="s">
        <v>43</v>
      </c>
      <c r="I224" s="5"/>
      <c r="J224" s="5" t="s">
        <v>45</v>
      </c>
      <c r="K224" s="5"/>
      <c r="L224" s="5"/>
      <c r="M224" s="5" t="s">
        <v>48</v>
      </c>
      <c r="N224" s="5"/>
      <c r="O224" s="5">
        <f t="shared" si="51"/>
        <v>3</v>
      </c>
      <c r="P224" s="5">
        <f t="shared" si="52"/>
        <v>1</v>
      </c>
      <c r="Q224" s="5"/>
      <c r="R224" s="5">
        <f t="shared" si="53"/>
        <v>0</v>
      </c>
      <c r="S224" s="5">
        <f t="shared" si="54"/>
        <v>0</v>
      </c>
      <c r="T224" s="5">
        <f t="shared" si="55"/>
        <v>0</v>
      </c>
      <c r="U224" s="5">
        <f t="shared" si="56"/>
        <v>0</v>
      </c>
      <c r="V224" s="5">
        <f t="shared" si="57"/>
        <v>0</v>
      </c>
      <c r="W224" s="5">
        <f t="shared" si="58"/>
        <v>0</v>
      </c>
      <c r="X224" s="5">
        <f t="shared" si="59"/>
        <v>1</v>
      </c>
      <c r="Y224" s="5">
        <f t="shared" si="60"/>
        <v>0</v>
      </c>
      <c r="Z224" s="5">
        <f t="shared" si="61"/>
        <v>1</v>
      </c>
      <c r="AA224" s="5">
        <f t="shared" si="62"/>
        <v>0</v>
      </c>
      <c r="AB224" s="5">
        <f t="shared" si="63"/>
        <v>0</v>
      </c>
      <c r="AC224" s="5">
        <f t="shared" si="64"/>
        <v>1</v>
      </c>
      <c r="AD224" s="5"/>
      <c r="AE224" s="5"/>
      <c r="AF224" s="5">
        <f t="shared" si="65"/>
        <v>3</v>
      </c>
      <c r="AG224" s="5">
        <f t="shared" si="66"/>
        <v>3</v>
      </c>
      <c r="AH224" s="5" t="str">
        <f t="shared" si="67"/>
        <v>Correct</v>
      </c>
      <c r="AI224" s="5"/>
      <c r="AJ224" s="120" t="str">
        <f>IFERROR(VLOOKUP(Table1[RespondentID],'All Data'!$A$3:$CO$999,87,FALSE),"unknown")</f>
        <v>Woman</v>
      </c>
      <c r="AK224" s="120">
        <f>IFERROR(VLOOKUP(Table1[RespondentID],'All Data'!$A$3:$CO$999,88,FALSE),"unknown")</f>
        <v>14</v>
      </c>
      <c r="AL224" s="120" t="str">
        <f>IFERROR(VLOOKUP(Table1[RespondentID],'All Data'!$A$3:$CO$999,89,FALSE),"unknown")</f>
        <v>Suffolk</v>
      </c>
      <c r="AM224" s="120" t="str">
        <f>IFERROR(VLOOKUP(Table1[RespondentID],'All Data'!$A$3:$CO$999,90,FALSE),"unknown")</f>
        <v>Smithtown, 11787</v>
      </c>
      <c r="AN224" s="120" t="str">
        <f>IFERROR(VLOOKUP(Table1[RespondentID],'All Data'!$A$3:$CO$999,91,FALSE),"unknown")</f>
        <v>Native Hawaiian and Other Pacific Islander</v>
      </c>
      <c r="AO224" s="120" t="str">
        <f>IFERROR(VLOOKUP(Table1[RespondentID],'All Data'!$A$3:$CO$999,92,FALSE),"unknown")</f>
        <v>Hispanic or Latino</v>
      </c>
      <c r="AP224" s="120" t="str">
        <f>IFERROR(VLOOKUP(Table1[RespondentID],'All Data'!$A$3:$CO$999,93,FALSE),"unknown")</f>
        <v>English</v>
      </c>
      <c r="AQ224" s="120" t="str">
        <f>IFERROR(VLOOKUP(Table1[RespondentID],'All Data'!$A$3:$CW$999,94,FALSE),"unknown")</f>
        <v>$20,000 to $34,999</v>
      </c>
      <c r="AR224" s="120" t="str">
        <f>IFERROR(VLOOKUP(Table1[RespondentID],'All Data'!$A$3:$CW$999,95,FALSE),"unknown")</f>
        <v>K-8 grade</v>
      </c>
      <c r="AS224" s="120" t="str">
        <f>IFERROR(VLOOKUP(Table1[RespondentID],'All Data'!$A$3:$CW$999,96,FALSE),"unknown")</f>
        <v>Student</v>
      </c>
      <c r="AT224" s="120" t="str">
        <f>IFERROR(VLOOKUP(Table1[RespondentID],'All Data'!$A$3:$CW$999,97,FALSE),"unknown")</f>
        <v>No</v>
      </c>
      <c r="AU224" s="120">
        <f>IFERROR(VLOOKUP(Table1[RespondentID],'All Data'!$A$3:$CW$999,98,FALSE),"unknown")</f>
        <v>0</v>
      </c>
      <c r="AV224" s="120">
        <f>IFERROR(VLOOKUP(Table1[RespondentID],'All Data'!$A$3:$CW$999,99,FALSE),"unknown")</f>
        <v>0</v>
      </c>
    </row>
    <row r="225" spans="1:48">
      <c r="A225" s="5">
        <v>18019103288</v>
      </c>
      <c r="B225" s="5" t="s">
        <v>38</v>
      </c>
      <c r="C225" s="5"/>
      <c r="D225" s="5"/>
      <c r="E225" s="5"/>
      <c r="F225" s="5" t="s">
        <v>42</v>
      </c>
      <c r="G225" s="5"/>
      <c r="H225" s="5"/>
      <c r="I225" s="5" t="s">
        <v>44</v>
      </c>
      <c r="J225" s="5"/>
      <c r="K225" s="5"/>
      <c r="L225" s="5"/>
      <c r="M225" s="5"/>
      <c r="N225" s="5"/>
      <c r="O225" s="5">
        <f t="shared" si="51"/>
        <v>3</v>
      </c>
      <c r="P225" s="5">
        <f t="shared" si="52"/>
        <v>1</v>
      </c>
      <c r="Q225" s="5"/>
      <c r="R225" s="5">
        <f t="shared" si="53"/>
        <v>1</v>
      </c>
      <c r="S225" s="5">
        <f t="shared" si="54"/>
        <v>0</v>
      </c>
      <c r="T225" s="5">
        <f t="shared" si="55"/>
        <v>0</v>
      </c>
      <c r="U225" s="5">
        <f t="shared" si="56"/>
        <v>0</v>
      </c>
      <c r="V225" s="5">
        <f t="shared" si="57"/>
        <v>1</v>
      </c>
      <c r="W225" s="5">
        <f t="shared" si="58"/>
        <v>0</v>
      </c>
      <c r="X225" s="5">
        <f t="shared" si="59"/>
        <v>0</v>
      </c>
      <c r="Y225" s="5">
        <f t="shared" si="60"/>
        <v>1</v>
      </c>
      <c r="Z225" s="5">
        <f t="shared" si="61"/>
        <v>0</v>
      </c>
      <c r="AA225" s="5">
        <f t="shared" si="62"/>
        <v>0</v>
      </c>
      <c r="AB225" s="5">
        <f t="shared" si="63"/>
        <v>0</v>
      </c>
      <c r="AC225" s="5">
        <f t="shared" si="64"/>
        <v>0</v>
      </c>
      <c r="AD225" s="5"/>
      <c r="AE225" s="5"/>
      <c r="AF225" s="5">
        <f t="shared" si="65"/>
        <v>3</v>
      </c>
      <c r="AG225" s="5">
        <f t="shared" si="66"/>
        <v>3</v>
      </c>
      <c r="AH225" s="5" t="str">
        <f t="shared" si="67"/>
        <v>Correct</v>
      </c>
      <c r="AI225" s="5"/>
      <c r="AJ225" s="120" t="str">
        <f>IFERROR(VLOOKUP(Table1[RespondentID],'All Data'!$A$3:$CO$999,87,FALSE),"unknown")</f>
        <v>Man</v>
      </c>
      <c r="AK225" s="120">
        <f>IFERROR(VLOOKUP(Table1[RespondentID],'All Data'!$A$3:$CO$999,88,FALSE),"unknown")</f>
        <v>42</v>
      </c>
      <c r="AL225" s="120" t="str">
        <f>IFERROR(VLOOKUP(Table1[RespondentID],'All Data'!$A$3:$CO$999,89,FALSE),"unknown")</f>
        <v>Suffolk</v>
      </c>
      <c r="AM225" s="120" t="str">
        <f>IFERROR(VLOOKUP(Table1[RespondentID],'All Data'!$A$3:$CO$999,90,FALSE),"unknown")</f>
        <v>Smithtown, 11787</v>
      </c>
      <c r="AN225" s="120" t="str">
        <f>IFERROR(VLOOKUP(Table1[RespondentID],'All Data'!$A$3:$CO$999,91,FALSE),"unknown")</f>
        <v>Asian</v>
      </c>
      <c r="AO225" s="120" t="str">
        <f>IFERROR(VLOOKUP(Table1[RespondentID],'All Data'!$A$3:$CO$999,92,FALSE),"unknown")</f>
        <v>Not Hispanic or Latino</v>
      </c>
      <c r="AP225" s="120" t="str">
        <f>IFERROR(VLOOKUP(Table1[RespondentID],'All Data'!$A$3:$CO$999,93,FALSE),"unknown")</f>
        <v>English, Spanish</v>
      </c>
      <c r="AQ225" s="120" t="str">
        <f>IFERROR(VLOOKUP(Table1[RespondentID],'All Data'!$A$3:$CW$999,94,FALSE),"unknown")</f>
        <v>$35,000 to $49,999</v>
      </c>
      <c r="AR225" s="120" t="str">
        <f>IFERROR(VLOOKUP(Table1[RespondentID],'All Data'!$A$3:$CW$999,95,FALSE),"unknown")</f>
        <v>College graduate</v>
      </c>
      <c r="AS225" s="120" t="str">
        <f>IFERROR(VLOOKUP(Table1[RespondentID],'All Data'!$A$3:$CW$999,96,FALSE),"unknown")</f>
        <v>Employed for wages</v>
      </c>
      <c r="AT225" s="120" t="str">
        <f>IFERROR(VLOOKUP(Table1[RespondentID],'All Data'!$A$3:$CW$999,97,FALSE),"unknown")</f>
        <v>Yes</v>
      </c>
      <c r="AU225" s="120">
        <f>IFERROR(VLOOKUP(Table1[RespondentID],'All Data'!$A$3:$CW$999,98,FALSE),"unknown")</f>
        <v>0</v>
      </c>
      <c r="AV225" s="120">
        <f>IFERROR(VLOOKUP(Table1[RespondentID],'All Data'!$A$3:$CW$999,99,FALSE),"unknown")</f>
        <v>0</v>
      </c>
    </row>
    <row r="226" spans="1:48">
      <c r="A226" s="5">
        <v>18019103154</v>
      </c>
      <c r="B226" s="5"/>
      <c r="C226" s="5"/>
      <c r="D226" s="5"/>
      <c r="E226" s="5"/>
      <c r="F226" s="5" t="s">
        <v>42</v>
      </c>
      <c r="G226" s="5"/>
      <c r="H226" s="5"/>
      <c r="I226" s="5"/>
      <c r="J226" s="5" t="s">
        <v>45</v>
      </c>
      <c r="K226" s="5" t="s">
        <v>46</v>
      </c>
      <c r="L226" s="5"/>
      <c r="M226" s="5"/>
      <c r="N226" s="5"/>
      <c r="O226" s="5">
        <f t="shared" si="51"/>
        <v>3</v>
      </c>
      <c r="P226" s="5">
        <f t="shared" si="52"/>
        <v>1</v>
      </c>
      <c r="Q226" s="5"/>
      <c r="R226" s="5">
        <f t="shared" si="53"/>
        <v>0</v>
      </c>
      <c r="S226" s="5">
        <f t="shared" si="54"/>
        <v>0</v>
      </c>
      <c r="T226" s="5">
        <f t="shared" si="55"/>
        <v>0</v>
      </c>
      <c r="U226" s="5">
        <f t="shared" si="56"/>
        <v>0</v>
      </c>
      <c r="V226" s="5">
        <f t="shared" si="57"/>
        <v>1</v>
      </c>
      <c r="W226" s="5">
        <f t="shared" si="58"/>
        <v>0</v>
      </c>
      <c r="X226" s="5">
        <f t="shared" si="59"/>
        <v>0</v>
      </c>
      <c r="Y226" s="5">
        <f t="shared" si="60"/>
        <v>0</v>
      </c>
      <c r="Z226" s="5">
        <f t="shared" si="61"/>
        <v>1</v>
      </c>
      <c r="AA226" s="5">
        <f t="shared" si="62"/>
        <v>1</v>
      </c>
      <c r="AB226" s="5">
        <f t="shared" si="63"/>
        <v>0</v>
      </c>
      <c r="AC226" s="5">
        <f t="shared" si="64"/>
        <v>0</v>
      </c>
      <c r="AD226" s="5"/>
      <c r="AE226" s="5"/>
      <c r="AF226" s="5">
        <f t="shared" si="65"/>
        <v>3</v>
      </c>
      <c r="AG226" s="5">
        <f t="shared" si="66"/>
        <v>3</v>
      </c>
      <c r="AH226" s="5" t="str">
        <f t="shared" si="67"/>
        <v>Correct</v>
      </c>
      <c r="AI226" s="5"/>
      <c r="AJ226" s="120" t="str">
        <f>IFERROR(VLOOKUP(Table1[RespondentID],'All Data'!$A$3:$CO$999,87,FALSE),"unknown")</f>
        <v>Woman</v>
      </c>
      <c r="AK226" s="120">
        <f>IFERROR(VLOOKUP(Table1[RespondentID],'All Data'!$A$3:$CO$999,88,FALSE),"unknown")</f>
        <v>48</v>
      </c>
      <c r="AL226" s="120" t="str">
        <f>IFERROR(VLOOKUP(Table1[RespondentID],'All Data'!$A$3:$CO$999,89,FALSE),"unknown")</f>
        <v>Suffolk</v>
      </c>
      <c r="AM226" s="120" t="str">
        <f>IFERROR(VLOOKUP(Table1[RespondentID],'All Data'!$A$3:$CO$999,90,FALSE),"unknown")</f>
        <v>Commack, 11725</v>
      </c>
      <c r="AN226" s="120" t="str">
        <f>IFERROR(VLOOKUP(Table1[RespondentID],'All Data'!$A$3:$CO$999,91,FALSE),"unknown")</f>
        <v>White</v>
      </c>
      <c r="AO226" s="120" t="str">
        <f>IFERROR(VLOOKUP(Table1[RespondentID],'All Data'!$A$3:$CO$999,92,FALSE),"unknown")</f>
        <v>Hispanic or Latino</v>
      </c>
      <c r="AP226" s="120" t="str">
        <f>IFERROR(VLOOKUP(Table1[RespondentID],'All Data'!$A$3:$CO$999,93,FALSE),"unknown")</f>
        <v>English</v>
      </c>
      <c r="AQ226" s="120" t="str">
        <f>IFERROR(VLOOKUP(Table1[RespondentID],'All Data'!$A$3:$CW$999,94,FALSE),"unknown")</f>
        <v>$20,000 to $34,999</v>
      </c>
      <c r="AR226" s="120" t="str">
        <f>IFERROR(VLOOKUP(Table1[RespondentID],'All Data'!$A$3:$CW$999,95,FALSE),"unknown")</f>
        <v>Graduate school</v>
      </c>
      <c r="AS226" s="120" t="str">
        <f>IFERROR(VLOOKUP(Table1[RespondentID],'All Data'!$A$3:$CW$999,96,FALSE),"unknown")</f>
        <v>Employed for wages</v>
      </c>
      <c r="AT226" s="120" t="str">
        <f>IFERROR(VLOOKUP(Table1[RespondentID],'All Data'!$A$3:$CW$999,97,FALSE),"unknown")</f>
        <v>Yes</v>
      </c>
      <c r="AU226" s="120">
        <f>IFERROR(VLOOKUP(Table1[RespondentID],'All Data'!$A$3:$CW$999,98,FALSE),"unknown")</f>
        <v>0</v>
      </c>
      <c r="AV226" s="120">
        <f>IFERROR(VLOOKUP(Table1[RespondentID],'All Data'!$A$3:$CW$999,99,FALSE),"unknown")</f>
        <v>0</v>
      </c>
    </row>
    <row r="227" spans="1:48">
      <c r="A227" s="5">
        <v>18019102990</v>
      </c>
      <c r="B227" s="5"/>
      <c r="C227" s="5"/>
      <c r="D227" s="5" t="s">
        <v>40</v>
      </c>
      <c r="E227" s="5"/>
      <c r="F227" s="5"/>
      <c r="G227" s="5" t="s">
        <v>37</v>
      </c>
      <c r="H227" s="5"/>
      <c r="I227" s="5"/>
      <c r="J227" s="5" t="s">
        <v>45</v>
      </c>
      <c r="K227" s="5"/>
      <c r="L227" s="5"/>
      <c r="M227" s="5"/>
      <c r="N227" s="5"/>
      <c r="O227" s="5">
        <f t="shared" si="51"/>
        <v>3</v>
      </c>
      <c r="P227" s="5">
        <f t="shared" si="52"/>
        <v>1</v>
      </c>
      <c r="Q227" s="5"/>
      <c r="R227" s="5">
        <f t="shared" si="53"/>
        <v>0</v>
      </c>
      <c r="S227" s="5">
        <f t="shared" si="54"/>
        <v>0</v>
      </c>
      <c r="T227" s="5">
        <f t="shared" si="55"/>
        <v>1</v>
      </c>
      <c r="U227" s="5">
        <f t="shared" si="56"/>
        <v>0</v>
      </c>
      <c r="V227" s="5">
        <f t="shared" si="57"/>
        <v>0</v>
      </c>
      <c r="W227" s="5">
        <f t="shared" si="58"/>
        <v>1</v>
      </c>
      <c r="X227" s="5">
        <f t="shared" si="59"/>
        <v>0</v>
      </c>
      <c r="Y227" s="5">
        <f t="shared" si="60"/>
        <v>0</v>
      </c>
      <c r="Z227" s="5">
        <f t="shared" si="61"/>
        <v>1</v>
      </c>
      <c r="AA227" s="5">
        <f t="shared" si="62"/>
        <v>0</v>
      </c>
      <c r="AB227" s="5">
        <f t="shared" si="63"/>
        <v>0</v>
      </c>
      <c r="AC227" s="5">
        <f t="shared" si="64"/>
        <v>0</v>
      </c>
      <c r="AD227" s="5"/>
      <c r="AE227" s="5"/>
      <c r="AF227" s="5">
        <f t="shared" si="65"/>
        <v>3</v>
      </c>
      <c r="AG227" s="5">
        <f t="shared" si="66"/>
        <v>3</v>
      </c>
      <c r="AH227" s="5" t="str">
        <f t="shared" si="67"/>
        <v>Correct</v>
      </c>
      <c r="AI227" s="5"/>
      <c r="AJ227" s="120" t="str">
        <f>IFERROR(VLOOKUP(Table1[RespondentID],'All Data'!$A$3:$CO$999,87,FALSE),"unknown")</f>
        <v>Man</v>
      </c>
      <c r="AK227" s="120">
        <f>IFERROR(VLOOKUP(Table1[RespondentID],'All Data'!$A$3:$CO$999,88,FALSE),"unknown")</f>
        <v>24</v>
      </c>
      <c r="AL227" s="120" t="str">
        <f>IFERROR(VLOOKUP(Table1[RespondentID],'All Data'!$A$3:$CO$999,89,FALSE),"unknown")</f>
        <v>Suffolk</v>
      </c>
      <c r="AM227" s="120" t="str">
        <f>IFERROR(VLOOKUP(Table1[RespondentID],'All Data'!$A$3:$CO$999,90,FALSE),"unknown")</f>
        <v>Commack, 11725</v>
      </c>
      <c r="AN227" s="120" t="str">
        <f>IFERROR(VLOOKUP(Table1[RespondentID],'All Data'!$A$3:$CO$999,91,FALSE),"unknown")</f>
        <v>Black or African American</v>
      </c>
      <c r="AO227" s="120" t="str">
        <f>IFERROR(VLOOKUP(Table1[RespondentID],'All Data'!$A$3:$CO$999,92,FALSE),"unknown")</f>
        <v>Hispanic or Latino</v>
      </c>
      <c r="AP227" s="120" t="str">
        <f>IFERROR(VLOOKUP(Table1[RespondentID],'All Data'!$A$3:$CO$999,93,FALSE),"unknown")</f>
        <v>Polish</v>
      </c>
      <c r="AQ227" s="120" t="str">
        <f>IFERROR(VLOOKUP(Table1[RespondentID],'All Data'!$A$3:$CW$999,94,FALSE),"unknown")</f>
        <v>$35,000 to $49,999</v>
      </c>
      <c r="AR227" s="120" t="str">
        <f>IFERROR(VLOOKUP(Table1[RespondentID],'All Data'!$A$3:$CW$999,95,FALSE),"unknown")</f>
        <v>Some college</v>
      </c>
      <c r="AS227" s="120" t="str">
        <f>IFERROR(VLOOKUP(Table1[RespondentID],'All Data'!$A$3:$CW$999,96,FALSE),"unknown")</f>
        <v>Employed for wages</v>
      </c>
      <c r="AT227" s="120" t="str">
        <f>IFERROR(VLOOKUP(Table1[RespondentID],'All Data'!$A$3:$CW$999,97,FALSE),"unknown")</f>
        <v>Yes</v>
      </c>
      <c r="AU227" s="120">
        <f>IFERROR(VLOOKUP(Table1[RespondentID],'All Data'!$A$3:$CW$999,98,FALSE),"unknown")</f>
        <v>0</v>
      </c>
      <c r="AV227" s="120">
        <f>IFERROR(VLOOKUP(Table1[RespondentID],'All Data'!$A$3:$CW$999,99,FALSE),"unknown")</f>
        <v>0</v>
      </c>
    </row>
    <row r="228" spans="1:48">
      <c r="A228" s="5">
        <v>18019102832</v>
      </c>
      <c r="B228" s="5" t="s">
        <v>38</v>
      </c>
      <c r="C228" s="5"/>
      <c r="D228" s="5"/>
      <c r="E228" s="5"/>
      <c r="F228" s="5" t="s">
        <v>42</v>
      </c>
      <c r="G228" s="5"/>
      <c r="H228" s="5"/>
      <c r="I228" s="5"/>
      <c r="J228" s="5"/>
      <c r="K228" s="5"/>
      <c r="L228" s="5"/>
      <c r="M228" s="5" t="s">
        <v>48</v>
      </c>
      <c r="N228" s="5"/>
      <c r="O228" s="5">
        <f t="shared" si="51"/>
        <v>3</v>
      </c>
      <c r="P228" s="5">
        <f t="shared" si="52"/>
        <v>1</v>
      </c>
      <c r="Q228" s="5"/>
      <c r="R228" s="5">
        <f t="shared" si="53"/>
        <v>1</v>
      </c>
      <c r="S228" s="5">
        <f t="shared" si="54"/>
        <v>0</v>
      </c>
      <c r="T228" s="5">
        <f t="shared" si="55"/>
        <v>0</v>
      </c>
      <c r="U228" s="5">
        <f t="shared" si="56"/>
        <v>0</v>
      </c>
      <c r="V228" s="5">
        <f t="shared" si="57"/>
        <v>1</v>
      </c>
      <c r="W228" s="5">
        <f t="shared" si="58"/>
        <v>0</v>
      </c>
      <c r="X228" s="5">
        <f t="shared" si="59"/>
        <v>0</v>
      </c>
      <c r="Y228" s="5">
        <f t="shared" si="60"/>
        <v>0</v>
      </c>
      <c r="Z228" s="5">
        <f t="shared" si="61"/>
        <v>0</v>
      </c>
      <c r="AA228" s="5">
        <f t="shared" si="62"/>
        <v>0</v>
      </c>
      <c r="AB228" s="5">
        <f t="shared" si="63"/>
        <v>0</v>
      </c>
      <c r="AC228" s="5">
        <f t="shared" si="64"/>
        <v>1</v>
      </c>
      <c r="AD228" s="5"/>
      <c r="AE228" s="5"/>
      <c r="AF228" s="5">
        <f t="shared" si="65"/>
        <v>3</v>
      </c>
      <c r="AG228" s="5">
        <f t="shared" si="66"/>
        <v>3</v>
      </c>
      <c r="AH228" s="5" t="str">
        <f t="shared" si="67"/>
        <v>Correct</v>
      </c>
      <c r="AI228" s="5"/>
      <c r="AJ228" s="120" t="str">
        <f>IFERROR(VLOOKUP(Table1[RespondentID],'All Data'!$A$3:$CO$999,87,FALSE),"unknown")</f>
        <v>Man</v>
      </c>
      <c r="AK228" s="120">
        <f>IFERROR(VLOOKUP(Table1[RespondentID],'All Data'!$A$3:$CO$999,88,FALSE),"unknown")</f>
        <v>19</v>
      </c>
      <c r="AL228" s="120" t="str">
        <f>IFERROR(VLOOKUP(Table1[RespondentID],'All Data'!$A$3:$CO$999,89,FALSE),"unknown")</f>
        <v>Suffolk</v>
      </c>
      <c r="AM228" s="120" t="str">
        <f>IFERROR(VLOOKUP(Table1[RespondentID],'All Data'!$A$3:$CO$999,90,FALSE),"unknown")</f>
        <v>Commack, 11725</v>
      </c>
      <c r="AN228" s="120" t="str">
        <f>IFERROR(VLOOKUP(Table1[RespondentID],'All Data'!$A$3:$CO$999,91,FALSE),"unknown")</f>
        <v>American Indian and Alaska Native</v>
      </c>
      <c r="AO228" s="120" t="str">
        <f>IFERROR(VLOOKUP(Table1[RespondentID],'All Data'!$A$3:$CO$999,92,FALSE),"unknown")</f>
        <v>Hispanic or Latino</v>
      </c>
      <c r="AP228" s="120" t="str">
        <f>IFERROR(VLOOKUP(Table1[RespondentID],'All Data'!$A$3:$CO$999,93,FALSE),"unknown")</f>
        <v>English, Chinese</v>
      </c>
      <c r="AQ228" s="120" t="str">
        <f>IFERROR(VLOOKUP(Table1[RespondentID],'All Data'!$A$3:$CW$999,94,FALSE),"unknown")</f>
        <v>$20,000 to $34,999</v>
      </c>
      <c r="AR228" s="120" t="str">
        <f>IFERROR(VLOOKUP(Table1[RespondentID],'All Data'!$A$3:$CW$999,95,FALSE),"unknown")</f>
        <v>High school graduate</v>
      </c>
      <c r="AS228" s="120" t="str">
        <f>IFERROR(VLOOKUP(Table1[RespondentID],'All Data'!$A$3:$CW$999,96,FALSE),"unknown")</f>
        <v>Student</v>
      </c>
      <c r="AT228" s="120" t="str">
        <f>IFERROR(VLOOKUP(Table1[RespondentID],'All Data'!$A$3:$CW$999,97,FALSE),"unknown")</f>
        <v>Yes</v>
      </c>
      <c r="AU228" s="120">
        <f>IFERROR(VLOOKUP(Table1[RespondentID],'All Data'!$A$3:$CW$999,98,FALSE),"unknown")</f>
        <v>0</v>
      </c>
      <c r="AV228" s="120">
        <f>IFERROR(VLOOKUP(Table1[RespondentID],'All Data'!$A$3:$CW$999,99,FALSE),"unknown")</f>
        <v>0</v>
      </c>
    </row>
    <row r="229" spans="1:48">
      <c r="A229" s="5">
        <v>18019102674</v>
      </c>
      <c r="B229" s="5"/>
      <c r="C229" s="5"/>
      <c r="D229" s="5" t="s">
        <v>40</v>
      </c>
      <c r="E229" s="5"/>
      <c r="F229" s="5" t="s">
        <v>42</v>
      </c>
      <c r="G229" s="5"/>
      <c r="H229" s="5"/>
      <c r="I229" s="5"/>
      <c r="J229" s="5"/>
      <c r="K229" s="5"/>
      <c r="L229" s="5" t="s">
        <v>47</v>
      </c>
      <c r="M229" s="5"/>
      <c r="N229" s="5"/>
      <c r="O229" s="5">
        <f t="shared" si="51"/>
        <v>3</v>
      </c>
      <c r="P229" s="5">
        <f t="shared" si="52"/>
        <v>1</v>
      </c>
      <c r="Q229" s="5"/>
      <c r="R229" s="5">
        <f t="shared" si="53"/>
        <v>0</v>
      </c>
      <c r="S229" s="5">
        <f t="shared" si="54"/>
        <v>0</v>
      </c>
      <c r="T229" s="5">
        <f t="shared" si="55"/>
        <v>1</v>
      </c>
      <c r="U229" s="5">
        <f t="shared" si="56"/>
        <v>0</v>
      </c>
      <c r="V229" s="5">
        <f t="shared" si="57"/>
        <v>1</v>
      </c>
      <c r="W229" s="5">
        <f t="shared" si="58"/>
        <v>0</v>
      </c>
      <c r="X229" s="5">
        <f t="shared" si="59"/>
        <v>0</v>
      </c>
      <c r="Y229" s="5">
        <f t="shared" si="60"/>
        <v>0</v>
      </c>
      <c r="Z229" s="5">
        <f t="shared" si="61"/>
        <v>0</v>
      </c>
      <c r="AA229" s="5">
        <f t="shared" si="62"/>
        <v>0</v>
      </c>
      <c r="AB229" s="5">
        <f t="shared" si="63"/>
        <v>1</v>
      </c>
      <c r="AC229" s="5">
        <f t="shared" si="64"/>
        <v>0</v>
      </c>
      <c r="AD229" s="5"/>
      <c r="AE229" s="5"/>
      <c r="AF229" s="5">
        <f t="shared" si="65"/>
        <v>3</v>
      </c>
      <c r="AG229" s="5">
        <f t="shared" si="66"/>
        <v>3</v>
      </c>
      <c r="AH229" s="5" t="str">
        <f t="shared" si="67"/>
        <v>Correct</v>
      </c>
      <c r="AI229" s="5"/>
      <c r="AJ229" s="120" t="str">
        <f>IFERROR(VLOOKUP(Table1[RespondentID],'All Data'!$A$3:$CO$999,87,FALSE),"unknown")</f>
        <v>Woman</v>
      </c>
      <c r="AK229" s="120">
        <f>IFERROR(VLOOKUP(Table1[RespondentID],'All Data'!$A$3:$CO$999,88,FALSE),"unknown")</f>
        <v>72</v>
      </c>
      <c r="AL229" s="120" t="str">
        <f>IFERROR(VLOOKUP(Table1[RespondentID],'All Data'!$A$3:$CO$999,89,FALSE),"unknown")</f>
        <v>Suffolk</v>
      </c>
      <c r="AM229" s="120" t="str">
        <f>IFERROR(VLOOKUP(Table1[RespondentID],'All Data'!$A$3:$CO$999,90,FALSE),"unknown")</f>
        <v>Commack, 11725</v>
      </c>
      <c r="AN229" s="120" t="str">
        <f>IFERROR(VLOOKUP(Table1[RespondentID],'All Data'!$A$3:$CO$999,91,FALSE),"unknown")</f>
        <v>White</v>
      </c>
      <c r="AO229" s="120" t="str">
        <f>IFERROR(VLOOKUP(Table1[RespondentID],'All Data'!$A$3:$CO$999,92,FALSE),"unknown")</f>
        <v>Hispanic or Latino</v>
      </c>
      <c r="AP229" s="120" t="str">
        <f>IFERROR(VLOOKUP(Table1[RespondentID],'All Data'!$A$3:$CO$999,93,FALSE),"unknown")</f>
        <v>English</v>
      </c>
      <c r="AQ229" s="120" t="str">
        <f>IFERROR(VLOOKUP(Table1[RespondentID],'All Data'!$A$3:$CW$999,94,FALSE),"unknown")</f>
        <v>$75,000 to $125,000</v>
      </c>
      <c r="AR229" s="120" t="str">
        <f>IFERROR(VLOOKUP(Table1[RespondentID],'All Data'!$A$3:$CW$999,95,FALSE),"unknown")</f>
        <v>College graduate</v>
      </c>
      <c r="AS229" s="120" t="str">
        <f>IFERROR(VLOOKUP(Table1[RespondentID],'All Data'!$A$3:$CW$999,96,FALSE),"unknown")</f>
        <v>Retired</v>
      </c>
      <c r="AT229" s="120" t="str">
        <f>IFERROR(VLOOKUP(Table1[RespondentID],'All Data'!$A$3:$CW$999,97,FALSE),"unknown")</f>
        <v>Yes</v>
      </c>
      <c r="AU229" s="120">
        <f>IFERROR(VLOOKUP(Table1[RespondentID],'All Data'!$A$3:$CW$999,98,FALSE),"unknown")</f>
        <v>0</v>
      </c>
      <c r="AV229" s="120">
        <f>IFERROR(VLOOKUP(Table1[RespondentID],'All Data'!$A$3:$CW$999,99,FALSE),"unknown")</f>
        <v>0</v>
      </c>
    </row>
    <row r="230" spans="1:48">
      <c r="A230" s="5">
        <v>18019102453</v>
      </c>
      <c r="B230" s="5"/>
      <c r="C230" s="5" t="s">
        <v>39</v>
      </c>
      <c r="D230" s="5"/>
      <c r="E230" s="5"/>
      <c r="F230" s="5"/>
      <c r="G230" s="5"/>
      <c r="H230" s="5"/>
      <c r="I230" s="5" t="s">
        <v>44</v>
      </c>
      <c r="J230" s="5"/>
      <c r="K230" s="5"/>
      <c r="L230" s="5"/>
      <c r="M230" s="5" t="s">
        <v>48</v>
      </c>
      <c r="N230" s="5"/>
      <c r="O230" s="5">
        <f t="shared" si="51"/>
        <v>3</v>
      </c>
      <c r="P230" s="5">
        <f t="shared" si="52"/>
        <v>1</v>
      </c>
      <c r="Q230" s="5"/>
      <c r="R230" s="5">
        <f t="shared" si="53"/>
        <v>0</v>
      </c>
      <c r="S230" s="5">
        <f t="shared" si="54"/>
        <v>1</v>
      </c>
      <c r="T230" s="5">
        <f t="shared" si="55"/>
        <v>0</v>
      </c>
      <c r="U230" s="5">
        <f t="shared" si="56"/>
        <v>0</v>
      </c>
      <c r="V230" s="5">
        <f t="shared" si="57"/>
        <v>0</v>
      </c>
      <c r="W230" s="5">
        <f t="shared" si="58"/>
        <v>0</v>
      </c>
      <c r="X230" s="5">
        <f t="shared" si="59"/>
        <v>0</v>
      </c>
      <c r="Y230" s="5">
        <f t="shared" si="60"/>
        <v>1</v>
      </c>
      <c r="Z230" s="5">
        <f t="shared" si="61"/>
        <v>0</v>
      </c>
      <c r="AA230" s="5">
        <f t="shared" si="62"/>
        <v>0</v>
      </c>
      <c r="AB230" s="5">
        <f t="shared" si="63"/>
        <v>0</v>
      </c>
      <c r="AC230" s="5">
        <f t="shared" si="64"/>
        <v>1</v>
      </c>
      <c r="AD230" s="5"/>
      <c r="AE230" s="5"/>
      <c r="AF230" s="5">
        <f t="shared" si="65"/>
        <v>3</v>
      </c>
      <c r="AG230" s="5">
        <f t="shared" si="66"/>
        <v>3</v>
      </c>
      <c r="AH230" s="5" t="str">
        <f t="shared" si="67"/>
        <v>Correct</v>
      </c>
      <c r="AI230" s="5"/>
      <c r="AJ230" s="120" t="str">
        <f>IFERROR(VLOOKUP(Table1[RespondentID],'All Data'!$A$3:$CO$999,87,FALSE),"unknown")</f>
        <v>Woman</v>
      </c>
      <c r="AK230" s="120">
        <f>IFERROR(VLOOKUP(Table1[RespondentID],'All Data'!$A$3:$CO$999,88,FALSE),"unknown")</f>
        <v>17</v>
      </c>
      <c r="AL230" s="120" t="str">
        <f>IFERROR(VLOOKUP(Table1[RespondentID],'All Data'!$A$3:$CO$999,89,FALSE),"unknown")</f>
        <v>Suffolk</v>
      </c>
      <c r="AM230" s="120" t="str">
        <f>IFERROR(VLOOKUP(Table1[RespondentID],'All Data'!$A$3:$CO$999,90,FALSE),"unknown")</f>
        <v>Commack, 11725</v>
      </c>
      <c r="AN230" s="120" t="str">
        <f>IFERROR(VLOOKUP(Table1[RespondentID],'All Data'!$A$3:$CO$999,91,FALSE),"unknown")</f>
        <v>White</v>
      </c>
      <c r="AO230" s="120" t="str">
        <f>IFERROR(VLOOKUP(Table1[RespondentID],'All Data'!$A$3:$CO$999,92,FALSE),"unknown")</f>
        <v>Hispanic or Latino</v>
      </c>
      <c r="AP230" s="120" t="str">
        <f>IFERROR(VLOOKUP(Table1[RespondentID],'All Data'!$A$3:$CO$999,93,FALSE),"unknown")</f>
        <v>English, Italian</v>
      </c>
      <c r="AQ230" s="120" t="str">
        <f>IFERROR(VLOOKUP(Table1[RespondentID],'All Data'!$A$3:$CW$999,94,FALSE),"unknown")</f>
        <v>$75,000 to $125,000</v>
      </c>
      <c r="AR230" s="120" t="str">
        <f>IFERROR(VLOOKUP(Table1[RespondentID],'All Data'!$A$3:$CW$999,95,FALSE),"unknown")</f>
        <v>Some high school</v>
      </c>
      <c r="AS230" s="120" t="str">
        <f>IFERROR(VLOOKUP(Table1[RespondentID],'All Data'!$A$3:$CW$999,96,FALSE),"unknown")</f>
        <v>Student</v>
      </c>
      <c r="AT230" s="120" t="str">
        <f>IFERROR(VLOOKUP(Table1[RespondentID],'All Data'!$A$3:$CW$999,97,FALSE),"unknown")</f>
        <v>Yes</v>
      </c>
      <c r="AU230" s="120">
        <f>IFERROR(VLOOKUP(Table1[RespondentID],'All Data'!$A$3:$CW$999,98,FALSE),"unknown")</f>
        <v>0</v>
      </c>
      <c r="AV230" s="120">
        <f>IFERROR(VLOOKUP(Table1[RespondentID],'All Data'!$A$3:$CW$999,99,FALSE),"unknown")</f>
        <v>0</v>
      </c>
    </row>
    <row r="231" spans="1:48">
      <c r="A231" s="5">
        <v>18019102258</v>
      </c>
      <c r="B231" s="5"/>
      <c r="C231" s="5"/>
      <c r="D231" s="5" t="s">
        <v>40</v>
      </c>
      <c r="E231" s="5"/>
      <c r="F231" s="5" t="s">
        <v>42</v>
      </c>
      <c r="G231" s="5"/>
      <c r="H231" s="5"/>
      <c r="I231" s="5"/>
      <c r="J231" s="5"/>
      <c r="K231" s="5"/>
      <c r="L231" s="5"/>
      <c r="M231" s="5" t="s">
        <v>48</v>
      </c>
      <c r="N231" s="5"/>
      <c r="O231" s="5">
        <f t="shared" si="51"/>
        <v>3</v>
      </c>
      <c r="P231" s="5">
        <f t="shared" si="52"/>
        <v>1</v>
      </c>
      <c r="Q231" s="5"/>
      <c r="R231" s="5">
        <f t="shared" si="53"/>
        <v>0</v>
      </c>
      <c r="S231" s="5">
        <f t="shared" si="54"/>
        <v>0</v>
      </c>
      <c r="T231" s="5">
        <f t="shared" si="55"/>
        <v>1</v>
      </c>
      <c r="U231" s="5">
        <f t="shared" si="56"/>
        <v>0</v>
      </c>
      <c r="V231" s="5">
        <f t="shared" si="57"/>
        <v>1</v>
      </c>
      <c r="W231" s="5">
        <f t="shared" si="58"/>
        <v>0</v>
      </c>
      <c r="X231" s="5">
        <f t="shared" si="59"/>
        <v>0</v>
      </c>
      <c r="Y231" s="5">
        <f t="shared" si="60"/>
        <v>0</v>
      </c>
      <c r="Z231" s="5">
        <f t="shared" si="61"/>
        <v>0</v>
      </c>
      <c r="AA231" s="5">
        <f t="shared" si="62"/>
        <v>0</v>
      </c>
      <c r="AB231" s="5">
        <f t="shared" si="63"/>
        <v>0</v>
      </c>
      <c r="AC231" s="5">
        <f t="shared" si="64"/>
        <v>1</v>
      </c>
      <c r="AD231" s="5"/>
      <c r="AE231" s="5"/>
      <c r="AF231" s="5">
        <f t="shared" si="65"/>
        <v>3</v>
      </c>
      <c r="AG231" s="5">
        <f t="shared" si="66"/>
        <v>3</v>
      </c>
      <c r="AH231" s="5" t="str">
        <f t="shared" si="67"/>
        <v>Correct</v>
      </c>
      <c r="AI231" s="5"/>
      <c r="AJ231" s="120" t="str">
        <f>IFERROR(VLOOKUP(Table1[RespondentID],'All Data'!$A$3:$CO$999,87,FALSE),"unknown")</f>
        <v>Woman</v>
      </c>
      <c r="AK231" s="120">
        <f>IFERROR(VLOOKUP(Table1[RespondentID],'All Data'!$A$3:$CO$999,88,FALSE),"unknown")</f>
        <v>84</v>
      </c>
      <c r="AL231" s="120" t="str">
        <f>IFERROR(VLOOKUP(Table1[RespondentID],'All Data'!$A$3:$CO$999,89,FALSE),"unknown")</f>
        <v>Suffolk</v>
      </c>
      <c r="AM231" s="120" t="str">
        <f>IFERROR(VLOOKUP(Table1[RespondentID],'All Data'!$A$3:$CO$999,90,FALSE),"unknown")</f>
        <v>Smithtown, 11787</v>
      </c>
      <c r="AN231" s="120" t="str">
        <f>IFERROR(VLOOKUP(Table1[RespondentID],'All Data'!$A$3:$CO$999,91,FALSE),"unknown")</f>
        <v>Asian</v>
      </c>
      <c r="AO231" s="120" t="str">
        <f>IFERROR(VLOOKUP(Table1[RespondentID],'All Data'!$A$3:$CO$999,92,FALSE),"unknown")</f>
        <v>Not Hispanic or Latino</v>
      </c>
      <c r="AP231" s="120" t="str">
        <f>IFERROR(VLOOKUP(Table1[RespondentID],'All Data'!$A$3:$CO$999,93,FALSE),"unknown")</f>
        <v>English, Spanish</v>
      </c>
      <c r="AQ231" s="120" t="str">
        <f>IFERROR(VLOOKUP(Table1[RespondentID],'All Data'!$A$3:$CW$999,94,FALSE),"unknown")</f>
        <v>$75,000 to $125,000</v>
      </c>
      <c r="AR231" s="120" t="str">
        <f>IFERROR(VLOOKUP(Table1[RespondentID],'All Data'!$A$3:$CW$999,95,FALSE),"unknown")</f>
        <v>College graduate</v>
      </c>
      <c r="AS231" s="120" t="str">
        <f>IFERROR(VLOOKUP(Table1[RespondentID],'All Data'!$A$3:$CW$999,96,FALSE),"unknown")</f>
        <v>Retired</v>
      </c>
      <c r="AT231" s="120" t="str">
        <f>IFERROR(VLOOKUP(Table1[RespondentID],'All Data'!$A$3:$CW$999,97,FALSE),"unknown")</f>
        <v>Yes</v>
      </c>
      <c r="AU231" s="120">
        <f>IFERROR(VLOOKUP(Table1[RespondentID],'All Data'!$A$3:$CW$999,98,FALSE),"unknown")</f>
        <v>0</v>
      </c>
      <c r="AV231" s="120">
        <f>IFERROR(VLOOKUP(Table1[RespondentID],'All Data'!$A$3:$CW$999,99,FALSE),"unknown")</f>
        <v>0</v>
      </c>
    </row>
    <row r="232" spans="1:48">
      <c r="A232" s="5">
        <v>18019102072</v>
      </c>
      <c r="B232" s="5"/>
      <c r="C232" s="5"/>
      <c r="D232" s="5"/>
      <c r="E232" s="5" t="s">
        <v>41</v>
      </c>
      <c r="F232" s="5" t="s">
        <v>42</v>
      </c>
      <c r="G232" s="5"/>
      <c r="H232" s="5"/>
      <c r="I232" s="5"/>
      <c r="J232" s="5"/>
      <c r="K232" s="5"/>
      <c r="L232" s="5"/>
      <c r="M232" s="5" t="s">
        <v>48</v>
      </c>
      <c r="N232" s="5"/>
      <c r="O232" s="5">
        <f t="shared" si="51"/>
        <v>3</v>
      </c>
      <c r="P232" s="5">
        <f t="shared" si="52"/>
        <v>1</v>
      </c>
      <c r="Q232" s="5"/>
      <c r="R232" s="5">
        <f t="shared" si="53"/>
        <v>0</v>
      </c>
      <c r="S232" s="5">
        <f t="shared" si="54"/>
        <v>0</v>
      </c>
      <c r="T232" s="5">
        <f t="shared" si="55"/>
        <v>0</v>
      </c>
      <c r="U232" s="5">
        <f t="shared" si="56"/>
        <v>1</v>
      </c>
      <c r="V232" s="5">
        <f t="shared" si="57"/>
        <v>1</v>
      </c>
      <c r="W232" s="5">
        <f t="shared" si="58"/>
        <v>0</v>
      </c>
      <c r="X232" s="5">
        <f t="shared" si="59"/>
        <v>0</v>
      </c>
      <c r="Y232" s="5">
        <f t="shared" si="60"/>
        <v>0</v>
      </c>
      <c r="Z232" s="5">
        <f t="shared" si="61"/>
        <v>0</v>
      </c>
      <c r="AA232" s="5">
        <f t="shared" si="62"/>
        <v>0</v>
      </c>
      <c r="AB232" s="5">
        <f t="shared" si="63"/>
        <v>0</v>
      </c>
      <c r="AC232" s="5">
        <f t="shared" si="64"/>
        <v>1</v>
      </c>
      <c r="AD232" s="5"/>
      <c r="AE232" s="5"/>
      <c r="AF232" s="5">
        <f t="shared" si="65"/>
        <v>3</v>
      </c>
      <c r="AG232" s="5">
        <f t="shared" si="66"/>
        <v>3</v>
      </c>
      <c r="AH232" s="5" t="str">
        <f t="shared" si="67"/>
        <v>Correct</v>
      </c>
      <c r="AI232" s="5"/>
      <c r="AJ232" s="120" t="str">
        <f>IFERROR(VLOOKUP(Table1[RespondentID],'All Data'!$A$3:$CO$999,87,FALSE),"unknown")</f>
        <v>Man</v>
      </c>
      <c r="AK232" s="120">
        <f>IFERROR(VLOOKUP(Table1[RespondentID],'All Data'!$A$3:$CO$999,88,FALSE),"unknown")</f>
        <v>92</v>
      </c>
      <c r="AL232" s="120" t="str">
        <f>IFERROR(VLOOKUP(Table1[RespondentID],'All Data'!$A$3:$CO$999,89,FALSE),"unknown")</f>
        <v>Suffolk</v>
      </c>
      <c r="AM232" s="120" t="str">
        <f>IFERROR(VLOOKUP(Table1[RespondentID],'All Data'!$A$3:$CO$999,90,FALSE),"unknown")</f>
        <v>Commack, 11725</v>
      </c>
      <c r="AN232" s="120" t="str">
        <f>IFERROR(VLOOKUP(Table1[RespondentID],'All Data'!$A$3:$CO$999,91,FALSE),"unknown")</f>
        <v>Asian</v>
      </c>
      <c r="AO232" s="120" t="str">
        <f>IFERROR(VLOOKUP(Table1[RespondentID],'All Data'!$A$3:$CO$999,92,FALSE),"unknown")</f>
        <v>Not Hispanic or Latino</v>
      </c>
      <c r="AP232" s="120" t="str">
        <f>IFERROR(VLOOKUP(Table1[RespondentID],'All Data'!$A$3:$CO$999,93,FALSE),"unknown")</f>
        <v>English, Spanish, Italian</v>
      </c>
      <c r="AQ232" s="120" t="str">
        <f>IFERROR(VLOOKUP(Table1[RespondentID],'All Data'!$A$3:$CW$999,94,FALSE),"unknown")</f>
        <v>$35,000 to $49,999</v>
      </c>
      <c r="AR232" s="120" t="str">
        <f>IFERROR(VLOOKUP(Table1[RespondentID],'All Data'!$A$3:$CW$999,95,FALSE),"unknown")</f>
        <v>Graduate school</v>
      </c>
      <c r="AS232" s="120" t="str">
        <f>IFERROR(VLOOKUP(Table1[RespondentID],'All Data'!$A$3:$CW$999,96,FALSE),"unknown")</f>
        <v>Retired</v>
      </c>
      <c r="AT232" s="120" t="str">
        <f>IFERROR(VLOOKUP(Table1[RespondentID],'All Data'!$A$3:$CW$999,97,FALSE),"unknown")</f>
        <v>Yes</v>
      </c>
      <c r="AU232" s="120">
        <f>IFERROR(VLOOKUP(Table1[RespondentID],'All Data'!$A$3:$CW$999,98,FALSE),"unknown")</f>
        <v>0</v>
      </c>
      <c r="AV232" s="120">
        <f>IFERROR(VLOOKUP(Table1[RespondentID],'All Data'!$A$3:$CW$999,99,FALSE),"unknown")</f>
        <v>0</v>
      </c>
    </row>
    <row r="233" spans="1:48">
      <c r="A233" s="5">
        <v>18019101896</v>
      </c>
      <c r="B233" s="5"/>
      <c r="C233" s="5"/>
      <c r="D233" s="5"/>
      <c r="E233" s="5"/>
      <c r="F233" s="5"/>
      <c r="G233" s="5"/>
      <c r="H233" s="5" t="s">
        <v>43</v>
      </c>
      <c r="I233" s="5"/>
      <c r="J233" s="5"/>
      <c r="K233" s="5"/>
      <c r="L233" s="5" t="s">
        <v>47</v>
      </c>
      <c r="M233" s="5" t="s">
        <v>48</v>
      </c>
      <c r="N233" s="5"/>
      <c r="O233" s="5">
        <f t="shared" si="51"/>
        <v>3</v>
      </c>
      <c r="P233" s="5">
        <f t="shared" si="52"/>
        <v>1</v>
      </c>
      <c r="Q233" s="5"/>
      <c r="R233" s="5">
        <f t="shared" si="53"/>
        <v>0</v>
      </c>
      <c r="S233" s="5">
        <f t="shared" si="54"/>
        <v>0</v>
      </c>
      <c r="T233" s="5">
        <f t="shared" si="55"/>
        <v>0</v>
      </c>
      <c r="U233" s="5">
        <f t="shared" si="56"/>
        <v>0</v>
      </c>
      <c r="V233" s="5">
        <f t="shared" si="57"/>
        <v>0</v>
      </c>
      <c r="W233" s="5">
        <f t="shared" si="58"/>
        <v>0</v>
      </c>
      <c r="X233" s="5">
        <f t="shared" si="59"/>
        <v>1</v>
      </c>
      <c r="Y233" s="5">
        <f t="shared" si="60"/>
        <v>0</v>
      </c>
      <c r="Z233" s="5">
        <f t="shared" si="61"/>
        <v>0</v>
      </c>
      <c r="AA233" s="5">
        <f t="shared" si="62"/>
        <v>0</v>
      </c>
      <c r="AB233" s="5">
        <f t="shared" si="63"/>
        <v>1</v>
      </c>
      <c r="AC233" s="5">
        <f t="shared" si="64"/>
        <v>1</v>
      </c>
      <c r="AD233" s="5"/>
      <c r="AE233" s="5"/>
      <c r="AF233" s="5">
        <f t="shared" si="65"/>
        <v>3</v>
      </c>
      <c r="AG233" s="5">
        <f t="shared" si="66"/>
        <v>3</v>
      </c>
      <c r="AH233" s="5" t="str">
        <f t="shared" si="67"/>
        <v>Correct</v>
      </c>
      <c r="AI233" s="5"/>
      <c r="AJ233" s="120" t="str">
        <f>IFERROR(VLOOKUP(Table1[RespondentID],'All Data'!$A$3:$CO$999,87,FALSE),"unknown")</f>
        <v>Man</v>
      </c>
      <c r="AK233" s="120">
        <f>IFERROR(VLOOKUP(Table1[RespondentID],'All Data'!$A$3:$CO$999,88,FALSE),"unknown")</f>
        <v>63</v>
      </c>
      <c r="AL233" s="120" t="str">
        <f>IFERROR(VLOOKUP(Table1[RespondentID],'All Data'!$A$3:$CO$999,89,FALSE),"unknown")</f>
        <v>Suffolk</v>
      </c>
      <c r="AM233" s="120" t="str">
        <f>IFERROR(VLOOKUP(Table1[RespondentID],'All Data'!$A$3:$CO$999,90,FALSE),"unknown")</f>
        <v>Smithtown, 11787</v>
      </c>
      <c r="AN233" s="120" t="str">
        <f>IFERROR(VLOOKUP(Table1[RespondentID],'All Data'!$A$3:$CO$999,91,FALSE),"unknown")</f>
        <v>Native Hawaiian and Other Pacific Islander</v>
      </c>
      <c r="AO233" s="120" t="str">
        <f>IFERROR(VLOOKUP(Table1[RespondentID],'All Data'!$A$3:$CO$999,92,FALSE),"unknown")</f>
        <v>Hispanic or Latino</v>
      </c>
      <c r="AP233" s="120" t="str">
        <f>IFERROR(VLOOKUP(Table1[RespondentID],'All Data'!$A$3:$CO$999,93,FALSE),"unknown")</f>
        <v>English</v>
      </c>
      <c r="AQ233" s="120" t="str">
        <f>IFERROR(VLOOKUP(Table1[RespondentID],'All Data'!$A$3:$CW$999,94,FALSE),"unknown")</f>
        <v>$75,000 to $125,000</v>
      </c>
      <c r="AR233" s="120" t="str">
        <f>IFERROR(VLOOKUP(Table1[RespondentID],'All Data'!$A$3:$CW$999,95,FALSE),"unknown")</f>
        <v>College graduate</v>
      </c>
      <c r="AS233" s="120" t="str">
        <f>IFERROR(VLOOKUP(Table1[RespondentID],'All Data'!$A$3:$CW$999,96,FALSE),"unknown")</f>
        <v>Employed for wages</v>
      </c>
      <c r="AT233" s="120" t="str">
        <f>IFERROR(VLOOKUP(Table1[RespondentID],'All Data'!$A$3:$CW$999,97,FALSE),"unknown")</f>
        <v>Yes</v>
      </c>
      <c r="AU233" s="120">
        <f>IFERROR(VLOOKUP(Table1[RespondentID],'All Data'!$A$3:$CW$999,98,FALSE),"unknown")</f>
        <v>0</v>
      </c>
      <c r="AV233" s="120">
        <f>IFERROR(VLOOKUP(Table1[RespondentID],'All Data'!$A$3:$CW$999,99,FALSE),"unknown")</f>
        <v>0</v>
      </c>
    </row>
    <row r="234" spans="1:48">
      <c r="A234" s="5">
        <v>18019101753</v>
      </c>
      <c r="B234" s="5"/>
      <c r="C234" s="5"/>
      <c r="D234" s="5"/>
      <c r="E234" s="5" t="s">
        <v>41</v>
      </c>
      <c r="F234" s="5"/>
      <c r="G234" s="5"/>
      <c r="H234" s="5" t="s">
        <v>43</v>
      </c>
      <c r="I234" s="5" t="s">
        <v>44</v>
      </c>
      <c r="J234" s="5"/>
      <c r="K234" s="5"/>
      <c r="L234" s="5"/>
      <c r="M234" s="5"/>
      <c r="N234" s="5"/>
      <c r="O234" s="5">
        <f t="shared" si="51"/>
        <v>3</v>
      </c>
      <c r="P234" s="5">
        <f t="shared" si="52"/>
        <v>1</v>
      </c>
      <c r="Q234" s="5"/>
      <c r="R234" s="5">
        <f t="shared" si="53"/>
        <v>0</v>
      </c>
      <c r="S234" s="5">
        <f t="shared" si="54"/>
        <v>0</v>
      </c>
      <c r="T234" s="5">
        <f t="shared" si="55"/>
        <v>0</v>
      </c>
      <c r="U234" s="5">
        <f t="shared" si="56"/>
        <v>1</v>
      </c>
      <c r="V234" s="5">
        <f t="shared" si="57"/>
        <v>0</v>
      </c>
      <c r="W234" s="5">
        <f t="shared" si="58"/>
        <v>0</v>
      </c>
      <c r="X234" s="5">
        <f t="shared" si="59"/>
        <v>1</v>
      </c>
      <c r="Y234" s="5">
        <f t="shared" si="60"/>
        <v>1</v>
      </c>
      <c r="Z234" s="5">
        <f t="shared" si="61"/>
        <v>0</v>
      </c>
      <c r="AA234" s="5">
        <f t="shared" si="62"/>
        <v>0</v>
      </c>
      <c r="AB234" s="5">
        <f t="shared" si="63"/>
        <v>0</v>
      </c>
      <c r="AC234" s="5">
        <f t="shared" si="64"/>
        <v>0</v>
      </c>
      <c r="AD234" s="5"/>
      <c r="AE234" s="5"/>
      <c r="AF234" s="5">
        <f t="shared" si="65"/>
        <v>3</v>
      </c>
      <c r="AG234" s="5">
        <f t="shared" si="66"/>
        <v>3</v>
      </c>
      <c r="AH234" s="5" t="str">
        <f t="shared" si="67"/>
        <v>Correct</v>
      </c>
      <c r="AI234" s="5"/>
      <c r="AJ234" s="120" t="str">
        <f>IFERROR(VLOOKUP(Table1[RespondentID],'All Data'!$A$3:$CO$999,87,FALSE),"unknown")</f>
        <v>Woman</v>
      </c>
      <c r="AK234" s="120">
        <f>IFERROR(VLOOKUP(Table1[RespondentID],'All Data'!$A$3:$CO$999,88,FALSE),"unknown")</f>
        <v>22</v>
      </c>
      <c r="AL234" s="120" t="str">
        <f>IFERROR(VLOOKUP(Table1[RespondentID],'All Data'!$A$3:$CO$999,89,FALSE),"unknown")</f>
        <v>Suffolk</v>
      </c>
      <c r="AM234" s="120" t="str">
        <f>IFERROR(VLOOKUP(Table1[RespondentID],'All Data'!$A$3:$CO$999,90,FALSE),"unknown")</f>
        <v>Commack, 11725</v>
      </c>
      <c r="AN234" s="120" t="str">
        <f>IFERROR(VLOOKUP(Table1[RespondentID],'All Data'!$A$3:$CO$999,91,FALSE),"unknown")</f>
        <v>Asian</v>
      </c>
      <c r="AO234" s="120" t="str">
        <f>IFERROR(VLOOKUP(Table1[RespondentID],'All Data'!$A$3:$CO$999,92,FALSE),"unknown")</f>
        <v>Not Hispanic or Latino</v>
      </c>
      <c r="AP234" s="120" t="str">
        <f>IFERROR(VLOOKUP(Table1[RespondentID],'All Data'!$A$3:$CO$999,93,FALSE),"unknown")</f>
        <v>English, Spanish, Polish</v>
      </c>
      <c r="AQ234" s="120">
        <f>IFERROR(VLOOKUP(Table1[RespondentID],'All Data'!$A$3:$CW$999,94,FALSE),"unknown")</f>
        <v>0</v>
      </c>
      <c r="AR234" s="120" t="str">
        <f>IFERROR(VLOOKUP(Table1[RespondentID],'All Data'!$A$3:$CW$999,95,FALSE),"unknown")</f>
        <v>Some college</v>
      </c>
      <c r="AS234" s="120" t="str">
        <f>IFERROR(VLOOKUP(Table1[RespondentID],'All Data'!$A$3:$CW$999,96,FALSE),"unknown")</f>
        <v>Student</v>
      </c>
      <c r="AT234" s="120" t="str">
        <f>IFERROR(VLOOKUP(Table1[RespondentID],'All Data'!$A$3:$CW$999,97,FALSE),"unknown")</f>
        <v>Yes</v>
      </c>
      <c r="AU234" s="120">
        <f>IFERROR(VLOOKUP(Table1[RespondentID],'All Data'!$A$3:$CW$999,98,FALSE),"unknown")</f>
        <v>0</v>
      </c>
      <c r="AV234" s="120">
        <f>IFERROR(VLOOKUP(Table1[RespondentID],'All Data'!$A$3:$CW$999,99,FALSE),"unknown")</f>
        <v>0</v>
      </c>
    </row>
    <row r="235" spans="1:48">
      <c r="A235" s="5">
        <v>18019101576</v>
      </c>
      <c r="B235" s="5"/>
      <c r="C235" s="5"/>
      <c r="D235" s="5" t="s">
        <v>40</v>
      </c>
      <c r="E235" s="5"/>
      <c r="F235" s="5" t="s">
        <v>42</v>
      </c>
      <c r="G235" s="5"/>
      <c r="H235" s="5"/>
      <c r="I235" s="5"/>
      <c r="J235" s="5"/>
      <c r="K235" s="5"/>
      <c r="L235" s="5" t="s">
        <v>47</v>
      </c>
      <c r="M235" s="5"/>
      <c r="N235" s="5"/>
      <c r="O235" s="5">
        <f t="shared" si="51"/>
        <v>3</v>
      </c>
      <c r="P235" s="5">
        <f t="shared" si="52"/>
        <v>1</v>
      </c>
      <c r="Q235" s="5"/>
      <c r="R235" s="5">
        <f t="shared" si="53"/>
        <v>0</v>
      </c>
      <c r="S235" s="5">
        <f t="shared" si="54"/>
        <v>0</v>
      </c>
      <c r="T235" s="5">
        <f t="shared" si="55"/>
        <v>1</v>
      </c>
      <c r="U235" s="5">
        <f t="shared" si="56"/>
        <v>0</v>
      </c>
      <c r="V235" s="5">
        <f t="shared" si="57"/>
        <v>1</v>
      </c>
      <c r="W235" s="5">
        <f t="shared" si="58"/>
        <v>0</v>
      </c>
      <c r="X235" s="5">
        <f t="shared" si="59"/>
        <v>0</v>
      </c>
      <c r="Y235" s="5">
        <f t="shared" si="60"/>
        <v>0</v>
      </c>
      <c r="Z235" s="5">
        <f t="shared" si="61"/>
        <v>0</v>
      </c>
      <c r="AA235" s="5">
        <f t="shared" si="62"/>
        <v>0</v>
      </c>
      <c r="AB235" s="5">
        <f t="shared" si="63"/>
        <v>1</v>
      </c>
      <c r="AC235" s="5">
        <f t="shared" si="64"/>
        <v>0</v>
      </c>
      <c r="AD235" s="5"/>
      <c r="AE235" s="5"/>
      <c r="AF235" s="5">
        <f t="shared" si="65"/>
        <v>3</v>
      </c>
      <c r="AG235" s="5">
        <f t="shared" si="66"/>
        <v>3</v>
      </c>
      <c r="AH235" s="5" t="str">
        <f t="shared" si="67"/>
        <v>Correct</v>
      </c>
      <c r="AI235" s="5"/>
      <c r="AJ235" s="120">
        <f>IFERROR(VLOOKUP(Table1[RespondentID],'All Data'!$A$3:$CO$999,87,FALSE),"unknown")</f>
        <v>0</v>
      </c>
      <c r="AK235" s="120">
        <f>IFERROR(VLOOKUP(Table1[RespondentID],'All Data'!$A$3:$CO$999,88,FALSE),"unknown")</f>
        <v>0</v>
      </c>
      <c r="AL235" s="120">
        <f>IFERROR(VLOOKUP(Table1[RespondentID],'All Data'!$A$3:$CO$999,89,FALSE),"unknown")</f>
        <v>0</v>
      </c>
      <c r="AM235" s="120">
        <f>IFERROR(VLOOKUP(Table1[RespondentID],'All Data'!$A$3:$CO$999,90,FALSE),"unknown")</f>
        <v>0</v>
      </c>
      <c r="AN235" s="120">
        <f>IFERROR(VLOOKUP(Table1[RespondentID],'All Data'!$A$3:$CO$999,91,FALSE),"unknown")</f>
        <v>0</v>
      </c>
      <c r="AO235" s="120">
        <f>IFERROR(VLOOKUP(Table1[RespondentID],'All Data'!$A$3:$CO$999,92,FALSE),"unknown")</f>
        <v>0</v>
      </c>
      <c r="AP235" s="120">
        <f>IFERROR(VLOOKUP(Table1[RespondentID],'All Data'!$A$3:$CO$999,93,FALSE),"unknown")</f>
        <v>0</v>
      </c>
      <c r="AQ235" s="120">
        <f>IFERROR(VLOOKUP(Table1[RespondentID],'All Data'!$A$3:$CW$999,94,FALSE),"unknown")</f>
        <v>0</v>
      </c>
      <c r="AR235" s="120">
        <f>IFERROR(VLOOKUP(Table1[RespondentID],'All Data'!$A$3:$CW$999,95,FALSE),"unknown")</f>
        <v>0</v>
      </c>
      <c r="AS235" s="120">
        <f>IFERROR(VLOOKUP(Table1[RespondentID],'All Data'!$A$3:$CW$999,96,FALSE),"unknown")</f>
        <v>0</v>
      </c>
      <c r="AT235" s="120">
        <f>IFERROR(VLOOKUP(Table1[RespondentID],'All Data'!$A$3:$CW$999,97,FALSE),"unknown")</f>
        <v>0</v>
      </c>
      <c r="AU235" s="120">
        <f>IFERROR(VLOOKUP(Table1[RespondentID],'All Data'!$A$3:$CW$999,98,FALSE),"unknown")</f>
        <v>0</v>
      </c>
      <c r="AV235" s="120">
        <f>IFERROR(VLOOKUP(Table1[RespondentID],'All Data'!$A$3:$CW$999,99,FALSE),"unknown")</f>
        <v>0</v>
      </c>
    </row>
    <row r="236" spans="1:48">
      <c r="A236" s="5">
        <v>18019101345</v>
      </c>
      <c r="B236" s="5" t="s">
        <v>38</v>
      </c>
      <c r="C236" s="5"/>
      <c r="D236" s="5"/>
      <c r="E236" s="5"/>
      <c r="F236" s="5"/>
      <c r="G236" s="5"/>
      <c r="H236" s="5"/>
      <c r="I236" s="5" t="s">
        <v>44</v>
      </c>
      <c r="J236" s="5"/>
      <c r="K236" s="5"/>
      <c r="L236" s="5"/>
      <c r="M236" s="5" t="s">
        <v>48</v>
      </c>
      <c r="N236" s="5"/>
      <c r="O236" s="5">
        <f t="shared" si="51"/>
        <v>3</v>
      </c>
      <c r="P236" s="5">
        <f t="shared" si="52"/>
        <v>1</v>
      </c>
      <c r="Q236" s="5"/>
      <c r="R236" s="5">
        <f t="shared" si="53"/>
        <v>1</v>
      </c>
      <c r="S236" s="5">
        <f t="shared" si="54"/>
        <v>0</v>
      </c>
      <c r="T236" s="5">
        <f t="shared" si="55"/>
        <v>0</v>
      </c>
      <c r="U236" s="5">
        <f t="shared" si="56"/>
        <v>0</v>
      </c>
      <c r="V236" s="5">
        <f t="shared" si="57"/>
        <v>0</v>
      </c>
      <c r="W236" s="5">
        <f t="shared" si="58"/>
        <v>0</v>
      </c>
      <c r="X236" s="5">
        <f t="shared" si="59"/>
        <v>0</v>
      </c>
      <c r="Y236" s="5">
        <f t="shared" si="60"/>
        <v>1</v>
      </c>
      <c r="Z236" s="5">
        <f t="shared" si="61"/>
        <v>0</v>
      </c>
      <c r="AA236" s="5">
        <f t="shared" si="62"/>
        <v>0</v>
      </c>
      <c r="AB236" s="5">
        <f t="shared" si="63"/>
        <v>0</v>
      </c>
      <c r="AC236" s="5">
        <f t="shared" si="64"/>
        <v>1</v>
      </c>
      <c r="AD236" s="5"/>
      <c r="AE236" s="5"/>
      <c r="AF236" s="5">
        <f t="shared" si="65"/>
        <v>3</v>
      </c>
      <c r="AG236" s="5">
        <f t="shared" si="66"/>
        <v>3</v>
      </c>
      <c r="AH236" s="5" t="str">
        <f t="shared" si="67"/>
        <v>Correct</v>
      </c>
      <c r="AI236" s="5"/>
      <c r="AJ236" s="120" t="str">
        <f>IFERROR(VLOOKUP(Table1[RespondentID],'All Data'!$A$3:$CO$999,87,FALSE),"unknown")</f>
        <v>Man</v>
      </c>
      <c r="AK236" s="120">
        <f>IFERROR(VLOOKUP(Table1[RespondentID],'All Data'!$A$3:$CO$999,88,FALSE),"unknown")</f>
        <v>82</v>
      </c>
      <c r="AL236" s="120" t="str">
        <f>IFERROR(VLOOKUP(Table1[RespondentID],'All Data'!$A$3:$CO$999,89,FALSE),"unknown")</f>
        <v>Suffolk</v>
      </c>
      <c r="AM236" s="120" t="str">
        <f>IFERROR(VLOOKUP(Table1[RespondentID],'All Data'!$A$3:$CO$999,90,FALSE),"unknown")</f>
        <v>Smithtown, 11787</v>
      </c>
      <c r="AN236" s="120" t="str">
        <f>IFERROR(VLOOKUP(Table1[RespondentID],'All Data'!$A$3:$CO$999,91,FALSE),"unknown")</f>
        <v>Black or African American</v>
      </c>
      <c r="AO236" s="120" t="str">
        <f>IFERROR(VLOOKUP(Table1[RespondentID],'All Data'!$A$3:$CO$999,92,FALSE),"unknown")</f>
        <v>Hispanic or Latino</v>
      </c>
      <c r="AP236" s="120" t="str">
        <f>IFERROR(VLOOKUP(Table1[RespondentID],'All Data'!$A$3:$CO$999,93,FALSE),"unknown")</f>
        <v>English</v>
      </c>
      <c r="AQ236" s="120" t="str">
        <f>IFERROR(VLOOKUP(Table1[RespondentID],'All Data'!$A$3:$CW$999,94,FALSE),"unknown")</f>
        <v>$75,000 to $125,000</v>
      </c>
      <c r="AR236" s="120" t="str">
        <f>IFERROR(VLOOKUP(Table1[RespondentID],'All Data'!$A$3:$CW$999,95,FALSE),"unknown")</f>
        <v>Graduate school</v>
      </c>
      <c r="AS236" s="120" t="str">
        <f>IFERROR(VLOOKUP(Table1[RespondentID],'All Data'!$A$3:$CW$999,96,FALSE),"unknown")</f>
        <v>Retired</v>
      </c>
      <c r="AT236" s="120" t="str">
        <f>IFERROR(VLOOKUP(Table1[RespondentID],'All Data'!$A$3:$CW$999,97,FALSE),"unknown")</f>
        <v>Yes</v>
      </c>
      <c r="AU236" s="120">
        <f>IFERROR(VLOOKUP(Table1[RespondentID],'All Data'!$A$3:$CW$999,98,FALSE),"unknown")</f>
        <v>0</v>
      </c>
      <c r="AV236" s="120">
        <f>IFERROR(VLOOKUP(Table1[RespondentID],'All Data'!$A$3:$CW$999,99,FALSE),"unknown")</f>
        <v>0</v>
      </c>
    </row>
    <row r="237" spans="1:48">
      <c r="A237" s="5">
        <v>18019101072</v>
      </c>
      <c r="B237" s="5"/>
      <c r="C237" s="5"/>
      <c r="D237" s="5"/>
      <c r="E237" s="5" t="s">
        <v>41</v>
      </c>
      <c r="F237" s="5"/>
      <c r="G237" s="5" t="s">
        <v>37</v>
      </c>
      <c r="H237" s="5"/>
      <c r="I237" s="5"/>
      <c r="J237" s="5"/>
      <c r="K237" s="5"/>
      <c r="L237" s="5"/>
      <c r="M237" s="5" t="s">
        <v>48</v>
      </c>
      <c r="N237" s="5"/>
      <c r="O237" s="5">
        <f t="shared" si="51"/>
        <v>3</v>
      </c>
      <c r="P237" s="5">
        <f t="shared" si="52"/>
        <v>1</v>
      </c>
      <c r="Q237" s="5"/>
      <c r="R237" s="5">
        <f t="shared" si="53"/>
        <v>0</v>
      </c>
      <c r="S237" s="5">
        <f t="shared" si="54"/>
        <v>0</v>
      </c>
      <c r="T237" s="5">
        <f t="shared" si="55"/>
        <v>0</v>
      </c>
      <c r="U237" s="5">
        <f t="shared" si="56"/>
        <v>1</v>
      </c>
      <c r="V237" s="5">
        <f t="shared" si="57"/>
        <v>0</v>
      </c>
      <c r="W237" s="5">
        <f t="shared" si="58"/>
        <v>1</v>
      </c>
      <c r="X237" s="5">
        <f t="shared" si="59"/>
        <v>0</v>
      </c>
      <c r="Y237" s="5">
        <f t="shared" si="60"/>
        <v>0</v>
      </c>
      <c r="Z237" s="5">
        <f t="shared" si="61"/>
        <v>0</v>
      </c>
      <c r="AA237" s="5">
        <f t="shared" si="62"/>
        <v>0</v>
      </c>
      <c r="AB237" s="5">
        <f t="shared" si="63"/>
        <v>0</v>
      </c>
      <c r="AC237" s="5">
        <f t="shared" si="64"/>
        <v>1</v>
      </c>
      <c r="AD237" s="5"/>
      <c r="AE237" s="5"/>
      <c r="AF237" s="5">
        <f t="shared" si="65"/>
        <v>3</v>
      </c>
      <c r="AG237" s="5">
        <f t="shared" si="66"/>
        <v>3</v>
      </c>
      <c r="AH237" s="5" t="str">
        <f t="shared" si="67"/>
        <v>Correct</v>
      </c>
      <c r="AI237" s="5"/>
      <c r="AJ237" s="120" t="str">
        <f>IFERROR(VLOOKUP(Table1[RespondentID],'All Data'!$A$3:$CO$999,87,FALSE),"unknown")</f>
        <v>Man</v>
      </c>
      <c r="AK237" s="120">
        <f>IFERROR(VLOOKUP(Table1[RespondentID],'All Data'!$A$3:$CO$999,88,FALSE),"unknown")</f>
        <v>18</v>
      </c>
      <c r="AL237" s="120" t="str">
        <f>IFERROR(VLOOKUP(Table1[RespondentID],'All Data'!$A$3:$CO$999,89,FALSE),"unknown")</f>
        <v>Suffolk</v>
      </c>
      <c r="AM237" s="120" t="str">
        <f>IFERROR(VLOOKUP(Table1[RespondentID],'All Data'!$A$3:$CO$999,90,FALSE),"unknown")</f>
        <v>Smithtown, 11787</v>
      </c>
      <c r="AN237" s="120" t="str">
        <f>IFERROR(VLOOKUP(Table1[RespondentID],'All Data'!$A$3:$CO$999,91,FALSE),"unknown")</f>
        <v>White</v>
      </c>
      <c r="AO237" s="120" t="str">
        <f>IFERROR(VLOOKUP(Table1[RespondentID],'All Data'!$A$3:$CO$999,92,FALSE),"unknown")</f>
        <v>Hispanic or Latino</v>
      </c>
      <c r="AP237" s="120" t="str">
        <f>IFERROR(VLOOKUP(Table1[RespondentID],'All Data'!$A$3:$CO$999,93,FALSE),"unknown")</f>
        <v>English</v>
      </c>
      <c r="AQ237" s="120" t="str">
        <f>IFERROR(VLOOKUP(Table1[RespondentID],'All Data'!$A$3:$CW$999,94,FALSE),"unknown")</f>
        <v>$20,000 to $34,999</v>
      </c>
      <c r="AR237" s="120" t="str">
        <f>IFERROR(VLOOKUP(Table1[RespondentID],'All Data'!$A$3:$CW$999,95,FALSE),"unknown")</f>
        <v>Some college</v>
      </c>
      <c r="AS237" s="120" t="str">
        <f>IFERROR(VLOOKUP(Table1[RespondentID],'All Data'!$A$3:$CW$999,96,FALSE),"unknown")</f>
        <v>Student</v>
      </c>
      <c r="AT237" s="120" t="str">
        <f>IFERROR(VLOOKUP(Table1[RespondentID],'All Data'!$A$3:$CW$999,97,FALSE),"unknown")</f>
        <v>Yes</v>
      </c>
      <c r="AU237" s="120">
        <f>IFERROR(VLOOKUP(Table1[RespondentID],'All Data'!$A$3:$CW$999,98,FALSE),"unknown")</f>
        <v>0</v>
      </c>
      <c r="AV237" s="120">
        <f>IFERROR(VLOOKUP(Table1[RespondentID],'All Data'!$A$3:$CW$999,99,FALSE),"unknown")</f>
        <v>0</v>
      </c>
    </row>
    <row r="238" spans="1:48">
      <c r="A238" s="5">
        <v>18019100917</v>
      </c>
      <c r="B238" s="5"/>
      <c r="C238" s="5"/>
      <c r="D238" s="5" t="s">
        <v>40</v>
      </c>
      <c r="E238" s="5"/>
      <c r="F238" s="5"/>
      <c r="G238" s="5"/>
      <c r="H238" s="5"/>
      <c r="I238" s="5"/>
      <c r="J238" s="5" t="s">
        <v>45</v>
      </c>
      <c r="K238" s="5"/>
      <c r="L238" s="5"/>
      <c r="M238" s="5"/>
      <c r="N238" s="5"/>
      <c r="O238" s="5">
        <f t="shared" si="51"/>
        <v>2</v>
      </c>
      <c r="P238" s="5">
        <f t="shared" si="52"/>
        <v>1.5</v>
      </c>
      <c r="Q238" s="5"/>
      <c r="R238" s="5">
        <f t="shared" si="53"/>
        <v>0</v>
      </c>
      <c r="S238" s="5">
        <f t="shared" si="54"/>
        <v>0</v>
      </c>
      <c r="T238" s="5">
        <f t="shared" si="55"/>
        <v>1</v>
      </c>
      <c r="U238" s="5">
        <f t="shared" si="56"/>
        <v>0</v>
      </c>
      <c r="V238" s="5">
        <f t="shared" si="57"/>
        <v>0</v>
      </c>
      <c r="W238" s="5">
        <f t="shared" si="58"/>
        <v>0</v>
      </c>
      <c r="X238" s="5">
        <f t="shared" si="59"/>
        <v>0</v>
      </c>
      <c r="Y238" s="5">
        <f t="shared" si="60"/>
        <v>0</v>
      </c>
      <c r="Z238" s="5">
        <f t="shared" si="61"/>
        <v>1</v>
      </c>
      <c r="AA238" s="5">
        <f t="shared" si="62"/>
        <v>0</v>
      </c>
      <c r="AB238" s="5">
        <f t="shared" si="63"/>
        <v>0</v>
      </c>
      <c r="AC238" s="5">
        <f t="shared" si="64"/>
        <v>0</v>
      </c>
      <c r="AD238" s="5"/>
      <c r="AE238" s="5"/>
      <c r="AF238" s="5">
        <f t="shared" si="65"/>
        <v>2</v>
      </c>
      <c r="AG238" s="5">
        <f t="shared" si="66"/>
        <v>2</v>
      </c>
      <c r="AH238" s="5" t="str">
        <f t="shared" si="67"/>
        <v>Correct</v>
      </c>
      <c r="AI238" s="5"/>
      <c r="AJ238" s="120" t="str">
        <f>IFERROR(VLOOKUP(Table1[RespondentID],'All Data'!$A$3:$CO$999,87,FALSE),"unknown")</f>
        <v>Woman</v>
      </c>
      <c r="AK238" s="120">
        <f>IFERROR(VLOOKUP(Table1[RespondentID],'All Data'!$A$3:$CO$999,88,FALSE),"unknown")</f>
        <v>34</v>
      </c>
      <c r="AL238" s="120" t="str">
        <f>IFERROR(VLOOKUP(Table1[RespondentID],'All Data'!$A$3:$CO$999,89,FALSE),"unknown")</f>
        <v>Suffolk</v>
      </c>
      <c r="AM238" s="120" t="str">
        <f>IFERROR(VLOOKUP(Table1[RespondentID],'All Data'!$A$3:$CO$999,90,FALSE),"unknown")</f>
        <v>Huntington, 11743</v>
      </c>
      <c r="AN238" s="120" t="str">
        <f>IFERROR(VLOOKUP(Table1[RespondentID],'All Data'!$A$3:$CO$999,91,FALSE),"unknown")</f>
        <v>Native Hawaiian and Other Pacific Islander</v>
      </c>
      <c r="AO238" s="120" t="str">
        <f>IFERROR(VLOOKUP(Table1[RespondentID],'All Data'!$A$3:$CO$999,92,FALSE),"unknown")</f>
        <v>Hispanic or Latino</v>
      </c>
      <c r="AP238" s="120" t="str">
        <f>IFERROR(VLOOKUP(Table1[RespondentID],'All Data'!$A$3:$CO$999,93,FALSE),"unknown")</f>
        <v>English</v>
      </c>
      <c r="AQ238" s="120" t="str">
        <f>IFERROR(VLOOKUP(Table1[RespondentID],'All Data'!$A$3:$CW$999,94,FALSE),"unknown")</f>
        <v>$20,000 to $34,999</v>
      </c>
      <c r="AR238" s="120" t="str">
        <f>IFERROR(VLOOKUP(Table1[RespondentID],'All Data'!$A$3:$CW$999,95,FALSE),"unknown")</f>
        <v>Technical school</v>
      </c>
      <c r="AS238" s="120" t="str">
        <f>IFERROR(VLOOKUP(Table1[RespondentID],'All Data'!$A$3:$CW$999,96,FALSE),"unknown")</f>
        <v>Out of work and looking for work</v>
      </c>
      <c r="AT238" s="120" t="str">
        <f>IFERROR(VLOOKUP(Table1[RespondentID],'All Data'!$A$3:$CW$999,97,FALSE),"unknown")</f>
        <v>No</v>
      </c>
      <c r="AU238" s="120">
        <f>IFERROR(VLOOKUP(Table1[RespondentID],'All Data'!$A$3:$CW$999,98,FALSE),"unknown")</f>
        <v>0</v>
      </c>
      <c r="AV238" s="120">
        <f>IFERROR(VLOOKUP(Table1[RespondentID],'All Data'!$A$3:$CW$999,99,FALSE),"unknown")</f>
        <v>0</v>
      </c>
    </row>
    <row r="239" spans="1:48">
      <c r="A239" s="5">
        <v>18019100690</v>
      </c>
      <c r="B239" s="5"/>
      <c r="C239" s="5"/>
      <c r="D239" s="5"/>
      <c r="E239" s="5"/>
      <c r="F239" s="5" t="s">
        <v>42</v>
      </c>
      <c r="G239" s="5"/>
      <c r="H239" s="5"/>
      <c r="I239" s="5" t="s">
        <v>44</v>
      </c>
      <c r="J239" s="5"/>
      <c r="K239" s="5"/>
      <c r="L239" s="5" t="s">
        <v>47</v>
      </c>
      <c r="M239" s="5"/>
      <c r="N239" s="5"/>
      <c r="O239" s="5">
        <f t="shared" si="51"/>
        <v>3</v>
      </c>
      <c r="P239" s="5">
        <f t="shared" si="52"/>
        <v>1</v>
      </c>
      <c r="Q239" s="5"/>
      <c r="R239" s="5">
        <f t="shared" si="53"/>
        <v>0</v>
      </c>
      <c r="S239" s="5">
        <f t="shared" si="54"/>
        <v>0</v>
      </c>
      <c r="T239" s="5">
        <f t="shared" si="55"/>
        <v>0</v>
      </c>
      <c r="U239" s="5">
        <f t="shared" si="56"/>
        <v>0</v>
      </c>
      <c r="V239" s="5">
        <f t="shared" si="57"/>
        <v>1</v>
      </c>
      <c r="W239" s="5">
        <f t="shared" si="58"/>
        <v>0</v>
      </c>
      <c r="X239" s="5">
        <f t="shared" si="59"/>
        <v>0</v>
      </c>
      <c r="Y239" s="5">
        <f t="shared" si="60"/>
        <v>1</v>
      </c>
      <c r="Z239" s="5">
        <f t="shared" si="61"/>
        <v>0</v>
      </c>
      <c r="AA239" s="5">
        <f t="shared" si="62"/>
        <v>0</v>
      </c>
      <c r="AB239" s="5">
        <f t="shared" si="63"/>
        <v>1</v>
      </c>
      <c r="AC239" s="5">
        <f t="shared" si="64"/>
        <v>0</v>
      </c>
      <c r="AD239" s="5"/>
      <c r="AE239" s="5"/>
      <c r="AF239" s="5">
        <f t="shared" si="65"/>
        <v>3</v>
      </c>
      <c r="AG239" s="5">
        <f t="shared" si="66"/>
        <v>3</v>
      </c>
      <c r="AH239" s="5" t="str">
        <f t="shared" si="67"/>
        <v>Correct</v>
      </c>
      <c r="AI239" s="5"/>
      <c r="AJ239" s="120" t="str">
        <f>IFERROR(VLOOKUP(Table1[RespondentID],'All Data'!$A$3:$CO$999,87,FALSE),"unknown")</f>
        <v>Woman</v>
      </c>
      <c r="AK239" s="120">
        <f>IFERROR(VLOOKUP(Table1[RespondentID],'All Data'!$A$3:$CO$999,88,FALSE),"unknown")</f>
        <v>28</v>
      </c>
      <c r="AL239" s="120" t="str">
        <f>IFERROR(VLOOKUP(Table1[RespondentID],'All Data'!$A$3:$CO$999,89,FALSE),"unknown")</f>
        <v>Suffolk</v>
      </c>
      <c r="AM239" s="120" t="str">
        <f>IFERROR(VLOOKUP(Table1[RespondentID],'All Data'!$A$3:$CO$999,90,FALSE),"unknown")</f>
        <v>Greenlawn, 11740</v>
      </c>
      <c r="AN239" s="120" t="str">
        <f>IFERROR(VLOOKUP(Table1[RespondentID],'All Data'!$A$3:$CO$999,91,FALSE),"unknown")</f>
        <v>White</v>
      </c>
      <c r="AO239" s="120" t="str">
        <f>IFERROR(VLOOKUP(Table1[RespondentID],'All Data'!$A$3:$CO$999,92,FALSE),"unknown")</f>
        <v>Hispanic or Latino</v>
      </c>
      <c r="AP239" s="120" t="str">
        <f>IFERROR(VLOOKUP(Table1[RespondentID],'All Data'!$A$3:$CO$999,93,FALSE),"unknown")</f>
        <v>English</v>
      </c>
      <c r="AQ239" s="120" t="str">
        <f>IFERROR(VLOOKUP(Table1[RespondentID],'All Data'!$A$3:$CW$999,94,FALSE),"unknown")</f>
        <v>$50,000 to $74,999</v>
      </c>
      <c r="AR239" s="120" t="str">
        <f>IFERROR(VLOOKUP(Table1[RespondentID],'All Data'!$A$3:$CW$999,95,FALSE),"unknown")</f>
        <v>College graduate</v>
      </c>
      <c r="AS239" s="120" t="str">
        <f>IFERROR(VLOOKUP(Table1[RespondentID],'All Data'!$A$3:$CW$999,96,FALSE),"unknown")</f>
        <v>Employed for wages</v>
      </c>
      <c r="AT239" s="120" t="str">
        <f>IFERROR(VLOOKUP(Table1[RespondentID],'All Data'!$A$3:$CW$999,97,FALSE),"unknown")</f>
        <v>Yes</v>
      </c>
      <c r="AU239" s="120">
        <f>IFERROR(VLOOKUP(Table1[RespondentID],'All Data'!$A$3:$CW$999,98,FALSE),"unknown")</f>
        <v>0</v>
      </c>
      <c r="AV239" s="120">
        <f>IFERROR(VLOOKUP(Table1[RespondentID],'All Data'!$A$3:$CW$999,99,FALSE),"unknown")</f>
        <v>0</v>
      </c>
    </row>
    <row r="240" spans="1:48">
      <c r="A240" s="5">
        <v>18019098685</v>
      </c>
      <c r="B240" s="5" t="s">
        <v>38</v>
      </c>
      <c r="C240" s="5"/>
      <c r="D240" s="5"/>
      <c r="E240" s="5"/>
      <c r="F240" s="5"/>
      <c r="G240" s="5"/>
      <c r="H240" s="5"/>
      <c r="I240" s="5"/>
      <c r="J240" s="5"/>
      <c r="K240" s="5"/>
      <c r="L240" s="5" t="s">
        <v>47</v>
      </c>
      <c r="M240" s="5"/>
      <c r="N240" s="5"/>
      <c r="O240" s="5">
        <f t="shared" si="51"/>
        <v>2</v>
      </c>
      <c r="P240" s="5">
        <f t="shared" si="52"/>
        <v>1.5</v>
      </c>
      <c r="Q240" s="5"/>
      <c r="R240" s="5">
        <f t="shared" si="53"/>
        <v>1</v>
      </c>
      <c r="S240" s="5">
        <f t="shared" si="54"/>
        <v>0</v>
      </c>
      <c r="T240" s="5">
        <f t="shared" si="55"/>
        <v>0</v>
      </c>
      <c r="U240" s="5">
        <f t="shared" si="56"/>
        <v>0</v>
      </c>
      <c r="V240" s="5">
        <f t="shared" si="57"/>
        <v>0</v>
      </c>
      <c r="W240" s="5">
        <f t="shared" si="58"/>
        <v>0</v>
      </c>
      <c r="X240" s="5">
        <f t="shared" si="59"/>
        <v>0</v>
      </c>
      <c r="Y240" s="5">
        <f t="shared" si="60"/>
        <v>0</v>
      </c>
      <c r="Z240" s="5">
        <f t="shared" si="61"/>
        <v>0</v>
      </c>
      <c r="AA240" s="5">
        <f t="shared" si="62"/>
        <v>0</v>
      </c>
      <c r="AB240" s="5">
        <f t="shared" si="63"/>
        <v>1</v>
      </c>
      <c r="AC240" s="5">
        <f t="shared" si="64"/>
        <v>0</v>
      </c>
      <c r="AD240" s="5"/>
      <c r="AE240" s="5"/>
      <c r="AF240" s="5">
        <f t="shared" si="65"/>
        <v>2</v>
      </c>
      <c r="AG240" s="5">
        <f t="shared" si="66"/>
        <v>2</v>
      </c>
      <c r="AH240" s="5" t="str">
        <f t="shared" si="67"/>
        <v>Correct</v>
      </c>
      <c r="AI240" s="5"/>
      <c r="AJ240" s="120" t="str">
        <f>IFERROR(VLOOKUP(Table1[RespondentID],'All Data'!$A$3:$CO$999,87,FALSE),"unknown")</f>
        <v>Man</v>
      </c>
      <c r="AK240" s="120">
        <f>IFERROR(VLOOKUP(Table1[RespondentID],'All Data'!$A$3:$CO$999,88,FALSE),"unknown")</f>
        <v>27</v>
      </c>
      <c r="AL240" s="120" t="str">
        <f>IFERROR(VLOOKUP(Table1[RespondentID],'All Data'!$A$3:$CO$999,89,FALSE),"unknown")</f>
        <v>Suffolk</v>
      </c>
      <c r="AM240" s="120" t="str">
        <f>IFERROR(VLOOKUP(Table1[RespondentID],'All Data'!$A$3:$CO$999,90,FALSE),"unknown")</f>
        <v>Centerport, 11721</v>
      </c>
      <c r="AN240" s="120" t="str">
        <f>IFERROR(VLOOKUP(Table1[RespondentID],'All Data'!$A$3:$CO$999,91,FALSE),"unknown")</f>
        <v>White</v>
      </c>
      <c r="AO240" s="120">
        <f>IFERROR(VLOOKUP(Table1[RespondentID],'All Data'!$A$3:$CO$999,92,FALSE),"unknown")</f>
        <v>0</v>
      </c>
      <c r="AP240" s="120" t="str">
        <f>IFERROR(VLOOKUP(Table1[RespondentID],'All Data'!$A$3:$CO$999,93,FALSE),"unknown")</f>
        <v>English, Spanish</v>
      </c>
      <c r="AQ240" s="120" t="str">
        <f>IFERROR(VLOOKUP(Table1[RespondentID],'All Data'!$A$3:$CW$999,94,FALSE),"unknown")</f>
        <v>$75,000 to $125,000</v>
      </c>
      <c r="AR240" s="120" t="str">
        <f>IFERROR(VLOOKUP(Table1[RespondentID],'All Data'!$A$3:$CW$999,95,FALSE),"unknown")</f>
        <v>College graduate</v>
      </c>
      <c r="AS240" s="120" t="str">
        <f>IFERROR(VLOOKUP(Table1[RespondentID],'All Data'!$A$3:$CW$999,96,FALSE),"unknown")</f>
        <v>Student</v>
      </c>
      <c r="AT240" s="120" t="str">
        <f>IFERROR(VLOOKUP(Table1[RespondentID],'All Data'!$A$3:$CW$999,97,FALSE),"unknown")</f>
        <v>Yes</v>
      </c>
      <c r="AU240" s="120">
        <f>IFERROR(VLOOKUP(Table1[RespondentID],'All Data'!$A$3:$CW$999,98,FALSE),"unknown")</f>
        <v>0</v>
      </c>
      <c r="AV240" s="120">
        <f>IFERROR(VLOOKUP(Table1[RespondentID],'All Data'!$A$3:$CW$999,99,FALSE),"unknown")</f>
        <v>0</v>
      </c>
    </row>
    <row r="241" spans="1:48">
      <c r="A241" s="5">
        <v>18019098565</v>
      </c>
      <c r="B241" s="5"/>
      <c r="C241" s="5" t="s">
        <v>39</v>
      </c>
      <c r="D241" s="5" t="s">
        <v>40</v>
      </c>
      <c r="E241" s="5"/>
      <c r="F241" s="5"/>
      <c r="G241" s="5"/>
      <c r="H241" s="5"/>
      <c r="I241" s="5"/>
      <c r="J241" s="5"/>
      <c r="K241" s="5" t="s">
        <v>46</v>
      </c>
      <c r="L241" s="5" t="s">
        <v>47</v>
      </c>
      <c r="M241" s="5"/>
      <c r="N241" s="5"/>
      <c r="O241" s="5">
        <f t="shared" si="51"/>
        <v>4</v>
      </c>
      <c r="P241" s="5">
        <f t="shared" si="52"/>
        <v>0.75</v>
      </c>
      <c r="Q241" s="5"/>
      <c r="R241" s="5">
        <f t="shared" si="53"/>
        <v>0</v>
      </c>
      <c r="S241" s="5">
        <f t="shared" si="54"/>
        <v>0.75</v>
      </c>
      <c r="T241" s="5">
        <f t="shared" si="55"/>
        <v>0.75</v>
      </c>
      <c r="U241" s="5">
        <f t="shared" si="56"/>
        <v>0</v>
      </c>
      <c r="V241" s="5">
        <f t="shared" si="57"/>
        <v>0</v>
      </c>
      <c r="W241" s="5">
        <f t="shared" si="58"/>
        <v>0</v>
      </c>
      <c r="X241" s="5">
        <f t="shared" si="59"/>
        <v>0</v>
      </c>
      <c r="Y241" s="5">
        <f t="shared" si="60"/>
        <v>0</v>
      </c>
      <c r="Z241" s="5">
        <f t="shared" si="61"/>
        <v>0</v>
      </c>
      <c r="AA241" s="5">
        <f t="shared" si="62"/>
        <v>0.75</v>
      </c>
      <c r="AB241" s="5">
        <f t="shared" si="63"/>
        <v>0.75</v>
      </c>
      <c r="AC241" s="5">
        <f t="shared" si="64"/>
        <v>0</v>
      </c>
      <c r="AD241" s="5"/>
      <c r="AE241" s="5"/>
      <c r="AF241" s="5">
        <f t="shared" si="65"/>
        <v>3</v>
      </c>
      <c r="AG241" s="5">
        <f t="shared" si="66"/>
        <v>4</v>
      </c>
      <c r="AH241" s="5" t="str">
        <f t="shared" si="67"/>
        <v>Correct</v>
      </c>
      <c r="AI241" s="5"/>
      <c r="AJ241" s="120" t="str">
        <f>IFERROR(VLOOKUP(Table1[RespondentID],'All Data'!$A$3:$CO$999,87,FALSE),"unknown")</f>
        <v>Man</v>
      </c>
      <c r="AK241" s="120">
        <f>IFERROR(VLOOKUP(Table1[RespondentID],'All Data'!$A$3:$CO$999,88,FALSE),"unknown")</f>
        <v>22</v>
      </c>
      <c r="AL241" s="120" t="str">
        <f>IFERROR(VLOOKUP(Table1[RespondentID],'All Data'!$A$3:$CO$999,89,FALSE),"unknown")</f>
        <v>Suffolk</v>
      </c>
      <c r="AM241" s="120" t="str">
        <f>IFERROR(VLOOKUP(Table1[RespondentID],'All Data'!$A$3:$CO$999,90,FALSE),"unknown")</f>
        <v>Centerport, 11721</v>
      </c>
      <c r="AN241" s="120" t="str">
        <f>IFERROR(VLOOKUP(Table1[RespondentID],'All Data'!$A$3:$CO$999,91,FALSE),"unknown")</f>
        <v>White</v>
      </c>
      <c r="AO241" s="120" t="str">
        <f>IFERROR(VLOOKUP(Table1[RespondentID],'All Data'!$A$3:$CO$999,92,FALSE),"unknown")</f>
        <v>Hispanic or Latino</v>
      </c>
      <c r="AP241" s="120" t="str">
        <f>IFERROR(VLOOKUP(Table1[RespondentID],'All Data'!$A$3:$CO$999,93,FALSE),"unknown")</f>
        <v>English, Polish</v>
      </c>
      <c r="AQ241" s="120" t="str">
        <f>IFERROR(VLOOKUP(Table1[RespondentID],'All Data'!$A$3:$CW$999,94,FALSE),"unknown")</f>
        <v>$75,000 to $125,000</v>
      </c>
      <c r="AR241" s="120" t="str">
        <f>IFERROR(VLOOKUP(Table1[RespondentID],'All Data'!$A$3:$CW$999,95,FALSE),"unknown")</f>
        <v>Some college</v>
      </c>
      <c r="AS241" s="120" t="str">
        <f>IFERROR(VLOOKUP(Table1[RespondentID],'All Data'!$A$3:$CW$999,96,FALSE),"unknown")</f>
        <v>Student</v>
      </c>
      <c r="AT241" s="120" t="str">
        <f>IFERROR(VLOOKUP(Table1[RespondentID],'All Data'!$A$3:$CW$999,97,FALSE),"unknown")</f>
        <v>No</v>
      </c>
      <c r="AU241" s="120">
        <f>IFERROR(VLOOKUP(Table1[RespondentID],'All Data'!$A$3:$CW$999,98,FALSE),"unknown")</f>
        <v>0</v>
      </c>
      <c r="AV241" s="120">
        <f>IFERROR(VLOOKUP(Table1[RespondentID],'All Data'!$A$3:$CW$999,99,FALSE),"unknown")</f>
        <v>0</v>
      </c>
    </row>
    <row r="242" spans="1:48">
      <c r="A242" s="5">
        <v>18019098372</v>
      </c>
      <c r="B242" s="5"/>
      <c r="C242" s="5" t="s">
        <v>39</v>
      </c>
      <c r="D242" s="5"/>
      <c r="E242" s="5" t="s">
        <v>41</v>
      </c>
      <c r="F242" s="5"/>
      <c r="G242" s="5"/>
      <c r="H242" s="5"/>
      <c r="I242" s="5"/>
      <c r="J242" s="5"/>
      <c r="K242" s="5"/>
      <c r="L242" s="5" t="s">
        <v>47</v>
      </c>
      <c r="M242" s="5"/>
      <c r="N242" s="5"/>
      <c r="O242" s="5">
        <f t="shared" si="51"/>
        <v>3</v>
      </c>
      <c r="P242" s="5">
        <f t="shared" si="52"/>
        <v>1</v>
      </c>
      <c r="Q242" s="5"/>
      <c r="R242" s="5">
        <f t="shared" si="53"/>
        <v>0</v>
      </c>
      <c r="S242" s="5">
        <f t="shared" si="54"/>
        <v>1</v>
      </c>
      <c r="T242" s="5">
        <f t="shared" si="55"/>
        <v>0</v>
      </c>
      <c r="U242" s="5">
        <f t="shared" si="56"/>
        <v>1</v>
      </c>
      <c r="V242" s="5">
        <f t="shared" si="57"/>
        <v>0</v>
      </c>
      <c r="W242" s="5">
        <f t="shared" si="58"/>
        <v>0</v>
      </c>
      <c r="X242" s="5">
        <f t="shared" si="59"/>
        <v>0</v>
      </c>
      <c r="Y242" s="5">
        <f t="shared" si="60"/>
        <v>0</v>
      </c>
      <c r="Z242" s="5">
        <f t="shared" si="61"/>
        <v>0</v>
      </c>
      <c r="AA242" s="5">
        <f t="shared" si="62"/>
        <v>0</v>
      </c>
      <c r="AB242" s="5">
        <f t="shared" si="63"/>
        <v>1</v>
      </c>
      <c r="AC242" s="5">
        <f t="shared" si="64"/>
        <v>0</v>
      </c>
      <c r="AD242" s="5"/>
      <c r="AE242" s="5"/>
      <c r="AF242" s="5">
        <f t="shared" si="65"/>
        <v>3</v>
      </c>
      <c r="AG242" s="5">
        <f t="shared" si="66"/>
        <v>3</v>
      </c>
      <c r="AH242" s="5" t="str">
        <f t="shared" si="67"/>
        <v>Correct</v>
      </c>
      <c r="AI242" s="5"/>
      <c r="AJ242" s="120" t="str">
        <f>IFERROR(VLOOKUP(Table1[RespondentID],'All Data'!$A$3:$CO$999,87,FALSE),"unknown")</f>
        <v>Man</v>
      </c>
      <c r="AK242" s="120">
        <f>IFERROR(VLOOKUP(Table1[RespondentID],'All Data'!$A$3:$CO$999,88,FALSE),"unknown")</f>
        <v>59</v>
      </c>
      <c r="AL242" s="120" t="str">
        <f>IFERROR(VLOOKUP(Table1[RespondentID],'All Data'!$A$3:$CO$999,89,FALSE),"unknown")</f>
        <v>Suffolk</v>
      </c>
      <c r="AM242" s="120" t="str">
        <f>IFERROR(VLOOKUP(Table1[RespondentID],'All Data'!$A$3:$CO$999,90,FALSE),"unknown")</f>
        <v>Setauket, 11733</v>
      </c>
      <c r="AN242" s="120" t="str">
        <f>IFERROR(VLOOKUP(Table1[RespondentID],'All Data'!$A$3:$CO$999,91,FALSE),"unknown")</f>
        <v>White</v>
      </c>
      <c r="AO242" s="120">
        <f>IFERROR(VLOOKUP(Table1[RespondentID],'All Data'!$A$3:$CO$999,92,FALSE),"unknown")</f>
        <v>0</v>
      </c>
      <c r="AP242" s="120" t="str">
        <f>IFERROR(VLOOKUP(Table1[RespondentID],'All Data'!$A$3:$CO$999,93,FALSE),"unknown")</f>
        <v>English</v>
      </c>
      <c r="AQ242" s="120">
        <f>IFERROR(VLOOKUP(Table1[RespondentID],'All Data'!$A$3:$CW$999,94,FALSE),"unknown")</f>
        <v>0</v>
      </c>
      <c r="AR242" s="120" t="str">
        <f>IFERROR(VLOOKUP(Table1[RespondentID],'All Data'!$A$3:$CW$999,95,FALSE),"unknown")</f>
        <v>Some college</v>
      </c>
      <c r="AS242" s="120" t="str">
        <f>IFERROR(VLOOKUP(Table1[RespondentID],'All Data'!$A$3:$CW$999,96,FALSE),"unknown")</f>
        <v>Retired</v>
      </c>
      <c r="AT242" s="120" t="str">
        <f>IFERROR(VLOOKUP(Table1[RespondentID],'All Data'!$A$3:$CW$999,97,FALSE),"unknown")</f>
        <v>Yes</v>
      </c>
      <c r="AU242" s="120">
        <f>IFERROR(VLOOKUP(Table1[RespondentID],'All Data'!$A$3:$CW$999,98,FALSE),"unknown")</f>
        <v>0</v>
      </c>
      <c r="AV242" s="120">
        <f>IFERROR(VLOOKUP(Table1[RespondentID],'All Data'!$A$3:$CW$999,99,FALSE),"unknown")</f>
        <v>0</v>
      </c>
    </row>
    <row r="243" spans="1:48">
      <c r="A243" s="5">
        <v>18019098190</v>
      </c>
      <c r="B243" s="5" t="s">
        <v>38</v>
      </c>
      <c r="C243" s="5" t="s">
        <v>39</v>
      </c>
      <c r="D243" s="5"/>
      <c r="E243" s="5"/>
      <c r="F243" s="5" t="s">
        <v>42</v>
      </c>
      <c r="G243" s="5" t="s">
        <v>37</v>
      </c>
      <c r="H243" s="5" t="s">
        <v>43</v>
      </c>
      <c r="I243" s="5" t="s">
        <v>44</v>
      </c>
      <c r="J243" s="5" t="s">
        <v>45</v>
      </c>
      <c r="K243" s="5" t="s">
        <v>46</v>
      </c>
      <c r="L243" s="5" t="s">
        <v>47</v>
      </c>
      <c r="M243" s="5"/>
      <c r="N243" s="5"/>
      <c r="O243" s="5">
        <f t="shared" si="51"/>
        <v>9</v>
      </c>
      <c r="P243" s="5">
        <f t="shared" si="52"/>
        <v>0.33333333333333331</v>
      </c>
      <c r="Q243" s="5"/>
      <c r="R243" s="5">
        <f t="shared" si="53"/>
        <v>0.33333333333333331</v>
      </c>
      <c r="S243" s="5">
        <f t="shared" si="54"/>
        <v>0.33333333333333331</v>
      </c>
      <c r="T243" s="5">
        <f t="shared" si="55"/>
        <v>0</v>
      </c>
      <c r="U243" s="5">
        <f t="shared" si="56"/>
        <v>0</v>
      </c>
      <c r="V243" s="5">
        <f t="shared" si="57"/>
        <v>0.33333333333333331</v>
      </c>
      <c r="W243" s="5">
        <f t="shared" si="58"/>
        <v>0.33333333333333331</v>
      </c>
      <c r="X243" s="5">
        <f t="shared" si="59"/>
        <v>0.33333333333333331</v>
      </c>
      <c r="Y243" s="5">
        <f t="shared" si="60"/>
        <v>0.33333333333333331</v>
      </c>
      <c r="Z243" s="5">
        <f t="shared" si="61"/>
        <v>0.33333333333333331</v>
      </c>
      <c r="AA243" s="5">
        <f t="shared" si="62"/>
        <v>0.33333333333333331</v>
      </c>
      <c r="AB243" s="5">
        <f t="shared" si="63"/>
        <v>0.33333333333333331</v>
      </c>
      <c r="AC243" s="5">
        <f t="shared" si="64"/>
        <v>0</v>
      </c>
      <c r="AD243" s="5"/>
      <c r="AE243" s="5"/>
      <c r="AF243" s="5">
        <f t="shared" si="65"/>
        <v>3</v>
      </c>
      <c r="AG243" s="5">
        <f t="shared" si="66"/>
        <v>9</v>
      </c>
      <c r="AH243" s="5" t="str">
        <f t="shared" si="67"/>
        <v>Correct</v>
      </c>
      <c r="AI243" s="5"/>
      <c r="AJ243" s="120" t="str">
        <f>IFERROR(VLOOKUP(Table1[RespondentID],'All Data'!$A$3:$CO$999,87,FALSE),"unknown")</f>
        <v>Man</v>
      </c>
      <c r="AK243" s="120">
        <f>IFERROR(VLOOKUP(Table1[RespondentID],'All Data'!$A$3:$CO$999,88,FALSE),"unknown")</f>
        <v>40</v>
      </c>
      <c r="AL243" s="120" t="str">
        <f>IFERROR(VLOOKUP(Table1[RespondentID],'All Data'!$A$3:$CO$999,89,FALSE),"unknown")</f>
        <v>Suffolk</v>
      </c>
      <c r="AM243" s="120" t="str">
        <f>IFERROR(VLOOKUP(Table1[RespondentID],'All Data'!$A$3:$CO$999,90,FALSE),"unknown")</f>
        <v>Port Jefferson Station, 11776</v>
      </c>
      <c r="AN243" s="120" t="str">
        <f>IFERROR(VLOOKUP(Table1[RespondentID],'All Data'!$A$3:$CO$999,91,FALSE),"unknown")</f>
        <v>Other (please specify)</v>
      </c>
      <c r="AO243" s="120" t="str">
        <f>IFERROR(VLOOKUP(Table1[RespondentID],'All Data'!$A$3:$CO$999,92,FALSE),"unknown")</f>
        <v>Hispanic or Latino</v>
      </c>
      <c r="AP243" s="120">
        <f>IFERROR(VLOOKUP(Table1[RespondentID],'All Data'!$A$3:$CO$999,93,FALSE),"unknown")</f>
        <v>0</v>
      </c>
      <c r="AQ243" s="120" t="str">
        <f>IFERROR(VLOOKUP(Table1[RespondentID],'All Data'!$A$3:$CW$999,94,FALSE),"unknown")</f>
        <v>$75,000 to $125,000</v>
      </c>
      <c r="AR243" s="120" t="str">
        <f>IFERROR(VLOOKUP(Table1[RespondentID],'All Data'!$A$3:$CW$999,95,FALSE),"unknown")</f>
        <v>College graduate</v>
      </c>
      <c r="AS243" s="120" t="str">
        <f>IFERROR(VLOOKUP(Table1[RespondentID],'All Data'!$A$3:$CW$999,96,FALSE),"unknown")</f>
        <v>Employed for wages</v>
      </c>
      <c r="AT243" s="120" t="str">
        <f>IFERROR(VLOOKUP(Table1[RespondentID],'All Data'!$A$3:$CW$999,97,FALSE),"unknown")</f>
        <v>Yes</v>
      </c>
      <c r="AU243" s="120">
        <f>IFERROR(VLOOKUP(Table1[RespondentID],'All Data'!$A$3:$CW$999,98,FALSE),"unknown")</f>
        <v>0</v>
      </c>
      <c r="AV243" s="120">
        <f>IFERROR(VLOOKUP(Table1[RespondentID],'All Data'!$A$3:$CW$999,99,FALSE),"unknown")</f>
        <v>0</v>
      </c>
    </row>
    <row r="244" spans="1:48">
      <c r="A244" s="5">
        <v>18019097991</v>
      </c>
      <c r="B244" s="5"/>
      <c r="C244" s="5"/>
      <c r="D244" s="5"/>
      <c r="E244" s="5"/>
      <c r="F244" s="5"/>
      <c r="G244" s="5"/>
      <c r="H244" s="5" t="s">
        <v>43</v>
      </c>
      <c r="I244" s="5"/>
      <c r="J244" s="5" t="s">
        <v>45</v>
      </c>
      <c r="K244" s="5"/>
      <c r="L244" s="5"/>
      <c r="M244" s="5"/>
      <c r="N244" s="5"/>
      <c r="O244" s="5">
        <f t="shared" si="51"/>
        <v>2</v>
      </c>
      <c r="P244" s="5">
        <f t="shared" si="52"/>
        <v>1.5</v>
      </c>
      <c r="Q244" s="5"/>
      <c r="R244" s="5">
        <f t="shared" si="53"/>
        <v>0</v>
      </c>
      <c r="S244" s="5">
        <f t="shared" si="54"/>
        <v>0</v>
      </c>
      <c r="T244" s="5">
        <f t="shared" si="55"/>
        <v>0</v>
      </c>
      <c r="U244" s="5">
        <f t="shared" si="56"/>
        <v>0</v>
      </c>
      <c r="V244" s="5">
        <f t="shared" si="57"/>
        <v>0</v>
      </c>
      <c r="W244" s="5">
        <f t="shared" si="58"/>
        <v>0</v>
      </c>
      <c r="X244" s="5">
        <f t="shared" si="59"/>
        <v>1</v>
      </c>
      <c r="Y244" s="5">
        <f t="shared" si="60"/>
        <v>0</v>
      </c>
      <c r="Z244" s="5">
        <f t="shared" si="61"/>
        <v>1</v>
      </c>
      <c r="AA244" s="5">
        <f t="shared" si="62"/>
        <v>0</v>
      </c>
      <c r="AB244" s="5">
        <f t="shared" si="63"/>
        <v>0</v>
      </c>
      <c r="AC244" s="5">
        <f t="shared" si="64"/>
        <v>0</v>
      </c>
      <c r="AD244" s="5"/>
      <c r="AE244" s="5"/>
      <c r="AF244" s="5">
        <f t="shared" si="65"/>
        <v>2</v>
      </c>
      <c r="AG244" s="5">
        <f t="shared" si="66"/>
        <v>2</v>
      </c>
      <c r="AH244" s="5" t="str">
        <f t="shared" si="67"/>
        <v>Correct</v>
      </c>
      <c r="AI244" s="5"/>
      <c r="AJ244" s="120" t="str">
        <f>IFERROR(VLOOKUP(Table1[RespondentID],'All Data'!$A$3:$CO$999,87,FALSE),"unknown")</f>
        <v>Woman</v>
      </c>
      <c r="AK244" s="120">
        <f>IFERROR(VLOOKUP(Table1[RespondentID],'All Data'!$A$3:$CO$999,88,FALSE),"unknown")</f>
        <v>47</v>
      </c>
      <c r="AL244" s="120" t="str">
        <f>IFERROR(VLOOKUP(Table1[RespondentID],'All Data'!$A$3:$CO$999,89,FALSE),"unknown")</f>
        <v>Suffolk</v>
      </c>
      <c r="AM244" s="120" t="str">
        <f>IFERROR(VLOOKUP(Table1[RespondentID],'All Data'!$A$3:$CO$999,90,FALSE),"unknown")</f>
        <v>North Babylon, 11703</v>
      </c>
      <c r="AN244" s="120" t="str">
        <f>IFERROR(VLOOKUP(Table1[RespondentID],'All Data'!$A$3:$CO$999,91,FALSE),"unknown")</f>
        <v>White</v>
      </c>
      <c r="AO244" s="120" t="str">
        <f>IFERROR(VLOOKUP(Table1[RespondentID],'All Data'!$A$3:$CO$999,92,FALSE),"unknown")</f>
        <v>Hispanic or Latino</v>
      </c>
      <c r="AP244" s="120" t="str">
        <f>IFERROR(VLOOKUP(Table1[RespondentID],'All Data'!$A$3:$CO$999,93,FALSE),"unknown")</f>
        <v>English</v>
      </c>
      <c r="AQ244" s="120" t="str">
        <f>IFERROR(VLOOKUP(Table1[RespondentID],'All Data'!$A$3:$CW$999,94,FALSE),"unknown")</f>
        <v>Over $125,000</v>
      </c>
      <c r="AR244" s="120" t="str">
        <f>IFERROR(VLOOKUP(Table1[RespondentID],'All Data'!$A$3:$CW$999,95,FALSE),"unknown")</f>
        <v>Graduate school</v>
      </c>
      <c r="AS244" s="120" t="str">
        <f>IFERROR(VLOOKUP(Table1[RespondentID],'All Data'!$A$3:$CW$999,96,FALSE),"unknown")</f>
        <v>Employed for wages</v>
      </c>
      <c r="AT244" s="120" t="str">
        <f>IFERROR(VLOOKUP(Table1[RespondentID],'All Data'!$A$3:$CW$999,97,FALSE),"unknown")</f>
        <v>Yes</v>
      </c>
      <c r="AU244" s="120">
        <f>IFERROR(VLOOKUP(Table1[RespondentID],'All Data'!$A$3:$CW$999,98,FALSE),"unknown")</f>
        <v>0</v>
      </c>
      <c r="AV244" s="120">
        <f>IFERROR(VLOOKUP(Table1[RespondentID],'All Data'!$A$3:$CW$999,99,FALSE),"unknown")</f>
        <v>0</v>
      </c>
    </row>
    <row r="245" spans="1:48">
      <c r="A245" s="5">
        <v>18019097887</v>
      </c>
      <c r="B245" s="5"/>
      <c r="C245" s="5"/>
      <c r="D245" s="5"/>
      <c r="E245" s="5" t="s">
        <v>41</v>
      </c>
      <c r="F245" s="5"/>
      <c r="G245" s="5"/>
      <c r="H245" s="5"/>
      <c r="I245" s="5"/>
      <c r="J245" s="5"/>
      <c r="K245" s="5"/>
      <c r="L245" s="5" t="s">
        <v>47</v>
      </c>
      <c r="M245" s="5"/>
      <c r="N245" s="5"/>
      <c r="O245" s="5">
        <f t="shared" si="51"/>
        <v>2</v>
      </c>
      <c r="P245" s="5">
        <f t="shared" si="52"/>
        <v>1.5</v>
      </c>
      <c r="Q245" s="5"/>
      <c r="R245" s="5">
        <f t="shared" si="53"/>
        <v>0</v>
      </c>
      <c r="S245" s="5">
        <f t="shared" si="54"/>
        <v>0</v>
      </c>
      <c r="T245" s="5">
        <f t="shared" si="55"/>
        <v>0</v>
      </c>
      <c r="U245" s="5">
        <f t="shared" si="56"/>
        <v>1</v>
      </c>
      <c r="V245" s="5">
        <f t="shared" si="57"/>
        <v>0</v>
      </c>
      <c r="W245" s="5">
        <f t="shared" si="58"/>
        <v>0</v>
      </c>
      <c r="X245" s="5">
        <f t="shared" si="59"/>
        <v>0</v>
      </c>
      <c r="Y245" s="5">
        <f t="shared" si="60"/>
        <v>0</v>
      </c>
      <c r="Z245" s="5">
        <f t="shared" si="61"/>
        <v>0</v>
      </c>
      <c r="AA245" s="5">
        <f t="shared" si="62"/>
        <v>0</v>
      </c>
      <c r="AB245" s="5">
        <f t="shared" si="63"/>
        <v>1</v>
      </c>
      <c r="AC245" s="5">
        <f t="shared" si="64"/>
        <v>0</v>
      </c>
      <c r="AD245" s="5"/>
      <c r="AE245" s="5"/>
      <c r="AF245" s="5">
        <f t="shared" si="65"/>
        <v>2</v>
      </c>
      <c r="AG245" s="5">
        <f t="shared" si="66"/>
        <v>2</v>
      </c>
      <c r="AH245" s="5" t="str">
        <f t="shared" si="67"/>
        <v>Correct</v>
      </c>
      <c r="AI245" s="5"/>
      <c r="AJ245" s="120" t="str">
        <f>IFERROR(VLOOKUP(Table1[RespondentID],'All Data'!$A$3:$CO$999,87,FALSE),"unknown")</f>
        <v>Man</v>
      </c>
      <c r="AK245" s="120">
        <f>IFERROR(VLOOKUP(Table1[RespondentID],'All Data'!$A$3:$CO$999,88,FALSE),"unknown")</f>
        <v>40</v>
      </c>
      <c r="AL245" s="120" t="str">
        <f>IFERROR(VLOOKUP(Table1[RespondentID],'All Data'!$A$3:$CO$999,89,FALSE),"unknown")</f>
        <v>Suffolk</v>
      </c>
      <c r="AM245" s="120" t="str">
        <f>IFERROR(VLOOKUP(Table1[RespondentID],'All Data'!$A$3:$CO$999,90,FALSE),"unknown")</f>
        <v>Rocky Point, 11778</v>
      </c>
      <c r="AN245" s="120" t="str">
        <f>IFERROR(VLOOKUP(Table1[RespondentID],'All Data'!$A$3:$CO$999,91,FALSE),"unknown")</f>
        <v>White</v>
      </c>
      <c r="AO245" s="120" t="str">
        <f>IFERROR(VLOOKUP(Table1[RespondentID],'All Data'!$A$3:$CO$999,92,FALSE),"unknown")</f>
        <v>Hispanic or Latino</v>
      </c>
      <c r="AP245" s="120" t="str">
        <f>IFERROR(VLOOKUP(Table1[RespondentID],'All Data'!$A$3:$CO$999,93,FALSE),"unknown")</f>
        <v>English</v>
      </c>
      <c r="AQ245" s="120">
        <f>IFERROR(VLOOKUP(Table1[RespondentID],'All Data'!$A$3:$CW$999,94,FALSE),"unknown")</f>
        <v>0</v>
      </c>
      <c r="AR245" s="120" t="str">
        <f>IFERROR(VLOOKUP(Table1[RespondentID],'All Data'!$A$3:$CW$999,95,FALSE),"unknown")</f>
        <v>Graduate school</v>
      </c>
      <c r="AS245" s="120" t="str">
        <f>IFERROR(VLOOKUP(Table1[RespondentID],'All Data'!$A$3:$CW$999,96,FALSE),"unknown")</f>
        <v>Employed for wages</v>
      </c>
      <c r="AT245" s="120" t="str">
        <f>IFERROR(VLOOKUP(Table1[RespondentID],'All Data'!$A$3:$CW$999,97,FALSE),"unknown")</f>
        <v>Yes</v>
      </c>
      <c r="AU245" s="120">
        <f>IFERROR(VLOOKUP(Table1[RespondentID],'All Data'!$A$3:$CW$999,98,FALSE),"unknown")</f>
        <v>0</v>
      </c>
      <c r="AV245" s="120">
        <f>IFERROR(VLOOKUP(Table1[RespondentID],'All Data'!$A$3:$CW$999,99,FALSE),"unknown")</f>
        <v>0</v>
      </c>
    </row>
    <row r="246" spans="1:48">
      <c r="A246" s="5">
        <v>18019097745</v>
      </c>
      <c r="B246" s="5"/>
      <c r="C246" s="5" t="s">
        <v>39</v>
      </c>
      <c r="D246" s="5"/>
      <c r="E246" s="5"/>
      <c r="F246" s="5" t="s">
        <v>42</v>
      </c>
      <c r="G246" s="5"/>
      <c r="H246" s="5"/>
      <c r="I246" s="5"/>
      <c r="J246" s="5" t="s">
        <v>45</v>
      </c>
      <c r="K246" s="5"/>
      <c r="L246" s="5"/>
      <c r="M246" s="5"/>
      <c r="N246" s="5"/>
      <c r="O246" s="5">
        <f t="shared" si="51"/>
        <v>3</v>
      </c>
      <c r="P246" s="5">
        <f t="shared" si="52"/>
        <v>1</v>
      </c>
      <c r="Q246" s="5"/>
      <c r="R246" s="5">
        <f t="shared" si="53"/>
        <v>0</v>
      </c>
      <c r="S246" s="5">
        <f t="shared" si="54"/>
        <v>1</v>
      </c>
      <c r="T246" s="5">
        <f t="shared" si="55"/>
        <v>0</v>
      </c>
      <c r="U246" s="5">
        <f t="shared" si="56"/>
        <v>0</v>
      </c>
      <c r="V246" s="5">
        <f t="shared" si="57"/>
        <v>1</v>
      </c>
      <c r="W246" s="5">
        <f t="shared" si="58"/>
        <v>0</v>
      </c>
      <c r="X246" s="5">
        <f t="shared" si="59"/>
        <v>0</v>
      </c>
      <c r="Y246" s="5">
        <f t="shared" si="60"/>
        <v>0</v>
      </c>
      <c r="Z246" s="5">
        <f t="shared" si="61"/>
        <v>1</v>
      </c>
      <c r="AA246" s="5">
        <f t="shared" si="62"/>
        <v>0</v>
      </c>
      <c r="AB246" s="5">
        <f t="shared" si="63"/>
        <v>0</v>
      </c>
      <c r="AC246" s="5">
        <f t="shared" si="64"/>
        <v>0</v>
      </c>
      <c r="AD246" s="5"/>
      <c r="AE246" s="5"/>
      <c r="AF246" s="5">
        <f t="shared" si="65"/>
        <v>3</v>
      </c>
      <c r="AG246" s="5">
        <f t="shared" si="66"/>
        <v>3</v>
      </c>
      <c r="AH246" s="5" t="str">
        <f t="shared" si="67"/>
        <v>Correct</v>
      </c>
      <c r="AI246" s="5"/>
      <c r="AJ246" s="120" t="str">
        <f>IFERROR(VLOOKUP(Table1[RespondentID],'All Data'!$A$3:$CO$999,87,FALSE),"unknown")</f>
        <v>Woman</v>
      </c>
      <c r="AK246" s="120">
        <f>IFERROR(VLOOKUP(Table1[RespondentID],'All Data'!$A$3:$CO$999,88,FALSE),"unknown")</f>
        <v>39</v>
      </c>
      <c r="AL246" s="120" t="str">
        <f>IFERROR(VLOOKUP(Table1[RespondentID],'All Data'!$A$3:$CO$999,89,FALSE),"unknown")</f>
        <v>Suffolk</v>
      </c>
      <c r="AM246" s="120" t="str">
        <f>IFERROR(VLOOKUP(Table1[RespondentID],'All Data'!$A$3:$CO$999,90,FALSE),"unknown")</f>
        <v>Smithtown, 11787</v>
      </c>
      <c r="AN246" s="120" t="str">
        <f>IFERROR(VLOOKUP(Table1[RespondentID],'All Data'!$A$3:$CO$999,91,FALSE),"unknown")</f>
        <v>White</v>
      </c>
      <c r="AO246" s="120" t="str">
        <f>IFERROR(VLOOKUP(Table1[RespondentID],'All Data'!$A$3:$CO$999,92,FALSE),"unknown")</f>
        <v>Hispanic or Latino</v>
      </c>
      <c r="AP246" s="120" t="str">
        <f>IFERROR(VLOOKUP(Table1[RespondentID],'All Data'!$A$3:$CO$999,93,FALSE),"unknown")</f>
        <v>English</v>
      </c>
      <c r="AQ246" s="120" t="str">
        <f>IFERROR(VLOOKUP(Table1[RespondentID],'All Data'!$A$3:$CW$999,94,FALSE),"unknown")</f>
        <v>Over $125,000</v>
      </c>
      <c r="AR246" s="120" t="str">
        <f>IFERROR(VLOOKUP(Table1[RespondentID],'All Data'!$A$3:$CW$999,95,FALSE),"unknown")</f>
        <v>Graduate school</v>
      </c>
      <c r="AS246" s="120" t="str">
        <f>IFERROR(VLOOKUP(Table1[RespondentID],'All Data'!$A$3:$CW$999,96,FALSE),"unknown")</f>
        <v>Employed for wages</v>
      </c>
      <c r="AT246" s="120" t="str">
        <f>IFERROR(VLOOKUP(Table1[RespondentID],'All Data'!$A$3:$CW$999,97,FALSE),"unknown")</f>
        <v>Yes</v>
      </c>
      <c r="AU246" s="120">
        <f>IFERROR(VLOOKUP(Table1[RespondentID],'All Data'!$A$3:$CW$999,98,FALSE),"unknown")</f>
        <v>0</v>
      </c>
      <c r="AV246" s="120">
        <f>IFERROR(VLOOKUP(Table1[RespondentID],'All Data'!$A$3:$CW$999,99,FALSE),"unknown")</f>
        <v>0</v>
      </c>
    </row>
    <row r="247" spans="1:48">
      <c r="A247" s="5">
        <v>18019097274</v>
      </c>
      <c r="B247" s="5"/>
      <c r="C247" s="5" t="s">
        <v>39</v>
      </c>
      <c r="D247" s="5"/>
      <c r="E247" s="5" t="s">
        <v>41</v>
      </c>
      <c r="F247" s="5"/>
      <c r="G247" s="5"/>
      <c r="H247" s="5" t="s">
        <v>43</v>
      </c>
      <c r="I247" s="5"/>
      <c r="J247" s="5"/>
      <c r="K247" s="5"/>
      <c r="L247" s="5"/>
      <c r="M247" s="5"/>
      <c r="N247" s="5"/>
      <c r="O247" s="5">
        <f t="shared" si="51"/>
        <v>3</v>
      </c>
      <c r="P247" s="5">
        <f t="shared" si="52"/>
        <v>1</v>
      </c>
      <c r="Q247" s="5"/>
      <c r="R247" s="5">
        <f t="shared" si="53"/>
        <v>0</v>
      </c>
      <c r="S247" s="5">
        <f t="shared" si="54"/>
        <v>1</v>
      </c>
      <c r="T247" s="5">
        <f t="shared" si="55"/>
        <v>0</v>
      </c>
      <c r="U247" s="5">
        <f t="shared" si="56"/>
        <v>1</v>
      </c>
      <c r="V247" s="5">
        <f t="shared" si="57"/>
        <v>0</v>
      </c>
      <c r="W247" s="5">
        <f t="shared" si="58"/>
        <v>0</v>
      </c>
      <c r="X247" s="5">
        <f t="shared" si="59"/>
        <v>1</v>
      </c>
      <c r="Y247" s="5">
        <f t="shared" si="60"/>
        <v>0</v>
      </c>
      <c r="Z247" s="5">
        <f t="shared" si="61"/>
        <v>0</v>
      </c>
      <c r="AA247" s="5">
        <f t="shared" si="62"/>
        <v>0</v>
      </c>
      <c r="AB247" s="5">
        <f t="shared" si="63"/>
        <v>0</v>
      </c>
      <c r="AC247" s="5">
        <f t="shared" si="64"/>
        <v>0</v>
      </c>
      <c r="AD247" s="5"/>
      <c r="AE247" s="5"/>
      <c r="AF247" s="5">
        <f t="shared" si="65"/>
        <v>3</v>
      </c>
      <c r="AG247" s="5">
        <f t="shared" si="66"/>
        <v>3</v>
      </c>
      <c r="AH247" s="5" t="str">
        <f t="shared" si="67"/>
        <v>Correct</v>
      </c>
      <c r="AI247" s="5"/>
      <c r="AJ247" s="120" t="str">
        <f>IFERROR(VLOOKUP(Table1[RespondentID],'All Data'!$A$3:$CO$999,87,FALSE),"unknown")</f>
        <v>Man</v>
      </c>
      <c r="AK247" s="120">
        <f>IFERROR(VLOOKUP(Table1[RespondentID],'All Data'!$A$3:$CO$999,88,FALSE),"unknown")</f>
        <v>39</v>
      </c>
      <c r="AL247" s="120" t="str">
        <f>IFERROR(VLOOKUP(Table1[RespondentID],'All Data'!$A$3:$CO$999,89,FALSE),"unknown")</f>
        <v>Suffolk</v>
      </c>
      <c r="AM247" s="120" t="str">
        <f>IFERROR(VLOOKUP(Table1[RespondentID],'All Data'!$A$3:$CO$999,90,FALSE),"unknown")</f>
        <v>Coram, 11727</v>
      </c>
      <c r="AN247" s="120" t="str">
        <f>IFERROR(VLOOKUP(Table1[RespondentID],'All Data'!$A$3:$CO$999,91,FALSE),"unknown")</f>
        <v>White</v>
      </c>
      <c r="AO247" s="120">
        <f>IFERROR(VLOOKUP(Table1[RespondentID],'All Data'!$A$3:$CO$999,92,FALSE),"unknown")</f>
        <v>0</v>
      </c>
      <c r="AP247" s="120" t="str">
        <f>IFERROR(VLOOKUP(Table1[RespondentID],'All Data'!$A$3:$CO$999,93,FALSE),"unknown")</f>
        <v>English</v>
      </c>
      <c r="AQ247" s="120" t="str">
        <f>IFERROR(VLOOKUP(Table1[RespondentID],'All Data'!$A$3:$CW$999,94,FALSE),"unknown")</f>
        <v>Over $125,000</v>
      </c>
      <c r="AR247" s="120" t="str">
        <f>IFERROR(VLOOKUP(Table1[RespondentID],'All Data'!$A$3:$CW$999,95,FALSE),"unknown")</f>
        <v>College graduate</v>
      </c>
      <c r="AS247" s="120" t="str">
        <f>IFERROR(VLOOKUP(Table1[RespondentID],'All Data'!$A$3:$CW$999,96,FALSE),"unknown")</f>
        <v>Employed for wages</v>
      </c>
      <c r="AT247" s="120" t="str">
        <f>IFERROR(VLOOKUP(Table1[RespondentID],'All Data'!$A$3:$CW$999,97,FALSE),"unknown")</f>
        <v>Yes</v>
      </c>
      <c r="AU247" s="120">
        <f>IFERROR(VLOOKUP(Table1[RespondentID],'All Data'!$A$3:$CW$999,98,FALSE),"unknown")</f>
        <v>0</v>
      </c>
      <c r="AV247" s="120">
        <f>IFERROR(VLOOKUP(Table1[RespondentID],'All Data'!$A$3:$CW$999,99,FALSE),"unknown")</f>
        <v>0</v>
      </c>
    </row>
    <row r="248" spans="1:48">
      <c r="A248" s="5">
        <v>18019097132</v>
      </c>
      <c r="B248" s="5"/>
      <c r="C248" s="5" t="s">
        <v>39</v>
      </c>
      <c r="D248" s="5"/>
      <c r="E248" s="5"/>
      <c r="F248" s="5"/>
      <c r="G248" s="5"/>
      <c r="H248" s="5"/>
      <c r="I248" s="5"/>
      <c r="J248" s="5"/>
      <c r="K248" s="5" t="s">
        <v>46</v>
      </c>
      <c r="L248" s="5" t="s">
        <v>47</v>
      </c>
      <c r="M248" s="5"/>
      <c r="N248" s="5"/>
      <c r="O248" s="5">
        <f t="shared" si="51"/>
        <v>3</v>
      </c>
      <c r="P248" s="5">
        <f t="shared" si="52"/>
        <v>1</v>
      </c>
      <c r="Q248" s="5"/>
      <c r="R248" s="5">
        <f t="shared" si="53"/>
        <v>0</v>
      </c>
      <c r="S248" s="5">
        <f t="shared" si="54"/>
        <v>1</v>
      </c>
      <c r="T248" s="5">
        <f t="shared" si="55"/>
        <v>0</v>
      </c>
      <c r="U248" s="5">
        <f t="shared" si="56"/>
        <v>0</v>
      </c>
      <c r="V248" s="5">
        <f t="shared" si="57"/>
        <v>0</v>
      </c>
      <c r="W248" s="5">
        <f t="shared" si="58"/>
        <v>0</v>
      </c>
      <c r="X248" s="5">
        <f t="shared" si="59"/>
        <v>0</v>
      </c>
      <c r="Y248" s="5">
        <f t="shared" si="60"/>
        <v>0</v>
      </c>
      <c r="Z248" s="5">
        <f t="shared" si="61"/>
        <v>0</v>
      </c>
      <c r="AA248" s="5">
        <f t="shared" si="62"/>
        <v>1</v>
      </c>
      <c r="AB248" s="5">
        <f t="shared" si="63"/>
        <v>1</v>
      </c>
      <c r="AC248" s="5">
        <f t="shared" si="64"/>
        <v>0</v>
      </c>
      <c r="AD248" s="5"/>
      <c r="AE248" s="5"/>
      <c r="AF248" s="5">
        <f t="shared" si="65"/>
        <v>3</v>
      </c>
      <c r="AG248" s="5">
        <f t="shared" si="66"/>
        <v>3</v>
      </c>
      <c r="AH248" s="5" t="str">
        <f t="shared" si="67"/>
        <v>Correct</v>
      </c>
      <c r="AI248" s="5"/>
      <c r="AJ248" s="120" t="str">
        <f>IFERROR(VLOOKUP(Table1[RespondentID],'All Data'!$A$3:$CO$999,87,FALSE),"unknown")</f>
        <v>Woman</v>
      </c>
      <c r="AK248" s="120">
        <f>IFERROR(VLOOKUP(Table1[RespondentID],'All Data'!$A$3:$CO$999,88,FALSE),"unknown")</f>
        <v>50</v>
      </c>
      <c r="AL248" s="120" t="str">
        <f>IFERROR(VLOOKUP(Table1[RespondentID],'All Data'!$A$3:$CO$999,89,FALSE),"unknown")</f>
        <v>Suffolk</v>
      </c>
      <c r="AM248" s="120" t="str">
        <f>IFERROR(VLOOKUP(Table1[RespondentID],'All Data'!$A$3:$CO$999,90,FALSE),"unknown")</f>
        <v>West Islip, 11795</v>
      </c>
      <c r="AN248" s="120" t="str">
        <f>IFERROR(VLOOKUP(Table1[RespondentID],'All Data'!$A$3:$CO$999,91,FALSE),"unknown")</f>
        <v>White</v>
      </c>
      <c r="AO248" s="120">
        <f>IFERROR(VLOOKUP(Table1[RespondentID],'All Data'!$A$3:$CO$999,92,FALSE),"unknown")</f>
        <v>0</v>
      </c>
      <c r="AP248" s="120" t="str">
        <f>IFERROR(VLOOKUP(Table1[RespondentID],'All Data'!$A$3:$CO$999,93,FALSE),"unknown")</f>
        <v>English</v>
      </c>
      <c r="AQ248" s="120" t="str">
        <f>IFERROR(VLOOKUP(Table1[RespondentID],'All Data'!$A$3:$CW$999,94,FALSE),"unknown")</f>
        <v>Over $125,000</v>
      </c>
      <c r="AR248" s="120" t="str">
        <f>IFERROR(VLOOKUP(Table1[RespondentID],'All Data'!$A$3:$CW$999,95,FALSE),"unknown")</f>
        <v>College graduate</v>
      </c>
      <c r="AS248" s="120" t="str">
        <f>IFERROR(VLOOKUP(Table1[RespondentID],'All Data'!$A$3:$CW$999,96,FALSE),"unknown")</f>
        <v>Employed for wages</v>
      </c>
      <c r="AT248" s="120" t="str">
        <f>IFERROR(VLOOKUP(Table1[RespondentID],'All Data'!$A$3:$CW$999,97,FALSE),"unknown")</f>
        <v>Yes</v>
      </c>
      <c r="AU248" s="120">
        <f>IFERROR(VLOOKUP(Table1[RespondentID],'All Data'!$A$3:$CW$999,98,FALSE),"unknown")</f>
        <v>0</v>
      </c>
      <c r="AV248" s="120">
        <f>IFERROR(VLOOKUP(Table1[RespondentID],'All Data'!$A$3:$CW$999,99,FALSE),"unknown")</f>
        <v>0</v>
      </c>
    </row>
    <row r="249" spans="1:48">
      <c r="A249" s="5">
        <v>18019096838</v>
      </c>
      <c r="B249" s="5"/>
      <c r="C249" s="5"/>
      <c r="D249" s="5"/>
      <c r="E249" s="5"/>
      <c r="F249" s="5"/>
      <c r="G249" s="5"/>
      <c r="H249" s="5" t="s">
        <v>43</v>
      </c>
      <c r="I249" s="5"/>
      <c r="J249" s="5"/>
      <c r="K249" s="5"/>
      <c r="L249" s="5"/>
      <c r="M249" s="5"/>
      <c r="N249" s="5"/>
      <c r="O249" s="5">
        <f t="shared" si="51"/>
        <v>1</v>
      </c>
      <c r="P249" s="5">
        <f t="shared" si="52"/>
        <v>3</v>
      </c>
      <c r="Q249" s="5"/>
      <c r="R249" s="5">
        <f t="shared" si="53"/>
        <v>0</v>
      </c>
      <c r="S249" s="5">
        <f t="shared" si="54"/>
        <v>0</v>
      </c>
      <c r="T249" s="5">
        <f t="shared" si="55"/>
        <v>0</v>
      </c>
      <c r="U249" s="5">
        <f t="shared" si="56"/>
        <v>0</v>
      </c>
      <c r="V249" s="5">
        <f t="shared" si="57"/>
        <v>0</v>
      </c>
      <c r="W249" s="5">
        <f t="shared" si="58"/>
        <v>0</v>
      </c>
      <c r="X249" s="5">
        <f t="shared" si="59"/>
        <v>1</v>
      </c>
      <c r="Y249" s="5">
        <f t="shared" si="60"/>
        <v>0</v>
      </c>
      <c r="Z249" s="5">
        <f t="shared" si="61"/>
        <v>0</v>
      </c>
      <c r="AA249" s="5">
        <f t="shared" si="62"/>
        <v>0</v>
      </c>
      <c r="AB249" s="5">
        <f t="shared" si="63"/>
        <v>0</v>
      </c>
      <c r="AC249" s="5">
        <f t="shared" si="64"/>
        <v>0</v>
      </c>
      <c r="AD249" s="5"/>
      <c r="AE249" s="5"/>
      <c r="AF249" s="5">
        <f t="shared" si="65"/>
        <v>1</v>
      </c>
      <c r="AG249" s="5">
        <f t="shared" si="66"/>
        <v>1</v>
      </c>
      <c r="AH249" s="5" t="str">
        <f t="shared" si="67"/>
        <v>Correct</v>
      </c>
      <c r="AI249" s="5"/>
      <c r="AJ249" s="120" t="str">
        <f>IFERROR(VLOOKUP(Table1[RespondentID],'All Data'!$A$3:$CO$999,87,FALSE),"unknown")</f>
        <v>Man</v>
      </c>
      <c r="AK249" s="120">
        <f>IFERROR(VLOOKUP(Table1[RespondentID],'All Data'!$A$3:$CO$999,88,FALSE),"unknown")</f>
        <v>69</v>
      </c>
      <c r="AL249" s="120">
        <f>IFERROR(VLOOKUP(Table1[RespondentID],'All Data'!$A$3:$CO$999,89,FALSE),"unknown")</f>
        <v>0</v>
      </c>
      <c r="AM249" s="120">
        <f>IFERROR(VLOOKUP(Table1[RespondentID],'All Data'!$A$3:$CO$999,90,FALSE),"unknown")</f>
        <v>0</v>
      </c>
      <c r="AN249" s="120">
        <f>IFERROR(VLOOKUP(Table1[RespondentID],'All Data'!$A$3:$CO$999,91,FALSE),"unknown")</f>
        <v>0</v>
      </c>
      <c r="AO249" s="120">
        <f>IFERROR(VLOOKUP(Table1[RespondentID],'All Data'!$A$3:$CO$999,92,FALSE),"unknown")</f>
        <v>0</v>
      </c>
      <c r="AP249" s="120">
        <f>IFERROR(VLOOKUP(Table1[RespondentID],'All Data'!$A$3:$CO$999,93,FALSE),"unknown")</f>
        <v>0</v>
      </c>
      <c r="AQ249" s="120">
        <f>IFERROR(VLOOKUP(Table1[RespondentID],'All Data'!$A$3:$CW$999,94,FALSE),"unknown")</f>
        <v>0</v>
      </c>
      <c r="AR249" s="120">
        <f>IFERROR(VLOOKUP(Table1[RespondentID],'All Data'!$A$3:$CW$999,95,FALSE),"unknown")</f>
        <v>0</v>
      </c>
      <c r="AS249" s="120">
        <f>IFERROR(VLOOKUP(Table1[RespondentID],'All Data'!$A$3:$CW$999,96,FALSE),"unknown")</f>
        <v>0</v>
      </c>
      <c r="AT249" s="120">
        <f>IFERROR(VLOOKUP(Table1[RespondentID],'All Data'!$A$3:$CW$999,97,FALSE),"unknown")</f>
        <v>0</v>
      </c>
      <c r="AU249" s="120">
        <f>IFERROR(VLOOKUP(Table1[RespondentID],'All Data'!$A$3:$CW$999,98,FALSE),"unknown")</f>
        <v>0</v>
      </c>
      <c r="AV249" s="120">
        <f>IFERROR(VLOOKUP(Table1[RespondentID],'All Data'!$A$3:$CW$999,99,FALSE),"unknown")</f>
        <v>0</v>
      </c>
    </row>
    <row r="250" spans="1:48">
      <c r="A250" s="5">
        <v>18019096349</v>
      </c>
      <c r="B250" s="5"/>
      <c r="C250" s="5" t="s">
        <v>39</v>
      </c>
      <c r="D250" s="5" t="s">
        <v>40</v>
      </c>
      <c r="E250" s="5" t="s">
        <v>41</v>
      </c>
      <c r="F250" s="5"/>
      <c r="G250" s="5"/>
      <c r="H250" s="5"/>
      <c r="I250" s="5"/>
      <c r="J250" s="5"/>
      <c r="K250" s="5"/>
      <c r="L250" s="5"/>
      <c r="M250" s="5"/>
      <c r="N250" s="5"/>
      <c r="O250" s="5">
        <f t="shared" si="51"/>
        <v>3</v>
      </c>
      <c r="P250" s="5">
        <f t="shared" si="52"/>
        <v>1</v>
      </c>
      <c r="Q250" s="5"/>
      <c r="R250" s="5">
        <f t="shared" si="53"/>
        <v>0</v>
      </c>
      <c r="S250" s="5">
        <f t="shared" si="54"/>
        <v>1</v>
      </c>
      <c r="T250" s="5">
        <f t="shared" si="55"/>
        <v>1</v>
      </c>
      <c r="U250" s="5">
        <f t="shared" si="56"/>
        <v>1</v>
      </c>
      <c r="V250" s="5">
        <f t="shared" si="57"/>
        <v>0</v>
      </c>
      <c r="W250" s="5">
        <f t="shared" si="58"/>
        <v>0</v>
      </c>
      <c r="X250" s="5">
        <f t="shared" si="59"/>
        <v>0</v>
      </c>
      <c r="Y250" s="5">
        <f t="shared" si="60"/>
        <v>0</v>
      </c>
      <c r="Z250" s="5">
        <f t="shared" si="61"/>
        <v>0</v>
      </c>
      <c r="AA250" s="5">
        <f t="shared" si="62"/>
        <v>0</v>
      </c>
      <c r="AB250" s="5">
        <f t="shared" si="63"/>
        <v>0</v>
      </c>
      <c r="AC250" s="5">
        <f t="shared" si="64"/>
        <v>0</v>
      </c>
      <c r="AD250" s="5"/>
      <c r="AE250" s="5"/>
      <c r="AF250" s="5">
        <f t="shared" si="65"/>
        <v>3</v>
      </c>
      <c r="AG250" s="5">
        <f t="shared" si="66"/>
        <v>3</v>
      </c>
      <c r="AH250" s="5" t="str">
        <f t="shared" si="67"/>
        <v>Correct</v>
      </c>
      <c r="AI250" s="5"/>
      <c r="AJ250" s="120" t="str">
        <f>IFERROR(VLOOKUP(Table1[RespondentID],'All Data'!$A$3:$CO$999,87,FALSE),"unknown")</f>
        <v>Woman</v>
      </c>
      <c r="AK250" s="120">
        <f>IFERROR(VLOOKUP(Table1[RespondentID],'All Data'!$A$3:$CO$999,88,FALSE),"unknown")</f>
        <v>58</v>
      </c>
      <c r="AL250" s="120" t="str">
        <f>IFERROR(VLOOKUP(Table1[RespondentID],'All Data'!$A$3:$CO$999,89,FALSE),"unknown")</f>
        <v>Suffolk</v>
      </c>
      <c r="AM250" s="120" t="str">
        <f>IFERROR(VLOOKUP(Table1[RespondentID],'All Data'!$A$3:$CO$999,90,FALSE),"unknown")</f>
        <v>West Babylon, 11704</v>
      </c>
      <c r="AN250" s="120" t="str">
        <f>IFERROR(VLOOKUP(Table1[RespondentID],'All Data'!$A$3:$CO$999,91,FALSE),"unknown")</f>
        <v>White</v>
      </c>
      <c r="AO250" s="120">
        <f>IFERROR(VLOOKUP(Table1[RespondentID],'All Data'!$A$3:$CO$999,92,FALSE),"unknown")</f>
        <v>0</v>
      </c>
      <c r="AP250" s="120" t="str">
        <f>IFERROR(VLOOKUP(Table1[RespondentID],'All Data'!$A$3:$CO$999,93,FALSE),"unknown")</f>
        <v>English</v>
      </c>
      <c r="AQ250" s="120" t="str">
        <f>IFERROR(VLOOKUP(Table1[RespondentID],'All Data'!$A$3:$CW$999,94,FALSE),"unknown")</f>
        <v>Over $125,000</v>
      </c>
      <c r="AR250" s="120" t="str">
        <f>IFERROR(VLOOKUP(Table1[RespondentID],'All Data'!$A$3:$CW$999,95,FALSE),"unknown")</f>
        <v>Some college</v>
      </c>
      <c r="AS250" s="120" t="str">
        <f>IFERROR(VLOOKUP(Table1[RespondentID],'All Data'!$A$3:$CW$999,96,FALSE),"unknown")</f>
        <v>Employed for wages</v>
      </c>
      <c r="AT250" s="120" t="str">
        <f>IFERROR(VLOOKUP(Table1[RespondentID],'All Data'!$A$3:$CW$999,97,FALSE),"unknown")</f>
        <v>Yes</v>
      </c>
      <c r="AU250" s="120">
        <f>IFERROR(VLOOKUP(Table1[RespondentID],'All Data'!$A$3:$CW$999,98,FALSE),"unknown")</f>
        <v>0</v>
      </c>
      <c r="AV250" s="120">
        <f>IFERROR(VLOOKUP(Table1[RespondentID],'All Data'!$A$3:$CW$999,99,FALSE),"unknown")</f>
        <v>0</v>
      </c>
    </row>
    <row r="251" spans="1:48">
      <c r="A251" s="5">
        <v>18019096113</v>
      </c>
      <c r="B251" s="5"/>
      <c r="C251" s="5" t="s">
        <v>39</v>
      </c>
      <c r="D251" s="5"/>
      <c r="E251" s="5" t="s">
        <v>41</v>
      </c>
      <c r="F251" s="5"/>
      <c r="G251" s="5"/>
      <c r="H251" s="5" t="s">
        <v>43</v>
      </c>
      <c r="I251" s="5"/>
      <c r="J251" s="5" t="s">
        <v>45</v>
      </c>
      <c r="K251" s="5"/>
      <c r="L251" s="5"/>
      <c r="M251" s="5"/>
      <c r="N251" s="5"/>
      <c r="O251" s="5">
        <f t="shared" si="51"/>
        <v>4</v>
      </c>
      <c r="P251" s="5">
        <f t="shared" si="52"/>
        <v>0.75</v>
      </c>
      <c r="Q251" s="5"/>
      <c r="R251" s="5">
        <f t="shared" si="53"/>
        <v>0</v>
      </c>
      <c r="S251" s="5">
        <f t="shared" si="54"/>
        <v>0.75</v>
      </c>
      <c r="T251" s="5">
        <f t="shared" si="55"/>
        <v>0</v>
      </c>
      <c r="U251" s="5">
        <f t="shared" si="56"/>
        <v>0.75</v>
      </c>
      <c r="V251" s="5">
        <f t="shared" si="57"/>
        <v>0</v>
      </c>
      <c r="W251" s="5">
        <f t="shared" si="58"/>
        <v>0</v>
      </c>
      <c r="X251" s="5">
        <f t="shared" si="59"/>
        <v>0.75</v>
      </c>
      <c r="Y251" s="5">
        <f t="shared" si="60"/>
        <v>0</v>
      </c>
      <c r="Z251" s="5">
        <f t="shared" si="61"/>
        <v>0.75</v>
      </c>
      <c r="AA251" s="5">
        <f t="shared" si="62"/>
        <v>0</v>
      </c>
      <c r="AB251" s="5">
        <f t="shared" si="63"/>
        <v>0</v>
      </c>
      <c r="AC251" s="5">
        <f t="shared" si="64"/>
        <v>0</v>
      </c>
      <c r="AD251" s="5"/>
      <c r="AE251" s="5"/>
      <c r="AF251" s="5">
        <f t="shared" si="65"/>
        <v>3</v>
      </c>
      <c r="AG251" s="5">
        <f t="shared" si="66"/>
        <v>4</v>
      </c>
      <c r="AH251" s="5" t="str">
        <f t="shared" si="67"/>
        <v>Correct</v>
      </c>
      <c r="AI251" s="5"/>
      <c r="AJ251" s="120" t="str">
        <f>IFERROR(VLOOKUP(Table1[RespondentID],'All Data'!$A$3:$CO$999,87,FALSE),"unknown")</f>
        <v>Man</v>
      </c>
      <c r="AK251" s="120">
        <f>IFERROR(VLOOKUP(Table1[RespondentID],'All Data'!$A$3:$CO$999,88,FALSE),"unknown")</f>
        <v>56</v>
      </c>
      <c r="AL251" s="120" t="str">
        <f>IFERROR(VLOOKUP(Table1[RespondentID],'All Data'!$A$3:$CO$999,89,FALSE),"unknown")</f>
        <v>Suffolk</v>
      </c>
      <c r="AM251" s="120" t="str">
        <f>IFERROR(VLOOKUP(Table1[RespondentID],'All Data'!$A$3:$CO$999,90,FALSE),"unknown")</f>
        <v>West Babylon, 11704</v>
      </c>
      <c r="AN251" s="120" t="str">
        <f>IFERROR(VLOOKUP(Table1[RespondentID],'All Data'!$A$3:$CO$999,91,FALSE),"unknown")</f>
        <v>White</v>
      </c>
      <c r="AO251" s="120" t="str">
        <f>IFERROR(VLOOKUP(Table1[RespondentID],'All Data'!$A$3:$CO$999,92,FALSE),"unknown")</f>
        <v>Hispanic or Latino</v>
      </c>
      <c r="AP251" s="120" t="str">
        <f>IFERROR(VLOOKUP(Table1[RespondentID],'All Data'!$A$3:$CO$999,93,FALSE),"unknown")</f>
        <v>English</v>
      </c>
      <c r="AQ251" s="120" t="str">
        <f>IFERROR(VLOOKUP(Table1[RespondentID],'All Data'!$A$3:$CW$999,94,FALSE),"unknown")</f>
        <v>Over $125,000</v>
      </c>
      <c r="AR251" s="120" t="str">
        <f>IFERROR(VLOOKUP(Table1[RespondentID],'All Data'!$A$3:$CW$999,95,FALSE),"unknown")</f>
        <v>Some college</v>
      </c>
      <c r="AS251" s="120" t="str">
        <f>IFERROR(VLOOKUP(Table1[RespondentID],'All Data'!$A$3:$CW$999,96,FALSE),"unknown")</f>
        <v>Employed for wages</v>
      </c>
      <c r="AT251" s="120" t="str">
        <f>IFERROR(VLOOKUP(Table1[RespondentID],'All Data'!$A$3:$CW$999,97,FALSE),"unknown")</f>
        <v>Yes</v>
      </c>
      <c r="AU251" s="120">
        <f>IFERROR(VLOOKUP(Table1[RespondentID],'All Data'!$A$3:$CW$999,98,FALSE),"unknown")</f>
        <v>0</v>
      </c>
      <c r="AV251" s="120">
        <f>IFERROR(VLOOKUP(Table1[RespondentID],'All Data'!$A$3:$CW$999,99,FALSE),"unknown")</f>
        <v>0</v>
      </c>
    </row>
    <row r="252" spans="1:48">
      <c r="A252" s="5">
        <v>18019095931</v>
      </c>
      <c r="B252" s="5"/>
      <c r="C252" s="5" t="s">
        <v>39</v>
      </c>
      <c r="D252" s="5"/>
      <c r="E252" s="5"/>
      <c r="F252" s="5" t="s">
        <v>42</v>
      </c>
      <c r="G252" s="5"/>
      <c r="H252" s="5" t="s">
        <v>43</v>
      </c>
      <c r="I252" s="5"/>
      <c r="J252" s="5"/>
      <c r="K252" s="5"/>
      <c r="L252" s="5"/>
      <c r="M252" s="5"/>
      <c r="N252" s="5"/>
      <c r="O252" s="5">
        <f t="shared" si="51"/>
        <v>3</v>
      </c>
      <c r="P252" s="5">
        <f t="shared" si="52"/>
        <v>1</v>
      </c>
      <c r="Q252" s="5"/>
      <c r="R252" s="5">
        <f t="shared" si="53"/>
        <v>0</v>
      </c>
      <c r="S252" s="5">
        <f t="shared" si="54"/>
        <v>1</v>
      </c>
      <c r="T252" s="5">
        <f t="shared" si="55"/>
        <v>0</v>
      </c>
      <c r="U252" s="5">
        <f t="shared" si="56"/>
        <v>0</v>
      </c>
      <c r="V252" s="5">
        <f t="shared" si="57"/>
        <v>1</v>
      </c>
      <c r="W252" s="5">
        <f t="shared" si="58"/>
        <v>0</v>
      </c>
      <c r="X252" s="5">
        <f t="shared" si="59"/>
        <v>1</v>
      </c>
      <c r="Y252" s="5">
        <f t="shared" si="60"/>
        <v>0</v>
      </c>
      <c r="Z252" s="5">
        <f t="shared" si="61"/>
        <v>0</v>
      </c>
      <c r="AA252" s="5">
        <f t="shared" si="62"/>
        <v>0</v>
      </c>
      <c r="AB252" s="5">
        <f t="shared" si="63"/>
        <v>0</v>
      </c>
      <c r="AC252" s="5">
        <f t="shared" si="64"/>
        <v>0</v>
      </c>
      <c r="AD252" s="5"/>
      <c r="AE252" s="5"/>
      <c r="AF252" s="5">
        <f t="shared" si="65"/>
        <v>3</v>
      </c>
      <c r="AG252" s="5">
        <f t="shared" si="66"/>
        <v>3</v>
      </c>
      <c r="AH252" s="5" t="str">
        <f t="shared" si="67"/>
        <v>Correct</v>
      </c>
      <c r="AI252" s="5"/>
      <c r="AJ252" s="120" t="str">
        <f>IFERROR(VLOOKUP(Table1[RespondentID],'All Data'!$A$3:$CO$999,87,FALSE),"unknown")</f>
        <v>Man</v>
      </c>
      <c r="AK252" s="120">
        <f>IFERROR(VLOOKUP(Table1[RespondentID],'All Data'!$A$3:$CO$999,88,FALSE),"unknown")</f>
        <v>43</v>
      </c>
      <c r="AL252" s="120" t="str">
        <f>IFERROR(VLOOKUP(Table1[RespondentID],'All Data'!$A$3:$CO$999,89,FALSE),"unknown")</f>
        <v>Suffolk</v>
      </c>
      <c r="AM252" s="120" t="str">
        <f>IFERROR(VLOOKUP(Table1[RespondentID],'All Data'!$A$3:$CO$999,90,FALSE),"unknown")</f>
        <v>Commack, 11725</v>
      </c>
      <c r="AN252" s="120" t="str">
        <f>IFERROR(VLOOKUP(Table1[RespondentID],'All Data'!$A$3:$CO$999,91,FALSE),"unknown")</f>
        <v>White</v>
      </c>
      <c r="AO252" s="120" t="str">
        <f>IFERROR(VLOOKUP(Table1[RespondentID],'All Data'!$A$3:$CO$999,92,FALSE),"unknown")</f>
        <v>Hispanic or Latino</v>
      </c>
      <c r="AP252" s="120" t="str">
        <f>IFERROR(VLOOKUP(Table1[RespondentID],'All Data'!$A$3:$CO$999,93,FALSE),"unknown")</f>
        <v>English</v>
      </c>
      <c r="AQ252" s="120" t="str">
        <f>IFERROR(VLOOKUP(Table1[RespondentID],'All Data'!$A$3:$CW$999,94,FALSE),"unknown")</f>
        <v>Over $125,000</v>
      </c>
      <c r="AR252" s="120" t="str">
        <f>IFERROR(VLOOKUP(Table1[RespondentID],'All Data'!$A$3:$CW$999,95,FALSE),"unknown")</f>
        <v>Graduate school</v>
      </c>
      <c r="AS252" s="120" t="str">
        <f>IFERROR(VLOOKUP(Table1[RespondentID],'All Data'!$A$3:$CW$999,96,FALSE),"unknown")</f>
        <v>Self-employed</v>
      </c>
      <c r="AT252" s="120" t="str">
        <f>IFERROR(VLOOKUP(Table1[RespondentID],'All Data'!$A$3:$CW$999,97,FALSE),"unknown")</f>
        <v>Yes</v>
      </c>
      <c r="AU252" s="120">
        <f>IFERROR(VLOOKUP(Table1[RespondentID],'All Data'!$A$3:$CW$999,98,FALSE),"unknown")</f>
        <v>0</v>
      </c>
      <c r="AV252" s="120">
        <f>IFERROR(VLOOKUP(Table1[RespondentID],'All Data'!$A$3:$CW$999,99,FALSE),"unknown")</f>
        <v>0</v>
      </c>
    </row>
    <row r="253" spans="1:48">
      <c r="A253" s="5">
        <v>18019095788</v>
      </c>
      <c r="B253" s="5" t="s">
        <v>38</v>
      </c>
      <c r="C253" s="5" t="s">
        <v>39</v>
      </c>
      <c r="D253" s="5"/>
      <c r="E253" s="5" t="s">
        <v>41</v>
      </c>
      <c r="F253" s="5"/>
      <c r="G253" s="5"/>
      <c r="H253" s="5"/>
      <c r="I253" s="5"/>
      <c r="J253" s="5"/>
      <c r="K253" s="5"/>
      <c r="L253" s="5"/>
      <c r="M253" s="5"/>
      <c r="N253" s="5"/>
      <c r="O253" s="5">
        <f t="shared" si="51"/>
        <v>3</v>
      </c>
      <c r="P253" s="5">
        <f t="shared" si="52"/>
        <v>1</v>
      </c>
      <c r="Q253" s="5"/>
      <c r="R253" s="5">
        <f t="shared" si="53"/>
        <v>1</v>
      </c>
      <c r="S253" s="5">
        <f t="shared" si="54"/>
        <v>1</v>
      </c>
      <c r="T253" s="5">
        <f t="shared" si="55"/>
        <v>0</v>
      </c>
      <c r="U253" s="5">
        <f t="shared" si="56"/>
        <v>1</v>
      </c>
      <c r="V253" s="5">
        <f t="shared" si="57"/>
        <v>0</v>
      </c>
      <c r="W253" s="5">
        <f t="shared" si="58"/>
        <v>0</v>
      </c>
      <c r="X253" s="5">
        <f t="shared" si="59"/>
        <v>0</v>
      </c>
      <c r="Y253" s="5">
        <f t="shared" si="60"/>
        <v>0</v>
      </c>
      <c r="Z253" s="5">
        <f t="shared" si="61"/>
        <v>0</v>
      </c>
      <c r="AA253" s="5">
        <f t="shared" si="62"/>
        <v>0</v>
      </c>
      <c r="AB253" s="5">
        <f t="shared" si="63"/>
        <v>0</v>
      </c>
      <c r="AC253" s="5">
        <f t="shared" si="64"/>
        <v>0</v>
      </c>
      <c r="AD253" s="5"/>
      <c r="AE253" s="5"/>
      <c r="AF253" s="5">
        <f t="shared" si="65"/>
        <v>3</v>
      </c>
      <c r="AG253" s="5">
        <f t="shared" si="66"/>
        <v>3</v>
      </c>
      <c r="AH253" s="5" t="str">
        <f t="shared" si="67"/>
        <v>Correct</v>
      </c>
      <c r="AI253" s="5"/>
      <c r="AJ253" s="120" t="str">
        <f>IFERROR(VLOOKUP(Table1[RespondentID],'All Data'!$A$3:$CO$999,87,FALSE),"unknown")</f>
        <v>Woman</v>
      </c>
      <c r="AK253" s="120">
        <f>IFERROR(VLOOKUP(Table1[RespondentID],'All Data'!$A$3:$CO$999,88,FALSE),"unknown")</f>
        <v>48</v>
      </c>
      <c r="AL253" s="120" t="str">
        <f>IFERROR(VLOOKUP(Table1[RespondentID],'All Data'!$A$3:$CO$999,89,FALSE),"unknown")</f>
        <v>Suffolk</v>
      </c>
      <c r="AM253" s="120" t="str">
        <f>IFERROR(VLOOKUP(Table1[RespondentID],'All Data'!$A$3:$CO$999,90,FALSE),"unknown")</f>
        <v>Commack, 11725</v>
      </c>
      <c r="AN253" s="120" t="str">
        <f>IFERROR(VLOOKUP(Table1[RespondentID],'All Data'!$A$3:$CO$999,91,FALSE),"unknown")</f>
        <v>White</v>
      </c>
      <c r="AO253" s="120" t="str">
        <f>IFERROR(VLOOKUP(Table1[RespondentID],'All Data'!$A$3:$CO$999,92,FALSE),"unknown")</f>
        <v>Hispanic or Latino</v>
      </c>
      <c r="AP253" s="120" t="str">
        <f>IFERROR(VLOOKUP(Table1[RespondentID],'All Data'!$A$3:$CO$999,93,FALSE),"unknown")</f>
        <v>English</v>
      </c>
      <c r="AQ253" s="120" t="str">
        <f>IFERROR(VLOOKUP(Table1[RespondentID],'All Data'!$A$3:$CW$999,94,FALSE),"unknown")</f>
        <v>Over $125,000</v>
      </c>
      <c r="AR253" s="120" t="str">
        <f>IFERROR(VLOOKUP(Table1[RespondentID],'All Data'!$A$3:$CW$999,95,FALSE),"unknown")</f>
        <v>Some college</v>
      </c>
      <c r="AS253" s="120" t="str">
        <f>IFERROR(VLOOKUP(Table1[RespondentID],'All Data'!$A$3:$CW$999,96,FALSE),"unknown")</f>
        <v>Employed for wages</v>
      </c>
      <c r="AT253" s="120" t="str">
        <f>IFERROR(VLOOKUP(Table1[RespondentID],'All Data'!$A$3:$CW$999,97,FALSE),"unknown")</f>
        <v>Yes</v>
      </c>
      <c r="AU253" s="120">
        <f>IFERROR(VLOOKUP(Table1[RespondentID],'All Data'!$A$3:$CW$999,98,FALSE),"unknown")</f>
        <v>0</v>
      </c>
      <c r="AV253" s="120">
        <f>IFERROR(VLOOKUP(Table1[RespondentID],'All Data'!$A$3:$CW$999,99,FALSE),"unknown")</f>
        <v>0</v>
      </c>
    </row>
    <row r="254" spans="1:48">
      <c r="A254" s="5">
        <v>18019095658</v>
      </c>
      <c r="B254" s="5"/>
      <c r="C254" s="5" t="s">
        <v>39</v>
      </c>
      <c r="D254" s="5"/>
      <c r="E254" s="5" t="s">
        <v>41</v>
      </c>
      <c r="F254" s="5"/>
      <c r="G254" s="5"/>
      <c r="H254" s="5" t="s">
        <v>43</v>
      </c>
      <c r="I254" s="5"/>
      <c r="J254" s="5"/>
      <c r="K254" s="5"/>
      <c r="L254" s="5"/>
      <c r="M254" s="5"/>
      <c r="N254" s="5"/>
      <c r="O254" s="5">
        <f t="shared" si="51"/>
        <v>3</v>
      </c>
      <c r="P254" s="5">
        <f t="shared" si="52"/>
        <v>1</v>
      </c>
      <c r="Q254" s="5"/>
      <c r="R254" s="5">
        <f t="shared" si="53"/>
        <v>0</v>
      </c>
      <c r="S254" s="5">
        <f t="shared" si="54"/>
        <v>1</v>
      </c>
      <c r="T254" s="5">
        <f t="shared" si="55"/>
        <v>0</v>
      </c>
      <c r="U254" s="5">
        <f t="shared" si="56"/>
        <v>1</v>
      </c>
      <c r="V254" s="5">
        <f t="shared" si="57"/>
        <v>0</v>
      </c>
      <c r="W254" s="5">
        <f t="shared" si="58"/>
        <v>0</v>
      </c>
      <c r="X254" s="5">
        <f t="shared" si="59"/>
        <v>1</v>
      </c>
      <c r="Y254" s="5">
        <f t="shared" si="60"/>
        <v>0</v>
      </c>
      <c r="Z254" s="5">
        <f t="shared" si="61"/>
        <v>0</v>
      </c>
      <c r="AA254" s="5">
        <f t="shared" si="62"/>
        <v>0</v>
      </c>
      <c r="AB254" s="5">
        <f t="shared" si="63"/>
        <v>0</v>
      </c>
      <c r="AC254" s="5">
        <f t="shared" si="64"/>
        <v>0</v>
      </c>
      <c r="AD254" s="5"/>
      <c r="AE254" s="5"/>
      <c r="AF254" s="5">
        <f t="shared" si="65"/>
        <v>3</v>
      </c>
      <c r="AG254" s="5">
        <f t="shared" si="66"/>
        <v>3</v>
      </c>
      <c r="AH254" s="5" t="str">
        <f t="shared" si="67"/>
        <v>Correct</v>
      </c>
      <c r="AI254" s="5"/>
      <c r="AJ254" s="120" t="str">
        <f>IFERROR(VLOOKUP(Table1[RespondentID],'All Data'!$A$3:$CO$999,87,FALSE),"unknown")</f>
        <v>Man</v>
      </c>
      <c r="AK254" s="120">
        <f>IFERROR(VLOOKUP(Table1[RespondentID],'All Data'!$A$3:$CO$999,88,FALSE),"unknown")</f>
        <v>49</v>
      </c>
      <c r="AL254" s="120" t="str">
        <f>IFERROR(VLOOKUP(Table1[RespondentID],'All Data'!$A$3:$CO$999,89,FALSE),"unknown")</f>
        <v>Suffolk</v>
      </c>
      <c r="AM254" s="120" t="str">
        <f>IFERROR(VLOOKUP(Table1[RespondentID],'All Data'!$A$3:$CO$999,90,FALSE),"unknown")</f>
        <v>West Islip, 11795</v>
      </c>
      <c r="AN254" s="120" t="str">
        <f>IFERROR(VLOOKUP(Table1[RespondentID],'All Data'!$A$3:$CO$999,91,FALSE),"unknown")</f>
        <v>White</v>
      </c>
      <c r="AO254" s="120" t="str">
        <f>IFERROR(VLOOKUP(Table1[RespondentID],'All Data'!$A$3:$CO$999,92,FALSE),"unknown")</f>
        <v>Hispanic or Latino</v>
      </c>
      <c r="AP254" s="120" t="str">
        <f>IFERROR(VLOOKUP(Table1[RespondentID],'All Data'!$A$3:$CO$999,93,FALSE),"unknown")</f>
        <v>English</v>
      </c>
      <c r="AQ254" s="120" t="str">
        <f>IFERROR(VLOOKUP(Table1[RespondentID],'All Data'!$A$3:$CW$999,94,FALSE),"unknown")</f>
        <v>Over $125,000</v>
      </c>
      <c r="AR254" s="120" t="str">
        <f>IFERROR(VLOOKUP(Table1[RespondentID],'All Data'!$A$3:$CW$999,95,FALSE),"unknown")</f>
        <v>College graduate</v>
      </c>
      <c r="AS254" s="120" t="str">
        <f>IFERROR(VLOOKUP(Table1[RespondentID],'All Data'!$A$3:$CW$999,96,FALSE),"unknown")</f>
        <v>Employed for wages</v>
      </c>
      <c r="AT254" s="120" t="str">
        <f>IFERROR(VLOOKUP(Table1[RespondentID],'All Data'!$A$3:$CW$999,97,FALSE),"unknown")</f>
        <v>Yes</v>
      </c>
      <c r="AU254" s="120">
        <f>IFERROR(VLOOKUP(Table1[RespondentID],'All Data'!$A$3:$CW$999,98,FALSE),"unknown")</f>
        <v>0</v>
      </c>
      <c r="AV254" s="120">
        <f>IFERROR(VLOOKUP(Table1[RespondentID],'All Data'!$A$3:$CW$999,99,FALSE),"unknown")</f>
        <v>0</v>
      </c>
    </row>
    <row r="255" spans="1:48">
      <c r="A255" s="5">
        <v>18019095504</v>
      </c>
      <c r="B255" s="5"/>
      <c r="C255" s="5" t="s">
        <v>39</v>
      </c>
      <c r="D255" s="5" t="s">
        <v>40</v>
      </c>
      <c r="E255" s="5"/>
      <c r="F255" s="5"/>
      <c r="G255" s="5"/>
      <c r="H255" s="5"/>
      <c r="I255" s="5" t="s">
        <v>44</v>
      </c>
      <c r="J255" s="5" t="s">
        <v>45</v>
      </c>
      <c r="K255" s="5"/>
      <c r="L255" s="5"/>
      <c r="M255" s="5"/>
      <c r="N255" s="5"/>
      <c r="O255" s="5">
        <f t="shared" si="51"/>
        <v>4</v>
      </c>
      <c r="P255" s="5">
        <f t="shared" si="52"/>
        <v>0.75</v>
      </c>
      <c r="Q255" s="5"/>
      <c r="R255" s="5">
        <f t="shared" si="53"/>
        <v>0</v>
      </c>
      <c r="S255" s="5">
        <f t="shared" si="54"/>
        <v>0.75</v>
      </c>
      <c r="T255" s="5">
        <f t="shared" si="55"/>
        <v>0.75</v>
      </c>
      <c r="U255" s="5">
        <f t="shared" si="56"/>
        <v>0</v>
      </c>
      <c r="V255" s="5">
        <f t="shared" si="57"/>
        <v>0</v>
      </c>
      <c r="W255" s="5">
        <f t="shared" si="58"/>
        <v>0</v>
      </c>
      <c r="X255" s="5">
        <f t="shared" si="59"/>
        <v>0</v>
      </c>
      <c r="Y255" s="5">
        <f t="shared" si="60"/>
        <v>0.75</v>
      </c>
      <c r="Z255" s="5">
        <f t="shared" si="61"/>
        <v>0.75</v>
      </c>
      <c r="AA255" s="5">
        <f t="shared" si="62"/>
        <v>0</v>
      </c>
      <c r="AB255" s="5">
        <f t="shared" si="63"/>
        <v>0</v>
      </c>
      <c r="AC255" s="5">
        <f t="shared" si="64"/>
        <v>0</v>
      </c>
      <c r="AD255" s="5"/>
      <c r="AE255" s="5"/>
      <c r="AF255" s="5">
        <f t="shared" si="65"/>
        <v>3</v>
      </c>
      <c r="AG255" s="5">
        <f t="shared" si="66"/>
        <v>4</v>
      </c>
      <c r="AH255" s="5" t="str">
        <f t="shared" si="67"/>
        <v>Correct</v>
      </c>
      <c r="AI255" s="5"/>
      <c r="AJ255" s="120" t="str">
        <f>IFERROR(VLOOKUP(Table1[RespondentID],'All Data'!$A$3:$CO$999,87,FALSE),"unknown")</f>
        <v>Woman</v>
      </c>
      <c r="AK255" s="120">
        <f>IFERROR(VLOOKUP(Table1[RespondentID],'All Data'!$A$3:$CO$999,88,FALSE),"unknown")</f>
        <v>49</v>
      </c>
      <c r="AL255" s="120" t="str">
        <f>IFERROR(VLOOKUP(Table1[RespondentID],'All Data'!$A$3:$CO$999,89,FALSE),"unknown")</f>
        <v>Suffolk</v>
      </c>
      <c r="AM255" s="120" t="str">
        <f>IFERROR(VLOOKUP(Table1[RespondentID],'All Data'!$A$3:$CO$999,90,FALSE),"unknown")</f>
        <v>Coram, 11727</v>
      </c>
      <c r="AN255" s="120" t="str">
        <f>IFERROR(VLOOKUP(Table1[RespondentID],'All Data'!$A$3:$CO$999,91,FALSE),"unknown")</f>
        <v>White</v>
      </c>
      <c r="AO255" s="120">
        <f>IFERROR(VLOOKUP(Table1[RespondentID],'All Data'!$A$3:$CO$999,92,FALSE),"unknown")</f>
        <v>0</v>
      </c>
      <c r="AP255" s="120" t="str">
        <f>IFERROR(VLOOKUP(Table1[RespondentID],'All Data'!$A$3:$CO$999,93,FALSE),"unknown")</f>
        <v>English</v>
      </c>
      <c r="AQ255" s="120" t="str">
        <f>IFERROR(VLOOKUP(Table1[RespondentID],'All Data'!$A$3:$CW$999,94,FALSE),"unknown")</f>
        <v>$75,000 to $125,000</v>
      </c>
      <c r="AR255" s="120" t="str">
        <f>IFERROR(VLOOKUP(Table1[RespondentID],'All Data'!$A$3:$CW$999,95,FALSE),"unknown")</f>
        <v>College graduate</v>
      </c>
      <c r="AS255" s="120" t="str">
        <f>IFERROR(VLOOKUP(Table1[RespondentID],'All Data'!$A$3:$CW$999,96,FALSE),"unknown")</f>
        <v>Employed for wages</v>
      </c>
      <c r="AT255" s="120" t="str">
        <f>IFERROR(VLOOKUP(Table1[RespondentID],'All Data'!$A$3:$CW$999,97,FALSE),"unknown")</f>
        <v>Yes</v>
      </c>
      <c r="AU255" s="120">
        <f>IFERROR(VLOOKUP(Table1[RespondentID],'All Data'!$A$3:$CW$999,98,FALSE),"unknown")</f>
        <v>0</v>
      </c>
      <c r="AV255" s="120">
        <f>IFERROR(VLOOKUP(Table1[RespondentID],'All Data'!$A$3:$CW$999,99,FALSE),"unknown")</f>
        <v>0</v>
      </c>
    </row>
    <row r="256" spans="1:48">
      <c r="A256" s="5">
        <v>18019095328</v>
      </c>
      <c r="B256" s="5"/>
      <c r="C256" s="5" t="s">
        <v>39</v>
      </c>
      <c r="D256" s="5" t="s">
        <v>40</v>
      </c>
      <c r="E256" s="5"/>
      <c r="F256" s="5"/>
      <c r="G256" s="5"/>
      <c r="H256" s="5" t="s">
        <v>43</v>
      </c>
      <c r="I256" s="5"/>
      <c r="J256" s="5"/>
      <c r="K256" s="5"/>
      <c r="L256" s="5"/>
      <c r="M256" s="5"/>
      <c r="N256" s="5"/>
      <c r="O256" s="5">
        <f t="shared" si="51"/>
        <v>3</v>
      </c>
      <c r="P256" s="5">
        <f t="shared" si="52"/>
        <v>1</v>
      </c>
      <c r="Q256" s="5"/>
      <c r="R256" s="5">
        <f t="shared" si="53"/>
        <v>0</v>
      </c>
      <c r="S256" s="5">
        <f t="shared" si="54"/>
        <v>1</v>
      </c>
      <c r="T256" s="5">
        <f t="shared" si="55"/>
        <v>1</v>
      </c>
      <c r="U256" s="5">
        <f t="shared" si="56"/>
        <v>0</v>
      </c>
      <c r="V256" s="5">
        <f t="shared" si="57"/>
        <v>0</v>
      </c>
      <c r="W256" s="5">
        <f t="shared" si="58"/>
        <v>0</v>
      </c>
      <c r="X256" s="5">
        <f t="shared" si="59"/>
        <v>1</v>
      </c>
      <c r="Y256" s="5">
        <f t="shared" si="60"/>
        <v>0</v>
      </c>
      <c r="Z256" s="5">
        <f t="shared" si="61"/>
        <v>0</v>
      </c>
      <c r="AA256" s="5">
        <f t="shared" si="62"/>
        <v>0</v>
      </c>
      <c r="AB256" s="5">
        <f t="shared" si="63"/>
        <v>0</v>
      </c>
      <c r="AC256" s="5">
        <f t="shared" si="64"/>
        <v>0</v>
      </c>
      <c r="AD256" s="5"/>
      <c r="AE256" s="5"/>
      <c r="AF256" s="5">
        <f t="shared" si="65"/>
        <v>3</v>
      </c>
      <c r="AG256" s="5">
        <f t="shared" si="66"/>
        <v>3</v>
      </c>
      <c r="AH256" s="5" t="str">
        <f t="shared" si="67"/>
        <v>Correct</v>
      </c>
      <c r="AI256" s="5"/>
      <c r="AJ256" s="120" t="str">
        <f>IFERROR(VLOOKUP(Table1[RespondentID],'All Data'!$A$3:$CO$999,87,FALSE),"unknown")</f>
        <v>Man</v>
      </c>
      <c r="AK256" s="120">
        <f>IFERROR(VLOOKUP(Table1[RespondentID],'All Data'!$A$3:$CO$999,88,FALSE),"unknown")</f>
        <v>48</v>
      </c>
      <c r="AL256" s="120" t="str">
        <f>IFERROR(VLOOKUP(Table1[RespondentID],'All Data'!$A$3:$CO$999,89,FALSE),"unknown")</f>
        <v>Suffolk</v>
      </c>
      <c r="AM256" s="120" t="str">
        <f>IFERROR(VLOOKUP(Table1[RespondentID],'All Data'!$A$3:$CO$999,90,FALSE),"unknown")</f>
        <v>Commack, 11725</v>
      </c>
      <c r="AN256" s="120" t="str">
        <f>IFERROR(VLOOKUP(Table1[RespondentID],'All Data'!$A$3:$CO$999,91,FALSE),"unknown")</f>
        <v>White</v>
      </c>
      <c r="AO256" s="120" t="str">
        <f>IFERROR(VLOOKUP(Table1[RespondentID],'All Data'!$A$3:$CO$999,92,FALSE),"unknown")</f>
        <v>Hispanic or Latino</v>
      </c>
      <c r="AP256" s="120" t="str">
        <f>IFERROR(VLOOKUP(Table1[RespondentID],'All Data'!$A$3:$CO$999,93,FALSE),"unknown")</f>
        <v>English</v>
      </c>
      <c r="AQ256" s="120" t="str">
        <f>IFERROR(VLOOKUP(Table1[RespondentID],'All Data'!$A$3:$CW$999,94,FALSE),"unknown")</f>
        <v>Over $125,000</v>
      </c>
      <c r="AR256" s="120" t="str">
        <f>IFERROR(VLOOKUP(Table1[RespondentID],'All Data'!$A$3:$CW$999,95,FALSE),"unknown")</f>
        <v>College graduate</v>
      </c>
      <c r="AS256" s="120" t="str">
        <f>IFERROR(VLOOKUP(Table1[RespondentID],'All Data'!$A$3:$CW$999,96,FALSE),"unknown")</f>
        <v>Out of work, but not currently looking</v>
      </c>
      <c r="AT256" s="120" t="str">
        <f>IFERROR(VLOOKUP(Table1[RespondentID],'All Data'!$A$3:$CW$999,97,FALSE),"unknown")</f>
        <v>Yes</v>
      </c>
      <c r="AU256" s="120">
        <f>IFERROR(VLOOKUP(Table1[RespondentID],'All Data'!$A$3:$CW$999,98,FALSE),"unknown")</f>
        <v>0</v>
      </c>
      <c r="AV256" s="120">
        <f>IFERROR(VLOOKUP(Table1[RespondentID],'All Data'!$A$3:$CW$999,99,FALSE),"unknown")</f>
        <v>0</v>
      </c>
    </row>
    <row r="257" spans="1:48">
      <c r="A257" s="5">
        <v>18019095130</v>
      </c>
      <c r="B257" s="5"/>
      <c r="C257" s="5"/>
      <c r="D257" s="5" t="s">
        <v>40</v>
      </c>
      <c r="E257" s="5"/>
      <c r="F257" s="5"/>
      <c r="G257" s="5"/>
      <c r="H257" s="5"/>
      <c r="I257" s="5"/>
      <c r="J257" s="5" t="s">
        <v>45</v>
      </c>
      <c r="K257" s="5"/>
      <c r="L257" s="5"/>
      <c r="M257" s="5"/>
      <c r="N257" s="5"/>
      <c r="O257" s="5">
        <f t="shared" si="51"/>
        <v>2</v>
      </c>
      <c r="P257" s="5">
        <f t="shared" si="52"/>
        <v>1.5</v>
      </c>
      <c r="Q257" s="5"/>
      <c r="R257" s="5">
        <f t="shared" si="53"/>
        <v>0</v>
      </c>
      <c r="S257" s="5">
        <f t="shared" si="54"/>
        <v>0</v>
      </c>
      <c r="T257" s="5">
        <f t="shared" si="55"/>
        <v>1</v>
      </c>
      <c r="U257" s="5">
        <f t="shared" si="56"/>
        <v>0</v>
      </c>
      <c r="V257" s="5">
        <f t="shared" si="57"/>
        <v>0</v>
      </c>
      <c r="W257" s="5">
        <f t="shared" si="58"/>
        <v>0</v>
      </c>
      <c r="X257" s="5">
        <f t="shared" si="59"/>
        <v>0</v>
      </c>
      <c r="Y257" s="5">
        <f t="shared" si="60"/>
        <v>0</v>
      </c>
      <c r="Z257" s="5">
        <f t="shared" si="61"/>
        <v>1</v>
      </c>
      <c r="AA257" s="5">
        <f t="shared" si="62"/>
        <v>0</v>
      </c>
      <c r="AB257" s="5">
        <f t="shared" si="63"/>
        <v>0</v>
      </c>
      <c r="AC257" s="5">
        <f t="shared" si="64"/>
        <v>0</v>
      </c>
      <c r="AD257" s="5"/>
      <c r="AE257" s="5"/>
      <c r="AF257" s="5">
        <f t="shared" si="65"/>
        <v>2</v>
      </c>
      <c r="AG257" s="5">
        <f t="shared" si="66"/>
        <v>2</v>
      </c>
      <c r="AH257" s="5" t="str">
        <f t="shared" si="67"/>
        <v>Correct</v>
      </c>
      <c r="AI257" s="5"/>
      <c r="AJ257" s="120" t="str">
        <f>IFERROR(VLOOKUP(Table1[RespondentID],'All Data'!$A$3:$CO$999,87,FALSE),"unknown")</f>
        <v>Woman</v>
      </c>
      <c r="AK257" s="120">
        <f>IFERROR(VLOOKUP(Table1[RespondentID],'All Data'!$A$3:$CO$999,88,FALSE),"unknown")</f>
        <v>50</v>
      </c>
      <c r="AL257" s="120" t="str">
        <f>IFERROR(VLOOKUP(Table1[RespondentID],'All Data'!$A$3:$CO$999,89,FALSE),"unknown")</f>
        <v>Suffolk</v>
      </c>
      <c r="AM257" s="120" t="str">
        <f>IFERROR(VLOOKUP(Table1[RespondentID],'All Data'!$A$3:$CO$999,90,FALSE),"unknown")</f>
        <v>Nesconset, 11767</v>
      </c>
      <c r="AN257" s="120" t="str">
        <f>IFERROR(VLOOKUP(Table1[RespondentID],'All Data'!$A$3:$CO$999,91,FALSE),"unknown")</f>
        <v>White</v>
      </c>
      <c r="AO257" s="120" t="str">
        <f>IFERROR(VLOOKUP(Table1[RespondentID],'All Data'!$A$3:$CO$999,92,FALSE),"unknown")</f>
        <v>Hispanic or Latino</v>
      </c>
      <c r="AP257" s="120" t="str">
        <f>IFERROR(VLOOKUP(Table1[RespondentID],'All Data'!$A$3:$CO$999,93,FALSE),"unknown")</f>
        <v>English</v>
      </c>
      <c r="AQ257" s="120" t="str">
        <f>IFERROR(VLOOKUP(Table1[RespondentID],'All Data'!$A$3:$CW$999,94,FALSE),"unknown")</f>
        <v>$75,000 to $125,000</v>
      </c>
      <c r="AR257" s="120" t="str">
        <f>IFERROR(VLOOKUP(Table1[RespondentID],'All Data'!$A$3:$CW$999,95,FALSE),"unknown")</f>
        <v>High school graduate</v>
      </c>
      <c r="AS257" s="120" t="str">
        <f>IFERROR(VLOOKUP(Table1[RespondentID],'All Data'!$A$3:$CW$999,96,FALSE),"unknown")</f>
        <v>Employed for wages</v>
      </c>
      <c r="AT257" s="120" t="str">
        <f>IFERROR(VLOOKUP(Table1[RespondentID],'All Data'!$A$3:$CW$999,97,FALSE),"unknown")</f>
        <v>Yes</v>
      </c>
      <c r="AU257" s="120">
        <f>IFERROR(VLOOKUP(Table1[RespondentID],'All Data'!$A$3:$CW$999,98,FALSE),"unknown")</f>
        <v>0</v>
      </c>
      <c r="AV257" s="120">
        <f>IFERROR(VLOOKUP(Table1[RespondentID],'All Data'!$A$3:$CW$999,99,FALSE),"unknown")</f>
        <v>0</v>
      </c>
    </row>
    <row r="258" spans="1:48">
      <c r="A258" s="5">
        <v>18019094934</v>
      </c>
      <c r="B258" s="5" t="s">
        <v>38</v>
      </c>
      <c r="C258" s="5"/>
      <c r="D258" s="5"/>
      <c r="E258" s="5"/>
      <c r="F258" s="5"/>
      <c r="G258" s="5"/>
      <c r="H258" s="5"/>
      <c r="I258" s="5"/>
      <c r="J258" s="5"/>
      <c r="K258" s="5"/>
      <c r="L258" s="5"/>
      <c r="M258" s="5" t="s">
        <v>48</v>
      </c>
      <c r="N258" s="5"/>
      <c r="O258" s="5">
        <f t="shared" ref="O258:O321" si="68">COUNTA(B258:N258)</f>
        <v>2</v>
      </c>
      <c r="P258" s="5">
        <f t="shared" ref="P258:P321" si="69">3/O258</f>
        <v>1.5</v>
      </c>
      <c r="Q258" s="5"/>
      <c r="R258" s="5">
        <f t="shared" ref="R258:R321" si="70">IF($O258&lt;3,IF($B258=$B$1,1,0),IF($B258=$B$1,$P258,0))</f>
        <v>1</v>
      </c>
      <c r="S258" s="5">
        <f t="shared" ref="S258:S321" si="71">IF($O258&lt;3,IF($C258=$C$1,1,0),IF($C258=$C$1,$P258,0))</f>
        <v>0</v>
      </c>
      <c r="T258" s="5">
        <f t="shared" ref="T258:T321" si="72">IF($O258&lt;3,IF($D258=$D$1,1,0),IF($D258=$D$1,$P258,0))</f>
        <v>0</v>
      </c>
      <c r="U258" s="5">
        <f t="shared" ref="U258:U321" si="73">IF($O258&lt;3,IF($E258=$E$1,1,0),IF($E258=$E$1,$P258,0))</f>
        <v>0</v>
      </c>
      <c r="V258" s="5">
        <f t="shared" ref="V258:V321" si="74">IF($O258&lt;3,IF($F258=$F$1,1,0),IF($F258=$F$1,$P258,0))</f>
        <v>0</v>
      </c>
      <c r="W258" s="5">
        <f t="shared" ref="W258:W321" si="75">IF($O258&lt;3,IF($G258=$G$1,1,0),IF($G258=$G$1,$P258,0))</f>
        <v>0</v>
      </c>
      <c r="X258" s="5">
        <f t="shared" ref="X258:X321" si="76">IF($O258&lt;3,IF($H258=$H$1,1,0),IF($H258=$H$1,$P258,0))</f>
        <v>0</v>
      </c>
      <c r="Y258" s="5">
        <f t="shared" ref="Y258:Y321" si="77">IF($O258&lt;3,IF($I258=$I$1,1,0),IF($I258=$I$1,$P258,0))</f>
        <v>0</v>
      </c>
      <c r="Z258" s="5">
        <f t="shared" ref="Z258:Z321" si="78">IF($O258&lt;3,IF($J258=$J$1,1,0),IF($J258=$J$1,$P258,0))</f>
        <v>0</v>
      </c>
      <c r="AA258" s="5">
        <f t="shared" ref="AA258:AA321" si="79">IF($O258&lt;3,IF($K258=$K$1,1,0),IF($K258=$K$1,$P258,0))</f>
        <v>0</v>
      </c>
      <c r="AB258" s="5">
        <f t="shared" ref="AB258:AB321" si="80">IF($O258&lt;3,IF($L258=$L$1,1,0),IF($L258=$L$1,$P258,0))</f>
        <v>0</v>
      </c>
      <c r="AC258" s="5">
        <f t="shared" ref="AC258:AC321" si="81">IF($O258&lt;3,IF($M258=$M$1,1,0),IF($M258=$M$1,$P258,0))</f>
        <v>1</v>
      </c>
      <c r="AD258" s="5"/>
      <c r="AE258" s="5"/>
      <c r="AF258" s="5">
        <f t="shared" ref="AF258:AF321" si="82">SUM(R258:AD258)</f>
        <v>2</v>
      </c>
      <c r="AG258" s="5">
        <f t="shared" ref="AG258:AG321" si="83">O258</f>
        <v>2</v>
      </c>
      <c r="AH258" s="5" t="str">
        <f t="shared" ref="AH258:AH321" si="84">IF(AF258=AG258,"Correct",IF(AF258=3,"Correct","Wrong"))</f>
        <v>Correct</v>
      </c>
      <c r="AI258" s="5"/>
      <c r="AJ258" s="120" t="str">
        <f>IFERROR(VLOOKUP(Table1[RespondentID],'All Data'!$A$3:$CO$999,87,FALSE),"unknown")</f>
        <v>Man</v>
      </c>
      <c r="AK258" s="120">
        <f>IFERROR(VLOOKUP(Table1[RespondentID],'All Data'!$A$3:$CO$999,88,FALSE),"unknown")</f>
        <v>50</v>
      </c>
      <c r="AL258" s="120" t="str">
        <f>IFERROR(VLOOKUP(Table1[RespondentID],'All Data'!$A$3:$CO$999,89,FALSE),"unknown")</f>
        <v>Suffolk</v>
      </c>
      <c r="AM258" s="120" t="str">
        <f>IFERROR(VLOOKUP(Table1[RespondentID],'All Data'!$A$3:$CO$999,90,FALSE),"unknown")</f>
        <v>Greenlawn, 11740</v>
      </c>
      <c r="AN258" s="120" t="str">
        <f>IFERROR(VLOOKUP(Table1[RespondentID],'All Data'!$A$3:$CO$999,91,FALSE),"unknown")</f>
        <v>White</v>
      </c>
      <c r="AO258" s="120" t="str">
        <f>IFERROR(VLOOKUP(Table1[RespondentID],'All Data'!$A$3:$CO$999,92,FALSE),"unknown")</f>
        <v>Hispanic or Latino</v>
      </c>
      <c r="AP258" s="120" t="str">
        <f>IFERROR(VLOOKUP(Table1[RespondentID],'All Data'!$A$3:$CO$999,93,FALSE),"unknown")</f>
        <v>English</v>
      </c>
      <c r="AQ258" s="120" t="str">
        <f>IFERROR(VLOOKUP(Table1[RespondentID],'All Data'!$A$3:$CW$999,94,FALSE),"unknown")</f>
        <v>Over $125,000</v>
      </c>
      <c r="AR258" s="120" t="str">
        <f>IFERROR(VLOOKUP(Table1[RespondentID],'All Data'!$A$3:$CW$999,95,FALSE),"unknown")</f>
        <v>College graduate</v>
      </c>
      <c r="AS258" s="120" t="str">
        <f>IFERROR(VLOOKUP(Table1[RespondentID],'All Data'!$A$3:$CW$999,96,FALSE),"unknown")</f>
        <v>Employed for wages</v>
      </c>
      <c r="AT258" s="120" t="str">
        <f>IFERROR(VLOOKUP(Table1[RespondentID],'All Data'!$A$3:$CW$999,97,FALSE),"unknown")</f>
        <v>Yes</v>
      </c>
      <c r="AU258" s="120">
        <f>IFERROR(VLOOKUP(Table1[RespondentID],'All Data'!$A$3:$CW$999,98,FALSE),"unknown")</f>
        <v>0</v>
      </c>
      <c r="AV258" s="120">
        <f>IFERROR(VLOOKUP(Table1[RespondentID],'All Data'!$A$3:$CW$999,99,FALSE),"unknown")</f>
        <v>0</v>
      </c>
    </row>
    <row r="259" spans="1:48">
      <c r="A259" s="5">
        <v>18019094740</v>
      </c>
      <c r="B259" s="5" t="s">
        <v>38</v>
      </c>
      <c r="C259" s="5" t="s">
        <v>39</v>
      </c>
      <c r="D259" s="5"/>
      <c r="E259" s="5"/>
      <c r="F259" s="5"/>
      <c r="G259" s="5"/>
      <c r="H259" s="5"/>
      <c r="I259" s="5"/>
      <c r="J259" s="5"/>
      <c r="K259" s="5"/>
      <c r="L259" s="5"/>
      <c r="M259" s="5"/>
      <c r="N259" s="5"/>
      <c r="O259" s="5">
        <f t="shared" si="68"/>
        <v>2</v>
      </c>
      <c r="P259" s="5">
        <f t="shared" si="69"/>
        <v>1.5</v>
      </c>
      <c r="Q259" s="5"/>
      <c r="R259" s="5">
        <f t="shared" si="70"/>
        <v>1</v>
      </c>
      <c r="S259" s="5">
        <f t="shared" si="71"/>
        <v>1</v>
      </c>
      <c r="T259" s="5">
        <f t="shared" si="72"/>
        <v>0</v>
      </c>
      <c r="U259" s="5">
        <f t="shared" si="73"/>
        <v>0</v>
      </c>
      <c r="V259" s="5">
        <f t="shared" si="74"/>
        <v>0</v>
      </c>
      <c r="W259" s="5">
        <f t="shared" si="75"/>
        <v>0</v>
      </c>
      <c r="X259" s="5">
        <f t="shared" si="76"/>
        <v>0</v>
      </c>
      <c r="Y259" s="5">
        <f t="shared" si="77"/>
        <v>0</v>
      </c>
      <c r="Z259" s="5">
        <f t="shared" si="78"/>
        <v>0</v>
      </c>
      <c r="AA259" s="5">
        <f t="shared" si="79"/>
        <v>0</v>
      </c>
      <c r="AB259" s="5">
        <f t="shared" si="80"/>
        <v>0</v>
      </c>
      <c r="AC259" s="5">
        <f t="shared" si="81"/>
        <v>0</v>
      </c>
      <c r="AD259" s="5"/>
      <c r="AE259" s="5"/>
      <c r="AF259" s="5">
        <f t="shared" si="82"/>
        <v>2</v>
      </c>
      <c r="AG259" s="5">
        <f t="shared" si="83"/>
        <v>2</v>
      </c>
      <c r="AH259" s="5" t="str">
        <f t="shared" si="84"/>
        <v>Correct</v>
      </c>
      <c r="AI259" s="5"/>
      <c r="AJ259" s="120" t="str">
        <f>IFERROR(VLOOKUP(Table1[RespondentID],'All Data'!$A$3:$CO$999,87,FALSE),"unknown")</f>
        <v>Man</v>
      </c>
      <c r="AK259" s="120">
        <f>IFERROR(VLOOKUP(Table1[RespondentID],'All Data'!$A$3:$CO$999,88,FALSE),"unknown")</f>
        <v>52</v>
      </c>
      <c r="AL259" s="120" t="str">
        <f>IFERROR(VLOOKUP(Table1[RespondentID],'All Data'!$A$3:$CO$999,89,FALSE),"unknown")</f>
        <v>Suffolk</v>
      </c>
      <c r="AM259" s="120" t="str">
        <f>IFERROR(VLOOKUP(Table1[RespondentID],'All Data'!$A$3:$CO$999,90,FALSE),"unknown")</f>
        <v>Centerport, 11721</v>
      </c>
      <c r="AN259" s="120" t="str">
        <f>IFERROR(VLOOKUP(Table1[RespondentID],'All Data'!$A$3:$CO$999,91,FALSE),"unknown")</f>
        <v>White</v>
      </c>
      <c r="AO259" s="120" t="str">
        <f>IFERROR(VLOOKUP(Table1[RespondentID],'All Data'!$A$3:$CO$999,92,FALSE),"unknown")</f>
        <v>Hispanic or Latino</v>
      </c>
      <c r="AP259" s="120" t="str">
        <f>IFERROR(VLOOKUP(Table1[RespondentID],'All Data'!$A$3:$CO$999,93,FALSE),"unknown")</f>
        <v>English</v>
      </c>
      <c r="AQ259" s="120" t="str">
        <f>IFERROR(VLOOKUP(Table1[RespondentID],'All Data'!$A$3:$CW$999,94,FALSE),"unknown")</f>
        <v>Over $125,000</v>
      </c>
      <c r="AR259" s="120" t="str">
        <f>IFERROR(VLOOKUP(Table1[RespondentID],'All Data'!$A$3:$CW$999,95,FALSE),"unknown")</f>
        <v>College graduate</v>
      </c>
      <c r="AS259" s="120" t="str">
        <f>IFERROR(VLOOKUP(Table1[RespondentID],'All Data'!$A$3:$CW$999,96,FALSE),"unknown")</f>
        <v>Self-employed</v>
      </c>
      <c r="AT259" s="120" t="str">
        <f>IFERROR(VLOOKUP(Table1[RespondentID],'All Data'!$A$3:$CW$999,97,FALSE),"unknown")</f>
        <v>Yes</v>
      </c>
      <c r="AU259" s="120">
        <f>IFERROR(VLOOKUP(Table1[RespondentID],'All Data'!$A$3:$CW$999,98,FALSE),"unknown")</f>
        <v>0</v>
      </c>
      <c r="AV259" s="120">
        <f>IFERROR(VLOOKUP(Table1[RespondentID],'All Data'!$A$3:$CW$999,99,FALSE),"unknown")</f>
        <v>0</v>
      </c>
    </row>
    <row r="260" spans="1:48">
      <c r="A260" s="5">
        <v>18018964801</v>
      </c>
      <c r="B260" s="5"/>
      <c r="C260" s="5" t="s">
        <v>39</v>
      </c>
      <c r="D260" s="5"/>
      <c r="E260" s="5" t="s">
        <v>41</v>
      </c>
      <c r="F260" s="5"/>
      <c r="G260" s="5"/>
      <c r="H260" s="5" t="s">
        <v>43</v>
      </c>
      <c r="I260" s="5"/>
      <c r="J260" s="5"/>
      <c r="K260" s="5"/>
      <c r="L260" s="5"/>
      <c r="M260" s="5" t="s">
        <v>48</v>
      </c>
      <c r="N260" s="5"/>
      <c r="O260" s="5">
        <f t="shared" si="68"/>
        <v>4</v>
      </c>
      <c r="P260" s="5">
        <f t="shared" si="69"/>
        <v>0.75</v>
      </c>
      <c r="Q260" s="5"/>
      <c r="R260" s="5">
        <f t="shared" si="70"/>
        <v>0</v>
      </c>
      <c r="S260" s="5">
        <f t="shared" si="71"/>
        <v>0.75</v>
      </c>
      <c r="T260" s="5">
        <f t="shared" si="72"/>
        <v>0</v>
      </c>
      <c r="U260" s="5">
        <f t="shared" si="73"/>
        <v>0.75</v>
      </c>
      <c r="V260" s="5">
        <f t="shared" si="74"/>
        <v>0</v>
      </c>
      <c r="W260" s="5">
        <f t="shared" si="75"/>
        <v>0</v>
      </c>
      <c r="X260" s="5">
        <f t="shared" si="76"/>
        <v>0.75</v>
      </c>
      <c r="Y260" s="5">
        <f t="shared" si="77"/>
        <v>0</v>
      </c>
      <c r="Z260" s="5">
        <f t="shared" si="78"/>
        <v>0</v>
      </c>
      <c r="AA260" s="5">
        <f t="shared" si="79"/>
        <v>0</v>
      </c>
      <c r="AB260" s="5">
        <f t="shared" si="80"/>
        <v>0</v>
      </c>
      <c r="AC260" s="5">
        <f t="shared" si="81"/>
        <v>0.75</v>
      </c>
      <c r="AD260" s="5"/>
      <c r="AE260" s="5"/>
      <c r="AF260" s="5">
        <f t="shared" si="82"/>
        <v>3</v>
      </c>
      <c r="AG260" s="5">
        <f t="shared" si="83"/>
        <v>4</v>
      </c>
      <c r="AH260" s="5" t="str">
        <f t="shared" si="84"/>
        <v>Correct</v>
      </c>
      <c r="AI260" s="5"/>
      <c r="AJ260" s="120" t="str">
        <f>IFERROR(VLOOKUP(Table1[RespondentID],'All Data'!$A$3:$CO$999,87,FALSE),"unknown")</f>
        <v>Woman</v>
      </c>
      <c r="AK260" s="120">
        <f>IFERROR(VLOOKUP(Table1[RespondentID],'All Data'!$A$3:$CO$999,88,FALSE),"unknown")</f>
        <v>60</v>
      </c>
      <c r="AL260" s="120" t="str">
        <f>IFERROR(VLOOKUP(Table1[RespondentID],'All Data'!$A$3:$CO$999,89,FALSE),"unknown")</f>
        <v>Suffolk</v>
      </c>
      <c r="AM260" s="120" t="str">
        <f>IFERROR(VLOOKUP(Table1[RespondentID],'All Data'!$A$3:$CO$999,90,FALSE),"unknown")</f>
        <v>Yaphank, 11980</v>
      </c>
      <c r="AN260" s="120" t="str">
        <f>IFERROR(VLOOKUP(Table1[RespondentID],'All Data'!$A$3:$CO$999,91,FALSE),"unknown")</f>
        <v>White</v>
      </c>
      <c r="AO260" s="120" t="str">
        <f>IFERROR(VLOOKUP(Table1[RespondentID],'All Data'!$A$3:$CO$999,92,FALSE),"unknown")</f>
        <v>Hispanic or Latino</v>
      </c>
      <c r="AP260" s="120" t="str">
        <f>IFERROR(VLOOKUP(Table1[RespondentID],'All Data'!$A$3:$CO$999,93,FALSE),"unknown")</f>
        <v>English</v>
      </c>
      <c r="AQ260" s="120" t="str">
        <f>IFERROR(VLOOKUP(Table1[RespondentID],'All Data'!$A$3:$CW$999,94,FALSE),"unknown")</f>
        <v>Over $125,000</v>
      </c>
      <c r="AR260" s="120" t="str">
        <f>IFERROR(VLOOKUP(Table1[RespondentID],'All Data'!$A$3:$CW$999,95,FALSE),"unknown")</f>
        <v>Other (please specify)</v>
      </c>
      <c r="AS260" s="120" t="str">
        <f>IFERROR(VLOOKUP(Table1[RespondentID],'All Data'!$A$3:$CW$999,96,FALSE),"unknown")</f>
        <v>Employed for wages</v>
      </c>
      <c r="AT260" s="120" t="str">
        <f>IFERROR(VLOOKUP(Table1[RespondentID],'All Data'!$A$3:$CW$999,97,FALSE),"unknown")</f>
        <v>Yes</v>
      </c>
      <c r="AU260" s="120" t="str">
        <f>IFERROR(VLOOKUP(Table1[RespondentID],'All Data'!$A$3:$CW$999,98,FALSE),"unknown")</f>
        <v>Private/Commercial</v>
      </c>
      <c r="AV260" s="120" t="str">
        <f>IFERROR(VLOOKUP(Table1[RespondentID],'All Data'!$A$3:$CW$999,99,FALSE),"unknown")</f>
        <v>Yes</v>
      </c>
    </row>
    <row r="261" spans="1:48">
      <c r="A261" s="5">
        <v>18018757371</v>
      </c>
      <c r="B261" s="5"/>
      <c r="C261" s="5" t="s">
        <v>39</v>
      </c>
      <c r="D261" s="5" t="s">
        <v>40</v>
      </c>
      <c r="E261" s="5" t="s">
        <v>41</v>
      </c>
      <c r="F261" s="5" t="s">
        <v>42</v>
      </c>
      <c r="G261" s="5" t="s">
        <v>37</v>
      </c>
      <c r="H261" s="5"/>
      <c r="I261" s="5" t="s">
        <v>44</v>
      </c>
      <c r="J261" s="5" t="s">
        <v>45</v>
      </c>
      <c r="K261" s="5" t="s">
        <v>46</v>
      </c>
      <c r="L261" s="5" t="s">
        <v>47</v>
      </c>
      <c r="M261" s="5"/>
      <c r="N261" s="5"/>
      <c r="O261" s="5">
        <f t="shared" si="68"/>
        <v>9</v>
      </c>
      <c r="P261" s="5">
        <f t="shared" si="69"/>
        <v>0.33333333333333331</v>
      </c>
      <c r="Q261" s="5"/>
      <c r="R261" s="5">
        <f t="shared" si="70"/>
        <v>0</v>
      </c>
      <c r="S261" s="5">
        <f t="shared" si="71"/>
        <v>0.33333333333333331</v>
      </c>
      <c r="T261" s="5">
        <f t="shared" si="72"/>
        <v>0.33333333333333331</v>
      </c>
      <c r="U261" s="5">
        <f t="shared" si="73"/>
        <v>0.33333333333333331</v>
      </c>
      <c r="V261" s="5">
        <f t="shared" si="74"/>
        <v>0.33333333333333331</v>
      </c>
      <c r="W261" s="5">
        <f t="shared" si="75"/>
        <v>0.33333333333333331</v>
      </c>
      <c r="X261" s="5">
        <f t="shared" si="76"/>
        <v>0</v>
      </c>
      <c r="Y261" s="5">
        <f t="shared" si="77"/>
        <v>0.33333333333333331</v>
      </c>
      <c r="Z261" s="5">
        <f t="shared" si="78"/>
        <v>0.33333333333333331</v>
      </c>
      <c r="AA261" s="5">
        <f t="shared" si="79"/>
        <v>0.33333333333333331</v>
      </c>
      <c r="AB261" s="5">
        <f t="shared" si="80"/>
        <v>0.33333333333333331</v>
      </c>
      <c r="AC261" s="5">
        <f t="shared" si="81"/>
        <v>0</v>
      </c>
      <c r="AD261" s="5"/>
      <c r="AE261" s="5"/>
      <c r="AF261" s="5">
        <f t="shared" si="82"/>
        <v>3</v>
      </c>
      <c r="AG261" s="5">
        <f t="shared" si="83"/>
        <v>9</v>
      </c>
      <c r="AH261" s="5" t="str">
        <f t="shared" si="84"/>
        <v>Correct</v>
      </c>
      <c r="AI261" s="5"/>
      <c r="AJ261" s="120" t="str">
        <f>IFERROR(VLOOKUP(Table1[RespondentID],'All Data'!$A$3:$CO$999,87,FALSE),"unknown")</f>
        <v>Man</v>
      </c>
      <c r="AK261" s="120">
        <f>IFERROR(VLOOKUP(Table1[RespondentID],'All Data'!$A$3:$CO$999,88,FALSE),"unknown")</f>
        <v>40</v>
      </c>
      <c r="AL261" s="120" t="str">
        <f>IFERROR(VLOOKUP(Table1[RespondentID],'All Data'!$A$3:$CO$999,89,FALSE),"unknown")</f>
        <v>Suffolk</v>
      </c>
      <c r="AM261" s="120" t="str">
        <f>IFERROR(VLOOKUP(Table1[RespondentID],'All Data'!$A$3:$CO$999,90,FALSE),"unknown")</f>
        <v>Babylon, 11703</v>
      </c>
      <c r="AN261" s="120" t="str">
        <f>IFERROR(VLOOKUP(Table1[RespondentID],'All Data'!$A$3:$CO$999,91,FALSE),"unknown")</f>
        <v>White</v>
      </c>
      <c r="AO261" s="120" t="str">
        <f>IFERROR(VLOOKUP(Table1[RespondentID],'All Data'!$A$3:$CO$999,92,FALSE),"unknown")</f>
        <v>Hispanic or Latino</v>
      </c>
      <c r="AP261" s="120" t="str">
        <f>IFERROR(VLOOKUP(Table1[RespondentID],'All Data'!$A$3:$CO$999,93,FALSE),"unknown")</f>
        <v>English</v>
      </c>
      <c r="AQ261" s="120" t="str">
        <f>IFERROR(VLOOKUP(Table1[RespondentID],'All Data'!$A$3:$CW$999,94,FALSE),"unknown")</f>
        <v>$50,000 to $74,999</v>
      </c>
      <c r="AR261" s="120" t="str">
        <f>IFERROR(VLOOKUP(Table1[RespondentID],'All Data'!$A$3:$CW$999,95,FALSE),"unknown")</f>
        <v>Some college</v>
      </c>
      <c r="AS261" s="120" t="str">
        <f>IFERROR(VLOOKUP(Table1[RespondentID],'All Data'!$A$3:$CW$999,96,FALSE),"unknown")</f>
        <v>Out of work and looking for work</v>
      </c>
      <c r="AT261" s="120" t="str">
        <f>IFERROR(VLOOKUP(Table1[RespondentID],'All Data'!$A$3:$CW$999,97,FALSE),"unknown")</f>
        <v>Yes</v>
      </c>
      <c r="AU261" s="120" t="str">
        <f>IFERROR(VLOOKUP(Table1[RespondentID],'All Data'!$A$3:$CW$999,98,FALSE),"unknown")</f>
        <v>Medicaid</v>
      </c>
      <c r="AV261" s="120" t="str">
        <f>IFERROR(VLOOKUP(Table1[RespondentID],'All Data'!$A$3:$CW$999,99,FALSE),"unknown")</f>
        <v>No</v>
      </c>
    </row>
    <row r="262" spans="1:48">
      <c r="A262" s="5">
        <v>18018472615</v>
      </c>
      <c r="B262" s="5"/>
      <c r="C262" s="5" t="s">
        <v>39</v>
      </c>
      <c r="D262" s="5"/>
      <c r="E262" s="5" t="s">
        <v>41</v>
      </c>
      <c r="F262" s="5" t="s">
        <v>42</v>
      </c>
      <c r="G262" s="5" t="s">
        <v>37</v>
      </c>
      <c r="H262" s="5" t="s">
        <v>43</v>
      </c>
      <c r="I262" s="5" t="s">
        <v>44</v>
      </c>
      <c r="J262" s="5"/>
      <c r="K262" s="5" t="s">
        <v>46</v>
      </c>
      <c r="L262" s="5" t="s">
        <v>47</v>
      </c>
      <c r="M262" s="5" t="s">
        <v>48</v>
      </c>
      <c r="N262" s="5"/>
      <c r="O262" s="5">
        <f t="shared" si="68"/>
        <v>9</v>
      </c>
      <c r="P262" s="5">
        <f t="shared" si="69"/>
        <v>0.33333333333333331</v>
      </c>
      <c r="Q262" s="5"/>
      <c r="R262" s="5">
        <f t="shared" si="70"/>
        <v>0</v>
      </c>
      <c r="S262" s="5">
        <f t="shared" si="71"/>
        <v>0.33333333333333331</v>
      </c>
      <c r="T262" s="5">
        <f t="shared" si="72"/>
        <v>0</v>
      </c>
      <c r="U262" s="5">
        <f t="shared" si="73"/>
        <v>0.33333333333333331</v>
      </c>
      <c r="V262" s="5">
        <f t="shared" si="74"/>
        <v>0.33333333333333331</v>
      </c>
      <c r="W262" s="5">
        <f t="shared" si="75"/>
        <v>0.33333333333333331</v>
      </c>
      <c r="X262" s="5">
        <f t="shared" si="76"/>
        <v>0.33333333333333331</v>
      </c>
      <c r="Y262" s="5">
        <f t="shared" si="77"/>
        <v>0.33333333333333331</v>
      </c>
      <c r="Z262" s="5">
        <f t="shared" si="78"/>
        <v>0</v>
      </c>
      <c r="AA262" s="5">
        <f t="shared" si="79"/>
        <v>0.33333333333333331</v>
      </c>
      <c r="AB262" s="5">
        <f t="shared" si="80"/>
        <v>0.33333333333333331</v>
      </c>
      <c r="AC262" s="5">
        <f t="shared" si="81"/>
        <v>0.33333333333333331</v>
      </c>
      <c r="AD262" s="5"/>
      <c r="AE262" s="5"/>
      <c r="AF262" s="5">
        <f t="shared" si="82"/>
        <v>3</v>
      </c>
      <c r="AG262" s="5">
        <f t="shared" si="83"/>
        <v>9</v>
      </c>
      <c r="AH262" s="5" t="str">
        <f t="shared" si="84"/>
        <v>Correct</v>
      </c>
      <c r="AI262" s="5"/>
      <c r="AJ262" s="120" t="str">
        <f>IFERROR(VLOOKUP(Table1[RespondentID],'All Data'!$A$3:$CO$999,87,FALSE),"unknown")</f>
        <v>Man</v>
      </c>
      <c r="AK262" s="120">
        <f>IFERROR(VLOOKUP(Table1[RespondentID],'All Data'!$A$3:$CO$999,88,FALSE),"unknown")</f>
        <v>41</v>
      </c>
      <c r="AL262" s="120" t="str">
        <f>IFERROR(VLOOKUP(Table1[RespondentID],'All Data'!$A$3:$CO$999,89,FALSE),"unknown")</f>
        <v>Suffolk</v>
      </c>
      <c r="AM262" s="120" t="str">
        <f>IFERROR(VLOOKUP(Table1[RespondentID],'All Data'!$A$3:$CO$999,90,FALSE),"unknown")</f>
        <v>Lindenhurst, 11757</v>
      </c>
      <c r="AN262" s="120" t="str">
        <f>IFERROR(VLOOKUP(Table1[RespondentID],'All Data'!$A$3:$CO$999,91,FALSE),"unknown")</f>
        <v>Other (please specify)</v>
      </c>
      <c r="AO262" s="120">
        <f>IFERROR(VLOOKUP(Table1[RespondentID],'All Data'!$A$3:$CO$999,92,FALSE),"unknown")</f>
        <v>0</v>
      </c>
      <c r="AP262" s="120" t="str">
        <f>IFERROR(VLOOKUP(Table1[RespondentID],'All Data'!$A$3:$CO$999,93,FALSE),"unknown")</f>
        <v>English</v>
      </c>
      <c r="AQ262" s="120" t="str">
        <f>IFERROR(VLOOKUP(Table1[RespondentID],'All Data'!$A$3:$CW$999,94,FALSE),"unknown")</f>
        <v>$75,000 to $125,000</v>
      </c>
      <c r="AR262" s="120" t="str">
        <f>IFERROR(VLOOKUP(Table1[RespondentID],'All Data'!$A$3:$CW$999,95,FALSE),"unknown")</f>
        <v>College graduate</v>
      </c>
      <c r="AS262" s="120" t="str">
        <f>IFERROR(VLOOKUP(Table1[RespondentID],'All Data'!$A$3:$CW$999,96,FALSE),"unknown")</f>
        <v>Employed for wages</v>
      </c>
      <c r="AT262" s="120" t="str">
        <f>IFERROR(VLOOKUP(Table1[RespondentID],'All Data'!$A$3:$CW$999,97,FALSE),"unknown")</f>
        <v>Yes</v>
      </c>
      <c r="AU262" s="120" t="str">
        <f>IFERROR(VLOOKUP(Table1[RespondentID],'All Data'!$A$3:$CW$999,98,FALSE),"unknown")</f>
        <v>Private/Commercial</v>
      </c>
      <c r="AV262" s="120" t="str">
        <f>IFERROR(VLOOKUP(Table1[RespondentID],'All Data'!$A$3:$CW$999,99,FALSE),"unknown")</f>
        <v>Yes</v>
      </c>
    </row>
    <row r="263" spans="1:48">
      <c r="A263" s="5">
        <v>18018191958</v>
      </c>
      <c r="B263" s="5"/>
      <c r="C263" s="5"/>
      <c r="D263" s="5"/>
      <c r="E263" s="5"/>
      <c r="F263" s="5"/>
      <c r="G263" s="5"/>
      <c r="H263" s="5"/>
      <c r="I263" s="5"/>
      <c r="J263" s="5"/>
      <c r="K263" s="5"/>
      <c r="L263" s="5"/>
      <c r="M263" s="5"/>
      <c r="N263" s="5"/>
      <c r="O263" s="5">
        <f t="shared" si="68"/>
        <v>0</v>
      </c>
      <c r="P263" s="5" t="e">
        <f t="shared" si="69"/>
        <v>#DIV/0!</v>
      </c>
      <c r="Q263" s="5"/>
      <c r="R263" s="5">
        <f t="shared" si="70"/>
        <v>0</v>
      </c>
      <c r="S263" s="5">
        <f t="shared" si="71"/>
        <v>0</v>
      </c>
      <c r="T263" s="5">
        <f t="shared" si="72"/>
        <v>0</v>
      </c>
      <c r="U263" s="5">
        <f t="shared" si="73"/>
        <v>0</v>
      </c>
      <c r="V263" s="5">
        <f t="shared" si="74"/>
        <v>0</v>
      </c>
      <c r="W263" s="5">
        <f t="shared" si="75"/>
        <v>0</v>
      </c>
      <c r="X263" s="5">
        <f t="shared" si="76"/>
        <v>0</v>
      </c>
      <c r="Y263" s="5">
        <f t="shared" si="77"/>
        <v>0</v>
      </c>
      <c r="Z263" s="5">
        <f t="shared" si="78"/>
        <v>0</v>
      </c>
      <c r="AA263" s="5">
        <f t="shared" si="79"/>
        <v>0</v>
      </c>
      <c r="AB263" s="5">
        <f t="shared" si="80"/>
        <v>0</v>
      </c>
      <c r="AC263" s="5">
        <f t="shared" si="81"/>
        <v>0</v>
      </c>
      <c r="AD263" s="5"/>
      <c r="AE263" s="5"/>
      <c r="AF263" s="5">
        <f t="shared" si="82"/>
        <v>0</v>
      </c>
      <c r="AG263" s="5">
        <f t="shared" si="83"/>
        <v>0</v>
      </c>
      <c r="AH263" s="5" t="str">
        <f t="shared" si="84"/>
        <v>Correct</v>
      </c>
      <c r="AI263" s="5"/>
      <c r="AJ263" s="120">
        <f>IFERROR(VLOOKUP(Table1[RespondentID],'All Data'!$A$3:$CO$999,87,FALSE),"unknown")</f>
        <v>0</v>
      </c>
      <c r="AK263" s="120">
        <f>IFERROR(VLOOKUP(Table1[RespondentID],'All Data'!$A$3:$CO$999,88,FALSE),"unknown")</f>
        <v>0</v>
      </c>
      <c r="AL263" s="120">
        <f>IFERROR(VLOOKUP(Table1[RespondentID],'All Data'!$A$3:$CO$999,89,FALSE),"unknown")</f>
        <v>0</v>
      </c>
      <c r="AM263" s="120" t="str">
        <f>IFERROR(VLOOKUP(Table1[RespondentID],'All Data'!$A$3:$CO$999,90,FALSE),"unknown")</f>
        <v>Levittown, 11756</v>
      </c>
      <c r="AN263" s="120">
        <f>IFERROR(VLOOKUP(Table1[RespondentID],'All Data'!$A$3:$CO$999,91,FALSE),"unknown")</f>
        <v>0</v>
      </c>
      <c r="AO263" s="120">
        <f>IFERROR(VLOOKUP(Table1[RespondentID],'All Data'!$A$3:$CO$999,92,FALSE),"unknown")</f>
        <v>0</v>
      </c>
      <c r="AP263" s="120">
        <f>IFERROR(VLOOKUP(Table1[RespondentID],'All Data'!$A$3:$CO$999,93,FALSE),"unknown")</f>
        <v>0</v>
      </c>
      <c r="AQ263" s="120">
        <f>IFERROR(VLOOKUP(Table1[RespondentID],'All Data'!$A$3:$CW$999,94,FALSE),"unknown")</f>
        <v>0</v>
      </c>
      <c r="AR263" s="120">
        <f>IFERROR(VLOOKUP(Table1[RespondentID],'All Data'!$A$3:$CW$999,95,FALSE),"unknown")</f>
        <v>0</v>
      </c>
      <c r="AS263" s="120">
        <f>IFERROR(VLOOKUP(Table1[RespondentID],'All Data'!$A$3:$CW$999,96,FALSE),"unknown")</f>
        <v>0</v>
      </c>
      <c r="AT263" s="120">
        <f>IFERROR(VLOOKUP(Table1[RespondentID],'All Data'!$A$3:$CW$999,97,FALSE),"unknown")</f>
        <v>0</v>
      </c>
      <c r="AU263" s="120">
        <f>IFERROR(VLOOKUP(Table1[RespondentID],'All Data'!$A$3:$CW$999,98,FALSE),"unknown")</f>
        <v>0</v>
      </c>
      <c r="AV263" s="120">
        <f>IFERROR(VLOOKUP(Table1[RespondentID],'All Data'!$A$3:$CW$999,99,FALSE),"unknown")</f>
        <v>0</v>
      </c>
    </row>
    <row r="264" spans="1:48">
      <c r="A264" s="5">
        <v>18018187534</v>
      </c>
      <c r="B264" s="5" t="s">
        <v>38</v>
      </c>
      <c r="C264" s="5" t="s">
        <v>39</v>
      </c>
      <c r="D264" s="5"/>
      <c r="E264" s="5"/>
      <c r="F264" s="5"/>
      <c r="G264" s="5"/>
      <c r="H264" s="5"/>
      <c r="I264" s="5"/>
      <c r="J264" s="5"/>
      <c r="K264" s="5" t="s">
        <v>46</v>
      </c>
      <c r="L264" s="5"/>
      <c r="M264" s="5"/>
      <c r="N264" s="5"/>
      <c r="O264" s="5">
        <f t="shared" si="68"/>
        <v>3</v>
      </c>
      <c r="P264" s="5">
        <f t="shared" si="69"/>
        <v>1</v>
      </c>
      <c r="Q264" s="5"/>
      <c r="R264" s="5">
        <f t="shared" si="70"/>
        <v>1</v>
      </c>
      <c r="S264" s="5">
        <f t="shared" si="71"/>
        <v>1</v>
      </c>
      <c r="T264" s="5">
        <f t="shared" si="72"/>
        <v>0</v>
      </c>
      <c r="U264" s="5">
        <f t="shared" si="73"/>
        <v>0</v>
      </c>
      <c r="V264" s="5">
        <f t="shared" si="74"/>
        <v>0</v>
      </c>
      <c r="W264" s="5">
        <f t="shared" si="75"/>
        <v>0</v>
      </c>
      <c r="X264" s="5">
        <f t="shared" si="76"/>
        <v>0</v>
      </c>
      <c r="Y264" s="5">
        <f t="shared" si="77"/>
        <v>0</v>
      </c>
      <c r="Z264" s="5">
        <f t="shared" si="78"/>
        <v>0</v>
      </c>
      <c r="AA264" s="5">
        <f t="shared" si="79"/>
        <v>1</v>
      </c>
      <c r="AB264" s="5">
        <f t="shared" si="80"/>
        <v>0</v>
      </c>
      <c r="AC264" s="5">
        <f t="shared" si="81"/>
        <v>0</v>
      </c>
      <c r="AD264" s="5"/>
      <c r="AE264" s="5"/>
      <c r="AF264" s="5">
        <f t="shared" si="82"/>
        <v>3</v>
      </c>
      <c r="AG264" s="5">
        <f t="shared" si="83"/>
        <v>3</v>
      </c>
      <c r="AH264" s="5" t="str">
        <f t="shared" si="84"/>
        <v>Correct</v>
      </c>
      <c r="AI264" s="5"/>
      <c r="AJ264" s="120" t="str">
        <f>IFERROR(VLOOKUP(Table1[RespondentID],'All Data'!$A$3:$CO$999,87,FALSE),"unknown")</f>
        <v>Man</v>
      </c>
      <c r="AK264" s="120">
        <f>IFERROR(VLOOKUP(Table1[RespondentID],'All Data'!$A$3:$CO$999,88,FALSE),"unknown")</f>
        <v>32</v>
      </c>
      <c r="AL264" s="120" t="str">
        <f>IFERROR(VLOOKUP(Table1[RespondentID],'All Data'!$A$3:$CO$999,89,FALSE),"unknown")</f>
        <v>Nassau</v>
      </c>
      <c r="AM264" s="120" t="str">
        <f>IFERROR(VLOOKUP(Table1[RespondentID],'All Data'!$A$3:$CO$999,90,FALSE),"unknown")</f>
        <v>Great Neck, 11026</v>
      </c>
      <c r="AN264" s="120" t="str">
        <f>IFERROR(VLOOKUP(Table1[RespondentID],'All Data'!$A$3:$CO$999,91,FALSE),"unknown")</f>
        <v>White</v>
      </c>
      <c r="AO264" s="120" t="str">
        <f>IFERROR(VLOOKUP(Table1[RespondentID],'All Data'!$A$3:$CO$999,92,FALSE),"unknown")</f>
        <v>Hispanic or Latino</v>
      </c>
      <c r="AP264" s="120" t="str">
        <f>IFERROR(VLOOKUP(Table1[RespondentID],'All Data'!$A$3:$CO$999,93,FALSE),"unknown")</f>
        <v>English</v>
      </c>
      <c r="AQ264" s="120" t="str">
        <f>IFERROR(VLOOKUP(Table1[RespondentID],'All Data'!$A$3:$CW$999,94,FALSE),"unknown")</f>
        <v>$75,000 to $125,000</v>
      </c>
      <c r="AR264" s="120" t="str">
        <f>IFERROR(VLOOKUP(Table1[RespondentID],'All Data'!$A$3:$CW$999,95,FALSE),"unknown")</f>
        <v>College graduate</v>
      </c>
      <c r="AS264" s="120" t="str">
        <f>IFERROR(VLOOKUP(Table1[RespondentID],'All Data'!$A$3:$CW$999,96,FALSE),"unknown")</f>
        <v>Employed for wages</v>
      </c>
      <c r="AT264" s="120" t="str">
        <f>IFERROR(VLOOKUP(Table1[RespondentID],'All Data'!$A$3:$CW$999,97,FALSE),"unknown")</f>
        <v>Yes</v>
      </c>
      <c r="AU264" s="120" t="str">
        <f>IFERROR(VLOOKUP(Table1[RespondentID],'All Data'!$A$3:$CW$999,98,FALSE),"unknown")</f>
        <v>Medicaid</v>
      </c>
      <c r="AV264" s="120" t="str">
        <f>IFERROR(VLOOKUP(Table1[RespondentID],'All Data'!$A$3:$CW$999,99,FALSE),"unknown")</f>
        <v>Yes</v>
      </c>
    </row>
    <row r="265" spans="1:48">
      <c r="A265" s="5">
        <v>18018187458</v>
      </c>
      <c r="B265" s="5" t="s">
        <v>38</v>
      </c>
      <c r="C265" s="5"/>
      <c r="D265" s="5"/>
      <c r="E265" s="5"/>
      <c r="F265" s="5"/>
      <c r="G265" s="5"/>
      <c r="H265" s="5"/>
      <c r="I265" s="5"/>
      <c r="J265" s="5"/>
      <c r="K265" s="5" t="s">
        <v>46</v>
      </c>
      <c r="L265" s="5"/>
      <c r="M265" s="5" t="s">
        <v>48</v>
      </c>
      <c r="N265" s="5"/>
      <c r="O265" s="5">
        <f t="shared" si="68"/>
        <v>3</v>
      </c>
      <c r="P265" s="5">
        <f t="shared" si="69"/>
        <v>1</v>
      </c>
      <c r="Q265" s="5"/>
      <c r="R265" s="5">
        <f t="shared" si="70"/>
        <v>1</v>
      </c>
      <c r="S265" s="5">
        <f t="shared" si="71"/>
        <v>0</v>
      </c>
      <c r="T265" s="5">
        <f t="shared" si="72"/>
        <v>0</v>
      </c>
      <c r="U265" s="5">
        <f t="shared" si="73"/>
        <v>0</v>
      </c>
      <c r="V265" s="5">
        <f t="shared" si="74"/>
        <v>0</v>
      </c>
      <c r="W265" s="5">
        <f t="shared" si="75"/>
        <v>0</v>
      </c>
      <c r="X265" s="5">
        <f t="shared" si="76"/>
        <v>0</v>
      </c>
      <c r="Y265" s="5">
        <f t="shared" si="77"/>
        <v>0</v>
      </c>
      <c r="Z265" s="5">
        <f t="shared" si="78"/>
        <v>0</v>
      </c>
      <c r="AA265" s="5">
        <f t="shared" si="79"/>
        <v>1</v>
      </c>
      <c r="AB265" s="5">
        <f t="shared" si="80"/>
        <v>0</v>
      </c>
      <c r="AC265" s="5">
        <f t="shared" si="81"/>
        <v>1</v>
      </c>
      <c r="AD265" s="5"/>
      <c r="AE265" s="5"/>
      <c r="AF265" s="5">
        <f t="shared" si="82"/>
        <v>3</v>
      </c>
      <c r="AG265" s="5">
        <f t="shared" si="83"/>
        <v>3</v>
      </c>
      <c r="AH265" s="5" t="str">
        <f t="shared" si="84"/>
        <v>Correct</v>
      </c>
      <c r="AI265" s="5"/>
      <c r="AJ265" s="120" t="str">
        <f>IFERROR(VLOOKUP(Table1[RespondentID],'All Data'!$A$3:$CO$999,87,FALSE),"unknown")</f>
        <v>Man</v>
      </c>
      <c r="AK265" s="120">
        <f>IFERROR(VLOOKUP(Table1[RespondentID],'All Data'!$A$3:$CO$999,88,FALSE),"unknown")</f>
        <v>32</v>
      </c>
      <c r="AL265" s="120" t="str">
        <f>IFERROR(VLOOKUP(Table1[RespondentID],'All Data'!$A$3:$CO$999,89,FALSE),"unknown")</f>
        <v>Nassau</v>
      </c>
      <c r="AM265" s="120">
        <f>IFERROR(VLOOKUP(Table1[RespondentID],'All Data'!$A$3:$CO$999,90,FALSE),"unknown")</f>
        <v>0</v>
      </c>
      <c r="AN265" s="120">
        <f>IFERROR(VLOOKUP(Table1[RespondentID],'All Data'!$A$3:$CO$999,91,FALSE),"unknown")</f>
        <v>0</v>
      </c>
      <c r="AO265" s="120">
        <f>IFERROR(VLOOKUP(Table1[RespondentID],'All Data'!$A$3:$CO$999,92,FALSE),"unknown")</f>
        <v>0</v>
      </c>
      <c r="AP265" s="120">
        <f>IFERROR(VLOOKUP(Table1[RespondentID],'All Data'!$A$3:$CO$999,93,FALSE),"unknown")</f>
        <v>0</v>
      </c>
      <c r="AQ265" s="120">
        <f>IFERROR(VLOOKUP(Table1[RespondentID],'All Data'!$A$3:$CW$999,94,FALSE),"unknown")</f>
        <v>0</v>
      </c>
      <c r="AR265" s="120">
        <f>IFERROR(VLOOKUP(Table1[RespondentID],'All Data'!$A$3:$CW$999,95,FALSE),"unknown")</f>
        <v>0</v>
      </c>
      <c r="AS265" s="120">
        <f>IFERROR(VLOOKUP(Table1[RespondentID],'All Data'!$A$3:$CW$999,96,FALSE),"unknown")</f>
        <v>0</v>
      </c>
      <c r="AT265" s="120">
        <f>IFERROR(VLOOKUP(Table1[RespondentID],'All Data'!$A$3:$CW$999,97,FALSE),"unknown")</f>
        <v>0</v>
      </c>
      <c r="AU265" s="120">
        <f>IFERROR(VLOOKUP(Table1[RespondentID],'All Data'!$A$3:$CW$999,98,FALSE),"unknown")</f>
        <v>0</v>
      </c>
      <c r="AV265" s="120">
        <f>IFERROR(VLOOKUP(Table1[RespondentID],'All Data'!$A$3:$CW$999,99,FALSE),"unknown")</f>
        <v>0</v>
      </c>
    </row>
    <row r="266" spans="1:48">
      <c r="A266" s="5">
        <v>18017707683</v>
      </c>
      <c r="B266" s="5"/>
      <c r="C266" s="5"/>
      <c r="D266" s="5"/>
      <c r="E266" s="5" t="s">
        <v>41</v>
      </c>
      <c r="F266" s="5"/>
      <c r="G266" s="5"/>
      <c r="H266" s="5"/>
      <c r="I266" s="5"/>
      <c r="J266" s="5"/>
      <c r="K266" s="5"/>
      <c r="L266" s="5"/>
      <c r="M266" s="5" t="s">
        <v>48</v>
      </c>
      <c r="N266" s="5"/>
      <c r="O266" s="5">
        <f t="shared" si="68"/>
        <v>2</v>
      </c>
      <c r="P266" s="5">
        <f t="shared" si="69"/>
        <v>1.5</v>
      </c>
      <c r="Q266" s="5"/>
      <c r="R266" s="5">
        <f t="shared" si="70"/>
        <v>0</v>
      </c>
      <c r="S266" s="5">
        <f t="shared" si="71"/>
        <v>0</v>
      </c>
      <c r="T266" s="5">
        <f t="shared" si="72"/>
        <v>0</v>
      </c>
      <c r="U266" s="5">
        <f t="shared" si="73"/>
        <v>1</v>
      </c>
      <c r="V266" s="5">
        <f t="shared" si="74"/>
        <v>0</v>
      </c>
      <c r="W266" s="5">
        <f t="shared" si="75"/>
        <v>0</v>
      </c>
      <c r="X266" s="5">
        <f t="shared" si="76"/>
        <v>0</v>
      </c>
      <c r="Y266" s="5">
        <f t="shared" si="77"/>
        <v>0</v>
      </c>
      <c r="Z266" s="5">
        <f t="shared" si="78"/>
        <v>0</v>
      </c>
      <c r="AA266" s="5">
        <f t="shared" si="79"/>
        <v>0</v>
      </c>
      <c r="AB266" s="5">
        <f t="shared" si="80"/>
        <v>0</v>
      </c>
      <c r="AC266" s="5">
        <f t="shared" si="81"/>
        <v>1</v>
      </c>
      <c r="AD266" s="5"/>
      <c r="AE266" s="5"/>
      <c r="AF266" s="5">
        <f t="shared" si="82"/>
        <v>2</v>
      </c>
      <c r="AG266" s="5">
        <f t="shared" si="83"/>
        <v>2</v>
      </c>
      <c r="AH266" s="5" t="str">
        <f t="shared" si="84"/>
        <v>Correct</v>
      </c>
      <c r="AI266" s="5"/>
      <c r="AJ266" s="120" t="str">
        <f>IFERROR(VLOOKUP(Table1[RespondentID],'All Data'!$A$3:$CO$999,87,FALSE),"unknown")</f>
        <v>Man</v>
      </c>
      <c r="AK266" s="120">
        <f>IFERROR(VLOOKUP(Table1[RespondentID],'All Data'!$A$3:$CO$999,88,FALSE),"unknown")</f>
        <v>43</v>
      </c>
      <c r="AL266" s="120" t="str">
        <f>IFERROR(VLOOKUP(Table1[RespondentID],'All Data'!$A$3:$CO$999,89,FALSE),"unknown")</f>
        <v>Suffolk</v>
      </c>
      <c r="AM266" s="120" t="str">
        <f>IFERROR(VLOOKUP(Table1[RespondentID],'All Data'!$A$3:$CO$999,90,FALSE),"unknown")</f>
        <v>Nesconset, 11767</v>
      </c>
      <c r="AN266" s="120" t="str">
        <f>IFERROR(VLOOKUP(Table1[RespondentID],'All Data'!$A$3:$CO$999,91,FALSE),"unknown")</f>
        <v>White</v>
      </c>
      <c r="AO266" s="120" t="str">
        <f>IFERROR(VLOOKUP(Table1[RespondentID],'All Data'!$A$3:$CO$999,92,FALSE),"unknown")</f>
        <v>Not Hispanic or Latino</v>
      </c>
      <c r="AP266" s="120" t="str">
        <f>IFERROR(VLOOKUP(Table1[RespondentID],'All Data'!$A$3:$CO$999,93,FALSE),"unknown")</f>
        <v>English</v>
      </c>
      <c r="AQ266" s="120" t="str">
        <f>IFERROR(VLOOKUP(Table1[RespondentID],'All Data'!$A$3:$CW$999,94,FALSE),"unknown")</f>
        <v>$0-$19,999</v>
      </c>
      <c r="AR266" s="120" t="str">
        <f>IFERROR(VLOOKUP(Table1[RespondentID],'All Data'!$A$3:$CW$999,95,FALSE),"unknown")</f>
        <v>Some college</v>
      </c>
      <c r="AS266" s="120" t="str">
        <f>IFERROR(VLOOKUP(Table1[RespondentID],'All Data'!$A$3:$CW$999,96,FALSE),"unknown")</f>
        <v>Employed for wages</v>
      </c>
      <c r="AT266" s="120" t="str">
        <f>IFERROR(VLOOKUP(Table1[RespondentID],'All Data'!$A$3:$CW$999,97,FALSE),"unknown")</f>
        <v>Yes</v>
      </c>
      <c r="AU266" s="120" t="str">
        <f>IFERROR(VLOOKUP(Table1[RespondentID],'All Data'!$A$3:$CW$999,98,FALSE),"unknown")</f>
        <v>Medicaid</v>
      </c>
      <c r="AV266" s="120" t="str">
        <f>IFERROR(VLOOKUP(Table1[RespondentID],'All Data'!$A$3:$CW$999,99,FALSE),"unknown")</f>
        <v>No</v>
      </c>
    </row>
    <row r="267" spans="1:48">
      <c r="A267" s="5">
        <v>18017611415</v>
      </c>
      <c r="B267" s="5"/>
      <c r="C267" s="5" t="s">
        <v>39</v>
      </c>
      <c r="D267" s="5" t="s">
        <v>40</v>
      </c>
      <c r="E267" s="5" t="s">
        <v>41</v>
      </c>
      <c r="F267" s="5"/>
      <c r="G267" s="5"/>
      <c r="H267" s="5"/>
      <c r="I267" s="5"/>
      <c r="J267" s="5"/>
      <c r="K267" s="5"/>
      <c r="L267" s="5"/>
      <c r="M267" s="5"/>
      <c r="N267" s="5"/>
      <c r="O267" s="5">
        <f t="shared" si="68"/>
        <v>3</v>
      </c>
      <c r="P267" s="5">
        <f t="shared" si="69"/>
        <v>1</v>
      </c>
      <c r="Q267" s="5"/>
      <c r="R267" s="5">
        <f t="shared" si="70"/>
        <v>0</v>
      </c>
      <c r="S267" s="5">
        <f t="shared" si="71"/>
        <v>1</v>
      </c>
      <c r="T267" s="5">
        <f t="shared" si="72"/>
        <v>1</v>
      </c>
      <c r="U267" s="5">
        <f t="shared" si="73"/>
        <v>1</v>
      </c>
      <c r="V267" s="5">
        <f t="shared" si="74"/>
        <v>0</v>
      </c>
      <c r="W267" s="5">
        <f t="shared" si="75"/>
        <v>0</v>
      </c>
      <c r="X267" s="5">
        <f t="shared" si="76"/>
        <v>0</v>
      </c>
      <c r="Y267" s="5">
        <f t="shared" si="77"/>
        <v>0</v>
      </c>
      <c r="Z267" s="5">
        <f t="shared" si="78"/>
        <v>0</v>
      </c>
      <c r="AA267" s="5">
        <f t="shared" si="79"/>
        <v>0</v>
      </c>
      <c r="AB267" s="5">
        <f t="shared" si="80"/>
        <v>0</v>
      </c>
      <c r="AC267" s="5">
        <f t="shared" si="81"/>
        <v>0</v>
      </c>
      <c r="AD267" s="5"/>
      <c r="AE267" s="5"/>
      <c r="AF267" s="5">
        <f t="shared" si="82"/>
        <v>3</v>
      </c>
      <c r="AG267" s="5">
        <f t="shared" si="83"/>
        <v>3</v>
      </c>
      <c r="AH267" s="5" t="str">
        <f t="shared" si="84"/>
        <v>Correct</v>
      </c>
      <c r="AI267" s="5"/>
      <c r="AJ267" s="120" t="str">
        <f>IFERROR(VLOOKUP(Table1[RespondentID],'All Data'!$A$3:$CO$999,87,FALSE),"unknown")</f>
        <v>Man</v>
      </c>
      <c r="AK267" s="120">
        <f>IFERROR(VLOOKUP(Table1[RespondentID],'All Data'!$A$3:$CO$999,88,FALSE),"unknown")</f>
        <v>68</v>
      </c>
      <c r="AL267" s="120" t="str">
        <f>IFERROR(VLOOKUP(Table1[RespondentID],'All Data'!$A$3:$CO$999,89,FALSE),"unknown")</f>
        <v>Suffolk</v>
      </c>
      <c r="AM267" s="120" t="str">
        <f>IFERROR(VLOOKUP(Table1[RespondentID],'All Data'!$A$3:$CO$999,90,FALSE),"unknown")</f>
        <v>Sayville, 11782</v>
      </c>
      <c r="AN267" s="120" t="str">
        <f>IFERROR(VLOOKUP(Table1[RespondentID],'All Data'!$A$3:$CO$999,91,FALSE),"unknown")</f>
        <v>White</v>
      </c>
      <c r="AO267" s="120" t="str">
        <f>IFERROR(VLOOKUP(Table1[RespondentID],'All Data'!$A$3:$CO$999,92,FALSE),"unknown")</f>
        <v>Hispanic or Latino</v>
      </c>
      <c r="AP267" s="120" t="str">
        <f>IFERROR(VLOOKUP(Table1[RespondentID],'All Data'!$A$3:$CO$999,93,FALSE),"unknown")</f>
        <v>English</v>
      </c>
      <c r="AQ267" s="120" t="str">
        <f>IFERROR(VLOOKUP(Table1[RespondentID],'All Data'!$A$3:$CW$999,94,FALSE),"unknown")</f>
        <v>$75,000 to $125,000</v>
      </c>
      <c r="AR267" s="120" t="str">
        <f>IFERROR(VLOOKUP(Table1[RespondentID],'All Data'!$A$3:$CW$999,95,FALSE),"unknown")</f>
        <v>College graduate</v>
      </c>
      <c r="AS267" s="120" t="str">
        <f>IFERROR(VLOOKUP(Table1[RespondentID],'All Data'!$A$3:$CW$999,96,FALSE),"unknown")</f>
        <v>Retired</v>
      </c>
      <c r="AT267" s="120" t="str">
        <f>IFERROR(VLOOKUP(Table1[RespondentID],'All Data'!$A$3:$CW$999,97,FALSE),"unknown")</f>
        <v>Yes</v>
      </c>
      <c r="AU267" s="120" t="str">
        <f>IFERROR(VLOOKUP(Table1[RespondentID],'All Data'!$A$3:$CW$999,98,FALSE),"unknown")</f>
        <v>Medicaid, Private/Commercial</v>
      </c>
      <c r="AV267" s="120" t="str">
        <f>IFERROR(VLOOKUP(Table1[RespondentID],'All Data'!$A$3:$CW$999,99,FALSE),"unknown")</f>
        <v>Yes</v>
      </c>
    </row>
    <row r="268" spans="1:48">
      <c r="A268" s="5">
        <v>18017568152</v>
      </c>
      <c r="B268" s="5" t="s">
        <v>38</v>
      </c>
      <c r="C268" s="5"/>
      <c r="D268" s="5"/>
      <c r="E268" s="5"/>
      <c r="F268" s="5" t="s">
        <v>42</v>
      </c>
      <c r="G268" s="5"/>
      <c r="H268" s="5"/>
      <c r="I268" s="5"/>
      <c r="J268" s="5"/>
      <c r="K268" s="5"/>
      <c r="L268" s="5" t="s">
        <v>47</v>
      </c>
      <c r="M268" s="5"/>
      <c r="N268" s="5"/>
      <c r="O268" s="5">
        <f t="shared" si="68"/>
        <v>3</v>
      </c>
      <c r="P268" s="5">
        <f t="shared" si="69"/>
        <v>1</v>
      </c>
      <c r="Q268" s="5"/>
      <c r="R268" s="5">
        <f t="shared" si="70"/>
        <v>1</v>
      </c>
      <c r="S268" s="5">
        <f t="shared" si="71"/>
        <v>0</v>
      </c>
      <c r="T268" s="5">
        <f t="shared" si="72"/>
        <v>0</v>
      </c>
      <c r="U268" s="5">
        <f t="shared" si="73"/>
        <v>0</v>
      </c>
      <c r="V268" s="5">
        <f t="shared" si="74"/>
        <v>1</v>
      </c>
      <c r="W268" s="5">
        <f t="shared" si="75"/>
        <v>0</v>
      </c>
      <c r="X268" s="5">
        <f t="shared" si="76"/>
        <v>0</v>
      </c>
      <c r="Y268" s="5">
        <f t="shared" si="77"/>
        <v>0</v>
      </c>
      <c r="Z268" s="5">
        <f t="shared" si="78"/>
        <v>0</v>
      </c>
      <c r="AA268" s="5">
        <f t="shared" si="79"/>
        <v>0</v>
      </c>
      <c r="AB268" s="5">
        <f t="shared" si="80"/>
        <v>1</v>
      </c>
      <c r="AC268" s="5">
        <f t="shared" si="81"/>
        <v>0</v>
      </c>
      <c r="AD268" s="5"/>
      <c r="AE268" s="5"/>
      <c r="AF268" s="5">
        <f t="shared" si="82"/>
        <v>3</v>
      </c>
      <c r="AG268" s="5">
        <f t="shared" si="83"/>
        <v>3</v>
      </c>
      <c r="AH268" s="5" t="str">
        <f t="shared" si="84"/>
        <v>Correct</v>
      </c>
      <c r="AI268" s="5"/>
      <c r="AJ268" s="120" t="str">
        <f>IFERROR(VLOOKUP(Table1[RespondentID],'All Data'!$A$3:$CO$999,87,FALSE),"unknown")</f>
        <v>Man</v>
      </c>
      <c r="AK268" s="120">
        <f>IFERROR(VLOOKUP(Table1[RespondentID],'All Data'!$A$3:$CO$999,88,FALSE),"unknown")</f>
        <v>52</v>
      </c>
      <c r="AL268" s="120" t="str">
        <f>IFERROR(VLOOKUP(Table1[RespondentID],'All Data'!$A$3:$CO$999,89,FALSE),"unknown")</f>
        <v>Nassau</v>
      </c>
      <c r="AM268" s="120" t="str">
        <f>IFERROR(VLOOKUP(Table1[RespondentID],'All Data'!$A$3:$CO$999,90,FALSE),"unknown")</f>
        <v>Manhasset, 11030</v>
      </c>
      <c r="AN268" s="120" t="str">
        <f>IFERROR(VLOOKUP(Table1[RespondentID],'All Data'!$A$3:$CO$999,91,FALSE),"unknown")</f>
        <v>White</v>
      </c>
      <c r="AO268" s="120" t="str">
        <f>IFERROR(VLOOKUP(Table1[RespondentID],'All Data'!$A$3:$CO$999,92,FALSE),"unknown")</f>
        <v>Hispanic or Latino</v>
      </c>
      <c r="AP268" s="120" t="str">
        <f>IFERROR(VLOOKUP(Table1[RespondentID],'All Data'!$A$3:$CO$999,93,FALSE),"unknown")</f>
        <v>English</v>
      </c>
      <c r="AQ268" s="120" t="str">
        <f>IFERROR(VLOOKUP(Table1[RespondentID],'All Data'!$A$3:$CW$999,94,FALSE),"unknown")</f>
        <v>Over $125,000</v>
      </c>
      <c r="AR268" s="120" t="str">
        <f>IFERROR(VLOOKUP(Table1[RespondentID],'All Data'!$A$3:$CW$999,95,FALSE),"unknown")</f>
        <v>Graduate school</v>
      </c>
      <c r="AS268" s="120" t="str">
        <f>IFERROR(VLOOKUP(Table1[RespondentID],'All Data'!$A$3:$CW$999,96,FALSE),"unknown")</f>
        <v>Employed for wages</v>
      </c>
      <c r="AT268" s="120" t="str">
        <f>IFERROR(VLOOKUP(Table1[RespondentID],'All Data'!$A$3:$CW$999,97,FALSE),"unknown")</f>
        <v>Yes</v>
      </c>
      <c r="AU268" s="120" t="str">
        <f>IFERROR(VLOOKUP(Table1[RespondentID],'All Data'!$A$3:$CW$999,98,FALSE),"unknown")</f>
        <v>Private/Commercial</v>
      </c>
      <c r="AV268" s="120" t="str">
        <f>IFERROR(VLOOKUP(Table1[RespondentID],'All Data'!$A$3:$CW$999,99,FALSE),"unknown")</f>
        <v>Yes</v>
      </c>
    </row>
    <row r="269" spans="1:48">
      <c r="A269" s="5">
        <v>18017061305</v>
      </c>
      <c r="B269" s="5"/>
      <c r="C269" s="5" t="s">
        <v>39</v>
      </c>
      <c r="D269" s="5"/>
      <c r="E269" s="5"/>
      <c r="F269" s="5"/>
      <c r="G269" s="5"/>
      <c r="H269" s="5"/>
      <c r="I269" s="5"/>
      <c r="J269" s="5"/>
      <c r="K269" s="5"/>
      <c r="L269" s="5" t="s">
        <v>47</v>
      </c>
      <c r="M269" s="5"/>
      <c r="N269" s="5"/>
      <c r="O269" s="5">
        <f t="shared" si="68"/>
        <v>2</v>
      </c>
      <c r="P269" s="5">
        <f t="shared" si="69"/>
        <v>1.5</v>
      </c>
      <c r="Q269" s="5"/>
      <c r="R269" s="5">
        <f t="shared" si="70"/>
        <v>0</v>
      </c>
      <c r="S269" s="5">
        <f t="shared" si="71"/>
        <v>1</v>
      </c>
      <c r="T269" s="5">
        <f t="shared" si="72"/>
        <v>0</v>
      </c>
      <c r="U269" s="5">
        <f t="shared" si="73"/>
        <v>0</v>
      </c>
      <c r="V269" s="5">
        <f t="shared" si="74"/>
        <v>0</v>
      </c>
      <c r="W269" s="5">
        <f t="shared" si="75"/>
        <v>0</v>
      </c>
      <c r="X269" s="5">
        <f t="shared" si="76"/>
        <v>0</v>
      </c>
      <c r="Y269" s="5">
        <f t="shared" si="77"/>
        <v>0</v>
      </c>
      <c r="Z269" s="5">
        <f t="shared" si="78"/>
        <v>0</v>
      </c>
      <c r="AA269" s="5">
        <f t="shared" si="79"/>
        <v>0</v>
      </c>
      <c r="AB269" s="5">
        <f t="shared" si="80"/>
        <v>1</v>
      </c>
      <c r="AC269" s="5">
        <f t="shared" si="81"/>
        <v>0</v>
      </c>
      <c r="AD269" s="5"/>
      <c r="AE269" s="5"/>
      <c r="AF269" s="5">
        <f t="shared" si="82"/>
        <v>2</v>
      </c>
      <c r="AG269" s="5">
        <f t="shared" si="83"/>
        <v>2</v>
      </c>
      <c r="AH269" s="5" t="str">
        <f t="shared" si="84"/>
        <v>Correct</v>
      </c>
      <c r="AI269" s="5"/>
      <c r="AJ269" s="120" t="str">
        <f>IFERROR(VLOOKUP(Table1[RespondentID],'All Data'!$A$3:$CO$999,87,FALSE),"unknown")</f>
        <v>Man</v>
      </c>
      <c r="AK269" s="120">
        <f>IFERROR(VLOOKUP(Table1[RespondentID],'All Data'!$A$3:$CO$999,88,FALSE),"unknown")</f>
        <v>44</v>
      </c>
      <c r="AL269" s="120" t="str">
        <f>IFERROR(VLOOKUP(Table1[RespondentID],'All Data'!$A$3:$CO$999,89,FALSE),"unknown")</f>
        <v>Suffolk</v>
      </c>
      <c r="AM269" s="120" t="str">
        <f>IFERROR(VLOOKUP(Table1[RespondentID],'All Data'!$A$3:$CO$999,90,FALSE),"unknown")</f>
        <v>Selden, 11784</v>
      </c>
      <c r="AN269" s="120" t="str">
        <f>IFERROR(VLOOKUP(Table1[RespondentID],'All Data'!$A$3:$CO$999,91,FALSE),"unknown")</f>
        <v>White</v>
      </c>
      <c r="AO269" s="120" t="str">
        <f>IFERROR(VLOOKUP(Table1[RespondentID],'All Data'!$A$3:$CO$999,92,FALSE),"unknown")</f>
        <v>Hispanic or Latino</v>
      </c>
      <c r="AP269" s="120" t="str">
        <f>IFERROR(VLOOKUP(Table1[RespondentID],'All Data'!$A$3:$CO$999,93,FALSE),"unknown")</f>
        <v>English</v>
      </c>
      <c r="AQ269" s="120" t="str">
        <f>IFERROR(VLOOKUP(Table1[RespondentID],'All Data'!$A$3:$CW$999,94,FALSE),"unknown")</f>
        <v>$50,000 to $74,999</v>
      </c>
      <c r="AR269" s="120" t="str">
        <f>IFERROR(VLOOKUP(Table1[RespondentID],'All Data'!$A$3:$CW$999,95,FALSE),"unknown")</f>
        <v>College graduate</v>
      </c>
      <c r="AS269" s="120" t="str">
        <f>IFERROR(VLOOKUP(Table1[RespondentID],'All Data'!$A$3:$CW$999,96,FALSE),"unknown")</f>
        <v>Employed for wages</v>
      </c>
      <c r="AT269" s="120" t="str">
        <f>IFERROR(VLOOKUP(Table1[RespondentID],'All Data'!$A$3:$CW$999,97,FALSE),"unknown")</f>
        <v>Yes</v>
      </c>
      <c r="AU269" s="120" t="str">
        <f>IFERROR(VLOOKUP(Table1[RespondentID],'All Data'!$A$3:$CW$999,98,FALSE),"unknown")</f>
        <v>Private/Commercial</v>
      </c>
      <c r="AV269" s="120" t="str">
        <f>IFERROR(VLOOKUP(Table1[RespondentID],'All Data'!$A$3:$CW$999,99,FALSE),"unknown")</f>
        <v>Yes</v>
      </c>
    </row>
    <row r="270" spans="1:48">
      <c r="A270" s="5">
        <v>18016902456</v>
      </c>
      <c r="B270" s="5"/>
      <c r="C270" s="5" t="s">
        <v>39</v>
      </c>
      <c r="D270" s="5"/>
      <c r="E270" s="5"/>
      <c r="F270" s="5"/>
      <c r="G270" s="5"/>
      <c r="H270" s="5"/>
      <c r="I270" s="5"/>
      <c r="J270" s="5"/>
      <c r="K270" s="5" t="s">
        <v>46</v>
      </c>
      <c r="L270" s="5" t="s">
        <v>47</v>
      </c>
      <c r="M270" s="5"/>
      <c r="N270" s="5"/>
      <c r="O270" s="5">
        <f t="shared" si="68"/>
        <v>3</v>
      </c>
      <c r="P270" s="5">
        <f t="shared" si="69"/>
        <v>1</v>
      </c>
      <c r="Q270" s="5"/>
      <c r="R270" s="5">
        <f t="shared" si="70"/>
        <v>0</v>
      </c>
      <c r="S270" s="5">
        <f t="shared" si="71"/>
        <v>1</v>
      </c>
      <c r="T270" s="5">
        <f t="shared" si="72"/>
        <v>0</v>
      </c>
      <c r="U270" s="5">
        <f t="shared" si="73"/>
        <v>0</v>
      </c>
      <c r="V270" s="5">
        <f t="shared" si="74"/>
        <v>0</v>
      </c>
      <c r="W270" s="5">
        <f t="shared" si="75"/>
        <v>0</v>
      </c>
      <c r="X270" s="5">
        <f t="shared" si="76"/>
        <v>0</v>
      </c>
      <c r="Y270" s="5">
        <f t="shared" si="77"/>
        <v>0</v>
      </c>
      <c r="Z270" s="5">
        <f t="shared" si="78"/>
        <v>0</v>
      </c>
      <c r="AA270" s="5">
        <f t="shared" si="79"/>
        <v>1</v>
      </c>
      <c r="AB270" s="5">
        <f t="shared" si="80"/>
        <v>1</v>
      </c>
      <c r="AC270" s="5">
        <f t="shared" si="81"/>
        <v>0</v>
      </c>
      <c r="AD270" s="5"/>
      <c r="AE270" s="5"/>
      <c r="AF270" s="5">
        <f t="shared" si="82"/>
        <v>3</v>
      </c>
      <c r="AG270" s="5">
        <f t="shared" si="83"/>
        <v>3</v>
      </c>
      <c r="AH270" s="5" t="str">
        <f t="shared" si="84"/>
        <v>Correct</v>
      </c>
      <c r="AI270" s="5"/>
      <c r="AJ270" s="120" t="str">
        <f>IFERROR(VLOOKUP(Table1[RespondentID],'All Data'!$A$3:$CO$999,87,FALSE),"unknown")</f>
        <v>Man</v>
      </c>
      <c r="AK270" s="120">
        <f>IFERROR(VLOOKUP(Table1[RespondentID],'All Data'!$A$3:$CO$999,88,FALSE),"unknown")</f>
        <v>45</v>
      </c>
      <c r="AL270" s="120" t="str">
        <f>IFERROR(VLOOKUP(Table1[RespondentID],'All Data'!$A$3:$CO$999,89,FALSE),"unknown")</f>
        <v>Suffolk</v>
      </c>
      <c r="AM270" s="120" t="str">
        <f>IFERROR(VLOOKUP(Table1[RespondentID],'All Data'!$A$3:$CO$999,90,FALSE),"unknown")</f>
        <v>Mastic, 11950</v>
      </c>
      <c r="AN270" s="120" t="str">
        <f>IFERROR(VLOOKUP(Table1[RespondentID],'All Data'!$A$3:$CO$999,91,FALSE),"unknown")</f>
        <v>White</v>
      </c>
      <c r="AO270" s="120" t="str">
        <f>IFERROR(VLOOKUP(Table1[RespondentID],'All Data'!$A$3:$CO$999,92,FALSE),"unknown")</f>
        <v>Hispanic or Latino</v>
      </c>
      <c r="AP270" s="120" t="str">
        <f>IFERROR(VLOOKUP(Table1[RespondentID],'All Data'!$A$3:$CO$999,93,FALSE),"unknown")</f>
        <v>English</v>
      </c>
      <c r="AQ270" s="120" t="str">
        <f>IFERROR(VLOOKUP(Table1[RespondentID],'All Data'!$A$3:$CW$999,94,FALSE),"unknown")</f>
        <v>Over $125,000</v>
      </c>
      <c r="AR270" s="120" t="str">
        <f>IFERROR(VLOOKUP(Table1[RespondentID],'All Data'!$A$3:$CW$999,95,FALSE),"unknown")</f>
        <v>College graduate</v>
      </c>
      <c r="AS270" s="120" t="str">
        <f>IFERROR(VLOOKUP(Table1[RespondentID],'All Data'!$A$3:$CW$999,96,FALSE),"unknown")</f>
        <v>Employed for wages</v>
      </c>
      <c r="AT270" s="120" t="str">
        <f>IFERROR(VLOOKUP(Table1[RespondentID],'All Data'!$A$3:$CW$999,97,FALSE),"unknown")</f>
        <v>Yes</v>
      </c>
      <c r="AU270" s="120" t="str">
        <f>IFERROR(VLOOKUP(Table1[RespondentID],'All Data'!$A$3:$CW$999,98,FALSE),"unknown")</f>
        <v>Private/Commercial</v>
      </c>
      <c r="AV270" s="120" t="str">
        <f>IFERROR(VLOOKUP(Table1[RespondentID],'All Data'!$A$3:$CW$999,99,FALSE),"unknown")</f>
        <v>Yes</v>
      </c>
    </row>
    <row r="271" spans="1:48">
      <c r="A271" s="5">
        <v>18016880706</v>
      </c>
      <c r="B271" s="5"/>
      <c r="C271" s="5" t="s">
        <v>39</v>
      </c>
      <c r="D271" s="5"/>
      <c r="E271" s="5" t="s">
        <v>41</v>
      </c>
      <c r="F271" s="5"/>
      <c r="G271" s="5"/>
      <c r="H271" s="5" t="s">
        <v>43</v>
      </c>
      <c r="I271" s="5"/>
      <c r="J271" s="5"/>
      <c r="K271" s="5"/>
      <c r="L271" s="5"/>
      <c r="M271" s="5"/>
      <c r="N271" s="5"/>
      <c r="O271" s="5">
        <f t="shared" si="68"/>
        <v>3</v>
      </c>
      <c r="P271" s="5">
        <f t="shared" si="69"/>
        <v>1</v>
      </c>
      <c r="Q271" s="5"/>
      <c r="R271" s="5">
        <f t="shared" si="70"/>
        <v>0</v>
      </c>
      <c r="S271" s="5">
        <f t="shared" si="71"/>
        <v>1</v>
      </c>
      <c r="T271" s="5">
        <f t="shared" si="72"/>
        <v>0</v>
      </c>
      <c r="U271" s="5">
        <f t="shared" si="73"/>
        <v>1</v>
      </c>
      <c r="V271" s="5">
        <f t="shared" si="74"/>
        <v>0</v>
      </c>
      <c r="W271" s="5">
        <f t="shared" si="75"/>
        <v>0</v>
      </c>
      <c r="X271" s="5">
        <f t="shared" si="76"/>
        <v>1</v>
      </c>
      <c r="Y271" s="5">
        <f t="shared" si="77"/>
        <v>0</v>
      </c>
      <c r="Z271" s="5">
        <f t="shared" si="78"/>
        <v>0</v>
      </c>
      <c r="AA271" s="5">
        <f t="shared" si="79"/>
        <v>0</v>
      </c>
      <c r="AB271" s="5">
        <f t="shared" si="80"/>
        <v>0</v>
      </c>
      <c r="AC271" s="5">
        <f t="shared" si="81"/>
        <v>0</v>
      </c>
      <c r="AD271" s="5"/>
      <c r="AE271" s="5"/>
      <c r="AF271" s="5">
        <f t="shared" si="82"/>
        <v>3</v>
      </c>
      <c r="AG271" s="5">
        <f t="shared" si="83"/>
        <v>3</v>
      </c>
      <c r="AH271" s="5" t="str">
        <f t="shared" si="84"/>
        <v>Correct</v>
      </c>
      <c r="AI271" s="5"/>
      <c r="AJ271" s="120" t="str">
        <f>IFERROR(VLOOKUP(Table1[RespondentID],'All Data'!$A$3:$CO$999,87,FALSE),"unknown")</f>
        <v>Man</v>
      </c>
      <c r="AK271" s="120">
        <f>IFERROR(VLOOKUP(Table1[RespondentID],'All Data'!$A$3:$CO$999,88,FALSE),"unknown")</f>
        <v>16</v>
      </c>
      <c r="AL271" s="120" t="str">
        <f>IFERROR(VLOOKUP(Table1[RespondentID],'All Data'!$A$3:$CO$999,89,FALSE),"unknown")</f>
        <v>Suffolk</v>
      </c>
      <c r="AM271" s="120" t="str">
        <f>IFERROR(VLOOKUP(Table1[RespondentID],'All Data'!$A$3:$CO$999,90,FALSE),"unknown")</f>
        <v>Nesconset, 11767</v>
      </c>
      <c r="AN271" s="120" t="str">
        <f>IFERROR(VLOOKUP(Table1[RespondentID],'All Data'!$A$3:$CO$999,91,FALSE),"unknown")</f>
        <v>White</v>
      </c>
      <c r="AO271" s="120" t="str">
        <f>IFERROR(VLOOKUP(Table1[RespondentID],'All Data'!$A$3:$CO$999,92,FALSE),"unknown")</f>
        <v>Hispanic or Latino</v>
      </c>
      <c r="AP271" s="120" t="str">
        <f>IFERROR(VLOOKUP(Table1[RespondentID],'All Data'!$A$3:$CO$999,93,FALSE),"unknown")</f>
        <v>English</v>
      </c>
      <c r="AQ271" s="120" t="str">
        <f>IFERROR(VLOOKUP(Table1[RespondentID],'All Data'!$A$3:$CW$999,94,FALSE),"unknown")</f>
        <v>Over $125,000</v>
      </c>
      <c r="AR271" s="120" t="str">
        <f>IFERROR(VLOOKUP(Table1[RespondentID],'All Data'!$A$3:$CW$999,95,FALSE),"unknown")</f>
        <v>Some high school</v>
      </c>
      <c r="AS271" s="120" t="str">
        <f>IFERROR(VLOOKUP(Table1[RespondentID],'All Data'!$A$3:$CW$999,96,FALSE),"unknown")</f>
        <v>Student</v>
      </c>
      <c r="AT271" s="120" t="str">
        <f>IFERROR(VLOOKUP(Table1[RespondentID],'All Data'!$A$3:$CW$999,97,FALSE),"unknown")</f>
        <v>Yes</v>
      </c>
      <c r="AU271" s="120" t="str">
        <f>IFERROR(VLOOKUP(Table1[RespondentID],'All Data'!$A$3:$CW$999,98,FALSE),"unknown")</f>
        <v>Private/Commercial</v>
      </c>
      <c r="AV271" s="120" t="str">
        <f>IFERROR(VLOOKUP(Table1[RespondentID],'All Data'!$A$3:$CW$999,99,FALSE),"unknown")</f>
        <v>Yes</v>
      </c>
    </row>
    <row r="272" spans="1:48">
      <c r="A272" s="5">
        <v>18016880667</v>
      </c>
      <c r="B272" s="5"/>
      <c r="C272" s="5" t="s">
        <v>39</v>
      </c>
      <c r="D272" s="5"/>
      <c r="E272" s="5" t="s">
        <v>41</v>
      </c>
      <c r="F272" s="5"/>
      <c r="G272" s="5"/>
      <c r="H272" s="5" t="s">
        <v>43</v>
      </c>
      <c r="I272" s="5"/>
      <c r="J272" s="5"/>
      <c r="K272" s="5"/>
      <c r="L272" s="5"/>
      <c r="M272" s="5"/>
      <c r="N272" s="5"/>
      <c r="O272" s="5">
        <f t="shared" si="68"/>
        <v>3</v>
      </c>
      <c r="P272" s="5">
        <f t="shared" si="69"/>
        <v>1</v>
      </c>
      <c r="Q272" s="5"/>
      <c r="R272" s="5">
        <f t="shared" si="70"/>
        <v>0</v>
      </c>
      <c r="S272" s="5">
        <f t="shared" si="71"/>
        <v>1</v>
      </c>
      <c r="T272" s="5">
        <f t="shared" si="72"/>
        <v>0</v>
      </c>
      <c r="U272" s="5">
        <f t="shared" si="73"/>
        <v>1</v>
      </c>
      <c r="V272" s="5">
        <f t="shared" si="74"/>
        <v>0</v>
      </c>
      <c r="W272" s="5">
        <f t="shared" si="75"/>
        <v>0</v>
      </c>
      <c r="X272" s="5">
        <f t="shared" si="76"/>
        <v>1</v>
      </c>
      <c r="Y272" s="5">
        <f t="shared" si="77"/>
        <v>0</v>
      </c>
      <c r="Z272" s="5">
        <f t="shared" si="78"/>
        <v>0</v>
      </c>
      <c r="AA272" s="5">
        <f t="shared" si="79"/>
        <v>0</v>
      </c>
      <c r="AB272" s="5">
        <f t="shared" si="80"/>
        <v>0</v>
      </c>
      <c r="AC272" s="5">
        <f t="shared" si="81"/>
        <v>0</v>
      </c>
      <c r="AD272" s="5"/>
      <c r="AE272" s="5"/>
      <c r="AF272" s="5">
        <f t="shared" si="82"/>
        <v>3</v>
      </c>
      <c r="AG272" s="5">
        <f t="shared" si="83"/>
        <v>3</v>
      </c>
      <c r="AH272" s="5" t="str">
        <f t="shared" si="84"/>
        <v>Correct</v>
      </c>
      <c r="AI272" s="5"/>
      <c r="AJ272" s="120" t="str">
        <f>IFERROR(VLOOKUP(Table1[RespondentID],'All Data'!$A$3:$CO$999,87,FALSE),"unknown")</f>
        <v>Man</v>
      </c>
      <c r="AK272" s="120">
        <f>IFERROR(VLOOKUP(Table1[RespondentID],'All Data'!$A$3:$CO$999,88,FALSE),"unknown")</f>
        <v>16</v>
      </c>
      <c r="AL272" s="120" t="str">
        <f>IFERROR(VLOOKUP(Table1[RespondentID],'All Data'!$A$3:$CO$999,89,FALSE),"unknown")</f>
        <v>Suffolk</v>
      </c>
      <c r="AM272" s="120" t="str">
        <f>IFERROR(VLOOKUP(Table1[RespondentID],'All Data'!$A$3:$CO$999,90,FALSE),"unknown")</f>
        <v>Nesconset, 11767</v>
      </c>
      <c r="AN272" s="120" t="str">
        <f>IFERROR(VLOOKUP(Table1[RespondentID],'All Data'!$A$3:$CO$999,91,FALSE),"unknown")</f>
        <v>White</v>
      </c>
      <c r="AO272" s="120" t="str">
        <f>IFERROR(VLOOKUP(Table1[RespondentID],'All Data'!$A$3:$CO$999,92,FALSE),"unknown")</f>
        <v>Hispanic or Latino</v>
      </c>
      <c r="AP272" s="120" t="str">
        <f>IFERROR(VLOOKUP(Table1[RespondentID],'All Data'!$A$3:$CO$999,93,FALSE),"unknown")</f>
        <v>English</v>
      </c>
      <c r="AQ272" s="120" t="str">
        <f>IFERROR(VLOOKUP(Table1[RespondentID],'All Data'!$A$3:$CW$999,94,FALSE),"unknown")</f>
        <v>Over $125,000</v>
      </c>
      <c r="AR272" s="120" t="str">
        <f>IFERROR(VLOOKUP(Table1[RespondentID],'All Data'!$A$3:$CW$999,95,FALSE),"unknown")</f>
        <v>Some high school</v>
      </c>
      <c r="AS272" s="120" t="str">
        <f>IFERROR(VLOOKUP(Table1[RespondentID],'All Data'!$A$3:$CW$999,96,FALSE),"unknown")</f>
        <v>Student</v>
      </c>
      <c r="AT272" s="120" t="str">
        <f>IFERROR(VLOOKUP(Table1[RespondentID],'All Data'!$A$3:$CW$999,97,FALSE),"unknown")</f>
        <v>Yes</v>
      </c>
      <c r="AU272" s="120" t="str">
        <f>IFERROR(VLOOKUP(Table1[RespondentID],'All Data'!$A$3:$CW$999,98,FALSE),"unknown")</f>
        <v>Private/Commercial</v>
      </c>
      <c r="AV272" s="120" t="str">
        <f>IFERROR(VLOOKUP(Table1[RespondentID],'All Data'!$A$3:$CW$999,99,FALSE),"unknown")</f>
        <v>Yes</v>
      </c>
    </row>
    <row r="273" spans="1:48">
      <c r="A273" s="5">
        <v>18016880611</v>
      </c>
      <c r="B273" s="5"/>
      <c r="C273" s="5" t="s">
        <v>39</v>
      </c>
      <c r="D273" s="5"/>
      <c r="E273" s="5" t="s">
        <v>41</v>
      </c>
      <c r="F273" s="5"/>
      <c r="G273" s="5"/>
      <c r="H273" s="5" t="s">
        <v>43</v>
      </c>
      <c r="I273" s="5"/>
      <c r="J273" s="5"/>
      <c r="K273" s="5"/>
      <c r="L273" s="5"/>
      <c r="M273" s="5"/>
      <c r="N273" s="5"/>
      <c r="O273" s="5">
        <f t="shared" si="68"/>
        <v>3</v>
      </c>
      <c r="P273" s="5">
        <f t="shared" si="69"/>
        <v>1</v>
      </c>
      <c r="Q273" s="5"/>
      <c r="R273" s="5">
        <f t="shared" si="70"/>
        <v>0</v>
      </c>
      <c r="S273" s="5">
        <f t="shared" si="71"/>
        <v>1</v>
      </c>
      <c r="T273" s="5">
        <f t="shared" si="72"/>
        <v>0</v>
      </c>
      <c r="U273" s="5">
        <f t="shared" si="73"/>
        <v>1</v>
      </c>
      <c r="V273" s="5">
        <f t="shared" si="74"/>
        <v>0</v>
      </c>
      <c r="W273" s="5">
        <f t="shared" si="75"/>
        <v>0</v>
      </c>
      <c r="X273" s="5">
        <f t="shared" si="76"/>
        <v>1</v>
      </c>
      <c r="Y273" s="5">
        <f t="shared" si="77"/>
        <v>0</v>
      </c>
      <c r="Z273" s="5">
        <f t="shared" si="78"/>
        <v>0</v>
      </c>
      <c r="AA273" s="5">
        <f t="shared" si="79"/>
        <v>0</v>
      </c>
      <c r="AB273" s="5">
        <f t="shared" si="80"/>
        <v>0</v>
      </c>
      <c r="AC273" s="5">
        <f t="shared" si="81"/>
        <v>0</v>
      </c>
      <c r="AD273" s="5"/>
      <c r="AE273" s="5"/>
      <c r="AF273" s="5">
        <f t="shared" si="82"/>
        <v>3</v>
      </c>
      <c r="AG273" s="5">
        <f t="shared" si="83"/>
        <v>3</v>
      </c>
      <c r="AH273" s="5" t="str">
        <f t="shared" si="84"/>
        <v>Correct</v>
      </c>
      <c r="AI273" s="5"/>
      <c r="AJ273" s="120" t="str">
        <f>IFERROR(VLOOKUP(Table1[RespondentID],'All Data'!$A$3:$CO$999,87,FALSE),"unknown")</f>
        <v>Man</v>
      </c>
      <c r="AK273" s="120">
        <f>IFERROR(VLOOKUP(Table1[RespondentID],'All Data'!$A$3:$CO$999,88,FALSE),"unknown")</f>
        <v>16</v>
      </c>
      <c r="AL273" s="120" t="str">
        <f>IFERROR(VLOOKUP(Table1[RespondentID],'All Data'!$A$3:$CO$999,89,FALSE),"unknown")</f>
        <v>Suffolk</v>
      </c>
      <c r="AM273" s="120" t="str">
        <f>IFERROR(VLOOKUP(Table1[RespondentID],'All Data'!$A$3:$CO$999,90,FALSE),"unknown")</f>
        <v>Nesconset, 11767</v>
      </c>
      <c r="AN273" s="120" t="str">
        <f>IFERROR(VLOOKUP(Table1[RespondentID],'All Data'!$A$3:$CO$999,91,FALSE),"unknown")</f>
        <v>White</v>
      </c>
      <c r="AO273" s="120" t="str">
        <f>IFERROR(VLOOKUP(Table1[RespondentID],'All Data'!$A$3:$CO$999,92,FALSE),"unknown")</f>
        <v>Hispanic or Latino</v>
      </c>
      <c r="AP273" s="120" t="str">
        <f>IFERROR(VLOOKUP(Table1[RespondentID],'All Data'!$A$3:$CO$999,93,FALSE),"unknown")</f>
        <v>English</v>
      </c>
      <c r="AQ273" s="120" t="str">
        <f>IFERROR(VLOOKUP(Table1[RespondentID],'All Data'!$A$3:$CW$999,94,FALSE),"unknown")</f>
        <v>Over $125,000</v>
      </c>
      <c r="AR273" s="120" t="str">
        <f>IFERROR(VLOOKUP(Table1[RespondentID],'All Data'!$A$3:$CW$999,95,FALSE),"unknown")</f>
        <v>Some high school</v>
      </c>
      <c r="AS273" s="120" t="str">
        <f>IFERROR(VLOOKUP(Table1[RespondentID],'All Data'!$A$3:$CW$999,96,FALSE),"unknown")</f>
        <v>Student</v>
      </c>
      <c r="AT273" s="120" t="str">
        <f>IFERROR(VLOOKUP(Table1[RespondentID],'All Data'!$A$3:$CW$999,97,FALSE),"unknown")</f>
        <v>Yes</v>
      </c>
      <c r="AU273" s="120" t="str">
        <f>IFERROR(VLOOKUP(Table1[RespondentID],'All Data'!$A$3:$CW$999,98,FALSE),"unknown")</f>
        <v>Private/Commercial</v>
      </c>
      <c r="AV273" s="120" t="str">
        <f>IFERROR(VLOOKUP(Table1[RespondentID],'All Data'!$A$3:$CW$999,99,FALSE),"unknown")</f>
        <v>Yes</v>
      </c>
    </row>
    <row r="274" spans="1:48">
      <c r="A274" s="5">
        <v>18016880556</v>
      </c>
      <c r="B274" s="5"/>
      <c r="C274" s="5" t="s">
        <v>39</v>
      </c>
      <c r="D274" s="5"/>
      <c r="E274" s="5" t="s">
        <v>41</v>
      </c>
      <c r="F274" s="5"/>
      <c r="G274" s="5"/>
      <c r="H274" s="5" t="s">
        <v>43</v>
      </c>
      <c r="I274" s="5"/>
      <c r="J274" s="5"/>
      <c r="K274" s="5"/>
      <c r="L274" s="5"/>
      <c r="M274" s="5"/>
      <c r="N274" s="5"/>
      <c r="O274" s="5">
        <f t="shared" si="68"/>
        <v>3</v>
      </c>
      <c r="P274" s="5">
        <f t="shared" si="69"/>
        <v>1</v>
      </c>
      <c r="Q274" s="5"/>
      <c r="R274" s="5">
        <f t="shared" si="70"/>
        <v>0</v>
      </c>
      <c r="S274" s="5">
        <f t="shared" si="71"/>
        <v>1</v>
      </c>
      <c r="T274" s="5">
        <f t="shared" si="72"/>
        <v>0</v>
      </c>
      <c r="U274" s="5">
        <f t="shared" si="73"/>
        <v>1</v>
      </c>
      <c r="V274" s="5">
        <f t="shared" si="74"/>
        <v>0</v>
      </c>
      <c r="W274" s="5">
        <f t="shared" si="75"/>
        <v>0</v>
      </c>
      <c r="X274" s="5">
        <f t="shared" si="76"/>
        <v>1</v>
      </c>
      <c r="Y274" s="5">
        <f t="shared" si="77"/>
        <v>0</v>
      </c>
      <c r="Z274" s="5">
        <f t="shared" si="78"/>
        <v>0</v>
      </c>
      <c r="AA274" s="5">
        <f t="shared" si="79"/>
        <v>0</v>
      </c>
      <c r="AB274" s="5">
        <f t="shared" si="80"/>
        <v>0</v>
      </c>
      <c r="AC274" s="5">
        <f t="shared" si="81"/>
        <v>0</v>
      </c>
      <c r="AD274" s="5"/>
      <c r="AE274" s="5"/>
      <c r="AF274" s="5">
        <f t="shared" si="82"/>
        <v>3</v>
      </c>
      <c r="AG274" s="5">
        <f t="shared" si="83"/>
        <v>3</v>
      </c>
      <c r="AH274" s="5" t="str">
        <f t="shared" si="84"/>
        <v>Correct</v>
      </c>
      <c r="AI274" s="5"/>
      <c r="AJ274" s="120" t="str">
        <f>IFERROR(VLOOKUP(Table1[RespondentID],'All Data'!$A$3:$CO$999,87,FALSE),"unknown")</f>
        <v>Man</v>
      </c>
      <c r="AK274" s="120">
        <f>IFERROR(VLOOKUP(Table1[RespondentID],'All Data'!$A$3:$CO$999,88,FALSE),"unknown")</f>
        <v>16</v>
      </c>
      <c r="AL274" s="120" t="str">
        <f>IFERROR(VLOOKUP(Table1[RespondentID],'All Data'!$A$3:$CO$999,89,FALSE),"unknown")</f>
        <v>Suffolk</v>
      </c>
      <c r="AM274" s="120" t="str">
        <f>IFERROR(VLOOKUP(Table1[RespondentID],'All Data'!$A$3:$CO$999,90,FALSE),"unknown")</f>
        <v>Nesconset, 11767</v>
      </c>
      <c r="AN274" s="120" t="str">
        <f>IFERROR(VLOOKUP(Table1[RespondentID],'All Data'!$A$3:$CO$999,91,FALSE),"unknown")</f>
        <v>White</v>
      </c>
      <c r="AO274" s="120" t="str">
        <f>IFERROR(VLOOKUP(Table1[RespondentID],'All Data'!$A$3:$CO$999,92,FALSE),"unknown")</f>
        <v>Hispanic or Latino</v>
      </c>
      <c r="AP274" s="120" t="str">
        <f>IFERROR(VLOOKUP(Table1[RespondentID],'All Data'!$A$3:$CO$999,93,FALSE),"unknown")</f>
        <v>English</v>
      </c>
      <c r="AQ274" s="120" t="str">
        <f>IFERROR(VLOOKUP(Table1[RespondentID],'All Data'!$A$3:$CW$999,94,FALSE),"unknown")</f>
        <v>Over $125,000</v>
      </c>
      <c r="AR274" s="120" t="str">
        <f>IFERROR(VLOOKUP(Table1[RespondentID],'All Data'!$A$3:$CW$999,95,FALSE),"unknown")</f>
        <v>Some high school</v>
      </c>
      <c r="AS274" s="120" t="str">
        <f>IFERROR(VLOOKUP(Table1[RespondentID],'All Data'!$A$3:$CW$999,96,FALSE),"unknown")</f>
        <v>Student</v>
      </c>
      <c r="AT274" s="120" t="str">
        <f>IFERROR(VLOOKUP(Table1[RespondentID],'All Data'!$A$3:$CW$999,97,FALSE),"unknown")</f>
        <v>Yes</v>
      </c>
      <c r="AU274" s="120" t="str">
        <f>IFERROR(VLOOKUP(Table1[RespondentID],'All Data'!$A$3:$CW$999,98,FALSE),"unknown")</f>
        <v>Private/Commercial</v>
      </c>
      <c r="AV274" s="120" t="str">
        <f>IFERROR(VLOOKUP(Table1[RespondentID],'All Data'!$A$3:$CW$999,99,FALSE),"unknown")</f>
        <v>Yes</v>
      </c>
    </row>
    <row r="275" spans="1:48">
      <c r="A275" s="5">
        <v>18016880499</v>
      </c>
      <c r="B275" s="5"/>
      <c r="C275" s="5" t="s">
        <v>39</v>
      </c>
      <c r="D275" s="5"/>
      <c r="E275" s="5" t="s">
        <v>41</v>
      </c>
      <c r="F275" s="5"/>
      <c r="G275" s="5"/>
      <c r="H275" s="5" t="s">
        <v>43</v>
      </c>
      <c r="I275" s="5"/>
      <c r="J275" s="5"/>
      <c r="K275" s="5"/>
      <c r="L275" s="5"/>
      <c r="M275" s="5"/>
      <c r="N275" s="5"/>
      <c r="O275" s="5">
        <f t="shared" si="68"/>
        <v>3</v>
      </c>
      <c r="P275" s="5">
        <f t="shared" si="69"/>
        <v>1</v>
      </c>
      <c r="Q275" s="5"/>
      <c r="R275" s="5">
        <f t="shared" si="70"/>
        <v>0</v>
      </c>
      <c r="S275" s="5">
        <f t="shared" si="71"/>
        <v>1</v>
      </c>
      <c r="T275" s="5">
        <f t="shared" si="72"/>
        <v>0</v>
      </c>
      <c r="U275" s="5">
        <f t="shared" si="73"/>
        <v>1</v>
      </c>
      <c r="V275" s="5">
        <f t="shared" si="74"/>
        <v>0</v>
      </c>
      <c r="W275" s="5">
        <f t="shared" si="75"/>
        <v>0</v>
      </c>
      <c r="X275" s="5">
        <f t="shared" si="76"/>
        <v>1</v>
      </c>
      <c r="Y275" s="5">
        <f t="shared" si="77"/>
        <v>0</v>
      </c>
      <c r="Z275" s="5">
        <f t="shared" si="78"/>
        <v>0</v>
      </c>
      <c r="AA275" s="5">
        <f t="shared" si="79"/>
        <v>0</v>
      </c>
      <c r="AB275" s="5">
        <f t="shared" si="80"/>
        <v>0</v>
      </c>
      <c r="AC275" s="5">
        <f t="shared" si="81"/>
        <v>0</v>
      </c>
      <c r="AD275" s="5"/>
      <c r="AE275" s="5"/>
      <c r="AF275" s="5">
        <f t="shared" si="82"/>
        <v>3</v>
      </c>
      <c r="AG275" s="5">
        <f t="shared" si="83"/>
        <v>3</v>
      </c>
      <c r="AH275" s="5" t="str">
        <f t="shared" si="84"/>
        <v>Correct</v>
      </c>
      <c r="AI275" s="5"/>
      <c r="AJ275" s="120" t="str">
        <f>IFERROR(VLOOKUP(Table1[RespondentID],'All Data'!$A$3:$CO$999,87,FALSE),"unknown")</f>
        <v>Man</v>
      </c>
      <c r="AK275" s="120">
        <f>IFERROR(VLOOKUP(Table1[RespondentID],'All Data'!$A$3:$CO$999,88,FALSE),"unknown")</f>
        <v>16</v>
      </c>
      <c r="AL275" s="120" t="str">
        <f>IFERROR(VLOOKUP(Table1[RespondentID],'All Data'!$A$3:$CO$999,89,FALSE),"unknown")</f>
        <v>Suffolk</v>
      </c>
      <c r="AM275" s="120" t="str">
        <f>IFERROR(VLOOKUP(Table1[RespondentID],'All Data'!$A$3:$CO$999,90,FALSE),"unknown")</f>
        <v>Nesconset, 11767</v>
      </c>
      <c r="AN275" s="120" t="str">
        <f>IFERROR(VLOOKUP(Table1[RespondentID],'All Data'!$A$3:$CO$999,91,FALSE),"unknown")</f>
        <v>White</v>
      </c>
      <c r="AO275" s="120" t="str">
        <f>IFERROR(VLOOKUP(Table1[RespondentID],'All Data'!$A$3:$CO$999,92,FALSE),"unknown")</f>
        <v>Hispanic or Latino</v>
      </c>
      <c r="AP275" s="120" t="str">
        <f>IFERROR(VLOOKUP(Table1[RespondentID],'All Data'!$A$3:$CO$999,93,FALSE),"unknown")</f>
        <v>English</v>
      </c>
      <c r="AQ275" s="120" t="str">
        <f>IFERROR(VLOOKUP(Table1[RespondentID],'All Data'!$A$3:$CW$999,94,FALSE),"unknown")</f>
        <v>Over $125,000</v>
      </c>
      <c r="AR275" s="120" t="str">
        <f>IFERROR(VLOOKUP(Table1[RespondentID],'All Data'!$A$3:$CW$999,95,FALSE),"unknown")</f>
        <v>Some high school</v>
      </c>
      <c r="AS275" s="120" t="str">
        <f>IFERROR(VLOOKUP(Table1[RespondentID],'All Data'!$A$3:$CW$999,96,FALSE),"unknown")</f>
        <v>Student</v>
      </c>
      <c r="AT275" s="120" t="str">
        <f>IFERROR(VLOOKUP(Table1[RespondentID],'All Data'!$A$3:$CW$999,97,FALSE),"unknown")</f>
        <v>Yes</v>
      </c>
      <c r="AU275" s="120" t="str">
        <f>IFERROR(VLOOKUP(Table1[RespondentID],'All Data'!$A$3:$CW$999,98,FALSE),"unknown")</f>
        <v>Private/Commercial</v>
      </c>
      <c r="AV275" s="120" t="str">
        <f>IFERROR(VLOOKUP(Table1[RespondentID],'All Data'!$A$3:$CW$999,99,FALSE),"unknown")</f>
        <v>Yes</v>
      </c>
    </row>
    <row r="276" spans="1:48">
      <c r="A276" s="5">
        <v>18016880433</v>
      </c>
      <c r="B276" s="5"/>
      <c r="C276" s="5" t="s">
        <v>39</v>
      </c>
      <c r="D276" s="5"/>
      <c r="E276" s="5" t="s">
        <v>41</v>
      </c>
      <c r="F276" s="5"/>
      <c r="G276" s="5"/>
      <c r="H276" s="5" t="s">
        <v>43</v>
      </c>
      <c r="I276" s="5"/>
      <c r="J276" s="5"/>
      <c r="K276" s="5"/>
      <c r="L276" s="5"/>
      <c r="M276" s="5"/>
      <c r="N276" s="5"/>
      <c r="O276" s="5">
        <f t="shared" si="68"/>
        <v>3</v>
      </c>
      <c r="P276" s="5">
        <f t="shared" si="69"/>
        <v>1</v>
      </c>
      <c r="Q276" s="5"/>
      <c r="R276" s="5">
        <f t="shared" si="70"/>
        <v>0</v>
      </c>
      <c r="S276" s="5">
        <f t="shared" si="71"/>
        <v>1</v>
      </c>
      <c r="T276" s="5">
        <f t="shared" si="72"/>
        <v>0</v>
      </c>
      <c r="U276" s="5">
        <f t="shared" si="73"/>
        <v>1</v>
      </c>
      <c r="V276" s="5">
        <f t="shared" si="74"/>
        <v>0</v>
      </c>
      <c r="W276" s="5">
        <f t="shared" si="75"/>
        <v>0</v>
      </c>
      <c r="X276" s="5">
        <f t="shared" si="76"/>
        <v>1</v>
      </c>
      <c r="Y276" s="5">
        <f t="shared" si="77"/>
        <v>0</v>
      </c>
      <c r="Z276" s="5">
        <f t="shared" si="78"/>
        <v>0</v>
      </c>
      <c r="AA276" s="5">
        <f t="shared" si="79"/>
        <v>0</v>
      </c>
      <c r="AB276" s="5">
        <f t="shared" si="80"/>
        <v>0</v>
      </c>
      <c r="AC276" s="5">
        <f t="shared" si="81"/>
        <v>0</v>
      </c>
      <c r="AD276" s="5"/>
      <c r="AE276" s="5"/>
      <c r="AF276" s="5">
        <f t="shared" si="82"/>
        <v>3</v>
      </c>
      <c r="AG276" s="5">
        <f t="shared" si="83"/>
        <v>3</v>
      </c>
      <c r="AH276" s="5" t="str">
        <f t="shared" si="84"/>
        <v>Correct</v>
      </c>
      <c r="AI276" s="5"/>
      <c r="AJ276" s="120" t="str">
        <f>IFERROR(VLOOKUP(Table1[RespondentID],'All Data'!$A$3:$CO$999,87,FALSE),"unknown")</f>
        <v>Man</v>
      </c>
      <c r="AK276" s="120">
        <f>IFERROR(VLOOKUP(Table1[RespondentID],'All Data'!$A$3:$CO$999,88,FALSE),"unknown")</f>
        <v>16</v>
      </c>
      <c r="AL276" s="120" t="str">
        <f>IFERROR(VLOOKUP(Table1[RespondentID],'All Data'!$A$3:$CO$999,89,FALSE),"unknown")</f>
        <v>Suffolk</v>
      </c>
      <c r="AM276" s="120" t="str">
        <f>IFERROR(VLOOKUP(Table1[RespondentID],'All Data'!$A$3:$CO$999,90,FALSE),"unknown")</f>
        <v>Nesconset, 11767</v>
      </c>
      <c r="AN276" s="120" t="str">
        <f>IFERROR(VLOOKUP(Table1[RespondentID],'All Data'!$A$3:$CO$999,91,FALSE),"unknown")</f>
        <v>White</v>
      </c>
      <c r="AO276" s="120" t="str">
        <f>IFERROR(VLOOKUP(Table1[RespondentID],'All Data'!$A$3:$CO$999,92,FALSE),"unknown")</f>
        <v>Hispanic or Latino</v>
      </c>
      <c r="AP276" s="120" t="str">
        <f>IFERROR(VLOOKUP(Table1[RespondentID],'All Data'!$A$3:$CO$999,93,FALSE),"unknown")</f>
        <v>English</v>
      </c>
      <c r="AQ276" s="120" t="str">
        <f>IFERROR(VLOOKUP(Table1[RespondentID],'All Data'!$A$3:$CW$999,94,FALSE),"unknown")</f>
        <v>Over $125,000</v>
      </c>
      <c r="AR276" s="120" t="str">
        <f>IFERROR(VLOOKUP(Table1[RespondentID],'All Data'!$A$3:$CW$999,95,FALSE),"unknown")</f>
        <v>Some high school</v>
      </c>
      <c r="AS276" s="120" t="str">
        <f>IFERROR(VLOOKUP(Table1[RespondentID],'All Data'!$A$3:$CW$999,96,FALSE),"unknown")</f>
        <v>Student</v>
      </c>
      <c r="AT276" s="120" t="str">
        <f>IFERROR(VLOOKUP(Table1[RespondentID],'All Data'!$A$3:$CW$999,97,FALSE),"unknown")</f>
        <v>Yes</v>
      </c>
      <c r="AU276" s="120" t="str">
        <f>IFERROR(VLOOKUP(Table1[RespondentID],'All Data'!$A$3:$CW$999,98,FALSE),"unknown")</f>
        <v>Private/Commercial</v>
      </c>
      <c r="AV276" s="120" t="str">
        <f>IFERROR(VLOOKUP(Table1[RespondentID],'All Data'!$A$3:$CW$999,99,FALSE),"unknown")</f>
        <v>Yes</v>
      </c>
    </row>
    <row r="277" spans="1:48">
      <c r="A277" s="5">
        <v>18016880374</v>
      </c>
      <c r="B277" s="5"/>
      <c r="C277" s="5" t="s">
        <v>39</v>
      </c>
      <c r="D277" s="5"/>
      <c r="E277" s="5" t="s">
        <v>41</v>
      </c>
      <c r="F277" s="5"/>
      <c r="G277" s="5"/>
      <c r="H277" s="5" t="s">
        <v>43</v>
      </c>
      <c r="I277" s="5"/>
      <c r="J277" s="5"/>
      <c r="K277" s="5"/>
      <c r="L277" s="5"/>
      <c r="M277" s="5"/>
      <c r="N277" s="5"/>
      <c r="O277" s="5">
        <f t="shared" si="68"/>
        <v>3</v>
      </c>
      <c r="P277" s="5">
        <f t="shared" si="69"/>
        <v>1</v>
      </c>
      <c r="Q277" s="5"/>
      <c r="R277" s="5">
        <f t="shared" si="70"/>
        <v>0</v>
      </c>
      <c r="S277" s="5">
        <f t="shared" si="71"/>
        <v>1</v>
      </c>
      <c r="T277" s="5">
        <f t="shared" si="72"/>
        <v>0</v>
      </c>
      <c r="U277" s="5">
        <f t="shared" si="73"/>
        <v>1</v>
      </c>
      <c r="V277" s="5">
        <f t="shared" si="74"/>
        <v>0</v>
      </c>
      <c r="W277" s="5">
        <f t="shared" si="75"/>
        <v>0</v>
      </c>
      <c r="X277" s="5">
        <f t="shared" si="76"/>
        <v>1</v>
      </c>
      <c r="Y277" s="5">
        <f t="shared" si="77"/>
        <v>0</v>
      </c>
      <c r="Z277" s="5">
        <f t="shared" si="78"/>
        <v>0</v>
      </c>
      <c r="AA277" s="5">
        <f t="shared" si="79"/>
        <v>0</v>
      </c>
      <c r="AB277" s="5">
        <f t="shared" si="80"/>
        <v>0</v>
      </c>
      <c r="AC277" s="5">
        <f t="shared" si="81"/>
        <v>0</v>
      </c>
      <c r="AD277" s="5"/>
      <c r="AE277" s="5"/>
      <c r="AF277" s="5">
        <f t="shared" si="82"/>
        <v>3</v>
      </c>
      <c r="AG277" s="5">
        <f t="shared" si="83"/>
        <v>3</v>
      </c>
      <c r="AH277" s="5" t="str">
        <f t="shared" si="84"/>
        <v>Correct</v>
      </c>
      <c r="AI277" s="5"/>
      <c r="AJ277" s="120" t="str">
        <f>IFERROR(VLOOKUP(Table1[RespondentID],'All Data'!$A$3:$CO$999,87,FALSE),"unknown")</f>
        <v>Man</v>
      </c>
      <c r="AK277" s="120">
        <f>IFERROR(VLOOKUP(Table1[RespondentID],'All Data'!$A$3:$CO$999,88,FALSE),"unknown")</f>
        <v>16</v>
      </c>
      <c r="AL277" s="120" t="str">
        <f>IFERROR(VLOOKUP(Table1[RespondentID],'All Data'!$A$3:$CO$999,89,FALSE),"unknown")</f>
        <v>Suffolk</v>
      </c>
      <c r="AM277" s="120" t="str">
        <f>IFERROR(VLOOKUP(Table1[RespondentID],'All Data'!$A$3:$CO$999,90,FALSE),"unknown")</f>
        <v>Nesconset, 11767</v>
      </c>
      <c r="AN277" s="120" t="str">
        <f>IFERROR(VLOOKUP(Table1[RespondentID],'All Data'!$A$3:$CO$999,91,FALSE),"unknown")</f>
        <v>White</v>
      </c>
      <c r="AO277" s="120" t="str">
        <f>IFERROR(VLOOKUP(Table1[RespondentID],'All Data'!$A$3:$CO$999,92,FALSE),"unknown")</f>
        <v>Hispanic or Latino</v>
      </c>
      <c r="AP277" s="120" t="str">
        <f>IFERROR(VLOOKUP(Table1[RespondentID],'All Data'!$A$3:$CO$999,93,FALSE),"unknown")</f>
        <v>English</v>
      </c>
      <c r="AQ277" s="120" t="str">
        <f>IFERROR(VLOOKUP(Table1[RespondentID],'All Data'!$A$3:$CW$999,94,FALSE),"unknown")</f>
        <v>Over $125,000</v>
      </c>
      <c r="AR277" s="120" t="str">
        <f>IFERROR(VLOOKUP(Table1[RespondentID],'All Data'!$A$3:$CW$999,95,FALSE),"unknown")</f>
        <v>Some high school</v>
      </c>
      <c r="AS277" s="120" t="str">
        <f>IFERROR(VLOOKUP(Table1[RespondentID],'All Data'!$A$3:$CW$999,96,FALSE),"unknown")</f>
        <v>Student</v>
      </c>
      <c r="AT277" s="120" t="str">
        <f>IFERROR(VLOOKUP(Table1[RespondentID],'All Data'!$A$3:$CW$999,97,FALSE),"unknown")</f>
        <v>Yes</v>
      </c>
      <c r="AU277" s="120" t="str">
        <f>IFERROR(VLOOKUP(Table1[RespondentID],'All Data'!$A$3:$CW$999,98,FALSE),"unknown")</f>
        <v>Private/Commercial</v>
      </c>
      <c r="AV277" s="120" t="str">
        <f>IFERROR(VLOOKUP(Table1[RespondentID],'All Data'!$A$3:$CW$999,99,FALSE),"unknown")</f>
        <v>Yes</v>
      </c>
    </row>
    <row r="278" spans="1:48">
      <c r="A278" s="5">
        <v>18016880299</v>
      </c>
      <c r="B278" s="5"/>
      <c r="C278" s="5" t="s">
        <v>39</v>
      </c>
      <c r="D278" s="5"/>
      <c r="E278" s="5" t="s">
        <v>41</v>
      </c>
      <c r="F278" s="5"/>
      <c r="G278" s="5"/>
      <c r="H278" s="5" t="s">
        <v>43</v>
      </c>
      <c r="I278" s="5"/>
      <c r="J278" s="5"/>
      <c r="K278" s="5"/>
      <c r="L278" s="5"/>
      <c r="M278" s="5"/>
      <c r="N278" s="5"/>
      <c r="O278" s="5">
        <f t="shared" si="68"/>
        <v>3</v>
      </c>
      <c r="P278" s="5">
        <f t="shared" si="69"/>
        <v>1</v>
      </c>
      <c r="Q278" s="5"/>
      <c r="R278" s="5">
        <f t="shared" si="70"/>
        <v>0</v>
      </c>
      <c r="S278" s="5">
        <f t="shared" si="71"/>
        <v>1</v>
      </c>
      <c r="T278" s="5">
        <f t="shared" si="72"/>
        <v>0</v>
      </c>
      <c r="U278" s="5">
        <f t="shared" si="73"/>
        <v>1</v>
      </c>
      <c r="V278" s="5">
        <f t="shared" si="74"/>
        <v>0</v>
      </c>
      <c r="W278" s="5">
        <f t="shared" si="75"/>
        <v>0</v>
      </c>
      <c r="X278" s="5">
        <f t="shared" si="76"/>
        <v>1</v>
      </c>
      <c r="Y278" s="5">
        <f t="shared" si="77"/>
        <v>0</v>
      </c>
      <c r="Z278" s="5">
        <f t="shared" si="78"/>
        <v>0</v>
      </c>
      <c r="AA278" s="5">
        <f t="shared" si="79"/>
        <v>0</v>
      </c>
      <c r="AB278" s="5">
        <f t="shared" si="80"/>
        <v>0</v>
      </c>
      <c r="AC278" s="5">
        <f t="shared" si="81"/>
        <v>0</v>
      </c>
      <c r="AD278" s="5"/>
      <c r="AE278" s="5"/>
      <c r="AF278" s="5">
        <f t="shared" si="82"/>
        <v>3</v>
      </c>
      <c r="AG278" s="5">
        <f t="shared" si="83"/>
        <v>3</v>
      </c>
      <c r="AH278" s="5" t="str">
        <f t="shared" si="84"/>
        <v>Correct</v>
      </c>
      <c r="AI278" s="5"/>
      <c r="AJ278" s="120" t="str">
        <f>IFERROR(VLOOKUP(Table1[RespondentID],'All Data'!$A$3:$CO$999,87,FALSE),"unknown")</f>
        <v>Man</v>
      </c>
      <c r="AK278" s="120">
        <f>IFERROR(VLOOKUP(Table1[RespondentID],'All Data'!$A$3:$CO$999,88,FALSE),"unknown")</f>
        <v>16</v>
      </c>
      <c r="AL278" s="120" t="str">
        <f>IFERROR(VLOOKUP(Table1[RespondentID],'All Data'!$A$3:$CO$999,89,FALSE),"unknown")</f>
        <v>Suffolk</v>
      </c>
      <c r="AM278" s="120" t="str">
        <f>IFERROR(VLOOKUP(Table1[RespondentID],'All Data'!$A$3:$CO$999,90,FALSE),"unknown")</f>
        <v>Nesconset, 11767</v>
      </c>
      <c r="AN278" s="120" t="str">
        <f>IFERROR(VLOOKUP(Table1[RespondentID],'All Data'!$A$3:$CO$999,91,FALSE),"unknown")</f>
        <v>White</v>
      </c>
      <c r="AO278" s="120" t="str">
        <f>IFERROR(VLOOKUP(Table1[RespondentID],'All Data'!$A$3:$CO$999,92,FALSE),"unknown")</f>
        <v>Hispanic or Latino</v>
      </c>
      <c r="AP278" s="120" t="str">
        <f>IFERROR(VLOOKUP(Table1[RespondentID],'All Data'!$A$3:$CO$999,93,FALSE),"unknown")</f>
        <v>English</v>
      </c>
      <c r="AQ278" s="120" t="str">
        <f>IFERROR(VLOOKUP(Table1[RespondentID],'All Data'!$A$3:$CW$999,94,FALSE),"unknown")</f>
        <v>Over $125,000</v>
      </c>
      <c r="AR278" s="120" t="str">
        <f>IFERROR(VLOOKUP(Table1[RespondentID],'All Data'!$A$3:$CW$999,95,FALSE),"unknown")</f>
        <v>High school graduate</v>
      </c>
      <c r="AS278" s="120" t="str">
        <f>IFERROR(VLOOKUP(Table1[RespondentID],'All Data'!$A$3:$CW$999,96,FALSE),"unknown")</f>
        <v>Student</v>
      </c>
      <c r="AT278" s="120" t="str">
        <f>IFERROR(VLOOKUP(Table1[RespondentID],'All Data'!$A$3:$CW$999,97,FALSE),"unknown")</f>
        <v>Yes</v>
      </c>
      <c r="AU278" s="120" t="str">
        <f>IFERROR(VLOOKUP(Table1[RespondentID],'All Data'!$A$3:$CW$999,98,FALSE),"unknown")</f>
        <v>Private/Commercial</v>
      </c>
      <c r="AV278" s="120" t="str">
        <f>IFERROR(VLOOKUP(Table1[RespondentID],'All Data'!$A$3:$CW$999,99,FALSE),"unknown")</f>
        <v>Yes</v>
      </c>
    </row>
    <row r="279" spans="1:48">
      <c r="A279" s="5">
        <v>18016880225</v>
      </c>
      <c r="B279" s="5" t="s">
        <v>38</v>
      </c>
      <c r="C279" s="5" t="s">
        <v>39</v>
      </c>
      <c r="D279" s="5"/>
      <c r="E279" s="5" t="s">
        <v>41</v>
      </c>
      <c r="F279" s="5"/>
      <c r="G279" s="5"/>
      <c r="H279" s="5"/>
      <c r="I279" s="5"/>
      <c r="J279" s="5"/>
      <c r="K279" s="5"/>
      <c r="L279" s="5"/>
      <c r="M279" s="5"/>
      <c r="N279" s="5"/>
      <c r="O279" s="5">
        <f t="shared" si="68"/>
        <v>3</v>
      </c>
      <c r="P279" s="5">
        <f t="shared" si="69"/>
        <v>1</v>
      </c>
      <c r="Q279" s="5"/>
      <c r="R279" s="5">
        <f t="shared" si="70"/>
        <v>1</v>
      </c>
      <c r="S279" s="5">
        <f t="shared" si="71"/>
        <v>1</v>
      </c>
      <c r="T279" s="5">
        <f t="shared" si="72"/>
        <v>0</v>
      </c>
      <c r="U279" s="5">
        <f t="shared" si="73"/>
        <v>1</v>
      </c>
      <c r="V279" s="5">
        <f t="shared" si="74"/>
        <v>0</v>
      </c>
      <c r="W279" s="5">
        <f t="shared" si="75"/>
        <v>0</v>
      </c>
      <c r="X279" s="5">
        <f t="shared" si="76"/>
        <v>0</v>
      </c>
      <c r="Y279" s="5">
        <f t="shared" si="77"/>
        <v>0</v>
      </c>
      <c r="Z279" s="5">
        <f t="shared" si="78"/>
        <v>0</v>
      </c>
      <c r="AA279" s="5">
        <f t="shared" si="79"/>
        <v>0</v>
      </c>
      <c r="AB279" s="5">
        <f t="shared" si="80"/>
        <v>0</v>
      </c>
      <c r="AC279" s="5">
        <f t="shared" si="81"/>
        <v>0</v>
      </c>
      <c r="AD279" s="5"/>
      <c r="AE279" s="5"/>
      <c r="AF279" s="5">
        <f t="shared" si="82"/>
        <v>3</v>
      </c>
      <c r="AG279" s="5">
        <f t="shared" si="83"/>
        <v>3</v>
      </c>
      <c r="AH279" s="5" t="str">
        <f t="shared" si="84"/>
        <v>Correct</v>
      </c>
      <c r="AI279" s="5"/>
      <c r="AJ279" s="120" t="str">
        <f>IFERROR(VLOOKUP(Table1[RespondentID],'All Data'!$A$3:$CO$999,87,FALSE),"unknown")</f>
        <v>Man</v>
      </c>
      <c r="AK279" s="120">
        <f>IFERROR(VLOOKUP(Table1[RespondentID],'All Data'!$A$3:$CO$999,88,FALSE),"unknown")</f>
        <v>16</v>
      </c>
      <c r="AL279" s="120" t="str">
        <f>IFERROR(VLOOKUP(Table1[RespondentID],'All Data'!$A$3:$CO$999,89,FALSE),"unknown")</f>
        <v>Suffolk</v>
      </c>
      <c r="AM279" s="120" t="str">
        <f>IFERROR(VLOOKUP(Table1[RespondentID],'All Data'!$A$3:$CO$999,90,FALSE),"unknown")</f>
        <v>Nesconset, 11767</v>
      </c>
      <c r="AN279" s="120" t="str">
        <f>IFERROR(VLOOKUP(Table1[RespondentID],'All Data'!$A$3:$CO$999,91,FALSE),"unknown")</f>
        <v>White</v>
      </c>
      <c r="AO279" s="120" t="str">
        <f>IFERROR(VLOOKUP(Table1[RespondentID],'All Data'!$A$3:$CO$999,92,FALSE),"unknown")</f>
        <v>Hispanic or Latino</v>
      </c>
      <c r="AP279" s="120" t="str">
        <f>IFERROR(VLOOKUP(Table1[RespondentID],'All Data'!$A$3:$CO$999,93,FALSE),"unknown")</f>
        <v>English</v>
      </c>
      <c r="AQ279" s="120" t="str">
        <f>IFERROR(VLOOKUP(Table1[RespondentID],'All Data'!$A$3:$CW$999,94,FALSE),"unknown")</f>
        <v>Over $125,000</v>
      </c>
      <c r="AR279" s="120" t="str">
        <f>IFERROR(VLOOKUP(Table1[RespondentID],'All Data'!$A$3:$CW$999,95,FALSE),"unknown")</f>
        <v>Doctorate</v>
      </c>
      <c r="AS279" s="120" t="str">
        <f>IFERROR(VLOOKUP(Table1[RespondentID],'All Data'!$A$3:$CW$999,96,FALSE),"unknown")</f>
        <v>Student</v>
      </c>
      <c r="AT279" s="120" t="str">
        <f>IFERROR(VLOOKUP(Table1[RespondentID],'All Data'!$A$3:$CW$999,97,FALSE),"unknown")</f>
        <v>Yes</v>
      </c>
      <c r="AU279" s="120" t="str">
        <f>IFERROR(VLOOKUP(Table1[RespondentID],'All Data'!$A$3:$CW$999,98,FALSE),"unknown")</f>
        <v>Private/Commercial</v>
      </c>
      <c r="AV279" s="120" t="str">
        <f>IFERROR(VLOOKUP(Table1[RespondentID],'All Data'!$A$3:$CW$999,99,FALSE),"unknown")</f>
        <v>Yes</v>
      </c>
    </row>
    <row r="280" spans="1:48">
      <c r="A280" s="5">
        <v>18016880137</v>
      </c>
      <c r="B280" s="5" t="s">
        <v>38</v>
      </c>
      <c r="C280" s="5" t="s">
        <v>39</v>
      </c>
      <c r="D280" s="5"/>
      <c r="E280" s="5" t="s">
        <v>41</v>
      </c>
      <c r="F280" s="5"/>
      <c r="G280" s="5"/>
      <c r="H280" s="5"/>
      <c r="I280" s="5"/>
      <c r="J280" s="5"/>
      <c r="K280" s="5"/>
      <c r="L280" s="5"/>
      <c r="M280" s="5"/>
      <c r="N280" s="5"/>
      <c r="O280" s="5">
        <f t="shared" si="68"/>
        <v>3</v>
      </c>
      <c r="P280" s="5">
        <f t="shared" si="69"/>
        <v>1</v>
      </c>
      <c r="Q280" s="5"/>
      <c r="R280" s="5">
        <f t="shared" si="70"/>
        <v>1</v>
      </c>
      <c r="S280" s="5">
        <f t="shared" si="71"/>
        <v>1</v>
      </c>
      <c r="T280" s="5">
        <f t="shared" si="72"/>
        <v>0</v>
      </c>
      <c r="U280" s="5">
        <f t="shared" si="73"/>
        <v>1</v>
      </c>
      <c r="V280" s="5">
        <f t="shared" si="74"/>
        <v>0</v>
      </c>
      <c r="W280" s="5">
        <f t="shared" si="75"/>
        <v>0</v>
      </c>
      <c r="X280" s="5">
        <f t="shared" si="76"/>
        <v>0</v>
      </c>
      <c r="Y280" s="5">
        <f t="shared" si="77"/>
        <v>0</v>
      </c>
      <c r="Z280" s="5">
        <f t="shared" si="78"/>
        <v>0</v>
      </c>
      <c r="AA280" s="5">
        <f t="shared" si="79"/>
        <v>0</v>
      </c>
      <c r="AB280" s="5">
        <f t="shared" si="80"/>
        <v>0</v>
      </c>
      <c r="AC280" s="5">
        <f t="shared" si="81"/>
        <v>0</v>
      </c>
      <c r="AD280" s="5"/>
      <c r="AE280" s="5"/>
      <c r="AF280" s="5">
        <f t="shared" si="82"/>
        <v>3</v>
      </c>
      <c r="AG280" s="5">
        <f t="shared" si="83"/>
        <v>3</v>
      </c>
      <c r="AH280" s="5" t="str">
        <f t="shared" si="84"/>
        <v>Correct</v>
      </c>
      <c r="AI280" s="5"/>
      <c r="AJ280" s="120" t="str">
        <f>IFERROR(VLOOKUP(Table1[RespondentID],'All Data'!$A$3:$CO$999,87,FALSE),"unknown")</f>
        <v>Man</v>
      </c>
      <c r="AK280" s="120">
        <f>IFERROR(VLOOKUP(Table1[RespondentID],'All Data'!$A$3:$CO$999,88,FALSE),"unknown")</f>
        <v>16</v>
      </c>
      <c r="AL280" s="120" t="str">
        <f>IFERROR(VLOOKUP(Table1[RespondentID],'All Data'!$A$3:$CO$999,89,FALSE),"unknown")</f>
        <v>Suffolk</v>
      </c>
      <c r="AM280" s="120" t="str">
        <f>IFERROR(VLOOKUP(Table1[RespondentID],'All Data'!$A$3:$CO$999,90,FALSE),"unknown")</f>
        <v>Nesconset, 11767</v>
      </c>
      <c r="AN280" s="120" t="str">
        <f>IFERROR(VLOOKUP(Table1[RespondentID],'All Data'!$A$3:$CO$999,91,FALSE),"unknown")</f>
        <v>White</v>
      </c>
      <c r="AO280" s="120" t="str">
        <f>IFERROR(VLOOKUP(Table1[RespondentID],'All Data'!$A$3:$CO$999,92,FALSE),"unknown")</f>
        <v>Hispanic or Latino</v>
      </c>
      <c r="AP280" s="120" t="str">
        <f>IFERROR(VLOOKUP(Table1[RespondentID],'All Data'!$A$3:$CO$999,93,FALSE),"unknown")</f>
        <v>English</v>
      </c>
      <c r="AQ280" s="120" t="str">
        <f>IFERROR(VLOOKUP(Table1[RespondentID],'All Data'!$A$3:$CW$999,94,FALSE),"unknown")</f>
        <v>Over $125,000</v>
      </c>
      <c r="AR280" s="120" t="str">
        <f>IFERROR(VLOOKUP(Table1[RespondentID],'All Data'!$A$3:$CW$999,95,FALSE),"unknown")</f>
        <v>Doctorate</v>
      </c>
      <c r="AS280" s="120" t="str">
        <f>IFERROR(VLOOKUP(Table1[RespondentID],'All Data'!$A$3:$CW$999,96,FALSE),"unknown")</f>
        <v>Student</v>
      </c>
      <c r="AT280" s="120" t="str">
        <f>IFERROR(VLOOKUP(Table1[RespondentID],'All Data'!$A$3:$CW$999,97,FALSE),"unknown")</f>
        <v>Yes</v>
      </c>
      <c r="AU280" s="120" t="str">
        <f>IFERROR(VLOOKUP(Table1[RespondentID],'All Data'!$A$3:$CW$999,98,FALSE),"unknown")</f>
        <v>Private/Commercial</v>
      </c>
      <c r="AV280" s="120" t="str">
        <f>IFERROR(VLOOKUP(Table1[RespondentID],'All Data'!$A$3:$CW$999,99,FALSE),"unknown")</f>
        <v>Yes</v>
      </c>
    </row>
    <row r="281" spans="1:48">
      <c r="A281" s="5">
        <v>18016878205</v>
      </c>
      <c r="B281" s="5"/>
      <c r="C281" s="5" t="s">
        <v>39</v>
      </c>
      <c r="D281" s="5"/>
      <c r="E281" s="5" t="s">
        <v>41</v>
      </c>
      <c r="F281" s="5"/>
      <c r="G281" s="5"/>
      <c r="H281" s="5" t="s">
        <v>43</v>
      </c>
      <c r="I281" s="5" t="s">
        <v>44</v>
      </c>
      <c r="J281" s="5" t="s">
        <v>45</v>
      </c>
      <c r="K281" s="5" t="s">
        <v>46</v>
      </c>
      <c r="L281" s="5"/>
      <c r="M281" s="5"/>
      <c r="N281" s="5"/>
      <c r="O281" s="5">
        <f t="shared" si="68"/>
        <v>6</v>
      </c>
      <c r="P281" s="5">
        <f t="shared" si="69"/>
        <v>0.5</v>
      </c>
      <c r="Q281" s="5"/>
      <c r="R281" s="5">
        <f t="shared" si="70"/>
        <v>0</v>
      </c>
      <c r="S281" s="5">
        <f t="shared" si="71"/>
        <v>0.5</v>
      </c>
      <c r="T281" s="5">
        <f t="shared" si="72"/>
        <v>0</v>
      </c>
      <c r="U281" s="5">
        <f t="shared" si="73"/>
        <v>0.5</v>
      </c>
      <c r="V281" s="5">
        <f t="shared" si="74"/>
        <v>0</v>
      </c>
      <c r="W281" s="5">
        <f t="shared" si="75"/>
        <v>0</v>
      </c>
      <c r="X281" s="5">
        <f t="shared" si="76"/>
        <v>0.5</v>
      </c>
      <c r="Y281" s="5">
        <f t="shared" si="77"/>
        <v>0.5</v>
      </c>
      <c r="Z281" s="5">
        <f t="shared" si="78"/>
        <v>0.5</v>
      </c>
      <c r="AA281" s="5">
        <f t="shared" si="79"/>
        <v>0.5</v>
      </c>
      <c r="AB281" s="5">
        <f t="shared" si="80"/>
        <v>0</v>
      </c>
      <c r="AC281" s="5">
        <f t="shared" si="81"/>
        <v>0</v>
      </c>
      <c r="AD281" s="5"/>
      <c r="AE281" s="5"/>
      <c r="AF281" s="5">
        <f t="shared" si="82"/>
        <v>3</v>
      </c>
      <c r="AG281" s="5">
        <f t="shared" si="83"/>
        <v>6</v>
      </c>
      <c r="AH281" s="5" t="str">
        <f t="shared" si="84"/>
        <v>Correct</v>
      </c>
      <c r="AI281" s="5"/>
      <c r="AJ281" s="120" t="str">
        <f>IFERROR(VLOOKUP(Table1[RespondentID],'All Data'!$A$3:$CO$999,87,FALSE),"unknown")</f>
        <v>Man</v>
      </c>
      <c r="AK281" s="120">
        <f>IFERROR(VLOOKUP(Table1[RespondentID],'All Data'!$A$3:$CO$999,88,FALSE),"unknown")</f>
        <v>54</v>
      </c>
      <c r="AL281" s="120" t="str">
        <f>IFERROR(VLOOKUP(Table1[RespondentID],'All Data'!$A$3:$CO$999,89,FALSE),"unknown")</f>
        <v>Suffolk</v>
      </c>
      <c r="AM281" s="120" t="str">
        <f>IFERROR(VLOOKUP(Table1[RespondentID],'All Data'!$A$3:$CO$999,90,FALSE),"unknown")</f>
        <v>Commack, 11725</v>
      </c>
      <c r="AN281" s="120" t="str">
        <f>IFERROR(VLOOKUP(Table1[RespondentID],'All Data'!$A$3:$CO$999,91,FALSE),"unknown")</f>
        <v>White</v>
      </c>
      <c r="AO281" s="120" t="str">
        <f>IFERROR(VLOOKUP(Table1[RespondentID],'All Data'!$A$3:$CO$999,92,FALSE),"unknown")</f>
        <v>Hispanic or Latino</v>
      </c>
      <c r="AP281" s="120" t="str">
        <f>IFERROR(VLOOKUP(Table1[RespondentID],'All Data'!$A$3:$CO$999,93,FALSE),"unknown")</f>
        <v>English</v>
      </c>
      <c r="AQ281" s="120" t="str">
        <f>IFERROR(VLOOKUP(Table1[RespondentID],'All Data'!$A$3:$CW$999,94,FALSE),"unknown")</f>
        <v>Over $125,000</v>
      </c>
      <c r="AR281" s="120" t="str">
        <f>IFERROR(VLOOKUP(Table1[RespondentID],'All Data'!$A$3:$CW$999,95,FALSE),"unknown")</f>
        <v>College graduate</v>
      </c>
      <c r="AS281" s="120" t="str">
        <f>IFERROR(VLOOKUP(Table1[RespondentID],'All Data'!$A$3:$CW$999,96,FALSE),"unknown")</f>
        <v>Retired</v>
      </c>
      <c r="AT281" s="120" t="str">
        <f>IFERROR(VLOOKUP(Table1[RespondentID],'All Data'!$A$3:$CW$999,97,FALSE),"unknown")</f>
        <v>Yes</v>
      </c>
      <c r="AU281" s="120" t="str">
        <f>IFERROR(VLOOKUP(Table1[RespondentID],'All Data'!$A$3:$CW$999,98,FALSE),"unknown")</f>
        <v>Medicaid</v>
      </c>
      <c r="AV281" s="120" t="str">
        <f>IFERROR(VLOOKUP(Table1[RespondentID],'All Data'!$A$3:$CW$999,99,FALSE),"unknown")</f>
        <v>Yes</v>
      </c>
    </row>
    <row r="282" spans="1:48">
      <c r="A282" s="5">
        <v>18016878064</v>
      </c>
      <c r="B282" s="5"/>
      <c r="C282" s="5" t="s">
        <v>39</v>
      </c>
      <c r="D282" s="5"/>
      <c r="E282" s="5" t="s">
        <v>41</v>
      </c>
      <c r="F282" s="5"/>
      <c r="G282" s="5"/>
      <c r="H282" s="5" t="s">
        <v>43</v>
      </c>
      <c r="I282" s="5"/>
      <c r="J282" s="5"/>
      <c r="K282" s="5"/>
      <c r="L282" s="5"/>
      <c r="M282" s="5"/>
      <c r="N282" s="5"/>
      <c r="O282" s="5">
        <f t="shared" si="68"/>
        <v>3</v>
      </c>
      <c r="P282" s="5">
        <f t="shared" si="69"/>
        <v>1</v>
      </c>
      <c r="Q282" s="5"/>
      <c r="R282" s="5">
        <f t="shared" si="70"/>
        <v>0</v>
      </c>
      <c r="S282" s="5">
        <f t="shared" si="71"/>
        <v>1</v>
      </c>
      <c r="T282" s="5">
        <f t="shared" si="72"/>
        <v>0</v>
      </c>
      <c r="U282" s="5">
        <f t="shared" si="73"/>
        <v>1</v>
      </c>
      <c r="V282" s="5">
        <f t="shared" si="74"/>
        <v>0</v>
      </c>
      <c r="W282" s="5">
        <f t="shared" si="75"/>
        <v>0</v>
      </c>
      <c r="X282" s="5">
        <f t="shared" si="76"/>
        <v>1</v>
      </c>
      <c r="Y282" s="5">
        <f t="shared" si="77"/>
        <v>0</v>
      </c>
      <c r="Z282" s="5">
        <f t="shared" si="78"/>
        <v>0</v>
      </c>
      <c r="AA282" s="5">
        <f t="shared" si="79"/>
        <v>0</v>
      </c>
      <c r="AB282" s="5">
        <f t="shared" si="80"/>
        <v>0</v>
      </c>
      <c r="AC282" s="5">
        <f t="shared" si="81"/>
        <v>0</v>
      </c>
      <c r="AD282" s="5"/>
      <c r="AE282" s="5"/>
      <c r="AF282" s="5">
        <f t="shared" si="82"/>
        <v>3</v>
      </c>
      <c r="AG282" s="5">
        <f t="shared" si="83"/>
        <v>3</v>
      </c>
      <c r="AH282" s="5" t="str">
        <f t="shared" si="84"/>
        <v>Correct</v>
      </c>
      <c r="AI282" s="5"/>
      <c r="AJ282" s="120" t="str">
        <f>IFERROR(VLOOKUP(Table1[RespondentID],'All Data'!$A$3:$CO$999,87,FALSE),"unknown")</f>
        <v>Woman</v>
      </c>
      <c r="AK282" s="120">
        <f>IFERROR(VLOOKUP(Table1[RespondentID],'All Data'!$A$3:$CO$999,88,FALSE),"unknown")</f>
        <v>55</v>
      </c>
      <c r="AL282" s="120" t="str">
        <f>IFERROR(VLOOKUP(Table1[RespondentID],'All Data'!$A$3:$CO$999,89,FALSE),"unknown")</f>
        <v>Suffolk</v>
      </c>
      <c r="AM282" s="120" t="str">
        <f>IFERROR(VLOOKUP(Table1[RespondentID],'All Data'!$A$3:$CO$999,90,FALSE),"unknown")</f>
        <v>Commack, 11725</v>
      </c>
      <c r="AN282" s="120" t="str">
        <f>IFERROR(VLOOKUP(Table1[RespondentID],'All Data'!$A$3:$CO$999,91,FALSE),"unknown")</f>
        <v>White</v>
      </c>
      <c r="AO282" s="120" t="str">
        <f>IFERROR(VLOOKUP(Table1[RespondentID],'All Data'!$A$3:$CO$999,92,FALSE),"unknown")</f>
        <v>Hispanic or Latino</v>
      </c>
      <c r="AP282" s="120" t="str">
        <f>IFERROR(VLOOKUP(Table1[RespondentID],'All Data'!$A$3:$CO$999,93,FALSE),"unknown")</f>
        <v>English, Farsi</v>
      </c>
      <c r="AQ282" s="120" t="str">
        <f>IFERROR(VLOOKUP(Table1[RespondentID],'All Data'!$A$3:$CW$999,94,FALSE),"unknown")</f>
        <v>Over $125,000</v>
      </c>
      <c r="AR282" s="120" t="str">
        <f>IFERROR(VLOOKUP(Table1[RespondentID],'All Data'!$A$3:$CW$999,95,FALSE),"unknown")</f>
        <v>College graduate</v>
      </c>
      <c r="AS282" s="120" t="str">
        <f>IFERROR(VLOOKUP(Table1[RespondentID],'All Data'!$A$3:$CW$999,96,FALSE),"unknown")</f>
        <v>Employed for wages</v>
      </c>
      <c r="AT282" s="120" t="str">
        <f>IFERROR(VLOOKUP(Table1[RespondentID],'All Data'!$A$3:$CW$999,97,FALSE),"unknown")</f>
        <v>Yes</v>
      </c>
      <c r="AU282" s="120" t="str">
        <f>IFERROR(VLOOKUP(Table1[RespondentID],'All Data'!$A$3:$CW$999,98,FALSE),"unknown")</f>
        <v>Medicare</v>
      </c>
      <c r="AV282" s="120" t="str">
        <f>IFERROR(VLOOKUP(Table1[RespondentID],'All Data'!$A$3:$CW$999,99,FALSE),"unknown")</f>
        <v>Yes</v>
      </c>
    </row>
    <row r="283" spans="1:48">
      <c r="A283" s="5">
        <v>18016877876</v>
      </c>
      <c r="B283" s="5"/>
      <c r="C283" s="5"/>
      <c r="D283" s="5"/>
      <c r="E283" s="5" t="s">
        <v>41</v>
      </c>
      <c r="F283" s="5" t="s">
        <v>42</v>
      </c>
      <c r="G283" s="5"/>
      <c r="H283" s="5"/>
      <c r="I283" s="5"/>
      <c r="J283" s="5"/>
      <c r="K283" s="5"/>
      <c r="L283" s="5"/>
      <c r="M283" s="5" t="s">
        <v>48</v>
      </c>
      <c r="N283" s="5"/>
      <c r="O283" s="5">
        <f t="shared" si="68"/>
        <v>3</v>
      </c>
      <c r="P283" s="5">
        <f t="shared" si="69"/>
        <v>1</v>
      </c>
      <c r="Q283" s="5"/>
      <c r="R283" s="5">
        <f t="shared" si="70"/>
        <v>0</v>
      </c>
      <c r="S283" s="5">
        <f t="shared" si="71"/>
        <v>0</v>
      </c>
      <c r="T283" s="5">
        <f t="shared" si="72"/>
        <v>0</v>
      </c>
      <c r="U283" s="5">
        <f t="shared" si="73"/>
        <v>1</v>
      </c>
      <c r="V283" s="5">
        <f t="shared" si="74"/>
        <v>1</v>
      </c>
      <c r="W283" s="5">
        <f t="shared" si="75"/>
        <v>0</v>
      </c>
      <c r="X283" s="5">
        <f t="shared" si="76"/>
        <v>0</v>
      </c>
      <c r="Y283" s="5">
        <f t="shared" si="77"/>
        <v>0</v>
      </c>
      <c r="Z283" s="5">
        <f t="shared" si="78"/>
        <v>0</v>
      </c>
      <c r="AA283" s="5">
        <f t="shared" si="79"/>
        <v>0</v>
      </c>
      <c r="AB283" s="5">
        <f t="shared" si="80"/>
        <v>0</v>
      </c>
      <c r="AC283" s="5">
        <f t="shared" si="81"/>
        <v>1</v>
      </c>
      <c r="AD283" s="5"/>
      <c r="AE283" s="5"/>
      <c r="AF283" s="5">
        <f t="shared" si="82"/>
        <v>3</v>
      </c>
      <c r="AG283" s="5">
        <f t="shared" si="83"/>
        <v>3</v>
      </c>
      <c r="AH283" s="5" t="str">
        <f t="shared" si="84"/>
        <v>Correct</v>
      </c>
      <c r="AI283" s="5"/>
      <c r="AJ283" s="120" t="str">
        <f>IFERROR(VLOOKUP(Table1[RespondentID],'All Data'!$A$3:$CO$999,87,FALSE),"unknown")</f>
        <v>Woman</v>
      </c>
      <c r="AK283" s="120">
        <f>IFERROR(VLOOKUP(Table1[RespondentID],'All Data'!$A$3:$CO$999,88,FALSE),"unknown")</f>
        <v>50</v>
      </c>
      <c r="AL283" s="120" t="str">
        <f>IFERROR(VLOOKUP(Table1[RespondentID],'All Data'!$A$3:$CO$999,89,FALSE),"unknown")</f>
        <v>Suffolk</v>
      </c>
      <c r="AM283" s="120" t="str">
        <f>IFERROR(VLOOKUP(Table1[RespondentID],'All Data'!$A$3:$CO$999,90,FALSE),"unknown")</f>
        <v>Commack, 11725</v>
      </c>
      <c r="AN283" s="120" t="str">
        <f>IFERROR(VLOOKUP(Table1[RespondentID],'All Data'!$A$3:$CO$999,91,FALSE),"unknown")</f>
        <v>White</v>
      </c>
      <c r="AO283" s="120" t="str">
        <f>IFERROR(VLOOKUP(Table1[RespondentID],'All Data'!$A$3:$CO$999,92,FALSE),"unknown")</f>
        <v>Hispanic or Latino</v>
      </c>
      <c r="AP283" s="120" t="str">
        <f>IFERROR(VLOOKUP(Table1[RespondentID],'All Data'!$A$3:$CO$999,93,FALSE),"unknown")</f>
        <v>English</v>
      </c>
      <c r="AQ283" s="120" t="str">
        <f>IFERROR(VLOOKUP(Table1[RespondentID],'All Data'!$A$3:$CW$999,94,FALSE),"unknown")</f>
        <v>Over $125,000</v>
      </c>
      <c r="AR283" s="120" t="str">
        <f>IFERROR(VLOOKUP(Table1[RespondentID],'All Data'!$A$3:$CW$999,95,FALSE),"unknown")</f>
        <v>College graduate</v>
      </c>
      <c r="AS283" s="120" t="str">
        <f>IFERROR(VLOOKUP(Table1[RespondentID],'All Data'!$A$3:$CW$999,96,FALSE),"unknown")</f>
        <v>Employed for wages</v>
      </c>
      <c r="AT283" s="120" t="str">
        <f>IFERROR(VLOOKUP(Table1[RespondentID],'All Data'!$A$3:$CW$999,97,FALSE),"unknown")</f>
        <v>Yes</v>
      </c>
      <c r="AU283" s="120" t="str">
        <f>IFERROR(VLOOKUP(Table1[RespondentID],'All Data'!$A$3:$CW$999,98,FALSE),"unknown")</f>
        <v>Medicare</v>
      </c>
      <c r="AV283" s="120" t="str">
        <f>IFERROR(VLOOKUP(Table1[RespondentID],'All Data'!$A$3:$CW$999,99,FALSE),"unknown")</f>
        <v>Yes</v>
      </c>
    </row>
    <row r="284" spans="1:48">
      <c r="A284" s="5">
        <v>18016806771</v>
      </c>
      <c r="B284" s="5"/>
      <c r="C284" s="5" t="s">
        <v>39</v>
      </c>
      <c r="D284" s="5" t="s">
        <v>40</v>
      </c>
      <c r="E284" s="5" t="s">
        <v>41</v>
      </c>
      <c r="F284" s="5"/>
      <c r="G284" s="5"/>
      <c r="H284" s="5"/>
      <c r="I284" s="5"/>
      <c r="J284" s="5"/>
      <c r="K284" s="5"/>
      <c r="L284" s="5"/>
      <c r="M284" s="5"/>
      <c r="N284" s="5"/>
      <c r="O284" s="5">
        <f t="shared" si="68"/>
        <v>3</v>
      </c>
      <c r="P284" s="5">
        <f t="shared" si="69"/>
        <v>1</v>
      </c>
      <c r="Q284" s="5"/>
      <c r="R284" s="5">
        <f t="shared" si="70"/>
        <v>0</v>
      </c>
      <c r="S284" s="5">
        <f t="shared" si="71"/>
        <v>1</v>
      </c>
      <c r="T284" s="5">
        <f t="shared" si="72"/>
        <v>1</v>
      </c>
      <c r="U284" s="5">
        <f t="shared" si="73"/>
        <v>1</v>
      </c>
      <c r="V284" s="5">
        <f t="shared" si="74"/>
        <v>0</v>
      </c>
      <c r="W284" s="5">
        <f t="shared" si="75"/>
        <v>0</v>
      </c>
      <c r="X284" s="5">
        <f t="shared" si="76"/>
        <v>0</v>
      </c>
      <c r="Y284" s="5">
        <f t="shared" si="77"/>
        <v>0</v>
      </c>
      <c r="Z284" s="5">
        <f t="shared" si="78"/>
        <v>0</v>
      </c>
      <c r="AA284" s="5">
        <f t="shared" si="79"/>
        <v>0</v>
      </c>
      <c r="AB284" s="5">
        <f t="shared" si="80"/>
        <v>0</v>
      </c>
      <c r="AC284" s="5">
        <f t="shared" si="81"/>
        <v>0</v>
      </c>
      <c r="AD284" s="5"/>
      <c r="AE284" s="5"/>
      <c r="AF284" s="5">
        <f t="shared" si="82"/>
        <v>3</v>
      </c>
      <c r="AG284" s="5">
        <f t="shared" si="83"/>
        <v>3</v>
      </c>
      <c r="AH284" s="5" t="str">
        <f t="shared" si="84"/>
        <v>Correct</v>
      </c>
      <c r="AI284" s="5"/>
      <c r="AJ284" s="120" t="str">
        <f>IFERROR(VLOOKUP(Table1[RespondentID],'All Data'!$A$3:$CO$999,87,FALSE),"unknown")</f>
        <v>Man</v>
      </c>
      <c r="AK284" s="120">
        <f>IFERROR(VLOOKUP(Table1[RespondentID],'All Data'!$A$3:$CO$999,88,FALSE),"unknown")</f>
        <v>18</v>
      </c>
      <c r="AL284" s="120" t="str">
        <f>IFERROR(VLOOKUP(Table1[RespondentID],'All Data'!$A$3:$CO$999,89,FALSE),"unknown")</f>
        <v>Suffolk</v>
      </c>
      <c r="AM284" s="120" t="str">
        <f>IFERROR(VLOOKUP(Table1[RespondentID],'All Data'!$A$3:$CO$999,90,FALSE),"unknown")</f>
        <v>Commack, 11725</v>
      </c>
      <c r="AN284" s="120" t="str">
        <f>IFERROR(VLOOKUP(Table1[RespondentID],'All Data'!$A$3:$CO$999,91,FALSE),"unknown")</f>
        <v>White</v>
      </c>
      <c r="AO284" s="120" t="str">
        <f>IFERROR(VLOOKUP(Table1[RespondentID],'All Data'!$A$3:$CO$999,92,FALSE),"unknown")</f>
        <v>Hispanic or Latino</v>
      </c>
      <c r="AP284" s="120" t="str">
        <f>IFERROR(VLOOKUP(Table1[RespondentID],'All Data'!$A$3:$CO$999,93,FALSE),"unknown")</f>
        <v>English</v>
      </c>
      <c r="AQ284" s="120" t="str">
        <f>IFERROR(VLOOKUP(Table1[RespondentID],'All Data'!$A$3:$CW$999,94,FALSE),"unknown")</f>
        <v>$75,000 to $125,000</v>
      </c>
      <c r="AR284" s="120" t="str">
        <f>IFERROR(VLOOKUP(Table1[RespondentID],'All Data'!$A$3:$CW$999,95,FALSE),"unknown")</f>
        <v>High school graduate</v>
      </c>
      <c r="AS284" s="120" t="str">
        <f>IFERROR(VLOOKUP(Table1[RespondentID],'All Data'!$A$3:$CW$999,96,FALSE),"unknown")</f>
        <v>Student</v>
      </c>
      <c r="AT284" s="120" t="str">
        <f>IFERROR(VLOOKUP(Table1[RespondentID],'All Data'!$A$3:$CW$999,97,FALSE),"unknown")</f>
        <v>No</v>
      </c>
      <c r="AU284" s="120" t="str">
        <f>IFERROR(VLOOKUP(Table1[RespondentID],'All Data'!$A$3:$CW$999,98,FALSE),"unknown")</f>
        <v>No Insurance</v>
      </c>
      <c r="AV284" s="120" t="str">
        <f>IFERROR(VLOOKUP(Table1[RespondentID],'All Data'!$A$3:$CW$999,99,FALSE),"unknown")</f>
        <v>Yes</v>
      </c>
    </row>
    <row r="285" spans="1:48">
      <c r="A285" s="5">
        <v>18016769736</v>
      </c>
      <c r="B285" s="5"/>
      <c r="C285" s="5" t="s">
        <v>39</v>
      </c>
      <c r="D285" s="5"/>
      <c r="E285" s="5"/>
      <c r="F285" s="5"/>
      <c r="G285" s="5"/>
      <c r="H285" s="5" t="s">
        <v>43</v>
      </c>
      <c r="I285" s="5"/>
      <c r="J285" s="5"/>
      <c r="K285" s="5"/>
      <c r="L285" s="5"/>
      <c r="M285" s="5" t="s">
        <v>48</v>
      </c>
      <c r="N285" s="5"/>
      <c r="O285" s="5">
        <f t="shared" si="68"/>
        <v>3</v>
      </c>
      <c r="P285" s="5">
        <f t="shared" si="69"/>
        <v>1</v>
      </c>
      <c r="Q285" s="5"/>
      <c r="R285" s="5">
        <f t="shared" si="70"/>
        <v>0</v>
      </c>
      <c r="S285" s="5">
        <f t="shared" si="71"/>
        <v>1</v>
      </c>
      <c r="T285" s="5">
        <f t="shared" si="72"/>
        <v>0</v>
      </c>
      <c r="U285" s="5">
        <f t="shared" si="73"/>
        <v>0</v>
      </c>
      <c r="V285" s="5">
        <f t="shared" si="74"/>
        <v>0</v>
      </c>
      <c r="W285" s="5">
        <f t="shared" si="75"/>
        <v>0</v>
      </c>
      <c r="X285" s="5">
        <f t="shared" si="76"/>
        <v>1</v>
      </c>
      <c r="Y285" s="5">
        <f t="shared" si="77"/>
        <v>0</v>
      </c>
      <c r="Z285" s="5">
        <f t="shared" si="78"/>
        <v>0</v>
      </c>
      <c r="AA285" s="5">
        <f t="shared" si="79"/>
        <v>0</v>
      </c>
      <c r="AB285" s="5">
        <f t="shared" si="80"/>
        <v>0</v>
      </c>
      <c r="AC285" s="5">
        <f t="shared" si="81"/>
        <v>1</v>
      </c>
      <c r="AD285" s="5"/>
      <c r="AE285" s="5"/>
      <c r="AF285" s="5">
        <f t="shared" si="82"/>
        <v>3</v>
      </c>
      <c r="AG285" s="5">
        <f t="shared" si="83"/>
        <v>3</v>
      </c>
      <c r="AH285" s="5" t="str">
        <f t="shared" si="84"/>
        <v>Correct</v>
      </c>
      <c r="AI285" s="5"/>
      <c r="AJ285" s="120" t="str">
        <f>IFERROR(VLOOKUP(Table1[RespondentID],'All Data'!$A$3:$CO$999,87,FALSE),"unknown")</f>
        <v>Man</v>
      </c>
      <c r="AK285" s="120">
        <f>IFERROR(VLOOKUP(Table1[RespondentID],'All Data'!$A$3:$CO$999,88,FALSE),"unknown")</f>
        <v>17</v>
      </c>
      <c r="AL285" s="120" t="str">
        <f>IFERROR(VLOOKUP(Table1[RespondentID],'All Data'!$A$3:$CO$999,89,FALSE),"unknown")</f>
        <v>Suffolk</v>
      </c>
      <c r="AM285" s="120" t="str">
        <f>IFERROR(VLOOKUP(Table1[RespondentID],'All Data'!$A$3:$CO$999,90,FALSE),"unknown")</f>
        <v>Commack, 11725</v>
      </c>
      <c r="AN285" s="120" t="str">
        <f>IFERROR(VLOOKUP(Table1[RespondentID],'All Data'!$A$3:$CO$999,91,FALSE),"unknown")</f>
        <v>White</v>
      </c>
      <c r="AO285" s="120" t="str">
        <f>IFERROR(VLOOKUP(Table1[RespondentID],'All Data'!$A$3:$CO$999,92,FALSE),"unknown")</f>
        <v>Hispanic or Latino</v>
      </c>
      <c r="AP285" s="120" t="str">
        <f>IFERROR(VLOOKUP(Table1[RespondentID],'All Data'!$A$3:$CO$999,93,FALSE),"unknown")</f>
        <v>English</v>
      </c>
      <c r="AQ285" s="120" t="str">
        <f>IFERROR(VLOOKUP(Table1[RespondentID],'All Data'!$A$3:$CW$999,94,FALSE),"unknown")</f>
        <v>Over $125,000</v>
      </c>
      <c r="AR285" s="120" t="str">
        <f>IFERROR(VLOOKUP(Table1[RespondentID],'All Data'!$A$3:$CW$999,95,FALSE),"unknown")</f>
        <v>High school graduate</v>
      </c>
      <c r="AS285" s="120" t="str">
        <f>IFERROR(VLOOKUP(Table1[RespondentID],'All Data'!$A$3:$CW$999,96,FALSE),"unknown")</f>
        <v>Employed for wages</v>
      </c>
      <c r="AT285" s="120" t="str">
        <f>IFERROR(VLOOKUP(Table1[RespondentID],'All Data'!$A$3:$CW$999,97,FALSE),"unknown")</f>
        <v>Yes</v>
      </c>
      <c r="AU285" s="120" t="str">
        <f>IFERROR(VLOOKUP(Table1[RespondentID],'All Data'!$A$3:$CW$999,98,FALSE),"unknown")</f>
        <v>Medicare</v>
      </c>
      <c r="AV285" s="120" t="str">
        <f>IFERROR(VLOOKUP(Table1[RespondentID],'All Data'!$A$3:$CW$999,99,FALSE),"unknown")</f>
        <v>Yes</v>
      </c>
    </row>
    <row r="286" spans="1:48">
      <c r="A286" s="5">
        <v>18016765374</v>
      </c>
      <c r="B286" s="5" t="s">
        <v>38</v>
      </c>
      <c r="C286" s="5" t="s">
        <v>39</v>
      </c>
      <c r="D286" s="5"/>
      <c r="E286" s="5"/>
      <c r="F286" s="5"/>
      <c r="G286" s="5"/>
      <c r="H286" s="5" t="s">
        <v>43</v>
      </c>
      <c r="I286" s="5"/>
      <c r="J286" s="5"/>
      <c r="K286" s="5"/>
      <c r="L286" s="5"/>
      <c r="M286" s="5"/>
      <c r="N286" s="5"/>
      <c r="O286" s="5">
        <f t="shared" si="68"/>
        <v>3</v>
      </c>
      <c r="P286" s="5">
        <f t="shared" si="69"/>
        <v>1</v>
      </c>
      <c r="Q286" s="5"/>
      <c r="R286" s="5">
        <f t="shared" si="70"/>
        <v>1</v>
      </c>
      <c r="S286" s="5">
        <f t="shared" si="71"/>
        <v>1</v>
      </c>
      <c r="T286" s="5">
        <f t="shared" si="72"/>
        <v>0</v>
      </c>
      <c r="U286" s="5">
        <f t="shared" si="73"/>
        <v>0</v>
      </c>
      <c r="V286" s="5">
        <f t="shared" si="74"/>
        <v>0</v>
      </c>
      <c r="W286" s="5">
        <f t="shared" si="75"/>
        <v>0</v>
      </c>
      <c r="X286" s="5">
        <f t="shared" si="76"/>
        <v>1</v>
      </c>
      <c r="Y286" s="5">
        <f t="shared" si="77"/>
        <v>0</v>
      </c>
      <c r="Z286" s="5">
        <f t="shared" si="78"/>
        <v>0</v>
      </c>
      <c r="AA286" s="5">
        <f t="shared" si="79"/>
        <v>0</v>
      </c>
      <c r="AB286" s="5">
        <f t="shared" si="80"/>
        <v>0</v>
      </c>
      <c r="AC286" s="5">
        <f t="shared" si="81"/>
        <v>0</v>
      </c>
      <c r="AD286" s="5"/>
      <c r="AE286" s="5"/>
      <c r="AF286" s="5">
        <f t="shared" si="82"/>
        <v>3</v>
      </c>
      <c r="AG286" s="5">
        <f t="shared" si="83"/>
        <v>3</v>
      </c>
      <c r="AH286" s="5" t="str">
        <f t="shared" si="84"/>
        <v>Correct</v>
      </c>
      <c r="AI286" s="5"/>
      <c r="AJ286" s="120" t="str">
        <f>IFERROR(VLOOKUP(Table1[RespondentID],'All Data'!$A$3:$CO$999,87,FALSE),"unknown")</f>
        <v>Man</v>
      </c>
      <c r="AK286" s="120">
        <f>IFERROR(VLOOKUP(Table1[RespondentID],'All Data'!$A$3:$CO$999,88,FALSE),"unknown")</f>
        <v>16</v>
      </c>
      <c r="AL286" s="120" t="str">
        <f>IFERROR(VLOOKUP(Table1[RespondentID],'All Data'!$A$3:$CO$999,89,FALSE),"unknown")</f>
        <v>Suffolk</v>
      </c>
      <c r="AM286" s="120" t="str">
        <f>IFERROR(VLOOKUP(Table1[RespondentID],'All Data'!$A$3:$CO$999,90,FALSE),"unknown")</f>
        <v>Nesconset, 11767</v>
      </c>
      <c r="AN286" s="120" t="str">
        <f>IFERROR(VLOOKUP(Table1[RespondentID],'All Data'!$A$3:$CO$999,91,FALSE),"unknown")</f>
        <v>White</v>
      </c>
      <c r="AO286" s="120" t="str">
        <f>IFERROR(VLOOKUP(Table1[RespondentID],'All Data'!$A$3:$CO$999,92,FALSE),"unknown")</f>
        <v>Hispanic or Latino</v>
      </c>
      <c r="AP286" s="120" t="str">
        <f>IFERROR(VLOOKUP(Table1[RespondentID],'All Data'!$A$3:$CO$999,93,FALSE),"unknown")</f>
        <v>English</v>
      </c>
      <c r="AQ286" s="120" t="str">
        <f>IFERROR(VLOOKUP(Table1[RespondentID],'All Data'!$A$3:$CW$999,94,FALSE),"unknown")</f>
        <v>Over $125,000</v>
      </c>
      <c r="AR286" s="120" t="str">
        <f>IFERROR(VLOOKUP(Table1[RespondentID],'All Data'!$A$3:$CW$999,95,FALSE),"unknown")</f>
        <v>Graduate school</v>
      </c>
      <c r="AS286" s="120" t="str">
        <f>IFERROR(VLOOKUP(Table1[RespondentID],'All Data'!$A$3:$CW$999,96,FALSE),"unknown")</f>
        <v>Student</v>
      </c>
      <c r="AT286" s="120" t="str">
        <f>IFERROR(VLOOKUP(Table1[RespondentID],'All Data'!$A$3:$CW$999,97,FALSE),"unknown")</f>
        <v>Yes</v>
      </c>
      <c r="AU286" s="120" t="str">
        <f>IFERROR(VLOOKUP(Table1[RespondentID],'All Data'!$A$3:$CW$999,98,FALSE),"unknown")</f>
        <v>Private/Commercial</v>
      </c>
      <c r="AV286" s="120" t="str">
        <f>IFERROR(VLOOKUP(Table1[RespondentID],'All Data'!$A$3:$CW$999,99,FALSE),"unknown")</f>
        <v>Yes</v>
      </c>
    </row>
    <row r="287" spans="1:48">
      <c r="A287" s="5">
        <v>18016764813</v>
      </c>
      <c r="B287" s="5" t="s">
        <v>38</v>
      </c>
      <c r="C287" s="5" t="s">
        <v>39</v>
      </c>
      <c r="D287" s="5"/>
      <c r="E287" s="5"/>
      <c r="F287" s="5"/>
      <c r="G287" s="5"/>
      <c r="H287" s="5" t="s">
        <v>43</v>
      </c>
      <c r="I287" s="5"/>
      <c r="J287" s="5"/>
      <c r="K287" s="5"/>
      <c r="L287" s="5"/>
      <c r="M287" s="5"/>
      <c r="N287" s="5"/>
      <c r="O287" s="5">
        <f t="shared" si="68"/>
        <v>3</v>
      </c>
      <c r="P287" s="5">
        <f t="shared" si="69"/>
        <v>1</v>
      </c>
      <c r="Q287" s="5"/>
      <c r="R287" s="5">
        <f t="shared" si="70"/>
        <v>1</v>
      </c>
      <c r="S287" s="5">
        <f t="shared" si="71"/>
        <v>1</v>
      </c>
      <c r="T287" s="5">
        <f t="shared" si="72"/>
        <v>0</v>
      </c>
      <c r="U287" s="5">
        <f t="shared" si="73"/>
        <v>0</v>
      </c>
      <c r="V287" s="5">
        <f t="shared" si="74"/>
        <v>0</v>
      </c>
      <c r="W287" s="5">
        <f t="shared" si="75"/>
        <v>0</v>
      </c>
      <c r="X287" s="5">
        <f t="shared" si="76"/>
        <v>1</v>
      </c>
      <c r="Y287" s="5">
        <f t="shared" si="77"/>
        <v>0</v>
      </c>
      <c r="Z287" s="5">
        <f t="shared" si="78"/>
        <v>0</v>
      </c>
      <c r="AA287" s="5">
        <f t="shared" si="79"/>
        <v>0</v>
      </c>
      <c r="AB287" s="5">
        <f t="shared" si="80"/>
        <v>0</v>
      </c>
      <c r="AC287" s="5">
        <f t="shared" si="81"/>
        <v>0</v>
      </c>
      <c r="AD287" s="5"/>
      <c r="AE287" s="5"/>
      <c r="AF287" s="5">
        <f t="shared" si="82"/>
        <v>3</v>
      </c>
      <c r="AG287" s="5">
        <f t="shared" si="83"/>
        <v>3</v>
      </c>
      <c r="AH287" s="5" t="str">
        <f t="shared" si="84"/>
        <v>Correct</v>
      </c>
      <c r="AI287" s="5"/>
      <c r="AJ287" s="120" t="str">
        <f>IFERROR(VLOOKUP(Table1[RespondentID],'All Data'!$A$3:$CO$999,87,FALSE),"unknown")</f>
        <v>Man</v>
      </c>
      <c r="AK287" s="120">
        <f>IFERROR(VLOOKUP(Table1[RespondentID],'All Data'!$A$3:$CO$999,88,FALSE),"unknown")</f>
        <v>16</v>
      </c>
      <c r="AL287" s="120" t="str">
        <f>IFERROR(VLOOKUP(Table1[RespondentID],'All Data'!$A$3:$CO$999,89,FALSE),"unknown")</f>
        <v>Suffolk</v>
      </c>
      <c r="AM287" s="120" t="str">
        <f>IFERROR(VLOOKUP(Table1[RespondentID],'All Data'!$A$3:$CO$999,90,FALSE),"unknown")</f>
        <v>Nesconset, 11767</v>
      </c>
      <c r="AN287" s="120" t="str">
        <f>IFERROR(VLOOKUP(Table1[RespondentID],'All Data'!$A$3:$CO$999,91,FALSE),"unknown")</f>
        <v>White</v>
      </c>
      <c r="AO287" s="120" t="str">
        <f>IFERROR(VLOOKUP(Table1[RespondentID],'All Data'!$A$3:$CO$999,92,FALSE),"unknown")</f>
        <v>Hispanic or Latino</v>
      </c>
      <c r="AP287" s="120" t="str">
        <f>IFERROR(VLOOKUP(Table1[RespondentID],'All Data'!$A$3:$CO$999,93,FALSE),"unknown")</f>
        <v>English</v>
      </c>
      <c r="AQ287" s="120" t="str">
        <f>IFERROR(VLOOKUP(Table1[RespondentID],'All Data'!$A$3:$CW$999,94,FALSE),"unknown")</f>
        <v>Over $125,000</v>
      </c>
      <c r="AR287" s="120" t="str">
        <f>IFERROR(VLOOKUP(Table1[RespondentID],'All Data'!$A$3:$CW$999,95,FALSE),"unknown")</f>
        <v>College graduate</v>
      </c>
      <c r="AS287" s="120" t="str">
        <f>IFERROR(VLOOKUP(Table1[RespondentID],'All Data'!$A$3:$CW$999,96,FALSE),"unknown")</f>
        <v>Student</v>
      </c>
      <c r="AT287" s="120" t="str">
        <f>IFERROR(VLOOKUP(Table1[RespondentID],'All Data'!$A$3:$CW$999,97,FALSE),"unknown")</f>
        <v>Yes</v>
      </c>
      <c r="AU287" s="120" t="str">
        <f>IFERROR(VLOOKUP(Table1[RespondentID],'All Data'!$A$3:$CW$999,98,FALSE),"unknown")</f>
        <v>Private/Commercial</v>
      </c>
      <c r="AV287" s="120" t="str">
        <f>IFERROR(VLOOKUP(Table1[RespondentID],'All Data'!$A$3:$CW$999,99,FALSE),"unknown")</f>
        <v>Yes</v>
      </c>
    </row>
    <row r="288" spans="1:48">
      <c r="A288" s="5">
        <v>18016645165</v>
      </c>
      <c r="B288" s="5" t="s">
        <v>38</v>
      </c>
      <c r="C288" s="5"/>
      <c r="D288" s="5"/>
      <c r="E288" s="5"/>
      <c r="F288" s="5"/>
      <c r="G288" s="5"/>
      <c r="H288" s="5" t="s">
        <v>43</v>
      </c>
      <c r="I288" s="5"/>
      <c r="J288" s="5"/>
      <c r="K288" s="5" t="s">
        <v>46</v>
      </c>
      <c r="L288" s="5"/>
      <c r="M288" s="5"/>
      <c r="N288" s="5"/>
      <c r="O288" s="5">
        <f t="shared" si="68"/>
        <v>3</v>
      </c>
      <c r="P288" s="5">
        <f t="shared" si="69"/>
        <v>1</v>
      </c>
      <c r="Q288" s="5"/>
      <c r="R288" s="5">
        <f t="shared" si="70"/>
        <v>1</v>
      </c>
      <c r="S288" s="5">
        <f t="shared" si="71"/>
        <v>0</v>
      </c>
      <c r="T288" s="5">
        <f t="shared" si="72"/>
        <v>0</v>
      </c>
      <c r="U288" s="5">
        <f t="shared" si="73"/>
        <v>0</v>
      </c>
      <c r="V288" s="5">
        <f t="shared" si="74"/>
        <v>0</v>
      </c>
      <c r="W288" s="5">
        <f t="shared" si="75"/>
        <v>0</v>
      </c>
      <c r="X288" s="5">
        <f t="shared" si="76"/>
        <v>1</v>
      </c>
      <c r="Y288" s="5">
        <f t="shared" si="77"/>
        <v>0</v>
      </c>
      <c r="Z288" s="5">
        <f t="shared" si="78"/>
        <v>0</v>
      </c>
      <c r="AA288" s="5">
        <f t="shared" si="79"/>
        <v>1</v>
      </c>
      <c r="AB288" s="5">
        <f t="shared" si="80"/>
        <v>0</v>
      </c>
      <c r="AC288" s="5">
        <f t="shared" si="81"/>
        <v>0</v>
      </c>
      <c r="AD288" s="5"/>
      <c r="AE288" s="5"/>
      <c r="AF288" s="5">
        <f t="shared" si="82"/>
        <v>3</v>
      </c>
      <c r="AG288" s="5">
        <f t="shared" si="83"/>
        <v>3</v>
      </c>
      <c r="AH288" s="5" t="str">
        <f t="shared" si="84"/>
        <v>Correct</v>
      </c>
      <c r="AI288" s="5"/>
      <c r="AJ288" s="120" t="str">
        <f>IFERROR(VLOOKUP(Table1[RespondentID],'All Data'!$A$3:$CO$999,87,FALSE),"unknown")</f>
        <v>Woman</v>
      </c>
      <c r="AK288" s="120">
        <f>IFERROR(VLOOKUP(Table1[RespondentID],'All Data'!$A$3:$CO$999,88,FALSE),"unknown")</f>
        <v>35</v>
      </c>
      <c r="AL288" s="120" t="str">
        <f>IFERROR(VLOOKUP(Table1[RespondentID],'All Data'!$A$3:$CO$999,89,FALSE),"unknown")</f>
        <v>Queens</v>
      </c>
      <c r="AM288" s="120">
        <f>IFERROR(VLOOKUP(Table1[RespondentID],'All Data'!$A$3:$CO$999,90,FALSE),"unknown")</f>
        <v>11375</v>
      </c>
      <c r="AN288" s="120" t="str">
        <f>IFERROR(VLOOKUP(Table1[RespondentID],'All Data'!$A$3:$CO$999,91,FALSE),"unknown")</f>
        <v>American Indian and Alaska Native</v>
      </c>
      <c r="AO288" s="120" t="str">
        <f>IFERROR(VLOOKUP(Table1[RespondentID],'All Data'!$A$3:$CO$999,92,FALSE),"unknown")</f>
        <v>Hispanic or Latino</v>
      </c>
      <c r="AP288" s="120" t="str">
        <f>IFERROR(VLOOKUP(Table1[RespondentID],'All Data'!$A$3:$CO$999,93,FALSE),"unknown")</f>
        <v>English, Korean</v>
      </c>
      <c r="AQ288" s="120" t="str">
        <f>IFERROR(VLOOKUP(Table1[RespondentID],'All Data'!$A$3:$CW$999,94,FALSE),"unknown")</f>
        <v>Over $125,000</v>
      </c>
      <c r="AR288" s="120" t="str">
        <f>IFERROR(VLOOKUP(Table1[RespondentID],'All Data'!$A$3:$CW$999,95,FALSE),"unknown")</f>
        <v>Doctorate</v>
      </c>
      <c r="AS288" s="120" t="str">
        <f>IFERROR(VLOOKUP(Table1[RespondentID],'All Data'!$A$3:$CW$999,96,FALSE),"unknown")</f>
        <v>Employed for wages</v>
      </c>
      <c r="AT288" s="120" t="str">
        <f>IFERROR(VLOOKUP(Table1[RespondentID],'All Data'!$A$3:$CW$999,97,FALSE),"unknown")</f>
        <v>Yes</v>
      </c>
      <c r="AU288" s="120" t="str">
        <f>IFERROR(VLOOKUP(Table1[RespondentID],'All Data'!$A$3:$CW$999,98,FALSE),"unknown")</f>
        <v>Private/Commercial</v>
      </c>
      <c r="AV288" s="120" t="str">
        <f>IFERROR(VLOOKUP(Table1[RespondentID],'All Data'!$A$3:$CW$999,99,FALSE),"unknown")</f>
        <v>Yes</v>
      </c>
    </row>
    <row r="289" spans="1:48">
      <c r="A289" s="5">
        <v>18016455302</v>
      </c>
      <c r="B289" s="5"/>
      <c r="C289" s="5"/>
      <c r="D289" s="5"/>
      <c r="E289" s="5"/>
      <c r="F289" s="5"/>
      <c r="G289" s="5"/>
      <c r="H289" s="5"/>
      <c r="I289" s="5"/>
      <c r="J289" s="5"/>
      <c r="K289" s="5" t="s">
        <v>46</v>
      </c>
      <c r="L289" s="5" t="s">
        <v>47</v>
      </c>
      <c r="M289" s="5"/>
      <c r="N289" s="5"/>
      <c r="O289" s="5">
        <f t="shared" si="68"/>
        <v>2</v>
      </c>
      <c r="P289" s="5">
        <f t="shared" si="69"/>
        <v>1.5</v>
      </c>
      <c r="Q289" s="5"/>
      <c r="R289" s="5">
        <f t="shared" si="70"/>
        <v>0</v>
      </c>
      <c r="S289" s="5">
        <f t="shared" si="71"/>
        <v>0</v>
      </c>
      <c r="T289" s="5">
        <f t="shared" si="72"/>
        <v>0</v>
      </c>
      <c r="U289" s="5">
        <f t="shared" si="73"/>
        <v>0</v>
      </c>
      <c r="V289" s="5">
        <f t="shared" si="74"/>
        <v>0</v>
      </c>
      <c r="W289" s="5">
        <f t="shared" si="75"/>
        <v>0</v>
      </c>
      <c r="X289" s="5">
        <f t="shared" si="76"/>
        <v>0</v>
      </c>
      <c r="Y289" s="5">
        <f t="shared" si="77"/>
        <v>0</v>
      </c>
      <c r="Z289" s="5">
        <f t="shared" si="78"/>
        <v>0</v>
      </c>
      <c r="AA289" s="5">
        <f t="shared" si="79"/>
        <v>1</v>
      </c>
      <c r="AB289" s="5">
        <f t="shared" si="80"/>
        <v>1</v>
      </c>
      <c r="AC289" s="5">
        <f t="shared" si="81"/>
        <v>0</v>
      </c>
      <c r="AD289" s="5"/>
      <c r="AE289" s="5"/>
      <c r="AF289" s="5">
        <f t="shared" si="82"/>
        <v>2</v>
      </c>
      <c r="AG289" s="5">
        <f t="shared" si="83"/>
        <v>2</v>
      </c>
      <c r="AH289" s="5" t="str">
        <f t="shared" si="84"/>
        <v>Correct</v>
      </c>
      <c r="AI289" s="5"/>
      <c r="AJ289" s="120" t="str">
        <f>IFERROR(VLOOKUP(Table1[RespondentID],'All Data'!$A$3:$CO$999,87,FALSE),"unknown")</f>
        <v>Man</v>
      </c>
      <c r="AK289" s="120">
        <f>IFERROR(VLOOKUP(Table1[RespondentID],'All Data'!$A$3:$CO$999,88,FALSE),"unknown")</f>
        <v>21</v>
      </c>
      <c r="AL289" s="120" t="str">
        <f>IFERROR(VLOOKUP(Table1[RespondentID],'All Data'!$A$3:$CO$999,89,FALSE),"unknown")</f>
        <v>Suffolk</v>
      </c>
      <c r="AM289" s="120" t="str">
        <f>IFERROR(VLOOKUP(Table1[RespondentID],'All Data'!$A$3:$CO$999,90,FALSE),"unknown")</f>
        <v>Lindenhurst, 11757</v>
      </c>
      <c r="AN289" s="120" t="str">
        <f>IFERROR(VLOOKUP(Table1[RespondentID],'All Data'!$A$3:$CO$999,91,FALSE),"unknown")</f>
        <v>White</v>
      </c>
      <c r="AO289" s="120" t="str">
        <f>IFERROR(VLOOKUP(Table1[RespondentID],'All Data'!$A$3:$CO$999,92,FALSE),"unknown")</f>
        <v>Not Hispanic or Latino</v>
      </c>
      <c r="AP289" s="120" t="str">
        <f>IFERROR(VLOOKUP(Table1[RespondentID],'All Data'!$A$3:$CO$999,93,FALSE),"unknown")</f>
        <v>Spanish</v>
      </c>
      <c r="AQ289" s="120" t="str">
        <f>IFERROR(VLOOKUP(Table1[RespondentID],'All Data'!$A$3:$CW$999,94,FALSE),"unknown")</f>
        <v>$75,000 to $125,000</v>
      </c>
      <c r="AR289" s="120" t="str">
        <f>IFERROR(VLOOKUP(Table1[RespondentID],'All Data'!$A$3:$CW$999,95,FALSE),"unknown")</f>
        <v>Some college</v>
      </c>
      <c r="AS289" s="120" t="str">
        <f>IFERROR(VLOOKUP(Table1[RespondentID],'All Data'!$A$3:$CW$999,96,FALSE),"unknown")</f>
        <v>Student</v>
      </c>
      <c r="AT289" s="120" t="str">
        <f>IFERROR(VLOOKUP(Table1[RespondentID],'All Data'!$A$3:$CW$999,97,FALSE),"unknown")</f>
        <v>Yes</v>
      </c>
      <c r="AU289" s="120" t="str">
        <f>IFERROR(VLOOKUP(Table1[RespondentID],'All Data'!$A$3:$CW$999,98,FALSE),"unknown")</f>
        <v>Medicare</v>
      </c>
      <c r="AV289" s="120" t="str">
        <f>IFERROR(VLOOKUP(Table1[RespondentID],'All Data'!$A$3:$CW$999,99,FALSE),"unknown")</f>
        <v>Yes</v>
      </c>
    </row>
    <row r="290" spans="1:48">
      <c r="A290" s="5">
        <v>18016436237</v>
      </c>
      <c r="B290" s="5"/>
      <c r="C290" s="5"/>
      <c r="D290" s="5"/>
      <c r="E290" s="5"/>
      <c r="F290" s="5"/>
      <c r="G290" s="5"/>
      <c r="H290" s="5" t="s">
        <v>43</v>
      </c>
      <c r="I290" s="5"/>
      <c r="J290" s="5"/>
      <c r="K290" s="5" t="s">
        <v>46</v>
      </c>
      <c r="L290" s="5"/>
      <c r="M290" s="5"/>
      <c r="N290" s="5"/>
      <c r="O290" s="5">
        <f t="shared" si="68"/>
        <v>2</v>
      </c>
      <c r="P290" s="5">
        <f t="shared" si="69"/>
        <v>1.5</v>
      </c>
      <c r="Q290" s="5"/>
      <c r="R290" s="5">
        <f t="shared" si="70"/>
        <v>0</v>
      </c>
      <c r="S290" s="5">
        <f t="shared" si="71"/>
        <v>0</v>
      </c>
      <c r="T290" s="5">
        <f t="shared" si="72"/>
        <v>0</v>
      </c>
      <c r="U290" s="5">
        <f t="shared" si="73"/>
        <v>0</v>
      </c>
      <c r="V290" s="5">
        <f t="shared" si="74"/>
        <v>0</v>
      </c>
      <c r="W290" s="5">
        <f t="shared" si="75"/>
        <v>0</v>
      </c>
      <c r="X290" s="5">
        <f t="shared" si="76"/>
        <v>1</v>
      </c>
      <c r="Y290" s="5">
        <f t="shared" si="77"/>
        <v>0</v>
      </c>
      <c r="Z290" s="5">
        <f t="shared" si="78"/>
        <v>0</v>
      </c>
      <c r="AA290" s="5">
        <f t="shared" si="79"/>
        <v>1</v>
      </c>
      <c r="AB290" s="5">
        <f t="shared" si="80"/>
        <v>0</v>
      </c>
      <c r="AC290" s="5">
        <f t="shared" si="81"/>
        <v>0</v>
      </c>
      <c r="AD290" s="5"/>
      <c r="AE290" s="5"/>
      <c r="AF290" s="5">
        <f t="shared" si="82"/>
        <v>2</v>
      </c>
      <c r="AG290" s="5">
        <f t="shared" si="83"/>
        <v>2</v>
      </c>
      <c r="AH290" s="5" t="str">
        <f t="shared" si="84"/>
        <v>Correct</v>
      </c>
      <c r="AI290" s="5"/>
      <c r="AJ290" s="120" t="str">
        <f>IFERROR(VLOOKUP(Table1[RespondentID],'All Data'!$A$3:$CO$999,87,FALSE),"unknown")</f>
        <v>Man</v>
      </c>
      <c r="AK290" s="120">
        <f>IFERROR(VLOOKUP(Table1[RespondentID],'All Data'!$A$3:$CO$999,88,FALSE),"unknown")</f>
        <v>18</v>
      </c>
      <c r="AL290" s="120" t="str">
        <f>IFERROR(VLOOKUP(Table1[RespondentID],'All Data'!$A$3:$CO$999,89,FALSE),"unknown")</f>
        <v>Queens</v>
      </c>
      <c r="AM290" s="120">
        <f>IFERROR(VLOOKUP(Table1[RespondentID],'All Data'!$A$3:$CO$999,90,FALSE),"unknown")</f>
        <v>11428</v>
      </c>
      <c r="AN290" s="120" t="str">
        <f>IFERROR(VLOOKUP(Table1[RespondentID],'All Data'!$A$3:$CO$999,91,FALSE),"unknown")</f>
        <v>White</v>
      </c>
      <c r="AO290" s="120" t="str">
        <f>IFERROR(VLOOKUP(Table1[RespondentID],'All Data'!$A$3:$CO$999,92,FALSE),"unknown")</f>
        <v>Hispanic or Latino</v>
      </c>
      <c r="AP290" s="120" t="str">
        <f>IFERROR(VLOOKUP(Table1[RespondentID],'All Data'!$A$3:$CO$999,93,FALSE),"unknown")</f>
        <v>English</v>
      </c>
      <c r="AQ290" s="120" t="str">
        <f>IFERROR(VLOOKUP(Table1[RespondentID],'All Data'!$A$3:$CW$999,94,FALSE),"unknown")</f>
        <v>$0-$19,999</v>
      </c>
      <c r="AR290" s="120" t="str">
        <f>IFERROR(VLOOKUP(Table1[RespondentID],'All Data'!$A$3:$CW$999,95,FALSE),"unknown")</f>
        <v>Some college</v>
      </c>
      <c r="AS290" s="120" t="str">
        <f>IFERROR(VLOOKUP(Table1[RespondentID],'All Data'!$A$3:$CW$999,96,FALSE),"unknown")</f>
        <v>Military</v>
      </c>
      <c r="AT290" s="120" t="str">
        <f>IFERROR(VLOOKUP(Table1[RespondentID],'All Data'!$A$3:$CW$999,97,FALSE),"unknown")</f>
        <v>No, but I did in the past</v>
      </c>
      <c r="AU290" s="120" t="str">
        <f>IFERROR(VLOOKUP(Table1[RespondentID],'All Data'!$A$3:$CW$999,98,FALSE),"unknown")</f>
        <v>Medicare</v>
      </c>
      <c r="AV290" s="120" t="str">
        <f>IFERROR(VLOOKUP(Table1[RespondentID],'All Data'!$A$3:$CW$999,99,FALSE),"unknown")</f>
        <v>No</v>
      </c>
    </row>
    <row r="291" spans="1:48">
      <c r="A291" s="5">
        <v>18016056284</v>
      </c>
      <c r="B291" s="5"/>
      <c r="C291" s="5" t="s">
        <v>39</v>
      </c>
      <c r="D291" s="5"/>
      <c r="E291" s="5" t="s">
        <v>41</v>
      </c>
      <c r="F291" s="5" t="s">
        <v>42</v>
      </c>
      <c r="G291" s="5"/>
      <c r="H291" s="5"/>
      <c r="I291" s="5"/>
      <c r="J291" s="5"/>
      <c r="K291" s="5"/>
      <c r="L291" s="5"/>
      <c r="M291" s="5"/>
      <c r="N291" s="5"/>
      <c r="O291" s="5">
        <f t="shared" si="68"/>
        <v>3</v>
      </c>
      <c r="P291" s="5">
        <f t="shared" si="69"/>
        <v>1</v>
      </c>
      <c r="Q291" s="5"/>
      <c r="R291" s="5">
        <f t="shared" si="70"/>
        <v>0</v>
      </c>
      <c r="S291" s="5">
        <f t="shared" si="71"/>
        <v>1</v>
      </c>
      <c r="T291" s="5">
        <f t="shared" si="72"/>
        <v>0</v>
      </c>
      <c r="U291" s="5">
        <f t="shared" si="73"/>
        <v>1</v>
      </c>
      <c r="V291" s="5">
        <f t="shared" si="74"/>
        <v>1</v>
      </c>
      <c r="W291" s="5">
        <f t="shared" si="75"/>
        <v>0</v>
      </c>
      <c r="X291" s="5">
        <f t="shared" si="76"/>
        <v>0</v>
      </c>
      <c r="Y291" s="5">
        <f t="shared" si="77"/>
        <v>0</v>
      </c>
      <c r="Z291" s="5">
        <f t="shared" si="78"/>
        <v>0</v>
      </c>
      <c r="AA291" s="5">
        <f t="shared" si="79"/>
        <v>0</v>
      </c>
      <c r="AB291" s="5">
        <f t="shared" si="80"/>
        <v>0</v>
      </c>
      <c r="AC291" s="5">
        <f t="shared" si="81"/>
        <v>0</v>
      </c>
      <c r="AD291" s="5"/>
      <c r="AE291" s="5"/>
      <c r="AF291" s="5">
        <f t="shared" si="82"/>
        <v>3</v>
      </c>
      <c r="AG291" s="5">
        <f t="shared" si="83"/>
        <v>3</v>
      </c>
      <c r="AH291" s="5" t="str">
        <f t="shared" si="84"/>
        <v>Correct</v>
      </c>
      <c r="AI291" s="5"/>
      <c r="AJ291" s="120" t="str">
        <f>IFERROR(VLOOKUP(Table1[RespondentID],'All Data'!$A$3:$CO$999,87,FALSE),"unknown")</f>
        <v>Woman</v>
      </c>
      <c r="AK291" s="120">
        <f>IFERROR(VLOOKUP(Table1[RespondentID],'All Data'!$A$3:$CO$999,88,FALSE),"unknown")</f>
        <v>21</v>
      </c>
      <c r="AL291" s="120" t="str">
        <f>IFERROR(VLOOKUP(Table1[RespondentID],'All Data'!$A$3:$CO$999,89,FALSE),"unknown")</f>
        <v>Suffolk</v>
      </c>
      <c r="AM291" s="120" t="str">
        <f>IFERROR(VLOOKUP(Table1[RespondentID],'All Data'!$A$3:$CO$999,90,FALSE),"unknown")</f>
        <v>Farmingville, 11738</v>
      </c>
      <c r="AN291" s="120" t="str">
        <f>IFERROR(VLOOKUP(Table1[RespondentID],'All Data'!$A$3:$CO$999,91,FALSE),"unknown")</f>
        <v>Asian</v>
      </c>
      <c r="AO291" s="120" t="str">
        <f>IFERROR(VLOOKUP(Table1[RespondentID],'All Data'!$A$3:$CO$999,92,FALSE),"unknown")</f>
        <v>Not Hispanic or Latino</v>
      </c>
      <c r="AP291" s="120" t="str">
        <f>IFERROR(VLOOKUP(Table1[RespondentID],'All Data'!$A$3:$CO$999,93,FALSE),"unknown")</f>
        <v>English</v>
      </c>
      <c r="AQ291" s="120" t="str">
        <f>IFERROR(VLOOKUP(Table1[RespondentID],'All Data'!$A$3:$CW$999,94,FALSE),"unknown")</f>
        <v>$50,000 to $74,999</v>
      </c>
      <c r="AR291" s="120" t="str">
        <f>IFERROR(VLOOKUP(Table1[RespondentID],'All Data'!$A$3:$CW$999,95,FALSE),"unknown")</f>
        <v>Some college</v>
      </c>
      <c r="AS291" s="120" t="str">
        <f>IFERROR(VLOOKUP(Table1[RespondentID],'All Data'!$A$3:$CW$999,96,FALSE),"unknown")</f>
        <v>Student</v>
      </c>
      <c r="AT291" s="120" t="str">
        <f>IFERROR(VLOOKUP(Table1[RespondentID],'All Data'!$A$3:$CW$999,97,FALSE),"unknown")</f>
        <v>Yes</v>
      </c>
      <c r="AU291" s="120" t="str">
        <f>IFERROR(VLOOKUP(Table1[RespondentID],'All Data'!$A$3:$CW$999,98,FALSE),"unknown")</f>
        <v>Medicare</v>
      </c>
      <c r="AV291" s="120" t="str">
        <f>IFERROR(VLOOKUP(Table1[RespondentID],'All Data'!$A$3:$CW$999,99,FALSE),"unknown")</f>
        <v>Yes</v>
      </c>
    </row>
    <row r="292" spans="1:48">
      <c r="A292" s="5">
        <v>18016042262</v>
      </c>
      <c r="B292" s="5"/>
      <c r="C292" s="5"/>
      <c r="D292" s="5"/>
      <c r="E292" s="5"/>
      <c r="F292" s="5" t="s">
        <v>42</v>
      </c>
      <c r="G292" s="5"/>
      <c r="H292" s="5"/>
      <c r="I292" s="5"/>
      <c r="J292" s="5"/>
      <c r="K292" s="5"/>
      <c r="L292" s="5"/>
      <c r="M292" s="5"/>
      <c r="N292" s="5"/>
      <c r="O292" s="5">
        <f t="shared" si="68"/>
        <v>1</v>
      </c>
      <c r="P292" s="5">
        <f t="shared" si="69"/>
        <v>3</v>
      </c>
      <c r="Q292" s="5"/>
      <c r="R292" s="5">
        <f t="shared" si="70"/>
        <v>0</v>
      </c>
      <c r="S292" s="5">
        <f t="shared" si="71"/>
        <v>0</v>
      </c>
      <c r="T292" s="5">
        <f t="shared" si="72"/>
        <v>0</v>
      </c>
      <c r="U292" s="5">
        <f t="shared" si="73"/>
        <v>0</v>
      </c>
      <c r="V292" s="5">
        <f t="shared" si="74"/>
        <v>1</v>
      </c>
      <c r="W292" s="5">
        <f t="shared" si="75"/>
        <v>0</v>
      </c>
      <c r="X292" s="5">
        <f t="shared" si="76"/>
        <v>0</v>
      </c>
      <c r="Y292" s="5">
        <f t="shared" si="77"/>
        <v>0</v>
      </c>
      <c r="Z292" s="5">
        <f t="shared" si="78"/>
        <v>0</v>
      </c>
      <c r="AA292" s="5">
        <f t="shared" si="79"/>
        <v>0</v>
      </c>
      <c r="AB292" s="5">
        <f t="shared" si="80"/>
        <v>0</v>
      </c>
      <c r="AC292" s="5">
        <f t="shared" si="81"/>
        <v>0</v>
      </c>
      <c r="AD292" s="5"/>
      <c r="AE292" s="5"/>
      <c r="AF292" s="5">
        <f t="shared" si="82"/>
        <v>1</v>
      </c>
      <c r="AG292" s="5">
        <f t="shared" si="83"/>
        <v>1</v>
      </c>
      <c r="AH292" s="5" t="str">
        <f t="shared" si="84"/>
        <v>Correct</v>
      </c>
      <c r="AI292" s="5"/>
      <c r="AJ292" s="120">
        <f>IFERROR(VLOOKUP(Table1[RespondentID],'All Data'!$A$3:$CO$999,87,FALSE),"unknown")</f>
        <v>0</v>
      </c>
      <c r="AK292" s="120">
        <f>IFERROR(VLOOKUP(Table1[RespondentID],'All Data'!$A$3:$CO$999,88,FALSE),"unknown")</f>
        <v>0</v>
      </c>
      <c r="AL292" s="120">
        <f>IFERROR(VLOOKUP(Table1[RespondentID],'All Data'!$A$3:$CO$999,89,FALSE),"unknown")</f>
        <v>0</v>
      </c>
      <c r="AM292" s="120">
        <f>IFERROR(VLOOKUP(Table1[RespondentID],'All Data'!$A$3:$CO$999,90,FALSE),"unknown")</f>
        <v>0</v>
      </c>
      <c r="AN292" s="120">
        <f>IFERROR(VLOOKUP(Table1[RespondentID],'All Data'!$A$3:$CO$999,91,FALSE),"unknown")</f>
        <v>0</v>
      </c>
      <c r="AO292" s="120">
        <f>IFERROR(VLOOKUP(Table1[RespondentID],'All Data'!$A$3:$CO$999,92,FALSE),"unknown")</f>
        <v>0</v>
      </c>
      <c r="AP292" s="120">
        <f>IFERROR(VLOOKUP(Table1[RespondentID],'All Data'!$A$3:$CO$999,93,FALSE),"unknown")</f>
        <v>0</v>
      </c>
      <c r="AQ292" s="120">
        <f>IFERROR(VLOOKUP(Table1[RespondentID],'All Data'!$A$3:$CW$999,94,FALSE),"unknown")</f>
        <v>0</v>
      </c>
      <c r="AR292" s="120">
        <f>IFERROR(VLOOKUP(Table1[RespondentID],'All Data'!$A$3:$CW$999,95,FALSE),"unknown")</f>
        <v>0</v>
      </c>
      <c r="AS292" s="120">
        <f>IFERROR(VLOOKUP(Table1[RespondentID],'All Data'!$A$3:$CW$999,96,FALSE),"unknown")</f>
        <v>0</v>
      </c>
      <c r="AT292" s="120">
        <f>IFERROR(VLOOKUP(Table1[RespondentID],'All Data'!$A$3:$CW$999,97,FALSE),"unknown")</f>
        <v>0</v>
      </c>
      <c r="AU292" s="120">
        <f>IFERROR(VLOOKUP(Table1[RespondentID],'All Data'!$A$3:$CW$999,98,FALSE),"unknown")</f>
        <v>0</v>
      </c>
      <c r="AV292" s="120">
        <f>IFERROR(VLOOKUP(Table1[RespondentID],'All Data'!$A$3:$CW$999,99,FALSE),"unknown")</f>
        <v>0</v>
      </c>
    </row>
    <row r="293" spans="1:48">
      <c r="A293" s="5">
        <v>18016041834</v>
      </c>
      <c r="B293" s="5"/>
      <c r="C293" s="5" t="s">
        <v>39</v>
      </c>
      <c r="D293" s="5"/>
      <c r="E293" s="5"/>
      <c r="F293" s="5"/>
      <c r="G293" s="5"/>
      <c r="H293" s="5" t="s">
        <v>43</v>
      </c>
      <c r="I293" s="5"/>
      <c r="J293" s="5"/>
      <c r="K293" s="5" t="s">
        <v>46</v>
      </c>
      <c r="L293" s="5"/>
      <c r="M293" s="5"/>
      <c r="N293" s="5"/>
      <c r="O293" s="5">
        <f t="shared" si="68"/>
        <v>3</v>
      </c>
      <c r="P293" s="5">
        <f t="shared" si="69"/>
        <v>1</v>
      </c>
      <c r="Q293" s="5"/>
      <c r="R293" s="5">
        <f t="shared" si="70"/>
        <v>0</v>
      </c>
      <c r="S293" s="5">
        <f t="shared" si="71"/>
        <v>1</v>
      </c>
      <c r="T293" s="5">
        <f t="shared" si="72"/>
        <v>0</v>
      </c>
      <c r="U293" s="5">
        <f t="shared" si="73"/>
        <v>0</v>
      </c>
      <c r="V293" s="5">
        <f t="shared" si="74"/>
        <v>0</v>
      </c>
      <c r="W293" s="5">
        <f t="shared" si="75"/>
        <v>0</v>
      </c>
      <c r="X293" s="5">
        <f t="shared" si="76"/>
        <v>1</v>
      </c>
      <c r="Y293" s="5">
        <f t="shared" si="77"/>
        <v>0</v>
      </c>
      <c r="Z293" s="5">
        <f t="shared" si="78"/>
        <v>0</v>
      </c>
      <c r="AA293" s="5">
        <f t="shared" si="79"/>
        <v>1</v>
      </c>
      <c r="AB293" s="5">
        <f t="shared" si="80"/>
        <v>0</v>
      </c>
      <c r="AC293" s="5">
        <f t="shared" si="81"/>
        <v>0</v>
      </c>
      <c r="AD293" s="5"/>
      <c r="AE293" s="5"/>
      <c r="AF293" s="5">
        <f t="shared" si="82"/>
        <v>3</v>
      </c>
      <c r="AG293" s="5">
        <f t="shared" si="83"/>
        <v>3</v>
      </c>
      <c r="AH293" s="5" t="str">
        <f t="shared" si="84"/>
        <v>Correct</v>
      </c>
      <c r="AI293" s="5"/>
      <c r="AJ293" s="120" t="str">
        <f>IFERROR(VLOOKUP(Table1[RespondentID],'All Data'!$A$3:$CO$999,87,FALSE),"unknown")</f>
        <v>Man</v>
      </c>
      <c r="AK293" s="120">
        <f>IFERROR(VLOOKUP(Table1[RespondentID],'All Data'!$A$3:$CO$999,88,FALSE),"unknown")</f>
        <v>20</v>
      </c>
      <c r="AL293" s="120" t="str">
        <f>IFERROR(VLOOKUP(Table1[RespondentID],'All Data'!$A$3:$CO$999,89,FALSE),"unknown")</f>
        <v>Suffolk</v>
      </c>
      <c r="AM293" s="120" t="str">
        <f>IFERROR(VLOOKUP(Table1[RespondentID],'All Data'!$A$3:$CO$999,90,FALSE),"unknown")</f>
        <v>Melville, 11747</v>
      </c>
      <c r="AN293" s="120" t="str">
        <f>IFERROR(VLOOKUP(Table1[RespondentID],'All Data'!$A$3:$CO$999,91,FALSE),"unknown")</f>
        <v>White</v>
      </c>
      <c r="AO293" s="120" t="str">
        <f>IFERROR(VLOOKUP(Table1[RespondentID],'All Data'!$A$3:$CO$999,92,FALSE),"unknown")</f>
        <v>Not Hispanic or Latino</v>
      </c>
      <c r="AP293" s="120" t="str">
        <f>IFERROR(VLOOKUP(Table1[RespondentID],'All Data'!$A$3:$CO$999,93,FALSE),"unknown")</f>
        <v>English, Spanish</v>
      </c>
      <c r="AQ293" s="120" t="str">
        <f>IFERROR(VLOOKUP(Table1[RespondentID],'All Data'!$A$3:$CW$999,94,FALSE),"unknown")</f>
        <v>$75,000 to $125,000</v>
      </c>
      <c r="AR293" s="120" t="str">
        <f>IFERROR(VLOOKUP(Table1[RespondentID],'All Data'!$A$3:$CW$999,95,FALSE),"unknown")</f>
        <v>Some college</v>
      </c>
      <c r="AS293" s="120" t="str">
        <f>IFERROR(VLOOKUP(Table1[RespondentID],'All Data'!$A$3:$CW$999,96,FALSE),"unknown")</f>
        <v>Employed for wages</v>
      </c>
      <c r="AT293" s="120" t="str">
        <f>IFERROR(VLOOKUP(Table1[RespondentID],'All Data'!$A$3:$CW$999,97,FALSE),"unknown")</f>
        <v>Yes</v>
      </c>
      <c r="AU293" s="120" t="str">
        <f>IFERROR(VLOOKUP(Table1[RespondentID],'All Data'!$A$3:$CW$999,98,FALSE),"unknown")</f>
        <v>Private/Commercial</v>
      </c>
      <c r="AV293" s="120" t="str">
        <f>IFERROR(VLOOKUP(Table1[RespondentID],'All Data'!$A$3:$CW$999,99,FALSE),"unknown")</f>
        <v>Yes</v>
      </c>
    </row>
    <row r="294" spans="1:48">
      <c r="A294" s="5">
        <v>18016041235</v>
      </c>
      <c r="B294" s="5"/>
      <c r="C294" s="5"/>
      <c r="D294" s="5"/>
      <c r="E294" s="5"/>
      <c r="F294" s="5"/>
      <c r="G294" s="5"/>
      <c r="H294" s="5"/>
      <c r="I294" s="5"/>
      <c r="J294" s="5"/>
      <c r="K294" s="5"/>
      <c r="L294" s="5"/>
      <c r="M294" s="5"/>
      <c r="N294" s="5"/>
      <c r="O294" s="5">
        <f t="shared" si="68"/>
        <v>0</v>
      </c>
      <c r="P294" s="5" t="e">
        <f t="shared" si="69"/>
        <v>#DIV/0!</v>
      </c>
      <c r="Q294" s="5"/>
      <c r="R294" s="5">
        <f t="shared" si="70"/>
        <v>0</v>
      </c>
      <c r="S294" s="5">
        <f t="shared" si="71"/>
        <v>0</v>
      </c>
      <c r="T294" s="5">
        <f t="shared" si="72"/>
        <v>0</v>
      </c>
      <c r="U294" s="5">
        <f t="shared" si="73"/>
        <v>0</v>
      </c>
      <c r="V294" s="5">
        <f t="shared" si="74"/>
        <v>0</v>
      </c>
      <c r="W294" s="5">
        <f t="shared" si="75"/>
        <v>0</v>
      </c>
      <c r="X294" s="5">
        <f t="shared" si="76"/>
        <v>0</v>
      </c>
      <c r="Y294" s="5">
        <f t="shared" si="77"/>
        <v>0</v>
      </c>
      <c r="Z294" s="5">
        <f t="shared" si="78"/>
        <v>0</v>
      </c>
      <c r="AA294" s="5">
        <f t="shared" si="79"/>
        <v>0</v>
      </c>
      <c r="AB294" s="5">
        <f t="shared" si="80"/>
        <v>0</v>
      </c>
      <c r="AC294" s="5">
        <f t="shared" si="81"/>
        <v>0</v>
      </c>
      <c r="AD294" s="5"/>
      <c r="AE294" s="5"/>
      <c r="AF294" s="5">
        <f t="shared" si="82"/>
        <v>0</v>
      </c>
      <c r="AG294" s="5">
        <f t="shared" si="83"/>
        <v>0</v>
      </c>
      <c r="AH294" s="5" t="str">
        <f t="shared" si="84"/>
        <v>Correct</v>
      </c>
      <c r="AI294" s="5"/>
      <c r="AJ294" s="120">
        <f>IFERROR(VLOOKUP(Table1[RespondentID],'All Data'!$A$3:$CO$999,87,FALSE),"unknown")</f>
        <v>0</v>
      </c>
      <c r="AK294" s="120">
        <f>IFERROR(VLOOKUP(Table1[RespondentID],'All Data'!$A$3:$CO$999,88,FALSE),"unknown")</f>
        <v>0</v>
      </c>
      <c r="AL294" s="120">
        <f>IFERROR(VLOOKUP(Table1[RespondentID],'All Data'!$A$3:$CO$999,89,FALSE),"unknown")</f>
        <v>0</v>
      </c>
      <c r="AM294" s="120" t="str">
        <f>IFERROR(VLOOKUP(Table1[RespondentID],'All Data'!$A$3:$CO$999,90,FALSE),"unknown")</f>
        <v>Garden City South, 11530</v>
      </c>
      <c r="AN294" s="120">
        <f>IFERROR(VLOOKUP(Table1[RespondentID],'All Data'!$A$3:$CO$999,91,FALSE),"unknown")</f>
        <v>0</v>
      </c>
      <c r="AO294" s="120">
        <f>IFERROR(VLOOKUP(Table1[RespondentID],'All Data'!$A$3:$CO$999,92,FALSE),"unknown")</f>
        <v>0</v>
      </c>
      <c r="AP294" s="120">
        <f>IFERROR(VLOOKUP(Table1[RespondentID],'All Data'!$A$3:$CO$999,93,FALSE),"unknown")</f>
        <v>0</v>
      </c>
      <c r="AQ294" s="120">
        <f>IFERROR(VLOOKUP(Table1[RespondentID],'All Data'!$A$3:$CW$999,94,FALSE),"unknown")</f>
        <v>0</v>
      </c>
      <c r="AR294" s="120">
        <f>IFERROR(VLOOKUP(Table1[RespondentID],'All Data'!$A$3:$CW$999,95,FALSE),"unknown")</f>
        <v>0</v>
      </c>
      <c r="AS294" s="120">
        <f>IFERROR(VLOOKUP(Table1[RespondentID],'All Data'!$A$3:$CW$999,96,FALSE),"unknown")</f>
        <v>0</v>
      </c>
      <c r="AT294" s="120">
        <f>IFERROR(VLOOKUP(Table1[RespondentID],'All Data'!$A$3:$CW$999,97,FALSE),"unknown")</f>
        <v>0</v>
      </c>
      <c r="AU294" s="120">
        <f>IFERROR(VLOOKUP(Table1[RespondentID],'All Data'!$A$3:$CW$999,98,FALSE),"unknown")</f>
        <v>0</v>
      </c>
      <c r="AV294" s="120">
        <f>IFERROR(VLOOKUP(Table1[RespondentID],'All Data'!$A$3:$CW$999,99,FALSE),"unknown")</f>
        <v>0</v>
      </c>
    </row>
    <row r="295" spans="1:48">
      <c r="A295" s="5">
        <v>18016030783</v>
      </c>
      <c r="B295" s="5"/>
      <c r="C295" s="5" t="s">
        <v>39</v>
      </c>
      <c r="D295" s="5" t="s">
        <v>40</v>
      </c>
      <c r="E295" s="5"/>
      <c r="F295" s="5"/>
      <c r="G295" s="5"/>
      <c r="H295" s="5"/>
      <c r="I295" s="5"/>
      <c r="J295" s="5"/>
      <c r="K295" s="5"/>
      <c r="L295" s="5"/>
      <c r="M295" s="5" t="s">
        <v>48</v>
      </c>
      <c r="N295" s="5"/>
      <c r="O295" s="5">
        <f t="shared" si="68"/>
        <v>3</v>
      </c>
      <c r="P295" s="5">
        <f t="shared" si="69"/>
        <v>1</v>
      </c>
      <c r="Q295" s="5"/>
      <c r="R295" s="5">
        <f t="shared" si="70"/>
        <v>0</v>
      </c>
      <c r="S295" s="5">
        <f t="shared" si="71"/>
        <v>1</v>
      </c>
      <c r="T295" s="5">
        <f t="shared" si="72"/>
        <v>1</v>
      </c>
      <c r="U295" s="5">
        <f t="shared" si="73"/>
        <v>0</v>
      </c>
      <c r="V295" s="5">
        <f t="shared" si="74"/>
        <v>0</v>
      </c>
      <c r="W295" s="5">
        <f t="shared" si="75"/>
        <v>0</v>
      </c>
      <c r="X295" s="5">
        <f t="shared" si="76"/>
        <v>0</v>
      </c>
      <c r="Y295" s="5">
        <f t="shared" si="77"/>
        <v>0</v>
      </c>
      <c r="Z295" s="5">
        <f t="shared" si="78"/>
        <v>0</v>
      </c>
      <c r="AA295" s="5">
        <f t="shared" si="79"/>
        <v>0</v>
      </c>
      <c r="AB295" s="5">
        <f t="shared" si="80"/>
        <v>0</v>
      </c>
      <c r="AC295" s="5">
        <f t="shared" si="81"/>
        <v>1</v>
      </c>
      <c r="AD295" s="5"/>
      <c r="AE295" s="5"/>
      <c r="AF295" s="5">
        <f t="shared" si="82"/>
        <v>3</v>
      </c>
      <c r="AG295" s="5">
        <f t="shared" si="83"/>
        <v>3</v>
      </c>
      <c r="AH295" s="5" t="str">
        <f t="shared" si="84"/>
        <v>Correct</v>
      </c>
      <c r="AI295" s="5"/>
      <c r="AJ295" s="120" t="str">
        <f>IFERROR(VLOOKUP(Table1[RespondentID],'All Data'!$A$3:$CO$999,87,FALSE),"unknown")</f>
        <v>Woman</v>
      </c>
      <c r="AK295" s="120">
        <f>IFERROR(VLOOKUP(Table1[RespondentID],'All Data'!$A$3:$CO$999,88,FALSE),"unknown")</f>
        <v>57</v>
      </c>
      <c r="AL295" s="120" t="str">
        <f>IFERROR(VLOOKUP(Table1[RespondentID],'All Data'!$A$3:$CO$999,89,FALSE),"unknown")</f>
        <v>Queens</v>
      </c>
      <c r="AM295" s="120">
        <f>IFERROR(VLOOKUP(Table1[RespondentID],'All Data'!$A$3:$CO$999,90,FALSE),"unknown")</f>
        <v>10001</v>
      </c>
      <c r="AN295" s="120" t="str">
        <f>IFERROR(VLOOKUP(Table1[RespondentID],'All Data'!$A$3:$CO$999,91,FALSE),"unknown")</f>
        <v>White</v>
      </c>
      <c r="AO295" s="120" t="str">
        <f>IFERROR(VLOOKUP(Table1[RespondentID],'All Data'!$A$3:$CO$999,92,FALSE),"unknown")</f>
        <v>Not Hispanic or Latino</v>
      </c>
      <c r="AP295" s="120" t="str">
        <f>IFERROR(VLOOKUP(Table1[RespondentID],'All Data'!$A$3:$CO$999,93,FALSE),"unknown")</f>
        <v>English, Haitian Creole</v>
      </c>
      <c r="AQ295" s="120" t="str">
        <f>IFERROR(VLOOKUP(Table1[RespondentID],'All Data'!$A$3:$CW$999,94,FALSE),"unknown")</f>
        <v>$35,000 to $49,999</v>
      </c>
      <c r="AR295" s="120" t="str">
        <f>IFERROR(VLOOKUP(Table1[RespondentID],'All Data'!$A$3:$CW$999,95,FALSE),"unknown")</f>
        <v>College graduate</v>
      </c>
      <c r="AS295" s="120" t="str">
        <f>IFERROR(VLOOKUP(Table1[RespondentID],'All Data'!$A$3:$CW$999,96,FALSE),"unknown")</f>
        <v>Employed for wages</v>
      </c>
      <c r="AT295" s="120" t="str">
        <f>IFERROR(VLOOKUP(Table1[RespondentID],'All Data'!$A$3:$CW$999,97,FALSE),"unknown")</f>
        <v>Yes</v>
      </c>
      <c r="AU295" s="120" t="str">
        <f>IFERROR(VLOOKUP(Table1[RespondentID],'All Data'!$A$3:$CW$999,98,FALSE),"unknown")</f>
        <v>Medicaid, Medicare</v>
      </c>
      <c r="AV295" s="120" t="str">
        <f>IFERROR(VLOOKUP(Table1[RespondentID],'All Data'!$A$3:$CW$999,99,FALSE),"unknown")</f>
        <v>Yes</v>
      </c>
    </row>
    <row r="296" spans="1:48">
      <c r="A296" s="5">
        <v>18016029769</v>
      </c>
      <c r="B296" s="5"/>
      <c r="C296" s="5" t="s">
        <v>39</v>
      </c>
      <c r="D296" s="5"/>
      <c r="E296" s="5"/>
      <c r="F296" s="5"/>
      <c r="G296" s="5"/>
      <c r="H296" s="5"/>
      <c r="I296" s="5"/>
      <c r="J296" s="5"/>
      <c r="K296" s="5"/>
      <c r="L296" s="5"/>
      <c r="M296" s="5"/>
      <c r="N296" s="5"/>
      <c r="O296" s="5">
        <f t="shared" si="68"/>
        <v>1</v>
      </c>
      <c r="P296" s="5">
        <f t="shared" si="69"/>
        <v>3</v>
      </c>
      <c r="Q296" s="5"/>
      <c r="R296" s="5">
        <f t="shared" si="70"/>
        <v>0</v>
      </c>
      <c r="S296" s="5">
        <f t="shared" si="71"/>
        <v>1</v>
      </c>
      <c r="T296" s="5">
        <f t="shared" si="72"/>
        <v>0</v>
      </c>
      <c r="U296" s="5">
        <f t="shared" si="73"/>
        <v>0</v>
      </c>
      <c r="V296" s="5">
        <f t="shared" si="74"/>
        <v>0</v>
      </c>
      <c r="W296" s="5">
        <f t="shared" si="75"/>
        <v>0</v>
      </c>
      <c r="X296" s="5">
        <f t="shared" si="76"/>
        <v>0</v>
      </c>
      <c r="Y296" s="5">
        <f t="shared" si="77"/>
        <v>0</v>
      </c>
      <c r="Z296" s="5">
        <f t="shared" si="78"/>
        <v>0</v>
      </c>
      <c r="AA296" s="5">
        <f t="shared" si="79"/>
        <v>0</v>
      </c>
      <c r="AB296" s="5">
        <f t="shared" si="80"/>
        <v>0</v>
      </c>
      <c r="AC296" s="5">
        <f t="shared" si="81"/>
        <v>0</v>
      </c>
      <c r="AD296" s="5"/>
      <c r="AE296" s="5"/>
      <c r="AF296" s="5">
        <f t="shared" si="82"/>
        <v>1</v>
      </c>
      <c r="AG296" s="5">
        <f t="shared" si="83"/>
        <v>1</v>
      </c>
      <c r="AH296" s="5" t="str">
        <f t="shared" si="84"/>
        <v>Correct</v>
      </c>
      <c r="AI296" s="5"/>
      <c r="AJ296" s="120" t="str">
        <f>IFERROR(VLOOKUP(Table1[RespondentID],'All Data'!$A$3:$CO$999,87,FALSE),"unknown")</f>
        <v>Woman</v>
      </c>
      <c r="AK296" s="120">
        <f>IFERROR(VLOOKUP(Table1[RespondentID],'All Data'!$A$3:$CO$999,88,FALSE),"unknown")</f>
        <v>25</v>
      </c>
      <c r="AL296" s="120" t="str">
        <f>IFERROR(VLOOKUP(Table1[RespondentID],'All Data'!$A$3:$CO$999,89,FALSE),"unknown")</f>
        <v>Queens</v>
      </c>
      <c r="AM296" s="120">
        <f>IFERROR(VLOOKUP(Table1[RespondentID],'All Data'!$A$3:$CO$999,90,FALSE),"unknown")</f>
        <v>10001</v>
      </c>
      <c r="AN296" s="120" t="str">
        <f>IFERROR(VLOOKUP(Table1[RespondentID],'All Data'!$A$3:$CO$999,91,FALSE),"unknown")</f>
        <v>White</v>
      </c>
      <c r="AO296" s="120" t="str">
        <f>IFERROR(VLOOKUP(Table1[RespondentID],'All Data'!$A$3:$CO$999,92,FALSE),"unknown")</f>
        <v>Hispanic or Latino</v>
      </c>
      <c r="AP296" s="120" t="str">
        <f>IFERROR(VLOOKUP(Table1[RespondentID],'All Data'!$A$3:$CO$999,93,FALSE),"unknown")</f>
        <v>English</v>
      </c>
      <c r="AQ296" s="120" t="str">
        <f>IFERROR(VLOOKUP(Table1[RespondentID],'All Data'!$A$3:$CW$999,94,FALSE),"unknown")</f>
        <v>$35,000 to $49,999</v>
      </c>
      <c r="AR296" s="120" t="str">
        <f>IFERROR(VLOOKUP(Table1[RespondentID],'All Data'!$A$3:$CW$999,95,FALSE),"unknown")</f>
        <v>Some high school</v>
      </c>
      <c r="AS296" s="120" t="str">
        <f>IFERROR(VLOOKUP(Table1[RespondentID],'All Data'!$A$3:$CW$999,96,FALSE),"unknown")</f>
        <v>Employed for wages</v>
      </c>
      <c r="AT296" s="120" t="str">
        <f>IFERROR(VLOOKUP(Table1[RespondentID],'All Data'!$A$3:$CW$999,97,FALSE),"unknown")</f>
        <v>Yes</v>
      </c>
      <c r="AU296" s="120" t="str">
        <f>IFERROR(VLOOKUP(Table1[RespondentID],'All Data'!$A$3:$CW$999,98,FALSE),"unknown")</f>
        <v>Medicaid</v>
      </c>
      <c r="AV296" s="120" t="str">
        <f>IFERROR(VLOOKUP(Table1[RespondentID],'All Data'!$A$3:$CW$999,99,FALSE),"unknown")</f>
        <v>Yes</v>
      </c>
    </row>
    <row r="297" spans="1:48">
      <c r="A297" s="5">
        <v>18016029289</v>
      </c>
      <c r="B297" s="5" t="s">
        <v>38</v>
      </c>
      <c r="C297" s="5"/>
      <c r="D297" s="5"/>
      <c r="E297" s="5" t="s">
        <v>41</v>
      </c>
      <c r="F297" s="5" t="s">
        <v>42</v>
      </c>
      <c r="G297" s="5"/>
      <c r="H297" s="5"/>
      <c r="I297" s="5"/>
      <c r="J297" s="5"/>
      <c r="K297" s="5"/>
      <c r="L297" s="5"/>
      <c r="M297" s="5"/>
      <c r="N297" s="5"/>
      <c r="O297" s="5">
        <f t="shared" si="68"/>
        <v>3</v>
      </c>
      <c r="P297" s="5">
        <f t="shared" si="69"/>
        <v>1</v>
      </c>
      <c r="Q297" s="5"/>
      <c r="R297" s="5">
        <f t="shared" si="70"/>
        <v>1</v>
      </c>
      <c r="S297" s="5">
        <f t="shared" si="71"/>
        <v>0</v>
      </c>
      <c r="T297" s="5">
        <f t="shared" si="72"/>
        <v>0</v>
      </c>
      <c r="U297" s="5">
        <f t="shared" si="73"/>
        <v>1</v>
      </c>
      <c r="V297" s="5">
        <f t="shared" si="74"/>
        <v>1</v>
      </c>
      <c r="W297" s="5">
        <f t="shared" si="75"/>
        <v>0</v>
      </c>
      <c r="X297" s="5">
        <f t="shared" si="76"/>
        <v>0</v>
      </c>
      <c r="Y297" s="5">
        <f t="shared" si="77"/>
        <v>0</v>
      </c>
      <c r="Z297" s="5">
        <f t="shared" si="78"/>
        <v>0</v>
      </c>
      <c r="AA297" s="5">
        <f t="shared" si="79"/>
        <v>0</v>
      </c>
      <c r="AB297" s="5">
        <f t="shared" si="80"/>
        <v>0</v>
      </c>
      <c r="AC297" s="5">
        <f t="shared" si="81"/>
        <v>0</v>
      </c>
      <c r="AD297" s="5"/>
      <c r="AE297" s="5"/>
      <c r="AF297" s="5">
        <f t="shared" si="82"/>
        <v>3</v>
      </c>
      <c r="AG297" s="5">
        <f t="shared" si="83"/>
        <v>3</v>
      </c>
      <c r="AH297" s="5" t="str">
        <f t="shared" si="84"/>
        <v>Correct</v>
      </c>
      <c r="AI297" s="5"/>
      <c r="AJ297" s="120" t="str">
        <f>IFERROR(VLOOKUP(Table1[RespondentID],'All Data'!$A$3:$CO$999,87,FALSE),"unknown")</f>
        <v>Woman</v>
      </c>
      <c r="AK297" s="120">
        <f>IFERROR(VLOOKUP(Table1[RespondentID],'All Data'!$A$3:$CO$999,88,FALSE),"unknown")</f>
        <v>0</v>
      </c>
      <c r="AL297" s="120" t="str">
        <f>IFERROR(VLOOKUP(Table1[RespondentID],'All Data'!$A$3:$CO$999,89,FALSE),"unknown")</f>
        <v>Suffolk</v>
      </c>
      <c r="AM297" s="120" t="str">
        <f>IFERROR(VLOOKUP(Table1[RespondentID],'All Data'!$A$3:$CO$999,90,FALSE),"unknown")</f>
        <v>Amagansett, 11930</v>
      </c>
      <c r="AN297" s="120" t="str">
        <f>IFERROR(VLOOKUP(Table1[RespondentID],'All Data'!$A$3:$CO$999,91,FALSE),"unknown")</f>
        <v>White</v>
      </c>
      <c r="AO297" s="120" t="str">
        <f>IFERROR(VLOOKUP(Table1[RespondentID],'All Data'!$A$3:$CO$999,92,FALSE),"unknown")</f>
        <v>Hispanic or Latino</v>
      </c>
      <c r="AP297" s="120" t="str">
        <f>IFERROR(VLOOKUP(Table1[RespondentID],'All Data'!$A$3:$CO$999,93,FALSE),"unknown")</f>
        <v>English</v>
      </c>
      <c r="AQ297" s="120" t="str">
        <f>IFERROR(VLOOKUP(Table1[RespondentID],'All Data'!$A$3:$CW$999,94,FALSE),"unknown")</f>
        <v>$35,000 to $49,999</v>
      </c>
      <c r="AR297" s="120" t="str">
        <f>IFERROR(VLOOKUP(Table1[RespondentID],'All Data'!$A$3:$CW$999,95,FALSE),"unknown")</f>
        <v>Graduate school</v>
      </c>
      <c r="AS297" s="120" t="str">
        <f>IFERROR(VLOOKUP(Table1[RespondentID],'All Data'!$A$3:$CW$999,96,FALSE),"unknown")</f>
        <v>Employed for wages</v>
      </c>
      <c r="AT297" s="120" t="str">
        <f>IFERROR(VLOOKUP(Table1[RespondentID],'All Data'!$A$3:$CW$999,97,FALSE),"unknown")</f>
        <v>Yes</v>
      </c>
      <c r="AU297" s="120" t="str">
        <f>IFERROR(VLOOKUP(Table1[RespondentID],'All Data'!$A$3:$CW$999,98,FALSE),"unknown")</f>
        <v>Medicaid</v>
      </c>
      <c r="AV297" s="120" t="str">
        <f>IFERROR(VLOOKUP(Table1[RespondentID],'All Data'!$A$3:$CW$999,99,FALSE),"unknown")</f>
        <v>Yes</v>
      </c>
    </row>
    <row r="298" spans="1:48">
      <c r="A298" s="5">
        <v>18016028237</v>
      </c>
      <c r="B298" s="5"/>
      <c r="C298" s="5"/>
      <c r="D298" s="5" t="s">
        <v>40</v>
      </c>
      <c r="E298" s="5"/>
      <c r="F298" s="5"/>
      <c r="G298" s="5"/>
      <c r="H298" s="5" t="s">
        <v>43</v>
      </c>
      <c r="I298" s="5" t="s">
        <v>44</v>
      </c>
      <c r="J298" s="5"/>
      <c r="K298" s="5"/>
      <c r="L298" s="5"/>
      <c r="M298" s="5"/>
      <c r="N298" s="5"/>
      <c r="O298" s="5">
        <f t="shared" si="68"/>
        <v>3</v>
      </c>
      <c r="P298" s="5">
        <f t="shared" si="69"/>
        <v>1</v>
      </c>
      <c r="Q298" s="5"/>
      <c r="R298" s="5">
        <f t="shared" si="70"/>
        <v>0</v>
      </c>
      <c r="S298" s="5">
        <f t="shared" si="71"/>
        <v>0</v>
      </c>
      <c r="T298" s="5">
        <f t="shared" si="72"/>
        <v>1</v>
      </c>
      <c r="U298" s="5">
        <f t="shared" si="73"/>
        <v>0</v>
      </c>
      <c r="V298" s="5">
        <f t="shared" si="74"/>
        <v>0</v>
      </c>
      <c r="W298" s="5">
        <f t="shared" si="75"/>
        <v>0</v>
      </c>
      <c r="X298" s="5">
        <f t="shared" si="76"/>
        <v>1</v>
      </c>
      <c r="Y298" s="5">
        <f t="shared" si="77"/>
        <v>1</v>
      </c>
      <c r="Z298" s="5">
        <f t="shared" si="78"/>
        <v>0</v>
      </c>
      <c r="AA298" s="5">
        <f t="shared" si="79"/>
        <v>0</v>
      </c>
      <c r="AB298" s="5">
        <f t="shared" si="80"/>
        <v>0</v>
      </c>
      <c r="AC298" s="5">
        <f t="shared" si="81"/>
        <v>0</v>
      </c>
      <c r="AD298" s="5"/>
      <c r="AE298" s="5"/>
      <c r="AF298" s="5">
        <f t="shared" si="82"/>
        <v>3</v>
      </c>
      <c r="AG298" s="5">
        <f t="shared" si="83"/>
        <v>3</v>
      </c>
      <c r="AH298" s="5" t="str">
        <f t="shared" si="84"/>
        <v>Correct</v>
      </c>
      <c r="AI298" s="5"/>
      <c r="AJ298" s="120" t="str">
        <f>IFERROR(VLOOKUP(Table1[RespondentID],'All Data'!$A$3:$CO$999,87,FALSE),"unknown")</f>
        <v>Woman</v>
      </c>
      <c r="AK298" s="120">
        <f>IFERROR(VLOOKUP(Table1[RespondentID],'All Data'!$A$3:$CO$999,88,FALSE),"unknown")</f>
        <v>29</v>
      </c>
      <c r="AL298" s="120" t="str">
        <f>IFERROR(VLOOKUP(Table1[RespondentID],'All Data'!$A$3:$CO$999,89,FALSE),"unknown")</f>
        <v>Nassau</v>
      </c>
      <c r="AM298" s="120" t="str">
        <f>IFERROR(VLOOKUP(Table1[RespondentID],'All Data'!$A$3:$CO$999,90,FALSE),"unknown")</f>
        <v>Baxter Estates, 11050</v>
      </c>
      <c r="AN298" s="120" t="str">
        <f>IFERROR(VLOOKUP(Table1[RespondentID],'All Data'!$A$3:$CO$999,91,FALSE),"unknown")</f>
        <v>White</v>
      </c>
      <c r="AO298" s="120" t="str">
        <f>IFERROR(VLOOKUP(Table1[RespondentID],'All Data'!$A$3:$CO$999,92,FALSE),"unknown")</f>
        <v>Not Hispanic or Latino</v>
      </c>
      <c r="AP298" s="120" t="str">
        <f>IFERROR(VLOOKUP(Table1[RespondentID],'All Data'!$A$3:$CO$999,93,FALSE),"unknown")</f>
        <v>English</v>
      </c>
      <c r="AQ298" s="120" t="str">
        <f>IFERROR(VLOOKUP(Table1[RespondentID],'All Data'!$A$3:$CW$999,94,FALSE),"unknown")</f>
        <v>$75,000 to $125,000</v>
      </c>
      <c r="AR298" s="120" t="str">
        <f>IFERROR(VLOOKUP(Table1[RespondentID],'All Data'!$A$3:$CW$999,95,FALSE),"unknown")</f>
        <v>Some college</v>
      </c>
      <c r="AS298" s="120" t="str">
        <f>IFERROR(VLOOKUP(Table1[RespondentID],'All Data'!$A$3:$CW$999,96,FALSE),"unknown")</f>
        <v>Employed for wages</v>
      </c>
      <c r="AT298" s="120" t="str">
        <f>IFERROR(VLOOKUP(Table1[RespondentID],'All Data'!$A$3:$CW$999,97,FALSE),"unknown")</f>
        <v>Yes</v>
      </c>
      <c r="AU298" s="120" t="str">
        <f>IFERROR(VLOOKUP(Table1[RespondentID],'All Data'!$A$3:$CW$999,98,FALSE),"unknown")</f>
        <v>Medicaid</v>
      </c>
      <c r="AV298" s="120" t="str">
        <f>IFERROR(VLOOKUP(Table1[RespondentID],'All Data'!$A$3:$CW$999,99,FALSE),"unknown")</f>
        <v>Yes</v>
      </c>
    </row>
    <row r="299" spans="1:48">
      <c r="A299" s="5">
        <v>18015976959</v>
      </c>
      <c r="B299" s="5"/>
      <c r="C299" s="5"/>
      <c r="D299" s="5"/>
      <c r="E299" s="5" t="s">
        <v>41</v>
      </c>
      <c r="F299" s="5"/>
      <c r="G299" s="5"/>
      <c r="H299" s="5" t="s">
        <v>43</v>
      </c>
      <c r="I299" s="5"/>
      <c r="J299" s="5"/>
      <c r="K299" s="5" t="s">
        <v>46</v>
      </c>
      <c r="L299" s="5"/>
      <c r="M299" s="5"/>
      <c r="N299" s="5"/>
      <c r="O299" s="5">
        <f t="shared" si="68"/>
        <v>3</v>
      </c>
      <c r="P299" s="5">
        <f t="shared" si="69"/>
        <v>1</v>
      </c>
      <c r="Q299" s="5"/>
      <c r="R299" s="5">
        <f t="shared" si="70"/>
        <v>0</v>
      </c>
      <c r="S299" s="5">
        <f t="shared" si="71"/>
        <v>0</v>
      </c>
      <c r="T299" s="5">
        <f t="shared" si="72"/>
        <v>0</v>
      </c>
      <c r="U299" s="5">
        <f t="shared" si="73"/>
        <v>1</v>
      </c>
      <c r="V299" s="5">
        <f t="shared" si="74"/>
        <v>0</v>
      </c>
      <c r="W299" s="5">
        <f t="shared" si="75"/>
        <v>0</v>
      </c>
      <c r="X299" s="5">
        <f t="shared" si="76"/>
        <v>1</v>
      </c>
      <c r="Y299" s="5">
        <f t="shared" si="77"/>
        <v>0</v>
      </c>
      <c r="Z299" s="5">
        <f t="shared" si="78"/>
        <v>0</v>
      </c>
      <c r="AA299" s="5">
        <f t="shared" si="79"/>
        <v>1</v>
      </c>
      <c r="AB299" s="5">
        <f t="shared" si="80"/>
        <v>0</v>
      </c>
      <c r="AC299" s="5">
        <f t="shared" si="81"/>
        <v>0</v>
      </c>
      <c r="AD299" s="5"/>
      <c r="AE299" s="5"/>
      <c r="AF299" s="5">
        <f t="shared" si="82"/>
        <v>3</v>
      </c>
      <c r="AG299" s="5">
        <f t="shared" si="83"/>
        <v>3</v>
      </c>
      <c r="AH299" s="5" t="str">
        <f t="shared" si="84"/>
        <v>Correct</v>
      </c>
      <c r="AI299" s="5"/>
      <c r="AJ299" s="120" t="str">
        <f>IFERROR(VLOOKUP(Table1[RespondentID],'All Data'!$A$3:$CO$999,87,FALSE),"unknown")</f>
        <v>Woman</v>
      </c>
      <c r="AK299" s="120">
        <f>IFERROR(VLOOKUP(Table1[RespondentID],'All Data'!$A$3:$CO$999,88,FALSE),"unknown")</f>
        <v>23</v>
      </c>
      <c r="AL299" s="120" t="str">
        <f>IFERROR(VLOOKUP(Table1[RespondentID],'All Data'!$A$3:$CO$999,89,FALSE),"unknown")</f>
        <v>Queens</v>
      </c>
      <c r="AM299" s="120">
        <f>IFERROR(VLOOKUP(Table1[RespondentID],'All Data'!$A$3:$CO$999,90,FALSE),"unknown")</f>
        <v>11456</v>
      </c>
      <c r="AN299" s="120" t="str">
        <f>IFERROR(VLOOKUP(Table1[RespondentID],'All Data'!$A$3:$CO$999,91,FALSE),"unknown")</f>
        <v>White</v>
      </c>
      <c r="AO299" s="120" t="str">
        <f>IFERROR(VLOOKUP(Table1[RespondentID],'All Data'!$A$3:$CO$999,92,FALSE),"unknown")</f>
        <v>Hispanic or Latino</v>
      </c>
      <c r="AP299" s="120" t="str">
        <f>IFERROR(VLOOKUP(Table1[RespondentID],'All Data'!$A$3:$CO$999,93,FALSE),"unknown")</f>
        <v>English</v>
      </c>
      <c r="AQ299" s="120" t="str">
        <f>IFERROR(VLOOKUP(Table1[RespondentID],'All Data'!$A$3:$CW$999,94,FALSE),"unknown")</f>
        <v>$35,000 to $49,999</v>
      </c>
      <c r="AR299" s="120" t="str">
        <f>IFERROR(VLOOKUP(Table1[RespondentID],'All Data'!$A$3:$CW$999,95,FALSE),"unknown")</f>
        <v>College graduate</v>
      </c>
      <c r="AS299" s="120" t="str">
        <f>IFERROR(VLOOKUP(Table1[RespondentID],'All Data'!$A$3:$CW$999,96,FALSE),"unknown")</f>
        <v>Employed for wages</v>
      </c>
      <c r="AT299" s="120" t="str">
        <f>IFERROR(VLOOKUP(Table1[RespondentID],'All Data'!$A$3:$CW$999,97,FALSE),"unknown")</f>
        <v>Yes</v>
      </c>
      <c r="AU299" s="120" t="str">
        <f>IFERROR(VLOOKUP(Table1[RespondentID],'All Data'!$A$3:$CW$999,98,FALSE),"unknown")</f>
        <v>Medicare</v>
      </c>
      <c r="AV299" s="120" t="str">
        <f>IFERROR(VLOOKUP(Table1[RespondentID],'All Data'!$A$3:$CW$999,99,FALSE),"unknown")</f>
        <v>Yes</v>
      </c>
    </row>
    <row r="300" spans="1:48">
      <c r="A300" s="5">
        <v>18015976856</v>
      </c>
      <c r="B300" s="5"/>
      <c r="C300" s="5"/>
      <c r="D300" s="5"/>
      <c r="E300" s="5" t="s">
        <v>41</v>
      </c>
      <c r="F300" s="5"/>
      <c r="G300" s="5"/>
      <c r="H300" s="5" t="s">
        <v>43</v>
      </c>
      <c r="I300" s="5"/>
      <c r="J300" s="5"/>
      <c r="K300" s="5" t="s">
        <v>46</v>
      </c>
      <c r="L300" s="5"/>
      <c r="M300" s="5"/>
      <c r="N300" s="5"/>
      <c r="O300" s="5">
        <f t="shared" si="68"/>
        <v>3</v>
      </c>
      <c r="P300" s="5">
        <f t="shared" si="69"/>
        <v>1</v>
      </c>
      <c r="Q300" s="5"/>
      <c r="R300" s="5">
        <f t="shared" si="70"/>
        <v>0</v>
      </c>
      <c r="S300" s="5">
        <f t="shared" si="71"/>
        <v>0</v>
      </c>
      <c r="T300" s="5">
        <f t="shared" si="72"/>
        <v>0</v>
      </c>
      <c r="U300" s="5">
        <f t="shared" si="73"/>
        <v>1</v>
      </c>
      <c r="V300" s="5">
        <f t="shared" si="74"/>
        <v>0</v>
      </c>
      <c r="W300" s="5">
        <f t="shared" si="75"/>
        <v>0</v>
      </c>
      <c r="X300" s="5">
        <f t="shared" si="76"/>
        <v>1</v>
      </c>
      <c r="Y300" s="5">
        <f t="shared" si="77"/>
        <v>0</v>
      </c>
      <c r="Z300" s="5">
        <f t="shared" si="78"/>
        <v>0</v>
      </c>
      <c r="AA300" s="5">
        <f t="shared" si="79"/>
        <v>1</v>
      </c>
      <c r="AB300" s="5">
        <f t="shared" si="80"/>
        <v>0</v>
      </c>
      <c r="AC300" s="5">
        <f t="shared" si="81"/>
        <v>0</v>
      </c>
      <c r="AD300" s="5"/>
      <c r="AE300" s="5"/>
      <c r="AF300" s="5">
        <f t="shared" si="82"/>
        <v>3</v>
      </c>
      <c r="AG300" s="5">
        <f t="shared" si="83"/>
        <v>3</v>
      </c>
      <c r="AH300" s="5" t="str">
        <f t="shared" si="84"/>
        <v>Correct</v>
      </c>
      <c r="AI300" s="5"/>
      <c r="AJ300" s="120" t="str">
        <f>IFERROR(VLOOKUP(Table1[RespondentID],'All Data'!$A$3:$CO$999,87,FALSE),"unknown")</f>
        <v>Man</v>
      </c>
      <c r="AK300" s="120">
        <f>IFERROR(VLOOKUP(Table1[RespondentID],'All Data'!$A$3:$CO$999,88,FALSE),"unknown")</f>
        <v>16</v>
      </c>
      <c r="AL300" s="120" t="str">
        <f>IFERROR(VLOOKUP(Table1[RespondentID],'All Data'!$A$3:$CO$999,89,FALSE),"unknown")</f>
        <v>Suffolk</v>
      </c>
      <c r="AM300" s="120" t="str">
        <f>IFERROR(VLOOKUP(Table1[RespondentID],'All Data'!$A$3:$CO$999,90,FALSE),"unknown")</f>
        <v>Head of the Harbor, 11780</v>
      </c>
      <c r="AN300" s="120" t="str">
        <f>IFERROR(VLOOKUP(Table1[RespondentID],'All Data'!$A$3:$CO$999,91,FALSE),"unknown")</f>
        <v>White</v>
      </c>
      <c r="AO300" s="120" t="str">
        <f>IFERROR(VLOOKUP(Table1[RespondentID],'All Data'!$A$3:$CO$999,92,FALSE),"unknown")</f>
        <v>Hispanic or Latino</v>
      </c>
      <c r="AP300" s="120" t="str">
        <f>IFERROR(VLOOKUP(Table1[RespondentID],'All Data'!$A$3:$CO$999,93,FALSE),"unknown")</f>
        <v>English</v>
      </c>
      <c r="AQ300" s="120" t="str">
        <f>IFERROR(VLOOKUP(Table1[RespondentID],'All Data'!$A$3:$CW$999,94,FALSE),"unknown")</f>
        <v>Over $125,000</v>
      </c>
      <c r="AR300" s="120" t="str">
        <f>IFERROR(VLOOKUP(Table1[RespondentID],'All Data'!$A$3:$CW$999,95,FALSE),"unknown")</f>
        <v>Some high school</v>
      </c>
      <c r="AS300" s="120" t="str">
        <f>IFERROR(VLOOKUP(Table1[RespondentID],'All Data'!$A$3:$CW$999,96,FALSE),"unknown")</f>
        <v>Employed for wages</v>
      </c>
      <c r="AT300" s="120" t="str">
        <f>IFERROR(VLOOKUP(Table1[RespondentID],'All Data'!$A$3:$CW$999,97,FALSE),"unknown")</f>
        <v>Yes</v>
      </c>
      <c r="AU300" s="120" t="str">
        <f>IFERROR(VLOOKUP(Table1[RespondentID],'All Data'!$A$3:$CW$999,98,FALSE),"unknown")</f>
        <v>Private/Commercial</v>
      </c>
      <c r="AV300" s="120" t="str">
        <f>IFERROR(VLOOKUP(Table1[RespondentID],'All Data'!$A$3:$CW$999,99,FALSE),"unknown")</f>
        <v>Yes</v>
      </c>
    </row>
    <row r="301" spans="1:48">
      <c r="A301" s="5">
        <v>18015956572</v>
      </c>
      <c r="B301" s="5"/>
      <c r="C301" s="5" t="s">
        <v>39</v>
      </c>
      <c r="D301" s="5"/>
      <c r="E301" s="5" t="s">
        <v>41</v>
      </c>
      <c r="F301" s="5"/>
      <c r="G301" s="5"/>
      <c r="H301" s="5"/>
      <c r="I301" s="5"/>
      <c r="J301" s="5"/>
      <c r="K301" s="5" t="s">
        <v>46</v>
      </c>
      <c r="L301" s="5"/>
      <c r="M301" s="5"/>
      <c r="N301" s="5"/>
      <c r="O301" s="5">
        <f t="shared" si="68"/>
        <v>3</v>
      </c>
      <c r="P301" s="5">
        <f t="shared" si="69"/>
        <v>1</v>
      </c>
      <c r="Q301" s="5"/>
      <c r="R301" s="5">
        <f t="shared" si="70"/>
        <v>0</v>
      </c>
      <c r="S301" s="5">
        <f t="shared" si="71"/>
        <v>1</v>
      </c>
      <c r="T301" s="5">
        <f t="shared" si="72"/>
        <v>0</v>
      </c>
      <c r="U301" s="5">
        <f t="shared" si="73"/>
        <v>1</v>
      </c>
      <c r="V301" s="5">
        <f t="shared" si="74"/>
        <v>0</v>
      </c>
      <c r="W301" s="5">
        <f t="shared" si="75"/>
        <v>0</v>
      </c>
      <c r="X301" s="5">
        <f t="shared" si="76"/>
        <v>0</v>
      </c>
      <c r="Y301" s="5">
        <f t="shared" si="77"/>
        <v>0</v>
      </c>
      <c r="Z301" s="5">
        <f t="shared" si="78"/>
        <v>0</v>
      </c>
      <c r="AA301" s="5">
        <f t="shared" si="79"/>
        <v>1</v>
      </c>
      <c r="AB301" s="5">
        <f t="shared" si="80"/>
        <v>0</v>
      </c>
      <c r="AC301" s="5">
        <f t="shared" si="81"/>
        <v>0</v>
      </c>
      <c r="AD301" s="5"/>
      <c r="AE301" s="5"/>
      <c r="AF301" s="5">
        <f t="shared" si="82"/>
        <v>3</v>
      </c>
      <c r="AG301" s="5">
        <f t="shared" si="83"/>
        <v>3</v>
      </c>
      <c r="AH301" s="5" t="str">
        <f t="shared" si="84"/>
        <v>Correct</v>
      </c>
      <c r="AI301" s="5"/>
      <c r="AJ301" s="120" t="str">
        <f>IFERROR(VLOOKUP(Table1[RespondentID],'All Data'!$A$3:$CO$999,87,FALSE),"unknown")</f>
        <v>Man</v>
      </c>
      <c r="AK301" s="120">
        <f>IFERROR(VLOOKUP(Table1[RespondentID],'All Data'!$A$3:$CO$999,88,FALSE),"unknown")</f>
        <v>20</v>
      </c>
      <c r="AL301" s="120" t="str">
        <f>IFERROR(VLOOKUP(Table1[RespondentID],'All Data'!$A$3:$CO$999,89,FALSE),"unknown")</f>
        <v>Nassau</v>
      </c>
      <c r="AM301" s="120" t="str">
        <f>IFERROR(VLOOKUP(Table1[RespondentID],'All Data'!$A$3:$CO$999,90,FALSE),"unknown")</f>
        <v>Hempstead, 11550</v>
      </c>
      <c r="AN301" s="120" t="str">
        <f>IFERROR(VLOOKUP(Table1[RespondentID],'All Data'!$A$3:$CO$999,91,FALSE),"unknown")</f>
        <v>White</v>
      </c>
      <c r="AO301" s="120" t="str">
        <f>IFERROR(VLOOKUP(Table1[RespondentID],'All Data'!$A$3:$CO$999,92,FALSE),"unknown")</f>
        <v>Not Hispanic or Latino</v>
      </c>
      <c r="AP301" s="120" t="str">
        <f>IFERROR(VLOOKUP(Table1[RespondentID],'All Data'!$A$3:$CO$999,93,FALSE),"unknown")</f>
        <v>Spanish</v>
      </c>
      <c r="AQ301" s="120" t="str">
        <f>IFERROR(VLOOKUP(Table1[RespondentID],'All Data'!$A$3:$CW$999,94,FALSE),"unknown")</f>
        <v>$20,000 to $34,999</v>
      </c>
      <c r="AR301" s="120" t="str">
        <f>IFERROR(VLOOKUP(Table1[RespondentID],'All Data'!$A$3:$CW$999,95,FALSE),"unknown")</f>
        <v>Some college</v>
      </c>
      <c r="AS301" s="120" t="str">
        <f>IFERROR(VLOOKUP(Table1[RespondentID],'All Data'!$A$3:$CW$999,96,FALSE),"unknown")</f>
        <v>Student</v>
      </c>
      <c r="AT301" s="120" t="str">
        <f>IFERROR(VLOOKUP(Table1[RespondentID],'All Data'!$A$3:$CW$999,97,FALSE),"unknown")</f>
        <v>Yes</v>
      </c>
      <c r="AU301" s="120" t="str">
        <f>IFERROR(VLOOKUP(Table1[RespondentID],'All Data'!$A$3:$CW$999,98,FALSE),"unknown")</f>
        <v>Medicaid</v>
      </c>
      <c r="AV301" s="120" t="str">
        <f>IFERROR(VLOOKUP(Table1[RespondentID],'All Data'!$A$3:$CW$999,99,FALSE),"unknown")</f>
        <v>Yes</v>
      </c>
    </row>
    <row r="302" spans="1:48">
      <c r="A302" s="5">
        <v>18015878869</v>
      </c>
      <c r="B302" s="5" t="s">
        <v>38</v>
      </c>
      <c r="C302" s="5" t="s">
        <v>39</v>
      </c>
      <c r="D302" s="5"/>
      <c r="E302" s="5" t="s">
        <v>41</v>
      </c>
      <c r="F302" s="5"/>
      <c r="G302" s="5"/>
      <c r="H302" s="5" t="s">
        <v>43</v>
      </c>
      <c r="I302" s="5"/>
      <c r="J302" s="5" t="s">
        <v>45</v>
      </c>
      <c r="K302" s="5" t="s">
        <v>46</v>
      </c>
      <c r="L302" s="5" t="s">
        <v>47</v>
      </c>
      <c r="M302" s="5"/>
      <c r="N302" s="5"/>
      <c r="O302" s="5">
        <f t="shared" si="68"/>
        <v>7</v>
      </c>
      <c r="P302" s="5">
        <f t="shared" si="69"/>
        <v>0.42857142857142855</v>
      </c>
      <c r="Q302" s="5"/>
      <c r="R302" s="5">
        <f t="shared" si="70"/>
        <v>0.42857142857142855</v>
      </c>
      <c r="S302" s="5">
        <f t="shared" si="71"/>
        <v>0.42857142857142855</v>
      </c>
      <c r="T302" s="5">
        <f t="shared" si="72"/>
        <v>0</v>
      </c>
      <c r="U302" s="5">
        <f t="shared" si="73"/>
        <v>0.42857142857142855</v>
      </c>
      <c r="V302" s="5">
        <f t="shared" si="74"/>
        <v>0</v>
      </c>
      <c r="W302" s="5">
        <f t="shared" si="75"/>
        <v>0</v>
      </c>
      <c r="X302" s="5">
        <f t="shared" si="76"/>
        <v>0.42857142857142855</v>
      </c>
      <c r="Y302" s="5">
        <f t="shared" si="77"/>
        <v>0</v>
      </c>
      <c r="Z302" s="5">
        <f t="shared" si="78"/>
        <v>0.42857142857142855</v>
      </c>
      <c r="AA302" s="5">
        <f t="shared" si="79"/>
        <v>0.42857142857142855</v>
      </c>
      <c r="AB302" s="5">
        <f t="shared" si="80"/>
        <v>0.42857142857142855</v>
      </c>
      <c r="AC302" s="5">
        <f t="shared" si="81"/>
        <v>0</v>
      </c>
      <c r="AD302" s="5"/>
      <c r="AE302" s="5"/>
      <c r="AF302" s="5">
        <f t="shared" si="82"/>
        <v>2.9999999999999996</v>
      </c>
      <c r="AG302" s="5">
        <f t="shared" si="83"/>
        <v>7</v>
      </c>
      <c r="AH302" s="5" t="str">
        <f t="shared" si="84"/>
        <v>Correct</v>
      </c>
      <c r="AI302" s="5"/>
      <c r="AJ302" s="120" t="str">
        <f>IFERROR(VLOOKUP(Table1[RespondentID],'All Data'!$A$3:$CO$999,87,FALSE),"unknown")</f>
        <v>Woman</v>
      </c>
      <c r="AK302" s="120">
        <f>IFERROR(VLOOKUP(Table1[RespondentID],'All Data'!$A$3:$CO$999,88,FALSE),"unknown")</f>
        <v>20</v>
      </c>
      <c r="AL302" s="120" t="str">
        <f>IFERROR(VLOOKUP(Table1[RespondentID],'All Data'!$A$3:$CO$999,89,FALSE),"unknown")</f>
        <v>Nassau</v>
      </c>
      <c r="AM302" s="120" t="str">
        <f>IFERROR(VLOOKUP(Table1[RespondentID],'All Data'!$A$3:$CO$999,90,FALSE),"unknown")</f>
        <v>Freeport, 11520</v>
      </c>
      <c r="AN302" s="120" t="str">
        <f>IFERROR(VLOOKUP(Table1[RespondentID],'All Data'!$A$3:$CO$999,91,FALSE),"unknown")</f>
        <v>Other (please specify)</v>
      </c>
      <c r="AO302" s="120" t="str">
        <f>IFERROR(VLOOKUP(Table1[RespondentID],'All Data'!$A$3:$CO$999,92,FALSE),"unknown")</f>
        <v>Not Hispanic or Latino</v>
      </c>
      <c r="AP302" s="120" t="str">
        <f>IFERROR(VLOOKUP(Table1[RespondentID],'All Data'!$A$3:$CO$999,93,FALSE),"unknown")</f>
        <v>English, Spanish</v>
      </c>
      <c r="AQ302" s="120" t="str">
        <f>IFERROR(VLOOKUP(Table1[RespondentID],'All Data'!$A$3:$CW$999,94,FALSE),"unknown")</f>
        <v>$0-$19,999</v>
      </c>
      <c r="AR302" s="120" t="str">
        <f>IFERROR(VLOOKUP(Table1[RespondentID],'All Data'!$A$3:$CW$999,95,FALSE),"unknown")</f>
        <v>Some college</v>
      </c>
      <c r="AS302" s="120" t="str">
        <f>IFERROR(VLOOKUP(Table1[RespondentID],'All Data'!$A$3:$CW$999,96,FALSE),"unknown")</f>
        <v>Employed for wages</v>
      </c>
      <c r="AT302" s="120">
        <f>IFERROR(VLOOKUP(Table1[RespondentID],'All Data'!$A$3:$CW$999,97,FALSE),"unknown")</f>
        <v>0</v>
      </c>
      <c r="AU302" s="120" t="str">
        <f>IFERROR(VLOOKUP(Table1[RespondentID],'All Data'!$A$3:$CW$999,98,FALSE),"unknown")</f>
        <v>No Insurance</v>
      </c>
      <c r="AV302" s="120" t="str">
        <f>IFERROR(VLOOKUP(Table1[RespondentID],'All Data'!$A$3:$CW$999,99,FALSE),"unknown")</f>
        <v>Yes</v>
      </c>
    </row>
    <row r="303" spans="1:48">
      <c r="A303" s="5">
        <v>18015822327</v>
      </c>
      <c r="B303" s="5"/>
      <c r="C303" s="5" t="s">
        <v>39</v>
      </c>
      <c r="D303" s="5"/>
      <c r="E303" s="5"/>
      <c r="F303" s="5"/>
      <c r="G303" s="5"/>
      <c r="H303" s="5" t="s">
        <v>43</v>
      </c>
      <c r="I303" s="5"/>
      <c r="J303" s="5" t="s">
        <v>45</v>
      </c>
      <c r="K303" s="5" t="s">
        <v>46</v>
      </c>
      <c r="L303" s="5"/>
      <c r="M303" s="5"/>
      <c r="N303" s="5"/>
      <c r="O303" s="5">
        <f t="shared" si="68"/>
        <v>4</v>
      </c>
      <c r="P303" s="5">
        <f t="shared" si="69"/>
        <v>0.75</v>
      </c>
      <c r="Q303" s="5"/>
      <c r="R303" s="5">
        <f t="shared" si="70"/>
        <v>0</v>
      </c>
      <c r="S303" s="5">
        <f t="shared" si="71"/>
        <v>0.75</v>
      </c>
      <c r="T303" s="5">
        <f t="shared" si="72"/>
        <v>0</v>
      </c>
      <c r="U303" s="5">
        <f t="shared" si="73"/>
        <v>0</v>
      </c>
      <c r="V303" s="5">
        <f t="shared" si="74"/>
        <v>0</v>
      </c>
      <c r="W303" s="5">
        <f t="shared" si="75"/>
        <v>0</v>
      </c>
      <c r="X303" s="5">
        <f t="shared" si="76"/>
        <v>0.75</v>
      </c>
      <c r="Y303" s="5">
        <f t="shared" si="77"/>
        <v>0</v>
      </c>
      <c r="Z303" s="5">
        <f t="shared" si="78"/>
        <v>0.75</v>
      </c>
      <c r="AA303" s="5">
        <f t="shared" si="79"/>
        <v>0.75</v>
      </c>
      <c r="AB303" s="5">
        <f t="shared" si="80"/>
        <v>0</v>
      </c>
      <c r="AC303" s="5">
        <f t="shared" si="81"/>
        <v>0</v>
      </c>
      <c r="AD303" s="5"/>
      <c r="AE303" s="5"/>
      <c r="AF303" s="5">
        <f t="shared" si="82"/>
        <v>3</v>
      </c>
      <c r="AG303" s="5">
        <f t="shared" si="83"/>
        <v>4</v>
      </c>
      <c r="AH303" s="5" t="str">
        <f t="shared" si="84"/>
        <v>Correct</v>
      </c>
      <c r="AI303" s="5"/>
      <c r="AJ303" s="120" t="str">
        <f>IFERROR(VLOOKUP(Table1[RespondentID],'All Data'!$A$3:$CO$999,87,FALSE),"unknown")</f>
        <v>Man</v>
      </c>
      <c r="AK303" s="120">
        <f>IFERROR(VLOOKUP(Table1[RespondentID],'All Data'!$A$3:$CO$999,88,FALSE),"unknown")</f>
        <v>21</v>
      </c>
      <c r="AL303" s="120" t="str">
        <f>IFERROR(VLOOKUP(Table1[RespondentID],'All Data'!$A$3:$CO$999,89,FALSE),"unknown")</f>
        <v>Nassau</v>
      </c>
      <c r="AM303" s="120" t="str">
        <f>IFERROR(VLOOKUP(Table1[RespondentID],'All Data'!$A$3:$CO$999,90,FALSE),"unknown")</f>
        <v>Uniondale, 11553</v>
      </c>
      <c r="AN303" s="120">
        <f>IFERROR(VLOOKUP(Table1[RespondentID],'All Data'!$A$3:$CO$999,91,FALSE),"unknown")</f>
        <v>0</v>
      </c>
      <c r="AO303" s="120" t="str">
        <f>IFERROR(VLOOKUP(Table1[RespondentID],'All Data'!$A$3:$CO$999,92,FALSE),"unknown")</f>
        <v>Not Hispanic or Latino</v>
      </c>
      <c r="AP303" s="120" t="str">
        <f>IFERROR(VLOOKUP(Table1[RespondentID],'All Data'!$A$3:$CO$999,93,FALSE),"unknown")</f>
        <v>English, Spanish</v>
      </c>
      <c r="AQ303" s="120">
        <f>IFERROR(VLOOKUP(Table1[RespondentID],'All Data'!$A$3:$CW$999,94,FALSE),"unknown")</f>
        <v>0</v>
      </c>
      <c r="AR303" s="120" t="str">
        <f>IFERROR(VLOOKUP(Table1[RespondentID],'All Data'!$A$3:$CW$999,95,FALSE),"unknown")</f>
        <v>High school graduate</v>
      </c>
      <c r="AS303" s="120" t="str">
        <f>IFERROR(VLOOKUP(Table1[RespondentID],'All Data'!$A$3:$CW$999,96,FALSE),"unknown")</f>
        <v>Out of work and looking for work</v>
      </c>
      <c r="AT303" s="120" t="str">
        <f>IFERROR(VLOOKUP(Table1[RespondentID],'All Data'!$A$3:$CW$999,97,FALSE),"unknown")</f>
        <v>Yes</v>
      </c>
      <c r="AU303" s="120" t="str">
        <f>IFERROR(VLOOKUP(Table1[RespondentID],'All Data'!$A$3:$CW$999,98,FALSE),"unknown")</f>
        <v>Medicaid</v>
      </c>
      <c r="AV303" s="120" t="str">
        <f>IFERROR(VLOOKUP(Table1[RespondentID],'All Data'!$A$3:$CW$999,99,FALSE),"unknown")</f>
        <v>Yes</v>
      </c>
    </row>
    <row r="304" spans="1:48">
      <c r="A304" s="5">
        <v>18015503169</v>
      </c>
      <c r="B304" s="5"/>
      <c r="C304" s="5"/>
      <c r="D304" s="5"/>
      <c r="E304" s="5"/>
      <c r="F304" s="5" t="s">
        <v>42</v>
      </c>
      <c r="G304" s="5"/>
      <c r="H304" s="5" t="s">
        <v>43</v>
      </c>
      <c r="I304" s="5"/>
      <c r="J304" s="5"/>
      <c r="K304" s="5"/>
      <c r="L304" s="5" t="s">
        <v>47</v>
      </c>
      <c r="M304" s="5"/>
      <c r="N304" s="5"/>
      <c r="O304" s="5">
        <f t="shared" si="68"/>
        <v>3</v>
      </c>
      <c r="P304" s="5">
        <f t="shared" si="69"/>
        <v>1</v>
      </c>
      <c r="Q304" s="5"/>
      <c r="R304" s="5">
        <f t="shared" si="70"/>
        <v>0</v>
      </c>
      <c r="S304" s="5">
        <f t="shared" si="71"/>
        <v>0</v>
      </c>
      <c r="T304" s="5">
        <f t="shared" si="72"/>
        <v>0</v>
      </c>
      <c r="U304" s="5">
        <f t="shared" si="73"/>
        <v>0</v>
      </c>
      <c r="V304" s="5">
        <f t="shared" si="74"/>
        <v>1</v>
      </c>
      <c r="W304" s="5">
        <f t="shared" si="75"/>
        <v>0</v>
      </c>
      <c r="X304" s="5">
        <f t="shared" si="76"/>
        <v>1</v>
      </c>
      <c r="Y304" s="5">
        <f t="shared" si="77"/>
        <v>0</v>
      </c>
      <c r="Z304" s="5">
        <f t="shared" si="78"/>
        <v>0</v>
      </c>
      <c r="AA304" s="5">
        <f t="shared" si="79"/>
        <v>0</v>
      </c>
      <c r="AB304" s="5">
        <f t="shared" si="80"/>
        <v>1</v>
      </c>
      <c r="AC304" s="5">
        <f t="shared" si="81"/>
        <v>0</v>
      </c>
      <c r="AD304" s="5"/>
      <c r="AE304" s="5"/>
      <c r="AF304" s="5">
        <f t="shared" si="82"/>
        <v>3</v>
      </c>
      <c r="AG304" s="5">
        <f t="shared" si="83"/>
        <v>3</v>
      </c>
      <c r="AH304" s="5" t="str">
        <f t="shared" si="84"/>
        <v>Correct</v>
      </c>
      <c r="AI304" s="5"/>
      <c r="AJ304" s="120" t="str">
        <f>IFERROR(VLOOKUP(Table1[RespondentID],'All Data'!$A$3:$CO$999,87,FALSE),"unknown")</f>
        <v>Man</v>
      </c>
      <c r="AK304" s="120">
        <f>IFERROR(VLOOKUP(Table1[RespondentID],'All Data'!$A$3:$CO$999,88,FALSE),"unknown")</f>
        <v>18</v>
      </c>
      <c r="AL304" s="120" t="str">
        <f>IFERROR(VLOOKUP(Table1[RespondentID],'All Data'!$A$3:$CO$999,89,FALSE),"unknown")</f>
        <v>Nassau</v>
      </c>
      <c r="AM304" s="120" t="str">
        <f>IFERROR(VLOOKUP(Table1[RespondentID],'All Data'!$A$3:$CO$999,90,FALSE),"unknown")</f>
        <v>Lake Success, 11020</v>
      </c>
      <c r="AN304" s="120" t="str">
        <f>IFERROR(VLOOKUP(Table1[RespondentID],'All Data'!$A$3:$CO$999,91,FALSE),"unknown")</f>
        <v>White</v>
      </c>
      <c r="AO304" s="120" t="str">
        <f>IFERROR(VLOOKUP(Table1[RespondentID],'All Data'!$A$3:$CO$999,92,FALSE),"unknown")</f>
        <v>Not Hispanic or Latino</v>
      </c>
      <c r="AP304" s="120" t="str">
        <f>IFERROR(VLOOKUP(Table1[RespondentID],'All Data'!$A$3:$CO$999,93,FALSE),"unknown")</f>
        <v>English</v>
      </c>
      <c r="AQ304" s="120" t="str">
        <f>IFERROR(VLOOKUP(Table1[RespondentID],'All Data'!$A$3:$CW$999,94,FALSE),"unknown")</f>
        <v>$0-$19,999</v>
      </c>
      <c r="AR304" s="120" t="str">
        <f>IFERROR(VLOOKUP(Table1[RespondentID],'All Data'!$A$3:$CW$999,95,FALSE),"unknown")</f>
        <v>College graduate</v>
      </c>
      <c r="AS304" s="120" t="str">
        <f>IFERROR(VLOOKUP(Table1[RespondentID],'All Data'!$A$3:$CW$999,96,FALSE),"unknown")</f>
        <v>Employed for wages</v>
      </c>
      <c r="AT304" s="120" t="str">
        <f>IFERROR(VLOOKUP(Table1[RespondentID],'All Data'!$A$3:$CW$999,97,FALSE),"unknown")</f>
        <v>Yes</v>
      </c>
      <c r="AU304" s="120" t="str">
        <f>IFERROR(VLOOKUP(Table1[RespondentID],'All Data'!$A$3:$CW$999,98,FALSE),"unknown")</f>
        <v>Medicare</v>
      </c>
      <c r="AV304" s="120" t="str">
        <f>IFERROR(VLOOKUP(Table1[RespondentID],'All Data'!$A$3:$CW$999,99,FALSE),"unknown")</f>
        <v>Yes</v>
      </c>
    </row>
    <row r="305" spans="1:48">
      <c r="A305" s="5">
        <v>18015489362</v>
      </c>
      <c r="B305" s="5"/>
      <c r="C305" s="5" t="s">
        <v>39</v>
      </c>
      <c r="D305" s="5"/>
      <c r="E305" s="5"/>
      <c r="F305" s="5"/>
      <c r="G305" s="5" t="s">
        <v>37</v>
      </c>
      <c r="H305" s="5" t="s">
        <v>43</v>
      </c>
      <c r="I305" s="5"/>
      <c r="J305" s="5"/>
      <c r="K305" s="5"/>
      <c r="L305" s="5" t="s">
        <v>47</v>
      </c>
      <c r="M305" s="5"/>
      <c r="N305" s="5"/>
      <c r="O305" s="5">
        <f t="shared" si="68"/>
        <v>4</v>
      </c>
      <c r="P305" s="5">
        <f t="shared" si="69"/>
        <v>0.75</v>
      </c>
      <c r="Q305" s="5"/>
      <c r="R305" s="5">
        <f t="shared" si="70"/>
        <v>0</v>
      </c>
      <c r="S305" s="5">
        <f t="shared" si="71"/>
        <v>0.75</v>
      </c>
      <c r="T305" s="5">
        <f t="shared" si="72"/>
        <v>0</v>
      </c>
      <c r="U305" s="5">
        <f t="shared" si="73"/>
        <v>0</v>
      </c>
      <c r="V305" s="5">
        <f t="shared" si="74"/>
        <v>0</v>
      </c>
      <c r="W305" s="5">
        <f t="shared" si="75"/>
        <v>0.75</v>
      </c>
      <c r="X305" s="5">
        <f t="shared" si="76"/>
        <v>0.75</v>
      </c>
      <c r="Y305" s="5">
        <f t="shared" si="77"/>
        <v>0</v>
      </c>
      <c r="Z305" s="5">
        <f t="shared" si="78"/>
        <v>0</v>
      </c>
      <c r="AA305" s="5">
        <f t="shared" si="79"/>
        <v>0</v>
      </c>
      <c r="AB305" s="5">
        <f t="shared" si="80"/>
        <v>0.75</v>
      </c>
      <c r="AC305" s="5">
        <f t="shared" si="81"/>
        <v>0</v>
      </c>
      <c r="AD305" s="5"/>
      <c r="AE305" s="5"/>
      <c r="AF305" s="5">
        <f t="shared" si="82"/>
        <v>3</v>
      </c>
      <c r="AG305" s="5">
        <f t="shared" si="83"/>
        <v>4</v>
      </c>
      <c r="AH305" s="5" t="str">
        <f t="shared" si="84"/>
        <v>Correct</v>
      </c>
      <c r="AI305" s="5"/>
      <c r="AJ305" s="120" t="str">
        <f>IFERROR(VLOOKUP(Table1[RespondentID],'All Data'!$A$3:$CO$999,87,FALSE),"unknown")</f>
        <v>Man</v>
      </c>
      <c r="AK305" s="120">
        <f>IFERROR(VLOOKUP(Table1[RespondentID],'All Data'!$A$3:$CO$999,88,FALSE),"unknown")</f>
        <v>18</v>
      </c>
      <c r="AL305" s="120" t="str">
        <f>IFERROR(VLOOKUP(Table1[RespondentID],'All Data'!$A$3:$CO$999,89,FALSE),"unknown")</f>
        <v>Suffolk</v>
      </c>
      <c r="AM305" s="120" t="str">
        <f>IFERROR(VLOOKUP(Table1[RespondentID],'All Data'!$A$3:$CO$999,90,FALSE),"unknown")</f>
        <v>Smithtown, 11745</v>
      </c>
      <c r="AN305" s="120" t="str">
        <f>IFERROR(VLOOKUP(Table1[RespondentID],'All Data'!$A$3:$CO$999,91,FALSE),"unknown")</f>
        <v>White</v>
      </c>
      <c r="AO305" s="120" t="str">
        <f>IFERROR(VLOOKUP(Table1[RespondentID],'All Data'!$A$3:$CO$999,92,FALSE),"unknown")</f>
        <v>Hispanic or Latino</v>
      </c>
      <c r="AP305" s="120" t="str">
        <f>IFERROR(VLOOKUP(Table1[RespondentID],'All Data'!$A$3:$CO$999,93,FALSE),"unknown")</f>
        <v>English</v>
      </c>
      <c r="AQ305" s="120" t="str">
        <f>IFERROR(VLOOKUP(Table1[RespondentID],'All Data'!$A$3:$CW$999,94,FALSE),"unknown")</f>
        <v>Over $125,000</v>
      </c>
      <c r="AR305" s="120" t="str">
        <f>IFERROR(VLOOKUP(Table1[RespondentID],'All Data'!$A$3:$CW$999,95,FALSE),"unknown")</f>
        <v>College graduate</v>
      </c>
      <c r="AS305" s="120" t="str">
        <f>IFERROR(VLOOKUP(Table1[RespondentID],'All Data'!$A$3:$CW$999,96,FALSE),"unknown")</f>
        <v>Employed for wages</v>
      </c>
      <c r="AT305" s="120" t="str">
        <f>IFERROR(VLOOKUP(Table1[RespondentID],'All Data'!$A$3:$CW$999,97,FALSE),"unknown")</f>
        <v>Yes</v>
      </c>
      <c r="AU305" s="120" t="str">
        <f>IFERROR(VLOOKUP(Table1[RespondentID],'All Data'!$A$3:$CW$999,98,FALSE),"unknown")</f>
        <v>Private/Commercial</v>
      </c>
      <c r="AV305" s="120" t="str">
        <f>IFERROR(VLOOKUP(Table1[RespondentID],'All Data'!$A$3:$CW$999,99,FALSE),"unknown")</f>
        <v>Yes</v>
      </c>
    </row>
    <row r="306" spans="1:48">
      <c r="A306" s="5">
        <v>18015152631</v>
      </c>
      <c r="B306" s="5"/>
      <c r="C306" s="5"/>
      <c r="D306" s="5"/>
      <c r="E306" s="5"/>
      <c r="F306" s="5"/>
      <c r="G306" s="5"/>
      <c r="H306" s="5" t="s">
        <v>43</v>
      </c>
      <c r="I306" s="5"/>
      <c r="J306" s="5"/>
      <c r="K306" s="5"/>
      <c r="L306" s="5"/>
      <c r="M306" s="5"/>
      <c r="N306" s="5"/>
      <c r="O306" s="5">
        <f t="shared" si="68"/>
        <v>1</v>
      </c>
      <c r="P306" s="5">
        <f t="shared" si="69"/>
        <v>3</v>
      </c>
      <c r="Q306" s="5"/>
      <c r="R306" s="5">
        <f t="shared" si="70"/>
        <v>0</v>
      </c>
      <c r="S306" s="5">
        <f t="shared" si="71"/>
        <v>0</v>
      </c>
      <c r="T306" s="5">
        <f t="shared" si="72"/>
        <v>0</v>
      </c>
      <c r="U306" s="5">
        <f t="shared" si="73"/>
        <v>0</v>
      </c>
      <c r="V306" s="5">
        <f t="shared" si="74"/>
        <v>0</v>
      </c>
      <c r="W306" s="5">
        <f t="shared" si="75"/>
        <v>0</v>
      </c>
      <c r="X306" s="5">
        <f t="shared" si="76"/>
        <v>1</v>
      </c>
      <c r="Y306" s="5">
        <f t="shared" si="77"/>
        <v>0</v>
      </c>
      <c r="Z306" s="5">
        <f t="shared" si="78"/>
        <v>0</v>
      </c>
      <c r="AA306" s="5">
        <f t="shared" si="79"/>
        <v>0</v>
      </c>
      <c r="AB306" s="5">
        <f t="shared" si="80"/>
        <v>0</v>
      </c>
      <c r="AC306" s="5">
        <f t="shared" si="81"/>
        <v>0</v>
      </c>
      <c r="AD306" s="5"/>
      <c r="AE306" s="5"/>
      <c r="AF306" s="5">
        <f t="shared" si="82"/>
        <v>1</v>
      </c>
      <c r="AG306" s="5">
        <f t="shared" si="83"/>
        <v>1</v>
      </c>
      <c r="AH306" s="5" t="str">
        <f t="shared" si="84"/>
        <v>Correct</v>
      </c>
      <c r="AI306" s="5"/>
      <c r="AJ306" s="120" t="str">
        <f>IFERROR(VLOOKUP(Table1[RespondentID],'All Data'!$A$3:$CO$999,87,FALSE),"unknown")</f>
        <v>Woman</v>
      </c>
      <c r="AK306" s="120">
        <f>IFERROR(VLOOKUP(Table1[RespondentID],'All Data'!$A$3:$CO$999,88,FALSE),"unknown")</f>
        <v>31</v>
      </c>
      <c r="AL306" s="120" t="str">
        <f>IFERROR(VLOOKUP(Table1[RespondentID],'All Data'!$A$3:$CO$999,89,FALSE),"unknown")</f>
        <v>Queens</v>
      </c>
      <c r="AM306" s="120">
        <f>IFERROR(VLOOKUP(Table1[RespondentID],'All Data'!$A$3:$CO$999,90,FALSE),"unknown")</f>
        <v>0</v>
      </c>
      <c r="AN306" s="120">
        <f>IFERROR(VLOOKUP(Table1[RespondentID],'All Data'!$A$3:$CO$999,91,FALSE),"unknown")</f>
        <v>0</v>
      </c>
      <c r="AO306" s="120">
        <f>IFERROR(VLOOKUP(Table1[RespondentID],'All Data'!$A$3:$CO$999,92,FALSE),"unknown")</f>
        <v>0</v>
      </c>
      <c r="AP306" s="120">
        <f>IFERROR(VLOOKUP(Table1[RespondentID],'All Data'!$A$3:$CO$999,93,FALSE),"unknown")</f>
        <v>0</v>
      </c>
      <c r="AQ306" s="120">
        <f>IFERROR(VLOOKUP(Table1[RespondentID],'All Data'!$A$3:$CW$999,94,FALSE),"unknown")</f>
        <v>0</v>
      </c>
      <c r="AR306" s="120">
        <f>IFERROR(VLOOKUP(Table1[RespondentID],'All Data'!$A$3:$CW$999,95,FALSE),"unknown")</f>
        <v>0</v>
      </c>
      <c r="AS306" s="120">
        <f>IFERROR(VLOOKUP(Table1[RespondentID],'All Data'!$A$3:$CW$999,96,FALSE),"unknown")</f>
        <v>0</v>
      </c>
      <c r="AT306" s="120">
        <f>IFERROR(VLOOKUP(Table1[RespondentID],'All Data'!$A$3:$CW$999,97,FALSE),"unknown")</f>
        <v>0</v>
      </c>
      <c r="AU306" s="120">
        <f>IFERROR(VLOOKUP(Table1[RespondentID],'All Data'!$A$3:$CW$999,98,FALSE),"unknown")</f>
        <v>0</v>
      </c>
      <c r="AV306" s="120">
        <f>IFERROR(VLOOKUP(Table1[RespondentID],'All Data'!$A$3:$CW$999,99,FALSE),"unknown")</f>
        <v>0</v>
      </c>
    </row>
    <row r="307" spans="1:48">
      <c r="A307" s="5">
        <v>18014932720</v>
      </c>
      <c r="B307" s="5" t="s">
        <v>38</v>
      </c>
      <c r="C307" s="5"/>
      <c r="D307" s="5"/>
      <c r="E307" s="5" t="s">
        <v>41</v>
      </c>
      <c r="F307" s="5"/>
      <c r="G307" s="5"/>
      <c r="H307" s="5"/>
      <c r="I307" s="5"/>
      <c r="J307" s="5"/>
      <c r="K307" s="5"/>
      <c r="L307" s="5"/>
      <c r="M307" s="5"/>
      <c r="N307" s="5"/>
      <c r="O307" s="5">
        <f t="shared" si="68"/>
        <v>2</v>
      </c>
      <c r="P307" s="5">
        <f t="shared" si="69"/>
        <v>1.5</v>
      </c>
      <c r="Q307" s="5"/>
      <c r="R307" s="5">
        <f t="shared" si="70"/>
        <v>1</v>
      </c>
      <c r="S307" s="5">
        <f t="shared" si="71"/>
        <v>0</v>
      </c>
      <c r="T307" s="5">
        <f t="shared" si="72"/>
        <v>0</v>
      </c>
      <c r="U307" s="5">
        <f t="shared" si="73"/>
        <v>1</v>
      </c>
      <c r="V307" s="5">
        <f t="shared" si="74"/>
        <v>0</v>
      </c>
      <c r="W307" s="5">
        <f t="shared" si="75"/>
        <v>0</v>
      </c>
      <c r="X307" s="5">
        <f t="shared" si="76"/>
        <v>0</v>
      </c>
      <c r="Y307" s="5">
        <f t="shared" si="77"/>
        <v>0</v>
      </c>
      <c r="Z307" s="5">
        <f t="shared" si="78"/>
        <v>0</v>
      </c>
      <c r="AA307" s="5">
        <f t="shared" si="79"/>
        <v>0</v>
      </c>
      <c r="AB307" s="5">
        <f t="shared" si="80"/>
        <v>0</v>
      </c>
      <c r="AC307" s="5">
        <f t="shared" si="81"/>
        <v>0</v>
      </c>
      <c r="AD307" s="5"/>
      <c r="AE307" s="5"/>
      <c r="AF307" s="5">
        <f t="shared" si="82"/>
        <v>2</v>
      </c>
      <c r="AG307" s="5">
        <f t="shared" si="83"/>
        <v>2</v>
      </c>
      <c r="AH307" s="5" t="str">
        <f t="shared" si="84"/>
        <v>Correct</v>
      </c>
      <c r="AI307" s="5"/>
      <c r="AJ307" s="120" t="str">
        <f>IFERROR(VLOOKUP(Table1[RespondentID],'All Data'!$A$3:$CO$999,87,FALSE),"unknown")</f>
        <v>Man</v>
      </c>
      <c r="AK307" s="120">
        <f>IFERROR(VLOOKUP(Table1[RespondentID],'All Data'!$A$3:$CO$999,88,FALSE),"unknown")</f>
        <v>45</v>
      </c>
      <c r="AL307" s="120" t="str">
        <f>IFERROR(VLOOKUP(Table1[RespondentID],'All Data'!$A$3:$CO$999,89,FALSE),"unknown")</f>
        <v>Suffolk</v>
      </c>
      <c r="AM307" s="120" t="str">
        <f>IFERROR(VLOOKUP(Table1[RespondentID],'All Data'!$A$3:$CO$999,90,FALSE),"unknown")</f>
        <v>Smithtown, 11787</v>
      </c>
      <c r="AN307" s="120" t="str">
        <f>IFERROR(VLOOKUP(Table1[RespondentID],'All Data'!$A$3:$CO$999,91,FALSE),"unknown")</f>
        <v>American Indian and Alaska Native</v>
      </c>
      <c r="AO307" s="120" t="str">
        <f>IFERROR(VLOOKUP(Table1[RespondentID],'All Data'!$A$3:$CO$999,92,FALSE),"unknown")</f>
        <v>Hispanic or Latino</v>
      </c>
      <c r="AP307" s="120" t="str">
        <f>IFERROR(VLOOKUP(Table1[RespondentID],'All Data'!$A$3:$CO$999,93,FALSE),"unknown")</f>
        <v>English</v>
      </c>
      <c r="AQ307" s="120" t="str">
        <f>IFERROR(VLOOKUP(Table1[RespondentID],'All Data'!$A$3:$CW$999,94,FALSE),"unknown")</f>
        <v>Over $125,000</v>
      </c>
      <c r="AR307" s="120" t="str">
        <f>IFERROR(VLOOKUP(Table1[RespondentID],'All Data'!$A$3:$CW$999,95,FALSE),"unknown")</f>
        <v>Doctorate</v>
      </c>
      <c r="AS307" s="120" t="str">
        <f>IFERROR(VLOOKUP(Table1[RespondentID],'All Data'!$A$3:$CW$999,96,FALSE),"unknown")</f>
        <v>Self-employed</v>
      </c>
      <c r="AT307" s="120" t="str">
        <f>IFERROR(VLOOKUP(Table1[RespondentID],'All Data'!$A$3:$CW$999,97,FALSE),"unknown")</f>
        <v>Yes</v>
      </c>
      <c r="AU307" s="120" t="str">
        <f>IFERROR(VLOOKUP(Table1[RespondentID],'All Data'!$A$3:$CW$999,98,FALSE),"unknown")</f>
        <v>Private/Commercial</v>
      </c>
      <c r="AV307" s="120" t="str">
        <f>IFERROR(VLOOKUP(Table1[RespondentID],'All Data'!$A$3:$CW$999,99,FALSE),"unknown")</f>
        <v>Yes</v>
      </c>
    </row>
    <row r="308" spans="1:48">
      <c r="A308" s="5">
        <v>18014930527</v>
      </c>
      <c r="B308" s="5" t="s">
        <v>38</v>
      </c>
      <c r="C308" s="5" t="s">
        <v>39</v>
      </c>
      <c r="D308" s="5"/>
      <c r="E308" s="5" t="s">
        <v>41</v>
      </c>
      <c r="F308" s="5"/>
      <c r="G308" s="5"/>
      <c r="H308" s="5"/>
      <c r="I308" s="5"/>
      <c r="J308" s="5"/>
      <c r="K308" s="5"/>
      <c r="L308" s="5"/>
      <c r="M308" s="5"/>
      <c r="N308" s="5"/>
      <c r="O308" s="5">
        <f t="shared" si="68"/>
        <v>3</v>
      </c>
      <c r="P308" s="5">
        <f t="shared" si="69"/>
        <v>1</v>
      </c>
      <c r="Q308" s="5"/>
      <c r="R308" s="5">
        <f t="shared" si="70"/>
        <v>1</v>
      </c>
      <c r="S308" s="5">
        <f t="shared" si="71"/>
        <v>1</v>
      </c>
      <c r="T308" s="5">
        <f t="shared" si="72"/>
        <v>0</v>
      </c>
      <c r="U308" s="5">
        <f t="shared" si="73"/>
        <v>1</v>
      </c>
      <c r="V308" s="5">
        <f t="shared" si="74"/>
        <v>0</v>
      </c>
      <c r="W308" s="5">
        <f t="shared" si="75"/>
        <v>0</v>
      </c>
      <c r="X308" s="5">
        <f t="shared" si="76"/>
        <v>0</v>
      </c>
      <c r="Y308" s="5">
        <f t="shared" si="77"/>
        <v>0</v>
      </c>
      <c r="Z308" s="5">
        <f t="shared" si="78"/>
        <v>0</v>
      </c>
      <c r="AA308" s="5">
        <f t="shared" si="79"/>
        <v>0</v>
      </c>
      <c r="AB308" s="5">
        <f t="shared" si="80"/>
        <v>0</v>
      </c>
      <c r="AC308" s="5">
        <f t="shared" si="81"/>
        <v>0</v>
      </c>
      <c r="AD308" s="5"/>
      <c r="AE308" s="5"/>
      <c r="AF308" s="5">
        <f t="shared" si="82"/>
        <v>3</v>
      </c>
      <c r="AG308" s="5">
        <f t="shared" si="83"/>
        <v>3</v>
      </c>
      <c r="AH308" s="5" t="str">
        <f t="shared" si="84"/>
        <v>Correct</v>
      </c>
      <c r="AI308" s="5"/>
      <c r="AJ308" s="120" t="str">
        <f>IFERROR(VLOOKUP(Table1[RespondentID],'All Data'!$A$3:$CO$999,87,FALSE),"unknown")</f>
        <v>Woman</v>
      </c>
      <c r="AK308" s="120">
        <f>IFERROR(VLOOKUP(Table1[RespondentID],'All Data'!$A$3:$CO$999,88,FALSE),"unknown")</f>
        <v>44</v>
      </c>
      <c r="AL308" s="120" t="str">
        <f>IFERROR(VLOOKUP(Table1[RespondentID],'All Data'!$A$3:$CO$999,89,FALSE),"unknown")</f>
        <v>Suffolk</v>
      </c>
      <c r="AM308" s="120" t="str">
        <f>IFERROR(VLOOKUP(Table1[RespondentID],'All Data'!$A$3:$CO$999,90,FALSE),"unknown")</f>
        <v>Smithtown, 11787</v>
      </c>
      <c r="AN308" s="120" t="str">
        <f>IFERROR(VLOOKUP(Table1[RespondentID],'All Data'!$A$3:$CO$999,91,FALSE),"unknown")</f>
        <v>American Indian and Alaska Native</v>
      </c>
      <c r="AO308" s="120" t="str">
        <f>IFERROR(VLOOKUP(Table1[RespondentID],'All Data'!$A$3:$CO$999,92,FALSE),"unknown")</f>
        <v>Hispanic or Latino</v>
      </c>
      <c r="AP308" s="120" t="str">
        <f>IFERROR(VLOOKUP(Table1[RespondentID],'All Data'!$A$3:$CO$999,93,FALSE),"unknown")</f>
        <v>English</v>
      </c>
      <c r="AQ308" s="120" t="str">
        <f>IFERROR(VLOOKUP(Table1[RespondentID],'All Data'!$A$3:$CW$999,94,FALSE),"unknown")</f>
        <v>Over $125,000</v>
      </c>
      <c r="AR308" s="120" t="str">
        <f>IFERROR(VLOOKUP(Table1[RespondentID],'All Data'!$A$3:$CW$999,95,FALSE),"unknown")</f>
        <v>Doctorate</v>
      </c>
      <c r="AS308" s="120" t="str">
        <f>IFERROR(VLOOKUP(Table1[RespondentID],'All Data'!$A$3:$CW$999,96,FALSE),"unknown")</f>
        <v>Self-employed</v>
      </c>
      <c r="AT308" s="120" t="str">
        <f>IFERROR(VLOOKUP(Table1[RespondentID],'All Data'!$A$3:$CW$999,97,FALSE),"unknown")</f>
        <v>Yes</v>
      </c>
      <c r="AU308" s="120" t="str">
        <f>IFERROR(VLOOKUP(Table1[RespondentID],'All Data'!$A$3:$CW$999,98,FALSE),"unknown")</f>
        <v>Private/Commercial</v>
      </c>
      <c r="AV308" s="120" t="str">
        <f>IFERROR(VLOOKUP(Table1[RespondentID],'All Data'!$A$3:$CW$999,99,FALSE),"unknown")</f>
        <v>Yes</v>
      </c>
    </row>
    <row r="309" spans="1:48">
      <c r="A309" s="5">
        <v>18014783155</v>
      </c>
      <c r="B309" s="5" t="s">
        <v>38</v>
      </c>
      <c r="C309" s="5"/>
      <c r="D309" s="5"/>
      <c r="E309" s="5"/>
      <c r="F309" s="5"/>
      <c r="G309" s="5"/>
      <c r="H309" s="5"/>
      <c r="I309" s="5"/>
      <c r="J309" s="5"/>
      <c r="K309" s="5"/>
      <c r="L309" s="5"/>
      <c r="M309" s="5"/>
      <c r="N309" s="5"/>
      <c r="O309" s="5">
        <f t="shared" si="68"/>
        <v>1</v>
      </c>
      <c r="P309" s="5">
        <f t="shared" si="69"/>
        <v>3</v>
      </c>
      <c r="Q309" s="5"/>
      <c r="R309" s="5">
        <f t="shared" si="70"/>
        <v>1</v>
      </c>
      <c r="S309" s="5">
        <f t="shared" si="71"/>
        <v>0</v>
      </c>
      <c r="T309" s="5">
        <f t="shared" si="72"/>
        <v>0</v>
      </c>
      <c r="U309" s="5">
        <f t="shared" si="73"/>
        <v>0</v>
      </c>
      <c r="V309" s="5">
        <f t="shared" si="74"/>
        <v>0</v>
      </c>
      <c r="W309" s="5">
        <f t="shared" si="75"/>
        <v>0</v>
      </c>
      <c r="X309" s="5">
        <f t="shared" si="76"/>
        <v>0</v>
      </c>
      <c r="Y309" s="5">
        <f t="shared" si="77"/>
        <v>0</v>
      </c>
      <c r="Z309" s="5">
        <f t="shared" si="78"/>
        <v>0</v>
      </c>
      <c r="AA309" s="5">
        <f t="shared" si="79"/>
        <v>0</v>
      </c>
      <c r="AB309" s="5">
        <f t="shared" si="80"/>
        <v>0</v>
      </c>
      <c r="AC309" s="5">
        <f t="shared" si="81"/>
        <v>0</v>
      </c>
      <c r="AD309" s="5"/>
      <c r="AE309" s="5"/>
      <c r="AF309" s="5">
        <f t="shared" si="82"/>
        <v>1</v>
      </c>
      <c r="AG309" s="5">
        <f t="shared" si="83"/>
        <v>1</v>
      </c>
      <c r="AH309" s="5" t="str">
        <f t="shared" si="84"/>
        <v>Correct</v>
      </c>
      <c r="AI309" s="5"/>
      <c r="AJ309" s="120">
        <f>IFERROR(VLOOKUP(Table1[RespondentID],'All Data'!$A$3:$CO$999,87,FALSE),"unknown")</f>
        <v>0</v>
      </c>
      <c r="AK309" s="120">
        <f>IFERROR(VLOOKUP(Table1[RespondentID],'All Data'!$A$3:$CO$999,88,FALSE),"unknown")</f>
        <v>0</v>
      </c>
      <c r="AL309" s="120">
        <f>IFERROR(VLOOKUP(Table1[RespondentID],'All Data'!$A$3:$CO$999,89,FALSE),"unknown")</f>
        <v>0</v>
      </c>
      <c r="AM309" s="120">
        <f>IFERROR(VLOOKUP(Table1[RespondentID],'All Data'!$A$3:$CO$999,90,FALSE),"unknown")</f>
        <v>0</v>
      </c>
      <c r="AN309" s="120">
        <f>IFERROR(VLOOKUP(Table1[RespondentID],'All Data'!$A$3:$CO$999,91,FALSE),"unknown")</f>
        <v>0</v>
      </c>
      <c r="AO309" s="120">
        <f>IFERROR(VLOOKUP(Table1[RespondentID],'All Data'!$A$3:$CO$999,92,FALSE),"unknown")</f>
        <v>0</v>
      </c>
      <c r="AP309" s="120">
        <f>IFERROR(VLOOKUP(Table1[RespondentID],'All Data'!$A$3:$CO$999,93,FALSE),"unknown")</f>
        <v>0</v>
      </c>
      <c r="AQ309" s="120">
        <f>IFERROR(VLOOKUP(Table1[RespondentID],'All Data'!$A$3:$CW$999,94,FALSE),"unknown")</f>
        <v>0</v>
      </c>
      <c r="AR309" s="120">
        <f>IFERROR(VLOOKUP(Table1[RespondentID],'All Data'!$A$3:$CW$999,95,FALSE),"unknown")</f>
        <v>0</v>
      </c>
      <c r="AS309" s="120">
        <f>IFERROR(VLOOKUP(Table1[RespondentID],'All Data'!$A$3:$CW$999,96,FALSE),"unknown")</f>
        <v>0</v>
      </c>
      <c r="AT309" s="120">
        <f>IFERROR(VLOOKUP(Table1[RespondentID],'All Data'!$A$3:$CW$999,97,FALSE),"unknown")</f>
        <v>0</v>
      </c>
      <c r="AU309" s="120">
        <f>IFERROR(VLOOKUP(Table1[RespondentID],'All Data'!$A$3:$CW$999,98,FALSE),"unknown")</f>
        <v>0</v>
      </c>
      <c r="AV309" s="120">
        <f>IFERROR(VLOOKUP(Table1[RespondentID],'All Data'!$A$3:$CW$999,99,FALSE),"unknown")</f>
        <v>0</v>
      </c>
    </row>
    <row r="310" spans="1:48">
      <c r="A310" s="5">
        <v>18014743256</v>
      </c>
      <c r="B310" s="5"/>
      <c r="C310" s="5"/>
      <c r="D310" s="5"/>
      <c r="E310" s="5"/>
      <c r="F310" s="5" t="s">
        <v>42</v>
      </c>
      <c r="G310" s="5"/>
      <c r="H310" s="5" t="s">
        <v>43</v>
      </c>
      <c r="I310" s="5" t="s">
        <v>44</v>
      </c>
      <c r="J310" s="5" t="s">
        <v>45</v>
      </c>
      <c r="K310" s="5"/>
      <c r="L310" s="5" t="s">
        <v>47</v>
      </c>
      <c r="M310" s="5"/>
      <c r="N310" s="5"/>
      <c r="O310" s="5">
        <f t="shared" si="68"/>
        <v>5</v>
      </c>
      <c r="P310" s="5">
        <f t="shared" si="69"/>
        <v>0.6</v>
      </c>
      <c r="Q310" s="5"/>
      <c r="R310" s="5">
        <f t="shared" si="70"/>
        <v>0</v>
      </c>
      <c r="S310" s="5">
        <f t="shared" si="71"/>
        <v>0</v>
      </c>
      <c r="T310" s="5">
        <f t="shared" si="72"/>
        <v>0</v>
      </c>
      <c r="U310" s="5">
        <f t="shared" si="73"/>
        <v>0</v>
      </c>
      <c r="V310" s="5">
        <f t="shared" si="74"/>
        <v>0.6</v>
      </c>
      <c r="W310" s="5">
        <f t="shared" si="75"/>
        <v>0</v>
      </c>
      <c r="X310" s="5">
        <f t="shared" si="76"/>
        <v>0.6</v>
      </c>
      <c r="Y310" s="5">
        <f t="shared" si="77"/>
        <v>0.6</v>
      </c>
      <c r="Z310" s="5">
        <f t="shared" si="78"/>
        <v>0.6</v>
      </c>
      <c r="AA310" s="5">
        <f t="shared" si="79"/>
        <v>0</v>
      </c>
      <c r="AB310" s="5">
        <f t="shared" si="80"/>
        <v>0.6</v>
      </c>
      <c r="AC310" s="5">
        <f t="shared" si="81"/>
        <v>0</v>
      </c>
      <c r="AD310" s="5"/>
      <c r="AE310" s="5"/>
      <c r="AF310" s="5">
        <f t="shared" si="82"/>
        <v>3</v>
      </c>
      <c r="AG310" s="5">
        <f t="shared" si="83"/>
        <v>5</v>
      </c>
      <c r="AH310" s="5" t="str">
        <f t="shared" si="84"/>
        <v>Correct</v>
      </c>
      <c r="AI310" s="5"/>
      <c r="AJ310" s="120" t="str">
        <f>IFERROR(VLOOKUP(Table1[RespondentID],'All Data'!$A$3:$CO$999,87,FALSE),"unknown")</f>
        <v>Woman</v>
      </c>
      <c r="AK310" s="120">
        <f>IFERROR(VLOOKUP(Table1[RespondentID],'All Data'!$A$3:$CO$999,88,FALSE),"unknown")</f>
        <v>54</v>
      </c>
      <c r="AL310" s="120" t="str">
        <f>IFERROR(VLOOKUP(Table1[RespondentID],'All Data'!$A$3:$CO$999,89,FALSE),"unknown")</f>
        <v>Suffolk</v>
      </c>
      <c r="AM310" s="120" t="str">
        <f>IFERROR(VLOOKUP(Table1[RespondentID],'All Data'!$A$3:$CO$999,90,FALSE),"unknown")</f>
        <v>Centereach, 11720</v>
      </c>
      <c r="AN310" s="120" t="str">
        <f>IFERROR(VLOOKUP(Table1[RespondentID],'All Data'!$A$3:$CO$999,91,FALSE),"unknown")</f>
        <v>White</v>
      </c>
      <c r="AO310" s="120" t="str">
        <f>IFERROR(VLOOKUP(Table1[RespondentID],'All Data'!$A$3:$CO$999,92,FALSE),"unknown")</f>
        <v>Hispanic or Latino</v>
      </c>
      <c r="AP310" s="120" t="str">
        <f>IFERROR(VLOOKUP(Table1[RespondentID],'All Data'!$A$3:$CO$999,93,FALSE),"unknown")</f>
        <v>English</v>
      </c>
      <c r="AQ310" s="120" t="str">
        <f>IFERROR(VLOOKUP(Table1[RespondentID],'All Data'!$A$3:$CW$999,94,FALSE),"unknown")</f>
        <v>Over $125,000</v>
      </c>
      <c r="AR310" s="120" t="str">
        <f>IFERROR(VLOOKUP(Table1[RespondentID],'All Data'!$A$3:$CW$999,95,FALSE),"unknown")</f>
        <v>Graduate school</v>
      </c>
      <c r="AS310" s="120" t="str">
        <f>IFERROR(VLOOKUP(Table1[RespondentID],'All Data'!$A$3:$CW$999,96,FALSE),"unknown")</f>
        <v>Employed for wages</v>
      </c>
      <c r="AT310" s="120" t="str">
        <f>IFERROR(VLOOKUP(Table1[RespondentID],'All Data'!$A$3:$CW$999,97,FALSE),"unknown")</f>
        <v>Yes</v>
      </c>
      <c r="AU310" s="120" t="str">
        <f>IFERROR(VLOOKUP(Table1[RespondentID],'All Data'!$A$3:$CW$999,98,FALSE),"unknown")</f>
        <v>Private/Commercial</v>
      </c>
      <c r="AV310" s="120" t="str">
        <f>IFERROR(VLOOKUP(Table1[RespondentID],'All Data'!$A$3:$CW$999,99,FALSE),"unknown")</f>
        <v>Yes</v>
      </c>
    </row>
    <row r="311" spans="1:48">
      <c r="A311" s="5">
        <v>18014731066</v>
      </c>
      <c r="B311" s="5"/>
      <c r="C311" s="5" t="s">
        <v>39</v>
      </c>
      <c r="D311" s="5"/>
      <c r="E311" s="5"/>
      <c r="F311" s="5"/>
      <c r="G311" s="5"/>
      <c r="H311" s="5"/>
      <c r="I311" s="5"/>
      <c r="J311" s="5"/>
      <c r="K311" s="5"/>
      <c r="L311" s="5"/>
      <c r="M311" s="5" t="s">
        <v>48</v>
      </c>
      <c r="N311" s="5"/>
      <c r="O311" s="5">
        <f t="shared" si="68"/>
        <v>2</v>
      </c>
      <c r="P311" s="5">
        <f t="shared" si="69"/>
        <v>1.5</v>
      </c>
      <c r="Q311" s="5"/>
      <c r="R311" s="5">
        <f t="shared" si="70"/>
        <v>0</v>
      </c>
      <c r="S311" s="5">
        <f t="shared" si="71"/>
        <v>1</v>
      </c>
      <c r="T311" s="5">
        <f t="shared" si="72"/>
        <v>0</v>
      </c>
      <c r="U311" s="5">
        <f t="shared" si="73"/>
        <v>0</v>
      </c>
      <c r="V311" s="5">
        <f t="shared" si="74"/>
        <v>0</v>
      </c>
      <c r="W311" s="5">
        <f t="shared" si="75"/>
        <v>0</v>
      </c>
      <c r="X311" s="5">
        <f t="shared" si="76"/>
        <v>0</v>
      </c>
      <c r="Y311" s="5">
        <f t="shared" si="77"/>
        <v>0</v>
      </c>
      <c r="Z311" s="5">
        <f t="shared" si="78"/>
        <v>0</v>
      </c>
      <c r="AA311" s="5">
        <f t="shared" si="79"/>
        <v>0</v>
      </c>
      <c r="AB311" s="5">
        <f t="shared" si="80"/>
        <v>0</v>
      </c>
      <c r="AC311" s="5">
        <f t="shared" si="81"/>
        <v>1</v>
      </c>
      <c r="AD311" s="5"/>
      <c r="AE311" s="5"/>
      <c r="AF311" s="5">
        <f t="shared" si="82"/>
        <v>2</v>
      </c>
      <c r="AG311" s="5">
        <f t="shared" si="83"/>
        <v>2</v>
      </c>
      <c r="AH311" s="5" t="str">
        <f t="shared" si="84"/>
        <v>Correct</v>
      </c>
      <c r="AI311" s="5"/>
      <c r="AJ311" s="120" t="str">
        <f>IFERROR(VLOOKUP(Table1[RespondentID],'All Data'!$A$3:$CO$999,87,FALSE),"unknown")</f>
        <v>Man</v>
      </c>
      <c r="AK311" s="120">
        <f>IFERROR(VLOOKUP(Table1[RespondentID],'All Data'!$A$3:$CO$999,88,FALSE),"unknown")</f>
        <v>40</v>
      </c>
      <c r="AL311" s="120" t="str">
        <f>IFERROR(VLOOKUP(Table1[RespondentID],'All Data'!$A$3:$CO$999,89,FALSE),"unknown")</f>
        <v>Suffolk</v>
      </c>
      <c r="AM311" s="120" t="str">
        <f>IFERROR(VLOOKUP(Table1[RespondentID],'All Data'!$A$3:$CO$999,90,FALSE),"unknown")</f>
        <v>Nesconset, 11767</v>
      </c>
      <c r="AN311" s="120" t="str">
        <f>IFERROR(VLOOKUP(Table1[RespondentID],'All Data'!$A$3:$CO$999,91,FALSE),"unknown")</f>
        <v>White</v>
      </c>
      <c r="AO311" s="120" t="str">
        <f>IFERROR(VLOOKUP(Table1[RespondentID],'All Data'!$A$3:$CO$999,92,FALSE),"unknown")</f>
        <v>Hispanic or Latino</v>
      </c>
      <c r="AP311" s="120" t="str">
        <f>IFERROR(VLOOKUP(Table1[RespondentID],'All Data'!$A$3:$CO$999,93,FALSE),"unknown")</f>
        <v>English</v>
      </c>
      <c r="AQ311" s="120" t="str">
        <f>IFERROR(VLOOKUP(Table1[RespondentID],'All Data'!$A$3:$CW$999,94,FALSE),"unknown")</f>
        <v>Over $125,000</v>
      </c>
      <c r="AR311" s="120" t="str">
        <f>IFERROR(VLOOKUP(Table1[RespondentID],'All Data'!$A$3:$CW$999,95,FALSE),"unknown")</f>
        <v>Graduate school</v>
      </c>
      <c r="AS311" s="120" t="str">
        <f>IFERROR(VLOOKUP(Table1[RespondentID],'All Data'!$A$3:$CW$999,96,FALSE),"unknown")</f>
        <v>Employed for wages</v>
      </c>
      <c r="AT311" s="120" t="str">
        <f>IFERROR(VLOOKUP(Table1[RespondentID],'All Data'!$A$3:$CW$999,97,FALSE),"unknown")</f>
        <v>Yes</v>
      </c>
      <c r="AU311" s="120" t="str">
        <f>IFERROR(VLOOKUP(Table1[RespondentID],'All Data'!$A$3:$CW$999,98,FALSE),"unknown")</f>
        <v>Private/Commercial</v>
      </c>
      <c r="AV311" s="120" t="str">
        <f>IFERROR(VLOOKUP(Table1[RespondentID],'All Data'!$A$3:$CW$999,99,FALSE),"unknown")</f>
        <v>Yes</v>
      </c>
    </row>
    <row r="312" spans="1:48">
      <c r="A312" s="5">
        <v>18014717463</v>
      </c>
      <c r="B312" s="5" t="s">
        <v>38</v>
      </c>
      <c r="C312" s="5"/>
      <c r="D312" s="5"/>
      <c r="E312" s="5"/>
      <c r="F312" s="5" t="s">
        <v>42</v>
      </c>
      <c r="G312" s="5"/>
      <c r="H312" s="5"/>
      <c r="I312" s="5"/>
      <c r="J312" s="5"/>
      <c r="K312" s="5"/>
      <c r="L312" s="5" t="s">
        <v>47</v>
      </c>
      <c r="M312" s="5"/>
      <c r="N312" s="5"/>
      <c r="O312" s="5">
        <f t="shared" si="68"/>
        <v>3</v>
      </c>
      <c r="P312" s="5">
        <f t="shared" si="69"/>
        <v>1</v>
      </c>
      <c r="Q312" s="5"/>
      <c r="R312" s="5">
        <f t="shared" si="70"/>
        <v>1</v>
      </c>
      <c r="S312" s="5">
        <f t="shared" si="71"/>
        <v>0</v>
      </c>
      <c r="T312" s="5">
        <f t="shared" si="72"/>
        <v>0</v>
      </c>
      <c r="U312" s="5">
        <f t="shared" si="73"/>
        <v>0</v>
      </c>
      <c r="V312" s="5">
        <f t="shared" si="74"/>
        <v>1</v>
      </c>
      <c r="W312" s="5">
        <f t="shared" si="75"/>
        <v>0</v>
      </c>
      <c r="X312" s="5">
        <f t="shared" si="76"/>
        <v>0</v>
      </c>
      <c r="Y312" s="5">
        <f t="shared" si="77"/>
        <v>0</v>
      </c>
      <c r="Z312" s="5">
        <f t="shared" si="78"/>
        <v>0</v>
      </c>
      <c r="AA312" s="5">
        <f t="shared" si="79"/>
        <v>0</v>
      </c>
      <c r="AB312" s="5">
        <f t="shared" si="80"/>
        <v>1</v>
      </c>
      <c r="AC312" s="5">
        <f t="shared" si="81"/>
        <v>0</v>
      </c>
      <c r="AD312" s="5"/>
      <c r="AE312" s="5"/>
      <c r="AF312" s="5">
        <f t="shared" si="82"/>
        <v>3</v>
      </c>
      <c r="AG312" s="5">
        <f t="shared" si="83"/>
        <v>3</v>
      </c>
      <c r="AH312" s="5" t="str">
        <f t="shared" si="84"/>
        <v>Correct</v>
      </c>
      <c r="AI312" s="5"/>
      <c r="AJ312" s="120" t="str">
        <f>IFERROR(VLOOKUP(Table1[RespondentID],'All Data'!$A$3:$CO$999,87,FALSE),"unknown")</f>
        <v>Man</v>
      </c>
      <c r="AK312" s="120">
        <f>IFERROR(VLOOKUP(Table1[RespondentID],'All Data'!$A$3:$CO$999,88,FALSE),"unknown")</f>
        <v>36</v>
      </c>
      <c r="AL312" s="120" t="str">
        <f>IFERROR(VLOOKUP(Table1[RespondentID],'All Data'!$A$3:$CO$999,89,FALSE),"unknown")</f>
        <v>Nassau</v>
      </c>
      <c r="AM312" s="120" t="str">
        <f>IFERROR(VLOOKUP(Table1[RespondentID],'All Data'!$A$3:$CO$999,90,FALSE),"unknown")</f>
        <v>Alden Manor, 11003</v>
      </c>
      <c r="AN312" s="120" t="str">
        <f>IFERROR(VLOOKUP(Table1[RespondentID],'All Data'!$A$3:$CO$999,91,FALSE),"unknown")</f>
        <v>American Indian and Alaska Native</v>
      </c>
      <c r="AO312" s="120" t="str">
        <f>IFERROR(VLOOKUP(Table1[RespondentID],'All Data'!$A$3:$CO$999,92,FALSE),"unknown")</f>
        <v>Not Hispanic or Latino</v>
      </c>
      <c r="AP312" s="120" t="str">
        <f>IFERROR(VLOOKUP(Table1[RespondentID],'All Data'!$A$3:$CO$999,93,FALSE),"unknown")</f>
        <v>English</v>
      </c>
      <c r="AQ312" s="120" t="str">
        <f>IFERROR(VLOOKUP(Table1[RespondentID],'All Data'!$A$3:$CW$999,94,FALSE),"unknown")</f>
        <v>$50,000 to $74,999</v>
      </c>
      <c r="AR312" s="120" t="str">
        <f>IFERROR(VLOOKUP(Table1[RespondentID],'All Data'!$A$3:$CW$999,95,FALSE),"unknown")</f>
        <v>College graduate</v>
      </c>
      <c r="AS312" s="120" t="str">
        <f>IFERROR(VLOOKUP(Table1[RespondentID],'All Data'!$A$3:$CW$999,96,FALSE),"unknown")</f>
        <v>Employed for wages</v>
      </c>
      <c r="AT312" s="120" t="str">
        <f>IFERROR(VLOOKUP(Table1[RespondentID],'All Data'!$A$3:$CW$999,97,FALSE),"unknown")</f>
        <v>Yes</v>
      </c>
      <c r="AU312" s="120" t="str">
        <f>IFERROR(VLOOKUP(Table1[RespondentID],'All Data'!$A$3:$CW$999,98,FALSE),"unknown")</f>
        <v>Private/Commercial</v>
      </c>
      <c r="AV312" s="120" t="str">
        <f>IFERROR(VLOOKUP(Table1[RespondentID],'All Data'!$A$3:$CW$999,99,FALSE),"unknown")</f>
        <v>Yes</v>
      </c>
    </row>
    <row r="313" spans="1:48">
      <c r="A313" s="5">
        <v>18014645318</v>
      </c>
      <c r="B313" s="5"/>
      <c r="C313" s="5" t="s">
        <v>39</v>
      </c>
      <c r="D313" s="5"/>
      <c r="E313" s="5"/>
      <c r="F313" s="5"/>
      <c r="G313" s="5"/>
      <c r="H313" s="5"/>
      <c r="I313" s="5"/>
      <c r="J313" s="5" t="s">
        <v>45</v>
      </c>
      <c r="K313" s="5"/>
      <c r="L313" s="5"/>
      <c r="M313" s="5" t="s">
        <v>48</v>
      </c>
      <c r="N313" s="5"/>
      <c r="O313" s="5">
        <f t="shared" si="68"/>
        <v>3</v>
      </c>
      <c r="P313" s="5">
        <f t="shared" si="69"/>
        <v>1</v>
      </c>
      <c r="Q313" s="5"/>
      <c r="R313" s="5">
        <f t="shared" si="70"/>
        <v>0</v>
      </c>
      <c r="S313" s="5">
        <f t="shared" si="71"/>
        <v>1</v>
      </c>
      <c r="T313" s="5">
        <f t="shared" si="72"/>
        <v>0</v>
      </c>
      <c r="U313" s="5">
        <f t="shared" si="73"/>
        <v>0</v>
      </c>
      <c r="V313" s="5">
        <f t="shared" si="74"/>
        <v>0</v>
      </c>
      <c r="W313" s="5">
        <f t="shared" si="75"/>
        <v>0</v>
      </c>
      <c r="X313" s="5">
        <f t="shared" si="76"/>
        <v>0</v>
      </c>
      <c r="Y313" s="5">
        <f t="shared" si="77"/>
        <v>0</v>
      </c>
      <c r="Z313" s="5">
        <f t="shared" si="78"/>
        <v>1</v>
      </c>
      <c r="AA313" s="5">
        <f t="shared" si="79"/>
        <v>0</v>
      </c>
      <c r="AB313" s="5">
        <f t="shared" si="80"/>
        <v>0</v>
      </c>
      <c r="AC313" s="5">
        <f t="shared" si="81"/>
        <v>1</v>
      </c>
      <c r="AD313" s="5"/>
      <c r="AE313" s="5"/>
      <c r="AF313" s="5">
        <f t="shared" si="82"/>
        <v>3</v>
      </c>
      <c r="AG313" s="5">
        <f t="shared" si="83"/>
        <v>3</v>
      </c>
      <c r="AH313" s="5" t="str">
        <f t="shared" si="84"/>
        <v>Correct</v>
      </c>
      <c r="AI313" s="5"/>
      <c r="AJ313" s="120" t="str">
        <f>IFERROR(VLOOKUP(Table1[RespondentID],'All Data'!$A$3:$CO$999,87,FALSE),"unknown")</f>
        <v>Man</v>
      </c>
      <c r="AK313" s="120">
        <f>IFERROR(VLOOKUP(Table1[RespondentID],'All Data'!$A$3:$CO$999,88,FALSE),"unknown")</f>
        <v>55</v>
      </c>
      <c r="AL313" s="120" t="str">
        <f>IFERROR(VLOOKUP(Table1[RespondentID],'All Data'!$A$3:$CO$999,89,FALSE),"unknown")</f>
        <v>Suffolk</v>
      </c>
      <c r="AM313" s="120" t="str">
        <f>IFERROR(VLOOKUP(Table1[RespondentID],'All Data'!$A$3:$CO$999,90,FALSE),"unknown")</f>
        <v>Babylon, 11702</v>
      </c>
      <c r="AN313" s="120" t="str">
        <f>IFERROR(VLOOKUP(Table1[RespondentID],'All Data'!$A$3:$CO$999,91,FALSE),"unknown")</f>
        <v>White</v>
      </c>
      <c r="AO313" s="120" t="str">
        <f>IFERROR(VLOOKUP(Table1[RespondentID],'All Data'!$A$3:$CO$999,92,FALSE),"unknown")</f>
        <v>Hispanic or Latino</v>
      </c>
      <c r="AP313" s="120" t="str">
        <f>IFERROR(VLOOKUP(Table1[RespondentID],'All Data'!$A$3:$CO$999,93,FALSE),"unknown")</f>
        <v>English</v>
      </c>
      <c r="AQ313" s="120" t="str">
        <f>IFERROR(VLOOKUP(Table1[RespondentID],'All Data'!$A$3:$CW$999,94,FALSE),"unknown")</f>
        <v>$20,000 to $34,999</v>
      </c>
      <c r="AR313" s="120" t="str">
        <f>IFERROR(VLOOKUP(Table1[RespondentID],'All Data'!$A$3:$CW$999,95,FALSE),"unknown")</f>
        <v>Some college</v>
      </c>
      <c r="AS313" s="120" t="str">
        <f>IFERROR(VLOOKUP(Table1[RespondentID],'All Data'!$A$3:$CW$999,96,FALSE),"unknown")</f>
        <v>Employed for wages</v>
      </c>
      <c r="AT313" s="120" t="str">
        <f>IFERROR(VLOOKUP(Table1[RespondentID],'All Data'!$A$3:$CW$999,97,FALSE),"unknown")</f>
        <v>Yes</v>
      </c>
      <c r="AU313" s="120" t="str">
        <f>IFERROR(VLOOKUP(Table1[RespondentID],'All Data'!$A$3:$CW$999,98,FALSE),"unknown")</f>
        <v>Private/Commercial</v>
      </c>
      <c r="AV313" s="120" t="str">
        <f>IFERROR(VLOOKUP(Table1[RespondentID],'All Data'!$A$3:$CW$999,99,FALSE),"unknown")</f>
        <v>Yes</v>
      </c>
    </row>
    <row r="314" spans="1:48">
      <c r="A314" s="5">
        <v>18014644097</v>
      </c>
      <c r="B314" s="5"/>
      <c r="C314" s="5" t="s">
        <v>39</v>
      </c>
      <c r="D314" s="5"/>
      <c r="E314" s="5" t="s">
        <v>41</v>
      </c>
      <c r="F314" s="5"/>
      <c r="G314" s="5"/>
      <c r="H314" s="5"/>
      <c r="I314" s="5" t="s">
        <v>44</v>
      </c>
      <c r="J314" s="5"/>
      <c r="K314" s="5"/>
      <c r="L314" s="5"/>
      <c r="M314" s="5"/>
      <c r="N314" s="5"/>
      <c r="O314" s="5">
        <f t="shared" si="68"/>
        <v>3</v>
      </c>
      <c r="P314" s="5">
        <f t="shared" si="69"/>
        <v>1</v>
      </c>
      <c r="Q314" s="5"/>
      <c r="R314" s="5">
        <f t="shared" si="70"/>
        <v>0</v>
      </c>
      <c r="S314" s="5">
        <f t="shared" si="71"/>
        <v>1</v>
      </c>
      <c r="T314" s="5">
        <f t="shared" si="72"/>
        <v>0</v>
      </c>
      <c r="U314" s="5">
        <f t="shared" si="73"/>
        <v>1</v>
      </c>
      <c r="V314" s="5">
        <f t="shared" si="74"/>
        <v>0</v>
      </c>
      <c r="W314" s="5">
        <f t="shared" si="75"/>
        <v>0</v>
      </c>
      <c r="X314" s="5">
        <f t="shared" si="76"/>
        <v>0</v>
      </c>
      <c r="Y314" s="5">
        <f t="shared" si="77"/>
        <v>1</v>
      </c>
      <c r="Z314" s="5">
        <f t="shared" si="78"/>
        <v>0</v>
      </c>
      <c r="AA314" s="5">
        <f t="shared" si="79"/>
        <v>0</v>
      </c>
      <c r="AB314" s="5">
        <f t="shared" si="80"/>
        <v>0</v>
      </c>
      <c r="AC314" s="5">
        <f t="shared" si="81"/>
        <v>0</v>
      </c>
      <c r="AD314" s="5"/>
      <c r="AE314" s="5"/>
      <c r="AF314" s="5">
        <f t="shared" si="82"/>
        <v>3</v>
      </c>
      <c r="AG314" s="5">
        <f t="shared" si="83"/>
        <v>3</v>
      </c>
      <c r="AH314" s="5" t="str">
        <f t="shared" si="84"/>
        <v>Correct</v>
      </c>
      <c r="AI314" s="5"/>
      <c r="AJ314" s="120" t="str">
        <f>IFERROR(VLOOKUP(Table1[RespondentID],'All Data'!$A$3:$CO$999,87,FALSE),"unknown")</f>
        <v>Man</v>
      </c>
      <c r="AK314" s="120">
        <f>IFERROR(VLOOKUP(Table1[RespondentID],'All Data'!$A$3:$CO$999,88,FALSE),"unknown")</f>
        <v>73</v>
      </c>
      <c r="AL314" s="120" t="str">
        <f>IFERROR(VLOOKUP(Table1[RespondentID],'All Data'!$A$3:$CO$999,89,FALSE),"unknown")</f>
        <v>Suffolk</v>
      </c>
      <c r="AM314" s="120" t="str">
        <f>IFERROR(VLOOKUP(Table1[RespondentID],'All Data'!$A$3:$CO$999,90,FALSE),"unknown")</f>
        <v>Port Jefferson Station, 11776</v>
      </c>
      <c r="AN314" s="120" t="str">
        <f>IFERROR(VLOOKUP(Table1[RespondentID],'All Data'!$A$3:$CO$999,91,FALSE),"unknown")</f>
        <v>White</v>
      </c>
      <c r="AO314" s="120" t="str">
        <f>IFERROR(VLOOKUP(Table1[RespondentID],'All Data'!$A$3:$CO$999,92,FALSE),"unknown")</f>
        <v>Hispanic or Latino</v>
      </c>
      <c r="AP314" s="120" t="str">
        <f>IFERROR(VLOOKUP(Table1[RespondentID],'All Data'!$A$3:$CO$999,93,FALSE),"unknown")</f>
        <v>English</v>
      </c>
      <c r="AQ314" s="120" t="str">
        <f>IFERROR(VLOOKUP(Table1[RespondentID],'All Data'!$A$3:$CW$999,94,FALSE),"unknown")</f>
        <v>$75,000 to $125,000</v>
      </c>
      <c r="AR314" s="120" t="str">
        <f>IFERROR(VLOOKUP(Table1[RespondentID],'All Data'!$A$3:$CW$999,95,FALSE),"unknown")</f>
        <v>College graduate</v>
      </c>
      <c r="AS314" s="120" t="str">
        <f>IFERROR(VLOOKUP(Table1[RespondentID],'All Data'!$A$3:$CW$999,96,FALSE),"unknown")</f>
        <v>Employed for wages</v>
      </c>
      <c r="AT314" s="120" t="str">
        <f>IFERROR(VLOOKUP(Table1[RespondentID],'All Data'!$A$3:$CW$999,97,FALSE),"unknown")</f>
        <v>Yes</v>
      </c>
      <c r="AU314" s="120" t="str">
        <f>IFERROR(VLOOKUP(Table1[RespondentID],'All Data'!$A$3:$CW$999,98,FALSE),"unknown")</f>
        <v>Private/Commercial</v>
      </c>
      <c r="AV314" s="120" t="str">
        <f>IFERROR(VLOOKUP(Table1[RespondentID],'All Data'!$A$3:$CW$999,99,FALSE),"unknown")</f>
        <v>Yes</v>
      </c>
    </row>
    <row r="315" spans="1:48">
      <c r="A315" s="5">
        <v>18014642721</v>
      </c>
      <c r="B315" s="5"/>
      <c r="C315" s="5"/>
      <c r="D315" s="5"/>
      <c r="E315" s="5" t="s">
        <v>41</v>
      </c>
      <c r="F315" s="5"/>
      <c r="G315" s="5"/>
      <c r="H315" s="5" t="s">
        <v>43</v>
      </c>
      <c r="I315" s="5"/>
      <c r="J315" s="5"/>
      <c r="K315" s="5"/>
      <c r="L315" s="5"/>
      <c r="M315" s="5"/>
      <c r="N315" s="5"/>
      <c r="O315" s="5">
        <f t="shared" si="68"/>
        <v>2</v>
      </c>
      <c r="P315" s="5">
        <f t="shared" si="69"/>
        <v>1.5</v>
      </c>
      <c r="Q315" s="5"/>
      <c r="R315" s="5">
        <f t="shared" si="70"/>
        <v>0</v>
      </c>
      <c r="S315" s="5">
        <f t="shared" si="71"/>
        <v>0</v>
      </c>
      <c r="T315" s="5">
        <f t="shared" si="72"/>
        <v>0</v>
      </c>
      <c r="U315" s="5">
        <f t="shared" si="73"/>
        <v>1</v>
      </c>
      <c r="V315" s="5">
        <f t="shared" si="74"/>
        <v>0</v>
      </c>
      <c r="W315" s="5">
        <f t="shared" si="75"/>
        <v>0</v>
      </c>
      <c r="X315" s="5">
        <f t="shared" si="76"/>
        <v>1</v>
      </c>
      <c r="Y315" s="5">
        <f t="shared" si="77"/>
        <v>0</v>
      </c>
      <c r="Z315" s="5">
        <f t="shared" si="78"/>
        <v>0</v>
      </c>
      <c r="AA315" s="5">
        <f t="shared" si="79"/>
        <v>0</v>
      </c>
      <c r="AB315" s="5">
        <f t="shared" si="80"/>
        <v>0</v>
      </c>
      <c r="AC315" s="5">
        <f t="shared" si="81"/>
        <v>0</v>
      </c>
      <c r="AD315" s="5"/>
      <c r="AE315" s="5"/>
      <c r="AF315" s="5">
        <f t="shared" si="82"/>
        <v>2</v>
      </c>
      <c r="AG315" s="5">
        <f t="shared" si="83"/>
        <v>2</v>
      </c>
      <c r="AH315" s="5" t="str">
        <f t="shared" si="84"/>
        <v>Correct</v>
      </c>
      <c r="AI315" s="5"/>
      <c r="AJ315" s="120" t="str">
        <f>IFERROR(VLOOKUP(Table1[RespondentID],'All Data'!$A$3:$CO$999,87,FALSE),"unknown")</f>
        <v>Woman</v>
      </c>
      <c r="AK315" s="120">
        <f>IFERROR(VLOOKUP(Table1[RespondentID],'All Data'!$A$3:$CO$999,88,FALSE),"unknown")</f>
        <v>57</v>
      </c>
      <c r="AL315" s="120" t="str">
        <f>IFERROR(VLOOKUP(Table1[RespondentID],'All Data'!$A$3:$CO$999,89,FALSE),"unknown")</f>
        <v>Suffolk</v>
      </c>
      <c r="AM315" s="120" t="str">
        <f>IFERROR(VLOOKUP(Table1[RespondentID],'All Data'!$A$3:$CO$999,90,FALSE),"unknown")</f>
        <v>Port Jefferson Station, 11776</v>
      </c>
      <c r="AN315" s="120" t="str">
        <f>IFERROR(VLOOKUP(Table1[RespondentID],'All Data'!$A$3:$CO$999,91,FALSE),"unknown")</f>
        <v>White</v>
      </c>
      <c r="AO315" s="120" t="str">
        <f>IFERROR(VLOOKUP(Table1[RespondentID],'All Data'!$A$3:$CO$999,92,FALSE),"unknown")</f>
        <v>Hispanic or Latino</v>
      </c>
      <c r="AP315" s="120" t="str">
        <f>IFERROR(VLOOKUP(Table1[RespondentID],'All Data'!$A$3:$CO$999,93,FALSE),"unknown")</f>
        <v>English</v>
      </c>
      <c r="AQ315" s="120" t="str">
        <f>IFERROR(VLOOKUP(Table1[RespondentID],'All Data'!$A$3:$CW$999,94,FALSE),"unknown")</f>
        <v>$75,000 to $125,000</v>
      </c>
      <c r="AR315" s="120" t="str">
        <f>IFERROR(VLOOKUP(Table1[RespondentID],'All Data'!$A$3:$CW$999,95,FALSE),"unknown")</f>
        <v>Some college</v>
      </c>
      <c r="AS315" s="120" t="str">
        <f>IFERROR(VLOOKUP(Table1[RespondentID],'All Data'!$A$3:$CW$999,96,FALSE),"unknown")</f>
        <v>Retired</v>
      </c>
      <c r="AT315" s="120" t="str">
        <f>IFERROR(VLOOKUP(Table1[RespondentID],'All Data'!$A$3:$CW$999,97,FALSE),"unknown")</f>
        <v>Yes</v>
      </c>
      <c r="AU315" s="120" t="str">
        <f>IFERROR(VLOOKUP(Table1[RespondentID],'All Data'!$A$3:$CW$999,98,FALSE),"unknown")</f>
        <v>Private/Commercial</v>
      </c>
      <c r="AV315" s="120" t="str">
        <f>IFERROR(VLOOKUP(Table1[RespondentID],'All Data'!$A$3:$CW$999,99,FALSE),"unknown")</f>
        <v>Yes</v>
      </c>
    </row>
    <row r="316" spans="1:48">
      <c r="A316" s="5">
        <v>18014642355</v>
      </c>
      <c r="B316" s="5"/>
      <c r="C316" s="5" t="s">
        <v>39</v>
      </c>
      <c r="D316" s="5"/>
      <c r="E316" s="5"/>
      <c r="F316" s="5"/>
      <c r="G316" s="5"/>
      <c r="H316" s="5" t="s">
        <v>43</v>
      </c>
      <c r="I316" s="5"/>
      <c r="J316" s="5" t="s">
        <v>45</v>
      </c>
      <c r="K316" s="5"/>
      <c r="L316" s="5"/>
      <c r="M316" s="5"/>
      <c r="N316" s="5"/>
      <c r="O316" s="5">
        <f t="shared" si="68"/>
        <v>3</v>
      </c>
      <c r="P316" s="5">
        <f t="shared" si="69"/>
        <v>1</v>
      </c>
      <c r="Q316" s="5"/>
      <c r="R316" s="5">
        <f t="shared" si="70"/>
        <v>0</v>
      </c>
      <c r="S316" s="5">
        <f t="shared" si="71"/>
        <v>1</v>
      </c>
      <c r="T316" s="5">
        <f t="shared" si="72"/>
        <v>0</v>
      </c>
      <c r="U316" s="5">
        <f t="shared" si="73"/>
        <v>0</v>
      </c>
      <c r="V316" s="5">
        <f t="shared" si="74"/>
        <v>0</v>
      </c>
      <c r="W316" s="5">
        <f t="shared" si="75"/>
        <v>0</v>
      </c>
      <c r="X316" s="5">
        <f t="shared" si="76"/>
        <v>1</v>
      </c>
      <c r="Y316" s="5">
        <f t="shared" si="77"/>
        <v>0</v>
      </c>
      <c r="Z316" s="5">
        <f t="shared" si="78"/>
        <v>1</v>
      </c>
      <c r="AA316" s="5">
        <f t="shared" si="79"/>
        <v>0</v>
      </c>
      <c r="AB316" s="5">
        <f t="shared" si="80"/>
        <v>0</v>
      </c>
      <c r="AC316" s="5">
        <f t="shared" si="81"/>
        <v>0</v>
      </c>
      <c r="AD316" s="5"/>
      <c r="AE316" s="5"/>
      <c r="AF316" s="5">
        <f t="shared" si="82"/>
        <v>3</v>
      </c>
      <c r="AG316" s="5">
        <f t="shared" si="83"/>
        <v>3</v>
      </c>
      <c r="AH316" s="5" t="str">
        <f t="shared" si="84"/>
        <v>Correct</v>
      </c>
      <c r="AI316" s="5"/>
      <c r="AJ316" s="120" t="str">
        <f>IFERROR(VLOOKUP(Table1[RespondentID],'All Data'!$A$3:$CO$999,87,FALSE),"unknown")</f>
        <v>Man</v>
      </c>
      <c r="AK316" s="120">
        <f>IFERROR(VLOOKUP(Table1[RespondentID],'All Data'!$A$3:$CO$999,88,FALSE),"unknown")</f>
        <v>31</v>
      </c>
      <c r="AL316" s="120" t="str">
        <f>IFERROR(VLOOKUP(Table1[RespondentID],'All Data'!$A$3:$CO$999,89,FALSE),"unknown")</f>
        <v>Suffolk</v>
      </c>
      <c r="AM316" s="120" t="str">
        <f>IFERROR(VLOOKUP(Table1[RespondentID],'All Data'!$A$3:$CO$999,90,FALSE),"unknown")</f>
        <v>Port Jefferson Station, 11776</v>
      </c>
      <c r="AN316" s="120" t="str">
        <f>IFERROR(VLOOKUP(Table1[RespondentID],'All Data'!$A$3:$CO$999,91,FALSE),"unknown")</f>
        <v>White</v>
      </c>
      <c r="AO316" s="120" t="str">
        <f>IFERROR(VLOOKUP(Table1[RespondentID],'All Data'!$A$3:$CO$999,92,FALSE),"unknown")</f>
        <v>Hispanic or Latino</v>
      </c>
      <c r="AP316" s="120" t="str">
        <f>IFERROR(VLOOKUP(Table1[RespondentID],'All Data'!$A$3:$CO$999,93,FALSE),"unknown")</f>
        <v>English</v>
      </c>
      <c r="AQ316" s="120" t="str">
        <f>IFERROR(VLOOKUP(Table1[RespondentID],'All Data'!$A$3:$CW$999,94,FALSE),"unknown")</f>
        <v>Over $125,000</v>
      </c>
      <c r="AR316" s="120" t="str">
        <f>IFERROR(VLOOKUP(Table1[RespondentID],'All Data'!$A$3:$CW$999,95,FALSE),"unknown")</f>
        <v>College graduate</v>
      </c>
      <c r="AS316" s="120" t="str">
        <f>IFERROR(VLOOKUP(Table1[RespondentID],'All Data'!$A$3:$CW$999,96,FALSE),"unknown")</f>
        <v>Employed for wages</v>
      </c>
      <c r="AT316" s="120" t="str">
        <f>IFERROR(VLOOKUP(Table1[RespondentID],'All Data'!$A$3:$CW$999,97,FALSE),"unknown")</f>
        <v>Yes</v>
      </c>
      <c r="AU316" s="120" t="str">
        <f>IFERROR(VLOOKUP(Table1[RespondentID],'All Data'!$A$3:$CW$999,98,FALSE),"unknown")</f>
        <v>Private/Commercial</v>
      </c>
      <c r="AV316" s="120" t="str">
        <f>IFERROR(VLOOKUP(Table1[RespondentID],'All Data'!$A$3:$CW$999,99,FALSE),"unknown")</f>
        <v>Yes</v>
      </c>
    </row>
    <row r="317" spans="1:48">
      <c r="A317" s="5">
        <v>18014635603</v>
      </c>
      <c r="B317" s="5"/>
      <c r="C317" s="5" t="s">
        <v>39</v>
      </c>
      <c r="D317" s="5"/>
      <c r="E317" s="5" t="s">
        <v>41</v>
      </c>
      <c r="F317" s="5"/>
      <c r="G317" s="5"/>
      <c r="H317" s="5"/>
      <c r="I317" s="5"/>
      <c r="J317" s="5"/>
      <c r="K317" s="5"/>
      <c r="L317" s="5" t="s">
        <v>47</v>
      </c>
      <c r="M317" s="5"/>
      <c r="N317" s="5"/>
      <c r="O317" s="5">
        <f t="shared" si="68"/>
        <v>3</v>
      </c>
      <c r="P317" s="5">
        <f t="shared" si="69"/>
        <v>1</v>
      </c>
      <c r="Q317" s="5"/>
      <c r="R317" s="5">
        <f t="shared" si="70"/>
        <v>0</v>
      </c>
      <c r="S317" s="5">
        <f t="shared" si="71"/>
        <v>1</v>
      </c>
      <c r="T317" s="5">
        <f t="shared" si="72"/>
        <v>0</v>
      </c>
      <c r="U317" s="5">
        <f t="shared" si="73"/>
        <v>1</v>
      </c>
      <c r="V317" s="5">
        <f t="shared" si="74"/>
        <v>0</v>
      </c>
      <c r="W317" s="5">
        <f t="shared" si="75"/>
        <v>0</v>
      </c>
      <c r="X317" s="5">
        <f t="shared" si="76"/>
        <v>0</v>
      </c>
      <c r="Y317" s="5">
        <f t="shared" si="77"/>
        <v>0</v>
      </c>
      <c r="Z317" s="5">
        <f t="shared" si="78"/>
        <v>0</v>
      </c>
      <c r="AA317" s="5">
        <f t="shared" si="79"/>
        <v>0</v>
      </c>
      <c r="AB317" s="5">
        <f t="shared" si="80"/>
        <v>1</v>
      </c>
      <c r="AC317" s="5">
        <f t="shared" si="81"/>
        <v>0</v>
      </c>
      <c r="AD317" s="5"/>
      <c r="AE317" s="5"/>
      <c r="AF317" s="5">
        <f t="shared" si="82"/>
        <v>3</v>
      </c>
      <c r="AG317" s="5">
        <f t="shared" si="83"/>
        <v>3</v>
      </c>
      <c r="AH317" s="5" t="str">
        <f t="shared" si="84"/>
        <v>Correct</v>
      </c>
      <c r="AI317" s="5"/>
      <c r="AJ317" s="120" t="str">
        <f>IFERROR(VLOOKUP(Table1[RespondentID],'All Data'!$A$3:$CO$999,87,FALSE),"unknown")</f>
        <v>Man</v>
      </c>
      <c r="AK317" s="120">
        <f>IFERROR(VLOOKUP(Table1[RespondentID],'All Data'!$A$3:$CO$999,88,FALSE),"unknown")</f>
        <v>18</v>
      </c>
      <c r="AL317" s="120" t="str">
        <f>IFERROR(VLOOKUP(Table1[RespondentID],'All Data'!$A$3:$CO$999,89,FALSE),"unknown")</f>
        <v>Nassau</v>
      </c>
      <c r="AM317" s="120" t="str">
        <f>IFERROR(VLOOKUP(Table1[RespondentID],'All Data'!$A$3:$CO$999,90,FALSE),"unknown")</f>
        <v>Malverne, 11565</v>
      </c>
      <c r="AN317" s="120" t="str">
        <f>IFERROR(VLOOKUP(Table1[RespondentID],'All Data'!$A$3:$CO$999,91,FALSE),"unknown")</f>
        <v>White</v>
      </c>
      <c r="AO317" s="120" t="str">
        <f>IFERROR(VLOOKUP(Table1[RespondentID],'All Data'!$A$3:$CO$999,92,FALSE),"unknown")</f>
        <v>Not Hispanic or Latino</v>
      </c>
      <c r="AP317" s="120" t="str">
        <f>IFERROR(VLOOKUP(Table1[RespondentID],'All Data'!$A$3:$CO$999,93,FALSE),"unknown")</f>
        <v>English, Spanish</v>
      </c>
      <c r="AQ317" s="120" t="str">
        <f>IFERROR(VLOOKUP(Table1[RespondentID],'All Data'!$A$3:$CW$999,94,FALSE),"unknown")</f>
        <v>$35,000 to $49,999</v>
      </c>
      <c r="AR317" s="120" t="str">
        <f>IFERROR(VLOOKUP(Table1[RespondentID],'All Data'!$A$3:$CW$999,95,FALSE),"unknown")</f>
        <v>Some college</v>
      </c>
      <c r="AS317" s="120" t="str">
        <f>IFERROR(VLOOKUP(Table1[RespondentID],'All Data'!$A$3:$CW$999,96,FALSE),"unknown")</f>
        <v>Student</v>
      </c>
      <c r="AT317" s="120" t="str">
        <f>IFERROR(VLOOKUP(Table1[RespondentID],'All Data'!$A$3:$CW$999,97,FALSE),"unknown")</f>
        <v>Yes</v>
      </c>
      <c r="AU317" s="120" t="str">
        <f>IFERROR(VLOOKUP(Table1[RespondentID],'All Data'!$A$3:$CW$999,98,FALSE),"unknown")</f>
        <v>Private/Commercial</v>
      </c>
      <c r="AV317" s="120" t="str">
        <f>IFERROR(VLOOKUP(Table1[RespondentID],'All Data'!$A$3:$CW$999,99,FALSE),"unknown")</f>
        <v>Yes</v>
      </c>
    </row>
    <row r="318" spans="1:48">
      <c r="A318" s="5">
        <v>18014599240</v>
      </c>
      <c r="B318" s="5"/>
      <c r="C318" s="5" t="s">
        <v>39</v>
      </c>
      <c r="D318" s="5"/>
      <c r="E318" s="5" t="s">
        <v>41</v>
      </c>
      <c r="F318" s="5"/>
      <c r="G318" s="5"/>
      <c r="H318" s="5" t="s">
        <v>43</v>
      </c>
      <c r="I318" s="5"/>
      <c r="J318" s="5"/>
      <c r="K318" s="5"/>
      <c r="L318" s="5"/>
      <c r="M318" s="5"/>
      <c r="N318" s="5"/>
      <c r="O318" s="5">
        <f t="shared" si="68"/>
        <v>3</v>
      </c>
      <c r="P318" s="5">
        <f t="shared" si="69"/>
        <v>1</v>
      </c>
      <c r="Q318" s="5"/>
      <c r="R318" s="5">
        <f t="shared" si="70"/>
        <v>0</v>
      </c>
      <c r="S318" s="5">
        <f t="shared" si="71"/>
        <v>1</v>
      </c>
      <c r="T318" s="5">
        <f t="shared" si="72"/>
        <v>0</v>
      </c>
      <c r="U318" s="5">
        <f t="shared" si="73"/>
        <v>1</v>
      </c>
      <c r="V318" s="5">
        <f t="shared" si="74"/>
        <v>0</v>
      </c>
      <c r="W318" s="5">
        <f t="shared" si="75"/>
        <v>0</v>
      </c>
      <c r="X318" s="5">
        <f t="shared" si="76"/>
        <v>1</v>
      </c>
      <c r="Y318" s="5">
        <f t="shared" si="77"/>
        <v>0</v>
      </c>
      <c r="Z318" s="5">
        <f t="shared" si="78"/>
        <v>0</v>
      </c>
      <c r="AA318" s="5">
        <f t="shared" si="79"/>
        <v>0</v>
      </c>
      <c r="AB318" s="5">
        <f t="shared" si="80"/>
        <v>0</v>
      </c>
      <c r="AC318" s="5">
        <f t="shared" si="81"/>
        <v>0</v>
      </c>
      <c r="AD318" s="5"/>
      <c r="AE318" s="5"/>
      <c r="AF318" s="5">
        <f t="shared" si="82"/>
        <v>3</v>
      </c>
      <c r="AG318" s="5">
        <f t="shared" si="83"/>
        <v>3</v>
      </c>
      <c r="AH318" s="5" t="str">
        <f t="shared" si="84"/>
        <v>Correct</v>
      </c>
      <c r="AI318" s="5"/>
      <c r="AJ318" s="120" t="str">
        <f>IFERROR(VLOOKUP(Table1[RespondentID],'All Data'!$A$3:$CO$999,87,FALSE),"unknown")</f>
        <v>Man</v>
      </c>
      <c r="AK318" s="120">
        <f>IFERROR(VLOOKUP(Table1[RespondentID],'All Data'!$A$3:$CO$999,88,FALSE),"unknown")</f>
        <v>17</v>
      </c>
      <c r="AL318" s="120" t="str">
        <f>IFERROR(VLOOKUP(Table1[RespondentID],'All Data'!$A$3:$CO$999,89,FALSE),"unknown")</f>
        <v>Suffolk</v>
      </c>
      <c r="AM318" s="120" t="str">
        <f>IFERROR(VLOOKUP(Table1[RespondentID],'All Data'!$A$3:$CO$999,90,FALSE),"unknown")</f>
        <v>Commack, 11725</v>
      </c>
      <c r="AN318" s="120" t="str">
        <f>IFERROR(VLOOKUP(Table1[RespondentID],'All Data'!$A$3:$CO$999,91,FALSE),"unknown")</f>
        <v>White</v>
      </c>
      <c r="AO318" s="120" t="str">
        <f>IFERROR(VLOOKUP(Table1[RespondentID],'All Data'!$A$3:$CO$999,92,FALSE),"unknown")</f>
        <v>Hispanic or Latino</v>
      </c>
      <c r="AP318" s="120" t="str">
        <f>IFERROR(VLOOKUP(Table1[RespondentID],'All Data'!$A$3:$CO$999,93,FALSE),"unknown")</f>
        <v>English</v>
      </c>
      <c r="AQ318" s="120" t="str">
        <f>IFERROR(VLOOKUP(Table1[RespondentID],'All Data'!$A$3:$CW$999,94,FALSE),"unknown")</f>
        <v>Over $125,000</v>
      </c>
      <c r="AR318" s="120" t="str">
        <f>IFERROR(VLOOKUP(Table1[RespondentID],'All Data'!$A$3:$CW$999,95,FALSE),"unknown")</f>
        <v>High school graduate</v>
      </c>
      <c r="AS318" s="120" t="str">
        <f>IFERROR(VLOOKUP(Table1[RespondentID],'All Data'!$A$3:$CW$999,96,FALSE),"unknown")</f>
        <v>Employed for wages</v>
      </c>
      <c r="AT318" s="120" t="str">
        <f>IFERROR(VLOOKUP(Table1[RespondentID],'All Data'!$A$3:$CW$999,97,FALSE),"unknown")</f>
        <v>Yes</v>
      </c>
      <c r="AU318" s="120" t="str">
        <f>IFERROR(VLOOKUP(Table1[RespondentID],'All Data'!$A$3:$CW$999,98,FALSE),"unknown")</f>
        <v>Medicare</v>
      </c>
      <c r="AV318" s="120" t="str">
        <f>IFERROR(VLOOKUP(Table1[RespondentID],'All Data'!$A$3:$CW$999,99,FALSE),"unknown")</f>
        <v>Yes</v>
      </c>
    </row>
    <row r="319" spans="1:48">
      <c r="A319" s="5">
        <v>18014578066</v>
      </c>
      <c r="B319" s="5" t="s">
        <v>38</v>
      </c>
      <c r="C319" s="5"/>
      <c r="D319" s="5"/>
      <c r="E319" s="5"/>
      <c r="F319" s="5"/>
      <c r="G319" s="5"/>
      <c r="H319" s="5" t="s">
        <v>43</v>
      </c>
      <c r="I319" s="5"/>
      <c r="J319" s="5"/>
      <c r="K319" s="5"/>
      <c r="L319" s="5"/>
      <c r="M319" s="5"/>
      <c r="N319" s="5"/>
      <c r="O319" s="5">
        <f t="shared" si="68"/>
        <v>2</v>
      </c>
      <c r="P319" s="5">
        <f t="shared" si="69"/>
        <v>1.5</v>
      </c>
      <c r="Q319" s="5"/>
      <c r="R319" s="5">
        <f t="shared" si="70"/>
        <v>1</v>
      </c>
      <c r="S319" s="5">
        <f t="shared" si="71"/>
        <v>0</v>
      </c>
      <c r="T319" s="5">
        <f t="shared" si="72"/>
        <v>0</v>
      </c>
      <c r="U319" s="5">
        <f t="shared" si="73"/>
        <v>0</v>
      </c>
      <c r="V319" s="5">
        <f t="shared" si="74"/>
        <v>0</v>
      </c>
      <c r="W319" s="5">
        <f t="shared" si="75"/>
        <v>0</v>
      </c>
      <c r="X319" s="5">
        <f t="shared" si="76"/>
        <v>1</v>
      </c>
      <c r="Y319" s="5">
        <f t="shared" si="77"/>
        <v>0</v>
      </c>
      <c r="Z319" s="5">
        <f t="shared" si="78"/>
        <v>0</v>
      </c>
      <c r="AA319" s="5">
        <f t="shared" si="79"/>
        <v>0</v>
      </c>
      <c r="AB319" s="5">
        <f t="shared" si="80"/>
        <v>0</v>
      </c>
      <c r="AC319" s="5">
        <f t="shared" si="81"/>
        <v>0</v>
      </c>
      <c r="AD319" s="5"/>
      <c r="AE319" s="5"/>
      <c r="AF319" s="5">
        <f t="shared" si="82"/>
        <v>2</v>
      </c>
      <c r="AG319" s="5">
        <f t="shared" si="83"/>
        <v>2</v>
      </c>
      <c r="AH319" s="5" t="str">
        <f t="shared" si="84"/>
        <v>Correct</v>
      </c>
      <c r="AI319" s="5"/>
      <c r="AJ319" s="120" t="str">
        <f>IFERROR(VLOOKUP(Table1[RespondentID],'All Data'!$A$3:$CO$999,87,FALSE),"unknown")</f>
        <v>Transgender</v>
      </c>
      <c r="AK319" s="120">
        <f>IFERROR(VLOOKUP(Table1[RespondentID],'All Data'!$A$3:$CO$999,88,FALSE),"unknown")</f>
        <v>24</v>
      </c>
      <c r="AL319" s="120" t="str">
        <f>IFERROR(VLOOKUP(Table1[RespondentID],'All Data'!$A$3:$CO$999,89,FALSE),"unknown")</f>
        <v>Queens</v>
      </c>
      <c r="AM319" s="120">
        <f>IFERROR(VLOOKUP(Table1[RespondentID],'All Data'!$A$3:$CO$999,90,FALSE),"unknown")</f>
        <v>11429</v>
      </c>
      <c r="AN319" s="120" t="str">
        <f>IFERROR(VLOOKUP(Table1[RespondentID],'All Data'!$A$3:$CO$999,91,FALSE),"unknown")</f>
        <v>Native Hawaiian and Other Pacific Islander</v>
      </c>
      <c r="AO319" s="120">
        <f>IFERROR(VLOOKUP(Table1[RespondentID],'All Data'!$A$3:$CO$999,92,FALSE),"unknown")</f>
        <v>0</v>
      </c>
      <c r="AP319" s="120">
        <f>IFERROR(VLOOKUP(Table1[RespondentID],'All Data'!$A$3:$CO$999,93,FALSE),"unknown")</f>
        <v>0</v>
      </c>
      <c r="AQ319" s="120" t="str">
        <f>IFERROR(VLOOKUP(Table1[RespondentID],'All Data'!$A$3:$CW$999,94,FALSE),"unknown")</f>
        <v>Over $125,000</v>
      </c>
      <c r="AR319" s="120" t="str">
        <f>IFERROR(VLOOKUP(Table1[RespondentID],'All Data'!$A$3:$CW$999,95,FALSE),"unknown")</f>
        <v>College graduate</v>
      </c>
      <c r="AS319" s="120" t="str">
        <f>IFERROR(VLOOKUP(Table1[RespondentID],'All Data'!$A$3:$CW$999,96,FALSE),"unknown")</f>
        <v>Employed for wages</v>
      </c>
      <c r="AT319" s="120" t="str">
        <f>IFERROR(VLOOKUP(Table1[RespondentID],'All Data'!$A$3:$CW$999,97,FALSE),"unknown")</f>
        <v>Yes</v>
      </c>
      <c r="AU319" s="120" t="str">
        <f>IFERROR(VLOOKUP(Table1[RespondentID],'All Data'!$A$3:$CW$999,98,FALSE),"unknown")</f>
        <v>Private/Commercial</v>
      </c>
      <c r="AV319" s="120" t="str">
        <f>IFERROR(VLOOKUP(Table1[RespondentID],'All Data'!$A$3:$CW$999,99,FALSE),"unknown")</f>
        <v>Yes</v>
      </c>
    </row>
    <row r="320" spans="1:48">
      <c r="A320" s="5">
        <v>18014577716</v>
      </c>
      <c r="B320" s="5"/>
      <c r="C320" s="5"/>
      <c r="D320" s="5"/>
      <c r="E320" s="5"/>
      <c r="F320" s="5"/>
      <c r="G320" s="5"/>
      <c r="H320" s="5"/>
      <c r="I320" s="5" t="s">
        <v>44</v>
      </c>
      <c r="J320" s="5"/>
      <c r="K320" s="5" t="s">
        <v>46</v>
      </c>
      <c r="L320" s="5" t="s">
        <v>47</v>
      </c>
      <c r="M320" s="5"/>
      <c r="N320" s="5"/>
      <c r="O320" s="5">
        <f t="shared" si="68"/>
        <v>3</v>
      </c>
      <c r="P320" s="5">
        <f t="shared" si="69"/>
        <v>1</v>
      </c>
      <c r="Q320" s="5"/>
      <c r="R320" s="5">
        <f t="shared" si="70"/>
        <v>0</v>
      </c>
      <c r="S320" s="5">
        <f t="shared" si="71"/>
        <v>0</v>
      </c>
      <c r="T320" s="5">
        <f t="shared" si="72"/>
        <v>0</v>
      </c>
      <c r="U320" s="5">
        <f t="shared" si="73"/>
        <v>0</v>
      </c>
      <c r="V320" s="5">
        <f t="shared" si="74"/>
        <v>0</v>
      </c>
      <c r="W320" s="5">
        <f t="shared" si="75"/>
        <v>0</v>
      </c>
      <c r="X320" s="5">
        <f t="shared" si="76"/>
        <v>0</v>
      </c>
      <c r="Y320" s="5">
        <f t="shared" si="77"/>
        <v>1</v>
      </c>
      <c r="Z320" s="5">
        <f t="shared" si="78"/>
        <v>0</v>
      </c>
      <c r="AA320" s="5">
        <f t="shared" si="79"/>
        <v>1</v>
      </c>
      <c r="AB320" s="5">
        <f t="shared" si="80"/>
        <v>1</v>
      </c>
      <c r="AC320" s="5">
        <f t="shared" si="81"/>
        <v>0</v>
      </c>
      <c r="AD320" s="5"/>
      <c r="AE320" s="5"/>
      <c r="AF320" s="5">
        <f t="shared" si="82"/>
        <v>3</v>
      </c>
      <c r="AG320" s="5">
        <f t="shared" si="83"/>
        <v>3</v>
      </c>
      <c r="AH320" s="5" t="str">
        <f t="shared" si="84"/>
        <v>Correct</v>
      </c>
      <c r="AI320" s="5"/>
      <c r="AJ320" s="120" t="str">
        <f>IFERROR(VLOOKUP(Table1[RespondentID],'All Data'!$A$3:$CO$999,87,FALSE),"unknown")</f>
        <v>Man</v>
      </c>
      <c r="AK320" s="120">
        <f>IFERROR(VLOOKUP(Table1[RespondentID],'All Data'!$A$3:$CO$999,88,FALSE),"unknown")</f>
        <v>67</v>
      </c>
      <c r="AL320" s="120" t="str">
        <f>IFERROR(VLOOKUP(Table1[RespondentID],'All Data'!$A$3:$CO$999,89,FALSE),"unknown")</f>
        <v>Suffolk</v>
      </c>
      <c r="AM320" s="120" t="str">
        <f>IFERROR(VLOOKUP(Table1[RespondentID],'All Data'!$A$3:$CO$999,90,FALSE),"unknown")</f>
        <v>Huntington Station, 11747</v>
      </c>
      <c r="AN320" s="120" t="str">
        <f>IFERROR(VLOOKUP(Table1[RespondentID],'All Data'!$A$3:$CO$999,91,FALSE),"unknown")</f>
        <v>American Indian and Alaska Native</v>
      </c>
      <c r="AO320" s="120" t="str">
        <f>IFERROR(VLOOKUP(Table1[RespondentID],'All Data'!$A$3:$CO$999,92,FALSE),"unknown")</f>
        <v>Hispanic or Latino</v>
      </c>
      <c r="AP320" s="120" t="str">
        <f>IFERROR(VLOOKUP(Table1[RespondentID],'All Data'!$A$3:$CO$999,93,FALSE),"unknown")</f>
        <v>English</v>
      </c>
      <c r="AQ320" s="120" t="str">
        <f>IFERROR(VLOOKUP(Table1[RespondentID],'All Data'!$A$3:$CW$999,94,FALSE),"unknown")</f>
        <v>$75,000 to $125,000</v>
      </c>
      <c r="AR320" s="120" t="str">
        <f>IFERROR(VLOOKUP(Table1[RespondentID],'All Data'!$A$3:$CW$999,95,FALSE),"unknown")</f>
        <v>College graduate</v>
      </c>
      <c r="AS320" s="120" t="str">
        <f>IFERROR(VLOOKUP(Table1[RespondentID],'All Data'!$A$3:$CW$999,96,FALSE),"unknown")</f>
        <v>Retired</v>
      </c>
      <c r="AT320" s="120" t="str">
        <f>IFERROR(VLOOKUP(Table1[RespondentID],'All Data'!$A$3:$CW$999,97,FALSE),"unknown")</f>
        <v>Yes</v>
      </c>
      <c r="AU320" s="120" t="str">
        <f>IFERROR(VLOOKUP(Table1[RespondentID],'All Data'!$A$3:$CW$999,98,FALSE),"unknown")</f>
        <v>Medicare, Private/Commercial</v>
      </c>
      <c r="AV320" s="120" t="str">
        <f>IFERROR(VLOOKUP(Table1[RespondentID],'All Data'!$A$3:$CW$999,99,FALSE),"unknown")</f>
        <v>Yes</v>
      </c>
    </row>
    <row r="321" spans="1:48">
      <c r="A321" s="5">
        <v>18014577265</v>
      </c>
      <c r="B321" s="5"/>
      <c r="C321" s="5" t="s">
        <v>39</v>
      </c>
      <c r="D321" s="5"/>
      <c r="E321" s="5" t="s">
        <v>41</v>
      </c>
      <c r="F321" s="5"/>
      <c r="G321" s="5"/>
      <c r="H321" s="5" t="s">
        <v>43</v>
      </c>
      <c r="I321" s="5" t="s">
        <v>44</v>
      </c>
      <c r="J321" s="5"/>
      <c r="K321" s="5"/>
      <c r="L321" s="5" t="s">
        <v>47</v>
      </c>
      <c r="M321" s="5" t="s">
        <v>48</v>
      </c>
      <c r="N321" s="5"/>
      <c r="O321" s="5">
        <f t="shared" si="68"/>
        <v>6</v>
      </c>
      <c r="P321" s="5">
        <f t="shared" si="69"/>
        <v>0.5</v>
      </c>
      <c r="Q321" s="5"/>
      <c r="R321" s="5">
        <f t="shared" si="70"/>
        <v>0</v>
      </c>
      <c r="S321" s="5">
        <f t="shared" si="71"/>
        <v>0.5</v>
      </c>
      <c r="T321" s="5">
        <f t="shared" si="72"/>
        <v>0</v>
      </c>
      <c r="U321" s="5">
        <f t="shared" si="73"/>
        <v>0.5</v>
      </c>
      <c r="V321" s="5">
        <f t="shared" si="74"/>
        <v>0</v>
      </c>
      <c r="W321" s="5">
        <f t="shared" si="75"/>
        <v>0</v>
      </c>
      <c r="X321" s="5">
        <f t="shared" si="76"/>
        <v>0.5</v>
      </c>
      <c r="Y321" s="5">
        <f t="shared" si="77"/>
        <v>0.5</v>
      </c>
      <c r="Z321" s="5">
        <f t="shared" si="78"/>
        <v>0</v>
      </c>
      <c r="AA321" s="5">
        <f t="shared" si="79"/>
        <v>0</v>
      </c>
      <c r="AB321" s="5">
        <f t="shared" si="80"/>
        <v>0.5</v>
      </c>
      <c r="AC321" s="5">
        <f t="shared" si="81"/>
        <v>0.5</v>
      </c>
      <c r="AD321" s="5"/>
      <c r="AE321" s="5"/>
      <c r="AF321" s="5">
        <f t="shared" si="82"/>
        <v>3</v>
      </c>
      <c r="AG321" s="5">
        <f t="shared" si="83"/>
        <v>6</v>
      </c>
      <c r="AH321" s="5" t="str">
        <f t="shared" si="84"/>
        <v>Correct</v>
      </c>
      <c r="AI321" s="5"/>
      <c r="AJ321" s="120" t="str">
        <f>IFERROR(VLOOKUP(Table1[RespondentID],'All Data'!$A$3:$CO$999,87,FALSE),"unknown")</f>
        <v>Man</v>
      </c>
      <c r="AK321" s="120">
        <f>IFERROR(VLOOKUP(Table1[RespondentID],'All Data'!$A$3:$CO$999,88,FALSE),"unknown")</f>
        <v>19</v>
      </c>
      <c r="AL321" s="120" t="str">
        <f>IFERROR(VLOOKUP(Table1[RespondentID],'All Data'!$A$3:$CO$999,89,FALSE),"unknown")</f>
        <v>Nassau</v>
      </c>
      <c r="AM321" s="120" t="str">
        <f>IFERROR(VLOOKUP(Table1[RespondentID],'All Data'!$A$3:$CO$999,90,FALSE),"unknown")</f>
        <v>Farmingdale, 11735</v>
      </c>
      <c r="AN321" s="120" t="str">
        <f>IFERROR(VLOOKUP(Table1[RespondentID],'All Data'!$A$3:$CO$999,91,FALSE),"unknown")</f>
        <v>American Indian and Alaska Native</v>
      </c>
      <c r="AO321" s="120" t="str">
        <f>IFERROR(VLOOKUP(Table1[RespondentID],'All Data'!$A$3:$CO$999,92,FALSE),"unknown")</f>
        <v>Hispanic or Latino</v>
      </c>
      <c r="AP321" s="120" t="str">
        <f>IFERROR(VLOOKUP(Table1[RespondentID],'All Data'!$A$3:$CO$999,93,FALSE),"unknown")</f>
        <v>English</v>
      </c>
      <c r="AQ321" s="120" t="str">
        <f>IFERROR(VLOOKUP(Table1[RespondentID],'All Data'!$A$3:$CW$999,94,FALSE),"unknown")</f>
        <v>$50,000 to $74,999</v>
      </c>
      <c r="AR321" s="120" t="str">
        <f>IFERROR(VLOOKUP(Table1[RespondentID],'All Data'!$A$3:$CW$999,95,FALSE),"unknown")</f>
        <v>Some college</v>
      </c>
      <c r="AS321" s="120" t="str">
        <f>IFERROR(VLOOKUP(Table1[RespondentID],'All Data'!$A$3:$CW$999,96,FALSE),"unknown")</f>
        <v>Student</v>
      </c>
      <c r="AT321" s="120" t="str">
        <f>IFERROR(VLOOKUP(Table1[RespondentID],'All Data'!$A$3:$CW$999,97,FALSE),"unknown")</f>
        <v>Yes</v>
      </c>
      <c r="AU321" s="120" t="str">
        <f>IFERROR(VLOOKUP(Table1[RespondentID],'All Data'!$A$3:$CW$999,98,FALSE),"unknown")</f>
        <v>Medicare</v>
      </c>
      <c r="AV321" s="120" t="str">
        <f>IFERROR(VLOOKUP(Table1[RespondentID],'All Data'!$A$3:$CW$999,99,FALSE),"unknown")</f>
        <v>Yes</v>
      </c>
    </row>
    <row r="322" spans="1:48">
      <c r="A322" s="5">
        <v>18014577228</v>
      </c>
      <c r="B322" s="5"/>
      <c r="C322" s="5" t="s">
        <v>39</v>
      </c>
      <c r="D322" s="5"/>
      <c r="E322" s="5"/>
      <c r="F322" s="5"/>
      <c r="G322" s="5"/>
      <c r="H322" s="5" t="s">
        <v>43</v>
      </c>
      <c r="I322" s="5"/>
      <c r="J322" s="5"/>
      <c r="K322" s="5" t="s">
        <v>46</v>
      </c>
      <c r="L322" s="5"/>
      <c r="M322" s="5"/>
      <c r="N322" s="5"/>
      <c r="O322" s="5">
        <f t="shared" ref="O322:O385" si="85">COUNTA(B322:N322)</f>
        <v>3</v>
      </c>
      <c r="P322" s="5">
        <f t="shared" ref="P322:P385" si="86">3/O322</f>
        <v>1</v>
      </c>
      <c r="Q322" s="5"/>
      <c r="R322" s="5">
        <f t="shared" ref="R322:R385" si="87">IF($O322&lt;3,IF($B322=$B$1,1,0),IF($B322=$B$1,$P322,0))</f>
        <v>0</v>
      </c>
      <c r="S322" s="5">
        <f t="shared" ref="S322:S385" si="88">IF($O322&lt;3,IF($C322=$C$1,1,0),IF($C322=$C$1,$P322,0))</f>
        <v>1</v>
      </c>
      <c r="T322" s="5">
        <f t="shared" ref="T322:T385" si="89">IF($O322&lt;3,IF($D322=$D$1,1,0),IF($D322=$D$1,$P322,0))</f>
        <v>0</v>
      </c>
      <c r="U322" s="5">
        <f t="shared" ref="U322:U385" si="90">IF($O322&lt;3,IF($E322=$E$1,1,0),IF($E322=$E$1,$P322,0))</f>
        <v>0</v>
      </c>
      <c r="V322" s="5">
        <f t="shared" ref="V322:V385" si="91">IF($O322&lt;3,IF($F322=$F$1,1,0),IF($F322=$F$1,$P322,0))</f>
        <v>0</v>
      </c>
      <c r="W322" s="5">
        <f t="shared" ref="W322:W385" si="92">IF($O322&lt;3,IF($G322=$G$1,1,0),IF($G322=$G$1,$P322,0))</f>
        <v>0</v>
      </c>
      <c r="X322" s="5">
        <f t="shared" ref="X322:X385" si="93">IF($O322&lt;3,IF($H322=$H$1,1,0),IF($H322=$H$1,$P322,0))</f>
        <v>1</v>
      </c>
      <c r="Y322" s="5">
        <f t="shared" ref="Y322:Y385" si="94">IF($O322&lt;3,IF($I322=$I$1,1,0),IF($I322=$I$1,$P322,0))</f>
        <v>0</v>
      </c>
      <c r="Z322" s="5">
        <f t="shared" ref="Z322:Z385" si="95">IF($O322&lt;3,IF($J322=$J$1,1,0),IF($J322=$J$1,$P322,0))</f>
        <v>0</v>
      </c>
      <c r="AA322" s="5">
        <f t="shared" ref="AA322:AA385" si="96">IF($O322&lt;3,IF($K322=$K$1,1,0),IF($K322=$K$1,$P322,0))</f>
        <v>1</v>
      </c>
      <c r="AB322" s="5">
        <f t="shared" ref="AB322:AB385" si="97">IF($O322&lt;3,IF($L322=$L$1,1,0),IF($L322=$L$1,$P322,0))</f>
        <v>0</v>
      </c>
      <c r="AC322" s="5">
        <f t="shared" ref="AC322:AC385" si="98">IF($O322&lt;3,IF($M322=$M$1,1,0),IF($M322=$M$1,$P322,0))</f>
        <v>0</v>
      </c>
      <c r="AD322" s="5"/>
      <c r="AE322" s="5"/>
      <c r="AF322" s="5">
        <f t="shared" ref="AF322:AF385" si="99">SUM(R322:AD322)</f>
        <v>3</v>
      </c>
      <c r="AG322" s="5">
        <f t="shared" ref="AG322:AG385" si="100">O322</f>
        <v>3</v>
      </c>
      <c r="AH322" s="5" t="str">
        <f t="shared" ref="AH322:AH385" si="101">IF(AF322=AG322,"Correct",IF(AF322=3,"Correct","Wrong"))</f>
        <v>Correct</v>
      </c>
      <c r="AI322" s="5"/>
      <c r="AJ322" s="120" t="str">
        <f>IFERROR(VLOOKUP(Table1[RespondentID],'All Data'!$A$3:$CO$999,87,FALSE),"unknown")</f>
        <v>Man</v>
      </c>
      <c r="AK322" s="120">
        <f>IFERROR(VLOOKUP(Table1[RespondentID],'All Data'!$A$3:$CO$999,88,FALSE),"unknown")</f>
        <v>54</v>
      </c>
      <c r="AL322" s="120" t="str">
        <f>IFERROR(VLOOKUP(Table1[RespondentID],'All Data'!$A$3:$CO$999,89,FALSE),"unknown")</f>
        <v>Nassau</v>
      </c>
      <c r="AM322" s="120" t="str">
        <f>IFERROR(VLOOKUP(Table1[RespondentID],'All Data'!$A$3:$CO$999,90,FALSE),"unknown")</f>
        <v>Farmingdale, 11735</v>
      </c>
      <c r="AN322" s="120" t="str">
        <f>IFERROR(VLOOKUP(Table1[RespondentID],'All Data'!$A$3:$CO$999,91,FALSE),"unknown")</f>
        <v>American Indian and Alaska Native</v>
      </c>
      <c r="AO322" s="120" t="str">
        <f>IFERROR(VLOOKUP(Table1[RespondentID],'All Data'!$A$3:$CO$999,92,FALSE),"unknown")</f>
        <v>Hispanic or Latino</v>
      </c>
      <c r="AP322" s="120">
        <f>IFERROR(VLOOKUP(Table1[RespondentID],'All Data'!$A$3:$CO$999,93,FALSE),"unknown")</f>
        <v>0</v>
      </c>
      <c r="AQ322" s="120">
        <f>IFERROR(VLOOKUP(Table1[RespondentID],'All Data'!$A$3:$CW$999,94,FALSE),"unknown")</f>
        <v>0</v>
      </c>
      <c r="AR322" s="120" t="str">
        <f>IFERROR(VLOOKUP(Table1[RespondentID],'All Data'!$A$3:$CW$999,95,FALSE),"unknown")</f>
        <v>College graduate</v>
      </c>
      <c r="AS322" s="120" t="str">
        <f>IFERROR(VLOOKUP(Table1[RespondentID],'All Data'!$A$3:$CW$999,96,FALSE),"unknown")</f>
        <v>Employed for wages</v>
      </c>
      <c r="AT322" s="120" t="str">
        <f>IFERROR(VLOOKUP(Table1[RespondentID],'All Data'!$A$3:$CW$999,97,FALSE),"unknown")</f>
        <v>Yes</v>
      </c>
      <c r="AU322" s="120" t="str">
        <f>IFERROR(VLOOKUP(Table1[RespondentID],'All Data'!$A$3:$CW$999,98,FALSE),"unknown")</f>
        <v>Medicaid</v>
      </c>
      <c r="AV322" s="120" t="str">
        <f>IFERROR(VLOOKUP(Table1[RespondentID],'All Data'!$A$3:$CW$999,99,FALSE),"unknown")</f>
        <v>Yes</v>
      </c>
    </row>
    <row r="323" spans="1:48">
      <c r="A323" s="5">
        <v>18014577099</v>
      </c>
      <c r="B323" s="5"/>
      <c r="C323" s="5" t="s">
        <v>39</v>
      </c>
      <c r="D323" s="5"/>
      <c r="E323" s="5" t="s">
        <v>41</v>
      </c>
      <c r="F323" s="5"/>
      <c r="G323" s="5"/>
      <c r="H323" s="5"/>
      <c r="I323" s="5" t="s">
        <v>44</v>
      </c>
      <c r="J323" s="5"/>
      <c r="K323" s="5"/>
      <c r="L323" s="5"/>
      <c r="M323" s="5"/>
      <c r="N323" s="5"/>
      <c r="O323" s="5">
        <f t="shared" si="85"/>
        <v>3</v>
      </c>
      <c r="P323" s="5">
        <f t="shared" si="86"/>
        <v>1</v>
      </c>
      <c r="Q323" s="5"/>
      <c r="R323" s="5">
        <f t="shared" si="87"/>
        <v>0</v>
      </c>
      <c r="S323" s="5">
        <f t="shared" si="88"/>
        <v>1</v>
      </c>
      <c r="T323" s="5">
        <f t="shared" si="89"/>
        <v>0</v>
      </c>
      <c r="U323" s="5">
        <f t="shared" si="90"/>
        <v>1</v>
      </c>
      <c r="V323" s="5">
        <f t="shared" si="91"/>
        <v>0</v>
      </c>
      <c r="W323" s="5">
        <f t="shared" si="92"/>
        <v>0</v>
      </c>
      <c r="X323" s="5">
        <f t="shared" si="93"/>
        <v>0</v>
      </c>
      <c r="Y323" s="5">
        <f t="shared" si="94"/>
        <v>1</v>
      </c>
      <c r="Z323" s="5">
        <f t="shared" si="95"/>
        <v>0</v>
      </c>
      <c r="AA323" s="5">
        <f t="shared" si="96"/>
        <v>0</v>
      </c>
      <c r="AB323" s="5">
        <f t="shared" si="97"/>
        <v>0</v>
      </c>
      <c r="AC323" s="5">
        <f t="shared" si="98"/>
        <v>0</v>
      </c>
      <c r="AD323" s="5"/>
      <c r="AE323" s="5"/>
      <c r="AF323" s="5">
        <f t="shared" si="99"/>
        <v>3</v>
      </c>
      <c r="AG323" s="5">
        <f t="shared" si="100"/>
        <v>3</v>
      </c>
      <c r="AH323" s="5" t="str">
        <f t="shared" si="101"/>
        <v>Correct</v>
      </c>
      <c r="AI323" s="5"/>
      <c r="AJ323" s="120" t="str">
        <f>IFERROR(VLOOKUP(Table1[RespondentID],'All Data'!$A$3:$CO$999,87,FALSE),"unknown")</f>
        <v>Woman</v>
      </c>
      <c r="AK323" s="120">
        <f>IFERROR(VLOOKUP(Table1[RespondentID],'All Data'!$A$3:$CO$999,88,FALSE),"unknown")</f>
        <v>16</v>
      </c>
      <c r="AL323" s="120" t="str">
        <f>IFERROR(VLOOKUP(Table1[RespondentID],'All Data'!$A$3:$CO$999,89,FALSE),"unknown")</f>
        <v>Suffolk</v>
      </c>
      <c r="AM323" s="120" t="str">
        <f>IFERROR(VLOOKUP(Table1[RespondentID],'All Data'!$A$3:$CO$999,90,FALSE),"unknown")</f>
        <v>Smithtown, 11787</v>
      </c>
      <c r="AN323" s="120">
        <f>IFERROR(VLOOKUP(Table1[RespondentID],'All Data'!$A$3:$CO$999,91,FALSE),"unknown")</f>
        <v>0</v>
      </c>
      <c r="AO323" s="120">
        <f>IFERROR(VLOOKUP(Table1[RespondentID],'All Data'!$A$3:$CO$999,92,FALSE),"unknown")</f>
        <v>0</v>
      </c>
      <c r="AP323" s="120">
        <f>IFERROR(VLOOKUP(Table1[RespondentID],'All Data'!$A$3:$CO$999,93,FALSE),"unknown")</f>
        <v>0</v>
      </c>
      <c r="AQ323" s="120">
        <f>IFERROR(VLOOKUP(Table1[RespondentID],'All Data'!$A$3:$CW$999,94,FALSE),"unknown")</f>
        <v>0</v>
      </c>
      <c r="AR323" s="120">
        <f>IFERROR(VLOOKUP(Table1[RespondentID],'All Data'!$A$3:$CW$999,95,FALSE),"unknown")</f>
        <v>0</v>
      </c>
      <c r="AS323" s="120">
        <f>IFERROR(VLOOKUP(Table1[RespondentID],'All Data'!$A$3:$CW$999,96,FALSE),"unknown")</f>
        <v>0</v>
      </c>
      <c r="AT323" s="120">
        <f>IFERROR(VLOOKUP(Table1[RespondentID],'All Data'!$A$3:$CW$999,97,FALSE),"unknown")</f>
        <v>0</v>
      </c>
      <c r="AU323" s="120">
        <f>IFERROR(VLOOKUP(Table1[RespondentID],'All Data'!$A$3:$CW$999,98,FALSE),"unknown")</f>
        <v>0</v>
      </c>
      <c r="AV323" s="120">
        <f>IFERROR(VLOOKUP(Table1[RespondentID],'All Data'!$A$3:$CW$999,99,FALSE),"unknown")</f>
        <v>0</v>
      </c>
    </row>
    <row r="324" spans="1:48">
      <c r="A324" s="5">
        <v>18014577029</v>
      </c>
      <c r="B324" s="5" t="s">
        <v>38</v>
      </c>
      <c r="C324" s="5" t="s">
        <v>39</v>
      </c>
      <c r="D324" s="5"/>
      <c r="E324" s="5"/>
      <c r="F324" s="5"/>
      <c r="G324" s="5"/>
      <c r="H324" s="5" t="s">
        <v>43</v>
      </c>
      <c r="I324" s="5"/>
      <c r="J324" s="5"/>
      <c r="K324" s="5"/>
      <c r="L324" s="5"/>
      <c r="M324" s="5"/>
      <c r="N324" s="5"/>
      <c r="O324" s="5">
        <f t="shared" si="85"/>
        <v>3</v>
      </c>
      <c r="P324" s="5">
        <f t="shared" si="86"/>
        <v>1</v>
      </c>
      <c r="Q324" s="5"/>
      <c r="R324" s="5">
        <f t="shared" si="87"/>
        <v>1</v>
      </c>
      <c r="S324" s="5">
        <f t="shared" si="88"/>
        <v>1</v>
      </c>
      <c r="T324" s="5">
        <f t="shared" si="89"/>
        <v>0</v>
      </c>
      <c r="U324" s="5">
        <f t="shared" si="90"/>
        <v>0</v>
      </c>
      <c r="V324" s="5">
        <f t="shared" si="91"/>
        <v>0</v>
      </c>
      <c r="W324" s="5">
        <f t="shared" si="92"/>
        <v>0</v>
      </c>
      <c r="X324" s="5">
        <f t="shared" si="93"/>
        <v>1</v>
      </c>
      <c r="Y324" s="5">
        <f t="shared" si="94"/>
        <v>0</v>
      </c>
      <c r="Z324" s="5">
        <f t="shared" si="95"/>
        <v>0</v>
      </c>
      <c r="AA324" s="5">
        <f t="shared" si="96"/>
        <v>0</v>
      </c>
      <c r="AB324" s="5">
        <f t="shared" si="97"/>
        <v>0</v>
      </c>
      <c r="AC324" s="5">
        <f t="shared" si="98"/>
        <v>0</v>
      </c>
      <c r="AD324" s="5"/>
      <c r="AE324" s="5"/>
      <c r="AF324" s="5">
        <f t="shared" si="99"/>
        <v>3</v>
      </c>
      <c r="AG324" s="5">
        <f t="shared" si="100"/>
        <v>3</v>
      </c>
      <c r="AH324" s="5" t="str">
        <f t="shared" si="101"/>
        <v>Correct</v>
      </c>
      <c r="AI324" s="5"/>
      <c r="AJ324" s="120" t="str">
        <f>IFERROR(VLOOKUP(Table1[RespondentID],'All Data'!$A$3:$CO$999,87,FALSE),"unknown")</f>
        <v>Woman</v>
      </c>
      <c r="AK324" s="120">
        <f>IFERROR(VLOOKUP(Table1[RespondentID],'All Data'!$A$3:$CO$999,88,FALSE),"unknown")</f>
        <v>0</v>
      </c>
      <c r="AL324" s="120" t="str">
        <f>IFERROR(VLOOKUP(Table1[RespondentID],'All Data'!$A$3:$CO$999,89,FALSE),"unknown")</f>
        <v>Suffolk</v>
      </c>
      <c r="AM324" s="120" t="str">
        <f>IFERROR(VLOOKUP(Table1[RespondentID],'All Data'!$A$3:$CO$999,90,FALSE),"unknown")</f>
        <v>Melville, 11747</v>
      </c>
      <c r="AN324" s="120" t="str">
        <f>IFERROR(VLOOKUP(Table1[RespondentID],'All Data'!$A$3:$CO$999,91,FALSE),"unknown")</f>
        <v>American Indian and Alaska Native</v>
      </c>
      <c r="AO324" s="120" t="str">
        <f>IFERROR(VLOOKUP(Table1[RespondentID],'All Data'!$A$3:$CO$999,92,FALSE),"unknown")</f>
        <v>Hispanic or Latino</v>
      </c>
      <c r="AP324" s="120" t="str">
        <f>IFERROR(VLOOKUP(Table1[RespondentID],'All Data'!$A$3:$CO$999,93,FALSE),"unknown")</f>
        <v>English</v>
      </c>
      <c r="AQ324" s="120" t="str">
        <f>IFERROR(VLOOKUP(Table1[RespondentID],'All Data'!$A$3:$CW$999,94,FALSE),"unknown")</f>
        <v>Over $125,000</v>
      </c>
      <c r="AR324" s="120" t="str">
        <f>IFERROR(VLOOKUP(Table1[RespondentID],'All Data'!$A$3:$CW$999,95,FALSE),"unknown")</f>
        <v>Graduate school</v>
      </c>
      <c r="AS324" s="120" t="str">
        <f>IFERROR(VLOOKUP(Table1[RespondentID],'All Data'!$A$3:$CW$999,96,FALSE),"unknown")</f>
        <v>Employed for wages</v>
      </c>
      <c r="AT324" s="120" t="str">
        <f>IFERROR(VLOOKUP(Table1[RespondentID],'All Data'!$A$3:$CW$999,97,FALSE),"unknown")</f>
        <v>Yes</v>
      </c>
      <c r="AU324" s="120" t="str">
        <f>IFERROR(VLOOKUP(Table1[RespondentID],'All Data'!$A$3:$CW$999,98,FALSE),"unknown")</f>
        <v>Private/Commercial</v>
      </c>
      <c r="AV324" s="120" t="str">
        <f>IFERROR(VLOOKUP(Table1[RespondentID],'All Data'!$A$3:$CW$999,99,FALSE),"unknown")</f>
        <v>Yes</v>
      </c>
    </row>
    <row r="325" spans="1:48">
      <c r="A325" s="5">
        <v>18014574170</v>
      </c>
      <c r="B325" s="5" t="s">
        <v>38</v>
      </c>
      <c r="C325" s="5" t="s">
        <v>39</v>
      </c>
      <c r="D325" s="5"/>
      <c r="E325" s="5"/>
      <c r="F325" s="5"/>
      <c r="G325" s="5"/>
      <c r="H325" s="5"/>
      <c r="I325" s="5"/>
      <c r="J325" s="5" t="s">
        <v>45</v>
      </c>
      <c r="K325" s="5"/>
      <c r="L325" s="5"/>
      <c r="M325" s="5"/>
      <c r="N325" s="5"/>
      <c r="O325" s="5">
        <f t="shared" si="85"/>
        <v>3</v>
      </c>
      <c r="P325" s="5">
        <f t="shared" si="86"/>
        <v>1</v>
      </c>
      <c r="Q325" s="5"/>
      <c r="R325" s="5">
        <f t="shared" si="87"/>
        <v>1</v>
      </c>
      <c r="S325" s="5">
        <f t="shared" si="88"/>
        <v>1</v>
      </c>
      <c r="T325" s="5">
        <f t="shared" si="89"/>
        <v>0</v>
      </c>
      <c r="U325" s="5">
        <f t="shared" si="90"/>
        <v>0</v>
      </c>
      <c r="V325" s="5">
        <f t="shared" si="91"/>
        <v>0</v>
      </c>
      <c r="W325" s="5">
        <f t="shared" si="92"/>
        <v>0</v>
      </c>
      <c r="X325" s="5">
        <f t="shared" si="93"/>
        <v>0</v>
      </c>
      <c r="Y325" s="5">
        <f t="shared" si="94"/>
        <v>0</v>
      </c>
      <c r="Z325" s="5">
        <f t="shared" si="95"/>
        <v>1</v>
      </c>
      <c r="AA325" s="5">
        <f t="shared" si="96"/>
        <v>0</v>
      </c>
      <c r="AB325" s="5">
        <f t="shared" si="97"/>
        <v>0</v>
      </c>
      <c r="AC325" s="5">
        <f t="shared" si="98"/>
        <v>0</v>
      </c>
      <c r="AD325" s="5"/>
      <c r="AE325" s="5"/>
      <c r="AF325" s="5">
        <f t="shared" si="99"/>
        <v>3</v>
      </c>
      <c r="AG325" s="5">
        <f t="shared" si="100"/>
        <v>3</v>
      </c>
      <c r="AH325" s="5" t="str">
        <f t="shared" si="101"/>
        <v>Correct</v>
      </c>
      <c r="AI325" s="5"/>
      <c r="AJ325" s="120" t="str">
        <f>IFERROR(VLOOKUP(Table1[RespondentID],'All Data'!$A$3:$CO$999,87,FALSE),"unknown")</f>
        <v>Woman</v>
      </c>
      <c r="AK325" s="120">
        <f>IFERROR(VLOOKUP(Table1[RespondentID],'All Data'!$A$3:$CO$999,88,FALSE),"unknown")</f>
        <v>56</v>
      </c>
      <c r="AL325" s="120" t="str">
        <f>IFERROR(VLOOKUP(Table1[RespondentID],'All Data'!$A$3:$CO$999,89,FALSE),"unknown")</f>
        <v>Suffolk</v>
      </c>
      <c r="AM325" s="120" t="str">
        <f>IFERROR(VLOOKUP(Table1[RespondentID],'All Data'!$A$3:$CO$999,90,FALSE),"unknown")</f>
        <v>Smithtown, 11787</v>
      </c>
      <c r="AN325" s="120" t="str">
        <f>IFERROR(VLOOKUP(Table1[RespondentID],'All Data'!$A$3:$CO$999,91,FALSE),"unknown")</f>
        <v>Native Hawaiian and Other Pacific Islander</v>
      </c>
      <c r="AO325" s="120" t="str">
        <f>IFERROR(VLOOKUP(Table1[RespondentID],'All Data'!$A$3:$CO$999,92,FALSE),"unknown")</f>
        <v>Hispanic or Latino</v>
      </c>
      <c r="AP325" s="120" t="str">
        <f>IFERROR(VLOOKUP(Table1[RespondentID],'All Data'!$A$3:$CO$999,93,FALSE),"unknown")</f>
        <v>English, Haitian Creole, French Creole</v>
      </c>
      <c r="AQ325" s="120" t="str">
        <f>IFERROR(VLOOKUP(Table1[RespondentID],'All Data'!$A$3:$CW$999,94,FALSE),"unknown")</f>
        <v>$50,000 to $74,999</v>
      </c>
      <c r="AR325" s="120" t="str">
        <f>IFERROR(VLOOKUP(Table1[RespondentID],'All Data'!$A$3:$CW$999,95,FALSE),"unknown")</f>
        <v>Some college</v>
      </c>
      <c r="AS325" s="120" t="str">
        <f>IFERROR(VLOOKUP(Table1[RespondentID],'All Data'!$A$3:$CW$999,96,FALSE),"unknown")</f>
        <v>Employed for wages</v>
      </c>
      <c r="AT325" s="120" t="str">
        <f>IFERROR(VLOOKUP(Table1[RespondentID],'All Data'!$A$3:$CW$999,97,FALSE),"unknown")</f>
        <v>Yes</v>
      </c>
      <c r="AU325" s="120" t="str">
        <f>IFERROR(VLOOKUP(Table1[RespondentID],'All Data'!$A$3:$CW$999,98,FALSE),"unknown")</f>
        <v>Private/Commercial</v>
      </c>
      <c r="AV325" s="120" t="str">
        <f>IFERROR(VLOOKUP(Table1[RespondentID],'All Data'!$A$3:$CW$999,99,FALSE),"unknown")</f>
        <v>No</v>
      </c>
    </row>
    <row r="326" spans="1:48">
      <c r="A326" s="5">
        <v>18014573176</v>
      </c>
      <c r="B326" s="5" t="s">
        <v>38</v>
      </c>
      <c r="C326" s="5"/>
      <c r="D326" s="5"/>
      <c r="E326" s="5"/>
      <c r="F326" s="5"/>
      <c r="G326" s="5"/>
      <c r="H326" s="5" t="s">
        <v>43</v>
      </c>
      <c r="I326" s="5"/>
      <c r="J326" s="5"/>
      <c r="K326" s="5"/>
      <c r="L326" s="5" t="s">
        <v>47</v>
      </c>
      <c r="M326" s="5"/>
      <c r="N326" s="5"/>
      <c r="O326" s="5">
        <f t="shared" si="85"/>
        <v>3</v>
      </c>
      <c r="P326" s="5">
        <f t="shared" si="86"/>
        <v>1</v>
      </c>
      <c r="Q326" s="5"/>
      <c r="R326" s="5">
        <f t="shared" si="87"/>
        <v>1</v>
      </c>
      <c r="S326" s="5">
        <f t="shared" si="88"/>
        <v>0</v>
      </c>
      <c r="T326" s="5">
        <f t="shared" si="89"/>
        <v>0</v>
      </c>
      <c r="U326" s="5">
        <f t="shared" si="90"/>
        <v>0</v>
      </c>
      <c r="V326" s="5">
        <f t="shared" si="91"/>
        <v>0</v>
      </c>
      <c r="W326" s="5">
        <f t="shared" si="92"/>
        <v>0</v>
      </c>
      <c r="X326" s="5">
        <f t="shared" si="93"/>
        <v>1</v>
      </c>
      <c r="Y326" s="5">
        <f t="shared" si="94"/>
        <v>0</v>
      </c>
      <c r="Z326" s="5">
        <f t="shared" si="95"/>
        <v>0</v>
      </c>
      <c r="AA326" s="5">
        <f t="shared" si="96"/>
        <v>0</v>
      </c>
      <c r="AB326" s="5">
        <f t="shared" si="97"/>
        <v>1</v>
      </c>
      <c r="AC326" s="5">
        <f t="shared" si="98"/>
        <v>0</v>
      </c>
      <c r="AD326" s="5"/>
      <c r="AE326" s="5"/>
      <c r="AF326" s="5">
        <f t="shared" si="99"/>
        <v>3</v>
      </c>
      <c r="AG326" s="5">
        <f t="shared" si="100"/>
        <v>3</v>
      </c>
      <c r="AH326" s="5" t="str">
        <f t="shared" si="101"/>
        <v>Correct</v>
      </c>
      <c r="AI326" s="5"/>
      <c r="AJ326" s="120" t="str">
        <f>IFERROR(VLOOKUP(Table1[RespondentID],'All Data'!$A$3:$CO$999,87,FALSE),"unknown")</f>
        <v>Woman</v>
      </c>
      <c r="AK326" s="120">
        <f>IFERROR(VLOOKUP(Table1[RespondentID],'All Data'!$A$3:$CO$999,88,FALSE),"unknown")</f>
        <v>49</v>
      </c>
      <c r="AL326" s="120" t="str">
        <f>IFERROR(VLOOKUP(Table1[RespondentID],'All Data'!$A$3:$CO$999,89,FALSE),"unknown")</f>
        <v>Suffolk</v>
      </c>
      <c r="AM326" s="120" t="str">
        <f>IFERROR(VLOOKUP(Table1[RespondentID],'All Data'!$A$3:$CO$999,90,FALSE),"unknown")</f>
        <v>Setauket, 11733</v>
      </c>
      <c r="AN326" s="120" t="str">
        <f>IFERROR(VLOOKUP(Table1[RespondentID],'All Data'!$A$3:$CO$999,91,FALSE),"unknown")</f>
        <v>White</v>
      </c>
      <c r="AO326" s="120" t="str">
        <f>IFERROR(VLOOKUP(Table1[RespondentID],'All Data'!$A$3:$CO$999,92,FALSE),"unknown")</f>
        <v>Hispanic or Latino</v>
      </c>
      <c r="AP326" s="120" t="str">
        <f>IFERROR(VLOOKUP(Table1[RespondentID],'All Data'!$A$3:$CO$999,93,FALSE),"unknown")</f>
        <v>English</v>
      </c>
      <c r="AQ326" s="120" t="str">
        <f>IFERROR(VLOOKUP(Table1[RespondentID],'All Data'!$A$3:$CW$999,94,FALSE),"unknown")</f>
        <v>Over $125,000</v>
      </c>
      <c r="AR326" s="120" t="str">
        <f>IFERROR(VLOOKUP(Table1[RespondentID],'All Data'!$A$3:$CW$999,95,FALSE),"unknown")</f>
        <v>Graduate school</v>
      </c>
      <c r="AS326" s="120" t="str">
        <f>IFERROR(VLOOKUP(Table1[RespondentID],'All Data'!$A$3:$CW$999,96,FALSE),"unknown")</f>
        <v>Employed for wages</v>
      </c>
      <c r="AT326" s="120" t="str">
        <f>IFERROR(VLOOKUP(Table1[RespondentID],'All Data'!$A$3:$CW$999,97,FALSE),"unknown")</f>
        <v>Yes</v>
      </c>
      <c r="AU326" s="120" t="str">
        <f>IFERROR(VLOOKUP(Table1[RespondentID],'All Data'!$A$3:$CW$999,98,FALSE),"unknown")</f>
        <v>Private/Commercial</v>
      </c>
      <c r="AV326" s="120" t="str">
        <f>IFERROR(VLOOKUP(Table1[RespondentID],'All Data'!$A$3:$CW$999,99,FALSE),"unknown")</f>
        <v>Yes</v>
      </c>
    </row>
    <row r="327" spans="1:48">
      <c r="A327" s="5">
        <v>18014553236</v>
      </c>
      <c r="B327" s="5" t="s">
        <v>38</v>
      </c>
      <c r="C327" s="5"/>
      <c r="D327" s="5"/>
      <c r="E327" s="5"/>
      <c r="F327" s="5"/>
      <c r="G327" s="5"/>
      <c r="H327" s="5"/>
      <c r="I327" s="5" t="s">
        <v>44</v>
      </c>
      <c r="J327" s="5"/>
      <c r="K327" s="5" t="s">
        <v>46</v>
      </c>
      <c r="L327" s="5"/>
      <c r="M327" s="5"/>
      <c r="N327" s="5"/>
      <c r="O327" s="5">
        <f t="shared" si="85"/>
        <v>3</v>
      </c>
      <c r="P327" s="5">
        <f t="shared" si="86"/>
        <v>1</v>
      </c>
      <c r="Q327" s="5"/>
      <c r="R327" s="5">
        <f t="shared" si="87"/>
        <v>1</v>
      </c>
      <c r="S327" s="5">
        <f t="shared" si="88"/>
        <v>0</v>
      </c>
      <c r="T327" s="5">
        <f t="shared" si="89"/>
        <v>0</v>
      </c>
      <c r="U327" s="5">
        <f t="shared" si="90"/>
        <v>0</v>
      </c>
      <c r="V327" s="5">
        <f t="shared" si="91"/>
        <v>0</v>
      </c>
      <c r="W327" s="5">
        <f t="shared" si="92"/>
        <v>0</v>
      </c>
      <c r="X327" s="5">
        <f t="shared" si="93"/>
        <v>0</v>
      </c>
      <c r="Y327" s="5">
        <f t="shared" si="94"/>
        <v>1</v>
      </c>
      <c r="Z327" s="5">
        <f t="shared" si="95"/>
        <v>0</v>
      </c>
      <c r="AA327" s="5">
        <f t="shared" si="96"/>
        <v>1</v>
      </c>
      <c r="AB327" s="5">
        <f t="shared" si="97"/>
        <v>0</v>
      </c>
      <c r="AC327" s="5">
        <f t="shared" si="98"/>
        <v>0</v>
      </c>
      <c r="AD327" s="5"/>
      <c r="AE327" s="5"/>
      <c r="AF327" s="5">
        <f t="shared" si="99"/>
        <v>3</v>
      </c>
      <c r="AG327" s="5">
        <f t="shared" si="100"/>
        <v>3</v>
      </c>
      <c r="AH327" s="5" t="str">
        <f t="shared" si="101"/>
        <v>Correct</v>
      </c>
      <c r="AI327" s="5"/>
      <c r="AJ327" s="120" t="str">
        <f>IFERROR(VLOOKUP(Table1[RespondentID],'All Data'!$A$3:$CO$999,87,FALSE),"unknown")</f>
        <v>Man</v>
      </c>
      <c r="AK327" s="120">
        <f>IFERROR(VLOOKUP(Table1[RespondentID],'All Data'!$A$3:$CO$999,88,FALSE),"unknown")</f>
        <v>18</v>
      </c>
      <c r="AL327" s="120" t="str">
        <f>IFERROR(VLOOKUP(Table1[RespondentID],'All Data'!$A$3:$CO$999,89,FALSE),"unknown")</f>
        <v>Suffolk</v>
      </c>
      <c r="AM327" s="120" t="str">
        <f>IFERROR(VLOOKUP(Table1[RespondentID],'All Data'!$A$3:$CO$999,90,FALSE),"unknown")</f>
        <v>Smithtown, 11787</v>
      </c>
      <c r="AN327" s="120" t="str">
        <f>IFERROR(VLOOKUP(Table1[RespondentID],'All Data'!$A$3:$CO$999,91,FALSE),"unknown")</f>
        <v>White</v>
      </c>
      <c r="AO327" s="120" t="str">
        <f>IFERROR(VLOOKUP(Table1[RespondentID],'All Data'!$A$3:$CO$999,92,FALSE),"unknown")</f>
        <v>Not Hispanic or Latino</v>
      </c>
      <c r="AP327" s="120" t="str">
        <f>IFERROR(VLOOKUP(Table1[RespondentID],'All Data'!$A$3:$CO$999,93,FALSE),"unknown")</f>
        <v>English, Spanish</v>
      </c>
      <c r="AQ327" s="120" t="str">
        <f>IFERROR(VLOOKUP(Table1[RespondentID],'All Data'!$A$3:$CW$999,94,FALSE),"unknown")</f>
        <v>$50,000 to $74,999</v>
      </c>
      <c r="AR327" s="120" t="str">
        <f>IFERROR(VLOOKUP(Table1[RespondentID],'All Data'!$A$3:$CW$999,95,FALSE),"unknown")</f>
        <v>High school graduate</v>
      </c>
      <c r="AS327" s="120" t="str">
        <f>IFERROR(VLOOKUP(Table1[RespondentID],'All Data'!$A$3:$CW$999,96,FALSE),"unknown")</f>
        <v>Student</v>
      </c>
      <c r="AT327" s="120" t="str">
        <f>IFERROR(VLOOKUP(Table1[RespondentID],'All Data'!$A$3:$CW$999,97,FALSE),"unknown")</f>
        <v>Yes</v>
      </c>
      <c r="AU327" s="120" t="str">
        <f>IFERROR(VLOOKUP(Table1[RespondentID],'All Data'!$A$3:$CW$999,98,FALSE),"unknown")</f>
        <v>Medicaid</v>
      </c>
      <c r="AV327" s="120" t="str">
        <f>IFERROR(VLOOKUP(Table1[RespondentID],'All Data'!$A$3:$CW$999,99,FALSE),"unknown")</f>
        <v>Yes</v>
      </c>
    </row>
    <row r="328" spans="1:48">
      <c r="A328" s="5">
        <v>18014545263</v>
      </c>
      <c r="B328" s="5" t="s">
        <v>38</v>
      </c>
      <c r="C328" s="5"/>
      <c r="D328" s="5"/>
      <c r="E328" s="5" t="s">
        <v>41</v>
      </c>
      <c r="F328" s="5"/>
      <c r="G328" s="5"/>
      <c r="H328" s="5"/>
      <c r="I328" s="5"/>
      <c r="J328" s="5" t="s">
        <v>45</v>
      </c>
      <c r="K328" s="5"/>
      <c r="L328" s="5" t="s">
        <v>47</v>
      </c>
      <c r="M328" s="5"/>
      <c r="N328" s="5"/>
      <c r="O328" s="5">
        <f t="shared" si="85"/>
        <v>4</v>
      </c>
      <c r="P328" s="5">
        <f t="shared" si="86"/>
        <v>0.75</v>
      </c>
      <c r="Q328" s="5"/>
      <c r="R328" s="5">
        <f t="shared" si="87"/>
        <v>0.75</v>
      </c>
      <c r="S328" s="5">
        <f t="shared" si="88"/>
        <v>0</v>
      </c>
      <c r="T328" s="5">
        <f t="shared" si="89"/>
        <v>0</v>
      </c>
      <c r="U328" s="5">
        <f t="shared" si="90"/>
        <v>0.75</v>
      </c>
      <c r="V328" s="5">
        <f t="shared" si="91"/>
        <v>0</v>
      </c>
      <c r="W328" s="5">
        <f t="shared" si="92"/>
        <v>0</v>
      </c>
      <c r="X328" s="5">
        <f t="shared" si="93"/>
        <v>0</v>
      </c>
      <c r="Y328" s="5">
        <f t="shared" si="94"/>
        <v>0</v>
      </c>
      <c r="Z328" s="5">
        <f t="shared" si="95"/>
        <v>0.75</v>
      </c>
      <c r="AA328" s="5">
        <f t="shared" si="96"/>
        <v>0</v>
      </c>
      <c r="AB328" s="5">
        <f t="shared" si="97"/>
        <v>0.75</v>
      </c>
      <c r="AC328" s="5">
        <f t="shared" si="98"/>
        <v>0</v>
      </c>
      <c r="AD328" s="5"/>
      <c r="AE328" s="5"/>
      <c r="AF328" s="5">
        <f t="shared" si="99"/>
        <v>3</v>
      </c>
      <c r="AG328" s="5">
        <f t="shared" si="100"/>
        <v>4</v>
      </c>
      <c r="AH328" s="5" t="str">
        <f t="shared" si="101"/>
        <v>Correct</v>
      </c>
      <c r="AI328" s="5"/>
      <c r="AJ328" s="120" t="str">
        <f>IFERROR(VLOOKUP(Table1[RespondentID],'All Data'!$A$3:$CO$999,87,FALSE),"unknown")</f>
        <v>Man</v>
      </c>
      <c r="AK328" s="120">
        <f>IFERROR(VLOOKUP(Table1[RespondentID],'All Data'!$A$3:$CO$999,88,FALSE),"unknown")</f>
        <v>18</v>
      </c>
      <c r="AL328" s="120" t="str">
        <f>IFERROR(VLOOKUP(Table1[RespondentID],'All Data'!$A$3:$CO$999,89,FALSE),"unknown")</f>
        <v>Suffolk</v>
      </c>
      <c r="AM328" s="120" t="str">
        <f>IFERROR(VLOOKUP(Table1[RespondentID],'All Data'!$A$3:$CO$999,90,FALSE),"unknown")</f>
        <v>Smithtown, 11787</v>
      </c>
      <c r="AN328" s="120" t="str">
        <f>IFERROR(VLOOKUP(Table1[RespondentID],'All Data'!$A$3:$CO$999,91,FALSE),"unknown")</f>
        <v>Native Hawaiian and Other Pacific Islander</v>
      </c>
      <c r="AO328" s="120" t="str">
        <f>IFERROR(VLOOKUP(Table1[RespondentID],'All Data'!$A$3:$CO$999,92,FALSE),"unknown")</f>
        <v>Hispanic or Latino</v>
      </c>
      <c r="AP328" s="120" t="str">
        <f>IFERROR(VLOOKUP(Table1[RespondentID],'All Data'!$A$3:$CO$999,93,FALSE),"unknown")</f>
        <v>English</v>
      </c>
      <c r="AQ328" s="120" t="str">
        <f>IFERROR(VLOOKUP(Table1[RespondentID],'All Data'!$A$3:$CW$999,94,FALSE),"unknown")</f>
        <v>$35,000 to $49,999</v>
      </c>
      <c r="AR328" s="120" t="str">
        <f>IFERROR(VLOOKUP(Table1[RespondentID],'All Data'!$A$3:$CW$999,95,FALSE),"unknown")</f>
        <v>High school graduate</v>
      </c>
      <c r="AS328" s="120" t="str">
        <f>IFERROR(VLOOKUP(Table1[RespondentID],'All Data'!$A$3:$CW$999,96,FALSE),"unknown")</f>
        <v>Student</v>
      </c>
      <c r="AT328" s="120" t="str">
        <f>IFERROR(VLOOKUP(Table1[RespondentID],'All Data'!$A$3:$CW$999,97,FALSE),"unknown")</f>
        <v>No</v>
      </c>
      <c r="AU328" s="120" t="str">
        <f>IFERROR(VLOOKUP(Table1[RespondentID],'All Data'!$A$3:$CW$999,98,FALSE),"unknown")</f>
        <v>No Insurance</v>
      </c>
      <c r="AV328" s="120" t="str">
        <f>IFERROR(VLOOKUP(Table1[RespondentID],'All Data'!$A$3:$CW$999,99,FALSE),"unknown")</f>
        <v>Yes</v>
      </c>
    </row>
    <row r="329" spans="1:48">
      <c r="A329" s="5">
        <v>18014444882</v>
      </c>
      <c r="B329" s="5"/>
      <c r="C329" s="5"/>
      <c r="D329" s="5"/>
      <c r="E329" s="5"/>
      <c r="F329" s="5"/>
      <c r="G329" s="5"/>
      <c r="H329" s="5" t="s">
        <v>43</v>
      </c>
      <c r="I329" s="5"/>
      <c r="J329" s="5"/>
      <c r="K329" s="5"/>
      <c r="L329" s="5" t="s">
        <v>47</v>
      </c>
      <c r="M329" s="5"/>
      <c r="N329" s="5"/>
      <c r="O329" s="5">
        <f t="shared" si="85"/>
        <v>2</v>
      </c>
      <c r="P329" s="5">
        <f t="shared" si="86"/>
        <v>1.5</v>
      </c>
      <c r="Q329" s="5"/>
      <c r="R329" s="5">
        <f t="shared" si="87"/>
        <v>0</v>
      </c>
      <c r="S329" s="5">
        <f t="shared" si="88"/>
        <v>0</v>
      </c>
      <c r="T329" s="5">
        <f t="shared" si="89"/>
        <v>0</v>
      </c>
      <c r="U329" s="5">
        <f t="shared" si="90"/>
        <v>0</v>
      </c>
      <c r="V329" s="5">
        <f t="shared" si="91"/>
        <v>0</v>
      </c>
      <c r="W329" s="5">
        <f t="shared" si="92"/>
        <v>0</v>
      </c>
      <c r="X329" s="5">
        <f t="shared" si="93"/>
        <v>1</v>
      </c>
      <c r="Y329" s="5">
        <f t="shared" si="94"/>
        <v>0</v>
      </c>
      <c r="Z329" s="5">
        <f t="shared" si="95"/>
        <v>0</v>
      </c>
      <c r="AA329" s="5">
        <f t="shared" si="96"/>
        <v>0</v>
      </c>
      <c r="AB329" s="5">
        <f t="shared" si="97"/>
        <v>1</v>
      </c>
      <c r="AC329" s="5">
        <f t="shared" si="98"/>
        <v>0</v>
      </c>
      <c r="AD329" s="5"/>
      <c r="AE329" s="5"/>
      <c r="AF329" s="5">
        <f t="shared" si="99"/>
        <v>2</v>
      </c>
      <c r="AG329" s="5">
        <f t="shared" si="100"/>
        <v>2</v>
      </c>
      <c r="AH329" s="5" t="str">
        <f t="shared" si="101"/>
        <v>Correct</v>
      </c>
      <c r="AI329" s="5"/>
      <c r="AJ329" s="120" t="str">
        <f>IFERROR(VLOOKUP(Table1[RespondentID],'All Data'!$A$3:$CO$999,87,FALSE),"unknown")</f>
        <v>Woman</v>
      </c>
      <c r="AK329" s="120">
        <f>IFERROR(VLOOKUP(Table1[RespondentID],'All Data'!$A$3:$CO$999,88,FALSE),"unknown")</f>
        <v>54</v>
      </c>
      <c r="AL329" s="120" t="str">
        <f>IFERROR(VLOOKUP(Table1[RespondentID],'All Data'!$A$3:$CO$999,89,FALSE),"unknown")</f>
        <v>Nassau</v>
      </c>
      <c r="AM329" s="120" t="str">
        <f>IFERROR(VLOOKUP(Table1[RespondentID],'All Data'!$A$3:$CO$999,90,FALSE),"unknown")</f>
        <v>Syosset, 11791</v>
      </c>
      <c r="AN329" s="120" t="str">
        <f>IFERROR(VLOOKUP(Table1[RespondentID],'All Data'!$A$3:$CO$999,91,FALSE),"unknown")</f>
        <v>American Indian and Alaska Native</v>
      </c>
      <c r="AO329" s="120" t="str">
        <f>IFERROR(VLOOKUP(Table1[RespondentID],'All Data'!$A$3:$CO$999,92,FALSE),"unknown")</f>
        <v>Hispanic or Latino</v>
      </c>
      <c r="AP329" s="120" t="str">
        <f>IFERROR(VLOOKUP(Table1[RespondentID],'All Data'!$A$3:$CO$999,93,FALSE),"unknown")</f>
        <v>English, Korean</v>
      </c>
      <c r="AQ329" s="120" t="str">
        <f>IFERROR(VLOOKUP(Table1[RespondentID],'All Data'!$A$3:$CW$999,94,FALSE),"unknown")</f>
        <v>$20,000 to $34,999</v>
      </c>
      <c r="AR329" s="120" t="str">
        <f>IFERROR(VLOOKUP(Table1[RespondentID],'All Data'!$A$3:$CW$999,95,FALSE),"unknown")</f>
        <v>Doctorate</v>
      </c>
      <c r="AS329" s="120" t="str">
        <f>IFERROR(VLOOKUP(Table1[RespondentID],'All Data'!$A$3:$CW$999,96,FALSE),"unknown")</f>
        <v>Out of work and looking for work</v>
      </c>
      <c r="AT329" s="120" t="str">
        <f>IFERROR(VLOOKUP(Table1[RespondentID],'All Data'!$A$3:$CW$999,97,FALSE),"unknown")</f>
        <v>Yes</v>
      </c>
      <c r="AU329" s="120" t="str">
        <f>IFERROR(VLOOKUP(Table1[RespondentID],'All Data'!$A$3:$CW$999,98,FALSE),"unknown")</f>
        <v>Medicaid</v>
      </c>
      <c r="AV329" s="120" t="str">
        <f>IFERROR(VLOOKUP(Table1[RespondentID],'All Data'!$A$3:$CW$999,99,FALSE),"unknown")</f>
        <v>Yes</v>
      </c>
    </row>
    <row r="330" spans="1:48">
      <c r="A330" s="5">
        <v>18014407639</v>
      </c>
      <c r="B330" s="5"/>
      <c r="C330" s="5"/>
      <c r="D330" s="5"/>
      <c r="E330" s="5"/>
      <c r="F330" s="5"/>
      <c r="G330" s="5"/>
      <c r="H330" s="5" t="s">
        <v>43</v>
      </c>
      <c r="I330" s="5"/>
      <c r="J330" s="5" t="s">
        <v>45</v>
      </c>
      <c r="K330" s="5"/>
      <c r="L330" s="5" t="s">
        <v>47</v>
      </c>
      <c r="M330" s="5"/>
      <c r="N330" s="5"/>
      <c r="O330" s="5">
        <f t="shared" si="85"/>
        <v>3</v>
      </c>
      <c r="P330" s="5">
        <f t="shared" si="86"/>
        <v>1</v>
      </c>
      <c r="Q330" s="5"/>
      <c r="R330" s="5">
        <f t="shared" si="87"/>
        <v>0</v>
      </c>
      <c r="S330" s="5">
        <f t="shared" si="88"/>
        <v>0</v>
      </c>
      <c r="T330" s="5">
        <f t="shared" si="89"/>
        <v>0</v>
      </c>
      <c r="U330" s="5">
        <f t="shared" si="90"/>
        <v>0</v>
      </c>
      <c r="V330" s="5">
        <f t="shared" si="91"/>
        <v>0</v>
      </c>
      <c r="W330" s="5">
        <f t="shared" si="92"/>
        <v>0</v>
      </c>
      <c r="X330" s="5">
        <f t="shared" si="93"/>
        <v>1</v>
      </c>
      <c r="Y330" s="5">
        <f t="shared" si="94"/>
        <v>0</v>
      </c>
      <c r="Z330" s="5">
        <f t="shared" si="95"/>
        <v>1</v>
      </c>
      <c r="AA330" s="5">
        <f t="shared" si="96"/>
        <v>0</v>
      </c>
      <c r="AB330" s="5">
        <f t="shared" si="97"/>
        <v>1</v>
      </c>
      <c r="AC330" s="5">
        <f t="shared" si="98"/>
        <v>0</v>
      </c>
      <c r="AD330" s="5"/>
      <c r="AE330" s="5"/>
      <c r="AF330" s="5">
        <f t="shared" si="99"/>
        <v>3</v>
      </c>
      <c r="AG330" s="5">
        <f t="shared" si="100"/>
        <v>3</v>
      </c>
      <c r="AH330" s="5" t="str">
        <f t="shared" si="101"/>
        <v>Correct</v>
      </c>
      <c r="AI330" s="5"/>
      <c r="AJ330" s="120" t="str">
        <f>IFERROR(VLOOKUP(Table1[RespondentID],'All Data'!$A$3:$CO$999,87,FALSE),"unknown")</f>
        <v>Man</v>
      </c>
      <c r="AK330" s="120">
        <f>IFERROR(VLOOKUP(Table1[RespondentID],'All Data'!$A$3:$CO$999,88,FALSE),"unknown")</f>
        <v>49</v>
      </c>
      <c r="AL330" s="120" t="str">
        <f>IFERROR(VLOOKUP(Table1[RespondentID],'All Data'!$A$3:$CO$999,89,FALSE),"unknown")</f>
        <v>Queens</v>
      </c>
      <c r="AM330" s="120">
        <f>IFERROR(VLOOKUP(Table1[RespondentID],'All Data'!$A$3:$CO$999,90,FALSE),"unknown")</f>
        <v>11003</v>
      </c>
      <c r="AN330" s="120" t="str">
        <f>IFERROR(VLOOKUP(Table1[RespondentID],'All Data'!$A$3:$CO$999,91,FALSE),"unknown")</f>
        <v>Native Hawaiian and Other Pacific Islander</v>
      </c>
      <c r="AO330" s="120" t="str">
        <f>IFERROR(VLOOKUP(Table1[RespondentID],'All Data'!$A$3:$CO$999,92,FALSE),"unknown")</f>
        <v>Hispanic or Latino</v>
      </c>
      <c r="AP330" s="120" t="str">
        <f>IFERROR(VLOOKUP(Table1[RespondentID],'All Data'!$A$3:$CO$999,93,FALSE),"unknown")</f>
        <v>Haitian Creole, French Creole</v>
      </c>
      <c r="AQ330" s="120" t="str">
        <f>IFERROR(VLOOKUP(Table1[RespondentID],'All Data'!$A$3:$CW$999,94,FALSE),"unknown")</f>
        <v>$20,000 to $34,999</v>
      </c>
      <c r="AR330" s="120" t="str">
        <f>IFERROR(VLOOKUP(Table1[RespondentID],'All Data'!$A$3:$CW$999,95,FALSE),"unknown")</f>
        <v>Graduate school</v>
      </c>
      <c r="AS330" s="120" t="str">
        <f>IFERROR(VLOOKUP(Table1[RespondentID],'All Data'!$A$3:$CW$999,96,FALSE),"unknown")</f>
        <v>Employed for wages</v>
      </c>
      <c r="AT330" s="120" t="str">
        <f>IFERROR(VLOOKUP(Table1[RespondentID],'All Data'!$A$3:$CW$999,97,FALSE),"unknown")</f>
        <v>Yes</v>
      </c>
      <c r="AU330" s="120" t="str">
        <f>IFERROR(VLOOKUP(Table1[RespondentID],'All Data'!$A$3:$CW$999,98,FALSE),"unknown")</f>
        <v>Medicaid</v>
      </c>
      <c r="AV330" s="120" t="str">
        <f>IFERROR(VLOOKUP(Table1[RespondentID],'All Data'!$A$3:$CW$999,99,FALSE),"unknown")</f>
        <v>Yes</v>
      </c>
    </row>
    <row r="331" spans="1:48">
      <c r="A331" s="5">
        <v>18014391810</v>
      </c>
      <c r="B331" s="5"/>
      <c r="C331" s="5" t="s">
        <v>39</v>
      </c>
      <c r="D331" s="5" t="s">
        <v>40</v>
      </c>
      <c r="E331" s="5"/>
      <c r="F331" s="5" t="s">
        <v>42</v>
      </c>
      <c r="G331" s="5"/>
      <c r="H331" s="5"/>
      <c r="I331" s="5"/>
      <c r="J331" s="5" t="s">
        <v>45</v>
      </c>
      <c r="K331" s="5" t="s">
        <v>46</v>
      </c>
      <c r="L331" s="5"/>
      <c r="M331" s="5"/>
      <c r="N331" s="5"/>
      <c r="O331" s="5">
        <f t="shared" si="85"/>
        <v>5</v>
      </c>
      <c r="P331" s="5">
        <f t="shared" si="86"/>
        <v>0.6</v>
      </c>
      <c r="Q331" s="5"/>
      <c r="R331" s="5">
        <f t="shared" si="87"/>
        <v>0</v>
      </c>
      <c r="S331" s="5">
        <f t="shared" si="88"/>
        <v>0.6</v>
      </c>
      <c r="T331" s="5">
        <f t="shared" si="89"/>
        <v>0.6</v>
      </c>
      <c r="U331" s="5">
        <f t="shared" si="90"/>
        <v>0</v>
      </c>
      <c r="V331" s="5">
        <f t="shared" si="91"/>
        <v>0.6</v>
      </c>
      <c r="W331" s="5">
        <f t="shared" si="92"/>
        <v>0</v>
      </c>
      <c r="X331" s="5">
        <f t="shared" si="93"/>
        <v>0</v>
      </c>
      <c r="Y331" s="5">
        <f t="shared" si="94"/>
        <v>0</v>
      </c>
      <c r="Z331" s="5">
        <f t="shared" si="95"/>
        <v>0.6</v>
      </c>
      <c r="AA331" s="5">
        <f t="shared" si="96"/>
        <v>0.6</v>
      </c>
      <c r="AB331" s="5">
        <f t="shared" si="97"/>
        <v>0</v>
      </c>
      <c r="AC331" s="5">
        <f t="shared" si="98"/>
        <v>0</v>
      </c>
      <c r="AD331" s="5"/>
      <c r="AE331" s="5"/>
      <c r="AF331" s="5">
        <f t="shared" si="99"/>
        <v>3</v>
      </c>
      <c r="AG331" s="5">
        <f t="shared" si="100"/>
        <v>5</v>
      </c>
      <c r="AH331" s="5" t="str">
        <f t="shared" si="101"/>
        <v>Correct</v>
      </c>
      <c r="AI331" s="5"/>
      <c r="AJ331" s="120" t="str">
        <f>IFERROR(VLOOKUP(Table1[RespondentID],'All Data'!$A$3:$CO$999,87,FALSE),"unknown")</f>
        <v>Man</v>
      </c>
      <c r="AK331" s="120">
        <f>IFERROR(VLOOKUP(Table1[RespondentID],'All Data'!$A$3:$CO$999,88,FALSE),"unknown")</f>
        <v>50</v>
      </c>
      <c r="AL331" s="120" t="str">
        <f>IFERROR(VLOOKUP(Table1[RespondentID],'All Data'!$A$3:$CO$999,89,FALSE),"unknown")</f>
        <v>Suffolk</v>
      </c>
      <c r="AM331" s="120" t="str">
        <f>IFERROR(VLOOKUP(Table1[RespondentID],'All Data'!$A$3:$CO$999,90,FALSE),"unknown")</f>
        <v>Smithtown, 11787</v>
      </c>
      <c r="AN331" s="120" t="str">
        <f>IFERROR(VLOOKUP(Table1[RespondentID],'All Data'!$A$3:$CO$999,91,FALSE),"unknown")</f>
        <v>Native Hawaiian and Other Pacific Islander</v>
      </c>
      <c r="AO331" s="120" t="str">
        <f>IFERROR(VLOOKUP(Table1[RespondentID],'All Data'!$A$3:$CO$999,92,FALSE),"unknown")</f>
        <v>Hispanic or Latino</v>
      </c>
      <c r="AP331" s="120" t="str">
        <f>IFERROR(VLOOKUP(Table1[RespondentID],'All Data'!$A$3:$CO$999,93,FALSE),"unknown")</f>
        <v>English, Haitian Creole, French Creole</v>
      </c>
      <c r="AQ331" s="120" t="str">
        <f>IFERROR(VLOOKUP(Table1[RespondentID],'All Data'!$A$3:$CW$999,94,FALSE),"unknown")</f>
        <v>Over $125,000</v>
      </c>
      <c r="AR331" s="120" t="str">
        <f>IFERROR(VLOOKUP(Table1[RespondentID],'All Data'!$A$3:$CW$999,95,FALSE),"unknown")</f>
        <v>Other (please specify)</v>
      </c>
      <c r="AS331" s="120" t="str">
        <f>IFERROR(VLOOKUP(Table1[RespondentID],'All Data'!$A$3:$CW$999,96,FALSE),"unknown")</f>
        <v>Employed for wages</v>
      </c>
      <c r="AT331" s="120" t="str">
        <f>IFERROR(VLOOKUP(Table1[RespondentID],'All Data'!$A$3:$CW$999,97,FALSE),"unknown")</f>
        <v>Yes</v>
      </c>
      <c r="AU331" s="120" t="str">
        <f>IFERROR(VLOOKUP(Table1[RespondentID],'All Data'!$A$3:$CW$999,98,FALSE),"unknown")</f>
        <v>Private/Commercial</v>
      </c>
      <c r="AV331" s="120" t="str">
        <f>IFERROR(VLOOKUP(Table1[RespondentID],'All Data'!$A$3:$CW$999,99,FALSE),"unknown")</f>
        <v>Yes</v>
      </c>
    </row>
    <row r="332" spans="1:48">
      <c r="A332" s="5">
        <v>18014391895</v>
      </c>
      <c r="B332" s="5" t="s">
        <v>38</v>
      </c>
      <c r="C332" s="5" t="s">
        <v>39</v>
      </c>
      <c r="D332" s="5" t="s">
        <v>40</v>
      </c>
      <c r="E332" s="5" t="s">
        <v>41</v>
      </c>
      <c r="F332" s="5" t="s">
        <v>42</v>
      </c>
      <c r="G332" s="5" t="s">
        <v>37</v>
      </c>
      <c r="H332" s="5" t="s">
        <v>43</v>
      </c>
      <c r="I332" s="5" t="s">
        <v>44</v>
      </c>
      <c r="J332" s="5"/>
      <c r="K332" s="5" t="s">
        <v>46</v>
      </c>
      <c r="L332" s="5" t="s">
        <v>47</v>
      </c>
      <c r="M332" s="5" t="s">
        <v>48</v>
      </c>
      <c r="N332" s="5"/>
      <c r="O332" s="5">
        <f t="shared" si="85"/>
        <v>11</v>
      </c>
      <c r="P332" s="5">
        <f t="shared" si="86"/>
        <v>0.27272727272727271</v>
      </c>
      <c r="Q332" s="5"/>
      <c r="R332" s="5">
        <f t="shared" si="87"/>
        <v>0.27272727272727271</v>
      </c>
      <c r="S332" s="5">
        <f t="shared" si="88"/>
        <v>0.27272727272727271</v>
      </c>
      <c r="T332" s="5">
        <f t="shared" si="89"/>
        <v>0.27272727272727271</v>
      </c>
      <c r="U332" s="5">
        <f t="shared" si="90"/>
        <v>0.27272727272727271</v>
      </c>
      <c r="V332" s="5">
        <f t="shared" si="91"/>
        <v>0.27272727272727271</v>
      </c>
      <c r="W332" s="5">
        <f t="shared" si="92"/>
        <v>0.27272727272727271</v>
      </c>
      <c r="X332" s="5">
        <f t="shared" si="93"/>
        <v>0.27272727272727271</v>
      </c>
      <c r="Y332" s="5">
        <f t="shared" si="94"/>
        <v>0.27272727272727271</v>
      </c>
      <c r="Z332" s="5">
        <f t="shared" si="95"/>
        <v>0</v>
      </c>
      <c r="AA332" s="5">
        <f t="shared" si="96"/>
        <v>0.27272727272727271</v>
      </c>
      <c r="AB332" s="5">
        <f t="shared" si="97"/>
        <v>0.27272727272727271</v>
      </c>
      <c r="AC332" s="5">
        <f t="shared" si="98"/>
        <v>0.27272727272727271</v>
      </c>
      <c r="AD332" s="5"/>
      <c r="AE332" s="5"/>
      <c r="AF332" s="5">
        <f t="shared" si="99"/>
        <v>2.9999999999999991</v>
      </c>
      <c r="AG332" s="5">
        <f t="shared" si="100"/>
        <v>11</v>
      </c>
      <c r="AH332" s="5" t="str">
        <f t="shared" si="101"/>
        <v>Correct</v>
      </c>
      <c r="AI332" s="5"/>
      <c r="AJ332" s="120" t="str">
        <f>IFERROR(VLOOKUP(Table1[RespondentID],'All Data'!$A$3:$CO$999,87,FALSE),"unknown")</f>
        <v>Man</v>
      </c>
      <c r="AK332" s="120">
        <f>IFERROR(VLOOKUP(Table1[RespondentID],'All Data'!$A$3:$CO$999,88,FALSE),"unknown")</f>
        <v>65</v>
      </c>
      <c r="AL332" s="120" t="str">
        <f>IFERROR(VLOOKUP(Table1[RespondentID],'All Data'!$A$3:$CO$999,89,FALSE),"unknown")</f>
        <v>Queens</v>
      </c>
      <c r="AM332" s="120">
        <f>IFERROR(VLOOKUP(Table1[RespondentID],'All Data'!$A$3:$CO$999,90,FALSE),"unknown")</f>
        <v>11692</v>
      </c>
      <c r="AN332" s="120" t="str">
        <f>IFERROR(VLOOKUP(Table1[RespondentID],'All Data'!$A$3:$CO$999,91,FALSE),"unknown")</f>
        <v>Native Hawaiian and Other Pacific Islander</v>
      </c>
      <c r="AO332" s="120" t="str">
        <f>IFERROR(VLOOKUP(Table1[RespondentID],'All Data'!$A$3:$CO$999,92,FALSE),"unknown")</f>
        <v>Hispanic or Latino</v>
      </c>
      <c r="AP332" s="120" t="str">
        <f>IFERROR(VLOOKUP(Table1[RespondentID],'All Data'!$A$3:$CO$999,93,FALSE),"unknown")</f>
        <v>English</v>
      </c>
      <c r="AQ332" s="120" t="str">
        <f>IFERROR(VLOOKUP(Table1[RespondentID],'All Data'!$A$3:$CW$999,94,FALSE),"unknown")</f>
        <v>$35,000 to $49,999</v>
      </c>
      <c r="AR332" s="120" t="str">
        <f>IFERROR(VLOOKUP(Table1[RespondentID],'All Data'!$A$3:$CW$999,95,FALSE),"unknown")</f>
        <v>College graduate</v>
      </c>
      <c r="AS332" s="120" t="str">
        <f>IFERROR(VLOOKUP(Table1[RespondentID],'All Data'!$A$3:$CW$999,96,FALSE),"unknown")</f>
        <v>Employed for wages</v>
      </c>
      <c r="AT332" s="120" t="str">
        <f>IFERROR(VLOOKUP(Table1[RespondentID],'All Data'!$A$3:$CW$999,97,FALSE),"unknown")</f>
        <v>Yes</v>
      </c>
      <c r="AU332" s="120" t="str">
        <f>IFERROR(VLOOKUP(Table1[RespondentID],'All Data'!$A$3:$CW$999,98,FALSE),"unknown")</f>
        <v>Private/Commercial</v>
      </c>
      <c r="AV332" s="120" t="str">
        <f>IFERROR(VLOOKUP(Table1[RespondentID],'All Data'!$A$3:$CW$999,99,FALSE),"unknown")</f>
        <v>Yes</v>
      </c>
    </row>
    <row r="333" spans="1:48">
      <c r="A333" s="5">
        <v>18014390822</v>
      </c>
      <c r="B333" s="5"/>
      <c r="C333" s="5"/>
      <c r="D333" s="5"/>
      <c r="E333" s="5"/>
      <c r="F333" s="5" t="s">
        <v>42</v>
      </c>
      <c r="G333" s="5"/>
      <c r="H333" s="5"/>
      <c r="I333" s="5"/>
      <c r="J333" s="5"/>
      <c r="K333" s="5" t="s">
        <v>46</v>
      </c>
      <c r="L333" s="5" t="s">
        <v>47</v>
      </c>
      <c r="M333" s="5"/>
      <c r="N333" s="5"/>
      <c r="O333" s="5">
        <f t="shared" si="85"/>
        <v>3</v>
      </c>
      <c r="P333" s="5">
        <f t="shared" si="86"/>
        <v>1</v>
      </c>
      <c r="Q333" s="5"/>
      <c r="R333" s="5">
        <f t="shared" si="87"/>
        <v>0</v>
      </c>
      <c r="S333" s="5">
        <f t="shared" si="88"/>
        <v>0</v>
      </c>
      <c r="T333" s="5">
        <f t="shared" si="89"/>
        <v>0</v>
      </c>
      <c r="U333" s="5">
        <f t="shared" si="90"/>
        <v>0</v>
      </c>
      <c r="V333" s="5">
        <f t="shared" si="91"/>
        <v>1</v>
      </c>
      <c r="W333" s="5">
        <f t="shared" si="92"/>
        <v>0</v>
      </c>
      <c r="X333" s="5">
        <f t="shared" si="93"/>
        <v>0</v>
      </c>
      <c r="Y333" s="5">
        <f t="shared" si="94"/>
        <v>0</v>
      </c>
      <c r="Z333" s="5">
        <f t="shared" si="95"/>
        <v>0</v>
      </c>
      <c r="AA333" s="5">
        <f t="shared" si="96"/>
        <v>1</v>
      </c>
      <c r="AB333" s="5">
        <f t="shared" si="97"/>
        <v>1</v>
      </c>
      <c r="AC333" s="5">
        <f t="shared" si="98"/>
        <v>0</v>
      </c>
      <c r="AD333" s="5"/>
      <c r="AE333" s="5"/>
      <c r="AF333" s="5">
        <f t="shared" si="99"/>
        <v>3</v>
      </c>
      <c r="AG333" s="5">
        <f t="shared" si="100"/>
        <v>3</v>
      </c>
      <c r="AH333" s="5" t="str">
        <f t="shared" si="101"/>
        <v>Correct</v>
      </c>
      <c r="AI333" s="5"/>
      <c r="AJ333" s="120" t="str">
        <f>IFERROR(VLOOKUP(Table1[RespondentID],'All Data'!$A$3:$CO$999,87,FALSE),"unknown")</f>
        <v>Man</v>
      </c>
      <c r="AK333" s="120">
        <f>IFERROR(VLOOKUP(Table1[RespondentID],'All Data'!$A$3:$CO$999,88,FALSE),"unknown")</f>
        <v>45</v>
      </c>
      <c r="AL333" s="120" t="str">
        <f>IFERROR(VLOOKUP(Table1[RespondentID],'All Data'!$A$3:$CO$999,89,FALSE),"unknown")</f>
        <v>Queens</v>
      </c>
      <c r="AM333" s="120">
        <f>IFERROR(VLOOKUP(Table1[RespondentID],'All Data'!$A$3:$CO$999,90,FALSE),"unknown")</f>
        <v>11355</v>
      </c>
      <c r="AN333" s="120" t="str">
        <f>IFERROR(VLOOKUP(Table1[RespondentID],'All Data'!$A$3:$CO$999,91,FALSE),"unknown")</f>
        <v>Asian</v>
      </c>
      <c r="AO333" s="120" t="str">
        <f>IFERROR(VLOOKUP(Table1[RespondentID],'All Data'!$A$3:$CO$999,92,FALSE),"unknown")</f>
        <v>Hispanic or Latino</v>
      </c>
      <c r="AP333" s="120" t="str">
        <f>IFERROR(VLOOKUP(Table1[RespondentID],'All Data'!$A$3:$CO$999,93,FALSE),"unknown")</f>
        <v>English</v>
      </c>
      <c r="AQ333" s="120" t="str">
        <f>IFERROR(VLOOKUP(Table1[RespondentID],'All Data'!$A$3:$CW$999,94,FALSE),"unknown")</f>
        <v>$35,000 to $49,999</v>
      </c>
      <c r="AR333" s="120" t="str">
        <f>IFERROR(VLOOKUP(Table1[RespondentID],'All Data'!$A$3:$CW$999,95,FALSE),"unknown")</f>
        <v>Some high school</v>
      </c>
      <c r="AS333" s="120" t="str">
        <f>IFERROR(VLOOKUP(Table1[RespondentID],'All Data'!$A$3:$CW$999,96,FALSE),"unknown")</f>
        <v>Employed for wages</v>
      </c>
      <c r="AT333" s="120" t="str">
        <f>IFERROR(VLOOKUP(Table1[RespondentID],'All Data'!$A$3:$CW$999,97,FALSE),"unknown")</f>
        <v>Yes</v>
      </c>
      <c r="AU333" s="120" t="str">
        <f>IFERROR(VLOOKUP(Table1[RespondentID],'All Data'!$A$3:$CW$999,98,FALSE),"unknown")</f>
        <v>Private/Commercial</v>
      </c>
      <c r="AV333" s="120" t="str">
        <f>IFERROR(VLOOKUP(Table1[RespondentID],'All Data'!$A$3:$CW$999,99,FALSE),"unknown")</f>
        <v>Yes</v>
      </c>
    </row>
    <row r="334" spans="1:48">
      <c r="A334" s="5">
        <v>18014390460</v>
      </c>
      <c r="B334" s="5"/>
      <c r="C334" s="5"/>
      <c r="D334" s="5"/>
      <c r="E334" s="5" t="s">
        <v>41</v>
      </c>
      <c r="F334" s="5"/>
      <c r="G334" s="5"/>
      <c r="H334" s="5"/>
      <c r="I334" s="5"/>
      <c r="J334" s="5"/>
      <c r="K334" s="5"/>
      <c r="L334" s="5"/>
      <c r="M334" s="5"/>
      <c r="N334" s="5"/>
      <c r="O334" s="5">
        <f t="shared" si="85"/>
        <v>1</v>
      </c>
      <c r="P334" s="5">
        <f t="shared" si="86"/>
        <v>3</v>
      </c>
      <c r="Q334" s="5"/>
      <c r="R334" s="5">
        <f t="shared" si="87"/>
        <v>0</v>
      </c>
      <c r="S334" s="5">
        <f t="shared" si="88"/>
        <v>0</v>
      </c>
      <c r="T334" s="5">
        <f t="shared" si="89"/>
        <v>0</v>
      </c>
      <c r="U334" s="5">
        <f t="shared" si="90"/>
        <v>1</v>
      </c>
      <c r="V334" s="5">
        <f t="shared" si="91"/>
        <v>0</v>
      </c>
      <c r="W334" s="5">
        <f t="shared" si="92"/>
        <v>0</v>
      </c>
      <c r="X334" s="5">
        <f t="shared" si="93"/>
        <v>0</v>
      </c>
      <c r="Y334" s="5">
        <f t="shared" si="94"/>
        <v>0</v>
      </c>
      <c r="Z334" s="5">
        <f t="shared" si="95"/>
        <v>0</v>
      </c>
      <c r="AA334" s="5">
        <f t="shared" si="96"/>
        <v>0</v>
      </c>
      <c r="AB334" s="5">
        <f t="shared" si="97"/>
        <v>0</v>
      </c>
      <c r="AC334" s="5">
        <f t="shared" si="98"/>
        <v>0</v>
      </c>
      <c r="AD334" s="5"/>
      <c r="AE334" s="5"/>
      <c r="AF334" s="5">
        <f t="shared" si="99"/>
        <v>1</v>
      </c>
      <c r="AG334" s="5">
        <f t="shared" si="100"/>
        <v>1</v>
      </c>
      <c r="AH334" s="5" t="str">
        <f t="shared" si="101"/>
        <v>Correct</v>
      </c>
      <c r="AI334" s="5"/>
      <c r="AJ334" s="120" t="str">
        <f>IFERROR(VLOOKUP(Table1[RespondentID],'All Data'!$A$3:$CO$999,87,FALSE),"unknown")</f>
        <v>Woman</v>
      </c>
      <c r="AK334" s="120">
        <f>IFERROR(VLOOKUP(Table1[RespondentID],'All Data'!$A$3:$CO$999,88,FALSE),"unknown")</f>
        <v>38</v>
      </c>
      <c r="AL334" s="120" t="str">
        <f>IFERROR(VLOOKUP(Table1[RespondentID],'All Data'!$A$3:$CO$999,89,FALSE),"unknown")</f>
        <v>Queens</v>
      </c>
      <c r="AM334" s="120">
        <f>IFERROR(VLOOKUP(Table1[RespondentID],'All Data'!$A$3:$CO$999,90,FALSE),"unknown")</f>
        <v>11236</v>
      </c>
      <c r="AN334" s="120" t="str">
        <f>IFERROR(VLOOKUP(Table1[RespondentID],'All Data'!$A$3:$CO$999,91,FALSE),"unknown")</f>
        <v>Asian</v>
      </c>
      <c r="AO334" s="120" t="str">
        <f>IFERROR(VLOOKUP(Table1[RespondentID],'All Data'!$A$3:$CO$999,92,FALSE),"unknown")</f>
        <v>Not Hispanic or Latino</v>
      </c>
      <c r="AP334" s="120" t="str">
        <f>IFERROR(VLOOKUP(Table1[RespondentID],'All Data'!$A$3:$CO$999,93,FALSE),"unknown")</f>
        <v>English, Haitian Creole</v>
      </c>
      <c r="AQ334" s="120" t="str">
        <f>IFERROR(VLOOKUP(Table1[RespondentID],'All Data'!$A$3:$CW$999,94,FALSE),"unknown")</f>
        <v>$75,000 to $125,000</v>
      </c>
      <c r="AR334" s="120" t="str">
        <f>IFERROR(VLOOKUP(Table1[RespondentID],'All Data'!$A$3:$CW$999,95,FALSE),"unknown")</f>
        <v>College graduate</v>
      </c>
      <c r="AS334" s="120" t="str">
        <f>IFERROR(VLOOKUP(Table1[RespondentID],'All Data'!$A$3:$CW$999,96,FALSE),"unknown")</f>
        <v>Employed for wages</v>
      </c>
      <c r="AT334" s="120" t="str">
        <f>IFERROR(VLOOKUP(Table1[RespondentID],'All Data'!$A$3:$CW$999,97,FALSE),"unknown")</f>
        <v>No</v>
      </c>
      <c r="AU334" s="120" t="str">
        <f>IFERROR(VLOOKUP(Table1[RespondentID],'All Data'!$A$3:$CW$999,98,FALSE),"unknown")</f>
        <v>Medicaid, Medicare</v>
      </c>
      <c r="AV334" s="120" t="str">
        <f>IFERROR(VLOOKUP(Table1[RespondentID],'All Data'!$A$3:$CW$999,99,FALSE),"unknown")</f>
        <v>Yes</v>
      </c>
    </row>
    <row r="335" spans="1:48">
      <c r="A335" s="5">
        <v>18014363228</v>
      </c>
      <c r="B335" s="5"/>
      <c r="C335" s="5"/>
      <c r="D335" s="5"/>
      <c r="E335" s="5"/>
      <c r="F335" s="5"/>
      <c r="G335" s="5"/>
      <c r="H335" s="5"/>
      <c r="I335" s="5"/>
      <c r="J335" s="5"/>
      <c r="K335" s="5"/>
      <c r="L335" s="5"/>
      <c r="M335" s="5"/>
      <c r="N335" s="5"/>
      <c r="O335" s="5">
        <f t="shared" si="85"/>
        <v>0</v>
      </c>
      <c r="P335" s="5" t="e">
        <f t="shared" si="86"/>
        <v>#DIV/0!</v>
      </c>
      <c r="Q335" s="5"/>
      <c r="R335" s="5">
        <f t="shared" si="87"/>
        <v>0</v>
      </c>
      <c r="S335" s="5">
        <f t="shared" si="88"/>
        <v>0</v>
      </c>
      <c r="T335" s="5">
        <f t="shared" si="89"/>
        <v>0</v>
      </c>
      <c r="U335" s="5">
        <f t="shared" si="90"/>
        <v>0</v>
      </c>
      <c r="V335" s="5">
        <f t="shared" si="91"/>
        <v>0</v>
      </c>
      <c r="W335" s="5">
        <f t="shared" si="92"/>
        <v>0</v>
      </c>
      <c r="X335" s="5">
        <f t="shared" si="93"/>
        <v>0</v>
      </c>
      <c r="Y335" s="5">
        <f t="shared" si="94"/>
        <v>0</v>
      </c>
      <c r="Z335" s="5">
        <f t="shared" si="95"/>
        <v>0</v>
      </c>
      <c r="AA335" s="5">
        <f t="shared" si="96"/>
        <v>0</v>
      </c>
      <c r="AB335" s="5">
        <f t="shared" si="97"/>
        <v>0</v>
      </c>
      <c r="AC335" s="5">
        <f t="shared" si="98"/>
        <v>0</v>
      </c>
      <c r="AD335" s="5"/>
      <c r="AE335" s="5"/>
      <c r="AF335" s="5">
        <f t="shared" si="99"/>
        <v>0</v>
      </c>
      <c r="AG335" s="5">
        <f t="shared" si="100"/>
        <v>0</v>
      </c>
      <c r="AH335" s="5" t="str">
        <f t="shared" si="101"/>
        <v>Correct</v>
      </c>
      <c r="AI335" s="5"/>
      <c r="AJ335" s="120">
        <f>IFERROR(VLOOKUP(Table1[RespondentID],'All Data'!$A$3:$CO$999,87,FALSE),"unknown")</f>
        <v>0</v>
      </c>
      <c r="AK335" s="120">
        <f>IFERROR(VLOOKUP(Table1[RespondentID],'All Data'!$A$3:$CO$999,88,FALSE),"unknown")</f>
        <v>0</v>
      </c>
      <c r="AL335" s="120">
        <f>IFERROR(VLOOKUP(Table1[RespondentID],'All Data'!$A$3:$CO$999,89,FALSE),"unknown")</f>
        <v>0</v>
      </c>
      <c r="AM335" s="120" t="str">
        <f>IFERROR(VLOOKUP(Table1[RespondentID],'All Data'!$A$3:$CO$999,90,FALSE),"unknown")</f>
        <v>Alden Manor, 11003</v>
      </c>
      <c r="AN335" s="120">
        <f>IFERROR(VLOOKUP(Table1[RespondentID],'All Data'!$A$3:$CO$999,91,FALSE),"unknown")</f>
        <v>0</v>
      </c>
      <c r="AO335" s="120">
        <f>IFERROR(VLOOKUP(Table1[RespondentID],'All Data'!$A$3:$CO$999,92,FALSE),"unknown")</f>
        <v>0</v>
      </c>
      <c r="AP335" s="120">
        <f>IFERROR(VLOOKUP(Table1[RespondentID],'All Data'!$A$3:$CO$999,93,FALSE),"unknown")</f>
        <v>0</v>
      </c>
      <c r="AQ335" s="120">
        <f>IFERROR(VLOOKUP(Table1[RespondentID],'All Data'!$A$3:$CW$999,94,FALSE),"unknown")</f>
        <v>0</v>
      </c>
      <c r="AR335" s="120">
        <f>IFERROR(VLOOKUP(Table1[RespondentID],'All Data'!$A$3:$CW$999,95,FALSE),"unknown")</f>
        <v>0</v>
      </c>
      <c r="AS335" s="120">
        <f>IFERROR(VLOOKUP(Table1[RespondentID],'All Data'!$A$3:$CW$999,96,FALSE),"unknown")</f>
        <v>0</v>
      </c>
      <c r="AT335" s="120">
        <f>IFERROR(VLOOKUP(Table1[RespondentID],'All Data'!$A$3:$CW$999,97,FALSE),"unknown")</f>
        <v>0</v>
      </c>
      <c r="AU335" s="120">
        <f>IFERROR(VLOOKUP(Table1[RespondentID],'All Data'!$A$3:$CW$999,98,FALSE),"unknown")</f>
        <v>0</v>
      </c>
      <c r="AV335" s="120">
        <f>IFERROR(VLOOKUP(Table1[RespondentID],'All Data'!$A$3:$CW$999,99,FALSE),"unknown")</f>
        <v>0</v>
      </c>
    </row>
    <row r="336" spans="1:48">
      <c r="A336" s="5">
        <v>18014090175</v>
      </c>
      <c r="B336" s="5"/>
      <c r="C336" s="5" t="s">
        <v>39</v>
      </c>
      <c r="D336" s="5"/>
      <c r="E336" s="5" t="s">
        <v>41</v>
      </c>
      <c r="F336" s="5"/>
      <c r="G336" s="5"/>
      <c r="H336" s="5"/>
      <c r="I336" s="5"/>
      <c r="J336" s="5"/>
      <c r="K336" s="5" t="s">
        <v>46</v>
      </c>
      <c r="L336" s="5"/>
      <c r="M336" s="5"/>
      <c r="N336" s="5"/>
      <c r="O336" s="5">
        <f t="shared" si="85"/>
        <v>3</v>
      </c>
      <c r="P336" s="5">
        <f t="shared" si="86"/>
        <v>1</v>
      </c>
      <c r="Q336" s="5"/>
      <c r="R336" s="5">
        <f t="shared" si="87"/>
        <v>0</v>
      </c>
      <c r="S336" s="5">
        <f t="shared" si="88"/>
        <v>1</v>
      </c>
      <c r="T336" s="5">
        <f t="shared" si="89"/>
        <v>0</v>
      </c>
      <c r="U336" s="5">
        <f t="shared" si="90"/>
        <v>1</v>
      </c>
      <c r="V336" s="5">
        <f t="shared" si="91"/>
        <v>0</v>
      </c>
      <c r="W336" s="5">
        <f t="shared" si="92"/>
        <v>0</v>
      </c>
      <c r="X336" s="5">
        <f t="shared" si="93"/>
        <v>0</v>
      </c>
      <c r="Y336" s="5">
        <f t="shared" si="94"/>
        <v>0</v>
      </c>
      <c r="Z336" s="5">
        <f t="shared" si="95"/>
        <v>0</v>
      </c>
      <c r="AA336" s="5">
        <f t="shared" si="96"/>
        <v>1</v>
      </c>
      <c r="AB336" s="5">
        <f t="shared" si="97"/>
        <v>0</v>
      </c>
      <c r="AC336" s="5">
        <f t="shared" si="98"/>
        <v>0</v>
      </c>
      <c r="AD336" s="5"/>
      <c r="AE336" s="5"/>
      <c r="AF336" s="5">
        <f t="shared" si="99"/>
        <v>3</v>
      </c>
      <c r="AG336" s="5">
        <f t="shared" si="100"/>
        <v>3</v>
      </c>
      <c r="AH336" s="5" t="str">
        <f t="shared" si="101"/>
        <v>Correct</v>
      </c>
      <c r="AI336" s="5"/>
      <c r="AJ336" s="120" t="str">
        <f>IFERROR(VLOOKUP(Table1[RespondentID],'All Data'!$A$3:$CO$999,87,FALSE),"unknown")</f>
        <v>Man</v>
      </c>
      <c r="AK336" s="120">
        <f>IFERROR(VLOOKUP(Table1[RespondentID],'All Data'!$A$3:$CO$999,88,FALSE),"unknown")</f>
        <v>17</v>
      </c>
      <c r="AL336" s="120" t="str">
        <f>IFERROR(VLOOKUP(Table1[RespondentID],'All Data'!$A$3:$CO$999,89,FALSE),"unknown")</f>
        <v>Suffolk</v>
      </c>
      <c r="AM336" s="120" t="str">
        <f>IFERROR(VLOOKUP(Table1[RespondentID],'All Data'!$A$3:$CO$999,90,FALSE),"unknown")</f>
        <v>Kings Park, 11754</v>
      </c>
      <c r="AN336" s="120" t="str">
        <f>IFERROR(VLOOKUP(Table1[RespondentID],'All Data'!$A$3:$CO$999,91,FALSE),"unknown")</f>
        <v>White</v>
      </c>
      <c r="AO336" s="120" t="str">
        <f>IFERROR(VLOOKUP(Table1[RespondentID],'All Data'!$A$3:$CO$999,92,FALSE),"unknown")</f>
        <v>Hispanic or Latino</v>
      </c>
      <c r="AP336" s="120" t="str">
        <f>IFERROR(VLOOKUP(Table1[RespondentID],'All Data'!$A$3:$CO$999,93,FALSE),"unknown")</f>
        <v>English</v>
      </c>
      <c r="AQ336" s="120" t="str">
        <f>IFERROR(VLOOKUP(Table1[RespondentID],'All Data'!$A$3:$CW$999,94,FALSE),"unknown")</f>
        <v>Over $125,000</v>
      </c>
      <c r="AR336" s="120" t="str">
        <f>IFERROR(VLOOKUP(Table1[RespondentID],'All Data'!$A$3:$CW$999,95,FALSE),"unknown")</f>
        <v>High school graduate</v>
      </c>
      <c r="AS336" s="120" t="str">
        <f>IFERROR(VLOOKUP(Table1[RespondentID],'All Data'!$A$3:$CW$999,96,FALSE),"unknown")</f>
        <v>Student</v>
      </c>
      <c r="AT336" s="120" t="str">
        <f>IFERROR(VLOOKUP(Table1[RespondentID],'All Data'!$A$3:$CW$999,97,FALSE),"unknown")</f>
        <v>Yes</v>
      </c>
      <c r="AU336" s="120" t="str">
        <f>IFERROR(VLOOKUP(Table1[RespondentID],'All Data'!$A$3:$CW$999,98,FALSE),"unknown")</f>
        <v>Medicare</v>
      </c>
      <c r="AV336" s="120" t="str">
        <f>IFERROR(VLOOKUP(Table1[RespondentID],'All Data'!$A$3:$CW$999,99,FALSE),"unknown")</f>
        <v>Yes</v>
      </c>
    </row>
    <row r="337" spans="1:48">
      <c r="A337" s="5">
        <v>18013870170</v>
      </c>
      <c r="B337" s="5" t="s">
        <v>38</v>
      </c>
      <c r="C337" s="5" t="s">
        <v>39</v>
      </c>
      <c r="D337" s="5"/>
      <c r="E337" s="5"/>
      <c r="F337" s="5"/>
      <c r="G337" s="5"/>
      <c r="H337" s="5"/>
      <c r="I337" s="5"/>
      <c r="J337" s="5" t="s">
        <v>45</v>
      </c>
      <c r="K337" s="5"/>
      <c r="L337" s="5"/>
      <c r="M337" s="5"/>
      <c r="N337" s="5"/>
      <c r="O337" s="5">
        <f t="shared" si="85"/>
        <v>3</v>
      </c>
      <c r="P337" s="5">
        <f t="shared" si="86"/>
        <v>1</v>
      </c>
      <c r="Q337" s="5"/>
      <c r="R337" s="5">
        <f t="shared" si="87"/>
        <v>1</v>
      </c>
      <c r="S337" s="5">
        <f t="shared" si="88"/>
        <v>1</v>
      </c>
      <c r="T337" s="5">
        <f t="shared" si="89"/>
        <v>0</v>
      </c>
      <c r="U337" s="5">
        <f t="shared" si="90"/>
        <v>0</v>
      </c>
      <c r="V337" s="5">
        <f t="shared" si="91"/>
        <v>0</v>
      </c>
      <c r="W337" s="5">
        <f t="shared" si="92"/>
        <v>0</v>
      </c>
      <c r="X337" s="5">
        <f t="shared" si="93"/>
        <v>0</v>
      </c>
      <c r="Y337" s="5">
        <f t="shared" si="94"/>
        <v>0</v>
      </c>
      <c r="Z337" s="5">
        <f t="shared" si="95"/>
        <v>1</v>
      </c>
      <c r="AA337" s="5">
        <f t="shared" si="96"/>
        <v>0</v>
      </c>
      <c r="AB337" s="5">
        <f t="shared" si="97"/>
        <v>0</v>
      </c>
      <c r="AC337" s="5">
        <f t="shared" si="98"/>
        <v>0</v>
      </c>
      <c r="AD337" s="5"/>
      <c r="AE337" s="5"/>
      <c r="AF337" s="5">
        <f t="shared" si="99"/>
        <v>3</v>
      </c>
      <c r="AG337" s="5">
        <f t="shared" si="100"/>
        <v>3</v>
      </c>
      <c r="AH337" s="5" t="str">
        <f t="shared" si="101"/>
        <v>Correct</v>
      </c>
      <c r="AI337" s="5"/>
      <c r="AJ337" s="120" t="str">
        <f>IFERROR(VLOOKUP(Table1[RespondentID],'All Data'!$A$3:$CO$999,87,FALSE),"unknown")</f>
        <v>Man</v>
      </c>
      <c r="AK337" s="120">
        <f>IFERROR(VLOOKUP(Table1[RespondentID],'All Data'!$A$3:$CO$999,88,FALSE),"unknown")</f>
        <v>53</v>
      </c>
      <c r="AL337" s="120" t="str">
        <f>IFERROR(VLOOKUP(Table1[RespondentID],'All Data'!$A$3:$CO$999,89,FALSE),"unknown")</f>
        <v>Suffolk</v>
      </c>
      <c r="AM337" s="120" t="str">
        <f>IFERROR(VLOOKUP(Table1[RespondentID],'All Data'!$A$3:$CO$999,90,FALSE),"unknown")</f>
        <v>Manorville, 11949</v>
      </c>
      <c r="AN337" s="120" t="str">
        <f>IFERROR(VLOOKUP(Table1[RespondentID],'All Data'!$A$3:$CO$999,91,FALSE),"unknown")</f>
        <v>White</v>
      </c>
      <c r="AO337" s="120" t="str">
        <f>IFERROR(VLOOKUP(Table1[RespondentID],'All Data'!$A$3:$CO$999,92,FALSE),"unknown")</f>
        <v>Hispanic or Latino</v>
      </c>
      <c r="AP337" s="120" t="str">
        <f>IFERROR(VLOOKUP(Table1[RespondentID],'All Data'!$A$3:$CO$999,93,FALSE),"unknown")</f>
        <v>English</v>
      </c>
      <c r="AQ337" s="120" t="str">
        <f>IFERROR(VLOOKUP(Table1[RespondentID],'All Data'!$A$3:$CW$999,94,FALSE),"unknown")</f>
        <v>$75,000 to $125,000</v>
      </c>
      <c r="AR337" s="120" t="str">
        <f>IFERROR(VLOOKUP(Table1[RespondentID],'All Data'!$A$3:$CW$999,95,FALSE),"unknown")</f>
        <v>College graduate</v>
      </c>
      <c r="AS337" s="120" t="str">
        <f>IFERROR(VLOOKUP(Table1[RespondentID],'All Data'!$A$3:$CW$999,96,FALSE),"unknown")</f>
        <v>Employed for wages</v>
      </c>
      <c r="AT337" s="120" t="str">
        <f>IFERROR(VLOOKUP(Table1[RespondentID],'All Data'!$A$3:$CW$999,97,FALSE),"unknown")</f>
        <v>Yes</v>
      </c>
      <c r="AU337" s="120" t="str">
        <f>IFERROR(VLOOKUP(Table1[RespondentID],'All Data'!$A$3:$CW$999,98,FALSE),"unknown")</f>
        <v>Private/Commercial</v>
      </c>
      <c r="AV337" s="120" t="str">
        <f>IFERROR(VLOOKUP(Table1[RespondentID],'All Data'!$A$3:$CW$999,99,FALSE),"unknown")</f>
        <v>Yes</v>
      </c>
    </row>
    <row r="338" spans="1:48">
      <c r="A338" s="5">
        <v>18013484831</v>
      </c>
      <c r="B338" s="5"/>
      <c r="C338" s="5"/>
      <c r="D338" s="5"/>
      <c r="E338" s="5"/>
      <c r="F338" s="5"/>
      <c r="G338" s="5"/>
      <c r="H338" s="5" t="s">
        <v>43</v>
      </c>
      <c r="I338" s="5"/>
      <c r="J338" s="5"/>
      <c r="K338" s="5" t="s">
        <v>46</v>
      </c>
      <c r="L338" s="5" t="s">
        <v>47</v>
      </c>
      <c r="M338" s="5"/>
      <c r="N338" s="5"/>
      <c r="O338" s="5">
        <f t="shared" si="85"/>
        <v>3</v>
      </c>
      <c r="P338" s="5">
        <f t="shared" si="86"/>
        <v>1</v>
      </c>
      <c r="Q338" s="5"/>
      <c r="R338" s="5">
        <f t="shared" si="87"/>
        <v>0</v>
      </c>
      <c r="S338" s="5">
        <f t="shared" si="88"/>
        <v>0</v>
      </c>
      <c r="T338" s="5">
        <f t="shared" si="89"/>
        <v>0</v>
      </c>
      <c r="U338" s="5">
        <f t="shared" si="90"/>
        <v>0</v>
      </c>
      <c r="V338" s="5">
        <f t="shared" si="91"/>
        <v>0</v>
      </c>
      <c r="W338" s="5">
        <f t="shared" si="92"/>
        <v>0</v>
      </c>
      <c r="X338" s="5">
        <f t="shared" si="93"/>
        <v>1</v>
      </c>
      <c r="Y338" s="5">
        <f t="shared" si="94"/>
        <v>0</v>
      </c>
      <c r="Z338" s="5">
        <f t="shared" si="95"/>
        <v>0</v>
      </c>
      <c r="AA338" s="5">
        <f t="shared" si="96"/>
        <v>1</v>
      </c>
      <c r="AB338" s="5">
        <f t="shared" si="97"/>
        <v>1</v>
      </c>
      <c r="AC338" s="5">
        <f t="shared" si="98"/>
        <v>0</v>
      </c>
      <c r="AD338" s="5"/>
      <c r="AE338" s="5"/>
      <c r="AF338" s="5">
        <f t="shared" si="99"/>
        <v>3</v>
      </c>
      <c r="AG338" s="5">
        <f t="shared" si="100"/>
        <v>3</v>
      </c>
      <c r="AH338" s="5" t="str">
        <f t="shared" si="101"/>
        <v>Correct</v>
      </c>
      <c r="AI338" s="5"/>
      <c r="AJ338" s="120" t="str">
        <f>IFERROR(VLOOKUP(Table1[RespondentID],'All Data'!$A$3:$CO$999,87,FALSE),"unknown")</f>
        <v>Man</v>
      </c>
      <c r="AK338" s="120">
        <f>IFERROR(VLOOKUP(Table1[RespondentID],'All Data'!$A$3:$CO$999,88,FALSE),"unknown")</f>
        <v>83</v>
      </c>
      <c r="AL338" s="120" t="str">
        <f>IFERROR(VLOOKUP(Table1[RespondentID],'All Data'!$A$3:$CO$999,89,FALSE),"unknown")</f>
        <v>Nassau</v>
      </c>
      <c r="AM338" s="120" t="str">
        <f>IFERROR(VLOOKUP(Table1[RespondentID],'All Data'!$A$3:$CO$999,90,FALSE),"unknown")</f>
        <v>Syosset, 11791</v>
      </c>
      <c r="AN338" s="120" t="str">
        <f>IFERROR(VLOOKUP(Table1[RespondentID],'All Data'!$A$3:$CO$999,91,FALSE),"unknown")</f>
        <v>White</v>
      </c>
      <c r="AO338" s="120" t="str">
        <f>IFERROR(VLOOKUP(Table1[RespondentID],'All Data'!$A$3:$CO$999,92,FALSE),"unknown")</f>
        <v>Hispanic or Latino</v>
      </c>
      <c r="AP338" s="120" t="str">
        <f>IFERROR(VLOOKUP(Table1[RespondentID],'All Data'!$A$3:$CO$999,93,FALSE),"unknown")</f>
        <v>English</v>
      </c>
      <c r="AQ338" s="120" t="str">
        <f>IFERROR(VLOOKUP(Table1[RespondentID],'All Data'!$A$3:$CW$999,94,FALSE),"unknown")</f>
        <v>Over $125,000</v>
      </c>
      <c r="AR338" s="120" t="str">
        <f>IFERROR(VLOOKUP(Table1[RespondentID],'All Data'!$A$3:$CW$999,95,FALSE),"unknown")</f>
        <v>College graduate</v>
      </c>
      <c r="AS338" s="120" t="str">
        <f>IFERROR(VLOOKUP(Table1[RespondentID],'All Data'!$A$3:$CW$999,96,FALSE),"unknown")</f>
        <v>Retired</v>
      </c>
      <c r="AT338" s="120" t="str">
        <f>IFERROR(VLOOKUP(Table1[RespondentID],'All Data'!$A$3:$CW$999,97,FALSE),"unknown")</f>
        <v>Yes</v>
      </c>
      <c r="AU338" s="120" t="str">
        <f>IFERROR(VLOOKUP(Table1[RespondentID],'All Data'!$A$3:$CW$999,98,FALSE),"unknown")</f>
        <v>Medicare</v>
      </c>
      <c r="AV338" s="120" t="str">
        <f>IFERROR(VLOOKUP(Table1[RespondentID],'All Data'!$A$3:$CW$999,99,FALSE),"unknown")</f>
        <v>Yes</v>
      </c>
    </row>
    <row r="339" spans="1:48">
      <c r="A339" s="5">
        <v>18013472458</v>
      </c>
      <c r="B339" s="5"/>
      <c r="C339" s="5"/>
      <c r="D339" s="5"/>
      <c r="E339" s="5"/>
      <c r="F339" s="5"/>
      <c r="G339" s="5"/>
      <c r="H339" s="5"/>
      <c r="I339" s="5"/>
      <c r="J339" s="5"/>
      <c r="K339" s="5"/>
      <c r="L339" s="5"/>
      <c r="M339" s="5"/>
      <c r="N339" s="5"/>
      <c r="O339" s="5">
        <f t="shared" si="85"/>
        <v>0</v>
      </c>
      <c r="P339" s="5" t="e">
        <f t="shared" si="86"/>
        <v>#DIV/0!</v>
      </c>
      <c r="Q339" s="5"/>
      <c r="R339" s="5">
        <f t="shared" si="87"/>
        <v>0</v>
      </c>
      <c r="S339" s="5">
        <f t="shared" si="88"/>
        <v>0</v>
      </c>
      <c r="T339" s="5">
        <f t="shared" si="89"/>
        <v>0</v>
      </c>
      <c r="U339" s="5">
        <f t="shared" si="90"/>
        <v>0</v>
      </c>
      <c r="V339" s="5">
        <f t="shared" si="91"/>
        <v>0</v>
      </c>
      <c r="W339" s="5">
        <f t="shared" si="92"/>
        <v>0</v>
      </c>
      <c r="X339" s="5">
        <f t="shared" si="93"/>
        <v>0</v>
      </c>
      <c r="Y339" s="5">
        <f t="shared" si="94"/>
        <v>0</v>
      </c>
      <c r="Z339" s="5">
        <f t="shared" si="95"/>
        <v>0</v>
      </c>
      <c r="AA339" s="5">
        <f t="shared" si="96"/>
        <v>0</v>
      </c>
      <c r="AB339" s="5">
        <f t="shared" si="97"/>
        <v>0</v>
      </c>
      <c r="AC339" s="5">
        <f t="shared" si="98"/>
        <v>0</v>
      </c>
      <c r="AD339" s="5"/>
      <c r="AE339" s="5"/>
      <c r="AF339" s="5">
        <f t="shared" si="99"/>
        <v>0</v>
      </c>
      <c r="AG339" s="5">
        <f t="shared" si="100"/>
        <v>0</v>
      </c>
      <c r="AH339" s="5" t="str">
        <f t="shared" si="101"/>
        <v>Correct</v>
      </c>
      <c r="AI339" s="5"/>
      <c r="AJ339" s="120">
        <f>IFERROR(VLOOKUP(Table1[RespondentID],'All Data'!$A$3:$CO$999,87,FALSE),"unknown")</f>
        <v>0</v>
      </c>
      <c r="AK339" s="120">
        <f>IFERROR(VLOOKUP(Table1[RespondentID],'All Data'!$A$3:$CO$999,88,FALSE),"unknown")</f>
        <v>0</v>
      </c>
      <c r="AL339" s="120">
        <f>IFERROR(VLOOKUP(Table1[RespondentID],'All Data'!$A$3:$CO$999,89,FALSE),"unknown")</f>
        <v>0</v>
      </c>
      <c r="AM339" s="120" t="str">
        <f>IFERROR(VLOOKUP(Table1[RespondentID],'All Data'!$A$3:$CO$999,90,FALSE),"unknown")</f>
        <v>East Hills, 11576</v>
      </c>
      <c r="AN339" s="120">
        <f>IFERROR(VLOOKUP(Table1[RespondentID],'All Data'!$A$3:$CO$999,91,FALSE),"unknown")</f>
        <v>0</v>
      </c>
      <c r="AO339" s="120">
        <f>IFERROR(VLOOKUP(Table1[RespondentID],'All Data'!$A$3:$CO$999,92,FALSE),"unknown")</f>
        <v>0</v>
      </c>
      <c r="AP339" s="120">
        <f>IFERROR(VLOOKUP(Table1[RespondentID],'All Data'!$A$3:$CO$999,93,FALSE),"unknown")</f>
        <v>0</v>
      </c>
      <c r="AQ339" s="120">
        <f>IFERROR(VLOOKUP(Table1[RespondentID],'All Data'!$A$3:$CW$999,94,FALSE),"unknown")</f>
        <v>0</v>
      </c>
      <c r="AR339" s="120">
        <f>IFERROR(VLOOKUP(Table1[RespondentID],'All Data'!$A$3:$CW$999,95,FALSE),"unknown")</f>
        <v>0</v>
      </c>
      <c r="AS339" s="120">
        <f>IFERROR(VLOOKUP(Table1[RespondentID],'All Data'!$A$3:$CW$999,96,FALSE),"unknown")</f>
        <v>0</v>
      </c>
      <c r="AT339" s="120">
        <f>IFERROR(VLOOKUP(Table1[RespondentID],'All Data'!$A$3:$CW$999,97,FALSE),"unknown")</f>
        <v>0</v>
      </c>
      <c r="AU339" s="120">
        <f>IFERROR(VLOOKUP(Table1[RespondentID],'All Data'!$A$3:$CW$999,98,FALSE),"unknown")</f>
        <v>0</v>
      </c>
      <c r="AV339" s="120">
        <f>IFERROR(VLOOKUP(Table1[RespondentID],'All Data'!$A$3:$CW$999,99,FALSE),"unknown")</f>
        <v>0</v>
      </c>
    </row>
    <row r="340" spans="1:48">
      <c r="A340" s="5">
        <v>18013326061</v>
      </c>
      <c r="B340" s="5"/>
      <c r="C340" s="5"/>
      <c r="D340" s="5"/>
      <c r="E340" s="5"/>
      <c r="F340" s="5"/>
      <c r="G340" s="5"/>
      <c r="H340" s="5"/>
      <c r="I340" s="5"/>
      <c r="J340" s="5"/>
      <c r="K340" s="5"/>
      <c r="L340" s="5"/>
      <c r="M340" s="5"/>
      <c r="N340" s="5"/>
      <c r="O340" s="5">
        <f t="shared" si="85"/>
        <v>0</v>
      </c>
      <c r="P340" s="5" t="e">
        <f t="shared" si="86"/>
        <v>#DIV/0!</v>
      </c>
      <c r="Q340" s="5"/>
      <c r="R340" s="5">
        <f t="shared" si="87"/>
        <v>0</v>
      </c>
      <c r="S340" s="5">
        <f t="shared" si="88"/>
        <v>0</v>
      </c>
      <c r="T340" s="5">
        <f t="shared" si="89"/>
        <v>0</v>
      </c>
      <c r="U340" s="5">
        <f t="shared" si="90"/>
        <v>0</v>
      </c>
      <c r="V340" s="5">
        <f t="shared" si="91"/>
        <v>0</v>
      </c>
      <c r="W340" s="5">
        <f t="shared" si="92"/>
        <v>0</v>
      </c>
      <c r="X340" s="5">
        <f t="shared" si="93"/>
        <v>0</v>
      </c>
      <c r="Y340" s="5">
        <f t="shared" si="94"/>
        <v>0</v>
      </c>
      <c r="Z340" s="5">
        <f t="shared" si="95"/>
        <v>0</v>
      </c>
      <c r="AA340" s="5">
        <f t="shared" si="96"/>
        <v>0</v>
      </c>
      <c r="AB340" s="5">
        <f t="shared" si="97"/>
        <v>0</v>
      </c>
      <c r="AC340" s="5">
        <f t="shared" si="98"/>
        <v>0</v>
      </c>
      <c r="AD340" s="5"/>
      <c r="AE340" s="5"/>
      <c r="AF340" s="5">
        <f t="shared" si="99"/>
        <v>0</v>
      </c>
      <c r="AG340" s="5">
        <f t="shared" si="100"/>
        <v>0</v>
      </c>
      <c r="AH340" s="5" t="str">
        <f t="shared" si="101"/>
        <v>Correct</v>
      </c>
      <c r="AI340" s="5"/>
      <c r="AJ340" s="120" t="str">
        <f>IFERROR(VLOOKUP(Table1[RespondentID],'All Data'!$A$3:$CO$999,87,FALSE),"unknown")</f>
        <v>Man</v>
      </c>
      <c r="AK340" s="120">
        <f>IFERROR(VLOOKUP(Table1[RespondentID],'All Data'!$A$3:$CO$999,88,FALSE),"unknown")</f>
        <v>58</v>
      </c>
      <c r="AL340" s="120" t="str">
        <f>IFERROR(VLOOKUP(Table1[RespondentID],'All Data'!$A$3:$CO$999,89,FALSE),"unknown")</f>
        <v>Suffolk</v>
      </c>
      <c r="AM340" s="120" t="str">
        <f>IFERROR(VLOOKUP(Table1[RespondentID],'All Data'!$A$3:$CO$999,90,FALSE),"unknown")</f>
        <v>Aquebogue, 11931</v>
      </c>
      <c r="AN340" s="120" t="str">
        <f>IFERROR(VLOOKUP(Table1[RespondentID],'All Data'!$A$3:$CO$999,91,FALSE),"unknown")</f>
        <v>Other (please specify)</v>
      </c>
      <c r="AO340" s="120">
        <f>IFERROR(VLOOKUP(Table1[RespondentID],'All Data'!$A$3:$CO$999,92,FALSE),"unknown")</f>
        <v>0</v>
      </c>
      <c r="AP340" s="120" t="str">
        <f>IFERROR(VLOOKUP(Table1[RespondentID],'All Data'!$A$3:$CO$999,93,FALSE),"unknown")</f>
        <v>English</v>
      </c>
      <c r="AQ340" s="120" t="str">
        <f>IFERROR(VLOOKUP(Table1[RespondentID],'All Data'!$A$3:$CW$999,94,FALSE),"unknown")</f>
        <v>$50,000 to $74,999</v>
      </c>
      <c r="AR340" s="120" t="str">
        <f>IFERROR(VLOOKUP(Table1[RespondentID],'All Data'!$A$3:$CW$999,95,FALSE),"unknown")</f>
        <v>College graduate</v>
      </c>
      <c r="AS340" s="120" t="str">
        <f>IFERROR(VLOOKUP(Table1[RespondentID],'All Data'!$A$3:$CW$999,96,FALSE),"unknown")</f>
        <v>Employed for wages</v>
      </c>
      <c r="AT340" s="120" t="str">
        <f>IFERROR(VLOOKUP(Table1[RespondentID],'All Data'!$A$3:$CW$999,97,FALSE),"unknown")</f>
        <v>Yes</v>
      </c>
      <c r="AU340" s="120" t="str">
        <f>IFERROR(VLOOKUP(Table1[RespondentID],'All Data'!$A$3:$CW$999,98,FALSE),"unknown")</f>
        <v>Private/Commercial</v>
      </c>
      <c r="AV340" s="120" t="str">
        <f>IFERROR(VLOOKUP(Table1[RespondentID],'All Data'!$A$3:$CW$999,99,FALSE),"unknown")</f>
        <v>Yes</v>
      </c>
    </row>
    <row r="341" spans="1:48">
      <c r="A341" s="5">
        <v>18013301185</v>
      </c>
      <c r="B341" s="5"/>
      <c r="C341" s="5" t="s">
        <v>39</v>
      </c>
      <c r="D341" s="5"/>
      <c r="E341" s="5"/>
      <c r="F341" s="5"/>
      <c r="G341" s="5"/>
      <c r="H341" s="5"/>
      <c r="I341" s="5"/>
      <c r="J341" s="5"/>
      <c r="K341" s="5"/>
      <c r="L341" s="5"/>
      <c r="M341" s="5"/>
      <c r="N341" s="5"/>
      <c r="O341" s="5">
        <f t="shared" si="85"/>
        <v>1</v>
      </c>
      <c r="P341" s="5">
        <f t="shared" si="86"/>
        <v>3</v>
      </c>
      <c r="Q341" s="5"/>
      <c r="R341" s="5">
        <f t="shared" si="87"/>
        <v>0</v>
      </c>
      <c r="S341" s="5">
        <f t="shared" si="88"/>
        <v>1</v>
      </c>
      <c r="T341" s="5">
        <f t="shared" si="89"/>
        <v>0</v>
      </c>
      <c r="U341" s="5">
        <f t="shared" si="90"/>
        <v>0</v>
      </c>
      <c r="V341" s="5">
        <f t="shared" si="91"/>
        <v>0</v>
      </c>
      <c r="W341" s="5">
        <f t="shared" si="92"/>
        <v>0</v>
      </c>
      <c r="X341" s="5">
        <f t="shared" si="93"/>
        <v>0</v>
      </c>
      <c r="Y341" s="5">
        <f t="shared" si="94"/>
        <v>0</v>
      </c>
      <c r="Z341" s="5">
        <f t="shared" si="95"/>
        <v>0</v>
      </c>
      <c r="AA341" s="5">
        <f t="shared" si="96"/>
        <v>0</v>
      </c>
      <c r="AB341" s="5">
        <f t="shared" si="97"/>
        <v>0</v>
      </c>
      <c r="AC341" s="5">
        <f t="shared" si="98"/>
        <v>0</v>
      </c>
      <c r="AD341" s="5"/>
      <c r="AE341" s="5"/>
      <c r="AF341" s="5">
        <f t="shared" si="99"/>
        <v>1</v>
      </c>
      <c r="AG341" s="5">
        <f t="shared" si="100"/>
        <v>1</v>
      </c>
      <c r="AH341" s="5" t="str">
        <f t="shared" si="101"/>
        <v>Correct</v>
      </c>
      <c r="AI341" s="5"/>
      <c r="AJ341" s="120" t="str">
        <f>IFERROR(VLOOKUP(Table1[RespondentID],'All Data'!$A$3:$CO$999,87,FALSE),"unknown")</f>
        <v>Man</v>
      </c>
      <c r="AK341" s="120">
        <f>IFERROR(VLOOKUP(Table1[RespondentID],'All Data'!$A$3:$CO$999,88,FALSE),"unknown")</f>
        <v>26</v>
      </c>
      <c r="AL341" s="120" t="str">
        <f>IFERROR(VLOOKUP(Table1[RespondentID],'All Data'!$A$3:$CO$999,89,FALSE),"unknown")</f>
        <v>Nassau</v>
      </c>
      <c r="AM341" s="120" t="str">
        <f>IFERROR(VLOOKUP(Table1[RespondentID],'All Data'!$A$3:$CO$999,90,FALSE),"unknown")</f>
        <v>Jericho, 11753</v>
      </c>
      <c r="AN341" s="120" t="str">
        <f>IFERROR(VLOOKUP(Table1[RespondentID],'All Data'!$A$3:$CO$999,91,FALSE),"unknown")</f>
        <v>White</v>
      </c>
      <c r="AO341" s="120" t="str">
        <f>IFERROR(VLOOKUP(Table1[RespondentID],'All Data'!$A$3:$CO$999,92,FALSE),"unknown")</f>
        <v>Hispanic or Latino</v>
      </c>
      <c r="AP341" s="120" t="str">
        <f>IFERROR(VLOOKUP(Table1[RespondentID],'All Data'!$A$3:$CO$999,93,FALSE),"unknown")</f>
        <v>English</v>
      </c>
      <c r="AQ341" s="120" t="str">
        <f>IFERROR(VLOOKUP(Table1[RespondentID],'All Data'!$A$3:$CW$999,94,FALSE),"unknown")</f>
        <v>Over $125,000</v>
      </c>
      <c r="AR341" s="120" t="str">
        <f>IFERROR(VLOOKUP(Table1[RespondentID],'All Data'!$A$3:$CW$999,95,FALSE),"unknown")</f>
        <v>Graduate school</v>
      </c>
      <c r="AS341" s="120" t="str">
        <f>IFERROR(VLOOKUP(Table1[RespondentID],'All Data'!$A$3:$CW$999,96,FALSE),"unknown")</f>
        <v>Employed for wages</v>
      </c>
      <c r="AT341" s="120" t="str">
        <f>IFERROR(VLOOKUP(Table1[RespondentID],'All Data'!$A$3:$CW$999,97,FALSE),"unknown")</f>
        <v>Yes</v>
      </c>
      <c r="AU341" s="120" t="str">
        <f>IFERROR(VLOOKUP(Table1[RespondentID],'All Data'!$A$3:$CW$999,98,FALSE),"unknown")</f>
        <v>Private/Commercial</v>
      </c>
      <c r="AV341" s="120" t="str">
        <f>IFERROR(VLOOKUP(Table1[RespondentID],'All Data'!$A$3:$CW$999,99,FALSE),"unknown")</f>
        <v>Yes</v>
      </c>
    </row>
    <row r="342" spans="1:48">
      <c r="A342" s="5">
        <v>18013187377</v>
      </c>
      <c r="B342" s="5"/>
      <c r="C342" s="5"/>
      <c r="D342" s="5"/>
      <c r="E342" s="5"/>
      <c r="F342" s="5"/>
      <c r="G342" s="5"/>
      <c r="H342" s="5" t="s">
        <v>43</v>
      </c>
      <c r="I342" s="5"/>
      <c r="J342" s="5" t="s">
        <v>45</v>
      </c>
      <c r="K342" s="5"/>
      <c r="L342" s="5"/>
      <c r="M342" s="5"/>
      <c r="N342" s="5"/>
      <c r="O342" s="5">
        <f t="shared" si="85"/>
        <v>2</v>
      </c>
      <c r="P342" s="5">
        <f t="shared" si="86"/>
        <v>1.5</v>
      </c>
      <c r="Q342" s="5"/>
      <c r="R342" s="5">
        <f t="shared" si="87"/>
        <v>0</v>
      </c>
      <c r="S342" s="5">
        <f t="shared" si="88"/>
        <v>0</v>
      </c>
      <c r="T342" s="5">
        <f t="shared" si="89"/>
        <v>0</v>
      </c>
      <c r="U342" s="5">
        <f t="shared" si="90"/>
        <v>0</v>
      </c>
      <c r="V342" s="5">
        <f t="shared" si="91"/>
        <v>0</v>
      </c>
      <c r="W342" s="5">
        <f t="shared" si="92"/>
        <v>0</v>
      </c>
      <c r="X342" s="5">
        <f t="shared" si="93"/>
        <v>1</v>
      </c>
      <c r="Y342" s="5">
        <f t="shared" si="94"/>
        <v>0</v>
      </c>
      <c r="Z342" s="5">
        <f t="shared" si="95"/>
        <v>1</v>
      </c>
      <c r="AA342" s="5">
        <f t="shared" si="96"/>
        <v>0</v>
      </c>
      <c r="AB342" s="5">
        <f t="shared" si="97"/>
        <v>0</v>
      </c>
      <c r="AC342" s="5">
        <f t="shared" si="98"/>
        <v>0</v>
      </c>
      <c r="AD342" s="5"/>
      <c r="AE342" s="5"/>
      <c r="AF342" s="5">
        <f t="shared" si="99"/>
        <v>2</v>
      </c>
      <c r="AG342" s="5">
        <f t="shared" si="100"/>
        <v>2</v>
      </c>
      <c r="AH342" s="5" t="str">
        <f t="shared" si="101"/>
        <v>Correct</v>
      </c>
      <c r="AI342" s="5"/>
      <c r="AJ342" s="120" t="str">
        <f>IFERROR(VLOOKUP(Table1[RespondentID],'All Data'!$A$3:$CO$999,87,FALSE),"unknown")</f>
        <v>Man</v>
      </c>
      <c r="AK342" s="120">
        <f>IFERROR(VLOOKUP(Table1[RespondentID],'All Data'!$A$3:$CO$999,88,FALSE),"unknown")</f>
        <v>45</v>
      </c>
      <c r="AL342" s="120" t="str">
        <f>IFERROR(VLOOKUP(Table1[RespondentID],'All Data'!$A$3:$CO$999,89,FALSE),"unknown")</f>
        <v>Suffolk</v>
      </c>
      <c r="AM342" s="120" t="str">
        <f>IFERROR(VLOOKUP(Table1[RespondentID],'All Data'!$A$3:$CO$999,90,FALSE),"unknown")</f>
        <v>Riverhead, 11901</v>
      </c>
      <c r="AN342" s="120" t="str">
        <f>IFERROR(VLOOKUP(Table1[RespondentID],'All Data'!$A$3:$CO$999,91,FALSE),"unknown")</f>
        <v>White</v>
      </c>
      <c r="AO342" s="120" t="str">
        <f>IFERROR(VLOOKUP(Table1[RespondentID],'All Data'!$A$3:$CO$999,92,FALSE),"unknown")</f>
        <v>Hispanic or Latino</v>
      </c>
      <c r="AP342" s="120" t="str">
        <f>IFERROR(VLOOKUP(Table1[RespondentID],'All Data'!$A$3:$CO$999,93,FALSE),"unknown")</f>
        <v>English</v>
      </c>
      <c r="AQ342" s="120" t="str">
        <f>IFERROR(VLOOKUP(Table1[RespondentID],'All Data'!$A$3:$CW$999,94,FALSE),"unknown")</f>
        <v>Over $125,000</v>
      </c>
      <c r="AR342" s="120" t="str">
        <f>IFERROR(VLOOKUP(Table1[RespondentID],'All Data'!$A$3:$CW$999,95,FALSE),"unknown")</f>
        <v>Some college</v>
      </c>
      <c r="AS342" s="120" t="str">
        <f>IFERROR(VLOOKUP(Table1[RespondentID],'All Data'!$A$3:$CW$999,96,FALSE),"unknown")</f>
        <v>Employed for wages</v>
      </c>
      <c r="AT342" s="120" t="str">
        <f>IFERROR(VLOOKUP(Table1[RespondentID],'All Data'!$A$3:$CW$999,97,FALSE),"unknown")</f>
        <v>Yes</v>
      </c>
      <c r="AU342" s="120" t="str">
        <f>IFERROR(VLOOKUP(Table1[RespondentID],'All Data'!$A$3:$CW$999,98,FALSE),"unknown")</f>
        <v>Private/Commercial</v>
      </c>
      <c r="AV342" s="120" t="str">
        <f>IFERROR(VLOOKUP(Table1[RespondentID],'All Data'!$A$3:$CW$999,99,FALSE),"unknown")</f>
        <v>Yes</v>
      </c>
    </row>
    <row r="343" spans="1:48">
      <c r="A343" s="5">
        <v>18012940725</v>
      </c>
      <c r="B343" s="5" t="s">
        <v>38</v>
      </c>
      <c r="C343" s="5" t="s">
        <v>39</v>
      </c>
      <c r="D343" s="5"/>
      <c r="E343" s="5" t="s">
        <v>41</v>
      </c>
      <c r="F343" s="5"/>
      <c r="G343" s="5"/>
      <c r="H343" s="5"/>
      <c r="I343" s="5"/>
      <c r="J343" s="5"/>
      <c r="K343" s="5"/>
      <c r="L343" s="5"/>
      <c r="M343" s="5"/>
      <c r="N343" s="5"/>
      <c r="O343" s="5">
        <f t="shared" si="85"/>
        <v>3</v>
      </c>
      <c r="P343" s="5">
        <f t="shared" si="86"/>
        <v>1</v>
      </c>
      <c r="Q343" s="5"/>
      <c r="R343" s="5">
        <f t="shared" si="87"/>
        <v>1</v>
      </c>
      <c r="S343" s="5">
        <f t="shared" si="88"/>
        <v>1</v>
      </c>
      <c r="T343" s="5">
        <f t="shared" si="89"/>
        <v>0</v>
      </c>
      <c r="U343" s="5">
        <f t="shared" si="90"/>
        <v>1</v>
      </c>
      <c r="V343" s="5">
        <f t="shared" si="91"/>
        <v>0</v>
      </c>
      <c r="W343" s="5">
        <f t="shared" si="92"/>
        <v>0</v>
      </c>
      <c r="X343" s="5">
        <f t="shared" si="93"/>
        <v>0</v>
      </c>
      <c r="Y343" s="5">
        <f t="shared" si="94"/>
        <v>0</v>
      </c>
      <c r="Z343" s="5">
        <f t="shared" si="95"/>
        <v>0</v>
      </c>
      <c r="AA343" s="5">
        <f t="shared" si="96"/>
        <v>0</v>
      </c>
      <c r="AB343" s="5">
        <f t="shared" si="97"/>
        <v>0</v>
      </c>
      <c r="AC343" s="5">
        <f t="shared" si="98"/>
        <v>0</v>
      </c>
      <c r="AD343" s="5"/>
      <c r="AE343" s="5"/>
      <c r="AF343" s="5">
        <f t="shared" si="99"/>
        <v>3</v>
      </c>
      <c r="AG343" s="5">
        <f t="shared" si="100"/>
        <v>3</v>
      </c>
      <c r="AH343" s="5" t="str">
        <f t="shared" si="101"/>
        <v>Correct</v>
      </c>
      <c r="AI343" s="5"/>
      <c r="AJ343" s="120" t="str">
        <f>IFERROR(VLOOKUP(Table1[RespondentID],'All Data'!$A$3:$CO$999,87,FALSE),"unknown")</f>
        <v>Man</v>
      </c>
      <c r="AK343" s="120">
        <f>IFERROR(VLOOKUP(Table1[RespondentID],'All Data'!$A$3:$CO$999,88,FALSE),"unknown")</f>
        <v>47</v>
      </c>
      <c r="AL343" s="120" t="str">
        <f>IFERROR(VLOOKUP(Table1[RespondentID],'All Data'!$A$3:$CO$999,89,FALSE),"unknown")</f>
        <v>Suffolk</v>
      </c>
      <c r="AM343" s="120" t="str">
        <f>IFERROR(VLOOKUP(Table1[RespondentID],'All Data'!$A$3:$CO$999,90,FALSE),"unknown")</f>
        <v>Setauket, 11733</v>
      </c>
      <c r="AN343" s="120" t="str">
        <f>IFERROR(VLOOKUP(Table1[RespondentID],'All Data'!$A$3:$CO$999,91,FALSE),"unknown")</f>
        <v>White</v>
      </c>
      <c r="AO343" s="120" t="str">
        <f>IFERROR(VLOOKUP(Table1[RespondentID],'All Data'!$A$3:$CO$999,92,FALSE),"unknown")</f>
        <v>Hispanic or Latino</v>
      </c>
      <c r="AP343" s="120" t="str">
        <f>IFERROR(VLOOKUP(Table1[RespondentID],'All Data'!$A$3:$CO$999,93,FALSE),"unknown")</f>
        <v>English</v>
      </c>
      <c r="AQ343" s="120" t="str">
        <f>IFERROR(VLOOKUP(Table1[RespondentID],'All Data'!$A$3:$CW$999,94,FALSE),"unknown")</f>
        <v>Over $125,000</v>
      </c>
      <c r="AR343" s="120" t="str">
        <f>IFERROR(VLOOKUP(Table1[RespondentID],'All Data'!$A$3:$CW$999,95,FALSE),"unknown")</f>
        <v>College graduate</v>
      </c>
      <c r="AS343" s="120" t="str">
        <f>IFERROR(VLOOKUP(Table1[RespondentID],'All Data'!$A$3:$CW$999,96,FALSE),"unknown")</f>
        <v>Employed for wages</v>
      </c>
      <c r="AT343" s="120" t="str">
        <f>IFERROR(VLOOKUP(Table1[RespondentID],'All Data'!$A$3:$CW$999,97,FALSE),"unknown")</f>
        <v>Yes</v>
      </c>
      <c r="AU343" s="120">
        <f>IFERROR(VLOOKUP(Table1[RespondentID],'All Data'!$A$3:$CW$999,98,FALSE),"unknown")</f>
        <v>0</v>
      </c>
      <c r="AV343" s="120" t="str">
        <f>IFERROR(VLOOKUP(Table1[RespondentID],'All Data'!$A$3:$CW$999,99,FALSE),"unknown")</f>
        <v>Yes</v>
      </c>
    </row>
    <row r="344" spans="1:48">
      <c r="A344" s="5">
        <v>18012862597</v>
      </c>
      <c r="B344" s="5" t="s">
        <v>38</v>
      </c>
      <c r="C344" s="5" t="s">
        <v>39</v>
      </c>
      <c r="D344" s="5" t="s">
        <v>40</v>
      </c>
      <c r="E344" s="5" t="s">
        <v>41</v>
      </c>
      <c r="F344" s="5"/>
      <c r="G344" s="5" t="s">
        <v>37</v>
      </c>
      <c r="H344" s="5" t="s">
        <v>43</v>
      </c>
      <c r="I344" s="5" t="s">
        <v>44</v>
      </c>
      <c r="J344" s="5"/>
      <c r="K344" s="5" t="s">
        <v>46</v>
      </c>
      <c r="L344" s="5"/>
      <c r="M344" s="5"/>
      <c r="N344" s="5"/>
      <c r="O344" s="5">
        <f t="shared" si="85"/>
        <v>8</v>
      </c>
      <c r="P344" s="5">
        <f t="shared" si="86"/>
        <v>0.375</v>
      </c>
      <c r="Q344" s="5"/>
      <c r="R344" s="5">
        <f t="shared" si="87"/>
        <v>0.375</v>
      </c>
      <c r="S344" s="5">
        <f t="shared" si="88"/>
        <v>0.375</v>
      </c>
      <c r="T344" s="5">
        <f t="shared" si="89"/>
        <v>0.375</v>
      </c>
      <c r="U344" s="5">
        <f t="shared" si="90"/>
        <v>0.375</v>
      </c>
      <c r="V344" s="5">
        <f t="shared" si="91"/>
        <v>0</v>
      </c>
      <c r="W344" s="5">
        <f t="shared" si="92"/>
        <v>0.375</v>
      </c>
      <c r="X344" s="5">
        <f t="shared" si="93"/>
        <v>0.375</v>
      </c>
      <c r="Y344" s="5">
        <f t="shared" si="94"/>
        <v>0.375</v>
      </c>
      <c r="Z344" s="5">
        <f t="shared" si="95"/>
        <v>0</v>
      </c>
      <c r="AA344" s="5">
        <f t="shared" si="96"/>
        <v>0.375</v>
      </c>
      <c r="AB344" s="5">
        <f t="shared" si="97"/>
        <v>0</v>
      </c>
      <c r="AC344" s="5">
        <f t="shared" si="98"/>
        <v>0</v>
      </c>
      <c r="AD344" s="5"/>
      <c r="AE344" s="5"/>
      <c r="AF344" s="5">
        <f t="shared" si="99"/>
        <v>3</v>
      </c>
      <c r="AG344" s="5">
        <f t="shared" si="100"/>
        <v>8</v>
      </c>
      <c r="AH344" s="5" t="str">
        <f t="shared" si="101"/>
        <v>Correct</v>
      </c>
      <c r="AI344" s="5"/>
      <c r="AJ344" s="120" t="str">
        <f>IFERROR(VLOOKUP(Table1[RespondentID],'All Data'!$A$3:$CO$999,87,FALSE),"unknown")</f>
        <v>Man</v>
      </c>
      <c r="AK344" s="120">
        <f>IFERROR(VLOOKUP(Table1[RespondentID],'All Data'!$A$3:$CO$999,88,FALSE),"unknown")</f>
        <v>69</v>
      </c>
      <c r="AL344" s="120" t="str">
        <f>IFERROR(VLOOKUP(Table1[RespondentID],'All Data'!$A$3:$CO$999,89,FALSE),"unknown")</f>
        <v>Nassau</v>
      </c>
      <c r="AM344" s="120" t="str">
        <f>IFERROR(VLOOKUP(Table1[RespondentID],'All Data'!$A$3:$CO$999,90,FALSE),"unknown")</f>
        <v>Farmingdale, 11735</v>
      </c>
      <c r="AN344" s="120" t="str">
        <f>IFERROR(VLOOKUP(Table1[RespondentID],'All Data'!$A$3:$CO$999,91,FALSE),"unknown")</f>
        <v>White</v>
      </c>
      <c r="AO344" s="120" t="str">
        <f>IFERROR(VLOOKUP(Table1[RespondentID],'All Data'!$A$3:$CO$999,92,FALSE),"unknown")</f>
        <v>Hispanic or Latino</v>
      </c>
      <c r="AP344" s="120" t="str">
        <f>IFERROR(VLOOKUP(Table1[RespondentID],'All Data'!$A$3:$CO$999,93,FALSE),"unknown")</f>
        <v>English</v>
      </c>
      <c r="AQ344" s="120" t="str">
        <f>IFERROR(VLOOKUP(Table1[RespondentID],'All Data'!$A$3:$CW$999,94,FALSE),"unknown")</f>
        <v>$50,000 to $74,999</v>
      </c>
      <c r="AR344" s="120" t="str">
        <f>IFERROR(VLOOKUP(Table1[RespondentID],'All Data'!$A$3:$CW$999,95,FALSE),"unknown")</f>
        <v>Some college</v>
      </c>
      <c r="AS344" s="120" t="str">
        <f>IFERROR(VLOOKUP(Table1[RespondentID],'All Data'!$A$3:$CW$999,96,FALSE),"unknown")</f>
        <v>Employed for wages</v>
      </c>
      <c r="AT344" s="120" t="str">
        <f>IFERROR(VLOOKUP(Table1[RespondentID],'All Data'!$A$3:$CW$999,97,FALSE),"unknown")</f>
        <v>Yes</v>
      </c>
      <c r="AU344" s="120" t="str">
        <f>IFERROR(VLOOKUP(Table1[RespondentID],'All Data'!$A$3:$CW$999,98,FALSE),"unknown")</f>
        <v>Private/Commercial</v>
      </c>
      <c r="AV344" s="120" t="str">
        <f>IFERROR(VLOOKUP(Table1[RespondentID],'All Data'!$A$3:$CW$999,99,FALSE),"unknown")</f>
        <v>Yes</v>
      </c>
    </row>
    <row r="345" spans="1:48">
      <c r="A345" s="5">
        <v>18012790929</v>
      </c>
      <c r="B345" s="5"/>
      <c r="C345" s="5" t="s">
        <v>39</v>
      </c>
      <c r="D345" s="5"/>
      <c r="E345" s="5" t="s">
        <v>41</v>
      </c>
      <c r="F345" s="5"/>
      <c r="G345" s="5"/>
      <c r="H345" s="5"/>
      <c r="I345" s="5"/>
      <c r="J345" s="5"/>
      <c r="K345" s="5" t="s">
        <v>46</v>
      </c>
      <c r="L345" s="5"/>
      <c r="M345" s="5"/>
      <c r="N345" s="5"/>
      <c r="O345" s="5">
        <f t="shared" si="85"/>
        <v>3</v>
      </c>
      <c r="P345" s="5">
        <f t="shared" si="86"/>
        <v>1</v>
      </c>
      <c r="Q345" s="5"/>
      <c r="R345" s="5">
        <f t="shared" si="87"/>
        <v>0</v>
      </c>
      <c r="S345" s="5">
        <f t="shared" si="88"/>
        <v>1</v>
      </c>
      <c r="T345" s="5">
        <f t="shared" si="89"/>
        <v>0</v>
      </c>
      <c r="U345" s="5">
        <f t="shared" si="90"/>
        <v>1</v>
      </c>
      <c r="V345" s="5">
        <f t="shared" si="91"/>
        <v>0</v>
      </c>
      <c r="W345" s="5">
        <f t="shared" si="92"/>
        <v>0</v>
      </c>
      <c r="X345" s="5">
        <f t="shared" si="93"/>
        <v>0</v>
      </c>
      <c r="Y345" s="5">
        <f t="shared" si="94"/>
        <v>0</v>
      </c>
      <c r="Z345" s="5">
        <f t="shared" si="95"/>
        <v>0</v>
      </c>
      <c r="AA345" s="5">
        <f t="shared" si="96"/>
        <v>1</v>
      </c>
      <c r="AB345" s="5">
        <f t="shared" si="97"/>
        <v>0</v>
      </c>
      <c r="AC345" s="5">
        <f t="shared" si="98"/>
        <v>0</v>
      </c>
      <c r="AD345" s="5"/>
      <c r="AE345" s="5"/>
      <c r="AF345" s="5">
        <f t="shared" si="99"/>
        <v>3</v>
      </c>
      <c r="AG345" s="5">
        <f t="shared" si="100"/>
        <v>3</v>
      </c>
      <c r="AH345" s="5" t="str">
        <f t="shared" si="101"/>
        <v>Correct</v>
      </c>
      <c r="AI345" s="5"/>
      <c r="AJ345" s="120" t="str">
        <f>IFERROR(VLOOKUP(Table1[RespondentID],'All Data'!$A$3:$CO$999,87,FALSE),"unknown")</f>
        <v>Man</v>
      </c>
      <c r="AK345" s="120">
        <f>IFERROR(VLOOKUP(Table1[RespondentID],'All Data'!$A$3:$CO$999,88,FALSE),"unknown")</f>
        <v>42</v>
      </c>
      <c r="AL345" s="120" t="str">
        <f>IFERROR(VLOOKUP(Table1[RespondentID],'All Data'!$A$3:$CO$999,89,FALSE),"unknown")</f>
        <v>Suffolk</v>
      </c>
      <c r="AM345" s="120" t="str">
        <f>IFERROR(VLOOKUP(Table1[RespondentID],'All Data'!$A$3:$CO$999,90,FALSE),"unknown")</f>
        <v>Nesconset, 11767</v>
      </c>
      <c r="AN345" s="120" t="str">
        <f>IFERROR(VLOOKUP(Table1[RespondentID],'All Data'!$A$3:$CO$999,91,FALSE),"unknown")</f>
        <v>White</v>
      </c>
      <c r="AO345" s="120" t="str">
        <f>IFERROR(VLOOKUP(Table1[RespondentID],'All Data'!$A$3:$CO$999,92,FALSE),"unknown")</f>
        <v>Hispanic or Latino</v>
      </c>
      <c r="AP345" s="120" t="str">
        <f>IFERROR(VLOOKUP(Table1[RespondentID],'All Data'!$A$3:$CO$999,93,FALSE),"unknown")</f>
        <v>English</v>
      </c>
      <c r="AQ345" s="120" t="str">
        <f>IFERROR(VLOOKUP(Table1[RespondentID],'All Data'!$A$3:$CW$999,94,FALSE),"unknown")</f>
        <v>$0-$19,999</v>
      </c>
      <c r="AR345" s="120" t="str">
        <f>IFERROR(VLOOKUP(Table1[RespondentID],'All Data'!$A$3:$CW$999,95,FALSE),"unknown")</f>
        <v>Some college</v>
      </c>
      <c r="AS345" s="120" t="str">
        <f>IFERROR(VLOOKUP(Table1[RespondentID],'All Data'!$A$3:$CW$999,96,FALSE),"unknown")</f>
        <v>Out of work and looking for work</v>
      </c>
      <c r="AT345" s="120" t="str">
        <f>IFERROR(VLOOKUP(Table1[RespondentID],'All Data'!$A$3:$CW$999,97,FALSE),"unknown")</f>
        <v>Yes</v>
      </c>
      <c r="AU345" s="120" t="str">
        <f>IFERROR(VLOOKUP(Table1[RespondentID],'All Data'!$A$3:$CW$999,98,FALSE),"unknown")</f>
        <v>Medicaid</v>
      </c>
      <c r="AV345" s="120" t="str">
        <f>IFERROR(VLOOKUP(Table1[RespondentID],'All Data'!$A$3:$CW$999,99,FALSE),"unknown")</f>
        <v>Yes</v>
      </c>
    </row>
    <row r="346" spans="1:48">
      <c r="A346" s="5">
        <v>18012747258</v>
      </c>
      <c r="B346" s="5"/>
      <c r="C346" s="5" t="s">
        <v>39</v>
      </c>
      <c r="D346" s="5"/>
      <c r="E346" s="5" t="s">
        <v>41</v>
      </c>
      <c r="F346" s="5"/>
      <c r="G346" s="5"/>
      <c r="H346" s="5"/>
      <c r="I346" s="5"/>
      <c r="J346" s="5"/>
      <c r="K346" s="5" t="s">
        <v>46</v>
      </c>
      <c r="L346" s="5"/>
      <c r="M346" s="5"/>
      <c r="N346" s="5"/>
      <c r="O346" s="5">
        <f t="shared" si="85"/>
        <v>3</v>
      </c>
      <c r="P346" s="5">
        <f t="shared" si="86"/>
        <v>1</v>
      </c>
      <c r="Q346" s="5"/>
      <c r="R346" s="5">
        <f t="shared" si="87"/>
        <v>0</v>
      </c>
      <c r="S346" s="5">
        <f t="shared" si="88"/>
        <v>1</v>
      </c>
      <c r="T346" s="5">
        <f t="shared" si="89"/>
        <v>0</v>
      </c>
      <c r="U346" s="5">
        <f t="shared" si="90"/>
        <v>1</v>
      </c>
      <c r="V346" s="5">
        <f t="shared" si="91"/>
        <v>0</v>
      </c>
      <c r="W346" s="5">
        <f t="shared" si="92"/>
        <v>0</v>
      </c>
      <c r="X346" s="5">
        <f t="shared" si="93"/>
        <v>0</v>
      </c>
      <c r="Y346" s="5">
        <f t="shared" si="94"/>
        <v>0</v>
      </c>
      <c r="Z346" s="5">
        <f t="shared" si="95"/>
        <v>0</v>
      </c>
      <c r="AA346" s="5">
        <f t="shared" si="96"/>
        <v>1</v>
      </c>
      <c r="AB346" s="5">
        <f t="shared" si="97"/>
        <v>0</v>
      </c>
      <c r="AC346" s="5">
        <f t="shared" si="98"/>
        <v>0</v>
      </c>
      <c r="AD346" s="5"/>
      <c r="AE346" s="5"/>
      <c r="AF346" s="5">
        <f t="shared" si="99"/>
        <v>3</v>
      </c>
      <c r="AG346" s="5">
        <f t="shared" si="100"/>
        <v>3</v>
      </c>
      <c r="AH346" s="5" t="str">
        <f t="shared" si="101"/>
        <v>Correct</v>
      </c>
      <c r="AI346" s="5"/>
      <c r="AJ346" s="120" t="str">
        <f>IFERROR(VLOOKUP(Table1[RespondentID],'All Data'!$A$3:$CO$999,87,FALSE),"unknown")</f>
        <v>Man</v>
      </c>
      <c r="AK346" s="120">
        <f>IFERROR(VLOOKUP(Table1[RespondentID],'All Data'!$A$3:$CO$999,88,FALSE),"unknown")</f>
        <v>40</v>
      </c>
      <c r="AL346" s="120" t="str">
        <f>IFERROR(VLOOKUP(Table1[RespondentID],'All Data'!$A$3:$CO$999,89,FALSE),"unknown")</f>
        <v>Suffolk</v>
      </c>
      <c r="AM346" s="120" t="str">
        <f>IFERROR(VLOOKUP(Table1[RespondentID],'All Data'!$A$3:$CO$999,90,FALSE),"unknown")</f>
        <v>Bay Shore, 11706</v>
      </c>
      <c r="AN346" s="120" t="str">
        <f>IFERROR(VLOOKUP(Table1[RespondentID],'All Data'!$A$3:$CO$999,91,FALSE),"unknown")</f>
        <v>White</v>
      </c>
      <c r="AO346" s="120" t="str">
        <f>IFERROR(VLOOKUP(Table1[RespondentID],'All Data'!$A$3:$CO$999,92,FALSE),"unknown")</f>
        <v>Hispanic or Latino</v>
      </c>
      <c r="AP346" s="120" t="str">
        <f>IFERROR(VLOOKUP(Table1[RespondentID],'All Data'!$A$3:$CO$999,93,FALSE),"unknown")</f>
        <v>English</v>
      </c>
      <c r="AQ346" s="120" t="str">
        <f>IFERROR(VLOOKUP(Table1[RespondentID],'All Data'!$A$3:$CW$999,94,FALSE),"unknown")</f>
        <v>$0-$19,999</v>
      </c>
      <c r="AR346" s="120" t="str">
        <f>IFERROR(VLOOKUP(Table1[RespondentID],'All Data'!$A$3:$CW$999,95,FALSE),"unknown")</f>
        <v>High school graduate</v>
      </c>
      <c r="AS346" s="120" t="str">
        <f>IFERROR(VLOOKUP(Table1[RespondentID],'All Data'!$A$3:$CW$999,96,FALSE),"unknown")</f>
        <v>Out of work and looking for work</v>
      </c>
      <c r="AT346" s="120" t="str">
        <f>IFERROR(VLOOKUP(Table1[RespondentID],'All Data'!$A$3:$CW$999,97,FALSE),"unknown")</f>
        <v>Yes</v>
      </c>
      <c r="AU346" s="120" t="str">
        <f>IFERROR(VLOOKUP(Table1[RespondentID],'All Data'!$A$3:$CW$999,98,FALSE),"unknown")</f>
        <v>Medicaid</v>
      </c>
      <c r="AV346" s="120" t="str">
        <f>IFERROR(VLOOKUP(Table1[RespondentID],'All Data'!$A$3:$CW$999,99,FALSE),"unknown")</f>
        <v>Yes</v>
      </c>
    </row>
    <row r="347" spans="1:48">
      <c r="A347" s="133">
        <v>18022877008</v>
      </c>
      <c r="B347" s="139" t="s">
        <v>38</v>
      </c>
      <c r="C347" s="107"/>
      <c r="D347" s="107"/>
      <c r="E347" s="107"/>
      <c r="F347" s="107"/>
      <c r="G347" s="107"/>
      <c r="H347" s="107"/>
      <c r="I347" s="107"/>
      <c r="J347" s="107"/>
      <c r="K347" s="107"/>
      <c r="L347" s="107"/>
      <c r="M347" s="107"/>
      <c r="N347" s="5"/>
      <c r="O347" s="18">
        <f t="shared" si="85"/>
        <v>1</v>
      </c>
      <c r="P347" s="18">
        <f t="shared" si="86"/>
        <v>3</v>
      </c>
      <c r="Q347" s="5"/>
      <c r="R347" s="18">
        <f t="shared" si="87"/>
        <v>1</v>
      </c>
      <c r="S347" s="18">
        <f t="shared" si="88"/>
        <v>0</v>
      </c>
      <c r="T347" s="18">
        <f t="shared" si="89"/>
        <v>0</v>
      </c>
      <c r="U347" s="18">
        <f t="shared" si="90"/>
        <v>0</v>
      </c>
      <c r="V347" s="18">
        <f t="shared" si="91"/>
        <v>0</v>
      </c>
      <c r="W347" s="18">
        <f t="shared" si="92"/>
        <v>0</v>
      </c>
      <c r="X347" s="18">
        <f t="shared" si="93"/>
        <v>0</v>
      </c>
      <c r="Y347" s="18">
        <f t="shared" si="94"/>
        <v>0</v>
      </c>
      <c r="Z347" s="18">
        <f t="shared" si="95"/>
        <v>0</v>
      </c>
      <c r="AA347" s="18">
        <f t="shared" si="96"/>
        <v>0</v>
      </c>
      <c r="AB347" s="18">
        <f t="shared" si="97"/>
        <v>0</v>
      </c>
      <c r="AC347" s="18">
        <f t="shared" si="98"/>
        <v>0</v>
      </c>
      <c r="AD347" s="5"/>
      <c r="AE347" s="5"/>
      <c r="AF347" s="18">
        <f t="shared" si="99"/>
        <v>1</v>
      </c>
      <c r="AG347" s="18">
        <f t="shared" si="100"/>
        <v>1</v>
      </c>
      <c r="AH347" s="18" t="str">
        <f t="shared" si="101"/>
        <v>Correct</v>
      </c>
      <c r="AI347" s="5"/>
      <c r="AJ347" s="120" t="str">
        <f>IFERROR(VLOOKUP(Table1[RespondentID],'All Data'!$A$3:$CO$999,87,FALSE),"unknown")</f>
        <v>Man</v>
      </c>
      <c r="AK347" s="120">
        <f>IFERROR(VLOOKUP(Table1[RespondentID],'All Data'!$A$3:$CO$999,88,FALSE),"unknown")</f>
        <v>54</v>
      </c>
      <c r="AL347" s="120" t="str">
        <f>IFERROR(VLOOKUP(Table1[RespondentID],'All Data'!$A$3:$CO$999,89,FALSE),"unknown")</f>
        <v>Suffolk</v>
      </c>
      <c r="AM347" s="120" t="str">
        <f>IFERROR(VLOOKUP(Table1[RespondentID],'All Data'!$A$3:$CO$999,90,FALSE),"unknown")</f>
        <v>Halesite, 11743</v>
      </c>
      <c r="AN347" s="120" t="str">
        <f>IFERROR(VLOOKUP(Table1[RespondentID],'All Data'!$A$3:$CO$999,91,FALSE),"unknown")</f>
        <v>White</v>
      </c>
      <c r="AO347" s="120" t="str">
        <f>IFERROR(VLOOKUP(Table1[RespondentID],'All Data'!$A$3:$CO$999,92,FALSE),"unknown")</f>
        <v>Hispanic or Latino</v>
      </c>
      <c r="AP347" s="120" t="str">
        <f>IFERROR(VLOOKUP(Table1[RespondentID],'All Data'!$A$3:$CO$999,93,FALSE),"unknown")</f>
        <v>English</v>
      </c>
      <c r="AQ347" s="120" t="str">
        <f>IFERROR(VLOOKUP(Table1[RespondentID],'All Data'!$A$3:$CW$999,94,FALSE),"unknown")</f>
        <v>Over $125,000</v>
      </c>
      <c r="AR347" s="120" t="str">
        <f>IFERROR(VLOOKUP(Table1[RespondentID],'All Data'!$A$3:$CW$999,95,FALSE),"unknown")</f>
        <v>Some college</v>
      </c>
      <c r="AS347" s="120">
        <f>IFERROR(VLOOKUP(Table1[RespondentID],'All Data'!$A$3:$CW$999,96,FALSE),"unknown")</f>
        <v>0</v>
      </c>
      <c r="AT347" s="120" t="str">
        <f>IFERROR(VLOOKUP(Table1[RespondentID],'All Data'!$A$3:$CW$999,97,FALSE),"unknown")</f>
        <v>Employed for wages</v>
      </c>
      <c r="AU347" s="120">
        <f>IFERROR(VLOOKUP(Table1[RespondentID],'All Data'!$A$3:$CW$999,98,FALSE),"unknown")</f>
        <v>0</v>
      </c>
      <c r="AV347" s="120">
        <f>IFERROR(VLOOKUP(Table1[RespondentID],'All Data'!$A$3:$CW$999,99,FALSE),"unknown")</f>
        <v>0</v>
      </c>
    </row>
    <row r="348" spans="1:48">
      <c r="A348" s="133">
        <v>18019100304</v>
      </c>
      <c r="B348" s="139"/>
      <c r="C348" s="107" t="s">
        <v>39</v>
      </c>
      <c r="D348" s="107"/>
      <c r="E348" s="107"/>
      <c r="F348" s="107"/>
      <c r="G348" s="107"/>
      <c r="H348" s="107" t="s">
        <v>43</v>
      </c>
      <c r="I348" s="107"/>
      <c r="J348" s="107"/>
      <c r="K348" s="107"/>
      <c r="L348" s="107" t="s">
        <v>47</v>
      </c>
      <c r="M348" s="107"/>
      <c r="N348" s="5"/>
      <c r="O348" s="18">
        <f t="shared" si="85"/>
        <v>3</v>
      </c>
      <c r="P348" s="18">
        <f t="shared" si="86"/>
        <v>1</v>
      </c>
      <c r="Q348" s="5"/>
      <c r="R348" s="18">
        <f t="shared" si="87"/>
        <v>0</v>
      </c>
      <c r="S348" s="18">
        <f t="shared" si="88"/>
        <v>1</v>
      </c>
      <c r="T348" s="18">
        <f t="shared" si="89"/>
        <v>0</v>
      </c>
      <c r="U348" s="18">
        <f t="shared" si="90"/>
        <v>0</v>
      </c>
      <c r="V348" s="18">
        <f t="shared" si="91"/>
        <v>0</v>
      </c>
      <c r="W348" s="18">
        <f t="shared" si="92"/>
        <v>0</v>
      </c>
      <c r="X348" s="18">
        <f t="shared" si="93"/>
        <v>1</v>
      </c>
      <c r="Y348" s="18">
        <f t="shared" si="94"/>
        <v>0</v>
      </c>
      <c r="Z348" s="18">
        <f t="shared" si="95"/>
        <v>0</v>
      </c>
      <c r="AA348" s="18">
        <f t="shared" si="96"/>
        <v>0</v>
      </c>
      <c r="AB348" s="18">
        <f t="shared" si="97"/>
        <v>1</v>
      </c>
      <c r="AC348" s="18">
        <f t="shared" si="98"/>
        <v>0</v>
      </c>
      <c r="AD348" s="5"/>
      <c r="AE348" s="5"/>
      <c r="AF348" s="18">
        <f t="shared" si="99"/>
        <v>3</v>
      </c>
      <c r="AG348" s="18">
        <f t="shared" si="100"/>
        <v>3</v>
      </c>
      <c r="AH348" s="18" t="str">
        <f t="shared" si="101"/>
        <v>Correct</v>
      </c>
      <c r="AI348" s="5"/>
      <c r="AJ348" s="120" t="str">
        <f>IFERROR(VLOOKUP(Table1[RespondentID],'All Data'!$A$3:$CO$999,87,FALSE),"unknown")</f>
        <v>Woman</v>
      </c>
      <c r="AK348" s="120">
        <f>IFERROR(VLOOKUP(Table1[RespondentID],'All Data'!$A$3:$CO$999,88,FALSE),"unknown")</f>
        <v>16</v>
      </c>
      <c r="AL348" s="120" t="str">
        <f>IFERROR(VLOOKUP(Table1[RespondentID],'All Data'!$A$3:$CO$999,89,FALSE),"unknown")</f>
        <v>Suffolk</v>
      </c>
      <c r="AM348" s="120" t="str">
        <f>IFERROR(VLOOKUP(Table1[RespondentID],'All Data'!$A$3:$CO$999,90,FALSE),"unknown")</f>
        <v>Commack, 11725</v>
      </c>
      <c r="AN348" s="120" t="str">
        <f>IFERROR(VLOOKUP(Table1[RespondentID],'All Data'!$A$3:$CO$999,91,FALSE),"unknown")</f>
        <v>White</v>
      </c>
      <c r="AO348" s="120" t="str">
        <f>IFERROR(VLOOKUP(Table1[RespondentID],'All Data'!$A$3:$CO$999,92,FALSE),"unknown")</f>
        <v>Hispanic or Latino</v>
      </c>
      <c r="AP348" s="120" t="str">
        <f>IFERROR(VLOOKUP(Table1[RespondentID],'All Data'!$A$3:$CO$999,93,FALSE),"unknown")</f>
        <v>English</v>
      </c>
      <c r="AQ348" s="120" t="str">
        <f>IFERROR(VLOOKUP(Table1[RespondentID],'All Data'!$A$3:$CW$999,94,FALSE),"unknown")</f>
        <v>$50,000 to $74,999</v>
      </c>
      <c r="AR348" s="120" t="str">
        <f>IFERROR(VLOOKUP(Table1[RespondentID],'All Data'!$A$3:$CW$999,95,FALSE),"unknown")</f>
        <v>Some high school</v>
      </c>
      <c r="AS348" s="120">
        <f>IFERROR(VLOOKUP(Table1[RespondentID],'All Data'!$A$3:$CW$999,96,FALSE),"unknown")</f>
        <v>0</v>
      </c>
      <c r="AT348" s="120" t="str">
        <f>IFERROR(VLOOKUP(Table1[RespondentID],'All Data'!$A$3:$CW$999,97,FALSE),"unknown")</f>
        <v>Employed for wages</v>
      </c>
      <c r="AU348" s="120">
        <f>IFERROR(VLOOKUP(Table1[RespondentID],'All Data'!$A$3:$CW$999,98,FALSE),"unknown")</f>
        <v>0</v>
      </c>
      <c r="AV348" s="120">
        <f>IFERROR(VLOOKUP(Table1[RespondentID],'All Data'!$A$3:$CW$999,99,FALSE),"unknown")</f>
        <v>0</v>
      </c>
    </row>
    <row r="349" spans="1:48">
      <c r="A349" s="133">
        <v>18019100026</v>
      </c>
      <c r="B349" s="139"/>
      <c r="C349" s="107"/>
      <c r="D349" s="107"/>
      <c r="E349" s="107"/>
      <c r="F349" s="107"/>
      <c r="G349" s="107"/>
      <c r="H349" s="107"/>
      <c r="I349" s="107" t="s">
        <v>44</v>
      </c>
      <c r="J349" s="107"/>
      <c r="K349" s="107"/>
      <c r="L349" s="107" t="s">
        <v>47</v>
      </c>
      <c r="M349" s="107" t="s">
        <v>48</v>
      </c>
      <c r="N349" s="5"/>
      <c r="O349" s="18">
        <f t="shared" si="85"/>
        <v>3</v>
      </c>
      <c r="P349" s="18">
        <f t="shared" si="86"/>
        <v>1</v>
      </c>
      <c r="Q349" s="5"/>
      <c r="R349" s="18">
        <f t="shared" si="87"/>
        <v>0</v>
      </c>
      <c r="S349" s="18">
        <f t="shared" si="88"/>
        <v>0</v>
      </c>
      <c r="T349" s="18">
        <f t="shared" si="89"/>
        <v>0</v>
      </c>
      <c r="U349" s="18">
        <f t="shared" si="90"/>
        <v>0</v>
      </c>
      <c r="V349" s="18">
        <f t="shared" si="91"/>
        <v>0</v>
      </c>
      <c r="W349" s="18">
        <f t="shared" si="92"/>
        <v>0</v>
      </c>
      <c r="X349" s="18">
        <f t="shared" si="93"/>
        <v>0</v>
      </c>
      <c r="Y349" s="18">
        <f t="shared" si="94"/>
        <v>1</v>
      </c>
      <c r="Z349" s="18">
        <f t="shared" si="95"/>
        <v>0</v>
      </c>
      <c r="AA349" s="18">
        <f t="shared" si="96"/>
        <v>0</v>
      </c>
      <c r="AB349" s="18">
        <f t="shared" si="97"/>
        <v>1</v>
      </c>
      <c r="AC349" s="18">
        <f t="shared" si="98"/>
        <v>1</v>
      </c>
      <c r="AD349" s="5"/>
      <c r="AE349" s="5"/>
      <c r="AF349" s="18">
        <f t="shared" si="99"/>
        <v>3</v>
      </c>
      <c r="AG349" s="18">
        <f t="shared" si="100"/>
        <v>3</v>
      </c>
      <c r="AH349" s="18" t="str">
        <f t="shared" si="101"/>
        <v>Correct</v>
      </c>
      <c r="AI349" s="5"/>
      <c r="AJ349" s="120" t="str">
        <f>IFERROR(VLOOKUP(Table1[RespondentID],'All Data'!$A$3:$CO$999,87,FALSE),"unknown")</f>
        <v>Woman</v>
      </c>
      <c r="AK349" s="120">
        <f>IFERROR(VLOOKUP(Table1[RespondentID],'All Data'!$A$3:$CO$999,88,FALSE),"unknown")</f>
        <v>73</v>
      </c>
      <c r="AL349" s="120" t="str">
        <f>IFERROR(VLOOKUP(Table1[RespondentID],'All Data'!$A$3:$CO$999,89,FALSE),"unknown")</f>
        <v>Suffolk</v>
      </c>
      <c r="AM349" s="120" t="str">
        <f>IFERROR(VLOOKUP(Table1[RespondentID],'All Data'!$A$3:$CO$999,90,FALSE),"unknown")</f>
        <v>Commack, 11725</v>
      </c>
      <c r="AN349" s="120" t="str">
        <f>IFERROR(VLOOKUP(Table1[RespondentID],'All Data'!$A$3:$CO$999,91,FALSE),"unknown")</f>
        <v>Asian</v>
      </c>
      <c r="AO349" s="120" t="str">
        <f>IFERROR(VLOOKUP(Table1[RespondentID],'All Data'!$A$3:$CO$999,92,FALSE),"unknown")</f>
        <v>Not Hispanic or Latino</v>
      </c>
      <c r="AP349" s="120" t="str">
        <f>IFERROR(VLOOKUP(Table1[RespondentID],'All Data'!$A$3:$CO$999,93,FALSE),"unknown")</f>
        <v>English,Spanish,Italian,</v>
      </c>
      <c r="AQ349" s="120" t="str">
        <f>IFERROR(VLOOKUP(Table1[RespondentID],'All Data'!$A$3:$CW$999,94,FALSE),"unknown")</f>
        <v>$75,000 to $125,000</v>
      </c>
      <c r="AR349" s="120" t="str">
        <f>IFERROR(VLOOKUP(Table1[RespondentID],'All Data'!$A$3:$CW$999,95,FALSE),"unknown")</f>
        <v>College graduate</v>
      </c>
      <c r="AS349" s="120">
        <f>IFERROR(VLOOKUP(Table1[RespondentID],'All Data'!$A$3:$CW$999,96,FALSE),"unknown")</f>
        <v>0</v>
      </c>
      <c r="AT349" s="120" t="str">
        <f>IFERROR(VLOOKUP(Table1[RespondentID],'All Data'!$A$3:$CW$999,97,FALSE),"unknown")</f>
        <v>Employed for wages</v>
      </c>
      <c r="AU349" s="120">
        <f>IFERROR(VLOOKUP(Table1[RespondentID],'All Data'!$A$3:$CW$999,98,FALSE),"unknown")</f>
        <v>0</v>
      </c>
      <c r="AV349" s="120">
        <f>IFERROR(VLOOKUP(Table1[RespondentID],'All Data'!$A$3:$CW$999,99,FALSE),"unknown")</f>
        <v>0</v>
      </c>
    </row>
    <row r="350" spans="1:48">
      <c r="A350" s="133">
        <v>18019099617</v>
      </c>
      <c r="B350" s="139"/>
      <c r="C350" s="107"/>
      <c r="D350" s="107" t="s">
        <v>40</v>
      </c>
      <c r="E350" s="107"/>
      <c r="F350" s="107" t="s">
        <v>42</v>
      </c>
      <c r="G350" s="107"/>
      <c r="H350" s="107"/>
      <c r="I350" s="107" t="s">
        <v>44</v>
      </c>
      <c r="J350" s="107"/>
      <c r="K350" s="107"/>
      <c r="L350" s="107"/>
      <c r="M350" s="107"/>
      <c r="N350" s="5"/>
      <c r="O350" s="18">
        <f t="shared" si="85"/>
        <v>3</v>
      </c>
      <c r="P350" s="18">
        <f t="shared" si="86"/>
        <v>1</v>
      </c>
      <c r="Q350" s="5"/>
      <c r="R350" s="18">
        <f t="shared" si="87"/>
        <v>0</v>
      </c>
      <c r="S350" s="18">
        <f t="shared" si="88"/>
        <v>0</v>
      </c>
      <c r="T350" s="18">
        <f t="shared" si="89"/>
        <v>1</v>
      </c>
      <c r="U350" s="18">
        <f t="shared" si="90"/>
        <v>0</v>
      </c>
      <c r="V350" s="18">
        <f t="shared" si="91"/>
        <v>1</v>
      </c>
      <c r="W350" s="18">
        <f t="shared" si="92"/>
        <v>0</v>
      </c>
      <c r="X350" s="18">
        <f t="shared" si="93"/>
        <v>0</v>
      </c>
      <c r="Y350" s="18">
        <f t="shared" si="94"/>
        <v>1</v>
      </c>
      <c r="Z350" s="18">
        <f t="shared" si="95"/>
        <v>0</v>
      </c>
      <c r="AA350" s="18">
        <f t="shared" si="96"/>
        <v>0</v>
      </c>
      <c r="AB350" s="18">
        <f t="shared" si="97"/>
        <v>0</v>
      </c>
      <c r="AC350" s="18">
        <f t="shared" si="98"/>
        <v>0</v>
      </c>
      <c r="AD350" s="5"/>
      <c r="AE350" s="5"/>
      <c r="AF350" s="18">
        <f t="shared" si="99"/>
        <v>3</v>
      </c>
      <c r="AG350" s="18">
        <f t="shared" si="100"/>
        <v>3</v>
      </c>
      <c r="AH350" s="18" t="str">
        <f t="shared" si="101"/>
        <v>Correct</v>
      </c>
      <c r="AI350" s="5"/>
      <c r="AJ350" s="120" t="str">
        <f>IFERROR(VLOOKUP(Table1[RespondentID],'All Data'!$A$3:$CO$999,87,FALSE),"unknown")</f>
        <v>Man</v>
      </c>
      <c r="AK350" s="120">
        <f>IFERROR(VLOOKUP(Table1[RespondentID],'All Data'!$A$3:$CO$999,88,FALSE),"unknown")</f>
        <v>87</v>
      </c>
      <c r="AL350" s="120" t="str">
        <f>IFERROR(VLOOKUP(Table1[RespondentID],'All Data'!$A$3:$CO$999,89,FALSE),"unknown")</f>
        <v>Suffolk</v>
      </c>
      <c r="AM350" s="120" t="str">
        <f>IFERROR(VLOOKUP(Table1[RespondentID],'All Data'!$A$3:$CO$999,90,FALSE),"unknown")</f>
        <v>Smithtown, 11787</v>
      </c>
      <c r="AN350" s="120" t="str">
        <f>IFERROR(VLOOKUP(Table1[RespondentID],'All Data'!$A$3:$CO$999,91,FALSE),"unknown")</f>
        <v>White</v>
      </c>
      <c r="AO350" s="120">
        <f>IFERROR(VLOOKUP(Table1[RespondentID],'All Data'!$A$3:$CO$999,92,FALSE),"unknown")</f>
        <v>0</v>
      </c>
      <c r="AP350" s="120" t="str">
        <f>IFERROR(VLOOKUP(Table1[RespondentID],'All Data'!$A$3:$CO$999,93,FALSE),"unknown")</f>
        <v>English,Spanish</v>
      </c>
      <c r="AQ350" s="120" t="str">
        <f>IFERROR(VLOOKUP(Table1[RespondentID],'All Data'!$A$3:$CW$999,94,FALSE),"unknown")</f>
        <v>$75,000 to $125,000</v>
      </c>
      <c r="AR350" s="120" t="str">
        <f>IFERROR(VLOOKUP(Table1[RespondentID],'All Data'!$A$3:$CW$999,95,FALSE),"unknown")</f>
        <v>College graduate</v>
      </c>
      <c r="AS350" s="120">
        <f>IFERROR(VLOOKUP(Table1[RespondentID],'All Data'!$A$3:$CW$999,96,FALSE),"unknown")</f>
        <v>0</v>
      </c>
      <c r="AT350" s="120" t="str">
        <f>IFERROR(VLOOKUP(Table1[RespondentID],'All Data'!$A$3:$CW$999,97,FALSE),"unknown")</f>
        <v>Retired</v>
      </c>
      <c r="AU350" s="120">
        <f>IFERROR(VLOOKUP(Table1[RespondentID],'All Data'!$A$3:$CW$999,98,FALSE),"unknown")</f>
        <v>0</v>
      </c>
      <c r="AV350" s="120">
        <f>IFERROR(VLOOKUP(Table1[RespondentID],'All Data'!$A$3:$CW$999,99,FALSE),"unknown")</f>
        <v>0</v>
      </c>
    </row>
    <row r="351" spans="1:48">
      <c r="A351" s="133">
        <v>18019099122</v>
      </c>
      <c r="B351" s="139"/>
      <c r="C351" s="107"/>
      <c r="D351" s="107" t="s">
        <v>40</v>
      </c>
      <c r="E351" s="107"/>
      <c r="F351" s="107"/>
      <c r="G351" s="107"/>
      <c r="H351" s="107" t="s">
        <v>43</v>
      </c>
      <c r="I351" s="107"/>
      <c r="J351" s="107"/>
      <c r="K351" s="107"/>
      <c r="L351" s="107"/>
      <c r="M351" s="107"/>
      <c r="N351" s="5"/>
      <c r="O351" s="18">
        <f t="shared" si="85"/>
        <v>2</v>
      </c>
      <c r="P351" s="18">
        <f t="shared" si="86"/>
        <v>1.5</v>
      </c>
      <c r="Q351" s="5"/>
      <c r="R351" s="18">
        <f t="shared" si="87"/>
        <v>0</v>
      </c>
      <c r="S351" s="18">
        <f t="shared" si="88"/>
        <v>0</v>
      </c>
      <c r="T351" s="18">
        <f t="shared" si="89"/>
        <v>1</v>
      </c>
      <c r="U351" s="18">
        <f t="shared" si="90"/>
        <v>0</v>
      </c>
      <c r="V351" s="18">
        <f t="shared" si="91"/>
        <v>0</v>
      </c>
      <c r="W351" s="18">
        <f t="shared" si="92"/>
        <v>0</v>
      </c>
      <c r="X351" s="18">
        <f t="shared" si="93"/>
        <v>1</v>
      </c>
      <c r="Y351" s="18">
        <f t="shared" si="94"/>
        <v>0</v>
      </c>
      <c r="Z351" s="18">
        <f t="shared" si="95"/>
        <v>0</v>
      </c>
      <c r="AA351" s="18">
        <f t="shared" si="96"/>
        <v>0</v>
      </c>
      <c r="AB351" s="18">
        <f t="shared" si="97"/>
        <v>0</v>
      </c>
      <c r="AC351" s="18">
        <f t="shared" si="98"/>
        <v>0</v>
      </c>
      <c r="AD351" s="5"/>
      <c r="AE351" s="5"/>
      <c r="AF351" s="18">
        <f t="shared" si="99"/>
        <v>2</v>
      </c>
      <c r="AG351" s="18">
        <f t="shared" si="100"/>
        <v>2</v>
      </c>
      <c r="AH351" s="18" t="str">
        <f t="shared" si="101"/>
        <v>Correct</v>
      </c>
      <c r="AI351" s="5"/>
      <c r="AJ351" s="120" t="str">
        <f>IFERROR(VLOOKUP(Table1[RespondentID],'All Data'!$A$3:$CO$999,87,FALSE),"unknown")</f>
        <v>Woman</v>
      </c>
      <c r="AK351" s="120">
        <f>IFERROR(VLOOKUP(Table1[RespondentID],'All Data'!$A$3:$CO$999,88,FALSE),"unknown")</f>
        <v>47</v>
      </c>
      <c r="AL351" s="120" t="str">
        <f>IFERROR(VLOOKUP(Table1[RespondentID],'All Data'!$A$3:$CO$999,89,FALSE),"unknown")</f>
        <v>Suffolk</v>
      </c>
      <c r="AM351" s="120" t="str">
        <f>IFERROR(VLOOKUP(Table1[RespondentID],'All Data'!$A$3:$CO$999,90,FALSE),"unknown")</f>
        <v>Smithtown, 11787</v>
      </c>
      <c r="AN351" s="120" t="str">
        <f>IFERROR(VLOOKUP(Table1[RespondentID],'All Data'!$A$3:$CO$999,91,FALSE),"unknown")</f>
        <v>Asian</v>
      </c>
      <c r="AO351" s="120" t="str">
        <f>IFERROR(VLOOKUP(Table1[RespondentID],'All Data'!$A$3:$CO$999,92,FALSE),"unknown")</f>
        <v>Not Hispanic or Latino</v>
      </c>
      <c r="AP351" s="120" t="str">
        <f>IFERROR(VLOOKUP(Table1[RespondentID],'All Data'!$A$3:$CO$999,93,FALSE),"unknown")</f>
        <v>English,Spanish</v>
      </c>
      <c r="AQ351" s="120" t="str">
        <f>IFERROR(VLOOKUP(Table1[RespondentID],'All Data'!$A$3:$CW$999,94,FALSE),"unknown")</f>
        <v>$75,000 to $125,000</v>
      </c>
      <c r="AR351" s="120" t="str">
        <f>IFERROR(VLOOKUP(Table1[RespondentID],'All Data'!$A$3:$CW$999,95,FALSE),"unknown")</f>
        <v>College graduate</v>
      </c>
      <c r="AS351" s="120">
        <f>IFERROR(VLOOKUP(Table1[RespondentID],'All Data'!$A$3:$CW$999,96,FALSE),"unknown")</f>
        <v>0</v>
      </c>
      <c r="AT351" s="120" t="str">
        <f>IFERROR(VLOOKUP(Table1[RespondentID],'All Data'!$A$3:$CW$999,97,FALSE),"unknown")</f>
        <v>Employed for wages</v>
      </c>
      <c r="AU351" s="120">
        <f>IFERROR(VLOOKUP(Table1[RespondentID],'All Data'!$A$3:$CW$999,98,FALSE),"unknown")</f>
        <v>0</v>
      </c>
      <c r="AV351" s="120">
        <f>IFERROR(VLOOKUP(Table1[RespondentID],'All Data'!$A$3:$CW$999,99,FALSE),"unknown")</f>
        <v>0</v>
      </c>
    </row>
    <row r="352" spans="1:48">
      <c r="A352" s="133">
        <v>18019098909</v>
      </c>
      <c r="B352" s="139"/>
      <c r="C352" s="107"/>
      <c r="D352" s="107"/>
      <c r="E352" s="107" t="s">
        <v>41</v>
      </c>
      <c r="F352" s="107"/>
      <c r="G352" s="107"/>
      <c r="H352" s="107" t="s">
        <v>43</v>
      </c>
      <c r="I352" s="107"/>
      <c r="J352" s="107" t="s">
        <v>45</v>
      </c>
      <c r="K352" s="107"/>
      <c r="L352" s="107"/>
      <c r="M352" s="107"/>
      <c r="N352" s="5"/>
      <c r="O352" s="18">
        <f t="shared" si="85"/>
        <v>3</v>
      </c>
      <c r="P352" s="18">
        <f t="shared" si="86"/>
        <v>1</v>
      </c>
      <c r="Q352" s="5"/>
      <c r="R352" s="18">
        <f t="shared" si="87"/>
        <v>0</v>
      </c>
      <c r="S352" s="18">
        <f t="shared" si="88"/>
        <v>0</v>
      </c>
      <c r="T352" s="18">
        <f t="shared" si="89"/>
        <v>0</v>
      </c>
      <c r="U352" s="18">
        <f t="shared" si="90"/>
        <v>1</v>
      </c>
      <c r="V352" s="18">
        <f t="shared" si="91"/>
        <v>0</v>
      </c>
      <c r="W352" s="18">
        <f t="shared" si="92"/>
        <v>0</v>
      </c>
      <c r="X352" s="18">
        <f t="shared" si="93"/>
        <v>1</v>
      </c>
      <c r="Y352" s="18">
        <f t="shared" si="94"/>
        <v>0</v>
      </c>
      <c r="Z352" s="18">
        <f t="shared" si="95"/>
        <v>1</v>
      </c>
      <c r="AA352" s="18">
        <f t="shared" si="96"/>
        <v>0</v>
      </c>
      <c r="AB352" s="18">
        <f t="shared" si="97"/>
        <v>0</v>
      </c>
      <c r="AC352" s="18">
        <f t="shared" si="98"/>
        <v>0</v>
      </c>
      <c r="AD352" s="5"/>
      <c r="AE352" s="5"/>
      <c r="AF352" s="18">
        <f t="shared" si="99"/>
        <v>3</v>
      </c>
      <c r="AG352" s="18">
        <f t="shared" si="100"/>
        <v>3</v>
      </c>
      <c r="AH352" s="18" t="str">
        <f t="shared" si="101"/>
        <v>Correct</v>
      </c>
      <c r="AI352" s="5"/>
      <c r="AJ352" s="120" t="str">
        <f>IFERROR(VLOOKUP(Table1[RespondentID],'All Data'!$A$3:$CO$999,87,FALSE),"unknown")</f>
        <v>Man</v>
      </c>
      <c r="AK352" s="120">
        <f>IFERROR(VLOOKUP(Table1[RespondentID],'All Data'!$A$3:$CO$999,88,FALSE),"unknown")</f>
        <v>35</v>
      </c>
      <c r="AL352" s="120" t="str">
        <f>IFERROR(VLOOKUP(Table1[RespondentID],'All Data'!$A$3:$CO$999,89,FALSE),"unknown")</f>
        <v>Suffolk</v>
      </c>
      <c r="AM352" s="120" t="str">
        <f>IFERROR(VLOOKUP(Table1[RespondentID],'All Data'!$A$3:$CO$999,90,FALSE),"unknown")</f>
        <v>Middle Island, 11953</v>
      </c>
      <c r="AN352" s="120" t="str">
        <f>IFERROR(VLOOKUP(Table1[RespondentID],'All Data'!$A$3:$CO$999,91,FALSE),"unknown")</f>
        <v>White</v>
      </c>
      <c r="AO352" s="120" t="str">
        <f>IFERROR(VLOOKUP(Table1[RespondentID],'All Data'!$A$3:$CO$999,92,FALSE),"unknown")</f>
        <v>Hispanic or Latino</v>
      </c>
      <c r="AP352" s="120" t="str">
        <f>IFERROR(VLOOKUP(Table1[RespondentID],'All Data'!$A$3:$CO$999,93,FALSE),"unknown")</f>
        <v>English,Spanish</v>
      </c>
      <c r="AQ352" s="120" t="str">
        <f>IFERROR(VLOOKUP(Table1[RespondentID],'All Data'!$A$3:$CW$999,94,FALSE),"unknown")</f>
        <v>Over $125,000</v>
      </c>
      <c r="AR352" s="120" t="str">
        <f>IFERROR(VLOOKUP(Table1[RespondentID],'All Data'!$A$3:$CW$999,95,FALSE),"unknown")</f>
        <v>Doctorate</v>
      </c>
      <c r="AS352" s="120">
        <f>IFERROR(VLOOKUP(Table1[RespondentID],'All Data'!$A$3:$CW$999,96,FALSE),"unknown")</f>
        <v>0</v>
      </c>
      <c r="AT352" s="120" t="str">
        <f>IFERROR(VLOOKUP(Table1[RespondentID],'All Data'!$A$3:$CW$999,97,FALSE),"unknown")</f>
        <v>Employed for wages</v>
      </c>
      <c r="AU352" s="120">
        <f>IFERROR(VLOOKUP(Table1[RespondentID],'All Data'!$A$3:$CW$999,98,FALSE),"unknown")</f>
        <v>0</v>
      </c>
      <c r="AV352" s="120">
        <f>IFERROR(VLOOKUP(Table1[RespondentID],'All Data'!$A$3:$CW$999,99,FALSE),"unknown")</f>
        <v>0</v>
      </c>
    </row>
    <row r="353" spans="1:48">
      <c r="A353" s="133">
        <v>18018901331</v>
      </c>
      <c r="B353" s="139" t="s">
        <v>38</v>
      </c>
      <c r="C353" s="107"/>
      <c r="D353" s="107"/>
      <c r="E353" s="107"/>
      <c r="F353" s="107"/>
      <c r="G353" s="107"/>
      <c r="H353" s="107" t="s">
        <v>43</v>
      </c>
      <c r="I353" s="107"/>
      <c r="J353" s="107"/>
      <c r="K353" s="107"/>
      <c r="L353" s="107" t="s">
        <v>47</v>
      </c>
      <c r="M353" s="107"/>
      <c r="N353" s="5"/>
      <c r="O353" s="18">
        <f t="shared" si="85"/>
        <v>3</v>
      </c>
      <c r="P353" s="18">
        <f t="shared" si="86"/>
        <v>1</v>
      </c>
      <c r="Q353" s="5"/>
      <c r="R353" s="18">
        <f t="shared" si="87"/>
        <v>1</v>
      </c>
      <c r="S353" s="18">
        <f t="shared" si="88"/>
        <v>0</v>
      </c>
      <c r="T353" s="18">
        <f t="shared" si="89"/>
        <v>0</v>
      </c>
      <c r="U353" s="18">
        <f t="shared" si="90"/>
        <v>0</v>
      </c>
      <c r="V353" s="18">
        <f t="shared" si="91"/>
        <v>0</v>
      </c>
      <c r="W353" s="18">
        <f t="shared" si="92"/>
        <v>0</v>
      </c>
      <c r="X353" s="18">
        <f t="shared" si="93"/>
        <v>1</v>
      </c>
      <c r="Y353" s="18">
        <f t="shared" si="94"/>
        <v>0</v>
      </c>
      <c r="Z353" s="18">
        <f t="shared" si="95"/>
        <v>0</v>
      </c>
      <c r="AA353" s="18">
        <f t="shared" si="96"/>
        <v>0</v>
      </c>
      <c r="AB353" s="18">
        <f t="shared" si="97"/>
        <v>1</v>
      </c>
      <c r="AC353" s="18">
        <f t="shared" si="98"/>
        <v>0</v>
      </c>
      <c r="AD353" s="5"/>
      <c r="AE353" s="5"/>
      <c r="AF353" s="18">
        <f t="shared" si="99"/>
        <v>3</v>
      </c>
      <c r="AG353" s="18">
        <f t="shared" si="100"/>
        <v>3</v>
      </c>
      <c r="AH353" s="18" t="str">
        <f t="shared" si="101"/>
        <v>Correct</v>
      </c>
      <c r="AI353" s="5"/>
      <c r="AJ353" s="120" t="str">
        <f>IFERROR(VLOOKUP(Table1[RespondentID],'All Data'!$A$3:$CO$999,87,FALSE),"unknown")</f>
        <v>Woman</v>
      </c>
      <c r="AK353" s="120">
        <f>IFERROR(VLOOKUP(Table1[RespondentID],'All Data'!$A$3:$CO$999,88,FALSE),"unknown")</f>
        <v>31</v>
      </c>
      <c r="AL353" s="120">
        <f>IFERROR(VLOOKUP(Table1[RespondentID],'All Data'!$A$3:$CO$999,89,FALSE),"unknown")</f>
        <v>0</v>
      </c>
      <c r="AM353" s="120" t="str">
        <f>IFERROR(VLOOKUP(Table1[RespondentID],'All Data'!$A$3:$CO$999,90,FALSE),"unknown")</f>
        <v>Garden City, 11536</v>
      </c>
      <c r="AN353" s="120" t="str">
        <f>IFERROR(VLOOKUP(Table1[RespondentID],'All Data'!$A$3:$CO$999,91,FALSE),"unknown")</f>
        <v>White</v>
      </c>
      <c r="AO353" s="120" t="str">
        <f>IFERROR(VLOOKUP(Table1[RespondentID],'All Data'!$A$3:$CO$999,92,FALSE),"unknown")</f>
        <v>Not Hispanic or Latino</v>
      </c>
      <c r="AP353" s="120" t="str">
        <f>IFERROR(VLOOKUP(Table1[RespondentID],'All Data'!$A$3:$CO$999,93,FALSE),"unknown")</f>
        <v>Italian</v>
      </c>
      <c r="AQ353" s="120" t="str">
        <f>IFERROR(VLOOKUP(Table1[RespondentID],'All Data'!$A$3:$CW$999,94,FALSE),"unknown")</f>
        <v>$20,000 to $34,999</v>
      </c>
      <c r="AR353" s="120" t="str">
        <f>IFERROR(VLOOKUP(Table1[RespondentID],'All Data'!$A$3:$CW$999,95,FALSE),"unknown")</f>
        <v>Some high school</v>
      </c>
      <c r="AS353" s="120">
        <f>IFERROR(VLOOKUP(Table1[RespondentID],'All Data'!$A$3:$CW$999,96,FALSE),"unknown")</f>
        <v>0</v>
      </c>
      <c r="AT353" s="120" t="str">
        <f>IFERROR(VLOOKUP(Table1[RespondentID],'All Data'!$A$3:$CW$999,97,FALSE),"unknown")</f>
        <v>Out of work and looking for work</v>
      </c>
      <c r="AU353" s="120">
        <f>IFERROR(VLOOKUP(Table1[RespondentID],'All Data'!$A$3:$CW$999,98,FALSE),"unknown")</f>
        <v>0</v>
      </c>
      <c r="AV353" s="120" t="str">
        <f>IFERROR(VLOOKUP(Table1[RespondentID],'All Data'!$A$3:$CW$999,99,FALSE),"unknown")</f>
        <v>No</v>
      </c>
    </row>
    <row r="354" spans="1:48">
      <c r="A354" s="133">
        <v>18018148216</v>
      </c>
      <c r="B354" s="139"/>
      <c r="C354" s="107" t="s">
        <v>39</v>
      </c>
      <c r="D354" s="107"/>
      <c r="E354" s="107"/>
      <c r="F354" s="107"/>
      <c r="G354" s="107"/>
      <c r="H354" s="107"/>
      <c r="I354" s="107"/>
      <c r="J354" s="107"/>
      <c r="K354" s="107"/>
      <c r="L354" s="107"/>
      <c r="M354" s="107"/>
      <c r="N354" s="5"/>
      <c r="O354" s="18">
        <f t="shared" si="85"/>
        <v>1</v>
      </c>
      <c r="P354" s="18">
        <f t="shared" si="86"/>
        <v>3</v>
      </c>
      <c r="Q354" s="5"/>
      <c r="R354" s="18">
        <f t="shared" si="87"/>
        <v>0</v>
      </c>
      <c r="S354" s="18">
        <f t="shared" si="88"/>
        <v>1</v>
      </c>
      <c r="T354" s="18">
        <f t="shared" si="89"/>
        <v>0</v>
      </c>
      <c r="U354" s="18">
        <f t="shared" si="90"/>
        <v>0</v>
      </c>
      <c r="V354" s="18">
        <f t="shared" si="91"/>
        <v>0</v>
      </c>
      <c r="W354" s="18">
        <f t="shared" si="92"/>
        <v>0</v>
      </c>
      <c r="X354" s="18">
        <f t="shared" si="93"/>
        <v>0</v>
      </c>
      <c r="Y354" s="18">
        <f t="shared" si="94"/>
        <v>0</v>
      </c>
      <c r="Z354" s="18">
        <f t="shared" si="95"/>
        <v>0</v>
      </c>
      <c r="AA354" s="18">
        <f t="shared" si="96"/>
        <v>0</v>
      </c>
      <c r="AB354" s="18">
        <f t="shared" si="97"/>
        <v>0</v>
      </c>
      <c r="AC354" s="18">
        <f t="shared" si="98"/>
        <v>0</v>
      </c>
      <c r="AD354" s="5"/>
      <c r="AE354" s="5"/>
      <c r="AF354" s="18">
        <f t="shared" si="99"/>
        <v>1</v>
      </c>
      <c r="AG354" s="18">
        <f t="shared" si="100"/>
        <v>1</v>
      </c>
      <c r="AH354" s="18" t="str">
        <f t="shared" si="101"/>
        <v>Correct</v>
      </c>
      <c r="AI354" s="5"/>
      <c r="AJ354" s="120" t="str">
        <f>IFERROR(VLOOKUP(Table1[RespondentID],'All Data'!$A$3:$CO$999,87,FALSE),"unknown")</f>
        <v>Woman</v>
      </c>
      <c r="AK354" s="120">
        <f>IFERROR(VLOOKUP(Table1[RespondentID],'All Data'!$A$3:$CO$999,88,FALSE),"unknown")</f>
        <v>68</v>
      </c>
      <c r="AL354" s="120">
        <f>IFERROR(VLOOKUP(Table1[RespondentID],'All Data'!$A$3:$CO$999,89,FALSE),"unknown")</f>
        <v>0</v>
      </c>
      <c r="AM354" s="120">
        <f>IFERROR(VLOOKUP(Table1[RespondentID],'All Data'!$A$3:$CO$999,90,FALSE),"unknown")</f>
        <v>0</v>
      </c>
      <c r="AN354" s="120">
        <f>IFERROR(VLOOKUP(Table1[RespondentID],'All Data'!$A$3:$CO$999,91,FALSE),"unknown")</f>
        <v>0</v>
      </c>
      <c r="AO354" s="120">
        <f>IFERROR(VLOOKUP(Table1[RespondentID],'All Data'!$A$3:$CO$999,92,FALSE),"unknown")</f>
        <v>0</v>
      </c>
      <c r="AP354" s="120">
        <f>IFERROR(VLOOKUP(Table1[RespondentID],'All Data'!$A$3:$CO$999,93,FALSE),"unknown")</f>
        <v>0</v>
      </c>
      <c r="AQ354" s="120">
        <f>IFERROR(VLOOKUP(Table1[RespondentID],'All Data'!$A$3:$CW$999,94,FALSE),"unknown")</f>
        <v>0</v>
      </c>
      <c r="AR354" s="120">
        <f>IFERROR(VLOOKUP(Table1[RespondentID],'All Data'!$A$3:$CW$999,95,FALSE),"unknown")</f>
        <v>0</v>
      </c>
      <c r="AS354" s="120">
        <f>IFERROR(VLOOKUP(Table1[RespondentID],'All Data'!$A$3:$CW$999,96,FALSE),"unknown")</f>
        <v>0</v>
      </c>
      <c r="AT354" s="120">
        <f>IFERROR(VLOOKUP(Table1[RespondentID],'All Data'!$A$3:$CW$999,97,FALSE),"unknown")</f>
        <v>0</v>
      </c>
      <c r="AU354" s="120">
        <f>IFERROR(VLOOKUP(Table1[RespondentID],'All Data'!$A$3:$CW$999,98,FALSE),"unknown")</f>
        <v>0</v>
      </c>
      <c r="AV354" s="120">
        <f>IFERROR(VLOOKUP(Table1[RespondentID],'All Data'!$A$3:$CW$999,99,FALSE),"unknown")</f>
        <v>0</v>
      </c>
    </row>
    <row r="355" spans="1:48">
      <c r="A355" s="133">
        <v>18014643757</v>
      </c>
      <c r="B355" s="139" t="s">
        <v>38</v>
      </c>
      <c r="C355" s="107"/>
      <c r="D355" s="107"/>
      <c r="E355" s="107"/>
      <c r="F355" s="107"/>
      <c r="G355" s="107"/>
      <c r="H355" s="107"/>
      <c r="I355" s="107"/>
      <c r="J355" s="107"/>
      <c r="K355" s="107"/>
      <c r="L355" s="107"/>
      <c r="M355" s="107"/>
      <c r="N355" s="5"/>
      <c r="O355" s="18">
        <f t="shared" si="85"/>
        <v>1</v>
      </c>
      <c r="P355" s="18">
        <f t="shared" si="86"/>
        <v>3</v>
      </c>
      <c r="Q355" s="5"/>
      <c r="R355" s="18">
        <f t="shared" si="87"/>
        <v>1</v>
      </c>
      <c r="S355" s="18">
        <f t="shared" si="88"/>
        <v>0</v>
      </c>
      <c r="T355" s="18">
        <f t="shared" si="89"/>
        <v>0</v>
      </c>
      <c r="U355" s="18">
        <f t="shared" si="90"/>
        <v>0</v>
      </c>
      <c r="V355" s="18">
        <f t="shared" si="91"/>
        <v>0</v>
      </c>
      <c r="W355" s="18">
        <f t="shared" si="92"/>
        <v>0</v>
      </c>
      <c r="X355" s="18">
        <f t="shared" si="93"/>
        <v>0</v>
      </c>
      <c r="Y355" s="18">
        <f t="shared" si="94"/>
        <v>0</v>
      </c>
      <c r="Z355" s="18">
        <f t="shared" si="95"/>
        <v>0</v>
      </c>
      <c r="AA355" s="18">
        <f t="shared" si="96"/>
        <v>0</v>
      </c>
      <c r="AB355" s="18">
        <f t="shared" si="97"/>
        <v>0</v>
      </c>
      <c r="AC355" s="18">
        <f t="shared" si="98"/>
        <v>0</v>
      </c>
      <c r="AD355" s="5"/>
      <c r="AE355" s="5"/>
      <c r="AF355" s="18">
        <f t="shared" si="99"/>
        <v>1</v>
      </c>
      <c r="AG355" s="18">
        <f t="shared" si="100"/>
        <v>1</v>
      </c>
      <c r="AH355" s="18" t="str">
        <f t="shared" si="101"/>
        <v>Correct</v>
      </c>
      <c r="AI355" s="5"/>
      <c r="AJ355" s="120">
        <f>IFERROR(VLOOKUP(Table1[RespondentID],'All Data'!$A$3:$CO$999,87,FALSE),"unknown")</f>
        <v>0</v>
      </c>
      <c r="AK355" s="120">
        <f>IFERROR(VLOOKUP(Table1[RespondentID],'All Data'!$A$3:$CO$999,88,FALSE),"unknown")</f>
        <v>0</v>
      </c>
      <c r="AL355" s="120">
        <f>IFERROR(VLOOKUP(Table1[RespondentID],'All Data'!$A$3:$CO$999,89,FALSE),"unknown")</f>
        <v>0</v>
      </c>
      <c r="AM355" s="120">
        <f>IFERROR(VLOOKUP(Table1[RespondentID],'All Data'!$A$3:$CO$999,90,FALSE),"unknown")</f>
        <v>0</v>
      </c>
      <c r="AN355" s="120">
        <f>IFERROR(VLOOKUP(Table1[RespondentID],'All Data'!$A$3:$CO$999,91,FALSE),"unknown")</f>
        <v>0</v>
      </c>
      <c r="AO355" s="120">
        <f>IFERROR(VLOOKUP(Table1[RespondentID],'All Data'!$A$3:$CO$999,92,FALSE),"unknown")</f>
        <v>0</v>
      </c>
      <c r="AP355" s="120">
        <f>IFERROR(VLOOKUP(Table1[RespondentID],'All Data'!$A$3:$CO$999,93,FALSE),"unknown")</f>
        <v>0</v>
      </c>
      <c r="AQ355" s="120">
        <f>IFERROR(VLOOKUP(Table1[RespondentID],'All Data'!$A$3:$CW$999,94,FALSE),"unknown")</f>
        <v>0</v>
      </c>
      <c r="AR355" s="120">
        <f>IFERROR(VLOOKUP(Table1[RespondentID],'All Data'!$A$3:$CW$999,95,FALSE),"unknown")</f>
        <v>0</v>
      </c>
      <c r="AS355" s="120">
        <f>IFERROR(VLOOKUP(Table1[RespondentID],'All Data'!$A$3:$CW$999,96,FALSE),"unknown")</f>
        <v>0</v>
      </c>
      <c r="AT355" s="120">
        <f>IFERROR(VLOOKUP(Table1[RespondentID],'All Data'!$A$3:$CW$999,97,FALSE),"unknown")</f>
        <v>0</v>
      </c>
      <c r="AU355" s="120">
        <f>IFERROR(VLOOKUP(Table1[RespondentID],'All Data'!$A$3:$CW$999,98,FALSE),"unknown")</f>
        <v>0</v>
      </c>
      <c r="AV355" s="120">
        <f>IFERROR(VLOOKUP(Table1[RespondentID],'All Data'!$A$3:$CW$999,99,FALSE),"unknown")</f>
        <v>0</v>
      </c>
    </row>
    <row r="356" spans="1:48">
      <c r="A356" s="133">
        <v>114107008144</v>
      </c>
      <c r="B356" s="139"/>
      <c r="C356" s="107"/>
      <c r="D356" s="107"/>
      <c r="E356" s="107" t="s">
        <v>41</v>
      </c>
      <c r="F356" s="107"/>
      <c r="G356" s="107"/>
      <c r="H356" s="107"/>
      <c r="I356" s="107" t="s">
        <v>44</v>
      </c>
      <c r="J356" s="107"/>
      <c r="K356" s="107" t="s">
        <v>46</v>
      </c>
      <c r="L356" s="107"/>
      <c r="M356" s="107"/>
      <c r="N356" s="5"/>
      <c r="O356" s="18">
        <f t="shared" si="85"/>
        <v>3</v>
      </c>
      <c r="P356" s="18">
        <f t="shared" si="86"/>
        <v>1</v>
      </c>
      <c r="Q356" s="5"/>
      <c r="R356" s="18">
        <f t="shared" si="87"/>
        <v>0</v>
      </c>
      <c r="S356" s="18">
        <f t="shared" si="88"/>
        <v>0</v>
      </c>
      <c r="T356" s="18">
        <f t="shared" si="89"/>
        <v>0</v>
      </c>
      <c r="U356" s="18">
        <f t="shared" si="90"/>
        <v>1</v>
      </c>
      <c r="V356" s="18">
        <f t="shared" si="91"/>
        <v>0</v>
      </c>
      <c r="W356" s="18">
        <f t="shared" si="92"/>
        <v>0</v>
      </c>
      <c r="X356" s="18">
        <f t="shared" si="93"/>
        <v>0</v>
      </c>
      <c r="Y356" s="18">
        <f t="shared" si="94"/>
        <v>1</v>
      </c>
      <c r="Z356" s="18">
        <f t="shared" si="95"/>
        <v>0</v>
      </c>
      <c r="AA356" s="18">
        <f t="shared" si="96"/>
        <v>1</v>
      </c>
      <c r="AB356" s="18">
        <f t="shared" si="97"/>
        <v>0</v>
      </c>
      <c r="AC356" s="18">
        <f t="shared" si="98"/>
        <v>0</v>
      </c>
      <c r="AD356" s="5"/>
      <c r="AE356" s="5"/>
      <c r="AF356" s="18">
        <f t="shared" si="99"/>
        <v>3</v>
      </c>
      <c r="AG356" s="18">
        <f t="shared" si="100"/>
        <v>3</v>
      </c>
      <c r="AH356" s="18" t="str">
        <f t="shared" si="101"/>
        <v>Correct</v>
      </c>
      <c r="AI356" s="5"/>
      <c r="AJ356" s="120" t="str">
        <f>IFERROR(VLOOKUP(Table1[RespondentID],'All Data'!$A$3:$CO$999,87,FALSE),"unknown")</f>
        <v>Man</v>
      </c>
      <c r="AK356" s="120">
        <f>IFERROR(VLOOKUP(Table1[RespondentID],'All Data'!$A$3:$CO$999,88,FALSE),"unknown")</f>
        <v>0</v>
      </c>
      <c r="AL356" s="120" t="str">
        <f>IFERROR(VLOOKUP(Table1[RespondentID],'All Data'!$A$3:$CO$999,89,FALSE),"unknown")</f>
        <v>Queens</v>
      </c>
      <c r="AM356" s="120">
        <f>IFERROR(VLOOKUP(Table1[RespondentID],'All Data'!$A$3:$CO$999,90,FALSE),"unknown")</f>
        <v>22407</v>
      </c>
      <c r="AN356" s="120" t="str">
        <f>IFERROR(VLOOKUP(Table1[RespondentID],'All Data'!$A$3:$CO$999,91,FALSE),"unknown")</f>
        <v>White</v>
      </c>
      <c r="AO356" s="120" t="str">
        <f>IFERROR(VLOOKUP(Table1[RespondentID],'All Data'!$A$3:$CO$999,92,FALSE),"unknown")</f>
        <v>Not Hispanic or Latino</v>
      </c>
      <c r="AP356" s="120" t="str">
        <f>IFERROR(VLOOKUP(Table1[RespondentID],'All Data'!$A$3:$CO$999,93,FALSE),"unknown")</f>
        <v>English</v>
      </c>
      <c r="AQ356" s="120" t="str">
        <f>IFERROR(VLOOKUP(Table1[RespondentID],'All Data'!$A$3:$CW$999,94,FALSE),"unknown")</f>
        <v>Over $125,000</v>
      </c>
      <c r="AR356" s="120" t="str">
        <f>IFERROR(VLOOKUP(Table1[RespondentID],'All Data'!$A$3:$CW$999,95,FALSE),"unknown")</f>
        <v>College graduate</v>
      </c>
      <c r="AS356" s="120" t="str">
        <f>IFERROR(VLOOKUP(Table1[RespondentID],'All Data'!$A$3:$CW$999,96,FALSE),"unknown")</f>
        <v>Employed for wages</v>
      </c>
      <c r="AT356" s="120" t="str">
        <f>IFERROR(VLOOKUP(Table1[RespondentID],'All Data'!$A$3:$CW$999,97,FALSE),"unknown")</f>
        <v>Yes</v>
      </c>
      <c r="AU356" s="120" t="str">
        <f>IFERROR(VLOOKUP(Table1[RespondentID],'All Data'!$A$3:$CW$999,98,FALSE),"unknown")</f>
        <v>Medicaid,Medicare</v>
      </c>
      <c r="AV356" s="120" t="str">
        <f>IFERROR(VLOOKUP(Table1[RespondentID],'All Data'!$A$3:$CW$999,99,FALSE),"unknown")</f>
        <v>Yes</v>
      </c>
    </row>
    <row r="357" spans="1:48">
      <c r="A357" s="133">
        <v>114106902413</v>
      </c>
      <c r="B357" s="139"/>
      <c r="C357" s="107"/>
      <c r="D357" s="107"/>
      <c r="E357" s="107"/>
      <c r="F357" s="107"/>
      <c r="G357" s="107"/>
      <c r="H357" s="107" t="s">
        <v>43</v>
      </c>
      <c r="I357" s="107"/>
      <c r="J357" s="107"/>
      <c r="K357" s="107"/>
      <c r="L357" s="107"/>
      <c r="M357" s="107"/>
      <c r="N357" s="5"/>
      <c r="O357" s="18">
        <f t="shared" si="85"/>
        <v>1</v>
      </c>
      <c r="P357" s="18">
        <f t="shared" si="86"/>
        <v>3</v>
      </c>
      <c r="Q357" s="5"/>
      <c r="R357" s="18">
        <f t="shared" si="87"/>
        <v>0</v>
      </c>
      <c r="S357" s="18">
        <f t="shared" si="88"/>
        <v>0</v>
      </c>
      <c r="T357" s="18">
        <f t="shared" si="89"/>
        <v>0</v>
      </c>
      <c r="U357" s="18">
        <f t="shared" si="90"/>
        <v>0</v>
      </c>
      <c r="V357" s="18">
        <f t="shared" si="91"/>
        <v>0</v>
      </c>
      <c r="W357" s="18">
        <f t="shared" si="92"/>
        <v>0</v>
      </c>
      <c r="X357" s="18">
        <f t="shared" si="93"/>
        <v>1</v>
      </c>
      <c r="Y357" s="18">
        <f t="shared" si="94"/>
        <v>0</v>
      </c>
      <c r="Z357" s="18">
        <f t="shared" si="95"/>
        <v>0</v>
      </c>
      <c r="AA357" s="18">
        <f t="shared" si="96"/>
        <v>0</v>
      </c>
      <c r="AB357" s="18">
        <f t="shared" si="97"/>
        <v>0</v>
      </c>
      <c r="AC357" s="18">
        <f t="shared" si="98"/>
        <v>0</v>
      </c>
      <c r="AD357" s="5"/>
      <c r="AE357" s="5"/>
      <c r="AF357" s="18">
        <f t="shared" si="99"/>
        <v>1</v>
      </c>
      <c r="AG357" s="18">
        <f t="shared" si="100"/>
        <v>1</v>
      </c>
      <c r="AH357" s="18" t="str">
        <f t="shared" si="101"/>
        <v>Correct</v>
      </c>
      <c r="AI357" s="5"/>
      <c r="AJ357" s="120" t="str">
        <f>IFERROR(VLOOKUP(Table1[RespondentID],'All Data'!$A$3:$CO$999,87,FALSE),"unknown")</f>
        <v>Man</v>
      </c>
      <c r="AK357" s="120">
        <f>IFERROR(VLOOKUP(Table1[RespondentID],'All Data'!$A$3:$CO$999,88,FALSE),"unknown")</f>
        <v>0</v>
      </c>
      <c r="AL357" s="120" t="str">
        <f>IFERROR(VLOOKUP(Table1[RespondentID],'All Data'!$A$3:$CO$999,89,FALSE),"unknown")</f>
        <v>Suffolk</v>
      </c>
      <c r="AM357" s="120" t="str">
        <f>IFERROR(VLOOKUP(Table1[RespondentID],'All Data'!$A$3:$CO$999,90,FALSE),"unknown")</f>
        <v>Babylon, 11702</v>
      </c>
      <c r="AN357" s="120" t="str">
        <f>IFERROR(VLOOKUP(Table1[RespondentID],'All Data'!$A$3:$CO$999,91,FALSE),"unknown")</f>
        <v>White</v>
      </c>
      <c r="AO357" s="120" t="str">
        <f>IFERROR(VLOOKUP(Table1[RespondentID],'All Data'!$A$3:$CO$999,92,FALSE),"unknown")</f>
        <v>Not Hispanic or Latino</v>
      </c>
      <c r="AP357" s="120" t="str">
        <f>IFERROR(VLOOKUP(Table1[RespondentID],'All Data'!$A$3:$CO$999,93,FALSE),"unknown")</f>
        <v>English</v>
      </c>
      <c r="AQ357" s="120" t="str">
        <f>IFERROR(VLOOKUP(Table1[RespondentID],'All Data'!$A$3:$CW$999,94,FALSE),"unknown")</f>
        <v>$35,000 to $49,999</v>
      </c>
      <c r="AR357" s="120" t="str">
        <f>IFERROR(VLOOKUP(Table1[RespondentID],'All Data'!$A$3:$CW$999,95,FALSE),"unknown")</f>
        <v>Some college</v>
      </c>
      <c r="AS357" s="120" t="str">
        <f>IFERROR(VLOOKUP(Table1[RespondentID],'All Data'!$A$3:$CW$999,96,FALSE),"unknown")</f>
        <v>Retired</v>
      </c>
      <c r="AT357" s="120" t="str">
        <f>IFERROR(VLOOKUP(Table1[RespondentID],'All Data'!$A$3:$CW$999,97,FALSE),"unknown")</f>
        <v>No</v>
      </c>
      <c r="AU357" s="120" t="str">
        <f>IFERROR(VLOOKUP(Table1[RespondentID],'All Data'!$A$3:$CW$999,98,FALSE),"unknown")</f>
        <v>No Insurance</v>
      </c>
      <c r="AV357" s="120" t="str">
        <f>IFERROR(VLOOKUP(Table1[RespondentID],'All Data'!$A$3:$CW$999,99,FALSE),"unknown")</f>
        <v>Yes</v>
      </c>
    </row>
    <row r="358" spans="1:48">
      <c r="A358" s="133">
        <v>114106901021</v>
      </c>
      <c r="B358" s="139"/>
      <c r="C358" s="107"/>
      <c r="D358" s="107"/>
      <c r="E358" s="107" t="s">
        <v>41</v>
      </c>
      <c r="F358" s="107"/>
      <c r="G358" s="107"/>
      <c r="H358" s="107"/>
      <c r="I358" s="107" t="s">
        <v>44</v>
      </c>
      <c r="J358" s="107"/>
      <c r="K358" s="107" t="s">
        <v>46</v>
      </c>
      <c r="L358" s="107"/>
      <c r="M358" s="107"/>
      <c r="N358" s="5"/>
      <c r="O358" s="18">
        <f t="shared" si="85"/>
        <v>3</v>
      </c>
      <c r="P358" s="18">
        <f t="shared" si="86"/>
        <v>1</v>
      </c>
      <c r="Q358" s="5"/>
      <c r="R358" s="18">
        <f t="shared" si="87"/>
        <v>0</v>
      </c>
      <c r="S358" s="18">
        <f t="shared" si="88"/>
        <v>0</v>
      </c>
      <c r="T358" s="18">
        <f t="shared" si="89"/>
        <v>0</v>
      </c>
      <c r="U358" s="18">
        <f t="shared" si="90"/>
        <v>1</v>
      </c>
      <c r="V358" s="18">
        <f t="shared" si="91"/>
        <v>0</v>
      </c>
      <c r="W358" s="18">
        <f t="shared" si="92"/>
        <v>0</v>
      </c>
      <c r="X358" s="18">
        <f t="shared" si="93"/>
        <v>0</v>
      </c>
      <c r="Y358" s="18">
        <f t="shared" si="94"/>
        <v>1</v>
      </c>
      <c r="Z358" s="18">
        <f t="shared" si="95"/>
        <v>0</v>
      </c>
      <c r="AA358" s="18">
        <f t="shared" si="96"/>
        <v>1</v>
      </c>
      <c r="AB358" s="18">
        <f t="shared" si="97"/>
        <v>0</v>
      </c>
      <c r="AC358" s="18">
        <f t="shared" si="98"/>
        <v>0</v>
      </c>
      <c r="AD358" s="5"/>
      <c r="AE358" s="5"/>
      <c r="AF358" s="18">
        <f t="shared" si="99"/>
        <v>3</v>
      </c>
      <c r="AG358" s="18">
        <f t="shared" si="100"/>
        <v>3</v>
      </c>
      <c r="AH358" s="18" t="str">
        <f t="shared" si="101"/>
        <v>Correct</v>
      </c>
      <c r="AI358" s="5"/>
      <c r="AJ358" s="120" t="str">
        <f>IFERROR(VLOOKUP(Table1[RespondentID],'All Data'!$A$3:$CO$999,87,FALSE),"unknown")</f>
        <v>Man</v>
      </c>
      <c r="AK358" s="120">
        <f>IFERROR(VLOOKUP(Table1[RespondentID],'All Data'!$A$3:$CO$999,88,FALSE),"unknown")</f>
        <v>0</v>
      </c>
      <c r="AL358" s="120" t="str">
        <f>IFERROR(VLOOKUP(Table1[RespondentID],'All Data'!$A$3:$CO$999,89,FALSE),"unknown")</f>
        <v>Suffolk</v>
      </c>
      <c r="AM358" s="120" t="str">
        <f>IFERROR(VLOOKUP(Table1[RespondentID],'All Data'!$A$3:$CO$999,90,FALSE),"unknown")</f>
        <v>Huntington, 11743</v>
      </c>
      <c r="AN358" s="120" t="str">
        <f>IFERROR(VLOOKUP(Table1[RespondentID],'All Data'!$A$3:$CO$999,91,FALSE),"unknown")</f>
        <v>White</v>
      </c>
      <c r="AO358" s="120">
        <f>IFERROR(VLOOKUP(Table1[RespondentID],'All Data'!$A$3:$CO$999,92,FALSE),"unknown")</f>
        <v>0</v>
      </c>
      <c r="AP358" s="120" t="str">
        <f>IFERROR(VLOOKUP(Table1[RespondentID],'All Data'!$A$3:$CO$999,93,FALSE),"unknown")</f>
        <v>English</v>
      </c>
      <c r="AQ358" s="120" t="str">
        <f>IFERROR(VLOOKUP(Table1[RespondentID],'All Data'!$A$3:$CW$999,94,FALSE),"unknown")</f>
        <v>$75,000 to $125,000</v>
      </c>
      <c r="AR358" s="120" t="str">
        <f>IFERROR(VLOOKUP(Table1[RespondentID],'All Data'!$A$3:$CW$999,95,FALSE),"unknown")</f>
        <v>Some college</v>
      </c>
      <c r="AS358" s="120" t="str">
        <f>IFERROR(VLOOKUP(Table1[RespondentID],'All Data'!$A$3:$CW$999,96,FALSE),"unknown")</f>
        <v>Employed for wages</v>
      </c>
      <c r="AT358" s="120" t="str">
        <f>IFERROR(VLOOKUP(Table1[RespondentID],'All Data'!$A$3:$CW$999,97,FALSE),"unknown")</f>
        <v>Yes</v>
      </c>
      <c r="AU358" s="120">
        <f>IFERROR(VLOOKUP(Table1[RespondentID],'All Data'!$A$3:$CW$999,98,FALSE),"unknown")</f>
        <v>0</v>
      </c>
      <c r="AV358" s="120" t="str">
        <f>IFERROR(VLOOKUP(Table1[RespondentID],'All Data'!$A$3:$CW$999,99,FALSE),"unknown")</f>
        <v>Yes</v>
      </c>
    </row>
    <row r="359" spans="1:48">
      <c r="A359" s="133">
        <v>114106899755</v>
      </c>
      <c r="B359" s="139"/>
      <c r="C359" s="107" t="s">
        <v>39</v>
      </c>
      <c r="D359" s="107"/>
      <c r="E359" s="107"/>
      <c r="F359" s="107"/>
      <c r="G359" s="107"/>
      <c r="H359" s="107"/>
      <c r="I359" s="107"/>
      <c r="J359" s="107"/>
      <c r="K359" s="107"/>
      <c r="L359" s="107" t="s">
        <v>47</v>
      </c>
      <c r="M359" s="107"/>
      <c r="N359" s="5"/>
      <c r="O359" s="18">
        <f t="shared" si="85"/>
        <v>2</v>
      </c>
      <c r="P359" s="18">
        <f t="shared" si="86"/>
        <v>1.5</v>
      </c>
      <c r="Q359" s="5"/>
      <c r="R359" s="18">
        <f t="shared" si="87"/>
        <v>0</v>
      </c>
      <c r="S359" s="18">
        <f t="shared" si="88"/>
        <v>1</v>
      </c>
      <c r="T359" s="18">
        <f t="shared" si="89"/>
        <v>0</v>
      </c>
      <c r="U359" s="18">
        <f t="shared" si="90"/>
        <v>0</v>
      </c>
      <c r="V359" s="18">
        <f t="shared" si="91"/>
        <v>0</v>
      </c>
      <c r="W359" s="18">
        <f t="shared" si="92"/>
        <v>0</v>
      </c>
      <c r="X359" s="18">
        <f t="shared" si="93"/>
        <v>0</v>
      </c>
      <c r="Y359" s="18">
        <f t="shared" si="94"/>
        <v>0</v>
      </c>
      <c r="Z359" s="18">
        <f t="shared" si="95"/>
        <v>0</v>
      </c>
      <c r="AA359" s="18">
        <f t="shared" si="96"/>
        <v>0</v>
      </c>
      <c r="AB359" s="18">
        <f t="shared" si="97"/>
        <v>1</v>
      </c>
      <c r="AC359" s="18">
        <f t="shared" si="98"/>
        <v>0</v>
      </c>
      <c r="AD359" s="5"/>
      <c r="AE359" s="5"/>
      <c r="AF359" s="18">
        <f t="shared" si="99"/>
        <v>2</v>
      </c>
      <c r="AG359" s="18">
        <f t="shared" si="100"/>
        <v>2</v>
      </c>
      <c r="AH359" s="18" t="str">
        <f t="shared" si="101"/>
        <v>Correct</v>
      </c>
      <c r="AI359" s="5"/>
      <c r="AJ359" s="120" t="str">
        <f>IFERROR(VLOOKUP(Table1[RespondentID],'All Data'!$A$3:$CO$999,87,FALSE),"unknown")</f>
        <v>Woman</v>
      </c>
      <c r="AK359" s="120">
        <f>IFERROR(VLOOKUP(Table1[RespondentID],'All Data'!$A$3:$CO$999,88,FALSE),"unknown")</f>
        <v>0</v>
      </c>
      <c r="AL359" s="120" t="str">
        <f>IFERROR(VLOOKUP(Table1[RespondentID],'All Data'!$A$3:$CO$999,89,FALSE),"unknown")</f>
        <v>Suffolk</v>
      </c>
      <c r="AM359" s="120" t="str">
        <f>IFERROR(VLOOKUP(Table1[RespondentID],'All Data'!$A$3:$CO$999,90,FALSE),"unknown")</f>
        <v>Babylon, 11703</v>
      </c>
      <c r="AN359" s="120" t="str">
        <f>IFERROR(VLOOKUP(Table1[RespondentID],'All Data'!$A$3:$CO$999,91,FALSE),"unknown")</f>
        <v>White</v>
      </c>
      <c r="AO359" s="120" t="str">
        <f>IFERROR(VLOOKUP(Table1[RespondentID],'All Data'!$A$3:$CO$999,92,FALSE),"unknown")</f>
        <v>Not Hispanic or Latino</v>
      </c>
      <c r="AP359" s="120" t="str">
        <f>IFERROR(VLOOKUP(Table1[RespondentID],'All Data'!$A$3:$CO$999,93,FALSE),"unknown")</f>
        <v>English</v>
      </c>
      <c r="AQ359" s="120" t="str">
        <f>IFERROR(VLOOKUP(Table1[RespondentID],'All Data'!$A$3:$CW$999,94,FALSE),"unknown")</f>
        <v>$50,000 to $74,999</v>
      </c>
      <c r="AR359" s="120" t="str">
        <f>IFERROR(VLOOKUP(Table1[RespondentID],'All Data'!$A$3:$CW$999,95,FALSE),"unknown")</f>
        <v>College graduate</v>
      </c>
      <c r="AS359" s="120" t="str">
        <f>IFERROR(VLOOKUP(Table1[RespondentID],'All Data'!$A$3:$CW$999,96,FALSE),"unknown")</f>
        <v>Employed for wages</v>
      </c>
      <c r="AT359" s="120" t="str">
        <f>IFERROR(VLOOKUP(Table1[RespondentID],'All Data'!$A$3:$CW$999,97,FALSE),"unknown")</f>
        <v>Yes</v>
      </c>
      <c r="AU359" s="120" t="str">
        <f>IFERROR(VLOOKUP(Table1[RespondentID],'All Data'!$A$3:$CW$999,98,FALSE),"unknown")</f>
        <v>Private/Commercial</v>
      </c>
      <c r="AV359" s="120" t="str">
        <f>IFERROR(VLOOKUP(Table1[RespondentID],'All Data'!$A$3:$CW$999,99,FALSE),"unknown")</f>
        <v>Yes</v>
      </c>
    </row>
    <row r="360" spans="1:48">
      <c r="A360" s="133">
        <v>114106893781</v>
      </c>
      <c r="B360" s="139"/>
      <c r="C360" s="107"/>
      <c r="D360" s="107"/>
      <c r="E360" s="107" t="s">
        <v>41</v>
      </c>
      <c r="F360" s="107"/>
      <c r="G360" s="107"/>
      <c r="H360" s="107"/>
      <c r="I360" s="107"/>
      <c r="J360" s="107"/>
      <c r="K360" s="107" t="s">
        <v>46</v>
      </c>
      <c r="L360" s="107" t="s">
        <v>47</v>
      </c>
      <c r="M360" s="107"/>
      <c r="N360" s="5"/>
      <c r="O360" s="18">
        <f t="shared" si="85"/>
        <v>3</v>
      </c>
      <c r="P360" s="18">
        <f t="shared" si="86"/>
        <v>1</v>
      </c>
      <c r="Q360" s="5"/>
      <c r="R360" s="18">
        <f t="shared" si="87"/>
        <v>0</v>
      </c>
      <c r="S360" s="18">
        <f t="shared" si="88"/>
        <v>0</v>
      </c>
      <c r="T360" s="18">
        <f t="shared" si="89"/>
        <v>0</v>
      </c>
      <c r="U360" s="18">
        <f t="shared" si="90"/>
        <v>1</v>
      </c>
      <c r="V360" s="18">
        <f t="shared" si="91"/>
        <v>0</v>
      </c>
      <c r="W360" s="18">
        <f t="shared" si="92"/>
        <v>0</v>
      </c>
      <c r="X360" s="18">
        <f t="shared" si="93"/>
        <v>0</v>
      </c>
      <c r="Y360" s="18">
        <f t="shared" si="94"/>
        <v>0</v>
      </c>
      <c r="Z360" s="18">
        <f t="shared" si="95"/>
        <v>0</v>
      </c>
      <c r="AA360" s="18">
        <f t="shared" si="96"/>
        <v>1</v>
      </c>
      <c r="AB360" s="18">
        <f t="shared" si="97"/>
        <v>1</v>
      </c>
      <c r="AC360" s="18">
        <f t="shared" si="98"/>
        <v>0</v>
      </c>
      <c r="AD360" s="5"/>
      <c r="AE360" s="5"/>
      <c r="AF360" s="18">
        <f t="shared" si="99"/>
        <v>3</v>
      </c>
      <c r="AG360" s="18">
        <f t="shared" si="100"/>
        <v>3</v>
      </c>
      <c r="AH360" s="18" t="str">
        <f t="shared" si="101"/>
        <v>Correct</v>
      </c>
      <c r="AI360" s="5"/>
      <c r="AJ360" s="120" t="str">
        <f>IFERROR(VLOOKUP(Table1[RespondentID],'All Data'!$A$3:$CO$999,87,FALSE),"unknown")</f>
        <v>Man</v>
      </c>
      <c r="AK360" s="120">
        <f>IFERROR(VLOOKUP(Table1[RespondentID],'All Data'!$A$3:$CO$999,88,FALSE),"unknown")</f>
        <v>0</v>
      </c>
      <c r="AL360" s="120" t="str">
        <f>IFERROR(VLOOKUP(Table1[RespondentID],'All Data'!$A$3:$CO$999,89,FALSE),"unknown")</f>
        <v>Suffolk</v>
      </c>
      <c r="AM360" s="120" t="str">
        <f>IFERROR(VLOOKUP(Table1[RespondentID],'All Data'!$A$3:$CO$999,90,FALSE),"unknown")</f>
        <v>Babylon, 11703</v>
      </c>
      <c r="AN360" s="120" t="str">
        <f>IFERROR(VLOOKUP(Table1[RespondentID],'All Data'!$A$3:$CO$999,91,FALSE),"unknown")</f>
        <v>White</v>
      </c>
      <c r="AO360" s="120" t="str">
        <f>IFERROR(VLOOKUP(Table1[RespondentID],'All Data'!$A$3:$CO$999,92,FALSE),"unknown")</f>
        <v>Not Hispanic or Latino</v>
      </c>
      <c r="AP360" s="120" t="str">
        <f>IFERROR(VLOOKUP(Table1[RespondentID],'All Data'!$A$3:$CO$999,93,FALSE),"unknown")</f>
        <v>English</v>
      </c>
      <c r="AQ360" s="120" t="str">
        <f>IFERROR(VLOOKUP(Table1[RespondentID],'All Data'!$A$3:$CW$999,94,FALSE),"unknown")</f>
        <v>$50,000 to $74,999</v>
      </c>
      <c r="AR360" s="120" t="str">
        <f>IFERROR(VLOOKUP(Table1[RespondentID],'All Data'!$A$3:$CW$999,95,FALSE),"unknown")</f>
        <v>Some college</v>
      </c>
      <c r="AS360" s="120" t="str">
        <f>IFERROR(VLOOKUP(Table1[RespondentID],'All Data'!$A$3:$CW$999,96,FALSE),"unknown")</f>
        <v>Employed for wages</v>
      </c>
      <c r="AT360" s="120" t="str">
        <f>IFERROR(VLOOKUP(Table1[RespondentID],'All Data'!$A$3:$CW$999,97,FALSE),"unknown")</f>
        <v>Yes</v>
      </c>
      <c r="AU360" s="120" t="str">
        <f>IFERROR(VLOOKUP(Table1[RespondentID],'All Data'!$A$3:$CW$999,98,FALSE),"unknown")</f>
        <v>Private/Commercial</v>
      </c>
      <c r="AV360" s="120" t="str">
        <f>IFERROR(VLOOKUP(Table1[RespondentID],'All Data'!$A$3:$CW$999,99,FALSE),"unknown")</f>
        <v>Yes</v>
      </c>
    </row>
    <row r="361" spans="1:48">
      <c r="A361" s="133">
        <v>114098493520</v>
      </c>
      <c r="B361" s="139" t="s">
        <v>38</v>
      </c>
      <c r="C361" s="107"/>
      <c r="D361" s="107"/>
      <c r="E361" s="107"/>
      <c r="F361" s="107"/>
      <c r="G361" s="107"/>
      <c r="H361" s="107" t="s">
        <v>43</v>
      </c>
      <c r="I361" s="107"/>
      <c r="J361" s="107"/>
      <c r="K361" s="107"/>
      <c r="L361" s="107"/>
      <c r="M361" s="107"/>
      <c r="N361" s="5"/>
      <c r="O361" s="18">
        <f t="shared" si="85"/>
        <v>2</v>
      </c>
      <c r="P361" s="18">
        <f t="shared" si="86"/>
        <v>1.5</v>
      </c>
      <c r="Q361" s="5"/>
      <c r="R361" s="18">
        <f t="shared" si="87"/>
        <v>1</v>
      </c>
      <c r="S361" s="18">
        <f t="shared" si="88"/>
        <v>0</v>
      </c>
      <c r="T361" s="18">
        <f t="shared" si="89"/>
        <v>0</v>
      </c>
      <c r="U361" s="18">
        <f t="shared" si="90"/>
        <v>0</v>
      </c>
      <c r="V361" s="18">
        <f t="shared" si="91"/>
        <v>0</v>
      </c>
      <c r="W361" s="18">
        <f t="shared" si="92"/>
        <v>0</v>
      </c>
      <c r="X361" s="18">
        <f t="shared" si="93"/>
        <v>1</v>
      </c>
      <c r="Y361" s="18">
        <f t="shared" si="94"/>
        <v>0</v>
      </c>
      <c r="Z361" s="18">
        <f t="shared" si="95"/>
        <v>0</v>
      </c>
      <c r="AA361" s="18">
        <f t="shared" si="96"/>
        <v>0</v>
      </c>
      <c r="AB361" s="18">
        <f t="shared" si="97"/>
        <v>0</v>
      </c>
      <c r="AC361" s="18">
        <f t="shared" si="98"/>
        <v>0</v>
      </c>
      <c r="AD361" s="5"/>
      <c r="AE361" s="5"/>
      <c r="AF361" s="18">
        <f t="shared" si="99"/>
        <v>2</v>
      </c>
      <c r="AG361" s="18">
        <f t="shared" si="100"/>
        <v>2</v>
      </c>
      <c r="AH361" s="18" t="str">
        <f t="shared" si="101"/>
        <v>Correct</v>
      </c>
      <c r="AI361" s="5"/>
      <c r="AJ361" s="120" t="str">
        <f>IFERROR(VLOOKUP(Table1[RespondentID],'All Data'!$A$3:$CO$999,87,FALSE),"unknown")</f>
        <v>Woman</v>
      </c>
      <c r="AK361" s="120">
        <f>IFERROR(VLOOKUP(Table1[RespondentID],'All Data'!$A$3:$CO$999,88,FALSE),"unknown")</f>
        <v>0</v>
      </c>
      <c r="AL361" s="120" t="str">
        <f>IFERROR(VLOOKUP(Table1[RespondentID],'All Data'!$A$3:$CO$999,89,FALSE),"unknown")</f>
        <v>Suffolk</v>
      </c>
      <c r="AM361" s="120" t="str">
        <f>IFERROR(VLOOKUP(Table1[RespondentID],'All Data'!$A$3:$CO$999,90,FALSE),"unknown")</f>
        <v>East Islip, 11730</v>
      </c>
      <c r="AN361" s="120" t="str">
        <f>IFERROR(VLOOKUP(Table1[RespondentID],'All Data'!$A$3:$CO$999,91,FALSE),"unknown")</f>
        <v>White</v>
      </c>
      <c r="AO361" s="120" t="str">
        <f>IFERROR(VLOOKUP(Table1[RespondentID],'All Data'!$A$3:$CO$999,92,FALSE),"unknown")</f>
        <v>Not Hispanic or Latino</v>
      </c>
      <c r="AP361" s="120" t="str">
        <f>IFERROR(VLOOKUP(Table1[RespondentID],'All Data'!$A$3:$CO$999,93,FALSE),"unknown")</f>
        <v>English</v>
      </c>
      <c r="AQ361" s="120" t="str">
        <f>IFERROR(VLOOKUP(Table1[RespondentID],'All Data'!$A$3:$CW$999,94,FALSE),"unknown")</f>
        <v>$75,000 to $125,000</v>
      </c>
      <c r="AR361" s="120" t="str">
        <f>IFERROR(VLOOKUP(Table1[RespondentID],'All Data'!$A$3:$CW$999,95,FALSE),"unknown")</f>
        <v>College graduate</v>
      </c>
      <c r="AS361" s="120" t="str">
        <f>IFERROR(VLOOKUP(Table1[RespondentID],'All Data'!$A$3:$CW$999,96,FALSE),"unknown")</f>
        <v>Retired</v>
      </c>
      <c r="AT361" s="120" t="str">
        <f>IFERROR(VLOOKUP(Table1[RespondentID],'All Data'!$A$3:$CW$999,97,FALSE),"unknown")</f>
        <v>Yes</v>
      </c>
      <c r="AU361" s="120" t="str">
        <f>IFERROR(VLOOKUP(Table1[RespondentID],'All Data'!$A$3:$CW$999,98,FALSE),"unknown")</f>
        <v>Medicare,Private/Commercial</v>
      </c>
      <c r="AV361" s="120" t="str">
        <f>IFERROR(VLOOKUP(Table1[RespondentID],'All Data'!$A$3:$CW$999,99,FALSE),"unknown")</f>
        <v>Yes</v>
      </c>
    </row>
    <row r="362" spans="1:48">
      <c r="A362" s="133">
        <v>114098444126</v>
      </c>
      <c r="B362" s="139"/>
      <c r="C362" s="107" t="s">
        <v>39</v>
      </c>
      <c r="D362" s="107"/>
      <c r="E362" s="107" t="s">
        <v>41</v>
      </c>
      <c r="F362" s="107"/>
      <c r="G362" s="107" t="s">
        <v>37</v>
      </c>
      <c r="H362" s="107"/>
      <c r="I362" s="107"/>
      <c r="J362" s="107"/>
      <c r="K362" s="107"/>
      <c r="L362" s="107"/>
      <c r="M362" s="107"/>
      <c r="N362" s="5"/>
      <c r="O362" s="18">
        <f t="shared" si="85"/>
        <v>3</v>
      </c>
      <c r="P362" s="18">
        <f t="shared" si="86"/>
        <v>1</v>
      </c>
      <c r="Q362" s="5"/>
      <c r="R362" s="18">
        <f t="shared" si="87"/>
        <v>0</v>
      </c>
      <c r="S362" s="18">
        <f t="shared" si="88"/>
        <v>1</v>
      </c>
      <c r="T362" s="18">
        <f t="shared" si="89"/>
        <v>0</v>
      </c>
      <c r="U362" s="18">
        <f t="shared" si="90"/>
        <v>1</v>
      </c>
      <c r="V362" s="18">
        <f t="shared" si="91"/>
        <v>0</v>
      </c>
      <c r="W362" s="18">
        <f t="shared" si="92"/>
        <v>1</v>
      </c>
      <c r="X362" s="18">
        <f t="shared" si="93"/>
        <v>0</v>
      </c>
      <c r="Y362" s="18">
        <f t="shared" si="94"/>
        <v>0</v>
      </c>
      <c r="Z362" s="18">
        <f t="shared" si="95"/>
        <v>0</v>
      </c>
      <c r="AA362" s="18">
        <f t="shared" si="96"/>
        <v>0</v>
      </c>
      <c r="AB362" s="18">
        <f t="shared" si="97"/>
        <v>0</v>
      </c>
      <c r="AC362" s="18">
        <f t="shared" si="98"/>
        <v>0</v>
      </c>
      <c r="AD362" s="5"/>
      <c r="AE362" s="5"/>
      <c r="AF362" s="18">
        <f t="shared" si="99"/>
        <v>3</v>
      </c>
      <c r="AG362" s="18">
        <f t="shared" si="100"/>
        <v>3</v>
      </c>
      <c r="AH362" s="18" t="str">
        <f t="shared" si="101"/>
        <v>Correct</v>
      </c>
      <c r="AI362" s="5"/>
      <c r="AJ362" s="120" t="str">
        <f>IFERROR(VLOOKUP(Table1[RespondentID],'All Data'!$A$3:$CO$999,87,FALSE),"unknown")</f>
        <v>Woman</v>
      </c>
      <c r="AK362" s="120">
        <f>IFERROR(VLOOKUP(Table1[RespondentID],'All Data'!$A$3:$CO$999,88,FALSE),"unknown")</f>
        <v>0</v>
      </c>
      <c r="AL362" s="120" t="str">
        <f>IFERROR(VLOOKUP(Table1[RespondentID],'All Data'!$A$3:$CO$999,89,FALSE),"unknown")</f>
        <v>Nassau</v>
      </c>
      <c r="AM362" s="120" t="str">
        <f>IFERROR(VLOOKUP(Table1[RespondentID],'All Data'!$A$3:$CO$999,90,FALSE),"unknown")</f>
        <v>Massapequa, 11758</v>
      </c>
      <c r="AN362" s="120" t="str">
        <f>IFERROR(VLOOKUP(Table1[RespondentID],'All Data'!$A$3:$CO$999,91,FALSE),"unknown")</f>
        <v>White</v>
      </c>
      <c r="AO362" s="120" t="str">
        <f>IFERROR(VLOOKUP(Table1[RespondentID],'All Data'!$A$3:$CO$999,92,FALSE),"unknown")</f>
        <v>Not Hispanic or Latino</v>
      </c>
      <c r="AP362" s="120" t="str">
        <f>IFERROR(VLOOKUP(Table1[RespondentID],'All Data'!$A$3:$CO$999,93,FALSE),"unknown")</f>
        <v>English</v>
      </c>
      <c r="AQ362" s="120" t="str">
        <f>IFERROR(VLOOKUP(Table1[RespondentID],'All Data'!$A$3:$CW$999,94,FALSE),"unknown")</f>
        <v>Over $125,000</v>
      </c>
      <c r="AR362" s="120" t="str">
        <f>IFERROR(VLOOKUP(Table1[RespondentID],'All Data'!$A$3:$CW$999,95,FALSE),"unknown")</f>
        <v>College graduate</v>
      </c>
      <c r="AS362" s="120" t="str">
        <f>IFERROR(VLOOKUP(Table1[RespondentID],'All Data'!$A$3:$CW$999,96,FALSE),"unknown")</f>
        <v>Employed for wages</v>
      </c>
      <c r="AT362" s="120" t="str">
        <f>IFERROR(VLOOKUP(Table1[RespondentID],'All Data'!$A$3:$CW$999,97,FALSE),"unknown")</f>
        <v>Yes</v>
      </c>
      <c r="AU362" s="120" t="str">
        <f>IFERROR(VLOOKUP(Table1[RespondentID],'All Data'!$A$3:$CW$999,98,FALSE),"unknown")</f>
        <v>Private/Commercial</v>
      </c>
      <c r="AV362" s="120" t="str">
        <f>IFERROR(VLOOKUP(Table1[RespondentID],'All Data'!$A$3:$CW$999,99,FALSE),"unknown")</f>
        <v>Yes</v>
      </c>
    </row>
    <row r="363" spans="1:48">
      <c r="A363" s="133">
        <v>114097859158</v>
      </c>
      <c r="B363" s="139"/>
      <c r="C363" s="107"/>
      <c r="D363" s="107"/>
      <c r="E363" s="107"/>
      <c r="F363" s="107"/>
      <c r="G363" s="107"/>
      <c r="H363" s="107" t="s">
        <v>43</v>
      </c>
      <c r="I363" s="107"/>
      <c r="J363" s="107" t="s">
        <v>45</v>
      </c>
      <c r="K363" s="107"/>
      <c r="L363" s="107" t="s">
        <v>47</v>
      </c>
      <c r="M363" s="107"/>
      <c r="N363" s="5"/>
      <c r="O363" s="18">
        <f t="shared" si="85"/>
        <v>3</v>
      </c>
      <c r="P363" s="18">
        <f t="shared" si="86"/>
        <v>1</v>
      </c>
      <c r="Q363" s="5"/>
      <c r="R363" s="18">
        <f t="shared" si="87"/>
        <v>0</v>
      </c>
      <c r="S363" s="18">
        <f t="shared" si="88"/>
        <v>0</v>
      </c>
      <c r="T363" s="18">
        <f t="shared" si="89"/>
        <v>0</v>
      </c>
      <c r="U363" s="18">
        <f t="shared" si="90"/>
        <v>0</v>
      </c>
      <c r="V363" s="18">
        <f t="shared" si="91"/>
        <v>0</v>
      </c>
      <c r="W363" s="18">
        <f t="shared" si="92"/>
        <v>0</v>
      </c>
      <c r="X363" s="18">
        <f t="shared" si="93"/>
        <v>1</v>
      </c>
      <c r="Y363" s="18">
        <f t="shared" si="94"/>
        <v>0</v>
      </c>
      <c r="Z363" s="18">
        <f t="shared" si="95"/>
        <v>1</v>
      </c>
      <c r="AA363" s="18">
        <f t="shared" si="96"/>
        <v>0</v>
      </c>
      <c r="AB363" s="18">
        <f t="shared" si="97"/>
        <v>1</v>
      </c>
      <c r="AC363" s="18">
        <f t="shared" si="98"/>
        <v>0</v>
      </c>
      <c r="AD363" s="5"/>
      <c r="AE363" s="5"/>
      <c r="AF363" s="18">
        <f t="shared" si="99"/>
        <v>3</v>
      </c>
      <c r="AG363" s="18">
        <f t="shared" si="100"/>
        <v>3</v>
      </c>
      <c r="AH363" s="18" t="str">
        <f t="shared" si="101"/>
        <v>Correct</v>
      </c>
      <c r="AI363" s="5"/>
      <c r="AJ363" s="120" t="str">
        <f>IFERROR(VLOOKUP(Table1[RespondentID],'All Data'!$A$3:$CO$999,87,FALSE),"unknown")</f>
        <v>Woman</v>
      </c>
      <c r="AK363" s="120">
        <f>IFERROR(VLOOKUP(Table1[RespondentID],'All Data'!$A$3:$CO$999,88,FALSE),"unknown")</f>
        <v>0</v>
      </c>
      <c r="AL363" s="120" t="str">
        <f>IFERROR(VLOOKUP(Table1[RespondentID],'All Data'!$A$3:$CO$999,89,FALSE),"unknown")</f>
        <v>Suffolk</v>
      </c>
      <c r="AM363" s="120" t="str">
        <f>IFERROR(VLOOKUP(Table1[RespondentID],'All Data'!$A$3:$CO$999,90,FALSE),"unknown")</f>
        <v>Lindenhurst, 11757</v>
      </c>
      <c r="AN363" s="120" t="str">
        <f>IFERROR(VLOOKUP(Table1[RespondentID],'All Data'!$A$3:$CO$999,91,FALSE),"unknown")</f>
        <v>White</v>
      </c>
      <c r="AO363" s="120" t="str">
        <f>IFERROR(VLOOKUP(Table1[RespondentID],'All Data'!$A$3:$CO$999,92,FALSE),"unknown")</f>
        <v>Not Hispanic or Latino</v>
      </c>
      <c r="AP363" s="120" t="str">
        <f>IFERROR(VLOOKUP(Table1[RespondentID],'All Data'!$A$3:$CO$999,93,FALSE),"unknown")</f>
        <v>English</v>
      </c>
      <c r="AQ363" s="120">
        <f>IFERROR(VLOOKUP(Table1[RespondentID],'All Data'!$A$3:$CW$999,94,FALSE),"unknown")</f>
        <v>0</v>
      </c>
      <c r="AR363" s="120" t="str">
        <f>IFERROR(VLOOKUP(Table1[RespondentID],'All Data'!$A$3:$CW$999,95,FALSE),"unknown")</f>
        <v>High school graduate</v>
      </c>
      <c r="AS363" s="120" t="str">
        <f>IFERROR(VLOOKUP(Table1[RespondentID],'All Data'!$A$3:$CW$999,96,FALSE),"unknown")</f>
        <v>Retired</v>
      </c>
      <c r="AT363" s="120" t="str">
        <f>IFERROR(VLOOKUP(Table1[RespondentID],'All Data'!$A$3:$CW$999,97,FALSE),"unknown")</f>
        <v>Yes</v>
      </c>
      <c r="AU363" s="120" t="str">
        <f>IFERROR(VLOOKUP(Table1[RespondentID],'All Data'!$A$3:$CW$999,98,FALSE),"unknown")</f>
        <v>Medicare</v>
      </c>
      <c r="AV363" s="120" t="str">
        <f>IFERROR(VLOOKUP(Table1[RespondentID],'All Data'!$A$3:$CW$999,99,FALSE),"unknown")</f>
        <v>Yes</v>
      </c>
    </row>
    <row r="364" spans="1:48">
      <c r="A364" s="133">
        <v>114097590747</v>
      </c>
      <c r="B364" s="139"/>
      <c r="C364" s="107" t="s">
        <v>39</v>
      </c>
      <c r="D364" s="107"/>
      <c r="E364" s="107" t="s">
        <v>41</v>
      </c>
      <c r="F364" s="107"/>
      <c r="G364" s="107"/>
      <c r="H364" s="107"/>
      <c r="I364" s="107"/>
      <c r="J364" s="107"/>
      <c r="K364" s="107"/>
      <c r="L364" s="107"/>
      <c r="M364" s="107"/>
      <c r="N364" s="5"/>
      <c r="O364" s="18">
        <f t="shared" si="85"/>
        <v>2</v>
      </c>
      <c r="P364" s="18">
        <f t="shared" si="86"/>
        <v>1.5</v>
      </c>
      <c r="Q364" s="5"/>
      <c r="R364" s="18">
        <f t="shared" si="87"/>
        <v>0</v>
      </c>
      <c r="S364" s="18">
        <f t="shared" si="88"/>
        <v>1</v>
      </c>
      <c r="T364" s="18">
        <f t="shared" si="89"/>
        <v>0</v>
      </c>
      <c r="U364" s="18">
        <f t="shared" si="90"/>
        <v>1</v>
      </c>
      <c r="V364" s="18">
        <f t="shared" si="91"/>
        <v>0</v>
      </c>
      <c r="W364" s="18">
        <f t="shared" si="92"/>
        <v>0</v>
      </c>
      <c r="X364" s="18">
        <f t="shared" si="93"/>
        <v>0</v>
      </c>
      <c r="Y364" s="18">
        <f t="shared" si="94"/>
        <v>0</v>
      </c>
      <c r="Z364" s="18">
        <f t="shared" si="95"/>
        <v>0</v>
      </c>
      <c r="AA364" s="18">
        <f t="shared" si="96"/>
        <v>0</v>
      </c>
      <c r="AB364" s="18">
        <f t="shared" si="97"/>
        <v>0</v>
      </c>
      <c r="AC364" s="18">
        <f t="shared" si="98"/>
        <v>0</v>
      </c>
      <c r="AD364" s="5"/>
      <c r="AE364" s="5"/>
      <c r="AF364" s="18">
        <f t="shared" si="99"/>
        <v>2</v>
      </c>
      <c r="AG364" s="18">
        <f t="shared" si="100"/>
        <v>2</v>
      </c>
      <c r="AH364" s="18" t="str">
        <f t="shared" si="101"/>
        <v>Correct</v>
      </c>
      <c r="AI364" s="5"/>
      <c r="AJ364" s="120" t="str">
        <f>IFERROR(VLOOKUP(Table1[RespondentID],'All Data'!$A$3:$CO$999,87,FALSE),"unknown")</f>
        <v>Woman</v>
      </c>
      <c r="AK364" s="120">
        <f>IFERROR(VLOOKUP(Table1[RespondentID],'All Data'!$A$3:$CO$999,88,FALSE),"unknown")</f>
        <v>0</v>
      </c>
      <c r="AL364" s="120" t="str">
        <f>IFERROR(VLOOKUP(Table1[RespondentID],'All Data'!$A$3:$CO$999,89,FALSE),"unknown")</f>
        <v>Suffolk</v>
      </c>
      <c r="AM364" s="120" t="str">
        <f>IFERROR(VLOOKUP(Table1[RespondentID],'All Data'!$A$3:$CO$999,90,FALSE),"unknown")</f>
        <v>Bay Shore, 11706</v>
      </c>
      <c r="AN364" s="120" t="str">
        <f>IFERROR(VLOOKUP(Table1[RespondentID],'All Data'!$A$3:$CO$999,91,FALSE),"unknown")</f>
        <v>White</v>
      </c>
      <c r="AO364" s="120" t="str">
        <f>IFERROR(VLOOKUP(Table1[RespondentID],'All Data'!$A$3:$CO$999,92,FALSE),"unknown")</f>
        <v>Not Hispanic or Latino</v>
      </c>
      <c r="AP364" s="120" t="str">
        <f>IFERROR(VLOOKUP(Table1[RespondentID],'All Data'!$A$3:$CO$999,93,FALSE),"unknown")</f>
        <v>English</v>
      </c>
      <c r="AQ364" s="120" t="str">
        <f>IFERROR(VLOOKUP(Table1[RespondentID],'All Data'!$A$3:$CW$999,94,FALSE),"unknown")</f>
        <v>Over $125,000</v>
      </c>
      <c r="AR364" s="120" t="str">
        <f>IFERROR(VLOOKUP(Table1[RespondentID],'All Data'!$A$3:$CW$999,95,FALSE),"unknown")</f>
        <v>College graduate</v>
      </c>
      <c r="AS364" s="120" t="str">
        <f>IFERROR(VLOOKUP(Table1[RespondentID],'All Data'!$A$3:$CW$999,96,FALSE),"unknown")</f>
        <v>Employed for wages</v>
      </c>
      <c r="AT364" s="120" t="str">
        <f>IFERROR(VLOOKUP(Table1[RespondentID],'All Data'!$A$3:$CW$999,97,FALSE),"unknown")</f>
        <v>Yes</v>
      </c>
      <c r="AU364" s="120" t="str">
        <f>IFERROR(VLOOKUP(Table1[RespondentID],'All Data'!$A$3:$CW$999,98,FALSE),"unknown")</f>
        <v>Private/Commercial</v>
      </c>
      <c r="AV364" s="120" t="str">
        <f>IFERROR(VLOOKUP(Table1[RespondentID],'All Data'!$A$3:$CW$999,99,FALSE),"unknown")</f>
        <v>Yes</v>
      </c>
    </row>
    <row r="365" spans="1:48">
      <c r="A365" s="133">
        <v>114097326158</v>
      </c>
      <c r="B365" s="139"/>
      <c r="C365" s="107"/>
      <c r="D365" s="107"/>
      <c r="E365" s="107"/>
      <c r="F365" s="107" t="s">
        <v>42</v>
      </c>
      <c r="G365" s="107"/>
      <c r="H365" s="107" t="s">
        <v>43</v>
      </c>
      <c r="I365" s="107"/>
      <c r="J365" s="107"/>
      <c r="K365" s="107"/>
      <c r="L365" s="107"/>
      <c r="M365" s="107"/>
      <c r="N365" s="5"/>
      <c r="O365" s="18">
        <f t="shared" si="85"/>
        <v>2</v>
      </c>
      <c r="P365" s="18">
        <f t="shared" si="86"/>
        <v>1.5</v>
      </c>
      <c r="Q365" s="5"/>
      <c r="R365" s="18">
        <f t="shared" si="87"/>
        <v>0</v>
      </c>
      <c r="S365" s="18">
        <f t="shared" si="88"/>
        <v>0</v>
      </c>
      <c r="T365" s="18">
        <f t="shared" si="89"/>
        <v>0</v>
      </c>
      <c r="U365" s="18">
        <f t="shared" si="90"/>
        <v>0</v>
      </c>
      <c r="V365" s="18">
        <f t="shared" si="91"/>
        <v>1</v>
      </c>
      <c r="W365" s="18">
        <f t="shared" si="92"/>
        <v>0</v>
      </c>
      <c r="X365" s="18">
        <f t="shared" si="93"/>
        <v>1</v>
      </c>
      <c r="Y365" s="18">
        <f t="shared" si="94"/>
        <v>0</v>
      </c>
      <c r="Z365" s="18">
        <f t="shared" si="95"/>
        <v>0</v>
      </c>
      <c r="AA365" s="18">
        <f t="shared" si="96"/>
        <v>0</v>
      </c>
      <c r="AB365" s="18">
        <f t="shared" si="97"/>
        <v>0</v>
      </c>
      <c r="AC365" s="18">
        <f t="shared" si="98"/>
        <v>0</v>
      </c>
      <c r="AD365" s="5"/>
      <c r="AE365" s="5"/>
      <c r="AF365" s="18">
        <f t="shared" si="99"/>
        <v>2</v>
      </c>
      <c r="AG365" s="18">
        <f t="shared" si="100"/>
        <v>2</v>
      </c>
      <c r="AH365" s="18" t="str">
        <f t="shared" si="101"/>
        <v>Correct</v>
      </c>
      <c r="AI365" s="5"/>
      <c r="AJ365" s="120" t="str">
        <f>IFERROR(VLOOKUP(Table1[RespondentID],'All Data'!$A$3:$CO$999,87,FALSE),"unknown")</f>
        <v>Woman</v>
      </c>
      <c r="AK365" s="120">
        <f>IFERROR(VLOOKUP(Table1[RespondentID],'All Data'!$A$3:$CO$999,88,FALSE),"unknown")</f>
        <v>0</v>
      </c>
      <c r="AL365" s="120" t="str">
        <f>IFERROR(VLOOKUP(Table1[RespondentID],'All Data'!$A$3:$CO$999,89,FALSE),"unknown")</f>
        <v>Nassau</v>
      </c>
      <c r="AM365" s="120" t="str">
        <f>IFERROR(VLOOKUP(Table1[RespondentID],'All Data'!$A$3:$CO$999,90,FALSE),"unknown")</f>
        <v>Alden Manor, 11003</v>
      </c>
      <c r="AN365" s="120" t="str">
        <f>IFERROR(VLOOKUP(Table1[RespondentID],'All Data'!$A$3:$CO$999,91,FALSE),"unknown")</f>
        <v>American Indian and Alaska Native</v>
      </c>
      <c r="AO365" s="120" t="str">
        <f>IFERROR(VLOOKUP(Table1[RespondentID],'All Data'!$A$3:$CO$999,92,FALSE),"unknown")</f>
        <v>Not Hispanic or Latino</v>
      </c>
      <c r="AP365" s="120" t="str">
        <f>IFERROR(VLOOKUP(Table1[RespondentID],'All Data'!$A$3:$CO$999,93,FALSE),"unknown")</f>
        <v>English</v>
      </c>
      <c r="AQ365" s="120" t="str">
        <f>IFERROR(VLOOKUP(Table1[RespondentID],'All Data'!$A$3:$CW$999,94,FALSE),"unknown")</f>
        <v>$75,000 to $125,000</v>
      </c>
      <c r="AR365" s="120" t="str">
        <f>IFERROR(VLOOKUP(Table1[RespondentID],'All Data'!$A$3:$CW$999,95,FALSE),"unknown")</f>
        <v>Technical school</v>
      </c>
      <c r="AS365" s="120" t="str">
        <f>IFERROR(VLOOKUP(Table1[RespondentID],'All Data'!$A$3:$CW$999,96,FALSE),"unknown")</f>
        <v>Employed for wages</v>
      </c>
      <c r="AT365" s="120">
        <f>IFERROR(VLOOKUP(Table1[RespondentID],'All Data'!$A$3:$CW$999,97,FALSE),"unknown")</f>
        <v>0</v>
      </c>
      <c r="AU365" s="120" t="str">
        <f>IFERROR(VLOOKUP(Table1[RespondentID],'All Data'!$A$3:$CW$999,98,FALSE),"unknown")</f>
        <v>Medicaid</v>
      </c>
      <c r="AV365" s="120" t="str">
        <f>IFERROR(VLOOKUP(Table1[RespondentID],'All Data'!$A$3:$CW$999,99,FALSE),"unknown")</f>
        <v>Yes</v>
      </c>
    </row>
    <row r="366" spans="1:48">
      <c r="A366" s="133">
        <v>114097224144</v>
      </c>
      <c r="B366" s="139"/>
      <c r="C366" s="107"/>
      <c r="D366" s="107"/>
      <c r="E366" s="107" t="s">
        <v>41</v>
      </c>
      <c r="F366" s="107"/>
      <c r="G366" s="107"/>
      <c r="H366" s="107" t="s">
        <v>43</v>
      </c>
      <c r="I366" s="107"/>
      <c r="J366" s="107" t="s">
        <v>45</v>
      </c>
      <c r="K366" s="107"/>
      <c r="L366" s="107"/>
      <c r="M366" s="107"/>
      <c r="N366" s="5"/>
      <c r="O366" s="18">
        <f t="shared" si="85"/>
        <v>3</v>
      </c>
      <c r="P366" s="18">
        <f t="shared" si="86"/>
        <v>1</v>
      </c>
      <c r="Q366" s="5"/>
      <c r="R366" s="18">
        <f t="shared" si="87"/>
        <v>0</v>
      </c>
      <c r="S366" s="18">
        <f t="shared" si="88"/>
        <v>0</v>
      </c>
      <c r="T366" s="18">
        <f t="shared" si="89"/>
        <v>0</v>
      </c>
      <c r="U366" s="18">
        <f t="shared" si="90"/>
        <v>1</v>
      </c>
      <c r="V366" s="18">
        <f t="shared" si="91"/>
        <v>0</v>
      </c>
      <c r="W366" s="18">
        <f t="shared" si="92"/>
        <v>0</v>
      </c>
      <c r="X366" s="18">
        <f t="shared" si="93"/>
        <v>1</v>
      </c>
      <c r="Y366" s="18">
        <f t="shared" si="94"/>
        <v>0</v>
      </c>
      <c r="Z366" s="18">
        <f t="shared" si="95"/>
        <v>1</v>
      </c>
      <c r="AA366" s="18">
        <f t="shared" si="96"/>
        <v>0</v>
      </c>
      <c r="AB366" s="18">
        <f t="shared" si="97"/>
        <v>0</v>
      </c>
      <c r="AC366" s="18">
        <f t="shared" si="98"/>
        <v>0</v>
      </c>
      <c r="AD366" s="5"/>
      <c r="AE366" s="5"/>
      <c r="AF366" s="18">
        <f t="shared" si="99"/>
        <v>3</v>
      </c>
      <c r="AG366" s="18">
        <f t="shared" si="100"/>
        <v>3</v>
      </c>
      <c r="AH366" s="18" t="str">
        <f t="shared" si="101"/>
        <v>Correct</v>
      </c>
      <c r="AI366" s="5"/>
      <c r="AJ366" s="120" t="str">
        <f>IFERROR(VLOOKUP(Table1[RespondentID],'All Data'!$A$3:$CO$999,87,FALSE),"unknown")</f>
        <v>Woman</v>
      </c>
      <c r="AK366" s="120">
        <f>IFERROR(VLOOKUP(Table1[RespondentID],'All Data'!$A$3:$CO$999,88,FALSE),"unknown")</f>
        <v>0</v>
      </c>
      <c r="AL366" s="120" t="str">
        <f>IFERROR(VLOOKUP(Table1[RespondentID],'All Data'!$A$3:$CO$999,89,FALSE),"unknown")</f>
        <v>Suffolk</v>
      </c>
      <c r="AM366" s="120" t="str">
        <f>IFERROR(VLOOKUP(Table1[RespondentID],'All Data'!$A$3:$CO$999,90,FALSE),"unknown")</f>
        <v>West Islip, 11795</v>
      </c>
      <c r="AN366" s="120" t="str">
        <f>IFERROR(VLOOKUP(Table1[RespondentID],'All Data'!$A$3:$CO$999,91,FALSE),"unknown")</f>
        <v>White</v>
      </c>
      <c r="AO366" s="120" t="str">
        <f>IFERROR(VLOOKUP(Table1[RespondentID],'All Data'!$A$3:$CO$999,92,FALSE),"unknown")</f>
        <v>Not Hispanic or Latino</v>
      </c>
      <c r="AP366" s="120" t="str">
        <f>IFERROR(VLOOKUP(Table1[RespondentID],'All Data'!$A$3:$CO$999,93,FALSE),"unknown")</f>
        <v>English</v>
      </c>
      <c r="AQ366" s="120" t="str">
        <f>IFERROR(VLOOKUP(Table1[RespondentID],'All Data'!$A$3:$CW$999,94,FALSE),"unknown")</f>
        <v>$75,000 to $125,000</v>
      </c>
      <c r="AR366" s="120" t="str">
        <f>IFERROR(VLOOKUP(Table1[RespondentID],'All Data'!$A$3:$CW$999,95,FALSE),"unknown")</f>
        <v>High school graduate</v>
      </c>
      <c r="AS366" s="120" t="str">
        <f>IFERROR(VLOOKUP(Table1[RespondentID],'All Data'!$A$3:$CW$999,96,FALSE),"unknown")</f>
        <v>Retired</v>
      </c>
      <c r="AT366" s="120" t="str">
        <f>IFERROR(VLOOKUP(Table1[RespondentID],'All Data'!$A$3:$CW$999,97,FALSE),"unknown")</f>
        <v>Yes</v>
      </c>
      <c r="AU366" s="120" t="str">
        <f>IFERROR(VLOOKUP(Table1[RespondentID],'All Data'!$A$3:$CW$999,98,FALSE),"unknown")</f>
        <v>Medicare,Private/Commercial</v>
      </c>
      <c r="AV366" s="120" t="str">
        <f>IFERROR(VLOOKUP(Table1[RespondentID],'All Data'!$A$3:$CW$999,99,FALSE),"unknown")</f>
        <v>Yes</v>
      </c>
    </row>
    <row r="367" spans="1:48">
      <c r="A367" s="133">
        <v>114097096005</v>
      </c>
      <c r="B367" s="139" t="s">
        <v>38</v>
      </c>
      <c r="C367" s="107"/>
      <c r="D367" s="107"/>
      <c r="E367" s="107"/>
      <c r="F367" s="107"/>
      <c r="G367" s="107"/>
      <c r="H367" s="107"/>
      <c r="I367" s="107"/>
      <c r="J367" s="107"/>
      <c r="K367" s="107"/>
      <c r="L367" s="107"/>
      <c r="M367" s="107"/>
      <c r="N367" s="5"/>
      <c r="O367" s="18">
        <f t="shared" si="85"/>
        <v>1</v>
      </c>
      <c r="P367" s="18">
        <f t="shared" si="86"/>
        <v>3</v>
      </c>
      <c r="Q367" s="5"/>
      <c r="R367" s="18">
        <f t="shared" si="87"/>
        <v>1</v>
      </c>
      <c r="S367" s="18">
        <f t="shared" si="88"/>
        <v>0</v>
      </c>
      <c r="T367" s="18">
        <f t="shared" si="89"/>
        <v>0</v>
      </c>
      <c r="U367" s="18">
        <f t="shared" si="90"/>
        <v>0</v>
      </c>
      <c r="V367" s="18">
        <f t="shared" si="91"/>
        <v>0</v>
      </c>
      <c r="W367" s="18">
        <f t="shared" si="92"/>
        <v>0</v>
      </c>
      <c r="X367" s="18">
        <f t="shared" si="93"/>
        <v>0</v>
      </c>
      <c r="Y367" s="18">
        <f t="shared" si="94"/>
        <v>0</v>
      </c>
      <c r="Z367" s="18">
        <f t="shared" si="95"/>
        <v>0</v>
      </c>
      <c r="AA367" s="18">
        <f t="shared" si="96"/>
        <v>0</v>
      </c>
      <c r="AB367" s="18">
        <f t="shared" si="97"/>
        <v>0</v>
      </c>
      <c r="AC367" s="18">
        <f t="shared" si="98"/>
        <v>0</v>
      </c>
      <c r="AD367" s="5"/>
      <c r="AE367" s="5"/>
      <c r="AF367" s="18">
        <f t="shared" si="99"/>
        <v>1</v>
      </c>
      <c r="AG367" s="18">
        <f t="shared" si="100"/>
        <v>1</v>
      </c>
      <c r="AH367" s="18" t="str">
        <f t="shared" si="101"/>
        <v>Correct</v>
      </c>
      <c r="AI367" s="5"/>
      <c r="AJ367" s="120" t="str">
        <f>IFERROR(VLOOKUP(Table1[RespondentID],'All Data'!$A$3:$CO$999,87,FALSE),"unknown")</f>
        <v>Man</v>
      </c>
      <c r="AK367" s="120">
        <f>IFERROR(VLOOKUP(Table1[RespondentID],'All Data'!$A$3:$CO$999,88,FALSE),"unknown")</f>
        <v>0</v>
      </c>
      <c r="AL367" s="120" t="str">
        <f>IFERROR(VLOOKUP(Table1[RespondentID],'All Data'!$A$3:$CO$999,89,FALSE),"unknown")</f>
        <v>Suffolk</v>
      </c>
      <c r="AM367" s="120" t="str">
        <f>IFERROR(VLOOKUP(Table1[RespondentID],'All Data'!$A$3:$CO$999,90,FALSE),"unknown")</f>
        <v>Lindenhurst, 11757</v>
      </c>
      <c r="AN367" s="120" t="str">
        <f>IFERROR(VLOOKUP(Table1[RespondentID],'All Data'!$A$3:$CO$999,91,FALSE),"unknown")</f>
        <v>White</v>
      </c>
      <c r="AO367" s="120" t="str">
        <f>IFERROR(VLOOKUP(Table1[RespondentID],'All Data'!$A$3:$CO$999,92,FALSE),"unknown")</f>
        <v>Not Hispanic or Latino</v>
      </c>
      <c r="AP367" s="120" t="str">
        <f>IFERROR(VLOOKUP(Table1[RespondentID],'All Data'!$A$3:$CO$999,93,FALSE),"unknown")</f>
        <v>English</v>
      </c>
      <c r="AQ367" s="120" t="str">
        <f>IFERROR(VLOOKUP(Table1[RespondentID],'All Data'!$A$3:$CW$999,94,FALSE),"unknown")</f>
        <v>Over $125,000</v>
      </c>
      <c r="AR367" s="120" t="str">
        <f>IFERROR(VLOOKUP(Table1[RespondentID],'All Data'!$A$3:$CW$999,95,FALSE),"unknown")</f>
        <v>College graduate</v>
      </c>
      <c r="AS367" s="120" t="str">
        <f>IFERROR(VLOOKUP(Table1[RespondentID],'All Data'!$A$3:$CW$999,96,FALSE),"unknown")</f>
        <v>Retired</v>
      </c>
      <c r="AT367" s="120" t="str">
        <f>IFERROR(VLOOKUP(Table1[RespondentID],'All Data'!$A$3:$CW$999,97,FALSE),"unknown")</f>
        <v>Yes</v>
      </c>
      <c r="AU367" s="120" t="str">
        <f>IFERROR(VLOOKUP(Table1[RespondentID],'All Data'!$A$3:$CW$999,98,FALSE),"unknown")</f>
        <v>Medicare,Private/Commercial</v>
      </c>
      <c r="AV367" s="120" t="str">
        <f>IFERROR(VLOOKUP(Table1[RespondentID],'All Data'!$A$3:$CW$999,99,FALSE),"unknown")</f>
        <v>Yes</v>
      </c>
    </row>
    <row r="368" spans="1:48">
      <c r="A368" s="133">
        <v>114097086259</v>
      </c>
      <c r="B368" s="139"/>
      <c r="C368" s="107"/>
      <c r="D368" s="107"/>
      <c r="E368" s="107"/>
      <c r="F368" s="107" t="s">
        <v>42</v>
      </c>
      <c r="G368" s="107"/>
      <c r="H368" s="107"/>
      <c r="I368" s="107"/>
      <c r="J368" s="107" t="s">
        <v>45</v>
      </c>
      <c r="K368" s="107"/>
      <c r="L368" s="107" t="s">
        <v>47</v>
      </c>
      <c r="M368" s="107"/>
      <c r="N368" s="5"/>
      <c r="O368" s="18">
        <f t="shared" si="85"/>
        <v>3</v>
      </c>
      <c r="P368" s="18">
        <f t="shared" si="86"/>
        <v>1</v>
      </c>
      <c r="Q368" s="5"/>
      <c r="R368" s="18">
        <f t="shared" si="87"/>
        <v>0</v>
      </c>
      <c r="S368" s="18">
        <f t="shared" si="88"/>
        <v>0</v>
      </c>
      <c r="T368" s="18">
        <f t="shared" si="89"/>
        <v>0</v>
      </c>
      <c r="U368" s="18">
        <f t="shared" si="90"/>
        <v>0</v>
      </c>
      <c r="V368" s="18">
        <f t="shared" si="91"/>
        <v>1</v>
      </c>
      <c r="W368" s="18">
        <f t="shared" si="92"/>
        <v>0</v>
      </c>
      <c r="X368" s="18">
        <f t="shared" si="93"/>
        <v>0</v>
      </c>
      <c r="Y368" s="18">
        <f t="shared" si="94"/>
        <v>0</v>
      </c>
      <c r="Z368" s="18">
        <f t="shared" si="95"/>
        <v>1</v>
      </c>
      <c r="AA368" s="18">
        <f t="shared" si="96"/>
        <v>0</v>
      </c>
      <c r="AB368" s="18">
        <f t="shared" si="97"/>
        <v>1</v>
      </c>
      <c r="AC368" s="18">
        <f t="shared" si="98"/>
        <v>0</v>
      </c>
      <c r="AD368" s="5"/>
      <c r="AE368" s="5"/>
      <c r="AF368" s="18">
        <f t="shared" si="99"/>
        <v>3</v>
      </c>
      <c r="AG368" s="18">
        <f t="shared" si="100"/>
        <v>3</v>
      </c>
      <c r="AH368" s="18" t="str">
        <f t="shared" si="101"/>
        <v>Correct</v>
      </c>
      <c r="AI368" s="5"/>
      <c r="AJ368" s="120" t="str">
        <f>IFERROR(VLOOKUP(Table1[RespondentID],'All Data'!$A$3:$CO$999,87,FALSE),"unknown")</f>
        <v>Woman</v>
      </c>
      <c r="AK368" s="120">
        <f>IFERROR(VLOOKUP(Table1[RespondentID],'All Data'!$A$3:$CO$999,88,FALSE),"unknown")</f>
        <v>0</v>
      </c>
      <c r="AL368" s="120" t="str">
        <f>IFERROR(VLOOKUP(Table1[RespondentID],'All Data'!$A$3:$CO$999,89,FALSE),"unknown")</f>
        <v>Nassau</v>
      </c>
      <c r="AM368" s="120" t="str">
        <f>IFERROR(VLOOKUP(Table1[RespondentID],'All Data'!$A$3:$CO$999,90,FALSE),"unknown")</f>
        <v>Farmingdale, 11735</v>
      </c>
      <c r="AN368" s="120" t="str">
        <f>IFERROR(VLOOKUP(Table1[RespondentID],'All Data'!$A$3:$CO$999,91,FALSE),"unknown")</f>
        <v>White</v>
      </c>
      <c r="AO368" s="120" t="str">
        <f>IFERROR(VLOOKUP(Table1[RespondentID],'All Data'!$A$3:$CO$999,92,FALSE),"unknown")</f>
        <v>Not Hispanic or Latino</v>
      </c>
      <c r="AP368" s="120" t="str">
        <f>IFERROR(VLOOKUP(Table1[RespondentID],'All Data'!$A$3:$CO$999,93,FALSE),"unknown")</f>
        <v>English</v>
      </c>
      <c r="AQ368" s="120" t="str">
        <f>IFERROR(VLOOKUP(Table1[RespondentID],'All Data'!$A$3:$CW$999,94,FALSE),"unknown")</f>
        <v>$50,000 to $74,999</v>
      </c>
      <c r="AR368" s="120" t="str">
        <f>IFERROR(VLOOKUP(Table1[RespondentID],'All Data'!$A$3:$CW$999,95,FALSE),"unknown")</f>
        <v>Some college</v>
      </c>
      <c r="AS368" s="120" t="str">
        <f>IFERROR(VLOOKUP(Table1[RespondentID],'All Data'!$A$3:$CW$999,96,FALSE),"unknown")</f>
        <v>Employed for wages</v>
      </c>
      <c r="AT368" s="120" t="str">
        <f>IFERROR(VLOOKUP(Table1[RespondentID],'All Data'!$A$3:$CW$999,97,FALSE),"unknown")</f>
        <v>Yes</v>
      </c>
      <c r="AU368" s="120" t="str">
        <f>IFERROR(VLOOKUP(Table1[RespondentID],'All Data'!$A$3:$CW$999,98,FALSE),"unknown")</f>
        <v>Medicare,Private/Commercial</v>
      </c>
      <c r="AV368" s="120" t="str">
        <f>IFERROR(VLOOKUP(Table1[RespondentID],'All Data'!$A$3:$CW$999,99,FALSE),"unknown")</f>
        <v>Yes</v>
      </c>
    </row>
    <row r="369" spans="1:48">
      <c r="A369" s="133">
        <v>114096895942</v>
      </c>
      <c r="B369" s="139" t="s">
        <v>38</v>
      </c>
      <c r="C369" s="107" t="s">
        <v>39</v>
      </c>
      <c r="D369" s="107" t="s">
        <v>40</v>
      </c>
      <c r="E369" s="107" t="s">
        <v>41</v>
      </c>
      <c r="F369" s="107"/>
      <c r="G369" s="107"/>
      <c r="H369" s="107" t="s">
        <v>43</v>
      </c>
      <c r="I369" s="107"/>
      <c r="J369" s="107" t="s">
        <v>45</v>
      </c>
      <c r="K369" s="107" t="s">
        <v>46</v>
      </c>
      <c r="L369" s="107" t="s">
        <v>47</v>
      </c>
      <c r="M369" s="107" t="s">
        <v>48</v>
      </c>
      <c r="N369" s="5"/>
      <c r="O369" s="18">
        <f t="shared" si="85"/>
        <v>9</v>
      </c>
      <c r="P369" s="18">
        <f t="shared" si="86"/>
        <v>0.33333333333333331</v>
      </c>
      <c r="Q369" s="5"/>
      <c r="R369" s="18">
        <f t="shared" si="87"/>
        <v>0.33333333333333331</v>
      </c>
      <c r="S369" s="18">
        <f t="shared" si="88"/>
        <v>0.33333333333333331</v>
      </c>
      <c r="T369" s="18">
        <f t="shared" si="89"/>
        <v>0.33333333333333331</v>
      </c>
      <c r="U369" s="18">
        <f t="shared" si="90"/>
        <v>0.33333333333333331</v>
      </c>
      <c r="V369" s="18">
        <f t="shared" si="91"/>
        <v>0</v>
      </c>
      <c r="W369" s="18">
        <f t="shared" si="92"/>
        <v>0</v>
      </c>
      <c r="X369" s="18">
        <f t="shared" si="93"/>
        <v>0.33333333333333331</v>
      </c>
      <c r="Y369" s="18">
        <f t="shared" si="94"/>
        <v>0</v>
      </c>
      <c r="Z369" s="18">
        <f t="shared" si="95"/>
        <v>0.33333333333333331</v>
      </c>
      <c r="AA369" s="18">
        <f t="shared" si="96"/>
        <v>0.33333333333333331</v>
      </c>
      <c r="AB369" s="18">
        <f t="shared" si="97"/>
        <v>0.33333333333333331</v>
      </c>
      <c r="AC369" s="18">
        <f t="shared" si="98"/>
        <v>0.33333333333333331</v>
      </c>
      <c r="AD369" s="5"/>
      <c r="AE369" s="5"/>
      <c r="AF369" s="18">
        <f t="shared" si="99"/>
        <v>3</v>
      </c>
      <c r="AG369" s="18">
        <f t="shared" si="100"/>
        <v>9</v>
      </c>
      <c r="AH369" s="18" t="str">
        <f t="shared" si="101"/>
        <v>Correct</v>
      </c>
      <c r="AI369" s="5"/>
      <c r="AJ369" s="120" t="str">
        <f>IFERROR(VLOOKUP(Table1[RespondentID],'All Data'!$A$3:$CO$999,87,FALSE),"unknown")</f>
        <v>Woman</v>
      </c>
      <c r="AK369" s="120">
        <f>IFERROR(VLOOKUP(Table1[RespondentID],'All Data'!$A$3:$CO$999,88,FALSE),"unknown")</f>
        <v>0</v>
      </c>
      <c r="AL369" s="120" t="str">
        <f>IFERROR(VLOOKUP(Table1[RespondentID],'All Data'!$A$3:$CO$999,89,FALSE),"unknown")</f>
        <v>Suffolk</v>
      </c>
      <c r="AM369" s="120" t="str">
        <f>IFERROR(VLOOKUP(Table1[RespondentID],'All Data'!$A$3:$CO$999,90,FALSE),"unknown")</f>
        <v>North Babylon, 11703</v>
      </c>
      <c r="AN369" s="120" t="str">
        <f>IFERROR(VLOOKUP(Table1[RespondentID],'All Data'!$A$3:$CO$999,91,FALSE),"unknown")</f>
        <v>White</v>
      </c>
      <c r="AO369" s="120" t="str">
        <f>IFERROR(VLOOKUP(Table1[RespondentID],'All Data'!$A$3:$CO$999,92,FALSE),"unknown")</f>
        <v>Not Hispanic or Latino</v>
      </c>
      <c r="AP369" s="120" t="str">
        <f>IFERROR(VLOOKUP(Table1[RespondentID],'All Data'!$A$3:$CO$999,93,FALSE),"unknown")</f>
        <v>English</v>
      </c>
      <c r="AQ369" s="120" t="str">
        <f>IFERROR(VLOOKUP(Table1[RespondentID],'All Data'!$A$3:$CW$999,94,FALSE),"unknown")</f>
        <v>$35,000 to $49,999</v>
      </c>
      <c r="AR369" s="120" t="str">
        <f>IFERROR(VLOOKUP(Table1[RespondentID],'All Data'!$A$3:$CW$999,95,FALSE),"unknown")</f>
        <v>Some college</v>
      </c>
      <c r="AS369" s="120" t="str">
        <f>IFERROR(VLOOKUP(Table1[RespondentID],'All Data'!$A$3:$CW$999,96,FALSE),"unknown")</f>
        <v>Employed for wages</v>
      </c>
      <c r="AT369" s="120" t="str">
        <f>IFERROR(VLOOKUP(Table1[RespondentID],'All Data'!$A$3:$CW$999,97,FALSE),"unknown")</f>
        <v>Yes</v>
      </c>
      <c r="AU369" s="120" t="str">
        <f>IFERROR(VLOOKUP(Table1[RespondentID],'All Data'!$A$3:$CW$999,98,FALSE),"unknown")</f>
        <v>Private/Commercial</v>
      </c>
      <c r="AV369" s="120" t="str">
        <f>IFERROR(VLOOKUP(Table1[RespondentID],'All Data'!$A$3:$CW$999,99,FALSE),"unknown")</f>
        <v>Yes</v>
      </c>
    </row>
    <row r="370" spans="1:48">
      <c r="A370" s="133">
        <v>114096869874</v>
      </c>
      <c r="B370" s="139" t="s">
        <v>38</v>
      </c>
      <c r="C370" s="107" t="s">
        <v>39</v>
      </c>
      <c r="D370" s="107"/>
      <c r="E370" s="107" t="s">
        <v>41</v>
      </c>
      <c r="F370" s="107"/>
      <c r="G370" s="107"/>
      <c r="H370" s="107"/>
      <c r="I370" s="107"/>
      <c r="J370" s="107"/>
      <c r="K370" s="107"/>
      <c r="L370" s="107"/>
      <c r="M370" s="107"/>
      <c r="N370" s="5"/>
      <c r="O370" s="18">
        <f t="shared" si="85"/>
        <v>3</v>
      </c>
      <c r="P370" s="18">
        <f t="shared" si="86"/>
        <v>1</v>
      </c>
      <c r="Q370" s="5"/>
      <c r="R370" s="18">
        <f t="shared" si="87"/>
        <v>1</v>
      </c>
      <c r="S370" s="18">
        <f t="shared" si="88"/>
        <v>1</v>
      </c>
      <c r="T370" s="18">
        <f t="shared" si="89"/>
        <v>0</v>
      </c>
      <c r="U370" s="18">
        <f t="shared" si="90"/>
        <v>1</v>
      </c>
      <c r="V370" s="18">
        <f t="shared" si="91"/>
        <v>0</v>
      </c>
      <c r="W370" s="18">
        <f t="shared" si="92"/>
        <v>0</v>
      </c>
      <c r="X370" s="18">
        <f t="shared" si="93"/>
        <v>0</v>
      </c>
      <c r="Y370" s="18">
        <f t="shared" si="94"/>
        <v>0</v>
      </c>
      <c r="Z370" s="18">
        <f t="shared" si="95"/>
        <v>0</v>
      </c>
      <c r="AA370" s="18">
        <f t="shared" si="96"/>
        <v>0</v>
      </c>
      <c r="AB370" s="18">
        <f t="shared" si="97"/>
        <v>0</v>
      </c>
      <c r="AC370" s="18">
        <f t="shared" si="98"/>
        <v>0</v>
      </c>
      <c r="AD370" s="5"/>
      <c r="AE370" s="5"/>
      <c r="AF370" s="18">
        <f t="shared" si="99"/>
        <v>3</v>
      </c>
      <c r="AG370" s="18">
        <f t="shared" si="100"/>
        <v>3</v>
      </c>
      <c r="AH370" s="18" t="str">
        <f t="shared" si="101"/>
        <v>Correct</v>
      </c>
      <c r="AI370" s="5"/>
      <c r="AJ370" s="120" t="str">
        <f>IFERROR(VLOOKUP(Table1[RespondentID],'All Data'!$A$3:$CO$999,87,FALSE),"unknown")</f>
        <v>Woman</v>
      </c>
      <c r="AK370" s="120">
        <f>IFERROR(VLOOKUP(Table1[RespondentID],'All Data'!$A$3:$CO$999,88,FALSE),"unknown")</f>
        <v>0</v>
      </c>
      <c r="AL370" s="120" t="str">
        <f>IFERROR(VLOOKUP(Table1[RespondentID],'All Data'!$A$3:$CO$999,89,FALSE),"unknown")</f>
        <v>Nassau</v>
      </c>
      <c r="AM370" s="120" t="str">
        <f>IFERROR(VLOOKUP(Table1[RespondentID],'All Data'!$A$3:$CO$999,90,FALSE),"unknown")</f>
        <v>Bellmore, 11710</v>
      </c>
      <c r="AN370" s="120" t="str">
        <f>IFERROR(VLOOKUP(Table1[RespondentID],'All Data'!$A$3:$CO$999,91,FALSE),"unknown")</f>
        <v>White</v>
      </c>
      <c r="AO370" s="120" t="str">
        <f>IFERROR(VLOOKUP(Table1[RespondentID],'All Data'!$A$3:$CO$999,92,FALSE),"unknown")</f>
        <v>Not Hispanic or Latino</v>
      </c>
      <c r="AP370" s="120" t="str">
        <f>IFERROR(VLOOKUP(Table1[RespondentID],'All Data'!$A$3:$CO$999,93,FALSE),"unknown")</f>
        <v>English</v>
      </c>
      <c r="AQ370" s="120" t="str">
        <f>IFERROR(VLOOKUP(Table1[RespondentID],'All Data'!$A$3:$CW$999,94,FALSE),"unknown")</f>
        <v>Over $125,000</v>
      </c>
      <c r="AR370" s="120" t="str">
        <f>IFERROR(VLOOKUP(Table1[RespondentID],'All Data'!$A$3:$CW$999,95,FALSE),"unknown")</f>
        <v>College graduate</v>
      </c>
      <c r="AS370" s="120" t="str">
        <f>IFERROR(VLOOKUP(Table1[RespondentID],'All Data'!$A$3:$CW$999,96,FALSE),"unknown")</f>
        <v>Employed for wages</v>
      </c>
      <c r="AT370" s="120" t="str">
        <f>IFERROR(VLOOKUP(Table1[RespondentID],'All Data'!$A$3:$CW$999,97,FALSE),"unknown")</f>
        <v>Yes</v>
      </c>
      <c r="AU370" s="120" t="str">
        <f>IFERROR(VLOOKUP(Table1[RespondentID],'All Data'!$A$3:$CW$999,98,FALSE),"unknown")</f>
        <v>Private/Commercial</v>
      </c>
      <c r="AV370" s="120" t="str">
        <f>IFERROR(VLOOKUP(Table1[RespondentID],'All Data'!$A$3:$CW$999,99,FALSE),"unknown")</f>
        <v>Yes</v>
      </c>
    </row>
    <row r="371" spans="1:48">
      <c r="A371" s="133">
        <v>114096853684</v>
      </c>
      <c r="B371" s="139"/>
      <c r="C371" s="107" t="s">
        <v>39</v>
      </c>
      <c r="D371" s="107"/>
      <c r="E371" s="107" t="s">
        <v>41</v>
      </c>
      <c r="F371" s="107"/>
      <c r="G371" s="107"/>
      <c r="H371" s="107" t="s">
        <v>43</v>
      </c>
      <c r="I371" s="107"/>
      <c r="J371" s="107"/>
      <c r="K371" s="107"/>
      <c r="L371" s="107"/>
      <c r="M371" s="107"/>
      <c r="N371" s="5"/>
      <c r="O371" s="18">
        <f t="shared" si="85"/>
        <v>3</v>
      </c>
      <c r="P371" s="18">
        <f t="shared" si="86"/>
        <v>1</v>
      </c>
      <c r="Q371" s="5"/>
      <c r="R371" s="18">
        <f t="shared" si="87"/>
        <v>0</v>
      </c>
      <c r="S371" s="18">
        <f t="shared" si="88"/>
        <v>1</v>
      </c>
      <c r="T371" s="18">
        <f t="shared" si="89"/>
        <v>0</v>
      </c>
      <c r="U371" s="18">
        <f t="shared" si="90"/>
        <v>1</v>
      </c>
      <c r="V371" s="18">
        <f t="shared" si="91"/>
        <v>0</v>
      </c>
      <c r="W371" s="18">
        <f t="shared" si="92"/>
        <v>0</v>
      </c>
      <c r="X371" s="18">
        <f t="shared" si="93"/>
        <v>1</v>
      </c>
      <c r="Y371" s="18">
        <f t="shared" si="94"/>
        <v>0</v>
      </c>
      <c r="Z371" s="18">
        <f t="shared" si="95"/>
        <v>0</v>
      </c>
      <c r="AA371" s="18">
        <f t="shared" si="96"/>
        <v>0</v>
      </c>
      <c r="AB371" s="18">
        <f t="shared" si="97"/>
        <v>0</v>
      </c>
      <c r="AC371" s="18">
        <f t="shared" si="98"/>
        <v>0</v>
      </c>
      <c r="AD371" s="5"/>
      <c r="AE371" s="5"/>
      <c r="AF371" s="18">
        <f t="shared" si="99"/>
        <v>3</v>
      </c>
      <c r="AG371" s="18">
        <f t="shared" si="100"/>
        <v>3</v>
      </c>
      <c r="AH371" s="18" t="str">
        <f t="shared" si="101"/>
        <v>Correct</v>
      </c>
      <c r="AI371" s="5"/>
      <c r="AJ371" s="120" t="str">
        <f>IFERROR(VLOOKUP(Table1[RespondentID],'All Data'!$A$3:$CO$999,87,FALSE),"unknown")</f>
        <v>Woman</v>
      </c>
      <c r="AK371" s="120">
        <f>IFERROR(VLOOKUP(Table1[RespondentID],'All Data'!$A$3:$CO$999,88,FALSE),"unknown")</f>
        <v>0</v>
      </c>
      <c r="AL371" s="120" t="str">
        <f>IFERROR(VLOOKUP(Table1[RespondentID],'All Data'!$A$3:$CO$999,89,FALSE),"unknown")</f>
        <v>Suffolk</v>
      </c>
      <c r="AM371" s="120" t="str">
        <f>IFERROR(VLOOKUP(Table1[RespondentID],'All Data'!$A$3:$CO$999,90,FALSE),"unknown")</f>
        <v>West Islip, 11795</v>
      </c>
      <c r="AN371" s="120" t="str">
        <f>IFERROR(VLOOKUP(Table1[RespondentID],'All Data'!$A$3:$CO$999,91,FALSE),"unknown")</f>
        <v>White</v>
      </c>
      <c r="AO371" s="120" t="str">
        <f>IFERROR(VLOOKUP(Table1[RespondentID],'All Data'!$A$3:$CO$999,92,FALSE),"unknown")</f>
        <v>Not Hispanic or Latino</v>
      </c>
      <c r="AP371" s="120" t="str">
        <f>IFERROR(VLOOKUP(Table1[RespondentID],'All Data'!$A$3:$CO$999,93,FALSE),"unknown")</f>
        <v>English</v>
      </c>
      <c r="AQ371" s="120" t="str">
        <f>IFERROR(VLOOKUP(Table1[RespondentID],'All Data'!$A$3:$CW$999,94,FALSE),"unknown")</f>
        <v>$75,000 to $125,000</v>
      </c>
      <c r="AR371" s="120" t="str">
        <f>IFERROR(VLOOKUP(Table1[RespondentID],'All Data'!$A$3:$CW$999,95,FALSE),"unknown")</f>
        <v>Some college</v>
      </c>
      <c r="AS371" s="120" t="str">
        <f>IFERROR(VLOOKUP(Table1[RespondentID],'All Data'!$A$3:$CW$999,96,FALSE),"unknown")</f>
        <v>Employed for wages</v>
      </c>
      <c r="AT371" s="120" t="str">
        <f>IFERROR(VLOOKUP(Table1[RespondentID],'All Data'!$A$3:$CW$999,97,FALSE),"unknown")</f>
        <v>Yes</v>
      </c>
      <c r="AU371" s="120" t="str">
        <f>IFERROR(VLOOKUP(Table1[RespondentID],'All Data'!$A$3:$CW$999,98,FALSE),"unknown")</f>
        <v>Private/Commercial</v>
      </c>
      <c r="AV371" s="120" t="str">
        <f>IFERROR(VLOOKUP(Table1[RespondentID],'All Data'!$A$3:$CW$999,99,FALSE),"unknown")</f>
        <v>Yes</v>
      </c>
    </row>
    <row r="372" spans="1:48">
      <c r="A372" s="133">
        <v>114096829794</v>
      </c>
      <c r="B372" s="139"/>
      <c r="C372" s="107" t="s">
        <v>39</v>
      </c>
      <c r="D372" s="107"/>
      <c r="E372" s="107"/>
      <c r="F372" s="107" t="s">
        <v>42</v>
      </c>
      <c r="G372" s="107"/>
      <c r="H372" s="107" t="s">
        <v>43</v>
      </c>
      <c r="I372" s="107"/>
      <c r="J372" s="107"/>
      <c r="K372" s="107"/>
      <c r="L372" s="107"/>
      <c r="M372" s="107"/>
      <c r="N372" s="5"/>
      <c r="O372" s="18">
        <f t="shared" si="85"/>
        <v>3</v>
      </c>
      <c r="P372" s="18">
        <f t="shared" si="86"/>
        <v>1</v>
      </c>
      <c r="Q372" s="5"/>
      <c r="R372" s="18">
        <f t="shared" si="87"/>
        <v>0</v>
      </c>
      <c r="S372" s="18">
        <f t="shared" si="88"/>
        <v>1</v>
      </c>
      <c r="T372" s="18">
        <f t="shared" si="89"/>
        <v>0</v>
      </c>
      <c r="U372" s="18">
        <f t="shared" si="90"/>
        <v>0</v>
      </c>
      <c r="V372" s="18">
        <f t="shared" si="91"/>
        <v>1</v>
      </c>
      <c r="W372" s="18">
        <f t="shared" si="92"/>
        <v>0</v>
      </c>
      <c r="X372" s="18">
        <f t="shared" si="93"/>
        <v>1</v>
      </c>
      <c r="Y372" s="18">
        <f t="shared" si="94"/>
        <v>0</v>
      </c>
      <c r="Z372" s="18">
        <f t="shared" si="95"/>
        <v>0</v>
      </c>
      <c r="AA372" s="18">
        <f t="shared" si="96"/>
        <v>0</v>
      </c>
      <c r="AB372" s="18">
        <f t="shared" si="97"/>
        <v>0</v>
      </c>
      <c r="AC372" s="18">
        <f t="shared" si="98"/>
        <v>0</v>
      </c>
      <c r="AD372" s="5"/>
      <c r="AE372" s="5"/>
      <c r="AF372" s="18">
        <f t="shared" si="99"/>
        <v>3</v>
      </c>
      <c r="AG372" s="18">
        <f t="shared" si="100"/>
        <v>3</v>
      </c>
      <c r="AH372" s="18" t="str">
        <f t="shared" si="101"/>
        <v>Correct</v>
      </c>
      <c r="AI372" s="5"/>
      <c r="AJ372" s="120" t="str">
        <f>IFERROR(VLOOKUP(Table1[RespondentID],'All Data'!$A$3:$CO$999,87,FALSE),"unknown")</f>
        <v>Woman</v>
      </c>
      <c r="AK372" s="120">
        <f>IFERROR(VLOOKUP(Table1[RespondentID],'All Data'!$A$3:$CO$999,88,FALSE),"unknown")</f>
        <v>0</v>
      </c>
      <c r="AL372" s="120" t="str">
        <f>IFERROR(VLOOKUP(Table1[RespondentID],'All Data'!$A$3:$CO$999,89,FALSE),"unknown")</f>
        <v>Suffolk</v>
      </c>
      <c r="AM372" s="120" t="str">
        <f>IFERROR(VLOOKUP(Table1[RespondentID],'All Data'!$A$3:$CO$999,90,FALSE),"unknown")</f>
        <v>Sayville, 11782</v>
      </c>
      <c r="AN372" s="120" t="str">
        <f>IFERROR(VLOOKUP(Table1[RespondentID],'All Data'!$A$3:$CO$999,91,FALSE),"unknown")</f>
        <v>White</v>
      </c>
      <c r="AO372" s="120" t="str">
        <f>IFERROR(VLOOKUP(Table1[RespondentID],'All Data'!$A$3:$CO$999,92,FALSE),"unknown")</f>
        <v>Not Hispanic or Latino</v>
      </c>
      <c r="AP372" s="120" t="str">
        <f>IFERROR(VLOOKUP(Table1[RespondentID],'All Data'!$A$3:$CO$999,93,FALSE),"unknown")</f>
        <v>English</v>
      </c>
      <c r="AQ372" s="120" t="str">
        <f>IFERROR(VLOOKUP(Table1[RespondentID],'All Data'!$A$3:$CW$999,94,FALSE),"unknown")</f>
        <v>$50,000 to $74,999</v>
      </c>
      <c r="AR372" s="120" t="str">
        <f>IFERROR(VLOOKUP(Table1[RespondentID],'All Data'!$A$3:$CW$999,95,FALSE),"unknown")</f>
        <v>Some college</v>
      </c>
      <c r="AS372" s="120" t="str">
        <f>IFERROR(VLOOKUP(Table1[RespondentID],'All Data'!$A$3:$CW$999,96,FALSE),"unknown")</f>
        <v>Retired</v>
      </c>
      <c r="AT372" s="120" t="str">
        <f>IFERROR(VLOOKUP(Table1[RespondentID],'All Data'!$A$3:$CW$999,97,FALSE),"unknown")</f>
        <v>Yes</v>
      </c>
      <c r="AU372" s="120" t="str">
        <f>IFERROR(VLOOKUP(Table1[RespondentID],'All Data'!$A$3:$CW$999,98,FALSE),"unknown")</f>
        <v>Medicare,Private/Commercial</v>
      </c>
      <c r="AV372" s="120" t="str">
        <f>IFERROR(VLOOKUP(Table1[RespondentID],'All Data'!$A$3:$CW$999,99,FALSE),"unknown")</f>
        <v>Yes</v>
      </c>
    </row>
    <row r="373" spans="1:48">
      <c r="A373" s="133">
        <v>114096746832</v>
      </c>
      <c r="B373" s="139"/>
      <c r="C373" s="107" t="s">
        <v>39</v>
      </c>
      <c r="D373" s="107"/>
      <c r="E373" s="107" t="s">
        <v>41</v>
      </c>
      <c r="F373" s="107"/>
      <c r="G373" s="107"/>
      <c r="H373" s="107"/>
      <c r="I373" s="107"/>
      <c r="J373" s="107"/>
      <c r="K373" s="107"/>
      <c r="L373" s="107"/>
      <c r="M373" s="107" t="s">
        <v>48</v>
      </c>
      <c r="N373" s="5"/>
      <c r="O373" s="18">
        <f t="shared" si="85"/>
        <v>3</v>
      </c>
      <c r="P373" s="18">
        <f t="shared" si="86"/>
        <v>1</v>
      </c>
      <c r="Q373" s="5"/>
      <c r="R373" s="18">
        <f t="shared" si="87"/>
        <v>0</v>
      </c>
      <c r="S373" s="18">
        <f t="shared" si="88"/>
        <v>1</v>
      </c>
      <c r="T373" s="18">
        <f t="shared" si="89"/>
        <v>0</v>
      </c>
      <c r="U373" s="18">
        <f t="shared" si="90"/>
        <v>1</v>
      </c>
      <c r="V373" s="18">
        <f t="shared" si="91"/>
        <v>0</v>
      </c>
      <c r="W373" s="18">
        <f t="shared" si="92"/>
        <v>0</v>
      </c>
      <c r="X373" s="18">
        <f t="shared" si="93"/>
        <v>0</v>
      </c>
      <c r="Y373" s="18">
        <f t="shared" si="94"/>
        <v>0</v>
      </c>
      <c r="Z373" s="18">
        <f t="shared" si="95"/>
        <v>0</v>
      </c>
      <c r="AA373" s="18">
        <f t="shared" si="96"/>
        <v>0</v>
      </c>
      <c r="AB373" s="18">
        <f t="shared" si="97"/>
        <v>0</v>
      </c>
      <c r="AC373" s="18">
        <f t="shared" si="98"/>
        <v>1</v>
      </c>
      <c r="AD373" s="5"/>
      <c r="AE373" s="5"/>
      <c r="AF373" s="18">
        <f t="shared" si="99"/>
        <v>3</v>
      </c>
      <c r="AG373" s="18">
        <f t="shared" si="100"/>
        <v>3</v>
      </c>
      <c r="AH373" s="18" t="str">
        <f t="shared" si="101"/>
        <v>Correct</v>
      </c>
      <c r="AI373" s="5"/>
      <c r="AJ373" s="120" t="str">
        <f>IFERROR(VLOOKUP(Table1[RespondentID],'All Data'!$A$3:$CO$999,87,FALSE),"unknown")</f>
        <v>Woman</v>
      </c>
      <c r="AK373" s="120">
        <f>IFERROR(VLOOKUP(Table1[RespondentID],'All Data'!$A$3:$CO$999,88,FALSE),"unknown")</f>
        <v>0</v>
      </c>
      <c r="AL373" s="120" t="str">
        <f>IFERROR(VLOOKUP(Table1[RespondentID],'All Data'!$A$3:$CO$999,89,FALSE),"unknown")</f>
        <v>Suffolk</v>
      </c>
      <c r="AM373" s="120" t="str">
        <f>IFERROR(VLOOKUP(Table1[RespondentID],'All Data'!$A$3:$CO$999,90,FALSE),"unknown")</f>
        <v>Babylon, 11704</v>
      </c>
      <c r="AN373" s="120" t="str">
        <f>IFERROR(VLOOKUP(Table1[RespondentID],'All Data'!$A$3:$CO$999,91,FALSE),"unknown")</f>
        <v>White</v>
      </c>
      <c r="AO373" s="120" t="str">
        <f>IFERROR(VLOOKUP(Table1[RespondentID],'All Data'!$A$3:$CO$999,92,FALSE),"unknown")</f>
        <v>Not Hispanic or Latino</v>
      </c>
      <c r="AP373" s="120" t="str">
        <f>IFERROR(VLOOKUP(Table1[RespondentID],'All Data'!$A$3:$CO$999,93,FALSE),"unknown")</f>
        <v>English</v>
      </c>
      <c r="AQ373" s="120" t="str">
        <f>IFERROR(VLOOKUP(Table1[RespondentID],'All Data'!$A$3:$CW$999,94,FALSE),"unknown")</f>
        <v>$50,000 to $74,999</v>
      </c>
      <c r="AR373" s="120" t="str">
        <f>IFERROR(VLOOKUP(Table1[RespondentID],'All Data'!$A$3:$CW$999,95,FALSE),"unknown")</f>
        <v>College graduate</v>
      </c>
      <c r="AS373" s="120" t="str">
        <f>IFERROR(VLOOKUP(Table1[RespondentID],'All Data'!$A$3:$CW$999,96,FALSE),"unknown")</f>
        <v>Employed for wages</v>
      </c>
      <c r="AT373" s="120" t="str">
        <f>IFERROR(VLOOKUP(Table1[RespondentID],'All Data'!$A$3:$CW$999,97,FALSE),"unknown")</f>
        <v>Yes</v>
      </c>
      <c r="AU373" s="120" t="str">
        <f>IFERROR(VLOOKUP(Table1[RespondentID],'All Data'!$A$3:$CW$999,98,FALSE),"unknown")</f>
        <v>Private/Commercial</v>
      </c>
      <c r="AV373" s="120" t="str">
        <f>IFERROR(VLOOKUP(Table1[RespondentID],'All Data'!$A$3:$CW$999,99,FALSE),"unknown")</f>
        <v>Yes</v>
      </c>
    </row>
    <row r="374" spans="1:48">
      <c r="A374" s="133">
        <v>114096742817</v>
      </c>
      <c r="B374" s="139"/>
      <c r="C374" s="107" t="s">
        <v>39</v>
      </c>
      <c r="D374" s="107"/>
      <c r="E374" s="107"/>
      <c r="F374" s="107"/>
      <c r="G374" s="107" t="s">
        <v>37</v>
      </c>
      <c r="H374" s="107"/>
      <c r="I374" s="107"/>
      <c r="J374" s="107" t="s">
        <v>45</v>
      </c>
      <c r="K374" s="107"/>
      <c r="L374" s="107"/>
      <c r="M374" s="107"/>
      <c r="N374" s="5"/>
      <c r="O374" s="18">
        <f t="shared" si="85"/>
        <v>3</v>
      </c>
      <c r="P374" s="18">
        <f t="shared" si="86"/>
        <v>1</v>
      </c>
      <c r="Q374" s="5"/>
      <c r="R374" s="18">
        <f t="shared" si="87"/>
        <v>0</v>
      </c>
      <c r="S374" s="18">
        <f t="shared" si="88"/>
        <v>1</v>
      </c>
      <c r="T374" s="18">
        <f t="shared" si="89"/>
        <v>0</v>
      </c>
      <c r="U374" s="18">
        <f t="shared" si="90"/>
        <v>0</v>
      </c>
      <c r="V374" s="18">
        <f t="shared" si="91"/>
        <v>0</v>
      </c>
      <c r="W374" s="18">
        <f t="shared" si="92"/>
        <v>1</v>
      </c>
      <c r="X374" s="18">
        <f t="shared" si="93"/>
        <v>0</v>
      </c>
      <c r="Y374" s="18">
        <f t="shared" si="94"/>
        <v>0</v>
      </c>
      <c r="Z374" s="18">
        <f t="shared" si="95"/>
        <v>1</v>
      </c>
      <c r="AA374" s="18">
        <f t="shared" si="96"/>
        <v>0</v>
      </c>
      <c r="AB374" s="18">
        <f t="shared" si="97"/>
        <v>0</v>
      </c>
      <c r="AC374" s="18">
        <f t="shared" si="98"/>
        <v>0</v>
      </c>
      <c r="AD374" s="5"/>
      <c r="AE374" s="5"/>
      <c r="AF374" s="18">
        <f t="shared" si="99"/>
        <v>3</v>
      </c>
      <c r="AG374" s="18">
        <f t="shared" si="100"/>
        <v>3</v>
      </c>
      <c r="AH374" s="18" t="str">
        <f t="shared" si="101"/>
        <v>Correct</v>
      </c>
      <c r="AI374" s="5"/>
      <c r="AJ374" s="120" t="str">
        <f>IFERROR(VLOOKUP(Table1[RespondentID],'All Data'!$A$3:$CO$999,87,FALSE),"unknown")</f>
        <v>Woman</v>
      </c>
      <c r="AK374" s="120">
        <f>IFERROR(VLOOKUP(Table1[RespondentID],'All Data'!$A$3:$CO$999,88,FALSE),"unknown")</f>
        <v>0</v>
      </c>
      <c r="AL374" s="120" t="str">
        <f>IFERROR(VLOOKUP(Table1[RespondentID],'All Data'!$A$3:$CO$999,89,FALSE),"unknown")</f>
        <v>Suffolk</v>
      </c>
      <c r="AM374" s="120" t="str">
        <f>IFERROR(VLOOKUP(Table1[RespondentID],'All Data'!$A$3:$CO$999,90,FALSE),"unknown")</f>
        <v>Islip, 11751</v>
      </c>
      <c r="AN374" s="120" t="str">
        <f>IFERROR(VLOOKUP(Table1[RespondentID],'All Data'!$A$3:$CO$999,91,FALSE),"unknown")</f>
        <v>White</v>
      </c>
      <c r="AO374" s="120" t="str">
        <f>IFERROR(VLOOKUP(Table1[RespondentID],'All Data'!$A$3:$CO$999,92,FALSE),"unknown")</f>
        <v>Not Hispanic or Latino</v>
      </c>
      <c r="AP374" s="120" t="str">
        <f>IFERROR(VLOOKUP(Table1[RespondentID],'All Data'!$A$3:$CO$999,93,FALSE),"unknown")</f>
        <v>English</v>
      </c>
      <c r="AQ374" s="120" t="str">
        <f>IFERROR(VLOOKUP(Table1[RespondentID],'All Data'!$A$3:$CW$999,94,FALSE),"unknown")</f>
        <v>Over $125,000</v>
      </c>
      <c r="AR374" s="120" t="str">
        <f>IFERROR(VLOOKUP(Table1[RespondentID],'All Data'!$A$3:$CW$999,95,FALSE),"unknown")</f>
        <v>Graduate school</v>
      </c>
      <c r="AS374" s="120" t="str">
        <f>IFERROR(VLOOKUP(Table1[RespondentID],'All Data'!$A$3:$CW$999,96,FALSE),"unknown")</f>
        <v>Employed for wages</v>
      </c>
      <c r="AT374" s="120" t="str">
        <f>IFERROR(VLOOKUP(Table1[RespondentID],'All Data'!$A$3:$CW$999,97,FALSE),"unknown")</f>
        <v>Yes</v>
      </c>
      <c r="AU374" s="120" t="str">
        <f>IFERROR(VLOOKUP(Table1[RespondentID],'All Data'!$A$3:$CW$999,98,FALSE),"unknown")</f>
        <v>Private/Commercial</v>
      </c>
      <c r="AV374" s="120" t="str">
        <f>IFERROR(VLOOKUP(Table1[RespondentID],'All Data'!$A$3:$CW$999,99,FALSE),"unknown")</f>
        <v>Yes</v>
      </c>
    </row>
    <row r="375" spans="1:48">
      <c r="A375" s="133">
        <v>114096674095</v>
      </c>
      <c r="B375" s="139" t="s">
        <v>38</v>
      </c>
      <c r="C375" s="107" t="s">
        <v>39</v>
      </c>
      <c r="D375" s="107"/>
      <c r="E375" s="107"/>
      <c r="F375" s="107" t="s">
        <v>42</v>
      </c>
      <c r="G375" s="107" t="s">
        <v>37</v>
      </c>
      <c r="H375" s="107" t="s">
        <v>43</v>
      </c>
      <c r="I375" s="107"/>
      <c r="J375" s="107"/>
      <c r="K375" s="107"/>
      <c r="L375" s="107" t="s">
        <v>47</v>
      </c>
      <c r="M375" s="107" t="s">
        <v>48</v>
      </c>
      <c r="N375" s="5"/>
      <c r="O375" s="18">
        <f t="shared" si="85"/>
        <v>7</v>
      </c>
      <c r="P375" s="18">
        <f t="shared" si="86"/>
        <v>0.42857142857142855</v>
      </c>
      <c r="Q375" s="5"/>
      <c r="R375" s="18">
        <f t="shared" si="87"/>
        <v>0.42857142857142855</v>
      </c>
      <c r="S375" s="18">
        <f t="shared" si="88"/>
        <v>0.42857142857142855</v>
      </c>
      <c r="T375" s="18">
        <f t="shared" si="89"/>
        <v>0</v>
      </c>
      <c r="U375" s="18">
        <f t="shared" si="90"/>
        <v>0</v>
      </c>
      <c r="V375" s="18">
        <f t="shared" si="91"/>
        <v>0.42857142857142855</v>
      </c>
      <c r="W375" s="18">
        <f t="shared" si="92"/>
        <v>0.42857142857142855</v>
      </c>
      <c r="X375" s="18">
        <f t="shared" si="93"/>
        <v>0.42857142857142855</v>
      </c>
      <c r="Y375" s="18">
        <f t="shared" si="94"/>
        <v>0</v>
      </c>
      <c r="Z375" s="18">
        <f t="shared" si="95"/>
        <v>0</v>
      </c>
      <c r="AA375" s="18">
        <f t="shared" si="96"/>
        <v>0</v>
      </c>
      <c r="AB375" s="18">
        <f t="shared" si="97"/>
        <v>0.42857142857142855</v>
      </c>
      <c r="AC375" s="18">
        <f t="shared" si="98"/>
        <v>0.42857142857142855</v>
      </c>
      <c r="AD375" s="5"/>
      <c r="AE375" s="5"/>
      <c r="AF375" s="18">
        <f t="shared" si="99"/>
        <v>2.9999999999999996</v>
      </c>
      <c r="AG375" s="18">
        <f t="shared" si="100"/>
        <v>7</v>
      </c>
      <c r="AH375" s="18" t="str">
        <f t="shared" si="101"/>
        <v>Correct</v>
      </c>
      <c r="AI375" s="5"/>
      <c r="AJ375" s="120" t="str">
        <f>IFERROR(VLOOKUP(Table1[RespondentID],'All Data'!$A$3:$CO$999,87,FALSE),"unknown")</f>
        <v>Woman</v>
      </c>
      <c r="AK375" s="120">
        <f>IFERROR(VLOOKUP(Table1[RespondentID],'All Data'!$A$3:$CO$999,88,FALSE),"unknown")</f>
        <v>0</v>
      </c>
      <c r="AL375" s="120" t="str">
        <f>IFERROR(VLOOKUP(Table1[RespondentID],'All Data'!$A$3:$CO$999,89,FALSE),"unknown")</f>
        <v>Suffolk</v>
      </c>
      <c r="AM375" s="120" t="str">
        <f>IFERROR(VLOOKUP(Table1[RespondentID],'All Data'!$A$3:$CO$999,90,FALSE),"unknown")</f>
        <v>Babylon, 11702</v>
      </c>
      <c r="AN375" s="120" t="str">
        <f>IFERROR(VLOOKUP(Table1[RespondentID],'All Data'!$A$3:$CO$999,91,FALSE),"unknown")</f>
        <v>White</v>
      </c>
      <c r="AO375" s="120" t="str">
        <f>IFERROR(VLOOKUP(Table1[RespondentID],'All Data'!$A$3:$CO$999,92,FALSE),"unknown")</f>
        <v>Not Hispanic or Latino</v>
      </c>
      <c r="AP375" s="120" t="str">
        <f>IFERROR(VLOOKUP(Table1[RespondentID],'All Data'!$A$3:$CO$999,93,FALSE),"unknown")</f>
        <v>English</v>
      </c>
      <c r="AQ375" s="120" t="str">
        <f>IFERROR(VLOOKUP(Table1[RespondentID],'All Data'!$A$3:$CW$999,94,FALSE),"unknown")</f>
        <v>$75,000 to $125,000</v>
      </c>
      <c r="AR375" s="120" t="str">
        <f>IFERROR(VLOOKUP(Table1[RespondentID],'All Data'!$A$3:$CW$999,95,FALSE),"unknown")</f>
        <v>Some college</v>
      </c>
      <c r="AS375" s="120" t="str">
        <f>IFERROR(VLOOKUP(Table1[RespondentID],'All Data'!$A$3:$CW$999,96,FALSE),"unknown")</f>
        <v>Retired</v>
      </c>
      <c r="AT375" s="120" t="str">
        <f>IFERROR(VLOOKUP(Table1[RespondentID],'All Data'!$A$3:$CW$999,97,FALSE),"unknown")</f>
        <v>Yes</v>
      </c>
      <c r="AU375" s="120" t="str">
        <f>IFERROR(VLOOKUP(Table1[RespondentID],'All Data'!$A$3:$CW$999,98,FALSE),"unknown")</f>
        <v>Medicare</v>
      </c>
      <c r="AV375" s="120" t="str">
        <f>IFERROR(VLOOKUP(Table1[RespondentID],'All Data'!$A$3:$CW$999,99,FALSE),"unknown")</f>
        <v>Yes</v>
      </c>
    </row>
    <row r="376" spans="1:48">
      <c r="A376" s="133">
        <v>114096668073</v>
      </c>
      <c r="B376" s="139"/>
      <c r="C376" s="107"/>
      <c r="D376" s="107"/>
      <c r="E376" s="107" t="s">
        <v>41</v>
      </c>
      <c r="F376" s="107"/>
      <c r="G376" s="107" t="s">
        <v>37</v>
      </c>
      <c r="H376" s="107" t="s">
        <v>43</v>
      </c>
      <c r="I376" s="107"/>
      <c r="J376" s="107"/>
      <c r="K376" s="107"/>
      <c r="L376" s="107"/>
      <c r="M376" s="107"/>
      <c r="N376" s="5"/>
      <c r="O376" s="18">
        <f t="shared" si="85"/>
        <v>3</v>
      </c>
      <c r="P376" s="18">
        <f t="shared" si="86"/>
        <v>1</v>
      </c>
      <c r="Q376" s="5"/>
      <c r="R376" s="18">
        <f t="shared" si="87"/>
        <v>0</v>
      </c>
      <c r="S376" s="18">
        <f t="shared" si="88"/>
        <v>0</v>
      </c>
      <c r="T376" s="18">
        <f t="shared" si="89"/>
        <v>0</v>
      </c>
      <c r="U376" s="18">
        <f t="shared" si="90"/>
        <v>1</v>
      </c>
      <c r="V376" s="18">
        <f t="shared" si="91"/>
        <v>0</v>
      </c>
      <c r="W376" s="18">
        <f t="shared" si="92"/>
        <v>1</v>
      </c>
      <c r="X376" s="18">
        <f t="shared" si="93"/>
        <v>1</v>
      </c>
      <c r="Y376" s="18">
        <f t="shared" si="94"/>
        <v>0</v>
      </c>
      <c r="Z376" s="18">
        <f t="shared" si="95"/>
        <v>0</v>
      </c>
      <c r="AA376" s="18">
        <f t="shared" si="96"/>
        <v>0</v>
      </c>
      <c r="AB376" s="18">
        <f t="shared" si="97"/>
        <v>0</v>
      </c>
      <c r="AC376" s="18">
        <f t="shared" si="98"/>
        <v>0</v>
      </c>
      <c r="AD376" s="5"/>
      <c r="AE376" s="5"/>
      <c r="AF376" s="18">
        <f t="shared" si="99"/>
        <v>3</v>
      </c>
      <c r="AG376" s="18">
        <f t="shared" si="100"/>
        <v>3</v>
      </c>
      <c r="AH376" s="18" t="str">
        <f t="shared" si="101"/>
        <v>Correct</v>
      </c>
      <c r="AI376" s="5"/>
      <c r="AJ376" s="120" t="str">
        <f>IFERROR(VLOOKUP(Table1[RespondentID],'All Data'!$A$3:$CO$999,87,FALSE),"unknown")</f>
        <v>Man</v>
      </c>
      <c r="AK376" s="120">
        <f>IFERROR(VLOOKUP(Table1[RespondentID],'All Data'!$A$3:$CO$999,88,FALSE),"unknown")</f>
        <v>0</v>
      </c>
      <c r="AL376" s="120" t="str">
        <f>IFERROR(VLOOKUP(Table1[RespondentID],'All Data'!$A$3:$CO$999,89,FALSE),"unknown")</f>
        <v>Suffolk</v>
      </c>
      <c r="AM376" s="120" t="str">
        <f>IFERROR(VLOOKUP(Table1[RespondentID],'All Data'!$A$3:$CO$999,90,FALSE),"unknown")</f>
        <v>Kings Park, 11754</v>
      </c>
      <c r="AN376" s="120" t="str">
        <f>IFERROR(VLOOKUP(Table1[RespondentID],'All Data'!$A$3:$CO$999,91,FALSE),"unknown")</f>
        <v>White</v>
      </c>
      <c r="AO376" s="120" t="str">
        <f>IFERROR(VLOOKUP(Table1[RespondentID],'All Data'!$A$3:$CO$999,92,FALSE),"unknown")</f>
        <v>Not Hispanic or Latino</v>
      </c>
      <c r="AP376" s="120" t="str">
        <f>IFERROR(VLOOKUP(Table1[RespondentID],'All Data'!$A$3:$CO$999,93,FALSE),"unknown")</f>
        <v>English</v>
      </c>
      <c r="AQ376" s="120" t="str">
        <f>IFERROR(VLOOKUP(Table1[RespondentID],'All Data'!$A$3:$CW$999,94,FALSE),"unknown")</f>
        <v>$75,000 to $125,000</v>
      </c>
      <c r="AR376" s="120" t="str">
        <f>IFERROR(VLOOKUP(Table1[RespondentID],'All Data'!$A$3:$CW$999,95,FALSE),"unknown")</f>
        <v>College graduate</v>
      </c>
      <c r="AS376" s="120" t="str">
        <f>IFERROR(VLOOKUP(Table1[RespondentID],'All Data'!$A$3:$CW$999,96,FALSE),"unknown")</f>
        <v>Retired</v>
      </c>
      <c r="AT376" s="120" t="str">
        <f>IFERROR(VLOOKUP(Table1[RespondentID],'All Data'!$A$3:$CW$999,97,FALSE),"unknown")</f>
        <v>Yes</v>
      </c>
      <c r="AU376" s="120" t="str">
        <f>IFERROR(VLOOKUP(Table1[RespondentID],'All Data'!$A$3:$CW$999,98,FALSE),"unknown")</f>
        <v>Medicare,Private/Commercial</v>
      </c>
      <c r="AV376" s="120" t="str">
        <f>IFERROR(VLOOKUP(Table1[RespondentID],'All Data'!$A$3:$CW$999,99,FALSE),"unknown")</f>
        <v>Yes</v>
      </c>
    </row>
    <row r="377" spans="1:48">
      <c r="A377" s="133">
        <v>114096661817</v>
      </c>
      <c r="B377" s="139" t="s">
        <v>38</v>
      </c>
      <c r="C377" s="107" t="s">
        <v>39</v>
      </c>
      <c r="D377" s="107"/>
      <c r="E377" s="107"/>
      <c r="F377" s="107"/>
      <c r="G377" s="107"/>
      <c r="H377" s="107"/>
      <c r="I377" s="107"/>
      <c r="J377" s="107"/>
      <c r="K377" s="107" t="s">
        <v>46</v>
      </c>
      <c r="L377" s="107"/>
      <c r="M377" s="107"/>
      <c r="N377" s="5"/>
      <c r="O377" s="18">
        <f t="shared" si="85"/>
        <v>3</v>
      </c>
      <c r="P377" s="18">
        <f t="shared" si="86"/>
        <v>1</v>
      </c>
      <c r="Q377" s="5"/>
      <c r="R377" s="18">
        <f t="shared" si="87"/>
        <v>1</v>
      </c>
      <c r="S377" s="18">
        <f t="shared" si="88"/>
        <v>1</v>
      </c>
      <c r="T377" s="18">
        <f t="shared" si="89"/>
        <v>0</v>
      </c>
      <c r="U377" s="18">
        <f t="shared" si="90"/>
        <v>0</v>
      </c>
      <c r="V377" s="18">
        <f t="shared" si="91"/>
        <v>0</v>
      </c>
      <c r="W377" s="18">
        <f t="shared" si="92"/>
        <v>0</v>
      </c>
      <c r="X377" s="18">
        <f t="shared" si="93"/>
        <v>0</v>
      </c>
      <c r="Y377" s="18">
        <f t="shared" si="94"/>
        <v>0</v>
      </c>
      <c r="Z377" s="18">
        <f t="shared" si="95"/>
        <v>0</v>
      </c>
      <c r="AA377" s="18">
        <f t="shared" si="96"/>
        <v>1</v>
      </c>
      <c r="AB377" s="18">
        <f t="shared" si="97"/>
        <v>0</v>
      </c>
      <c r="AC377" s="18">
        <f t="shared" si="98"/>
        <v>0</v>
      </c>
      <c r="AD377" s="5"/>
      <c r="AE377" s="5"/>
      <c r="AF377" s="18">
        <f t="shared" si="99"/>
        <v>3</v>
      </c>
      <c r="AG377" s="18">
        <f t="shared" si="100"/>
        <v>3</v>
      </c>
      <c r="AH377" s="18" t="str">
        <f t="shared" si="101"/>
        <v>Correct</v>
      </c>
      <c r="AI377" s="5"/>
      <c r="AJ377" s="120" t="str">
        <f>IFERROR(VLOOKUP(Table1[RespondentID],'All Data'!$A$3:$CO$999,87,FALSE),"unknown")</f>
        <v>Woman</v>
      </c>
      <c r="AK377" s="120">
        <f>IFERROR(VLOOKUP(Table1[RespondentID],'All Data'!$A$3:$CO$999,88,FALSE),"unknown")</f>
        <v>0</v>
      </c>
      <c r="AL377" s="120" t="str">
        <f>IFERROR(VLOOKUP(Table1[RespondentID],'All Data'!$A$3:$CO$999,89,FALSE),"unknown")</f>
        <v>Suffolk</v>
      </c>
      <c r="AM377" s="120" t="str">
        <f>IFERROR(VLOOKUP(Table1[RespondentID],'All Data'!$A$3:$CO$999,90,FALSE),"unknown")</f>
        <v>West Islip, 11795</v>
      </c>
      <c r="AN377" s="120" t="str">
        <f>IFERROR(VLOOKUP(Table1[RespondentID],'All Data'!$A$3:$CO$999,91,FALSE),"unknown")</f>
        <v>White</v>
      </c>
      <c r="AO377" s="120" t="str">
        <f>IFERROR(VLOOKUP(Table1[RespondentID],'All Data'!$A$3:$CO$999,92,FALSE),"unknown")</f>
        <v>Not Hispanic or Latino</v>
      </c>
      <c r="AP377" s="120" t="str">
        <f>IFERROR(VLOOKUP(Table1[RespondentID],'All Data'!$A$3:$CO$999,93,FALSE),"unknown")</f>
        <v>English</v>
      </c>
      <c r="AQ377" s="120" t="str">
        <f>IFERROR(VLOOKUP(Table1[RespondentID],'All Data'!$A$3:$CW$999,94,FALSE),"unknown")</f>
        <v>$35,000 to $49,999</v>
      </c>
      <c r="AR377" s="120" t="str">
        <f>IFERROR(VLOOKUP(Table1[RespondentID],'All Data'!$A$3:$CW$999,95,FALSE),"unknown")</f>
        <v>High school graduate</v>
      </c>
      <c r="AS377" s="120" t="str">
        <f>IFERROR(VLOOKUP(Table1[RespondentID],'All Data'!$A$3:$CW$999,96,FALSE),"unknown")</f>
        <v>Retired</v>
      </c>
      <c r="AT377" s="120" t="str">
        <f>IFERROR(VLOOKUP(Table1[RespondentID],'All Data'!$A$3:$CW$999,97,FALSE),"unknown")</f>
        <v>Yes</v>
      </c>
      <c r="AU377" s="120" t="str">
        <f>IFERROR(VLOOKUP(Table1[RespondentID],'All Data'!$A$3:$CW$999,98,FALSE),"unknown")</f>
        <v>Medicare</v>
      </c>
      <c r="AV377" s="120" t="str">
        <f>IFERROR(VLOOKUP(Table1[RespondentID],'All Data'!$A$3:$CW$999,99,FALSE),"unknown")</f>
        <v>Yes</v>
      </c>
    </row>
    <row r="378" spans="1:48">
      <c r="A378" s="133">
        <v>114096658219</v>
      </c>
      <c r="B378" s="139" t="s">
        <v>38</v>
      </c>
      <c r="C378" s="107"/>
      <c r="D378" s="107"/>
      <c r="E378" s="107" t="s">
        <v>41</v>
      </c>
      <c r="F378" s="107"/>
      <c r="G378" s="107"/>
      <c r="H378" s="107"/>
      <c r="I378" s="107"/>
      <c r="J378" s="107"/>
      <c r="K378" s="107"/>
      <c r="L378" s="107" t="s">
        <v>47</v>
      </c>
      <c r="M378" s="107"/>
      <c r="N378" s="5"/>
      <c r="O378" s="18">
        <f t="shared" si="85"/>
        <v>3</v>
      </c>
      <c r="P378" s="18">
        <f t="shared" si="86"/>
        <v>1</v>
      </c>
      <c r="Q378" s="5"/>
      <c r="R378" s="18">
        <f t="shared" si="87"/>
        <v>1</v>
      </c>
      <c r="S378" s="18">
        <f t="shared" si="88"/>
        <v>0</v>
      </c>
      <c r="T378" s="18">
        <f t="shared" si="89"/>
        <v>0</v>
      </c>
      <c r="U378" s="18">
        <f t="shared" si="90"/>
        <v>1</v>
      </c>
      <c r="V378" s="18">
        <f t="shared" si="91"/>
        <v>0</v>
      </c>
      <c r="W378" s="18">
        <f t="shared" si="92"/>
        <v>0</v>
      </c>
      <c r="X378" s="18">
        <f t="shared" si="93"/>
        <v>0</v>
      </c>
      <c r="Y378" s="18">
        <f t="shared" si="94"/>
        <v>0</v>
      </c>
      <c r="Z378" s="18">
        <f t="shared" si="95"/>
        <v>0</v>
      </c>
      <c r="AA378" s="18">
        <f t="shared" si="96"/>
        <v>0</v>
      </c>
      <c r="AB378" s="18">
        <f t="shared" si="97"/>
        <v>1</v>
      </c>
      <c r="AC378" s="18">
        <f t="shared" si="98"/>
        <v>0</v>
      </c>
      <c r="AD378" s="5"/>
      <c r="AE378" s="5"/>
      <c r="AF378" s="18">
        <f t="shared" si="99"/>
        <v>3</v>
      </c>
      <c r="AG378" s="18">
        <f t="shared" si="100"/>
        <v>3</v>
      </c>
      <c r="AH378" s="18" t="str">
        <f t="shared" si="101"/>
        <v>Correct</v>
      </c>
      <c r="AI378" s="5"/>
      <c r="AJ378" s="120" t="str">
        <f>IFERROR(VLOOKUP(Table1[RespondentID],'All Data'!$A$3:$CO$999,87,FALSE),"unknown")</f>
        <v>Woman</v>
      </c>
      <c r="AK378" s="120">
        <f>IFERROR(VLOOKUP(Table1[RespondentID],'All Data'!$A$3:$CO$999,88,FALSE),"unknown")</f>
        <v>0</v>
      </c>
      <c r="AL378" s="120" t="str">
        <f>IFERROR(VLOOKUP(Table1[RespondentID],'All Data'!$A$3:$CO$999,89,FALSE),"unknown")</f>
        <v>Suffolk</v>
      </c>
      <c r="AM378" s="120" t="str">
        <f>IFERROR(VLOOKUP(Table1[RespondentID],'All Data'!$A$3:$CO$999,90,FALSE),"unknown")</f>
        <v>Babylon, 11702</v>
      </c>
      <c r="AN378" s="120" t="str">
        <f>IFERROR(VLOOKUP(Table1[RespondentID],'All Data'!$A$3:$CO$999,91,FALSE),"unknown")</f>
        <v>White</v>
      </c>
      <c r="AO378" s="120" t="str">
        <f>IFERROR(VLOOKUP(Table1[RespondentID],'All Data'!$A$3:$CO$999,92,FALSE),"unknown")</f>
        <v>Not Hispanic or Latino</v>
      </c>
      <c r="AP378" s="120" t="str">
        <f>IFERROR(VLOOKUP(Table1[RespondentID],'All Data'!$A$3:$CO$999,93,FALSE),"unknown")</f>
        <v>English</v>
      </c>
      <c r="AQ378" s="120" t="str">
        <f>IFERROR(VLOOKUP(Table1[RespondentID],'All Data'!$A$3:$CW$999,94,FALSE),"unknown")</f>
        <v>$50,000 to $74,999</v>
      </c>
      <c r="AR378" s="120" t="str">
        <f>IFERROR(VLOOKUP(Table1[RespondentID],'All Data'!$A$3:$CW$999,95,FALSE),"unknown")</f>
        <v>College graduate</v>
      </c>
      <c r="AS378" s="120" t="str">
        <f>IFERROR(VLOOKUP(Table1[RespondentID],'All Data'!$A$3:$CW$999,96,FALSE),"unknown")</f>
        <v>Retired</v>
      </c>
      <c r="AT378" s="120" t="str">
        <f>IFERROR(VLOOKUP(Table1[RespondentID],'All Data'!$A$3:$CW$999,97,FALSE),"unknown")</f>
        <v>Yes</v>
      </c>
      <c r="AU378" s="120" t="str">
        <f>IFERROR(VLOOKUP(Table1[RespondentID],'All Data'!$A$3:$CW$999,98,FALSE),"unknown")</f>
        <v>Medicare,Private/Commercial</v>
      </c>
      <c r="AV378" s="120" t="str">
        <f>IFERROR(VLOOKUP(Table1[RespondentID],'All Data'!$A$3:$CW$999,99,FALSE),"unknown")</f>
        <v>Yes</v>
      </c>
    </row>
    <row r="379" spans="1:48">
      <c r="A379" s="133">
        <v>114089866335</v>
      </c>
      <c r="B379" s="139" t="s">
        <v>38</v>
      </c>
      <c r="C379" s="107"/>
      <c r="D379" s="107"/>
      <c r="E379" s="107"/>
      <c r="F379" s="107"/>
      <c r="G379" s="107"/>
      <c r="H379" s="107"/>
      <c r="I379" s="107"/>
      <c r="J379" s="107" t="s">
        <v>45</v>
      </c>
      <c r="K379" s="107"/>
      <c r="L379" s="107"/>
      <c r="M379" s="107"/>
      <c r="N379" s="5"/>
      <c r="O379" s="18">
        <f t="shared" si="85"/>
        <v>2</v>
      </c>
      <c r="P379" s="18">
        <f t="shared" si="86"/>
        <v>1.5</v>
      </c>
      <c r="Q379" s="5"/>
      <c r="R379" s="18">
        <f t="shared" si="87"/>
        <v>1</v>
      </c>
      <c r="S379" s="18">
        <f t="shared" si="88"/>
        <v>0</v>
      </c>
      <c r="T379" s="18">
        <f t="shared" si="89"/>
        <v>0</v>
      </c>
      <c r="U379" s="18">
        <f t="shared" si="90"/>
        <v>0</v>
      </c>
      <c r="V379" s="18">
        <f t="shared" si="91"/>
        <v>0</v>
      </c>
      <c r="W379" s="18">
        <f t="shared" si="92"/>
        <v>0</v>
      </c>
      <c r="X379" s="18">
        <f t="shared" si="93"/>
        <v>0</v>
      </c>
      <c r="Y379" s="18">
        <f t="shared" si="94"/>
        <v>0</v>
      </c>
      <c r="Z379" s="18">
        <f t="shared" si="95"/>
        <v>1</v>
      </c>
      <c r="AA379" s="18">
        <f t="shared" si="96"/>
        <v>0</v>
      </c>
      <c r="AB379" s="18">
        <f t="shared" si="97"/>
        <v>0</v>
      </c>
      <c r="AC379" s="18">
        <f t="shared" si="98"/>
        <v>0</v>
      </c>
      <c r="AD379" s="5"/>
      <c r="AE379" s="5"/>
      <c r="AF379" s="18">
        <f t="shared" si="99"/>
        <v>2</v>
      </c>
      <c r="AG379" s="18">
        <f t="shared" si="100"/>
        <v>2</v>
      </c>
      <c r="AH379" s="18" t="str">
        <f t="shared" si="101"/>
        <v>Correct</v>
      </c>
      <c r="AI379" s="5"/>
      <c r="AJ379" s="120" t="str">
        <f>IFERROR(VLOOKUP(Table1[RespondentID],'All Data'!$A$3:$CO$999,87,FALSE),"unknown")</f>
        <v>Woman</v>
      </c>
      <c r="AK379" s="120">
        <f>IFERROR(VLOOKUP(Table1[RespondentID],'All Data'!$A$3:$CO$999,88,FALSE),"unknown")</f>
        <v>0</v>
      </c>
      <c r="AL379" s="120" t="str">
        <f>IFERROR(VLOOKUP(Table1[RespondentID],'All Data'!$A$3:$CO$999,89,FALSE),"unknown")</f>
        <v>Nassau</v>
      </c>
      <c r="AM379" s="120" t="str">
        <f>IFERROR(VLOOKUP(Table1[RespondentID],'All Data'!$A$3:$CO$999,90,FALSE),"unknown")</f>
        <v>East Meadow, 11554</v>
      </c>
      <c r="AN379" s="120" t="str">
        <f>IFERROR(VLOOKUP(Table1[RespondentID],'All Data'!$A$3:$CO$999,91,FALSE),"unknown")</f>
        <v>Other (please specify)</v>
      </c>
      <c r="AO379" s="120" t="str">
        <f>IFERROR(VLOOKUP(Table1[RespondentID],'All Data'!$A$3:$CO$999,92,FALSE),"unknown")</f>
        <v>Not Hispanic or Latino</v>
      </c>
      <c r="AP379" s="120" t="str">
        <f>IFERROR(VLOOKUP(Table1[RespondentID],'All Data'!$A$3:$CO$999,93,FALSE),"unknown")</f>
        <v>English</v>
      </c>
      <c r="AQ379" s="120">
        <f>IFERROR(VLOOKUP(Table1[RespondentID],'All Data'!$A$3:$CW$999,94,FALSE),"unknown")</f>
        <v>0</v>
      </c>
      <c r="AR379" s="120" t="str">
        <f>IFERROR(VLOOKUP(Table1[RespondentID],'All Data'!$A$3:$CW$999,95,FALSE),"unknown")</f>
        <v>College graduate</v>
      </c>
      <c r="AS379" s="120" t="str">
        <f>IFERROR(VLOOKUP(Table1[RespondentID],'All Data'!$A$3:$CW$999,96,FALSE),"unknown")</f>
        <v>Employed for wages</v>
      </c>
      <c r="AT379" s="120" t="str">
        <f>IFERROR(VLOOKUP(Table1[RespondentID],'All Data'!$A$3:$CW$999,97,FALSE),"unknown")</f>
        <v>Yes</v>
      </c>
      <c r="AU379" s="120" t="str">
        <f>IFERROR(VLOOKUP(Table1[RespondentID],'All Data'!$A$3:$CW$999,98,FALSE),"unknown")</f>
        <v>Private/Commercial</v>
      </c>
      <c r="AV379" s="120" t="str">
        <f>IFERROR(VLOOKUP(Table1[RespondentID],'All Data'!$A$3:$CW$999,99,FALSE),"unknown")</f>
        <v>Yes</v>
      </c>
    </row>
    <row r="380" spans="1:48">
      <c r="A380" s="133">
        <v>114089496497</v>
      </c>
      <c r="B380" s="139"/>
      <c r="C380" s="107" t="s">
        <v>39</v>
      </c>
      <c r="D380" s="107"/>
      <c r="E380" s="107"/>
      <c r="F380" s="107" t="s">
        <v>42</v>
      </c>
      <c r="G380" s="107"/>
      <c r="H380" s="107"/>
      <c r="I380" s="107"/>
      <c r="J380" s="107"/>
      <c r="K380" s="107"/>
      <c r="L380" s="107"/>
      <c r="M380" s="107"/>
      <c r="N380" s="5"/>
      <c r="O380" s="18">
        <f t="shared" si="85"/>
        <v>2</v>
      </c>
      <c r="P380" s="18">
        <f t="shared" si="86"/>
        <v>1.5</v>
      </c>
      <c r="Q380" s="5"/>
      <c r="R380" s="18">
        <f t="shared" si="87"/>
        <v>0</v>
      </c>
      <c r="S380" s="18">
        <f t="shared" si="88"/>
        <v>1</v>
      </c>
      <c r="T380" s="18">
        <f t="shared" si="89"/>
        <v>0</v>
      </c>
      <c r="U380" s="18">
        <f t="shared" si="90"/>
        <v>0</v>
      </c>
      <c r="V380" s="18">
        <f t="shared" si="91"/>
        <v>1</v>
      </c>
      <c r="W380" s="18">
        <f t="shared" si="92"/>
        <v>0</v>
      </c>
      <c r="X380" s="18">
        <f t="shared" si="93"/>
        <v>0</v>
      </c>
      <c r="Y380" s="18">
        <f t="shared" si="94"/>
        <v>0</v>
      </c>
      <c r="Z380" s="18">
        <f t="shared" si="95"/>
        <v>0</v>
      </c>
      <c r="AA380" s="18">
        <f t="shared" si="96"/>
        <v>0</v>
      </c>
      <c r="AB380" s="18">
        <f t="shared" si="97"/>
        <v>0</v>
      </c>
      <c r="AC380" s="18">
        <f t="shared" si="98"/>
        <v>0</v>
      </c>
      <c r="AD380" s="5"/>
      <c r="AE380" s="5"/>
      <c r="AF380" s="18">
        <f t="shared" si="99"/>
        <v>2</v>
      </c>
      <c r="AG380" s="18">
        <f t="shared" si="100"/>
        <v>2</v>
      </c>
      <c r="AH380" s="18" t="str">
        <f t="shared" si="101"/>
        <v>Correct</v>
      </c>
      <c r="AI380" s="5"/>
      <c r="AJ380" s="120" t="str">
        <f>IFERROR(VLOOKUP(Table1[RespondentID],'All Data'!$A$3:$CO$999,87,FALSE),"unknown")</f>
        <v>Woman</v>
      </c>
      <c r="AK380" s="120">
        <f>IFERROR(VLOOKUP(Table1[RespondentID],'All Data'!$A$3:$CO$999,88,FALSE),"unknown")</f>
        <v>0</v>
      </c>
      <c r="AL380" s="120" t="str">
        <f>IFERROR(VLOOKUP(Table1[RespondentID],'All Data'!$A$3:$CO$999,89,FALSE),"unknown")</f>
        <v>Suffolk</v>
      </c>
      <c r="AM380" s="120" t="str">
        <f>IFERROR(VLOOKUP(Table1[RespondentID],'All Data'!$A$3:$CO$999,90,FALSE),"unknown")</f>
        <v>Lindenhurst, 11757</v>
      </c>
      <c r="AN380" s="120" t="str">
        <f>IFERROR(VLOOKUP(Table1[RespondentID],'All Data'!$A$3:$CO$999,91,FALSE),"unknown")</f>
        <v>White</v>
      </c>
      <c r="AO380" s="120" t="str">
        <f>IFERROR(VLOOKUP(Table1[RespondentID],'All Data'!$A$3:$CO$999,92,FALSE),"unknown")</f>
        <v>Not Hispanic or Latino</v>
      </c>
      <c r="AP380" s="120" t="str">
        <f>IFERROR(VLOOKUP(Table1[RespondentID],'All Data'!$A$3:$CO$999,93,FALSE),"unknown")</f>
        <v>English</v>
      </c>
      <c r="AQ380" s="120" t="str">
        <f>IFERROR(VLOOKUP(Table1[RespondentID],'All Data'!$A$3:$CW$999,94,FALSE),"unknown")</f>
        <v>$50,000 to $74,999</v>
      </c>
      <c r="AR380" s="120" t="str">
        <f>IFERROR(VLOOKUP(Table1[RespondentID],'All Data'!$A$3:$CW$999,95,FALSE),"unknown")</f>
        <v>Some college</v>
      </c>
      <c r="AS380" s="120" t="str">
        <f>IFERROR(VLOOKUP(Table1[RespondentID],'All Data'!$A$3:$CW$999,96,FALSE),"unknown")</f>
        <v>Employed for wages</v>
      </c>
      <c r="AT380" s="120" t="str">
        <f>IFERROR(VLOOKUP(Table1[RespondentID],'All Data'!$A$3:$CW$999,97,FALSE),"unknown")</f>
        <v>Yes</v>
      </c>
      <c r="AU380" s="120" t="str">
        <f>IFERROR(VLOOKUP(Table1[RespondentID],'All Data'!$A$3:$CW$999,98,FALSE),"unknown")</f>
        <v>Private/Commercial</v>
      </c>
      <c r="AV380" s="120" t="str">
        <f>IFERROR(VLOOKUP(Table1[RespondentID],'All Data'!$A$3:$CW$999,99,FALSE),"unknown")</f>
        <v>Yes</v>
      </c>
    </row>
    <row r="381" spans="1:48">
      <c r="A381" s="133">
        <v>114089303117</v>
      </c>
      <c r="B381" s="139" t="s">
        <v>38</v>
      </c>
      <c r="C381" s="107"/>
      <c r="D381" s="107"/>
      <c r="E381" s="107"/>
      <c r="F381" s="107"/>
      <c r="G381" s="107"/>
      <c r="H381" s="107"/>
      <c r="I381" s="107"/>
      <c r="J381" s="107"/>
      <c r="K381" s="107"/>
      <c r="L381" s="107" t="s">
        <v>47</v>
      </c>
      <c r="M381" s="107" t="s">
        <v>48</v>
      </c>
      <c r="N381" s="5"/>
      <c r="O381" s="18">
        <f t="shared" si="85"/>
        <v>3</v>
      </c>
      <c r="P381" s="18">
        <f t="shared" si="86"/>
        <v>1</v>
      </c>
      <c r="Q381" s="5"/>
      <c r="R381" s="18">
        <f t="shared" si="87"/>
        <v>1</v>
      </c>
      <c r="S381" s="18">
        <f t="shared" si="88"/>
        <v>0</v>
      </c>
      <c r="T381" s="18">
        <f t="shared" si="89"/>
        <v>0</v>
      </c>
      <c r="U381" s="18">
        <f t="shared" si="90"/>
        <v>0</v>
      </c>
      <c r="V381" s="18">
        <f t="shared" si="91"/>
        <v>0</v>
      </c>
      <c r="W381" s="18">
        <f t="shared" si="92"/>
        <v>0</v>
      </c>
      <c r="X381" s="18">
        <f t="shared" si="93"/>
        <v>0</v>
      </c>
      <c r="Y381" s="18">
        <f t="shared" si="94"/>
        <v>0</v>
      </c>
      <c r="Z381" s="18">
        <f t="shared" si="95"/>
        <v>0</v>
      </c>
      <c r="AA381" s="18">
        <f t="shared" si="96"/>
        <v>0</v>
      </c>
      <c r="AB381" s="18">
        <f t="shared" si="97"/>
        <v>1</v>
      </c>
      <c r="AC381" s="18">
        <f t="shared" si="98"/>
        <v>1</v>
      </c>
      <c r="AD381" s="5"/>
      <c r="AE381" s="5"/>
      <c r="AF381" s="18">
        <f t="shared" si="99"/>
        <v>3</v>
      </c>
      <c r="AG381" s="18">
        <f t="shared" si="100"/>
        <v>3</v>
      </c>
      <c r="AH381" s="18" t="str">
        <f t="shared" si="101"/>
        <v>Correct</v>
      </c>
      <c r="AI381" s="5"/>
      <c r="AJ381" s="120" t="str">
        <f>IFERROR(VLOOKUP(Table1[RespondentID],'All Data'!$A$3:$CO$999,87,FALSE),"unknown")</f>
        <v>Woman</v>
      </c>
      <c r="AK381" s="120">
        <f>IFERROR(VLOOKUP(Table1[RespondentID],'All Data'!$A$3:$CO$999,88,FALSE),"unknown")</f>
        <v>0</v>
      </c>
      <c r="AL381" s="120" t="str">
        <f>IFERROR(VLOOKUP(Table1[RespondentID],'All Data'!$A$3:$CO$999,89,FALSE),"unknown")</f>
        <v>Suffolk</v>
      </c>
      <c r="AM381" s="120" t="str">
        <f>IFERROR(VLOOKUP(Table1[RespondentID],'All Data'!$A$3:$CO$999,90,FALSE),"unknown")</f>
        <v>Lindenhurst, 11757</v>
      </c>
      <c r="AN381" s="120" t="str">
        <f>IFERROR(VLOOKUP(Table1[RespondentID],'All Data'!$A$3:$CO$999,91,FALSE),"unknown")</f>
        <v>White</v>
      </c>
      <c r="AO381" s="120" t="str">
        <f>IFERROR(VLOOKUP(Table1[RespondentID],'All Data'!$A$3:$CO$999,92,FALSE),"unknown")</f>
        <v>Not Hispanic or Latino</v>
      </c>
      <c r="AP381" s="120" t="str">
        <f>IFERROR(VLOOKUP(Table1[RespondentID],'All Data'!$A$3:$CO$999,93,FALSE),"unknown")</f>
        <v>English</v>
      </c>
      <c r="AQ381" s="120" t="str">
        <f>IFERROR(VLOOKUP(Table1[RespondentID],'All Data'!$A$3:$CW$999,94,FALSE),"unknown")</f>
        <v>$35,000 to $49,999</v>
      </c>
      <c r="AR381" s="120" t="str">
        <f>IFERROR(VLOOKUP(Table1[RespondentID],'All Data'!$A$3:$CW$999,95,FALSE),"unknown")</f>
        <v>Some college</v>
      </c>
      <c r="AS381" s="120" t="str">
        <f>IFERROR(VLOOKUP(Table1[RespondentID],'All Data'!$A$3:$CW$999,96,FALSE),"unknown")</f>
        <v>Out of work, but not currently looking</v>
      </c>
      <c r="AT381" s="120" t="str">
        <f>IFERROR(VLOOKUP(Table1[RespondentID],'All Data'!$A$3:$CW$999,97,FALSE),"unknown")</f>
        <v>Yes</v>
      </c>
      <c r="AU381" s="120" t="str">
        <f>IFERROR(VLOOKUP(Table1[RespondentID],'All Data'!$A$3:$CW$999,98,FALSE),"unknown")</f>
        <v>Medicaid,</v>
      </c>
      <c r="AV381" s="120" t="str">
        <f>IFERROR(VLOOKUP(Table1[RespondentID],'All Data'!$A$3:$CW$999,99,FALSE),"unknown")</f>
        <v>Yes</v>
      </c>
    </row>
    <row r="382" spans="1:48">
      <c r="A382" s="133">
        <v>114088122122</v>
      </c>
      <c r="B382" s="139"/>
      <c r="C382" s="107"/>
      <c r="D382" s="107"/>
      <c r="E382" s="107" t="s">
        <v>41</v>
      </c>
      <c r="F382" s="107"/>
      <c r="G382" s="107"/>
      <c r="H382" s="107"/>
      <c r="I382" s="107"/>
      <c r="J382" s="107"/>
      <c r="K382" s="107"/>
      <c r="L382" s="107"/>
      <c r="M382" s="107"/>
      <c r="N382" s="5"/>
      <c r="O382" s="18">
        <f t="shared" si="85"/>
        <v>1</v>
      </c>
      <c r="P382" s="18">
        <f t="shared" si="86"/>
        <v>3</v>
      </c>
      <c r="Q382" s="5"/>
      <c r="R382" s="18">
        <f t="shared" si="87"/>
        <v>0</v>
      </c>
      <c r="S382" s="18">
        <f t="shared" si="88"/>
        <v>0</v>
      </c>
      <c r="T382" s="18">
        <f t="shared" si="89"/>
        <v>0</v>
      </c>
      <c r="U382" s="18">
        <f t="shared" si="90"/>
        <v>1</v>
      </c>
      <c r="V382" s="18">
        <f t="shared" si="91"/>
        <v>0</v>
      </c>
      <c r="W382" s="18">
        <f t="shared" si="92"/>
        <v>0</v>
      </c>
      <c r="X382" s="18">
        <f t="shared" si="93"/>
        <v>0</v>
      </c>
      <c r="Y382" s="18">
        <f t="shared" si="94"/>
        <v>0</v>
      </c>
      <c r="Z382" s="18">
        <f t="shared" si="95"/>
        <v>0</v>
      </c>
      <c r="AA382" s="18">
        <f t="shared" si="96"/>
        <v>0</v>
      </c>
      <c r="AB382" s="18">
        <f t="shared" si="97"/>
        <v>0</v>
      </c>
      <c r="AC382" s="18">
        <f t="shared" si="98"/>
        <v>0</v>
      </c>
      <c r="AD382" s="5"/>
      <c r="AE382" s="5"/>
      <c r="AF382" s="18">
        <f t="shared" si="99"/>
        <v>1</v>
      </c>
      <c r="AG382" s="18">
        <f t="shared" si="100"/>
        <v>1</v>
      </c>
      <c r="AH382" s="18" t="str">
        <f t="shared" si="101"/>
        <v>Correct</v>
      </c>
      <c r="AI382" s="5"/>
      <c r="AJ382" s="120" t="str">
        <f>IFERROR(VLOOKUP(Table1[RespondentID],'All Data'!$A$3:$CO$999,87,FALSE),"unknown")</f>
        <v>Woman</v>
      </c>
      <c r="AK382" s="120">
        <f>IFERROR(VLOOKUP(Table1[RespondentID],'All Data'!$A$3:$CO$999,88,FALSE),"unknown")</f>
        <v>0</v>
      </c>
      <c r="AL382" s="120" t="str">
        <f>IFERROR(VLOOKUP(Table1[RespondentID],'All Data'!$A$3:$CO$999,89,FALSE),"unknown")</f>
        <v>Suffolk</v>
      </c>
      <c r="AM382" s="120" t="str">
        <f>IFERROR(VLOOKUP(Table1[RespondentID],'All Data'!$A$3:$CO$999,90,FALSE),"unknown")</f>
        <v>Bohemia, 11716</v>
      </c>
      <c r="AN382" s="120" t="str">
        <f>IFERROR(VLOOKUP(Table1[RespondentID],'All Data'!$A$3:$CO$999,91,FALSE),"unknown")</f>
        <v>White</v>
      </c>
      <c r="AO382" s="120" t="str">
        <f>IFERROR(VLOOKUP(Table1[RespondentID],'All Data'!$A$3:$CO$999,92,FALSE),"unknown")</f>
        <v>Not Hispanic or Latino</v>
      </c>
      <c r="AP382" s="120" t="str">
        <f>IFERROR(VLOOKUP(Table1[RespondentID],'All Data'!$A$3:$CO$999,93,FALSE),"unknown")</f>
        <v>English</v>
      </c>
      <c r="AQ382" s="120" t="str">
        <f>IFERROR(VLOOKUP(Table1[RespondentID],'All Data'!$A$3:$CW$999,94,FALSE),"unknown")</f>
        <v>$75,000 to $125,000</v>
      </c>
      <c r="AR382" s="120" t="str">
        <f>IFERROR(VLOOKUP(Table1[RespondentID],'All Data'!$A$3:$CW$999,95,FALSE),"unknown")</f>
        <v>High school graduate</v>
      </c>
      <c r="AS382" s="120" t="str">
        <f>IFERROR(VLOOKUP(Table1[RespondentID],'All Data'!$A$3:$CW$999,96,FALSE),"unknown")</f>
        <v>Employed for wages</v>
      </c>
      <c r="AT382" s="120" t="str">
        <f>IFERROR(VLOOKUP(Table1[RespondentID],'All Data'!$A$3:$CW$999,97,FALSE),"unknown")</f>
        <v>No, but I did in the past</v>
      </c>
      <c r="AU382" s="120" t="str">
        <f>IFERROR(VLOOKUP(Table1[RespondentID],'All Data'!$A$3:$CW$999,98,FALSE),"unknown")</f>
        <v>Private/Commercial</v>
      </c>
      <c r="AV382" s="120" t="str">
        <f>IFERROR(VLOOKUP(Table1[RespondentID],'All Data'!$A$3:$CW$999,99,FALSE),"unknown")</f>
        <v>Yes</v>
      </c>
    </row>
    <row r="383" spans="1:48">
      <c r="A383" s="133">
        <v>114087722061</v>
      </c>
      <c r="B383" s="139"/>
      <c r="C383" s="107"/>
      <c r="D383" s="107"/>
      <c r="E383" s="107"/>
      <c r="F383" s="107" t="s">
        <v>42</v>
      </c>
      <c r="G383" s="107"/>
      <c r="H383" s="107"/>
      <c r="I383" s="107"/>
      <c r="J383" s="107"/>
      <c r="K383" s="107"/>
      <c r="L383" s="107"/>
      <c r="M383" s="107"/>
      <c r="N383" s="5"/>
      <c r="O383" s="18">
        <f t="shared" si="85"/>
        <v>1</v>
      </c>
      <c r="P383" s="18">
        <f t="shared" si="86"/>
        <v>3</v>
      </c>
      <c r="Q383" s="5"/>
      <c r="R383" s="18">
        <f t="shared" si="87"/>
        <v>0</v>
      </c>
      <c r="S383" s="18">
        <f t="shared" si="88"/>
        <v>0</v>
      </c>
      <c r="T383" s="18">
        <f t="shared" si="89"/>
        <v>0</v>
      </c>
      <c r="U383" s="18">
        <f t="shared" si="90"/>
        <v>0</v>
      </c>
      <c r="V383" s="18">
        <f t="shared" si="91"/>
        <v>1</v>
      </c>
      <c r="W383" s="18">
        <f t="shared" si="92"/>
        <v>0</v>
      </c>
      <c r="X383" s="18">
        <f t="shared" si="93"/>
        <v>0</v>
      </c>
      <c r="Y383" s="18">
        <f t="shared" si="94"/>
        <v>0</v>
      </c>
      <c r="Z383" s="18">
        <f t="shared" si="95"/>
        <v>0</v>
      </c>
      <c r="AA383" s="18">
        <f t="shared" si="96"/>
        <v>0</v>
      </c>
      <c r="AB383" s="18">
        <f t="shared" si="97"/>
        <v>0</v>
      </c>
      <c r="AC383" s="18">
        <f t="shared" si="98"/>
        <v>0</v>
      </c>
      <c r="AD383" s="5"/>
      <c r="AE383" s="5"/>
      <c r="AF383" s="18">
        <f t="shared" si="99"/>
        <v>1</v>
      </c>
      <c r="AG383" s="18">
        <f t="shared" si="100"/>
        <v>1</v>
      </c>
      <c r="AH383" s="18" t="str">
        <f t="shared" si="101"/>
        <v>Correct</v>
      </c>
      <c r="AI383" s="5"/>
      <c r="AJ383" s="120" t="str">
        <f>IFERROR(VLOOKUP(Table1[RespondentID],'All Data'!$A$3:$CO$999,87,FALSE),"unknown")</f>
        <v>Woman</v>
      </c>
      <c r="AK383" s="120">
        <f>IFERROR(VLOOKUP(Table1[RespondentID],'All Data'!$A$3:$CO$999,88,FALSE),"unknown")</f>
        <v>0</v>
      </c>
      <c r="AL383" s="120" t="str">
        <f>IFERROR(VLOOKUP(Table1[RespondentID],'All Data'!$A$3:$CO$999,89,FALSE),"unknown")</f>
        <v>Nassau</v>
      </c>
      <c r="AM383" s="120" t="str">
        <f>IFERROR(VLOOKUP(Table1[RespondentID],'All Data'!$A$3:$CO$999,90,FALSE),"unknown")</f>
        <v>Valley Stream, 11580</v>
      </c>
      <c r="AN383" s="120" t="str">
        <f>IFERROR(VLOOKUP(Table1[RespondentID],'All Data'!$A$3:$CO$999,91,FALSE),"unknown")</f>
        <v>Other (please specify)</v>
      </c>
      <c r="AO383" s="120" t="str">
        <f>IFERROR(VLOOKUP(Table1[RespondentID],'All Data'!$A$3:$CO$999,92,FALSE),"unknown")</f>
        <v>Unknown</v>
      </c>
      <c r="AP383" s="120" t="str">
        <f>IFERROR(VLOOKUP(Table1[RespondentID],'All Data'!$A$3:$CO$999,93,FALSE),"unknown")</f>
        <v>English</v>
      </c>
      <c r="AQ383" s="120" t="str">
        <f>IFERROR(VLOOKUP(Table1[RespondentID],'All Data'!$A$3:$CW$999,94,FALSE),"unknown")</f>
        <v>$35,000 to $49,999</v>
      </c>
      <c r="AR383" s="120" t="str">
        <f>IFERROR(VLOOKUP(Table1[RespondentID],'All Data'!$A$3:$CW$999,95,FALSE),"unknown")</f>
        <v>Some college</v>
      </c>
      <c r="AS383" s="120" t="str">
        <f>IFERROR(VLOOKUP(Table1[RespondentID],'All Data'!$A$3:$CW$999,96,FALSE),"unknown")</f>
        <v>Employed for wages</v>
      </c>
      <c r="AT383" s="120" t="str">
        <f>IFERROR(VLOOKUP(Table1[RespondentID],'All Data'!$A$3:$CW$999,97,FALSE),"unknown")</f>
        <v>Yes</v>
      </c>
      <c r="AU383" s="120" t="str">
        <f>IFERROR(VLOOKUP(Table1[RespondentID],'All Data'!$A$3:$CW$999,98,FALSE),"unknown")</f>
        <v>Private/Commercial</v>
      </c>
      <c r="AV383" s="120" t="str">
        <f>IFERROR(VLOOKUP(Table1[RespondentID],'All Data'!$A$3:$CW$999,99,FALSE),"unknown")</f>
        <v>Yes</v>
      </c>
    </row>
    <row r="384" spans="1:48">
      <c r="A384" s="133">
        <v>114087334117</v>
      </c>
      <c r="B384" s="139"/>
      <c r="C384" s="107" t="s">
        <v>39</v>
      </c>
      <c r="D384" s="107" t="s">
        <v>40</v>
      </c>
      <c r="E384" s="107" t="s">
        <v>41</v>
      </c>
      <c r="F384" s="107"/>
      <c r="G384" s="107" t="s">
        <v>37</v>
      </c>
      <c r="H384" s="107"/>
      <c r="I384" s="107"/>
      <c r="J384" s="107" t="s">
        <v>45</v>
      </c>
      <c r="K384" s="107"/>
      <c r="L384" s="107"/>
      <c r="M384" s="107"/>
      <c r="N384" s="5"/>
      <c r="O384" s="18">
        <f t="shared" si="85"/>
        <v>5</v>
      </c>
      <c r="P384" s="18">
        <f t="shared" si="86"/>
        <v>0.6</v>
      </c>
      <c r="Q384" s="5"/>
      <c r="R384" s="18">
        <f t="shared" si="87"/>
        <v>0</v>
      </c>
      <c r="S384" s="18">
        <f t="shared" si="88"/>
        <v>0.6</v>
      </c>
      <c r="T384" s="18">
        <f t="shared" si="89"/>
        <v>0.6</v>
      </c>
      <c r="U384" s="18">
        <f t="shared" si="90"/>
        <v>0.6</v>
      </c>
      <c r="V384" s="18">
        <f t="shared" si="91"/>
        <v>0</v>
      </c>
      <c r="W384" s="18">
        <f t="shared" si="92"/>
        <v>0.6</v>
      </c>
      <c r="X384" s="18">
        <f t="shared" si="93"/>
        <v>0</v>
      </c>
      <c r="Y384" s="18">
        <f t="shared" si="94"/>
        <v>0</v>
      </c>
      <c r="Z384" s="18">
        <f t="shared" si="95"/>
        <v>0.6</v>
      </c>
      <c r="AA384" s="18">
        <f t="shared" si="96"/>
        <v>0</v>
      </c>
      <c r="AB384" s="18">
        <f t="shared" si="97"/>
        <v>0</v>
      </c>
      <c r="AC384" s="18">
        <f t="shared" si="98"/>
        <v>0</v>
      </c>
      <c r="AD384" s="5"/>
      <c r="AE384" s="5"/>
      <c r="AF384" s="18">
        <f t="shared" si="99"/>
        <v>3</v>
      </c>
      <c r="AG384" s="18">
        <f t="shared" si="100"/>
        <v>5</v>
      </c>
      <c r="AH384" s="18" t="str">
        <f t="shared" si="101"/>
        <v>Correct</v>
      </c>
      <c r="AI384" s="5"/>
      <c r="AJ384" s="120" t="str">
        <f>IFERROR(VLOOKUP(Table1[RespondentID],'All Data'!$A$3:$CO$999,87,FALSE),"unknown")</f>
        <v>Woman</v>
      </c>
      <c r="AK384" s="120">
        <f>IFERROR(VLOOKUP(Table1[RespondentID],'All Data'!$A$3:$CO$999,88,FALSE),"unknown")</f>
        <v>0</v>
      </c>
      <c r="AL384" s="120" t="str">
        <f>IFERROR(VLOOKUP(Table1[RespondentID],'All Data'!$A$3:$CO$999,89,FALSE),"unknown")</f>
        <v>Nassau</v>
      </c>
      <c r="AM384" s="120" t="str">
        <f>IFERROR(VLOOKUP(Table1[RespondentID],'All Data'!$A$3:$CO$999,90,FALSE),"unknown")</f>
        <v>Freeport, 11520</v>
      </c>
      <c r="AN384" s="120" t="str">
        <f>IFERROR(VLOOKUP(Table1[RespondentID],'All Data'!$A$3:$CO$999,91,FALSE),"unknown")</f>
        <v>White</v>
      </c>
      <c r="AO384" s="120" t="str">
        <f>IFERROR(VLOOKUP(Table1[RespondentID],'All Data'!$A$3:$CO$999,92,FALSE),"unknown")</f>
        <v>Not Hispanic or Latino</v>
      </c>
      <c r="AP384" s="120" t="str">
        <f>IFERROR(VLOOKUP(Table1[RespondentID],'All Data'!$A$3:$CO$999,93,FALSE),"unknown")</f>
        <v>English</v>
      </c>
      <c r="AQ384" s="120" t="str">
        <f>IFERROR(VLOOKUP(Table1[RespondentID],'All Data'!$A$3:$CW$999,94,FALSE),"unknown")</f>
        <v>$75,000 to $125,000</v>
      </c>
      <c r="AR384" s="120" t="str">
        <f>IFERROR(VLOOKUP(Table1[RespondentID],'All Data'!$A$3:$CW$999,95,FALSE),"unknown")</f>
        <v>Graduate school</v>
      </c>
      <c r="AS384" s="120" t="str">
        <f>IFERROR(VLOOKUP(Table1[RespondentID],'All Data'!$A$3:$CW$999,96,FALSE),"unknown")</f>
        <v>Employed for wages</v>
      </c>
      <c r="AT384" s="120" t="str">
        <f>IFERROR(VLOOKUP(Table1[RespondentID],'All Data'!$A$3:$CW$999,97,FALSE),"unknown")</f>
        <v>Yes</v>
      </c>
      <c r="AU384" s="120" t="str">
        <f>IFERROR(VLOOKUP(Table1[RespondentID],'All Data'!$A$3:$CW$999,98,FALSE),"unknown")</f>
        <v>Private/Commercial</v>
      </c>
      <c r="AV384" s="120" t="str">
        <f>IFERROR(VLOOKUP(Table1[RespondentID],'All Data'!$A$3:$CW$999,99,FALSE),"unknown")</f>
        <v>Yes</v>
      </c>
    </row>
    <row r="385" spans="1:48">
      <c r="A385" s="133">
        <v>114087289322</v>
      </c>
      <c r="B385" s="139"/>
      <c r="C385" s="107"/>
      <c r="D385" s="107" t="s">
        <v>40</v>
      </c>
      <c r="E385" s="107" t="s">
        <v>41</v>
      </c>
      <c r="F385" s="107"/>
      <c r="G385" s="107"/>
      <c r="H385" s="107"/>
      <c r="I385" s="107"/>
      <c r="J385" s="107"/>
      <c r="K385" s="107"/>
      <c r="L385" s="107" t="s">
        <v>47</v>
      </c>
      <c r="M385" s="107"/>
      <c r="N385" s="5"/>
      <c r="O385" s="18">
        <f t="shared" si="85"/>
        <v>3</v>
      </c>
      <c r="P385" s="18">
        <f t="shared" si="86"/>
        <v>1</v>
      </c>
      <c r="Q385" s="5"/>
      <c r="R385" s="18">
        <f t="shared" si="87"/>
        <v>0</v>
      </c>
      <c r="S385" s="18">
        <f t="shared" si="88"/>
        <v>0</v>
      </c>
      <c r="T385" s="18">
        <f t="shared" si="89"/>
        <v>1</v>
      </c>
      <c r="U385" s="18">
        <f t="shared" si="90"/>
        <v>1</v>
      </c>
      <c r="V385" s="18">
        <f t="shared" si="91"/>
        <v>0</v>
      </c>
      <c r="W385" s="18">
        <f t="shared" si="92"/>
        <v>0</v>
      </c>
      <c r="X385" s="18">
        <f t="shared" si="93"/>
        <v>0</v>
      </c>
      <c r="Y385" s="18">
        <f t="shared" si="94"/>
        <v>0</v>
      </c>
      <c r="Z385" s="18">
        <f t="shared" si="95"/>
        <v>0</v>
      </c>
      <c r="AA385" s="18">
        <f t="shared" si="96"/>
        <v>0</v>
      </c>
      <c r="AB385" s="18">
        <f t="shared" si="97"/>
        <v>1</v>
      </c>
      <c r="AC385" s="18">
        <f t="shared" si="98"/>
        <v>0</v>
      </c>
      <c r="AD385" s="5"/>
      <c r="AE385" s="5"/>
      <c r="AF385" s="18">
        <f t="shared" si="99"/>
        <v>3</v>
      </c>
      <c r="AG385" s="18">
        <f t="shared" si="100"/>
        <v>3</v>
      </c>
      <c r="AH385" s="18" t="str">
        <f t="shared" si="101"/>
        <v>Correct</v>
      </c>
      <c r="AI385" s="5"/>
      <c r="AJ385" s="120" t="str">
        <f>IFERROR(VLOOKUP(Table1[RespondentID],'All Data'!$A$3:$CO$999,87,FALSE),"unknown")</f>
        <v>Woman</v>
      </c>
      <c r="AK385" s="120">
        <f>IFERROR(VLOOKUP(Table1[RespondentID],'All Data'!$A$3:$CO$999,88,FALSE),"unknown")</f>
        <v>0</v>
      </c>
      <c r="AL385" s="120" t="str">
        <f>IFERROR(VLOOKUP(Table1[RespondentID],'All Data'!$A$3:$CO$999,89,FALSE),"unknown")</f>
        <v>Nassau</v>
      </c>
      <c r="AM385" s="120" t="str">
        <f>IFERROR(VLOOKUP(Table1[RespondentID],'All Data'!$A$3:$CO$999,90,FALSE),"unknown")</f>
        <v>Franklin Square, 11010</v>
      </c>
      <c r="AN385" s="120" t="str">
        <f>IFERROR(VLOOKUP(Table1[RespondentID],'All Data'!$A$3:$CO$999,91,FALSE),"unknown")</f>
        <v>White</v>
      </c>
      <c r="AO385" s="120" t="str">
        <f>IFERROR(VLOOKUP(Table1[RespondentID],'All Data'!$A$3:$CO$999,92,FALSE),"unknown")</f>
        <v>Not Hispanic or Latino</v>
      </c>
      <c r="AP385" s="120" t="str">
        <f>IFERROR(VLOOKUP(Table1[RespondentID],'All Data'!$A$3:$CO$999,93,FALSE),"unknown")</f>
        <v>English</v>
      </c>
      <c r="AQ385" s="120" t="str">
        <f>IFERROR(VLOOKUP(Table1[RespondentID],'All Data'!$A$3:$CW$999,94,FALSE),"unknown")</f>
        <v>Over $125,000</v>
      </c>
      <c r="AR385" s="120" t="str">
        <f>IFERROR(VLOOKUP(Table1[RespondentID],'All Data'!$A$3:$CW$999,95,FALSE),"unknown")</f>
        <v>College graduate</v>
      </c>
      <c r="AS385" s="120" t="str">
        <f>IFERROR(VLOOKUP(Table1[RespondentID],'All Data'!$A$3:$CW$999,96,FALSE),"unknown")</f>
        <v>Employed for wages</v>
      </c>
      <c r="AT385" s="120" t="str">
        <f>IFERROR(VLOOKUP(Table1[RespondentID],'All Data'!$A$3:$CW$999,97,FALSE),"unknown")</f>
        <v>Yes</v>
      </c>
      <c r="AU385" s="120" t="str">
        <f>IFERROR(VLOOKUP(Table1[RespondentID],'All Data'!$A$3:$CW$999,98,FALSE),"unknown")</f>
        <v>Private/Commercial</v>
      </c>
      <c r="AV385" s="120" t="str">
        <f>IFERROR(VLOOKUP(Table1[RespondentID],'All Data'!$A$3:$CW$999,99,FALSE),"unknown")</f>
        <v>Yes</v>
      </c>
    </row>
    <row r="386" spans="1:48">
      <c r="A386" s="133">
        <v>114087207731</v>
      </c>
      <c r="B386" s="139"/>
      <c r="C386" s="107"/>
      <c r="D386" s="107"/>
      <c r="E386" s="107"/>
      <c r="F386" s="107"/>
      <c r="G386" s="107"/>
      <c r="H386" s="107" t="s">
        <v>43</v>
      </c>
      <c r="I386" s="107"/>
      <c r="J386" s="107"/>
      <c r="K386" s="107"/>
      <c r="L386" s="107"/>
      <c r="M386" s="107"/>
      <c r="N386" s="5"/>
      <c r="O386" s="18">
        <f t="shared" ref="O386:O429" si="102">COUNTA(B386:N386)</f>
        <v>1</v>
      </c>
      <c r="P386" s="18">
        <f t="shared" ref="P386:P429" si="103">3/O386</f>
        <v>3</v>
      </c>
      <c r="Q386" s="5"/>
      <c r="R386" s="18">
        <f t="shared" ref="R386:R429" si="104">IF($O386&lt;3,IF($B386=$B$1,1,0),IF($B386=$B$1,$P386,0))</f>
        <v>0</v>
      </c>
      <c r="S386" s="18">
        <f t="shared" ref="S386:S429" si="105">IF($O386&lt;3,IF($C386=$C$1,1,0),IF($C386=$C$1,$P386,0))</f>
        <v>0</v>
      </c>
      <c r="T386" s="18">
        <f t="shared" ref="T386:T429" si="106">IF($O386&lt;3,IF($D386=$D$1,1,0),IF($D386=$D$1,$P386,0))</f>
        <v>0</v>
      </c>
      <c r="U386" s="18">
        <f t="shared" ref="U386:U429" si="107">IF($O386&lt;3,IF($E386=$E$1,1,0),IF($E386=$E$1,$P386,0))</f>
        <v>0</v>
      </c>
      <c r="V386" s="18">
        <f t="shared" ref="V386:V429" si="108">IF($O386&lt;3,IF($F386=$F$1,1,0),IF($F386=$F$1,$P386,0))</f>
        <v>0</v>
      </c>
      <c r="W386" s="18">
        <f t="shared" ref="W386:W429" si="109">IF($O386&lt;3,IF($G386=$G$1,1,0),IF($G386=$G$1,$P386,0))</f>
        <v>0</v>
      </c>
      <c r="X386" s="18">
        <f t="shared" ref="X386:X429" si="110">IF($O386&lt;3,IF($H386=$H$1,1,0),IF($H386=$H$1,$P386,0))</f>
        <v>1</v>
      </c>
      <c r="Y386" s="18">
        <f t="shared" ref="Y386:Y429" si="111">IF($O386&lt;3,IF($I386=$I$1,1,0),IF($I386=$I$1,$P386,0))</f>
        <v>0</v>
      </c>
      <c r="Z386" s="18">
        <f t="shared" ref="Z386:Z429" si="112">IF($O386&lt;3,IF($J386=$J$1,1,0),IF($J386=$J$1,$P386,0))</f>
        <v>0</v>
      </c>
      <c r="AA386" s="18">
        <f t="shared" ref="AA386:AA429" si="113">IF($O386&lt;3,IF($K386=$K$1,1,0),IF($K386=$K$1,$P386,0))</f>
        <v>0</v>
      </c>
      <c r="AB386" s="18">
        <f t="shared" ref="AB386:AB429" si="114">IF($O386&lt;3,IF($L386=$L$1,1,0),IF($L386=$L$1,$P386,0))</f>
        <v>0</v>
      </c>
      <c r="AC386" s="18">
        <f t="shared" ref="AC386:AC429" si="115">IF($O386&lt;3,IF($M386=$M$1,1,0),IF($M386=$M$1,$P386,0))</f>
        <v>0</v>
      </c>
      <c r="AD386" s="5"/>
      <c r="AE386" s="5"/>
      <c r="AF386" s="18">
        <f t="shared" ref="AF386:AF429" si="116">SUM(R386:AD386)</f>
        <v>1</v>
      </c>
      <c r="AG386" s="18">
        <f t="shared" ref="AG386:AG429" si="117">O386</f>
        <v>1</v>
      </c>
      <c r="AH386" s="18" t="str">
        <f t="shared" ref="AH386:AH429" si="118">IF(AF386=AG386,"Correct",IF(AF386=3,"Correct","Wrong"))</f>
        <v>Correct</v>
      </c>
      <c r="AI386" s="5"/>
      <c r="AJ386" s="120" t="str">
        <f>IFERROR(VLOOKUP(Table1[RespondentID],'All Data'!$A$3:$CO$999,87,FALSE),"unknown")</f>
        <v>Woman</v>
      </c>
      <c r="AK386" s="120">
        <f>IFERROR(VLOOKUP(Table1[RespondentID],'All Data'!$A$3:$CO$999,88,FALSE),"unknown")</f>
        <v>0</v>
      </c>
      <c r="AL386" s="120" t="str">
        <f>IFERROR(VLOOKUP(Table1[RespondentID],'All Data'!$A$3:$CO$999,89,FALSE),"unknown")</f>
        <v>Nassau</v>
      </c>
      <c r="AM386" s="120" t="str">
        <f>IFERROR(VLOOKUP(Table1[RespondentID],'All Data'!$A$3:$CO$999,90,FALSE),"unknown")</f>
        <v>Wantagh, 11793</v>
      </c>
      <c r="AN386" s="120" t="str">
        <f>IFERROR(VLOOKUP(Table1[RespondentID],'All Data'!$A$3:$CO$999,91,FALSE),"unknown")</f>
        <v>White</v>
      </c>
      <c r="AO386" s="120" t="str">
        <f>IFERROR(VLOOKUP(Table1[RespondentID],'All Data'!$A$3:$CO$999,92,FALSE),"unknown")</f>
        <v>Not Hispanic or Latino</v>
      </c>
      <c r="AP386" s="120" t="str">
        <f>IFERROR(VLOOKUP(Table1[RespondentID],'All Data'!$A$3:$CO$999,93,FALSE),"unknown")</f>
        <v>English</v>
      </c>
      <c r="AQ386" s="120" t="str">
        <f>IFERROR(VLOOKUP(Table1[RespondentID],'All Data'!$A$3:$CW$999,94,FALSE),"unknown")</f>
        <v>$75,000 to $125,000</v>
      </c>
      <c r="AR386" s="120" t="str">
        <f>IFERROR(VLOOKUP(Table1[RespondentID],'All Data'!$A$3:$CW$999,95,FALSE),"unknown")</f>
        <v>College graduate</v>
      </c>
      <c r="AS386" s="120" t="str">
        <f>IFERROR(VLOOKUP(Table1[RespondentID],'All Data'!$A$3:$CW$999,96,FALSE),"unknown")</f>
        <v>Employed for wages</v>
      </c>
      <c r="AT386" s="120" t="str">
        <f>IFERROR(VLOOKUP(Table1[RespondentID],'All Data'!$A$3:$CW$999,97,FALSE),"unknown")</f>
        <v>Yes</v>
      </c>
      <c r="AU386" s="120" t="str">
        <f>IFERROR(VLOOKUP(Table1[RespondentID],'All Data'!$A$3:$CW$999,98,FALSE),"unknown")</f>
        <v>Private/Commercial</v>
      </c>
      <c r="AV386" s="120" t="str">
        <f>IFERROR(VLOOKUP(Table1[RespondentID],'All Data'!$A$3:$CW$999,99,FALSE),"unknown")</f>
        <v>Yes</v>
      </c>
    </row>
    <row r="387" spans="1:48">
      <c r="A387" s="133">
        <v>114086765018</v>
      </c>
      <c r="B387" s="139" t="s">
        <v>38</v>
      </c>
      <c r="C387" s="107"/>
      <c r="D387" s="107"/>
      <c r="E387" s="107"/>
      <c r="F387" s="107"/>
      <c r="G387" s="107"/>
      <c r="H387" s="107" t="s">
        <v>43</v>
      </c>
      <c r="I387" s="107" t="s">
        <v>44</v>
      </c>
      <c r="J387" s="107"/>
      <c r="K387" s="107"/>
      <c r="L387" s="107"/>
      <c r="M387" s="107"/>
      <c r="N387" s="5"/>
      <c r="O387" s="18">
        <f t="shared" si="102"/>
        <v>3</v>
      </c>
      <c r="P387" s="18">
        <f t="shared" si="103"/>
        <v>1</v>
      </c>
      <c r="Q387" s="5"/>
      <c r="R387" s="18">
        <f t="shared" si="104"/>
        <v>1</v>
      </c>
      <c r="S387" s="18">
        <f t="shared" si="105"/>
        <v>0</v>
      </c>
      <c r="T387" s="18">
        <f t="shared" si="106"/>
        <v>0</v>
      </c>
      <c r="U387" s="18">
        <f t="shared" si="107"/>
        <v>0</v>
      </c>
      <c r="V387" s="18">
        <f t="shared" si="108"/>
        <v>0</v>
      </c>
      <c r="W387" s="18">
        <f t="shared" si="109"/>
        <v>0</v>
      </c>
      <c r="X387" s="18">
        <f t="shared" si="110"/>
        <v>1</v>
      </c>
      <c r="Y387" s="18">
        <f t="shared" si="111"/>
        <v>1</v>
      </c>
      <c r="Z387" s="18">
        <f t="shared" si="112"/>
        <v>0</v>
      </c>
      <c r="AA387" s="18">
        <f t="shared" si="113"/>
        <v>0</v>
      </c>
      <c r="AB387" s="18">
        <f t="shared" si="114"/>
        <v>0</v>
      </c>
      <c r="AC387" s="18">
        <f t="shared" si="115"/>
        <v>0</v>
      </c>
      <c r="AD387" s="5"/>
      <c r="AE387" s="5"/>
      <c r="AF387" s="18">
        <f t="shared" si="116"/>
        <v>3</v>
      </c>
      <c r="AG387" s="18">
        <f t="shared" si="117"/>
        <v>3</v>
      </c>
      <c r="AH387" s="18" t="str">
        <f t="shared" si="118"/>
        <v>Correct</v>
      </c>
      <c r="AI387" s="5"/>
      <c r="AJ387" s="120" t="str">
        <f>IFERROR(VLOOKUP(Table1[RespondentID],'All Data'!$A$3:$CO$999,87,FALSE),"unknown")</f>
        <v>Man</v>
      </c>
      <c r="AK387" s="120">
        <f>IFERROR(VLOOKUP(Table1[RespondentID],'All Data'!$A$3:$CO$999,88,FALSE),"unknown")</f>
        <v>0</v>
      </c>
      <c r="AL387" s="120" t="str">
        <f>IFERROR(VLOOKUP(Table1[RespondentID],'All Data'!$A$3:$CO$999,89,FALSE),"unknown")</f>
        <v>Suffolk</v>
      </c>
      <c r="AM387" s="120" t="str">
        <f>IFERROR(VLOOKUP(Table1[RespondentID],'All Data'!$A$3:$CO$999,90,FALSE),"unknown")</f>
        <v>West Islip, 11795</v>
      </c>
      <c r="AN387" s="120" t="str">
        <f>IFERROR(VLOOKUP(Table1[RespondentID],'All Data'!$A$3:$CO$999,91,FALSE),"unknown")</f>
        <v>White</v>
      </c>
      <c r="AO387" s="120" t="str">
        <f>IFERROR(VLOOKUP(Table1[RespondentID],'All Data'!$A$3:$CO$999,92,FALSE),"unknown")</f>
        <v>Not Hispanic or Latino</v>
      </c>
      <c r="AP387" s="120" t="str">
        <f>IFERROR(VLOOKUP(Table1[RespondentID],'All Data'!$A$3:$CO$999,93,FALSE),"unknown")</f>
        <v>English</v>
      </c>
      <c r="AQ387" s="120" t="str">
        <f>IFERROR(VLOOKUP(Table1[RespondentID],'All Data'!$A$3:$CW$999,94,FALSE),"unknown")</f>
        <v>Over $125,000</v>
      </c>
      <c r="AR387" s="120" t="str">
        <f>IFERROR(VLOOKUP(Table1[RespondentID],'All Data'!$A$3:$CW$999,95,FALSE),"unknown")</f>
        <v>College graduate</v>
      </c>
      <c r="AS387" s="120" t="str">
        <f>IFERROR(VLOOKUP(Table1[RespondentID],'All Data'!$A$3:$CW$999,96,FALSE),"unknown")</f>
        <v>Employed for wages</v>
      </c>
      <c r="AT387" s="120" t="str">
        <f>IFERROR(VLOOKUP(Table1[RespondentID],'All Data'!$A$3:$CW$999,97,FALSE),"unknown")</f>
        <v>Yes</v>
      </c>
      <c r="AU387" s="120" t="str">
        <f>IFERROR(VLOOKUP(Table1[RespondentID],'All Data'!$A$3:$CW$999,98,FALSE),"unknown")</f>
        <v>Private/Commercial</v>
      </c>
      <c r="AV387" s="120" t="str">
        <f>IFERROR(VLOOKUP(Table1[RespondentID],'All Data'!$A$3:$CW$999,99,FALSE),"unknown")</f>
        <v>Yes</v>
      </c>
    </row>
    <row r="388" spans="1:48">
      <c r="A388" s="133">
        <v>114086729438</v>
      </c>
      <c r="B388" s="139" t="s">
        <v>38</v>
      </c>
      <c r="C388" s="107" t="s">
        <v>39</v>
      </c>
      <c r="D388" s="107"/>
      <c r="E388" s="107" t="s">
        <v>41</v>
      </c>
      <c r="F388" s="107"/>
      <c r="G388" s="107"/>
      <c r="H388" s="107" t="s">
        <v>43</v>
      </c>
      <c r="I388" s="107"/>
      <c r="J388" s="107"/>
      <c r="K388" s="107"/>
      <c r="L388" s="107"/>
      <c r="M388" s="107"/>
      <c r="N388" s="5"/>
      <c r="O388" s="18">
        <f t="shared" si="102"/>
        <v>4</v>
      </c>
      <c r="P388" s="18">
        <f t="shared" si="103"/>
        <v>0.75</v>
      </c>
      <c r="Q388" s="5"/>
      <c r="R388" s="18">
        <f t="shared" si="104"/>
        <v>0.75</v>
      </c>
      <c r="S388" s="18">
        <f t="shared" si="105"/>
        <v>0.75</v>
      </c>
      <c r="T388" s="18">
        <f t="shared" si="106"/>
        <v>0</v>
      </c>
      <c r="U388" s="18">
        <f t="shared" si="107"/>
        <v>0.75</v>
      </c>
      <c r="V388" s="18">
        <f t="shared" si="108"/>
        <v>0</v>
      </c>
      <c r="W388" s="18">
        <f t="shared" si="109"/>
        <v>0</v>
      </c>
      <c r="X388" s="18">
        <f t="shared" si="110"/>
        <v>0.75</v>
      </c>
      <c r="Y388" s="18">
        <f t="shared" si="111"/>
        <v>0</v>
      </c>
      <c r="Z388" s="18">
        <f t="shared" si="112"/>
        <v>0</v>
      </c>
      <c r="AA388" s="18">
        <f t="shared" si="113"/>
        <v>0</v>
      </c>
      <c r="AB388" s="18">
        <f t="shared" si="114"/>
        <v>0</v>
      </c>
      <c r="AC388" s="18">
        <f t="shared" si="115"/>
        <v>0</v>
      </c>
      <c r="AD388" s="5"/>
      <c r="AE388" s="5"/>
      <c r="AF388" s="18">
        <f t="shared" si="116"/>
        <v>3</v>
      </c>
      <c r="AG388" s="18">
        <f t="shared" si="117"/>
        <v>4</v>
      </c>
      <c r="AH388" s="18" t="str">
        <f t="shared" si="118"/>
        <v>Correct</v>
      </c>
      <c r="AI388" s="5"/>
      <c r="AJ388" s="120" t="str">
        <f>IFERROR(VLOOKUP(Table1[RespondentID],'All Data'!$A$3:$CO$999,87,FALSE),"unknown")</f>
        <v>Woman</v>
      </c>
      <c r="AK388" s="120">
        <f>IFERROR(VLOOKUP(Table1[RespondentID],'All Data'!$A$3:$CO$999,88,FALSE),"unknown")</f>
        <v>0</v>
      </c>
      <c r="AL388" s="120" t="str">
        <f>IFERROR(VLOOKUP(Table1[RespondentID],'All Data'!$A$3:$CO$999,89,FALSE),"unknown")</f>
        <v>Nassau</v>
      </c>
      <c r="AM388" s="120" t="str">
        <f>IFERROR(VLOOKUP(Table1[RespondentID],'All Data'!$A$3:$CO$999,90,FALSE),"unknown")</f>
        <v>Roslyn, 11576</v>
      </c>
      <c r="AN388" s="120" t="str">
        <f>IFERROR(VLOOKUP(Table1[RespondentID],'All Data'!$A$3:$CO$999,91,FALSE),"unknown")</f>
        <v>White</v>
      </c>
      <c r="AO388" s="120" t="str">
        <f>IFERROR(VLOOKUP(Table1[RespondentID],'All Data'!$A$3:$CO$999,92,FALSE),"unknown")</f>
        <v>Not Hispanic or Latino</v>
      </c>
      <c r="AP388" s="120">
        <f>IFERROR(VLOOKUP(Table1[RespondentID],'All Data'!$A$3:$CO$999,93,FALSE),"unknown")</f>
        <v>0</v>
      </c>
      <c r="AQ388" s="120" t="str">
        <f>IFERROR(VLOOKUP(Table1[RespondentID],'All Data'!$A$3:$CW$999,94,FALSE),"unknown")</f>
        <v>$75,000 to $125,000</v>
      </c>
      <c r="AR388" s="120" t="str">
        <f>IFERROR(VLOOKUP(Table1[RespondentID],'All Data'!$A$3:$CW$999,95,FALSE),"unknown")</f>
        <v>College graduate</v>
      </c>
      <c r="AS388" s="120" t="str">
        <f>IFERROR(VLOOKUP(Table1[RespondentID],'All Data'!$A$3:$CW$999,96,FALSE),"unknown")</f>
        <v>Employed for wages</v>
      </c>
      <c r="AT388" s="120" t="str">
        <f>IFERROR(VLOOKUP(Table1[RespondentID],'All Data'!$A$3:$CW$999,97,FALSE),"unknown")</f>
        <v>Yes</v>
      </c>
      <c r="AU388" s="120" t="str">
        <f>IFERROR(VLOOKUP(Table1[RespondentID],'All Data'!$A$3:$CW$999,98,FALSE),"unknown")</f>
        <v>Private/Commercial</v>
      </c>
      <c r="AV388" s="120" t="str">
        <f>IFERROR(VLOOKUP(Table1[RespondentID],'All Data'!$A$3:$CW$999,99,FALSE),"unknown")</f>
        <v>Yes</v>
      </c>
    </row>
    <row r="389" spans="1:48">
      <c r="A389" s="133">
        <v>114086716435</v>
      </c>
      <c r="B389" s="139" t="s">
        <v>38</v>
      </c>
      <c r="C389" s="107"/>
      <c r="D389" s="107"/>
      <c r="E389" s="107"/>
      <c r="F389" s="107"/>
      <c r="G389" s="107"/>
      <c r="H389" s="107" t="s">
        <v>43</v>
      </c>
      <c r="I389" s="107"/>
      <c r="J389" s="107"/>
      <c r="K389" s="107"/>
      <c r="L389" s="107"/>
      <c r="M389" s="107"/>
      <c r="N389" s="5"/>
      <c r="O389" s="18">
        <f t="shared" si="102"/>
        <v>2</v>
      </c>
      <c r="P389" s="18">
        <f t="shared" si="103"/>
        <v>1.5</v>
      </c>
      <c r="Q389" s="5"/>
      <c r="R389" s="18">
        <f t="shared" si="104"/>
        <v>1</v>
      </c>
      <c r="S389" s="18">
        <f t="shared" si="105"/>
        <v>0</v>
      </c>
      <c r="T389" s="18">
        <f t="shared" si="106"/>
        <v>0</v>
      </c>
      <c r="U389" s="18">
        <f t="shared" si="107"/>
        <v>0</v>
      </c>
      <c r="V389" s="18">
        <f t="shared" si="108"/>
        <v>0</v>
      </c>
      <c r="W389" s="18">
        <f t="shared" si="109"/>
        <v>0</v>
      </c>
      <c r="X389" s="18">
        <f t="shared" si="110"/>
        <v>1</v>
      </c>
      <c r="Y389" s="18">
        <f t="shared" si="111"/>
        <v>0</v>
      </c>
      <c r="Z389" s="18">
        <f t="shared" si="112"/>
        <v>0</v>
      </c>
      <c r="AA389" s="18">
        <f t="shared" si="113"/>
        <v>0</v>
      </c>
      <c r="AB389" s="18">
        <f t="shared" si="114"/>
        <v>0</v>
      </c>
      <c r="AC389" s="18">
        <f t="shared" si="115"/>
        <v>0</v>
      </c>
      <c r="AD389" s="5"/>
      <c r="AE389" s="5"/>
      <c r="AF389" s="18">
        <f t="shared" si="116"/>
        <v>2</v>
      </c>
      <c r="AG389" s="18">
        <f t="shared" si="117"/>
        <v>2</v>
      </c>
      <c r="AH389" s="18" t="str">
        <f t="shared" si="118"/>
        <v>Correct</v>
      </c>
      <c r="AI389" s="5"/>
      <c r="AJ389" s="120" t="str">
        <f>IFERROR(VLOOKUP(Table1[RespondentID],'All Data'!$A$3:$CO$999,87,FALSE),"unknown")</f>
        <v>Woman</v>
      </c>
      <c r="AK389" s="120">
        <f>IFERROR(VLOOKUP(Table1[RespondentID],'All Data'!$A$3:$CO$999,88,FALSE),"unknown")</f>
        <v>0</v>
      </c>
      <c r="AL389" s="120" t="str">
        <f>IFERROR(VLOOKUP(Table1[RespondentID],'All Data'!$A$3:$CO$999,89,FALSE),"unknown")</f>
        <v>Nassau</v>
      </c>
      <c r="AM389" s="120" t="str">
        <f>IFERROR(VLOOKUP(Table1[RespondentID],'All Data'!$A$3:$CO$999,90,FALSE),"unknown")</f>
        <v>North New Hyde Park, 11040</v>
      </c>
      <c r="AN389" s="120" t="str">
        <f>IFERROR(VLOOKUP(Table1[RespondentID],'All Data'!$A$3:$CO$999,91,FALSE),"unknown")</f>
        <v>Asian</v>
      </c>
      <c r="AO389" s="120" t="str">
        <f>IFERROR(VLOOKUP(Table1[RespondentID],'All Data'!$A$3:$CO$999,92,FALSE),"unknown")</f>
        <v>Not Hispanic or Latino</v>
      </c>
      <c r="AP389" s="120" t="str">
        <f>IFERROR(VLOOKUP(Table1[RespondentID],'All Data'!$A$3:$CO$999,93,FALSE),"unknown")</f>
        <v>English</v>
      </c>
      <c r="AQ389" s="120" t="str">
        <f>IFERROR(VLOOKUP(Table1[RespondentID],'All Data'!$A$3:$CW$999,94,FALSE),"unknown")</f>
        <v>$50,000 to $74,999</v>
      </c>
      <c r="AR389" s="120" t="str">
        <f>IFERROR(VLOOKUP(Table1[RespondentID],'All Data'!$A$3:$CW$999,95,FALSE),"unknown")</f>
        <v>College graduate</v>
      </c>
      <c r="AS389" s="120" t="str">
        <f>IFERROR(VLOOKUP(Table1[RespondentID],'All Data'!$A$3:$CW$999,96,FALSE),"unknown")</f>
        <v>Employed for wages</v>
      </c>
      <c r="AT389" s="120" t="str">
        <f>IFERROR(VLOOKUP(Table1[RespondentID],'All Data'!$A$3:$CW$999,97,FALSE),"unknown")</f>
        <v>Yes</v>
      </c>
      <c r="AU389" s="120" t="str">
        <f>IFERROR(VLOOKUP(Table1[RespondentID],'All Data'!$A$3:$CW$999,98,FALSE),"unknown")</f>
        <v>Private/Commercial</v>
      </c>
      <c r="AV389" s="120" t="str">
        <f>IFERROR(VLOOKUP(Table1[RespondentID],'All Data'!$A$3:$CW$999,99,FALSE),"unknown")</f>
        <v>Yes</v>
      </c>
    </row>
    <row r="390" spans="1:48">
      <c r="A390" s="133">
        <v>114086712665</v>
      </c>
      <c r="B390" s="139"/>
      <c r="C390" s="107" t="s">
        <v>39</v>
      </c>
      <c r="D390" s="107"/>
      <c r="E390" s="107" t="s">
        <v>41</v>
      </c>
      <c r="F390" s="107"/>
      <c r="G390" s="107"/>
      <c r="H390" s="107" t="s">
        <v>43</v>
      </c>
      <c r="I390" s="107"/>
      <c r="J390" s="107"/>
      <c r="K390" s="107"/>
      <c r="L390" s="107"/>
      <c r="M390" s="107"/>
      <c r="N390" s="5"/>
      <c r="O390" s="18">
        <f t="shared" si="102"/>
        <v>3</v>
      </c>
      <c r="P390" s="18">
        <f t="shared" si="103"/>
        <v>1</v>
      </c>
      <c r="Q390" s="5"/>
      <c r="R390" s="18">
        <f t="shared" si="104"/>
        <v>0</v>
      </c>
      <c r="S390" s="18">
        <f t="shared" si="105"/>
        <v>1</v>
      </c>
      <c r="T390" s="18">
        <f t="shared" si="106"/>
        <v>0</v>
      </c>
      <c r="U390" s="18">
        <f t="shared" si="107"/>
        <v>1</v>
      </c>
      <c r="V390" s="18">
        <f t="shared" si="108"/>
        <v>0</v>
      </c>
      <c r="W390" s="18">
        <f t="shared" si="109"/>
        <v>0</v>
      </c>
      <c r="X390" s="18">
        <f t="shared" si="110"/>
        <v>1</v>
      </c>
      <c r="Y390" s="18">
        <f t="shared" si="111"/>
        <v>0</v>
      </c>
      <c r="Z390" s="18">
        <f t="shared" si="112"/>
        <v>0</v>
      </c>
      <c r="AA390" s="18">
        <f t="shared" si="113"/>
        <v>0</v>
      </c>
      <c r="AB390" s="18">
        <f t="shared" si="114"/>
        <v>0</v>
      </c>
      <c r="AC390" s="18">
        <f t="shared" si="115"/>
        <v>0</v>
      </c>
      <c r="AD390" s="5"/>
      <c r="AE390" s="5"/>
      <c r="AF390" s="18">
        <f t="shared" si="116"/>
        <v>3</v>
      </c>
      <c r="AG390" s="18">
        <f t="shared" si="117"/>
        <v>3</v>
      </c>
      <c r="AH390" s="18" t="str">
        <f t="shared" si="118"/>
        <v>Correct</v>
      </c>
      <c r="AI390" s="5"/>
      <c r="AJ390" s="120" t="str">
        <f>IFERROR(VLOOKUP(Table1[RespondentID],'All Data'!$A$3:$CO$999,87,FALSE),"unknown")</f>
        <v>Woman</v>
      </c>
      <c r="AK390" s="120">
        <f>IFERROR(VLOOKUP(Table1[RespondentID],'All Data'!$A$3:$CO$999,88,FALSE),"unknown")</f>
        <v>0</v>
      </c>
      <c r="AL390" s="120">
        <f>IFERROR(VLOOKUP(Table1[RespondentID],'All Data'!$A$3:$CO$999,89,FALSE),"unknown")</f>
        <v>0</v>
      </c>
      <c r="AM390" s="120" t="str">
        <f>IFERROR(VLOOKUP(Table1[RespondentID],'All Data'!$A$3:$CO$999,90,FALSE),"unknown")</f>
        <v>Levittown, 11756</v>
      </c>
      <c r="AN390" s="120" t="str">
        <f>IFERROR(VLOOKUP(Table1[RespondentID],'All Data'!$A$3:$CO$999,91,FALSE),"unknown")</f>
        <v>Two or more races</v>
      </c>
      <c r="AO390" s="120" t="str">
        <f>IFERROR(VLOOKUP(Table1[RespondentID],'All Data'!$A$3:$CO$999,92,FALSE),"unknown")</f>
        <v>Not Hispanic or Latino</v>
      </c>
      <c r="AP390" s="120">
        <f>IFERROR(VLOOKUP(Table1[RespondentID],'All Data'!$A$3:$CO$999,93,FALSE),"unknown")</f>
        <v>0</v>
      </c>
      <c r="AQ390" s="120" t="str">
        <f>IFERROR(VLOOKUP(Table1[RespondentID],'All Data'!$A$3:$CW$999,94,FALSE),"unknown")</f>
        <v>$75,000 to $125,000</v>
      </c>
      <c r="AR390" s="120" t="str">
        <f>IFERROR(VLOOKUP(Table1[RespondentID],'All Data'!$A$3:$CW$999,95,FALSE),"unknown")</f>
        <v>College graduate</v>
      </c>
      <c r="AS390" s="120" t="str">
        <f>IFERROR(VLOOKUP(Table1[RespondentID],'All Data'!$A$3:$CW$999,96,FALSE),"unknown")</f>
        <v>Employed for wages</v>
      </c>
      <c r="AT390" s="120" t="str">
        <f>IFERROR(VLOOKUP(Table1[RespondentID],'All Data'!$A$3:$CW$999,97,FALSE),"unknown")</f>
        <v>Yes</v>
      </c>
      <c r="AU390" s="120" t="str">
        <f>IFERROR(VLOOKUP(Table1[RespondentID],'All Data'!$A$3:$CW$999,98,FALSE),"unknown")</f>
        <v>Private/Commercial</v>
      </c>
      <c r="AV390" s="120" t="str">
        <f>IFERROR(VLOOKUP(Table1[RespondentID],'All Data'!$A$3:$CW$999,99,FALSE),"unknown")</f>
        <v>Yes</v>
      </c>
    </row>
    <row r="391" spans="1:48">
      <c r="A391" s="133">
        <v>114086703421</v>
      </c>
      <c r="B391" s="139"/>
      <c r="C391" s="107" t="s">
        <v>39</v>
      </c>
      <c r="D391" s="107"/>
      <c r="E391" s="107"/>
      <c r="F391" s="107"/>
      <c r="G391" s="107"/>
      <c r="H391" s="107" t="s">
        <v>43</v>
      </c>
      <c r="I391" s="107" t="s">
        <v>44</v>
      </c>
      <c r="J391" s="107" t="s">
        <v>45</v>
      </c>
      <c r="K391" s="107"/>
      <c r="L391" s="107"/>
      <c r="M391" s="107"/>
      <c r="N391" s="5"/>
      <c r="O391" s="18">
        <f t="shared" si="102"/>
        <v>4</v>
      </c>
      <c r="P391" s="18">
        <f t="shared" si="103"/>
        <v>0.75</v>
      </c>
      <c r="Q391" s="5"/>
      <c r="R391" s="18">
        <f t="shared" si="104"/>
        <v>0</v>
      </c>
      <c r="S391" s="18">
        <f t="shared" si="105"/>
        <v>0.75</v>
      </c>
      <c r="T391" s="18">
        <f t="shared" si="106"/>
        <v>0</v>
      </c>
      <c r="U391" s="18">
        <f t="shared" si="107"/>
        <v>0</v>
      </c>
      <c r="V391" s="18">
        <f t="shared" si="108"/>
        <v>0</v>
      </c>
      <c r="W391" s="18">
        <f t="shared" si="109"/>
        <v>0</v>
      </c>
      <c r="X391" s="18">
        <f t="shared" si="110"/>
        <v>0.75</v>
      </c>
      <c r="Y391" s="18">
        <f t="shared" si="111"/>
        <v>0.75</v>
      </c>
      <c r="Z391" s="18">
        <f t="shared" si="112"/>
        <v>0.75</v>
      </c>
      <c r="AA391" s="18">
        <f t="shared" si="113"/>
        <v>0</v>
      </c>
      <c r="AB391" s="18">
        <f t="shared" si="114"/>
        <v>0</v>
      </c>
      <c r="AC391" s="18">
        <f t="shared" si="115"/>
        <v>0</v>
      </c>
      <c r="AD391" s="5"/>
      <c r="AE391" s="5"/>
      <c r="AF391" s="18">
        <f t="shared" si="116"/>
        <v>3</v>
      </c>
      <c r="AG391" s="18">
        <f t="shared" si="117"/>
        <v>4</v>
      </c>
      <c r="AH391" s="18" t="str">
        <f t="shared" si="118"/>
        <v>Correct</v>
      </c>
      <c r="AI391" s="5"/>
      <c r="AJ391" s="120" t="str">
        <f>IFERROR(VLOOKUP(Table1[RespondentID],'All Data'!$A$3:$CO$999,87,FALSE),"unknown")</f>
        <v>Woman</v>
      </c>
      <c r="AK391" s="120">
        <f>IFERROR(VLOOKUP(Table1[RespondentID],'All Data'!$A$3:$CO$999,88,FALSE),"unknown")</f>
        <v>0</v>
      </c>
      <c r="AL391" s="120" t="str">
        <f>IFERROR(VLOOKUP(Table1[RespondentID],'All Data'!$A$3:$CO$999,89,FALSE),"unknown")</f>
        <v>Queens</v>
      </c>
      <c r="AM391" s="120">
        <f>IFERROR(VLOOKUP(Table1[RespondentID],'All Data'!$A$3:$CO$999,90,FALSE),"unknown")</f>
        <v>11367</v>
      </c>
      <c r="AN391" s="120" t="str">
        <f>IFERROR(VLOOKUP(Table1[RespondentID],'All Data'!$A$3:$CO$999,91,FALSE),"unknown")</f>
        <v>White</v>
      </c>
      <c r="AO391" s="120" t="str">
        <f>IFERROR(VLOOKUP(Table1[RespondentID],'All Data'!$A$3:$CO$999,92,FALSE),"unknown")</f>
        <v>Hispanic or Latino</v>
      </c>
      <c r="AP391" s="120" t="str">
        <f>IFERROR(VLOOKUP(Table1[RespondentID],'All Data'!$A$3:$CO$999,93,FALSE),"unknown")</f>
        <v>English</v>
      </c>
      <c r="AQ391" s="120" t="str">
        <f>IFERROR(VLOOKUP(Table1[RespondentID],'All Data'!$A$3:$CW$999,94,FALSE),"unknown")</f>
        <v>Over $125,000</v>
      </c>
      <c r="AR391" s="120" t="str">
        <f>IFERROR(VLOOKUP(Table1[RespondentID],'All Data'!$A$3:$CW$999,95,FALSE),"unknown")</f>
        <v>College graduate</v>
      </c>
      <c r="AS391" s="120" t="str">
        <f>IFERROR(VLOOKUP(Table1[RespondentID],'All Data'!$A$3:$CW$999,96,FALSE),"unknown")</f>
        <v>Employed for wages</v>
      </c>
      <c r="AT391" s="120" t="str">
        <f>IFERROR(VLOOKUP(Table1[RespondentID],'All Data'!$A$3:$CW$999,97,FALSE),"unknown")</f>
        <v>Yes</v>
      </c>
      <c r="AU391" s="120" t="str">
        <f>IFERROR(VLOOKUP(Table1[RespondentID],'All Data'!$A$3:$CW$999,98,FALSE),"unknown")</f>
        <v>Private/Commercial</v>
      </c>
      <c r="AV391" s="120" t="str">
        <f>IFERROR(VLOOKUP(Table1[RespondentID],'All Data'!$A$3:$CW$999,99,FALSE),"unknown")</f>
        <v>Yes</v>
      </c>
    </row>
    <row r="392" spans="1:48">
      <c r="A392" s="133">
        <v>114086547834</v>
      </c>
      <c r="B392" s="139"/>
      <c r="C392" s="107" t="s">
        <v>39</v>
      </c>
      <c r="D392" s="107"/>
      <c r="E392" s="107"/>
      <c r="F392" s="107"/>
      <c r="G392" s="107"/>
      <c r="H392" s="107"/>
      <c r="I392" s="107" t="s">
        <v>44</v>
      </c>
      <c r="J392" s="107"/>
      <c r="K392" s="107" t="s">
        <v>46</v>
      </c>
      <c r="L392" s="107"/>
      <c r="M392" s="107"/>
      <c r="N392" s="5"/>
      <c r="O392" s="18">
        <f t="shared" si="102"/>
        <v>3</v>
      </c>
      <c r="P392" s="18">
        <f t="shared" si="103"/>
        <v>1</v>
      </c>
      <c r="Q392" s="5"/>
      <c r="R392" s="18">
        <f t="shared" si="104"/>
        <v>0</v>
      </c>
      <c r="S392" s="18">
        <f t="shared" si="105"/>
        <v>1</v>
      </c>
      <c r="T392" s="18">
        <f t="shared" si="106"/>
        <v>0</v>
      </c>
      <c r="U392" s="18">
        <f t="shared" si="107"/>
        <v>0</v>
      </c>
      <c r="V392" s="18">
        <f t="shared" si="108"/>
        <v>0</v>
      </c>
      <c r="W392" s="18">
        <f t="shared" si="109"/>
        <v>0</v>
      </c>
      <c r="X392" s="18">
        <f t="shared" si="110"/>
        <v>0</v>
      </c>
      <c r="Y392" s="18">
        <f t="shared" si="111"/>
        <v>1</v>
      </c>
      <c r="Z392" s="18">
        <f t="shared" si="112"/>
        <v>0</v>
      </c>
      <c r="AA392" s="18">
        <f t="shared" si="113"/>
        <v>1</v>
      </c>
      <c r="AB392" s="18">
        <f t="shared" si="114"/>
        <v>0</v>
      </c>
      <c r="AC392" s="18">
        <f t="shared" si="115"/>
        <v>0</v>
      </c>
      <c r="AD392" s="5"/>
      <c r="AE392" s="5"/>
      <c r="AF392" s="18">
        <f t="shared" si="116"/>
        <v>3</v>
      </c>
      <c r="AG392" s="18">
        <f t="shared" si="117"/>
        <v>3</v>
      </c>
      <c r="AH392" s="18" t="str">
        <f t="shared" si="118"/>
        <v>Correct</v>
      </c>
      <c r="AI392" s="5"/>
      <c r="AJ392" s="120" t="str">
        <f>IFERROR(VLOOKUP(Table1[RespondentID],'All Data'!$A$3:$CO$999,87,FALSE),"unknown")</f>
        <v>Woman</v>
      </c>
      <c r="AK392" s="120">
        <f>IFERROR(VLOOKUP(Table1[RespondentID],'All Data'!$A$3:$CO$999,88,FALSE),"unknown")</f>
        <v>0</v>
      </c>
      <c r="AL392" s="120" t="str">
        <f>IFERROR(VLOOKUP(Table1[RespondentID],'All Data'!$A$3:$CO$999,89,FALSE),"unknown")</f>
        <v>Suffolk</v>
      </c>
      <c r="AM392" s="120" t="str">
        <f>IFERROR(VLOOKUP(Table1[RespondentID],'All Data'!$A$3:$CO$999,90,FALSE),"unknown")</f>
        <v>North Babylon, 11703</v>
      </c>
      <c r="AN392" s="120" t="str">
        <f>IFERROR(VLOOKUP(Table1[RespondentID],'All Data'!$A$3:$CO$999,91,FALSE),"unknown")</f>
        <v>Other (please specify)</v>
      </c>
      <c r="AO392" s="120" t="str">
        <f>IFERROR(VLOOKUP(Table1[RespondentID],'All Data'!$A$3:$CO$999,92,FALSE),"unknown")</f>
        <v>Hispanic or Latino</v>
      </c>
      <c r="AP392" s="120" t="str">
        <f>IFERROR(VLOOKUP(Table1[RespondentID],'All Data'!$A$3:$CO$999,93,FALSE),"unknown")</f>
        <v>English</v>
      </c>
      <c r="AQ392" s="120" t="str">
        <f>IFERROR(VLOOKUP(Table1[RespondentID],'All Data'!$A$3:$CW$999,94,FALSE),"unknown")</f>
        <v>Over $125,000</v>
      </c>
      <c r="AR392" s="120" t="str">
        <f>IFERROR(VLOOKUP(Table1[RespondentID],'All Data'!$A$3:$CW$999,95,FALSE),"unknown")</f>
        <v>Graduate school</v>
      </c>
      <c r="AS392" s="120" t="str">
        <f>IFERROR(VLOOKUP(Table1[RespondentID],'All Data'!$A$3:$CW$999,96,FALSE),"unknown")</f>
        <v>Employed for wages</v>
      </c>
      <c r="AT392" s="120" t="str">
        <f>IFERROR(VLOOKUP(Table1[RespondentID],'All Data'!$A$3:$CW$999,97,FALSE),"unknown")</f>
        <v>Yes</v>
      </c>
      <c r="AU392" s="120" t="str">
        <f>IFERROR(VLOOKUP(Table1[RespondentID],'All Data'!$A$3:$CW$999,98,FALSE),"unknown")</f>
        <v>Private/Commercial</v>
      </c>
      <c r="AV392" s="120" t="str">
        <f>IFERROR(VLOOKUP(Table1[RespondentID],'All Data'!$A$3:$CW$999,99,FALSE),"unknown")</f>
        <v>Yes</v>
      </c>
    </row>
    <row r="393" spans="1:48">
      <c r="A393" s="133">
        <v>114086512910</v>
      </c>
      <c r="B393" s="139"/>
      <c r="C393" s="107" t="s">
        <v>39</v>
      </c>
      <c r="D393" s="107"/>
      <c r="E393" s="107"/>
      <c r="F393" s="107" t="s">
        <v>42</v>
      </c>
      <c r="G393" s="107"/>
      <c r="H393" s="107"/>
      <c r="I393" s="107"/>
      <c r="J393" s="107"/>
      <c r="K393" s="107"/>
      <c r="L393" s="107" t="s">
        <v>47</v>
      </c>
      <c r="M393" s="107"/>
      <c r="N393" s="5"/>
      <c r="O393" s="18">
        <f t="shared" si="102"/>
        <v>3</v>
      </c>
      <c r="P393" s="18">
        <f t="shared" si="103"/>
        <v>1</v>
      </c>
      <c r="Q393" s="5"/>
      <c r="R393" s="18">
        <f t="shared" si="104"/>
        <v>0</v>
      </c>
      <c r="S393" s="18">
        <f t="shared" si="105"/>
        <v>1</v>
      </c>
      <c r="T393" s="18">
        <f t="shared" si="106"/>
        <v>0</v>
      </c>
      <c r="U393" s="18">
        <f t="shared" si="107"/>
        <v>0</v>
      </c>
      <c r="V393" s="18">
        <f t="shared" si="108"/>
        <v>1</v>
      </c>
      <c r="W393" s="18">
        <f t="shared" si="109"/>
        <v>0</v>
      </c>
      <c r="X393" s="18">
        <f t="shared" si="110"/>
        <v>0</v>
      </c>
      <c r="Y393" s="18">
        <f t="shared" si="111"/>
        <v>0</v>
      </c>
      <c r="Z393" s="18">
        <f t="shared" si="112"/>
        <v>0</v>
      </c>
      <c r="AA393" s="18">
        <f t="shared" si="113"/>
        <v>0</v>
      </c>
      <c r="AB393" s="18">
        <f t="shared" si="114"/>
        <v>1</v>
      </c>
      <c r="AC393" s="18">
        <f t="shared" si="115"/>
        <v>0</v>
      </c>
      <c r="AD393" s="5"/>
      <c r="AE393" s="5"/>
      <c r="AF393" s="18">
        <f t="shared" si="116"/>
        <v>3</v>
      </c>
      <c r="AG393" s="18">
        <f t="shared" si="117"/>
        <v>3</v>
      </c>
      <c r="AH393" s="18" t="str">
        <f t="shared" si="118"/>
        <v>Correct</v>
      </c>
      <c r="AI393" s="5"/>
      <c r="AJ393" s="120" t="str">
        <f>IFERROR(VLOOKUP(Table1[RespondentID],'All Data'!$A$3:$CO$999,87,FALSE),"unknown")</f>
        <v>Woman</v>
      </c>
      <c r="AK393" s="120">
        <f>IFERROR(VLOOKUP(Table1[RespondentID],'All Data'!$A$3:$CO$999,88,FALSE),"unknown")</f>
        <v>0</v>
      </c>
      <c r="AL393" s="120" t="str">
        <f>IFERROR(VLOOKUP(Table1[RespondentID],'All Data'!$A$3:$CO$999,89,FALSE),"unknown")</f>
        <v>Suffolk</v>
      </c>
      <c r="AM393" s="120" t="str">
        <f>IFERROR(VLOOKUP(Table1[RespondentID],'All Data'!$A$3:$CO$999,90,FALSE),"unknown")</f>
        <v>West Islip, 11795</v>
      </c>
      <c r="AN393" s="120" t="str">
        <f>IFERROR(VLOOKUP(Table1[RespondentID],'All Data'!$A$3:$CO$999,91,FALSE),"unknown")</f>
        <v>White</v>
      </c>
      <c r="AO393" s="120" t="str">
        <f>IFERROR(VLOOKUP(Table1[RespondentID],'All Data'!$A$3:$CO$999,92,FALSE),"unknown")</f>
        <v>Not Hispanic or Latino</v>
      </c>
      <c r="AP393" s="120" t="str">
        <f>IFERROR(VLOOKUP(Table1[RespondentID],'All Data'!$A$3:$CO$999,93,FALSE),"unknown")</f>
        <v>English</v>
      </c>
      <c r="AQ393" s="120">
        <f>IFERROR(VLOOKUP(Table1[RespondentID],'All Data'!$A$3:$CW$999,94,FALSE),"unknown")</f>
        <v>0</v>
      </c>
      <c r="AR393" s="120" t="str">
        <f>IFERROR(VLOOKUP(Table1[RespondentID],'All Data'!$A$3:$CW$999,95,FALSE),"unknown")</f>
        <v>Some college</v>
      </c>
      <c r="AS393" s="120" t="str">
        <f>IFERROR(VLOOKUP(Table1[RespondentID],'All Data'!$A$3:$CW$999,96,FALSE),"unknown")</f>
        <v>Employed for wages</v>
      </c>
      <c r="AT393" s="120" t="str">
        <f>IFERROR(VLOOKUP(Table1[RespondentID],'All Data'!$A$3:$CW$999,97,FALSE),"unknown")</f>
        <v>Yes</v>
      </c>
      <c r="AU393" s="120" t="str">
        <f>IFERROR(VLOOKUP(Table1[RespondentID],'All Data'!$A$3:$CW$999,98,FALSE),"unknown")</f>
        <v>Private/Commercial</v>
      </c>
      <c r="AV393" s="120" t="str">
        <f>IFERROR(VLOOKUP(Table1[RespondentID],'All Data'!$A$3:$CW$999,99,FALSE),"unknown")</f>
        <v>Yes</v>
      </c>
    </row>
    <row r="394" spans="1:48">
      <c r="A394" s="133">
        <v>114086485509</v>
      </c>
      <c r="B394" s="139" t="s">
        <v>38</v>
      </c>
      <c r="C394" s="107" t="s">
        <v>39</v>
      </c>
      <c r="D394" s="107"/>
      <c r="E394" s="107"/>
      <c r="F394" s="107"/>
      <c r="G394" s="107"/>
      <c r="H394" s="107" t="s">
        <v>43</v>
      </c>
      <c r="I394" s="107"/>
      <c r="J394" s="107"/>
      <c r="K394" s="107" t="s">
        <v>46</v>
      </c>
      <c r="L394" s="107" t="s">
        <v>47</v>
      </c>
      <c r="M394" s="107" t="s">
        <v>48</v>
      </c>
      <c r="N394" s="5"/>
      <c r="O394" s="18">
        <f t="shared" si="102"/>
        <v>6</v>
      </c>
      <c r="P394" s="18">
        <f t="shared" si="103"/>
        <v>0.5</v>
      </c>
      <c r="Q394" s="5"/>
      <c r="R394" s="18">
        <f t="shared" si="104"/>
        <v>0.5</v>
      </c>
      <c r="S394" s="18">
        <f t="shared" si="105"/>
        <v>0.5</v>
      </c>
      <c r="T394" s="18">
        <f t="shared" si="106"/>
        <v>0</v>
      </c>
      <c r="U394" s="18">
        <f t="shared" si="107"/>
        <v>0</v>
      </c>
      <c r="V394" s="18">
        <f t="shared" si="108"/>
        <v>0</v>
      </c>
      <c r="W394" s="18">
        <f t="shared" si="109"/>
        <v>0</v>
      </c>
      <c r="X394" s="18">
        <f t="shared" si="110"/>
        <v>0.5</v>
      </c>
      <c r="Y394" s="18">
        <f t="shared" si="111"/>
        <v>0</v>
      </c>
      <c r="Z394" s="18">
        <f t="shared" si="112"/>
        <v>0</v>
      </c>
      <c r="AA394" s="18">
        <f t="shared" si="113"/>
        <v>0.5</v>
      </c>
      <c r="AB394" s="18">
        <f t="shared" si="114"/>
        <v>0.5</v>
      </c>
      <c r="AC394" s="18">
        <f t="shared" si="115"/>
        <v>0.5</v>
      </c>
      <c r="AD394" s="5"/>
      <c r="AE394" s="5"/>
      <c r="AF394" s="18">
        <f t="shared" si="116"/>
        <v>3</v>
      </c>
      <c r="AG394" s="18">
        <f t="shared" si="117"/>
        <v>6</v>
      </c>
      <c r="AH394" s="18" t="str">
        <f t="shared" si="118"/>
        <v>Correct</v>
      </c>
      <c r="AI394" s="5"/>
      <c r="AJ394" s="120" t="str">
        <f>IFERROR(VLOOKUP(Table1[RespondentID],'All Data'!$A$3:$CO$999,87,FALSE),"unknown")</f>
        <v>Woman</v>
      </c>
      <c r="AK394" s="120">
        <f>IFERROR(VLOOKUP(Table1[RespondentID],'All Data'!$A$3:$CO$999,88,FALSE),"unknown")</f>
        <v>0</v>
      </c>
      <c r="AL394" s="120" t="str">
        <f>IFERROR(VLOOKUP(Table1[RespondentID],'All Data'!$A$3:$CO$999,89,FALSE),"unknown")</f>
        <v>Nassau</v>
      </c>
      <c r="AM394" s="120" t="str">
        <f>IFERROR(VLOOKUP(Table1[RespondentID],'All Data'!$A$3:$CO$999,90,FALSE),"unknown")</f>
        <v>Massapequa, 11758</v>
      </c>
      <c r="AN394" s="120" t="str">
        <f>IFERROR(VLOOKUP(Table1[RespondentID],'All Data'!$A$3:$CO$999,91,FALSE),"unknown")</f>
        <v>White</v>
      </c>
      <c r="AO394" s="120" t="str">
        <f>IFERROR(VLOOKUP(Table1[RespondentID],'All Data'!$A$3:$CO$999,92,FALSE),"unknown")</f>
        <v>Not Hispanic or Latino</v>
      </c>
      <c r="AP394" s="120" t="str">
        <f>IFERROR(VLOOKUP(Table1[RespondentID],'All Data'!$A$3:$CO$999,93,FALSE),"unknown")</f>
        <v>English</v>
      </c>
      <c r="AQ394" s="120" t="str">
        <f>IFERROR(VLOOKUP(Table1[RespondentID],'All Data'!$A$3:$CW$999,94,FALSE),"unknown")</f>
        <v>Over $125,000</v>
      </c>
      <c r="AR394" s="120" t="str">
        <f>IFERROR(VLOOKUP(Table1[RespondentID],'All Data'!$A$3:$CW$999,95,FALSE),"unknown")</f>
        <v>College graduate</v>
      </c>
      <c r="AS394" s="120" t="str">
        <f>IFERROR(VLOOKUP(Table1[RespondentID],'All Data'!$A$3:$CW$999,96,FALSE),"unknown")</f>
        <v>Employed for wages</v>
      </c>
      <c r="AT394" s="120" t="str">
        <f>IFERROR(VLOOKUP(Table1[RespondentID],'All Data'!$A$3:$CW$999,97,FALSE),"unknown")</f>
        <v>Yes</v>
      </c>
      <c r="AU394" s="120" t="str">
        <f>IFERROR(VLOOKUP(Table1[RespondentID],'All Data'!$A$3:$CW$999,98,FALSE),"unknown")</f>
        <v>Private/Commercial</v>
      </c>
      <c r="AV394" s="120" t="str">
        <f>IFERROR(VLOOKUP(Table1[RespondentID],'All Data'!$A$3:$CW$999,99,FALSE),"unknown")</f>
        <v>Yes</v>
      </c>
    </row>
    <row r="395" spans="1:48">
      <c r="A395" s="133">
        <v>114086434376</v>
      </c>
      <c r="B395" s="139"/>
      <c r="C395" s="107" t="s">
        <v>39</v>
      </c>
      <c r="D395" s="107"/>
      <c r="E395" s="107" t="s">
        <v>41</v>
      </c>
      <c r="F395" s="107" t="s">
        <v>42</v>
      </c>
      <c r="G395" s="107" t="s">
        <v>37</v>
      </c>
      <c r="H395" s="107" t="s">
        <v>43</v>
      </c>
      <c r="I395" s="107"/>
      <c r="J395" s="107"/>
      <c r="K395" s="107" t="s">
        <v>46</v>
      </c>
      <c r="L395" s="107" t="s">
        <v>47</v>
      </c>
      <c r="M395" s="107" t="s">
        <v>48</v>
      </c>
      <c r="N395" s="5"/>
      <c r="O395" s="18">
        <f t="shared" si="102"/>
        <v>8</v>
      </c>
      <c r="P395" s="18">
        <f t="shared" si="103"/>
        <v>0.375</v>
      </c>
      <c r="Q395" s="5"/>
      <c r="R395" s="18">
        <f t="shared" si="104"/>
        <v>0</v>
      </c>
      <c r="S395" s="18">
        <f t="shared" si="105"/>
        <v>0.375</v>
      </c>
      <c r="T395" s="18">
        <f t="shared" si="106"/>
        <v>0</v>
      </c>
      <c r="U395" s="18">
        <f t="shared" si="107"/>
        <v>0.375</v>
      </c>
      <c r="V395" s="18">
        <f t="shared" si="108"/>
        <v>0.375</v>
      </c>
      <c r="W395" s="18">
        <f t="shared" si="109"/>
        <v>0.375</v>
      </c>
      <c r="X395" s="18">
        <f t="shared" si="110"/>
        <v>0.375</v>
      </c>
      <c r="Y395" s="18">
        <f t="shared" si="111"/>
        <v>0</v>
      </c>
      <c r="Z395" s="18">
        <f t="shared" si="112"/>
        <v>0</v>
      </c>
      <c r="AA395" s="18">
        <f t="shared" si="113"/>
        <v>0.375</v>
      </c>
      <c r="AB395" s="18">
        <f t="shared" si="114"/>
        <v>0.375</v>
      </c>
      <c r="AC395" s="18">
        <f t="shared" si="115"/>
        <v>0.375</v>
      </c>
      <c r="AD395" s="5"/>
      <c r="AE395" s="5"/>
      <c r="AF395" s="18">
        <f t="shared" si="116"/>
        <v>3</v>
      </c>
      <c r="AG395" s="18">
        <f t="shared" si="117"/>
        <v>8</v>
      </c>
      <c r="AH395" s="18" t="str">
        <f t="shared" si="118"/>
        <v>Correct</v>
      </c>
      <c r="AI395" s="5"/>
      <c r="AJ395" s="120" t="str">
        <f>IFERROR(VLOOKUP(Table1[RespondentID],'All Data'!$A$3:$CO$999,87,FALSE),"unknown")</f>
        <v>Woman</v>
      </c>
      <c r="AK395" s="120">
        <f>IFERROR(VLOOKUP(Table1[RespondentID],'All Data'!$A$3:$CO$999,88,FALSE),"unknown")</f>
        <v>0</v>
      </c>
      <c r="AL395" s="120" t="str">
        <f>IFERROR(VLOOKUP(Table1[RespondentID],'All Data'!$A$3:$CO$999,89,FALSE),"unknown")</f>
        <v>Nassau</v>
      </c>
      <c r="AM395" s="120" t="str">
        <f>IFERROR(VLOOKUP(Table1[RespondentID],'All Data'!$A$3:$CO$999,90,FALSE),"unknown")</f>
        <v>Long Beach, 11561</v>
      </c>
      <c r="AN395" s="120" t="str">
        <f>IFERROR(VLOOKUP(Table1[RespondentID],'All Data'!$A$3:$CO$999,91,FALSE),"unknown")</f>
        <v>Two or more races</v>
      </c>
      <c r="AO395" s="120" t="str">
        <f>IFERROR(VLOOKUP(Table1[RespondentID],'All Data'!$A$3:$CO$999,92,FALSE),"unknown")</f>
        <v>Hispanic or Latino</v>
      </c>
      <c r="AP395" s="120" t="str">
        <f>IFERROR(VLOOKUP(Table1[RespondentID],'All Data'!$A$3:$CO$999,93,FALSE),"unknown")</f>
        <v>English</v>
      </c>
      <c r="AQ395" s="120" t="str">
        <f>IFERROR(VLOOKUP(Table1[RespondentID],'All Data'!$A$3:$CW$999,94,FALSE),"unknown")</f>
        <v>$35,000 to $49,999</v>
      </c>
      <c r="AR395" s="120" t="str">
        <f>IFERROR(VLOOKUP(Table1[RespondentID],'All Data'!$A$3:$CW$999,95,FALSE),"unknown")</f>
        <v>Other (please specify)</v>
      </c>
      <c r="AS395" s="120" t="str">
        <f>IFERROR(VLOOKUP(Table1[RespondentID],'All Data'!$A$3:$CW$999,96,FALSE),"unknown")</f>
        <v>Employed for wages</v>
      </c>
      <c r="AT395" s="120" t="str">
        <f>IFERROR(VLOOKUP(Table1[RespondentID],'All Data'!$A$3:$CW$999,97,FALSE),"unknown")</f>
        <v>Yes</v>
      </c>
      <c r="AU395" s="120" t="str">
        <f>IFERROR(VLOOKUP(Table1[RespondentID],'All Data'!$A$3:$CW$999,98,FALSE),"unknown")</f>
        <v>Private/Commercial</v>
      </c>
      <c r="AV395" s="120" t="str">
        <f>IFERROR(VLOOKUP(Table1[RespondentID],'All Data'!$A$3:$CW$999,99,FALSE),"unknown")</f>
        <v>Yes</v>
      </c>
    </row>
    <row r="396" spans="1:48">
      <c r="A396" s="133">
        <v>114086430098</v>
      </c>
      <c r="B396" s="139" t="s">
        <v>38</v>
      </c>
      <c r="C396" s="107" t="s">
        <v>39</v>
      </c>
      <c r="D396" s="107"/>
      <c r="E396" s="107"/>
      <c r="F396" s="107" t="s">
        <v>42</v>
      </c>
      <c r="G396" s="107"/>
      <c r="H396" s="107" t="s">
        <v>43</v>
      </c>
      <c r="I396" s="107"/>
      <c r="J396" s="107"/>
      <c r="K396" s="107" t="s">
        <v>46</v>
      </c>
      <c r="L396" s="107"/>
      <c r="M396" s="107"/>
      <c r="N396" s="5"/>
      <c r="O396" s="18">
        <f t="shared" si="102"/>
        <v>5</v>
      </c>
      <c r="P396" s="18">
        <f t="shared" si="103"/>
        <v>0.6</v>
      </c>
      <c r="Q396" s="5"/>
      <c r="R396" s="18">
        <f t="shared" si="104"/>
        <v>0.6</v>
      </c>
      <c r="S396" s="18">
        <f t="shared" si="105"/>
        <v>0.6</v>
      </c>
      <c r="T396" s="18">
        <f t="shared" si="106"/>
        <v>0</v>
      </c>
      <c r="U396" s="18">
        <f t="shared" si="107"/>
        <v>0</v>
      </c>
      <c r="V396" s="18">
        <f t="shared" si="108"/>
        <v>0.6</v>
      </c>
      <c r="W396" s="18">
        <f t="shared" si="109"/>
        <v>0</v>
      </c>
      <c r="X396" s="18">
        <f t="shared" si="110"/>
        <v>0.6</v>
      </c>
      <c r="Y396" s="18">
        <f t="shared" si="111"/>
        <v>0</v>
      </c>
      <c r="Z396" s="18">
        <f t="shared" si="112"/>
        <v>0</v>
      </c>
      <c r="AA396" s="18">
        <f t="shared" si="113"/>
        <v>0.6</v>
      </c>
      <c r="AB396" s="18">
        <f t="shared" si="114"/>
        <v>0</v>
      </c>
      <c r="AC396" s="18">
        <f t="shared" si="115"/>
        <v>0</v>
      </c>
      <c r="AD396" s="5"/>
      <c r="AE396" s="5"/>
      <c r="AF396" s="18">
        <f t="shared" si="116"/>
        <v>3</v>
      </c>
      <c r="AG396" s="18">
        <f t="shared" si="117"/>
        <v>5</v>
      </c>
      <c r="AH396" s="18" t="str">
        <f t="shared" si="118"/>
        <v>Correct</v>
      </c>
      <c r="AI396" s="5"/>
      <c r="AJ396" s="120" t="str">
        <f>IFERROR(VLOOKUP(Table1[RespondentID],'All Data'!$A$3:$CO$999,87,FALSE),"unknown")</f>
        <v>Woman</v>
      </c>
      <c r="AK396" s="120">
        <f>IFERROR(VLOOKUP(Table1[RespondentID],'All Data'!$A$3:$CO$999,88,FALSE),"unknown")</f>
        <v>0</v>
      </c>
      <c r="AL396" s="120" t="str">
        <f>IFERROR(VLOOKUP(Table1[RespondentID],'All Data'!$A$3:$CO$999,89,FALSE),"unknown")</f>
        <v>Nassau</v>
      </c>
      <c r="AM396" s="120" t="str">
        <f>IFERROR(VLOOKUP(Table1[RespondentID],'All Data'!$A$3:$CO$999,90,FALSE),"unknown")</f>
        <v>Rockville Centre, 11570</v>
      </c>
      <c r="AN396" s="120" t="str">
        <f>IFERROR(VLOOKUP(Table1[RespondentID],'All Data'!$A$3:$CO$999,91,FALSE),"unknown")</f>
        <v>Asian</v>
      </c>
      <c r="AO396" s="120" t="str">
        <f>IFERROR(VLOOKUP(Table1[RespondentID],'All Data'!$A$3:$CO$999,92,FALSE),"unknown")</f>
        <v>Not Hispanic or Latino</v>
      </c>
      <c r="AP396" s="120" t="str">
        <f>IFERROR(VLOOKUP(Table1[RespondentID],'All Data'!$A$3:$CO$999,93,FALSE),"unknown")</f>
        <v>English</v>
      </c>
      <c r="AQ396" s="120" t="str">
        <f>IFERROR(VLOOKUP(Table1[RespondentID],'All Data'!$A$3:$CW$999,94,FALSE),"unknown")</f>
        <v>$75,000 to $125,000</v>
      </c>
      <c r="AR396" s="120" t="str">
        <f>IFERROR(VLOOKUP(Table1[RespondentID],'All Data'!$A$3:$CW$999,95,FALSE),"unknown")</f>
        <v>Graduate school</v>
      </c>
      <c r="AS396" s="120" t="str">
        <f>IFERROR(VLOOKUP(Table1[RespondentID],'All Data'!$A$3:$CW$999,96,FALSE),"unknown")</f>
        <v>Employed for wages</v>
      </c>
      <c r="AT396" s="120" t="str">
        <f>IFERROR(VLOOKUP(Table1[RespondentID],'All Data'!$A$3:$CW$999,97,FALSE),"unknown")</f>
        <v>Yes</v>
      </c>
      <c r="AU396" s="120" t="str">
        <f>IFERROR(VLOOKUP(Table1[RespondentID],'All Data'!$A$3:$CW$999,98,FALSE),"unknown")</f>
        <v>Private/Commercial</v>
      </c>
      <c r="AV396" s="120" t="str">
        <f>IFERROR(VLOOKUP(Table1[RespondentID],'All Data'!$A$3:$CW$999,99,FALSE),"unknown")</f>
        <v>Yes</v>
      </c>
    </row>
    <row r="397" spans="1:48">
      <c r="A397" s="133">
        <v>114086397914</v>
      </c>
      <c r="B397" s="139" t="s">
        <v>38</v>
      </c>
      <c r="C397" s="107" t="s">
        <v>39</v>
      </c>
      <c r="D397" s="107"/>
      <c r="E397" s="107" t="s">
        <v>41</v>
      </c>
      <c r="F397" s="107"/>
      <c r="G397" s="107"/>
      <c r="H397" s="107"/>
      <c r="I397" s="107"/>
      <c r="J397" s="107"/>
      <c r="K397" s="107"/>
      <c r="L397" s="107"/>
      <c r="M397" s="107"/>
      <c r="N397" s="5"/>
      <c r="O397" s="18">
        <f t="shared" si="102"/>
        <v>3</v>
      </c>
      <c r="P397" s="18">
        <f t="shared" si="103"/>
        <v>1</v>
      </c>
      <c r="Q397" s="5"/>
      <c r="R397" s="18">
        <f t="shared" si="104"/>
        <v>1</v>
      </c>
      <c r="S397" s="18">
        <f t="shared" si="105"/>
        <v>1</v>
      </c>
      <c r="T397" s="18">
        <f t="shared" si="106"/>
        <v>0</v>
      </c>
      <c r="U397" s="18">
        <f t="shared" si="107"/>
        <v>1</v>
      </c>
      <c r="V397" s="18">
        <f t="shared" si="108"/>
        <v>0</v>
      </c>
      <c r="W397" s="18">
        <f t="shared" si="109"/>
        <v>0</v>
      </c>
      <c r="X397" s="18">
        <f t="shared" si="110"/>
        <v>0</v>
      </c>
      <c r="Y397" s="18">
        <f t="shared" si="111"/>
        <v>0</v>
      </c>
      <c r="Z397" s="18">
        <f t="shared" si="112"/>
        <v>0</v>
      </c>
      <c r="AA397" s="18">
        <f t="shared" si="113"/>
        <v>0</v>
      </c>
      <c r="AB397" s="18">
        <f t="shared" si="114"/>
        <v>0</v>
      </c>
      <c r="AC397" s="18">
        <f t="shared" si="115"/>
        <v>0</v>
      </c>
      <c r="AD397" s="5"/>
      <c r="AE397" s="5"/>
      <c r="AF397" s="18">
        <f t="shared" si="116"/>
        <v>3</v>
      </c>
      <c r="AG397" s="18">
        <f t="shared" si="117"/>
        <v>3</v>
      </c>
      <c r="AH397" s="18" t="str">
        <f t="shared" si="118"/>
        <v>Correct</v>
      </c>
      <c r="AI397" s="5"/>
      <c r="AJ397" s="120" t="str">
        <f>IFERROR(VLOOKUP(Table1[RespondentID],'All Data'!$A$3:$CO$999,87,FALSE),"unknown")</f>
        <v>Woman</v>
      </c>
      <c r="AK397" s="120">
        <f>IFERROR(VLOOKUP(Table1[RespondentID],'All Data'!$A$3:$CO$999,88,FALSE),"unknown")</f>
        <v>0</v>
      </c>
      <c r="AL397" s="120" t="str">
        <f>IFERROR(VLOOKUP(Table1[RespondentID],'All Data'!$A$3:$CO$999,89,FALSE),"unknown")</f>
        <v>Suffolk</v>
      </c>
      <c r="AM397" s="120" t="str">
        <f>IFERROR(VLOOKUP(Table1[RespondentID],'All Data'!$A$3:$CO$999,90,FALSE),"unknown")</f>
        <v>Deer Park, 11729</v>
      </c>
      <c r="AN397" s="120" t="str">
        <f>IFERROR(VLOOKUP(Table1[RespondentID],'All Data'!$A$3:$CO$999,91,FALSE),"unknown")</f>
        <v>White</v>
      </c>
      <c r="AO397" s="120" t="str">
        <f>IFERROR(VLOOKUP(Table1[RespondentID],'All Data'!$A$3:$CO$999,92,FALSE),"unknown")</f>
        <v>Unknown</v>
      </c>
      <c r="AP397" s="120" t="str">
        <f>IFERROR(VLOOKUP(Table1[RespondentID],'All Data'!$A$3:$CO$999,93,FALSE),"unknown")</f>
        <v>English</v>
      </c>
      <c r="AQ397" s="120" t="str">
        <f>IFERROR(VLOOKUP(Table1[RespondentID],'All Data'!$A$3:$CW$999,94,FALSE),"unknown")</f>
        <v>$50,000 to $74,999</v>
      </c>
      <c r="AR397" s="120" t="str">
        <f>IFERROR(VLOOKUP(Table1[RespondentID],'All Data'!$A$3:$CW$999,95,FALSE),"unknown")</f>
        <v>Technical school</v>
      </c>
      <c r="AS397" s="120" t="str">
        <f>IFERROR(VLOOKUP(Table1[RespondentID],'All Data'!$A$3:$CW$999,96,FALSE),"unknown")</f>
        <v>Employed for wages</v>
      </c>
      <c r="AT397" s="120" t="str">
        <f>IFERROR(VLOOKUP(Table1[RespondentID],'All Data'!$A$3:$CW$999,97,FALSE),"unknown")</f>
        <v>Yes</v>
      </c>
      <c r="AU397" s="120" t="str">
        <f>IFERROR(VLOOKUP(Table1[RespondentID],'All Data'!$A$3:$CW$999,98,FALSE),"unknown")</f>
        <v>Private/Commercial</v>
      </c>
      <c r="AV397" s="120" t="str">
        <f>IFERROR(VLOOKUP(Table1[RespondentID],'All Data'!$A$3:$CW$999,99,FALSE),"unknown")</f>
        <v>Yes</v>
      </c>
    </row>
    <row r="398" spans="1:48">
      <c r="A398" s="133">
        <v>114086383426</v>
      </c>
      <c r="B398" s="139" t="s">
        <v>38</v>
      </c>
      <c r="C398" s="107" t="s">
        <v>39</v>
      </c>
      <c r="D398" s="107" t="s">
        <v>40</v>
      </c>
      <c r="E398" s="107" t="s">
        <v>41</v>
      </c>
      <c r="F398" s="107" t="s">
        <v>42</v>
      </c>
      <c r="G398" s="107" t="s">
        <v>37</v>
      </c>
      <c r="H398" s="107" t="s">
        <v>43</v>
      </c>
      <c r="I398" s="107" t="s">
        <v>44</v>
      </c>
      <c r="J398" s="107" t="s">
        <v>45</v>
      </c>
      <c r="K398" s="107" t="s">
        <v>46</v>
      </c>
      <c r="L398" s="107" t="s">
        <v>47</v>
      </c>
      <c r="M398" s="107" t="s">
        <v>48</v>
      </c>
      <c r="N398" s="5"/>
      <c r="O398" s="18">
        <f t="shared" si="102"/>
        <v>12</v>
      </c>
      <c r="P398" s="18">
        <f t="shared" si="103"/>
        <v>0.25</v>
      </c>
      <c r="Q398" s="5"/>
      <c r="R398" s="18">
        <f t="shared" si="104"/>
        <v>0.25</v>
      </c>
      <c r="S398" s="18">
        <f t="shared" si="105"/>
        <v>0.25</v>
      </c>
      <c r="T398" s="18">
        <f t="shared" si="106"/>
        <v>0.25</v>
      </c>
      <c r="U398" s="18">
        <f t="shared" si="107"/>
        <v>0.25</v>
      </c>
      <c r="V398" s="18">
        <f t="shared" si="108"/>
        <v>0.25</v>
      </c>
      <c r="W398" s="18">
        <f t="shared" si="109"/>
        <v>0.25</v>
      </c>
      <c r="X398" s="18">
        <f t="shared" si="110"/>
        <v>0.25</v>
      </c>
      <c r="Y398" s="18">
        <f t="shared" si="111"/>
        <v>0.25</v>
      </c>
      <c r="Z398" s="18">
        <f t="shared" si="112"/>
        <v>0.25</v>
      </c>
      <c r="AA398" s="18">
        <f t="shared" si="113"/>
        <v>0.25</v>
      </c>
      <c r="AB398" s="18">
        <f t="shared" si="114"/>
        <v>0.25</v>
      </c>
      <c r="AC398" s="18">
        <f t="shared" si="115"/>
        <v>0.25</v>
      </c>
      <c r="AD398" s="5"/>
      <c r="AE398" s="5"/>
      <c r="AF398" s="18">
        <f t="shared" si="116"/>
        <v>3</v>
      </c>
      <c r="AG398" s="18">
        <f t="shared" si="117"/>
        <v>12</v>
      </c>
      <c r="AH398" s="18" t="str">
        <f t="shared" si="118"/>
        <v>Correct</v>
      </c>
      <c r="AI398" s="5"/>
      <c r="AJ398" s="120" t="str">
        <f>IFERROR(VLOOKUP(Table1[RespondentID],'All Data'!$A$3:$CO$999,87,FALSE),"unknown")</f>
        <v>Woman</v>
      </c>
      <c r="AK398" s="120">
        <f>IFERROR(VLOOKUP(Table1[RespondentID],'All Data'!$A$3:$CO$999,88,FALSE),"unknown")</f>
        <v>0</v>
      </c>
      <c r="AL398" s="120" t="str">
        <f>IFERROR(VLOOKUP(Table1[RespondentID],'All Data'!$A$3:$CO$999,89,FALSE),"unknown")</f>
        <v>Nassau</v>
      </c>
      <c r="AM398" s="120" t="str">
        <f>IFERROR(VLOOKUP(Table1[RespondentID],'All Data'!$A$3:$CO$999,90,FALSE),"unknown")</f>
        <v>Lynbrook, 11563</v>
      </c>
      <c r="AN398" s="120">
        <f>IFERROR(VLOOKUP(Table1[RespondentID],'All Data'!$A$3:$CO$999,91,FALSE),"unknown")</f>
        <v>0</v>
      </c>
      <c r="AO398" s="120" t="str">
        <f>IFERROR(VLOOKUP(Table1[RespondentID],'All Data'!$A$3:$CO$999,92,FALSE),"unknown")</f>
        <v>Hispanic or Latino</v>
      </c>
      <c r="AP398" s="120" t="str">
        <f>IFERROR(VLOOKUP(Table1[RespondentID],'All Data'!$A$3:$CO$999,93,FALSE),"unknown")</f>
        <v>English,Spanish</v>
      </c>
      <c r="AQ398" s="120" t="str">
        <f>IFERROR(VLOOKUP(Table1[RespondentID],'All Data'!$A$3:$CW$999,94,FALSE),"unknown")</f>
        <v>$35,000 to $49,999</v>
      </c>
      <c r="AR398" s="120" t="str">
        <f>IFERROR(VLOOKUP(Table1[RespondentID],'All Data'!$A$3:$CW$999,95,FALSE),"unknown")</f>
        <v>Some college</v>
      </c>
      <c r="AS398" s="120" t="str">
        <f>IFERROR(VLOOKUP(Table1[RespondentID],'All Data'!$A$3:$CW$999,96,FALSE),"unknown")</f>
        <v>Employed for wages</v>
      </c>
      <c r="AT398" s="120" t="str">
        <f>IFERROR(VLOOKUP(Table1[RespondentID],'All Data'!$A$3:$CW$999,97,FALSE),"unknown")</f>
        <v>Yes</v>
      </c>
      <c r="AU398" s="120" t="str">
        <f>IFERROR(VLOOKUP(Table1[RespondentID],'All Data'!$A$3:$CW$999,98,FALSE),"unknown")</f>
        <v>Private/Commercial</v>
      </c>
      <c r="AV398" s="120" t="str">
        <f>IFERROR(VLOOKUP(Table1[RespondentID],'All Data'!$A$3:$CW$999,99,FALSE),"unknown")</f>
        <v>Yes</v>
      </c>
    </row>
    <row r="399" spans="1:48">
      <c r="A399" s="133">
        <v>114086379762</v>
      </c>
      <c r="B399" s="139"/>
      <c r="C399" s="107" t="s">
        <v>39</v>
      </c>
      <c r="D399" s="107"/>
      <c r="E399" s="107" t="s">
        <v>41</v>
      </c>
      <c r="F399" s="107"/>
      <c r="G399" s="107"/>
      <c r="H399" s="107"/>
      <c r="I399" s="107"/>
      <c r="J399" s="107"/>
      <c r="K399" s="107"/>
      <c r="L399" s="107"/>
      <c r="M399" s="107"/>
      <c r="N399" s="5"/>
      <c r="O399" s="18">
        <f t="shared" si="102"/>
        <v>2</v>
      </c>
      <c r="P399" s="18">
        <f t="shared" si="103"/>
        <v>1.5</v>
      </c>
      <c r="Q399" s="5"/>
      <c r="R399" s="18">
        <f t="shared" si="104"/>
        <v>0</v>
      </c>
      <c r="S399" s="18">
        <f t="shared" si="105"/>
        <v>1</v>
      </c>
      <c r="T399" s="18">
        <f t="shared" si="106"/>
        <v>0</v>
      </c>
      <c r="U399" s="18">
        <f t="shared" si="107"/>
        <v>1</v>
      </c>
      <c r="V399" s="18">
        <f t="shared" si="108"/>
        <v>0</v>
      </c>
      <c r="W399" s="18">
        <f t="shared" si="109"/>
        <v>0</v>
      </c>
      <c r="X399" s="18">
        <f t="shared" si="110"/>
        <v>0</v>
      </c>
      <c r="Y399" s="18">
        <f t="shared" si="111"/>
        <v>0</v>
      </c>
      <c r="Z399" s="18">
        <f t="shared" si="112"/>
        <v>0</v>
      </c>
      <c r="AA399" s="18">
        <f t="shared" si="113"/>
        <v>0</v>
      </c>
      <c r="AB399" s="18">
        <f t="shared" si="114"/>
        <v>0</v>
      </c>
      <c r="AC399" s="18">
        <f t="shared" si="115"/>
        <v>0</v>
      </c>
      <c r="AD399" s="5"/>
      <c r="AE399" s="5"/>
      <c r="AF399" s="18">
        <f t="shared" si="116"/>
        <v>2</v>
      </c>
      <c r="AG399" s="18">
        <f t="shared" si="117"/>
        <v>2</v>
      </c>
      <c r="AH399" s="18" t="str">
        <f t="shared" si="118"/>
        <v>Correct</v>
      </c>
      <c r="AI399" s="5"/>
      <c r="AJ399" s="120" t="str">
        <f>IFERROR(VLOOKUP(Table1[RespondentID],'All Data'!$A$3:$CO$999,87,FALSE),"unknown")</f>
        <v>Woman</v>
      </c>
      <c r="AK399" s="120">
        <f>IFERROR(VLOOKUP(Table1[RespondentID],'All Data'!$A$3:$CO$999,88,FALSE),"unknown")</f>
        <v>0</v>
      </c>
      <c r="AL399" s="120" t="str">
        <f>IFERROR(VLOOKUP(Table1[RespondentID],'All Data'!$A$3:$CO$999,89,FALSE),"unknown")</f>
        <v>Nassau</v>
      </c>
      <c r="AM399" s="120" t="str">
        <f>IFERROR(VLOOKUP(Table1[RespondentID],'All Data'!$A$3:$CO$999,90,FALSE),"unknown")</f>
        <v>Massapequa, 11758</v>
      </c>
      <c r="AN399" s="120">
        <f>IFERROR(VLOOKUP(Table1[RespondentID],'All Data'!$A$3:$CO$999,91,FALSE),"unknown")</f>
        <v>0</v>
      </c>
      <c r="AO399" s="120" t="str">
        <f>IFERROR(VLOOKUP(Table1[RespondentID],'All Data'!$A$3:$CO$999,92,FALSE),"unknown")</f>
        <v>Not Hispanic or Latino</v>
      </c>
      <c r="AP399" s="120" t="str">
        <f>IFERROR(VLOOKUP(Table1[RespondentID],'All Data'!$A$3:$CO$999,93,FALSE),"unknown")</f>
        <v>English</v>
      </c>
      <c r="AQ399" s="120" t="str">
        <f>IFERROR(VLOOKUP(Table1[RespondentID],'All Data'!$A$3:$CW$999,94,FALSE),"unknown")</f>
        <v>Over $125,000</v>
      </c>
      <c r="AR399" s="120" t="str">
        <f>IFERROR(VLOOKUP(Table1[RespondentID],'All Data'!$A$3:$CW$999,95,FALSE),"unknown")</f>
        <v>Graduate school</v>
      </c>
      <c r="AS399" s="120" t="str">
        <f>IFERROR(VLOOKUP(Table1[RespondentID],'All Data'!$A$3:$CW$999,96,FALSE),"unknown")</f>
        <v>Employed for wages</v>
      </c>
      <c r="AT399" s="120" t="str">
        <f>IFERROR(VLOOKUP(Table1[RespondentID],'All Data'!$A$3:$CW$999,97,FALSE),"unknown")</f>
        <v>Yes</v>
      </c>
      <c r="AU399" s="120" t="str">
        <f>IFERROR(VLOOKUP(Table1[RespondentID],'All Data'!$A$3:$CW$999,98,FALSE),"unknown")</f>
        <v>Private/Commercial</v>
      </c>
      <c r="AV399" s="120" t="str">
        <f>IFERROR(VLOOKUP(Table1[RespondentID],'All Data'!$A$3:$CW$999,99,FALSE),"unknown")</f>
        <v>Yes</v>
      </c>
    </row>
    <row r="400" spans="1:48">
      <c r="A400" s="133">
        <v>114086370794</v>
      </c>
      <c r="B400" s="139"/>
      <c r="C400" s="107"/>
      <c r="D400" s="107"/>
      <c r="E400" s="107" t="s">
        <v>41</v>
      </c>
      <c r="F400" s="107"/>
      <c r="G400" s="107"/>
      <c r="H400" s="107" t="s">
        <v>43</v>
      </c>
      <c r="I400" s="107"/>
      <c r="J400" s="107"/>
      <c r="K400" s="107" t="s">
        <v>46</v>
      </c>
      <c r="L400" s="107"/>
      <c r="M400" s="107"/>
      <c r="N400" s="5"/>
      <c r="O400" s="18">
        <f t="shared" si="102"/>
        <v>3</v>
      </c>
      <c r="P400" s="18">
        <f t="shared" si="103"/>
        <v>1</v>
      </c>
      <c r="Q400" s="5"/>
      <c r="R400" s="18">
        <f t="shared" si="104"/>
        <v>0</v>
      </c>
      <c r="S400" s="18">
        <f t="shared" si="105"/>
        <v>0</v>
      </c>
      <c r="T400" s="18">
        <f t="shared" si="106"/>
        <v>0</v>
      </c>
      <c r="U400" s="18">
        <f t="shared" si="107"/>
        <v>1</v>
      </c>
      <c r="V400" s="18">
        <f t="shared" si="108"/>
        <v>0</v>
      </c>
      <c r="W400" s="18">
        <f t="shared" si="109"/>
        <v>0</v>
      </c>
      <c r="X400" s="18">
        <f t="shared" si="110"/>
        <v>1</v>
      </c>
      <c r="Y400" s="18">
        <f t="shared" si="111"/>
        <v>0</v>
      </c>
      <c r="Z400" s="18">
        <f t="shared" si="112"/>
        <v>0</v>
      </c>
      <c r="AA400" s="18">
        <f t="shared" si="113"/>
        <v>1</v>
      </c>
      <c r="AB400" s="18">
        <f t="shared" si="114"/>
        <v>0</v>
      </c>
      <c r="AC400" s="18">
        <f t="shared" si="115"/>
        <v>0</v>
      </c>
      <c r="AD400" s="5"/>
      <c r="AE400" s="5"/>
      <c r="AF400" s="18">
        <f t="shared" si="116"/>
        <v>3</v>
      </c>
      <c r="AG400" s="18">
        <f t="shared" si="117"/>
        <v>3</v>
      </c>
      <c r="AH400" s="18" t="str">
        <f t="shared" si="118"/>
        <v>Correct</v>
      </c>
      <c r="AI400" s="5"/>
      <c r="AJ400" s="120" t="str">
        <f>IFERROR(VLOOKUP(Table1[RespondentID],'All Data'!$A$3:$CO$999,87,FALSE),"unknown")</f>
        <v>Woman</v>
      </c>
      <c r="AK400" s="120">
        <f>IFERROR(VLOOKUP(Table1[RespondentID],'All Data'!$A$3:$CO$999,88,FALSE),"unknown")</f>
        <v>0</v>
      </c>
      <c r="AL400" s="120" t="str">
        <f>IFERROR(VLOOKUP(Table1[RespondentID],'All Data'!$A$3:$CO$999,89,FALSE),"unknown")</f>
        <v>Queens</v>
      </c>
      <c r="AM400" s="120">
        <f>IFERROR(VLOOKUP(Table1[RespondentID],'All Data'!$A$3:$CO$999,90,FALSE),"unknown")</f>
        <v>11414</v>
      </c>
      <c r="AN400" s="120">
        <f>IFERROR(VLOOKUP(Table1[RespondentID],'All Data'!$A$3:$CO$999,91,FALSE),"unknown")</f>
        <v>0</v>
      </c>
      <c r="AO400" s="120" t="str">
        <f>IFERROR(VLOOKUP(Table1[RespondentID],'All Data'!$A$3:$CO$999,92,FALSE),"unknown")</f>
        <v>Hispanic or Latino</v>
      </c>
      <c r="AP400" s="120" t="str">
        <f>IFERROR(VLOOKUP(Table1[RespondentID],'All Data'!$A$3:$CO$999,93,FALSE),"unknown")</f>
        <v>English,Spanish,Italian</v>
      </c>
      <c r="AQ400" s="120" t="str">
        <f>IFERROR(VLOOKUP(Table1[RespondentID],'All Data'!$A$3:$CW$999,94,FALSE),"unknown")</f>
        <v>$50,000 to $74,999</v>
      </c>
      <c r="AR400" s="120" t="str">
        <f>IFERROR(VLOOKUP(Table1[RespondentID],'All Data'!$A$3:$CW$999,95,FALSE),"unknown")</f>
        <v>Some college</v>
      </c>
      <c r="AS400" s="120" t="str">
        <f>IFERROR(VLOOKUP(Table1[RespondentID],'All Data'!$A$3:$CW$999,96,FALSE),"unknown")</f>
        <v>Employed for wages</v>
      </c>
      <c r="AT400" s="120" t="str">
        <f>IFERROR(VLOOKUP(Table1[RespondentID],'All Data'!$A$3:$CW$999,97,FALSE),"unknown")</f>
        <v>No, but I did in the past</v>
      </c>
      <c r="AU400" s="120" t="str">
        <f>IFERROR(VLOOKUP(Table1[RespondentID],'All Data'!$A$3:$CW$999,98,FALSE),"unknown")</f>
        <v>No Insurance</v>
      </c>
      <c r="AV400" s="120" t="str">
        <f>IFERROR(VLOOKUP(Table1[RespondentID],'All Data'!$A$3:$CW$999,99,FALSE),"unknown")</f>
        <v>Yes</v>
      </c>
    </row>
    <row r="401" spans="1:48">
      <c r="A401" s="133">
        <v>114086141494</v>
      </c>
      <c r="B401" s="139"/>
      <c r="C401" s="107" t="s">
        <v>39</v>
      </c>
      <c r="D401" s="107"/>
      <c r="E401" s="107"/>
      <c r="F401" s="107"/>
      <c r="G401" s="107"/>
      <c r="H401" s="107"/>
      <c r="I401" s="107"/>
      <c r="J401" s="107" t="s">
        <v>45</v>
      </c>
      <c r="K401" s="107"/>
      <c r="L401" s="107"/>
      <c r="M401" s="107"/>
      <c r="N401" s="5"/>
      <c r="O401" s="18">
        <f t="shared" si="102"/>
        <v>2</v>
      </c>
      <c r="P401" s="18">
        <f t="shared" si="103"/>
        <v>1.5</v>
      </c>
      <c r="Q401" s="5"/>
      <c r="R401" s="18">
        <f t="shared" si="104"/>
        <v>0</v>
      </c>
      <c r="S401" s="18">
        <f t="shared" si="105"/>
        <v>1</v>
      </c>
      <c r="T401" s="18">
        <f t="shared" si="106"/>
        <v>0</v>
      </c>
      <c r="U401" s="18">
        <f t="shared" si="107"/>
        <v>0</v>
      </c>
      <c r="V401" s="18">
        <f t="shared" si="108"/>
        <v>0</v>
      </c>
      <c r="W401" s="18">
        <f t="shared" si="109"/>
        <v>0</v>
      </c>
      <c r="X401" s="18">
        <f t="shared" si="110"/>
        <v>0</v>
      </c>
      <c r="Y401" s="18">
        <f t="shared" si="111"/>
        <v>0</v>
      </c>
      <c r="Z401" s="18">
        <f t="shared" si="112"/>
        <v>1</v>
      </c>
      <c r="AA401" s="18">
        <f t="shared" si="113"/>
        <v>0</v>
      </c>
      <c r="AB401" s="18">
        <f t="shared" si="114"/>
        <v>0</v>
      </c>
      <c r="AC401" s="18">
        <f t="shared" si="115"/>
        <v>0</v>
      </c>
      <c r="AD401" s="5"/>
      <c r="AE401" s="5"/>
      <c r="AF401" s="18">
        <f t="shared" si="116"/>
        <v>2</v>
      </c>
      <c r="AG401" s="18">
        <f t="shared" si="117"/>
        <v>2</v>
      </c>
      <c r="AH401" s="18" t="str">
        <f t="shared" si="118"/>
        <v>Correct</v>
      </c>
      <c r="AI401" s="5"/>
      <c r="AJ401" s="120" t="str">
        <f>IFERROR(VLOOKUP(Table1[RespondentID],'All Data'!$A$3:$CO$999,87,FALSE),"unknown")</f>
        <v>Man</v>
      </c>
      <c r="AK401" s="120">
        <f>IFERROR(VLOOKUP(Table1[RespondentID],'All Data'!$A$3:$CO$999,88,FALSE),"unknown")</f>
        <v>0</v>
      </c>
      <c r="AL401" s="120" t="str">
        <f>IFERROR(VLOOKUP(Table1[RespondentID],'All Data'!$A$3:$CO$999,89,FALSE),"unknown")</f>
        <v>Suffolk</v>
      </c>
      <c r="AM401" s="120" t="str">
        <f>IFERROR(VLOOKUP(Table1[RespondentID],'All Data'!$A$3:$CO$999,90,FALSE),"unknown")</f>
        <v>Islip, 11751</v>
      </c>
      <c r="AN401" s="120">
        <f>IFERROR(VLOOKUP(Table1[RespondentID],'All Data'!$A$3:$CO$999,91,FALSE),"unknown")</f>
        <v>0</v>
      </c>
      <c r="AO401" s="120" t="str">
        <f>IFERROR(VLOOKUP(Table1[RespondentID],'All Data'!$A$3:$CO$999,92,FALSE),"unknown")</f>
        <v>Not Hispanic or Latino</v>
      </c>
      <c r="AP401" s="120" t="str">
        <f>IFERROR(VLOOKUP(Table1[RespondentID],'All Data'!$A$3:$CO$999,93,FALSE),"unknown")</f>
        <v>English</v>
      </c>
      <c r="AQ401" s="120" t="str">
        <f>IFERROR(VLOOKUP(Table1[RespondentID],'All Data'!$A$3:$CW$999,94,FALSE),"unknown")</f>
        <v>$35,000 to $49,999</v>
      </c>
      <c r="AR401" s="120" t="str">
        <f>IFERROR(VLOOKUP(Table1[RespondentID],'All Data'!$A$3:$CW$999,95,FALSE),"unknown")</f>
        <v>Doctorate</v>
      </c>
      <c r="AS401" s="120" t="str">
        <f>IFERROR(VLOOKUP(Table1[RespondentID],'All Data'!$A$3:$CW$999,96,FALSE),"unknown")</f>
        <v>Employed for wages</v>
      </c>
      <c r="AT401" s="120" t="str">
        <f>IFERROR(VLOOKUP(Table1[RespondentID],'All Data'!$A$3:$CW$999,97,FALSE),"unknown")</f>
        <v>Yes</v>
      </c>
      <c r="AU401" s="120" t="str">
        <f>IFERROR(VLOOKUP(Table1[RespondentID],'All Data'!$A$3:$CW$999,98,FALSE),"unknown")</f>
        <v>Private/Commercial</v>
      </c>
      <c r="AV401" s="120" t="str">
        <f>IFERROR(VLOOKUP(Table1[RespondentID],'All Data'!$A$3:$CW$999,99,FALSE),"unknown")</f>
        <v>Yes</v>
      </c>
    </row>
    <row r="402" spans="1:48">
      <c r="A402" s="133">
        <v>114086076324</v>
      </c>
      <c r="B402" s="139" t="s">
        <v>38</v>
      </c>
      <c r="C402" s="107"/>
      <c r="D402" s="107"/>
      <c r="E402" s="107"/>
      <c r="F402" s="107"/>
      <c r="G402" s="107"/>
      <c r="H402" s="107"/>
      <c r="I402" s="107"/>
      <c r="J402" s="107"/>
      <c r="K402" s="107"/>
      <c r="L402" s="107"/>
      <c r="M402" s="107"/>
      <c r="N402" s="5"/>
      <c r="O402" s="18">
        <f t="shared" si="102"/>
        <v>1</v>
      </c>
      <c r="P402" s="18">
        <f t="shared" si="103"/>
        <v>3</v>
      </c>
      <c r="Q402" s="5"/>
      <c r="R402" s="18">
        <f t="shared" si="104"/>
        <v>1</v>
      </c>
      <c r="S402" s="18">
        <f t="shared" si="105"/>
        <v>0</v>
      </c>
      <c r="T402" s="18">
        <f t="shared" si="106"/>
        <v>0</v>
      </c>
      <c r="U402" s="18">
        <f t="shared" si="107"/>
        <v>0</v>
      </c>
      <c r="V402" s="18">
        <f t="shared" si="108"/>
        <v>0</v>
      </c>
      <c r="W402" s="18">
        <f t="shared" si="109"/>
        <v>0</v>
      </c>
      <c r="X402" s="18">
        <f t="shared" si="110"/>
        <v>0</v>
      </c>
      <c r="Y402" s="18">
        <f t="shared" si="111"/>
        <v>0</v>
      </c>
      <c r="Z402" s="18">
        <f t="shared" si="112"/>
        <v>0</v>
      </c>
      <c r="AA402" s="18">
        <f t="shared" si="113"/>
        <v>0</v>
      </c>
      <c r="AB402" s="18">
        <f t="shared" si="114"/>
        <v>0</v>
      </c>
      <c r="AC402" s="18">
        <f t="shared" si="115"/>
        <v>0</v>
      </c>
      <c r="AD402" s="5"/>
      <c r="AE402" s="5"/>
      <c r="AF402" s="18">
        <f t="shared" si="116"/>
        <v>1</v>
      </c>
      <c r="AG402" s="18">
        <f t="shared" si="117"/>
        <v>1</v>
      </c>
      <c r="AH402" s="18" t="str">
        <f t="shared" si="118"/>
        <v>Correct</v>
      </c>
      <c r="AI402" s="5"/>
      <c r="AJ402" s="120" t="str">
        <f>IFERROR(VLOOKUP(Table1[RespondentID],'All Data'!$A$3:$CO$999,87,FALSE),"unknown")</f>
        <v>Woman</v>
      </c>
      <c r="AK402" s="120">
        <f>IFERROR(VLOOKUP(Table1[RespondentID],'All Data'!$A$3:$CO$999,88,FALSE),"unknown")</f>
        <v>0</v>
      </c>
      <c r="AL402" s="120" t="str">
        <f>IFERROR(VLOOKUP(Table1[RespondentID],'All Data'!$A$3:$CO$999,89,FALSE),"unknown")</f>
        <v>Nassau</v>
      </c>
      <c r="AM402" s="120" t="str">
        <f>IFERROR(VLOOKUP(Table1[RespondentID],'All Data'!$A$3:$CO$999,90,FALSE),"unknown")</f>
        <v>Seaford, 11783</v>
      </c>
      <c r="AN402" s="120">
        <f>IFERROR(VLOOKUP(Table1[RespondentID],'All Data'!$A$3:$CO$999,91,FALSE),"unknown")</f>
        <v>0</v>
      </c>
      <c r="AO402" s="120" t="str">
        <f>IFERROR(VLOOKUP(Table1[RespondentID],'All Data'!$A$3:$CO$999,92,FALSE),"unknown")</f>
        <v>Not Hispanic or Latino</v>
      </c>
      <c r="AP402" s="120" t="str">
        <f>IFERROR(VLOOKUP(Table1[RespondentID],'All Data'!$A$3:$CO$999,93,FALSE),"unknown")</f>
        <v>English</v>
      </c>
      <c r="AQ402" s="120" t="str">
        <f>IFERROR(VLOOKUP(Table1[RespondentID],'All Data'!$A$3:$CW$999,94,FALSE),"unknown")</f>
        <v>Over $125,000</v>
      </c>
      <c r="AR402" s="120" t="str">
        <f>IFERROR(VLOOKUP(Table1[RespondentID],'All Data'!$A$3:$CW$999,95,FALSE),"unknown")</f>
        <v>College graduate</v>
      </c>
      <c r="AS402" s="120" t="str">
        <f>IFERROR(VLOOKUP(Table1[RespondentID],'All Data'!$A$3:$CW$999,96,FALSE),"unknown")</f>
        <v>Employed for wages</v>
      </c>
      <c r="AT402" s="120" t="str">
        <f>IFERROR(VLOOKUP(Table1[RespondentID],'All Data'!$A$3:$CW$999,97,FALSE),"unknown")</f>
        <v>Yes</v>
      </c>
      <c r="AU402" s="120" t="str">
        <f>IFERROR(VLOOKUP(Table1[RespondentID],'All Data'!$A$3:$CW$999,98,FALSE),"unknown")</f>
        <v>Private/Commercial</v>
      </c>
      <c r="AV402" s="120" t="str">
        <f>IFERROR(VLOOKUP(Table1[RespondentID],'All Data'!$A$3:$CW$999,99,FALSE),"unknown")</f>
        <v>Yes</v>
      </c>
    </row>
    <row r="403" spans="1:48">
      <c r="A403" s="133">
        <v>114086069086</v>
      </c>
      <c r="B403" s="139" t="s">
        <v>38</v>
      </c>
      <c r="C403" s="107"/>
      <c r="D403" s="107"/>
      <c r="E403" s="107"/>
      <c r="F403" s="107"/>
      <c r="G403" s="107"/>
      <c r="H403" s="107"/>
      <c r="I403" s="107"/>
      <c r="J403" s="107"/>
      <c r="K403" s="107" t="s">
        <v>46</v>
      </c>
      <c r="L403" s="107"/>
      <c r="M403" s="107" t="s">
        <v>48</v>
      </c>
      <c r="N403" s="5"/>
      <c r="O403" s="18">
        <f t="shared" si="102"/>
        <v>3</v>
      </c>
      <c r="P403" s="18">
        <f t="shared" si="103"/>
        <v>1</v>
      </c>
      <c r="Q403" s="5"/>
      <c r="R403" s="18">
        <f t="shared" si="104"/>
        <v>1</v>
      </c>
      <c r="S403" s="18">
        <f t="shared" si="105"/>
        <v>0</v>
      </c>
      <c r="T403" s="18">
        <f t="shared" si="106"/>
        <v>0</v>
      </c>
      <c r="U403" s="18">
        <f t="shared" si="107"/>
        <v>0</v>
      </c>
      <c r="V403" s="18">
        <f t="shared" si="108"/>
        <v>0</v>
      </c>
      <c r="W403" s="18">
        <f t="shared" si="109"/>
        <v>0</v>
      </c>
      <c r="X403" s="18">
        <f t="shared" si="110"/>
        <v>0</v>
      </c>
      <c r="Y403" s="18">
        <f t="shared" si="111"/>
        <v>0</v>
      </c>
      <c r="Z403" s="18">
        <f t="shared" si="112"/>
        <v>0</v>
      </c>
      <c r="AA403" s="18">
        <f t="shared" si="113"/>
        <v>1</v>
      </c>
      <c r="AB403" s="18">
        <f t="shared" si="114"/>
        <v>0</v>
      </c>
      <c r="AC403" s="18">
        <f t="shared" si="115"/>
        <v>1</v>
      </c>
      <c r="AD403" s="5"/>
      <c r="AE403" s="5"/>
      <c r="AF403" s="18">
        <f t="shared" si="116"/>
        <v>3</v>
      </c>
      <c r="AG403" s="18">
        <f t="shared" si="117"/>
        <v>3</v>
      </c>
      <c r="AH403" s="18" t="str">
        <f t="shared" si="118"/>
        <v>Correct</v>
      </c>
      <c r="AI403" s="5"/>
      <c r="AJ403" s="120" t="str">
        <f>IFERROR(VLOOKUP(Table1[RespondentID],'All Data'!$A$3:$CO$999,87,FALSE),"unknown")</f>
        <v>Woman</v>
      </c>
      <c r="AK403" s="120">
        <f>IFERROR(VLOOKUP(Table1[RespondentID],'All Data'!$A$3:$CO$999,88,FALSE),"unknown")</f>
        <v>0</v>
      </c>
      <c r="AL403" s="120" t="str">
        <f>IFERROR(VLOOKUP(Table1[RespondentID],'All Data'!$A$3:$CO$999,89,FALSE),"unknown")</f>
        <v>Nassau</v>
      </c>
      <c r="AM403" s="120" t="str">
        <f>IFERROR(VLOOKUP(Table1[RespondentID],'All Data'!$A$3:$CO$999,90,FALSE),"unknown")</f>
        <v>Garden City, 11530</v>
      </c>
      <c r="AN403" s="120">
        <f>IFERROR(VLOOKUP(Table1[RespondentID],'All Data'!$A$3:$CO$999,91,FALSE),"unknown")</f>
        <v>0</v>
      </c>
      <c r="AO403" s="120" t="str">
        <f>IFERROR(VLOOKUP(Table1[RespondentID],'All Data'!$A$3:$CO$999,92,FALSE),"unknown")</f>
        <v>Not Hispanic or Latino</v>
      </c>
      <c r="AP403" s="120" t="str">
        <f>IFERROR(VLOOKUP(Table1[RespondentID],'All Data'!$A$3:$CO$999,93,FALSE),"unknown")</f>
        <v>English</v>
      </c>
      <c r="AQ403" s="120" t="str">
        <f>IFERROR(VLOOKUP(Table1[RespondentID],'All Data'!$A$3:$CW$999,94,FALSE),"unknown")</f>
        <v>Over $125,000</v>
      </c>
      <c r="AR403" s="120" t="str">
        <f>IFERROR(VLOOKUP(Table1[RespondentID],'All Data'!$A$3:$CW$999,95,FALSE),"unknown")</f>
        <v>Graduate school</v>
      </c>
      <c r="AS403" s="120" t="str">
        <f>IFERROR(VLOOKUP(Table1[RespondentID],'All Data'!$A$3:$CW$999,96,FALSE),"unknown")</f>
        <v>Employed for wages</v>
      </c>
      <c r="AT403" s="120" t="str">
        <f>IFERROR(VLOOKUP(Table1[RespondentID],'All Data'!$A$3:$CW$999,97,FALSE),"unknown")</f>
        <v>Yes</v>
      </c>
      <c r="AU403" s="120" t="str">
        <f>IFERROR(VLOOKUP(Table1[RespondentID],'All Data'!$A$3:$CW$999,98,FALSE),"unknown")</f>
        <v>Private/Commercial</v>
      </c>
      <c r="AV403" s="120" t="str">
        <f>IFERROR(VLOOKUP(Table1[RespondentID],'All Data'!$A$3:$CW$999,99,FALSE),"unknown")</f>
        <v>Yes</v>
      </c>
    </row>
    <row r="404" spans="1:48">
      <c r="A404" s="133">
        <v>114086062451</v>
      </c>
      <c r="B404" s="139"/>
      <c r="C404" s="107" t="s">
        <v>39</v>
      </c>
      <c r="D404" s="107"/>
      <c r="E404" s="107" t="s">
        <v>41</v>
      </c>
      <c r="F404" s="107"/>
      <c r="G404" s="107"/>
      <c r="H404" s="107" t="s">
        <v>43</v>
      </c>
      <c r="I404" s="107"/>
      <c r="J404" s="107"/>
      <c r="K404" s="107"/>
      <c r="L404" s="107"/>
      <c r="M404" s="107"/>
      <c r="N404" s="5"/>
      <c r="O404" s="18">
        <f t="shared" si="102"/>
        <v>3</v>
      </c>
      <c r="P404" s="18">
        <f t="shared" si="103"/>
        <v>1</v>
      </c>
      <c r="Q404" s="5"/>
      <c r="R404" s="18">
        <f t="shared" si="104"/>
        <v>0</v>
      </c>
      <c r="S404" s="18">
        <f t="shared" si="105"/>
        <v>1</v>
      </c>
      <c r="T404" s="18">
        <f t="shared" si="106"/>
        <v>0</v>
      </c>
      <c r="U404" s="18">
        <f t="shared" si="107"/>
        <v>1</v>
      </c>
      <c r="V404" s="18">
        <f t="shared" si="108"/>
        <v>0</v>
      </c>
      <c r="W404" s="18">
        <f t="shared" si="109"/>
        <v>0</v>
      </c>
      <c r="X404" s="18">
        <f t="shared" si="110"/>
        <v>1</v>
      </c>
      <c r="Y404" s="18">
        <f t="shared" si="111"/>
        <v>0</v>
      </c>
      <c r="Z404" s="18">
        <f t="shared" si="112"/>
        <v>0</v>
      </c>
      <c r="AA404" s="18">
        <f t="shared" si="113"/>
        <v>0</v>
      </c>
      <c r="AB404" s="18">
        <f t="shared" si="114"/>
        <v>0</v>
      </c>
      <c r="AC404" s="18">
        <f t="shared" si="115"/>
        <v>0</v>
      </c>
      <c r="AD404" s="5"/>
      <c r="AE404" s="5"/>
      <c r="AF404" s="18">
        <f t="shared" si="116"/>
        <v>3</v>
      </c>
      <c r="AG404" s="18">
        <f t="shared" si="117"/>
        <v>3</v>
      </c>
      <c r="AH404" s="18" t="str">
        <f t="shared" si="118"/>
        <v>Correct</v>
      </c>
      <c r="AI404" s="5"/>
      <c r="AJ404" s="120" t="str">
        <f>IFERROR(VLOOKUP(Table1[RespondentID],'All Data'!$A$3:$CO$999,87,FALSE),"unknown")</f>
        <v>Woman</v>
      </c>
      <c r="AK404" s="120">
        <f>IFERROR(VLOOKUP(Table1[RespondentID],'All Data'!$A$3:$CO$999,88,FALSE),"unknown")</f>
        <v>0</v>
      </c>
      <c r="AL404" s="120" t="str">
        <f>IFERROR(VLOOKUP(Table1[RespondentID],'All Data'!$A$3:$CO$999,89,FALSE),"unknown")</f>
        <v>Nassau</v>
      </c>
      <c r="AM404" s="120" t="str">
        <f>IFERROR(VLOOKUP(Table1[RespondentID],'All Data'!$A$3:$CO$999,90,FALSE),"unknown")</f>
        <v>Freeport, 11520</v>
      </c>
      <c r="AN404" s="120">
        <f>IFERROR(VLOOKUP(Table1[RespondentID],'All Data'!$A$3:$CO$999,91,FALSE),"unknown")</f>
        <v>0</v>
      </c>
      <c r="AO404" s="120" t="str">
        <f>IFERROR(VLOOKUP(Table1[RespondentID],'All Data'!$A$3:$CO$999,92,FALSE),"unknown")</f>
        <v>Not Hispanic or Latino</v>
      </c>
      <c r="AP404" s="120" t="str">
        <f>IFERROR(VLOOKUP(Table1[RespondentID],'All Data'!$A$3:$CO$999,93,FALSE),"unknown")</f>
        <v>English,Haitian Creole,French Creole</v>
      </c>
      <c r="AQ404" s="120" t="str">
        <f>IFERROR(VLOOKUP(Table1[RespondentID],'All Data'!$A$3:$CW$999,94,FALSE),"unknown")</f>
        <v>Over $125,000</v>
      </c>
      <c r="AR404" s="120" t="str">
        <f>IFERROR(VLOOKUP(Table1[RespondentID],'All Data'!$A$3:$CW$999,95,FALSE),"unknown")</f>
        <v>Doctorate</v>
      </c>
      <c r="AS404" s="120" t="str">
        <f>IFERROR(VLOOKUP(Table1[RespondentID],'All Data'!$A$3:$CW$999,96,FALSE),"unknown")</f>
        <v>Employed for wages</v>
      </c>
      <c r="AT404" s="120" t="str">
        <f>IFERROR(VLOOKUP(Table1[RespondentID],'All Data'!$A$3:$CW$999,97,FALSE),"unknown")</f>
        <v>Yes</v>
      </c>
      <c r="AU404" s="120" t="str">
        <f>IFERROR(VLOOKUP(Table1[RespondentID],'All Data'!$A$3:$CW$999,98,FALSE),"unknown")</f>
        <v>Private/Commercial</v>
      </c>
      <c r="AV404" s="120" t="str">
        <f>IFERROR(VLOOKUP(Table1[RespondentID],'All Data'!$A$3:$CW$999,99,FALSE),"unknown")</f>
        <v>Yes</v>
      </c>
    </row>
    <row r="405" spans="1:48">
      <c r="A405" s="133">
        <v>114085969464</v>
      </c>
      <c r="B405" s="139"/>
      <c r="C405" s="107" t="s">
        <v>39</v>
      </c>
      <c r="D405" s="107"/>
      <c r="E405" s="107"/>
      <c r="F405" s="107"/>
      <c r="G405" s="107"/>
      <c r="H405" s="107" t="s">
        <v>43</v>
      </c>
      <c r="I405" s="107"/>
      <c r="J405" s="107" t="s">
        <v>45</v>
      </c>
      <c r="K405" s="107"/>
      <c r="L405" s="107"/>
      <c r="M405" s="107"/>
      <c r="N405" s="5"/>
      <c r="O405" s="18">
        <f t="shared" si="102"/>
        <v>3</v>
      </c>
      <c r="P405" s="18">
        <f t="shared" si="103"/>
        <v>1</v>
      </c>
      <c r="Q405" s="5"/>
      <c r="R405" s="18">
        <f t="shared" si="104"/>
        <v>0</v>
      </c>
      <c r="S405" s="18">
        <f t="shared" si="105"/>
        <v>1</v>
      </c>
      <c r="T405" s="18">
        <f t="shared" si="106"/>
        <v>0</v>
      </c>
      <c r="U405" s="18">
        <f t="shared" si="107"/>
        <v>0</v>
      </c>
      <c r="V405" s="18">
        <f t="shared" si="108"/>
        <v>0</v>
      </c>
      <c r="W405" s="18">
        <f t="shared" si="109"/>
        <v>0</v>
      </c>
      <c r="X405" s="18">
        <f t="shared" si="110"/>
        <v>1</v>
      </c>
      <c r="Y405" s="18">
        <f t="shared" si="111"/>
        <v>0</v>
      </c>
      <c r="Z405" s="18">
        <f t="shared" si="112"/>
        <v>1</v>
      </c>
      <c r="AA405" s="18">
        <f t="shared" si="113"/>
        <v>0</v>
      </c>
      <c r="AB405" s="18">
        <f t="shared" si="114"/>
        <v>0</v>
      </c>
      <c r="AC405" s="18">
        <f t="shared" si="115"/>
        <v>0</v>
      </c>
      <c r="AD405" s="5"/>
      <c r="AE405" s="5"/>
      <c r="AF405" s="18">
        <f t="shared" si="116"/>
        <v>3</v>
      </c>
      <c r="AG405" s="18">
        <f t="shared" si="117"/>
        <v>3</v>
      </c>
      <c r="AH405" s="18" t="str">
        <f t="shared" si="118"/>
        <v>Correct</v>
      </c>
      <c r="AI405" s="5"/>
      <c r="AJ405" s="120" t="str">
        <f>IFERROR(VLOOKUP(Table1[RespondentID],'All Data'!$A$3:$CO$999,87,FALSE),"unknown")</f>
        <v>Man</v>
      </c>
      <c r="AK405" s="120">
        <f>IFERROR(VLOOKUP(Table1[RespondentID],'All Data'!$A$3:$CO$999,88,FALSE),"unknown")</f>
        <v>0</v>
      </c>
      <c r="AL405" s="120" t="str">
        <f>IFERROR(VLOOKUP(Table1[RespondentID],'All Data'!$A$3:$CO$999,89,FALSE),"unknown")</f>
        <v>Suffolk</v>
      </c>
      <c r="AM405" s="120" t="str">
        <f>IFERROR(VLOOKUP(Table1[RespondentID],'All Data'!$A$3:$CO$999,90,FALSE),"unknown")</f>
        <v>Babylon, 11704</v>
      </c>
      <c r="AN405" s="120">
        <f>IFERROR(VLOOKUP(Table1[RespondentID],'All Data'!$A$3:$CO$999,91,FALSE),"unknown")</f>
        <v>0</v>
      </c>
      <c r="AO405" s="120">
        <f>IFERROR(VLOOKUP(Table1[RespondentID],'All Data'!$A$3:$CO$999,92,FALSE),"unknown")</f>
        <v>0</v>
      </c>
      <c r="AP405" s="120" t="str">
        <f>IFERROR(VLOOKUP(Table1[RespondentID],'All Data'!$A$3:$CO$999,93,FALSE),"unknown")</f>
        <v>English</v>
      </c>
      <c r="AQ405" s="120" t="str">
        <f>IFERROR(VLOOKUP(Table1[RespondentID],'All Data'!$A$3:$CW$999,94,FALSE),"unknown")</f>
        <v>Over $125,000</v>
      </c>
      <c r="AR405" s="120" t="str">
        <f>IFERROR(VLOOKUP(Table1[RespondentID],'All Data'!$A$3:$CW$999,95,FALSE),"unknown")</f>
        <v>College graduate</v>
      </c>
      <c r="AS405" s="120" t="str">
        <f>IFERROR(VLOOKUP(Table1[RespondentID],'All Data'!$A$3:$CW$999,96,FALSE),"unknown")</f>
        <v>Employed for wages</v>
      </c>
      <c r="AT405" s="120" t="str">
        <f>IFERROR(VLOOKUP(Table1[RespondentID],'All Data'!$A$3:$CW$999,97,FALSE),"unknown")</f>
        <v>Yes</v>
      </c>
      <c r="AU405" s="120" t="str">
        <f>IFERROR(VLOOKUP(Table1[RespondentID],'All Data'!$A$3:$CW$999,98,FALSE),"unknown")</f>
        <v>Private/Commercial</v>
      </c>
      <c r="AV405" s="120" t="str">
        <f>IFERROR(VLOOKUP(Table1[RespondentID],'All Data'!$A$3:$CW$999,99,FALSE),"unknown")</f>
        <v>Yes</v>
      </c>
    </row>
    <row r="406" spans="1:48">
      <c r="A406" s="133">
        <v>114085966921</v>
      </c>
      <c r="B406" s="139"/>
      <c r="C406" s="107" t="s">
        <v>39</v>
      </c>
      <c r="D406" s="107" t="s">
        <v>40</v>
      </c>
      <c r="E406" s="107" t="s">
        <v>41</v>
      </c>
      <c r="F406" s="107"/>
      <c r="G406" s="107"/>
      <c r="H406" s="107"/>
      <c r="I406" s="107"/>
      <c r="J406" s="107"/>
      <c r="K406" s="107"/>
      <c r="L406" s="107"/>
      <c r="M406" s="107"/>
      <c r="N406" s="5"/>
      <c r="O406" s="18">
        <f t="shared" si="102"/>
        <v>3</v>
      </c>
      <c r="P406" s="18">
        <f t="shared" si="103"/>
        <v>1</v>
      </c>
      <c r="Q406" s="5"/>
      <c r="R406" s="18">
        <f t="shared" si="104"/>
        <v>0</v>
      </c>
      <c r="S406" s="18">
        <f t="shared" si="105"/>
        <v>1</v>
      </c>
      <c r="T406" s="18">
        <f t="shared" si="106"/>
        <v>1</v>
      </c>
      <c r="U406" s="18">
        <f t="shared" si="107"/>
        <v>1</v>
      </c>
      <c r="V406" s="18">
        <f t="shared" si="108"/>
        <v>0</v>
      </c>
      <c r="W406" s="18">
        <f t="shared" si="109"/>
        <v>0</v>
      </c>
      <c r="X406" s="18">
        <f t="shared" si="110"/>
        <v>0</v>
      </c>
      <c r="Y406" s="18">
        <f t="shared" si="111"/>
        <v>0</v>
      </c>
      <c r="Z406" s="18">
        <f t="shared" si="112"/>
        <v>0</v>
      </c>
      <c r="AA406" s="18">
        <f t="shared" si="113"/>
        <v>0</v>
      </c>
      <c r="AB406" s="18">
        <f t="shared" si="114"/>
        <v>0</v>
      </c>
      <c r="AC406" s="18">
        <f t="shared" si="115"/>
        <v>0</v>
      </c>
      <c r="AD406" s="5"/>
      <c r="AE406" s="5"/>
      <c r="AF406" s="18">
        <f t="shared" si="116"/>
        <v>3</v>
      </c>
      <c r="AG406" s="18">
        <f t="shared" si="117"/>
        <v>3</v>
      </c>
      <c r="AH406" s="18" t="str">
        <f t="shared" si="118"/>
        <v>Correct</v>
      </c>
      <c r="AI406" s="5"/>
      <c r="AJ406" s="120" t="str">
        <f>IFERROR(VLOOKUP(Table1[RespondentID],'All Data'!$A$3:$CO$999,87,FALSE),"unknown")</f>
        <v>Woman</v>
      </c>
      <c r="AK406" s="120">
        <f>IFERROR(VLOOKUP(Table1[RespondentID],'All Data'!$A$3:$CO$999,88,FALSE),"unknown")</f>
        <v>0</v>
      </c>
      <c r="AL406" s="120" t="str">
        <f>IFERROR(VLOOKUP(Table1[RespondentID],'All Data'!$A$3:$CO$999,89,FALSE),"unknown")</f>
        <v>Nassau</v>
      </c>
      <c r="AM406" s="120" t="str">
        <f>IFERROR(VLOOKUP(Table1[RespondentID],'All Data'!$A$3:$CO$999,90,FALSE),"unknown")</f>
        <v>Massapequa, 11758</v>
      </c>
      <c r="AN406" s="120">
        <f>IFERROR(VLOOKUP(Table1[RespondentID],'All Data'!$A$3:$CO$999,91,FALSE),"unknown")</f>
        <v>0</v>
      </c>
      <c r="AO406" s="120" t="str">
        <f>IFERROR(VLOOKUP(Table1[RespondentID],'All Data'!$A$3:$CO$999,92,FALSE),"unknown")</f>
        <v>Not Hispanic or Latino</v>
      </c>
      <c r="AP406" s="120" t="str">
        <f>IFERROR(VLOOKUP(Table1[RespondentID],'All Data'!$A$3:$CO$999,93,FALSE),"unknown")</f>
        <v>English</v>
      </c>
      <c r="AQ406" s="120" t="str">
        <f>IFERROR(VLOOKUP(Table1[RespondentID],'All Data'!$A$3:$CW$999,94,FALSE),"unknown")</f>
        <v>Over $125,000</v>
      </c>
      <c r="AR406" s="120" t="str">
        <f>IFERROR(VLOOKUP(Table1[RespondentID],'All Data'!$A$3:$CW$999,95,FALSE),"unknown")</f>
        <v>College graduate</v>
      </c>
      <c r="AS406" s="120" t="str">
        <f>IFERROR(VLOOKUP(Table1[RespondentID],'All Data'!$A$3:$CW$999,96,FALSE),"unknown")</f>
        <v>Employed for wages</v>
      </c>
      <c r="AT406" s="120" t="str">
        <f>IFERROR(VLOOKUP(Table1[RespondentID],'All Data'!$A$3:$CW$999,97,FALSE),"unknown")</f>
        <v>Yes</v>
      </c>
      <c r="AU406" s="120" t="str">
        <f>IFERROR(VLOOKUP(Table1[RespondentID],'All Data'!$A$3:$CW$999,98,FALSE),"unknown")</f>
        <v>Private/Commercial</v>
      </c>
      <c r="AV406" s="120" t="str">
        <f>IFERROR(VLOOKUP(Table1[RespondentID],'All Data'!$A$3:$CW$999,99,FALSE),"unknown")</f>
        <v>Yes</v>
      </c>
    </row>
    <row r="407" spans="1:48">
      <c r="A407" s="133">
        <v>114085904332</v>
      </c>
      <c r="B407" s="139"/>
      <c r="C407" s="107"/>
      <c r="D407" s="107"/>
      <c r="E407" s="107"/>
      <c r="F407" s="107"/>
      <c r="G407" s="107"/>
      <c r="H407" s="107"/>
      <c r="I407" s="107"/>
      <c r="J407" s="107" t="s">
        <v>45</v>
      </c>
      <c r="K407" s="107"/>
      <c r="L407" s="107"/>
      <c r="M407" s="107"/>
      <c r="N407" s="5"/>
      <c r="O407" s="18">
        <f t="shared" si="102"/>
        <v>1</v>
      </c>
      <c r="P407" s="18">
        <f t="shared" si="103"/>
        <v>3</v>
      </c>
      <c r="Q407" s="5"/>
      <c r="R407" s="18">
        <f t="shared" si="104"/>
        <v>0</v>
      </c>
      <c r="S407" s="18">
        <f t="shared" si="105"/>
        <v>0</v>
      </c>
      <c r="T407" s="18">
        <f t="shared" si="106"/>
        <v>0</v>
      </c>
      <c r="U407" s="18">
        <f t="shared" si="107"/>
        <v>0</v>
      </c>
      <c r="V407" s="18">
        <f t="shared" si="108"/>
        <v>0</v>
      </c>
      <c r="W407" s="18">
        <f t="shared" si="109"/>
        <v>0</v>
      </c>
      <c r="X407" s="18">
        <f t="shared" si="110"/>
        <v>0</v>
      </c>
      <c r="Y407" s="18">
        <f t="shared" si="111"/>
        <v>0</v>
      </c>
      <c r="Z407" s="18">
        <f t="shared" si="112"/>
        <v>1</v>
      </c>
      <c r="AA407" s="18">
        <f t="shared" si="113"/>
        <v>0</v>
      </c>
      <c r="AB407" s="18">
        <f t="shared" si="114"/>
        <v>0</v>
      </c>
      <c r="AC407" s="18">
        <f t="shared" si="115"/>
        <v>0</v>
      </c>
      <c r="AD407" s="5"/>
      <c r="AE407" s="5"/>
      <c r="AF407" s="18">
        <f t="shared" si="116"/>
        <v>1</v>
      </c>
      <c r="AG407" s="18">
        <f t="shared" si="117"/>
        <v>1</v>
      </c>
      <c r="AH407" s="18" t="str">
        <f t="shared" si="118"/>
        <v>Correct</v>
      </c>
      <c r="AI407" s="5"/>
      <c r="AJ407" s="120" t="str">
        <f>IFERROR(VLOOKUP(Table1[RespondentID],'All Data'!$A$3:$CO$999,87,FALSE),"unknown")</f>
        <v>Woman</v>
      </c>
      <c r="AK407" s="120">
        <f>IFERROR(VLOOKUP(Table1[RespondentID],'All Data'!$A$3:$CO$999,88,FALSE),"unknown")</f>
        <v>0</v>
      </c>
      <c r="AL407" s="120" t="str">
        <f>IFERROR(VLOOKUP(Table1[RespondentID],'All Data'!$A$3:$CO$999,89,FALSE),"unknown")</f>
        <v>Nassau</v>
      </c>
      <c r="AM407" s="120" t="str">
        <f>IFERROR(VLOOKUP(Table1[RespondentID],'All Data'!$A$3:$CO$999,90,FALSE),"unknown")</f>
        <v>Hempstead, 11550</v>
      </c>
      <c r="AN407" s="120">
        <f>IFERROR(VLOOKUP(Table1[RespondentID],'All Data'!$A$3:$CO$999,91,FALSE),"unknown")</f>
        <v>0</v>
      </c>
      <c r="AO407" s="120">
        <f>IFERROR(VLOOKUP(Table1[RespondentID],'All Data'!$A$3:$CO$999,92,FALSE),"unknown")</f>
        <v>0</v>
      </c>
      <c r="AP407" s="120">
        <f>IFERROR(VLOOKUP(Table1[RespondentID],'All Data'!$A$3:$CO$999,93,FALSE),"unknown")</f>
        <v>0</v>
      </c>
      <c r="AQ407" s="120">
        <f>IFERROR(VLOOKUP(Table1[RespondentID],'All Data'!$A$3:$CW$999,94,FALSE),"unknown")</f>
        <v>0</v>
      </c>
      <c r="AR407" s="120">
        <f>IFERROR(VLOOKUP(Table1[RespondentID],'All Data'!$A$3:$CW$999,95,FALSE),"unknown")</f>
        <v>0</v>
      </c>
      <c r="AS407" s="120">
        <f>IFERROR(VLOOKUP(Table1[RespondentID],'All Data'!$A$3:$CW$999,96,FALSE),"unknown")</f>
        <v>0</v>
      </c>
      <c r="AT407" s="120">
        <f>IFERROR(VLOOKUP(Table1[RespondentID],'All Data'!$A$3:$CW$999,97,FALSE),"unknown")</f>
        <v>0</v>
      </c>
      <c r="AU407" s="120">
        <f>IFERROR(VLOOKUP(Table1[RespondentID],'All Data'!$A$3:$CW$999,98,FALSE),"unknown")</f>
        <v>0</v>
      </c>
      <c r="AV407" s="120">
        <f>IFERROR(VLOOKUP(Table1[RespondentID],'All Data'!$A$3:$CW$999,99,FALSE),"unknown")</f>
        <v>0</v>
      </c>
    </row>
    <row r="408" spans="1:48">
      <c r="A408" s="133">
        <v>114085903127</v>
      </c>
      <c r="B408" s="139" t="s">
        <v>38</v>
      </c>
      <c r="C408" s="107" t="s">
        <v>39</v>
      </c>
      <c r="D408" s="107"/>
      <c r="E408" s="107"/>
      <c r="F408" s="107"/>
      <c r="G408" s="107" t="s">
        <v>37</v>
      </c>
      <c r="H408" s="107" t="s">
        <v>43</v>
      </c>
      <c r="I408" s="107" t="s">
        <v>44</v>
      </c>
      <c r="J408" s="107"/>
      <c r="K408" s="107"/>
      <c r="L408" s="107"/>
      <c r="M408" s="107"/>
      <c r="N408" s="5"/>
      <c r="O408" s="18">
        <f t="shared" si="102"/>
        <v>5</v>
      </c>
      <c r="P408" s="18">
        <f t="shared" si="103"/>
        <v>0.6</v>
      </c>
      <c r="Q408" s="5"/>
      <c r="R408" s="18">
        <f t="shared" si="104"/>
        <v>0.6</v>
      </c>
      <c r="S408" s="18">
        <f t="shared" si="105"/>
        <v>0.6</v>
      </c>
      <c r="T408" s="18">
        <f t="shared" si="106"/>
        <v>0</v>
      </c>
      <c r="U408" s="18">
        <f t="shared" si="107"/>
        <v>0</v>
      </c>
      <c r="V408" s="18">
        <f t="shared" si="108"/>
        <v>0</v>
      </c>
      <c r="W408" s="18">
        <f t="shared" si="109"/>
        <v>0.6</v>
      </c>
      <c r="X408" s="18">
        <f t="shared" si="110"/>
        <v>0.6</v>
      </c>
      <c r="Y408" s="18">
        <f t="shared" si="111"/>
        <v>0.6</v>
      </c>
      <c r="Z408" s="18">
        <f t="shared" si="112"/>
        <v>0</v>
      </c>
      <c r="AA408" s="18">
        <f t="shared" si="113"/>
        <v>0</v>
      </c>
      <c r="AB408" s="18">
        <f t="shared" si="114"/>
        <v>0</v>
      </c>
      <c r="AC408" s="18">
        <f t="shared" si="115"/>
        <v>0</v>
      </c>
      <c r="AD408" s="5"/>
      <c r="AE408" s="5"/>
      <c r="AF408" s="18">
        <f t="shared" si="116"/>
        <v>3</v>
      </c>
      <c r="AG408" s="18">
        <f t="shared" si="117"/>
        <v>5</v>
      </c>
      <c r="AH408" s="18" t="str">
        <f t="shared" si="118"/>
        <v>Correct</v>
      </c>
      <c r="AI408" s="5"/>
      <c r="AJ408" s="120" t="str">
        <f>IFERROR(VLOOKUP(Table1[RespondentID],'All Data'!$A$3:$CO$999,87,FALSE),"unknown")</f>
        <v>Woman</v>
      </c>
      <c r="AK408" s="120">
        <f>IFERROR(VLOOKUP(Table1[RespondentID],'All Data'!$A$3:$CO$999,88,FALSE),"unknown")</f>
        <v>0</v>
      </c>
      <c r="AL408" s="120" t="str">
        <f>IFERROR(VLOOKUP(Table1[RespondentID],'All Data'!$A$3:$CO$999,89,FALSE),"unknown")</f>
        <v>Nassau</v>
      </c>
      <c r="AM408" s="120" t="str">
        <f>IFERROR(VLOOKUP(Table1[RespondentID],'All Data'!$A$3:$CO$999,90,FALSE),"unknown")</f>
        <v>Hewlett Neck, 11598</v>
      </c>
      <c r="AN408" s="120">
        <f>IFERROR(VLOOKUP(Table1[RespondentID],'All Data'!$A$3:$CO$999,91,FALSE),"unknown")</f>
        <v>0</v>
      </c>
      <c r="AO408" s="120" t="str">
        <f>IFERROR(VLOOKUP(Table1[RespondentID],'All Data'!$A$3:$CO$999,92,FALSE),"unknown")</f>
        <v>Not Hispanic or Latino</v>
      </c>
      <c r="AP408" s="120">
        <f>IFERROR(VLOOKUP(Table1[RespondentID],'All Data'!$A$3:$CO$999,93,FALSE),"unknown")</f>
        <v>0</v>
      </c>
      <c r="AQ408" s="120" t="str">
        <f>IFERROR(VLOOKUP(Table1[RespondentID],'All Data'!$A$3:$CW$999,94,FALSE),"unknown")</f>
        <v>$50,000 to $74,999</v>
      </c>
      <c r="AR408" s="120" t="str">
        <f>IFERROR(VLOOKUP(Table1[RespondentID],'All Data'!$A$3:$CW$999,95,FALSE),"unknown")</f>
        <v>Graduate school</v>
      </c>
      <c r="AS408" s="120">
        <f>IFERROR(VLOOKUP(Table1[RespondentID],'All Data'!$A$3:$CW$999,96,FALSE),"unknown")</f>
        <v>0</v>
      </c>
      <c r="AT408" s="120">
        <f>IFERROR(VLOOKUP(Table1[RespondentID],'All Data'!$A$3:$CW$999,97,FALSE),"unknown")</f>
        <v>0</v>
      </c>
      <c r="AU408" s="120" t="str">
        <f>IFERROR(VLOOKUP(Table1[RespondentID],'All Data'!$A$3:$CW$999,98,FALSE),"unknown")</f>
        <v>Private/Commercial</v>
      </c>
      <c r="AV408" s="120" t="str">
        <f>IFERROR(VLOOKUP(Table1[RespondentID],'All Data'!$A$3:$CW$999,99,FALSE),"unknown")</f>
        <v>Yes</v>
      </c>
    </row>
    <row r="409" spans="1:48">
      <c r="A409" s="133">
        <v>114085875144</v>
      </c>
      <c r="B409" s="139" t="s">
        <v>38</v>
      </c>
      <c r="C409" s="107" t="s">
        <v>39</v>
      </c>
      <c r="D409" s="107"/>
      <c r="E409" s="107" t="s">
        <v>41</v>
      </c>
      <c r="F409" s="107"/>
      <c r="G409" s="107"/>
      <c r="H409" s="107"/>
      <c r="I409" s="107"/>
      <c r="J409" s="107"/>
      <c r="K409" s="107"/>
      <c r="L409" s="107"/>
      <c r="M409" s="107"/>
      <c r="N409" s="5"/>
      <c r="O409" s="18">
        <f t="shared" si="102"/>
        <v>3</v>
      </c>
      <c r="P409" s="18">
        <f t="shared" si="103"/>
        <v>1</v>
      </c>
      <c r="Q409" s="5"/>
      <c r="R409" s="18">
        <f t="shared" si="104"/>
        <v>1</v>
      </c>
      <c r="S409" s="18">
        <f t="shared" si="105"/>
        <v>1</v>
      </c>
      <c r="T409" s="18">
        <f t="shared" si="106"/>
        <v>0</v>
      </c>
      <c r="U409" s="18">
        <f t="shared" si="107"/>
        <v>1</v>
      </c>
      <c r="V409" s="18">
        <f t="shared" si="108"/>
        <v>0</v>
      </c>
      <c r="W409" s="18">
        <f t="shared" si="109"/>
        <v>0</v>
      </c>
      <c r="X409" s="18">
        <f t="shared" si="110"/>
        <v>0</v>
      </c>
      <c r="Y409" s="18">
        <f t="shared" si="111"/>
        <v>0</v>
      </c>
      <c r="Z409" s="18">
        <f t="shared" si="112"/>
        <v>0</v>
      </c>
      <c r="AA409" s="18">
        <f t="shared" si="113"/>
        <v>0</v>
      </c>
      <c r="AB409" s="18">
        <f t="shared" si="114"/>
        <v>0</v>
      </c>
      <c r="AC409" s="18">
        <f t="shared" si="115"/>
        <v>0</v>
      </c>
      <c r="AD409" s="5"/>
      <c r="AE409" s="5"/>
      <c r="AF409" s="18">
        <f t="shared" si="116"/>
        <v>3</v>
      </c>
      <c r="AG409" s="18">
        <f t="shared" si="117"/>
        <v>3</v>
      </c>
      <c r="AH409" s="18" t="str">
        <f t="shared" si="118"/>
        <v>Correct</v>
      </c>
      <c r="AI409" s="5"/>
      <c r="AJ409" s="120" t="str">
        <f>IFERROR(VLOOKUP(Table1[RespondentID],'All Data'!$A$3:$CO$999,87,FALSE),"unknown")</f>
        <v>Woman</v>
      </c>
      <c r="AK409" s="120">
        <f>IFERROR(VLOOKUP(Table1[RespondentID],'All Data'!$A$3:$CO$999,88,FALSE),"unknown")</f>
        <v>0</v>
      </c>
      <c r="AL409" s="120" t="str">
        <f>IFERROR(VLOOKUP(Table1[RespondentID],'All Data'!$A$3:$CO$999,89,FALSE),"unknown")</f>
        <v>Nassau</v>
      </c>
      <c r="AM409" s="120" t="str">
        <f>IFERROR(VLOOKUP(Table1[RespondentID],'All Data'!$A$3:$CO$999,90,FALSE),"unknown")</f>
        <v>Lakeview, 11552</v>
      </c>
      <c r="AN409" s="120">
        <f>IFERROR(VLOOKUP(Table1[RespondentID],'All Data'!$A$3:$CO$999,91,FALSE),"unknown")</f>
        <v>0</v>
      </c>
      <c r="AO409" s="120" t="str">
        <f>IFERROR(VLOOKUP(Table1[RespondentID],'All Data'!$A$3:$CO$999,92,FALSE),"unknown")</f>
        <v>Not Hispanic or Latino</v>
      </c>
      <c r="AP409" s="120" t="str">
        <f>IFERROR(VLOOKUP(Table1[RespondentID],'All Data'!$A$3:$CO$999,93,FALSE),"unknown")</f>
        <v>English</v>
      </c>
      <c r="AQ409" s="120" t="str">
        <f>IFERROR(VLOOKUP(Table1[RespondentID],'All Data'!$A$3:$CW$999,94,FALSE),"unknown")</f>
        <v>$50,000 to $74,999</v>
      </c>
      <c r="AR409" s="120" t="str">
        <f>IFERROR(VLOOKUP(Table1[RespondentID],'All Data'!$A$3:$CW$999,95,FALSE),"unknown")</f>
        <v>College graduate</v>
      </c>
      <c r="AS409" s="120">
        <f>IFERROR(VLOOKUP(Table1[RespondentID],'All Data'!$A$3:$CW$999,96,FALSE),"unknown")</f>
        <v>0</v>
      </c>
      <c r="AT409" s="120">
        <f>IFERROR(VLOOKUP(Table1[RespondentID],'All Data'!$A$3:$CW$999,97,FALSE),"unknown")</f>
        <v>0</v>
      </c>
      <c r="AU409" s="120" t="str">
        <f>IFERROR(VLOOKUP(Table1[RespondentID],'All Data'!$A$3:$CW$999,98,FALSE),"unknown")</f>
        <v>Private/Commercial</v>
      </c>
      <c r="AV409" s="120" t="str">
        <f>IFERROR(VLOOKUP(Table1[RespondentID],'All Data'!$A$3:$CW$999,99,FALSE),"unknown")</f>
        <v>Yes</v>
      </c>
    </row>
    <row r="410" spans="1:48">
      <c r="A410" s="133">
        <v>114085855650</v>
      </c>
      <c r="B410" s="139"/>
      <c r="C410" s="107"/>
      <c r="D410" s="107"/>
      <c r="E410" s="107" t="s">
        <v>41</v>
      </c>
      <c r="F410" s="107"/>
      <c r="G410" s="107"/>
      <c r="H410" s="107"/>
      <c r="I410" s="107"/>
      <c r="J410" s="107"/>
      <c r="K410" s="107"/>
      <c r="L410" s="107"/>
      <c r="M410" s="107"/>
      <c r="N410" s="5"/>
      <c r="O410" s="18">
        <f t="shared" si="102"/>
        <v>1</v>
      </c>
      <c r="P410" s="18">
        <f t="shared" si="103"/>
        <v>3</v>
      </c>
      <c r="Q410" s="5"/>
      <c r="R410" s="18">
        <f t="shared" si="104"/>
        <v>0</v>
      </c>
      <c r="S410" s="18">
        <f t="shared" si="105"/>
        <v>0</v>
      </c>
      <c r="T410" s="18">
        <f t="shared" si="106"/>
        <v>0</v>
      </c>
      <c r="U410" s="18">
        <f t="shared" si="107"/>
        <v>1</v>
      </c>
      <c r="V410" s="18">
        <f t="shared" si="108"/>
        <v>0</v>
      </c>
      <c r="W410" s="18">
        <f t="shared" si="109"/>
        <v>0</v>
      </c>
      <c r="X410" s="18">
        <f t="shared" si="110"/>
        <v>0</v>
      </c>
      <c r="Y410" s="18">
        <f t="shared" si="111"/>
        <v>0</v>
      </c>
      <c r="Z410" s="18">
        <f t="shared" si="112"/>
        <v>0</v>
      </c>
      <c r="AA410" s="18">
        <f t="shared" si="113"/>
        <v>0</v>
      </c>
      <c r="AB410" s="18">
        <f t="shared" si="114"/>
        <v>0</v>
      </c>
      <c r="AC410" s="18">
        <f t="shared" si="115"/>
        <v>0</v>
      </c>
      <c r="AD410" s="5"/>
      <c r="AE410" s="5"/>
      <c r="AF410" s="18">
        <f t="shared" si="116"/>
        <v>1</v>
      </c>
      <c r="AG410" s="18">
        <f t="shared" si="117"/>
        <v>1</v>
      </c>
      <c r="AH410" s="18" t="str">
        <f t="shared" si="118"/>
        <v>Correct</v>
      </c>
      <c r="AI410" s="5"/>
      <c r="AJ410" s="120" t="str">
        <f>IFERROR(VLOOKUP(Table1[RespondentID],'All Data'!$A$3:$CO$999,87,FALSE),"unknown")</f>
        <v>Man</v>
      </c>
      <c r="AK410" s="120">
        <f>IFERROR(VLOOKUP(Table1[RespondentID],'All Data'!$A$3:$CO$999,88,FALSE),"unknown")</f>
        <v>0</v>
      </c>
      <c r="AL410" s="120" t="str">
        <f>IFERROR(VLOOKUP(Table1[RespondentID],'All Data'!$A$3:$CO$999,89,FALSE),"unknown")</f>
        <v>Nassau</v>
      </c>
      <c r="AM410" s="120" t="str">
        <f>IFERROR(VLOOKUP(Table1[RespondentID],'All Data'!$A$3:$CO$999,90,FALSE),"unknown")</f>
        <v>Levittown, 11756</v>
      </c>
      <c r="AN410" s="120">
        <f>IFERROR(VLOOKUP(Table1[RespondentID],'All Data'!$A$3:$CO$999,91,FALSE),"unknown")</f>
        <v>0</v>
      </c>
      <c r="AO410" s="120" t="str">
        <f>IFERROR(VLOOKUP(Table1[RespondentID],'All Data'!$A$3:$CO$999,92,FALSE),"unknown")</f>
        <v>Not Hispanic or Latino</v>
      </c>
      <c r="AP410" s="120" t="str">
        <f>IFERROR(VLOOKUP(Table1[RespondentID],'All Data'!$A$3:$CO$999,93,FALSE),"unknown")</f>
        <v>English</v>
      </c>
      <c r="AQ410" s="120">
        <f>IFERROR(VLOOKUP(Table1[RespondentID],'All Data'!$A$3:$CW$999,94,FALSE),"unknown")</f>
        <v>0</v>
      </c>
      <c r="AR410" s="120" t="str">
        <f>IFERROR(VLOOKUP(Table1[RespondentID],'All Data'!$A$3:$CW$999,95,FALSE),"unknown")</f>
        <v>Some college</v>
      </c>
      <c r="AS410" s="120">
        <f>IFERROR(VLOOKUP(Table1[RespondentID],'All Data'!$A$3:$CW$999,96,FALSE),"unknown")</f>
        <v>0</v>
      </c>
      <c r="AT410" s="120">
        <f>IFERROR(VLOOKUP(Table1[RespondentID],'All Data'!$A$3:$CW$999,97,FALSE),"unknown")</f>
        <v>0</v>
      </c>
      <c r="AU410" s="120" t="str">
        <f>IFERROR(VLOOKUP(Table1[RespondentID],'All Data'!$A$3:$CW$999,98,FALSE),"unknown")</f>
        <v>Medicare</v>
      </c>
      <c r="AV410" s="120" t="str">
        <f>IFERROR(VLOOKUP(Table1[RespondentID],'All Data'!$A$3:$CW$999,99,FALSE),"unknown")</f>
        <v>Yes</v>
      </c>
    </row>
    <row r="411" spans="1:48">
      <c r="A411" s="133">
        <v>114085847217</v>
      </c>
      <c r="B411" s="139" t="s">
        <v>38</v>
      </c>
      <c r="C411" s="107"/>
      <c r="D411" s="107"/>
      <c r="E411" s="107"/>
      <c r="F411" s="107" t="s">
        <v>42</v>
      </c>
      <c r="G411" s="107" t="s">
        <v>37</v>
      </c>
      <c r="H411" s="107"/>
      <c r="I411" s="107" t="s">
        <v>44</v>
      </c>
      <c r="J411" s="107"/>
      <c r="K411" s="107"/>
      <c r="L411" s="107"/>
      <c r="M411" s="107"/>
      <c r="N411" s="5"/>
      <c r="O411" s="18">
        <f t="shared" si="102"/>
        <v>4</v>
      </c>
      <c r="P411" s="18">
        <f t="shared" si="103"/>
        <v>0.75</v>
      </c>
      <c r="Q411" s="5"/>
      <c r="R411" s="18">
        <f t="shared" si="104"/>
        <v>0.75</v>
      </c>
      <c r="S411" s="18">
        <f t="shared" si="105"/>
        <v>0</v>
      </c>
      <c r="T411" s="18">
        <f t="shared" si="106"/>
        <v>0</v>
      </c>
      <c r="U411" s="18">
        <f t="shared" si="107"/>
        <v>0</v>
      </c>
      <c r="V411" s="18">
        <f t="shared" si="108"/>
        <v>0.75</v>
      </c>
      <c r="W411" s="18">
        <f t="shared" si="109"/>
        <v>0.75</v>
      </c>
      <c r="X411" s="18">
        <f t="shared" si="110"/>
        <v>0</v>
      </c>
      <c r="Y411" s="18">
        <f t="shared" si="111"/>
        <v>0.75</v>
      </c>
      <c r="Z411" s="18">
        <f t="shared" si="112"/>
        <v>0</v>
      </c>
      <c r="AA411" s="18">
        <f t="shared" si="113"/>
        <v>0</v>
      </c>
      <c r="AB411" s="18">
        <f t="shared" si="114"/>
        <v>0</v>
      </c>
      <c r="AC411" s="18">
        <f t="shared" si="115"/>
        <v>0</v>
      </c>
      <c r="AD411" s="5"/>
      <c r="AE411" s="5"/>
      <c r="AF411" s="18">
        <f t="shared" si="116"/>
        <v>3</v>
      </c>
      <c r="AG411" s="18">
        <f t="shared" si="117"/>
        <v>4</v>
      </c>
      <c r="AH411" s="18" t="str">
        <f t="shared" si="118"/>
        <v>Correct</v>
      </c>
      <c r="AI411" s="5"/>
      <c r="AJ411" s="120" t="str">
        <f>IFERROR(VLOOKUP(Table1[RespondentID],'All Data'!$A$3:$CO$999,87,FALSE),"unknown")</f>
        <v>Woman</v>
      </c>
      <c r="AK411" s="120">
        <f>IFERROR(VLOOKUP(Table1[RespondentID],'All Data'!$A$3:$CO$999,88,FALSE),"unknown")</f>
        <v>0</v>
      </c>
      <c r="AL411" s="120" t="str">
        <f>IFERROR(VLOOKUP(Table1[RespondentID],'All Data'!$A$3:$CO$999,89,FALSE),"unknown")</f>
        <v>Nassau</v>
      </c>
      <c r="AM411" s="120" t="str">
        <f>IFERROR(VLOOKUP(Table1[RespondentID],'All Data'!$A$3:$CO$999,90,FALSE),"unknown")</f>
        <v>Massapequa Park, 11762</v>
      </c>
      <c r="AN411" s="120">
        <f>IFERROR(VLOOKUP(Table1[RespondentID],'All Data'!$A$3:$CO$999,91,FALSE),"unknown")</f>
        <v>0</v>
      </c>
      <c r="AO411" s="120" t="str">
        <f>IFERROR(VLOOKUP(Table1[RespondentID],'All Data'!$A$3:$CO$999,92,FALSE),"unknown")</f>
        <v>Not Hispanic or Latino</v>
      </c>
      <c r="AP411" s="120" t="str">
        <f>IFERROR(VLOOKUP(Table1[RespondentID],'All Data'!$A$3:$CO$999,93,FALSE),"unknown")</f>
        <v>English</v>
      </c>
      <c r="AQ411" s="120" t="str">
        <f>IFERROR(VLOOKUP(Table1[RespondentID],'All Data'!$A$3:$CW$999,94,FALSE),"unknown")</f>
        <v>$50,000 to $74,999</v>
      </c>
      <c r="AR411" s="120" t="str">
        <f>IFERROR(VLOOKUP(Table1[RespondentID],'All Data'!$A$3:$CW$999,95,FALSE),"unknown")</f>
        <v>Graduate school</v>
      </c>
      <c r="AS411" s="120">
        <f>IFERROR(VLOOKUP(Table1[RespondentID],'All Data'!$A$3:$CW$999,96,FALSE),"unknown")</f>
        <v>0</v>
      </c>
      <c r="AT411" s="120">
        <f>IFERROR(VLOOKUP(Table1[RespondentID],'All Data'!$A$3:$CW$999,97,FALSE),"unknown")</f>
        <v>0</v>
      </c>
      <c r="AU411" s="120" t="str">
        <f>IFERROR(VLOOKUP(Table1[RespondentID],'All Data'!$A$3:$CW$999,98,FALSE),"unknown")</f>
        <v>Private/Commercial</v>
      </c>
      <c r="AV411" s="120" t="str">
        <f>IFERROR(VLOOKUP(Table1[RespondentID],'All Data'!$A$3:$CW$999,99,FALSE),"unknown")</f>
        <v>Yes</v>
      </c>
    </row>
    <row r="412" spans="1:48">
      <c r="A412" s="133">
        <v>114085845695</v>
      </c>
      <c r="B412" s="139" t="s">
        <v>38</v>
      </c>
      <c r="C412" s="107" t="s">
        <v>39</v>
      </c>
      <c r="D412" s="107"/>
      <c r="E412" s="107"/>
      <c r="F412" s="107"/>
      <c r="G412" s="107"/>
      <c r="H412" s="107" t="s">
        <v>43</v>
      </c>
      <c r="I412" s="107"/>
      <c r="J412" s="107"/>
      <c r="K412" s="107"/>
      <c r="L412" s="107"/>
      <c r="M412" s="107"/>
      <c r="N412" s="5"/>
      <c r="O412" s="18">
        <f t="shared" si="102"/>
        <v>3</v>
      </c>
      <c r="P412" s="18">
        <f t="shared" si="103"/>
        <v>1</v>
      </c>
      <c r="Q412" s="5"/>
      <c r="R412" s="18">
        <f t="shared" si="104"/>
        <v>1</v>
      </c>
      <c r="S412" s="18">
        <f t="shared" si="105"/>
        <v>1</v>
      </c>
      <c r="T412" s="18">
        <f t="shared" si="106"/>
        <v>0</v>
      </c>
      <c r="U412" s="18">
        <f t="shared" si="107"/>
        <v>0</v>
      </c>
      <c r="V412" s="18">
        <f t="shared" si="108"/>
        <v>0</v>
      </c>
      <c r="W412" s="18">
        <f t="shared" si="109"/>
        <v>0</v>
      </c>
      <c r="X412" s="18">
        <f t="shared" si="110"/>
        <v>1</v>
      </c>
      <c r="Y412" s="18">
        <f t="shared" si="111"/>
        <v>0</v>
      </c>
      <c r="Z412" s="18">
        <f t="shared" si="112"/>
        <v>0</v>
      </c>
      <c r="AA412" s="18">
        <f t="shared" si="113"/>
        <v>0</v>
      </c>
      <c r="AB412" s="18">
        <f t="shared" si="114"/>
        <v>0</v>
      </c>
      <c r="AC412" s="18">
        <f t="shared" si="115"/>
        <v>0</v>
      </c>
      <c r="AD412" s="5"/>
      <c r="AE412" s="5"/>
      <c r="AF412" s="18">
        <f t="shared" si="116"/>
        <v>3</v>
      </c>
      <c r="AG412" s="18">
        <f t="shared" si="117"/>
        <v>3</v>
      </c>
      <c r="AH412" s="18" t="str">
        <f t="shared" si="118"/>
        <v>Correct</v>
      </c>
      <c r="AI412" s="5"/>
      <c r="AJ412" s="120" t="str">
        <f>IFERROR(VLOOKUP(Table1[RespondentID],'All Data'!$A$3:$CO$999,87,FALSE),"unknown")</f>
        <v>Woman</v>
      </c>
      <c r="AK412" s="120">
        <f>IFERROR(VLOOKUP(Table1[RespondentID],'All Data'!$A$3:$CO$999,88,FALSE),"unknown")</f>
        <v>0</v>
      </c>
      <c r="AL412" s="120" t="str">
        <f>IFERROR(VLOOKUP(Table1[RespondentID],'All Data'!$A$3:$CO$999,89,FALSE),"unknown")</f>
        <v>Nassau</v>
      </c>
      <c r="AM412" s="120" t="str">
        <f>IFERROR(VLOOKUP(Table1[RespondentID],'All Data'!$A$3:$CO$999,90,FALSE),"unknown")</f>
        <v>West Hempstead, 11552</v>
      </c>
      <c r="AN412" s="120">
        <f>IFERROR(VLOOKUP(Table1[RespondentID],'All Data'!$A$3:$CO$999,91,FALSE),"unknown")</f>
        <v>0</v>
      </c>
      <c r="AO412" s="120" t="str">
        <f>IFERROR(VLOOKUP(Table1[RespondentID],'All Data'!$A$3:$CO$999,92,FALSE),"unknown")</f>
        <v>Not Hispanic or Latino</v>
      </c>
      <c r="AP412" s="120" t="str">
        <f>IFERROR(VLOOKUP(Table1[RespondentID],'All Data'!$A$3:$CO$999,93,FALSE),"unknown")</f>
        <v>English</v>
      </c>
      <c r="AQ412" s="120" t="str">
        <f>IFERROR(VLOOKUP(Table1[RespondentID],'All Data'!$A$3:$CW$999,94,FALSE),"unknown")</f>
        <v>$75,000 to $125,000</v>
      </c>
      <c r="AR412" s="120" t="str">
        <f>IFERROR(VLOOKUP(Table1[RespondentID],'All Data'!$A$3:$CW$999,95,FALSE),"unknown")</f>
        <v>Graduate school</v>
      </c>
      <c r="AS412" s="120">
        <f>IFERROR(VLOOKUP(Table1[RespondentID],'All Data'!$A$3:$CW$999,96,FALSE),"unknown")</f>
        <v>0</v>
      </c>
      <c r="AT412" s="120">
        <f>IFERROR(VLOOKUP(Table1[RespondentID],'All Data'!$A$3:$CW$999,97,FALSE),"unknown")</f>
        <v>0</v>
      </c>
      <c r="AU412" s="120" t="str">
        <f>IFERROR(VLOOKUP(Table1[RespondentID],'All Data'!$A$3:$CW$999,98,FALSE),"unknown")</f>
        <v>Private/Commercial</v>
      </c>
      <c r="AV412" s="120" t="str">
        <f>IFERROR(VLOOKUP(Table1[RespondentID],'All Data'!$A$3:$CW$999,99,FALSE),"unknown")</f>
        <v>Yes</v>
      </c>
    </row>
    <row r="413" spans="1:48">
      <c r="A413" s="133">
        <v>114085842785</v>
      </c>
      <c r="B413" s="139"/>
      <c r="C413" s="107" t="s">
        <v>39</v>
      </c>
      <c r="D413" s="107"/>
      <c r="E413" s="107" t="s">
        <v>41</v>
      </c>
      <c r="F413" s="107"/>
      <c r="G413" s="107"/>
      <c r="H413" s="107" t="s">
        <v>43</v>
      </c>
      <c r="I413" s="107" t="s">
        <v>44</v>
      </c>
      <c r="J413" s="107"/>
      <c r="K413" s="107"/>
      <c r="L413" s="107"/>
      <c r="M413" s="107"/>
      <c r="N413" s="5"/>
      <c r="O413" s="18">
        <f t="shared" si="102"/>
        <v>4</v>
      </c>
      <c r="P413" s="18">
        <f t="shared" si="103"/>
        <v>0.75</v>
      </c>
      <c r="Q413" s="5"/>
      <c r="R413" s="18">
        <f t="shared" si="104"/>
        <v>0</v>
      </c>
      <c r="S413" s="18">
        <f t="shared" si="105"/>
        <v>0.75</v>
      </c>
      <c r="T413" s="18">
        <f t="shared" si="106"/>
        <v>0</v>
      </c>
      <c r="U413" s="18">
        <f t="shared" si="107"/>
        <v>0.75</v>
      </c>
      <c r="V413" s="18">
        <f t="shared" si="108"/>
        <v>0</v>
      </c>
      <c r="W413" s="18">
        <f t="shared" si="109"/>
        <v>0</v>
      </c>
      <c r="X413" s="18">
        <f t="shared" si="110"/>
        <v>0.75</v>
      </c>
      <c r="Y413" s="18">
        <f t="shared" si="111"/>
        <v>0.75</v>
      </c>
      <c r="Z413" s="18">
        <f t="shared" si="112"/>
        <v>0</v>
      </c>
      <c r="AA413" s="18">
        <f t="shared" si="113"/>
        <v>0</v>
      </c>
      <c r="AB413" s="18">
        <f t="shared" si="114"/>
        <v>0</v>
      </c>
      <c r="AC413" s="18">
        <f t="shared" si="115"/>
        <v>0</v>
      </c>
      <c r="AD413" s="5"/>
      <c r="AE413" s="5"/>
      <c r="AF413" s="18">
        <f t="shared" si="116"/>
        <v>3</v>
      </c>
      <c r="AG413" s="18">
        <f t="shared" si="117"/>
        <v>4</v>
      </c>
      <c r="AH413" s="18" t="str">
        <f t="shared" si="118"/>
        <v>Correct</v>
      </c>
      <c r="AI413" s="5"/>
      <c r="AJ413" s="120" t="str">
        <f>IFERROR(VLOOKUP(Table1[RespondentID],'All Data'!$A$3:$CO$999,87,FALSE),"unknown")</f>
        <v>Woman</v>
      </c>
      <c r="AK413" s="120">
        <f>IFERROR(VLOOKUP(Table1[RespondentID],'All Data'!$A$3:$CO$999,88,FALSE),"unknown")</f>
        <v>0</v>
      </c>
      <c r="AL413" s="120" t="str">
        <f>IFERROR(VLOOKUP(Table1[RespondentID],'All Data'!$A$3:$CO$999,89,FALSE),"unknown")</f>
        <v>Nassau</v>
      </c>
      <c r="AM413" s="120" t="str">
        <f>IFERROR(VLOOKUP(Table1[RespondentID],'All Data'!$A$3:$CO$999,90,FALSE),"unknown")</f>
        <v>Bellmore, 11710</v>
      </c>
      <c r="AN413" s="120">
        <f>IFERROR(VLOOKUP(Table1[RespondentID],'All Data'!$A$3:$CO$999,91,FALSE),"unknown")</f>
        <v>0</v>
      </c>
      <c r="AO413" s="120" t="str">
        <f>IFERROR(VLOOKUP(Table1[RespondentID],'All Data'!$A$3:$CO$999,92,FALSE),"unknown")</f>
        <v>Not Hispanic or Latino</v>
      </c>
      <c r="AP413" s="120" t="str">
        <f>IFERROR(VLOOKUP(Table1[RespondentID],'All Data'!$A$3:$CO$999,93,FALSE),"unknown")</f>
        <v>English</v>
      </c>
      <c r="AQ413" s="120" t="str">
        <f>IFERROR(VLOOKUP(Table1[RespondentID],'All Data'!$A$3:$CW$999,94,FALSE),"unknown")</f>
        <v>$75,000 to $125,000</v>
      </c>
      <c r="AR413" s="120" t="str">
        <f>IFERROR(VLOOKUP(Table1[RespondentID],'All Data'!$A$3:$CW$999,95,FALSE),"unknown")</f>
        <v>High school graduate</v>
      </c>
      <c r="AS413" s="120">
        <f>IFERROR(VLOOKUP(Table1[RespondentID],'All Data'!$A$3:$CW$999,96,FALSE),"unknown")</f>
        <v>0</v>
      </c>
      <c r="AT413" s="120">
        <f>IFERROR(VLOOKUP(Table1[RespondentID],'All Data'!$A$3:$CW$999,97,FALSE),"unknown")</f>
        <v>0</v>
      </c>
      <c r="AU413" s="120" t="str">
        <f>IFERROR(VLOOKUP(Table1[RespondentID],'All Data'!$A$3:$CW$999,98,FALSE),"unknown")</f>
        <v>Private/Commercial</v>
      </c>
      <c r="AV413" s="120" t="str">
        <f>IFERROR(VLOOKUP(Table1[RespondentID],'All Data'!$A$3:$CW$999,99,FALSE),"unknown")</f>
        <v>Yes</v>
      </c>
    </row>
    <row r="414" spans="1:48">
      <c r="A414" s="133">
        <v>114085835907</v>
      </c>
      <c r="B414" s="139"/>
      <c r="C414" s="107" t="s">
        <v>39</v>
      </c>
      <c r="D414" s="107"/>
      <c r="E414" s="107" t="s">
        <v>41</v>
      </c>
      <c r="F414" s="107"/>
      <c r="G414" s="107"/>
      <c r="H414" s="107" t="s">
        <v>43</v>
      </c>
      <c r="I414" s="107" t="s">
        <v>44</v>
      </c>
      <c r="J414" s="107"/>
      <c r="K414" s="107" t="s">
        <v>46</v>
      </c>
      <c r="L414" s="107" t="s">
        <v>47</v>
      </c>
      <c r="M414" s="107" t="s">
        <v>48</v>
      </c>
      <c r="N414" s="5"/>
      <c r="O414" s="18">
        <f t="shared" si="102"/>
        <v>7</v>
      </c>
      <c r="P414" s="18">
        <f t="shared" si="103"/>
        <v>0.42857142857142855</v>
      </c>
      <c r="Q414" s="5"/>
      <c r="R414" s="18">
        <f t="shared" si="104"/>
        <v>0</v>
      </c>
      <c r="S414" s="18">
        <f t="shared" si="105"/>
        <v>0.42857142857142855</v>
      </c>
      <c r="T414" s="18">
        <f t="shared" si="106"/>
        <v>0</v>
      </c>
      <c r="U414" s="18">
        <f t="shared" si="107"/>
        <v>0.42857142857142855</v>
      </c>
      <c r="V414" s="18">
        <f t="shared" si="108"/>
        <v>0</v>
      </c>
      <c r="W414" s="18">
        <f t="shared" si="109"/>
        <v>0</v>
      </c>
      <c r="X414" s="18">
        <f t="shared" si="110"/>
        <v>0.42857142857142855</v>
      </c>
      <c r="Y414" s="18">
        <f t="shared" si="111"/>
        <v>0.42857142857142855</v>
      </c>
      <c r="Z414" s="18">
        <f t="shared" si="112"/>
        <v>0</v>
      </c>
      <c r="AA414" s="18">
        <f t="shared" si="113"/>
        <v>0.42857142857142855</v>
      </c>
      <c r="AB414" s="18">
        <f t="shared" si="114"/>
        <v>0.42857142857142855</v>
      </c>
      <c r="AC414" s="18">
        <f t="shared" si="115"/>
        <v>0.42857142857142855</v>
      </c>
      <c r="AD414" s="5"/>
      <c r="AE414" s="5"/>
      <c r="AF414" s="18">
        <f t="shared" si="116"/>
        <v>2.9999999999999996</v>
      </c>
      <c r="AG414" s="18">
        <f t="shared" si="117"/>
        <v>7</v>
      </c>
      <c r="AH414" s="18" t="str">
        <f t="shared" si="118"/>
        <v>Correct</v>
      </c>
      <c r="AI414" s="5"/>
      <c r="AJ414" s="120" t="str">
        <f>IFERROR(VLOOKUP(Table1[RespondentID],'All Data'!$A$3:$CO$999,87,FALSE),"unknown")</f>
        <v>Woman</v>
      </c>
      <c r="AK414" s="120">
        <f>IFERROR(VLOOKUP(Table1[RespondentID],'All Data'!$A$3:$CO$999,88,FALSE),"unknown")</f>
        <v>0</v>
      </c>
      <c r="AL414" s="120" t="str">
        <f>IFERROR(VLOOKUP(Table1[RespondentID],'All Data'!$A$3:$CO$999,89,FALSE),"unknown")</f>
        <v>Nassau</v>
      </c>
      <c r="AM414" s="120" t="str">
        <f>IFERROR(VLOOKUP(Table1[RespondentID],'All Data'!$A$3:$CO$999,90,FALSE),"unknown")</f>
        <v>Westbury, 11590</v>
      </c>
      <c r="AN414" s="120">
        <f>IFERROR(VLOOKUP(Table1[RespondentID],'All Data'!$A$3:$CO$999,91,FALSE),"unknown")</f>
        <v>0</v>
      </c>
      <c r="AO414" s="120" t="str">
        <f>IFERROR(VLOOKUP(Table1[RespondentID],'All Data'!$A$3:$CO$999,92,FALSE),"unknown")</f>
        <v>Not Hispanic or Latino</v>
      </c>
      <c r="AP414" s="120" t="str">
        <f>IFERROR(VLOOKUP(Table1[RespondentID],'All Data'!$A$3:$CO$999,93,FALSE),"unknown")</f>
        <v>English</v>
      </c>
      <c r="AQ414" s="120" t="str">
        <f>IFERROR(VLOOKUP(Table1[RespondentID],'All Data'!$A$3:$CW$999,94,FALSE),"unknown")</f>
        <v>$50,000 to $74,999</v>
      </c>
      <c r="AR414" s="120">
        <f>IFERROR(VLOOKUP(Table1[RespondentID],'All Data'!$A$3:$CW$999,95,FALSE),"unknown")</f>
        <v>0</v>
      </c>
      <c r="AS414" s="120">
        <f>IFERROR(VLOOKUP(Table1[RespondentID],'All Data'!$A$3:$CW$999,96,FALSE),"unknown")</f>
        <v>0</v>
      </c>
      <c r="AT414" s="120">
        <f>IFERROR(VLOOKUP(Table1[RespondentID],'All Data'!$A$3:$CW$999,97,FALSE),"unknown")</f>
        <v>0</v>
      </c>
      <c r="AU414" s="120" t="str">
        <f>IFERROR(VLOOKUP(Table1[RespondentID],'All Data'!$A$3:$CW$999,98,FALSE),"unknown")</f>
        <v>Private/Commercial</v>
      </c>
      <c r="AV414" s="120" t="str">
        <f>IFERROR(VLOOKUP(Table1[RespondentID],'All Data'!$A$3:$CW$999,99,FALSE),"unknown")</f>
        <v>Yes</v>
      </c>
    </row>
    <row r="415" spans="1:48">
      <c r="A415" s="133">
        <v>114085832464</v>
      </c>
      <c r="B415" s="139"/>
      <c r="C415" s="107" t="s">
        <v>39</v>
      </c>
      <c r="D415" s="107" t="s">
        <v>40</v>
      </c>
      <c r="E415" s="107" t="s">
        <v>41</v>
      </c>
      <c r="F415" s="107"/>
      <c r="G415" s="107"/>
      <c r="H415" s="107"/>
      <c r="I415" s="107"/>
      <c r="J415" s="107"/>
      <c r="K415" s="107"/>
      <c r="L415" s="107" t="s">
        <v>47</v>
      </c>
      <c r="M415" s="107"/>
      <c r="N415" s="5"/>
      <c r="O415" s="18">
        <f t="shared" si="102"/>
        <v>4</v>
      </c>
      <c r="P415" s="18">
        <f t="shared" si="103"/>
        <v>0.75</v>
      </c>
      <c r="Q415" s="5"/>
      <c r="R415" s="18">
        <f t="shared" si="104"/>
        <v>0</v>
      </c>
      <c r="S415" s="18">
        <f t="shared" si="105"/>
        <v>0.75</v>
      </c>
      <c r="T415" s="18">
        <f t="shared" si="106"/>
        <v>0.75</v>
      </c>
      <c r="U415" s="18">
        <f t="shared" si="107"/>
        <v>0.75</v>
      </c>
      <c r="V415" s="18">
        <f t="shared" si="108"/>
        <v>0</v>
      </c>
      <c r="W415" s="18">
        <f t="shared" si="109"/>
        <v>0</v>
      </c>
      <c r="X415" s="18">
        <f t="shared" si="110"/>
        <v>0</v>
      </c>
      <c r="Y415" s="18">
        <f t="shared" si="111"/>
        <v>0</v>
      </c>
      <c r="Z415" s="18">
        <f t="shared" si="112"/>
        <v>0</v>
      </c>
      <c r="AA415" s="18">
        <f t="shared" si="113"/>
        <v>0</v>
      </c>
      <c r="AB415" s="18">
        <f t="shared" si="114"/>
        <v>0.75</v>
      </c>
      <c r="AC415" s="18">
        <f t="shared" si="115"/>
        <v>0</v>
      </c>
      <c r="AD415" s="5"/>
      <c r="AE415" s="5"/>
      <c r="AF415" s="18">
        <f t="shared" si="116"/>
        <v>3</v>
      </c>
      <c r="AG415" s="18">
        <f t="shared" si="117"/>
        <v>4</v>
      </c>
      <c r="AH415" s="18" t="str">
        <f t="shared" si="118"/>
        <v>Correct</v>
      </c>
      <c r="AI415" s="5"/>
      <c r="AJ415" s="120" t="str">
        <f>IFERROR(VLOOKUP(Table1[RespondentID],'All Data'!$A$3:$CO$999,87,FALSE),"unknown")</f>
        <v>Man</v>
      </c>
      <c r="AK415" s="120">
        <f>IFERROR(VLOOKUP(Table1[RespondentID],'All Data'!$A$3:$CO$999,88,FALSE),"unknown")</f>
        <v>0</v>
      </c>
      <c r="AL415" s="120" t="str">
        <f>IFERROR(VLOOKUP(Table1[RespondentID],'All Data'!$A$3:$CO$999,89,FALSE),"unknown")</f>
        <v>Nassau</v>
      </c>
      <c r="AM415" s="120" t="str">
        <f>IFERROR(VLOOKUP(Table1[RespondentID],'All Data'!$A$3:$CO$999,90,FALSE),"unknown")</f>
        <v>East Meadow, 11554</v>
      </c>
      <c r="AN415" s="120">
        <f>IFERROR(VLOOKUP(Table1[RespondentID],'All Data'!$A$3:$CO$999,91,FALSE),"unknown")</f>
        <v>0</v>
      </c>
      <c r="AO415" s="120" t="str">
        <f>IFERROR(VLOOKUP(Table1[RespondentID],'All Data'!$A$3:$CO$999,92,FALSE),"unknown")</f>
        <v>Not Hispanic or Latino</v>
      </c>
      <c r="AP415" s="120" t="str">
        <f>IFERROR(VLOOKUP(Table1[RespondentID],'All Data'!$A$3:$CO$999,93,FALSE),"unknown")</f>
        <v>English</v>
      </c>
      <c r="AQ415" s="120" t="str">
        <f>IFERROR(VLOOKUP(Table1[RespondentID],'All Data'!$A$3:$CW$999,94,FALSE),"unknown")</f>
        <v>Over $125,000</v>
      </c>
      <c r="AR415" s="120" t="str">
        <f>IFERROR(VLOOKUP(Table1[RespondentID],'All Data'!$A$3:$CW$999,95,FALSE),"unknown")</f>
        <v>Doctorate</v>
      </c>
      <c r="AS415" s="120">
        <f>IFERROR(VLOOKUP(Table1[RespondentID],'All Data'!$A$3:$CW$999,96,FALSE),"unknown")</f>
        <v>0</v>
      </c>
      <c r="AT415" s="120">
        <f>IFERROR(VLOOKUP(Table1[RespondentID],'All Data'!$A$3:$CW$999,97,FALSE),"unknown")</f>
        <v>0</v>
      </c>
      <c r="AU415" s="120" t="str">
        <f>IFERROR(VLOOKUP(Table1[RespondentID],'All Data'!$A$3:$CW$999,98,FALSE),"unknown")</f>
        <v>Medicare,Private/Commercial</v>
      </c>
      <c r="AV415" s="120" t="str">
        <f>IFERROR(VLOOKUP(Table1[RespondentID],'All Data'!$A$3:$CW$999,99,FALSE),"unknown")</f>
        <v>Yes</v>
      </c>
    </row>
    <row r="416" spans="1:48">
      <c r="A416" s="133">
        <v>114085828973</v>
      </c>
      <c r="B416" s="139"/>
      <c r="C416" s="107"/>
      <c r="D416" s="107"/>
      <c r="E416" s="107"/>
      <c r="F416" s="107"/>
      <c r="G416" s="107"/>
      <c r="H416" s="107"/>
      <c r="I416" s="107"/>
      <c r="J416" s="107"/>
      <c r="K416" s="107"/>
      <c r="L416" s="107" t="s">
        <v>47</v>
      </c>
      <c r="M416" s="107"/>
      <c r="N416" s="5"/>
      <c r="O416" s="18">
        <f t="shared" si="102"/>
        <v>1</v>
      </c>
      <c r="P416" s="18">
        <f t="shared" si="103"/>
        <v>3</v>
      </c>
      <c r="Q416" s="5"/>
      <c r="R416" s="18">
        <f t="shared" si="104"/>
        <v>0</v>
      </c>
      <c r="S416" s="18">
        <f t="shared" si="105"/>
        <v>0</v>
      </c>
      <c r="T416" s="18">
        <f t="shared" si="106"/>
        <v>0</v>
      </c>
      <c r="U416" s="18">
        <f t="shared" si="107"/>
        <v>0</v>
      </c>
      <c r="V416" s="18">
        <f t="shared" si="108"/>
        <v>0</v>
      </c>
      <c r="W416" s="18">
        <f t="shared" si="109"/>
        <v>0</v>
      </c>
      <c r="X416" s="18">
        <f t="shared" si="110"/>
        <v>0</v>
      </c>
      <c r="Y416" s="18">
        <f t="shared" si="111"/>
        <v>0</v>
      </c>
      <c r="Z416" s="18">
        <f t="shared" si="112"/>
        <v>0</v>
      </c>
      <c r="AA416" s="18">
        <f t="shared" si="113"/>
        <v>0</v>
      </c>
      <c r="AB416" s="18">
        <f t="shared" si="114"/>
        <v>1</v>
      </c>
      <c r="AC416" s="18">
        <f t="shared" si="115"/>
        <v>0</v>
      </c>
      <c r="AD416" s="5"/>
      <c r="AE416" s="5"/>
      <c r="AF416" s="18">
        <f t="shared" si="116"/>
        <v>1</v>
      </c>
      <c r="AG416" s="18">
        <f t="shared" si="117"/>
        <v>1</v>
      </c>
      <c r="AH416" s="18" t="str">
        <f t="shared" si="118"/>
        <v>Correct</v>
      </c>
      <c r="AI416" s="5"/>
      <c r="AJ416" s="120" t="str">
        <f>IFERROR(VLOOKUP(Table1[RespondentID],'All Data'!$A$3:$CO$999,87,FALSE),"unknown")</f>
        <v>Woman</v>
      </c>
      <c r="AK416" s="120">
        <f>IFERROR(VLOOKUP(Table1[RespondentID],'All Data'!$A$3:$CO$999,88,FALSE),"unknown")</f>
        <v>0</v>
      </c>
      <c r="AL416" s="120" t="str">
        <f>IFERROR(VLOOKUP(Table1[RespondentID],'All Data'!$A$3:$CO$999,89,FALSE),"unknown")</f>
        <v>Suffolk</v>
      </c>
      <c r="AM416" s="120" t="str">
        <f>IFERROR(VLOOKUP(Table1[RespondentID],'All Data'!$A$3:$CO$999,90,FALSE),"unknown")</f>
        <v>Deer Park, 11729</v>
      </c>
      <c r="AN416" s="120">
        <f>IFERROR(VLOOKUP(Table1[RespondentID],'All Data'!$A$3:$CO$999,91,FALSE),"unknown")</f>
        <v>0</v>
      </c>
      <c r="AO416" s="120" t="str">
        <f>IFERROR(VLOOKUP(Table1[RespondentID],'All Data'!$A$3:$CO$999,92,FALSE),"unknown")</f>
        <v>Not Hispanic or Latino</v>
      </c>
      <c r="AP416" s="120" t="str">
        <f>IFERROR(VLOOKUP(Table1[RespondentID],'All Data'!$A$3:$CO$999,93,FALSE),"unknown")</f>
        <v>English</v>
      </c>
      <c r="AQ416" s="120" t="str">
        <f>IFERROR(VLOOKUP(Table1[RespondentID],'All Data'!$A$3:$CW$999,94,FALSE),"unknown")</f>
        <v>$75,000 to $125,000</v>
      </c>
      <c r="AR416" s="120" t="str">
        <f>IFERROR(VLOOKUP(Table1[RespondentID],'All Data'!$A$3:$CW$999,95,FALSE),"unknown")</f>
        <v>Graduate school</v>
      </c>
      <c r="AS416" s="120">
        <f>IFERROR(VLOOKUP(Table1[RespondentID],'All Data'!$A$3:$CW$999,96,FALSE),"unknown")</f>
        <v>0</v>
      </c>
      <c r="AT416" s="120">
        <f>IFERROR(VLOOKUP(Table1[RespondentID],'All Data'!$A$3:$CW$999,97,FALSE),"unknown")</f>
        <v>0</v>
      </c>
      <c r="AU416" s="120" t="str">
        <f>IFERROR(VLOOKUP(Table1[RespondentID],'All Data'!$A$3:$CW$999,98,FALSE),"unknown")</f>
        <v>Private/Commercial</v>
      </c>
      <c r="AV416" s="120" t="str">
        <f>IFERROR(VLOOKUP(Table1[RespondentID],'All Data'!$A$3:$CW$999,99,FALSE),"unknown")</f>
        <v>Yes</v>
      </c>
    </row>
    <row r="417" spans="1:48">
      <c r="A417" s="133">
        <v>114085827353</v>
      </c>
      <c r="B417" s="139" t="s">
        <v>38</v>
      </c>
      <c r="C417" s="107"/>
      <c r="D417" s="107"/>
      <c r="E417" s="107"/>
      <c r="F417" s="107"/>
      <c r="G417" s="107" t="s">
        <v>37</v>
      </c>
      <c r="H417" s="107"/>
      <c r="I417" s="107"/>
      <c r="J417" s="107"/>
      <c r="K417" s="107"/>
      <c r="L417" s="107"/>
      <c r="M417" s="107"/>
      <c r="N417" s="5"/>
      <c r="O417" s="18">
        <f t="shared" si="102"/>
        <v>2</v>
      </c>
      <c r="P417" s="18">
        <f t="shared" si="103"/>
        <v>1.5</v>
      </c>
      <c r="Q417" s="5"/>
      <c r="R417" s="18">
        <f t="shared" si="104"/>
        <v>1</v>
      </c>
      <c r="S417" s="18">
        <f t="shared" si="105"/>
        <v>0</v>
      </c>
      <c r="T417" s="18">
        <f t="shared" si="106"/>
        <v>0</v>
      </c>
      <c r="U417" s="18">
        <f t="shared" si="107"/>
        <v>0</v>
      </c>
      <c r="V417" s="18">
        <f t="shared" si="108"/>
        <v>0</v>
      </c>
      <c r="W417" s="18">
        <f t="shared" si="109"/>
        <v>1</v>
      </c>
      <c r="X417" s="18">
        <f t="shared" si="110"/>
        <v>0</v>
      </c>
      <c r="Y417" s="18">
        <f t="shared" si="111"/>
        <v>0</v>
      </c>
      <c r="Z417" s="18">
        <f t="shared" si="112"/>
        <v>0</v>
      </c>
      <c r="AA417" s="18">
        <f t="shared" si="113"/>
        <v>0</v>
      </c>
      <c r="AB417" s="18">
        <f t="shared" si="114"/>
        <v>0</v>
      </c>
      <c r="AC417" s="18">
        <f t="shared" si="115"/>
        <v>0</v>
      </c>
      <c r="AD417" s="5"/>
      <c r="AE417" s="5"/>
      <c r="AF417" s="18">
        <f t="shared" si="116"/>
        <v>2</v>
      </c>
      <c r="AG417" s="18">
        <f t="shared" si="117"/>
        <v>2</v>
      </c>
      <c r="AH417" s="18" t="str">
        <f t="shared" si="118"/>
        <v>Correct</v>
      </c>
      <c r="AI417" s="5"/>
      <c r="AJ417" s="120" t="str">
        <f>IFERROR(VLOOKUP(Table1[RespondentID],'All Data'!$A$3:$CO$999,87,FALSE),"unknown")</f>
        <v>Man</v>
      </c>
      <c r="AK417" s="120">
        <f>IFERROR(VLOOKUP(Table1[RespondentID],'All Data'!$A$3:$CO$999,88,FALSE),"unknown")</f>
        <v>0</v>
      </c>
      <c r="AL417" s="120" t="str">
        <f>IFERROR(VLOOKUP(Table1[RespondentID],'All Data'!$A$3:$CO$999,89,FALSE),"unknown")</f>
        <v>Nassau</v>
      </c>
      <c r="AM417" s="120" t="str">
        <f>IFERROR(VLOOKUP(Table1[RespondentID],'All Data'!$A$3:$CO$999,90,FALSE),"unknown")</f>
        <v>Massapequa, 11758</v>
      </c>
      <c r="AN417" s="120">
        <f>IFERROR(VLOOKUP(Table1[RespondentID],'All Data'!$A$3:$CO$999,91,FALSE),"unknown")</f>
        <v>0</v>
      </c>
      <c r="AO417" s="120" t="str">
        <f>IFERROR(VLOOKUP(Table1[RespondentID],'All Data'!$A$3:$CO$999,92,FALSE),"unknown")</f>
        <v>Not Hispanic or Latino</v>
      </c>
      <c r="AP417" s="120" t="str">
        <f>IFERROR(VLOOKUP(Table1[RespondentID],'All Data'!$A$3:$CO$999,93,FALSE),"unknown")</f>
        <v>English</v>
      </c>
      <c r="AQ417" s="120" t="str">
        <f>IFERROR(VLOOKUP(Table1[RespondentID],'All Data'!$A$3:$CW$999,94,FALSE),"unknown")</f>
        <v>Over $125,000</v>
      </c>
      <c r="AR417" s="120" t="str">
        <f>IFERROR(VLOOKUP(Table1[RespondentID],'All Data'!$A$3:$CW$999,95,FALSE),"unknown")</f>
        <v>Doctorate</v>
      </c>
      <c r="AS417" s="120">
        <f>IFERROR(VLOOKUP(Table1[RespondentID],'All Data'!$A$3:$CW$999,96,FALSE),"unknown")</f>
        <v>0</v>
      </c>
      <c r="AT417" s="120">
        <f>IFERROR(VLOOKUP(Table1[RespondentID],'All Data'!$A$3:$CW$999,97,FALSE),"unknown")</f>
        <v>0</v>
      </c>
      <c r="AU417" s="120" t="str">
        <f>IFERROR(VLOOKUP(Table1[RespondentID],'All Data'!$A$3:$CW$999,98,FALSE),"unknown")</f>
        <v>Private/Commercial</v>
      </c>
      <c r="AV417" s="120" t="str">
        <f>IFERROR(VLOOKUP(Table1[RespondentID],'All Data'!$A$3:$CW$999,99,FALSE),"unknown")</f>
        <v>Yes</v>
      </c>
    </row>
    <row r="418" spans="1:48">
      <c r="A418" s="133">
        <v>114085823569</v>
      </c>
      <c r="B418" s="139"/>
      <c r="C418" s="107" t="s">
        <v>39</v>
      </c>
      <c r="D418" s="107"/>
      <c r="E418" s="107" t="s">
        <v>41</v>
      </c>
      <c r="F418" s="107"/>
      <c r="G418" s="107"/>
      <c r="H418" s="107"/>
      <c r="I418" s="107"/>
      <c r="J418" s="107" t="s">
        <v>45</v>
      </c>
      <c r="K418" s="107"/>
      <c r="L418" s="107"/>
      <c r="M418" s="107"/>
      <c r="N418" s="5"/>
      <c r="O418" s="18">
        <f t="shared" si="102"/>
        <v>3</v>
      </c>
      <c r="P418" s="18">
        <f t="shared" si="103"/>
        <v>1</v>
      </c>
      <c r="Q418" s="5"/>
      <c r="R418" s="18">
        <f t="shared" si="104"/>
        <v>0</v>
      </c>
      <c r="S418" s="18">
        <f t="shared" si="105"/>
        <v>1</v>
      </c>
      <c r="T418" s="18">
        <f t="shared" si="106"/>
        <v>0</v>
      </c>
      <c r="U418" s="18">
        <f t="shared" si="107"/>
        <v>1</v>
      </c>
      <c r="V418" s="18">
        <f t="shared" si="108"/>
        <v>0</v>
      </c>
      <c r="W418" s="18">
        <f t="shared" si="109"/>
        <v>0</v>
      </c>
      <c r="X418" s="18">
        <f t="shared" si="110"/>
        <v>0</v>
      </c>
      <c r="Y418" s="18">
        <f t="shared" si="111"/>
        <v>0</v>
      </c>
      <c r="Z418" s="18">
        <f t="shared" si="112"/>
        <v>1</v>
      </c>
      <c r="AA418" s="18">
        <f t="shared" si="113"/>
        <v>0</v>
      </c>
      <c r="AB418" s="18">
        <f t="shared" si="114"/>
        <v>0</v>
      </c>
      <c r="AC418" s="18">
        <f t="shared" si="115"/>
        <v>0</v>
      </c>
      <c r="AD418" s="5"/>
      <c r="AE418" s="5"/>
      <c r="AF418" s="18">
        <f t="shared" si="116"/>
        <v>3</v>
      </c>
      <c r="AG418" s="18">
        <f t="shared" si="117"/>
        <v>3</v>
      </c>
      <c r="AH418" s="18" t="str">
        <f t="shared" si="118"/>
        <v>Correct</v>
      </c>
      <c r="AI418" s="5"/>
      <c r="AJ418" s="120" t="str">
        <f>IFERROR(VLOOKUP(Table1[RespondentID],'All Data'!$A$3:$CO$999,87,FALSE),"unknown")</f>
        <v>Woman</v>
      </c>
      <c r="AK418" s="120">
        <f>IFERROR(VLOOKUP(Table1[RespondentID],'All Data'!$A$3:$CO$999,88,FALSE),"unknown")</f>
        <v>0</v>
      </c>
      <c r="AL418" s="120" t="str">
        <f>IFERROR(VLOOKUP(Table1[RespondentID],'All Data'!$A$3:$CO$999,89,FALSE),"unknown")</f>
        <v>Suffolk</v>
      </c>
      <c r="AM418" s="120" t="str">
        <f>IFERROR(VLOOKUP(Table1[RespondentID],'All Data'!$A$3:$CO$999,90,FALSE),"unknown")</f>
        <v>Deer Park, 11729</v>
      </c>
      <c r="AN418" s="120">
        <f>IFERROR(VLOOKUP(Table1[RespondentID],'All Data'!$A$3:$CO$999,91,FALSE),"unknown")</f>
        <v>0</v>
      </c>
      <c r="AO418" s="120" t="str">
        <f>IFERROR(VLOOKUP(Table1[RespondentID],'All Data'!$A$3:$CO$999,92,FALSE),"unknown")</f>
        <v>Not Hispanic or Latino</v>
      </c>
      <c r="AP418" s="120" t="str">
        <f>IFERROR(VLOOKUP(Table1[RespondentID],'All Data'!$A$3:$CO$999,93,FALSE),"unknown")</f>
        <v>English</v>
      </c>
      <c r="AQ418" s="120" t="str">
        <f>IFERROR(VLOOKUP(Table1[RespondentID],'All Data'!$A$3:$CW$999,94,FALSE),"unknown")</f>
        <v>Over $125,000</v>
      </c>
      <c r="AR418" s="120" t="str">
        <f>IFERROR(VLOOKUP(Table1[RespondentID],'All Data'!$A$3:$CW$999,95,FALSE),"unknown")</f>
        <v>College graduate</v>
      </c>
      <c r="AS418" s="120">
        <f>IFERROR(VLOOKUP(Table1[RespondentID],'All Data'!$A$3:$CW$999,96,FALSE),"unknown")</f>
        <v>0</v>
      </c>
      <c r="AT418" s="120">
        <f>IFERROR(VLOOKUP(Table1[RespondentID],'All Data'!$A$3:$CW$999,97,FALSE),"unknown")</f>
        <v>0</v>
      </c>
      <c r="AU418" s="120" t="str">
        <f>IFERROR(VLOOKUP(Table1[RespondentID],'All Data'!$A$3:$CW$999,98,FALSE),"unknown")</f>
        <v>Private/Commercial</v>
      </c>
      <c r="AV418" s="120" t="str">
        <f>IFERROR(VLOOKUP(Table1[RespondentID],'All Data'!$A$3:$CW$999,99,FALSE),"unknown")</f>
        <v>Yes</v>
      </c>
    </row>
    <row r="419" spans="1:48">
      <c r="A419" s="133">
        <v>114085822022</v>
      </c>
      <c r="B419" s="139" t="s">
        <v>38</v>
      </c>
      <c r="C419" s="107"/>
      <c r="D419" s="107"/>
      <c r="E419" s="107"/>
      <c r="F419" s="107" t="s">
        <v>42</v>
      </c>
      <c r="G419" s="107"/>
      <c r="H419" s="107"/>
      <c r="I419" s="107"/>
      <c r="J419" s="107" t="s">
        <v>45</v>
      </c>
      <c r="K419" s="107"/>
      <c r="L419" s="107"/>
      <c r="M419" s="107"/>
      <c r="N419" s="5"/>
      <c r="O419" s="18">
        <f t="shared" si="102"/>
        <v>3</v>
      </c>
      <c r="P419" s="18">
        <f t="shared" si="103"/>
        <v>1</v>
      </c>
      <c r="Q419" s="5"/>
      <c r="R419" s="18">
        <f t="shared" si="104"/>
        <v>1</v>
      </c>
      <c r="S419" s="18">
        <f t="shared" si="105"/>
        <v>0</v>
      </c>
      <c r="T419" s="18">
        <f t="shared" si="106"/>
        <v>0</v>
      </c>
      <c r="U419" s="18">
        <f t="shared" si="107"/>
        <v>0</v>
      </c>
      <c r="V419" s="18">
        <f t="shared" si="108"/>
        <v>1</v>
      </c>
      <c r="W419" s="18">
        <f t="shared" si="109"/>
        <v>0</v>
      </c>
      <c r="X419" s="18">
        <f t="shared" si="110"/>
        <v>0</v>
      </c>
      <c r="Y419" s="18">
        <f t="shared" si="111"/>
        <v>0</v>
      </c>
      <c r="Z419" s="18">
        <f t="shared" si="112"/>
        <v>1</v>
      </c>
      <c r="AA419" s="18">
        <f t="shared" si="113"/>
        <v>0</v>
      </c>
      <c r="AB419" s="18">
        <f t="shared" si="114"/>
        <v>0</v>
      </c>
      <c r="AC419" s="18">
        <f t="shared" si="115"/>
        <v>0</v>
      </c>
      <c r="AD419" s="5"/>
      <c r="AE419" s="5"/>
      <c r="AF419" s="18">
        <f t="shared" si="116"/>
        <v>3</v>
      </c>
      <c r="AG419" s="18">
        <f t="shared" si="117"/>
        <v>3</v>
      </c>
      <c r="AH419" s="18" t="str">
        <f t="shared" si="118"/>
        <v>Correct</v>
      </c>
      <c r="AI419" s="5"/>
      <c r="AJ419" s="120" t="str">
        <f>IFERROR(VLOOKUP(Table1[RespondentID],'All Data'!$A$3:$CO$999,87,FALSE),"unknown")</f>
        <v>Woman</v>
      </c>
      <c r="AK419" s="120">
        <f>IFERROR(VLOOKUP(Table1[RespondentID],'All Data'!$A$3:$CO$999,88,FALSE),"unknown")</f>
        <v>0</v>
      </c>
      <c r="AL419" s="120" t="str">
        <f>IFERROR(VLOOKUP(Table1[RespondentID],'All Data'!$A$3:$CO$999,89,FALSE),"unknown")</f>
        <v>Nassau</v>
      </c>
      <c r="AM419" s="120" t="str">
        <f>IFERROR(VLOOKUP(Table1[RespondentID],'All Data'!$A$3:$CO$999,90,FALSE),"unknown")</f>
        <v>Bethpage, 11714</v>
      </c>
      <c r="AN419" s="120">
        <f>IFERROR(VLOOKUP(Table1[RespondentID],'All Data'!$A$3:$CO$999,91,FALSE),"unknown")</f>
        <v>0</v>
      </c>
      <c r="AO419" s="120" t="str">
        <f>IFERROR(VLOOKUP(Table1[RespondentID],'All Data'!$A$3:$CO$999,92,FALSE),"unknown")</f>
        <v>Not Hispanic or Latino</v>
      </c>
      <c r="AP419" s="120" t="str">
        <f>IFERROR(VLOOKUP(Table1[RespondentID],'All Data'!$A$3:$CO$999,93,FALSE),"unknown")</f>
        <v>English</v>
      </c>
      <c r="AQ419" s="120" t="str">
        <f>IFERROR(VLOOKUP(Table1[RespondentID],'All Data'!$A$3:$CW$999,94,FALSE),"unknown")</f>
        <v>$75,000 to $125,000</v>
      </c>
      <c r="AR419" s="120" t="str">
        <f>IFERROR(VLOOKUP(Table1[RespondentID],'All Data'!$A$3:$CW$999,95,FALSE),"unknown")</f>
        <v>College graduate</v>
      </c>
      <c r="AS419" s="120">
        <f>IFERROR(VLOOKUP(Table1[RespondentID],'All Data'!$A$3:$CW$999,96,FALSE),"unknown")</f>
        <v>0</v>
      </c>
      <c r="AT419" s="120">
        <f>IFERROR(VLOOKUP(Table1[RespondentID],'All Data'!$A$3:$CW$999,97,FALSE),"unknown")</f>
        <v>0</v>
      </c>
      <c r="AU419" s="120" t="str">
        <f>IFERROR(VLOOKUP(Table1[RespondentID],'All Data'!$A$3:$CW$999,98,FALSE),"unknown")</f>
        <v>Private/Commercial</v>
      </c>
      <c r="AV419" s="120" t="str">
        <f>IFERROR(VLOOKUP(Table1[RespondentID],'All Data'!$A$3:$CW$999,99,FALSE),"unknown")</f>
        <v>Yes</v>
      </c>
    </row>
    <row r="420" spans="1:48">
      <c r="A420" s="133">
        <v>114085818088</v>
      </c>
      <c r="B420" s="139"/>
      <c r="C420" s="107" t="s">
        <v>39</v>
      </c>
      <c r="D420" s="107"/>
      <c r="E420" s="107"/>
      <c r="F420" s="107"/>
      <c r="G420" s="107"/>
      <c r="H420" s="107" t="s">
        <v>43</v>
      </c>
      <c r="I420" s="107" t="s">
        <v>44</v>
      </c>
      <c r="J420" s="107"/>
      <c r="K420" s="107"/>
      <c r="L420" s="107"/>
      <c r="M420" s="107"/>
      <c r="N420" s="5"/>
      <c r="O420" s="18">
        <f t="shared" si="102"/>
        <v>3</v>
      </c>
      <c r="P420" s="18">
        <f t="shared" si="103"/>
        <v>1</v>
      </c>
      <c r="Q420" s="5"/>
      <c r="R420" s="18">
        <f t="shared" si="104"/>
        <v>0</v>
      </c>
      <c r="S420" s="18">
        <f t="shared" si="105"/>
        <v>1</v>
      </c>
      <c r="T420" s="18">
        <f t="shared" si="106"/>
        <v>0</v>
      </c>
      <c r="U420" s="18">
        <f t="shared" si="107"/>
        <v>0</v>
      </c>
      <c r="V420" s="18">
        <f t="shared" si="108"/>
        <v>0</v>
      </c>
      <c r="W420" s="18">
        <f t="shared" si="109"/>
        <v>0</v>
      </c>
      <c r="X420" s="18">
        <f t="shared" si="110"/>
        <v>1</v>
      </c>
      <c r="Y420" s="18">
        <f t="shared" si="111"/>
        <v>1</v>
      </c>
      <c r="Z420" s="18">
        <f t="shared" si="112"/>
        <v>0</v>
      </c>
      <c r="AA420" s="18">
        <f t="shared" si="113"/>
        <v>0</v>
      </c>
      <c r="AB420" s="18">
        <f t="shared" si="114"/>
        <v>0</v>
      </c>
      <c r="AC420" s="18">
        <f t="shared" si="115"/>
        <v>0</v>
      </c>
      <c r="AD420" s="5"/>
      <c r="AE420" s="5"/>
      <c r="AF420" s="18">
        <f t="shared" si="116"/>
        <v>3</v>
      </c>
      <c r="AG420" s="18">
        <f t="shared" si="117"/>
        <v>3</v>
      </c>
      <c r="AH420" s="18" t="str">
        <f t="shared" si="118"/>
        <v>Correct</v>
      </c>
      <c r="AI420" s="5"/>
      <c r="AJ420" s="120" t="str">
        <f>IFERROR(VLOOKUP(Table1[RespondentID],'All Data'!$A$3:$CO$999,87,FALSE),"unknown")</f>
        <v>Woman</v>
      </c>
      <c r="AK420" s="120">
        <f>IFERROR(VLOOKUP(Table1[RespondentID],'All Data'!$A$3:$CO$999,88,FALSE),"unknown")</f>
        <v>0</v>
      </c>
      <c r="AL420" s="120" t="str">
        <f>IFERROR(VLOOKUP(Table1[RespondentID],'All Data'!$A$3:$CO$999,89,FALSE),"unknown")</f>
        <v>Nassau</v>
      </c>
      <c r="AM420" s="120" t="str">
        <f>IFERROR(VLOOKUP(Table1[RespondentID],'All Data'!$A$3:$CO$999,90,FALSE),"unknown")</f>
        <v>New Hyde Park, 11040</v>
      </c>
      <c r="AN420" s="120">
        <f>IFERROR(VLOOKUP(Table1[RespondentID],'All Data'!$A$3:$CO$999,91,FALSE),"unknown")</f>
        <v>0</v>
      </c>
      <c r="AO420" s="120" t="str">
        <f>IFERROR(VLOOKUP(Table1[RespondentID],'All Data'!$A$3:$CO$999,92,FALSE),"unknown")</f>
        <v>Not Hispanic or Latino</v>
      </c>
      <c r="AP420" s="120" t="str">
        <f>IFERROR(VLOOKUP(Table1[RespondentID],'All Data'!$A$3:$CO$999,93,FALSE),"unknown")</f>
        <v>English</v>
      </c>
      <c r="AQ420" s="120" t="str">
        <f>IFERROR(VLOOKUP(Table1[RespondentID],'All Data'!$A$3:$CW$999,94,FALSE),"unknown")</f>
        <v>Over $125,000</v>
      </c>
      <c r="AR420" s="120" t="str">
        <f>IFERROR(VLOOKUP(Table1[RespondentID],'All Data'!$A$3:$CW$999,95,FALSE),"unknown")</f>
        <v>Graduate school</v>
      </c>
      <c r="AS420" s="120">
        <f>IFERROR(VLOOKUP(Table1[RespondentID],'All Data'!$A$3:$CW$999,96,FALSE),"unknown")</f>
        <v>0</v>
      </c>
      <c r="AT420" s="120">
        <f>IFERROR(VLOOKUP(Table1[RespondentID],'All Data'!$A$3:$CW$999,97,FALSE),"unknown")</f>
        <v>0</v>
      </c>
      <c r="AU420" s="120" t="str">
        <f>IFERROR(VLOOKUP(Table1[RespondentID],'All Data'!$A$3:$CW$999,98,FALSE),"unknown")</f>
        <v>Medicare,Private/Commercial</v>
      </c>
      <c r="AV420" s="120" t="str">
        <f>IFERROR(VLOOKUP(Table1[RespondentID],'All Data'!$A$3:$CW$999,99,FALSE),"unknown")</f>
        <v>Yes</v>
      </c>
    </row>
    <row r="421" spans="1:48">
      <c r="A421" s="133">
        <v>114085818365</v>
      </c>
      <c r="B421" s="139"/>
      <c r="C421" s="107" t="s">
        <v>39</v>
      </c>
      <c r="D421" s="107"/>
      <c r="E421" s="107"/>
      <c r="F421" s="107" t="s">
        <v>42</v>
      </c>
      <c r="G421" s="107" t="s">
        <v>37</v>
      </c>
      <c r="H421" s="107"/>
      <c r="I421" s="107" t="s">
        <v>44</v>
      </c>
      <c r="J421" s="107"/>
      <c r="K421" s="107" t="s">
        <v>46</v>
      </c>
      <c r="L421" s="107"/>
      <c r="M421" s="107"/>
      <c r="N421" s="5"/>
      <c r="O421" s="18">
        <f t="shared" si="102"/>
        <v>5</v>
      </c>
      <c r="P421" s="18">
        <f t="shared" si="103"/>
        <v>0.6</v>
      </c>
      <c r="Q421" s="5"/>
      <c r="R421" s="18">
        <f t="shared" si="104"/>
        <v>0</v>
      </c>
      <c r="S421" s="18">
        <f t="shared" si="105"/>
        <v>0.6</v>
      </c>
      <c r="T421" s="18">
        <f t="shared" si="106"/>
        <v>0</v>
      </c>
      <c r="U421" s="18">
        <f t="shared" si="107"/>
        <v>0</v>
      </c>
      <c r="V421" s="18">
        <f t="shared" si="108"/>
        <v>0.6</v>
      </c>
      <c r="W421" s="18">
        <f t="shared" si="109"/>
        <v>0.6</v>
      </c>
      <c r="X421" s="18">
        <f t="shared" si="110"/>
        <v>0</v>
      </c>
      <c r="Y421" s="18">
        <f t="shared" si="111"/>
        <v>0.6</v>
      </c>
      <c r="Z421" s="18">
        <f t="shared" si="112"/>
        <v>0</v>
      </c>
      <c r="AA421" s="18">
        <f t="shared" si="113"/>
        <v>0.6</v>
      </c>
      <c r="AB421" s="18">
        <f t="shared" si="114"/>
        <v>0</v>
      </c>
      <c r="AC421" s="18">
        <f t="shared" si="115"/>
        <v>0</v>
      </c>
      <c r="AD421" s="5"/>
      <c r="AE421" s="5"/>
      <c r="AF421" s="18">
        <f t="shared" si="116"/>
        <v>3</v>
      </c>
      <c r="AG421" s="18">
        <f t="shared" si="117"/>
        <v>5</v>
      </c>
      <c r="AH421" s="18" t="str">
        <f t="shared" si="118"/>
        <v>Correct</v>
      </c>
      <c r="AI421" s="5"/>
      <c r="AJ421" s="120" t="str">
        <f>IFERROR(VLOOKUP(Table1[RespondentID],'All Data'!$A$3:$CO$999,87,FALSE),"unknown")</f>
        <v>Woman</v>
      </c>
      <c r="AK421" s="120">
        <f>IFERROR(VLOOKUP(Table1[RespondentID],'All Data'!$A$3:$CO$999,88,FALSE),"unknown")</f>
        <v>0</v>
      </c>
      <c r="AL421" s="120" t="str">
        <f>IFERROR(VLOOKUP(Table1[RespondentID],'All Data'!$A$3:$CO$999,89,FALSE),"unknown")</f>
        <v>Suffolk</v>
      </c>
      <c r="AM421" s="120" t="str">
        <f>IFERROR(VLOOKUP(Table1[RespondentID],'All Data'!$A$3:$CO$999,90,FALSE),"unknown")</f>
        <v>Lake Grove, 11755</v>
      </c>
      <c r="AN421" s="120">
        <f>IFERROR(VLOOKUP(Table1[RespondentID],'All Data'!$A$3:$CO$999,91,FALSE),"unknown")</f>
        <v>0</v>
      </c>
      <c r="AO421" s="120" t="str">
        <f>IFERROR(VLOOKUP(Table1[RespondentID],'All Data'!$A$3:$CO$999,92,FALSE),"unknown")</f>
        <v>Not Hispanic or Latino</v>
      </c>
      <c r="AP421" s="120" t="str">
        <f>IFERROR(VLOOKUP(Table1[RespondentID],'All Data'!$A$3:$CO$999,93,FALSE),"unknown")</f>
        <v>English</v>
      </c>
      <c r="AQ421" s="120" t="str">
        <f>IFERROR(VLOOKUP(Table1[RespondentID],'All Data'!$A$3:$CW$999,94,FALSE),"unknown")</f>
        <v>Over $125,000</v>
      </c>
      <c r="AR421" s="120" t="str">
        <f>IFERROR(VLOOKUP(Table1[RespondentID],'All Data'!$A$3:$CW$999,95,FALSE),"unknown")</f>
        <v>College graduate</v>
      </c>
      <c r="AS421" s="120">
        <f>IFERROR(VLOOKUP(Table1[RespondentID],'All Data'!$A$3:$CW$999,96,FALSE),"unknown")</f>
        <v>0</v>
      </c>
      <c r="AT421" s="120">
        <f>IFERROR(VLOOKUP(Table1[RespondentID],'All Data'!$A$3:$CW$999,97,FALSE),"unknown")</f>
        <v>0</v>
      </c>
      <c r="AU421" s="120" t="str">
        <f>IFERROR(VLOOKUP(Table1[RespondentID],'All Data'!$A$3:$CW$999,98,FALSE),"unknown")</f>
        <v>Private/Commercial</v>
      </c>
      <c r="AV421" s="120" t="str">
        <f>IFERROR(VLOOKUP(Table1[RespondentID],'All Data'!$A$3:$CW$999,99,FALSE),"unknown")</f>
        <v>Yes</v>
      </c>
    </row>
    <row r="422" spans="1:48">
      <c r="A422" s="133">
        <v>114085818190</v>
      </c>
      <c r="B422" s="139" t="s">
        <v>38</v>
      </c>
      <c r="C422" s="107" t="s">
        <v>39</v>
      </c>
      <c r="D422" s="107"/>
      <c r="E422" s="107" t="s">
        <v>41</v>
      </c>
      <c r="F422" s="107"/>
      <c r="G422" s="107"/>
      <c r="H422" s="107"/>
      <c r="I422" s="107"/>
      <c r="J422" s="107"/>
      <c r="K422" s="107"/>
      <c r="L422" s="107"/>
      <c r="M422" s="107"/>
      <c r="N422" s="5"/>
      <c r="O422" s="18">
        <f t="shared" si="102"/>
        <v>3</v>
      </c>
      <c r="P422" s="18">
        <f t="shared" si="103"/>
        <v>1</v>
      </c>
      <c r="Q422" s="5"/>
      <c r="R422" s="18">
        <f t="shared" si="104"/>
        <v>1</v>
      </c>
      <c r="S422" s="18">
        <f t="shared" si="105"/>
        <v>1</v>
      </c>
      <c r="T422" s="18">
        <f t="shared" si="106"/>
        <v>0</v>
      </c>
      <c r="U422" s="18">
        <f t="shared" si="107"/>
        <v>1</v>
      </c>
      <c r="V422" s="18">
        <f t="shared" si="108"/>
        <v>0</v>
      </c>
      <c r="W422" s="18">
        <f t="shared" si="109"/>
        <v>0</v>
      </c>
      <c r="X422" s="18">
        <f t="shared" si="110"/>
        <v>0</v>
      </c>
      <c r="Y422" s="18">
        <f t="shared" si="111"/>
        <v>0</v>
      </c>
      <c r="Z422" s="18">
        <f t="shared" si="112"/>
        <v>0</v>
      </c>
      <c r="AA422" s="18">
        <f t="shared" si="113"/>
        <v>0</v>
      </c>
      <c r="AB422" s="18">
        <f t="shared" si="114"/>
        <v>0</v>
      </c>
      <c r="AC422" s="18">
        <f t="shared" si="115"/>
        <v>0</v>
      </c>
      <c r="AD422" s="5"/>
      <c r="AE422" s="5"/>
      <c r="AF422" s="18">
        <f t="shared" si="116"/>
        <v>3</v>
      </c>
      <c r="AG422" s="18">
        <f t="shared" si="117"/>
        <v>3</v>
      </c>
      <c r="AH422" s="18" t="str">
        <f t="shared" si="118"/>
        <v>Correct</v>
      </c>
      <c r="AI422" s="5"/>
      <c r="AJ422" s="120" t="str">
        <f>IFERROR(VLOOKUP(Table1[RespondentID],'All Data'!$A$3:$CO$999,87,FALSE),"unknown")</f>
        <v>Man</v>
      </c>
      <c r="AK422" s="120">
        <f>IFERROR(VLOOKUP(Table1[RespondentID],'All Data'!$A$3:$CO$999,88,FALSE),"unknown")</f>
        <v>0</v>
      </c>
      <c r="AL422" s="120" t="str">
        <f>IFERROR(VLOOKUP(Table1[RespondentID],'All Data'!$A$3:$CO$999,89,FALSE),"unknown")</f>
        <v>Nassau</v>
      </c>
      <c r="AM422" s="120" t="str">
        <f>IFERROR(VLOOKUP(Table1[RespondentID],'All Data'!$A$3:$CO$999,90,FALSE),"unknown")</f>
        <v>Jericho, 11753</v>
      </c>
      <c r="AN422" s="120">
        <f>IFERROR(VLOOKUP(Table1[RespondentID],'All Data'!$A$3:$CO$999,91,FALSE),"unknown")</f>
        <v>0</v>
      </c>
      <c r="AO422" s="120" t="str">
        <f>IFERROR(VLOOKUP(Table1[RespondentID],'All Data'!$A$3:$CO$999,92,FALSE),"unknown")</f>
        <v>Not Hispanic or Latino</v>
      </c>
      <c r="AP422" s="120" t="str">
        <f>IFERROR(VLOOKUP(Table1[RespondentID],'All Data'!$A$3:$CO$999,93,FALSE),"unknown")</f>
        <v>English</v>
      </c>
      <c r="AQ422" s="120" t="str">
        <f>IFERROR(VLOOKUP(Table1[RespondentID],'All Data'!$A$3:$CW$999,94,FALSE),"unknown")</f>
        <v>Over $125,000</v>
      </c>
      <c r="AR422" s="120" t="str">
        <f>IFERROR(VLOOKUP(Table1[RespondentID],'All Data'!$A$3:$CW$999,95,FALSE),"unknown")</f>
        <v>Doctorate</v>
      </c>
      <c r="AS422" s="120">
        <f>IFERROR(VLOOKUP(Table1[RespondentID],'All Data'!$A$3:$CW$999,96,FALSE),"unknown")</f>
        <v>0</v>
      </c>
      <c r="AT422" s="120">
        <f>IFERROR(VLOOKUP(Table1[RespondentID],'All Data'!$A$3:$CW$999,97,FALSE),"unknown")</f>
        <v>0</v>
      </c>
      <c r="AU422" s="120" t="str">
        <f>IFERROR(VLOOKUP(Table1[RespondentID],'All Data'!$A$3:$CW$999,98,FALSE),"unknown")</f>
        <v>Private/Commercial</v>
      </c>
      <c r="AV422" s="120" t="str">
        <f>IFERROR(VLOOKUP(Table1[RespondentID],'All Data'!$A$3:$CW$999,99,FALSE),"unknown")</f>
        <v>Yes</v>
      </c>
    </row>
    <row r="423" spans="1:48">
      <c r="A423" s="133">
        <v>114085817474</v>
      </c>
      <c r="B423" s="139"/>
      <c r="C423" s="107" t="s">
        <v>39</v>
      </c>
      <c r="D423" s="107"/>
      <c r="E423" s="107" t="s">
        <v>41</v>
      </c>
      <c r="F423" s="107"/>
      <c r="G423" s="107"/>
      <c r="H423" s="107"/>
      <c r="I423" s="107"/>
      <c r="J423" s="107"/>
      <c r="K423" s="107"/>
      <c r="L423" s="107"/>
      <c r="M423" s="107"/>
      <c r="N423" s="5"/>
      <c r="O423" s="18">
        <f t="shared" si="102"/>
        <v>2</v>
      </c>
      <c r="P423" s="18">
        <f t="shared" si="103"/>
        <v>1.5</v>
      </c>
      <c r="Q423" s="5"/>
      <c r="R423" s="18">
        <f t="shared" si="104"/>
        <v>0</v>
      </c>
      <c r="S423" s="18">
        <f t="shared" si="105"/>
        <v>1</v>
      </c>
      <c r="T423" s="18">
        <f t="shared" si="106"/>
        <v>0</v>
      </c>
      <c r="U423" s="18">
        <f t="shared" si="107"/>
        <v>1</v>
      </c>
      <c r="V423" s="18">
        <f t="shared" si="108"/>
        <v>0</v>
      </c>
      <c r="W423" s="18">
        <f t="shared" si="109"/>
        <v>0</v>
      </c>
      <c r="X423" s="18">
        <f t="shared" si="110"/>
        <v>0</v>
      </c>
      <c r="Y423" s="18">
        <f t="shared" si="111"/>
        <v>0</v>
      </c>
      <c r="Z423" s="18">
        <f t="shared" si="112"/>
        <v>0</v>
      </c>
      <c r="AA423" s="18">
        <f t="shared" si="113"/>
        <v>0</v>
      </c>
      <c r="AB423" s="18">
        <f t="shared" si="114"/>
        <v>0</v>
      </c>
      <c r="AC423" s="18">
        <f t="shared" si="115"/>
        <v>0</v>
      </c>
      <c r="AD423" s="5"/>
      <c r="AE423" s="5"/>
      <c r="AF423" s="18">
        <f t="shared" si="116"/>
        <v>2</v>
      </c>
      <c r="AG423" s="18">
        <f t="shared" si="117"/>
        <v>2</v>
      </c>
      <c r="AH423" s="18" t="str">
        <f t="shared" si="118"/>
        <v>Correct</v>
      </c>
      <c r="AI423" s="5"/>
      <c r="AJ423" s="120" t="str">
        <f>IFERROR(VLOOKUP(Table1[RespondentID],'All Data'!$A$3:$CO$999,87,FALSE),"unknown")</f>
        <v>Woman</v>
      </c>
      <c r="AK423" s="120">
        <f>IFERROR(VLOOKUP(Table1[RespondentID],'All Data'!$A$3:$CO$999,88,FALSE),"unknown")</f>
        <v>0</v>
      </c>
      <c r="AL423" s="120" t="str">
        <f>IFERROR(VLOOKUP(Table1[RespondentID],'All Data'!$A$3:$CO$999,89,FALSE),"unknown")</f>
        <v>Nassau</v>
      </c>
      <c r="AM423" s="120" t="str">
        <f>IFERROR(VLOOKUP(Table1[RespondentID],'All Data'!$A$3:$CO$999,90,FALSE),"unknown")</f>
        <v>Long Beach, 11561</v>
      </c>
      <c r="AN423" s="120">
        <f>IFERROR(VLOOKUP(Table1[RespondentID],'All Data'!$A$3:$CO$999,91,FALSE),"unknown")</f>
        <v>0</v>
      </c>
      <c r="AO423" s="120" t="str">
        <f>IFERROR(VLOOKUP(Table1[RespondentID],'All Data'!$A$3:$CO$999,92,FALSE),"unknown")</f>
        <v>Hispanic or Latino</v>
      </c>
      <c r="AP423" s="120" t="str">
        <f>IFERROR(VLOOKUP(Table1[RespondentID],'All Data'!$A$3:$CO$999,93,FALSE),"unknown")</f>
        <v>English</v>
      </c>
      <c r="AQ423" s="120" t="str">
        <f>IFERROR(VLOOKUP(Table1[RespondentID],'All Data'!$A$3:$CW$999,94,FALSE),"unknown")</f>
        <v>$50,000 to $74,999</v>
      </c>
      <c r="AR423" s="120" t="str">
        <f>IFERROR(VLOOKUP(Table1[RespondentID],'All Data'!$A$3:$CW$999,95,FALSE),"unknown")</f>
        <v>College graduate</v>
      </c>
      <c r="AS423" s="120">
        <f>IFERROR(VLOOKUP(Table1[RespondentID],'All Data'!$A$3:$CW$999,96,FALSE),"unknown")</f>
        <v>0</v>
      </c>
      <c r="AT423" s="120">
        <f>IFERROR(VLOOKUP(Table1[RespondentID],'All Data'!$A$3:$CW$999,97,FALSE),"unknown")</f>
        <v>0</v>
      </c>
      <c r="AU423" s="120" t="str">
        <f>IFERROR(VLOOKUP(Table1[RespondentID],'All Data'!$A$3:$CW$999,98,FALSE),"unknown")</f>
        <v>Private/Commercial</v>
      </c>
      <c r="AV423" s="120" t="str">
        <f>IFERROR(VLOOKUP(Table1[RespondentID],'All Data'!$A$3:$CW$999,99,FALSE),"unknown")</f>
        <v>Yes</v>
      </c>
    </row>
    <row r="424" spans="1:48">
      <c r="A424" s="133">
        <v>114085817457</v>
      </c>
      <c r="B424" s="139"/>
      <c r="C424" s="107" t="s">
        <v>39</v>
      </c>
      <c r="D424" s="107"/>
      <c r="E424" s="107"/>
      <c r="F424" s="107" t="s">
        <v>42</v>
      </c>
      <c r="G424" s="107"/>
      <c r="H424" s="107" t="s">
        <v>43</v>
      </c>
      <c r="I424" s="107"/>
      <c r="J424" s="107" t="s">
        <v>45</v>
      </c>
      <c r="K424" s="107"/>
      <c r="L424" s="107" t="s">
        <v>47</v>
      </c>
      <c r="M424" s="107"/>
      <c r="N424" s="5"/>
      <c r="O424" s="18">
        <f t="shared" si="102"/>
        <v>5</v>
      </c>
      <c r="P424" s="18">
        <f t="shared" si="103"/>
        <v>0.6</v>
      </c>
      <c r="Q424" s="5"/>
      <c r="R424" s="18">
        <f t="shared" si="104"/>
        <v>0</v>
      </c>
      <c r="S424" s="18">
        <f t="shared" si="105"/>
        <v>0.6</v>
      </c>
      <c r="T424" s="18">
        <f t="shared" si="106"/>
        <v>0</v>
      </c>
      <c r="U424" s="18">
        <f t="shared" si="107"/>
        <v>0</v>
      </c>
      <c r="V424" s="18">
        <f t="shared" si="108"/>
        <v>0.6</v>
      </c>
      <c r="W424" s="18">
        <f t="shared" si="109"/>
        <v>0</v>
      </c>
      <c r="X424" s="18">
        <f t="shared" si="110"/>
        <v>0.6</v>
      </c>
      <c r="Y424" s="18">
        <f t="shared" si="111"/>
        <v>0</v>
      </c>
      <c r="Z424" s="18">
        <f t="shared" si="112"/>
        <v>0.6</v>
      </c>
      <c r="AA424" s="18">
        <f t="shared" si="113"/>
        <v>0</v>
      </c>
      <c r="AB424" s="18">
        <f t="shared" si="114"/>
        <v>0.6</v>
      </c>
      <c r="AC424" s="18">
        <f t="shared" si="115"/>
        <v>0</v>
      </c>
      <c r="AD424" s="5"/>
      <c r="AE424" s="5"/>
      <c r="AF424" s="18">
        <f t="shared" si="116"/>
        <v>3</v>
      </c>
      <c r="AG424" s="18">
        <f t="shared" si="117"/>
        <v>5</v>
      </c>
      <c r="AH424" s="18" t="str">
        <f t="shared" si="118"/>
        <v>Correct</v>
      </c>
      <c r="AI424" s="5"/>
      <c r="AJ424" s="120" t="str">
        <f>IFERROR(VLOOKUP(Table1[RespondentID],'All Data'!$A$3:$CO$999,87,FALSE),"unknown")</f>
        <v>Woman</v>
      </c>
      <c r="AK424" s="120">
        <f>IFERROR(VLOOKUP(Table1[RespondentID],'All Data'!$A$3:$CO$999,88,FALSE),"unknown")</f>
        <v>0</v>
      </c>
      <c r="AL424" s="120" t="str">
        <f>IFERROR(VLOOKUP(Table1[RespondentID],'All Data'!$A$3:$CO$999,89,FALSE),"unknown")</f>
        <v>Nassau</v>
      </c>
      <c r="AM424" s="120" t="str">
        <f>IFERROR(VLOOKUP(Table1[RespondentID],'All Data'!$A$3:$CO$999,90,FALSE),"unknown")</f>
        <v>Uniondale, 11553</v>
      </c>
      <c r="AN424" s="120">
        <f>IFERROR(VLOOKUP(Table1[RespondentID],'All Data'!$A$3:$CO$999,91,FALSE),"unknown")</f>
        <v>0</v>
      </c>
      <c r="AO424" s="120" t="str">
        <f>IFERROR(VLOOKUP(Table1[RespondentID],'All Data'!$A$3:$CO$999,92,FALSE),"unknown")</f>
        <v>Not Hispanic or Latino</v>
      </c>
      <c r="AP424" s="120" t="str">
        <f>IFERROR(VLOOKUP(Table1[RespondentID],'All Data'!$A$3:$CO$999,93,FALSE),"unknown")</f>
        <v>English</v>
      </c>
      <c r="AQ424" s="120" t="str">
        <f>IFERROR(VLOOKUP(Table1[RespondentID],'All Data'!$A$3:$CW$999,94,FALSE),"unknown")</f>
        <v>$35,000 to $49,999</v>
      </c>
      <c r="AR424" s="120" t="str">
        <f>IFERROR(VLOOKUP(Table1[RespondentID],'All Data'!$A$3:$CW$999,95,FALSE),"unknown")</f>
        <v>Some college</v>
      </c>
      <c r="AS424" s="120">
        <f>IFERROR(VLOOKUP(Table1[RespondentID],'All Data'!$A$3:$CW$999,96,FALSE),"unknown")</f>
        <v>0</v>
      </c>
      <c r="AT424" s="120">
        <f>IFERROR(VLOOKUP(Table1[RespondentID],'All Data'!$A$3:$CW$999,97,FALSE),"unknown")</f>
        <v>0</v>
      </c>
      <c r="AU424" s="120" t="str">
        <f>IFERROR(VLOOKUP(Table1[RespondentID],'All Data'!$A$3:$CW$999,98,FALSE),"unknown")</f>
        <v>Private/Commercial</v>
      </c>
      <c r="AV424" s="120" t="str">
        <f>IFERROR(VLOOKUP(Table1[RespondentID],'All Data'!$A$3:$CW$999,99,FALSE),"unknown")</f>
        <v>Yes</v>
      </c>
    </row>
    <row r="425" spans="1:48">
      <c r="A425" s="133">
        <v>114085817331</v>
      </c>
      <c r="B425" s="139"/>
      <c r="C425" s="107"/>
      <c r="D425" s="107"/>
      <c r="E425" s="107" t="s">
        <v>41</v>
      </c>
      <c r="F425" s="107"/>
      <c r="G425" s="107"/>
      <c r="H425" s="107"/>
      <c r="I425" s="107"/>
      <c r="J425" s="107"/>
      <c r="K425" s="107" t="s">
        <v>46</v>
      </c>
      <c r="L425" s="107"/>
      <c r="M425" s="107"/>
      <c r="N425" s="5"/>
      <c r="O425" s="18">
        <f t="shared" si="102"/>
        <v>2</v>
      </c>
      <c r="P425" s="18">
        <f t="shared" si="103"/>
        <v>1.5</v>
      </c>
      <c r="Q425" s="5"/>
      <c r="R425" s="18">
        <f t="shared" si="104"/>
        <v>0</v>
      </c>
      <c r="S425" s="18">
        <f t="shared" si="105"/>
        <v>0</v>
      </c>
      <c r="T425" s="18">
        <f t="shared" si="106"/>
        <v>0</v>
      </c>
      <c r="U425" s="18">
        <f t="shared" si="107"/>
        <v>1</v>
      </c>
      <c r="V425" s="18">
        <f t="shared" si="108"/>
        <v>0</v>
      </c>
      <c r="W425" s="18">
        <f t="shared" si="109"/>
        <v>0</v>
      </c>
      <c r="X425" s="18">
        <f t="shared" si="110"/>
        <v>0</v>
      </c>
      <c r="Y425" s="18">
        <f t="shared" si="111"/>
        <v>0</v>
      </c>
      <c r="Z425" s="18">
        <f t="shared" si="112"/>
        <v>0</v>
      </c>
      <c r="AA425" s="18">
        <f t="shared" si="113"/>
        <v>1</v>
      </c>
      <c r="AB425" s="18">
        <f t="shared" si="114"/>
        <v>0</v>
      </c>
      <c r="AC425" s="18">
        <f t="shared" si="115"/>
        <v>0</v>
      </c>
      <c r="AD425" s="5"/>
      <c r="AE425" s="5"/>
      <c r="AF425" s="18">
        <f t="shared" si="116"/>
        <v>2</v>
      </c>
      <c r="AG425" s="18">
        <f t="shared" si="117"/>
        <v>2</v>
      </c>
      <c r="AH425" s="18" t="str">
        <f t="shared" si="118"/>
        <v>Correct</v>
      </c>
      <c r="AI425" s="5"/>
      <c r="AJ425" s="120" t="str">
        <f>IFERROR(VLOOKUP(Table1[RespondentID],'All Data'!$A$3:$CO$999,87,FALSE),"unknown")</f>
        <v>Woman</v>
      </c>
      <c r="AK425" s="120">
        <f>IFERROR(VLOOKUP(Table1[RespondentID],'All Data'!$A$3:$CO$999,88,FALSE),"unknown")</f>
        <v>0</v>
      </c>
      <c r="AL425" s="120" t="str">
        <f>IFERROR(VLOOKUP(Table1[RespondentID],'All Data'!$A$3:$CO$999,89,FALSE),"unknown")</f>
        <v>Nassau</v>
      </c>
      <c r="AM425" s="120" t="str">
        <f>IFERROR(VLOOKUP(Table1[RespondentID],'All Data'!$A$3:$CO$999,90,FALSE),"unknown")</f>
        <v>Plainview, 11803</v>
      </c>
      <c r="AN425" s="120">
        <f>IFERROR(VLOOKUP(Table1[RespondentID],'All Data'!$A$3:$CO$999,91,FALSE),"unknown")</f>
        <v>0</v>
      </c>
      <c r="AO425" s="120" t="str">
        <f>IFERROR(VLOOKUP(Table1[RespondentID],'All Data'!$A$3:$CO$999,92,FALSE),"unknown")</f>
        <v>Not Hispanic or Latino</v>
      </c>
      <c r="AP425" s="120" t="str">
        <f>IFERROR(VLOOKUP(Table1[RespondentID],'All Data'!$A$3:$CO$999,93,FALSE),"unknown")</f>
        <v>English</v>
      </c>
      <c r="AQ425" s="120" t="str">
        <f>IFERROR(VLOOKUP(Table1[RespondentID],'All Data'!$A$3:$CW$999,94,FALSE),"unknown")</f>
        <v>Over $125,000</v>
      </c>
      <c r="AR425" s="120" t="str">
        <f>IFERROR(VLOOKUP(Table1[RespondentID],'All Data'!$A$3:$CW$999,95,FALSE),"unknown")</f>
        <v>Graduate school</v>
      </c>
      <c r="AS425" s="120">
        <f>IFERROR(VLOOKUP(Table1[RespondentID],'All Data'!$A$3:$CW$999,96,FALSE),"unknown")</f>
        <v>0</v>
      </c>
      <c r="AT425" s="120">
        <f>IFERROR(VLOOKUP(Table1[RespondentID],'All Data'!$A$3:$CW$999,97,FALSE),"unknown")</f>
        <v>0</v>
      </c>
      <c r="AU425" s="120" t="str">
        <f>IFERROR(VLOOKUP(Table1[RespondentID],'All Data'!$A$3:$CW$999,98,FALSE),"unknown")</f>
        <v>Private/Commercial</v>
      </c>
      <c r="AV425" s="120" t="str">
        <f>IFERROR(VLOOKUP(Table1[RespondentID],'All Data'!$A$3:$CW$999,99,FALSE),"unknown")</f>
        <v>Yes</v>
      </c>
    </row>
    <row r="426" spans="1:48">
      <c r="A426" s="133">
        <v>114085816678</v>
      </c>
      <c r="B426" s="139"/>
      <c r="C426" s="107" t="s">
        <v>39</v>
      </c>
      <c r="D426" s="107"/>
      <c r="E426" s="107"/>
      <c r="F426" s="107"/>
      <c r="G426" s="107" t="s">
        <v>37</v>
      </c>
      <c r="H426" s="107"/>
      <c r="I426" s="107"/>
      <c r="J426" s="107" t="s">
        <v>45</v>
      </c>
      <c r="K426" s="107"/>
      <c r="L426" s="107"/>
      <c r="M426" s="107"/>
      <c r="N426" s="5"/>
      <c r="O426" s="18">
        <f t="shared" si="102"/>
        <v>3</v>
      </c>
      <c r="P426" s="18">
        <f t="shared" si="103"/>
        <v>1</v>
      </c>
      <c r="Q426" s="5"/>
      <c r="R426" s="18">
        <f t="shared" si="104"/>
        <v>0</v>
      </c>
      <c r="S426" s="18">
        <f t="shared" si="105"/>
        <v>1</v>
      </c>
      <c r="T426" s="18">
        <f t="shared" si="106"/>
        <v>0</v>
      </c>
      <c r="U426" s="18">
        <f t="shared" si="107"/>
        <v>0</v>
      </c>
      <c r="V426" s="18">
        <f t="shared" si="108"/>
        <v>0</v>
      </c>
      <c r="W426" s="18">
        <f t="shared" si="109"/>
        <v>1</v>
      </c>
      <c r="X426" s="18">
        <f t="shared" si="110"/>
        <v>0</v>
      </c>
      <c r="Y426" s="18">
        <f t="shared" si="111"/>
        <v>0</v>
      </c>
      <c r="Z426" s="18">
        <f t="shared" si="112"/>
        <v>1</v>
      </c>
      <c r="AA426" s="18">
        <f t="shared" si="113"/>
        <v>0</v>
      </c>
      <c r="AB426" s="18">
        <f t="shared" si="114"/>
        <v>0</v>
      </c>
      <c r="AC426" s="18">
        <f t="shared" si="115"/>
        <v>0</v>
      </c>
      <c r="AD426" s="5"/>
      <c r="AE426" s="5"/>
      <c r="AF426" s="18">
        <f t="shared" si="116"/>
        <v>3</v>
      </c>
      <c r="AG426" s="18">
        <f t="shared" si="117"/>
        <v>3</v>
      </c>
      <c r="AH426" s="18" t="str">
        <f t="shared" si="118"/>
        <v>Correct</v>
      </c>
      <c r="AI426" s="5"/>
      <c r="AJ426" s="120" t="str">
        <f>IFERROR(VLOOKUP(Table1[RespondentID],'All Data'!$A$3:$CO$999,87,FALSE),"unknown")</f>
        <v>Woman</v>
      </c>
      <c r="AK426" s="120">
        <f>IFERROR(VLOOKUP(Table1[RespondentID],'All Data'!$A$3:$CO$999,88,FALSE),"unknown")</f>
        <v>0</v>
      </c>
      <c r="AL426" s="120" t="str">
        <f>IFERROR(VLOOKUP(Table1[RespondentID],'All Data'!$A$3:$CO$999,89,FALSE),"unknown")</f>
        <v>Nassau</v>
      </c>
      <c r="AM426" s="120" t="str">
        <f>IFERROR(VLOOKUP(Table1[RespondentID],'All Data'!$A$3:$CO$999,90,FALSE),"unknown")</f>
        <v>Malverne, 11565</v>
      </c>
      <c r="AN426" s="120">
        <f>IFERROR(VLOOKUP(Table1[RespondentID],'All Data'!$A$3:$CO$999,91,FALSE),"unknown")</f>
        <v>0</v>
      </c>
      <c r="AO426" s="120" t="str">
        <f>IFERROR(VLOOKUP(Table1[RespondentID],'All Data'!$A$3:$CO$999,92,FALSE),"unknown")</f>
        <v>Not Hispanic or Latino</v>
      </c>
      <c r="AP426" s="120" t="str">
        <f>IFERROR(VLOOKUP(Table1[RespondentID],'All Data'!$A$3:$CO$999,93,FALSE),"unknown")</f>
        <v>English</v>
      </c>
      <c r="AQ426" s="120" t="str">
        <f>IFERROR(VLOOKUP(Table1[RespondentID],'All Data'!$A$3:$CW$999,94,FALSE),"unknown")</f>
        <v>Over $125,000</v>
      </c>
      <c r="AR426" s="120" t="str">
        <f>IFERROR(VLOOKUP(Table1[RespondentID],'All Data'!$A$3:$CW$999,95,FALSE),"unknown")</f>
        <v>College graduate</v>
      </c>
      <c r="AS426" s="120">
        <f>IFERROR(VLOOKUP(Table1[RespondentID],'All Data'!$A$3:$CW$999,96,FALSE),"unknown")</f>
        <v>0</v>
      </c>
      <c r="AT426" s="120">
        <f>IFERROR(VLOOKUP(Table1[RespondentID],'All Data'!$A$3:$CW$999,97,FALSE),"unknown")</f>
        <v>0</v>
      </c>
      <c r="AU426" s="120" t="str">
        <f>IFERROR(VLOOKUP(Table1[RespondentID],'All Data'!$A$3:$CW$999,98,FALSE),"unknown")</f>
        <v>Private/Commercial</v>
      </c>
      <c r="AV426" s="120" t="str">
        <f>IFERROR(VLOOKUP(Table1[RespondentID],'All Data'!$A$3:$CW$999,99,FALSE),"unknown")</f>
        <v>Yes</v>
      </c>
    </row>
    <row r="427" spans="1:48">
      <c r="A427" s="133">
        <v>114083656423</v>
      </c>
      <c r="B427" s="139" t="s">
        <v>38</v>
      </c>
      <c r="C427" s="107" t="s">
        <v>39</v>
      </c>
      <c r="D427" s="107"/>
      <c r="E427" s="107"/>
      <c r="F427" s="107"/>
      <c r="G427" s="107"/>
      <c r="H427" s="107" t="s">
        <v>43</v>
      </c>
      <c r="I427" s="107"/>
      <c r="J427" s="107"/>
      <c r="K427" s="107"/>
      <c r="L427" s="107"/>
      <c r="M427" s="107"/>
      <c r="N427" s="5"/>
      <c r="O427" s="18">
        <f t="shared" si="102"/>
        <v>3</v>
      </c>
      <c r="P427" s="18">
        <f t="shared" si="103"/>
        <v>1</v>
      </c>
      <c r="Q427" s="5"/>
      <c r="R427" s="18">
        <f t="shared" si="104"/>
        <v>1</v>
      </c>
      <c r="S427" s="18">
        <f t="shared" si="105"/>
        <v>1</v>
      </c>
      <c r="T427" s="18">
        <f t="shared" si="106"/>
        <v>0</v>
      </c>
      <c r="U427" s="18">
        <f t="shared" si="107"/>
        <v>0</v>
      </c>
      <c r="V427" s="18">
        <f t="shared" si="108"/>
        <v>0</v>
      </c>
      <c r="W427" s="18">
        <f t="shared" si="109"/>
        <v>0</v>
      </c>
      <c r="X427" s="18">
        <f t="shared" si="110"/>
        <v>1</v>
      </c>
      <c r="Y427" s="18">
        <f t="shared" si="111"/>
        <v>0</v>
      </c>
      <c r="Z427" s="18">
        <f t="shared" si="112"/>
        <v>0</v>
      </c>
      <c r="AA427" s="18">
        <f t="shared" si="113"/>
        <v>0</v>
      </c>
      <c r="AB427" s="18">
        <f t="shared" si="114"/>
        <v>0</v>
      </c>
      <c r="AC427" s="18">
        <f t="shared" si="115"/>
        <v>0</v>
      </c>
      <c r="AD427" s="5"/>
      <c r="AE427" s="5"/>
      <c r="AF427" s="18">
        <f t="shared" si="116"/>
        <v>3</v>
      </c>
      <c r="AG427" s="18">
        <f t="shared" si="117"/>
        <v>3</v>
      </c>
      <c r="AH427" s="18" t="str">
        <f t="shared" si="118"/>
        <v>Correct</v>
      </c>
      <c r="AI427" s="5"/>
      <c r="AJ427" s="120" t="str">
        <f>IFERROR(VLOOKUP(Table1[RespondentID],'All Data'!$A$3:$CO$999,87,FALSE),"unknown")</f>
        <v>Woman</v>
      </c>
      <c r="AK427" s="120">
        <f>IFERROR(VLOOKUP(Table1[RespondentID],'All Data'!$A$3:$CO$999,88,FALSE),"unknown")</f>
        <v>0</v>
      </c>
      <c r="AL427" s="120" t="str">
        <f>IFERROR(VLOOKUP(Table1[RespondentID],'All Data'!$A$3:$CO$999,89,FALSE),"unknown")</f>
        <v>Suffolk</v>
      </c>
      <c r="AM427" s="120" t="str">
        <f>IFERROR(VLOOKUP(Table1[RespondentID],'All Data'!$A$3:$CO$999,90,FALSE),"unknown")</f>
        <v>West Islip, 11795</v>
      </c>
      <c r="AN427" s="120">
        <f>IFERROR(VLOOKUP(Table1[RespondentID],'All Data'!$A$3:$CO$999,91,FALSE),"unknown")</f>
        <v>0</v>
      </c>
      <c r="AO427" s="120" t="str">
        <f>IFERROR(VLOOKUP(Table1[RespondentID],'All Data'!$A$3:$CO$999,92,FALSE),"unknown")</f>
        <v>Hispanic or Latino</v>
      </c>
      <c r="AP427" s="120" t="str">
        <f>IFERROR(VLOOKUP(Table1[RespondentID],'All Data'!$A$3:$CO$999,93,FALSE),"unknown")</f>
        <v>English</v>
      </c>
      <c r="AQ427" s="120" t="str">
        <f>IFERROR(VLOOKUP(Table1[RespondentID],'All Data'!$A$3:$CW$999,94,FALSE),"unknown")</f>
        <v>Over $125,000</v>
      </c>
      <c r="AR427" s="120" t="str">
        <f>IFERROR(VLOOKUP(Table1[RespondentID],'All Data'!$A$3:$CW$999,95,FALSE),"unknown")</f>
        <v>Graduate school</v>
      </c>
      <c r="AS427" s="120">
        <f>IFERROR(VLOOKUP(Table1[RespondentID],'All Data'!$A$3:$CW$999,96,FALSE),"unknown")</f>
        <v>0</v>
      </c>
      <c r="AT427" s="120">
        <f>IFERROR(VLOOKUP(Table1[RespondentID],'All Data'!$A$3:$CW$999,97,FALSE),"unknown")</f>
        <v>0</v>
      </c>
      <c r="AU427" s="120" t="str">
        <f>IFERROR(VLOOKUP(Table1[RespondentID],'All Data'!$A$3:$CW$999,98,FALSE),"unknown")</f>
        <v>Private/Commercial</v>
      </c>
      <c r="AV427" s="120" t="str">
        <f>IFERROR(VLOOKUP(Table1[RespondentID],'All Data'!$A$3:$CW$999,99,FALSE),"unknown")</f>
        <v>Yes</v>
      </c>
    </row>
    <row r="428" spans="1:48">
      <c r="A428" s="133">
        <v>114082818594</v>
      </c>
      <c r="B428" s="139" t="s">
        <v>38</v>
      </c>
      <c r="C428" s="107"/>
      <c r="D428" s="107"/>
      <c r="E428" s="107"/>
      <c r="F428" s="107"/>
      <c r="G428" s="107"/>
      <c r="H428" s="107"/>
      <c r="I428" s="107"/>
      <c r="J428" s="107"/>
      <c r="K428" s="107"/>
      <c r="L428" s="107"/>
      <c r="M428" s="107" t="s">
        <v>48</v>
      </c>
      <c r="N428" s="5"/>
      <c r="O428" s="18">
        <f t="shared" si="102"/>
        <v>2</v>
      </c>
      <c r="P428" s="18">
        <f t="shared" si="103"/>
        <v>1.5</v>
      </c>
      <c r="Q428" s="5"/>
      <c r="R428" s="18">
        <f t="shared" si="104"/>
        <v>1</v>
      </c>
      <c r="S428" s="18">
        <f t="shared" si="105"/>
        <v>0</v>
      </c>
      <c r="T428" s="18">
        <f t="shared" si="106"/>
        <v>0</v>
      </c>
      <c r="U428" s="18">
        <f t="shared" si="107"/>
        <v>0</v>
      </c>
      <c r="V428" s="18">
        <f t="shared" si="108"/>
        <v>0</v>
      </c>
      <c r="W428" s="18">
        <f t="shared" si="109"/>
        <v>0</v>
      </c>
      <c r="X428" s="18">
        <f t="shared" si="110"/>
        <v>0</v>
      </c>
      <c r="Y428" s="18">
        <f t="shared" si="111"/>
        <v>0</v>
      </c>
      <c r="Z428" s="18">
        <f t="shared" si="112"/>
        <v>0</v>
      </c>
      <c r="AA428" s="18">
        <f t="shared" si="113"/>
        <v>0</v>
      </c>
      <c r="AB428" s="18">
        <f t="shared" si="114"/>
        <v>0</v>
      </c>
      <c r="AC428" s="18">
        <f t="shared" si="115"/>
        <v>1</v>
      </c>
      <c r="AD428" s="5"/>
      <c r="AE428" s="5"/>
      <c r="AF428" s="18">
        <f t="shared" si="116"/>
        <v>2</v>
      </c>
      <c r="AG428" s="18">
        <f t="shared" si="117"/>
        <v>2</v>
      </c>
      <c r="AH428" s="18" t="str">
        <f t="shared" si="118"/>
        <v>Correct</v>
      </c>
      <c r="AI428" s="5"/>
      <c r="AJ428" s="120" t="str">
        <f>IFERROR(VLOOKUP(Table1[RespondentID],'All Data'!$A$3:$CO$999,87,FALSE),"unknown")</f>
        <v>Man</v>
      </c>
      <c r="AK428" s="120">
        <f>IFERROR(VLOOKUP(Table1[RespondentID],'All Data'!$A$3:$CO$999,88,FALSE),"unknown")</f>
        <v>0</v>
      </c>
      <c r="AL428" s="120" t="str">
        <f>IFERROR(VLOOKUP(Table1[RespondentID],'All Data'!$A$3:$CO$999,89,FALSE),"unknown")</f>
        <v>Nassau</v>
      </c>
      <c r="AM428" s="120" t="str">
        <f>IFERROR(VLOOKUP(Table1[RespondentID],'All Data'!$A$3:$CO$999,90,FALSE),"unknown")</f>
        <v>Merrick, 11566</v>
      </c>
      <c r="AN428" s="120">
        <f>IFERROR(VLOOKUP(Table1[RespondentID],'All Data'!$A$3:$CO$999,91,FALSE),"unknown")</f>
        <v>0</v>
      </c>
      <c r="AO428" s="120" t="str">
        <f>IFERROR(VLOOKUP(Table1[RespondentID],'All Data'!$A$3:$CO$999,92,FALSE),"unknown")</f>
        <v>Not Hispanic or Latino</v>
      </c>
      <c r="AP428" s="120" t="str">
        <f>IFERROR(VLOOKUP(Table1[RespondentID],'All Data'!$A$3:$CO$999,93,FALSE),"unknown")</f>
        <v>English</v>
      </c>
      <c r="AQ428" s="120" t="str">
        <f>IFERROR(VLOOKUP(Table1[RespondentID],'All Data'!$A$3:$CW$999,94,FALSE),"unknown")</f>
        <v>Over $125,000</v>
      </c>
      <c r="AR428" s="120" t="str">
        <f>IFERROR(VLOOKUP(Table1[RespondentID],'All Data'!$A$3:$CW$999,95,FALSE),"unknown")</f>
        <v>Doctorate</v>
      </c>
      <c r="AS428" s="120">
        <f>IFERROR(VLOOKUP(Table1[RespondentID],'All Data'!$A$3:$CW$999,96,FALSE),"unknown")</f>
        <v>0</v>
      </c>
      <c r="AT428" s="120">
        <f>IFERROR(VLOOKUP(Table1[RespondentID],'All Data'!$A$3:$CW$999,97,FALSE),"unknown")</f>
        <v>0</v>
      </c>
      <c r="AU428" s="120" t="str">
        <f>IFERROR(VLOOKUP(Table1[RespondentID],'All Data'!$A$3:$CW$999,98,FALSE),"unknown")</f>
        <v>Private/Commercial</v>
      </c>
      <c r="AV428" s="120" t="str">
        <f>IFERROR(VLOOKUP(Table1[RespondentID],'All Data'!$A$3:$CW$999,99,FALSE),"unknown")</f>
        <v>Yes</v>
      </c>
    </row>
    <row r="429" spans="1:48">
      <c r="A429" s="136">
        <v>114087300174</v>
      </c>
      <c r="B429" s="139" t="s">
        <v>38</v>
      </c>
      <c r="C429" s="140" t="s">
        <v>39</v>
      </c>
      <c r="D429" s="140"/>
      <c r="E429" s="140" t="s">
        <v>41</v>
      </c>
      <c r="F429" s="140"/>
      <c r="G429" s="140"/>
      <c r="H429" s="140"/>
      <c r="I429" s="140"/>
      <c r="J429" s="140" t="s">
        <v>45</v>
      </c>
      <c r="K429" s="140"/>
      <c r="L429" s="140"/>
      <c r="M429" s="140"/>
      <c r="N429" s="151"/>
      <c r="O429" s="152">
        <f t="shared" si="102"/>
        <v>4</v>
      </c>
      <c r="P429" s="152">
        <f t="shared" si="103"/>
        <v>0.75</v>
      </c>
      <c r="Q429" s="151"/>
      <c r="R429" s="152">
        <f t="shared" si="104"/>
        <v>0.75</v>
      </c>
      <c r="S429" s="152">
        <f t="shared" si="105"/>
        <v>0.75</v>
      </c>
      <c r="T429" s="152">
        <f t="shared" si="106"/>
        <v>0</v>
      </c>
      <c r="U429" s="152">
        <f t="shared" si="107"/>
        <v>0.75</v>
      </c>
      <c r="V429" s="152">
        <f t="shared" si="108"/>
        <v>0</v>
      </c>
      <c r="W429" s="152">
        <f t="shared" si="109"/>
        <v>0</v>
      </c>
      <c r="X429" s="152">
        <f t="shared" si="110"/>
        <v>0</v>
      </c>
      <c r="Y429" s="152">
        <f t="shared" si="111"/>
        <v>0</v>
      </c>
      <c r="Z429" s="152">
        <f t="shared" si="112"/>
        <v>0.75</v>
      </c>
      <c r="AA429" s="152">
        <f t="shared" si="113"/>
        <v>0</v>
      </c>
      <c r="AB429" s="152">
        <f t="shared" si="114"/>
        <v>0</v>
      </c>
      <c r="AC429" s="152">
        <f t="shared" si="115"/>
        <v>0</v>
      </c>
      <c r="AD429" s="151"/>
      <c r="AE429" s="151"/>
      <c r="AF429" s="152">
        <f t="shared" si="116"/>
        <v>3</v>
      </c>
      <c r="AG429" s="152">
        <f t="shared" si="117"/>
        <v>4</v>
      </c>
      <c r="AH429" s="152" t="str">
        <f t="shared" si="118"/>
        <v>Correct</v>
      </c>
      <c r="AI429" s="151"/>
      <c r="AJ429" s="120" t="str">
        <f>IFERROR(VLOOKUP(Table1[RespondentID],'All Data'!$A$3:$CO$999,87,FALSE),"unknown")</f>
        <v>Woman</v>
      </c>
      <c r="AK429" s="120">
        <f>IFERROR(VLOOKUP(Table1[RespondentID],'All Data'!$A$3:$CO$999,88,FALSE),"unknown")</f>
        <v>0</v>
      </c>
      <c r="AL429" s="120" t="str">
        <f>IFERROR(VLOOKUP(Table1[RespondentID],'All Data'!$A$3:$CO$999,89,FALSE),"unknown")</f>
        <v>Suffolk</v>
      </c>
      <c r="AM429" s="120" t="str">
        <f>IFERROR(VLOOKUP(Table1[RespondentID],'All Data'!$A$3:$CO$999,90,FALSE),"unknown")</f>
        <v>Bay Shore, 11706</v>
      </c>
      <c r="AN429" s="120">
        <f>IFERROR(VLOOKUP(Table1[RespondentID],'All Data'!$A$3:$CO$999,91,FALSE),"unknown")</f>
        <v>0</v>
      </c>
      <c r="AO429" s="120" t="str">
        <f>IFERROR(VLOOKUP(Table1[RespondentID],'All Data'!$A$3:$CO$999,92,FALSE),"unknown")</f>
        <v>Hispanic or Latino</v>
      </c>
      <c r="AP429" s="120" t="str">
        <f>IFERROR(VLOOKUP(Table1[RespondentID],'All Data'!$A$3:$CO$999,93,FALSE),"unknown")</f>
        <v>English,Spanish</v>
      </c>
      <c r="AQ429" s="120" t="str">
        <f>IFERROR(VLOOKUP(Table1[RespondentID],'All Data'!$A$3:$CW$999,94,FALSE),"unknown")</f>
        <v>$50,000 to $74,999</v>
      </c>
      <c r="AR429" s="120" t="str">
        <f>IFERROR(VLOOKUP(Table1[RespondentID],'All Data'!$A$3:$CW$999,95,FALSE),"unknown")</f>
        <v>College graduate</v>
      </c>
      <c r="AS429" s="120">
        <f>IFERROR(VLOOKUP(Table1[RespondentID],'All Data'!$A$3:$CW$999,96,FALSE),"unknown")</f>
        <v>0</v>
      </c>
      <c r="AT429" s="120" t="str">
        <f>IFERROR(VLOOKUP(Table1[RespondentID],'All Data'!$A$3:$CW$999,97,FALSE),"unknown")</f>
        <v>Yes</v>
      </c>
      <c r="AU429" s="120">
        <f>IFERROR(VLOOKUP(Table1[RespondentID],'All Data'!$A$3:$CW$999,98,FALSE),"unknown")</f>
        <v>0</v>
      </c>
      <c r="AV429" s="120" t="str">
        <f>IFERROR(VLOOKUP(Table1[RespondentID],'All Data'!$A$3:$CW$999,99,FALSE),"unknown")</f>
        <v>Yes</v>
      </c>
    </row>
    <row r="430" spans="1:48">
      <c r="A430" s="5">
        <v>114201599852</v>
      </c>
      <c r="B430" s="160" t="s">
        <v>38</v>
      </c>
      <c r="C430" s="124"/>
      <c r="D430" s="124"/>
      <c r="E430" s="124"/>
      <c r="F430" s="124"/>
      <c r="G430" s="124"/>
      <c r="H430" s="124" t="s">
        <v>43</v>
      </c>
      <c r="I430" s="124"/>
      <c r="J430" s="124" t="s">
        <v>45</v>
      </c>
      <c r="K430" s="124"/>
      <c r="L430" s="124"/>
      <c r="M430" s="124"/>
      <c r="N430" s="124"/>
      <c r="O430" s="100">
        <f t="shared" ref="O430:O461" si="119">COUNTA(B430:N430)</f>
        <v>3</v>
      </c>
      <c r="P430" s="100">
        <f t="shared" ref="P430:P461" si="120">3/O430</f>
        <v>1</v>
      </c>
      <c r="R430" s="100">
        <f t="shared" ref="R430:R461" si="121">IF($O430&lt;3,IF($B430=$B$1,1,0),IF($B430=$B$1,$P430,0))</f>
        <v>1</v>
      </c>
      <c r="S430" s="100">
        <f t="shared" ref="S430:S461" si="122">IF($O430&lt;3,IF($C430=$C$1,1,0),IF($C430=$C$1,$P430,0))</f>
        <v>0</v>
      </c>
      <c r="T430" s="100">
        <f t="shared" ref="T430:T461" si="123">IF($O430&lt;3,IF($D430=$D$1,1,0),IF($D430=$D$1,$P430,0))</f>
        <v>0</v>
      </c>
      <c r="U430" s="100">
        <f t="shared" ref="U430:U461" si="124">IF($O430&lt;3,IF($E430=$E$1,1,0),IF($E430=$E$1,$P430,0))</f>
        <v>0</v>
      </c>
      <c r="V430" s="100">
        <f t="shared" ref="V430:V461" si="125">IF($O430&lt;3,IF($F430=$F$1,1,0),IF($F430=$F$1,$P430,0))</f>
        <v>0</v>
      </c>
      <c r="W430" s="100">
        <f t="shared" ref="W430:W461" si="126">IF($O430&lt;3,IF($G430=$G$1,1,0),IF($G430=$G$1,$P430,0))</f>
        <v>0</v>
      </c>
      <c r="X430" s="100">
        <f t="shared" ref="X430:X461" si="127">IF($O430&lt;3,IF($H430=$H$1,1,0),IF($H430=$H$1,$P430,0))</f>
        <v>1</v>
      </c>
      <c r="Y430" s="100">
        <f t="shared" ref="Y430:Y461" si="128">IF($O430&lt;3,IF($I430=$I$1,1,0),IF($I430=$I$1,$P430,0))</f>
        <v>0</v>
      </c>
      <c r="Z430" s="100">
        <f t="shared" ref="Z430:Z461" si="129">IF($O430&lt;3,IF($J430=$J$1,1,0),IF($J430=$J$1,$P430,0))</f>
        <v>1</v>
      </c>
      <c r="AA430" s="100">
        <f t="shared" ref="AA430:AA461" si="130">IF($O430&lt;3,IF($K430=$K$1,1,0),IF($K430=$K$1,$P430,0))</f>
        <v>0</v>
      </c>
      <c r="AB430" s="100">
        <f t="shared" ref="AB430:AB461" si="131">IF($O430&lt;3,IF($L430=$L$1,1,0),IF($L430=$L$1,$P430,0))</f>
        <v>0</v>
      </c>
      <c r="AC430" s="100">
        <f t="shared" ref="AC430:AC461" si="132">IF($O430&lt;3,IF($M430=$M$1,1,0),IF($M430=$M$1,$P430,0))</f>
        <v>0</v>
      </c>
      <c r="AF430" s="100">
        <f t="shared" ref="AF430:AF461" si="133">SUM(R430:AD430)</f>
        <v>3</v>
      </c>
      <c r="AG430" s="100">
        <f t="shared" ref="AG430:AG461" si="134">O430</f>
        <v>3</v>
      </c>
      <c r="AH430" s="100" t="str">
        <f t="shared" ref="AH430:AH461" si="135">IF(AF430=AG430,"Correct",IF(AF430=3,"Correct","Wrong"))</f>
        <v>Correct</v>
      </c>
      <c r="AJ430" s="120" t="str">
        <f>IFERROR(VLOOKUP(Table1[RespondentID],'All Data'!$A$3:$CO$999,87,FALSE),"unknown")</f>
        <v>Woman</v>
      </c>
      <c r="AK430" s="120">
        <f>IFERROR(VLOOKUP(Table1[RespondentID],'All Data'!$A$3:$CO$999,88,FALSE),"unknown")</f>
        <v>66</v>
      </c>
      <c r="AL430" s="120" t="str">
        <f>IFERROR(VLOOKUP(Table1[RespondentID],'All Data'!$A$3:$CO$999,89,FALSE),"unknown")</f>
        <v>Suffolk</v>
      </c>
      <c r="AM430" s="120" t="str">
        <f>IFERROR(VLOOKUP(Table1[RespondentID],'All Data'!$A$3:$CO$999,90,FALSE),"unknown")</f>
        <v>Centerport, 11721</v>
      </c>
      <c r="AN430" s="120" t="str">
        <f>IFERROR(VLOOKUP(Table1[RespondentID],'All Data'!$A$3:$CO$999,91,FALSE),"unknown")</f>
        <v>White</v>
      </c>
      <c r="AO430" s="120" t="str">
        <f>IFERROR(VLOOKUP(Table1[RespondentID],'All Data'!$A$3:$CO$999,92,FALSE),"unknown")</f>
        <v>Not Hispanic or Latino</v>
      </c>
      <c r="AP430" s="120" t="str">
        <f>IFERROR(VLOOKUP(Table1[RespondentID],'All Data'!$A$3:$CO$999,93,FALSE),"unknown")</f>
        <v>English</v>
      </c>
      <c r="AQ430" s="120" t="str">
        <f>IFERROR(VLOOKUP(Table1[RespondentID],'All Data'!$A$3:$CW$999,94,FALSE),"unknown")</f>
        <v>Over $125,000</v>
      </c>
      <c r="AR430" s="120" t="str">
        <f>IFERROR(VLOOKUP(Table1[RespondentID],'All Data'!$A$3:$CW$999,95,FALSE),"unknown")</f>
        <v>Graduate school</v>
      </c>
      <c r="AS430" s="120" t="str">
        <f>IFERROR(VLOOKUP(Table1[RespondentID],'All Data'!$A$3:$CW$999,96,FALSE),"unknown")</f>
        <v>Employed for wages</v>
      </c>
      <c r="AT430" s="120" t="str">
        <f>IFERROR(VLOOKUP(Table1[RespondentID],'All Data'!$A$3:$CW$999,97,FALSE),"unknown")</f>
        <v>Yes</v>
      </c>
      <c r="AU430" s="120" t="str">
        <f>IFERROR(VLOOKUP(Table1[RespondentID],'All Data'!$A$3:$CW$999,98,FALSE),"unknown")</f>
        <v>Private/Commercial</v>
      </c>
      <c r="AV430" s="120" t="str">
        <f>IFERROR(VLOOKUP(Table1[RespondentID],'All Data'!$A$3:$CW$999,99,FALSE),"unknown")</f>
        <v>Yes</v>
      </c>
    </row>
    <row r="431" spans="1:48">
      <c r="A431" s="5">
        <v>114187605562</v>
      </c>
      <c r="B431" s="160"/>
      <c r="C431" s="124" t="s">
        <v>39</v>
      </c>
      <c r="D431" s="124"/>
      <c r="E431" s="124" t="s">
        <v>41</v>
      </c>
      <c r="F431" s="124"/>
      <c r="G431" s="124"/>
      <c r="H431" s="124" t="s">
        <v>43</v>
      </c>
      <c r="I431" s="124"/>
      <c r="J431" s="124"/>
      <c r="K431" s="124" t="s">
        <v>46</v>
      </c>
      <c r="L431" s="124"/>
      <c r="M431" s="124"/>
      <c r="N431" s="124"/>
      <c r="O431" s="100">
        <f t="shared" si="119"/>
        <v>4</v>
      </c>
      <c r="P431" s="100">
        <f t="shared" si="120"/>
        <v>0.75</v>
      </c>
      <c r="R431" s="100">
        <f t="shared" si="121"/>
        <v>0</v>
      </c>
      <c r="S431" s="100">
        <f t="shared" si="122"/>
        <v>0.75</v>
      </c>
      <c r="T431" s="100">
        <f t="shared" si="123"/>
        <v>0</v>
      </c>
      <c r="U431" s="100">
        <f t="shared" si="124"/>
        <v>0.75</v>
      </c>
      <c r="V431" s="100">
        <f t="shared" si="125"/>
        <v>0</v>
      </c>
      <c r="W431" s="100">
        <f t="shared" si="126"/>
        <v>0</v>
      </c>
      <c r="X431" s="100">
        <f t="shared" si="127"/>
        <v>0.75</v>
      </c>
      <c r="Y431" s="100">
        <f t="shared" si="128"/>
        <v>0</v>
      </c>
      <c r="Z431" s="100">
        <f t="shared" si="129"/>
        <v>0</v>
      </c>
      <c r="AA431" s="100">
        <f t="shared" si="130"/>
        <v>0.75</v>
      </c>
      <c r="AB431" s="100">
        <f t="shared" si="131"/>
        <v>0</v>
      </c>
      <c r="AC431" s="100">
        <f t="shared" si="132"/>
        <v>0</v>
      </c>
      <c r="AF431" s="100">
        <f t="shared" si="133"/>
        <v>3</v>
      </c>
      <c r="AG431" s="100">
        <f t="shared" si="134"/>
        <v>4</v>
      </c>
      <c r="AH431" s="100" t="str">
        <f t="shared" si="135"/>
        <v>Correct</v>
      </c>
      <c r="AJ431" s="120" t="str">
        <f>IFERROR(VLOOKUP(Table1[RespondentID],'All Data'!$A$3:$CO$999,87,FALSE),"unknown")</f>
        <v>Man</v>
      </c>
      <c r="AK431" s="120">
        <f>IFERROR(VLOOKUP(Table1[RespondentID],'All Data'!$A$3:$CO$999,88,FALSE),"unknown")</f>
        <v>53</v>
      </c>
      <c r="AL431" s="120" t="str">
        <f>IFERROR(VLOOKUP(Table1[RespondentID],'All Data'!$A$3:$CO$999,89,FALSE),"unknown")</f>
        <v>Nassau</v>
      </c>
      <c r="AM431" s="120" t="str">
        <f>IFERROR(VLOOKUP(Table1[RespondentID],'All Data'!$A$3:$CO$999,90,FALSE),"unknown")</f>
        <v>Merrick, 11566</v>
      </c>
      <c r="AN431" s="120" t="str">
        <f>IFERROR(VLOOKUP(Table1[RespondentID],'All Data'!$A$3:$CO$999,91,FALSE),"unknown")</f>
        <v>White</v>
      </c>
      <c r="AO431" s="120" t="str">
        <f>IFERROR(VLOOKUP(Table1[RespondentID],'All Data'!$A$3:$CO$999,92,FALSE),"unknown")</f>
        <v>Not Hispanic or Latino</v>
      </c>
      <c r="AP431" s="120" t="str">
        <f>IFERROR(VLOOKUP(Table1[RespondentID],'All Data'!$A$3:$CO$999,93,FALSE),"unknown")</f>
        <v>English</v>
      </c>
      <c r="AQ431" s="120" t="str">
        <f>IFERROR(VLOOKUP(Table1[RespondentID],'All Data'!$A$3:$CW$999,94,FALSE),"unknown")</f>
        <v>Over $125,000</v>
      </c>
      <c r="AR431" s="120" t="str">
        <f>IFERROR(VLOOKUP(Table1[RespondentID],'All Data'!$A$3:$CW$999,95,FALSE),"unknown")</f>
        <v>Doctorate</v>
      </c>
      <c r="AS431" s="120" t="str">
        <f>IFERROR(VLOOKUP(Table1[RespondentID],'All Data'!$A$3:$CW$999,96,FALSE),"unknown")</f>
        <v>Employed for wages</v>
      </c>
      <c r="AT431" s="120" t="str">
        <f>IFERROR(VLOOKUP(Table1[RespondentID],'All Data'!$A$3:$CW$999,97,FALSE),"unknown")</f>
        <v>Yes</v>
      </c>
      <c r="AU431" s="120" t="str">
        <f>IFERROR(VLOOKUP(Table1[RespondentID],'All Data'!$A$3:$CW$999,98,FALSE),"unknown")</f>
        <v>Private/Commercial</v>
      </c>
      <c r="AV431" s="120" t="str">
        <f>IFERROR(VLOOKUP(Table1[RespondentID],'All Data'!$A$3:$CW$999,99,FALSE),"unknown")</f>
        <v>Yes</v>
      </c>
    </row>
    <row r="432" spans="1:48">
      <c r="A432" s="5">
        <v>114178252865</v>
      </c>
      <c r="B432" s="160"/>
      <c r="C432" s="124"/>
      <c r="D432" s="124"/>
      <c r="E432" s="124"/>
      <c r="F432" s="124"/>
      <c r="G432" s="124"/>
      <c r="H432" s="124"/>
      <c r="I432" s="124"/>
      <c r="J432" s="124"/>
      <c r="K432" s="124"/>
      <c r="L432" s="124"/>
      <c r="M432" s="124"/>
      <c r="N432" s="124"/>
      <c r="O432" s="100">
        <f t="shared" si="119"/>
        <v>0</v>
      </c>
      <c r="P432" s="100" t="e">
        <f t="shared" si="120"/>
        <v>#DIV/0!</v>
      </c>
      <c r="R432" s="100">
        <f t="shared" si="121"/>
        <v>0</v>
      </c>
      <c r="S432" s="100">
        <f t="shared" si="122"/>
        <v>0</v>
      </c>
      <c r="T432" s="100">
        <f t="shared" si="123"/>
        <v>0</v>
      </c>
      <c r="U432" s="100">
        <f t="shared" si="124"/>
        <v>0</v>
      </c>
      <c r="V432" s="100">
        <f t="shared" si="125"/>
        <v>0</v>
      </c>
      <c r="W432" s="100">
        <f t="shared" si="126"/>
        <v>0</v>
      </c>
      <c r="X432" s="100">
        <f t="shared" si="127"/>
        <v>0</v>
      </c>
      <c r="Y432" s="100">
        <f t="shared" si="128"/>
        <v>0</v>
      </c>
      <c r="Z432" s="100">
        <f t="shared" si="129"/>
        <v>0</v>
      </c>
      <c r="AA432" s="100">
        <f t="shared" si="130"/>
        <v>0</v>
      </c>
      <c r="AB432" s="100">
        <f t="shared" si="131"/>
        <v>0</v>
      </c>
      <c r="AC432" s="100">
        <f t="shared" si="132"/>
        <v>0</v>
      </c>
      <c r="AF432" s="100">
        <f t="shared" si="133"/>
        <v>0</v>
      </c>
      <c r="AG432" s="100">
        <f t="shared" si="134"/>
        <v>0</v>
      </c>
      <c r="AH432" s="100" t="str">
        <f t="shared" si="135"/>
        <v>Correct</v>
      </c>
      <c r="AJ432" s="120">
        <f>IFERROR(VLOOKUP(Table1[RespondentID],'All Data'!$A$3:$CO$999,87,FALSE),"unknown")</f>
        <v>0</v>
      </c>
      <c r="AK432" s="120">
        <f>IFERROR(VLOOKUP(Table1[RespondentID],'All Data'!$A$3:$CO$999,88,FALSE),"unknown")</f>
        <v>15</v>
      </c>
      <c r="AL432" s="120">
        <f>IFERROR(VLOOKUP(Table1[RespondentID],'All Data'!$A$3:$CO$999,89,FALSE),"unknown")</f>
        <v>0</v>
      </c>
      <c r="AM432" s="120">
        <f>IFERROR(VLOOKUP(Table1[RespondentID],'All Data'!$A$3:$CO$999,90,FALSE),"unknown")</f>
        <v>0</v>
      </c>
      <c r="AN432" s="120">
        <f>IFERROR(VLOOKUP(Table1[RespondentID],'All Data'!$A$3:$CO$999,91,FALSE),"unknown")</f>
        <v>0</v>
      </c>
      <c r="AO432" s="120">
        <f>IFERROR(VLOOKUP(Table1[RespondentID],'All Data'!$A$3:$CO$999,92,FALSE),"unknown")</f>
        <v>0</v>
      </c>
      <c r="AP432" s="120">
        <f>IFERROR(VLOOKUP(Table1[RespondentID],'All Data'!$A$3:$CO$999,93,FALSE),"unknown")</f>
        <v>0</v>
      </c>
      <c r="AQ432" s="120">
        <f>IFERROR(VLOOKUP(Table1[RespondentID],'All Data'!$A$3:$CW$999,94,FALSE),"unknown")</f>
        <v>0</v>
      </c>
      <c r="AR432" s="120">
        <f>IFERROR(VLOOKUP(Table1[RespondentID],'All Data'!$A$3:$CW$999,95,FALSE),"unknown")</f>
        <v>0</v>
      </c>
      <c r="AS432" s="120">
        <f>IFERROR(VLOOKUP(Table1[RespondentID],'All Data'!$A$3:$CW$999,96,FALSE),"unknown")</f>
        <v>0</v>
      </c>
      <c r="AT432" s="120">
        <f>IFERROR(VLOOKUP(Table1[RespondentID],'All Data'!$A$3:$CW$999,97,FALSE),"unknown")</f>
        <v>0</v>
      </c>
      <c r="AU432" s="120">
        <f>IFERROR(VLOOKUP(Table1[RespondentID],'All Data'!$A$3:$CW$999,98,FALSE),"unknown")</f>
        <v>0</v>
      </c>
      <c r="AV432" s="120">
        <f>IFERROR(VLOOKUP(Table1[RespondentID],'All Data'!$A$3:$CW$999,99,FALSE),"unknown")</f>
        <v>0</v>
      </c>
    </row>
    <row r="433" spans="1:48">
      <c r="A433" s="5">
        <v>114155044650</v>
      </c>
      <c r="B433" s="160"/>
      <c r="C433" s="124" t="s">
        <v>39</v>
      </c>
      <c r="D433" s="124"/>
      <c r="E433" s="124"/>
      <c r="F433" s="124"/>
      <c r="G433" s="124" t="s">
        <v>37</v>
      </c>
      <c r="H433" s="124"/>
      <c r="I433" s="124" t="s">
        <v>44</v>
      </c>
      <c r="J433" s="124"/>
      <c r="K433" s="124"/>
      <c r="L433" s="124"/>
      <c r="M433" s="124"/>
      <c r="N433" s="124"/>
      <c r="O433" s="100">
        <f t="shared" si="119"/>
        <v>3</v>
      </c>
      <c r="P433" s="100">
        <f t="shared" si="120"/>
        <v>1</v>
      </c>
      <c r="R433" s="100">
        <f t="shared" si="121"/>
        <v>0</v>
      </c>
      <c r="S433" s="100">
        <f t="shared" si="122"/>
        <v>1</v>
      </c>
      <c r="T433" s="100">
        <f t="shared" si="123"/>
        <v>0</v>
      </c>
      <c r="U433" s="100">
        <f t="shared" si="124"/>
        <v>0</v>
      </c>
      <c r="V433" s="100">
        <f t="shared" si="125"/>
        <v>0</v>
      </c>
      <c r="W433" s="100">
        <f t="shared" si="126"/>
        <v>1</v>
      </c>
      <c r="X433" s="100">
        <f t="shared" si="127"/>
        <v>0</v>
      </c>
      <c r="Y433" s="100">
        <f t="shared" si="128"/>
        <v>1</v>
      </c>
      <c r="Z433" s="100">
        <f t="shared" si="129"/>
        <v>0</v>
      </c>
      <c r="AA433" s="100">
        <f t="shared" si="130"/>
        <v>0</v>
      </c>
      <c r="AB433" s="100">
        <f t="shared" si="131"/>
        <v>0</v>
      </c>
      <c r="AC433" s="100">
        <f t="shared" si="132"/>
        <v>0</v>
      </c>
      <c r="AF433" s="100">
        <f t="shared" si="133"/>
        <v>3</v>
      </c>
      <c r="AG433" s="100">
        <f t="shared" si="134"/>
        <v>3</v>
      </c>
      <c r="AH433" s="100" t="str">
        <f t="shared" si="135"/>
        <v>Correct</v>
      </c>
      <c r="AJ433" s="120" t="str">
        <f>IFERROR(VLOOKUP(Table1[RespondentID],'All Data'!$A$3:$CO$999,87,FALSE),"unknown")</f>
        <v>Woman</v>
      </c>
      <c r="AK433" s="120">
        <f>IFERROR(VLOOKUP(Table1[RespondentID],'All Data'!$A$3:$CO$999,88,FALSE),"unknown")</f>
        <v>66</v>
      </c>
      <c r="AL433" s="120" t="str">
        <f>IFERROR(VLOOKUP(Table1[RespondentID],'All Data'!$A$3:$CO$999,89,FALSE),"unknown")</f>
        <v>Nassau</v>
      </c>
      <c r="AM433" s="120" t="str">
        <f>IFERROR(VLOOKUP(Table1[RespondentID],'All Data'!$A$3:$CO$999,90,FALSE),"unknown")</f>
        <v>Hempstead, 11550</v>
      </c>
      <c r="AN433" s="120">
        <f>IFERROR(VLOOKUP(Table1[RespondentID],'All Data'!$A$3:$CO$999,91,FALSE),"unknown")</f>
        <v>0</v>
      </c>
      <c r="AO433" s="120" t="str">
        <f>IFERROR(VLOOKUP(Table1[RespondentID],'All Data'!$A$3:$CO$999,92,FALSE),"unknown")</f>
        <v>Hispanic or Latino</v>
      </c>
      <c r="AP433" s="120" t="str">
        <f>IFERROR(VLOOKUP(Table1[RespondentID],'All Data'!$A$3:$CO$999,93,FALSE),"unknown")</f>
        <v>Spanish</v>
      </c>
      <c r="AQ433" s="120" t="str">
        <f>IFERROR(VLOOKUP(Table1[RespondentID],'All Data'!$A$3:$CW$999,94,FALSE),"unknown")</f>
        <v>$20,000 to $34,999</v>
      </c>
      <c r="AR433" s="120" t="str">
        <f>IFERROR(VLOOKUP(Table1[RespondentID],'All Data'!$A$3:$CW$999,95,FALSE),"unknown")</f>
        <v>K-8 grade</v>
      </c>
      <c r="AS433" s="120" t="str">
        <f>IFERROR(VLOOKUP(Table1[RespondentID],'All Data'!$A$3:$CW$999,96,FALSE),"unknown")</f>
        <v>Out of work and looking for work</v>
      </c>
      <c r="AT433" s="120" t="str">
        <f>IFERROR(VLOOKUP(Table1[RespondentID],'All Data'!$A$3:$CW$999,97,FALSE),"unknown")</f>
        <v>No</v>
      </c>
      <c r="AU433" s="120">
        <f>IFERROR(VLOOKUP(Table1[RespondentID],'All Data'!$A$3:$CW$999,98,FALSE),"unknown")</f>
        <v>0</v>
      </c>
      <c r="AV433" s="120" t="str">
        <f>IFERROR(VLOOKUP(Table1[RespondentID],'All Data'!$A$3:$CW$999,99,FALSE),"unknown")</f>
        <v>No</v>
      </c>
    </row>
    <row r="434" spans="1:48">
      <c r="A434" s="5">
        <v>114138224772</v>
      </c>
      <c r="B434" s="160"/>
      <c r="C434" s="124"/>
      <c r="D434" s="124"/>
      <c r="E434" s="124"/>
      <c r="F434" s="124"/>
      <c r="G434" s="124"/>
      <c r="H434" s="124"/>
      <c r="I434" s="124"/>
      <c r="J434" s="124"/>
      <c r="K434" s="124" t="s">
        <v>46</v>
      </c>
      <c r="L434" s="124"/>
      <c r="M434" s="124"/>
      <c r="N434" s="124"/>
      <c r="O434" s="100">
        <f t="shared" si="119"/>
        <v>1</v>
      </c>
      <c r="P434" s="100">
        <f t="shared" si="120"/>
        <v>3</v>
      </c>
      <c r="R434" s="100">
        <f t="shared" si="121"/>
        <v>0</v>
      </c>
      <c r="S434" s="100">
        <f t="shared" si="122"/>
        <v>0</v>
      </c>
      <c r="T434" s="100">
        <f t="shared" si="123"/>
        <v>0</v>
      </c>
      <c r="U434" s="100">
        <f t="shared" si="124"/>
        <v>0</v>
      </c>
      <c r="V434" s="100">
        <f t="shared" si="125"/>
        <v>0</v>
      </c>
      <c r="W434" s="100">
        <f t="shared" si="126"/>
        <v>0</v>
      </c>
      <c r="X434" s="100">
        <f t="shared" si="127"/>
        <v>0</v>
      </c>
      <c r="Y434" s="100">
        <f t="shared" si="128"/>
        <v>0</v>
      </c>
      <c r="Z434" s="100">
        <f t="shared" si="129"/>
        <v>0</v>
      </c>
      <c r="AA434" s="100">
        <f t="shared" si="130"/>
        <v>1</v>
      </c>
      <c r="AB434" s="100">
        <f t="shared" si="131"/>
        <v>0</v>
      </c>
      <c r="AC434" s="100">
        <f t="shared" si="132"/>
        <v>0</v>
      </c>
      <c r="AF434" s="100">
        <f t="shared" si="133"/>
        <v>1</v>
      </c>
      <c r="AG434" s="100">
        <f t="shared" si="134"/>
        <v>1</v>
      </c>
      <c r="AH434" s="100" t="str">
        <f t="shared" si="135"/>
        <v>Correct</v>
      </c>
      <c r="AJ434" s="120" t="str">
        <f>IFERROR(VLOOKUP(Table1[RespondentID],'All Data'!$A$3:$CO$999,87,FALSE),"unknown")</f>
        <v>Man</v>
      </c>
      <c r="AK434" s="120">
        <f>IFERROR(VLOOKUP(Table1[RespondentID],'All Data'!$A$3:$CO$999,88,FALSE),"unknown")</f>
        <v>19</v>
      </c>
      <c r="AL434" s="120" t="str">
        <f>IFERROR(VLOOKUP(Table1[RespondentID],'All Data'!$A$3:$CO$999,89,FALSE),"unknown")</f>
        <v>Nassau</v>
      </c>
      <c r="AM434" s="120" t="str">
        <f>IFERROR(VLOOKUP(Table1[RespondentID],'All Data'!$A$3:$CO$999,90,FALSE),"unknown")</f>
        <v>Plainview, 11803</v>
      </c>
      <c r="AN434" s="120">
        <f>IFERROR(VLOOKUP(Table1[RespondentID],'All Data'!$A$3:$CO$999,91,FALSE),"unknown")</f>
        <v>0</v>
      </c>
      <c r="AO434" s="120" t="str">
        <f>IFERROR(VLOOKUP(Table1[RespondentID],'All Data'!$A$3:$CO$999,92,FALSE),"unknown")</f>
        <v>Hispanic or Latino</v>
      </c>
      <c r="AP434" s="120" t="str">
        <f>IFERROR(VLOOKUP(Table1[RespondentID],'All Data'!$A$3:$CO$999,93,FALSE),"unknown")</f>
        <v>English</v>
      </c>
      <c r="AQ434" s="120" t="str">
        <f>IFERROR(VLOOKUP(Table1[RespondentID],'All Data'!$A$3:$CW$999,94,FALSE),"unknown")</f>
        <v>$20,000 to $34,999</v>
      </c>
      <c r="AR434" s="120" t="str">
        <f>IFERROR(VLOOKUP(Table1[RespondentID],'All Data'!$A$3:$CW$999,95,FALSE),"unknown")</f>
        <v>Some college</v>
      </c>
      <c r="AS434" s="120" t="str">
        <f>IFERROR(VLOOKUP(Table1[RespondentID],'All Data'!$A$3:$CW$999,96,FALSE),"unknown")</f>
        <v>Employed for wages</v>
      </c>
      <c r="AT434" s="120" t="str">
        <f>IFERROR(VLOOKUP(Table1[RespondentID],'All Data'!$A$3:$CW$999,97,FALSE),"unknown")</f>
        <v>Yes</v>
      </c>
      <c r="AU434" s="120" t="str">
        <f>IFERROR(VLOOKUP(Table1[RespondentID],'All Data'!$A$3:$CW$999,98,FALSE),"unknown")</f>
        <v>Private/Commercial</v>
      </c>
      <c r="AV434" s="120" t="str">
        <f>IFERROR(VLOOKUP(Table1[RespondentID],'All Data'!$A$3:$CW$999,99,FALSE),"unknown")</f>
        <v>Yes</v>
      </c>
    </row>
    <row r="435" spans="1:48">
      <c r="A435" s="5">
        <v>114137567525</v>
      </c>
      <c r="B435" s="160"/>
      <c r="C435" s="124"/>
      <c r="D435" s="124"/>
      <c r="E435" s="124"/>
      <c r="F435" s="124"/>
      <c r="G435" s="124"/>
      <c r="H435" s="124"/>
      <c r="I435" s="124"/>
      <c r="J435" s="124"/>
      <c r="K435" s="124"/>
      <c r="L435" s="124"/>
      <c r="M435" s="124"/>
      <c r="N435" s="124"/>
      <c r="O435" s="100">
        <f t="shared" si="119"/>
        <v>0</v>
      </c>
      <c r="P435" s="100" t="e">
        <f t="shared" si="120"/>
        <v>#DIV/0!</v>
      </c>
      <c r="R435" s="100">
        <f t="shared" si="121"/>
        <v>0</v>
      </c>
      <c r="S435" s="100">
        <f t="shared" si="122"/>
        <v>0</v>
      </c>
      <c r="T435" s="100">
        <f t="shared" si="123"/>
        <v>0</v>
      </c>
      <c r="U435" s="100">
        <f t="shared" si="124"/>
        <v>0</v>
      </c>
      <c r="V435" s="100">
        <f t="shared" si="125"/>
        <v>0</v>
      </c>
      <c r="W435" s="100">
        <f t="shared" si="126"/>
        <v>0</v>
      </c>
      <c r="X435" s="100">
        <f t="shared" si="127"/>
        <v>0</v>
      </c>
      <c r="Y435" s="100">
        <f t="shared" si="128"/>
        <v>0</v>
      </c>
      <c r="Z435" s="100">
        <f t="shared" si="129"/>
        <v>0</v>
      </c>
      <c r="AA435" s="100">
        <f t="shared" si="130"/>
        <v>0</v>
      </c>
      <c r="AB435" s="100">
        <f t="shared" si="131"/>
        <v>0</v>
      </c>
      <c r="AC435" s="100">
        <f t="shared" si="132"/>
        <v>0</v>
      </c>
      <c r="AF435" s="100">
        <f t="shared" si="133"/>
        <v>0</v>
      </c>
      <c r="AG435" s="100">
        <f t="shared" si="134"/>
        <v>0</v>
      </c>
      <c r="AH435" s="100" t="str">
        <f t="shared" si="135"/>
        <v>Correct</v>
      </c>
      <c r="AJ435" s="120">
        <f>IFERROR(VLOOKUP(Table1[RespondentID],'All Data'!$A$3:$CO$999,87,FALSE),"unknown")</f>
        <v>0</v>
      </c>
      <c r="AK435" s="120">
        <f>IFERROR(VLOOKUP(Table1[RespondentID],'All Data'!$A$3:$CO$999,88,FALSE),"unknown")</f>
        <v>0</v>
      </c>
      <c r="AL435" s="120">
        <f>IFERROR(VLOOKUP(Table1[RespondentID],'All Data'!$A$3:$CO$999,89,FALSE),"unknown")</f>
        <v>0</v>
      </c>
      <c r="AM435" s="120" t="str">
        <f>IFERROR(VLOOKUP(Table1[RespondentID],'All Data'!$A$3:$CO$999,90,FALSE),"unknown")</f>
        <v>Atlantic Beach, 11509</v>
      </c>
      <c r="AN435" s="120">
        <f>IFERROR(VLOOKUP(Table1[RespondentID],'All Data'!$A$3:$CO$999,91,FALSE),"unknown")</f>
        <v>0</v>
      </c>
      <c r="AO435" s="120">
        <f>IFERROR(VLOOKUP(Table1[RespondentID],'All Data'!$A$3:$CO$999,92,FALSE),"unknown")</f>
        <v>0</v>
      </c>
      <c r="AP435" s="120">
        <f>IFERROR(VLOOKUP(Table1[RespondentID],'All Data'!$A$3:$CO$999,93,FALSE),"unknown")</f>
        <v>0</v>
      </c>
      <c r="AQ435" s="120">
        <f>IFERROR(VLOOKUP(Table1[RespondentID],'All Data'!$A$3:$CW$999,94,FALSE),"unknown")</f>
        <v>0</v>
      </c>
      <c r="AR435" s="120">
        <f>IFERROR(VLOOKUP(Table1[RespondentID],'All Data'!$A$3:$CW$999,95,FALSE),"unknown")</f>
        <v>0</v>
      </c>
      <c r="AS435" s="120">
        <f>IFERROR(VLOOKUP(Table1[RespondentID],'All Data'!$A$3:$CW$999,96,FALSE),"unknown")</f>
        <v>0</v>
      </c>
      <c r="AT435" s="120">
        <f>IFERROR(VLOOKUP(Table1[RespondentID],'All Data'!$A$3:$CW$999,97,FALSE),"unknown")</f>
        <v>0</v>
      </c>
      <c r="AU435" s="120">
        <f>IFERROR(VLOOKUP(Table1[RespondentID],'All Data'!$A$3:$CW$999,98,FALSE),"unknown")</f>
        <v>0</v>
      </c>
      <c r="AV435" s="120">
        <f>IFERROR(VLOOKUP(Table1[RespondentID],'All Data'!$A$3:$CW$999,99,FALSE),"unknown")</f>
        <v>0</v>
      </c>
    </row>
    <row r="436" spans="1:48">
      <c r="A436" s="5">
        <v>114131712001</v>
      </c>
      <c r="B436" s="160" t="s">
        <v>38</v>
      </c>
      <c r="C436" s="124" t="s">
        <v>39</v>
      </c>
      <c r="D436" s="124"/>
      <c r="E436" s="124"/>
      <c r="F436" s="124" t="s">
        <v>42</v>
      </c>
      <c r="G436" s="124"/>
      <c r="H436" s="124"/>
      <c r="I436" s="124"/>
      <c r="J436" s="124"/>
      <c r="K436" s="124"/>
      <c r="L436" s="124" t="s">
        <v>47</v>
      </c>
      <c r="M436" s="124"/>
      <c r="N436" s="124"/>
      <c r="O436" s="100">
        <f t="shared" si="119"/>
        <v>4</v>
      </c>
      <c r="P436" s="100">
        <f t="shared" si="120"/>
        <v>0.75</v>
      </c>
      <c r="R436" s="100">
        <f t="shared" si="121"/>
        <v>0.75</v>
      </c>
      <c r="S436" s="100">
        <f t="shared" si="122"/>
        <v>0.75</v>
      </c>
      <c r="T436" s="100">
        <f t="shared" si="123"/>
        <v>0</v>
      </c>
      <c r="U436" s="100">
        <f t="shared" si="124"/>
        <v>0</v>
      </c>
      <c r="V436" s="100">
        <f t="shared" si="125"/>
        <v>0.75</v>
      </c>
      <c r="W436" s="100">
        <f t="shared" si="126"/>
        <v>0</v>
      </c>
      <c r="X436" s="100">
        <f t="shared" si="127"/>
        <v>0</v>
      </c>
      <c r="Y436" s="100">
        <f t="shared" si="128"/>
        <v>0</v>
      </c>
      <c r="Z436" s="100">
        <f t="shared" si="129"/>
        <v>0</v>
      </c>
      <c r="AA436" s="100">
        <f t="shared" si="130"/>
        <v>0</v>
      </c>
      <c r="AB436" s="100">
        <f t="shared" si="131"/>
        <v>0.75</v>
      </c>
      <c r="AC436" s="100">
        <f t="shared" si="132"/>
        <v>0</v>
      </c>
      <c r="AF436" s="100">
        <f t="shared" si="133"/>
        <v>3</v>
      </c>
      <c r="AG436" s="100">
        <f t="shared" si="134"/>
        <v>4</v>
      </c>
      <c r="AH436" s="100" t="str">
        <f t="shared" si="135"/>
        <v>Correct</v>
      </c>
      <c r="AJ436" s="120" t="str">
        <f>IFERROR(VLOOKUP(Table1[RespondentID],'All Data'!$A$3:$CO$999,87,FALSE),"unknown")</f>
        <v>Woman</v>
      </c>
      <c r="AK436" s="120">
        <f>IFERROR(VLOOKUP(Table1[RespondentID],'All Data'!$A$3:$CO$999,88,FALSE),"unknown")</f>
        <v>23</v>
      </c>
      <c r="AL436" s="120" t="str">
        <f>IFERROR(VLOOKUP(Table1[RespondentID],'All Data'!$A$3:$CO$999,89,FALSE),"unknown")</f>
        <v>Nassau</v>
      </c>
      <c r="AM436" s="120" t="str">
        <f>IFERROR(VLOOKUP(Table1[RespondentID],'All Data'!$A$3:$CO$999,90,FALSE),"unknown")</f>
        <v>Valley Stream, 11580</v>
      </c>
      <c r="AN436" s="120">
        <f>IFERROR(VLOOKUP(Table1[RespondentID],'All Data'!$A$3:$CO$999,91,FALSE),"unknown")</f>
        <v>0</v>
      </c>
      <c r="AO436" s="120">
        <f>IFERROR(VLOOKUP(Table1[RespondentID],'All Data'!$A$3:$CO$999,92,FALSE),"unknown")</f>
        <v>0</v>
      </c>
      <c r="AP436" s="120">
        <f>IFERROR(VLOOKUP(Table1[RespondentID],'All Data'!$A$3:$CO$999,93,FALSE),"unknown")</f>
        <v>0</v>
      </c>
      <c r="AQ436" s="120">
        <f>IFERROR(VLOOKUP(Table1[RespondentID],'All Data'!$A$3:$CW$999,94,FALSE),"unknown")</f>
        <v>0</v>
      </c>
      <c r="AR436" s="120">
        <f>IFERROR(VLOOKUP(Table1[RespondentID],'All Data'!$A$3:$CW$999,95,FALSE),"unknown")</f>
        <v>0</v>
      </c>
      <c r="AS436" s="120">
        <f>IFERROR(VLOOKUP(Table1[RespondentID],'All Data'!$A$3:$CW$999,96,FALSE),"unknown")</f>
        <v>0</v>
      </c>
      <c r="AT436" s="120">
        <f>IFERROR(VLOOKUP(Table1[RespondentID],'All Data'!$A$3:$CW$999,97,FALSE),"unknown")</f>
        <v>0</v>
      </c>
      <c r="AU436" s="120">
        <f>IFERROR(VLOOKUP(Table1[RespondentID],'All Data'!$A$3:$CW$999,98,FALSE),"unknown")</f>
        <v>0</v>
      </c>
      <c r="AV436" s="120">
        <f>IFERROR(VLOOKUP(Table1[RespondentID],'All Data'!$A$3:$CW$999,99,FALSE),"unknown")</f>
        <v>0</v>
      </c>
    </row>
    <row r="437" spans="1:48">
      <c r="A437" s="5">
        <v>114119758093</v>
      </c>
      <c r="B437" s="160" t="s">
        <v>38</v>
      </c>
      <c r="C437" s="124"/>
      <c r="D437" s="124"/>
      <c r="E437" s="124"/>
      <c r="F437" s="124"/>
      <c r="G437" s="124"/>
      <c r="H437" s="124"/>
      <c r="I437" s="124"/>
      <c r="J437" s="124"/>
      <c r="K437" s="124"/>
      <c r="L437" s="124"/>
      <c r="M437" s="124"/>
      <c r="N437" s="124"/>
      <c r="O437" s="100">
        <f t="shared" si="119"/>
        <v>1</v>
      </c>
      <c r="P437" s="100">
        <f t="shared" si="120"/>
        <v>3</v>
      </c>
      <c r="R437" s="100">
        <f t="shared" si="121"/>
        <v>1</v>
      </c>
      <c r="S437" s="100">
        <f t="shared" si="122"/>
        <v>0</v>
      </c>
      <c r="T437" s="100">
        <f t="shared" si="123"/>
        <v>0</v>
      </c>
      <c r="U437" s="100">
        <f t="shared" si="124"/>
        <v>0</v>
      </c>
      <c r="V437" s="100">
        <f t="shared" si="125"/>
        <v>0</v>
      </c>
      <c r="W437" s="100">
        <f t="shared" si="126"/>
        <v>0</v>
      </c>
      <c r="X437" s="100">
        <f t="shared" si="127"/>
        <v>0</v>
      </c>
      <c r="Y437" s="100">
        <f t="shared" si="128"/>
        <v>0</v>
      </c>
      <c r="Z437" s="100">
        <f t="shared" si="129"/>
        <v>0</v>
      </c>
      <c r="AA437" s="100">
        <f t="shared" si="130"/>
        <v>0</v>
      </c>
      <c r="AB437" s="100">
        <f t="shared" si="131"/>
        <v>0</v>
      </c>
      <c r="AC437" s="100">
        <f t="shared" si="132"/>
        <v>0</v>
      </c>
      <c r="AF437" s="100">
        <f t="shared" si="133"/>
        <v>1</v>
      </c>
      <c r="AG437" s="100">
        <f t="shared" si="134"/>
        <v>1</v>
      </c>
      <c r="AH437" s="100" t="str">
        <f t="shared" si="135"/>
        <v>Correct</v>
      </c>
      <c r="AJ437" s="120" t="str">
        <f>IFERROR(VLOOKUP(Table1[RespondentID],'All Data'!$A$3:$CO$999,87,FALSE),"unknown")</f>
        <v>Woman</v>
      </c>
      <c r="AK437" s="120">
        <f>IFERROR(VLOOKUP(Table1[RespondentID],'All Data'!$A$3:$CO$999,88,FALSE),"unknown")</f>
        <v>56</v>
      </c>
      <c r="AL437" s="120" t="str">
        <f>IFERROR(VLOOKUP(Table1[RespondentID],'All Data'!$A$3:$CO$999,89,FALSE),"unknown")</f>
        <v>Suffolk</v>
      </c>
      <c r="AM437" s="120" t="str">
        <f>IFERROR(VLOOKUP(Table1[RespondentID],'All Data'!$A$3:$CO$999,90,FALSE),"unknown")</f>
        <v>West Islip, 11795</v>
      </c>
      <c r="AN437" s="120" t="str">
        <f>IFERROR(VLOOKUP(Table1[RespondentID],'All Data'!$A$3:$CO$999,91,FALSE),"unknown")</f>
        <v>White</v>
      </c>
      <c r="AO437" s="120" t="str">
        <f>IFERROR(VLOOKUP(Table1[RespondentID],'All Data'!$A$3:$CO$999,92,FALSE),"unknown")</f>
        <v>Not Hispanic or Latino</v>
      </c>
      <c r="AP437" s="120" t="str">
        <f>IFERROR(VLOOKUP(Table1[RespondentID],'All Data'!$A$3:$CO$999,93,FALSE),"unknown")</f>
        <v>English</v>
      </c>
      <c r="AQ437" s="120">
        <f>IFERROR(VLOOKUP(Table1[RespondentID],'All Data'!$A$3:$CW$999,94,FALSE),"unknown")</f>
        <v>0</v>
      </c>
      <c r="AR437" s="120" t="str">
        <f>IFERROR(VLOOKUP(Table1[RespondentID],'All Data'!$A$3:$CW$999,95,FALSE),"unknown")</f>
        <v>Some college</v>
      </c>
      <c r="AS437" s="120" t="str">
        <f>IFERROR(VLOOKUP(Table1[RespondentID],'All Data'!$A$3:$CW$999,96,FALSE),"unknown")</f>
        <v>Employed for wages</v>
      </c>
      <c r="AT437" s="120" t="str">
        <f>IFERROR(VLOOKUP(Table1[RespondentID],'All Data'!$A$3:$CW$999,97,FALSE),"unknown")</f>
        <v>Yes</v>
      </c>
      <c r="AU437" s="120" t="str">
        <f>IFERROR(VLOOKUP(Table1[RespondentID],'All Data'!$A$3:$CW$999,98,FALSE),"unknown")</f>
        <v>Private/Commercial</v>
      </c>
      <c r="AV437" s="120" t="str">
        <f>IFERROR(VLOOKUP(Table1[RespondentID],'All Data'!$A$3:$CW$999,99,FALSE),"unknown")</f>
        <v>Yes</v>
      </c>
    </row>
    <row r="438" spans="1:48">
      <c r="A438" s="5">
        <v>114117609524</v>
      </c>
      <c r="B438" s="160"/>
      <c r="C438" s="124" t="s">
        <v>39</v>
      </c>
      <c r="D438" s="124"/>
      <c r="E438" s="124" t="s">
        <v>41</v>
      </c>
      <c r="F438" s="124"/>
      <c r="G438" s="124" t="s">
        <v>37</v>
      </c>
      <c r="H438" s="124"/>
      <c r="I438" s="124"/>
      <c r="J438" s="124"/>
      <c r="K438" s="124"/>
      <c r="L438" s="124"/>
      <c r="M438" s="124"/>
      <c r="N438" s="124"/>
      <c r="O438" s="100">
        <f t="shared" si="119"/>
        <v>3</v>
      </c>
      <c r="P438" s="100">
        <f t="shared" si="120"/>
        <v>1</v>
      </c>
      <c r="R438" s="100">
        <f t="shared" si="121"/>
        <v>0</v>
      </c>
      <c r="S438" s="100">
        <f t="shared" si="122"/>
        <v>1</v>
      </c>
      <c r="T438" s="100">
        <f t="shared" si="123"/>
        <v>0</v>
      </c>
      <c r="U438" s="100">
        <f t="shared" si="124"/>
        <v>1</v>
      </c>
      <c r="V438" s="100">
        <f t="shared" si="125"/>
        <v>0</v>
      </c>
      <c r="W438" s="100">
        <f t="shared" si="126"/>
        <v>1</v>
      </c>
      <c r="X438" s="100">
        <f t="shared" si="127"/>
        <v>0</v>
      </c>
      <c r="Y438" s="100">
        <f t="shared" si="128"/>
        <v>0</v>
      </c>
      <c r="Z438" s="100">
        <f t="shared" si="129"/>
        <v>0</v>
      </c>
      <c r="AA438" s="100">
        <f t="shared" si="130"/>
        <v>0</v>
      </c>
      <c r="AB438" s="100">
        <f t="shared" si="131"/>
        <v>0</v>
      </c>
      <c r="AC438" s="100">
        <f t="shared" si="132"/>
        <v>0</v>
      </c>
      <c r="AF438" s="100">
        <f t="shared" si="133"/>
        <v>3</v>
      </c>
      <c r="AG438" s="100">
        <f t="shared" si="134"/>
        <v>3</v>
      </c>
      <c r="AH438" s="100" t="str">
        <f t="shared" si="135"/>
        <v>Correct</v>
      </c>
      <c r="AJ438" s="120" t="str">
        <f>IFERROR(VLOOKUP(Table1[RespondentID],'All Data'!$A$3:$CO$999,87,FALSE),"unknown")</f>
        <v>Man</v>
      </c>
      <c r="AK438" s="120">
        <f>IFERROR(VLOOKUP(Table1[RespondentID],'All Data'!$A$3:$CO$999,88,FALSE),"unknown")</f>
        <v>66</v>
      </c>
      <c r="AL438" s="120" t="str">
        <f>IFERROR(VLOOKUP(Table1[RespondentID],'All Data'!$A$3:$CO$999,89,FALSE),"unknown")</f>
        <v>Suffolk</v>
      </c>
      <c r="AM438" s="120" t="str">
        <f>IFERROR(VLOOKUP(Table1[RespondentID],'All Data'!$A$3:$CO$999,90,FALSE),"unknown")</f>
        <v>Babylon, 11704</v>
      </c>
      <c r="AN438" s="120" t="str">
        <f>IFERROR(VLOOKUP(Table1[RespondentID],'All Data'!$A$3:$CO$999,91,FALSE),"unknown")</f>
        <v>White</v>
      </c>
      <c r="AO438" s="120" t="str">
        <f>IFERROR(VLOOKUP(Table1[RespondentID],'All Data'!$A$3:$CO$999,92,FALSE),"unknown")</f>
        <v>Hispanic or Latino</v>
      </c>
      <c r="AP438" s="120" t="str">
        <f>IFERROR(VLOOKUP(Table1[RespondentID],'All Data'!$A$3:$CO$999,93,FALSE),"unknown")</f>
        <v>English,Spanish</v>
      </c>
      <c r="AQ438" s="120" t="str">
        <f>IFERROR(VLOOKUP(Table1[RespondentID],'All Data'!$A$3:$CW$999,94,FALSE),"unknown")</f>
        <v>$20,000 to $34,999</v>
      </c>
      <c r="AR438" s="120" t="str">
        <f>IFERROR(VLOOKUP(Table1[RespondentID],'All Data'!$A$3:$CW$999,95,FALSE),"unknown")</f>
        <v>Some college</v>
      </c>
      <c r="AS438" s="120" t="str">
        <f>IFERROR(VLOOKUP(Table1[RespondentID],'All Data'!$A$3:$CW$999,96,FALSE),"unknown")</f>
        <v>Retired</v>
      </c>
      <c r="AT438" s="120" t="str">
        <f>IFERROR(VLOOKUP(Table1[RespondentID],'All Data'!$A$3:$CW$999,97,FALSE),"unknown")</f>
        <v>Yes</v>
      </c>
      <c r="AU438" s="120" t="str">
        <f>IFERROR(VLOOKUP(Table1[RespondentID],'All Data'!$A$3:$CW$999,98,FALSE),"unknown")</f>
        <v>Medicare</v>
      </c>
      <c r="AV438" s="120" t="str">
        <f>IFERROR(VLOOKUP(Table1[RespondentID],'All Data'!$A$3:$CW$999,99,FALSE),"unknown")</f>
        <v>Yes</v>
      </c>
    </row>
    <row r="439" spans="1:48">
      <c r="A439" s="5">
        <v>114117487074</v>
      </c>
      <c r="B439" s="160"/>
      <c r="C439" s="124"/>
      <c r="D439" s="124"/>
      <c r="E439" s="124"/>
      <c r="F439" s="124"/>
      <c r="G439" s="124"/>
      <c r="H439" s="124"/>
      <c r="I439" s="124"/>
      <c r="J439" s="124"/>
      <c r="K439" s="124"/>
      <c r="L439" s="124"/>
      <c r="M439" s="124"/>
      <c r="N439" s="124" t="s">
        <v>481</v>
      </c>
      <c r="O439" s="100">
        <f t="shared" si="119"/>
        <v>1</v>
      </c>
      <c r="P439" s="100">
        <f t="shared" si="120"/>
        <v>3</v>
      </c>
      <c r="R439" s="100">
        <f t="shared" si="121"/>
        <v>0</v>
      </c>
      <c r="S439" s="100">
        <f t="shared" si="122"/>
        <v>0</v>
      </c>
      <c r="T439" s="100">
        <f t="shared" si="123"/>
        <v>0</v>
      </c>
      <c r="U439" s="100">
        <f t="shared" si="124"/>
        <v>0</v>
      </c>
      <c r="V439" s="100">
        <f t="shared" si="125"/>
        <v>0</v>
      </c>
      <c r="W439" s="100">
        <f t="shared" si="126"/>
        <v>0</v>
      </c>
      <c r="X439" s="100">
        <f t="shared" si="127"/>
        <v>0</v>
      </c>
      <c r="Y439" s="100">
        <f t="shared" si="128"/>
        <v>0</v>
      </c>
      <c r="Z439" s="100">
        <f t="shared" si="129"/>
        <v>0</v>
      </c>
      <c r="AA439" s="100">
        <f t="shared" si="130"/>
        <v>0</v>
      </c>
      <c r="AB439" s="100">
        <f t="shared" si="131"/>
        <v>0</v>
      </c>
      <c r="AC439" s="100">
        <f t="shared" si="132"/>
        <v>0</v>
      </c>
      <c r="AF439" s="100">
        <f t="shared" si="133"/>
        <v>0</v>
      </c>
      <c r="AG439" s="100">
        <f t="shared" si="134"/>
        <v>1</v>
      </c>
      <c r="AH439" s="100" t="str">
        <f t="shared" si="135"/>
        <v>Wrong</v>
      </c>
      <c r="AJ439" s="120" t="str">
        <f>IFERROR(VLOOKUP(Table1[RespondentID],'All Data'!$A$3:$CO$999,87,FALSE),"unknown")</f>
        <v>Man</v>
      </c>
      <c r="AK439" s="120">
        <f>IFERROR(VLOOKUP(Table1[RespondentID],'All Data'!$A$3:$CO$999,88,FALSE),"unknown")</f>
        <v>66</v>
      </c>
      <c r="AL439" s="120" t="str">
        <f>IFERROR(VLOOKUP(Table1[RespondentID],'All Data'!$A$3:$CO$999,89,FALSE),"unknown")</f>
        <v>Suffolk</v>
      </c>
      <c r="AM439" s="120" t="str">
        <f>IFERROR(VLOOKUP(Table1[RespondentID],'All Data'!$A$3:$CO$999,90,FALSE),"unknown")</f>
        <v>North Babylon, 11703</v>
      </c>
      <c r="AN439" s="120" t="str">
        <f>IFERROR(VLOOKUP(Table1[RespondentID],'All Data'!$A$3:$CO$999,91,FALSE),"unknown")</f>
        <v>White</v>
      </c>
      <c r="AO439" s="120" t="str">
        <f>IFERROR(VLOOKUP(Table1[RespondentID],'All Data'!$A$3:$CO$999,92,FALSE),"unknown")</f>
        <v>Not Hispanic or Latino</v>
      </c>
      <c r="AP439" s="120" t="str">
        <f>IFERROR(VLOOKUP(Table1[RespondentID],'All Data'!$A$3:$CO$999,93,FALSE),"unknown")</f>
        <v>English</v>
      </c>
      <c r="AQ439" s="120" t="str">
        <f>IFERROR(VLOOKUP(Table1[RespondentID],'All Data'!$A$3:$CW$999,94,FALSE),"unknown")</f>
        <v>$50,000 to $74,999</v>
      </c>
      <c r="AR439" s="120" t="str">
        <f>IFERROR(VLOOKUP(Table1[RespondentID],'All Data'!$A$3:$CW$999,95,FALSE),"unknown")</f>
        <v>Some college</v>
      </c>
      <c r="AS439" s="120" t="str">
        <f>IFERROR(VLOOKUP(Table1[RespondentID],'All Data'!$A$3:$CW$999,96,FALSE),"unknown")</f>
        <v>Retired</v>
      </c>
      <c r="AT439" s="120" t="str">
        <f>IFERROR(VLOOKUP(Table1[RespondentID],'All Data'!$A$3:$CW$999,97,FALSE),"unknown")</f>
        <v>Yes</v>
      </c>
      <c r="AU439" s="120" t="str">
        <f>IFERROR(VLOOKUP(Table1[RespondentID],'All Data'!$A$3:$CW$999,98,FALSE),"unknown")</f>
        <v>Medicare,Private/Commercial</v>
      </c>
      <c r="AV439" s="120" t="str">
        <f>IFERROR(VLOOKUP(Table1[RespondentID],'All Data'!$A$3:$CW$999,99,FALSE),"unknown")</f>
        <v>Yes</v>
      </c>
    </row>
    <row r="440" spans="1:48">
      <c r="A440" s="5">
        <v>114112557543</v>
      </c>
      <c r="B440" s="160" t="s">
        <v>38</v>
      </c>
      <c r="C440" s="124" t="s">
        <v>39</v>
      </c>
      <c r="D440" s="124"/>
      <c r="E440" s="124" t="s">
        <v>41</v>
      </c>
      <c r="F440" s="124"/>
      <c r="G440" s="124"/>
      <c r="H440" s="124"/>
      <c r="I440" s="124"/>
      <c r="J440" s="124"/>
      <c r="K440" s="124"/>
      <c r="L440" s="124"/>
      <c r="M440" s="124"/>
      <c r="N440" s="124"/>
      <c r="O440" s="100">
        <f t="shared" si="119"/>
        <v>3</v>
      </c>
      <c r="P440" s="100">
        <f t="shared" si="120"/>
        <v>1</v>
      </c>
      <c r="R440" s="100">
        <f t="shared" si="121"/>
        <v>1</v>
      </c>
      <c r="S440" s="100">
        <f t="shared" si="122"/>
        <v>1</v>
      </c>
      <c r="T440" s="100">
        <f t="shared" si="123"/>
        <v>0</v>
      </c>
      <c r="U440" s="100">
        <f t="shared" si="124"/>
        <v>1</v>
      </c>
      <c r="V440" s="100">
        <f t="shared" si="125"/>
        <v>0</v>
      </c>
      <c r="W440" s="100">
        <f t="shared" si="126"/>
        <v>0</v>
      </c>
      <c r="X440" s="100">
        <f t="shared" si="127"/>
        <v>0</v>
      </c>
      <c r="Y440" s="100">
        <f t="shared" si="128"/>
        <v>0</v>
      </c>
      <c r="Z440" s="100">
        <f t="shared" si="129"/>
        <v>0</v>
      </c>
      <c r="AA440" s="100">
        <f t="shared" si="130"/>
        <v>0</v>
      </c>
      <c r="AB440" s="100">
        <f t="shared" si="131"/>
        <v>0</v>
      </c>
      <c r="AC440" s="100">
        <f t="shared" si="132"/>
        <v>0</v>
      </c>
      <c r="AF440" s="100">
        <f t="shared" si="133"/>
        <v>3</v>
      </c>
      <c r="AG440" s="100">
        <f t="shared" si="134"/>
        <v>3</v>
      </c>
      <c r="AH440" s="100" t="str">
        <f t="shared" si="135"/>
        <v>Correct</v>
      </c>
      <c r="AJ440" s="120" t="str">
        <f>IFERROR(VLOOKUP(Table1[RespondentID],'All Data'!$A$3:$CO$999,87,FALSE),"unknown")</f>
        <v>Woman</v>
      </c>
      <c r="AK440" s="120">
        <f>IFERROR(VLOOKUP(Table1[RespondentID],'All Data'!$A$3:$CO$999,88,FALSE),"unknown")</f>
        <v>63</v>
      </c>
      <c r="AL440" s="120" t="str">
        <f>IFERROR(VLOOKUP(Table1[RespondentID],'All Data'!$A$3:$CO$999,89,FALSE),"unknown")</f>
        <v>Suffolk</v>
      </c>
      <c r="AM440" s="120" t="str">
        <f>IFERROR(VLOOKUP(Table1[RespondentID],'All Data'!$A$3:$CO$999,90,FALSE),"unknown")</f>
        <v>West Islip, 11795</v>
      </c>
      <c r="AN440" s="120" t="str">
        <f>IFERROR(VLOOKUP(Table1[RespondentID],'All Data'!$A$3:$CO$999,91,FALSE),"unknown")</f>
        <v>White</v>
      </c>
      <c r="AO440" s="120" t="str">
        <f>IFERROR(VLOOKUP(Table1[RespondentID],'All Data'!$A$3:$CO$999,92,FALSE),"unknown")</f>
        <v>Not Hispanic or Latino</v>
      </c>
      <c r="AP440" s="120" t="str">
        <f>IFERROR(VLOOKUP(Table1[RespondentID],'All Data'!$A$3:$CO$999,93,FALSE),"unknown")</f>
        <v>English</v>
      </c>
      <c r="AQ440" s="120" t="str">
        <f>IFERROR(VLOOKUP(Table1[RespondentID],'All Data'!$A$3:$CW$999,94,FALSE),"unknown")</f>
        <v>Over $125,000</v>
      </c>
      <c r="AR440" s="120" t="str">
        <f>IFERROR(VLOOKUP(Table1[RespondentID],'All Data'!$A$3:$CW$999,95,FALSE),"unknown")</f>
        <v>College graduate</v>
      </c>
      <c r="AS440" s="120" t="str">
        <f>IFERROR(VLOOKUP(Table1[RespondentID],'All Data'!$A$3:$CW$999,96,FALSE),"unknown")</f>
        <v>Employed for wages</v>
      </c>
      <c r="AT440" s="120" t="str">
        <f>IFERROR(VLOOKUP(Table1[RespondentID],'All Data'!$A$3:$CW$999,97,FALSE),"unknown")</f>
        <v>Yes</v>
      </c>
      <c r="AU440" s="120" t="str">
        <f>IFERROR(VLOOKUP(Table1[RespondentID],'All Data'!$A$3:$CW$999,98,FALSE),"unknown")</f>
        <v>Private/Commercial</v>
      </c>
      <c r="AV440" s="120" t="str">
        <f>IFERROR(VLOOKUP(Table1[RespondentID],'All Data'!$A$3:$CW$999,99,FALSE),"unknown")</f>
        <v>Yes</v>
      </c>
    </row>
    <row r="441" spans="1:48">
      <c r="A441" s="5">
        <v>114112353426</v>
      </c>
      <c r="B441" s="160"/>
      <c r="C441" s="124"/>
      <c r="D441" s="124"/>
      <c r="E441" s="124" t="s">
        <v>41</v>
      </c>
      <c r="F441" s="124"/>
      <c r="G441" s="124"/>
      <c r="H441" s="124"/>
      <c r="I441" s="124"/>
      <c r="J441" s="124"/>
      <c r="K441" s="124"/>
      <c r="L441" s="124"/>
      <c r="M441" s="124"/>
      <c r="N441" s="124"/>
      <c r="O441" s="100">
        <f t="shared" si="119"/>
        <v>1</v>
      </c>
      <c r="P441" s="100">
        <f t="shared" si="120"/>
        <v>3</v>
      </c>
      <c r="R441" s="100">
        <f t="shared" si="121"/>
        <v>0</v>
      </c>
      <c r="S441" s="100">
        <f t="shared" si="122"/>
        <v>0</v>
      </c>
      <c r="T441" s="100">
        <f t="shared" si="123"/>
        <v>0</v>
      </c>
      <c r="U441" s="100">
        <f t="shared" si="124"/>
        <v>1</v>
      </c>
      <c r="V441" s="100">
        <f t="shared" si="125"/>
        <v>0</v>
      </c>
      <c r="W441" s="100">
        <f t="shared" si="126"/>
        <v>0</v>
      </c>
      <c r="X441" s="100">
        <f t="shared" si="127"/>
        <v>0</v>
      </c>
      <c r="Y441" s="100">
        <f t="shared" si="128"/>
        <v>0</v>
      </c>
      <c r="Z441" s="100">
        <f t="shared" si="129"/>
        <v>0</v>
      </c>
      <c r="AA441" s="100">
        <f t="shared" si="130"/>
        <v>0</v>
      </c>
      <c r="AB441" s="100">
        <f t="shared" si="131"/>
        <v>0</v>
      </c>
      <c r="AC441" s="100">
        <f t="shared" si="132"/>
        <v>0</v>
      </c>
      <c r="AF441" s="100">
        <f t="shared" si="133"/>
        <v>1</v>
      </c>
      <c r="AG441" s="100">
        <f t="shared" si="134"/>
        <v>1</v>
      </c>
      <c r="AH441" s="100" t="str">
        <f t="shared" si="135"/>
        <v>Correct</v>
      </c>
      <c r="AJ441" s="120" t="str">
        <f>IFERROR(VLOOKUP(Table1[RespondentID],'All Data'!$A$3:$CO$999,87,FALSE),"unknown")</f>
        <v>Woman</v>
      </c>
      <c r="AK441" s="120">
        <f>IFERROR(VLOOKUP(Table1[RespondentID],'All Data'!$A$3:$CO$999,88,FALSE),"unknown")</f>
        <v>66</v>
      </c>
      <c r="AL441" s="120" t="str">
        <f>IFERROR(VLOOKUP(Table1[RespondentID],'All Data'!$A$3:$CO$999,89,FALSE),"unknown")</f>
        <v>Suffolk</v>
      </c>
      <c r="AM441" s="120" t="str">
        <f>IFERROR(VLOOKUP(Table1[RespondentID],'All Data'!$A$3:$CO$999,90,FALSE),"unknown")</f>
        <v>Lindenhurst, 11757</v>
      </c>
      <c r="AN441" s="120" t="str">
        <f>IFERROR(VLOOKUP(Table1[RespondentID],'All Data'!$A$3:$CO$999,91,FALSE),"unknown")</f>
        <v>White</v>
      </c>
      <c r="AO441" s="120" t="str">
        <f>IFERROR(VLOOKUP(Table1[RespondentID],'All Data'!$A$3:$CO$999,92,FALSE),"unknown")</f>
        <v>Not Hispanic or Latino</v>
      </c>
      <c r="AP441" s="120" t="str">
        <f>IFERROR(VLOOKUP(Table1[RespondentID],'All Data'!$A$3:$CO$999,93,FALSE),"unknown")</f>
        <v>English</v>
      </c>
      <c r="AQ441" s="120">
        <f>IFERROR(VLOOKUP(Table1[RespondentID],'All Data'!$A$3:$CW$999,94,FALSE),"unknown")</f>
        <v>0</v>
      </c>
      <c r="AR441" s="120" t="str">
        <f>IFERROR(VLOOKUP(Table1[RespondentID],'All Data'!$A$3:$CW$999,95,FALSE),"unknown")</f>
        <v>College graduate</v>
      </c>
      <c r="AS441" s="120" t="str">
        <f>IFERROR(VLOOKUP(Table1[RespondentID],'All Data'!$A$3:$CW$999,96,FALSE),"unknown")</f>
        <v>Retired</v>
      </c>
      <c r="AT441" s="120">
        <f>IFERROR(VLOOKUP(Table1[RespondentID],'All Data'!$A$3:$CW$999,97,FALSE),"unknown")</f>
        <v>0</v>
      </c>
      <c r="AU441" s="120" t="str">
        <f>IFERROR(VLOOKUP(Table1[RespondentID],'All Data'!$A$3:$CW$999,98,FALSE),"unknown")</f>
        <v>Medicare</v>
      </c>
      <c r="AV441" s="120" t="str">
        <f>IFERROR(VLOOKUP(Table1[RespondentID],'All Data'!$A$3:$CW$999,99,FALSE),"unknown")</f>
        <v>Yes</v>
      </c>
    </row>
    <row r="442" spans="1:48">
      <c r="A442" s="5">
        <v>114112316241</v>
      </c>
      <c r="B442" s="160" t="s">
        <v>38</v>
      </c>
      <c r="C442" s="124"/>
      <c r="D442" s="124"/>
      <c r="E442" s="124"/>
      <c r="F442" s="124"/>
      <c r="G442" s="124" t="s">
        <v>37</v>
      </c>
      <c r="H442" s="124"/>
      <c r="I442" s="124"/>
      <c r="J442" s="124"/>
      <c r="K442" s="124"/>
      <c r="L442" s="124"/>
      <c r="M442" s="124"/>
      <c r="N442" s="124"/>
      <c r="O442" s="100">
        <f t="shared" si="119"/>
        <v>2</v>
      </c>
      <c r="P442" s="100">
        <f t="shared" si="120"/>
        <v>1.5</v>
      </c>
      <c r="R442" s="100">
        <f t="shared" si="121"/>
        <v>1</v>
      </c>
      <c r="S442" s="100">
        <f t="shared" si="122"/>
        <v>0</v>
      </c>
      <c r="T442" s="100">
        <f t="shared" si="123"/>
        <v>0</v>
      </c>
      <c r="U442" s="100">
        <f t="shared" si="124"/>
        <v>0</v>
      </c>
      <c r="V442" s="100">
        <f t="shared" si="125"/>
        <v>0</v>
      </c>
      <c r="W442" s="100">
        <f t="shared" si="126"/>
        <v>1</v>
      </c>
      <c r="X442" s="100">
        <f t="shared" si="127"/>
        <v>0</v>
      </c>
      <c r="Y442" s="100">
        <f t="shared" si="128"/>
        <v>0</v>
      </c>
      <c r="Z442" s="100">
        <f t="shared" si="129"/>
        <v>0</v>
      </c>
      <c r="AA442" s="100">
        <f t="shared" si="130"/>
        <v>0</v>
      </c>
      <c r="AB442" s="100">
        <f t="shared" si="131"/>
        <v>0</v>
      </c>
      <c r="AC442" s="100">
        <f t="shared" si="132"/>
        <v>0</v>
      </c>
      <c r="AF442" s="100">
        <f t="shared" si="133"/>
        <v>2</v>
      </c>
      <c r="AG442" s="100">
        <f t="shared" si="134"/>
        <v>2</v>
      </c>
      <c r="AH442" s="100" t="str">
        <f t="shared" si="135"/>
        <v>Correct</v>
      </c>
      <c r="AJ442" s="120" t="str">
        <f>IFERROR(VLOOKUP(Table1[RespondentID],'All Data'!$A$3:$CO$999,87,FALSE),"unknown")</f>
        <v>Woman</v>
      </c>
      <c r="AK442" s="120">
        <f>IFERROR(VLOOKUP(Table1[RespondentID],'All Data'!$A$3:$CO$999,88,FALSE),"unknown")</f>
        <v>66</v>
      </c>
      <c r="AL442" s="120" t="str">
        <f>IFERROR(VLOOKUP(Table1[RespondentID],'All Data'!$A$3:$CO$999,89,FALSE),"unknown")</f>
        <v>Suffolk</v>
      </c>
      <c r="AM442" s="120" t="str">
        <f>IFERROR(VLOOKUP(Table1[RespondentID],'All Data'!$A$3:$CO$999,90,FALSE),"unknown")</f>
        <v>Oakdale, 11769</v>
      </c>
      <c r="AN442" s="120" t="str">
        <f>IFERROR(VLOOKUP(Table1[RespondentID],'All Data'!$A$3:$CO$999,91,FALSE),"unknown")</f>
        <v>White</v>
      </c>
      <c r="AO442" s="120" t="str">
        <f>IFERROR(VLOOKUP(Table1[RespondentID],'All Data'!$A$3:$CO$999,92,FALSE),"unknown")</f>
        <v>Not Hispanic or Latino</v>
      </c>
      <c r="AP442" s="120" t="str">
        <f>IFERROR(VLOOKUP(Table1[RespondentID],'All Data'!$A$3:$CO$999,93,FALSE),"unknown")</f>
        <v>English</v>
      </c>
      <c r="AQ442" s="120" t="str">
        <f>IFERROR(VLOOKUP(Table1[RespondentID],'All Data'!$A$3:$CW$999,94,FALSE),"unknown")</f>
        <v>$20,000 to $34,999</v>
      </c>
      <c r="AR442" s="120" t="str">
        <f>IFERROR(VLOOKUP(Table1[RespondentID],'All Data'!$A$3:$CW$999,95,FALSE),"unknown")</f>
        <v>High school graduate</v>
      </c>
      <c r="AS442" s="120" t="str">
        <f>IFERROR(VLOOKUP(Table1[RespondentID],'All Data'!$A$3:$CW$999,96,FALSE),"unknown")</f>
        <v>Retired</v>
      </c>
      <c r="AT442" s="120" t="str">
        <f>IFERROR(VLOOKUP(Table1[RespondentID],'All Data'!$A$3:$CW$999,97,FALSE),"unknown")</f>
        <v>Yes</v>
      </c>
      <c r="AU442" s="120" t="str">
        <f>IFERROR(VLOOKUP(Table1[RespondentID],'All Data'!$A$3:$CW$999,98,FALSE),"unknown")</f>
        <v>Medicare,Private/Commercial</v>
      </c>
      <c r="AV442" s="120" t="str">
        <f>IFERROR(VLOOKUP(Table1[RespondentID],'All Data'!$A$3:$CW$999,99,FALSE),"unknown")</f>
        <v>Yes</v>
      </c>
    </row>
    <row r="443" spans="1:48">
      <c r="A443" s="5">
        <v>114112302057</v>
      </c>
      <c r="B443" s="160" t="s">
        <v>38</v>
      </c>
      <c r="C443" s="124"/>
      <c r="D443" s="124"/>
      <c r="E443" s="124"/>
      <c r="F443" s="124"/>
      <c r="G443" s="124" t="s">
        <v>37</v>
      </c>
      <c r="H443" s="124" t="s">
        <v>43</v>
      </c>
      <c r="I443" s="124"/>
      <c r="J443" s="124"/>
      <c r="K443" s="124"/>
      <c r="L443" s="124"/>
      <c r="M443" s="124"/>
      <c r="N443" s="124"/>
      <c r="O443" s="100">
        <f t="shared" si="119"/>
        <v>3</v>
      </c>
      <c r="P443" s="100">
        <f t="shared" si="120"/>
        <v>1</v>
      </c>
      <c r="R443" s="100">
        <f t="shared" si="121"/>
        <v>1</v>
      </c>
      <c r="S443" s="100">
        <f t="shared" si="122"/>
        <v>0</v>
      </c>
      <c r="T443" s="100">
        <f t="shared" si="123"/>
        <v>0</v>
      </c>
      <c r="U443" s="100">
        <f t="shared" si="124"/>
        <v>0</v>
      </c>
      <c r="V443" s="100">
        <f t="shared" si="125"/>
        <v>0</v>
      </c>
      <c r="W443" s="100">
        <f t="shared" si="126"/>
        <v>1</v>
      </c>
      <c r="X443" s="100">
        <f t="shared" si="127"/>
        <v>1</v>
      </c>
      <c r="Y443" s="100">
        <f t="shared" si="128"/>
        <v>0</v>
      </c>
      <c r="Z443" s="100">
        <f t="shared" si="129"/>
        <v>0</v>
      </c>
      <c r="AA443" s="100">
        <f t="shared" si="130"/>
        <v>0</v>
      </c>
      <c r="AB443" s="100">
        <f t="shared" si="131"/>
        <v>0</v>
      </c>
      <c r="AC443" s="100">
        <f t="shared" si="132"/>
        <v>0</v>
      </c>
      <c r="AF443" s="100">
        <f t="shared" si="133"/>
        <v>3</v>
      </c>
      <c r="AG443" s="100">
        <f t="shared" si="134"/>
        <v>3</v>
      </c>
      <c r="AH443" s="100" t="str">
        <f t="shared" si="135"/>
        <v>Correct</v>
      </c>
      <c r="AJ443" s="120" t="str">
        <f>IFERROR(VLOOKUP(Table1[RespondentID],'All Data'!$A$3:$CO$999,87,FALSE),"unknown")</f>
        <v>Woman</v>
      </c>
      <c r="AK443" s="120">
        <f>IFERROR(VLOOKUP(Table1[RespondentID],'All Data'!$A$3:$CO$999,88,FALSE),"unknown")</f>
        <v>66</v>
      </c>
      <c r="AL443" s="120" t="str">
        <f>IFERROR(VLOOKUP(Table1[RespondentID],'All Data'!$A$3:$CO$999,89,FALSE),"unknown")</f>
        <v>Suffolk</v>
      </c>
      <c r="AM443" s="120" t="str">
        <f>IFERROR(VLOOKUP(Table1[RespondentID],'All Data'!$A$3:$CO$999,90,FALSE),"unknown")</f>
        <v>Babylon, 11702</v>
      </c>
      <c r="AN443" s="120" t="str">
        <f>IFERROR(VLOOKUP(Table1[RespondentID],'All Data'!$A$3:$CO$999,91,FALSE),"unknown")</f>
        <v>White</v>
      </c>
      <c r="AO443" s="120" t="str">
        <f>IFERROR(VLOOKUP(Table1[RespondentID],'All Data'!$A$3:$CO$999,92,FALSE),"unknown")</f>
        <v>Not Hispanic or Latino</v>
      </c>
      <c r="AP443" s="120" t="str">
        <f>IFERROR(VLOOKUP(Table1[RespondentID],'All Data'!$A$3:$CO$999,93,FALSE),"unknown")</f>
        <v>English</v>
      </c>
      <c r="AQ443" s="120" t="str">
        <f>IFERROR(VLOOKUP(Table1[RespondentID],'All Data'!$A$3:$CW$999,94,FALSE),"unknown")</f>
        <v>$35,000 to $49,999</v>
      </c>
      <c r="AR443" s="120" t="str">
        <f>IFERROR(VLOOKUP(Table1[RespondentID],'All Data'!$A$3:$CW$999,95,FALSE),"unknown")</f>
        <v>Some college</v>
      </c>
      <c r="AS443" s="120" t="str">
        <f>IFERROR(VLOOKUP(Table1[RespondentID],'All Data'!$A$3:$CW$999,96,FALSE),"unknown")</f>
        <v>Retired</v>
      </c>
      <c r="AT443" s="120" t="str">
        <f>IFERROR(VLOOKUP(Table1[RespondentID],'All Data'!$A$3:$CW$999,97,FALSE),"unknown")</f>
        <v>Yes</v>
      </c>
      <c r="AU443" s="120" t="str">
        <f>IFERROR(VLOOKUP(Table1[RespondentID],'All Data'!$A$3:$CW$999,98,FALSE),"unknown")</f>
        <v>Medicare</v>
      </c>
      <c r="AV443" s="120" t="str">
        <f>IFERROR(VLOOKUP(Table1[RespondentID],'All Data'!$A$3:$CW$999,99,FALSE),"unknown")</f>
        <v>Yes</v>
      </c>
    </row>
    <row r="444" spans="1:48">
      <c r="A444" s="5">
        <v>114112230825</v>
      </c>
      <c r="B444" s="160" t="s">
        <v>38</v>
      </c>
      <c r="C444" s="124"/>
      <c r="D444" s="124"/>
      <c r="E444" s="124"/>
      <c r="F444" s="124"/>
      <c r="G444" s="124"/>
      <c r="H444" s="124"/>
      <c r="I444" s="124" t="s">
        <v>44</v>
      </c>
      <c r="J444" s="124"/>
      <c r="K444" s="124"/>
      <c r="L444" s="124" t="s">
        <v>47</v>
      </c>
      <c r="M444" s="124"/>
      <c r="N444" s="124"/>
      <c r="O444" s="100">
        <f t="shared" si="119"/>
        <v>3</v>
      </c>
      <c r="P444" s="100">
        <f t="shared" si="120"/>
        <v>1</v>
      </c>
      <c r="R444" s="100">
        <f t="shared" si="121"/>
        <v>1</v>
      </c>
      <c r="S444" s="100">
        <f t="shared" si="122"/>
        <v>0</v>
      </c>
      <c r="T444" s="100">
        <f t="shared" si="123"/>
        <v>0</v>
      </c>
      <c r="U444" s="100">
        <f t="shared" si="124"/>
        <v>0</v>
      </c>
      <c r="V444" s="100">
        <f t="shared" si="125"/>
        <v>0</v>
      </c>
      <c r="W444" s="100">
        <f t="shared" si="126"/>
        <v>0</v>
      </c>
      <c r="X444" s="100">
        <f t="shared" si="127"/>
        <v>0</v>
      </c>
      <c r="Y444" s="100">
        <f t="shared" si="128"/>
        <v>1</v>
      </c>
      <c r="Z444" s="100">
        <f t="shared" si="129"/>
        <v>0</v>
      </c>
      <c r="AA444" s="100">
        <f t="shared" si="130"/>
        <v>0</v>
      </c>
      <c r="AB444" s="100">
        <f t="shared" si="131"/>
        <v>1</v>
      </c>
      <c r="AC444" s="100">
        <f t="shared" si="132"/>
        <v>0</v>
      </c>
      <c r="AF444" s="100">
        <f t="shared" si="133"/>
        <v>3</v>
      </c>
      <c r="AG444" s="100">
        <f t="shared" si="134"/>
        <v>3</v>
      </c>
      <c r="AH444" s="100" t="str">
        <f t="shared" si="135"/>
        <v>Correct</v>
      </c>
      <c r="AJ444" s="120" t="str">
        <f>IFERROR(VLOOKUP(Table1[RespondentID],'All Data'!$A$3:$CO$999,87,FALSE),"unknown")</f>
        <v>Woman</v>
      </c>
      <c r="AK444" s="120">
        <f>IFERROR(VLOOKUP(Table1[RespondentID],'All Data'!$A$3:$CO$999,88,FALSE),"unknown")</f>
        <v>36</v>
      </c>
      <c r="AL444" s="120" t="str">
        <f>IFERROR(VLOOKUP(Table1[RespondentID],'All Data'!$A$3:$CO$999,89,FALSE),"unknown")</f>
        <v>Suffolk</v>
      </c>
      <c r="AM444" s="120" t="str">
        <f>IFERROR(VLOOKUP(Table1[RespondentID],'All Data'!$A$3:$CO$999,90,FALSE),"unknown")</f>
        <v>Babylon, 11702</v>
      </c>
      <c r="AN444" s="120" t="str">
        <f>IFERROR(VLOOKUP(Table1[RespondentID],'All Data'!$A$3:$CO$999,91,FALSE),"unknown")</f>
        <v>White</v>
      </c>
      <c r="AO444" s="120" t="str">
        <f>IFERROR(VLOOKUP(Table1[RespondentID],'All Data'!$A$3:$CO$999,92,FALSE),"unknown")</f>
        <v>Not Hispanic or Latino</v>
      </c>
      <c r="AP444" s="120" t="str">
        <f>IFERROR(VLOOKUP(Table1[RespondentID],'All Data'!$A$3:$CO$999,93,FALSE),"unknown")</f>
        <v>English</v>
      </c>
      <c r="AQ444" s="120" t="str">
        <f>IFERROR(VLOOKUP(Table1[RespondentID],'All Data'!$A$3:$CW$999,94,FALSE),"unknown")</f>
        <v>$75,000 to $125,000</v>
      </c>
      <c r="AR444" s="120" t="str">
        <f>IFERROR(VLOOKUP(Table1[RespondentID],'All Data'!$A$3:$CW$999,95,FALSE),"unknown")</f>
        <v>College graduate</v>
      </c>
      <c r="AS444" s="120" t="str">
        <f>IFERROR(VLOOKUP(Table1[RespondentID],'All Data'!$A$3:$CW$999,96,FALSE),"unknown")</f>
        <v>Employed for wages</v>
      </c>
      <c r="AT444" s="120" t="str">
        <f>IFERROR(VLOOKUP(Table1[RespondentID],'All Data'!$A$3:$CW$999,97,FALSE),"unknown")</f>
        <v>Yes</v>
      </c>
      <c r="AU444" s="120" t="str">
        <f>IFERROR(VLOOKUP(Table1[RespondentID],'All Data'!$A$3:$CW$999,98,FALSE),"unknown")</f>
        <v>Private/Commercial</v>
      </c>
      <c r="AV444" s="120" t="str">
        <f>IFERROR(VLOOKUP(Table1[RespondentID],'All Data'!$A$3:$CW$999,99,FALSE),"unknown")</f>
        <v>Yes</v>
      </c>
    </row>
    <row r="445" spans="1:48">
      <c r="A445" s="5">
        <v>114112163696</v>
      </c>
      <c r="B445" s="160"/>
      <c r="C445" s="124"/>
      <c r="D445" s="124"/>
      <c r="E445" s="124"/>
      <c r="F445" s="124"/>
      <c r="G445" s="124"/>
      <c r="H445" s="124"/>
      <c r="I445" s="124" t="s">
        <v>44</v>
      </c>
      <c r="J445" s="124"/>
      <c r="K445" s="124"/>
      <c r="L445" s="124" t="s">
        <v>47</v>
      </c>
      <c r="M445" s="124"/>
      <c r="N445" s="124"/>
      <c r="O445" s="100">
        <f t="shared" si="119"/>
        <v>2</v>
      </c>
      <c r="P445" s="100">
        <f t="shared" si="120"/>
        <v>1.5</v>
      </c>
      <c r="R445" s="100">
        <f t="shared" si="121"/>
        <v>0</v>
      </c>
      <c r="S445" s="100">
        <f t="shared" si="122"/>
        <v>0</v>
      </c>
      <c r="T445" s="100">
        <f t="shared" si="123"/>
        <v>0</v>
      </c>
      <c r="U445" s="100">
        <f t="shared" si="124"/>
        <v>0</v>
      </c>
      <c r="V445" s="100">
        <f t="shared" si="125"/>
        <v>0</v>
      </c>
      <c r="W445" s="100">
        <f t="shared" si="126"/>
        <v>0</v>
      </c>
      <c r="X445" s="100">
        <f t="shared" si="127"/>
        <v>0</v>
      </c>
      <c r="Y445" s="100">
        <f t="shared" si="128"/>
        <v>1</v>
      </c>
      <c r="Z445" s="100">
        <f t="shared" si="129"/>
        <v>0</v>
      </c>
      <c r="AA445" s="100">
        <f t="shared" si="130"/>
        <v>0</v>
      </c>
      <c r="AB445" s="100">
        <f t="shared" si="131"/>
        <v>1</v>
      </c>
      <c r="AC445" s="100">
        <f t="shared" si="132"/>
        <v>0</v>
      </c>
      <c r="AF445" s="100">
        <f t="shared" si="133"/>
        <v>2</v>
      </c>
      <c r="AG445" s="100">
        <f t="shared" si="134"/>
        <v>2</v>
      </c>
      <c r="AH445" s="100" t="str">
        <f t="shared" si="135"/>
        <v>Correct</v>
      </c>
      <c r="AJ445" s="120" t="str">
        <f>IFERROR(VLOOKUP(Table1[RespondentID],'All Data'!$A$3:$CO$999,87,FALSE),"unknown")</f>
        <v>Woman</v>
      </c>
      <c r="AK445" s="120">
        <f>IFERROR(VLOOKUP(Table1[RespondentID],'All Data'!$A$3:$CO$999,88,FALSE),"unknown")</f>
        <v>66</v>
      </c>
      <c r="AL445" s="120" t="str">
        <f>IFERROR(VLOOKUP(Table1[RespondentID],'All Data'!$A$3:$CO$999,89,FALSE),"unknown")</f>
        <v>Suffolk</v>
      </c>
      <c r="AM445" s="120" t="str">
        <f>IFERROR(VLOOKUP(Table1[RespondentID],'All Data'!$A$3:$CO$999,90,FALSE),"unknown")</f>
        <v>Babylon, 11702</v>
      </c>
      <c r="AN445" s="120" t="str">
        <f>IFERROR(VLOOKUP(Table1[RespondentID],'All Data'!$A$3:$CO$999,91,FALSE),"unknown")</f>
        <v>White</v>
      </c>
      <c r="AO445" s="120" t="str">
        <f>IFERROR(VLOOKUP(Table1[RespondentID],'All Data'!$A$3:$CO$999,92,FALSE),"unknown")</f>
        <v>Not Hispanic or Latino</v>
      </c>
      <c r="AP445" s="120" t="str">
        <f>IFERROR(VLOOKUP(Table1[RespondentID],'All Data'!$A$3:$CO$999,93,FALSE),"unknown")</f>
        <v>English</v>
      </c>
      <c r="AQ445" s="120" t="str">
        <f>IFERROR(VLOOKUP(Table1[RespondentID],'All Data'!$A$3:$CW$999,94,FALSE),"unknown")</f>
        <v>Over $125,000</v>
      </c>
      <c r="AR445" s="120" t="str">
        <f>IFERROR(VLOOKUP(Table1[RespondentID],'All Data'!$A$3:$CW$999,95,FALSE),"unknown")</f>
        <v>College graduate</v>
      </c>
      <c r="AS445" s="120" t="str">
        <f>IFERROR(VLOOKUP(Table1[RespondentID],'All Data'!$A$3:$CW$999,96,FALSE),"unknown")</f>
        <v>Retired</v>
      </c>
      <c r="AT445" s="120" t="str">
        <f>IFERROR(VLOOKUP(Table1[RespondentID],'All Data'!$A$3:$CW$999,97,FALSE),"unknown")</f>
        <v>Yes</v>
      </c>
      <c r="AU445" s="120" t="str">
        <f>IFERROR(VLOOKUP(Table1[RespondentID],'All Data'!$A$3:$CW$999,98,FALSE),"unknown")</f>
        <v>Medicare</v>
      </c>
      <c r="AV445" s="120" t="str">
        <f>IFERROR(VLOOKUP(Table1[RespondentID],'All Data'!$A$3:$CW$999,99,FALSE),"unknown")</f>
        <v>Yes</v>
      </c>
    </row>
    <row r="446" spans="1:48">
      <c r="A446" s="5">
        <v>114112120887</v>
      </c>
      <c r="B446" s="160" t="s">
        <v>38</v>
      </c>
      <c r="C446" s="124"/>
      <c r="D446" s="124"/>
      <c r="E446" s="124"/>
      <c r="F446" s="124"/>
      <c r="G446" s="124"/>
      <c r="H446" s="124" t="s">
        <v>43</v>
      </c>
      <c r="I446" s="124"/>
      <c r="J446" s="124"/>
      <c r="K446" s="124"/>
      <c r="L446" s="124" t="s">
        <v>47</v>
      </c>
      <c r="M446" s="124"/>
      <c r="N446" s="124"/>
      <c r="O446" s="100">
        <f t="shared" si="119"/>
        <v>3</v>
      </c>
      <c r="P446" s="100">
        <f t="shared" si="120"/>
        <v>1</v>
      </c>
      <c r="R446" s="100">
        <f t="shared" si="121"/>
        <v>1</v>
      </c>
      <c r="S446" s="100">
        <f t="shared" si="122"/>
        <v>0</v>
      </c>
      <c r="T446" s="100">
        <f t="shared" si="123"/>
        <v>0</v>
      </c>
      <c r="U446" s="100">
        <f t="shared" si="124"/>
        <v>0</v>
      </c>
      <c r="V446" s="100">
        <f t="shared" si="125"/>
        <v>0</v>
      </c>
      <c r="W446" s="100">
        <f t="shared" si="126"/>
        <v>0</v>
      </c>
      <c r="X446" s="100">
        <f t="shared" si="127"/>
        <v>1</v>
      </c>
      <c r="Y446" s="100">
        <f t="shared" si="128"/>
        <v>0</v>
      </c>
      <c r="Z446" s="100">
        <f t="shared" si="129"/>
        <v>0</v>
      </c>
      <c r="AA446" s="100">
        <f t="shared" si="130"/>
        <v>0</v>
      </c>
      <c r="AB446" s="100">
        <f t="shared" si="131"/>
        <v>1</v>
      </c>
      <c r="AC446" s="100">
        <f t="shared" si="132"/>
        <v>0</v>
      </c>
      <c r="AF446" s="100">
        <f t="shared" si="133"/>
        <v>3</v>
      </c>
      <c r="AG446" s="100">
        <f t="shared" si="134"/>
        <v>3</v>
      </c>
      <c r="AH446" s="100" t="str">
        <f t="shared" si="135"/>
        <v>Correct</v>
      </c>
      <c r="AJ446" s="120" t="str">
        <f>IFERROR(VLOOKUP(Table1[RespondentID],'All Data'!$A$3:$CO$999,87,FALSE),"unknown")</f>
        <v>Woman</v>
      </c>
      <c r="AK446" s="120">
        <f>IFERROR(VLOOKUP(Table1[RespondentID],'All Data'!$A$3:$CO$999,88,FALSE),"unknown")</f>
        <v>63</v>
      </c>
      <c r="AL446" s="120" t="str">
        <f>IFERROR(VLOOKUP(Table1[RespondentID],'All Data'!$A$3:$CO$999,89,FALSE),"unknown")</f>
        <v>Suffolk</v>
      </c>
      <c r="AM446" s="120" t="str">
        <f>IFERROR(VLOOKUP(Table1[RespondentID],'All Data'!$A$3:$CO$999,90,FALSE),"unknown")</f>
        <v>Patchogue, 11772</v>
      </c>
      <c r="AN446" s="120" t="str">
        <f>IFERROR(VLOOKUP(Table1[RespondentID],'All Data'!$A$3:$CO$999,91,FALSE),"unknown")</f>
        <v>White</v>
      </c>
      <c r="AO446" s="120" t="str">
        <f>IFERROR(VLOOKUP(Table1[RespondentID],'All Data'!$A$3:$CO$999,92,FALSE),"unknown")</f>
        <v>Not Hispanic or Latino</v>
      </c>
      <c r="AP446" s="120" t="str">
        <f>IFERROR(VLOOKUP(Table1[RespondentID],'All Data'!$A$3:$CO$999,93,FALSE),"unknown")</f>
        <v>English</v>
      </c>
      <c r="AQ446" s="120" t="str">
        <f>IFERROR(VLOOKUP(Table1[RespondentID],'All Data'!$A$3:$CW$999,94,FALSE),"unknown")</f>
        <v>$50,000 to $74,999</v>
      </c>
      <c r="AR446" s="120" t="str">
        <f>IFERROR(VLOOKUP(Table1[RespondentID],'All Data'!$A$3:$CW$999,95,FALSE),"unknown")</f>
        <v>Technical school</v>
      </c>
      <c r="AS446" s="120" t="str">
        <f>IFERROR(VLOOKUP(Table1[RespondentID],'All Data'!$A$3:$CW$999,96,FALSE),"unknown")</f>
        <v>Employed for wages</v>
      </c>
      <c r="AT446" s="120" t="str">
        <f>IFERROR(VLOOKUP(Table1[RespondentID],'All Data'!$A$3:$CW$999,97,FALSE),"unknown")</f>
        <v>Yes</v>
      </c>
      <c r="AU446" s="120" t="str">
        <f>IFERROR(VLOOKUP(Table1[RespondentID],'All Data'!$A$3:$CW$999,98,FALSE),"unknown")</f>
        <v>Private/Commercial</v>
      </c>
      <c r="AV446" s="120" t="str">
        <f>IFERROR(VLOOKUP(Table1[RespondentID],'All Data'!$A$3:$CW$999,99,FALSE),"unknown")</f>
        <v>Yes</v>
      </c>
    </row>
    <row r="447" spans="1:48">
      <c r="A447" s="5">
        <v>114112097119</v>
      </c>
      <c r="B447" s="160"/>
      <c r="C447" s="124" t="s">
        <v>39</v>
      </c>
      <c r="D447" s="124"/>
      <c r="E447" s="124" t="s">
        <v>41</v>
      </c>
      <c r="F447" s="124"/>
      <c r="G447" s="124"/>
      <c r="H447" s="124"/>
      <c r="I447" s="124" t="s">
        <v>44</v>
      </c>
      <c r="J447" s="124"/>
      <c r="K447" s="124"/>
      <c r="L447" s="124"/>
      <c r="M447" s="124"/>
      <c r="N447" s="124"/>
      <c r="O447" s="100">
        <f t="shared" si="119"/>
        <v>3</v>
      </c>
      <c r="P447" s="100">
        <f t="shared" si="120"/>
        <v>1</v>
      </c>
      <c r="R447" s="100">
        <f t="shared" si="121"/>
        <v>0</v>
      </c>
      <c r="S447" s="100">
        <f t="shared" si="122"/>
        <v>1</v>
      </c>
      <c r="T447" s="100">
        <f t="shared" si="123"/>
        <v>0</v>
      </c>
      <c r="U447" s="100">
        <f t="shared" si="124"/>
        <v>1</v>
      </c>
      <c r="V447" s="100">
        <f t="shared" si="125"/>
        <v>0</v>
      </c>
      <c r="W447" s="100">
        <f t="shared" si="126"/>
        <v>0</v>
      </c>
      <c r="X447" s="100">
        <f t="shared" si="127"/>
        <v>0</v>
      </c>
      <c r="Y447" s="100">
        <f t="shared" si="128"/>
        <v>1</v>
      </c>
      <c r="Z447" s="100">
        <f t="shared" si="129"/>
        <v>0</v>
      </c>
      <c r="AA447" s="100">
        <f t="shared" si="130"/>
        <v>0</v>
      </c>
      <c r="AB447" s="100">
        <f t="shared" si="131"/>
        <v>0</v>
      </c>
      <c r="AC447" s="100">
        <f t="shared" si="132"/>
        <v>0</v>
      </c>
      <c r="AF447" s="100">
        <f t="shared" si="133"/>
        <v>3</v>
      </c>
      <c r="AG447" s="100">
        <f t="shared" si="134"/>
        <v>3</v>
      </c>
      <c r="AH447" s="100" t="str">
        <f t="shared" si="135"/>
        <v>Correct</v>
      </c>
      <c r="AJ447" s="120" t="str">
        <f>IFERROR(VLOOKUP(Table1[RespondentID],'All Data'!$A$3:$CO$999,87,FALSE),"unknown")</f>
        <v>Woman</v>
      </c>
      <c r="AK447" s="120">
        <f>IFERROR(VLOOKUP(Table1[RespondentID],'All Data'!$A$3:$CO$999,88,FALSE),"unknown")</f>
        <v>66</v>
      </c>
      <c r="AL447" s="120" t="str">
        <f>IFERROR(VLOOKUP(Table1[RespondentID],'All Data'!$A$3:$CO$999,89,FALSE),"unknown")</f>
        <v>Suffolk</v>
      </c>
      <c r="AM447" s="120" t="str">
        <f>IFERROR(VLOOKUP(Table1[RespondentID],'All Data'!$A$3:$CO$999,90,FALSE),"unknown")</f>
        <v>West Islip, 11795</v>
      </c>
      <c r="AN447" s="120" t="str">
        <f>IFERROR(VLOOKUP(Table1[RespondentID],'All Data'!$A$3:$CO$999,91,FALSE),"unknown")</f>
        <v>White</v>
      </c>
      <c r="AO447" s="120" t="str">
        <f>IFERROR(VLOOKUP(Table1[RespondentID],'All Data'!$A$3:$CO$999,92,FALSE),"unknown")</f>
        <v>Not Hispanic or Latino</v>
      </c>
      <c r="AP447" s="120" t="str">
        <f>IFERROR(VLOOKUP(Table1[RespondentID],'All Data'!$A$3:$CO$999,93,FALSE),"unknown")</f>
        <v>English</v>
      </c>
      <c r="AQ447" s="120" t="str">
        <f>IFERROR(VLOOKUP(Table1[RespondentID],'All Data'!$A$3:$CW$999,94,FALSE),"unknown")</f>
        <v>$35,000 to $49,999</v>
      </c>
      <c r="AR447" s="120" t="str">
        <f>IFERROR(VLOOKUP(Table1[RespondentID],'All Data'!$A$3:$CW$999,95,FALSE),"unknown")</f>
        <v>High school graduate</v>
      </c>
      <c r="AS447" s="120" t="str">
        <f>IFERROR(VLOOKUP(Table1[RespondentID],'All Data'!$A$3:$CW$999,96,FALSE),"unknown")</f>
        <v>Retired</v>
      </c>
      <c r="AT447" s="120" t="str">
        <f>IFERROR(VLOOKUP(Table1[RespondentID],'All Data'!$A$3:$CW$999,97,FALSE),"unknown")</f>
        <v>Yes</v>
      </c>
      <c r="AU447" s="120" t="str">
        <f>IFERROR(VLOOKUP(Table1[RespondentID],'All Data'!$A$3:$CW$999,98,FALSE),"unknown")</f>
        <v>Private/Commercial</v>
      </c>
      <c r="AV447" s="120" t="str">
        <f>IFERROR(VLOOKUP(Table1[RespondentID],'All Data'!$A$3:$CW$999,99,FALSE),"unknown")</f>
        <v>Yes</v>
      </c>
    </row>
    <row r="448" spans="1:48">
      <c r="A448" s="5">
        <v>114112093865</v>
      </c>
      <c r="B448" s="160"/>
      <c r="C448" s="124" t="s">
        <v>39</v>
      </c>
      <c r="D448" s="124"/>
      <c r="E448" s="124" t="s">
        <v>41</v>
      </c>
      <c r="F448" s="124"/>
      <c r="G448" s="124"/>
      <c r="H448" s="124" t="s">
        <v>43</v>
      </c>
      <c r="I448" s="124"/>
      <c r="J448" s="124"/>
      <c r="K448" s="124"/>
      <c r="L448" s="124"/>
      <c r="M448" s="124"/>
      <c r="N448" s="124"/>
      <c r="O448" s="100">
        <f t="shared" si="119"/>
        <v>3</v>
      </c>
      <c r="P448" s="100">
        <f t="shared" si="120"/>
        <v>1</v>
      </c>
      <c r="R448" s="100">
        <f t="shared" si="121"/>
        <v>0</v>
      </c>
      <c r="S448" s="100">
        <f t="shared" si="122"/>
        <v>1</v>
      </c>
      <c r="T448" s="100">
        <f t="shared" si="123"/>
        <v>0</v>
      </c>
      <c r="U448" s="100">
        <f t="shared" si="124"/>
        <v>1</v>
      </c>
      <c r="V448" s="100">
        <f t="shared" si="125"/>
        <v>0</v>
      </c>
      <c r="W448" s="100">
        <f t="shared" si="126"/>
        <v>0</v>
      </c>
      <c r="X448" s="100">
        <f t="shared" si="127"/>
        <v>1</v>
      </c>
      <c r="Y448" s="100">
        <f t="shared" si="128"/>
        <v>0</v>
      </c>
      <c r="Z448" s="100">
        <f t="shared" si="129"/>
        <v>0</v>
      </c>
      <c r="AA448" s="100">
        <f t="shared" si="130"/>
        <v>0</v>
      </c>
      <c r="AB448" s="100">
        <f t="shared" si="131"/>
        <v>0</v>
      </c>
      <c r="AC448" s="100">
        <f t="shared" si="132"/>
        <v>0</v>
      </c>
      <c r="AF448" s="100">
        <f t="shared" si="133"/>
        <v>3</v>
      </c>
      <c r="AG448" s="100">
        <f t="shared" si="134"/>
        <v>3</v>
      </c>
      <c r="AH448" s="100" t="str">
        <f t="shared" si="135"/>
        <v>Correct</v>
      </c>
      <c r="AJ448" s="120" t="str">
        <f>IFERROR(VLOOKUP(Table1[RespondentID],'All Data'!$A$3:$CO$999,87,FALSE),"unknown")</f>
        <v>Woman</v>
      </c>
      <c r="AK448" s="120">
        <f>IFERROR(VLOOKUP(Table1[RespondentID],'All Data'!$A$3:$CO$999,88,FALSE),"unknown")</f>
        <v>63</v>
      </c>
      <c r="AL448" s="120" t="str">
        <f>IFERROR(VLOOKUP(Table1[RespondentID],'All Data'!$A$3:$CO$999,89,FALSE),"unknown")</f>
        <v>Suffolk</v>
      </c>
      <c r="AM448" s="120" t="str">
        <f>IFERROR(VLOOKUP(Table1[RespondentID],'All Data'!$A$3:$CO$999,90,FALSE),"unknown")</f>
        <v>Lindenhurst, 11757</v>
      </c>
      <c r="AN448" s="120" t="str">
        <f>IFERROR(VLOOKUP(Table1[RespondentID],'All Data'!$A$3:$CO$999,91,FALSE),"unknown")</f>
        <v>White</v>
      </c>
      <c r="AO448" s="120" t="str">
        <f>IFERROR(VLOOKUP(Table1[RespondentID],'All Data'!$A$3:$CO$999,92,FALSE),"unknown")</f>
        <v>Not Hispanic or Latino</v>
      </c>
      <c r="AP448" s="120" t="str">
        <f>IFERROR(VLOOKUP(Table1[RespondentID],'All Data'!$A$3:$CO$999,93,FALSE),"unknown")</f>
        <v>English</v>
      </c>
      <c r="AQ448" s="120" t="str">
        <f>IFERROR(VLOOKUP(Table1[RespondentID],'All Data'!$A$3:$CW$999,94,FALSE),"unknown")</f>
        <v>$50,000 to $74,999</v>
      </c>
      <c r="AR448" s="120" t="str">
        <f>IFERROR(VLOOKUP(Table1[RespondentID],'All Data'!$A$3:$CW$999,95,FALSE),"unknown")</f>
        <v>Some college</v>
      </c>
      <c r="AS448" s="120" t="str">
        <f>IFERROR(VLOOKUP(Table1[RespondentID],'All Data'!$A$3:$CW$999,96,FALSE),"unknown")</f>
        <v>Employed for wages</v>
      </c>
      <c r="AT448" s="120" t="str">
        <f>IFERROR(VLOOKUP(Table1[RespondentID],'All Data'!$A$3:$CW$999,97,FALSE),"unknown")</f>
        <v>No, but I did in the past</v>
      </c>
      <c r="AU448" s="120" t="str">
        <f>IFERROR(VLOOKUP(Table1[RespondentID],'All Data'!$A$3:$CW$999,98,FALSE),"unknown")</f>
        <v>No Insurance</v>
      </c>
      <c r="AV448" s="120" t="str">
        <f>IFERROR(VLOOKUP(Table1[RespondentID],'All Data'!$A$3:$CW$999,99,FALSE),"unknown")</f>
        <v>Yes</v>
      </c>
    </row>
    <row r="449" spans="1:48">
      <c r="A449" s="5">
        <v>114108705734</v>
      </c>
      <c r="B449" s="160"/>
      <c r="C449" s="124" t="s">
        <v>39</v>
      </c>
      <c r="D449" s="124"/>
      <c r="E449" s="124"/>
      <c r="F449" s="124"/>
      <c r="G449" s="124"/>
      <c r="H449" s="124"/>
      <c r="I449" s="124"/>
      <c r="J449" s="124" t="s">
        <v>45</v>
      </c>
      <c r="K449" s="124"/>
      <c r="L449" s="124"/>
      <c r="M449" s="124"/>
      <c r="N449" s="124"/>
      <c r="O449" s="100">
        <f t="shared" si="119"/>
        <v>2</v>
      </c>
      <c r="P449" s="100">
        <f t="shared" si="120"/>
        <v>1.5</v>
      </c>
      <c r="R449" s="100">
        <f t="shared" si="121"/>
        <v>0</v>
      </c>
      <c r="S449" s="100">
        <f t="shared" si="122"/>
        <v>1</v>
      </c>
      <c r="T449" s="100">
        <f t="shared" si="123"/>
        <v>0</v>
      </c>
      <c r="U449" s="100">
        <f t="shared" si="124"/>
        <v>0</v>
      </c>
      <c r="V449" s="100">
        <f t="shared" si="125"/>
        <v>0</v>
      </c>
      <c r="W449" s="100">
        <f t="shared" si="126"/>
        <v>0</v>
      </c>
      <c r="X449" s="100">
        <f t="shared" si="127"/>
        <v>0</v>
      </c>
      <c r="Y449" s="100">
        <f t="shared" si="128"/>
        <v>0</v>
      </c>
      <c r="Z449" s="100">
        <f t="shared" si="129"/>
        <v>1</v>
      </c>
      <c r="AA449" s="100">
        <f t="shared" si="130"/>
        <v>0</v>
      </c>
      <c r="AB449" s="100">
        <f t="shared" si="131"/>
        <v>0</v>
      </c>
      <c r="AC449" s="100">
        <f t="shared" si="132"/>
        <v>0</v>
      </c>
      <c r="AF449" s="100">
        <f t="shared" si="133"/>
        <v>2</v>
      </c>
      <c r="AG449" s="100">
        <f t="shared" si="134"/>
        <v>2</v>
      </c>
      <c r="AH449" s="100" t="str">
        <f t="shared" si="135"/>
        <v>Correct</v>
      </c>
      <c r="AJ449" s="120">
        <f>IFERROR(VLOOKUP(Table1[RespondentID],'All Data'!$A$3:$CO$999,87,FALSE),"unknown")</f>
        <v>0</v>
      </c>
      <c r="AK449" s="120">
        <f>IFERROR(VLOOKUP(Table1[RespondentID],'All Data'!$A$3:$CO$999,88,FALSE),"unknown")</f>
        <v>0</v>
      </c>
      <c r="AL449" s="120">
        <f>IFERROR(VLOOKUP(Table1[RespondentID],'All Data'!$A$3:$CO$999,89,FALSE),"unknown")</f>
        <v>0</v>
      </c>
      <c r="AM449" s="120">
        <f>IFERROR(VLOOKUP(Table1[RespondentID],'All Data'!$A$3:$CO$999,90,FALSE),"unknown")</f>
        <v>0</v>
      </c>
      <c r="AN449" s="120">
        <f>IFERROR(VLOOKUP(Table1[RespondentID],'All Data'!$A$3:$CO$999,91,FALSE),"unknown")</f>
        <v>0</v>
      </c>
      <c r="AO449" s="120">
        <f>IFERROR(VLOOKUP(Table1[RespondentID],'All Data'!$A$3:$CO$999,92,FALSE),"unknown")</f>
        <v>0</v>
      </c>
      <c r="AP449" s="120">
        <f>IFERROR(VLOOKUP(Table1[RespondentID],'All Data'!$A$3:$CO$999,93,FALSE),"unknown")</f>
        <v>0</v>
      </c>
      <c r="AQ449" s="120">
        <f>IFERROR(VLOOKUP(Table1[RespondentID],'All Data'!$A$3:$CW$999,94,FALSE),"unknown")</f>
        <v>0</v>
      </c>
      <c r="AR449" s="120">
        <f>IFERROR(VLOOKUP(Table1[RespondentID],'All Data'!$A$3:$CW$999,95,FALSE),"unknown")</f>
        <v>0</v>
      </c>
      <c r="AS449" s="120">
        <f>IFERROR(VLOOKUP(Table1[RespondentID],'All Data'!$A$3:$CW$999,96,FALSE),"unknown")</f>
        <v>0</v>
      </c>
      <c r="AT449" s="120">
        <f>IFERROR(VLOOKUP(Table1[RespondentID],'All Data'!$A$3:$CW$999,97,FALSE),"unknown")</f>
        <v>0</v>
      </c>
      <c r="AU449" s="120">
        <f>IFERROR(VLOOKUP(Table1[RespondentID],'All Data'!$A$3:$CW$999,98,FALSE),"unknown")</f>
        <v>0</v>
      </c>
      <c r="AV449" s="120">
        <f>IFERROR(VLOOKUP(Table1[RespondentID],'All Data'!$A$3:$CW$999,99,FALSE),"unknown")</f>
        <v>0</v>
      </c>
    </row>
    <row r="450" spans="1:48">
      <c r="A450" s="5">
        <v>18032059967</v>
      </c>
      <c r="B450" s="160" t="s">
        <v>38</v>
      </c>
      <c r="C450" s="124" t="s">
        <v>39</v>
      </c>
      <c r="D450" s="124"/>
      <c r="E450" s="124" t="s">
        <v>41</v>
      </c>
      <c r="F450" s="124"/>
      <c r="G450" s="124"/>
      <c r="H450" s="124"/>
      <c r="I450" s="124"/>
      <c r="J450" s="124"/>
      <c r="K450" s="124"/>
      <c r="L450" s="124"/>
      <c r="M450" s="124"/>
      <c r="N450" s="124" t="s">
        <v>489</v>
      </c>
      <c r="O450" s="100">
        <f t="shared" si="119"/>
        <v>4</v>
      </c>
      <c r="P450" s="100">
        <f t="shared" si="120"/>
        <v>0.75</v>
      </c>
      <c r="R450" s="100">
        <f t="shared" si="121"/>
        <v>0.75</v>
      </c>
      <c r="S450" s="100">
        <f t="shared" si="122"/>
        <v>0.75</v>
      </c>
      <c r="T450" s="100">
        <f t="shared" si="123"/>
        <v>0</v>
      </c>
      <c r="U450" s="100">
        <f t="shared" si="124"/>
        <v>0.75</v>
      </c>
      <c r="V450" s="100">
        <f t="shared" si="125"/>
        <v>0</v>
      </c>
      <c r="W450" s="100">
        <f t="shared" si="126"/>
        <v>0</v>
      </c>
      <c r="X450" s="100">
        <f t="shared" si="127"/>
        <v>0</v>
      </c>
      <c r="Y450" s="100">
        <f t="shared" si="128"/>
        <v>0</v>
      </c>
      <c r="Z450" s="100">
        <f t="shared" si="129"/>
        <v>0</v>
      </c>
      <c r="AA450" s="100">
        <f t="shared" si="130"/>
        <v>0</v>
      </c>
      <c r="AB450" s="100">
        <f t="shared" si="131"/>
        <v>0</v>
      </c>
      <c r="AC450" s="100">
        <f t="shared" si="132"/>
        <v>0</v>
      </c>
      <c r="AF450" s="100">
        <f t="shared" si="133"/>
        <v>2.25</v>
      </c>
      <c r="AG450" s="100">
        <f t="shared" si="134"/>
        <v>4</v>
      </c>
      <c r="AH450" s="100" t="str">
        <f t="shared" si="135"/>
        <v>Wrong</v>
      </c>
      <c r="AJ450" s="120" t="str">
        <f>IFERROR(VLOOKUP(Table1[RespondentID],'All Data'!$A$3:$CO$999,87,FALSE),"unknown")</f>
        <v>Man</v>
      </c>
      <c r="AK450" s="120">
        <f>IFERROR(VLOOKUP(Table1[RespondentID],'All Data'!$A$3:$CO$999,88,FALSE),"unknown")</f>
        <v>67</v>
      </c>
      <c r="AL450" s="120" t="str">
        <f>IFERROR(VLOOKUP(Table1[RespondentID],'All Data'!$A$3:$CO$999,89,FALSE),"unknown")</f>
        <v>Nassau</v>
      </c>
      <c r="AM450" s="120" t="str">
        <f>IFERROR(VLOOKUP(Table1[RespondentID],'All Data'!$A$3:$CO$999,90,FALSE),"unknown")</f>
        <v>Hicksville, 11801</v>
      </c>
      <c r="AN450" s="120" t="str">
        <f>IFERROR(VLOOKUP(Table1[RespondentID],'All Data'!$A$3:$CO$999,91,FALSE),"unknown")</f>
        <v>White</v>
      </c>
      <c r="AO450" s="120" t="str">
        <f>IFERROR(VLOOKUP(Table1[RespondentID],'All Data'!$A$3:$CO$999,92,FALSE),"unknown")</f>
        <v>Not Hispanic or Latino</v>
      </c>
      <c r="AP450" s="120" t="str">
        <f>IFERROR(VLOOKUP(Table1[RespondentID],'All Data'!$A$3:$CO$999,93,FALSE),"unknown")</f>
        <v>English</v>
      </c>
      <c r="AQ450" s="120" t="str">
        <f>IFERROR(VLOOKUP(Table1[RespondentID],'All Data'!$A$3:$CW$999,94,FALSE),"unknown")</f>
        <v>$75,000 to $125,000</v>
      </c>
      <c r="AR450" s="120" t="str">
        <f>IFERROR(VLOOKUP(Table1[RespondentID],'All Data'!$A$3:$CW$999,95,FALSE),"unknown")</f>
        <v>Some college</v>
      </c>
      <c r="AS450" s="120" t="str">
        <f>IFERROR(VLOOKUP(Table1[RespondentID],'All Data'!$A$3:$CW$999,96,FALSE),"unknown")</f>
        <v>Retired</v>
      </c>
      <c r="AT450" s="120" t="str">
        <f>IFERROR(VLOOKUP(Table1[RespondentID],'All Data'!$A$3:$CW$999,97,FALSE),"unknown")</f>
        <v>Yes</v>
      </c>
      <c r="AU450" s="120" t="str">
        <f>IFERROR(VLOOKUP(Table1[RespondentID],'All Data'!$A$3:$CW$999,98,FALSE),"unknown")</f>
        <v>Medicare</v>
      </c>
      <c r="AV450" s="120" t="str">
        <f>IFERROR(VLOOKUP(Table1[RespondentID],'All Data'!$A$3:$CW$999,99,FALSE),"unknown")</f>
        <v>Yes</v>
      </c>
    </row>
    <row r="451" spans="1:48">
      <c r="A451" s="5">
        <v>18032014754</v>
      </c>
      <c r="B451" s="160"/>
      <c r="C451" s="124" t="s">
        <v>39</v>
      </c>
      <c r="D451" s="124"/>
      <c r="E451" s="124"/>
      <c r="F451" s="124"/>
      <c r="G451" s="124"/>
      <c r="H451" s="124" t="s">
        <v>43</v>
      </c>
      <c r="I451" s="124"/>
      <c r="J451" s="124"/>
      <c r="K451" s="124"/>
      <c r="L451" s="124" t="s">
        <v>47</v>
      </c>
      <c r="M451" s="124"/>
      <c r="N451" s="124"/>
      <c r="O451" s="100">
        <f t="shared" si="119"/>
        <v>3</v>
      </c>
      <c r="P451" s="100">
        <f t="shared" si="120"/>
        <v>1</v>
      </c>
      <c r="R451" s="100">
        <f t="shared" si="121"/>
        <v>0</v>
      </c>
      <c r="S451" s="100">
        <f t="shared" si="122"/>
        <v>1</v>
      </c>
      <c r="T451" s="100">
        <f t="shared" si="123"/>
        <v>0</v>
      </c>
      <c r="U451" s="100">
        <f t="shared" si="124"/>
        <v>0</v>
      </c>
      <c r="V451" s="100">
        <f t="shared" si="125"/>
        <v>0</v>
      </c>
      <c r="W451" s="100">
        <f t="shared" si="126"/>
        <v>0</v>
      </c>
      <c r="X451" s="100">
        <f t="shared" si="127"/>
        <v>1</v>
      </c>
      <c r="Y451" s="100">
        <f t="shared" si="128"/>
        <v>0</v>
      </c>
      <c r="Z451" s="100">
        <f t="shared" si="129"/>
        <v>0</v>
      </c>
      <c r="AA451" s="100">
        <f t="shared" si="130"/>
        <v>0</v>
      </c>
      <c r="AB451" s="100">
        <f t="shared" si="131"/>
        <v>1</v>
      </c>
      <c r="AC451" s="100">
        <f t="shared" si="132"/>
        <v>0</v>
      </c>
      <c r="AF451" s="100">
        <f t="shared" si="133"/>
        <v>3</v>
      </c>
      <c r="AG451" s="100">
        <f t="shared" si="134"/>
        <v>3</v>
      </c>
      <c r="AH451" s="100" t="str">
        <f t="shared" si="135"/>
        <v>Correct</v>
      </c>
      <c r="AJ451" s="120" t="str">
        <f>IFERROR(VLOOKUP(Table1[RespondentID],'All Data'!$A$3:$CO$999,87,FALSE),"unknown")</f>
        <v>Woman</v>
      </c>
      <c r="AK451" s="120">
        <f>IFERROR(VLOOKUP(Table1[RespondentID],'All Data'!$A$3:$CO$999,88,FALSE),"unknown")</f>
        <v>16</v>
      </c>
      <c r="AL451" s="120" t="str">
        <f>IFERROR(VLOOKUP(Table1[RespondentID],'All Data'!$A$3:$CO$999,89,FALSE),"unknown")</f>
        <v>Suffolk</v>
      </c>
      <c r="AM451" s="120" t="str">
        <f>IFERROR(VLOOKUP(Table1[RespondentID],'All Data'!$A$3:$CO$999,90,FALSE),"unknown")</f>
        <v>Melville, 11747</v>
      </c>
      <c r="AN451" s="120" t="str">
        <f>IFERROR(VLOOKUP(Table1[RespondentID],'All Data'!$A$3:$CO$999,91,FALSE),"unknown")</f>
        <v>White</v>
      </c>
      <c r="AO451" s="120" t="str">
        <f>IFERROR(VLOOKUP(Table1[RespondentID],'All Data'!$A$3:$CO$999,92,FALSE),"unknown")</f>
        <v>Not Hispanic or Latino</v>
      </c>
      <c r="AP451" s="120" t="str">
        <f>IFERROR(VLOOKUP(Table1[RespondentID],'All Data'!$A$3:$CO$999,93,FALSE),"unknown")</f>
        <v>English</v>
      </c>
      <c r="AQ451" s="120" t="str">
        <f>IFERROR(VLOOKUP(Table1[RespondentID],'All Data'!$A$3:$CW$999,94,FALSE),"unknown")</f>
        <v>$50,000 to $74,999</v>
      </c>
      <c r="AR451" s="120" t="str">
        <f>IFERROR(VLOOKUP(Table1[RespondentID],'All Data'!$A$3:$CW$999,95,FALSE),"unknown")</f>
        <v>Some high school</v>
      </c>
      <c r="AS451" s="120" t="str">
        <f>IFERROR(VLOOKUP(Table1[RespondentID],'All Data'!$A$3:$CW$999,96,FALSE),"unknown")</f>
        <v>Student</v>
      </c>
      <c r="AT451" s="120" t="str">
        <f>IFERROR(VLOOKUP(Table1[RespondentID],'All Data'!$A$3:$CW$999,97,FALSE),"unknown")</f>
        <v>Yes</v>
      </c>
      <c r="AU451" s="120" t="str">
        <f>IFERROR(VLOOKUP(Table1[RespondentID],'All Data'!$A$3:$CW$999,98,FALSE),"unknown")</f>
        <v>Private/Commercial</v>
      </c>
      <c r="AV451" s="120" t="str">
        <f>IFERROR(VLOOKUP(Table1[RespondentID],'All Data'!$A$3:$CW$999,99,FALSE),"unknown")</f>
        <v>Yes</v>
      </c>
    </row>
    <row r="452" spans="1:48">
      <c r="A452" s="5">
        <v>18031752968</v>
      </c>
      <c r="B452" s="160" t="s">
        <v>38</v>
      </c>
      <c r="C452" s="124"/>
      <c r="D452" s="124"/>
      <c r="E452" s="124"/>
      <c r="F452" s="124"/>
      <c r="G452" s="124"/>
      <c r="H452" s="124"/>
      <c r="I452" s="124"/>
      <c r="J452" s="124" t="s">
        <v>45</v>
      </c>
      <c r="K452" s="124"/>
      <c r="L452" s="124"/>
      <c r="M452" s="124"/>
      <c r="N452" s="124"/>
      <c r="O452" s="100">
        <f t="shared" si="119"/>
        <v>2</v>
      </c>
      <c r="P452" s="100">
        <f t="shared" si="120"/>
        <v>1.5</v>
      </c>
      <c r="R452" s="100">
        <f t="shared" si="121"/>
        <v>1</v>
      </c>
      <c r="S452" s="100">
        <f t="shared" si="122"/>
        <v>0</v>
      </c>
      <c r="T452" s="100">
        <f t="shared" si="123"/>
        <v>0</v>
      </c>
      <c r="U452" s="100">
        <f t="shared" si="124"/>
        <v>0</v>
      </c>
      <c r="V452" s="100">
        <f t="shared" si="125"/>
        <v>0</v>
      </c>
      <c r="W452" s="100">
        <f t="shared" si="126"/>
        <v>0</v>
      </c>
      <c r="X452" s="100">
        <f t="shared" si="127"/>
        <v>0</v>
      </c>
      <c r="Y452" s="100">
        <f t="shared" si="128"/>
        <v>0</v>
      </c>
      <c r="Z452" s="100">
        <f t="shared" si="129"/>
        <v>1</v>
      </c>
      <c r="AA452" s="100">
        <f t="shared" si="130"/>
        <v>0</v>
      </c>
      <c r="AB452" s="100">
        <f t="shared" si="131"/>
        <v>0</v>
      </c>
      <c r="AC452" s="100">
        <f t="shared" si="132"/>
        <v>0</v>
      </c>
      <c r="AF452" s="100">
        <f t="shared" si="133"/>
        <v>2</v>
      </c>
      <c r="AG452" s="100">
        <f t="shared" si="134"/>
        <v>2</v>
      </c>
      <c r="AH452" s="100" t="str">
        <f t="shared" si="135"/>
        <v>Correct</v>
      </c>
      <c r="AJ452" s="120" t="str">
        <f>IFERROR(VLOOKUP(Table1[RespondentID],'All Data'!$A$3:$CO$999,87,FALSE),"unknown")</f>
        <v>Man</v>
      </c>
      <c r="AK452" s="120">
        <f>IFERROR(VLOOKUP(Table1[RespondentID],'All Data'!$A$3:$CO$999,88,FALSE),"unknown")</f>
        <v>0</v>
      </c>
      <c r="AL452" s="120" t="str">
        <f>IFERROR(VLOOKUP(Table1[RespondentID],'All Data'!$A$3:$CO$999,89,FALSE),"unknown")</f>
        <v>Nassau</v>
      </c>
      <c r="AM452" s="120" t="str">
        <f>IFERROR(VLOOKUP(Table1[RespondentID],'All Data'!$A$3:$CO$999,90,FALSE),"unknown")</f>
        <v>Farmingdale, 11735</v>
      </c>
      <c r="AN452" s="120" t="str">
        <f>IFERROR(VLOOKUP(Table1[RespondentID],'All Data'!$A$3:$CO$999,91,FALSE),"unknown")</f>
        <v>White</v>
      </c>
      <c r="AO452" s="120" t="str">
        <f>IFERROR(VLOOKUP(Table1[RespondentID],'All Data'!$A$3:$CO$999,92,FALSE),"unknown")</f>
        <v>Not Hispanic or Latino</v>
      </c>
      <c r="AP452" s="120" t="str">
        <f>IFERROR(VLOOKUP(Table1[RespondentID],'All Data'!$A$3:$CO$999,93,FALSE),"unknown")</f>
        <v>English</v>
      </c>
      <c r="AQ452" s="120">
        <f>IFERROR(VLOOKUP(Table1[RespondentID],'All Data'!$A$3:$CW$999,94,FALSE),"unknown")</f>
        <v>0</v>
      </c>
      <c r="AR452" s="120" t="str">
        <f>IFERROR(VLOOKUP(Table1[RespondentID],'All Data'!$A$3:$CW$999,95,FALSE),"unknown")</f>
        <v>Graduate school</v>
      </c>
      <c r="AS452" s="120">
        <f>IFERROR(VLOOKUP(Table1[RespondentID],'All Data'!$A$3:$CW$999,96,FALSE),"unknown")</f>
        <v>0</v>
      </c>
      <c r="AT452" s="120">
        <f>IFERROR(VLOOKUP(Table1[RespondentID],'All Data'!$A$3:$CW$999,97,FALSE),"unknown")</f>
        <v>0</v>
      </c>
      <c r="AU452" s="120">
        <f>IFERROR(VLOOKUP(Table1[RespondentID],'All Data'!$A$3:$CW$999,98,FALSE),"unknown")</f>
        <v>0</v>
      </c>
      <c r="AV452" s="120">
        <f>IFERROR(VLOOKUP(Table1[RespondentID],'All Data'!$A$3:$CW$999,99,FALSE),"unknown")</f>
        <v>0</v>
      </c>
    </row>
    <row r="453" spans="1:48">
      <c r="A453" s="5">
        <v>18031752783</v>
      </c>
      <c r="B453" s="160" t="s">
        <v>38</v>
      </c>
      <c r="C453" s="124"/>
      <c r="D453" s="124"/>
      <c r="E453" s="124"/>
      <c r="F453" s="124"/>
      <c r="G453" s="124"/>
      <c r="H453" s="124" t="s">
        <v>43</v>
      </c>
      <c r="I453" s="124"/>
      <c r="J453" s="124"/>
      <c r="K453" s="124"/>
      <c r="L453" s="124" t="s">
        <v>47</v>
      </c>
      <c r="M453" s="124"/>
      <c r="N453" s="124"/>
      <c r="O453" s="100">
        <f t="shared" si="119"/>
        <v>3</v>
      </c>
      <c r="P453" s="100">
        <f t="shared" si="120"/>
        <v>1</v>
      </c>
      <c r="R453" s="100">
        <f t="shared" si="121"/>
        <v>1</v>
      </c>
      <c r="S453" s="100">
        <f t="shared" si="122"/>
        <v>0</v>
      </c>
      <c r="T453" s="100">
        <f t="shared" si="123"/>
        <v>0</v>
      </c>
      <c r="U453" s="100">
        <f t="shared" si="124"/>
        <v>0</v>
      </c>
      <c r="V453" s="100">
        <f t="shared" si="125"/>
        <v>0</v>
      </c>
      <c r="W453" s="100">
        <f t="shared" si="126"/>
        <v>0</v>
      </c>
      <c r="X453" s="100">
        <f t="shared" si="127"/>
        <v>1</v>
      </c>
      <c r="Y453" s="100">
        <f t="shared" si="128"/>
        <v>0</v>
      </c>
      <c r="Z453" s="100">
        <f t="shared" si="129"/>
        <v>0</v>
      </c>
      <c r="AA453" s="100">
        <f t="shared" si="130"/>
        <v>0</v>
      </c>
      <c r="AB453" s="100">
        <f t="shared" si="131"/>
        <v>1</v>
      </c>
      <c r="AC453" s="100">
        <f t="shared" si="132"/>
        <v>0</v>
      </c>
      <c r="AF453" s="100">
        <f t="shared" si="133"/>
        <v>3</v>
      </c>
      <c r="AG453" s="100">
        <f t="shared" si="134"/>
        <v>3</v>
      </c>
      <c r="AH453" s="100" t="str">
        <f t="shared" si="135"/>
        <v>Correct</v>
      </c>
      <c r="AJ453" s="120" t="str">
        <f>IFERROR(VLOOKUP(Table1[RespondentID],'All Data'!$A$3:$CO$999,87,FALSE),"unknown")</f>
        <v>Man</v>
      </c>
      <c r="AK453" s="120">
        <f>IFERROR(VLOOKUP(Table1[RespondentID],'All Data'!$A$3:$CO$999,88,FALSE),"unknown")</f>
        <v>58</v>
      </c>
      <c r="AL453" s="120" t="str">
        <f>IFERROR(VLOOKUP(Table1[RespondentID],'All Data'!$A$3:$CO$999,89,FALSE),"unknown")</f>
        <v>Nassau</v>
      </c>
      <c r="AM453" s="120" t="str">
        <f>IFERROR(VLOOKUP(Table1[RespondentID],'All Data'!$A$3:$CO$999,90,FALSE),"unknown")</f>
        <v>Farmingdale, 11735</v>
      </c>
      <c r="AN453" s="120" t="str">
        <f>IFERROR(VLOOKUP(Table1[RespondentID],'All Data'!$A$3:$CO$999,91,FALSE),"unknown")</f>
        <v>White</v>
      </c>
      <c r="AO453" s="120">
        <f>IFERROR(VLOOKUP(Table1[RespondentID],'All Data'!$A$3:$CO$999,92,FALSE),"unknown")</f>
        <v>0</v>
      </c>
      <c r="AP453" s="120" t="str">
        <f>IFERROR(VLOOKUP(Table1[RespondentID],'All Data'!$A$3:$CO$999,93,FALSE),"unknown")</f>
        <v>English</v>
      </c>
      <c r="AQ453" s="120" t="str">
        <f>IFERROR(VLOOKUP(Table1[RespondentID],'All Data'!$A$3:$CW$999,94,FALSE),"unknown")</f>
        <v>$20,000 to $34,999</v>
      </c>
      <c r="AR453" s="120" t="str">
        <f>IFERROR(VLOOKUP(Table1[RespondentID],'All Data'!$A$3:$CW$999,95,FALSE),"unknown")</f>
        <v>Graduate school</v>
      </c>
      <c r="AS453" s="120" t="str">
        <f>IFERROR(VLOOKUP(Table1[RespondentID],'All Data'!$A$3:$CW$999,96,FALSE),"unknown")</f>
        <v>Self-employed</v>
      </c>
      <c r="AT453" s="120" t="str">
        <f>IFERROR(VLOOKUP(Table1[RespondentID],'All Data'!$A$3:$CW$999,97,FALSE),"unknown")</f>
        <v>No</v>
      </c>
      <c r="AU453" s="120" t="str">
        <f>IFERROR(VLOOKUP(Table1[RespondentID],'All Data'!$A$3:$CW$999,98,FALSE),"unknown")</f>
        <v>No Insurance</v>
      </c>
      <c r="AV453" s="120" t="str">
        <f>IFERROR(VLOOKUP(Table1[RespondentID],'All Data'!$A$3:$CW$999,99,FALSE),"unknown")</f>
        <v>No</v>
      </c>
    </row>
    <row r="454" spans="1:48">
      <c r="A454" s="5">
        <v>18031752813</v>
      </c>
      <c r="B454" s="160"/>
      <c r="C454" s="124" t="s">
        <v>39</v>
      </c>
      <c r="D454" s="124"/>
      <c r="E454" s="124"/>
      <c r="F454" s="124"/>
      <c r="G454" s="124"/>
      <c r="H454" s="124"/>
      <c r="I454" s="124"/>
      <c r="J454" s="124"/>
      <c r="K454" s="124" t="s">
        <v>46</v>
      </c>
      <c r="L454" s="124"/>
      <c r="M454" s="124"/>
      <c r="N454" s="124"/>
      <c r="O454" s="100">
        <f t="shared" si="119"/>
        <v>2</v>
      </c>
      <c r="P454" s="100">
        <f t="shared" si="120"/>
        <v>1.5</v>
      </c>
      <c r="R454" s="100">
        <f t="shared" si="121"/>
        <v>0</v>
      </c>
      <c r="S454" s="100">
        <f t="shared" si="122"/>
        <v>1</v>
      </c>
      <c r="T454" s="100">
        <f t="shared" si="123"/>
        <v>0</v>
      </c>
      <c r="U454" s="100">
        <f t="shared" si="124"/>
        <v>0</v>
      </c>
      <c r="V454" s="100">
        <f t="shared" si="125"/>
        <v>0</v>
      </c>
      <c r="W454" s="100">
        <f t="shared" si="126"/>
        <v>0</v>
      </c>
      <c r="X454" s="100">
        <f t="shared" si="127"/>
        <v>0</v>
      </c>
      <c r="Y454" s="100">
        <f t="shared" si="128"/>
        <v>0</v>
      </c>
      <c r="Z454" s="100">
        <f t="shared" si="129"/>
        <v>0</v>
      </c>
      <c r="AA454" s="100">
        <f t="shared" si="130"/>
        <v>1</v>
      </c>
      <c r="AB454" s="100">
        <f t="shared" si="131"/>
        <v>0</v>
      </c>
      <c r="AC454" s="100">
        <f t="shared" si="132"/>
        <v>0</v>
      </c>
      <c r="AF454" s="100">
        <f t="shared" si="133"/>
        <v>2</v>
      </c>
      <c r="AG454" s="100">
        <f t="shared" si="134"/>
        <v>2</v>
      </c>
      <c r="AH454" s="100" t="str">
        <f t="shared" si="135"/>
        <v>Correct</v>
      </c>
      <c r="AJ454" s="120" t="str">
        <f>IFERROR(VLOOKUP(Table1[RespondentID],'All Data'!$A$3:$CO$999,87,FALSE),"unknown")</f>
        <v>Man</v>
      </c>
      <c r="AK454" s="120">
        <f>IFERROR(VLOOKUP(Table1[RespondentID],'All Data'!$A$3:$CO$999,88,FALSE),"unknown")</f>
        <v>28</v>
      </c>
      <c r="AL454" s="120" t="str">
        <f>IFERROR(VLOOKUP(Table1[RespondentID],'All Data'!$A$3:$CO$999,89,FALSE),"unknown")</f>
        <v>Suffolk</v>
      </c>
      <c r="AM454" s="120" t="str">
        <f>IFERROR(VLOOKUP(Table1[RespondentID],'All Data'!$A$3:$CO$999,90,FALSE),"unknown")</f>
        <v>Port Jefferson Station, 11776</v>
      </c>
      <c r="AN454" s="120" t="str">
        <f>IFERROR(VLOOKUP(Table1[RespondentID],'All Data'!$A$3:$CO$999,91,FALSE),"unknown")</f>
        <v>White</v>
      </c>
      <c r="AO454" s="120" t="str">
        <f>IFERROR(VLOOKUP(Table1[RespondentID],'All Data'!$A$3:$CO$999,92,FALSE),"unknown")</f>
        <v>Not Hispanic or Latino</v>
      </c>
      <c r="AP454" s="120" t="str">
        <f>IFERROR(VLOOKUP(Table1[RespondentID],'All Data'!$A$3:$CO$999,93,FALSE),"unknown")</f>
        <v>English</v>
      </c>
      <c r="AQ454" s="120" t="str">
        <f>IFERROR(VLOOKUP(Table1[RespondentID],'All Data'!$A$3:$CW$999,94,FALSE),"unknown")</f>
        <v>$75,000 to $125,000</v>
      </c>
      <c r="AR454" s="120" t="str">
        <f>IFERROR(VLOOKUP(Table1[RespondentID],'All Data'!$A$3:$CW$999,95,FALSE),"unknown")</f>
        <v>Graduate school</v>
      </c>
      <c r="AS454" s="120" t="str">
        <f>IFERROR(VLOOKUP(Table1[RespondentID],'All Data'!$A$3:$CW$999,96,FALSE),"unknown")</f>
        <v>Employed for wages</v>
      </c>
      <c r="AT454" s="120" t="str">
        <f>IFERROR(VLOOKUP(Table1[RespondentID],'All Data'!$A$3:$CW$999,97,FALSE),"unknown")</f>
        <v>Yes</v>
      </c>
      <c r="AU454" s="120" t="str">
        <f>IFERROR(VLOOKUP(Table1[RespondentID],'All Data'!$A$3:$CW$999,98,FALSE),"unknown")</f>
        <v>Private/Commercial</v>
      </c>
      <c r="AV454" s="120" t="str">
        <f>IFERROR(VLOOKUP(Table1[RespondentID],'All Data'!$A$3:$CW$999,99,FALSE),"unknown")</f>
        <v>Yes</v>
      </c>
    </row>
    <row r="455" spans="1:48">
      <c r="A455" s="5">
        <v>18031752705</v>
      </c>
      <c r="B455" s="160"/>
      <c r="C455" s="124"/>
      <c r="D455" s="124"/>
      <c r="E455" s="124" t="s">
        <v>41</v>
      </c>
      <c r="F455" s="124" t="s">
        <v>42</v>
      </c>
      <c r="G455" s="124" t="s">
        <v>37</v>
      </c>
      <c r="H455" s="124"/>
      <c r="I455" s="124"/>
      <c r="J455" s="124"/>
      <c r="K455" s="124"/>
      <c r="L455" s="124"/>
      <c r="M455" s="124"/>
      <c r="N455" s="124"/>
      <c r="O455" s="100">
        <f t="shared" si="119"/>
        <v>3</v>
      </c>
      <c r="P455" s="100">
        <f t="shared" si="120"/>
        <v>1</v>
      </c>
      <c r="R455" s="100">
        <f t="shared" si="121"/>
        <v>0</v>
      </c>
      <c r="S455" s="100">
        <f t="shared" si="122"/>
        <v>0</v>
      </c>
      <c r="T455" s="100">
        <f t="shared" si="123"/>
        <v>0</v>
      </c>
      <c r="U455" s="100">
        <f t="shared" si="124"/>
        <v>1</v>
      </c>
      <c r="V455" s="100">
        <f t="shared" si="125"/>
        <v>1</v>
      </c>
      <c r="W455" s="100">
        <f t="shared" si="126"/>
        <v>1</v>
      </c>
      <c r="X455" s="100">
        <f t="shared" si="127"/>
        <v>0</v>
      </c>
      <c r="Y455" s="100">
        <f t="shared" si="128"/>
        <v>0</v>
      </c>
      <c r="Z455" s="100">
        <f t="shared" si="129"/>
        <v>0</v>
      </c>
      <c r="AA455" s="100">
        <f t="shared" si="130"/>
        <v>0</v>
      </c>
      <c r="AB455" s="100">
        <f t="shared" si="131"/>
        <v>0</v>
      </c>
      <c r="AC455" s="100">
        <f t="shared" si="132"/>
        <v>0</v>
      </c>
      <c r="AF455" s="100">
        <f t="shared" si="133"/>
        <v>3</v>
      </c>
      <c r="AG455" s="100">
        <f t="shared" si="134"/>
        <v>3</v>
      </c>
      <c r="AH455" s="100" t="str">
        <f t="shared" si="135"/>
        <v>Correct</v>
      </c>
      <c r="AJ455" s="120" t="str">
        <f>IFERROR(VLOOKUP(Table1[RespondentID],'All Data'!$A$3:$CO$999,87,FALSE),"unknown")</f>
        <v>Man</v>
      </c>
      <c r="AK455" s="120">
        <f>IFERROR(VLOOKUP(Table1[RespondentID],'All Data'!$A$3:$CO$999,88,FALSE),"unknown")</f>
        <v>91</v>
      </c>
      <c r="AL455" s="120" t="str">
        <f>IFERROR(VLOOKUP(Table1[RespondentID],'All Data'!$A$3:$CO$999,89,FALSE),"unknown")</f>
        <v>Nassau</v>
      </c>
      <c r="AM455" s="120" t="str">
        <f>IFERROR(VLOOKUP(Table1[RespondentID],'All Data'!$A$3:$CO$999,90,FALSE),"unknown")</f>
        <v>Farmingdale, 11735</v>
      </c>
      <c r="AN455" s="120" t="str">
        <f>IFERROR(VLOOKUP(Table1[RespondentID],'All Data'!$A$3:$CO$999,91,FALSE),"unknown")</f>
        <v>White</v>
      </c>
      <c r="AO455" s="120" t="str">
        <f>IFERROR(VLOOKUP(Table1[RespondentID],'All Data'!$A$3:$CO$999,92,FALSE),"unknown")</f>
        <v>Not Hispanic or Latino</v>
      </c>
      <c r="AP455" s="120" t="str">
        <f>IFERROR(VLOOKUP(Table1[RespondentID],'All Data'!$A$3:$CO$999,93,FALSE),"unknown")</f>
        <v>English</v>
      </c>
      <c r="AQ455" s="120" t="str">
        <f>IFERROR(VLOOKUP(Table1[RespondentID],'All Data'!$A$3:$CW$999,94,FALSE),"unknown")</f>
        <v>$35,000 to $49,999</v>
      </c>
      <c r="AR455" s="120" t="str">
        <f>IFERROR(VLOOKUP(Table1[RespondentID],'All Data'!$A$3:$CW$999,95,FALSE),"unknown")</f>
        <v>Some college</v>
      </c>
      <c r="AS455" s="120" t="str">
        <f>IFERROR(VLOOKUP(Table1[RespondentID],'All Data'!$A$3:$CW$999,96,FALSE),"unknown")</f>
        <v>Retired</v>
      </c>
      <c r="AT455" s="120" t="str">
        <f>IFERROR(VLOOKUP(Table1[RespondentID],'All Data'!$A$3:$CW$999,97,FALSE),"unknown")</f>
        <v>Yes</v>
      </c>
      <c r="AU455" s="120" t="str">
        <f>IFERROR(VLOOKUP(Table1[RespondentID],'All Data'!$A$3:$CW$999,98,FALSE),"unknown")</f>
        <v>Medicare</v>
      </c>
      <c r="AV455" s="120" t="str">
        <f>IFERROR(VLOOKUP(Table1[RespondentID],'All Data'!$A$3:$CW$999,99,FALSE),"unknown")</f>
        <v>Yes</v>
      </c>
    </row>
    <row r="456" spans="1:48">
      <c r="A456" s="5">
        <v>18031752630</v>
      </c>
      <c r="B456" s="160"/>
      <c r="C456" s="124"/>
      <c r="D456" s="124"/>
      <c r="E456" s="124"/>
      <c r="F456" s="124"/>
      <c r="G456" s="124"/>
      <c r="H456" s="124" t="s">
        <v>43</v>
      </c>
      <c r="I456" s="124"/>
      <c r="J456" s="124"/>
      <c r="K456" s="124"/>
      <c r="L456" s="124"/>
      <c r="M456" s="124"/>
      <c r="N456" s="124"/>
      <c r="O456" s="100">
        <f t="shared" si="119"/>
        <v>1</v>
      </c>
      <c r="P456" s="100">
        <f t="shared" si="120"/>
        <v>3</v>
      </c>
      <c r="R456" s="100">
        <f t="shared" si="121"/>
        <v>0</v>
      </c>
      <c r="S456" s="100">
        <f t="shared" si="122"/>
        <v>0</v>
      </c>
      <c r="T456" s="100">
        <f t="shared" si="123"/>
        <v>0</v>
      </c>
      <c r="U456" s="100">
        <f t="shared" si="124"/>
        <v>0</v>
      </c>
      <c r="V456" s="100">
        <f t="shared" si="125"/>
        <v>0</v>
      </c>
      <c r="W456" s="100">
        <f t="shared" si="126"/>
        <v>0</v>
      </c>
      <c r="X456" s="100">
        <f t="shared" si="127"/>
        <v>1</v>
      </c>
      <c r="Y456" s="100">
        <f t="shared" si="128"/>
        <v>0</v>
      </c>
      <c r="Z456" s="100">
        <f t="shared" si="129"/>
        <v>0</v>
      </c>
      <c r="AA456" s="100">
        <f t="shared" si="130"/>
        <v>0</v>
      </c>
      <c r="AB456" s="100">
        <f t="shared" si="131"/>
        <v>0</v>
      </c>
      <c r="AC456" s="100">
        <f t="shared" si="132"/>
        <v>0</v>
      </c>
      <c r="AF456" s="100">
        <f t="shared" si="133"/>
        <v>1</v>
      </c>
      <c r="AG456" s="100">
        <f t="shared" si="134"/>
        <v>1</v>
      </c>
      <c r="AH456" s="100" t="str">
        <f t="shared" si="135"/>
        <v>Correct</v>
      </c>
      <c r="AJ456" s="120" t="str">
        <f>IFERROR(VLOOKUP(Table1[RespondentID],'All Data'!$A$3:$CO$999,87,FALSE),"unknown")</f>
        <v>Man</v>
      </c>
      <c r="AK456" s="120">
        <f>IFERROR(VLOOKUP(Table1[RespondentID],'All Data'!$A$3:$CO$999,88,FALSE),"unknown")</f>
        <v>68</v>
      </c>
      <c r="AL456" s="120" t="str">
        <f>IFERROR(VLOOKUP(Table1[RespondentID],'All Data'!$A$3:$CO$999,89,FALSE),"unknown")</f>
        <v>Nassau</v>
      </c>
      <c r="AM456" s="120" t="str">
        <f>IFERROR(VLOOKUP(Table1[RespondentID],'All Data'!$A$3:$CO$999,90,FALSE),"unknown")</f>
        <v>Farmingdale, 11735</v>
      </c>
      <c r="AN456" s="120" t="str">
        <f>IFERROR(VLOOKUP(Table1[RespondentID],'All Data'!$A$3:$CO$999,91,FALSE),"unknown")</f>
        <v>White</v>
      </c>
      <c r="AO456" s="120" t="str">
        <f>IFERROR(VLOOKUP(Table1[RespondentID],'All Data'!$A$3:$CO$999,92,FALSE),"unknown")</f>
        <v>Not Hispanic or Latino</v>
      </c>
      <c r="AP456" s="120" t="str">
        <f>IFERROR(VLOOKUP(Table1[RespondentID],'All Data'!$A$3:$CO$999,93,FALSE),"unknown")</f>
        <v>English</v>
      </c>
      <c r="AQ456" s="120" t="str">
        <f>IFERROR(VLOOKUP(Table1[RespondentID],'All Data'!$A$3:$CW$999,94,FALSE),"unknown")</f>
        <v>$50,000 to $74,999</v>
      </c>
      <c r="AR456" s="120" t="str">
        <f>IFERROR(VLOOKUP(Table1[RespondentID],'All Data'!$A$3:$CW$999,95,FALSE),"unknown")</f>
        <v>Some college</v>
      </c>
      <c r="AS456" s="120" t="str">
        <f>IFERROR(VLOOKUP(Table1[RespondentID],'All Data'!$A$3:$CW$999,96,FALSE),"unknown")</f>
        <v>Retired</v>
      </c>
      <c r="AT456" s="120" t="str">
        <f>IFERROR(VLOOKUP(Table1[RespondentID],'All Data'!$A$3:$CW$999,97,FALSE),"unknown")</f>
        <v>Yes</v>
      </c>
      <c r="AU456" s="120" t="str">
        <f>IFERROR(VLOOKUP(Table1[RespondentID],'All Data'!$A$3:$CW$999,98,FALSE),"unknown")</f>
        <v>Medicare</v>
      </c>
      <c r="AV456" s="120" t="str">
        <f>IFERROR(VLOOKUP(Table1[RespondentID],'All Data'!$A$3:$CW$999,99,FALSE),"unknown")</f>
        <v>Yes</v>
      </c>
    </row>
    <row r="457" spans="1:48">
      <c r="A457" s="5">
        <v>18031752588</v>
      </c>
      <c r="B457" s="160" t="s">
        <v>38</v>
      </c>
      <c r="C457" s="124"/>
      <c r="D457" s="124"/>
      <c r="E457" s="124"/>
      <c r="F457" s="124" t="s">
        <v>42</v>
      </c>
      <c r="G457" s="124"/>
      <c r="H457" s="124" t="s">
        <v>43</v>
      </c>
      <c r="I457" s="124"/>
      <c r="J457" s="124"/>
      <c r="K457" s="124"/>
      <c r="L457" s="124"/>
      <c r="M457" s="124"/>
      <c r="N457" s="124"/>
      <c r="O457" s="100">
        <f t="shared" si="119"/>
        <v>3</v>
      </c>
      <c r="P457" s="100">
        <f t="shared" si="120"/>
        <v>1</v>
      </c>
      <c r="R457" s="100">
        <f t="shared" si="121"/>
        <v>1</v>
      </c>
      <c r="S457" s="100">
        <f t="shared" si="122"/>
        <v>0</v>
      </c>
      <c r="T457" s="100">
        <f t="shared" si="123"/>
        <v>0</v>
      </c>
      <c r="U457" s="100">
        <f t="shared" si="124"/>
        <v>0</v>
      </c>
      <c r="V457" s="100">
        <f t="shared" si="125"/>
        <v>1</v>
      </c>
      <c r="W457" s="100">
        <f t="shared" si="126"/>
        <v>0</v>
      </c>
      <c r="X457" s="100">
        <f t="shared" si="127"/>
        <v>1</v>
      </c>
      <c r="Y457" s="100">
        <f t="shared" si="128"/>
        <v>0</v>
      </c>
      <c r="Z457" s="100">
        <f t="shared" si="129"/>
        <v>0</v>
      </c>
      <c r="AA457" s="100">
        <f t="shared" si="130"/>
        <v>0</v>
      </c>
      <c r="AB457" s="100">
        <f t="shared" si="131"/>
        <v>0</v>
      </c>
      <c r="AC457" s="100">
        <f t="shared" si="132"/>
        <v>0</v>
      </c>
      <c r="AF457" s="100">
        <f t="shared" si="133"/>
        <v>3</v>
      </c>
      <c r="AG457" s="100">
        <f t="shared" si="134"/>
        <v>3</v>
      </c>
      <c r="AH457" s="100" t="str">
        <f t="shared" si="135"/>
        <v>Correct</v>
      </c>
      <c r="AJ457" s="120">
        <f>IFERROR(VLOOKUP(Table1[RespondentID],'All Data'!$A$3:$CO$999,87,FALSE),"unknown")</f>
        <v>0</v>
      </c>
      <c r="AK457" s="120">
        <f>IFERROR(VLOOKUP(Table1[RespondentID],'All Data'!$A$3:$CO$999,88,FALSE),"unknown")</f>
        <v>0</v>
      </c>
      <c r="AL457" s="120">
        <f>IFERROR(VLOOKUP(Table1[RespondentID],'All Data'!$A$3:$CO$999,89,FALSE),"unknown")</f>
        <v>0</v>
      </c>
      <c r="AM457" s="120">
        <f>IFERROR(VLOOKUP(Table1[RespondentID],'All Data'!$A$3:$CO$999,90,FALSE),"unknown")</f>
        <v>0</v>
      </c>
      <c r="AN457" s="120">
        <f>IFERROR(VLOOKUP(Table1[RespondentID],'All Data'!$A$3:$CO$999,91,FALSE),"unknown")</f>
        <v>0</v>
      </c>
      <c r="AO457" s="120">
        <f>IFERROR(VLOOKUP(Table1[RespondentID],'All Data'!$A$3:$CO$999,92,FALSE),"unknown")</f>
        <v>0</v>
      </c>
      <c r="AP457" s="120">
        <f>IFERROR(VLOOKUP(Table1[RespondentID],'All Data'!$A$3:$CO$999,93,FALSE),"unknown")</f>
        <v>0</v>
      </c>
      <c r="AQ457" s="120">
        <f>IFERROR(VLOOKUP(Table1[RespondentID],'All Data'!$A$3:$CW$999,94,FALSE),"unknown")</f>
        <v>0</v>
      </c>
      <c r="AR457" s="120">
        <f>IFERROR(VLOOKUP(Table1[RespondentID],'All Data'!$A$3:$CW$999,95,FALSE),"unknown")</f>
        <v>0</v>
      </c>
      <c r="AS457" s="120">
        <f>IFERROR(VLOOKUP(Table1[RespondentID],'All Data'!$A$3:$CW$999,96,FALSE),"unknown")</f>
        <v>0</v>
      </c>
      <c r="AT457" s="120">
        <f>IFERROR(VLOOKUP(Table1[RespondentID],'All Data'!$A$3:$CW$999,97,FALSE),"unknown")</f>
        <v>0</v>
      </c>
      <c r="AU457" s="120">
        <f>IFERROR(VLOOKUP(Table1[RespondentID],'All Data'!$A$3:$CW$999,98,FALSE),"unknown")</f>
        <v>0</v>
      </c>
      <c r="AV457" s="120">
        <f>IFERROR(VLOOKUP(Table1[RespondentID],'All Data'!$A$3:$CW$999,99,FALSE),"unknown")</f>
        <v>0</v>
      </c>
    </row>
    <row r="458" spans="1:48">
      <c r="A458" s="5">
        <v>18031752510</v>
      </c>
      <c r="B458" s="160"/>
      <c r="C458" s="124" t="s">
        <v>39</v>
      </c>
      <c r="D458" s="124"/>
      <c r="E458" s="124" t="s">
        <v>41</v>
      </c>
      <c r="F458" s="124"/>
      <c r="G458" s="124"/>
      <c r="H458" s="124"/>
      <c r="I458" s="124"/>
      <c r="J458" s="124" t="s">
        <v>45</v>
      </c>
      <c r="K458" s="124"/>
      <c r="L458" s="124"/>
      <c r="M458" s="124"/>
      <c r="N458" s="124"/>
      <c r="O458" s="100">
        <f t="shared" si="119"/>
        <v>3</v>
      </c>
      <c r="P458" s="100">
        <f t="shared" si="120"/>
        <v>1</v>
      </c>
      <c r="R458" s="100">
        <f t="shared" si="121"/>
        <v>0</v>
      </c>
      <c r="S458" s="100">
        <f t="shared" si="122"/>
        <v>1</v>
      </c>
      <c r="T458" s="100">
        <f t="shared" si="123"/>
        <v>0</v>
      </c>
      <c r="U458" s="100">
        <f t="shared" si="124"/>
        <v>1</v>
      </c>
      <c r="V458" s="100">
        <f t="shared" si="125"/>
        <v>0</v>
      </c>
      <c r="W458" s="100">
        <f t="shared" si="126"/>
        <v>0</v>
      </c>
      <c r="X458" s="100">
        <f t="shared" si="127"/>
        <v>0</v>
      </c>
      <c r="Y458" s="100">
        <f t="shared" si="128"/>
        <v>0</v>
      </c>
      <c r="Z458" s="100">
        <f t="shared" si="129"/>
        <v>1</v>
      </c>
      <c r="AA458" s="100">
        <f t="shared" si="130"/>
        <v>0</v>
      </c>
      <c r="AB458" s="100">
        <f t="shared" si="131"/>
        <v>0</v>
      </c>
      <c r="AC458" s="100">
        <f t="shared" si="132"/>
        <v>0</v>
      </c>
      <c r="AF458" s="100">
        <f t="shared" si="133"/>
        <v>3</v>
      </c>
      <c r="AG458" s="100">
        <f t="shared" si="134"/>
        <v>3</v>
      </c>
      <c r="AH458" s="100" t="str">
        <f t="shared" si="135"/>
        <v>Correct</v>
      </c>
      <c r="AJ458" s="120" t="str">
        <f>IFERROR(VLOOKUP(Table1[RespondentID],'All Data'!$A$3:$CO$999,87,FALSE),"unknown")</f>
        <v>Man</v>
      </c>
      <c r="AK458" s="120">
        <f>IFERROR(VLOOKUP(Table1[RespondentID],'All Data'!$A$3:$CO$999,88,FALSE),"unknown")</f>
        <v>19</v>
      </c>
      <c r="AL458" s="120" t="str">
        <f>IFERROR(VLOOKUP(Table1[RespondentID],'All Data'!$A$3:$CO$999,89,FALSE),"unknown")</f>
        <v>Nassau</v>
      </c>
      <c r="AM458" s="120" t="str">
        <f>IFERROR(VLOOKUP(Table1[RespondentID],'All Data'!$A$3:$CO$999,90,FALSE),"unknown")</f>
        <v>Uniondale, 11553</v>
      </c>
      <c r="AN458" s="120">
        <f>IFERROR(VLOOKUP(Table1[RespondentID],'All Data'!$A$3:$CO$999,91,FALSE),"unknown")</f>
        <v>0</v>
      </c>
      <c r="AO458" s="120" t="str">
        <f>IFERROR(VLOOKUP(Table1[RespondentID],'All Data'!$A$3:$CO$999,92,FALSE),"unknown")</f>
        <v>Hispanic or Latino</v>
      </c>
      <c r="AP458" s="120" t="str">
        <f>IFERROR(VLOOKUP(Table1[RespondentID],'All Data'!$A$3:$CO$999,93,FALSE),"unknown")</f>
        <v>English,Spanish</v>
      </c>
      <c r="AQ458" s="120">
        <f>IFERROR(VLOOKUP(Table1[RespondentID],'All Data'!$A$3:$CW$999,94,FALSE),"unknown")</f>
        <v>0</v>
      </c>
      <c r="AR458" s="120" t="str">
        <f>IFERROR(VLOOKUP(Table1[RespondentID],'All Data'!$A$3:$CW$999,95,FALSE),"unknown")</f>
        <v>High school graduate</v>
      </c>
      <c r="AS458" s="120" t="str">
        <f>IFERROR(VLOOKUP(Table1[RespondentID],'All Data'!$A$3:$CW$999,96,FALSE),"unknown")</f>
        <v>Employed for wages</v>
      </c>
      <c r="AT458" s="120" t="str">
        <f>IFERROR(VLOOKUP(Table1[RespondentID],'All Data'!$A$3:$CW$999,97,FALSE),"unknown")</f>
        <v>Yes</v>
      </c>
      <c r="AU458" s="120">
        <f>IFERROR(VLOOKUP(Table1[RespondentID],'All Data'!$A$3:$CW$999,98,FALSE),"unknown")</f>
        <v>0</v>
      </c>
      <c r="AV458" s="120" t="str">
        <f>IFERROR(VLOOKUP(Table1[RespondentID],'All Data'!$A$3:$CW$999,99,FALSE),"unknown")</f>
        <v>Yes</v>
      </c>
    </row>
    <row r="459" spans="1:48">
      <c r="A459" s="5">
        <v>18031752417</v>
      </c>
      <c r="B459" s="160"/>
      <c r="C459" s="124"/>
      <c r="D459" s="124"/>
      <c r="E459" s="124"/>
      <c r="F459" s="124"/>
      <c r="G459" s="124" t="s">
        <v>37</v>
      </c>
      <c r="H459" s="124"/>
      <c r="I459" s="124"/>
      <c r="J459" s="124"/>
      <c r="K459" s="124"/>
      <c r="L459" s="124"/>
      <c r="M459" s="124"/>
      <c r="N459" s="124"/>
      <c r="O459" s="100">
        <f t="shared" si="119"/>
        <v>1</v>
      </c>
      <c r="P459" s="100">
        <f t="shared" si="120"/>
        <v>3</v>
      </c>
      <c r="R459" s="100">
        <f t="shared" si="121"/>
        <v>0</v>
      </c>
      <c r="S459" s="100">
        <f t="shared" si="122"/>
        <v>0</v>
      </c>
      <c r="T459" s="100">
        <f t="shared" si="123"/>
        <v>0</v>
      </c>
      <c r="U459" s="100">
        <f t="shared" si="124"/>
        <v>0</v>
      </c>
      <c r="V459" s="100">
        <f t="shared" si="125"/>
        <v>0</v>
      </c>
      <c r="W459" s="100">
        <f t="shared" si="126"/>
        <v>1</v>
      </c>
      <c r="X459" s="100">
        <f t="shared" si="127"/>
        <v>0</v>
      </c>
      <c r="Y459" s="100">
        <f t="shared" si="128"/>
        <v>0</v>
      </c>
      <c r="Z459" s="100">
        <f t="shared" si="129"/>
        <v>0</v>
      </c>
      <c r="AA459" s="100">
        <f t="shared" si="130"/>
        <v>0</v>
      </c>
      <c r="AB459" s="100">
        <f t="shared" si="131"/>
        <v>0</v>
      </c>
      <c r="AC459" s="100">
        <f t="shared" si="132"/>
        <v>0</v>
      </c>
      <c r="AF459" s="100">
        <f t="shared" si="133"/>
        <v>1</v>
      </c>
      <c r="AG459" s="100">
        <f t="shared" si="134"/>
        <v>1</v>
      </c>
      <c r="AH459" s="100" t="str">
        <f t="shared" si="135"/>
        <v>Correct</v>
      </c>
      <c r="AJ459" s="120" t="str">
        <f>IFERROR(VLOOKUP(Table1[RespondentID],'All Data'!$A$3:$CO$999,87,FALSE),"unknown")</f>
        <v>Woman</v>
      </c>
      <c r="AK459" s="120">
        <f>IFERROR(VLOOKUP(Table1[RespondentID],'All Data'!$A$3:$CO$999,88,FALSE),"unknown")</f>
        <v>0</v>
      </c>
      <c r="AL459" s="120">
        <f>IFERROR(VLOOKUP(Table1[RespondentID],'All Data'!$A$3:$CO$999,89,FALSE),"unknown")</f>
        <v>0</v>
      </c>
      <c r="AM459" s="120">
        <f>IFERROR(VLOOKUP(Table1[RespondentID],'All Data'!$A$3:$CO$999,90,FALSE),"unknown")</f>
        <v>0</v>
      </c>
      <c r="AN459" s="120">
        <f>IFERROR(VLOOKUP(Table1[RespondentID],'All Data'!$A$3:$CO$999,91,FALSE),"unknown")</f>
        <v>0</v>
      </c>
      <c r="AO459" s="120">
        <f>IFERROR(VLOOKUP(Table1[RespondentID],'All Data'!$A$3:$CO$999,92,FALSE),"unknown")</f>
        <v>0</v>
      </c>
      <c r="AP459" s="120" t="str">
        <f>IFERROR(VLOOKUP(Table1[RespondentID],'All Data'!$A$3:$CO$999,93,FALSE),"unknown")</f>
        <v>Chinese</v>
      </c>
      <c r="AQ459" s="120" t="str">
        <f>IFERROR(VLOOKUP(Table1[RespondentID],'All Data'!$A$3:$CW$999,94,FALSE),"unknown")</f>
        <v>$75,000 to $125,000</v>
      </c>
      <c r="AR459" s="120" t="str">
        <f>IFERROR(VLOOKUP(Table1[RespondentID],'All Data'!$A$3:$CW$999,95,FALSE),"unknown")</f>
        <v>College graduate</v>
      </c>
      <c r="AS459" s="120" t="str">
        <f>IFERROR(VLOOKUP(Table1[RespondentID],'All Data'!$A$3:$CW$999,96,FALSE),"unknown")</f>
        <v>Retired</v>
      </c>
      <c r="AT459" s="120" t="str">
        <f>IFERROR(VLOOKUP(Table1[RespondentID],'All Data'!$A$3:$CW$999,97,FALSE),"unknown")</f>
        <v>Yes</v>
      </c>
      <c r="AU459" s="120" t="str">
        <f>IFERROR(VLOOKUP(Table1[RespondentID],'All Data'!$A$3:$CW$999,98,FALSE),"unknown")</f>
        <v>Medicaid</v>
      </c>
      <c r="AV459" s="120" t="str">
        <f>IFERROR(VLOOKUP(Table1[RespondentID],'All Data'!$A$3:$CW$999,99,FALSE),"unknown")</f>
        <v>Yes</v>
      </c>
    </row>
    <row r="460" spans="1:48">
      <c r="A460" s="5">
        <v>18031752360</v>
      </c>
      <c r="B460" s="160" t="s">
        <v>38</v>
      </c>
      <c r="C460" s="124" t="s">
        <v>39</v>
      </c>
      <c r="D460" s="124"/>
      <c r="E460" s="124"/>
      <c r="F460" s="124"/>
      <c r="G460" s="124"/>
      <c r="H460" s="124"/>
      <c r="I460" s="124"/>
      <c r="J460" s="124"/>
      <c r="K460" s="124"/>
      <c r="L460" s="124"/>
      <c r="M460" s="124"/>
      <c r="N460" s="124"/>
      <c r="O460" s="100">
        <f t="shared" si="119"/>
        <v>2</v>
      </c>
      <c r="P460" s="100">
        <f t="shared" si="120"/>
        <v>1.5</v>
      </c>
      <c r="R460" s="100">
        <f t="shared" si="121"/>
        <v>1</v>
      </c>
      <c r="S460" s="100">
        <f t="shared" si="122"/>
        <v>1</v>
      </c>
      <c r="T460" s="100">
        <f t="shared" si="123"/>
        <v>0</v>
      </c>
      <c r="U460" s="100">
        <f t="shared" si="124"/>
        <v>0</v>
      </c>
      <c r="V460" s="100">
        <f t="shared" si="125"/>
        <v>0</v>
      </c>
      <c r="W460" s="100">
        <f t="shared" si="126"/>
        <v>0</v>
      </c>
      <c r="X460" s="100">
        <f t="shared" si="127"/>
        <v>0</v>
      </c>
      <c r="Y460" s="100">
        <f t="shared" si="128"/>
        <v>0</v>
      </c>
      <c r="Z460" s="100">
        <f t="shared" si="129"/>
        <v>0</v>
      </c>
      <c r="AA460" s="100">
        <f t="shared" si="130"/>
        <v>0</v>
      </c>
      <c r="AB460" s="100">
        <f t="shared" si="131"/>
        <v>0</v>
      </c>
      <c r="AC460" s="100">
        <f t="shared" si="132"/>
        <v>0</v>
      </c>
      <c r="AF460" s="100">
        <f t="shared" si="133"/>
        <v>2</v>
      </c>
      <c r="AG460" s="100">
        <f t="shared" si="134"/>
        <v>2</v>
      </c>
      <c r="AH460" s="100" t="str">
        <f t="shared" si="135"/>
        <v>Correct</v>
      </c>
      <c r="AJ460" s="120" t="str">
        <f>IFERROR(VLOOKUP(Table1[RespondentID],'All Data'!$A$3:$CO$999,87,FALSE),"unknown")</f>
        <v>Man</v>
      </c>
      <c r="AK460" s="120">
        <f>IFERROR(VLOOKUP(Table1[RespondentID],'All Data'!$A$3:$CO$999,88,FALSE),"unknown")</f>
        <v>89</v>
      </c>
      <c r="AL460" s="120" t="str">
        <f>IFERROR(VLOOKUP(Table1[RespondentID],'All Data'!$A$3:$CO$999,89,FALSE),"unknown")</f>
        <v>Nassau</v>
      </c>
      <c r="AM460" s="120" t="str">
        <f>IFERROR(VLOOKUP(Table1[RespondentID],'All Data'!$A$3:$CO$999,90,FALSE),"unknown")</f>
        <v>New Hyde Park, 11040</v>
      </c>
      <c r="AN460" s="120" t="str">
        <f>IFERROR(VLOOKUP(Table1[RespondentID],'All Data'!$A$3:$CO$999,91,FALSE),"unknown")</f>
        <v>White</v>
      </c>
      <c r="AO460" s="120">
        <f>IFERROR(VLOOKUP(Table1[RespondentID],'All Data'!$A$3:$CO$999,92,FALSE),"unknown")</f>
        <v>0</v>
      </c>
      <c r="AP460" s="120" t="str">
        <f>IFERROR(VLOOKUP(Table1[RespondentID],'All Data'!$A$3:$CO$999,93,FALSE),"unknown")</f>
        <v>English</v>
      </c>
      <c r="AQ460" s="120">
        <f>IFERROR(VLOOKUP(Table1[RespondentID],'All Data'!$A$3:$CW$999,94,FALSE),"unknown")</f>
        <v>0</v>
      </c>
      <c r="AR460" s="120" t="str">
        <f>IFERROR(VLOOKUP(Table1[RespondentID],'All Data'!$A$3:$CW$999,95,FALSE),"unknown")</f>
        <v>Some high school</v>
      </c>
      <c r="AS460" s="120" t="str">
        <f>IFERROR(VLOOKUP(Table1[RespondentID],'All Data'!$A$3:$CW$999,96,FALSE),"unknown")</f>
        <v>Retired</v>
      </c>
      <c r="AT460" s="120" t="str">
        <f>IFERROR(VLOOKUP(Table1[RespondentID],'All Data'!$A$3:$CW$999,97,FALSE),"unknown")</f>
        <v>Yes</v>
      </c>
      <c r="AU460" s="120" t="str">
        <f>IFERROR(VLOOKUP(Table1[RespondentID],'All Data'!$A$3:$CW$999,98,FALSE),"unknown")</f>
        <v>Medicare</v>
      </c>
      <c r="AV460" s="120" t="str">
        <f>IFERROR(VLOOKUP(Table1[RespondentID],'All Data'!$A$3:$CW$999,99,FALSE),"unknown")</f>
        <v>No</v>
      </c>
    </row>
    <row r="461" spans="1:48">
      <c r="A461" s="5">
        <v>18031752309</v>
      </c>
      <c r="B461" s="160" t="s">
        <v>38</v>
      </c>
      <c r="C461" s="124" t="s">
        <v>39</v>
      </c>
      <c r="D461" s="124"/>
      <c r="E461" s="124"/>
      <c r="F461" s="124"/>
      <c r="G461" s="124" t="s">
        <v>37</v>
      </c>
      <c r="H461" s="124"/>
      <c r="I461" s="124"/>
      <c r="J461" s="124"/>
      <c r="K461" s="124"/>
      <c r="L461" s="124"/>
      <c r="M461" s="124"/>
      <c r="N461" s="124"/>
      <c r="O461" s="100">
        <f t="shared" si="119"/>
        <v>3</v>
      </c>
      <c r="P461" s="100">
        <f t="shared" si="120"/>
        <v>1</v>
      </c>
      <c r="R461" s="100">
        <f t="shared" si="121"/>
        <v>1</v>
      </c>
      <c r="S461" s="100">
        <f t="shared" si="122"/>
        <v>1</v>
      </c>
      <c r="T461" s="100">
        <f t="shared" si="123"/>
        <v>0</v>
      </c>
      <c r="U461" s="100">
        <f t="shared" si="124"/>
        <v>0</v>
      </c>
      <c r="V461" s="100">
        <f t="shared" si="125"/>
        <v>0</v>
      </c>
      <c r="W461" s="100">
        <f t="shared" si="126"/>
        <v>1</v>
      </c>
      <c r="X461" s="100">
        <f t="shared" si="127"/>
        <v>0</v>
      </c>
      <c r="Y461" s="100">
        <f t="shared" si="128"/>
        <v>0</v>
      </c>
      <c r="Z461" s="100">
        <f t="shared" si="129"/>
        <v>0</v>
      </c>
      <c r="AA461" s="100">
        <f t="shared" si="130"/>
        <v>0</v>
      </c>
      <c r="AB461" s="100">
        <f t="shared" si="131"/>
        <v>0</v>
      </c>
      <c r="AC461" s="100">
        <f t="shared" si="132"/>
        <v>0</v>
      </c>
      <c r="AF461" s="100">
        <f t="shared" si="133"/>
        <v>3</v>
      </c>
      <c r="AG461" s="100">
        <f t="shared" si="134"/>
        <v>3</v>
      </c>
      <c r="AH461" s="100" t="str">
        <f t="shared" si="135"/>
        <v>Correct</v>
      </c>
      <c r="AJ461" s="120" t="str">
        <f>IFERROR(VLOOKUP(Table1[RespondentID],'All Data'!$A$3:$CO$999,87,FALSE),"unknown")</f>
        <v>Woman</v>
      </c>
      <c r="AK461" s="120">
        <f>IFERROR(VLOOKUP(Table1[RespondentID],'All Data'!$A$3:$CO$999,88,FALSE),"unknown")</f>
        <v>0</v>
      </c>
      <c r="AL461" s="120">
        <f>IFERROR(VLOOKUP(Table1[RespondentID],'All Data'!$A$3:$CO$999,89,FALSE),"unknown")</f>
        <v>0</v>
      </c>
      <c r="AM461" s="120">
        <f>IFERROR(VLOOKUP(Table1[RespondentID],'All Data'!$A$3:$CO$999,90,FALSE),"unknown")</f>
        <v>0</v>
      </c>
      <c r="AN461" s="120" t="str">
        <f>IFERROR(VLOOKUP(Table1[RespondentID],'All Data'!$A$3:$CO$999,91,FALSE),"unknown")</f>
        <v>White</v>
      </c>
      <c r="AO461" s="120" t="str">
        <f>IFERROR(VLOOKUP(Table1[RespondentID],'All Data'!$A$3:$CO$999,92,FALSE),"unknown")</f>
        <v>Not Hispanic or Latino</v>
      </c>
      <c r="AP461" s="120" t="str">
        <f>IFERROR(VLOOKUP(Table1[RespondentID],'All Data'!$A$3:$CO$999,93,FALSE),"unknown")</f>
        <v>English</v>
      </c>
      <c r="AQ461" s="120">
        <f>IFERROR(VLOOKUP(Table1[RespondentID],'All Data'!$A$3:$CW$999,94,FALSE),"unknown")</f>
        <v>0</v>
      </c>
      <c r="AR461" s="120" t="str">
        <f>IFERROR(VLOOKUP(Table1[RespondentID],'All Data'!$A$3:$CW$999,95,FALSE),"unknown")</f>
        <v>High school graduate</v>
      </c>
      <c r="AS461" s="120" t="str">
        <f>IFERROR(VLOOKUP(Table1[RespondentID],'All Data'!$A$3:$CW$999,96,FALSE),"unknown")</f>
        <v>Retired</v>
      </c>
      <c r="AT461" s="120" t="str">
        <f>IFERROR(VLOOKUP(Table1[RespondentID],'All Data'!$A$3:$CW$999,97,FALSE),"unknown")</f>
        <v>Yes</v>
      </c>
      <c r="AU461" s="120" t="str">
        <f>IFERROR(VLOOKUP(Table1[RespondentID],'All Data'!$A$3:$CW$999,98,FALSE),"unknown")</f>
        <v>Medicare</v>
      </c>
      <c r="AV461" s="120">
        <f>IFERROR(VLOOKUP(Table1[RespondentID],'All Data'!$A$3:$CW$999,99,FALSE),"unknown")</f>
        <v>0</v>
      </c>
    </row>
    <row r="462" spans="1:48">
      <c r="A462" s="5">
        <v>18031752239</v>
      </c>
      <c r="B462" s="160"/>
      <c r="C462" s="124"/>
      <c r="D462" s="124"/>
      <c r="E462" s="124"/>
      <c r="F462" s="124" t="s">
        <v>42</v>
      </c>
      <c r="G462" s="124" t="s">
        <v>37</v>
      </c>
      <c r="H462" s="124"/>
      <c r="I462" s="124"/>
      <c r="J462" s="124"/>
      <c r="K462" s="124"/>
      <c r="L462" s="124"/>
      <c r="M462" s="124"/>
      <c r="N462" s="124"/>
      <c r="O462" s="100">
        <f t="shared" ref="O462:O493" si="136">COUNTA(B462:N462)</f>
        <v>2</v>
      </c>
      <c r="P462" s="100">
        <f t="shared" ref="P462:P493" si="137">3/O462</f>
        <v>1.5</v>
      </c>
      <c r="R462" s="100">
        <f t="shared" ref="R462:R493" si="138">IF($O462&lt;3,IF($B462=$B$1,1,0),IF($B462=$B$1,$P462,0))</f>
        <v>0</v>
      </c>
      <c r="S462" s="100">
        <f t="shared" ref="S462:S493" si="139">IF($O462&lt;3,IF($C462=$C$1,1,0),IF($C462=$C$1,$P462,0))</f>
        <v>0</v>
      </c>
      <c r="T462" s="100">
        <f t="shared" ref="T462:T493" si="140">IF($O462&lt;3,IF($D462=$D$1,1,0),IF($D462=$D$1,$P462,0))</f>
        <v>0</v>
      </c>
      <c r="U462" s="100">
        <f t="shared" ref="U462:U493" si="141">IF($O462&lt;3,IF($E462=$E$1,1,0),IF($E462=$E$1,$P462,0))</f>
        <v>0</v>
      </c>
      <c r="V462" s="100">
        <f t="shared" ref="V462:V493" si="142">IF($O462&lt;3,IF($F462=$F$1,1,0),IF($F462=$F$1,$P462,0))</f>
        <v>1</v>
      </c>
      <c r="W462" s="100">
        <f t="shared" ref="W462:W493" si="143">IF($O462&lt;3,IF($G462=$G$1,1,0),IF($G462=$G$1,$P462,0))</f>
        <v>1</v>
      </c>
      <c r="X462" s="100">
        <f t="shared" ref="X462:X493" si="144">IF($O462&lt;3,IF($H462=$H$1,1,0),IF($H462=$H$1,$P462,0))</f>
        <v>0</v>
      </c>
      <c r="Y462" s="100">
        <f t="shared" ref="Y462:Y493" si="145">IF($O462&lt;3,IF($I462=$I$1,1,0),IF($I462=$I$1,$P462,0))</f>
        <v>0</v>
      </c>
      <c r="Z462" s="100">
        <f t="shared" ref="Z462:Z493" si="146">IF($O462&lt;3,IF($J462=$J$1,1,0),IF($J462=$J$1,$P462,0))</f>
        <v>0</v>
      </c>
      <c r="AA462" s="100">
        <f t="shared" ref="AA462:AA493" si="147">IF($O462&lt;3,IF($K462=$K$1,1,0),IF($K462=$K$1,$P462,0))</f>
        <v>0</v>
      </c>
      <c r="AB462" s="100">
        <f t="shared" ref="AB462:AB493" si="148">IF($O462&lt;3,IF($L462=$L$1,1,0),IF($L462=$L$1,$P462,0))</f>
        <v>0</v>
      </c>
      <c r="AC462" s="100">
        <f t="shared" ref="AC462:AC493" si="149">IF($O462&lt;3,IF($M462=$M$1,1,0),IF($M462=$M$1,$P462,0))</f>
        <v>0</v>
      </c>
      <c r="AF462" s="100">
        <f t="shared" ref="AF462:AF493" si="150">SUM(R462:AD462)</f>
        <v>2</v>
      </c>
      <c r="AG462" s="100">
        <f t="shared" ref="AG462:AG493" si="151">O462</f>
        <v>2</v>
      </c>
      <c r="AH462" s="100" t="str">
        <f t="shared" ref="AH462:AH493" si="152">IF(AF462=AG462,"Correct",IF(AF462=3,"Correct","Wrong"))</f>
        <v>Correct</v>
      </c>
      <c r="AJ462" s="120" t="str">
        <f>IFERROR(VLOOKUP(Table1[RespondentID],'All Data'!$A$3:$CO$999,87,FALSE),"unknown")</f>
        <v>Woman</v>
      </c>
      <c r="AK462" s="120">
        <f>IFERROR(VLOOKUP(Table1[RespondentID],'All Data'!$A$3:$CO$999,88,FALSE),"unknown")</f>
        <v>77</v>
      </c>
      <c r="AL462" s="120" t="str">
        <f>IFERROR(VLOOKUP(Table1[RespondentID],'All Data'!$A$3:$CO$999,89,FALSE),"unknown")</f>
        <v>Nassau</v>
      </c>
      <c r="AM462" s="120" t="str">
        <f>IFERROR(VLOOKUP(Table1[RespondentID],'All Data'!$A$3:$CO$999,90,FALSE),"unknown")</f>
        <v>Carle Place, 11514</v>
      </c>
      <c r="AN462" s="120" t="str">
        <f>IFERROR(VLOOKUP(Table1[RespondentID],'All Data'!$A$3:$CO$999,91,FALSE),"unknown")</f>
        <v>White</v>
      </c>
      <c r="AO462" s="120" t="str">
        <f>IFERROR(VLOOKUP(Table1[RespondentID],'All Data'!$A$3:$CO$999,92,FALSE),"unknown")</f>
        <v>Not Hispanic or Latino</v>
      </c>
      <c r="AP462" s="120" t="str">
        <f>IFERROR(VLOOKUP(Table1[RespondentID],'All Data'!$A$3:$CO$999,93,FALSE),"unknown")</f>
        <v>English</v>
      </c>
      <c r="AQ462" s="120">
        <f>IFERROR(VLOOKUP(Table1[RespondentID],'All Data'!$A$3:$CW$999,94,FALSE),"unknown")</f>
        <v>0</v>
      </c>
      <c r="AR462" s="120">
        <f>IFERROR(VLOOKUP(Table1[RespondentID],'All Data'!$A$3:$CW$999,95,FALSE),"unknown")</f>
        <v>0</v>
      </c>
      <c r="AS462" s="120" t="str">
        <f>IFERROR(VLOOKUP(Table1[RespondentID],'All Data'!$A$3:$CW$999,96,FALSE),"unknown")</f>
        <v>Retired</v>
      </c>
      <c r="AT462" s="120" t="str">
        <f>IFERROR(VLOOKUP(Table1[RespondentID],'All Data'!$A$3:$CW$999,97,FALSE),"unknown")</f>
        <v>Yes</v>
      </c>
      <c r="AU462" s="120" t="str">
        <f>IFERROR(VLOOKUP(Table1[RespondentID],'All Data'!$A$3:$CW$999,98,FALSE),"unknown")</f>
        <v>Medicare,Private/Commercial</v>
      </c>
      <c r="AV462" s="120" t="str">
        <f>IFERROR(VLOOKUP(Table1[RespondentID],'All Data'!$A$3:$CW$999,99,FALSE),"unknown")</f>
        <v>Yes</v>
      </c>
    </row>
    <row r="463" spans="1:48">
      <c r="A463" s="5">
        <v>18031752178</v>
      </c>
      <c r="B463" s="160"/>
      <c r="C463" s="124" t="s">
        <v>39</v>
      </c>
      <c r="D463" s="124"/>
      <c r="E463" s="124"/>
      <c r="F463" s="124" t="s">
        <v>42</v>
      </c>
      <c r="G463" s="124"/>
      <c r="H463" s="124"/>
      <c r="I463" s="124"/>
      <c r="J463" s="124" t="s">
        <v>45</v>
      </c>
      <c r="K463" s="124"/>
      <c r="L463" s="124"/>
      <c r="M463" s="124"/>
      <c r="N463" s="124"/>
      <c r="O463" s="100">
        <f t="shared" si="136"/>
        <v>3</v>
      </c>
      <c r="P463" s="100">
        <f t="shared" si="137"/>
        <v>1</v>
      </c>
      <c r="R463" s="100">
        <f t="shared" si="138"/>
        <v>0</v>
      </c>
      <c r="S463" s="100">
        <f t="shared" si="139"/>
        <v>1</v>
      </c>
      <c r="T463" s="100">
        <f t="shared" si="140"/>
        <v>0</v>
      </c>
      <c r="U463" s="100">
        <f t="shared" si="141"/>
        <v>0</v>
      </c>
      <c r="V463" s="100">
        <f t="shared" si="142"/>
        <v>1</v>
      </c>
      <c r="W463" s="100">
        <f t="shared" si="143"/>
        <v>0</v>
      </c>
      <c r="X463" s="100">
        <f t="shared" si="144"/>
        <v>0</v>
      </c>
      <c r="Y463" s="100">
        <f t="shared" si="145"/>
        <v>0</v>
      </c>
      <c r="Z463" s="100">
        <f t="shared" si="146"/>
        <v>1</v>
      </c>
      <c r="AA463" s="100">
        <f t="shared" si="147"/>
        <v>0</v>
      </c>
      <c r="AB463" s="100">
        <f t="shared" si="148"/>
        <v>0</v>
      </c>
      <c r="AC463" s="100">
        <f t="shared" si="149"/>
        <v>0</v>
      </c>
      <c r="AF463" s="100">
        <f t="shared" si="150"/>
        <v>3</v>
      </c>
      <c r="AG463" s="100">
        <f t="shared" si="151"/>
        <v>3</v>
      </c>
      <c r="AH463" s="100" t="str">
        <f t="shared" si="152"/>
        <v>Correct</v>
      </c>
      <c r="AJ463" s="120" t="str">
        <f>IFERROR(VLOOKUP(Table1[RespondentID],'All Data'!$A$3:$CO$999,87,FALSE),"unknown")</f>
        <v>Woman</v>
      </c>
      <c r="AK463" s="120">
        <f>IFERROR(VLOOKUP(Table1[RespondentID],'All Data'!$A$3:$CO$999,88,FALSE),"unknown")</f>
        <v>73</v>
      </c>
      <c r="AL463" s="120" t="str">
        <f>IFERROR(VLOOKUP(Table1[RespondentID],'All Data'!$A$3:$CO$999,89,FALSE),"unknown")</f>
        <v>Nassau</v>
      </c>
      <c r="AM463" s="120" t="str">
        <f>IFERROR(VLOOKUP(Table1[RespondentID],'All Data'!$A$3:$CO$999,90,FALSE),"unknown")</f>
        <v>New Cassel, 11590</v>
      </c>
      <c r="AN463" s="120" t="str">
        <f>IFERROR(VLOOKUP(Table1[RespondentID],'All Data'!$A$3:$CO$999,91,FALSE),"unknown")</f>
        <v>White</v>
      </c>
      <c r="AO463" s="120" t="str">
        <f>IFERROR(VLOOKUP(Table1[RespondentID],'All Data'!$A$3:$CO$999,92,FALSE),"unknown")</f>
        <v>Not Hispanic or Latino</v>
      </c>
      <c r="AP463" s="120" t="str">
        <f>IFERROR(VLOOKUP(Table1[RespondentID],'All Data'!$A$3:$CO$999,93,FALSE),"unknown")</f>
        <v>English</v>
      </c>
      <c r="AQ463" s="120" t="str">
        <f>IFERROR(VLOOKUP(Table1[RespondentID],'All Data'!$A$3:$CW$999,94,FALSE),"unknown")</f>
        <v>$75,000 to $125,000</v>
      </c>
      <c r="AR463" s="120" t="str">
        <f>IFERROR(VLOOKUP(Table1[RespondentID],'All Data'!$A$3:$CW$999,95,FALSE),"unknown")</f>
        <v>College graduate</v>
      </c>
      <c r="AS463" s="120" t="str">
        <f>IFERROR(VLOOKUP(Table1[RespondentID],'All Data'!$A$3:$CW$999,96,FALSE),"unknown")</f>
        <v>Retired</v>
      </c>
      <c r="AT463" s="120" t="str">
        <f>IFERROR(VLOOKUP(Table1[RespondentID],'All Data'!$A$3:$CW$999,97,FALSE),"unknown")</f>
        <v>Yes</v>
      </c>
      <c r="AU463" s="120" t="str">
        <f>IFERROR(VLOOKUP(Table1[RespondentID],'All Data'!$A$3:$CW$999,98,FALSE),"unknown")</f>
        <v>Medicare</v>
      </c>
      <c r="AV463" s="120" t="str">
        <f>IFERROR(VLOOKUP(Table1[RespondentID],'All Data'!$A$3:$CW$999,99,FALSE),"unknown")</f>
        <v>Yes</v>
      </c>
    </row>
    <row r="464" spans="1:48">
      <c r="A464" s="5">
        <v>18031752106</v>
      </c>
      <c r="B464" s="160" t="s">
        <v>38</v>
      </c>
      <c r="C464" s="124" t="s">
        <v>39</v>
      </c>
      <c r="D464" s="124"/>
      <c r="E464" s="124"/>
      <c r="F464" s="124" t="s">
        <v>42</v>
      </c>
      <c r="G464" s="124"/>
      <c r="H464" s="124"/>
      <c r="I464" s="124"/>
      <c r="J464" s="124"/>
      <c r="K464" s="124"/>
      <c r="L464" s="124"/>
      <c r="M464" s="124"/>
      <c r="N464" s="124"/>
      <c r="O464" s="100">
        <f t="shared" si="136"/>
        <v>3</v>
      </c>
      <c r="P464" s="100">
        <f t="shared" si="137"/>
        <v>1</v>
      </c>
      <c r="R464" s="100">
        <f t="shared" si="138"/>
        <v>1</v>
      </c>
      <c r="S464" s="100">
        <f t="shared" si="139"/>
        <v>1</v>
      </c>
      <c r="T464" s="100">
        <f t="shared" si="140"/>
        <v>0</v>
      </c>
      <c r="U464" s="100">
        <f t="shared" si="141"/>
        <v>0</v>
      </c>
      <c r="V464" s="100">
        <f t="shared" si="142"/>
        <v>1</v>
      </c>
      <c r="W464" s="100">
        <f t="shared" si="143"/>
        <v>0</v>
      </c>
      <c r="X464" s="100">
        <f t="shared" si="144"/>
        <v>0</v>
      </c>
      <c r="Y464" s="100">
        <f t="shared" si="145"/>
        <v>0</v>
      </c>
      <c r="Z464" s="100">
        <f t="shared" si="146"/>
        <v>0</v>
      </c>
      <c r="AA464" s="100">
        <f t="shared" si="147"/>
        <v>0</v>
      </c>
      <c r="AB464" s="100">
        <f t="shared" si="148"/>
        <v>0</v>
      </c>
      <c r="AC464" s="100">
        <f t="shared" si="149"/>
        <v>0</v>
      </c>
      <c r="AF464" s="100">
        <f t="shared" si="150"/>
        <v>3</v>
      </c>
      <c r="AG464" s="100">
        <f t="shared" si="151"/>
        <v>3</v>
      </c>
      <c r="AH464" s="100" t="str">
        <f t="shared" si="152"/>
        <v>Correct</v>
      </c>
      <c r="AJ464" s="120" t="str">
        <f>IFERROR(VLOOKUP(Table1[RespondentID],'All Data'!$A$3:$CO$999,87,FALSE),"unknown")</f>
        <v>Man</v>
      </c>
      <c r="AK464" s="120">
        <f>IFERROR(VLOOKUP(Table1[RespondentID],'All Data'!$A$3:$CO$999,88,FALSE),"unknown")</f>
        <v>74</v>
      </c>
      <c r="AL464" s="120" t="str">
        <f>IFERROR(VLOOKUP(Table1[RespondentID],'All Data'!$A$3:$CO$999,89,FALSE),"unknown")</f>
        <v>Nassau</v>
      </c>
      <c r="AM464" s="120" t="str">
        <f>IFERROR(VLOOKUP(Table1[RespondentID],'All Data'!$A$3:$CO$999,90,FALSE),"unknown")</f>
        <v>Westbury, 11590</v>
      </c>
      <c r="AN464" s="120" t="str">
        <f>IFERROR(VLOOKUP(Table1[RespondentID],'All Data'!$A$3:$CO$999,91,FALSE),"unknown")</f>
        <v>White</v>
      </c>
      <c r="AO464" s="120">
        <f>IFERROR(VLOOKUP(Table1[RespondentID],'All Data'!$A$3:$CO$999,92,FALSE),"unknown")</f>
        <v>0</v>
      </c>
      <c r="AP464" s="120" t="str">
        <f>IFERROR(VLOOKUP(Table1[RespondentID],'All Data'!$A$3:$CO$999,93,FALSE),"unknown")</f>
        <v>English</v>
      </c>
      <c r="AQ464" s="120" t="str">
        <f>IFERROR(VLOOKUP(Table1[RespondentID],'All Data'!$A$3:$CW$999,94,FALSE),"unknown")</f>
        <v>Over $125,000</v>
      </c>
      <c r="AR464" s="120" t="str">
        <f>IFERROR(VLOOKUP(Table1[RespondentID],'All Data'!$A$3:$CW$999,95,FALSE),"unknown")</f>
        <v>Graduate school</v>
      </c>
      <c r="AS464" s="120" t="str">
        <f>IFERROR(VLOOKUP(Table1[RespondentID],'All Data'!$A$3:$CW$999,96,FALSE),"unknown")</f>
        <v>Retired</v>
      </c>
      <c r="AT464" s="120" t="str">
        <f>IFERROR(VLOOKUP(Table1[RespondentID],'All Data'!$A$3:$CW$999,97,FALSE),"unknown")</f>
        <v>Yes</v>
      </c>
      <c r="AU464" s="120" t="str">
        <f>IFERROR(VLOOKUP(Table1[RespondentID],'All Data'!$A$3:$CW$999,98,FALSE),"unknown")</f>
        <v>Medicare,Private/Commercial</v>
      </c>
      <c r="AV464" s="120" t="str">
        <f>IFERROR(VLOOKUP(Table1[RespondentID],'All Data'!$A$3:$CW$999,99,FALSE),"unknown")</f>
        <v>Yes</v>
      </c>
    </row>
    <row r="465" spans="1:48">
      <c r="A465" s="5">
        <v>18031752041</v>
      </c>
      <c r="B465" s="160" t="s">
        <v>38</v>
      </c>
      <c r="C465" s="124"/>
      <c r="D465" s="124"/>
      <c r="E465" s="124"/>
      <c r="F465" s="124"/>
      <c r="G465" s="124"/>
      <c r="H465" s="124"/>
      <c r="I465" s="124"/>
      <c r="J465" s="124"/>
      <c r="K465" s="124"/>
      <c r="L465" s="124"/>
      <c r="M465" s="124"/>
      <c r="N465" s="124"/>
      <c r="O465" s="100">
        <f t="shared" si="136"/>
        <v>1</v>
      </c>
      <c r="P465" s="100">
        <f t="shared" si="137"/>
        <v>3</v>
      </c>
      <c r="R465" s="100">
        <f t="shared" si="138"/>
        <v>1</v>
      </c>
      <c r="S465" s="100">
        <f t="shared" si="139"/>
        <v>0</v>
      </c>
      <c r="T465" s="100">
        <f t="shared" si="140"/>
        <v>0</v>
      </c>
      <c r="U465" s="100">
        <f t="shared" si="141"/>
        <v>0</v>
      </c>
      <c r="V465" s="100">
        <f t="shared" si="142"/>
        <v>0</v>
      </c>
      <c r="W465" s="100">
        <f t="shared" si="143"/>
        <v>0</v>
      </c>
      <c r="X465" s="100">
        <f t="shared" si="144"/>
        <v>0</v>
      </c>
      <c r="Y465" s="100">
        <f t="shared" si="145"/>
        <v>0</v>
      </c>
      <c r="Z465" s="100">
        <f t="shared" si="146"/>
        <v>0</v>
      </c>
      <c r="AA465" s="100">
        <f t="shared" si="147"/>
        <v>0</v>
      </c>
      <c r="AB465" s="100">
        <f t="shared" si="148"/>
        <v>0</v>
      </c>
      <c r="AC465" s="100">
        <f t="shared" si="149"/>
        <v>0</v>
      </c>
      <c r="AF465" s="100">
        <f t="shared" si="150"/>
        <v>1</v>
      </c>
      <c r="AG465" s="100">
        <f t="shared" si="151"/>
        <v>1</v>
      </c>
      <c r="AH465" s="100" t="str">
        <f t="shared" si="152"/>
        <v>Correct</v>
      </c>
      <c r="AJ465" s="120" t="str">
        <f>IFERROR(VLOOKUP(Table1[RespondentID],'All Data'!$A$3:$CO$999,87,FALSE),"unknown")</f>
        <v>Woman</v>
      </c>
      <c r="AK465" s="120">
        <f>IFERROR(VLOOKUP(Table1[RespondentID],'All Data'!$A$3:$CO$999,88,FALSE),"unknown")</f>
        <v>63</v>
      </c>
      <c r="AL465" s="120" t="str">
        <f>IFERROR(VLOOKUP(Table1[RespondentID],'All Data'!$A$3:$CO$999,89,FALSE),"unknown")</f>
        <v>Nassau</v>
      </c>
      <c r="AM465" s="120" t="str">
        <f>IFERROR(VLOOKUP(Table1[RespondentID],'All Data'!$A$3:$CO$999,90,FALSE),"unknown")</f>
        <v>North Massapequa, 11758</v>
      </c>
      <c r="AN465" s="120" t="str">
        <f>IFERROR(VLOOKUP(Table1[RespondentID],'All Data'!$A$3:$CO$999,91,FALSE),"unknown")</f>
        <v>White</v>
      </c>
      <c r="AO465" s="120" t="str">
        <f>IFERROR(VLOOKUP(Table1[RespondentID],'All Data'!$A$3:$CO$999,92,FALSE),"unknown")</f>
        <v>Not Hispanic or Latino</v>
      </c>
      <c r="AP465" s="120" t="str">
        <f>IFERROR(VLOOKUP(Table1[RespondentID],'All Data'!$A$3:$CO$999,93,FALSE),"unknown")</f>
        <v>English</v>
      </c>
      <c r="AQ465" s="120">
        <f>IFERROR(VLOOKUP(Table1[RespondentID],'All Data'!$A$3:$CW$999,94,FALSE),"unknown")</f>
        <v>0</v>
      </c>
      <c r="AR465" s="120" t="str">
        <f>IFERROR(VLOOKUP(Table1[RespondentID],'All Data'!$A$3:$CW$999,95,FALSE),"unknown")</f>
        <v>College graduate</v>
      </c>
      <c r="AS465" s="120" t="str">
        <f>IFERROR(VLOOKUP(Table1[RespondentID],'All Data'!$A$3:$CW$999,96,FALSE),"unknown")</f>
        <v>Retired</v>
      </c>
      <c r="AT465" s="120" t="str">
        <f>IFERROR(VLOOKUP(Table1[RespondentID],'All Data'!$A$3:$CW$999,97,FALSE),"unknown")</f>
        <v>Yes</v>
      </c>
      <c r="AU465" s="120" t="str">
        <f>IFERROR(VLOOKUP(Table1[RespondentID],'All Data'!$A$3:$CW$999,98,FALSE),"unknown")</f>
        <v>Private/Commercial</v>
      </c>
      <c r="AV465" s="120" t="str">
        <f>IFERROR(VLOOKUP(Table1[RespondentID],'All Data'!$A$3:$CW$999,99,FALSE),"unknown")</f>
        <v>Yes</v>
      </c>
    </row>
    <row r="466" spans="1:48">
      <c r="A466" s="5">
        <v>18031751982</v>
      </c>
      <c r="B466" s="160"/>
      <c r="C466" s="124" t="s">
        <v>39</v>
      </c>
      <c r="D466" s="124" t="s">
        <v>40</v>
      </c>
      <c r="E466" s="124"/>
      <c r="F466" s="124"/>
      <c r="G466" s="124"/>
      <c r="H466" s="124"/>
      <c r="I466" s="124"/>
      <c r="J466" s="124" t="s">
        <v>45</v>
      </c>
      <c r="K466" s="124"/>
      <c r="L466" s="124"/>
      <c r="M466" s="124"/>
      <c r="N466" s="124"/>
      <c r="O466" s="100">
        <f t="shared" si="136"/>
        <v>3</v>
      </c>
      <c r="P466" s="100">
        <f t="shared" si="137"/>
        <v>1</v>
      </c>
      <c r="R466" s="100">
        <f t="shared" si="138"/>
        <v>0</v>
      </c>
      <c r="S466" s="100">
        <f t="shared" si="139"/>
        <v>1</v>
      </c>
      <c r="T466" s="100">
        <f t="shared" si="140"/>
        <v>1</v>
      </c>
      <c r="U466" s="100">
        <f t="shared" si="141"/>
        <v>0</v>
      </c>
      <c r="V466" s="100">
        <f t="shared" si="142"/>
        <v>0</v>
      </c>
      <c r="W466" s="100">
        <f t="shared" si="143"/>
        <v>0</v>
      </c>
      <c r="X466" s="100">
        <f t="shared" si="144"/>
        <v>0</v>
      </c>
      <c r="Y466" s="100">
        <f t="shared" si="145"/>
        <v>0</v>
      </c>
      <c r="Z466" s="100">
        <f t="shared" si="146"/>
        <v>1</v>
      </c>
      <c r="AA466" s="100">
        <f t="shared" si="147"/>
        <v>0</v>
      </c>
      <c r="AB466" s="100">
        <f t="shared" si="148"/>
        <v>0</v>
      </c>
      <c r="AC466" s="100">
        <f t="shared" si="149"/>
        <v>0</v>
      </c>
      <c r="AF466" s="100">
        <f t="shared" si="150"/>
        <v>3</v>
      </c>
      <c r="AG466" s="100">
        <f t="shared" si="151"/>
        <v>3</v>
      </c>
      <c r="AH466" s="100" t="str">
        <f t="shared" si="152"/>
        <v>Correct</v>
      </c>
      <c r="AJ466" s="120" t="str">
        <f>IFERROR(VLOOKUP(Table1[RespondentID],'All Data'!$A$3:$CO$999,87,FALSE),"unknown")</f>
        <v>Woman</v>
      </c>
      <c r="AK466" s="120">
        <f>IFERROR(VLOOKUP(Table1[RespondentID],'All Data'!$A$3:$CO$999,88,FALSE),"unknown")</f>
        <v>0</v>
      </c>
      <c r="AL466" s="120" t="str">
        <f>IFERROR(VLOOKUP(Table1[RespondentID],'All Data'!$A$3:$CO$999,89,FALSE),"unknown")</f>
        <v>Suffolk</v>
      </c>
      <c r="AM466" s="120" t="str">
        <f>IFERROR(VLOOKUP(Table1[RespondentID],'All Data'!$A$3:$CO$999,90,FALSE),"unknown")</f>
        <v>West Babylon, 11704</v>
      </c>
      <c r="AN466" s="120" t="str">
        <f>IFERROR(VLOOKUP(Table1[RespondentID],'All Data'!$A$3:$CO$999,91,FALSE),"unknown")</f>
        <v>White</v>
      </c>
      <c r="AO466" s="120" t="str">
        <f>IFERROR(VLOOKUP(Table1[RespondentID],'All Data'!$A$3:$CO$999,92,FALSE),"unknown")</f>
        <v>Not Hispanic or Latino</v>
      </c>
      <c r="AP466" s="120" t="str">
        <f>IFERROR(VLOOKUP(Table1[RespondentID],'All Data'!$A$3:$CO$999,93,FALSE),"unknown")</f>
        <v>English</v>
      </c>
      <c r="AQ466" s="120" t="str">
        <f>IFERROR(VLOOKUP(Table1[RespondentID],'All Data'!$A$3:$CW$999,94,FALSE),"unknown")</f>
        <v>Over $125,000</v>
      </c>
      <c r="AR466" s="120" t="str">
        <f>IFERROR(VLOOKUP(Table1[RespondentID],'All Data'!$A$3:$CW$999,95,FALSE),"unknown")</f>
        <v>Graduate school</v>
      </c>
      <c r="AS466" s="120" t="str">
        <f>IFERROR(VLOOKUP(Table1[RespondentID],'All Data'!$A$3:$CW$999,96,FALSE),"unknown")</f>
        <v>Employed for wages</v>
      </c>
      <c r="AT466" s="120" t="str">
        <f>IFERROR(VLOOKUP(Table1[RespondentID],'All Data'!$A$3:$CW$999,97,FALSE),"unknown")</f>
        <v>Yes</v>
      </c>
      <c r="AU466" s="120" t="str">
        <f>IFERROR(VLOOKUP(Table1[RespondentID],'All Data'!$A$3:$CW$999,98,FALSE),"unknown")</f>
        <v>Private/Commercial</v>
      </c>
      <c r="AV466" s="120" t="str">
        <f>IFERROR(VLOOKUP(Table1[RespondentID],'All Data'!$A$3:$CW$999,99,FALSE),"unknown")</f>
        <v>Yes</v>
      </c>
    </row>
    <row r="467" spans="1:48">
      <c r="A467" s="5">
        <v>18031751744</v>
      </c>
      <c r="B467" s="160"/>
      <c r="C467" s="124" t="s">
        <v>39</v>
      </c>
      <c r="D467" s="124"/>
      <c r="E467" s="124"/>
      <c r="F467" s="124"/>
      <c r="G467" s="124"/>
      <c r="H467" s="124" t="s">
        <v>43</v>
      </c>
      <c r="I467" s="124"/>
      <c r="J467" s="124" t="s">
        <v>45</v>
      </c>
      <c r="K467" s="124"/>
      <c r="L467" s="124"/>
      <c r="M467" s="124"/>
      <c r="N467" s="124"/>
      <c r="O467" s="100">
        <f t="shared" si="136"/>
        <v>3</v>
      </c>
      <c r="P467" s="100">
        <f t="shared" si="137"/>
        <v>1</v>
      </c>
      <c r="R467" s="100">
        <f t="shared" si="138"/>
        <v>0</v>
      </c>
      <c r="S467" s="100">
        <f t="shared" si="139"/>
        <v>1</v>
      </c>
      <c r="T467" s="100">
        <f t="shared" si="140"/>
        <v>0</v>
      </c>
      <c r="U467" s="100">
        <f t="shared" si="141"/>
        <v>0</v>
      </c>
      <c r="V467" s="100">
        <f t="shared" si="142"/>
        <v>0</v>
      </c>
      <c r="W467" s="100">
        <f t="shared" si="143"/>
        <v>0</v>
      </c>
      <c r="X467" s="100">
        <f t="shared" si="144"/>
        <v>1</v>
      </c>
      <c r="Y467" s="100">
        <f t="shared" si="145"/>
        <v>0</v>
      </c>
      <c r="Z467" s="100">
        <f t="shared" si="146"/>
        <v>1</v>
      </c>
      <c r="AA467" s="100">
        <f t="shared" si="147"/>
        <v>0</v>
      </c>
      <c r="AB467" s="100">
        <f t="shared" si="148"/>
        <v>0</v>
      </c>
      <c r="AC467" s="100">
        <f t="shared" si="149"/>
        <v>0</v>
      </c>
      <c r="AF467" s="100">
        <f t="shared" si="150"/>
        <v>3</v>
      </c>
      <c r="AG467" s="100">
        <f t="shared" si="151"/>
        <v>3</v>
      </c>
      <c r="AH467" s="100" t="str">
        <f t="shared" si="152"/>
        <v>Correct</v>
      </c>
      <c r="AJ467" s="120" t="str">
        <f>IFERROR(VLOOKUP(Table1[RespondentID],'All Data'!$A$3:$CO$999,87,FALSE),"unknown")</f>
        <v>Man</v>
      </c>
      <c r="AK467" s="120">
        <f>IFERROR(VLOOKUP(Table1[RespondentID],'All Data'!$A$3:$CO$999,88,FALSE),"unknown")</f>
        <v>59</v>
      </c>
      <c r="AL467" s="120" t="str">
        <f>IFERROR(VLOOKUP(Table1[RespondentID],'All Data'!$A$3:$CO$999,89,FALSE),"unknown")</f>
        <v>Suffolk</v>
      </c>
      <c r="AM467" s="120" t="str">
        <f>IFERROR(VLOOKUP(Table1[RespondentID],'All Data'!$A$3:$CO$999,90,FALSE),"unknown")</f>
        <v>Huntington Station, 11746</v>
      </c>
      <c r="AN467" s="120" t="str">
        <f>IFERROR(VLOOKUP(Table1[RespondentID],'All Data'!$A$3:$CO$999,91,FALSE),"unknown")</f>
        <v>Asian</v>
      </c>
      <c r="AO467" s="120" t="str">
        <f>IFERROR(VLOOKUP(Table1[RespondentID],'All Data'!$A$3:$CO$999,92,FALSE),"unknown")</f>
        <v>Not Hispanic or Latino</v>
      </c>
      <c r="AP467" s="120" t="str">
        <f>IFERROR(VLOOKUP(Table1[RespondentID],'All Data'!$A$3:$CO$999,93,FALSE),"unknown")</f>
        <v>English</v>
      </c>
      <c r="AQ467" s="120" t="str">
        <f>IFERROR(VLOOKUP(Table1[RespondentID],'All Data'!$A$3:$CW$999,94,FALSE),"unknown")</f>
        <v>Over $125,000</v>
      </c>
      <c r="AR467" s="120" t="str">
        <f>IFERROR(VLOOKUP(Table1[RespondentID],'All Data'!$A$3:$CW$999,95,FALSE),"unknown")</f>
        <v>Graduate school</v>
      </c>
      <c r="AS467" s="120" t="str">
        <f>IFERROR(VLOOKUP(Table1[RespondentID],'All Data'!$A$3:$CW$999,96,FALSE),"unknown")</f>
        <v>Self-employed</v>
      </c>
      <c r="AT467" s="120" t="str">
        <f>IFERROR(VLOOKUP(Table1[RespondentID],'All Data'!$A$3:$CW$999,97,FALSE),"unknown")</f>
        <v>Yes</v>
      </c>
      <c r="AU467" s="120" t="str">
        <f>IFERROR(VLOOKUP(Table1[RespondentID],'All Data'!$A$3:$CW$999,98,FALSE),"unknown")</f>
        <v>Private/Commercial</v>
      </c>
      <c r="AV467" s="120" t="str">
        <f>IFERROR(VLOOKUP(Table1[RespondentID],'All Data'!$A$3:$CW$999,99,FALSE),"unknown")</f>
        <v>Yes</v>
      </c>
    </row>
    <row r="468" spans="1:48">
      <c r="A468" s="5">
        <v>18031751661</v>
      </c>
      <c r="B468" s="160" t="s">
        <v>38</v>
      </c>
      <c r="C468" s="124"/>
      <c r="D468" s="124"/>
      <c r="E468" s="124"/>
      <c r="F468" s="124"/>
      <c r="G468" s="124"/>
      <c r="H468" s="124" t="s">
        <v>43</v>
      </c>
      <c r="I468" s="124"/>
      <c r="J468" s="124"/>
      <c r="K468" s="124"/>
      <c r="L468" s="124"/>
      <c r="M468" s="124"/>
      <c r="N468" s="124"/>
      <c r="O468" s="100">
        <f t="shared" si="136"/>
        <v>2</v>
      </c>
      <c r="P468" s="100">
        <f t="shared" si="137"/>
        <v>1.5</v>
      </c>
      <c r="R468" s="100">
        <f t="shared" si="138"/>
        <v>1</v>
      </c>
      <c r="S468" s="100">
        <f t="shared" si="139"/>
        <v>0</v>
      </c>
      <c r="T468" s="100">
        <f t="shared" si="140"/>
        <v>0</v>
      </c>
      <c r="U468" s="100">
        <f t="shared" si="141"/>
        <v>0</v>
      </c>
      <c r="V468" s="100">
        <f t="shared" si="142"/>
        <v>0</v>
      </c>
      <c r="W468" s="100">
        <f t="shared" si="143"/>
        <v>0</v>
      </c>
      <c r="X468" s="100">
        <f t="shared" si="144"/>
        <v>1</v>
      </c>
      <c r="Y468" s="100">
        <f t="shared" si="145"/>
        <v>0</v>
      </c>
      <c r="Z468" s="100">
        <f t="shared" si="146"/>
        <v>0</v>
      </c>
      <c r="AA468" s="100">
        <f t="shared" si="147"/>
        <v>0</v>
      </c>
      <c r="AB468" s="100">
        <f t="shared" si="148"/>
        <v>0</v>
      </c>
      <c r="AC468" s="100">
        <f t="shared" si="149"/>
        <v>0</v>
      </c>
      <c r="AF468" s="100">
        <f t="shared" si="150"/>
        <v>2</v>
      </c>
      <c r="AG468" s="100">
        <f t="shared" si="151"/>
        <v>2</v>
      </c>
      <c r="AH468" s="100" t="str">
        <f t="shared" si="152"/>
        <v>Correct</v>
      </c>
      <c r="AJ468" s="120" t="str">
        <f>IFERROR(VLOOKUP(Table1[RespondentID],'All Data'!$A$3:$CO$999,87,FALSE),"unknown")</f>
        <v>Woman</v>
      </c>
      <c r="AK468" s="120">
        <f>IFERROR(VLOOKUP(Table1[RespondentID],'All Data'!$A$3:$CO$999,88,FALSE),"unknown")</f>
        <v>71</v>
      </c>
      <c r="AL468" s="120" t="str">
        <f>IFERROR(VLOOKUP(Table1[RespondentID],'All Data'!$A$3:$CO$999,89,FALSE),"unknown")</f>
        <v>Nassau</v>
      </c>
      <c r="AM468" s="120" t="str">
        <f>IFERROR(VLOOKUP(Table1[RespondentID],'All Data'!$A$3:$CO$999,90,FALSE),"unknown")</f>
        <v>Bethpage, 11714</v>
      </c>
      <c r="AN468" s="120" t="str">
        <f>IFERROR(VLOOKUP(Table1[RespondentID],'All Data'!$A$3:$CO$999,91,FALSE),"unknown")</f>
        <v>White</v>
      </c>
      <c r="AO468" s="120" t="str">
        <f>IFERROR(VLOOKUP(Table1[RespondentID],'All Data'!$A$3:$CO$999,92,FALSE),"unknown")</f>
        <v>Not Hispanic or Latino</v>
      </c>
      <c r="AP468" s="120" t="str">
        <f>IFERROR(VLOOKUP(Table1[RespondentID],'All Data'!$A$3:$CO$999,93,FALSE),"unknown")</f>
        <v>English</v>
      </c>
      <c r="AQ468" s="120" t="str">
        <f>IFERROR(VLOOKUP(Table1[RespondentID],'All Data'!$A$3:$CW$999,94,FALSE),"unknown")</f>
        <v>$35,000 to $49,999</v>
      </c>
      <c r="AR468" s="120" t="str">
        <f>IFERROR(VLOOKUP(Table1[RespondentID],'All Data'!$A$3:$CW$999,95,FALSE),"unknown")</f>
        <v>High school graduate</v>
      </c>
      <c r="AS468" s="120" t="str">
        <f>IFERROR(VLOOKUP(Table1[RespondentID],'All Data'!$A$3:$CW$999,96,FALSE),"unknown")</f>
        <v>Retired</v>
      </c>
      <c r="AT468" s="120" t="str">
        <f>IFERROR(VLOOKUP(Table1[RespondentID],'All Data'!$A$3:$CW$999,97,FALSE),"unknown")</f>
        <v>Yes</v>
      </c>
      <c r="AU468" s="120" t="str">
        <f>IFERROR(VLOOKUP(Table1[RespondentID],'All Data'!$A$3:$CW$999,98,FALSE),"unknown")</f>
        <v>Medicare</v>
      </c>
      <c r="AV468" s="120" t="str">
        <f>IFERROR(VLOOKUP(Table1[RespondentID],'All Data'!$A$3:$CW$999,99,FALSE),"unknown")</f>
        <v>Yes</v>
      </c>
    </row>
    <row r="469" spans="1:48">
      <c r="A469" s="5">
        <v>18031751575</v>
      </c>
      <c r="B469" s="160" t="s">
        <v>38</v>
      </c>
      <c r="C469" s="124"/>
      <c r="D469" s="124"/>
      <c r="E469" s="124"/>
      <c r="F469" s="124"/>
      <c r="G469" s="124"/>
      <c r="H469" s="124" t="s">
        <v>43</v>
      </c>
      <c r="I469" s="124"/>
      <c r="J469" s="124"/>
      <c r="K469" s="124"/>
      <c r="L469" s="124"/>
      <c r="M469" s="124"/>
      <c r="N469" s="124"/>
      <c r="O469" s="100">
        <f t="shared" si="136"/>
        <v>2</v>
      </c>
      <c r="P469" s="100">
        <f t="shared" si="137"/>
        <v>1.5</v>
      </c>
      <c r="R469" s="100">
        <f t="shared" si="138"/>
        <v>1</v>
      </c>
      <c r="S469" s="100">
        <f t="shared" si="139"/>
        <v>0</v>
      </c>
      <c r="T469" s="100">
        <f t="shared" si="140"/>
        <v>0</v>
      </c>
      <c r="U469" s="100">
        <f t="shared" si="141"/>
        <v>0</v>
      </c>
      <c r="V469" s="100">
        <f t="shared" si="142"/>
        <v>0</v>
      </c>
      <c r="W469" s="100">
        <f t="shared" si="143"/>
        <v>0</v>
      </c>
      <c r="X469" s="100">
        <f t="shared" si="144"/>
        <v>1</v>
      </c>
      <c r="Y469" s="100">
        <f t="shared" si="145"/>
        <v>0</v>
      </c>
      <c r="Z469" s="100">
        <f t="shared" si="146"/>
        <v>0</v>
      </c>
      <c r="AA469" s="100">
        <f t="shared" si="147"/>
        <v>0</v>
      </c>
      <c r="AB469" s="100">
        <f t="shared" si="148"/>
        <v>0</v>
      </c>
      <c r="AC469" s="100">
        <f t="shared" si="149"/>
        <v>0</v>
      </c>
      <c r="AF469" s="100">
        <f t="shared" si="150"/>
        <v>2</v>
      </c>
      <c r="AG469" s="100">
        <f t="shared" si="151"/>
        <v>2</v>
      </c>
      <c r="AH469" s="100" t="str">
        <f t="shared" si="152"/>
        <v>Correct</v>
      </c>
      <c r="AJ469" s="120" t="str">
        <f>IFERROR(VLOOKUP(Table1[RespondentID],'All Data'!$A$3:$CO$999,87,FALSE),"unknown")</f>
        <v>Man</v>
      </c>
      <c r="AK469" s="120">
        <f>IFERROR(VLOOKUP(Table1[RespondentID],'All Data'!$A$3:$CO$999,88,FALSE),"unknown")</f>
        <v>71</v>
      </c>
      <c r="AL469" s="120" t="str">
        <f>IFERROR(VLOOKUP(Table1[RespondentID],'All Data'!$A$3:$CO$999,89,FALSE),"unknown")</f>
        <v>Nassau</v>
      </c>
      <c r="AM469" s="120" t="str">
        <f>IFERROR(VLOOKUP(Table1[RespondentID],'All Data'!$A$3:$CO$999,90,FALSE),"unknown")</f>
        <v>Bethpage, 11714</v>
      </c>
      <c r="AN469" s="120" t="str">
        <f>IFERROR(VLOOKUP(Table1[RespondentID],'All Data'!$A$3:$CO$999,91,FALSE),"unknown")</f>
        <v>White</v>
      </c>
      <c r="AO469" s="120" t="str">
        <f>IFERROR(VLOOKUP(Table1[RespondentID],'All Data'!$A$3:$CO$999,92,FALSE),"unknown")</f>
        <v>Not Hispanic or Latino</v>
      </c>
      <c r="AP469" s="120" t="str">
        <f>IFERROR(VLOOKUP(Table1[RespondentID],'All Data'!$A$3:$CO$999,93,FALSE),"unknown")</f>
        <v>English</v>
      </c>
      <c r="AQ469" s="120" t="str">
        <f>IFERROR(VLOOKUP(Table1[RespondentID],'All Data'!$A$3:$CW$999,94,FALSE),"unknown")</f>
        <v>$50,000 to $74,999</v>
      </c>
      <c r="AR469" s="120" t="str">
        <f>IFERROR(VLOOKUP(Table1[RespondentID],'All Data'!$A$3:$CW$999,95,FALSE),"unknown")</f>
        <v>Some high school</v>
      </c>
      <c r="AS469" s="120" t="str">
        <f>IFERROR(VLOOKUP(Table1[RespondentID],'All Data'!$A$3:$CW$999,96,FALSE),"unknown")</f>
        <v>Retired</v>
      </c>
      <c r="AT469" s="120" t="str">
        <f>IFERROR(VLOOKUP(Table1[RespondentID],'All Data'!$A$3:$CW$999,97,FALSE),"unknown")</f>
        <v>Yes</v>
      </c>
      <c r="AU469" s="120" t="str">
        <f>IFERROR(VLOOKUP(Table1[RespondentID],'All Data'!$A$3:$CW$999,98,FALSE),"unknown")</f>
        <v>Medicare</v>
      </c>
      <c r="AV469" s="120" t="str">
        <f>IFERROR(VLOOKUP(Table1[RespondentID],'All Data'!$A$3:$CW$999,99,FALSE),"unknown")</f>
        <v>Yes</v>
      </c>
    </row>
    <row r="470" spans="1:48">
      <c r="A470" s="5">
        <v>18031751500</v>
      </c>
      <c r="B470" s="160" t="s">
        <v>38</v>
      </c>
      <c r="C470" s="124" t="s">
        <v>39</v>
      </c>
      <c r="D470" s="124"/>
      <c r="E470" s="124"/>
      <c r="F470" s="124"/>
      <c r="G470" s="124" t="s">
        <v>37</v>
      </c>
      <c r="H470" s="124"/>
      <c r="I470" s="124"/>
      <c r="J470" s="124"/>
      <c r="K470" s="124"/>
      <c r="L470" s="124"/>
      <c r="M470" s="124"/>
      <c r="N470" s="124"/>
      <c r="O470" s="100">
        <f t="shared" si="136"/>
        <v>3</v>
      </c>
      <c r="P470" s="100">
        <f t="shared" si="137"/>
        <v>1</v>
      </c>
      <c r="R470" s="100">
        <f t="shared" si="138"/>
        <v>1</v>
      </c>
      <c r="S470" s="100">
        <f t="shared" si="139"/>
        <v>1</v>
      </c>
      <c r="T470" s="100">
        <f t="shared" si="140"/>
        <v>0</v>
      </c>
      <c r="U470" s="100">
        <f t="shared" si="141"/>
        <v>0</v>
      </c>
      <c r="V470" s="100">
        <f t="shared" si="142"/>
        <v>0</v>
      </c>
      <c r="W470" s="100">
        <f t="shared" si="143"/>
        <v>1</v>
      </c>
      <c r="X470" s="100">
        <f t="shared" si="144"/>
        <v>0</v>
      </c>
      <c r="Y470" s="100">
        <f t="shared" si="145"/>
        <v>0</v>
      </c>
      <c r="Z470" s="100">
        <f t="shared" si="146"/>
        <v>0</v>
      </c>
      <c r="AA470" s="100">
        <f t="shared" si="147"/>
        <v>0</v>
      </c>
      <c r="AB470" s="100">
        <f t="shared" si="148"/>
        <v>0</v>
      </c>
      <c r="AC470" s="100">
        <f t="shared" si="149"/>
        <v>0</v>
      </c>
      <c r="AF470" s="100">
        <f t="shared" si="150"/>
        <v>3</v>
      </c>
      <c r="AG470" s="100">
        <f t="shared" si="151"/>
        <v>3</v>
      </c>
      <c r="AH470" s="100" t="str">
        <f t="shared" si="152"/>
        <v>Correct</v>
      </c>
      <c r="AJ470" s="120" t="str">
        <f>IFERROR(VLOOKUP(Table1[RespondentID],'All Data'!$A$3:$CO$999,87,FALSE),"unknown")</f>
        <v>Woman</v>
      </c>
      <c r="AK470" s="120">
        <f>IFERROR(VLOOKUP(Table1[RespondentID],'All Data'!$A$3:$CO$999,88,FALSE),"unknown")</f>
        <v>65</v>
      </c>
      <c r="AL470" s="120" t="str">
        <f>IFERROR(VLOOKUP(Table1[RespondentID],'All Data'!$A$3:$CO$999,89,FALSE),"unknown")</f>
        <v>Suffolk</v>
      </c>
      <c r="AM470" s="120" t="str">
        <f>IFERROR(VLOOKUP(Table1[RespondentID],'All Data'!$A$3:$CO$999,90,FALSE),"unknown")</f>
        <v>Northport, 11768</v>
      </c>
      <c r="AN470" s="120" t="str">
        <f>IFERROR(VLOOKUP(Table1[RespondentID],'All Data'!$A$3:$CO$999,91,FALSE),"unknown")</f>
        <v>Black or African American</v>
      </c>
      <c r="AO470" s="120">
        <f>IFERROR(VLOOKUP(Table1[RespondentID],'All Data'!$A$3:$CO$999,92,FALSE),"unknown")</f>
        <v>0</v>
      </c>
      <c r="AP470" s="120" t="str">
        <f>IFERROR(VLOOKUP(Table1[RespondentID],'All Data'!$A$3:$CO$999,93,FALSE),"unknown")</f>
        <v>English</v>
      </c>
      <c r="AQ470" s="120" t="str">
        <f>IFERROR(VLOOKUP(Table1[RespondentID],'All Data'!$A$3:$CW$999,94,FALSE),"unknown")</f>
        <v>Over $125,000</v>
      </c>
      <c r="AR470" s="120" t="str">
        <f>IFERROR(VLOOKUP(Table1[RespondentID],'All Data'!$A$3:$CW$999,95,FALSE),"unknown")</f>
        <v>College graduate</v>
      </c>
      <c r="AS470" s="120" t="str">
        <f>IFERROR(VLOOKUP(Table1[RespondentID],'All Data'!$A$3:$CW$999,96,FALSE),"unknown")</f>
        <v>Employed for wages</v>
      </c>
      <c r="AT470" s="120" t="str">
        <f>IFERROR(VLOOKUP(Table1[RespondentID],'All Data'!$A$3:$CW$999,97,FALSE),"unknown")</f>
        <v>Yes</v>
      </c>
      <c r="AU470" s="120" t="str">
        <f>IFERROR(VLOOKUP(Table1[RespondentID],'All Data'!$A$3:$CW$999,98,FALSE),"unknown")</f>
        <v>Private/Commercial</v>
      </c>
      <c r="AV470" s="120" t="str">
        <f>IFERROR(VLOOKUP(Table1[RespondentID],'All Data'!$A$3:$CW$999,99,FALSE),"unknown")</f>
        <v>Yes</v>
      </c>
    </row>
    <row r="471" spans="1:48">
      <c r="A471" s="5">
        <v>18031751432</v>
      </c>
      <c r="B471" s="160"/>
      <c r="C471" s="124"/>
      <c r="D471" s="124"/>
      <c r="E471" s="124" t="s">
        <v>41</v>
      </c>
      <c r="F471" s="124"/>
      <c r="G471" s="124"/>
      <c r="H471" s="124"/>
      <c r="I471" s="124"/>
      <c r="J471" s="124"/>
      <c r="K471" s="124"/>
      <c r="L471" s="124" t="s">
        <v>47</v>
      </c>
      <c r="M471" s="124"/>
      <c r="N471" s="124"/>
      <c r="O471" s="100">
        <f t="shared" si="136"/>
        <v>2</v>
      </c>
      <c r="P471" s="100">
        <f t="shared" si="137"/>
        <v>1.5</v>
      </c>
      <c r="R471" s="100">
        <f t="shared" si="138"/>
        <v>0</v>
      </c>
      <c r="S471" s="100">
        <f t="shared" si="139"/>
        <v>0</v>
      </c>
      <c r="T471" s="100">
        <f t="shared" si="140"/>
        <v>0</v>
      </c>
      <c r="U471" s="100">
        <f t="shared" si="141"/>
        <v>1</v>
      </c>
      <c r="V471" s="100">
        <f t="shared" si="142"/>
        <v>0</v>
      </c>
      <c r="W471" s="100">
        <f t="shared" si="143"/>
        <v>0</v>
      </c>
      <c r="X471" s="100">
        <f t="shared" si="144"/>
        <v>0</v>
      </c>
      <c r="Y471" s="100">
        <f t="shared" si="145"/>
        <v>0</v>
      </c>
      <c r="Z471" s="100">
        <f t="shared" si="146"/>
        <v>0</v>
      </c>
      <c r="AA471" s="100">
        <f t="shared" si="147"/>
        <v>0</v>
      </c>
      <c r="AB471" s="100">
        <f t="shared" si="148"/>
        <v>1</v>
      </c>
      <c r="AC471" s="100">
        <f t="shared" si="149"/>
        <v>0</v>
      </c>
      <c r="AF471" s="100">
        <f t="shared" si="150"/>
        <v>2</v>
      </c>
      <c r="AG471" s="100">
        <f t="shared" si="151"/>
        <v>2</v>
      </c>
      <c r="AH471" s="100" t="str">
        <f t="shared" si="152"/>
        <v>Correct</v>
      </c>
      <c r="AJ471" s="120" t="str">
        <f>IFERROR(VLOOKUP(Table1[RespondentID],'All Data'!$A$3:$CO$999,87,FALSE),"unknown")</f>
        <v>Woman</v>
      </c>
      <c r="AK471" s="120">
        <f>IFERROR(VLOOKUP(Table1[RespondentID],'All Data'!$A$3:$CO$999,88,FALSE),"unknown")</f>
        <v>72</v>
      </c>
      <c r="AL471" s="120" t="str">
        <f>IFERROR(VLOOKUP(Table1[RespondentID],'All Data'!$A$3:$CO$999,89,FALSE),"unknown")</f>
        <v>Suffolk</v>
      </c>
      <c r="AM471" s="120" t="str">
        <f>IFERROR(VLOOKUP(Table1[RespondentID],'All Data'!$A$3:$CO$999,90,FALSE),"unknown")</f>
        <v>Amityville, 11701</v>
      </c>
      <c r="AN471" s="120" t="str">
        <f>IFERROR(VLOOKUP(Table1[RespondentID],'All Data'!$A$3:$CO$999,91,FALSE),"unknown")</f>
        <v>White</v>
      </c>
      <c r="AO471" s="120" t="str">
        <f>IFERROR(VLOOKUP(Table1[RespondentID],'All Data'!$A$3:$CO$999,92,FALSE),"unknown")</f>
        <v>Not Hispanic or Latino</v>
      </c>
      <c r="AP471" s="120" t="str">
        <f>IFERROR(VLOOKUP(Table1[RespondentID],'All Data'!$A$3:$CO$999,93,FALSE),"unknown")</f>
        <v>English</v>
      </c>
      <c r="AQ471" s="120" t="str">
        <f>IFERROR(VLOOKUP(Table1[RespondentID],'All Data'!$A$3:$CW$999,94,FALSE),"unknown")</f>
        <v>$35,000 to $49,999</v>
      </c>
      <c r="AR471" s="120" t="str">
        <f>IFERROR(VLOOKUP(Table1[RespondentID],'All Data'!$A$3:$CW$999,95,FALSE),"unknown")</f>
        <v>High school graduate</v>
      </c>
      <c r="AS471" s="120" t="str">
        <f>IFERROR(VLOOKUP(Table1[RespondentID],'All Data'!$A$3:$CW$999,96,FALSE),"unknown")</f>
        <v>Retired</v>
      </c>
      <c r="AT471" s="120" t="str">
        <f>IFERROR(VLOOKUP(Table1[RespondentID],'All Data'!$A$3:$CW$999,97,FALSE),"unknown")</f>
        <v>Yes</v>
      </c>
      <c r="AU471" s="120" t="str">
        <f>IFERROR(VLOOKUP(Table1[RespondentID],'All Data'!$A$3:$CW$999,98,FALSE),"unknown")</f>
        <v>Medicare,Private/Commercial</v>
      </c>
      <c r="AV471" s="120" t="str">
        <f>IFERROR(VLOOKUP(Table1[RespondentID],'All Data'!$A$3:$CW$999,99,FALSE),"unknown")</f>
        <v>Yes</v>
      </c>
    </row>
    <row r="472" spans="1:48">
      <c r="A472" s="5">
        <v>18031751329</v>
      </c>
      <c r="B472" s="160" t="s">
        <v>38</v>
      </c>
      <c r="C472" s="124"/>
      <c r="D472" s="124"/>
      <c r="E472" s="124"/>
      <c r="F472" s="124"/>
      <c r="G472" s="124"/>
      <c r="H472" s="124" t="s">
        <v>43</v>
      </c>
      <c r="I472" s="124"/>
      <c r="J472" s="124" t="s">
        <v>45</v>
      </c>
      <c r="K472" s="124"/>
      <c r="L472" s="124"/>
      <c r="M472" s="124"/>
      <c r="N472" s="124"/>
      <c r="O472" s="100">
        <f t="shared" si="136"/>
        <v>3</v>
      </c>
      <c r="P472" s="100">
        <f t="shared" si="137"/>
        <v>1</v>
      </c>
      <c r="R472" s="100">
        <f t="shared" si="138"/>
        <v>1</v>
      </c>
      <c r="S472" s="100">
        <f t="shared" si="139"/>
        <v>0</v>
      </c>
      <c r="T472" s="100">
        <f t="shared" si="140"/>
        <v>0</v>
      </c>
      <c r="U472" s="100">
        <f t="shared" si="141"/>
        <v>0</v>
      </c>
      <c r="V472" s="100">
        <f t="shared" si="142"/>
        <v>0</v>
      </c>
      <c r="W472" s="100">
        <f t="shared" si="143"/>
        <v>0</v>
      </c>
      <c r="X472" s="100">
        <f t="shared" si="144"/>
        <v>1</v>
      </c>
      <c r="Y472" s="100">
        <f t="shared" si="145"/>
        <v>0</v>
      </c>
      <c r="Z472" s="100">
        <f t="shared" si="146"/>
        <v>1</v>
      </c>
      <c r="AA472" s="100">
        <f t="shared" si="147"/>
        <v>0</v>
      </c>
      <c r="AB472" s="100">
        <f t="shared" si="148"/>
        <v>0</v>
      </c>
      <c r="AC472" s="100">
        <f t="shared" si="149"/>
        <v>0</v>
      </c>
      <c r="AF472" s="100">
        <f t="shared" si="150"/>
        <v>3</v>
      </c>
      <c r="AG472" s="100">
        <f t="shared" si="151"/>
        <v>3</v>
      </c>
      <c r="AH472" s="100" t="str">
        <f t="shared" si="152"/>
        <v>Correct</v>
      </c>
      <c r="AJ472" s="120" t="str">
        <f>IFERROR(VLOOKUP(Table1[RespondentID],'All Data'!$A$3:$CO$999,87,FALSE),"unknown")</f>
        <v>Woman</v>
      </c>
      <c r="AK472" s="120">
        <f>IFERROR(VLOOKUP(Table1[RespondentID],'All Data'!$A$3:$CO$999,88,FALSE),"unknown")</f>
        <v>0</v>
      </c>
      <c r="AL472" s="120" t="str">
        <f>IFERROR(VLOOKUP(Table1[RespondentID],'All Data'!$A$3:$CO$999,89,FALSE),"unknown")</f>
        <v>Nassau</v>
      </c>
      <c r="AM472" s="120" t="str">
        <f>IFERROR(VLOOKUP(Table1[RespondentID],'All Data'!$A$3:$CO$999,90,FALSE),"unknown")</f>
        <v>Plainview, 11803</v>
      </c>
      <c r="AN472" s="120" t="str">
        <f>IFERROR(VLOOKUP(Table1[RespondentID],'All Data'!$A$3:$CO$999,91,FALSE),"unknown")</f>
        <v>White</v>
      </c>
      <c r="AO472" s="120" t="str">
        <f>IFERROR(VLOOKUP(Table1[RespondentID],'All Data'!$A$3:$CO$999,92,FALSE),"unknown")</f>
        <v>Not Hispanic or Latino</v>
      </c>
      <c r="AP472" s="120" t="str">
        <f>IFERROR(VLOOKUP(Table1[RespondentID],'All Data'!$A$3:$CO$999,93,FALSE),"unknown")</f>
        <v>English</v>
      </c>
      <c r="AQ472" s="120" t="str">
        <f>IFERROR(VLOOKUP(Table1[RespondentID],'All Data'!$A$3:$CW$999,94,FALSE),"unknown")</f>
        <v>$20,000 to $34,999</v>
      </c>
      <c r="AR472" s="120">
        <f>IFERROR(VLOOKUP(Table1[RespondentID],'All Data'!$A$3:$CW$999,95,FALSE),"unknown")</f>
        <v>0</v>
      </c>
      <c r="AS472" s="120" t="str">
        <f>IFERROR(VLOOKUP(Table1[RespondentID],'All Data'!$A$3:$CW$999,96,FALSE),"unknown")</f>
        <v>Out of work, but not currently looking</v>
      </c>
      <c r="AT472" s="120" t="str">
        <f>IFERROR(VLOOKUP(Table1[RespondentID],'All Data'!$A$3:$CW$999,97,FALSE),"unknown")</f>
        <v>Yes</v>
      </c>
      <c r="AU472" s="120" t="str">
        <f>IFERROR(VLOOKUP(Table1[RespondentID],'All Data'!$A$3:$CW$999,98,FALSE),"unknown")</f>
        <v>Medicare</v>
      </c>
      <c r="AV472" s="120" t="str">
        <f>IFERROR(VLOOKUP(Table1[RespondentID],'All Data'!$A$3:$CW$999,99,FALSE),"unknown")</f>
        <v>Yes</v>
      </c>
    </row>
    <row r="473" spans="1:48">
      <c r="A473" s="5">
        <v>18031751209</v>
      </c>
      <c r="B473" s="160" t="s">
        <v>38</v>
      </c>
      <c r="C473" s="124"/>
      <c r="D473" s="124"/>
      <c r="E473" s="124"/>
      <c r="F473" s="124"/>
      <c r="G473" s="124"/>
      <c r="H473" s="124"/>
      <c r="I473" s="124"/>
      <c r="J473" s="124"/>
      <c r="K473" s="124"/>
      <c r="L473" s="124"/>
      <c r="M473" s="124"/>
      <c r="N473" s="124"/>
      <c r="O473" s="100">
        <f t="shared" si="136"/>
        <v>1</v>
      </c>
      <c r="P473" s="100">
        <f t="shared" si="137"/>
        <v>3</v>
      </c>
      <c r="R473" s="100">
        <f t="shared" si="138"/>
        <v>1</v>
      </c>
      <c r="S473" s="100">
        <f t="shared" si="139"/>
        <v>0</v>
      </c>
      <c r="T473" s="100">
        <f t="shared" si="140"/>
        <v>0</v>
      </c>
      <c r="U473" s="100">
        <f t="shared" si="141"/>
        <v>0</v>
      </c>
      <c r="V473" s="100">
        <f t="shared" si="142"/>
        <v>0</v>
      </c>
      <c r="W473" s="100">
        <f t="shared" si="143"/>
        <v>0</v>
      </c>
      <c r="X473" s="100">
        <f t="shared" si="144"/>
        <v>0</v>
      </c>
      <c r="Y473" s="100">
        <f t="shared" si="145"/>
        <v>0</v>
      </c>
      <c r="Z473" s="100">
        <f t="shared" si="146"/>
        <v>0</v>
      </c>
      <c r="AA473" s="100">
        <f t="shared" si="147"/>
        <v>0</v>
      </c>
      <c r="AB473" s="100">
        <f t="shared" si="148"/>
        <v>0</v>
      </c>
      <c r="AC473" s="100">
        <f t="shared" si="149"/>
        <v>0</v>
      </c>
      <c r="AF473" s="100">
        <f t="shared" si="150"/>
        <v>1</v>
      </c>
      <c r="AG473" s="100">
        <f t="shared" si="151"/>
        <v>1</v>
      </c>
      <c r="AH473" s="100" t="str">
        <f t="shared" si="152"/>
        <v>Correct</v>
      </c>
      <c r="AJ473" s="120" t="str">
        <f>IFERROR(VLOOKUP(Table1[RespondentID],'All Data'!$A$3:$CO$999,87,FALSE),"unknown")</f>
        <v>Man</v>
      </c>
      <c r="AK473" s="120">
        <f>IFERROR(VLOOKUP(Table1[RespondentID],'All Data'!$A$3:$CO$999,88,FALSE),"unknown")</f>
        <v>81</v>
      </c>
      <c r="AL473" s="120" t="str">
        <f>IFERROR(VLOOKUP(Table1[RespondentID],'All Data'!$A$3:$CO$999,89,FALSE),"unknown")</f>
        <v>Nassau</v>
      </c>
      <c r="AM473" s="120" t="str">
        <f>IFERROR(VLOOKUP(Table1[RespondentID],'All Data'!$A$3:$CO$999,90,FALSE),"unknown")</f>
        <v>Lido Beach, 11561</v>
      </c>
      <c r="AN473" s="120" t="str">
        <f>IFERROR(VLOOKUP(Table1[RespondentID],'All Data'!$A$3:$CO$999,91,FALSE),"unknown")</f>
        <v>White</v>
      </c>
      <c r="AO473" s="120" t="str">
        <f>IFERROR(VLOOKUP(Table1[RespondentID],'All Data'!$A$3:$CO$999,92,FALSE),"unknown")</f>
        <v>Not Hispanic or Latino</v>
      </c>
      <c r="AP473" s="120" t="str">
        <f>IFERROR(VLOOKUP(Table1[RespondentID],'All Data'!$A$3:$CO$999,93,FALSE),"unknown")</f>
        <v>English</v>
      </c>
      <c r="AQ473" s="120" t="str">
        <f>IFERROR(VLOOKUP(Table1[RespondentID],'All Data'!$A$3:$CW$999,94,FALSE),"unknown")</f>
        <v>$75,000 to $125,000</v>
      </c>
      <c r="AR473" s="120" t="str">
        <f>IFERROR(VLOOKUP(Table1[RespondentID],'All Data'!$A$3:$CW$999,95,FALSE),"unknown")</f>
        <v>Some high school</v>
      </c>
      <c r="AS473" s="120" t="str">
        <f>IFERROR(VLOOKUP(Table1[RespondentID],'All Data'!$A$3:$CW$999,96,FALSE),"unknown")</f>
        <v>Employed for wages</v>
      </c>
      <c r="AT473" s="120" t="str">
        <f>IFERROR(VLOOKUP(Table1[RespondentID],'All Data'!$A$3:$CW$999,97,FALSE),"unknown")</f>
        <v>Yes</v>
      </c>
      <c r="AU473" s="120" t="str">
        <f>IFERROR(VLOOKUP(Table1[RespondentID],'All Data'!$A$3:$CW$999,98,FALSE),"unknown")</f>
        <v>Medicare,Private/Commercial</v>
      </c>
      <c r="AV473" s="120" t="str">
        <f>IFERROR(VLOOKUP(Table1[RespondentID],'All Data'!$A$3:$CW$999,99,FALSE),"unknown")</f>
        <v>Yes</v>
      </c>
    </row>
    <row r="474" spans="1:48">
      <c r="A474" s="5">
        <v>18031751111</v>
      </c>
      <c r="B474" s="160" t="s">
        <v>38</v>
      </c>
      <c r="C474" s="124"/>
      <c r="D474" s="124"/>
      <c r="E474" s="124"/>
      <c r="F474" s="124"/>
      <c r="G474" s="124" t="s">
        <v>37</v>
      </c>
      <c r="H474" s="124"/>
      <c r="I474" s="124"/>
      <c r="J474" s="124"/>
      <c r="K474" s="124"/>
      <c r="L474" s="124" t="s">
        <v>47</v>
      </c>
      <c r="M474" s="124"/>
      <c r="N474" s="124"/>
      <c r="O474" s="100">
        <f t="shared" si="136"/>
        <v>3</v>
      </c>
      <c r="P474" s="100">
        <f t="shared" si="137"/>
        <v>1</v>
      </c>
      <c r="R474" s="100">
        <f t="shared" si="138"/>
        <v>1</v>
      </c>
      <c r="S474" s="100">
        <f t="shared" si="139"/>
        <v>0</v>
      </c>
      <c r="T474" s="100">
        <f t="shared" si="140"/>
        <v>0</v>
      </c>
      <c r="U474" s="100">
        <f t="shared" si="141"/>
        <v>0</v>
      </c>
      <c r="V474" s="100">
        <f t="shared" si="142"/>
        <v>0</v>
      </c>
      <c r="W474" s="100">
        <f t="shared" si="143"/>
        <v>1</v>
      </c>
      <c r="X474" s="100">
        <f t="shared" si="144"/>
        <v>0</v>
      </c>
      <c r="Y474" s="100">
        <f t="shared" si="145"/>
        <v>0</v>
      </c>
      <c r="Z474" s="100">
        <f t="shared" si="146"/>
        <v>0</v>
      </c>
      <c r="AA474" s="100">
        <f t="shared" si="147"/>
        <v>0</v>
      </c>
      <c r="AB474" s="100">
        <f t="shared" si="148"/>
        <v>1</v>
      </c>
      <c r="AC474" s="100">
        <f t="shared" si="149"/>
        <v>0</v>
      </c>
      <c r="AF474" s="100">
        <f t="shared" si="150"/>
        <v>3</v>
      </c>
      <c r="AG474" s="100">
        <f t="shared" si="151"/>
        <v>3</v>
      </c>
      <c r="AH474" s="100" t="str">
        <f t="shared" si="152"/>
        <v>Correct</v>
      </c>
      <c r="AJ474" s="120" t="str">
        <f>IFERROR(VLOOKUP(Table1[RespondentID],'All Data'!$A$3:$CO$999,87,FALSE),"unknown")</f>
        <v>Woman</v>
      </c>
      <c r="AK474" s="120">
        <f>IFERROR(VLOOKUP(Table1[RespondentID],'All Data'!$A$3:$CO$999,88,FALSE),"unknown")</f>
        <v>61</v>
      </c>
      <c r="AL474" s="120" t="str">
        <f>IFERROR(VLOOKUP(Table1[RespondentID],'All Data'!$A$3:$CO$999,89,FALSE),"unknown")</f>
        <v>Nassau</v>
      </c>
      <c r="AM474" s="120" t="str">
        <f>IFERROR(VLOOKUP(Table1[RespondentID],'All Data'!$A$3:$CO$999,90,FALSE),"unknown")</f>
        <v>Garden City, 11530</v>
      </c>
      <c r="AN474" s="120" t="str">
        <f>IFERROR(VLOOKUP(Table1[RespondentID],'All Data'!$A$3:$CO$999,91,FALSE),"unknown")</f>
        <v>White</v>
      </c>
      <c r="AO474" s="120" t="str">
        <f>IFERROR(VLOOKUP(Table1[RespondentID],'All Data'!$A$3:$CO$999,92,FALSE),"unknown")</f>
        <v>Not Hispanic or Latino</v>
      </c>
      <c r="AP474" s="120" t="str">
        <f>IFERROR(VLOOKUP(Table1[RespondentID],'All Data'!$A$3:$CO$999,93,FALSE),"unknown")</f>
        <v>English</v>
      </c>
      <c r="AQ474" s="120" t="str">
        <f>IFERROR(VLOOKUP(Table1[RespondentID],'All Data'!$A$3:$CW$999,94,FALSE),"unknown")</f>
        <v>$50,000 to $74,999</v>
      </c>
      <c r="AR474" s="120" t="str">
        <f>IFERROR(VLOOKUP(Table1[RespondentID],'All Data'!$A$3:$CW$999,95,FALSE),"unknown")</f>
        <v>Graduate school</v>
      </c>
      <c r="AS474" s="120" t="str">
        <f>IFERROR(VLOOKUP(Table1[RespondentID],'All Data'!$A$3:$CW$999,96,FALSE),"unknown")</f>
        <v>Employed for wages</v>
      </c>
      <c r="AT474" s="120" t="str">
        <f>IFERROR(VLOOKUP(Table1[RespondentID],'All Data'!$A$3:$CW$999,97,FALSE),"unknown")</f>
        <v>No</v>
      </c>
      <c r="AU474" s="120" t="str">
        <f>IFERROR(VLOOKUP(Table1[RespondentID],'All Data'!$A$3:$CW$999,98,FALSE),"unknown")</f>
        <v>No Insurance</v>
      </c>
      <c r="AV474" s="120" t="str">
        <f>IFERROR(VLOOKUP(Table1[RespondentID],'All Data'!$A$3:$CW$999,99,FALSE),"unknown")</f>
        <v>Yes</v>
      </c>
    </row>
    <row r="475" spans="1:48">
      <c r="A475" s="5">
        <v>18031750983</v>
      </c>
      <c r="B475" s="160" t="s">
        <v>38</v>
      </c>
      <c r="C475" s="124"/>
      <c r="D475" s="124"/>
      <c r="E475" s="124"/>
      <c r="F475" s="124" t="s">
        <v>42</v>
      </c>
      <c r="G475" s="124"/>
      <c r="H475" s="124"/>
      <c r="I475" s="124"/>
      <c r="J475" s="124"/>
      <c r="K475" s="124"/>
      <c r="L475" s="124"/>
      <c r="M475" s="124"/>
      <c r="N475" s="124"/>
      <c r="O475" s="100">
        <f t="shared" si="136"/>
        <v>2</v>
      </c>
      <c r="P475" s="100">
        <f t="shared" si="137"/>
        <v>1.5</v>
      </c>
      <c r="R475" s="100">
        <f t="shared" si="138"/>
        <v>1</v>
      </c>
      <c r="S475" s="100">
        <f t="shared" si="139"/>
        <v>0</v>
      </c>
      <c r="T475" s="100">
        <f t="shared" si="140"/>
        <v>0</v>
      </c>
      <c r="U475" s="100">
        <f t="shared" si="141"/>
        <v>0</v>
      </c>
      <c r="V475" s="100">
        <f t="shared" si="142"/>
        <v>1</v>
      </c>
      <c r="W475" s="100">
        <f t="shared" si="143"/>
        <v>0</v>
      </c>
      <c r="X475" s="100">
        <f t="shared" si="144"/>
        <v>0</v>
      </c>
      <c r="Y475" s="100">
        <f t="shared" si="145"/>
        <v>0</v>
      </c>
      <c r="Z475" s="100">
        <f t="shared" si="146"/>
        <v>0</v>
      </c>
      <c r="AA475" s="100">
        <f t="shared" si="147"/>
        <v>0</v>
      </c>
      <c r="AB475" s="100">
        <f t="shared" si="148"/>
        <v>0</v>
      </c>
      <c r="AC475" s="100">
        <f t="shared" si="149"/>
        <v>0</v>
      </c>
      <c r="AF475" s="100">
        <f t="shared" si="150"/>
        <v>2</v>
      </c>
      <c r="AG475" s="100">
        <f t="shared" si="151"/>
        <v>2</v>
      </c>
      <c r="AH475" s="100" t="str">
        <f t="shared" si="152"/>
        <v>Correct</v>
      </c>
      <c r="AJ475" s="120" t="str">
        <f>IFERROR(VLOOKUP(Table1[RespondentID],'All Data'!$A$3:$CO$999,87,FALSE),"unknown")</f>
        <v>Man</v>
      </c>
      <c r="AK475" s="120">
        <f>IFERROR(VLOOKUP(Table1[RespondentID],'All Data'!$A$3:$CO$999,88,FALSE),"unknown")</f>
        <v>61</v>
      </c>
      <c r="AL475" s="120" t="str">
        <f>IFERROR(VLOOKUP(Table1[RespondentID],'All Data'!$A$3:$CO$999,89,FALSE),"unknown")</f>
        <v>Nassau</v>
      </c>
      <c r="AM475" s="120" t="str">
        <f>IFERROR(VLOOKUP(Table1[RespondentID],'All Data'!$A$3:$CO$999,90,FALSE),"unknown")</f>
        <v>Woodbury, 11797</v>
      </c>
      <c r="AN475" s="120" t="str">
        <f>IFERROR(VLOOKUP(Table1[RespondentID],'All Data'!$A$3:$CO$999,91,FALSE),"unknown")</f>
        <v>White</v>
      </c>
      <c r="AO475" s="120" t="str">
        <f>IFERROR(VLOOKUP(Table1[RespondentID],'All Data'!$A$3:$CO$999,92,FALSE),"unknown")</f>
        <v>Not Hispanic or Latino</v>
      </c>
      <c r="AP475" s="120" t="str">
        <f>IFERROR(VLOOKUP(Table1[RespondentID],'All Data'!$A$3:$CO$999,93,FALSE),"unknown")</f>
        <v>English</v>
      </c>
      <c r="AQ475" s="120">
        <f>IFERROR(VLOOKUP(Table1[RespondentID],'All Data'!$A$3:$CW$999,94,FALSE),"unknown")</f>
        <v>0</v>
      </c>
      <c r="AR475" s="120" t="str">
        <f>IFERROR(VLOOKUP(Table1[RespondentID],'All Data'!$A$3:$CW$999,95,FALSE),"unknown")</f>
        <v>College graduate</v>
      </c>
      <c r="AS475" s="120" t="str">
        <f>IFERROR(VLOOKUP(Table1[RespondentID],'All Data'!$A$3:$CW$999,96,FALSE),"unknown")</f>
        <v>Employed for wages</v>
      </c>
      <c r="AT475" s="120" t="str">
        <f>IFERROR(VLOOKUP(Table1[RespondentID],'All Data'!$A$3:$CW$999,97,FALSE),"unknown")</f>
        <v>Yes</v>
      </c>
      <c r="AU475" s="120" t="str">
        <f>IFERROR(VLOOKUP(Table1[RespondentID],'All Data'!$A$3:$CW$999,98,FALSE),"unknown")</f>
        <v>Private/Commercial</v>
      </c>
      <c r="AV475" s="120" t="str">
        <f>IFERROR(VLOOKUP(Table1[RespondentID],'All Data'!$A$3:$CW$999,99,FALSE),"unknown")</f>
        <v>Yes</v>
      </c>
    </row>
    <row r="476" spans="1:48">
      <c r="A476" s="5">
        <v>18031750464</v>
      </c>
      <c r="B476" s="160"/>
      <c r="C476" s="124" t="s">
        <v>39</v>
      </c>
      <c r="D476" s="124"/>
      <c r="E476" s="124"/>
      <c r="F476" s="124"/>
      <c r="G476" s="124"/>
      <c r="H476" s="124"/>
      <c r="I476" s="124"/>
      <c r="J476" s="124"/>
      <c r="K476" s="124"/>
      <c r="L476" s="124"/>
      <c r="M476" s="124"/>
      <c r="N476" s="124"/>
      <c r="O476" s="100">
        <f t="shared" si="136"/>
        <v>1</v>
      </c>
      <c r="P476" s="100">
        <f t="shared" si="137"/>
        <v>3</v>
      </c>
      <c r="R476" s="100">
        <f t="shared" si="138"/>
        <v>0</v>
      </c>
      <c r="S476" s="100">
        <f t="shared" si="139"/>
        <v>1</v>
      </c>
      <c r="T476" s="100">
        <f t="shared" si="140"/>
        <v>0</v>
      </c>
      <c r="U476" s="100">
        <f t="shared" si="141"/>
        <v>0</v>
      </c>
      <c r="V476" s="100">
        <f t="shared" si="142"/>
        <v>0</v>
      </c>
      <c r="W476" s="100">
        <f t="shared" si="143"/>
        <v>0</v>
      </c>
      <c r="X476" s="100">
        <f t="shared" si="144"/>
        <v>0</v>
      </c>
      <c r="Y476" s="100">
        <f t="shared" si="145"/>
        <v>0</v>
      </c>
      <c r="Z476" s="100">
        <f t="shared" si="146"/>
        <v>0</v>
      </c>
      <c r="AA476" s="100">
        <f t="shared" si="147"/>
        <v>0</v>
      </c>
      <c r="AB476" s="100">
        <f t="shared" si="148"/>
        <v>0</v>
      </c>
      <c r="AC476" s="100">
        <f t="shared" si="149"/>
        <v>0</v>
      </c>
      <c r="AF476" s="100">
        <f t="shared" si="150"/>
        <v>1</v>
      </c>
      <c r="AG476" s="100">
        <f t="shared" si="151"/>
        <v>1</v>
      </c>
      <c r="AH476" s="100" t="str">
        <f t="shared" si="152"/>
        <v>Correct</v>
      </c>
      <c r="AJ476" s="120" t="str">
        <f>IFERROR(VLOOKUP(Table1[RespondentID],'All Data'!$A$3:$CO$999,87,FALSE),"unknown")</f>
        <v>Woman</v>
      </c>
      <c r="AK476" s="120">
        <f>IFERROR(VLOOKUP(Table1[RespondentID],'All Data'!$A$3:$CO$999,88,FALSE),"unknown")</f>
        <v>74</v>
      </c>
      <c r="AL476" s="120" t="str">
        <f>IFERROR(VLOOKUP(Table1[RespondentID],'All Data'!$A$3:$CO$999,89,FALSE),"unknown")</f>
        <v>Nassau</v>
      </c>
      <c r="AM476" s="120" t="str">
        <f>IFERROR(VLOOKUP(Table1[RespondentID],'All Data'!$A$3:$CO$999,90,FALSE),"unknown")</f>
        <v>Farmingdale, 11735</v>
      </c>
      <c r="AN476" s="120" t="str">
        <f>IFERROR(VLOOKUP(Table1[RespondentID],'All Data'!$A$3:$CO$999,91,FALSE),"unknown")</f>
        <v>White</v>
      </c>
      <c r="AO476" s="120" t="str">
        <f>IFERROR(VLOOKUP(Table1[RespondentID],'All Data'!$A$3:$CO$999,92,FALSE),"unknown")</f>
        <v>Not Hispanic or Latino</v>
      </c>
      <c r="AP476" s="120" t="str">
        <f>IFERROR(VLOOKUP(Table1[RespondentID],'All Data'!$A$3:$CO$999,93,FALSE),"unknown")</f>
        <v>English</v>
      </c>
      <c r="AQ476" s="120" t="str">
        <f>IFERROR(VLOOKUP(Table1[RespondentID],'All Data'!$A$3:$CW$999,94,FALSE),"unknown")</f>
        <v>$75,000 to $125,000</v>
      </c>
      <c r="AR476" s="120" t="str">
        <f>IFERROR(VLOOKUP(Table1[RespondentID],'All Data'!$A$3:$CW$999,95,FALSE),"unknown")</f>
        <v>Graduate school</v>
      </c>
      <c r="AS476" s="120" t="str">
        <f>IFERROR(VLOOKUP(Table1[RespondentID],'All Data'!$A$3:$CW$999,96,FALSE),"unknown")</f>
        <v>Self-employed</v>
      </c>
      <c r="AT476" s="120" t="str">
        <f>IFERROR(VLOOKUP(Table1[RespondentID],'All Data'!$A$3:$CW$999,97,FALSE),"unknown")</f>
        <v>Yes</v>
      </c>
      <c r="AU476" s="120" t="str">
        <f>IFERROR(VLOOKUP(Table1[RespondentID],'All Data'!$A$3:$CW$999,98,FALSE),"unknown")</f>
        <v>Medicare,Private/Commercial</v>
      </c>
      <c r="AV476" s="120" t="str">
        <f>IFERROR(VLOOKUP(Table1[RespondentID],'All Data'!$A$3:$CW$999,99,FALSE),"unknown")</f>
        <v>Yes</v>
      </c>
    </row>
    <row r="477" spans="1:48">
      <c r="A477" s="5">
        <v>18031749512</v>
      </c>
      <c r="B477" s="160"/>
      <c r="C477" s="124" t="s">
        <v>39</v>
      </c>
      <c r="D477" s="124"/>
      <c r="E477" s="124"/>
      <c r="F477" s="124" t="s">
        <v>42</v>
      </c>
      <c r="G477" s="124" t="s">
        <v>37</v>
      </c>
      <c r="H477" s="124"/>
      <c r="I477" s="124"/>
      <c r="J477" s="124"/>
      <c r="K477" s="124"/>
      <c r="L477" s="124"/>
      <c r="M477" s="124"/>
      <c r="N477" s="124"/>
      <c r="O477" s="100">
        <f t="shared" si="136"/>
        <v>3</v>
      </c>
      <c r="P477" s="100">
        <f t="shared" si="137"/>
        <v>1</v>
      </c>
      <c r="R477" s="100">
        <f t="shared" si="138"/>
        <v>0</v>
      </c>
      <c r="S477" s="100">
        <f t="shared" si="139"/>
        <v>1</v>
      </c>
      <c r="T477" s="100">
        <f t="shared" si="140"/>
        <v>0</v>
      </c>
      <c r="U477" s="100">
        <f t="shared" si="141"/>
        <v>0</v>
      </c>
      <c r="V477" s="100">
        <f t="shared" si="142"/>
        <v>1</v>
      </c>
      <c r="W477" s="100">
        <f t="shared" si="143"/>
        <v>1</v>
      </c>
      <c r="X477" s="100">
        <f t="shared" si="144"/>
        <v>0</v>
      </c>
      <c r="Y477" s="100">
        <f t="shared" si="145"/>
        <v>0</v>
      </c>
      <c r="Z477" s="100">
        <f t="shared" si="146"/>
        <v>0</v>
      </c>
      <c r="AA477" s="100">
        <f t="shared" si="147"/>
        <v>0</v>
      </c>
      <c r="AB477" s="100">
        <f t="shared" si="148"/>
        <v>0</v>
      </c>
      <c r="AC477" s="100">
        <f t="shared" si="149"/>
        <v>0</v>
      </c>
      <c r="AF477" s="100">
        <f t="shared" si="150"/>
        <v>3</v>
      </c>
      <c r="AG477" s="100">
        <f t="shared" si="151"/>
        <v>3</v>
      </c>
      <c r="AH477" s="100" t="str">
        <f t="shared" si="152"/>
        <v>Correct</v>
      </c>
      <c r="AJ477" s="120" t="str">
        <f>IFERROR(VLOOKUP(Table1[RespondentID],'All Data'!$A$3:$CO$999,87,FALSE),"unknown")</f>
        <v>Woman</v>
      </c>
      <c r="AK477" s="120">
        <f>IFERROR(VLOOKUP(Table1[RespondentID],'All Data'!$A$3:$CO$999,88,FALSE),"unknown")</f>
        <v>70</v>
      </c>
      <c r="AL477" s="120" t="str">
        <f>IFERROR(VLOOKUP(Table1[RespondentID],'All Data'!$A$3:$CO$999,89,FALSE),"unknown")</f>
        <v>Nassau</v>
      </c>
      <c r="AM477" s="120" t="str">
        <f>IFERROR(VLOOKUP(Table1[RespondentID],'All Data'!$A$3:$CO$999,90,FALSE),"unknown")</f>
        <v>Oceanside, 11572</v>
      </c>
      <c r="AN477" s="120" t="str">
        <f>IFERROR(VLOOKUP(Table1[RespondentID],'All Data'!$A$3:$CO$999,91,FALSE),"unknown")</f>
        <v>White</v>
      </c>
      <c r="AO477" s="120" t="str">
        <f>IFERROR(VLOOKUP(Table1[RespondentID],'All Data'!$A$3:$CO$999,92,FALSE),"unknown")</f>
        <v>Not Hispanic or Latino</v>
      </c>
      <c r="AP477" s="120" t="str">
        <f>IFERROR(VLOOKUP(Table1[RespondentID],'All Data'!$A$3:$CO$999,93,FALSE),"unknown")</f>
        <v>English</v>
      </c>
      <c r="AQ477" s="120" t="str">
        <f>IFERROR(VLOOKUP(Table1[RespondentID],'All Data'!$A$3:$CW$999,94,FALSE),"unknown")</f>
        <v>$75,000 to $125,000</v>
      </c>
      <c r="AR477" s="120" t="str">
        <f>IFERROR(VLOOKUP(Table1[RespondentID],'All Data'!$A$3:$CW$999,95,FALSE),"unknown")</f>
        <v>Graduate school</v>
      </c>
      <c r="AS477" s="120" t="str">
        <f>IFERROR(VLOOKUP(Table1[RespondentID],'All Data'!$A$3:$CW$999,96,FALSE),"unknown")</f>
        <v>Retired</v>
      </c>
      <c r="AT477" s="120" t="str">
        <f>IFERROR(VLOOKUP(Table1[RespondentID],'All Data'!$A$3:$CW$999,97,FALSE),"unknown")</f>
        <v>Yes</v>
      </c>
      <c r="AU477" s="120" t="str">
        <f>IFERROR(VLOOKUP(Table1[RespondentID],'All Data'!$A$3:$CW$999,98,FALSE),"unknown")</f>
        <v>Medicare,Private/Commercial</v>
      </c>
      <c r="AV477" s="120" t="str">
        <f>IFERROR(VLOOKUP(Table1[RespondentID],'All Data'!$A$3:$CW$999,99,FALSE),"unknown")</f>
        <v>Yes</v>
      </c>
    </row>
    <row r="478" spans="1:48">
      <c r="A478" s="5">
        <v>18031749227</v>
      </c>
      <c r="B478" s="160"/>
      <c r="C478" s="124"/>
      <c r="D478" s="124"/>
      <c r="E478" s="124"/>
      <c r="F478" s="124" t="s">
        <v>42</v>
      </c>
      <c r="G478" s="124"/>
      <c r="H478" s="124"/>
      <c r="I478" s="124"/>
      <c r="J478" s="124"/>
      <c r="K478" s="124"/>
      <c r="L478" s="124" t="s">
        <v>47</v>
      </c>
      <c r="M478" s="124"/>
      <c r="N478" s="124"/>
      <c r="O478" s="100">
        <f t="shared" si="136"/>
        <v>2</v>
      </c>
      <c r="P478" s="100">
        <f t="shared" si="137"/>
        <v>1.5</v>
      </c>
      <c r="R478" s="100">
        <f t="shared" si="138"/>
        <v>0</v>
      </c>
      <c r="S478" s="100">
        <f t="shared" si="139"/>
        <v>0</v>
      </c>
      <c r="T478" s="100">
        <f t="shared" si="140"/>
        <v>0</v>
      </c>
      <c r="U478" s="100">
        <f t="shared" si="141"/>
        <v>0</v>
      </c>
      <c r="V478" s="100">
        <f t="shared" si="142"/>
        <v>1</v>
      </c>
      <c r="W478" s="100">
        <f t="shared" si="143"/>
        <v>0</v>
      </c>
      <c r="X478" s="100">
        <f t="shared" si="144"/>
        <v>0</v>
      </c>
      <c r="Y478" s="100">
        <f t="shared" si="145"/>
        <v>0</v>
      </c>
      <c r="Z478" s="100">
        <f t="shared" si="146"/>
        <v>0</v>
      </c>
      <c r="AA478" s="100">
        <f t="shared" si="147"/>
        <v>0</v>
      </c>
      <c r="AB478" s="100">
        <f t="shared" si="148"/>
        <v>1</v>
      </c>
      <c r="AC478" s="100">
        <f t="shared" si="149"/>
        <v>0</v>
      </c>
      <c r="AF478" s="100">
        <f t="shared" si="150"/>
        <v>2</v>
      </c>
      <c r="AG478" s="100">
        <f t="shared" si="151"/>
        <v>2</v>
      </c>
      <c r="AH478" s="100" t="str">
        <f t="shared" si="152"/>
        <v>Correct</v>
      </c>
      <c r="AJ478" s="120" t="str">
        <f>IFERROR(VLOOKUP(Table1[RespondentID],'All Data'!$A$3:$CO$999,87,FALSE),"unknown")</f>
        <v>Woman</v>
      </c>
      <c r="AK478" s="120">
        <f>IFERROR(VLOOKUP(Table1[RespondentID],'All Data'!$A$3:$CO$999,88,FALSE),"unknown")</f>
        <v>40</v>
      </c>
      <c r="AL478" s="120" t="str">
        <f>IFERROR(VLOOKUP(Table1[RespondentID],'All Data'!$A$3:$CO$999,89,FALSE),"unknown")</f>
        <v>Nassau</v>
      </c>
      <c r="AM478" s="120" t="str">
        <f>IFERROR(VLOOKUP(Table1[RespondentID],'All Data'!$A$3:$CO$999,90,FALSE),"unknown")</f>
        <v>Oceanside, 11572</v>
      </c>
      <c r="AN478" s="120" t="str">
        <f>IFERROR(VLOOKUP(Table1[RespondentID],'All Data'!$A$3:$CO$999,91,FALSE),"unknown")</f>
        <v>White</v>
      </c>
      <c r="AO478" s="120" t="str">
        <f>IFERROR(VLOOKUP(Table1[RespondentID],'All Data'!$A$3:$CO$999,92,FALSE),"unknown")</f>
        <v>Not Hispanic or Latino</v>
      </c>
      <c r="AP478" s="120" t="str">
        <f>IFERROR(VLOOKUP(Table1[RespondentID],'All Data'!$A$3:$CO$999,93,FALSE),"unknown")</f>
        <v>English</v>
      </c>
      <c r="AQ478" s="120">
        <f>IFERROR(VLOOKUP(Table1[RespondentID],'All Data'!$A$3:$CW$999,94,FALSE),"unknown")</f>
        <v>0</v>
      </c>
      <c r="AR478" s="120" t="str">
        <f>IFERROR(VLOOKUP(Table1[RespondentID],'All Data'!$A$3:$CW$999,95,FALSE),"unknown")</f>
        <v>College graduate</v>
      </c>
      <c r="AS478" s="120" t="str">
        <f>IFERROR(VLOOKUP(Table1[RespondentID],'All Data'!$A$3:$CW$999,96,FALSE),"unknown")</f>
        <v>Out of work and looking for work</v>
      </c>
      <c r="AT478" s="120" t="str">
        <f>IFERROR(VLOOKUP(Table1[RespondentID],'All Data'!$A$3:$CW$999,97,FALSE),"unknown")</f>
        <v>Yes</v>
      </c>
      <c r="AU478" s="120" t="str">
        <f>IFERROR(VLOOKUP(Table1[RespondentID],'All Data'!$A$3:$CW$999,98,FALSE),"unknown")</f>
        <v>Private/Commercial</v>
      </c>
      <c r="AV478" s="120" t="str">
        <f>IFERROR(VLOOKUP(Table1[RespondentID],'All Data'!$A$3:$CW$999,99,FALSE),"unknown")</f>
        <v>Yes</v>
      </c>
    </row>
    <row r="479" spans="1:48">
      <c r="A479" s="5">
        <v>18031749129</v>
      </c>
      <c r="B479" s="160"/>
      <c r="C479" s="124"/>
      <c r="D479" s="124" t="s">
        <v>40</v>
      </c>
      <c r="E479" s="124" t="s">
        <v>41</v>
      </c>
      <c r="F479" s="124"/>
      <c r="G479" s="124"/>
      <c r="H479" s="124" t="s">
        <v>43</v>
      </c>
      <c r="I479" s="124"/>
      <c r="J479" s="124"/>
      <c r="K479" s="124"/>
      <c r="L479" s="124"/>
      <c r="M479" s="124"/>
      <c r="N479" s="124"/>
      <c r="O479" s="100">
        <f t="shared" si="136"/>
        <v>3</v>
      </c>
      <c r="P479" s="100">
        <f t="shared" si="137"/>
        <v>1</v>
      </c>
      <c r="R479" s="100">
        <f t="shared" si="138"/>
        <v>0</v>
      </c>
      <c r="S479" s="100">
        <f t="shared" si="139"/>
        <v>0</v>
      </c>
      <c r="T479" s="100">
        <f t="shared" si="140"/>
        <v>1</v>
      </c>
      <c r="U479" s="100">
        <f t="shared" si="141"/>
        <v>1</v>
      </c>
      <c r="V479" s="100">
        <f t="shared" si="142"/>
        <v>0</v>
      </c>
      <c r="W479" s="100">
        <f t="shared" si="143"/>
        <v>0</v>
      </c>
      <c r="X479" s="100">
        <f t="shared" si="144"/>
        <v>1</v>
      </c>
      <c r="Y479" s="100">
        <f t="shared" si="145"/>
        <v>0</v>
      </c>
      <c r="Z479" s="100">
        <f t="shared" si="146"/>
        <v>0</v>
      </c>
      <c r="AA479" s="100">
        <f t="shared" si="147"/>
        <v>0</v>
      </c>
      <c r="AB479" s="100">
        <f t="shared" si="148"/>
        <v>0</v>
      </c>
      <c r="AC479" s="100">
        <f t="shared" si="149"/>
        <v>0</v>
      </c>
      <c r="AF479" s="100">
        <f t="shared" si="150"/>
        <v>3</v>
      </c>
      <c r="AG479" s="100">
        <f t="shared" si="151"/>
        <v>3</v>
      </c>
      <c r="AH479" s="100" t="str">
        <f t="shared" si="152"/>
        <v>Correct</v>
      </c>
      <c r="AJ479" s="120" t="str">
        <f>IFERROR(VLOOKUP(Table1[RespondentID],'All Data'!$A$3:$CO$999,87,FALSE),"unknown")</f>
        <v>Woman</v>
      </c>
      <c r="AK479" s="120">
        <f>IFERROR(VLOOKUP(Table1[RespondentID],'All Data'!$A$3:$CO$999,88,FALSE),"unknown")</f>
        <v>75</v>
      </c>
      <c r="AL479" s="120" t="str">
        <f>IFERROR(VLOOKUP(Table1[RespondentID],'All Data'!$A$3:$CO$999,89,FALSE),"unknown")</f>
        <v>Suffolk</v>
      </c>
      <c r="AM479" s="120" t="str">
        <f>IFERROR(VLOOKUP(Table1[RespondentID],'All Data'!$A$3:$CO$999,90,FALSE),"unknown")</f>
        <v>East Northport, 11731</v>
      </c>
      <c r="AN479" s="120" t="str">
        <f>IFERROR(VLOOKUP(Table1[RespondentID],'All Data'!$A$3:$CO$999,91,FALSE),"unknown")</f>
        <v>White</v>
      </c>
      <c r="AO479" s="120" t="str">
        <f>IFERROR(VLOOKUP(Table1[RespondentID],'All Data'!$A$3:$CO$999,92,FALSE),"unknown")</f>
        <v>Not Hispanic or Latino</v>
      </c>
      <c r="AP479" s="120" t="str">
        <f>IFERROR(VLOOKUP(Table1[RespondentID],'All Data'!$A$3:$CO$999,93,FALSE),"unknown")</f>
        <v>English</v>
      </c>
      <c r="AQ479" s="120" t="str">
        <f>IFERROR(VLOOKUP(Table1[RespondentID],'All Data'!$A$3:$CW$999,94,FALSE),"unknown")</f>
        <v>$75,000 to $125,000</v>
      </c>
      <c r="AR479" s="120" t="str">
        <f>IFERROR(VLOOKUP(Table1[RespondentID],'All Data'!$A$3:$CW$999,95,FALSE),"unknown")</f>
        <v>Graduate school</v>
      </c>
      <c r="AS479" s="120" t="str">
        <f>IFERROR(VLOOKUP(Table1[RespondentID],'All Data'!$A$3:$CW$999,96,FALSE),"unknown")</f>
        <v>Retired</v>
      </c>
      <c r="AT479" s="120" t="str">
        <f>IFERROR(VLOOKUP(Table1[RespondentID],'All Data'!$A$3:$CW$999,97,FALSE),"unknown")</f>
        <v>Yes</v>
      </c>
      <c r="AU479" s="120" t="str">
        <f>IFERROR(VLOOKUP(Table1[RespondentID],'All Data'!$A$3:$CW$999,98,FALSE),"unknown")</f>
        <v>Medicare,Private/Commercial</v>
      </c>
      <c r="AV479" s="120" t="str">
        <f>IFERROR(VLOOKUP(Table1[RespondentID],'All Data'!$A$3:$CW$999,99,FALSE),"unknown")</f>
        <v>Yes</v>
      </c>
    </row>
    <row r="480" spans="1:48">
      <c r="A480" s="5">
        <v>18031748998</v>
      </c>
      <c r="B480" s="160"/>
      <c r="C480" s="124"/>
      <c r="D480" s="124"/>
      <c r="E480" s="124" t="s">
        <v>41</v>
      </c>
      <c r="F480" s="124"/>
      <c r="G480" s="124"/>
      <c r="H480" s="124"/>
      <c r="I480" s="124"/>
      <c r="J480" s="124" t="s">
        <v>45</v>
      </c>
      <c r="K480" s="124" t="s">
        <v>46</v>
      </c>
      <c r="L480" s="124"/>
      <c r="M480" s="124"/>
      <c r="N480" s="124"/>
      <c r="O480" s="100">
        <f t="shared" si="136"/>
        <v>3</v>
      </c>
      <c r="P480" s="100">
        <f t="shared" si="137"/>
        <v>1</v>
      </c>
      <c r="R480" s="100">
        <f t="shared" si="138"/>
        <v>0</v>
      </c>
      <c r="S480" s="100">
        <f t="shared" si="139"/>
        <v>0</v>
      </c>
      <c r="T480" s="100">
        <f t="shared" si="140"/>
        <v>0</v>
      </c>
      <c r="U480" s="100">
        <f t="shared" si="141"/>
        <v>1</v>
      </c>
      <c r="V480" s="100">
        <f t="shared" si="142"/>
        <v>0</v>
      </c>
      <c r="W480" s="100">
        <f t="shared" si="143"/>
        <v>0</v>
      </c>
      <c r="X480" s="100">
        <f t="shared" si="144"/>
        <v>0</v>
      </c>
      <c r="Y480" s="100">
        <f t="shared" si="145"/>
        <v>0</v>
      </c>
      <c r="Z480" s="100">
        <f t="shared" si="146"/>
        <v>1</v>
      </c>
      <c r="AA480" s="100">
        <f t="shared" si="147"/>
        <v>1</v>
      </c>
      <c r="AB480" s="100">
        <f t="shared" si="148"/>
        <v>0</v>
      </c>
      <c r="AC480" s="100">
        <f t="shared" si="149"/>
        <v>0</v>
      </c>
      <c r="AF480" s="100">
        <f t="shared" si="150"/>
        <v>3</v>
      </c>
      <c r="AG480" s="100">
        <f t="shared" si="151"/>
        <v>3</v>
      </c>
      <c r="AH480" s="100" t="str">
        <f t="shared" si="152"/>
        <v>Correct</v>
      </c>
      <c r="AJ480" s="120" t="str">
        <f>IFERROR(VLOOKUP(Table1[RespondentID],'All Data'!$A$3:$CO$999,87,FALSE),"unknown")</f>
        <v>Woman</v>
      </c>
      <c r="AK480" s="120">
        <f>IFERROR(VLOOKUP(Table1[RespondentID],'All Data'!$A$3:$CO$999,88,FALSE),"unknown")</f>
        <v>0</v>
      </c>
      <c r="AL480" s="120" t="str">
        <f>IFERROR(VLOOKUP(Table1[RespondentID],'All Data'!$A$3:$CO$999,89,FALSE),"unknown")</f>
        <v>Nassau</v>
      </c>
      <c r="AM480" s="120" t="str">
        <f>IFERROR(VLOOKUP(Table1[RespondentID],'All Data'!$A$3:$CO$999,90,FALSE),"unknown")</f>
        <v>Westbury, 11590</v>
      </c>
      <c r="AN480" s="120" t="str">
        <f>IFERROR(VLOOKUP(Table1[RespondentID],'All Data'!$A$3:$CO$999,91,FALSE),"unknown")</f>
        <v>Asian</v>
      </c>
      <c r="AO480" s="120" t="str">
        <f>IFERROR(VLOOKUP(Table1[RespondentID],'All Data'!$A$3:$CO$999,92,FALSE),"unknown")</f>
        <v>Not Hispanic or Latino</v>
      </c>
      <c r="AP480" s="120" t="str">
        <f>IFERROR(VLOOKUP(Table1[RespondentID],'All Data'!$A$3:$CO$999,93,FALSE),"unknown")</f>
        <v>English</v>
      </c>
      <c r="AQ480" s="120" t="str">
        <f>IFERROR(VLOOKUP(Table1[RespondentID],'All Data'!$A$3:$CW$999,94,FALSE),"unknown")</f>
        <v>$50,000 to $74,999</v>
      </c>
      <c r="AR480" s="120" t="str">
        <f>IFERROR(VLOOKUP(Table1[RespondentID],'All Data'!$A$3:$CW$999,95,FALSE),"unknown")</f>
        <v>Graduate school</v>
      </c>
      <c r="AS480" s="120" t="str">
        <f>IFERROR(VLOOKUP(Table1[RespondentID],'All Data'!$A$3:$CW$999,96,FALSE),"unknown")</f>
        <v>Employed for wages</v>
      </c>
      <c r="AT480" s="120" t="str">
        <f>IFERROR(VLOOKUP(Table1[RespondentID],'All Data'!$A$3:$CW$999,97,FALSE),"unknown")</f>
        <v>Yes</v>
      </c>
      <c r="AU480" s="120" t="str">
        <f>IFERROR(VLOOKUP(Table1[RespondentID],'All Data'!$A$3:$CW$999,98,FALSE),"unknown")</f>
        <v>Private/Commercial</v>
      </c>
      <c r="AV480" s="120">
        <f>IFERROR(VLOOKUP(Table1[RespondentID],'All Data'!$A$3:$CW$999,99,FALSE),"unknown")</f>
        <v>0</v>
      </c>
    </row>
    <row r="481" spans="1:48">
      <c r="A481" s="5">
        <v>18031748776</v>
      </c>
      <c r="B481" s="160"/>
      <c r="C481" s="124"/>
      <c r="D481" s="124"/>
      <c r="E481" s="124"/>
      <c r="F481" s="124" t="s">
        <v>42</v>
      </c>
      <c r="G481" s="124"/>
      <c r="H481" s="124"/>
      <c r="I481" s="124"/>
      <c r="J481" s="124" t="s">
        <v>45</v>
      </c>
      <c r="K481" s="124"/>
      <c r="L481" s="124"/>
      <c r="M481" s="124"/>
      <c r="N481" s="124"/>
      <c r="O481" s="100">
        <f t="shared" si="136"/>
        <v>2</v>
      </c>
      <c r="P481" s="100">
        <f t="shared" si="137"/>
        <v>1.5</v>
      </c>
      <c r="R481" s="100">
        <f t="shared" si="138"/>
        <v>0</v>
      </c>
      <c r="S481" s="100">
        <f t="shared" si="139"/>
        <v>0</v>
      </c>
      <c r="T481" s="100">
        <f t="shared" si="140"/>
        <v>0</v>
      </c>
      <c r="U481" s="100">
        <f t="shared" si="141"/>
        <v>0</v>
      </c>
      <c r="V481" s="100">
        <f t="shared" si="142"/>
        <v>1</v>
      </c>
      <c r="W481" s="100">
        <f t="shared" si="143"/>
        <v>0</v>
      </c>
      <c r="X481" s="100">
        <f t="shared" si="144"/>
        <v>0</v>
      </c>
      <c r="Y481" s="100">
        <f t="shared" si="145"/>
        <v>0</v>
      </c>
      <c r="Z481" s="100">
        <f t="shared" si="146"/>
        <v>1</v>
      </c>
      <c r="AA481" s="100">
        <f t="shared" si="147"/>
        <v>0</v>
      </c>
      <c r="AB481" s="100">
        <f t="shared" si="148"/>
        <v>0</v>
      </c>
      <c r="AC481" s="100">
        <f t="shared" si="149"/>
        <v>0</v>
      </c>
      <c r="AF481" s="100">
        <f t="shared" si="150"/>
        <v>2</v>
      </c>
      <c r="AG481" s="100">
        <f t="shared" si="151"/>
        <v>2</v>
      </c>
      <c r="AH481" s="100" t="str">
        <f t="shared" si="152"/>
        <v>Correct</v>
      </c>
      <c r="AJ481" s="120" t="str">
        <f>IFERROR(VLOOKUP(Table1[RespondentID],'All Data'!$A$3:$CO$999,87,FALSE),"unknown")</f>
        <v>Woman</v>
      </c>
      <c r="AK481" s="120">
        <f>IFERROR(VLOOKUP(Table1[RespondentID],'All Data'!$A$3:$CO$999,88,FALSE),"unknown")</f>
        <v>82</v>
      </c>
      <c r="AL481" s="120" t="str">
        <f>IFERROR(VLOOKUP(Table1[RespondentID],'All Data'!$A$3:$CO$999,89,FALSE),"unknown")</f>
        <v>Nassau</v>
      </c>
      <c r="AM481" s="120" t="str">
        <f>IFERROR(VLOOKUP(Table1[RespondentID],'All Data'!$A$3:$CO$999,90,FALSE),"unknown")</f>
        <v>Manhasset, 11030</v>
      </c>
      <c r="AN481" s="120" t="str">
        <f>IFERROR(VLOOKUP(Table1[RespondentID],'All Data'!$A$3:$CO$999,91,FALSE),"unknown")</f>
        <v>Two or more races</v>
      </c>
      <c r="AO481" s="120" t="str">
        <f>IFERROR(VLOOKUP(Table1[RespondentID],'All Data'!$A$3:$CO$999,92,FALSE),"unknown")</f>
        <v>Not Hispanic or Latino</v>
      </c>
      <c r="AP481" s="120" t="str">
        <f>IFERROR(VLOOKUP(Table1[RespondentID],'All Data'!$A$3:$CO$999,93,FALSE),"unknown")</f>
        <v>English</v>
      </c>
      <c r="AQ481" s="120" t="str">
        <f>IFERROR(VLOOKUP(Table1[RespondentID],'All Data'!$A$3:$CW$999,94,FALSE),"unknown")</f>
        <v>$20,000 to $34,999</v>
      </c>
      <c r="AR481" s="120" t="str">
        <f>IFERROR(VLOOKUP(Table1[RespondentID],'All Data'!$A$3:$CW$999,95,FALSE),"unknown")</f>
        <v>High school graduate</v>
      </c>
      <c r="AS481" s="120" t="str">
        <f>IFERROR(VLOOKUP(Table1[RespondentID],'All Data'!$A$3:$CW$999,96,FALSE),"unknown")</f>
        <v>Retired</v>
      </c>
      <c r="AT481" s="120" t="str">
        <f>IFERROR(VLOOKUP(Table1[RespondentID],'All Data'!$A$3:$CW$999,97,FALSE),"unknown")</f>
        <v>Yes</v>
      </c>
      <c r="AU481" s="120" t="str">
        <f>IFERROR(VLOOKUP(Table1[RespondentID],'All Data'!$A$3:$CW$999,98,FALSE),"unknown")</f>
        <v>Medicare</v>
      </c>
      <c r="AV481" s="120" t="str">
        <f>IFERROR(VLOOKUP(Table1[RespondentID],'All Data'!$A$3:$CW$999,99,FALSE),"unknown")</f>
        <v>Yes</v>
      </c>
    </row>
    <row r="482" spans="1:48">
      <c r="A482" s="5">
        <v>18031748295</v>
      </c>
      <c r="B482" s="160"/>
      <c r="C482" s="124"/>
      <c r="D482" s="124" t="s">
        <v>40</v>
      </c>
      <c r="E482" s="124"/>
      <c r="F482" s="124"/>
      <c r="G482" s="124" t="s">
        <v>37</v>
      </c>
      <c r="H482" s="124"/>
      <c r="I482" s="124"/>
      <c r="J482" s="124" t="s">
        <v>45</v>
      </c>
      <c r="K482" s="124"/>
      <c r="L482" s="124"/>
      <c r="M482" s="124"/>
      <c r="N482" s="124"/>
      <c r="O482" s="100">
        <f t="shared" si="136"/>
        <v>3</v>
      </c>
      <c r="P482" s="100">
        <f t="shared" si="137"/>
        <v>1</v>
      </c>
      <c r="R482" s="100">
        <f t="shared" si="138"/>
        <v>0</v>
      </c>
      <c r="S482" s="100">
        <f t="shared" si="139"/>
        <v>0</v>
      </c>
      <c r="T482" s="100">
        <f t="shared" si="140"/>
        <v>1</v>
      </c>
      <c r="U482" s="100">
        <f t="shared" si="141"/>
        <v>0</v>
      </c>
      <c r="V482" s="100">
        <f t="shared" si="142"/>
        <v>0</v>
      </c>
      <c r="W482" s="100">
        <f t="shared" si="143"/>
        <v>1</v>
      </c>
      <c r="X482" s="100">
        <f t="shared" si="144"/>
        <v>0</v>
      </c>
      <c r="Y482" s="100">
        <f t="shared" si="145"/>
        <v>0</v>
      </c>
      <c r="Z482" s="100">
        <f t="shared" si="146"/>
        <v>1</v>
      </c>
      <c r="AA482" s="100">
        <f t="shared" si="147"/>
        <v>0</v>
      </c>
      <c r="AB482" s="100">
        <f t="shared" si="148"/>
        <v>0</v>
      </c>
      <c r="AC482" s="100">
        <f t="shared" si="149"/>
        <v>0</v>
      </c>
      <c r="AF482" s="100">
        <f t="shared" si="150"/>
        <v>3</v>
      </c>
      <c r="AG482" s="100">
        <f t="shared" si="151"/>
        <v>3</v>
      </c>
      <c r="AH482" s="100" t="str">
        <f t="shared" si="152"/>
        <v>Correct</v>
      </c>
      <c r="AJ482" s="120" t="str">
        <f>IFERROR(VLOOKUP(Table1[RespondentID],'All Data'!$A$3:$CO$999,87,FALSE),"unknown")</f>
        <v>Woman</v>
      </c>
      <c r="AK482" s="120">
        <f>IFERROR(VLOOKUP(Table1[RespondentID],'All Data'!$A$3:$CO$999,88,FALSE),"unknown")</f>
        <v>64</v>
      </c>
      <c r="AL482" s="120" t="str">
        <f>IFERROR(VLOOKUP(Table1[RespondentID],'All Data'!$A$3:$CO$999,89,FALSE),"unknown")</f>
        <v>Queens</v>
      </c>
      <c r="AM482" s="120">
        <f>IFERROR(VLOOKUP(Table1[RespondentID],'All Data'!$A$3:$CO$999,90,FALSE),"unknown")</f>
        <v>0</v>
      </c>
      <c r="AN482" s="120" t="str">
        <f>IFERROR(VLOOKUP(Table1[RespondentID],'All Data'!$A$3:$CO$999,91,FALSE),"unknown")</f>
        <v>Black or African American</v>
      </c>
      <c r="AO482" s="120" t="str">
        <f>IFERROR(VLOOKUP(Table1[RespondentID],'All Data'!$A$3:$CO$999,92,FALSE),"unknown")</f>
        <v>Not Hispanic or Latino</v>
      </c>
      <c r="AP482" s="120" t="str">
        <f>IFERROR(VLOOKUP(Table1[RespondentID],'All Data'!$A$3:$CO$999,93,FALSE),"unknown")</f>
        <v>English</v>
      </c>
      <c r="AQ482" s="120" t="str">
        <f>IFERROR(VLOOKUP(Table1[RespondentID],'All Data'!$A$3:$CW$999,94,FALSE),"unknown")</f>
        <v>$50,000 to $74,999</v>
      </c>
      <c r="AR482" s="120" t="str">
        <f>IFERROR(VLOOKUP(Table1[RespondentID],'All Data'!$A$3:$CW$999,95,FALSE),"unknown")</f>
        <v>Some college</v>
      </c>
      <c r="AS482" s="120" t="str">
        <f>IFERROR(VLOOKUP(Table1[RespondentID],'All Data'!$A$3:$CW$999,96,FALSE),"unknown")</f>
        <v>Employed for wages</v>
      </c>
      <c r="AT482" s="120" t="str">
        <f>IFERROR(VLOOKUP(Table1[RespondentID],'All Data'!$A$3:$CW$999,97,FALSE),"unknown")</f>
        <v>Yes</v>
      </c>
      <c r="AU482" s="120" t="str">
        <f>IFERROR(VLOOKUP(Table1[RespondentID],'All Data'!$A$3:$CW$999,98,FALSE),"unknown")</f>
        <v>Medicare</v>
      </c>
      <c r="AV482" s="120" t="str">
        <f>IFERROR(VLOOKUP(Table1[RespondentID],'All Data'!$A$3:$CW$999,99,FALSE),"unknown")</f>
        <v>Yes</v>
      </c>
    </row>
    <row r="483" spans="1:48">
      <c r="A483" s="5">
        <v>18031748212</v>
      </c>
      <c r="B483" s="160"/>
      <c r="C483" s="124" t="s">
        <v>39</v>
      </c>
      <c r="D483" s="124"/>
      <c r="E483" s="124"/>
      <c r="F483" s="124" t="s">
        <v>42</v>
      </c>
      <c r="G483" s="124"/>
      <c r="H483" s="124" t="s">
        <v>43</v>
      </c>
      <c r="I483" s="124"/>
      <c r="J483" s="124"/>
      <c r="K483" s="124"/>
      <c r="L483" s="124"/>
      <c r="M483" s="124"/>
      <c r="N483" s="124"/>
      <c r="O483" s="100">
        <f t="shared" si="136"/>
        <v>3</v>
      </c>
      <c r="P483" s="100">
        <f t="shared" si="137"/>
        <v>1</v>
      </c>
      <c r="R483" s="100">
        <f t="shared" si="138"/>
        <v>0</v>
      </c>
      <c r="S483" s="100">
        <f t="shared" si="139"/>
        <v>1</v>
      </c>
      <c r="T483" s="100">
        <f t="shared" si="140"/>
        <v>0</v>
      </c>
      <c r="U483" s="100">
        <f t="shared" si="141"/>
        <v>0</v>
      </c>
      <c r="V483" s="100">
        <f t="shared" si="142"/>
        <v>1</v>
      </c>
      <c r="W483" s="100">
        <f t="shared" si="143"/>
        <v>0</v>
      </c>
      <c r="X483" s="100">
        <f t="shared" si="144"/>
        <v>1</v>
      </c>
      <c r="Y483" s="100">
        <f t="shared" si="145"/>
        <v>0</v>
      </c>
      <c r="Z483" s="100">
        <f t="shared" si="146"/>
        <v>0</v>
      </c>
      <c r="AA483" s="100">
        <f t="shared" si="147"/>
        <v>0</v>
      </c>
      <c r="AB483" s="100">
        <f t="shared" si="148"/>
        <v>0</v>
      </c>
      <c r="AC483" s="100">
        <f t="shared" si="149"/>
        <v>0</v>
      </c>
      <c r="AF483" s="100">
        <f t="shared" si="150"/>
        <v>3</v>
      </c>
      <c r="AG483" s="100">
        <f t="shared" si="151"/>
        <v>3</v>
      </c>
      <c r="AH483" s="100" t="str">
        <f t="shared" si="152"/>
        <v>Correct</v>
      </c>
      <c r="AJ483" s="120" t="str">
        <f>IFERROR(VLOOKUP(Table1[RespondentID],'All Data'!$A$3:$CO$999,87,FALSE),"unknown")</f>
        <v>Woman</v>
      </c>
      <c r="AK483" s="120">
        <f>IFERROR(VLOOKUP(Table1[RespondentID],'All Data'!$A$3:$CO$999,88,FALSE),"unknown")</f>
        <v>50</v>
      </c>
      <c r="AL483" s="120" t="str">
        <f>IFERROR(VLOOKUP(Table1[RespondentID],'All Data'!$A$3:$CO$999,89,FALSE),"unknown")</f>
        <v>Nassau</v>
      </c>
      <c r="AM483" s="120" t="str">
        <f>IFERROR(VLOOKUP(Table1[RespondentID],'All Data'!$A$3:$CO$999,90,FALSE),"unknown")</f>
        <v>New Hyde Park, 11040</v>
      </c>
      <c r="AN483" s="120" t="str">
        <f>IFERROR(VLOOKUP(Table1[RespondentID],'All Data'!$A$3:$CO$999,91,FALSE),"unknown")</f>
        <v>Asian</v>
      </c>
      <c r="AO483" s="120" t="str">
        <f>IFERROR(VLOOKUP(Table1[RespondentID],'All Data'!$A$3:$CO$999,92,FALSE),"unknown")</f>
        <v>Not Hispanic or Latino</v>
      </c>
      <c r="AP483" s="120" t="str">
        <f>IFERROR(VLOOKUP(Table1[RespondentID],'All Data'!$A$3:$CO$999,93,FALSE),"unknown")</f>
        <v>English,Chinese</v>
      </c>
      <c r="AQ483" s="120" t="str">
        <f>IFERROR(VLOOKUP(Table1[RespondentID],'All Data'!$A$3:$CW$999,94,FALSE),"unknown")</f>
        <v>Over $125,000</v>
      </c>
      <c r="AR483" s="120" t="str">
        <f>IFERROR(VLOOKUP(Table1[RespondentID],'All Data'!$A$3:$CW$999,95,FALSE),"unknown")</f>
        <v>College graduate</v>
      </c>
      <c r="AS483" s="120" t="str">
        <f>IFERROR(VLOOKUP(Table1[RespondentID],'All Data'!$A$3:$CW$999,96,FALSE),"unknown")</f>
        <v>Employed for wages</v>
      </c>
      <c r="AT483" s="120" t="str">
        <f>IFERROR(VLOOKUP(Table1[RespondentID],'All Data'!$A$3:$CW$999,97,FALSE),"unknown")</f>
        <v>Yes</v>
      </c>
      <c r="AU483" s="120" t="str">
        <f>IFERROR(VLOOKUP(Table1[RespondentID],'All Data'!$A$3:$CW$999,98,FALSE),"unknown")</f>
        <v>Private/Commercial</v>
      </c>
      <c r="AV483" s="120" t="str">
        <f>IFERROR(VLOOKUP(Table1[RespondentID],'All Data'!$A$3:$CW$999,99,FALSE),"unknown")</f>
        <v>Yes</v>
      </c>
    </row>
    <row r="484" spans="1:48">
      <c r="A484" s="5">
        <v>18031748123</v>
      </c>
      <c r="B484" s="160" t="s">
        <v>38</v>
      </c>
      <c r="C484" s="124"/>
      <c r="D484" s="124"/>
      <c r="E484" s="124"/>
      <c r="F484" s="124"/>
      <c r="G484" s="124"/>
      <c r="H484" s="124"/>
      <c r="I484" s="124"/>
      <c r="J484" s="124"/>
      <c r="K484" s="124"/>
      <c r="L484" s="124"/>
      <c r="M484" s="124"/>
      <c r="N484" s="124"/>
      <c r="O484" s="100">
        <f t="shared" si="136"/>
        <v>1</v>
      </c>
      <c r="P484" s="100">
        <f t="shared" si="137"/>
        <v>3</v>
      </c>
      <c r="R484" s="100">
        <f t="shared" si="138"/>
        <v>1</v>
      </c>
      <c r="S484" s="100">
        <f t="shared" si="139"/>
        <v>0</v>
      </c>
      <c r="T484" s="100">
        <f t="shared" si="140"/>
        <v>0</v>
      </c>
      <c r="U484" s="100">
        <f t="shared" si="141"/>
        <v>0</v>
      </c>
      <c r="V484" s="100">
        <f t="shared" si="142"/>
        <v>0</v>
      </c>
      <c r="W484" s="100">
        <f t="shared" si="143"/>
        <v>0</v>
      </c>
      <c r="X484" s="100">
        <f t="shared" si="144"/>
        <v>0</v>
      </c>
      <c r="Y484" s="100">
        <f t="shared" si="145"/>
        <v>0</v>
      </c>
      <c r="Z484" s="100">
        <f t="shared" si="146"/>
        <v>0</v>
      </c>
      <c r="AA484" s="100">
        <f t="shared" si="147"/>
        <v>0</v>
      </c>
      <c r="AB484" s="100">
        <f t="shared" si="148"/>
        <v>0</v>
      </c>
      <c r="AC484" s="100">
        <f t="shared" si="149"/>
        <v>0</v>
      </c>
      <c r="AF484" s="100">
        <f t="shared" si="150"/>
        <v>1</v>
      </c>
      <c r="AG484" s="100">
        <f t="shared" si="151"/>
        <v>1</v>
      </c>
      <c r="AH484" s="100" t="str">
        <f t="shared" si="152"/>
        <v>Correct</v>
      </c>
      <c r="AJ484" s="120" t="str">
        <f>IFERROR(VLOOKUP(Table1[RespondentID],'All Data'!$A$3:$CO$999,87,FALSE),"unknown")</f>
        <v>Woman</v>
      </c>
      <c r="AK484" s="120">
        <f>IFERROR(VLOOKUP(Table1[RespondentID],'All Data'!$A$3:$CO$999,88,FALSE),"unknown")</f>
        <v>81</v>
      </c>
      <c r="AL484" s="120" t="str">
        <f>IFERROR(VLOOKUP(Table1[RespondentID],'All Data'!$A$3:$CO$999,89,FALSE),"unknown")</f>
        <v>Nassau</v>
      </c>
      <c r="AM484" s="120" t="str">
        <f>IFERROR(VLOOKUP(Table1[RespondentID],'All Data'!$A$3:$CO$999,90,FALSE),"unknown")</f>
        <v>Manhasset, 11030</v>
      </c>
      <c r="AN484" s="120" t="str">
        <f>IFERROR(VLOOKUP(Table1[RespondentID],'All Data'!$A$3:$CO$999,91,FALSE),"unknown")</f>
        <v>Black or African American</v>
      </c>
      <c r="AO484" s="120" t="str">
        <f>IFERROR(VLOOKUP(Table1[RespondentID],'All Data'!$A$3:$CO$999,92,FALSE),"unknown")</f>
        <v>Not Hispanic or Latino</v>
      </c>
      <c r="AP484" s="120" t="str">
        <f>IFERROR(VLOOKUP(Table1[RespondentID],'All Data'!$A$3:$CO$999,93,FALSE),"unknown")</f>
        <v>English</v>
      </c>
      <c r="AQ484" s="120">
        <f>IFERROR(VLOOKUP(Table1[RespondentID],'All Data'!$A$3:$CW$999,94,FALSE),"unknown")</f>
        <v>0</v>
      </c>
      <c r="AR484" s="120" t="str">
        <f>IFERROR(VLOOKUP(Table1[RespondentID],'All Data'!$A$3:$CW$999,95,FALSE),"unknown")</f>
        <v>High school graduate</v>
      </c>
      <c r="AS484" s="120" t="str">
        <f>IFERROR(VLOOKUP(Table1[RespondentID],'All Data'!$A$3:$CW$999,96,FALSE),"unknown")</f>
        <v>Retired</v>
      </c>
      <c r="AT484" s="120" t="str">
        <f>IFERROR(VLOOKUP(Table1[RespondentID],'All Data'!$A$3:$CW$999,97,FALSE),"unknown")</f>
        <v>Yes</v>
      </c>
      <c r="AU484" s="120" t="str">
        <f>IFERROR(VLOOKUP(Table1[RespondentID],'All Data'!$A$3:$CW$999,98,FALSE),"unknown")</f>
        <v>Medicare</v>
      </c>
      <c r="AV484" s="120" t="str">
        <f>IFERROR(VLOOKUP(Table1[RespondentID],'All Data'!$A$3:$CW$999,99,FALSE),"unknown")</f>
        <v>No</v>
      </c>
    </row>
    <row r="485" spans="1:48">
      <c r="A485" s="5">
        <v>18031747963</v>
      </c>
      <c r="B485" s="160"/>
      <c r="C485" s="124"/>
      <c r="D485" s="124"/>
      <c r="E485" s="124"/>
      <c r="F485" s="124"/>
      <c r="G485" s="124"/>
      <c r="H485" s="124" t="s">
        <v>43</v>
      </c>
      <c r="I485" s="124"/>
      <c r="J485" s="124" t="s">
        <v>45</v>
      </c>
      <c r="K485" s="124"/>
      <c r="L485" s="124"/>
      <c r="M485" s="124"/>
      <c r="N485" s="124"/>
      <c r="O485" s="100">
        <f t="shared" si="136"/>
        <v>2</v>
      </c>
      <c r="P485" s="100">
        <f t="shared" si="137"/>
        <v>1.5</v>
      </c>
      <c r="R485" s="100">
        <f t="shared" si="138"/>
        <v>0</v>
      </c>
      <c r="S485" s="100">
        <f t="shared" si="139"/>
        <v>0</v>
      </c>
      <c r="T485" s="100">
        <f t="shared" si="140"/>
        <v>0</v>
      </c>
      <c r="U485" s="100">
        <f t="shared" si="141"/>
        <v>0</v>
      </c>
      <c r="V485" s="100">
        <f t="shared" si="142"/>
        <v>0</v>
      </c>
      <c r="W485" s="100">
        <f t="shared" si="143"/>
        <v>0</v>
      </c>
      <c r="X485" s="100">
        <f t="shared" si="144"/>
        <v>1</v>
      </c>
      <c r="Y485" s="100">
        <f t="shared" si="145"/>
        <v>0</v>
      </c>
      <c r="Z485" s="100">
        <f t="shared" si="146"/>
        <v>1</v>
      </c>
      <c r="AA485" s="100">
        <f t="shared" si="147"/>
        <v>0</v>
      </c>
      <c r="AB485" s="100">
        <f t="shared" si="148"/>
        <v>0</v>
      </c>
      <c r="AC485" s="100">
        <f t="shared" si="149"/>
        <v>0</v>
      </c>
      <c r="AF485" s="100">
        <f t="shared" si="150"/>
        <v>2</v>
      </c>
      <c r="AG485" s="100">
        <f t="shared" si="151"/>
        <v>2</v>
      </c>
      <c r="AH485" s="100" t="str">
        <f t="shared" si="152"/>
        <v>Correct</v>
      </c>
      <c r="AJ485" s="120" t="str">
        <f>IFERROR(VLOOKUP(Table1[RespondentID],'All Data'!$A$3:$CO$999,87,FALSE),"unknown")</f>
        <v>Man</v>
      </c>
      <c r="AK485" s="120">
        <f>IFERROR(VLOOKUP(Table1[RespondentID],'All Data'!$A$3:$CO$999,88,FALSE),"unknown")</f>
        <v>79</v>
      </c>
      <c r="AL485" s="120">
        <f>IFERROR(VLOOKUP(Table1[RespondentID],'All Data'!$A$3:$CO$999,89,FALSE),"unknown")</f>
        <v>0</v>
      </c>
      <c r="AM485" s="120">
        <f>IFERROR(VLOOKUP(Table1[RespondentID],'All Data'!$A$3:$CO$999,90,FALSE),"unknown")</f>
        <v>0</v>
      </c>
      <c r="AN485" s="120" t="str">
        <f>IFERROR(VLOOKUP(Table1[RespondentID],'All Data'!$A$3:$CO$999,91,FALSE),"unknown")</f>
        <v>White</v>
      </c>
      <c r="AO485" s="120" t="str">
        <f>IFERROR(VLOOKUP(Table1[RespondentID],'All Data'!$A$3:$CO$999,92,FALSE),"unknown")</f>
        <v>Not Hispanic or Latino</v>
      </c>
      <c r="AP485" s="120" t="str">
        <f>IFERROR(VLOOKUP(Table1[RespondentID],'All Data'!$A$3:$CO$999,93,FALSE),"unknown")</f>
        <v>English</v>
      </c>
      <c r="AQ485" s="120" t="str">
        <f>IFERROR(VLOOKUP(Table1[RespondentID],'All Data'!$A$3:$CW$999,94,FALSE),"unknown")</f>
        <v>$75,000 to $125,000</v>
      </c>
      <c r="AR485" s="120" t="str">
        <f>IFERROR(VLOOKUP(Table1[RespondentID],'All Data'!$A$3:$CW$999,95,FALSE),"unknown")</f>
        <v>College graduate</v>
      </c>
      <c r="AS485" s="120" t="str">
        <f>IFERROR(VLOOKUP(Table1[RespondentID],'All Data'!$A$3:$CW$999,96,FALSE),"unknown")</f>
        <v>Retired</v>
      </c>
      <c r="AT485" s="120" t="str">
        <f>IFERROR(VLOOKUP(Table1[RespondentID],'All Data'!$A$3:$CW$999,97,FALSE),"unknown")</f>
        <v>Yes</v>
      </c>
      <c r="AU485" s="120" t="str">
        <f>IFERROR(VLOOKUP(Table1[RespondentID],'All Data'!$A$3:$CW$999,98,FALSE),"unknown")</f>
        <v>Medicare</v>
      </c>
      <c r="AV485" s="120" t="str">
        <f>IFERROR(VLOOKUP(Table1[RespondentID],'All Data'!$A$3:$CW$999,99,FALSE),"unknown")</f>
        <v>Yes</v>
      </c>
    </row>
    <row r="486" spans="1:48">
      <c r="A486" s="5">
        <v>18031747878</v>
      </c>
      <c r="B486" s="160"/>
      <c r="C486" s="124"/>
      <c r="D486" s="124"/>
      <c r="E486" s="124"/>
      <c r="F486" s="124" t="s">
        <v>42</v>
      </c>
      <c r="G486" s="124"/>
      <c r="H486" s="124"/>
      <c r="I486" s="124"/>
      <c r="J486" s="124" t="s">
        <v>45</v>
      </c>
      <c r="K486" s="124"/>
      <c r="L486" s="124"/>
      <c r="M486" s="124" t="s">
        <v>48</v>
      </c>
      <c r="N486" s="124"/>
      <c r="O486" s="100">
        <f t="shared" si="136"/>
        <v>3</v>
      </c>
      <c r="P486" s="100">
        <f t="shared" si="137"/>
        <v>1</v>
      </c>
      <c r="R486" s="100">
        <f t="shared" si="138"/>
        <v>0</v>
      </c>
      <c r="S486" s="100">
        <f t="shared" si="139"/>
        <v>0</v>
      </c>
      <c r="T486" s="100">
        <f t="shared" si="140"/>
        <v>0</v>
      </c>
      <c r="U486" s="100">
        <f t="shared" si="141"/>
        <v>0</v>
      </c>
      <c r="V486" s="100">
        <f t="shared" si="142"/>
        <v>1</v>
      </c>
      <c r="W486" s="100">
        <f t="shared" si="143"/>
        <v>0</v>
      </c>
      <c r="X486" s="100">
        <f t="shared" si="144"/>
        <v>0</v>
      </c>
      <c r="Y486" s="100">
        <f t="shared" si="145"/>
        <v>0</v>
      </c>
      <c r="Z486" s="100">
        <f t="shared" si="146"/>
        <v>1</v>
      </c>
      <c r="AA486" s="100">
        <f t="shared" si="147"/>
        <v>0</v>
      </c>
      <c r="AB486" s="100">
        <f t="shared" si="148"/>
        <v>0</v>
      </c>
      <c r="AC486" s="100">
        <f t="shared" si="149"/>
        <v>1</v>
      </c>
      <c r="AF486" s="100">
        <f t="shared" si="150"/>
        <v>3</v>
      </c>
      <c r="AG486" s="100">
        <f t="shared" si="151"/>
        <v>3</v>
      </c>
      <c r="AH486" s="100" t="str">
        <f t="shared" si="152"/>
        <v>Correct</v>
      </c>
      <c r="AJ486" s="120" t="str">
        <f>IFERROR(VLOOKUP(Table1[RespondentID],'All Data'!$A$3:$CO$999,87,FALSE),"unknown")</f>
        <v>Woman</v>
      </c>
      <c r="AK486" s="120">
        <f>IFERROR(VLOOKUP(Table1[RespondentID],'All Data'!$A$3:$CO$999,88,FALSE),"unknown")</f>
        <v>86</v>
      </c>
      <c r="AL486" s="120" t="str">
        <f>IFERROR(VLOOKUP(Table1[RespondentID],'All Data'!$A$3:$CO$999,89,FALSE),"unknown")</f>
        <v>Nassau</v>
      </c>
      <c r="AM486" s="120" t="str">
        <f>IFERROR(VLOOKUP(Table1[RespondentID],'All Data'!$A$3:$CO$999,90,FALSE),"unknown")</f>
        <v>New Hyde Park, 11040</v>
      </c>
      <c r="AN486" s="120" t="str">
        <f>IFERROR(VLOOKUP(Table1[RespondentID],'All Data'!$A$3:$CO$999,91,FALSE),"unknown")</f>
        <v>White</v>
      </c>
      <c r="AO486" s="120" t="str">
        <f>IFERROR(VLOOKUP(Table1[RespondentID],'All Data'!$A$3:$CO$999,92,FALSE),"unknown")</f>
        <v>Not Hispanic or Latino</v>
      </c>
      <c r="AP486" s="120" t="str">
        <f>IFERROR(VLOOKUP(Table1[RespondentID],'All Data'!$A$3:$CO$999,93,FALSE),"unknown")</f>
        <v>English</v>
      </c>
      <c r="AQ486" s="120">
        <f>IFERROR(VLOOKUP(Table1[RespondentID],'All Data'!$A$3:$CW$999,94,FALSE),"unknown")</f>
        <v>0</v>
      </c>
      <c r="AR486" s="120" t="str">
        <f>IFERROR(VLOOKUP(Table1[RespondentID],'All Data'!$A$3:$CW$999,95,FALSE),"unknown")</f>
        <v>High school graduate</v>
      </c>
      <c r="AS486" s="120" t="str">
        <f>IFERROR(VLOOKUP(Table1[RespondentID],'All Data'!$A$3:$CW$999,96,FALSE),"unknown")</f>
        <v>Retired</v>
      </c>
      <c r="AT486" s="120" t="str">
        <f>IFERROR(VLOOKUP(Table1[RespondentID],'All Data'!$A$3:$CW$999,97,FALSE),"unknown")</f>
        <v>Yes</v>
      </c>
      <c r="AU486" s="120" t="str">
        <f>IFERROR(VLOOKUP(Table1[RespondentID],'All Data'!$A$3:$CW$999,98,FALSE),"unknown")</f>
        <v>Medicare</v>
      </c>
      <c r="AV486" s="120" t="str">
        <f>IFERROR(VLOOKUP(Table1[RespondentID],'All Data'!$A$3:$CW$999,99,FALSE),"unknown")</f>
        <v>No</v>
      </c>
    </row>
    <row r="487" spans="1:48">
      <c r="A487" s="5">
        <v>18031747796</v>
      </c>
      <c r="B487" s="160"/>
      <c r="C487" s="124"/>
      <c r="D487" s="124"/>
      <c r="E487" s="124"/>
      <c r="F487" s="124" t="s">
        <v>42</v>
      </c>
      <c r="G487" s="124" t="s">
        <v>37</v>
      </c>
      <c r="H487" s="124"/>
      <c r="I487" s="124"/>
      <c r="J487" s="124"/>
      <c r="K487" s="124" t="s">
        <v>46</v>
      </c>
      <c r="L487" s="124"/>
      <c r="M487" s="124"/>
      <c r="N487" s="124"/>
      <c r="O487" s="100">
        <f t="shared" si="136"/>
        <v>3</v>
      </c>
      <c r="P487" s="100">
        <f t="shared" si="137"/>
        <v>1</v>
      </c>
      <c r="R487" s="100">
        <f t="shared" si="138"/>
        <v>0</v>
      </c>
      <c r="S487" s="100">
        <f t="shared" si="139"/>
        <v>0</v>
      </c>
      <c r="T487" s="100">
        <f t="shared" si="140"/>
        <v>0</v>
      </c>
      <c r="U487" s="100">
        <f t="shared" si="141"/>
        <v>0</v>
      </c>
      <c r="V487" s="100">
        <f t="shared" si="142"/>
        <v>1</v>
      </c>
      <c r="W487" s="100">
        <f t="shared" si="143"/>
        <v>1</v>
      </c>
      <c r="X487" s="100">
        <f t="shared" si="144"/>
        <v>0</v>
      </c>
      <c r="Y487" s="100">
        <f t="shared" si="145"/>
        <v>0</v>
      </c>
      <c r="Z487" s="100">
        <f t="shared" si="146"/>
        <v>0</v>
      </c>
      <c r="AA487" s="100">
        <f t="shared" si="147"/>
        <v>1</v>
      </c>
      <c r="AB487" s="100">
        <f t="shared" si="148"/>
        <v>0</v>
      </c>
      <c r="AC487" s="100">
        <f t="shared" si="149"/>
        <v>0</v>
      </c>
      <c r="AF487" s="100">
        <f t="shared" si="150"/>
        <v>3</v>
      </c>
      <c r="AG487" s="100">
        <f t="shared" si="151"/>
        <v>3</v>
      </c>
      <c r="AH487" s="100" t="str">
        <f t="shared" si="152"/>
        <v>Correct</v>
      </c>
      <c r="AJ487" s="120" t="str">
        <f>IFERROR(VLOOKUP(Table1[RespondentID],'All Data'!$A$3:$CO$999,87,FALSE),"unknown")</f>
        <v>Man</v>
      </c>
      <c r="AK487" s="120">
        <f>IFERROR(VLOOKUP(Table1[RespondentID],'All Data'!$A$3:$CO$999,88,FALSE),"unknown")</f>
        <v>56</v>
      </c>
      <c r="AL487" s="120" t="str">
        <f>IFERROR(VLOOKUP(Table1[RespondentID],'All Data'!$A$3:$CO$999,89,FALSE),"unknown")</f>
        <v>Nassau</v>
      </c>
      <c r="AM487" s="120" t="str">
        <f>IFERROR(VLOOKUP(Table1[RespondentID],'All Data'!$A$3:$CO$999,90,FALSE),"unknown")</f>
        <v>Manhasset, 11030</v>
      </c>
      <c r="AN487" s="120" t="str">
        <f>IFERROR(VLOOKUP(Table1[RespondentID],'All Data'!$A$3:$CO$999,91,FALSE),"unknown")</f>
        <v>White</v>
      </c>
      <c r="AO487" s="120" t="str">
        <f>IFERROR(VLOOKUP(Table1[RespondentID],'All Data'!$A$3:$CO$999,92,FALSE),"unknown")</f>
        <v>Not Hispanic or Latino</v>
      </c>
      <c r="AP487" s="120" t="str">
        <f>IFERROR(VLOOKUP(Table1[RespondentID],'All Data'!$A$3:$CO$999,93,FALSE),"unknown")</f>
        <v>English</v>
      </c>
      <c r="AQ487" s="120" t="str">
        <f>IFERROR(VLOOKUP(Table1[RespondentID],'All Data'!$A$3:$CW$999,94,FALSE),"unknown")</f>
        <v>$0-$19,999</v>
      </c>
      <c r="AR487" s="120" t="str">
        <f>IFERROR(VLOOKUP(Table1[RespondentID],'All Data'!$A$3:$CW$999,95,FALSE),"unknown")</f>
        <v>Some college</v>
      </c>
      <c r="AS487" s="120" t="str">
        <f>IFERROR(VLOOKUP(Table1[RespondentID],'All Data'!$A$3:$CW$999,96,FALSE),"unknown")</f>
        <v>Out of work, but not currently looking</v>
      </c>
      <c r="AT487" s="120" t="str">
        <f>IFERROR(VLOOKUP(Table1[RespondentID],'All Data'!$A$3:$CW$999,97,FALSE),"unknown")</f>
        <v>Yes</v>
      </c>
      <c r="AU487" s="120" t="str">
        <f>IFERROR(VLOOKUP(Table1[RespondentID],'All Data'!$A$3:$CW$999,98,FALSE),"unknown")</f>
        <v>Medicaid</v>
      </c>
      <c r="AV487" s="120" t="str">
        <f>IFERROR(VLOOKUP(Table1[RespondentID],'All Data'!$A$3:$CW$999,99,FALSE),"unknown")</f>
        <v>No</v>
      </c>
    </row>
    <row r="488" spans="1:48">
      <c r="A488" s="5">
        <v>18031747661</v>
      </c>
      <c r="B488" s="160"/>
      <c r="C488" s="124"/>
      <c r="D488" s="124"/>
      <c r="E488" s="124" t="s">
        <v>41</v>
      </c>
      <c r="F488" s="124"/>
      <c r="G488" s="124"/>
      <c r="H488" s="124"/>
      <c r="I488" s="124"/>
      <c r="J488" s="124"/>
      <c r="K488" s="124"/>
      <c r="L488" s="124"/>
      <c r="M488" s="124"/>
      <c r="N488" s="124"/>
      <c r="O488" s="100">
        <f t="shared" si="136"/>
        <v>1</v>
      </c>
      <c r="P488" s="100">
        <f t="shared" si="137"/>
        <v>3</v>
      </c>
      <c r="R488" s="100">
        <f t="shared" si="138"/>
        <v>0</v>
      </c>
      <c r="S488" s="100">
        <f t="shared" si="139"/>
        <v>0</v>
      </c>
      <c r="T488" s="100">
        <f t="shared" si="140"/>
        <v>0</v>
      </c>
      <c r="U488" s="100">
        <f t="shared" si="141"/>
        <v>1</v>
      </c>
      <c r="V488" s="100">
        <f t="shared" si="142"/>
        <v>0</v>
      </c>
      <c r="W488" s="100">
        <f t="shared" si="143"/>
        <v>0</v>
      </c>
      <c r="X488" s="100">
        <f t="shared" si="144"/>
        <v>0</v>
      </c>
      <c r="Y488" s="100">
        <f t="shared" si="145"/>
        <v>0</v>
      </c>
      <c r="Z488" s="100">
        <f t="shared" si="146"/>
        <v>0</v>
      </c>
      <c r="AA488" s="100">
        <f t="shared" si="147"/>
        <v>0</v>
      </c>
      <c r="AB488" s="100">
        <f t="shared" si="148"/>
        <v>0</v>
      </c>
      <c r="AC488" s="100">
        <f t="shared" si="149"/>
        <v>0</v>
      </c>
      <c r="AF488" s="100">
        <f t="shared" si="150"/>
        <v>1</v>
      </c>
      <c r="AG488" s="100">
        <f t="shared" si="151"/>
        <v>1</v>
      </c>
      <c r="AH488" s="100" t="str">
        <f t="shared" si="152"/>
        <v>Correct</v>
      </c>
      <c r="AJ488" s="120" t="str">
        <f>IFERROR(VLOOKUP(Table1[RespondentID],'All Data'!$A$3:$CO$999,87,FALSE),"unknown")</f>
        <v>Woman</v>
      </c>
      <c r="AK488" s="120">
        <f>IFERROR(VLOOKUP(Table1[RespondentID],'All Data'!$A$3:$CO$999,88,FALSE),"unknown")</f>
        <v>62</v>
      </c>
      <c r="AL488" s="120" t="str">
        <f>IFERROR(VLOOKUP(Table1[RespondentID],'All Data'!$A$3:$CO$999,89,FALSE),"unknown")</f>
        <v>Nassau</v>
      </c>
      <c r="AM488" s="120" t="str">
        <f>IFERROR(VLOOKUP(Table1[RespondentID],'All Data'!$A$3:$CO$999,90,FALSE),"unknown")</f>
        <v>Franklin Square, 11010</v>
      </c>
      <c r="AN488" s="120" t="str">
        <f>IFERROR(VLOOKUP(Table1[RespondentID],'All Data'!$A$3:$CO$999,91,FALSE),"unknown")</f>
        <v>White</v>
      </c>
      <c r="AO488" s="120">
        <f>IFERROR(VLOOKUP(Table1[RespondentID],'All Data'!$A$3:$CO$999,92,FALSE),"unknown")</f>
        <v>0</v>
      </c>
      <c r="AP488" s="120" t="str">
        <f>IFERROR(VLOOKUP(Table1[RespondentID],'All Data'!$A$3:$CO$999,93,FALSE),"unknown")</f>
        <v>English</v>
      </c>
      <c r="AQ488" s="120" t="str">
        <f>IFERROR(VLOOKUP(Table1[RespondentID],'All Data'!$A$3:$CW$999,94,FALSE),"unknown")</f>
        <v>$75,000 to $125,000</v>
      </c>
      <c r="AR488" s="120" t="str">
        <f>IFERROR(VLOOKUP(Table1[RespondentID],'All Data'!$A$3:$CW$999,95,FALSE),"unknown")</f>
        <v>High school graduate</v>
      </c>
      <c r="AS488" s="120" t="str">
        <f>IFERROR(VLOOKUP(Table1[RespondentID],'All Data'!$A$3:$CW$999,96,FALSE),"unknown")</f>
        <v>Employed for wages</v>
      </c>
      <c r="AT488" s="120" t="str">
        <f>IFERROR(VLOOKUP(Table1[RespondentID],'All Data'!$A$3:$CW$999,97,FALSE),"unknown")</f>
        <v>Yes</v>
      </c>
      <c r="AU488" s="120" t="str">
        <f>IFERROR(VLOOKUP(Table1[RespondentID],'All Data'!$A$3:$CW$999,98,FALSE),"unknown")</f>
        <v>Private/Commercial</v>
      </c>
      <c r="AV488" s="120" t="str">
        <f>IFERROR(VLOOKUP(Table1[RespondentID],'All Data'!$A$3:$CW$999,99,FALSE),"unknown")</f>
        <v>Yes</v>
      </c>
    </row>
    <row r="489" spans="1:48">
      <c r="A489" s="5">
        <v>18031747461</v>
      </c>
      <c r="B489" s="160" t="s">
        <v>38</v>
      </c>
      <c r="C489" s="124"/>
      <c r="D489" s="124"/>
      <c r="E489" s="124"/>
      <c r="F489" s="124"/>
      <c r="G489" s="124"/>
      <c r="H489" s="124"/>
      <c r="I489" s="124"/>
      <c r="J489" s="124"/>
      <c r="K489" s="124"/>
      <c r="L489" s="124"/>
      <c r="M489" s="124"/>
      <c r="N489" s="124"/>
      <c r="O489" s="100">
        <f t="shared" si="136"/>
        <v>1</v>
      </c>
      <c r="P489" s="100">
        <f t="shared" si="137"/>
        <v>3</v>
      </c>
      <c r="R489" s="100">
        <f t="shared" si="138"/>
        <v>1</v>
      </c>
      <c r="S489" s="100">
        <f t="shared" si="139"/>
        <v>0</v>
      </c>
      <c r="T489" s="100">
        <f t="shared" si="140"/>
        <v>0</v>
      </c>
      <c r="U489" s="100">
        <f t="shared" si="141"/>
        <v>0</v>
      </c>
      <c r="V489" s="100">
        <f t="shared" si="142"/>
        <v>0</v>
      </c>
      <c r="W489" s="100">
        <f t="shared" si="143"/>
        <v>0</v>
      </c>
      <c r="X489" s="100">
        <f t="shared" si="144"/>
        <v>0</v>
      </c>
      <c r="Y489" s="100">
        <f t="shared" si="145"/>
        <v>0</v>
      </c>
      <c r="Z489" s="100">
        <f t="shared" si="146"/>
        <v>0</v>
      </c>
      <c r="AA489" s="100">
        <f t="shared" si="147"/>
        <v>0</v>
      </c>
      <c r="AB489" s="100">
        <f t="shared" si="148"/>
        <v>0</v>
      </c>
      <c r="AC489" s="100">
        <f t="shared" si="149"/>
        <v>0</v>
      </c>
      <c r="AF489" s="100">
        <f t="shared" si="150"/>
        <v>1</v>
      </c>
      <c r="AG489" s="100">
        <f t="shared" si="151"/>
        <v>1</v>
      </c>
      <c r="AH489" s="100" t="str">
        <f t="shared" si="152"/>
        <v>Correct</v>
      </c>
      <c r="AJ489" s="120">
        <f>IFERROR(VLOOKUP(Table1[RespondentID],'All Data'!$A$3:$CO$999,87,FALSE),"unknown")</f>
        <v>0</v>
      </c>
      <c r="AK489" s="120">
        <f>IFERROR(VLOOKUP(Table1[RespondentID],'All Data'!$A$3:$CO$999,88,FALSE),"unknown")</f>
        <v>0</v>
      </c>
      <c r="AL489" s="120" t="str">
        <f>IFERROR(VLOOKUP(Table1[RespondentID],'All Data'!$A$3:$CO$999,89,FALSE),"unknown")</f>
        <v>Suffolk</v>
      </c>
      <c r="AM489" s="120" t="str">
        <f>IFERROR(VLOOKUP(Table1[RespondentID],'All Data'!$A$3:$CO$999,90,FALSE),"unknown")</f>
        <v>Centerport, 11721</v>
      </c>
      <c r="AN489" s="120" t="str">
        <f>IFERROR(VLOOKUP(Table1[RespondentID],'All Data'!$A$3:$CO$999,91,FALSE),"unknown")</f>
        <v>White</v>
      </c>
      <c r="AO489" s="120">
        <f>IFERROR(VLOOKUP(Table1[RespondentID],'All Data'!$A$3:$CO$999,92,FALSE),"unknown")</f>
        <v>0</v>
      </c>
      <c r="AP489" s="120" t="str">
        <f>IFERROR(VLOOKUP(Table1[RespondentID],'All Data'!$A$3:$CO$999,93,FALSE),"unknown")</f>
        <v>English</v>
      </c>
      <c r="AQ489" s="120">
        <f>IFERROR(VLOOKUP(Table1[RespondentID],'All Data'!$A$3:$CW$999,94,FALSE),"unknown")</f>
        <v>0</v>
      </c>
      <c r="AR489" s="120" t="str">
        <f>IFERROR(VLOOKUP(Table1[RespondentID],'All Data'!$A$3:$CW$999,95,FALSE),"unknown")</f>
        <v>College graduate</v>
      </c>
      <c r="AS489" s="120" t="str">
        <f>IFERROR(VLOOKUP(Table1[RespondentID],'All Data'!$A$3:$CW$999,96,FALSE),"unknown")</f>
        <v>Out of work and looking for work</v>
      </c>
      <c r="AT489" s="120" t="str">
        <f>IFERROR(VLOOKUP(Table1[RespondentID],'All Data'!$A$3:$CW$999,97,FALSE),"unknown")</f>
        <v>Yes</v>
      </c>
      <c r="AU489" s="120">
        <f>IFERROR(VLOOKUP(Table1[RespondentID],'All Data'!$A$3:$CW$999,98,FALSE),"unknown")</f>
        <v>0</v>
      </c>
      <c r="AV489" s="120" t="str">
        <f>IFERROR(VLOOKUP(Table1[RespondentID],'All Data'!$A$3:$CW$999,99,FALSE),"unknown")</f>
        <v>Yes</v>
      </c>
    </row>
    <row r="490" spans="1:48">
      <c r="A490" s="5">
        <v>18031747331</v>
      </c>
      <c r="B490" s="160"/>
      <c r="C490" s="124"/>
      <c r="D490" s="124"/>
      <c r="E490" s="124"/>
      <c r="F490" s="124"/>
      <c r="G490" s="124" t="s">
        <v>37</v>
      </c>
      <c r="H490" s="124" t="s">
        <v>43</v>
      </c>
      <c r="I490" s="124"/>
      <c r="J490" s="124"/>
      <c r="K490" s="124"/>
      <c r="L490" s="124"/>
      <c r="M490" s="124"/>
      <c r="N490" s="124"/>
      <c r="O490" s="100">
        <f t="shared" si="136"/>
        <v>2</v>
      </c>
      <c r="P490" s="100">
        <f t="shared" si="137"/>
        <v>1.5</v>
      </c>
      <c r="R490" s="100">
        <f t="shared" si="138"/>
        <v>0</v>
      </c>
      <c r="S490" s="100">
        <f t="shared" si="139"/>
        <v>0</v>
      </c>
      <c r="T490" s="100">
        <f t="shared" si="140"/>
        <v>0</v>
      </c>
      <c r="U490" s="100">
        <f t="shared" si="141"/>
        <v>0</v>
      </c>
      <c r="V490" s="100">
        <f t="shared" si="142"/>
        <v>0</v>
      </c>
      <c r="W490" s="100">
        <f t="shared" si="143"/>
        <v>1</v>
      </c>
      <c r="X490" s="100">
        <f t="shared" si="144"/>
        <v>1</v>
      </c>
      <c r="Y490" s="100">
        <f t="shared" si="145"/>
        <v>0</v>
      </c>
      <c r="Z490" s="100">
        <f t="shared" si="146"/>
        <v>0</v>
      </c>
      <c r="AA490" s="100">
        <f t="shared" si="147"/>
        <v>0</v>
      </c>
      <c r="AB490" s="100">
        <f t="shared" si="148"/>
        <v>0</v>
      </c>
      <c r="AC490" s="100">
        <f t="shared" si="149"/>
        <v>0</v>
      </c>
      <c r="AF490" s="100">
        <f t="shared" si="150"/>
        <v>2</v>
      </c>
      <c r="AG490" s="100">
        <f t="shared" si="151"/>
        <v>2</v>
      </c>
      <c r="AH490" s="100" t="str">
        <f t="shared" si="152"/>
        <v>Correct</v>
      </c>
      <c r="AJ490" s="120" t="str">
        <f>IFERROR(VLOOKUP(Table1[RespondentID],'All Data'!$A$3:$CO$999,87,FALSE),"unknown")</f>
        <v>Woman</v>
      </c>
      <c r="AK490" s="120">
        <f>IFERROR(VLOOKUP(Table1[RespondentID],'All Data'!$A$3:$CO$999,88,FALSE),"unknown")</f>
        <v>69</v>
      </c>
      <c r="AL490" s="120" t="str">
        <f>IFERROR(VLOOKUP(Table1[RespondentID],'All Data'!$A$3:$CO$999,89,FALSE),"unknown")</f>
        <v>Nassau</v>
      </c>
      <c r="AM490" s="120" t="str">
        <f>IFERROR(VLOOKUP(Table1[RespondentID],'All Data'!$A$3:$CO$999,90,FALSE),"unknown")</f>
        <v>Bellerose Terrace, 11001</v>
      </c>
      <c r="AN490" s="120" t="str">
        <f>IFERROR(VLOOKUP(Table1[RespondentID],'All Data'!$A$3:$CO$999,91,FALSE),"unknown")</f>
        <v>White</v>
      </c>
      <c r="AO490" s="120" t="str">
        <f>IFERROR(VLOOKUP(Table1[RespondentID],'All Data'!$A$3:$CO$999,92,FALSE),"unknown")</f>
        <v>Not Hispanic or Latino</v>
      </c>
      <c r="AP490" s="120" t="str">
        <f>IFERROR(VLOOKUP(Table1[RespondentID],'All Data'!$A$3:$CO$999,93,FALSE),"unknown")</f>
        <v>English</v>
      </c>
      <c r="AQ490" s="120" t="str">
        <f>IFERROR(VLOOKUP(Table1[RespondentID],'All Data'!$A$3:$CW$999,94,FALSE),"unknown")</f>
        <v>$35,000 to $49,999</v>
      </c>
      <c r="AR490" s="120" t="str">
        <f>IFERROR(VLOOKUP(Table1[RespondentID],'All Data'!$A$3:$CW$999,95,FALSE),"unknown")</f>
        <v>Graduate school</v>
      </c>
      <c r="AS490" s="120" t="str">
        <f>IFERROR(VLOOKUP(Table1[RespondentID],'All Data'!$A$3:$CW$999,96,FALSE),"unknown")</f>
        <v>Retired</v>
      </c>
      <c r="AT490" s="120" t="str">
        <f>IFERROR(VLOOKUP(Table1[RespondentID],'All Data'!$A$3:$CW$999,97,FALSE),"unknown")</f>
        <v>Yes</v>
      </c>
      <c r="AU490" s="120" t="str">
        <f>IFERROR(VLOOKUP(Table1[RespondentID],'All Data'!$A$3:$CW$999,98,FALSE),"unknown")</f>
        <v>Medicare</v>
      </c>
      <c r="AV490" s="120" t="str">
        <f>IFERROR(VLOOKUP(Table1[RespondentID],'All Data'!$A$3:$CW$999,99,FALSE),"unknown")</f>
        <v>Yes</v>
      </c>
    </row>
    <row r="491" spans="1:48">
      <c r="A491" s="5">
        <v>18031747137</v>
      </c>
      <c r="B491" s="160"/>
      <c r="C491" s="124"/>
      <c r="D491" s="124"/>
      <c r="E491" s="124"/>
      <c r="F491" s="124"/>
      <c r="G491" s="124"/>
      <c r="H491" s="124"/>
      <c r="I491" s="124"/>
      <c r="J491" s="124" t="s">
        <v>45</v>
      </c>
      <c r="K491" s="124"/>
      <c r="L491" s="124" t="s">
        <v>47</v>
      </c>
      <c r="M491" s="124"/>
      <c r="N491" s="124"/>
      <c r="O491" s="100">
        <f t="shared" si="136"/>
        <v>2</v>
      </c>
      <c r="P491" s="100">
        <f t="shared" si="137"/>
        <v>1.5</v>
      </c>
      <c r="R491" s="100">
        <f t="shared" si="138"/>
        <v>0</v>
      </c>
      <c r="S491" s="100">
        <f t="shared" si="139"/>
        <v>0</v>
      </c>
      <c r="T491" s="100">
        <f t="shared" si="140"/>
        <v>0</v>
      </c>
      <c r="U491" s="100">
        <f t="shared" si="141"/>
        <v>0</v>
      </c>
      <c r="V491" s="100">
        <f t="shared" si="142"/>
        <v>0</v>
      </c>
      <c r="W491" s="100">
        <f t="shared" si="143"/>
        <v>0</v>
      </c>
      <c r="X491" s="100">
        <f t="shared" si="144"/>
        <v>0</v>
      </c>
      <c r="Y491" s="100">
        <f t="shared" si="145"/>
        <v>0</v>
      </c>
      <c r="Z491" s="100">
        <f t="shared" si="146"/>
        <v>1</v>
      </c>
      <c r="AA491" s="100">
        <f t="shared" si="147"/>
        <v>0</v>
      </c>
      <c r="AB491" s="100">
        <f t="shared" si="148"/>
        <v>1</v>
      </c>
      <c r="AC491" s="100">
        <f t="shared" si="149"/>
        <v>0</v>
      </c>
      <c r="AF491" s="100">
        <f t="shared" si="150"/>
        <v>2</v>
      </c>
      <c r="AG491" s="100">
        <f t="shared" si="151"/>
        <v>2</v>
      </c>
      <c r="AH491" s="100" t="str">
        <f t="shared" si="152"/>
        <v>Correct</v>
      </c>
      <c r="AJ491" s="120" t="str">
        <f>IFERROR(VLOOKUP(Table1[RespondentID],'All Data'!$A$3:$CO$999,87,FALSE),"unknown")</f>
        <v>Man</v>
      </c>
      <c r="AK491" s="120">
        <f>IFERROR(VLOOKUP(Table1[RespondentID],'All Data'!$A$3:$CO$999,88,FALSE),"unknown")</f>
        <v>57</v>
      </c>
      <c r="AL491" s="120" t="str">
        <f>IFERROR(VLOOKUP(Table1[RespondentID],'All Data'!$A$3:$CO$999,89,FALSE),"unknown")</f>
        <v>Nassau</v>
      </c>
      <c r="AM491" s="120" t="str">
        <f>IFERROR(VLOOKUP(Table1[RespondentID],'All Data'!$A$3:$CO$999,90,FALSE),"unknown")</f>
        <v>Floral Park, 11001</v>
      </c>
      <c r="AN491" s="120" t="str">
        <f>IFERROR(VLOOKUP(Table1[RespondentID],'All Data'!$A$3:$CO$999,91,FALSE),"unknown")</f>
        <v>White</v>
      </c>
      <c r="AO491" s="120" t="str">
        <f>IFERROR(VLOOKUP(Table1[RespondentID],'All Data'!$A$3:$CO$999,92,FALSE),"unknown")</f>
        <v>Not Hispanic or Latino</v>
      </c>
      <c r="AP491" s="120" t="str">
        <f>IFERROR(VLOOKUP(Table1[RespondentID],'All Data'!$A$3:$CO$999,93,FALSE),"unknown")</f>
        <v>English</v>
      </c>
      <c r="AQ491" s="120" t="str">
        <f>IFERROR(VLOOKUP(Table1[RespondentID],'All Data'!$A$3:$CW$999,94,FALSE),"unknown")</f>
        <v>$75,000 to $125,000</v>
      </c>
      <c r="AR491" s="120" t="str">
        <f>IFERROR(VLOOKUP(Table1[RespondentID],'All Data'!$A$3:$CW$999,95,FALSE),"unknown")</f>
        <v>High school graduate</v>
      </c>
      <c r="AS491" s="120" t="str">
        <f>IFERROR(VLOOKUP(Table1[RespondentID],'All Data'!$A$3:$CW$999,96,FALSE),"unknown")</f>
        <v>Retired</v>
      </c>
      <c r="AT491" s="120" t="str">
        <f>IFERROR(VLOOKUP(Table1[RespondentID],'All Data'!$A$3:$CW$999,97,FALSE),"unknown")</f>
        <v>Yes</v>
      </c>
      <c r="AU491" s="120" t="str">
        <f>IFERROR(VLOOKUP(Table1[RespondentID],'All Data'!$A$3:$CW$999,98,FALSE),"unknown")</f>
        <v>Private/Commercial</v>
      </c>
      <c r="AV491" s="120" t="str">
        <f>IFERROR(VLOOKUP(Table1[RespondentID],'All Data'!$A$3:$CW$999,99,FALSE),"unknown")</f>
        <v>Yes</v>
      </c>
    </row>
    <row r="492" spans="1:48">
      <c r="A492" s="5">
        <v>18031747033</v>
      </c>
      <c r="B492" s="160"/>
      <c r="C492" s="124"/>
      <c r="D492" s="124"/>
      <c r="E492" s="124" t="s">
        <v>41</v>
      </c>
      <c r="F492" s="124"/>
      <c r="G492" s="124"/>
      <c r="H492" s="124"/>
      <c r="I492" s="124"/>
      <c r="J492" s="124"/>
      <c r="K492" s="124" t="s">
        <v>46</v>
      </c>
      <c r="L492" s="124"/>
      <c r="M492" s="124"/>
      <c r="N492" s="124"/>
      <c r="O492" s="100">
        <f t="shared" si="136"/>
        <v>2</v>
      </c>
      <c r="P492" s="100">
        <f t="shared" si="137"/>
        <v>1.5</v>
      </c>
      <c r="R492" s="100">
        <f t="shared" si="138"/>
        <v>0</v>
      </c>
      <c r="S492" s="100">
        <f t="shared" si="139"/>
        <v>0</v>
      </c>
      <c r="T492" s="100">
        <f t="shared" si="140"/>
        <v>0</v>
      </c>
      <c r="U492" s="100">
        <f t="shared" si="141"/>
        <v>1</v>
      </c>
      <c r="V492" s="100">
        <f t="shared" si="142"/>
        <v>0</v>
      </c>
      <c r="W492" s="100">
        <f t="shared" si="143"/>
        <v>0</v>
      </c>
      <c r="X492" s="100">
        <f t="shared" si="144"/>
        <v>0</v>
      </c>
      <c r="Y492" s="100">
        <f t="shared" si="145"/>
        <v>0</v>
      </c>
      <c r="Z492" s="100">
        <f t="shared" si="146"/>
        <v>0</v>
      </c>
      <c r="AA492" s="100">
        <f t="shared" si="147"/>
        <v>1</v>
      </c>
      <c r="AB492" s="100">
        <f t="shared" si="148"/>
        <v>0</v>
      </c>
      <c r="AC492" s="100">
        <f t="shared" si="149"/>
        <v>0</v>
      </c>
      <c r="AF492" s="100">
        <f t="shared" si="150"/>
        <v>2</v>
      </c>
      <c r="AG492" s="100">
        <f t="shared" si="151"/>
        <v>2</v>
      </c>
      <c r="AH492" s="100" t="str">
        <f t="shared" si="152"/>
        <v>Correct</v>
      </c>
      <c r="AJ492" s="120" t="str">
        <f>IFERROR(VLOOKUP(Table1[RespondentID],'All Data'!$A$3:$CO$999,87,FALSE),"unknown")</f>
        <v>Woman</v>
      </c>
      <c r="AK492" s="120">
        <f>IFERROR(VLOOKUP(Table1[RespondentID],'All Data'!$A$3:$CO$999,88,FALSE),"unknown")</f>
        <v>56</v>
      </c>
      <c r="AL492" s="120" t="str">
        <f>IFERROR(VLOOKUP(Table1[RespondentID],'All Data'!$A$3:$CO$999,89,FALSE),"unknown")</f>
        <v>Nassau</v>
      </c>
      <c r="AM492" s="120" t="str">
        <f>IFERROR(VLOOKUP(Table1[RespondentID],'All Data'!$A$3:$CO$999,90,FALSE),"unknown")</f>
        <v>Floral Park, 11002</v>
      </c>
      <c r="AN492" s="120">
        <f>IFERROR(VLOOKUP(Table1[RespondentID],'All Data'!$A$3:$CO$999,91,FALSE),"unknown")</f>
        <v>0</v>
      </c>
      <c r="AO492" s="120" t="str">
        <f>IFERROR(VLOOKUP(Table1[RespondentID],'All Data'!$A$3:$CO$999,92,FALSE),"unknown")</f>
        <v>Hispanic or Latino</v>
      </c>
      <c r="AP492" s="120" t="str">
        <f>IFERROR(VLOOKUP(Table1[RespondentID],'All Data'!$A$3:$CO$999,93,FALSE),"unknown")</f>
        <v>English,Spanish</v>
      </c>
      <c r="AQ492" s="120" t="str">
        <f>IFERROR(VLOOKUP(Table1[RespondentID],'All Data'!$A$3:$CW$999,94,FALSE),"unknown")</f>
        <v>$75,000 to $125,000</v>
      </c>
      <c r="AR492" s="120" t="str">
        <f>IFERROR(VLOOKUP(Table1[RespondentID],'All Data'!$A$3:$CW$999,95,FALSE),"unknown")</f>
        <v>College graduate</v>
      </c>
      <c r="AS492" s="120" t="str">
        <f>IFERROR(VLOOKUP(Table1[RespondentID],'All Data'!$A$3:$CW$999,96,FALSE),"unknown")</f>
        <v>Employed for wages</v>
      </c>
      <c r="AT492" s="120" t="str">
        <f>IFERROR(VLOOKUP(Table1[RespondentID],'All Data'!$A$3:$CW$999,97,FALSE),"unknown")</f>
        <v>Yes</v>
      </c>
      <c r="AU492" s="120" t="str">
        <f>IFERROR(VLOOKUP(Table1[RespondentID],'All Data'!$A$3:$CW$999,98,FALSE),"unknown")</f>
        <v>Private/Commercial</v>
      </c>
      <c r="AV492" s="120" t="str">
        <f>IFERROR(VLOOKUP(Table1[RespondentID],'All Data'!$A$3:$CW$999,99,FALSE),"unknown")</f>
        <v>Yes</v>
      </c>
    </row>
    <row r="493" spans="1:48">
      <c r="A493" s="5">
        <v>18031743094</v>
      </c>
      <c r="B493" s="160"/>
      <c r="C493" s="124"/>
      <c r="D493" s="124"/>
      <c r="E493" s="124"/>
      <c r="F493" s="124"/>
      <c r="G493" s="124"/>
      <c r="H493" s="124" t="s">
        <v>43</v>
      </c>
      <c r="I493" s="124"/>
      <c r="J493" s="124"/>
      <c r="K493" s="124" t="s">
        <v>46</v>
      </c>
      <c r="L493" s="124" t="s">
        <v>47</v>
      </c>
      <c r="M493" s="124"/>
      <c r="N493" s="124"/>
      <c r="O493" s="100">
        <f t="shared" si="136"/>
        <v>3</v>
      </c>
      <c r="P493" s="100">
        <f t="shared" si="137"/>
        <v>1</v>
      </c>
      <c r="R493" s="100">
        <f t="shared" si="138"/>
        <v>0</v>
      </c>
      <c r="S493" s="100">
        <f t="shared" si="139"/>
        <v>0</v>
      </c>
      <c r="T493" s="100">
        <f t="shared" si="140"/>
        <v>0</v>
      </c>
      <c r="U493" s="100">
        <f t="shared" si="141"/>
        <v>0</v>
      </c>
      <c r="V493" s="100">
        <f t="shared" si="142"/>
        <v>0</v>
      </c>
      <c r="W493" s="100">
        <f t="shared" si="143"/>
        <v>0</v>
      </c>
      <c r="X493" s="100">
        <f t="shared" si="144"/>
        <v>1</v>
      </c>
      <c r="Y493" s="100">
        <f t="shared" si="145"/>
        <v>0</v>
      </c>
      <c r="Z493" s="100">
        <f t="shared" si="146"/>
        <v>0</v>
      </c>
      <c r="AA493" s="100">
        <f t="shared" si="147"/>
        <v>1</v>
      </c>
      <c r="AB493" s="100">
        <f t="shared" si="148"/>
        <v>1</v>
      </c>
      <c r="AC493" s="100">
        <f t="shared" si="149"/>
        <v>0</v>
      </c>
      <c r="AF493" s="100">
        <f t="shared" si="150"/>
        <v>3</v>
      </c>
      <c r="AG493" s="100">
        <f t="shared" si="151"/>
        <v>3</v>
      </c>
      <c r="AH493" s="100" t="str">
        <f t="shared" si="152"/>
        <v>Correct</v>
      </c>
      <c r="AJ493" s="120" t="str">
        <f>IFERROR(VLOOKUP(Table1[RespondentID],'All Data'!$A$3:$CO$999,87,FALSE),"unknown")</f>
        <v>Man</v>
      </c>
      <c r="AK493" s="120">
        <f>IFERROR(VLOOKUP(Table1[RespondentID],'All Data'!$A$3:$CO$999,88,FALSE),"unknown")</f>
        <v>78</v>
      </c>
      <c r="AL493" s="120" t="str">
        <f>IFERROR(VLOOKUP(Table1[RespondentID],'All Data'!$A$3:$CO$999,89,FALSE),"unknown")</f>
        <v>Suffolk</v>
      </c>
      <c r="AM493" s="120" t="str">
        <f>IFERROR(VLOOKUP(Table1[RespondentID],'All Data'!$A$3:$CO$999,90,FALSE),"unknown")</f>
        <v>Coram, 11727</v>
      </c>
      <c r="AN493" s="120" t="str">
        <f>IFERROR(VLOOKUP(Table1[RespondentID],'All Data'!$A$3:$CO$999,91,FALSE),"unknown")</f>
        <v>White</v>
      </c>
      <c r="AO493" s="120" t="str">
        <f>IFERROR(VLOOKUP(Table1[RespondentID],'All Data'!$A$3:$CO$999,92,FALSE),"unknown")</f>
        <v>Not Hispanic or Latino</v>
      </c>
      <c r="AP493" s="120" t="str">
        <f>IFERROR(VLOOKUP(Table1[RespondentID],'All Data'!$A$3:$CO$999,93,FALSE),"unknown")</f>
        <v>English,Italian</v>
      </c>
      <c r="AQ493" s="120" t="str">
        <f>IFERROR(VLOOKUP(Table1[RespondentID],'All Data'!$A$3:$CW$999,94,FALSE),"unknown")</f>
        <v>$50,000 to $74,999</v>
      </c>
      <c r="AR493" s="120" t="str">
        <f>IFERROR(VLOOKUP(Table1[RespondentID],'All Data'!$A$3:$CW$999,95,FALSE),"unknown")</f>
        <v>Doctorate</v>
      </c>
      <c r="AS493" s="120" t="str">
        <f>IFERROR(VLOOKUP(Table1[RespondentID],'All Data'!$A$3:$CW$999,96,FALSE),"unknown")</f>
        <v>Retired</v>
      </c>
      <c r="AT493" s="120" t="str">
        <f>IFERROR(VLOOKUP(Table1[RespondentID],'All Data'!$A$3:$CW$999,97,FALSE),"unknown")</f>
        <v>Yes</v>
      </c>
      <c r="AU493" s="120" t="str">
        <f>IFERROR(VLOOKUP(Table1[RespondentID],'All Data'!$A$3:$CW$999,98,FALSE),"unknown")</f>
        <v>Private/Commercial</v>
      </c>
      <c r="AV493" s="120" t="str">
        <f>IFERROR(VLOOKUP(Table1[RespondentID],'All Data'!$A$3:$CW$999,99,FALSE),"unknown")</f>
        <v>Yes</v>
      </c>
    </row>
    <row r="494" spans="1:48">
      <c r="A494" s="5">
        <v>18031732007</v>
      </c>
      <c r="B494" s="160" t="s">
        <v>38</v>
      </c>
      <c r="C494" s="124" t="s">
        <v>39</v>
      </c>
      <c r="D494" s="124"/>
      <c r="E494" s="124"/>
      <c r="F494" s="124"/>
      <c r="G494" s="124"/>
      <c r="H494" s="124" t="s">
        <v>43</v>
      </c>
      <c r="I494" s="124"/>
      <c r="J494" s="124"/>
      <c r="K494" s="124"/>
      <c r="L494" s="124"/>
      <c r="M494" s="124"/>
      <c r="N494" s="124"/>
      <c r="O494" s="100">
        <f t="shared" ref="O494:O525" si="153">COUNTA(B494:N494)</f>
        <v>3</v>
      </c>
      <c r="P494" s="100">
        <f t="shared" ref="P494:P525" si="154">3/O494</f>
        <v>1</v>
      </c>
      <c r="R494" s="100">
        <f t="shared" ref="R494:R530" si="155">IF($O494&lt;3,IF($B494=$B$1,1,0),IF($B494=$B$1,$P494,0))</f>
        <v>1</v>
      </c>
      <c r="S494" s="100">
        <f t="shared" ref="S494:S530" si="156">IF($O494&lt;3,IF($C494=$C$1,1,0),IF($C494=$C$1,$P494,0))</f>
        <v>1</v>
      </c>
      <c r="T494" s="100">
        <f t="shared" ref="T494:T530" si="157">IF($O494&lt;3,IF($D494=$D$1,1,0),IF($D494=$D$1,$P494,0))</f>
        <v>0</v>
      </c>
      <c r="U494" s="100">
        <f t="shared" ref="U494:U530" si="158">IF($O494&lt;3,IF($E494=$E$1,1,0),IF($E494=$E$1,$P494,0))</f>
        <v>0</v>
      </c>
      <c r="V494" s="100">
        <f t="shared" ref="V494:V530" si="159">IF($O494&lt;3,IF($F494=$F$1,1,0),IF($F494=$F$1,$P494,0))</f>
        <v>0</v>
      </c>
      <c r="W494" s="100">
        <f t="shared" ref="W494:W530" si="160">IF($O494&lt;3,IF($G494=$G$1,1,0),IF($G494=$G$1,$P494,0))</f>
        <v>0</v>
      </c>
      <c r="X494" s="100">
        <f t="shared" ref="X494:X530" si="161">IF($O494&lt;3,IF($H494=$H$1,1,0),IF($H494=$H$1,$P494,0))</f>
        <v>1</v>
      </c>
      <c r="Y494" s="100">
        <f t="shared" ref="Y494:Y530" si="162">IF($O494&lt;3,IF($I494=$I$1,1,0),IF($I494=$I$1,$P494,0))</f>
        <v>0</v>
      </c>
      <c r="Z494" s="100">
        <f t="shared" ref="Z494:Z530" si="163">IF($O494&lt;3,IF($J494=$J$1,1,0),IF($J494=$J$1,$P494,0))</f>
        <v>0</v>
      </c>
      <c r="AA494" s="100">
        <f t="shared" ref="AA494:AA530" si="164">IF($O494&lt;3,IF($K494=$K$1,1,0),IF($K494=$K$1,$P494,0))</f>
        <v>0</v>
      </c>
      <c r="AB494" s="100">
        <f t="shared" ref="AB494:AB530" si="165">IF($O494&lt;3,IF($L494=$L$1,1,0),IF($L494=$L$1,$P494,0))</f>
        <v>0</v>
      </c>
      <c r="AC494" s="100">
        <f t="shared" ref="AC494:AC530" si="166">IF($O494&lt;3,IF($M494=$M$1,1,0),IF($M494=$M$1,$P494,0))</f>
        <v>0</v>
      </c>
      <c r="AF494" s="100">
        <f t="shared" ref="AF494:AF530" si="167">SUM(R494:AD494)</f>
        <v>3</v>
      </c>
      <c r="AG494" s="100">
        <f t="shared" ref="AG494:AG530" si="168">O494</f>
        <v>3</v>
      </c>
      <c r="AH494" s="100" t="str">
        <f t="shared" ref="AH494:AH525" si="169">IF(AF494=AG494,"Correct",IF(AF494=3,"Correct","Wrong"))</f>
        <v>Correct</v>
      </c>
      <c r="AJ494" s="120" t="str">
        <f>IFERROR(VLOOKUP(Table1[RespondentID],'All Data'!$A$3:$CO$999,87,FALSE),"unknown")</f>
        <v>Man</v>
      </c>
      <c r="AK494" s="120">
        <f>IFERROR(VLOOKUP(Table1[RespondentID],'All Data'!$A$3:$CO$999,88,FALSE),"unknown")</f>
        <v>26</v>
      </c>
      <c r="AL494" s="120" t="str">
        <f>IFERROR(VLOOKUP(Table1[RespondentID],'All Data'!$A$3:$CO$999,89,FALSE),"unknown")</f>
        <v>Suffolk</v>
      </c>
      <c r="AM494" s="120" t="str">
        <f>IFERROR(VLOOKUP(Table1[RespondentID],'All Data'!$A$3:$CO$999,90,FALSE),"unknown")</f>
        <v>Northport, 11768</v>
      </c>
      <c r="AN494" s="120" t="str">
        <f>IFERROR(VLOOKUP(Table1[RespondentID],'All Data'!$A$3:$CO$999,91,FALSE),"unknown")</f>
        <v>White</v>
      </c>
      <c r="AO494" s="120" t="str">
        <f>IFERROR(VLOOKUP(Table1[RespondentID],'All Data'!$A$3:$CO$999,92,FALSE),"unknown")</f>
        <v>Not Hispanic or Latino</v>
      </c>
      <c r="AP494" s="120" t="str">
        <f>IFERROR(VLOOKUP(Table1[RespondentID],'All Data'!$A$3:$CO$999,93,FALSE),"unknown")</f>
        <v>English</v>
      </c>
      <c r="AQ494" s="120" t="str">
        <f>IFERROR(VLOOKUP(Table1[RespondentID],'All Data'!$A$3:$CW$999,94,FALSE),"unknown")</f>
        <v>$50,000 to $74,999</v>
      </c>
      <c r="AR494" s="120" t="str">
        <f>IFERROR(VLOOKUP(Table1[RespondentID],'All Data'!$A$3:$CW$999,95,FALSE),"unknown")</f>
        <v>Graduate school</v>
      </c>
      <c r="AS494" s="120" t="str">
        <f>IFERROR(VLOOKUP(Table1[RespondentID],'All Data'!$A$3:$CW$999,96,FALSE),"unknown")</f>
        <v>Employed for wages</v>
      </c>
      <c r="AT494" s="120" t="str">
        <f>IFERROR(VLOOKUP(Table1[RespondentID],'All Data'!$A$3:$CW$999,97,FALSE),"unknown")</f>
        <v>Yes</v>
      </c>
      <c r="AU494" s="120" t="str">
        <f>IFERROR(VLOOKUP(Table1[RespondentID],'All Data'!$A$3:$CW$999,98,FALSE),"unknown")</f>
        <v>Private/Commercial</v>
      </c>
      <c r="AV494" s="120" t="str">
        <f>IFERROR(VLOOKUP(Table1[RespondentID],'All Data'!$A$3:$CW$999,99,FALSE),"unknown")</f>
        <v>Yes</v>
      </c>
    </row>
    <row r="495" spans="1:48">
      <c r="A495" s="5">
        <v>18031555405</v>
      </c>
      <c r="B495" s="160"/>
      <c r="C495" s="124" t="s">
        <v>39</v>
      </c>
      <c r="D495" s="124"/>
      <c r="E495" s="124" t="s">
        <v>41</v>
      </c>
      <c r="F495" s="124"/>
      <c r="G495" s="124"/>
      <c r="H495" s="124" t="s">
        <v>43</v>
      </c>
      <c r="I495" s="124" t="s">
        <v>44</v>
      </c>
      <c r="J495" s="124" t="s">
        <v>45</v>
      </c>
      <c r="K495" s="124" t="s">
        <v>46</v>
      </c>
      <c r="L495" s="124" t="s">
        <v>47</v>
      </c>
      <c r="M495" s="124"/>
      <c r="N495" s="124"/>
      <c r="O495" s="100">
        <f t="shared" si="153"/>
        <v>7</v>
      </c>
      <c r="P495" s="100">
        <f t="shared" si="154"/>
        <v>0.42857142857142855</v>
      </c>
      <c r="R495" s="100">
        <f t="shared" si="155"/>
        <v>0</v>
      </c>
      <c r="S495" s="100">
        <f t="shared" si="156"/>
        <v>0.42857142857142855</v>
      </c>
      <c r="T495" s="100">
        <f t="shared" si="157"/>
        <v>0</v>
      </c>
      <c r="U495" s="100">
        <f t="shared" si="158"/>
        <v>0.42857142857142855</v>
      </c>
      <c r="V495" s="100">
        <f t="shared" si="159"/>
        <v>0</v>
      </c>
      <c r="W495" s="100">
        <f t="shared" si="160"/>
        <v>0</v>
      </c>
      <c r="X495" s="100">
        <f t="shared" si="161"/>
        <v>0.42857142857142855</v>
      </c>
      <c r="Y495" s="100">
        <f t="shared" si="162"/>
        <v>0.42857142857142855</v>
      </c>
      <c r="Z495" s="100">
        <f t="shared" si="163"/>
        <v>0.42857142857142855</v>
      </c>
      <c r="AA495" s="100">
        <f t="shared" si="164"/>
        <v>0.42857142857142855</v>
      </c>
      <c r="AB495" s="100">
        <f t="shared" si="165"/>
        <v>0.42857142857142855</v>
      </c>
      <c r="AC495" s="100">
        <f t="shared" si="166"/>
        <v>0</v>
      </c>
      <c r="AF495" s="100">
        <f t="shared" si="167"/>
        <v>2.9999999999999996</v>
      </c>
      <c r="AG495" s="100">
        <f t="shared" si="168"/>
        <v>7</v>
      </c>
      <c r="AH495" s="100" t="str">
        <f t="shared" si="169"/>
        <v>Correct</v>
      </c>
      <c r="AJ495" s="120" t="str">
        <f>IFERROR(VLOOKUP(Table1[RespondentID],'All Data'!$A$3:$CO$999,87,FALSE),"unknown")</f>
        <v>Woman</v>
      </c>
      <c r="AK495" s="120">
        <f>IFERROR(VLOOKUP(Table1[RespondentID],'All Data'!$A$3:$CO$999,88,FALSE),"unknown")</f>
        <v>16</v>
      </c>
      <c r="AL495" s="120" t="str">
        <f>IFERROR(VLOOKUP(Table1[RespondentID],'All Data'!$A$3:$CO$999,89,FALSE),"unknown")</f>
        <v>Suffolk</v>
      </c>
      <c r="AM495" s="120" t="str">
        <f>IFERROR(VLOOKUP(Table1[RespondentID],'All Data'!$A$3:$CO$999,90,FALSE),"unknown")</f>
        <v>Port Jefferson Station, 11776</v>
      </c>
      <c r="AN495" s="120">
        <f>IFERROR(VLOOKUP(Table1[RespondentID],'All Data'!$A$3:$CO$999,91,FALSE),"unknown")</f>
        <v>0</v>
      </c>
      <c r="AO495" s="120" t="str">
        <f>IFERROR(VLOOKUP(Table1[RespondentID],'All Data'!$A$3:$CO$999,92,FALSE),"unknown")</f>
        <v>Hispanic or Latino</v>
      </c>
      <c r="AP495" s="120" t="str">
        <f>IFERROR(VLOOKUP(Table1[RespondentID],'All Data'!$A$3:$CO$999,93,FALSE),"unknown")</f>
        <v>English,Spanish</v>
      </c>
      <c r="AQ495" s="120" t="str">
        <f>IFERROR(VLOOKUP(Table1[RespondentID],'All Data'!$A$3:$CW$999,94,FALSE),"unknown")</f>
        <v>$0-$19,999</v>
      </c>
      <c r="AR495" s="120" t="str">
        <f>IFERROR(VLOOKUP(Table1[RespondentID],'All Data'!$A$3:$CW$999,95,FALSE),"unknown")</f>
        <v>Some high school</v>
      </c>
      <c r="AS495" s="120" t="str">
        <f>IFERROR(VLOOKUP(Table1[RespondentID],'All Data'!$A$3:$CW$999,96,FALSE),"unknown")</f>
        <v>Out of work and looking for work</v>
      </c>
      <c r="AT495" s="120" t="str">
        <f>IFERROR(VLOOKUP(Table1[RespondentID],'All Data'!$A$3:$CW$999,97,FALSE),"unknown")</f>
        <v>Yes</v>
      </c>
      <c r="AU495" s="120" t="str">
        <f>IFERROR(VLOOKUP(Table1[RespondentID],'All Data'!$A$3:$CW$999,98,FALSE),"unknown")</f>
        <v>Medicaid</v>
      </c>
      <c r="AV495" s="120" t="str">
        <f>IFERROR(VLOOKUP(Table1[RespondentID],'All Data'!$A$3:$CW$999,99,FALSE),"unknown")</f>
        <v>Yes</v>
      </c>
    </row>
    <row r="496" spans="1:48">
      <c r="A496" s="5">
        <v>18031341675</v>
      </c>
      <c r="B496" s="160" t="s">
        <v>38</v>
      </c>
      <c r="C496" s="124" t="s">
        <v>39</v>
      </c>
      <c r="D496" s="124"/>
      <c r="E496" s="124"/>
      <c r="F496" s="124"/>
      <c r="G496" s="124"/>
      <c r="H496" s="124" t="s">
        <v>43</v>
      </c>
      <c r="I496" s="124" t="s">
        <v>44</v>
      </c>
      <c r="J496" s="124" t="s">
        <v>45</v>
      </c>
      <c r="K496" s="124" t="s">
        <v>46</v>
      </c>
      <c r="L496" s="124" t="s">
        <v>47</v>
      </c>
      <c r="M496" s="124" t="s">
        <v>48</v>
      </c>
      <c r="N496" s="124"/>
      <c r="O496" s="100">
        <f t="shared" si="153"/>
        <v>8</v>
      </c>
      <c r="P496" s="100">
        <f t="shared" si="154"/>
        <v>0.375</v>
      </c>
      <c r="R496" s="100">
        <f t="shared" si="155"/>
        <v>0.375</v>
      </c>
      <c r="S496" s="100">
        <f t="shared" si="156"/>
        <v>0.375</v>
      </c>
      <c r="T496" s="100">
        <f t="shared" si="157"/>
        <v>0</v>
      </c>
      <c r="U496" s="100">
        <f t="shared" si="158"/>
        <v>0</v>
      </c>
      <c r="V496" s="100">
        <f t="shared" si="159"/>
        <v>0</v>
      </c>
      <c r="W496" s="100">
        <f t="shared" si="160"/>
        <v>0</v>
      </c>
      <c r="X496" s="100">
        <f t="shared" si="161"/>
        <v>0.375</v>
      </c>
      <c r="Y496" s="100">
        <f t="shared" si="162"/>
        <v>0.375</v>
      </c>
      <c r="Z496" s="100">
        <f t="shared" si="163"/>
        <v>0.375</v>
      </c>
      <c r="AA496" s="100">
        <f t="shared" si="164"/>
        <v>0.375</v>
      </c>
      <c r="AB496" s="100">
        <f t="shared" si="165"/>
        <v>0.375</v>
      </c>
      <c r="AC496" s="100">
        <f t="shared" si="166"/>
        <v>0.375</v>
      </c>
      <c r="AF496" s="100">
        <f t="shared" si="167"/>
        <v>3</v>
      </c>
      <c r="AG496" s="100">
        <f t="shared" si="168"/>
        <v>8</v>
      </c>
      <c r="AH496" s="100" t="str">
        <f t="shared" si="169"/>
        <v>Correct</v>
      </c>
      <c r="AJ496" s="120" t="str">
        <f>IFERROR(VLOOKUP(Table1[RespondentID],'All Data'!$A$3:$CO$999,87,FALSE),"unknown")</f>
        <v>Woman</v>
      </c>
      <c r="AK496" s="120">
        <f>IFERROR(VLOOKUP(Table1[RespondentID],'All Data'!$A$3:$CO$999,88,FALSE),"unknown")</f>
        <v>28</v>
      </c>
      <c r="AL496" s="120" t="str">
        <f>IFERROR(VLOOKUP(Table1[RespondentID],'All Data'!$A$3:$CO$999,89,FALSE),"unknown")</f>
        <v>Nassau</v>
      </c>
      <c r="AM496" s="120" t="str">
        <f>IFERROR(VLOOKUP(Table1[RespondentID],'All Data'!$A$3:$CO$999,90,FALSE),"unknown")</f>
        <v>Albertson, 11507</v>
      </c>
      <c r="AN496" s="120" t="str">
        <f>IFERROR(VLOOKUP(Table1[RespondentID],'All Data'!$A$3:$CO$999,91,FALSE),"unknown")</f>
        <v>White</v>
      </c>
      <c r="AO496" s="120" t="str">
        <f>IFERROR(VLOOKUP(Table1[RespondentID],'All Data'!$A$3:$CO$999,92,FALSE),"unknown")</f>
        <v>Not Hispanic or Latino</v>
      </c>
      <c r="AP496" s="120" t="str">
        <f>IFERROR(VLOOKUP(Table1[RespondentID],'All Data'!$A$3:$CO$999,93,FALSE),"unknown")</f>
        <v>English</v>
      </c>
      <c r="AQ496" s="120" t="str">
        <f>IFERROR(VLOOKUP(Table1[RespondentID],'All Data'!$A$3:$CW$999,94,FALSE),"unknown")</f>
        <v>$0-$19,999</v>
      </c>
      <c r="AR496" s="120" t="str">
        <f>IFERROR(VLOOKUP(Table1[RespondentID],'All Data'!$A$3:$CW$999,95,FALSE),"unknown")</f>
        <v>Doctorate</v>
      </c>
      <c r="AS496" s="120" t="str">
        <f>IFERROR(VLOOKUP(Table1[RespondentID],'All Data'!$A$3:$CW$999,96,FALSE),"unknown")</f>
        <v>Employed for wages</v>
      </c>
      <c r="AT496" s="120" t="str">
        <f>IFERROR(VLOOKUP(Table1[RespondentID],'All Data'!$A$3:$CW$999,97,FALSE),"unknown")</f>
        <v>Yes</v>
      </c>
      <c r="AU496" s="120" t="str">
        <f>IFERROR(VLOOKUP(Table1[RespondentID],'All Data'!$A$3:$CW$999,98,FALSE),"unknown")</f>
        <v>Medicaid,Private/Commercial</v>
      </c>
      <c r="AV496" s="120" t="str">
        <f>IFERROR(VLOOKUP(Table1[RespondentID],'All Data'!$A$3:$CW$999,99,FALSE),"unknown")</f>
        <v>Yes</v>
      </c>
    </row>
    <row r="497" spans="1:48">
      <c r="A497" s="5">
        <v>18029657257</v>
      </c>
      <c r="B497" s="160"/>
      <c r="C497" s="124"/>
      <c r="D497" s="124"/>
      <c r="E497" s="124"/>
      <c r="F497" s="124"/>
      <c r="G497" s="124"/>
      <c r="H497" s="124"/>
      <c r="I497" s="124"/>
      <c r="J497" s="124"/>
      <c r="K497" s="124"/>
      <c r="L497" s="124"/>
      <c r="M497" s="124"/>
      <c r="N497" s="124"/>
      <c r="O497" s="100">
        <f t="shared" si="153"/>
        <v>0</v>
      </c>
      <c r="P497" s="100" t="e">
        <f t="shared" si="154"/>
        <v>#DIV/0!</v>
      </c>
      <c r="R497" s="100">
        <f t="shared" si="155"/>
        <v>0</v>
      </c>
      <c r="S497" s="100">
        <f t="shared" si="156"/>
        <v>0</v>
      </c>
      <c r="T497" s="100">
        <f t="shared" si="157"/>
        <v>0</v>
      </c>
      <c r="U497" s="100">
        <f t="shared" si="158"/>
        <v>0</v>
      </c>
      <c r="V497" s="100">
        <f t="shared" si="159"/>
        <v>0</v>
      </c>
      <c r="W497" s="100">
        <f t="shared" si="160"/>
        <v>0</v>
      </c>
      <c r="X497" s="100">
        <f t="shared" si="161"/>
        <v>0</v>
      </c>
      <c r="Y497" s="100">
        <f t="shared" si="162"/>
        <v>0</v>
      </c>
      <c r="Z497" s="100">
        <f t="shared" si="163"/>
        <v>0</v>
      </c>
      <c r="AA497" s="100">
        <f t="shared" si="164"/>
        <v>0</v>
      </c>
      <c r="AB497" s="100">
        <f t="shared" si="165"/>
        <v>0</v>
      </c>
      <c r="AC497" s="100">
        <f t="shared" si="166"/>
        <v>0</v>
      </c>
      <c r="AF497" s="100">
        <f t="shared" si="167"/>
        <v>0</v>
      </c>
      <c r="AG497" s="100">
        <f t="shared" si="168"/>
        <v>0</v>
      </c>
      <c r="AH497" s="100" t="str">
        <f t="shared" si="169"/>
        <v>Correct</v>
      </c>
      <c r="AJ497" s="120" t="str">
        <f>IFERROR(VLOOKUP(Table1[RespondentID],'All Data'!$A$3:$CO$999,87,FALSE),"unknown")</f>
        <v>Woman</v>
      </c>
      <c r="AK497" s="120">
        <f>IFERROR(VLOOKUP(Table1[RespondentID],'All Data'!$A$3:$CO$999,88,FALSE),"unknown")</f>
        <v>43</v>
      </c>
      <c r="AL497" s="120" t="str">
        <f>IFERROR(VLOOKUP(Table1[RespondentID],'All Data'!$A$3:$CO$999,89,FALSE),"unknown")</f>
        <v>Nassau</v>
      </c>
      <c r="AM497" s="120" t="str">
        <f>IFERROR(VLOOKUP(Table1[RespondentID],'All Data'!$A$3:$CO$999,90,FALSE),"unknown")</f>
        <v>Woodsburgh, 11598</v>
      </c>
      <c r="AN497" s="120">
        <f>IFERROR(VLOOKUP(Table1[RespondentID],'All Data'!$A$3:$CO$999,91,FALSE),"unknown")</f>
        <v>0</v>
      </c>
      <c r="AO497" s="120">
        <f>IFERROR(VLOOKUP(Table1[RespondentID],'All Data'!$A$3:$CO$999,92,FALSE),"unknown")</f>
        <v>0</v>
      </c>
      <c r="AP497" s="120">
        <f>IFERROR(VLOOKUP(Table1[RespondentID],'All Data'!$A$3:$CO$999,93,FALSE),"unknown")</f>
        <v>0</v>
      </c>
      <c r="AQ497" s="120">
        <f>IFERROR(VLOOKUP(Table1[RespondentID],'All Data'!$A$3:$CW$999,94,FALSE),"unknown")</f>
        <v>0</v>
      </c>
      <c r="AR497" s="120">
        <f>IFERROR(VLOOKUP(Table1[RespondentID],'All Data'!$A$3:$CW$999,95,FALSE),"unknown")</f>
        <v>0</v>
      </c>
      <c r="AS497" s="120">
        <f>IFERROR(VLOOKUP(Table1[RespondentID],'All Data'!$A$3:$CW$999,96,FALSE),"unknown")</f>
        <v>0</v>
      </c>
      <c r="AT497" s="120">
        <f>IFERROR(VLOOKUP(Table1[RespondentID],'All Data'!$A$3:$CW$999,97,FALSE),"unknown")</f>
        <v>0</v>
      </c>
      <c r="AU497" s="120">
        <f>IFERROR(VLOOKUP(Table1[RespondentID],'All Data'!$A$3:$CW$999,98,FALSE),"unknown")</f>
        <v>0</v>
      </c>
      <c r="AV497" s="120">
        <f>IFERROR(VLOOKUP(Table1[RespondentID],'All Data'!$A$3:$CW$999,99,FALSE),"unknown")</f>
        <v>0</v>
      </c>
    </row>
    <row r="498" spans="1:48">
      <c r="A498" s="5">
        <v>18029332229</v>
      </c>
      <c r="B498" s="160"/>
      <c r="C498" s="124" t="s">
        <v>39</v>
      </c>
      <c r="D498" s="124"/>
      <c r="E498" s="124" t="s">
        <v>41</v>
      </c>
      <c r="F498" s="124"/>
      <c r="G498" s="124"/>
      <c r="H498" s="124"/>
      <c r="I498" s="124"/>
      <c r="J498" s="124"/>
      <c r="K498" s="124"/>
      <c r="L498" s="124"/>
      <c r="M498" s="124" t="s">
        <v>48</v>
      </c>
      <c r="N498" s="124"/>
      <c r="O498" s="100">
        <f t="shared" si="153"/>
        <v>3</v>
      </c>
      <c r="P498" s="100">
        <f t="shared" si="154"/>
        <v>1</v>
      </c>
      <c r="R498" s="100">
        <f t="shared" si="155"/>
        <v>0</v>
      </c>
      <c r="S498" s="100">
        <f t="shared" si="156"/>
        <v>1</v>
      </c>
      <c r="T498" s="100">
        <f t="shared" si="157"/>
        <v>0</v>
      </c>
      <c r="U498" s="100">
        <f t="shared" si="158"/>
        <v>1</v>
      </c>
      <c r="V498" s="100">
        <f t="shared" si="159"/>
        <v>0</v>
      </c>
      <c r="W498" s="100">
        <f t="shared" si="160"/>
        <v>0</v>
      </c>
      <c r="X498" s="100">
        <f t="shared" si="161"/>
        <v>0</v>
      </c>
      <c r="Y498" s="100">
        <f t="shared" si="162"/>
        <v>0</v>
      </c>
      <c r="Z498" s="100">
        <f t="shared" si="163"/>
        <v>0</v>
      </c>
      <c r="AA498" s="100">
        <f t="shared" si="164"/>
        <v>0</v>
      </c>
      <c r="AB498" s="100">
        <f t="shared" si="165"/>
        <v>0</v>
      </c>
      <c r="AC498" s="100">
        <f t="shared" si="166"/>
        <v>1</v>
      </c>
      <c r="AF498" s="100">
        <f t="shared" si="167"/>
        <v>3</v>
      </c>
      <c r="AG498" s="100">
        <f t="shared" si="168"/>
        <v>3</v>
      </c>
      <c r="AH498" s="100" t="str">
        <f t="shared" si="169"/>
        <v>Correct</v>
      </c>
      <c r="AJ498" s="120" t="str">
        <f>IFERROR(VLOOKUP(Table1[RespondentID],'All Data'!$A$3:$CO$999,87,FALSE),"unknown")</f>
        <v>Man</v>
      </c>
      <c r="AK498" s="120">
        <f>IFERROR(VLOOKUP(Table1[RespondentID],'All Data'!$A$3:$CO$999,88,FALSE),"unknown")</f>
        <v>65</v>
      </c>
      <c r="AL498" s="120" t="str">
        <f>IFERROR(VLOOKUP(Table1[RespondentID],'All Data'!$A$3:$CO$999,89,FALSE),"unknown")</f>
        <v>Nassau</v>
      </c>
      <c r="AM498" s="120" t="str">
        <f>IFERROR(VLOOKUP(Table1[RespondentID],'All Data'!$A$3:$CO$999,90,FALSE),"unknown")</f>
        <v>Bellmore, 11710</v>
      </c>
      <c r="AN498" s="120" t="str">
        <f>IFERROR(VLOOKUP(Table1[RespondentID],'All Data'!$A$3:$CO$999,91,FALSE),"unknown")</f>
        <v>Two or more races</v>
      </c>
      <c r="AO498" s="120">
        <f>IFERROR(VLOOKUP(Table1[RespondentID],'All Data'!$A$3:$CO$999,92,FALSE),"unknown")</f>
        <v>0</v>
      </c>
      <c r="AP498" s="120" t="str">
        <f>IFERROR(VLOOKUP(Table1[RespondentID],'All Data'!$A$3:$CO$999,93,FALSE),"unknown")</f>
        <v>English</v>
      </c>
      <c r="AQ498" s="120" t="str">
        <f>IFERROR(VLOOKUP(Table1[RespondentID],'All Data'!$A$3:$CW$999,94,FALSE),"unknown")</f>
        <v>Over $125,000</v>
      </c>
      <c r="AR498" s="120" t="str">
        <f>IFERROR(VLOOKUP(Table1[RespondentID],'All Data'!$A$3:$CW$999,95,FALSE),"unknown")</f>
        <v>College graduate</v>
      </c>
      <c r="AS498" s="120" t="str">
        <f>IFERROR(VLOOKUP(Table1[RespondentID],'All Data'!$A$3:$CW$999,96,FALSE),"unknown")</f>
        <v>Employed for wages</v>
      </c>
      <c r="AT498" s="120" t="str">
        <f>IFERROR(VLOOKUP(Table1[RespondentID],'All Data'!$A$3:$CW$999,97,FALSE),"unknown")</f>
        <v>Yes</v>
      </c>
      <c r="AU498" s="120" t="str">
        <f>IFERROR(VLOOKUP(Table1[RespondentID],'All Data'!$A$3:$CW$999,98,FALSE),"unknown")</f>
        <v>Private/Commercial</v>
      </c>
      <c r="AV498" s="120" t="str">
        <f>IFERROR(VLOOKUP(Table1[RespondentID],'All Data'!$A$3:$CW$999,99,FALSE),"unknown")</f>
        <v>Yes</v>
      </c>
    </row>
    <row r="499" spans="1:48">
      <c r="A499" s="5">
        <v>18028570366</v>
      </c>
      <c r="B499" s="160" t="s">
        <v>38</v>
      </c>
      <c r="C499" s="124"/>
      <c r="D499" s="124"/>
      <c r="E499" s="124"/>
      <c r="F499" s="124"/>
      <c r="G499" s="124"/>
      <c r="H499" s="124"/>
      <c r="I499" s="124"/>
      <c r="J499" s="124"/>
      <c r="K499" s="124"/>
      <c r="L499" s="124"/>
      <c r="M499" s="124"/>
      <c r="N499" s="124"/>
      <c r="O499" s="100">
        <f t="shared" si="153"/>
        <v>1</v>
      </c>
      <c r="P499" s="100">
        <f t="shared" si="154"/>
        <v>3</v>
      </c>
      <c r="R499" s="100">
        <f t="shared" si="155"/>
        <v>1</v>
      </c>
      <c r="S499" s="100">
        <f t="shared" si="156"/>
        <v>0</v>
      </c>
      <c r="T499" s="100">
        <f t="shared" si="157"/>
        <v>0</v>
      </c>
      <c r="U499" s="100">
        <f t="shared" si="158"/>
        <v>0</v>
      </c>
      <c r="V499" s="100">
        <f t="shared" si="159"/>
        <v>0</v>
      </c>
      <c r="W499" s="100">
        <f t="shared" si="160"/>
        <v>0</v>
      </c>
      <c r="X499" s="100">
        <f t="shared" si="161"/>
        <v>0</v>
      </c>
      <c r="Y499" s="100">
        <f t="shared" si="162"/>
        <v>0</v>
      </c>
      <c r="Z499" s="100">
        <f t="shared" si="163"/>
        <v>0</v>
      </c>
      <c r="AA499" s="100">
        <f t="shared" si="164"/>
        <v>0</v>
      </c>
      <c r="AB499" s="100">
        <f t="shared" si="165"/>
        <v>0</v>
      </c>
      <c r="AC499" s="100">
        <f t="shared" si="166"/>
        <v>0</v>
      </c>
      <c r="AF499" s="100">
        <f t="shared" si="167"/>
        <v>1</v>
      </c>
      <c r="AG499" s="100">
        <f t="shared" si="168"/>
        <v>1</v>
      </c>
      <c r="AH499" s="100" t="str">
        <f t="shared" si="169"/>
        <v>Correct</v>
      </c>
      <c r="AJ499" s="120" t="str">
        <f>IFERROR(VLOOKUP(Table1[RespondentID],'All Data'!$A$3:$CO$999,87,FALSE),"unknown")</f>
        <v>Man</v>
      </c>
      <c r="AK499" s="120">
        <f>IFERROR(VLOOKUP(Table1[RespondentID],'All Data'!$A$3:$CO$999,88,FALSE),"unknown")</f>
        <v>75</v>
      </c>
      <c r="AL499" s="120" t="str">
        <f>IFERROR(VLOOKUP(Table1[RespondentID],'All Data'!$A$3:$CO$999,89,FALSE),"unknown")</f>
        <v>Nassau</v>
      </c>
      <c r="AM499" s="120" t="str">
        <f>IFERROR(VLOOKUP(Table1[RespondentID],'All Data'!$A$3:$CO$999,90,FALSE),"unknown")</f>
        <v>Lawrence, 11559</v>
      </c>
      <c r="AN499" s="120" t="str">
        <f>IFERROR(VLOOKUP(Table1[RespondentID],'All Data'!$A$3:$CO$999,91,FALSE),"unknown")</f>
        <v>White</v>
      </c>
      <c r="AO499" s="120" t="str">
        <f>IFERROR(VLOOKUP(Table1[RespondentID],'All Data'!$A$3:$CO$999,92,FALSE),"unknown")</f>
        <v>Not Hispanic or Latino</v>
      </c>
      <c r="AP499" s="120" t="str">
        <f>IFERROR(VLOOKUP(Table1[RespondentID],'All Data'!$A$3:$CO$999,93,FALSE),"unknown")</f>
        <v>English</v>
      </c>
      <c r="AQ499" s="120">
        <f>IFERROR(VLOOKUP(Table1[RespondentID],'All Data'!$A$3:$CW$999,94,FALSE),"unknown")</f>
        <v>0</v>
      </c>
      <c r="AR499" s="120" t="str">
        <f>IFERROR(VLOOKUP(Table1[RespondentID],'All Data'!$A$3:$CW$999,95,FALSE),"unknown")</f>
        <v>Graduate school</v>
      </c>
      <c r="AS499" s="120" t="str">
        <f>IFERROR(VLOOKUP(Table1[RespondentID],'All Data'!$A$3:$CW$999,96,FALSE),"unknown")</f>
        <v>Self-employed</v>
      </c>
      <c r="AT499" s="120" t="str">
        <f>IFERROR(VLOOKUP(Table1[RespondentID],'All Data'!$A$3:$CW$999,97,FALSE),"unknown")</f>
        <v>Yes</v>
      </c>
      <c r="AU499" s="120" t="str">
        <f>IFERROR(VLOOKUP(Table1[RespondentID],'All Data'!$A$3:$CW$999,98,FALSE),"unknown")</f>
        <v>Medicare</v>
      </c>
      <c r="AV499" s="120">
        <f>IFERROR(VLOOKUP(Table1[RespondentID],'All Data'!$A$3:$CW$999,99,FALSE),"unknown")</f>
        <v>0</v>
      </c>
    </row>
    <row r="500" spans="1:48">
      <c r="A500" s="5">
        <v>18028478878</v>
      </c>
      <c r="B500" s="160"/>
      <c r="C500" s="124"/>
      <c r="D500" s="124"/>
      <c r="E500" s="124"/>
      <c r="F500" s="124"/>
      <c r="G500" s="124"/>
      <c r="H500" s="124"/>
      <c r="I500" s="124"/>
      <c r="J500" s="124"/>
      <c r="K500" s="124"/>
      <c r="L500" s="124"/>
      <c r="M500" s="124"/>
      <c r="N500" s="124"/>
      <c r="O500" s="100">
        <f t="shared" si="153"/>
        <v>0</v>
      </c>
      <c r="P500" s="100" t="e">
        <f t="shared" si="154"/>
        <v>#DIV/0!</v>
      </c>
      <c r="R500" s="100">
        <f t="shared" si="155"/>
        <v>0</v>
      </c>
      <c r="S500" s="100">
        <f t="shared" si="156"/>
        <v>0</v>
      </c>
      <c r="T500" s="100">
        <f t="shared" si="157"/>
        <v>0</v>
      </c>
      <c r="U500" s="100">
        <f t="shared" si="158"/>
        <v>0</v>
      </c>
      <c r="V500" s="100">
        <f t="shared" si="159"/>
        <v>0</v>
      </c>
      <c r="W500" s="100">
        <f t="shared" si="160"/>
        <v>0</v>
      </c>
      <c r="X500" s="100">
        <f t="shared" si="161"/>
        <v>0</v>
      </c>
      <c r="Y500" s="100">
        <f t="shared" si="162"/>
        <v>0</v>
      </c>
      <c r="Z500" s="100">
        <f t="shared" si="163"/>
        <v>0</v>
      </c>
      <c r="AA500" s="100">
        <f t="shared" si="164"/>
        <v>0</v>
      </c>
      <c r="AB500" s="100">
        <f t="shared" si="165"/>
        <v>0</v>
      </c>
      <c r="AC500" s="100">
        <f t="shared" si="166"/>
        <v>0</v>
      </c>
      <c r="AF500" s="100">
        <f t="shared" si="167"/>
        <v>0</v>
      </c>
      <c r="AG500" s="100">
        <f t="shared" si="168"/>
        <v>0</v>
      </c>
      <c r="AH500" s="100" t="str">
        <f t="shared" si="169"/>
        <v>Correct</v>
      </c>
      <c r="AJ500" s="120">
        <f>IFERROR(VLOOKUP(Table1[RespondentID],'All Data'!$A$3:$CO$999,87,FALSE),"unknown")</f>
        <v>0</v>
      </c>
      <c r="AK500" s="120">
        <f>IFERROR(VLOOKUP(Table1[RespondentID],'All Data'!$A$3:$CO$999,88,FALSE),"unknown")</f>
        <v>0</v>
      </c>
      <c r="AL500" s="120">
        <f>IFERROR(VLOOKUP(Table1[RespondentID],'All Data'!$A$3:$CO$999,89,FALSE),"unknown")</f>
        <v>0</v>
      </c>
      <c r="AM500" s="120" t="str">
        <f>IFERROR(VLOOKUP(Table1[RespondentID],'All Data'!$A$3:$CO$999,90,FALSE),"unknown")</f>
        <v>Atlantic Beach, 11509</v>
      </c>
      <c r="AN500" s="120">
        <f>IFERROR(VLOOKUP(Table1[RespondentID],'All Data'!$A$3:$CO$999,91,FALSE),"unknown")</f>
        <v>0</v>
      </c>
      <c r="AO500" s="120">
        <f>IFERROR(VLOOKUP(Table1[RespondentID],'All Data'!$A$3:$CO$999,92,FALSE),"unknown")</f>
        <v>0</v>
      </c>
      <c r="AP500" s="120">
        <f>IFERROR(VLOOKUP(Table1[RespondentID],'All Data'!$A$3:$CO$999,93,FALSE),"unknown")</f>
        <v>0</v>
      </c>
      <c r="AQ500" s="120">
        <f>IFERROR(VLOOKUP(Table1[RespondentID],'All Data'!$A$3:$CW$999,94,FALSE),"unknown")</f>
        <v>0</v>
      </c>
      <c r="AR500" s="120">
        <f>IFERROR(VLOOKUP(Table1[RespondentID],'All Data'!$A$3:$CW$999,95,FALSE),"unknown")</f>
        <v>0</v>
      </c>
      <c r="AS500" s="120">
        <f>IFERROR(VLOOKUP(Table1[RespondentID],'All Data'!$A$3:$CW$999,96,FALSE),"unknown")</f>
        <v>0</v>
      </c>
      <c r="AT500" s="120">
        <f>IFERROR(VLOOKUP(Table1[RespondentID],'All Data'!$A$3:$CW$999,97,FALSE),"unknown")</f>
        <v>0</v>
      </c>
      <c r="AU500" s="120">
        <f>IFERROR(VLOOKUP(Table1[RespondentID],'All Data'!$A$3:$CW$999,98,FALSE),"unknown")</f>
        <v>0</v>
      </c>
      <c r="AV500" s="120">
        <f>IFERROR(VLOOKUP(Table1[RespondentID],'All Data'!$A$3:$CW$999,99,FALSE),"unknown")</f>
        <v>0</v>
      </c>
    </row>
    <row r="501" spans="1:48">
      <c r="A501" s="5">
        <v>18027546776</v>
      </c>
      <c r="B501" s="160"/>
      <c r="C501" s="124"/>
      <c r="D501" s="124"/>
      <c r="E501" s="124"/>
      <c r="F501" s="124"/>
      <c r="G501" s="124"/>
      <c r="H501" s="124" t="s">
        <v>43</v>
      </c>
      <c r="I501" s="124"/>
      <c r="J501" s="124"/>
      <c r="K501" s="124"/>
      <c r="L501" s="124"/>
      <c r="M501" s="124" t="s">
        <v>48</v>
      </c>
      <c r="N501" s="124"/>
      <c r="O501" s="100">
        <f t="shared" si="153"/>
        <v>2</v>
      </c>
      <c r="P501" s="100">
        <f t="shared" si="154"/>
        <v>1.5</v>
      </c>
      <c r="R501" s="100">
        <f t="shared" si="155"/>
        <v>0</v>
      </c>
      <c r="S501" s="100">
        <f t="shared" si="156"/>
        <v>0</v>
      </c>
      <c r="T501" s="100">
        <f t="shared" si="157"/>
        <v>0</v>
      </c>
      <c r="U501" s="100">
        <f t="shared" si="158"/>
        <v>0</v>
      </c>
      <c r="V501" s="100">
        <f t="shared" si="159"/>
        <v>0</v>
      </c>
      <c r="W501" s="100">
        <f t="shared" si="160"/>
        <v>0</v>
      </c>
      <c r="X501" s="100">
        <f t="shared" si="161"/>
        <v>1</v>
      </c>
      <c r="Y501" s="100">
        <f t="shared" si="162"/>
        <v>0</v>
      </c>
      <c r="Z501" s="100">
        <f t="shared" si="163"/>
        <v>0</v>
      </c>
      <c r="AA501" s="100">
        <f t="shared" si="164"/>
        <v>0</v>
      </c>
      <c r="AB501" s="100">
        <f t="shared" si="165"/>
        <v>0</v>
      </c>
      <c r="AC501" s="100">
        <f t="shared" si="166"/>
        <v>1</v>
      </c>
      <c r="AF501" s="100">
        <f t="shared" si="167"/>
        <v>2</v>
      </c>
      <c r="AG501" s="100">
        <f t="shared" si="168"/>
        <v>2</v>
      </c>
      <c r="AH501" s="100" t="str">
        <f t="shared" si="169"/>
        <v>Correct</v>
      </c>
      <c r="AJ501" s="120">
        <f>IFERROR(VLOOKUP(Table1[RespondentID],'All Data'!$A$3:$CO$999,87,FALSE),"unknown")</f>
        <v>0</v>
      </c>
      <c r="AK501" s="120">
        <f>IFERROR(VLOOKUP(Table1[RespondentID],'All Data'!$A$3:$CO$999,88,FALSE),"unknown")</f>
        <v>0</v>
      </c>
      <c r="AL501" s="120" t="str">
        <f>IFERROR(VLOOKUP(Table1[RespondentID],'All Data'!$A$3:$CO$999,89,FALSE),"unknown")</f>
        <v>Nassau</v>
      </c>
      <c r="AM501" s="120" t="str">
        <f>IFERROR(VLOOKUP(Table1[RespondentID],'All Data'!$A$3:$CO$999,90,FALSE),"unknown")</f>
        <v>Massapequa, 11758</v>
      </c>
      <c r="AN501" s="120" t="str">
        <f>IFERROR(VLOOKUP(Table1[RespondentID],'All Data'!$A$3:$CO$999,91,FALSE),"unknown")</f>
        <v>White</v>
      </c>
      <c r="AO501" s="120" t="str">
        <f>IFERROR(VLOOKUP(Table1[RespondentID],'All Data'!$A$3:$CO$999,92,FALSE),"unknown")</f>
        <v>Not Hispanic or Latino</v>
      </c>
      <c r="AP501" s="120" t="str">
        <f>IFERROR(VLOOKUP(Table1[RespondentID],'All Data'!$A$3:$CO$999,93,FALSE),"unknown")</f>
        <v>English</v>
      </c>
      <c r="AQ501" s="120">
        <f>IFERROR(VLOOKUP(Table1[RespondentID],'All Data'!$A$3:$CW$999,94,FALSE),"unknown")</f>
        <v>0</v>
      </c>
      <c r="AR501" s="120" t="str">
        <f>IFERROR(VLOOKUP(Table1[RespondentID],'All Data'!$A$3:$CW$999,95,FALSE),"unknown")</f>
        <v>Graduate school</v>
      </c>
      <c r="AS501" s="120" t="str">
        <f>IFERROR(VLOOKUP(Table1[RespondentID],'All Data'!$A$3:$CW$999,96,FALSE),"unknown")</f>
        <v>Employed for wages</v>
      </c>
      <c r="AT501" s="120" t="str">
        <f>IFERROR(VLOOKUP(Table1[RespondentID],'All Data'!$A$3:$CW$999,97,FALSE),"unknown")</f>
        <v>Yes</v>
      </c>
      <c r="AU501" s="120" t="str">
        <f>IFERROR(VLOOKUP(Table1[RespondentID],'All Data'!$A$3:$CW$999,98,FALSE),"unknown")</f>
        <v>Private/Commercial</v>
      </c>
      <c r="AV501" s="120">
        <f>IFERROR(VLOOKUP(Table1[RespondentID],'All Data'!$A$3:$CW$999,99,FALSE),"unknown")</f>
        <v>0</v>
      </c>
    </row>
    <row r="502" spans="1:48">
      <c r="A502" s="5">
        <v>18027489857</v>
      </c>
      <c r="B502" s="160" t="s">
        <v>38</v>
      </c>
      <c r="C502" s="124"/>
      <c r="D502" s="124"/>
      <c r="E502" s="124"/>
      <c r="F502" s="124"/>
      <c r="G502" s="124"/>
      <c r="H502" s="124"/>
      <c r="I502" s="124"/>
      <c r="J502" s="124"/>
      <c r="K502" s="124" t="s">
        <v>46</v>
      </c>
      <c r="L502" s="124" t="s">
        <v>47</v>
      </c>
      <c r="M502" s="124"/>
      <c r="N502" s="124"/>
      <c r="O502" s="100">
        <f t="shared" si="153"/>
        <v>3</v>
      </c>
      <c r="P502" s="100">
        <f t="shared" si="154"/>
        <v>1</v>
      </c>
      <c r="R502" s="100">
        <f t="shared" si="155"/>
        <v>1</v>
      </c>
      <c r="S502" s="100">
        <f t="shared" si="156"/>
        <v>0</v>
      </c>
      <c r="T502" s="100">
        <f t="shared" si="157"/>
        <v>0</v>
      </c>
      <c r="U502" s="100">
        <f t="shared" si="158"/>
        <v>0</v>
      </c>
      <c r="V502" s="100">
        <f t="shared" si="159"/>
        <v>0</v>
      </c>
      <c r="W502" s="100">
        <f t="shared" si="160"/>
        <v>0</v>
      </c>
      <c r="X502" s="100">
        <f t="shared" si="161"/>
        <v>0</v>
      </c>
      <c r="Y502" s="100">
        <f t="shared" si="162"/>
        <v>0</v>
      </c>
      <c r="Z502" s="100">
        <f t="shared" si="163"/>
        <v>0</v>
      </c>
      <c r="AA502" s="100">
        <f t="shared" si="164"/>
        <v>1</v>
      </c>
      <c r="AB502" s="100">
        <f t="shared" si="165"/>
        <v>1</v>
      </c>
      <c r="AC502" s="100">
        <f t="shared" si="166"/>
        <v>0</v>
      </c>
      <c r="AF502" s="100">
        <f t="shared" si="167"/>
        <v>3</v>
      </c>
      <c r="AG502" s="100">
        <f t="shared" si="168"/>
        <v>3</v>
      </c>
      <c r="AH502" s="100" t="str">
        <f t="shared" si="169"/>
        <v>Correct</v>
      </c>
      <c r="AJ502" s="120" t="str">
        <f>IFERROR(VLOOKUP(Table1[RespondentID],'All Data'!$A$3:$CO$999,87,FALSE),"unknown")</f>
        <v>Woman</v>
      </c>
      <c r="AK502" s="120">
        <f>IFERROR(VLOOKUP(Table1[RespondentID],'All Data'!$A$3:$CO$999,88,FALSE),"unknown")</f>
        <v>25</v>
      </c>
      <c r="AL502" s="120" t="str">
        <f>IFERROR(VLOOKUP(Table1[RespondentID],'All Data'!$A$3:$CO$999,89,FALSE),"unknown")</f>
        <v>Nassau</v>
      </c>
      <c r="AM502" s="120" t="str">
        <f>IFERROR(VLOOKUP(Table1[RespondentID],'All Data'!$A$3:$CO$999,90,FALSE),"unknown")</f>
        <v>Massapequa Park, 11762</v>
      </c>
      <c r="AN502" s="120" t="str">
        <f>IFERROR(VLOOKUP(Table1[RespondentID],'All Data'!$A$3:$CO$999,91,FALSE),"unknown")</f>
        <v>White</v>
      </c>
      <c r="AO502" s="120" t="str">
        <f>IFERROR(VLOOKUP(Table1[RespondentID],'All Data'!$A$3:$CO$999,92,FALSE),"unknown")</f>
        <v>Not Hispanic or Latino</v>
      </c>
      <c r="AP502" s="120">
        <f>IFERROR(VLOOKUP(Table1[RespondentID],'All Data'!$A$3:$CO$999,93,FALSE),"unknown")</f>
        <v>0</v>
      </c>
      <c r="AQ502" s="120" t="str">
        <f>IFERROR(VLOOKUP(Table1[RespondentID],'All Data'!$A$3:$CW$999,94,FALSE),"unknown")</f>
        <v>$50,000 to $74,999</v>
      </c>
      <c r="AR502" s="120" t="str">
        <f>IFERROR(VLOOKUP(Table1[RespondentID],'All Data'!$A$3:$CW$999,95,FALSE),"unknown")</f>
        <v>College graduate</v>
      </c>
      <c r="AS502" s="120" t="str">
        <f>IFERROR(VLOOKUP(Table1[RespondentID],'All Data'!$A$3:$CW$999,96,FALSE),"unknown")</f>
        <v>Employed for wages</v>
      </c>
      <c r="AT502" s="120" t="str">
        <f>IFERROR(VLOOKUP(Table1[RespondentID],'All Data'!$A$3:$CW$999,97,FALSE),"unknown")</f>
        <v>Yes</v>
      </c>
      <c r="AU502" s="120" t="str">
        <f>IFERROR(VLOOKUP(Table1[RespondentID],'All Data'!$A$3:$CW$999,98,FALSE),"unknown")</f>
        <v>Private/Commercial</v>
      </c>
      <c r="AV502" s="120" t="str">
        <f>IFERROR(VLOOKUP(Table1[RespondentID],'All Data'!$A$3:$CW$999,99,FALSE),"unknown")</f>
        <v>Yes</v>
      </c>
    </row>
    <row r="503" spans="1:48">
      <c r="A503" s="5">
        <v>18027026943</v>
      </c>
      <c r="B503" s="160" t="s">
        <v>38</v>
      </c>
      <c r="C503" s="124"/>
      <c r="D503" s="124"/>
      <c r="E503" s="124"/>
      <c r="F503" s="124" t="s">
        <v>42</v>
      </c>
      <c r="G503" s="124"/>
      <c r="H503" s="124" t="s">
        <v>43</v>
      </c>
      <c r="I503" s="124"/>
      <c r="J503" s="124"/>
      <c r="K503" s="124"/>
      <c r="L503" s="124"/>
      <c r="M503" s="124"/>
      <c r="N503" s="124"/>
      <c r="O503" s="100">
        <f t="shared" si="153"/>
        <v>3</v>
      </c>
      <c r="P503" s="100">
        <f t="shared" si="154"/>
        <v>1</v>
      </c>
      <c r="R503" s="100">
        <f t="shared" si="155"/>
        <v>1</v>
      </c>
      <c r="S503" s="100">
        <f t="shared" si="156"/>
        <v>0</v>
      </c>
      <c r="T503" s="100">
        <f t="shared" si="157"/>
        <v>0</v>
      </c>
      <c r="U503" s="100">
        <f t="shared" si="158"/>
        <v>0</v>
      </c>
      <c r="V503" s="100">
        <f t="shared" si="159"/>
        <v>1</v>
      </c>
      <c r="W503" s="100">
        <f t="shared" si="160"/>
        <v>0</v>
      </c>
      <c r="X503" s="100">
        <f t="shared" si="161"/>
        <v>1</v>
      </c>
      <c r="Y503" s="100">
        <f t="shared" si="162"/>
        <v>0</v>
      </c>
      <c r="Z503" s="100">
        <f t="shared" si="163"/>
        <v>0</v>
      </c>
      <c r="AA503" s="100">
        <f t="shared" si="164"/>
        <v>0</v>
      </c>
      <c r="AB503" s="100">
        <f t="shared" si="165"/>
        <v>0</v>
      </c>
      <c r="AC503" s="100">
        <f t="shared" si="166"/>
        <v>0</v>
      </c>
      <c r="AF503" s="100">
        <f t="shared" si="167"/>
        <v>3</v>
      </c>
      <c r="AG503" s="100">
        <f t="shared" si="168"/>
        <v>3</v>
      </c>
      <c r="AH503" s="100" t="str">
        <f t="shared" si="169"/>
        <v>Correct</v>
      </c>
      <c r="AJ503" s="120" t="str">
        <f>IFERROR(VLOOKUP(Table1[RespondentID],'All Data'!$A$3:$CO$999,87,FALSE),"unknown")</f>
        <v>Woman</v>
      </c>
      <c r="AK503" s="120">
        <f>IFERROR(VLOOKUP(Table1[RespondentID],'All Data'!$A$3:$CO$999,88,FALSE),"unknown")</f>
        <v>47</v>
      </c>
      <c r="AL503" s="120" t="str">
        <f>IFERROR(VLOOKUP(Table1[RespondentID],'All Data'!$A$3:$CO$999,89,FALSE),"unknown")</f>
        <v>Nassau</v>
      </c>
      <c r="AM503" s="120" t="str">
        <f>IFERROR(VLOOKUP(Table1[RespondentID],'All Data'!$A$3:$CO$999,90,FALSE),"unknown")</f>
        <v>Wantagh, 11793</v>
      </c>
      <c r="AN503" s="120" t="str">
        <f>IFERROR(VLOOKUP(Table1[RespondentID],'All Data'!$A$3:$CO$999,91,FALSE),"unknown")</f>
        <v>White</v>
      </c>
      <c r="AO503" s="120" t="str">
        <f>IFERROR(VLOOKUP(Table1[RespondentID],'All Data'!$A$3:$CO$999,92,FALSE),"unknown")</f>
        <v>Not Hispanic or Latino</v>
      </c>
      <c r="AP503" s="120" t="str">
        <f>IFERROR(VLOOKUP(Table1[RespondentID],'All Data'!$A$3:$CO$999,93,FALSE),"unknown")</f>
        <v>English</v>
      </c>
      <c r="AQ503" s="120" t="str">
        <f>IFERROR(VLOOKUP(Table1[RespondentID],'All Data'!$A$3:$CW$999,94,FALSE),"unknown")</f>
        <v>$75,000 to $125,000</v>
      </c>
      <c r="AR503" s="120" t="str">
        <f>IFERROR(VLOOKUP(Table1[RespondentID],'All Data'!$A$3:$CW$999,95,FALSE),"unknown")</f>
        <v>Some college</v>
      </c>
      <c r="AS503" s="120" t="str">
        <f>IFERROR(VLOOKUP(Table1[RespondentID],'All Data'!$A$3:$CW$999,96,FALSE),"unknown")</f>
        <v>Out of work, but not currently looking</v>
      </c>
      <c r="AT503" s="120">
        <f>IFERROR(VLOOKUP(Table1[RespondentID],'All Data'!$A$3:$CW$999,97,FALSE),"unknown")</f>
        <v>0</v>
      </c>
      <c r="AU503" s="120" t="str">
        <f>IFERROR(VLOOKUP(Table1[RespondentID],'All Data'!$A$3:$CW$999,98,FALSE),"unknown")</f>
        <v>Medicaid</v>
      </c>
      <c r="AV503" s="120" t="str">
        <f>IFERROR(VLOOKUP(Table1[RespondentID],'All Data'!$A$3:$CW$999,99,FALSE),"unknown")</f>
        <v>Yes</v>
      </c>
    </row>
    <row r="504" spans="1:48">
      <c r="A504" s="5">
        <v>18026792737</v>
      </c>
      <c r="B504" s="160"/>
      <c r="C504" s="124" t="s">
        <v>39</v>
      </c>
      <c r="D504" s="124"/>
      <c r="E504" s="124"/>
      <c r="F504" s="124"/>
      <c r="G504" s="124" t="s">
        <v>37</v>
      </c>
      <c r="H504" s="124"/>
      <c r="I504" s="124"/>
      <c r="J504" s="124"/>
      <c r="K504" s="124"/>
      <c r="L504" s="124"/>
      <c r="M504" s="124"/>
      <c r="N504" s="124"/>
      <c r="O504" s="100">
        <f t="shared" si="153"/>
        <v>2</v>
      </c>
      <c r="P504" s="100">
        <f t="shared" si="154"/>
        <v>1.5</v>
      </c>
      <c r="R504" s="100">
        <f t="shared" si="155"/>
        <v>0</v>
      </c>
      <c r="S504" s="100">
        <f t="shared" si="156"/>
        <v>1</v>
      </c>
      <c r="T504" s="100">
        <f t="shared" si="157"/>
        <v>0</v>
      </c>
      <c r="U504" s="100">
        <f t="shared" si="158"/>
        <v>0</v>
      </c>
      <c r="V504" s="100">
        <f t="shared" si="159"/>
        <v>0</v>
      </c>
      <c r="W504" s="100">
        <f t="shared" si="160"/>
        <v>1</v>
      </c>
      <c r="X504" s="100">
        <f t="shared" si="161"/>
        <v>0</v>
      </c>
      <c r="Y504" s="100">
        <f t="shared" si="162"/>
        <v>0</v>
      </c>
      <c r="Z504" s="100">
        <f t="shared" si="163"/>
        <v>0</v>
      </c>
      <c r="AA504" s="100">
        <f t="shared" si="164"/>
        <v>0</v>
      </c>
      <c r="AB504" s="100">
        <f t="shared" si="165"/>
        <v>0</v>
      </c>
      <c r="AC504" s="100">
        <f t="shared" si="166"/>
        <v>0</v>
      </c>
      <c r="AF504" s="100">
        <f t="shared" si="167"/>
        <v>2</v>
      </c>
      <c r="AG504" s="100">
        <f t="shared" si="168"/>
        <v>2</v>
      </c>
      <c r="AH504" s="100" t="str">
        <f t="shared" si="169"/>
        <v>Correct</v>
      </c>
      <c r="AJ504" s="120" t="str">
        <f>IFERROR(VLOOKUP(Table1[RespondentID],'All Data'!$A$3:$CO$999,87,FALSE),"unknown")</f>
        <v>Man</v>
      </c>
      <c r="AK504" s="120">
        <f>IFERROR(VLOOKUP(Table1[RespondentID],'All Data'!$A$3:$CO$999,88,FALSE),"unknown")</f>
        <v>74</v>
      </c>
      <c r="AL504" s="120" t="str">
        <f>IFERROR(VLOOKUP(Table1[RespondentID],'All Data'!$A$3:$CO$999,89,FALSE),"unknown")</f>
        <v>Nassau</v>
      </c>
      <c r="AM504" s="120" t="str">
        <f>IFERROR(VLOOKUP(Table1[RespondentID],'All Data'!$A$3:$CO$999,90,FALSE),"unknown")</f>
        <v>Mineola, 11501</v>
      </c>
      <c r="AN504" s="120">
        <f>IFERROR(VLOOKUP(Table1[RespondentID],'All Data'!$A$3:$CO$999,91,FALSE),"unknown")</f>
        <v>0</v>
      </c>
      <c r="AO504" s="120" t="str">
        <f>IFERROR(VLOOKUP(Table1[RespondentID],'All Data'!$A$3:$CO$999,92,FALSE),"unknown")</f>
        <v>Not Hispanic or Latino</v>
      </c>
      <c r="AP504" s="120">
        <f>IFERROR(VLOOKUP(Table1[RespondentID],'All Data'!$A$3:$CO$999,93,FALSE),"unknown")</f>
        <v>0</v>
      </c>
      <c r="AQ504" s="120">
        <f>IFERROR(VLOOKUP(Table1[RespondentID],'All Data'!$A$3:$CW$999,94,FALSE),"unknown")</f>
        <v>0</v>
      </c>
      <c r="AR504" s="120">
        <f>IFERROR(VLOOKUP(Table1[RespondentID],'All Data'!$A$3:$CW$999,95,FALSE),"unknown")</f>
        <v>0</v>
      </c>
      <c r="AS504" s="120">
        <f>IFERROR(VLOOKUP(Table1[RespondentID],'All Data'!$A$3:$CW$999,96,FALSE),"unknown")</f>
        <v>0</v>
      </c>
      <c r="AT504" s="120">
        <f>IFERROR(VLOOKUP(Table1[RespondentID],'All Data'!$A$3:$CW$999,97,FALSE),"unknown")</f>
        <v>0</v>
      </c>
      <c r="AU504" s="120">
        <f>IFERROR(VLOOKUP(Table1[RespondentID],'All Data'!$A$3:$CW$999,98,FALSE),"unknown")</f>
        <v>0</v>
      </c>
      <c r="AV504" s="120">
        <f>IFERROR(VLOOKUP(Table1[RespondentID],'All Data'!$A$3:$CW$999,99,FALSE),"unknown")</f>
        <v>0</v>
      </c>
    </row>
    <row r="505" spans="1:48">
      <c r="A505" s="5">
        <v>18026792525</v>
      </c>
      <c r="B505" s="160" t="s">
        <v>38</v>
      </c>
      <c r="C505" s="124" t="s">
        <v>39</v>
      </c>
      <c r="D505" s="124"/>
      <c r="E505" s="124"/>
      <c r="F505" s="124"/>
      <c r="G505" s="124"/>
      <c r="H505" s="124"/>
      <c r="I505" s="124" t="s">
        <v>44</v>
      </c>
      <c r="J505" s="124"/>
      <c r="K505" s="124"/>
      <c r="L505" s="124"/>
      <c r="M505" s="124"/>
      <c r="N505" s="124"/>
      <c r="O505" s="100">
        <f t="shared" si="153"/>
        <v>3</v>
      </c>
      <c r="P505" s="100">
        <f t="shared" si="154"/>
        <v>1</v>
      </c>
      <c r="R505" s="100">
        <f t="shared" si="155"/>
        <v>1</v>
      </c>
      <c r="S505" s="100">
        <f t="shared" si="156"/>
        <v>1</v>
      </c>
      <c r="T505" s="100">
        <f t="shared" si="157"/>
        <v>0</v>
      </c>
      <c r="U505" s="100">
        <f t="shared" si="158"/>
        <v>0</v>
      </c>
      <c r="V505" s="100">
        <f t="shared" si="159"/>
        <v>0</v>
      </c>
      <c r="W505" s="100">
        <f t="shared" si="160"/>
        <v>0</v>
      </c>
      <c r="X505" s="100">
        <f t="shared" si="161"/>
        <v>0</v>
      </c>
      <c r="Y505" s="100">
        <f t="shared" si="162"/>
        <v>1</v>
      </c>
      <c r="Z505" s="100">
        <f t="shared" si="163"/>
        <v>0</v>
      </c>
      <c r="AA505" s="100">
        <f t="shared" si="164"/>
        <v>0</v>
      </c>
      <c r="AB505" s="100">
        <f t="shared" si="165"/>
        <v>0</v>
      </c>
      <c r="AC505" s="100">
        <f t="shared" si="166"/>
        <v>0</v>
      </c>
      <c r="AF505" s="100">
        <f t="shared" si="167"/>
        <v>3</v>
      </c>
      <c r="AG505" s="100">
        <f t="shared" si="168"/>
        <v>3</v>
      </c>
      <c r="AH505" s="100" t="str">
        <f t="shared" si="169"/>
        <v>Correct</v>
      </c>
      <c r="AJ505" s="120" t="str">
        <f>IFERROR(VLOOKUP(Table1[RespondentID],'All Data'!$A$3:$CO$999,87,FALSE),"unknown")</f>
        <v>Woman</v>
      </c>
      <c r="AK505" s="120">
        <f>IFERROR(VLOOKUP(Table1[RespondentID],'All Data'!$A$3:$CO$999,88,FALSE),"unknown")</f>
        <v>63</v>
      </c>
      <c r="AL505" s="120" t="str">
        <f>IFERROR(VLOOKUP(Table1[RespondentID],'All Data'!$A$3:$CO$999,89,FALSE),"unknown")</f>
        <v>Nassau</v>
      </c>
      <c r="AM505" s="120" t="str">
        <f>IFERROR(VLOOKUP(Table1[RespondentID],'All Data'!$A$3:$CO$999,90,FALSE),"unknown")</f>
        <v>Mineola, 11501</v>
      </c>
      <c r="AN505" s="120" t="str">
        <f>IFERROR(VLOOKUP(Table1[RespondentID],'All Data'!$A$3:$CO$999,91,FALSE),"unknown")</f>
        <v>White</v>
      </c>
      <c r="AO505" s="120" t="str">
        <f>IFERROR(VLOOKUP(Table1[RespondentID],'All Data'!$A$3:$CO$999,92,FALSE),"unknown")</f>
        <v>Not Hispanic or Latino</v>
      </c>
      <c r="AP505" s="120" t="str">
        <f>IFERROR(VLOOKUP(Table1[RespondentID],'All Data'!$A$3:$CO$999,93,FALSE),"unknown")</f>
        <v>English</v>
      </c>
      <c r="AQ505" s="120" t="str">
        <f>IFERROR(VLOOKUP(Table1[RespondentID],'All Data'!$A$3:$CW$999,94,FALSE),"unknown")</f>
        <v>$20,000 to $34,999</v>
      </c>
      <c r="AR505" s="120" t="str">
        <f>IFERROR(VLOOKUP(Table1[RespondentID],'All Data'!$A$3:$CW$999,95,FALSE),"unknown")</f>
        <v>Graduate school</v>
      </c>
      <c r="AS505" s="120" t="str">
        <f>IFERROR(VLOOKUP(Table1[RespondentID],'All Data'!$A$3:$CW$999,96,FALSE),"unknown")</f>
        <v>Retired</v>
      </c>
      <c r="AT505" s="120" t="str">
        <f>IFERROR(VLOOKUP(Table1[RespondentID],'All Data'!$A$3:$CW$999,97,FALSE),"unknown")</f>
        <v>No</v>
      </c>
      <c r="AU505" s="120" t="str">
        <f>IFERROR(VLOOKUP(Table1[RespondentID],'All Data'!$A$3:$CW$999,98,FALSE),"unknown")</f>
        <v>No Insurance</v>
      </c>
      <c r="AV505" s="120" t="str">
        <f>IFERROR(VLOOKUP(Table1[RespondentID],'All Data'!$A$3:$CW$999,99,FALSE),"unknown")</f>
        <v>Yes</v>
      </c>
    </row>
    <row r="506" spans="1:48">
      <c r="A506" s="5">
        <v>18026792379</v>
      </c>
      <c r="B506" s="160"/>
      <c r="C506" s="124"/>
      <c r="D506" s="124"/>
      <c r="E506" s="124"/>
      <c r="F506" s="124" t="s">
        <v>42</v>
      </c>
      <c r="G506" s="124"/>
      <c r="H506" s="124" t="s">
        <v>43</v>
      </c>
      <c r="I506" s="124"/>
      <c r="J506" s="124" t="s">
        <v>45</v>
      </c>
      <c r="K506" s="124"/>
      <c r="L506" s="124"/>
      <c r="M506" s="124"/>
      <c r="N506" s="124"/>
      <c r="O506" s="100">
        <f t="shared" si="153"/>
        <v>3</v>
      </c>
      <c r="P506" s="100">
        <f t="shared" si="154"/>
        <v>1</v>
      </c>
      <c r="R506" s="100">
        <f t="shared" si="155"/>
        <v>0</v>
      </c>
      <c r="S506" s="100">
        <f t="shared" si="156"/>
        <v>0</v>
      </c>
      <c r="T506" s="100">
        <f t="shared" si="157"/>
        <v>0</v>
      </c>
      <c r="U506" s="100">
        <f t="shared" si="158"/>
        <v>0</v>
      </c>
      <c r="V506" s="100">
        <f t="shared" si="159"/>
        <v>1</v>
      </c>
      <c r="W506" s="100">
        <f t="shared" si="160"/>
        <v>0</v>
      </c>
      <c r="X506" s="100">
        <f t="shared" si="161"/>
        <v>1</v>
      </c>
      <c r="Y506" s="100">
        <f t="shared" si="162"/>
        <v>0</v>
      </c>
      <c r="Z506" s="100">
        <f t="shared" si="163"/>
        <v>1</v>
      </c>
      <c r="AA506" s="100">
        <f t="shared" si="164"/>
        <v>0</v>
      </c>
      <c r="AB506" s="100">
        <f t="shared" si="165"/>
        <v>0</v>
      </c>
      <c r="AC506" s="100">
        <f t="shared" si="166"/>
        <v>0</v>
      </c>
      <c r="AF506" s="100">
        <f t="shared" si="167"/>
        <v>3</v>
      </c>
      <c r="AG506" s="100">
        <f t="shared" si="168"/>
        <v>3</v>
      </c>
      <c r="AH506" s="100" t="str">
        <f t="shared" si="169"/>
        <v>Correct</v>
      </c>
      <c r="AJ506" s="120" t="str">
        <f>IFERROR(VLOOKUP(Table1[RespondentID],'All Data'!$A$3:$CO$999,87,FALSE),"unknown")</f>
        <v>Woman</v>
      </c>
      <c r="AK506" s="120">
        <f>IFERROR(VLOOKUP(Table1[RespondentID],'All Data'!$A$3:$CO$999,88,FALSE),"unknown")</f>
        <v>71</v>
      </c>
      <c r="AL506" s="120" t="str">
        <f>IFERROR(VLOOKUP(Table1[RespondentID],'All Data'!$A$3:$CO$999,89,FALSE),"unknown")</f>
        <v>Nassau</v>
      </c>
      <c r="AM506" s="120" t="str">
        <f>IFERROR(VLOOKUP(Table1[RespondentID],'All Data'!$A$3:$CO$999,90,FALSE),"unknown")</f>
        <v>Mineola, 11501</v>
      </c>
      <c r="AN506" s="120" t="str">
        <f>IFERROR(VLOOKUP(Table1[RespondentID],'All Data'!$A$3:$CO$999,91,FALSE),"unknown")</f>
        <v>White</v>
      </c>
      <c r="AO506" s="120" t="str">
        <f>IFERROR(VLOOKUP(Table1[RespondentID],'All Data'!$A$3:$CO$999,92,FALSE),"unknown")</f>
        <v>Not Hispanic or Latino</v>
      </c>
      <c r="AP506" s="120" t="str">
        <f>IFERROR(VLOOKUP(Table1[RespondentID],'All Data'!$A$3:$CO$999,93,FALSE),"unknown")</f>
        <v>English</v>
      </c>
      <c r="AQ506" s="120" t="str">
        <f>IFERROR(VLOOKUP(Table1[RespondentID],'All Data'!$A$3:$CW$999,94,FALSE),"unknown")</f>
        <v>$20,000 to $34,999</v>
      </c>
      <c r="AR506" s="120" t="str">
        <f>IFERROR(VLOOKUP(Table1[RespondentID],'All Data'!$A$3:$CW$999,95,FALSE),"unknown")</f>
        <v>High school graduate</v>
      </c>
      <c r="AS506" s="120" t="str">
        <f>IFERROR(VLOOKUP(Table1[RespondentID],'All Data'!$A$3:$CW$999,96,FALSE),"unknown")</f>
        <v>Retired</v>
      </c>
      <c r="AT506" s="120" t="str">
        <f>IFERROR(VLOOKUP(Table1[RespondentID],'All Data'!$A$3:$CW$999,97,FALSE),"unknown")</f>
        <v>Yes</v>
      </c>
      <c r="AU506" s="120" t="str">
        <f>IFERROR(VLOOKUP(Table1[RespondentID],'All Data'!$A$3:$CW$999,98,FALSE),"unknown")</f>
        <v>Medicare</v>
      </c>
      <c r="AV506" s="120" t="str">
        <f>IFERROR(VLOOKUP(Table1[RespondentID],'All Data'!$A$3:$CW$999,99,FALSE),"unknown")</f>
        <v>No</v>
      </c>
    </row>
    <row r="507" spans="1:48">
      <c r="A507" s="5">
        <v>18026792254</v>
      </c>
      <c r="B507" s="160" t="s">
        <v>38</v>
      </c>
      <c r="C507" s="124"/>
      <c r="D507" s="124"/>
      <c r="E507" s="124"/>
      <c r="F507" s="124"/>
      <c r="G507" s="124"/>
      <c r="H507" s="124" t="s">
        <v>43</v>
      </c>
      <c r="I507" s="124"/>
      <c r="J507" s="124" t="s">
        <v>45</v>
      </c>
      <c r="K507" s="124"/>
      <c r="L507" s="124"/>
      <c r="M507" s="124"/>
      <c r="N507" s="124"/>
      <c r="O507" s="100">
        <f t="shared" si="153"/>
        <v>3</v>
      </c>
      <c r="P507" s="100">
        <f t="shared" si="154"/>
        <v>1</v>
      </c>
      <c r="R507" s="100">
        <f t="shared" si="155"/>
        <v>1</v>
      </c>
      <c r="S507" s="100">
        <f t="shared" si="156"/>
        <v>0</v>
      </c>
      <c r="T507" s="100">
        <f t="shared" si="157"/>
        <v>0</v>
      </c>
      <c r="U507" s="100">
        <f t="shared" si="158"/>
        <v>0</v>
      </c>
      <c r="V507" s="100">
        <f t="shared" si="159"/>
        <v>0</v>
      </c>
      <c r="W507" s="100">
        <f t="shared" si="160"/>
        <v>0</v>
      </c>
      <c r="X507" s="100">
        <f t="shared" si="161"/>
        <v>1</v>
      </c>
      <c r="Y507" s="100">
        <f t="shared" si="162"/>
        <v>0</v>
      </c>
      <c r="Z507" s="100">
        <f t="shared" si="163"/>
        <v>1</v>
      </c>
      <c r="AA507" s="100">
        <f t="shared" si="164"/>
        <v>0</v>
      </c>
      <c r="AB507" s="100">
        <f t="shared" si="165"/>
        <v>0</v>
      </c>
      <c r="AC507" s="100">
        <f t="shared" si="166"/>
        <v>0</v>
      </c>
      <c r="AF507" s="100">
        <f t="shared" si="167"/>
        <v>3</v>
      </c>
      <c r="AG507" s="100">
        <f t="shared" si="168"/>
        <v>3</v>
      </c>
      <c r="AH507" s="100" t="str">
        <f t="shared" si="169"/>
        <v>Correct</v>
      </c>
      <c r="AJ507" s="120" t="str">
        <f>IFERROR(VLOOKUP(Table1[RespondentID],'All Data'!$A$3:$CO$999,87,FALSE),"unknown")</f>
        <v>Woman</v>
      </c>
      <c r="AK507" s="120">
        <f>IFERROR(VLOOKUP(Table1[RespondentID],'All Data'!$A$3:$CO$999,88,FALSE),"unknown")</f>
        <v>72</v>
      </c>
      <c r="AL507" s="120" t="str">
        <f>IFERROR(VLOOKUP(Table1[RespondentID],'All Data'!$A$3:$CO$999,89,FALSE),"unknown")</f>
        <v>Nassau</v>
      </c>
      <c r="AM507" s="120" t="str">
        <f>IFERROR(VLOOKUP(Table1[RespondentID],'All Data'!$A$3:$CO$999,90,FALSE),"unknown")</f>
        <v>Williston Park, 11596</v>
      </c>
      <c r="AN507" s="120" t="str">
        <f>IFERROR(VLOOKUP(Table1[RespondentID],'All Data'!$A$3:$CO$999,91,FALSE),"unknown")</f>
        <v>White</v>
      </c>
      <c r="AO507" s="120" t="str">
        <f>IFERROR(VLOOKUP(Table1[RespondentID],'All Data'!$A$3:$CO$999,92,FALSE),"unknown")</f>
        <v>Not Hispanic or Latino</v>
      </c>
      <c r="AP507" s="120" t="str">
        <f>IFERROR(VLOOKUP(Table1[RespondentID],'All Data'!$A$3:$CO$999,93,FALSE),"unknown")</f>
        <v>English</v>
      </c>
      <c r="AQ507" s="120" t="str">
        <f>IFERROR(VLOOKUP(Table1[RespondentID],'All Data'!$A$3:$CW$999,94,FALSE),"unknown")</f>
        <v>$75,000 to $125,000</v>
      </c>
      <c r="AR507" s="120" t="str">
        <f>IFERROR(VLOOKUP(Table1[RespondentID],'All Data'!$A$3:$CW$999,95,FALSE),"unknown")</f>
        <v>Graduate school</v>
      </c>
      <c r="AS507" s="120" t="str">
        <f>IFERROR(VLOOKUP(Table1[RespondentID],'All Data'!$A$3:$CW$999,96,FALSE),"unknown")</f>
        <v>Retired</v>
      </c>
      <c r="AT507" s="120" t="str">
        <f>IFERROR(VLOOKUP(Table1[RespondentID],'All Data'!$A$3:$CW$999,97,FALSE),"unknown")</f>
        <v>Yes</v>
      </c>
      <c r="AU507" s="120" t="str">
        <f>IFERROR(VLOOKUP(Table1[RespondentID],'All Data'!$A$3:$CW$999,98,FALSE),"unknown")</f>
        <v>Medicare,Private/Commercial</v>
      </c>
      <c r="AV507" s="120" t="str">
        <f>IFERROR(VLOOKUP(Table1[RespondentID],'All Data'!$A$3:$CW$999,99,FALSE),"unknown")</f>
        <v>Yes</v>
      </c>
    </row>
    <row r="508" spans="1:48">
      <c r="A508" s="5">
        <v>18026792090</v>
      </c>
      <c r="B508" s="160"/>
      <c r="C508" s="124"/>
      <c r="D508" s="124"/>
      <c r="E508" s="124"/>
      <c r="F508" s="124"/>
      <c r="G508" s="124"/>
      <c r="H508" s="124"/>
      <c r="I508" s="124"/>
      <c r="J508" s="124"/>
      <c r="K508" s="124"/>
      <c r="L508" s="124"/>
      <c r="M508" s="124"/>
      <c r="N508" s="124"/>
      <c r="O508" s="100">
        <f t="shared" si="153"/>
        <v>0</v>
      </c>
      <c r="P508" s="100" t="e">
        <f t="shared" si="154"/>
        <v>#DIV/0!</v>
      </c>
      <c r="R508" s="100">
        <f t="shared" si="155"/>
        <v>0</v>
      </c>
      <c r="S508" s="100">
        <f t="shared" si="156"/>
        <v>0</v>
      </c>
      <c r="T508" s="100">
        <f t="shared" si="157"/>
        <v>0</v>
      </c>
      <c r="U508" s="100">
        <f t="shared" si="158"/>
        <v>0</v>
      </c>
      <c r="V508" s="100">
        <f t="shared" si="159"/>
        <v>0</v>
      </c>
      <c r="W508" s="100">
        <f t="shared" si="160"/>
        <v>0</v>
      </c>
      <c r="X508" s="100">
        <f t="shared" si="161"/>
        <v>0</v>
      </c>
      <c r="Y508" s="100">
        <f t="shared" si="162"/>
        <v>0</v>
      </c>
      <c r="Z508" s="100">
        <f t="shared" si="163"/>
        <v>0</v>
      </c>
      <c r="AA508" s="100">
        <f t="shared" si="164"/>
        <v>0</v>
      </c>
      <c r="AB508" s="100">
        <f t="shared" si="165"/>
        <v>0</v>
      </c>
      <c r="AC508" s="100">
        <f t="shared" si="166"/>
        <v>0</v>
      </c>
      <c r="AF508" s="100">
        <f t="shared" si="167"/>
        <v>0</v>
      </c>
      <c r="AG508" s="100">
        <f t="shared" si="168"/>
        <v>0</v>
      </c>
      <c r="AH508" s="100" t="str">
        <f t="shared" si="169"/>
        <v>Correct</v>
      </c>
      <c r="AJ508" s="120" t="str">
        <f>IFERROR(VLOOKUP(Table1[RespondentID],'All Data'!$A$3:$CO$999,87,FALSE),"unknown")</f>
        <v>Woman</v>
      </c>
      <c r="AK508" s="120">
        <f>IFERROR(VLOOKUP(Table1[RespondentID],'All Data'!$A$3:$CO$999,88,FALSE),"unknown")</f>
        <v>69</v>
      </c>
      <c r="AL508" s="120" t="str">
        <f>IFERROR(VLOOKUP(Table1[RespondentID],'All Data'!$A$3:$CO$999,89,FALSE),"unknown")</f>
        <v>Nassau</v>
      </c>
      <c r="AM508" s="120" t="str">
        <f>IFERROR(VLOOKUP(Table1[RespondentID],'All Data'!$A$3:$CO$999,90,FALSE),"unknown")</f>
        <v>Williston Park, 11596</v>
      </c>
      <c r="AN508" s="120" t="str">
        <f>IFERROR(VLOOKUP(Table1[RespondentID],'All Data'!$A$3:$CO$999,91,FALSE),"unknown")</f>
        <v>White</v>
      </c>
      <c r="AO508" s="120" t="str">
        <f>IFERROR(VLOOKUP(Table1[RespondentID],'All Data'!$A$3:$CO$999,92,FALSE),"unknown")</f>
        <v>Not Hispanic or Latino</v>
      </c>
      <c r="AP508" s="120">
        <f>IFERROR(VLOOKUP(Table1[RespondentID],'All Data'!$A$3:$CO$999,93,FALSE),"unknown")</f>
        <v>0</v>
      </c>
      <c r="AQ508" s="120">
        <f>IFERROR(VLOOKUP(Table1[RespondentID],'All Data'!$A$3:$CW$999,94,FALSE),"unknown")</f>
        <v>0</v>
      </c>
      <c r="AR508" s="120" t="str">
        <f>IFERROR(VLOOKUP(Table1[RespondentID],'All Data'!$A$3:$CW$999,95,FALSE),"unknown")</f>
        <v>College graduate</v>
      </c>
      <c r="AS508" s="120" t="str">
        <f>IFERROR(VLOOKUP(Table1[RespondentID],'All Data'!$A$3:$CW$999,96,FALSE),"unknown")</f>
        <v>Retired</v>
      </c>
      <c r="AT508" s="120" t="str">
        <f>IFERROR(VLOOKUP(Table1[RespondentID],'All Data'!$A$3:$CW$999,97,FALSE),"unknown")</f>
        <v>Yes</v>
      </c>
      <c r="AU508" s="120" t="str">
        <f>IFERROR(VLOOKUP(Table1[RespondentID],'All Data'!$A$3:$CW$999,98,FALSE),"unknown")</f>
        <v>Medicare</v>
      </c>
      <c r="AV508" s="120" t="str">
        <f>IFERROR(VLOOKUP(Table1[RespondentID],'All Data'!$A$3:$CW$999,99,FALSE),"unknown")</f>
        <v>Yes</v>
      </c>
    </row>
    <row r="509" spans="1:48">
      <c r="A509" s="5">
        <v>18026791962</v>
      </c>
      <c r="B509" s="160"/>
      <c r="C509" s="124"/>
      <c r="D509" s="124"/>
      <c r="E509" s="124"/>
      <c r="F509" s="124"/>
      <c r="G509" s="124"/>
      <c r="H509" s="124"/>
      <c r="I509" s="124"/>
      <c r="J509" s="124"/>
      <c r="K509" s="124"/>
      <c r="L509" s="124"/>
      <c r="M509" s="124"/>
      <c r="N509" s="124"/>
      <c r="O509" s="100">
        <f t="shared" si="153"/>
        <v>0</v>
      </c>
      <c r="P509" s="100" t="e">
        <f t="shared" si="154"/>
        <v>#DIV/0!</v>
      </c>
      <c r="R509" s="100">
        <f t="shared" si="155"/>
        <v>0</v>
      </c>
      <c r="S509" s="100">
        <f t="shared" si="156"/>
        <v>0</v>
      </c>
      <c r="T509" s="100">
        <f t="shared" si="157"/>
        <v>0</v>
      </c>
      <c r="U509" s="100">
        <f t="shared" si="158"/>
        <v>0</v>
      </c>
      <c r="V509" s="100">
        <f t="shared" si="159"/>
        <v>0</v>
      </c>
      <c r="W509" s="100">
        <f t="shared" si="160"/>
        <v>0</v>
      </c>
      <c r="X509" s="100">
        <f t="shared" si="161"/>
        <v>0</v>
      </c>
      <c r="Y509" s="100">
        <f t="shared" si="162"/>
        <v>0</v>
      </c>
      <c r="Z509" s="100">
        <f t="shared" si="163"/>
        <v>0</v>
      </c>
      <c r="AA509" s="100">
        <f t="shared" si="164"/>
        <v>0</v>
      </c>
      <c r="AB509" s="100">
        <f t="shared" si="165"/>
        <v>0</v>
      </c>
      <c r="AC509" s="100">
        <f t="shared" si="166"/>
        <v>0</v>
      </c>
      <c r="AF509" s="100">
        <f t="shared" si="167"/>
        <v>0</v>
      </c>
      <c r="AG509" s="100">
        <f t="shared" si="168"/>
        <v>0</v>
      </c>
      <c r="AH509" s="100" t="str">
        <f t="shared" si="169"/>
        <v>Correct</v>
      </c>
      <c r="AJ509" s="120" t="str">
        <f>IFERROR(VLOOKUP(Table1[RespondentID],'All Data'!$A$3:$CO$999,87,FALSE),"unknown")</f>
        <v>Woman</v>
      </c>
      <c r="AK509" s="120">
        <f>IFERROR(VLOOKUP(Table1[RespondentID],'All Data'!$A$3:$CO$999,88,FALSE),"unknown")</f>
        <v>35</v>
      </c>
      <c r="AL509" s="120" t="str">
        <f>IFERROR(VLOOKUP(Table1[RespondentID],'All Data'!$A$3:$CO$999,89,FALSE),"unknown")</f>
        <v>Nassau</v>
      </c>
      <c r="AM509" s="120" t="str">
        <f>IFERROR(VLOOKUP(Table1[RespondentID],'All Data'!$A$3:$CO$999,90,FALSE),"unknown")</f>
        <v>Williston Park, 11596</v>
      </c>
      <c r="AN509" s="120" t="str">
        <f>IFERROR(VLOOKUP(Table1[RespondentID],'All Data'!$A$3:$CO$999,91,FALSE),"unknown")</f>
        <v>Asian</v>
      </c>
      <c r="AO509" s="120" t="str">
        <f>IFERROR(VLOOKUP(Table1[RespondentID],'All Data'!$A$3:$CO$999,92,FALSE),"unknown")</f>
        <v>Not Hispanic or Latino</v>
      </c>
      <c r="AP509" s="120" t="str">
        <f>IFERROR(VLOOKUP(Table1[RespondentID],'All Data'!$A$3:$CO$999,93,FALSE),"unknown")</f>
        <v>English</v>
      </c>
      <c r="AQ509" s="120">
        <f>IFERROR(VLOOKUP(Table1[RespondentID],'All Data'!$A$3:$CW$999,94,FALSE),"unknown")</f>
        <v>0</v>
      </c>
      <c r="AR509" s="120" t="str">
        <f>IFERROR(VLOOKUP(Table1[RespondentID],'All Data'!$A$3:$CW$999,95,FALSE),"unknown")</f>
        <v>College graduate</v>
      </c>
      <c r="AS509" s="120" t="str">
        <f>IFERROR(VLOOKUP(Table1[RespondentID],'All Data'!$A$3:$CW$999,96,FALSE),"unknown")</f>
        <v>Out of work, but not currently looking</v>
      </c>
      <c r="AT509" s="120" t="str">
        <f>IFERROR(VLOOKUP(Table1[RespondentID],'All Data'!$A$3:$CW$999,97,FALSE),"unknown")</f>
        <v>Yes</v>
      </c>
      <c r="AU509" s="120" t="str">
        <f>IFERROR(VLOOKUP(Table1[RespondentID],'All Data'!$A$3:$CW$999,98,FALSE),"unknown")</f>
        <v>Private/Commercial</v>
      </c>
      <c r="AV509" s="120" t="str">
        <f>IFERROR(VLOOKUP(Table1[RespondentID],'All Data'!$A$3:$CW$999,99,FALSE),"unknown")</f>
        <v>Yes</v>
      </c>
    </row>
    <row r="510" spans="1:48">
      <c r="A510" s="5">
        <v>18026791810</v>
      </c>
      <c r="B510" s="160" t="s">
        <v>38</v>
      </c>
      <c r="C510" s="124"/>
      <c r="D510" s="124"/>
      <c r="E510" s="124"/>
      <c r="F510" s="124"/>
      <c r="G510" s="124"/>
      <c r="H510" s="124" t="s">
        <v>43</v>
      </c>
      <c r="I510" s="124"/>
      <c r="J510" s="124"/>
      <c r="K510" s="124"/>
      <c r="L510" s="124"/>
      <c r="M510" s="124"/>
      <c r="N510" s="124"/>
      <c r="O510" s="100">
        <f t="shared" si="153"/>
        <v>2</v>
      </c>
      <c r="P510" s="100">
        <f t="shared" si="154"/>
        <v>1.5</v>
      </c>
      <c r="R510" s="100">
        <f t="shared" si="155"/>
        <v>1</v>
      </c>
      <c r="S510" s="100">
        <f t="shared" si="156"/>
        <v>0</v>
      </c>
      <c r="T510" s="100">
        <f t="shared" si="157"/>
        <v>0</v>
      </c>
      <c r="U510" s="100">
        <f t="shared" si="158"/>
        <v>0</v>
      </c>
      <c r="V510" s="100">
        <f t="shared" si="159"/>
        <v>0</v>
      </c>
      <c r="W510" s="100">
        <f t="shared" si="160"/>
        <v>0</v>
      </c>
      <c r="X510" s="100">
        <f t="shared" si="161"/>
        <v>1</v>
      </c>
      <c r="Y510" s="100">
        <f t="shared" si="162"/>
        <v>0</v>
      </c>
      <c r="Z510" s="100">
        <f t="shared" si="163"/>
        <v>0</v>
      </c>
      <c r="AA510" s="100">
        <f t="shared" si="164"/>
        <v>0</v>
      </c>
      <c r="AB510" s="100">
        <f t="shared" si="165"/>
        <v>0</v>
      </c>
      <c r="AC510" s="100">
        <f t="shared" si="166"/>
        <v>0</v>
      </c>
      <c r="AF510" s="100">
        <f t="shared" si="167"/>
        <v>2</v>
      </c>
      <c r="AG510" s="100">
        <f t="shared" si="168"/>
        <v>2</v>
      </c>
      <c r="AH510" s="100" t="str">
        <f t="shared" si="169"/>
        <v>Correct</v>
      </c>
      <c r="AJ510" s="120" t="str">
        <f>IFERROR(VLOOKUP(Table1[RespondentID],'All Data'!$A$3:$CO$999,87,FALSE),"unknown")</f>
        <v>Woman</v>
      </c>
      <c r="AK510" s="120">
        <f>IFERROR(VLOOKUP(Table1[RespondentID],'All Data'!$A$3:$CO$999,88,FALSE),"unknown")</f>
        <v>85</v>
      </c>
      <c r="AL510" s="120" t="str">
        <f>IFERROR(VLOOKUP(Table1[RespondentID],'All Data'!$A$3:$CO$999,89,FALSE),"unknown")</f>
        <v>Nassau</v>
      </c>
      <c r="AM510" s="120" t="str">
        <f>IFERROR(VLOOKUP(Table1[RespondentID],'All Data'!$A$3:$CO$999,90,FALSE),"unknown")</f>
        <v>Massapequa, 11758</v>
      </c>
      <c r="AN510" s="120" t="str">
        <f>IFERROR(VLOOKUP(Table1[RespondentID],'All Data'!$A$3:$CO$999,91,FALSE),"unknown")</f>
        <v>White</v>
      </c>
      <c r="AO510" s="120">
        <f>IFERROR(VLOOKUP(Table1[RespondentID],'All Data'!$A$3:$CO$999,92,FALSE),"unknown")</f>
        <v>0</v>
      </c>
      <c r="AP510" s="120" t="str">
        <f>IFERROR(VLOOKUP(Table1[RespondentID],'All Data'!$A$3:$CO$999,93,FALSE),"unknown")</f>
        <v>English</v>
      </c>
      <c r="AQ510" s="120" t="str">
        <f>IFERROR(VLOOKUP(Table1[RespondentID],'All Data'!$A$3:$CW$999,94,FALSE),"unknown")</f>
        <v>$20,000 to $34,999</v>
      </c>
      <c r="AR510" s="120" t="str">
        <f>IFERROR(VLOOKUP(Table1[RespondentID],'All Data'!$A$3:$CW$999,95,FALSE),"unknown")</f>
        <v>College graduate</v>
      </c>
      <c r="AS510" s="120" t="str">
        <f>IFERROR(VLOOKUP(Table1[RespondentID],'All Data'!$A$3:$CW$999,96,FALSE),"unknown")</f>
        <v>Retired</v>
      </c>
      <c r="AT510" s="120" t="str">
        <f>IFERROR(VLOOKUP(Table1[RespondentID],'All Data'!$A$3:$CW$999,97,FALSE),"unknown")</f>
        <v>Yes</v>
      </c>
      <c r="AU510" s="120" t="str">
        <f>IFERROR(VLOOKUP(Table1[RespondentID],'All Data'!$A$3:$CW$999,98,FALSE),"unknown")</f>
        <v>Medicare</v>
      </c>
      <c r="AV510" s="120" t="str">
        <f>IFERROR(VLOOKUP(Table1[RespondentID],'All Data'!$A$3:$CW$999,99,FALSE),"unknown")</f>
        <v>No</v>
      </c>
    </row>
    <row r="511" spans="1:48">
      <c r="A511" s="5">
        <v>18026791613</v>
      </c>
      <c r="B511" s="160"/>
      <c r="C511" s="124"/>
      <c r="D511" s="124"/>
      <c r="E511" s="124" t="s">
        <v>41</v>
      </c>
      <c r="F511" s="124"/>
      <c r="G511" s="124" t="s">
        <v>37</v>
      </c>
      <c r="H511" s="124"/>
      <c r="I511" s="124"/>
      <c r="J511" s="124"/>
      <c r="K511" s="124"/>
      <c r="L511" s="124"/>
      <c r="M511" s="124"/>
      <c r="N511" s="124"/>
      <c r="O511" s="100">
        <f t="shared" si="153"/>
        <v>2</v>
      </c>
      <c r="P511" s="100">
        <f t="shared" si="154"/>
        <v>1.5</v>
      </c>
      <c r="R511" s="100">
        <f t="shared" si="155"/>
        <v>0</v>
      </c>
      <c r="S511" s="100">
        <f t="shared" si="156"/>
        <v>0</v>
      </c>
      <c r="T511" s="100">
        <f t="shared" si="157"/>
        <v>0</v>
      </c>
      <c r="U511" s="100">
        <f t="shared" si="158"/>
        <v>1</v>
      </c>
      <c r="V511" s="100">
        <f t="shared" si="159"/>
        <v>0</v>
      </c>
      <c r="W511" s="100">
        <f t="shared" si="160"/>
        <v>1</v>
      </c>
      <c r="X511" s="100">
        <f t="shared" si="161"/>
        <v>0</v>
      </c>
      <c r="Y511" s="100">
        <f t="shared" si="162"/>
        <v>0</v>
      </c>
      <c r="Z511" s="100">
        <f t="shared" si="163"/>
        <v>0</v>
      </c>
      <c r="AA511" s="100">
        <f t="shared" si="164"/>
        <v>0</v>
      </c>
      <c r="AB511" s="100">
        <f t="shared" si="165"/>
        <v>0</v>
      </c>
      <c r="AC511" s="100">
        <f t="shared" si="166"/>
        <v>0</v>
      </c>
      <c r="AF511" s="100">
        <f t="shared" si="167"/>
        <v>2</v>
      </c>
      <c r="AG511" s="100">
        <f t="shared" si="168"/>
        <v>2</v>
      </c>
      <c r="AH511" s="100" t="str">
        <f t="shared" si="169"/>
        <v>Correct</v>
      </c>
      <c r="AJ511" s="120" t="str">
        <f>IFERROR(VLOOKUP(Table1[RespondentID],'All Data'!$A$3:$CO$999,87,FALSE),"unknown")</f>
        <v>Man</v>
      </c>
      <c r="AK511" s="120">
        <f>IFERROR(VLOOKUP(Table1[RespondentID],'All Data'!$A$3:$CO$999,88,FALSE),"unknown")</f>
        <v>68</v>
      </c>
      <c r="AL511" s="120" t="str">
        <f>IFERROR(VLOOKUP(Table1[RespondentID],'All Data'!$A$3:$CO$999,89,FALSE),"unknown")</f>
        <v>Nassau</v>
      </c>
      <c r="AM511" s="120" t="str">
        <f>IFERROR(VLOOKUP(Table1[RespondentID],'All Data'!$A$3:$CO$999,90,FALSE),"unknown")</f>
        <v>Farmingdale, 11735</v>
      </c>
      <c r="AN511" s="120" t="str">
        <f>IFERROR(VLOOKUP(Table1[RespondentID],'All Data'!$A$3:$CO$999,91,FALSE),"unknown")</f>
        <v>White</v>
      </c>
      <c r="AO511" s="120">
        <f>IFERROR(VLOOKUP(Table1[RespondentID],'All Data'!$A$3:$CO$999,92,FALSE),"unknown")</f>
        <v>0</v>
      </c>
      <c r="AP511" s="120" t="str">
        <f>IFERROR(VLOOKUP(Table1[RespondentID],'All Data'!$A$3:$CO$999,93,FALSE),"unknown")</f>
        <v>English</v>
      </c>
      <c r="AQ511" s="120">
        <f>IFERROR(VLOOKUP(Table1[RespondentID],'All Data'!$A$3:$CW$999,94,FALSE),"unknown")</f>
        <v>0</v>
      </c>
      <c r="AR511" s="120" t="str">
        <f>IFERROR(VLOOKUP(Table1[RespondentID],'All Data'!$A$3:$CW$999,95,FALSE),"unknown")</f>
        <v>Some college</v>
      </c>
      <c r="AS511" s="120" t="str">
        <f>IFERROR(VLOOKUP(Table1[RespondentID],'All Data'!$A$3:$CW$999,96,FALSE),"unknown")</f>
        <v>Retired</v>
      </c>
      <c r="AT511" s="120">
        <f>IFERROR(VLOOKUP(Table1[RespondentID],'All Data'!$A$3:$CW$999,97,FALSE),"unknown")</f>
        <v>0</v>
      </c>
      <c r="AU511" s="120" t="str">
        <f>IFERROR(VLOOKUP(Table1[RespondentID],'All Data'!$A$3:$CW$999,98,FALSE),"unknown")</f>
        <v>Medicare</v>
      </c>
      <c r="AV511" s="120">
        <f>IFERROR(VLOOKUP(Table1[RespondentID],'All Data'!$A$3:$CW$999,99,FALSE),"unknown")</f>
        <v>0</v>
      </c>
    </row>
    <row r="512" spans="1:48">
      <c r="A512" s="5">
        <v>18026791463</v>
      </c>
      <c r="B512" s="160"/>
      <c r="C512" s="124"/>
      <c r="D512" s="124"/>
      <c r="E512" s="124"/>
      <c r="F512" s="124"/>
      <c r="G512" s="124"/>
      <c r="H512" s="124" t="s">
        <v>43</v>
      </c>
      <c r="I512" s="124"/>
      <c r="J512" s="124" t="s">
        <v>45</v>
      </c>
      <c r="K512" s="124"/>
      <c r="L512" s="124"/>
      <c r="M512" s="124"/>
      <c r="N512" s="124"/>
      <c r="O512" s="100">
        <f t="shared" si="153"/>
        <v>2</v>
      </c>
      <c r="P512" s="100">
        <f t="shared" si="154"/>
        <v>1.5</v>
      </c>
      <c r="R512" s="100">
        <f t="shared" si="155"/>
        <v>0</v>
      </c>
      <c r="S512" s="100">
        <f t="shared" si="156"/>
        <v>0</v>
      </c>
      <c r="T512" s="100">
        <f t="shared" si="157"/>
        <v>0</v>
      </c>
      <c r="U512" s="100">
        <f t="shared" si="158"/>
        <v>0</v>
      </c>
      <c r="V512" s="100">
        <f t="shared" si="159"/>
        <v>0</v>
      </c>
      <c r="W512" s="100">
        <f t="shared" si="160"/>
        <v>0</v>
      </c>
      <c r="X512" s="100">
        <f t="shared" si="161"/>
        <v>1</v>
      </c>
      <c r="Y512" s="100">
        <f t="shared" si="162"/>
        <v>0</v>
      </c>
      <c r="Z512" s="100">
        <f t="shared" si="163"/>
        <v>1</v>
      </c>
      <c r="AA512" s="100">
        <f t="shared" si="164"/>
        <v>0</v>
      </c>
      <c r="AB512" s="100">
        <f t="shared" si="165"/>
        <v>0</v>
      </c>
      <c r="AC512" s="100">
        <f t="shared" si="166"/>
        <v>0</v>
      </c>
      <c r="AF512" s="100">
        <f t="shared" si="167"/>
        <v>2</v>
      </c>
      <c r="AG512" s="100">
        <f t="shared" si="168"/>
        <v>2</v>
      </c>
      <c r="AH512" s="100" t="str">
        <f t="shared" si="169"/>
        <v>Correct</v>
      </c>
      <c r="AJ512" s="120" t="str">
        <f>IFERROR(VLOOKUP(Table1[RespondentID],'All Data'!$A$3:$CO$999,87,FALSE),"unknown")</f>
        <v>Woman</v>
      </c>
      <c r="AK512" s="120">
        <f>IFERROR(VLOOKUP(Table1[RespondentID],'All Data'!$A$3:$CO$999,88,FALSE),"unknown")</f>
        <v>75</v>
      </c>
      <c r="AL512" s="120" t="str">
        <f>IFERROR(VLOOKUP(Table1[RespondentID],'All Data'!$A$3:$CO$999,89,FALSE),"unknown")</f>
        <v>Nassau</v>
      </c>
      <c r="AM512" s="120" t="str">
        <f>IFERROR(VLOOKUP(Table1[RespondentID],'All Data'!$A$3:$CO$999,90,FALSE),"unknown")</f>
        <v>Farmingdale, 11735</v>
      </c>
      <c r="AN512" s="120" t="str">
        <f>IFERROR(VLOOKUP(Table1[RespondentID],'All Data'!$A$3:$CO$999,91,FALSE),"unknown")</f>
        <v>White</v>
      </c>
      <c r="AO512" s="120" t="str">
        <f>IFERROR(VLOOKUP(Table1[RespondentID],'All Data'!$A$3:$CO$999,92,FALSE),"unknown")</f>
        <v>Not Hispanic or Latino</v>
      </c>
      <c r="AP512" s="120" t="str">
        <f>IFERROR(VLOOKUP(Table1[RespondentID],'All Data'!$A$3:$CO$999,93,FALSE),"unknown")</f>
        <v>English</v>
      </c>
      <c r="AQ512" s="120" t="str">
        <f>IFERROR(VLOOKUP(Table1[RespondentID],'All Data'!$A$3:$CW$999,94,FALSE),"unknown")</f>
        <v>$20,000 to $34,999</v>
      </c>
      <c r="AR512" s="120" t="str">
        <f>IFERROR(VLOOKUP(Table1[RespondentID],'All Data'!$A$3:$CW$999,95,FALSE),"unknown")</f>
        <v>Some college</v>
      </c>
      <c r="AS512" s="120" t="str">
        <f>IFERROR(VLOOKUP(Table1[RespondentID],'All Data'!$A$3:$CW$999,96,FALSE),"unknown")</f>
        <v>Retired</v>
      </c>
      <c r="AT512" s="120" t="str">
        <f>IFERROR(VLOOKUP(Table1[RespondentID],'All Data'!$A$3:$CW$999,97,FALSE),"unknown")</f>
        <v>Yes</v>
      </c>
      <c r="AU512" s="120" t="str">
        <f>IFERROR(VLOOKUP(Table1[RespondentID],'All Data'!$A$3:$CW$999,98,FALSE),"unknown")</f>
        <v>Medicare</v>
      </c>
      <c r="AV512" s="120">
        <f>IFERROR(VLOOKUP(Table1[RespondentID],'All Data'!$A$3:$CW$999,99,FALSE),"unknown")</f>
        <v>0</v>
      </c>
    </row>
    <row r="513" spans="1:48">
      <c r="A513" s="5">
        <v>18026791236</v>
      </c>
      <c r="B513" s="160"/>
      <c r="C513" s="124" t="s">
        <v>39</v>
      </c>
      <c r="D513" s="124"/>
      <c r="E513" s="124"/>
      <c r="F513" s="124"/>
      <c r="G513" s="124"/>
      <c r="H513" s="124"/>
      <c r="I513" s="124"/>
      <c r="J513" s="124" t="s">
        <v>45</v>
      </c>
      <c r="K513" s="124"/>
      <c r="L513" s="124"/>
      <c r="M513" s="124"/>
      <c r="N513" s="124"/>
      <c r="O513" s="100">
        <f t="shared" si="153"/>
        <v>2</v>
      </c>
      <c r="P513" s="100">
        <f t="shared" si="154"/>
        <v>1.5</v>
      </c>
      <c r="R513" s="100">
        <f t="shared" si="155"/>
        <v>0</v>
      </c>
      <c r="S513" s="100">
        <f t="shared" si="156"/>
        <v>1</v>
      </c>
      <c r="T513" s="100">
        <f t="shared" si="157"/>
        <v>0</v>
      </c>
      <c r="U513" s="100">
        <f t="shared" si="158"/>
        <v>0</v>
      </c>
      <c r="V513" s="100">
        <f t="shared" si="159"/>
        <v>0</v>
      </c>
      <c r="W513" s="100">
        <f t="shared" si="160"/>
        <v>0</v>
      </c>
      <c r="X513" s="100">
        <f t="shared" si="161"/>
        <v>0</v>
      </c>
      <c r="Y513" s="100">
        <f t="shared" si="162"/>
        <v>0</v>
      </c>
      <c r="Z513" s="100">
        <f t="shared" si="163"/>
        <v>1</v>
      </c>
      <c r="AA513" s="100">
        <f t="shared" si="164"/>
        <v>0</v>
      </c>
      <c r="AB513" s="100">
        <f t="shared" si="165"/>
        <v>0</v>
      </c>
      <c r="AC513" s="100">
        <f t="shared" si="166"/>
        <v>0</v>
      </c>
      <c r="AF513" s="100">
        <f t="shared" si="167"/>
        <v>2</v>
      </c>
      <c r="AG513" s="100">
        <f t="shared" si="168"/>
        <v>2</v>
      </c>
      <c r="AH513" s="100" t="str">
        <f t="shared" si="169"/>
        <v>Correct</v>
      </c>
      <c r="AJ513" s="120" t="str">
        <f>IFERROR(VLOOKUP(Table1[RespondentID],'All Data'!$A$3:$CO$999,87,FALSE),"unknown")</f>
        <v>Man</v>
      </c>
      <c r="AK513" s="120">
        <f>IFERROR(VLOOKUP(Table1[RespondentID],'All Data'!$A$3:$CO$999,88,FALSE),"unknown")</f>
        <v>92</v>
      </c>
      <c r="AL513" s="120" t="str">
        <f>IFERROR(VLOOKUP(Table1[RespondentID],'All Data'!$A$3:$CO$999,89,FALSE),"unknown")</f>
        <v>Nassau</v>
      </c>
      <c r="AM513" s="120" t="str">
        <f>IFERROR(VLOOKUP(Table1[RespondentID],'All Data'!$A$3:$CO$999,90,FALSE),"unknown")</f>
        <v>Massapequa, 11758</v>
      </c>
      <c r="AN513" s="120" t="str">
        <f>IFERROR(VLOOKUP(Table1[RespondentID],'All Data'!$A$3:$CO$999,91,FALSE),"unknown")</f>
        <v>White</v>
      </c>
      <c r="AO513" s="120" t="str">
        <f>IFERROR(VLOOKUP(Table1[RespondentID],'All Data'!$A$3:$CO$999,92,FALSE),"unknown")</f>
        <v>Not Hispanic or Latino</v>
      </c>
      <c r="AP513" s="120" t="str">
        <f>IFERROR(VLOOKUP(Table1[RespondentID],'All Data'!$A$3:$CO$999,93,FALSE),"unknown")</f>
        <v>English</v>
      </c>
      <c r="AQ513" s="120" t="str">
        <f>IFERROR(VLOOKUP(Table1[RespondentID],'All Data'!$A$3:$CW$999,94,FALSE),"unknown")</f>
        <v>$50,000 to $74,999</v>
      </c>
      <c r="AR513" s="120" t="str">
        <f>IFERROR(VLOOKUP(Table1[RespondentID],'All Data'!$A$3:$CW$999,95,FALSE),"unknown")</f>
        <v>Some college</v>
      </c>
      <c r="AS513" s="120" t="str">
        <f>IFERROR(VLOOKUP(Table1[RespondentID],'All Data'!$A$3:$CW$999,96,FALSE),"unknown")</f>
        <v>Retired</v>
      </c>
      <c r="AT513" s="120" t="str">
        <f>IFERROR(VLOOKUP(Table1[RespondentID],'All Data'!$A$3:$CW$999,97,FALSE),"unknown")</f>
        <v>Yes</v>
      </c>
      <c r="AU513" s="120" t="str">
        <f>IFERROR(VLOOKUP(Table1[RespondentID],'All Data'!$A$3:$CW$999,98,FALSE),"unknown")</f>
        <v>Medicare,Private/Commercial</v>
      </c>
      <c r="AV513" s="120">
        <f>IFERROR(VLOOKUP(Table1[RespondentID],'All Data'!$A$3:$CW$999,99,FALSE),"unknown")</f>
        <v>0</v>
      </c>
    </row>
    <row r="514" spans="1:48">
      <c r="A514" s="5">
        <v>18026547733</v>
      </c>
      <c r="B514" s="160"/>
      <c r="C514" s="124"/>
      <c r="D514" s="124"/>
      <c r="E514" s="124"/>
      <c r="F514" s="124"/>
      <c r="G514" s="124"/>
      <c r="H514" s="124" t="s">
        <v>43</v>
      </c>
      <c r="I514" s="124"/>
      <c r="J514" s="124" t="s">
        <v>45</v>
      </c>
      <c r="K514" s="124"/>
      <c r="L514" s="124" t="s">
        <v>47</v>
      </c>
      <c r="M514" s="124"/>
      <c r="N514" s="124"/>
      <c r="O514" s="100">
        <f t="shared" si="153"/>
        <v>3</v>
      </c>
      <c r="P514" s="100">
        <f t="shared" si="154"/>
        <v>1</v>
      </c>
      <c r="R514" s="100">
        <f t="shared" si="155"/>
        <v>0</v>
      </c>
      <c r="S514" s="100">
        <f t="shared" si="156"/>
        <v>0</v>
      </c>
      <c r="T514" s="100">
        <f t="shared" si="157"/>
        <v>0</v>
      </c>
      <c r="U514" s="100">
        <f t="shared" si="158"/>
        <v>0</v>
      </c>
      <c r="V514" s="100">
        <f t="shared" si="159"/>
        <v>0</v>
      </c>
      <c r="W514" s="100">
        <f t="shared" si="160"/>
        <v>0</v>
      </c>
      <c r="X514" s="100">
        <f t="shared" si="161"/>
        <v>1</v>
      </c>
      <c r="Y514" s="100">
        <f t="shared" si="162"/>
        <v>0</v>
      </c>
      <c r="Z514" s="100">
        <f t="shared" si="163"/>
        <v>1</v>
      </c>
      <c r="AA514" s="100">
        <f t="shared" si="164"/>
        <v>0</v>
      </c>
      <c r="AB514" s="100">
        <f t="shared" si="165"/>
        <v>1</v>
      </c>
      <c r="AC514" s="100">
        <f t="shared" si="166"/>
        <v>0</v>
      </c>
      <c r="AF514" s="100">
        <f t="shared" si="167"/>
        <v>3</v>
      </c>
      <c r="AG514" s="100">
        <f t="shared" si="168"/>
        <v>3</v>
      </c>
      <c r="AH514" s="100" t="str">
        <f t="shared" si="169"/>
        <v>Correct</v>
      </c>
      <c r="AJ514" s="120" t="str">
        <f>IFERROR(VLOOKUP(Table1[RespondentID],'All Data'!$A$3:$CO$999,87,FALSE),"unknown")</f>
        <v>Woman</v>
      </c>
      <c r="AK514" s="120">
        <f>IFERROR(VLOOKUP(Table1[RespondentID],'All Data'!$A$3:$CO$999,88,FALSE),"unknown")</f>
        <v>49</v>
      </c>
      <c r="AL514" s="120" t="str">
        <f>IFERROR(VLOOKUP(Table1[RespondentID],'All Data'!$A$3:$CO$999,89,FALSE),"unknown")</f>
        <v>Suffolk</v>
      </c>
      <c r="AM514" s="120" t="str">
        <f>IFERROR(VLOOKUP(Table1[RespondentID],'All Data'!$A$3:$CO$999,90,FALSE),"unknown")</f>
        <v>Lake Ronkonkoma, 11779</v>
      </c>
      <c r="AN514" s="120" t="str">
        <f>IFERROR(VLOOKUP(Table1[RespondentID],'All Data'!$A$3:$CO$999,91,FALSE),"unknown")</f>
        <v>White</v>
      </c>
      <c r="AO514" s="120" t="str">
        <f>IFERROR(VLOOKUP(Table1[RespondentID],'All Data'!$A$3:$CO$999,92,FALSE),"unknown")</f>
        <v>Not Hispanic or Latino</v>
      </c>
      <c r="AP514" s="120" t="str">
        <f>IFERROR(VLOOKUP(Table1[RespondentID],'All Data'!$A$3:$CO$999,93,FALSE),"unknown")</f>
        <v>English</v>
      </c>
      <c r="AQ514" s="120" t="str">
        <f>IFERROR(VLOOKUP(Table1[RespondentID],'All Data'!$A$3:$CW$999,94,FALSE),"unknown")</f>
        <v>Over $125,000</v>
      </c>
      <c r="AR514" s="120" t="str">
        <f>IFERROR(VLOOKUP(Table1[RespondentID],'All Data'!$A$3:$CW$999,95,FALSE),"unknown")</f>
        <v>College graduate</v>
      </c>
      <c r="AS514" s="120" t="str">
        <f>IFERROR(VLOOKUP(Table1[RespondentID],'All Data'!$A$3:$CW$999,96,FALSE),"unknown")</f>
        <v>Employed for wages</v>
      </c>
      <c r="AT514" s="120" t="str">
        <f>IFERROR(VLOOKUP(Table1[RespondentID],'All Data'!$A$3:$CW$999,97,FALSE),"unknown")</f>
        <v>Yes</v>
      </c>
      <c r="AU514" s="120" t="str">
        <f>IFERROR(VLOOKUP(Table1[RespondentID],'All Data'!$A$3:$CW$999,98,FALSE),"unknown")</f>
        <v>Private/Commercial</v>
      </c>
      <c r="AV514" s="120" t="str">
        <f>IFERROR(VLOOKUP(Table1[RespondentID],'All Data'!$A$3:$CW$999,99,FALSE),"unknown")</f>
        <v>Yes</v>
      </c>
    </row>
    <row r="515" spans="1:48">
      <c r="A515" s="5">
        <v>18026539753</v>
      </c>
      <c r="B515" s="160"/>
      <c r="C515" s="124" t="s">
        <v>39</v>
      </c>
      <c r="D515" s="124"/>
      <c r="E515" s="124"/>
      <c r="F515" s="124"/>
      <c r="G515" s="124"/>
      <c r="H515" s="124" t="s">
        <v>43</v>
      </c>
      <c r="I515" s="124"/>
      <c r="J515" s="124" t="s">
        <v>45</v>
      </c>
      <c r="K515" s="124"/>
      <c r="L515" s="124"/>
      <c r="M515" s="124"/>
      <c r="N515" s="124"/>
      <c r="O515" s="100">
        <f t="shared" si="153"/>
        <v>3</v>
      </c>
      <c r="P515" s="100">
        <f t="shared" si="154"/>
        <v>1</v>
      </c>
      <c r="R515" s="100">
        <f t="shared" si="155"/>
        <v>0</v>
      </c>
      <c r="S515" s="100">
        <f t="shared" si="156"/>
        <v>1</v>
      </c>
      <c r="T515" s="100">
        <f t="shared" si="157"/>
        <v>0</v>
      </c>
      <c r="U515" s="100">
        <f t="shared" si="158"/>
        <v>0</v>
      </c>
      <c r="V515" s="100">
        <f t="shared" si="159"/>
        <v>0</v>
      </c>
      <c r="W515" s="100">
        <f t="shared" si="160"/>
        <v>0</v>
      </c>
      <c r="X515" s="100">
        <f t="shared" si="161"/>
        <v>1</v>
      </c>
      <c r="Y515" s="100">
        <f t="shared" si="162"/>
        <v>0</v>
      </c>
      <c r="Z515" s="100">
        <f t="shared" si="163"/>
        <v>1</v>
      </c>
      <c r="AA515" s="100">
        <f t="shared" si="164"/>
        <v>0</v>
      </c>
      <c r="AB515" s="100">
        <f t="shared" si="165"/>
        <v>0</v>
      </c>
      <c r="AC515" s="100">
        <f t="shared" si="166"/>
        <v>0</v>
      </c>
      <c r="AF515" s="100">
        <f t="shared" si="167"/>
        <v>3</v>
      </c>
      <c r="AG515" s="100">
        <f t="shared" si="168"/>
        <v>3</v>
      </c>
      <c r="AH515" s="100" t="str">
        <f t="shared" si="169"/>
        <v>Correct</v>
      </c>
      <c r="AJ515" s="120" t="str">
        <f>IFERROR(VLOOKUP(Table1[RespondentID],'All Data'!$A$3:$CO$999,87,FALSE),"unknown")</f>
        <v>Woman</v>
      </c>
      <c r="AK515" s="120">
        <f>IFERROR(VLOOKUP(Table1[RespondentID],'All Data'!$A$3:$CO$999,88,FALSE),"unknown")</f>
        <v>30</v>
      </c>
      <c r="AL515" s="120" t="str">
        <f>IFERROR(VLOOKUP(Table1[RespondentID],'All Data'!$A$3:$CO$999,89,FALSE),"unknown")</f>
        <v>Suffolk</v>
      </c>
      <c r="AM515" s="120" t="str">
        <f>IFERROR(VLOOKUP(Table1[RespondentID],'All Data'!$A$3:$CO$999,90,FALSE),"unknown")</f>
        <v>East Islip, 11730</v>
      </c>
      <c r="AN515" s="120" t="str">
        <f>IFERROR(VLOOKUP(Table1[RespondentID],'All Data'!$A$3:$CO$999,91,FALSE),"unknown")</f>
        <v>White</v>
      </c>
      <c r="AO515" s="120" t="str">
        <f>IFERROR(VLOOKUP(Table1[RespondentID],'All Data'!$A$3:$CO$999,92,FALSE),"unknown")</f>
        <v>Not Hispanic or Latino</v>
      </c>
      <c r="AP515" s="120" t="str">
        <f>IFERROR(VLOOKUP(Table1[RespondentID],'All Data'!$A$3:$CO$999,93,FALSE),"unknown")</f>
        <v>English</v>
      </c>
      <c r="AQ515" s="120" t="str">
        <f>IFERROR(VLOOKUP(Table1[RespondentID],'All Data'!$A$3:$CW$999,94,FALSE),"unknown")</f>
        <v>$75,000 to $125,000</v>
      </c>
      <c r="AR515" s="120" t="str">
        <f>IFERROR(VLOOKUP(Table1[RespondentID],'All Data'!$A$3:$CW$999,95,FALSE),"unknown")</f>
        <v>College graduate</v>
      </c>
      <c r="AS515" s="120" t="str">
        <f>IFERROR(VLOOKUP(Table1[RespondentID],'All Data'!$A$3:$CW$999,96,FALSE),"unknown")</f>
        <v>Employed for wages</v>
      </c>
      <c r="AT515" s="120" t="str">
        <f>IFERROR(VLOOKUP(Table1[RespondentID],'All Data'!$A$3:$CW$999,97,FALSE),"unknown")</f>
        <v>Yes</v>
      </c>
      <c r="AU515" s="120" t="str">
        <f>IFERROR(VLOOKUP(Table1[RespondentID],'All Data'!$A$3:$CW$999,98,FALSE),"unknown")</f>
        <v>Private/Commercial</v>
      </c>
      <c r="AV515" s="120" t="str">
        <f>IFERROR(VLOOKUP(Table1[RespondentID],'All Data'!$A$3:$CW$999,99,FALSE),"unknown")</f>
        <v>Yes</v>
      </c>
    </row>
    <row r="516" spans="1:48">
      <c r="A516" s="5">
        <v>18026486994</v>
      </c>
      <c r="B516" s="160"/>
      <c r="C516" s="124"/>
      <c r="D516" s="124"/>
      <c r="E516" s="124"/>
      <c r="F516" s="124"/>
      <c r="G516" s="124"/>
      <c r="H516" s="124" t="s">
        <v>43</v>
      </c>
      <c r="I516" s="124"/>
      <c r="J516" s="124" t="s">
        <v>45</v>
      </c>
      <c r="K516" s="124"/>
      <c r="L516" s="124"/>
      <c r="M516" s="124"/>
      <c r="N516" s="124"/>
      <c r="O516" s="100">
        <f t="shared" si="153"/>
        <v>2</v>
      </c>
      <c r="P516" s="100">
        <f t="shared" si="154"/>
        <v>1.5</v>
      </c>
      <c r="R516" s="100">
        <f t="shared" si="155"/>
        <v>0</v>
      </c>
      <c r="S516" s="100">
        <f t="shared" si="156"/>
        <v>0</v>
      </c>
      <c r="T516" s="100">
        <f t="shared" si="157"/>
        <v>0</v>
      </c>
      <c r="U516" s="100">
        <f t="shared" si="158"/>
        <v>0</v>
      </c>
      <c r="V516" s="100">
        <f t="shared" si="159"/>
        <v>0</v>
      </c>
      <c r="W516" s="100">
        <f t="shared" si="160"/>
        <v>0</v>
      </c>
      <c r="X516" s="100">
        <f t="shared" si="161"/>
        <v>1</v>
      </c>
      <c r="Y516" s="100">
        <f t="shared" si="162"/>
        <v>0</v>
      </c>
      <c r="Z516" s="100">
        <f t="shared" si="163"/>
        <v>1</v>
      </c>
      <c r="AA516" s="100">
        <f t="shared" si="164"/>
        <v>0</v>
      </c>
      <c r="AB516" s="100">
        <f t="shared" si="165"/>
        <v>0</v>
      </c>
      <c r="AC516" s="100">
        <f t="shared" si="166"/>
        <v>0</v>
      </c>
      <c r="AF516" s="100">
        <f t="shared" si="167"/>
        <v>2</v>
      </c>
      <c r="AG516" s="100">
        <f t="shared" si="168"/>
        <v>2</v>
      </c>
      <c r="AH516" s="100" t="str">
        <f t="shared" si="169"/>
        <v>Correct</v>
      </c>
      <c r="AJ516" s="120" t="str">
        <f>IFERROR(VLOOKUP(Table1[RespondentID],'All Data'!$A$3:$CO$999,87,FALSE),"unknown")</f>
        <v>Woman</v>
      </c>
      <c r="AK516" s="120">
        <f>IFERROR(VLOOKUP(Table1[RespondentID],'All Data'!$A$3:$CO$999,88,FALSE),"unknown")</f>
        <v>64</v>
      </c>
      <c r="AL516" s="120" t="str">
        <f>IFERROR(VLOOKUP(Table1[RespondentID],'All Data'!$A$3:$CO$999,89,FALSE),"unknown")</f>
        <v>Nassau</v>
      </c>
      <c r="AM516" s="120" t="str">
        <f>IFERROR(VLOOKUP(Table1[RespondentID],'All Data'!$A$3:$CO$999,90,FALSE),"unknown")</f>
        <v>Westbury, 11590</v>
      </c>
      <c r="AN516" s="120" t="str">
        <f>IFERROR(VLOOKUP(Table1[RespondentID],'All Data'!$A$3:$CO$999,91,FALSE),"unknown")</f>
        <v>White</v>
      </c>
      <c r="AO516" s="120" t="str">
        <f>IFERROR(VLOOKUP(Table1[RespondentID],'All Data'!$A$3:$CO$999,92,FALSE),"unknown")</f>
        <v>Not Hispanic or Latino</v>
      </c>
      <c r="AP516" s="120" t="str">
        <f>IFERROR(VLOOKUP(Table1[RespondentID],'All Data'!$A$3:$CO$999,93,FALSE),"unknown")</f>
        <v>English</v>
      </c>
      <c r="AQ516" s="120" t="str">
        <f>IFERROR(VLOOKUP(Table1[RespondentID],'All Data'!$A$3:$CW$999,94,FALSE),"unknown")</f>
        <v>Over $125,000</v>
      </c>
      <c r="AR516" s="120" t="str">
        <f>IFERROR(VLOOKUP(Table1[RespondentID],'All Data'!$A$3:$CW$999,95,FALSE),"unknown")</f>
        <v>College graduate</v>
      </c>
      <c r="AS516" s="120" t="str">
        <f>IFERROR(VLOOKUP(Table1[RespondentID],'All Data'!$A$3:$CW$999,96,FALSE),"unknown")</f>
        <v>Retired</v>
      </c>
      <c r="AT516" s="120" t="str">
        <f>IFERROR(VLOOKUP(Table1[RespondentID],'All Data'!$A$3:$CW$999,97,FALSE),"unknown")</f>
        <v>Yes</v>
      </c>
      <c r="AU516" s="120" t="str">
        <f>IFERROR(VLOOKUP(Table1[RespondentID],'All Data'!$A$3:$CW$999,98,FALSE),"unknown")</f>
        <v>Private/Commercial</v>
      </c>
      <c r="AV516" s="120" t="str">
        <f>IFERROR(VLOOKUP(Table1[RespondentID],'All Data'!$A$3:$CW$999,99,FALSE),"unknown")</f>
        <v>Yes</v>
      </c>
    </row>
    <row r="517" spans="1:48">
      <c r="A517" s="5">
        <v>18026481858</v>
      </c>
      <c r="B517" s="160" t="s">
        <v>38</v>
      </c>
      <c r="C517" s="124" t="s">
        <v>39</v>
      </c>
      <c r="D517" s="124"/>
      <c r="E517" s="124"/>
      <c r="F517" s="124"/>
      <c r="G517" s="124"/>
      <c r="H517" s="124"/>
      <c r="I517" s="124"/>
      <c r="J517" s="124"/>
      <c r="K517" s="124" t="s">
        <v>46</v>
      </c>
      <c r="L517" s="124"/>
      <c r="M517" s="124"/>
      <c r="N517" s="124"/>
      <c r="O517" s="100">
        <f t="shared" si="153"/>
        <v>3</v>
      </c>
      <c r="P517" s="100">
        <f t="shared" si="154"/>
        <v>1</v>
      </c>
      <c r="R517" s="100">
        <f t="shared" si="155"/>
        <v>1</v>
      </c>
      <c r="S517" s="100">
        <f t="shared" si="156"/>
        <v>1</v>
      </c>
      <c r="T517" s="100">
        <f t="shared" si="157"/>
        <v>0</v>
      </c>
      <c r="U517" s="100">
        <f t="shared" si="158"/>
        <v>0</v>
      </c>
      <c r="V517" s="100">
        <f t="shared" si="159"/>
        <v>0</v>
      </c>
      <c r="W517" s="100">
        <f t="shared" si="160"/>
        <v>0</v>
      </c>
      <c r="X517" s="100">
        <f t="shared" si="161"/>
        <v>0</v>
      </c>
      <c r="Y517" s="100">
        <f t="shared" si="162"/>
        <v>0</v>
      </c>
      <c r="Z517" s="100">
        <f t="shared" si="163"/>
        <v>0</v>
      </c>
      <c r="AA517" s="100">
        <f t="shared" si="164"/>
        <v>1</v>
      </c>
      <c r="AB517" s="100">
        <f t="shared" si="165"/>
        <v>0</v>
      </c>
      <c r="AC517" s="100">
        <f t="shared" si="166"/>
        <v>0</v>
      </c>
      <c r="AF517" s="100">
        <f t="shared" si="167"/>
        <v>3</v>
      </c>
      <c r="AG517" s="100">
        <f t="shared" si="168"/>
        <v>3</v>
      </c>
      <c r="AH517" s="100" t="str">
        <f t="shared" si="169"/>
        <v>Correct</v>
      </c>
      <c r="AJ517" s="120" t="str">
        <f>IFERROR(VLOOKUP(Table1[RespondentID],'All Data'!$A$3:$CO$999,87,FALSE),"unknown")</f>
        <v>Man</v>
      </c>
      <c r="AK517" s="120">
        <f>IFERROR(VLOOKUP(Table1[RespondentID],'All Data'!$A$3:$CO$999,88,FALSE),"unknown")</f>
        <v>37</v>
      </c>
      <c r="AL517" s="120" t="str">
        <f>IFERROR(VLOOKUP(Table1[RespondentID],'All Data'!$A$3:$CO$999,89,FALSE),"unknown")</f>
        <v>Suffolk</v>
      </c>
      <c r="AM517" s="120" t="str">
        <f>IFERROR(VLOOKUP(Table1[RespondentID],'All Data'!$A$3:$CO$999,90,FALSE),"unknown")</f>
        <v>Stony Brook, 11790</v>
      </c>
      <c r="AN517" s="120" t="str">
        <f>IFERROR(VLOOKUP(Table1[RespondentID],'All Data'!$A$3:$CO$999,91,FALSE),"unknown")</f>
        <v>White</v>
      </c>
      <c r="AO517" s="120" t="str">
        <f>IFERROR(VLOOKUP(Table1[RespondentID],'All Data'!$A$3:$CO$999,92,FALSE),"unknown")</f>
        <v>Not Hispanic or Latino</v>
      </c>
      <c r="AP517" s="120">
        <f>IFERROR(VLOOKUP(Table1[RespondentID],'All Data'!$A$3:$CO$999,93,FALSE),"unknown")</f>
        <v>0</v>
      </c>
      <c r="AQ517" s="120" t="str">
        <f>IFERROR(VLOOKUP(Table1[RespondentID],'All Data'!$A$3:$CW$999,94,FALSE),"unknown")</f>
        <v>$20,000 to $34,999</v>
      </c>
      <c r="AR517" s="120" t="str">
        <f>IFERROR(VLOOKUP(Table1[RespondentID],'All Data'!$A$3:$CW$999,95,FALSE),"unknown")</f>
        <v>College graduate</v>
      </c>
      <c r="AS517" s="120" t="str">
        <f>IFERROR(VLOOKUP(Table1[RespondentID],'All Data'!$A$3:$CW$999,96,FALSE),"unknown")</f>
        <v>Out of work and looking for work</v>
      </c>
      <c r="AT517" s="120" t="str">
        <f>IFERROR(VLOOKUP(Table1[RespondentID],'All Data'!$A$3:$CW$999,97,FALSE),"unknown")</f>
        <v>Yes</v>
      </c>
      <c r="AU517" s="120" t="str">
        <f>IFERROR(VLOOKUP(Table1[RespondentID],'All Data'!$A$3:$CW$999,98,FALSE),"unknown")</f>
        <v>Medicaid,Medicare</v>
      </c>
      <c r="AV517" s="120" t="str">
        <f>IFERROR(VLOOKUP(Table1[RespondentID],'All Data'!$A$3:$CW$999,99,FALSE),"unknown")</f>
        <v>Yes</v>
      </c>
    </row>
    <row r="518" spans="1:48">
      <c r="A518" s="5">
        <v>18026458777</v>
      </c>
      <c r="B518" s="160"/>
      <c r="C518" s="124" t="s">
        <v>39</v>
      </c>
      <c r="D518" s="124"/>
      <c r="E518" s="124"/>
      <c r="F518" s="124"/>
      <c r="G518" s="124"/>
      <c r="H518" s="124" t="s">
        <v>43</v>
      </c>
      <c r="I518" s="124"/>
      <c r="J518" s="124"/>
      <c r="K518" s="124"/>
      <c r="L518" s="124" t="s">
        <v>47</v>
      </c>
      <c r="M518" s="124"/>
      <c r="N518" s="124"/>
      <c r="O518" s="100">
        <f t="shared" si="153"/>
        <v>3</v>
      </c>
      <c r="P518" s="100">
        <f t="shared" si="154"/>
        <v>1</v>
      </c>
      <c r="R518" s="100">
        <f t="shared" si="155"/>
        <v>0</v>
      </c>
      <c r="S518" s="100">
        <f t="shared" si="156"/>
        <v>1</v>
      </c>
      <c r="T518" s="100">
        <f t="shared" si="157"/>
        <v>0</v>
      </c>
      <c r="U518" s="100">
        <f t="shared" si="158"/>
        <v>0</v>
      </c>
      <c r="V518" s="100">
        <f t="shared" si="159"/>
        <v>0</v>
      </c>
      <c r="W518" s="100">
        <f t="shared" si="160"/>
        <v>0</v>
      </c>
      <c r="X518" s="100">
        <f t="shared" si="161"/>
        <v>1</v>
      </c>
      <c r="Y518" s="100">
        <f t="shared" si="162"/>
        <v>0</v>
      </c>
      <c r="Z518" s="100">
        <f t="shared" si="163"/>
        <v>0</v>
      </c>
      <c r="AA518" s="100">
        <f t="shared" si="164"/>
        <v>0</v>
      </c>
      <c r="AB518" s="100">
        <f t="shared" si="165"/>
        <v>1</v>
      </c>
      <c r="AC518" s="100">
        <f t="shared" si="166"/>
        <v>0</v>
      </c>
      <c r="AF518" s="100">
        <f t="shared" si="167"/>
        <v>3</v>
      </c>
      <c r="AG518" s="100">
        <f t="shared" si="168"/>
        <v>3</v>
      </c>
      <c r="AH518" s="100" t="str">
        <f t="shared" si="169"/>
        <v>Correct</v>
      </c>
      <c r="AJ518" s="120" t="str">
        <f>IFERROR(VLOOKUP(Table1[RespondentID],'All Data'!$A$3:$CO$999,87,FALSE),"unknown")</f>
        <v>Woman</v>
      </c>
      <c r="AK518" s="120">
        <f>IFERROR(VLOOKUP(Table1[RespondentID],'All Data'!$A$3:$CO$999,88,FALSE),"unknown")</f>
        <v>55</v>
      </c>
      <c r="AL518" s="120" t="str">
        <f>IFERROR(VLOOKUP(Table1[RespondentID],'All Data'!$A$3:$CO$999,89,FALSE),"unknown")</f>
        <v>Suffolk</v>
      </c>
      <c r="AM518" s="120" t="str">
        <f>IFERROR(VLOOKUP(Table1[RespondentID],'All Data'!$A$3:$CO$999,90,FALSE),"unknown")</f>
        <v>Port Jefferson Station, 11776</v>
      </c>
      <c r="AN518" s="120" t="str">
        <f>IFERROR(VLOOKUP(Table1[RespondentID],'All Data'!$A$3:$CO$999,91,FALSE),"unknown")</f>
        <v>White</v>
      </c>
      <c r="AO518" s="120" t="str">
        <f>IFERROR(VLOOKUP(Table1[RespondentID],'All Data'!$A$3:$CO$999,92,FALSE),"unknown")</f>
        <v>Not Hispanic or Latino</v>
      </c>
      <c r="AP518" s="120" t="str">
        <f>IFERROR(VLOOKUP(Table1[RespondentID],'All Data'!$A$3:$CO$999,93,FALSE),"unknown")</f>
        <v>English</v>
      </c>
      <c r="AQ518" s="120" t="str">
        <f>IFERROR(VLOOKUP(Table1[RespondentID],'All Data'!$A$3:$CW$999,94,FALSE),"unknown")</f>
        <v>Over $125,000</v>
      </c>
      <c r="AR518" s="120" t="str">
        <f>IFERROR(VLOOKUP(Table1[RespondentID],'All Data'!$A$3:$CW$999,95,FALSE),"unknown")</f>
        <v>Graduate school</v>
      </c>
      <c r="AS518" s="120" t="str">
        <f>IFERROR(VLOOKUP(Table1[RespondentID],'All Data'!$A$3:$CW$999,96,FALSE),"unknown")</f>
        <v>Employed for wages</v>
      </c>
      <c r="AT518" s="120" t="str">
        <f>IFERROR(VLOOKUP(Table1[RespondentID],'All Data'!$A$3:$CW$999,97,FALSE),"unknown")</f>
        <v>Yes</v>
      </c>
      <c r="AU518" s="120" t="str">
        <f>IFERROR(VLOOKUP(Table1[RespondentID],'All Data'!$A$3:$CW$999,98,FALSE),"unknown")</f>
        <v>Private/Commercial</v>
      </c>
      <c r="AV518" s="120" t="str">
        <f>IFERROR(VLOOKUP(Table1[RespondentID],'All Data'!$A$3:$CW$999,99,FALSE),"unknown")</f>
        <v>Yes</v>
      </c>
    </row>
    <row r="519" spans="1:48">
      <c r="A519" s="5">
        <v>18031750233</v>
      </c>
      <c r="B519" s="160"/>
      <c r="C519" s="124"/>
      <c r="D519" s="124"/>
      <c r="E519" s="124"/>
      <c r="F519" s="124"/>
      <c r="G519" s="124"/>
      <c r="H519" s="124" t="s">
        <v>43</v>
      </c>
      <c r="I519" s="124" t="s">
        <v>44</v>
      </c>
      <c r="J519" s="124" t="s">
        <v>45</v>
      </c>
      <c r="K519" s="124"/>
      <c r="L519" s="124"/>
      <c r="M519" s="124"/>
      <c r="N519" s="124"/>
      <c r="O519" s="100">
        <f t="shared" si="153"/>
        <v>3</v>
      </c>
      <c r="P519" s="100">
        <f t="shared" si="154"/>
        <v>1</v>
      </c>
      <c r="R519" s="100">
        <f t="shared" si="155"/>
        <v>0</v>
      </c>
      <c r="S519" s="100">
        <f t="shared" si="156"/>
        <v>0</v>
      </c>
      <c r="T519" s="100">
        <f t="shared" si="157"/>
        <v>0</v>
      </c>
      <c r="U519" s="100">
        <f t="shared" si="158"/>
        <v>0</v>
      </c>
      <c r="V519" s="100">
        <f t="shared" si="159"/>
        <v>0</v>
      </c>
      <c r="W519" s="100">
        <f t="shared" si="160"/>
        <v>0</v>
      </c>
      <c r="X519" s="100">
        <f t="shared" si="161"/>
        <v>1</v>
      </c>
      <c r="Y519" s="100">
        <f t="shared" si="162"/>
        <v>1</v>
      </c>
      <c r="Z519" s="100">
        <f t="shared" si="163"/>
        <v>1</v>
      </c>
      <c r="AA519" s="100">
        <f t="shared" si="164"/>
        <v>0</v>
      </c>
      <c r="AB519" s="100">
        <f t="shared" si="165"/>
        <v>0</v>
      </c>
      <c r="AC519" s="100">
        <f t="shared" si="166"/>
        <v>0</v>
      </c>
      <c r="AF519" s="100">
        <f t="shared" si="167"/>
        <v>3</v>
      </c>
      <c r="AG519" s="100">
        <f t="shared" si="168"/>
        <v>3</v>
      </c>
      <c r="AH519" s="100" t="str">
        <f t="shared" si="169"/>
        <v>Correct</v>
      </c>
      <c r="AJ519" s="120" t="str">
        <f>IFERROR(VLOOKUP(Table1[RespondentID],'All Data'!$A$3:$CO$999,87,FALSE),"unknown")</f>
        <v>Woman</v>
      </c>
      <c r="AK519" s="120">
        <f>IFERROR(VLOOKUP(Table1[RespondentID],'All Data'!$A$3:$CO$999,88,FALSE),"unknown")</f>
        <v>37</v>
      </c>
      <c r="AL519" s="120" t="str">
        <f>IFERROR(VLOOKUP(Table1[RespondentID],'All Data'!$A$3:$CO$999,89,FALSE),"unknown")</f>
        <v>Suffolk</v>
      </c>
      <c r="AM519" s="120" t="str">
        <f>IFERROR(VLOOKUP(Table1[RespondentID],'All Data'!$A$3:$CO$999,90,FALSE),"unknown")</f>
        <v>Huntington, 11743</v>
      </c>
      <c r="AN519" s="120">
        <f>IFERROR(VLOOKUP(Table1[RespondentID],'All Data'!$A$3:$CO$999,91,FALSE),"unknown")</f>
        <v>0</v>
      </c>
      <c r="AO519" s="120" t="str">
        <f>IFERROR(VLOOKUP(Table1[RespondentID],'All Data'!$A$3:$CO$999,92,FALSE),"unknown")</f>
        <v>Hispanic or Latino</v>
      </c>
      <c r="AP519" s="120" t="str">
        <f>IFERROR(VLOOKUP(Table1[RespondentID],'All Data'!$A$3:$CO$999,93,FALSE),"unknown")</f>
        <v>Spanish</v>
      </c>
      <c r="AQ519" s="120" t="str">
        <f>IFERROR(VLOOKUP(Table1[RespondentID],'All Data'!$A$3:$CW$999,94,FALSE),"unknown")</f>
        <v>$20,000 to $34,999</v>
      </c>
      <c r="AR519" s="120" t="str">
        <f>IFERROR(VLOOKUP(Table1[RespondentID],'All Data'!$A$3:$CW$999,95,FALSE),"unknown")</f>
        <v>K-8 grade</v>
      </c>
      <c r="AS519" s="120" t="str">
        <f>IFERROR(VLOOKUP(Table1[RespondentID],'All Data'!$A$3:$CW$999,96,FALSE),"unknown")</f>
        <v>Self-employed</v>
      </c>
      <c r="AT519" s="120" t="str">
        <f>IFERROR(VLOOKUP(Table1[RespondentID],'All Data'!$A$3:$CW$999,97,FALSE),"unknown")</f>
        <v>Yes</v>
      </c>
      <c r="AU519" s="120" t="str">
        <f>IFERROR(VLOOKUP(Table1[RespondentID],'All Data'!$A$3:$CW$999,98,FALSE),"unknown")</f>
        <v>Private/Commercial</v>
      </c>
      <c r="AV519" s="120" t="str">
        <f>IFERROR(VLOOKUP(Table1[RespondentID],'All Data'!$A$3:$CW$999,99,FALSE),"unknown")</f>
        <v>Yes</v>
      </c>
    </row>
    <row r="520" spans="1:48">
      <c r="A520" s="5">
        <v>18031750066</v>
      </c>
      <c r="B520" s="160"/>
      <c r="C520" s="124"/>
      <c r="D520" s="124"/>
      <c r="E520" s="124"/>
      <c r="F520" s="124"/>
      <c r="G520" s="124"/>
      <c r="H520" s="124" t="s">
        <v>43</v>
      </c>
      <c r="I520" s="124"/>
      <c r="J520" s="124"/>
      <c r="K520" s="124" t="s">
        <v>46</v>
      </c>
      <c r="L520" s="124"/>
      <c r="M520" s="124"/>
      <c r="N520" s="124"/>
      <c r="O520" s="100">
        <f t="shared" si="153"/>
        <v>2</v>
      </c>
      <c r="P520" s="100">
        <f t="shared" si="154"/>
        <v>1.5</v>
      </c>
      <c r="R520" s="100">
        <f t="shared" si="155"/>
        <v>0</v>
      </c>
      <c r="S520" s="100">
        <f t="shared" si="156"/>
        <v>0</v>
      </c>
      <c r="T520" s="100">
        <f t="shared" si="157"/>
        <v>0</v>
      </c>
      <c r="U520" s="100">
        <f t="shared" si="158"/>
        <v>0</v>
      </c>
      <c r="V520" s="100">
        <f t="shared" si="159"/>
        <v>0</v>
      </c>
      <c r="W520" s="100">
        <f t="shared" si="160"/>
        <v>0</v>
      </c>
      <c r="X520" s="100">
        <f t="shared" si="161"/>
        <v>1</v>
      </c>
      <c r="Y520" s="100">
        <f t="shared" si="162"/>
        <v>0</v>
      </c>
      <c r="Z520" s="100">
        <f t="shared" si="163"/>
        <v>0</v>
      </c>
      <c r="AA520" s="100">
        <f t="shared" si="164"/>
        <v>1</v>
      </c>
      <c r="AB520" s="100">
        <f t="shared" si="165"/>
        <v>0</v>
      </c>
      <c r="AC520" s="100">
        <f t="shared" si="166"/>
        <v>0</v>
      </c>
      <c r="AF520" s="100">
        <f t="shared" si="167"/>
        <v>2</v>
      </c>
      <c r="AG520" s="100">
        <f t="shared" si="168"/>
        <v>2</v>
      </c>
      <c r="AH520" s="100" t="str">
        <f t="shared" si="169"/>
        <v>Correct</v>
      </c>
      <c r="AJ520" s="120" t="str">
        <f>IFERROR(VLOOKUP(Table1[RespondentID],'All Data'!$A$3:$CO$999,87,FALSE),"unknown")</f>
        <v>Man</v>
      </c>
      <c r="AK520" s="120">
        <f>IFERROR(VLOOKUP(Table1[RespondentID],'All Data'!$A$3:$CO$999,88,FALSE),"unknown")</f>
        <v>44</v>
      </c>
      <c r="AL520" s="120" t="str">
        <f>IFERROR(VLOOKUP(Table1[RespondentID],'All Data'!$A$3:$CO$999,89,FALSE),"unknown")</f>
        <v>Suffolk</v>
      </c>
      <c r="AM520" s="120" t="str">
        <f>IFERROR(VLOOKUP(Table1[RespondentID],'All Data'!$A$3:$CO$999,90,FALSE),"unknown")</f>
        <v>Huntington, 11743</v>
      </c>
      <c r="AN520" s="120" t="str">
        <f>IFERROR(VLOOKUP(Table1[RespondentID],'All Data'!$A$3:$CO$999,91,FALSE),"unknown")</f>
        <v>White</v>
      </c>
      <c r="AO520" s="120" t="str">
        <f>IFERROR(VLOOKUP(Table1[RespondentID],'All Data'!$A$3:$CO$999,92,FALSE),"unknown")</f>
        <v>Hispanic or Latino</v>
      </c>
      <c r="AP520" s="120" t="str">
        <f>IFERROR(VLOOKUP(Table1[RespondentID],'All Data'!$A$3:$CO$999,93,FALSE),"unknown")</f>
        <v>Spanish</v>
      </c>
      <c r="AQ520" s="120" t="str">
        <f>IFERROR(VLOOKUP(Table1[RespondentID],'All Data'!$A$3:$CW$999,94,FALSE),"unknown")</f>
        <v>$20,000 to $34,999</v>
      </c>
      <c r="AR520" s="120" t="str">
        <f>IFERROR(VLOOKUP(Table1[RespondentID],'All Data'!$A$3:$CW$999,95,FALSE),"unknown")</f>
        <v>Some high school</v>
      </c>
      <c r="AS520" s="120" t="str">
        <f>IFERROR(VLOOKUP(Table1[RespondentID],'All Data'!$A$3:$CW$999,96,FALSE),"unknown")</f>
        <v>Employed for wages</v>
      </c>
      <c r="AT520" s="120" t="str">
        <f>IFERROR(VLOOKUP(Table1[RespondentID],'All Data'!$A$3:$CW$999,97,FALSE),"unknown")</f>
        <v>No</v>
      </c>
      <c r="AU520" s="120" t="str">
        <f>IFERROR(VLOOKUP(Table1[RespondentID],'All Data'!$A$3:$CW$999,98,FALSE),"unknown")</f>
        <v>No Insurance</v>
      </c>
      <c r="AV520" s="120" t="str">
        <f>IFERROR(VLOOKUP(Table1[RespondentID],'All Data'!$A$3:$CW$999,99,FALSE),"unknown")</f>
        <v>Yes</v>
      </c>
    </row>
    <row r="521" spans="1:48">
      <c r="A521" s="5">
        <v>18031749313</v>
      </c>
      <c r="B521" s="160"/>
      <c r="C521" s="124"/>
      <c r="D521" s="124"/>
      <c r="E521" s="124"/>
      <c r="F521" s="124"/>
      <c r="G521" s="124"/>
      <c r="H521" s="124"/>
      <c r="I521" s="124"/>
      <c r="J521" s="124"/>
      <c r="K521" s="124"/>
      <c r="L521" s="124"/>
      <c r="M521" s="124"/>
      <c r="N521" s="124"/>
      <c r="O521" s="100">
        <f t="shared" si="153"/>
        <v>0</v>
      </c>
      <c r="P521" s="100" t="e">
        <f t="shared" si="154"/>
        <v>#DIV/0!</v>
      </c>
      <c r="R521" s="100">
        <f t="shared" si="155"/>
        <v>0</v>
      </c>
      <c r="S521" s="100">
        <f t="shared" si="156"/>
        <v>0</v>
      </c>
      <c r="T521" s="100">
        <f t="shared" si="157"/>
        <v>0</v>
      </c>
      <c r="U521" s="100">
        <f t="shared" si="158"/>
        <v>0</v>
      </c>
      <c r="V521" s="100">
        <f t="shared" si="159"/>
        <v>0</v>
      </c>
      <c r="W521" s="100">
        <f t="shared" si="160"/>
        <v>0</v>
      </c>
      <c r="X521" s="100">
        <f t="shared" si="161"/>
        <v>0</v>
      </c>
      <c r="Y521" s="100">
        <f t="shared" si="162"/>
        <v>0</v>
      </c>
      <c r="Z521" s="100">
        <f t="shared" si="163"/>
        <v>0</v>
      </c>
      <c r="AA521" s="100">
        <f t="shared" si="164"/>
        <v>0</v>
      </c>
      <c r="AB521" s="100">
        <f t="shared" si="165"/>
        <v>0</v>
      </c>
      <c r="AC521" s="100">
        <f t="shared" si="166"/>
        <v>0</v>
      </c>
      <c r="AF521" s="100">
        <f t="shared" si="167"/>
        <v>0</v>
      </c>
      <c r="AG521" s="100">
        <f t="shared" si="168"/>
        <v>0</v>
      </c>
      <c r="AH521" s="100" t="str">
        <f t="shared" si="169"/>
        <v>Correct</v>
      </c>
      <c r="AJ521" s="120">
        <f>IFERROR(VLOOKUP(Table1[RespondentID],'All Data'!$A$3:$CO$999,87,FALSE),"unknown")</f>
        <v>0</v>
      </c>
      <c r="AK521" s="120">
        <f>IFERROR(VLOOKUP(Table1[RespondentID],'All Data'!$A$3:$CO$999,88,FALSE),"unknown")</f>
        <v>0</v>
      </c>
      <c r="AL521" s="120">
        <f>IFERROR(VLOOKUP(Table1[RespondentID],'All Data'!$A$3:$CO$999,89,FALSE),"unknown")</f>
        <v>0</v>
      </c>
      <c r="AM521" s="120">
        <f>IFERROR(VLOOKUP(Table1[RespondentID],'All Data'!$A$3:$CO$999,90,FALSE),"unknown")</f>
        <v>0</v>
      </c>
      <c r="AN521" s="120">
        <f>IFERROR(VLOOKUP(Table1[RespondentID],'All Data'!$A$3:$CO$999,91,FALSE),"unknown")</f>
        <v>0</v>
      </c>
      <c r="AO521" s="120" t="str">
        <f>IFERROR(VLOOKUP(Table1[RespondentID],'All Data'!$A$3:$CO$999,92,FALSE),"unknown")</f>
        <v>Hispanic or Latino</v>
      </c>
      <c r="AP521" s="120" t="str">
        <f>IFERROR(VLOOKUP(Table1[RespondentID],'All Data'!$A$3:$CO$999,93,FALSE),"unknown")</f>
        <v>Spanish</v>
      </c>
      <c r="AQ521" s="120" t="str">
        <f>IFERROR(VLOOKUP(Table1[RespondentID],'All Data'!$A$3:$CW$999,94,FALSE),"unknown")</f>
        <v>$20,000 to $34,999</v>
      </c>
      <c r="AR521" s="120" t="str">
        <f>IFERROR(VLOOKUP(Table1[RespondentID],'All Data'!$A$3:$CW$999,95,FALSE),"unknown")</f>
        <v>Some high school</v>
      </c>
      <c r="AS521" s="120">
        <f>IFERROR(VLOOKUP(Table1[RespondentID],'All Data'!$A$3:$CW$999,96,FALSE),"unknown")</f>
        <v>0</v>
      </c>
      <c r="AT521" s="120" t="str">
        <f>IFERROR(VLOOKUP(Table1[RespondentID],'All Data'!$A$3:$CW$999,97,FALSE),"unknown")</f>
        <v>No</v>
      </c>
      <c r="AU521" s="120" t="str">
        <f>IFERROR(VLOOKUP(Table1[RespondentID],'All Data'!$A$3:$CW$999,98,FALSE),"unknown")</f>
        <v>No Insurance</v>
      </c>
      <c r="AV521" s="120" t="str">
        <f>IFERROR(VLOOKUP(Table1[RespondentID],'All Data'!$A$3:$CW$999,99,FALSE),"unknown")</f>
        <v>Yes</v>
      </c>
    </row>
    <row r="522" spans="1:48">
      <c r="A522" s="5">
        <v>18031746891</v>
      </c>
      <c r="B522" s="160"/>
      <c r="C522" s="124"/>
      <c r="D522" s="124"/>
      <c r="E522" s="124"/>
      <c r="F522" s="124"/>
      <c r="G522" s="124"/>
      <c r="H522" s="124"/>
      <c r="I522" s="124"/>
      <c r="J522" s="124"/>
      <c r="K522" s="124"/>
      <c r="L522" s="124"/>
      <c r="M522" s="124"/>
      <c r="N522" s="124"/>
      <c r="O522" s="100">
        <f t="shared" si="153"/>
        <v>0</v>
      </c>
      <c r="P522" s="100" t="e">
        <f t="shared" si="154"/>
        <v>#DIV/0!</v>
      </c>
      <c r="R522" s="100">
        <f t="shared" si="155"/>
        <v>0</v>
      </c>
      <c r="S522" s="100">
        <f t="shared" si="156"/>
        <v>0</v>
      </c>
      <c r="T522" s="100">
        <f t="shared" si="157"/>
        <v>0</v>
      </c>
      <c r="U522" s="100">
        <f t="shared" si="158"/>
        <v>0</v>
      </c>
      <c r="V522" s="100">
        <f t="shared" si="159"/>
        <v>0</v>
      </c>
      <c r="W522" s="100">
        <f t="shared" si="160"/>
        <v>0</v>
      </c>
      <c r="X522" s="100">
        <f t="shared" si="161"/>
        <v>0</v>
      </c>
      <c r="Y522" s="100">
        <f t="shared" si="162"/>
        <v>0</v>
      </c>
      <c r="Z522" s="100">
        <f t="shared" si="163"/>
        <v>0</v>
      </c>
      <c r="AA522" s="100">
        <f t="shared" si="164"/>
        <v>0</v>
      </c>
      <c r="AB522" s="100">
        <f t="shared" si="165"/>
        <v>0</v>
      </c>
      <c r="AC522" s="100">
        <f t="shared" si="166"/>
        <v>0</v>
      </c>
      <c r="AF522" s="100">
        <f t="shared" si="167"/>
        <v>0</v>
      </c>
      <c r="AG522" s="100">
        <f t="shared" si="168"/>
        <v>0</v>
      </c>
      <c r="AH522" s="100" t="str">
        <f t="shared" si="169"/>
        <v>Correct</v>
      </c>
      <c r="AJ522" s="120" t="str">
        <f>IFERROR(VLOOKUP(Table1[RespondentID],'All Data'!$A$3:$CO$999,87,FALSE),"unknown")</f>
        <v>Woman</v>
      </c>
      <c r="AK522" s="120">
        <f>IFERROR(VLOOKUP(Table1[RespondentID],'All Data'!$A$3:$CO$999,88,FALSE),"unknown")</f>
        <v>65</v>
      </c>
      <c r="AL522" s="120" t="str">
        <f>IFERROR(VLOOKUP(Table1[RespondentID],'All Data'!$A$3:$CO$999,89,FALSE),"unknown")</f>
        <v>Nassau</v>
      </c>
      <c r="AM522" s="120" t="str">
        <f>IFERROR(VLOOKUP(Table1[RespondentID],'All Data'!$A$3:$CO$999,90,FALSE),"unknown")</f>
        <v>Freeport, 11520</v>
      </c>
      <c r="AN522" s="120">
        <f>IFERROR(VLOOKUP(Table1[RespondentID],'All Data'!$A$3:$CO$999,91,FALSE),"unknown")</f>
        <v>0</v>
      </c>
      <c r="AO522" s="120" t="str">
        <f>IFERROR(VLOOKUP(Table1[RespondentID],'All Data'!$A$3:$CO$999,92,FALSE),"unknown")</f>
        <v>Hispanic or Latino</v>
      </c>
      <c r="AP522" s="120" t="str">
        <f>IFERROR(VLOOKUP(Table1[RespondentID],'All Data'!$A$3:$CO$999,93,FALSE),"unknown")</f>
        <v>Spanish</v>
      </c>
      <c r="AQ522" s="120">
        <f>IFERROR(VLOOKUP(Table1[RespondentID],'All Data'!$A$3:$CW$999,94,FALSE),"unknown")</f>
        <v>0</v>
      </c>
      <c r="AR522" s="120">
        <f>IFERROR(VLOOKUP(Table1[RespondentID],'All Data'!$A$3:$CW$999,95,FALSE),"unknown")</f>
        <v>0</v>
      </c>
      <c r="AS522" s="120" t="str">
        <f>IFERROR(VLOOKUP(Table1[RespondentID],'All Data'!$A$3:$CW$999,96,FALSE),"unknown")</f>
        <v>Retired</v>
      </c>
      <c r="AT522" s="120" t="str">
        <f>IFERROR(VLOOKUP(Table1[RespondentID],'All Data'!$A$3:$CW$999,97,FALSE),"unknown")</f>
        <v>Yes</v>
      </c>
      <c r="AU522" s="120" t="str">
        <f>IFERROR(VLOOKUP(Table1[RespondentID],'All Data'!$A$3:$CW$999,98,FALSE),"unknown")</f>
        <v>Medicaid,Medicare</v>
      </c>
      <c r="AV522" s="120" t="str">
        <f>IFERROR(VLOOKUP(Table1[RespondentID],'All Data'!$A$3:$CW$999,99,FALSE),"unknown")</f>
        <v>Yes</v>
      </c>
    </row>
    <row r="523" spans="1:48">
      <c r="A523" s="5">
        <v>18031746567</v>
      </c>
      <c r="B523" s="160"/>
      <c r="C523" s="124"/>
      <c r="D523" s="124"/>
      <c r="E523" s="124"/>
      <c r="F523" s="124"/>
      <c r="G523" s="124"/>
      <c r="H523" s="124"/>
      <c r="I523" s="124"/>
      <c r="J523" s="124"/>
      <c r="K523" s="124"/>
      <c r="L523" s="124"/>
      <c r="M523" s="124"/>
      <c r="N523" s="124"/>
      <c r="O523" s="100">
        <f t="shared" si="153"/>
        <v>0</v>
      </c>
      <c r="P523" s="100" t="e">
        <f t="shared" si="154"/>
        <v>#DIV/0!</v>
      </c>
      <c r="R523" s="100">
        <f t="shared" si="155"/>
        <v>0</v>
      </c>
      <c r="S523" s="100">
        <f t="shared" si="156"/>
        <v>0</v>
      </c>
      <c r="T523" s="100">
        <f t="shared" si="157"/>
        <v>0</v>
      </c>
      <c r="U523" s="100">
        <f t="shared" si="158"/>
        <v>0</v>
      </c>
      <c r="V523" s="100">
        <f t="shared" si="159"/>
        <v>0</v>
      </c>
      <c r="W523" s="100">
        <f t="shared" si="160"/>
        <v>0</v>
      </c>
      <c r="X523" s="100">
        <f t="shared" si="161"/>
        <v>0</v>
      </c>
      <c r="Y523" s="100">
        <f t="shared" si="162"/>
        <v>0</v>
      </c>
      <c r="Z523" s="100">
        <f t="shared" si="163"/>
        <v>0</v>
      </c>
      <c r="AA523" s="100">
        <f t="shared" si="164"/>
        <v>0</v>
      </c>
      <c r="AB523" s="100">
        <f t="shared" si="165"/>
        <v>0</v>
      </c>
      <c r="AC523" s="100">
        <f t="shared" si="166"/>
        <v>0</v>
      </c>
      <c r="AF523" s="100">
        <f t="shared" si="167"/>
        <v>0</v>
      </c>
      <c r="AG523" s="100">
        <f t="shared" si="168"/>
        <v>0</v>
      </c>
      <c r="AH523" s="100" t="str">
        <f t="shared" si="169"/>
        <v>Correct</v>
      </c>
      <c r="AJ523" s="120" t="str">
        <f>IFERROR(VLOOKUP(Table1[RespondentID],'All Data'!$A$3:$CO$999,87,FALSE),"unknown")</f>
        <v>Woman</v>
      </c>
      <c r="AK523" s="120">
        <f>IFERROR(VLOOKUP(Table1[RespondentID],'All Data'!$A$3:$CO$999,88,FALSE),"unknown")</f>
        <v>65</v>
      </c>
      <c r="AL523" s="120" t="str">
        <f>IFERROR(VLOOKUP(Table1[RespondentID],'All Data'!$A$3:$CO$999,89,FALSE),"unknown")</f>
        <v>Nassau</v>
      </c>
      <c r="AM523" s="120" t="str">
        <f>IFERROR(VLOOKUP(Table1[RespondentID],'All Data'!$A$3:$CO$999,90,FALSE),"unknown")</f>
        <v>Freeport, 11520</v>
      </c>
      <c r="AN523" s="120">
        <f>IFERROR(VLOOKUP(Table1[RespondentID],'All Data'!$A$3:$CO$999,91,FALSE),"unknown")</f>
        <v>0</v>
      </c>
      <c r="AO523" s="120">
        <f>IFERROR(VLOOKUP(Table1[RespondentID],'All Data'!$A$3:$CO$999,92,FALSE),"unknown")</f>
        <v>0</v>
      </c>
      <c r="AP523" s="120">
        <f>IFERROR(VLOOKUP(Table1[RespondentID],'All Data'!$A$3:$CO$999,93,FALSE),"unknown")</f>
        <v>0</v>
      </c>
      <c r="AQ523" s="120">
        <f>IFERROR(VLOOKUP(Table1[RespondentID],'All Data'!$A$3:$CW$999,94,FALSE),"unknown")</f>
        <v>0</v>
      </c>
      <c r="AR523" s="120">
        <f>IFERROR(VLOOKUP(Table1[RespondentID],'All Data'!$A$3:$CW$999,95,FALSE),"unknown")</f>
        <v>0</v>
      </c>
      <c r="AS523" s="120">
        <f>IFERROR(VLOOKUP(Table1[RespondentID],'All Data'!$A$3:$CW$999,96,FALSE),"unknown")</f>
        <v>0</v>
      </c>
      <c r="AT523" s="120">
        <f>IFERROR(VLOOKUP(Table1[RespondentID],'All Data'!$A$3:$CW$999,97,FALSE),"unknown")</f>
        <v>0</v>
      </c>
      <c r="AU523" s="120">
        <f>IFERROR(VLOOKUP(Table1[RespondentID],'All Data'!$A$3:$CW$999,98,FALSE),"unknown")</f>
        <v>0</v>
      </c>
      <c r="AV523" s="120">
        <f>IFERROR(VLOOKUP(Table1[RespondentID],'All Data'!$A$3:$CW$999,99,FALSE),"unknown")</f>
        <v>0</v>
      </c>
    </row>
    <row r="524" spans="1:48">
      <c r="A524" s="5">
        <v>18031743313</v>
      </c>
      <c r="B524" s="160"/>
      <c r="C524" s="124"/>
      <c r="D524" s="124"/>
      <c r="E524" s="124"/>
      <c r="F524" s="124"/>
      <c r="G524" s="124"/>
      <c r="H524" s="124"/>
      <c r="I524" s="124"/>
      <c r="J524" s="124"/>
      <c r="K524" s="124"/>
      <c r="L524" s="124"/>
      <c r="M524" s="124"/>
      <c r="N524" s="124"/>
      <c r="O524" s="100">
        <f t="shared" si="153"/>
        <v>0</v>
      </c>
      <c r="P524" s="100" t="e">
        <f t="shared" si="154"/>
        <v>#DIV/0!</v>
      </c>
      <c r="R524" s="100">
        <f t="shared" si="155"/>
        <v>0</v>
      </c>
      <c r="S524" s="100">
        <f t="shared" si="156"/>
        <v>0</v>
      </c>
      <c r="T524" s="100">
        <f t="shared" si="157"/>
        <v>0</v>
      </c>
      <c r="U524" s="100">
        <f t="shared" si="158"/>
        <v>0</v>
      </c>
      <c r="V524" s="100">
        <f t="shared" si="159"/>
        <v>0</v>
      </c>
      <c r="W524" s="100">
        <f t="shared" si="160"/>
        <v>0</v>
      </c>
      <c r="X524" s="100">
        <f t="shared" si="161"/>
        <v>0</v>
      </c>
      <c r="Y524" s="100">
        <f t="shared" si="162"/>
        <v>0</v>
      </c>
      <c r="Z524" s="100">
        <f t="shared" si="163"/>
        <v>0</v>
      </c>
      <c r="AA524" s="100">
        <f t="shared" si="164"/>
        <v>0</v>
      </c>
      <c r="AB524" s="100">
        <f t="shared" si="165"/>
        <v>0</v>
      </c>
      <c r="AC524" s="100">
        <f t="shared" si="166"/>
        <v>0</v>
      </c>
      <c r="AF524" s="100">
        <f t="shared" si="167"/>
        <v>0</v>
      </c>
      <c r="AG524" s="100">
        <f t="shared" si="168"/>
        <v>0</v>
      </c>
      <c r="AH524" s="100" t="str">
        <f t="shared" si="169"/>
        <v>Correct</v>
      </c>
      <c r="AJ524" s="120" t="str">
        <f>IFERROR(VLOOKUP(Table1[RespondentID],'All Data'!$A$3:$CO$999,87,FALSE),"unknown")</f>
        <v>Woman</v>
      </c>
      <c r="AK524" s="120">
        <f>IFERROR(VLOOKUP(Table1[RespondentID],'All Data'!$A$3:$CO$999,88,FALSE),"unknown")</f>
        <v>65</v>
      </c>
      <c r="AL524" s="120" t="str">
        <f>IFERROR(VLOOKUP(Table1[RespondentID],'All Data'!$A$3:$CO$999,89,FALSE),"unknown")</f>
        <v>Nassau</v>
      </c>
      <c r="AM524" s="120" t="str">
        <f>IFERROR(VLOOKUP(Table1[RespondentID],'All Data'!$A$3:$CO$999,90,FALSE),"unknown")</f>
        <v>Freeport, 11520</v>
      </c>
      <c r="AN524" s="120">
        <f>IFERROR(VLOOKUP(Table1[RespondentID],'All Data'!$A$3:$CO$999,91,FALSE),"unknown")</f>
        <v>0</v>
      </c>
      <c r="AO524" s="120">
        <f>IFERROR(VLOOKUP(Table1[RespondentID],'All Data'!$A$3:$CO$999,92,FALSE),"unknown")</f>
        <v>0</v>
      </c>
      <c r="AP524" s="120">
        <f>IFERROR(VLOOKUP(Table1[RespondentID],'All Data'!$A$3:$CO$999,93,FALSE),"unknown")</f>
        <v>0</v>
      </c>
      <c r="AQ524" s="120">
        <f>IFERROR(VLOOKUP(Table1[RespondentID],'All Data'!$A$3:$CW$999,94,FALSE),"unknown")</f>
        <v>0</v>
      </c>
      <c r="AR524" s="120">
        <f>IFERROR(VLOOKUP(Table1[RespondentID],'All Data'!$A$3:$CW$999,95,FALSE),"unknown")</f>
        <v>0</v>
      </c>
      <c r="AS524" s="120">
        <f>IFERROR(VLOOKUP(Table1[RespondentID],'All Data'!$A$3:$CW$999,96,FALSE),"unknown")</f>
        <v>0</v>
      </c>
      <c r="AT524" s="120">
        <f>IFERROR(VLOOKUP(Table1[RespondentID],'All Data'!$A$3:$CW$999,97,FALSE),"unknown")</f>
        <v>0</v>
      </c>
      <c r="AU524" s="120">
        <f>IFERROR(VLOOKUP(Table1[RespondentID],'All Data'!$A$3:$CW$999,98,FALSE),"unknown")</f>
        <v>0</v>
      </c>
      <c r="AV524" s="120">
        <f>IFERROR(VLOOKUP(Table1[RespondentID],'All Data'!$A$3:$CW$999,99,FALSE),"unknown")</f>
        <v>0</v>
      </c>
    </row>
    <row r="525" spans="1:48">
      <c r="A525" s="5">
        <v>18031103447</v>
      </c>
      <c r="B525" s="160"/>
      <c r="C525" s="124"/>
      <c r="D525" s="124"/>
      <c r="E525" s="124"/>
      <c r="F525" s="124"/>
      <c r="G525" s="124"/>
      <c r="H525" s="124"/>
      <c r="I525" s="124"/>
      <c r="J525" s="124"/>
      <c r="K525" s="124"/>
      <c r="L525" s="124"/>
      <c r="M525" s="124"/>
      <c r="N525" s="124"/>
      <c r="O525" s="100">
        <f t="shared" si="153"/>
        <v>0</v>
      </c>
      <c r="P525" s="100" t="e">
        <f t="shared" si="154"/>
        <v>#DIV/0!</v>
      </c>
      <c r="R525" s="100">
        <f t="shared" si="155"/>
        <v>0</v>
      </c>
      <c r="S525" s="100">
        <f t="shared" si="156"/>
        <v>0</v>
      </c>
      <c r="T525" s="100">
        <f t="shared" si="157"/>
        <v>0</v>
      </c>
      <c r="U525" s="100">
        <f t="shared" si="158"/>
        <v>0</v>
      </c>
      <c r="V525" s="100">
        <f t="shared" si="159"/>
        <v>0</v>
      </c>
      <c r="W525" s="100">
        <f t="shared" si="160"/>
        <v>0</v>
      </c>
      <c r="X525" s="100">
        <f t="shared" si="161"/>
        <v>0</v>
      </c>
      <c r="Y525" s="100">
        <f t="shared" si="162"/>
        <v>0</v>
      </c>
      <c r="Z525" s="100">
        <f t="shared" si="163"/>
        <v>0</v>
      </c>
      <c r="AA525" s="100">
        <f t="shared" si="164"/>
        <v>0</v>
      </c>
      <c r="AB525" s="100">
        <f t="shared" si="165"/>
        <v>0</v>
      </c>
      <c r="AC525" s="100">
        <f t="shared" si="166"/>
        <v>0</v>
      </c>
      <c r="AF525" s="100">
        <f t="shared" si="167"/>
        <v>0</v>
      </c>
      <c r="AG525" s="100">
        <f t="shared" si="168"/>
        <v>0</v>
      </c>
      <c r="AH525" s="100" t="str">
        <f t="shared" si="169"/>
        <v>Correct</v>
      </c>
      <c r="AJ525" s="120">
        <f>IFERROR(VLOOKUP(Table1[RespondentID],'All Data'!$A$3:$CO$999,87,FALSE),"unknown")</f>
        <v>0</v>
      </c>
      <c r="AK525" s="120">
        <f>IFERROR(VLOOKUP(Table1[RespondentID],'All Data'!$A$3:$CO$999,88,FALSE),"unknown")</f>
        <v>0</v>
      </c>
      <c r="AL525" s="120">
        <f>IFERROR(VLOOKUP(Table1[RespondentID],'All Data'!$A$3:$CO$999,89,FALSE),"unknown")</f>
        <v>0</v>
      </c>
      <c r="AM525" s="120">
        <f>IFERROR(VLOOKUP(Table1[RespondentID],'All Data'!$A$3:$CO$999,90,FALSE),"unknown")</f>
        <v>0</v>
      </c>
      <c r="AN525" s="120">
        <f>IFERROR(VLOOKUP(Table1[RespondentID],'All Data'!$A$3:$CO$999,91,FALSE),"unknown")</f>
        <v>0</v>
      </c>
      <c r="AO525" s="120">
        <f>IFERROR(VLOOKUP(Table1[RespondentID],'All Data'!$A$3:$CO$999,92,FALSE),"unknown")</f>
        <v>0</v>
      </c>
      <c r="AP525" s="120">
        <f>IFERROR(VLOOKUP(Table1[RespondentID],'All Data'!$A$3:$CO$999,93,FALSE),"unknown")</f>
        <v>0</v>
      </c>
      <c r="AQ525" s="120">
        <f>IFERROR(VLOOKUP(Table1[RespondentID],'All Data'!$A$3:$CW$999,94,FALSE),"unknown")</f>
        <v>0</v>
      </c>
      <c r="AR525" s="120">
        <f>IFERROR(VLOOKUP(Table1[RespondentID],'All Data'!$A$3:$CW$999,95,FALSE),"unknown")</f>
        <v>0</v>
      </c>
      <c r="AS525" s="120">
        <f>IFERROR(VLOOKUP(Table1[RespondentID],'All Data'!$A$3:$CW$999,96,FALSE),"unknown")</f>
        <v>0</v>
      </c>
      <c r="AT525" s="120">
        <f>IFERROR(VLOOKUP(Table1[RespondentID],'All Data'!$A$3:$CW$999,97,FALSE),"unknown")</f>
        <v>0</v>
      </c>
      <c r="AU525" s="120">
        <f>IFERROR(VLOOKUP(Table1[RespondentID],'All Data'!$A$3:$CW$999,98,FALSE),"unknown")</f>
        <v>0</v>
      </c>
      <c r="AV525" s="120">
        <f>IFERROR(VLOOKUP(Table1[RespondentID],'All Data'!$A$3:$CW$999,99,FALSE),"unknown")</f>
        <v>0</v>
      </c>
    </row>
    <row r="526" spans="1:48">
      <c r="A526" s="5">
        <v>18030570632</v>
      </c>
      <c r="B526" s="160"/>
      <c r="C526" s="124"/>
      <c r="D526" s="124"/>
      <c r="E526" s="124" t="s">
        <v>41</v>
      </c>
      <c r="F526" s="124"/>
      <c r="G526" s="124"/>
      <c r="H526" s="124" t="s">
        <v>43</v>
      </c>
      <c r="I526" s="124" t="s">
        <v>44</v>
      </c>
      <c r="J526" s="124" t="s">
        <v>45</v>
      </c>
      <c r="K526" s="124" t="s">
        <v>46</v>
      </c>
      <c r="L526" s="124"/>
      <c r="M526" s="124"/>
      <c r="N526" s="124"/>
      <c r="O526" s="100">
        <f t="shared" ref="O526:O530" si="170">COUNTA(B526:N526)</f>
        <v>5</v>
      </c>
      <c r="P526" s="100">
        <f t="shared" ref="P526:P530" si="171">3/O526</f>
        <v>0.6</v>
      </c>
      <c r="R526" s="100">
        <f t="shared" si="155"/>
        <v>0</v>
      </c>
      <c r="S526" s="100">
        <f t="shared" si="156"/>
        <v>0</v>
      </c>
      <c r="T526" s="100">
        <f t="shared" si="157"/>
        <v>0</v>
      </c>
      <c r="U526" s="100">
        <f t="shared" si="158"/>
        <v>0.6</v>
      </c>
      <c r="V526" s="100">
        <f t="shared" si="159"/>
        <v>0</v>
      </c>
      <c r="W526" s="100">
        <f t="shared" si="160"/>
        <v>0</v>
      </c>
      <c r="X526" s="100">
        <f t="shared" si="161"/>
        <v>0.6</v>
      </c>
      <c r="Y526" s="100">
        <f t="shared" si="162"/>
        <v>0.6</v>
      </c>
      <c r="Z526" s="100">
        <f t="shared" si="163"/>
        <v>0.6</v>
      </c>
      <c r="AA526" s="100">
        <f t="shared" si="164"/>
        <v>0.6</v>
      </c>
      <c r="AB526" s="100">
        <f t="shared" si="165"/>
        <v>0</v>
      </c>
      <c r="AC526" s="100">
        <f t="shared" si="166"/>
        <v>0</v>
      </c>
      <c r="AF526" s="100">
        <f t="shared" si="167"/>
        <v>3</v>
      </c>
      <c r="AG526" s="100">
        <f t="shared" si="168"/>
        <v>5</v>
      </c>
      <c r="AH526" s="100" t="str">
        <f t="shared" ref="AH526:AH530" si="172">IF(AF526=AG526,"Correct",IF(AF526=3,"Correct","Wrong"))</f>
        <v>Correct</v>
      </c>
      <c r="AJ526" s="120" t="str">
        <f>IFERROR(VLOOKUP(Table1[RespondentID],'All Data'!$A$3:$CO$999,87,FALSE),"unknown")</f>
        <v>Man</v>
      </c>
      <c r="AK526" s="120">
        <f>IFERROR(VLOOKUP(Table1[RespondentID],'All Data'!$A$3:$CO$999,88,FALSE),"unknown")</f>
        <v>0</v>
      </c>
      <c r="AL526" s="120">
        <f>IFERROR(VLOOKUP(Table1[RespondentID],'All Data'!$A$3:$CO$999,89,FALSE),"unknown")</f>
        <v>0</v>
      </c>
      <c r="AM526" s="120" t="str">
        <f>IFERROR(VLOOKUP(Table1[RespondentID],'All Data'!$A$3:$CO$999,90,FALSE),"unknown")</f>
        <v>Hempstead, 11549</v>
      </c>
      <c r="AN526" s="120" t="str">
        <f>IFERROR(VLOOKUP(Table1[RespondentID],'All Data'!$A$3:$CO$999,91,FALSE),"unknown")</f>
        <v>Black/African American</v>
      </c>
      <c r="AO526" s="120">
        <f>IFERROR(VLOOKUP(Table1[RespondentID],'All Data'!$A$3:$CO$999,92,FALSE),"unknown")</f>
        <v>0</v>
      </c>
      <c r="AP526" s="120" t="str">
        <f>IFERROR(VLOOKUP(Table1[RespondentID],'All Data'!$A$3:$CO$999,93,FALSE),"unknown")</f>
        <v>Farsi,Polish</v>
      </c>
      <c r="AQ526" s="120" t="str">
        <f>IFERROR(VLOOKUP(Table1[RespondentID],'All Data'!$A$3:$CW$999,94,FALSE),"unknown")</f>
        <v>$0-$19,999</v>
      </c>
      <c r="AR526" s="120" t="str">
        <f>IFERROR(VLOOKUP(Table1[RespondentID],'All Data'!$A$3:$CW$999,95,FALSE),"unknown")</f>
        <v>Graduate school</v>
      </c>
      <c r="AS526" s="120" t="str">
        <f>IFERROR(VLOOKUP(Table1[RespondentID],'All Data'!$A$3:$CW$999,96,FALSE),"unknown")</f>
        <v>Retired</v>
      </c>
      <c r="AT526" s="120" t="str">
        <f>IFERROR(VLOOKUP(Table1[RespondentID],'All Data'!$A$3:$CW$999,97,FALSE),"unknown")</f>
        <v>No, but I did in the past</v>
      </c>
      <c r="AU526" s="120">
        <f>IFERROR(VLOOKUP(Table1[RespondentID],'All Data'!$A$3:$CW$999,98,FALSE),"unknown")</f>
        <v>0</v>
      </c>
      <c r="AV526" s="120" t="str">
        <f>IFERROR(VLOOKUP(Table1[RespondentID],'All Data'!$A$3:$CW$999,99,FALSE),"unknown")</f>
        <v>Yes</v>
      </c>
    </row>
    <row r="527" spans="1:48">
      <c r="A527" s="5">
        <v>18030570608</v>
      </c>
      <c r="B527" s="160"/>
      <c r="C527" s="124"/>
      <c r="D527" s="124"/>
      <c r="E527" s="124"/>
      <c r="F527" s="124"/>
      <c r="G527" s="124"/>
      <c r="H527" s="124" t="s">
        <v>43</v>
      </c>
      <c r="I527" s="124"/>
      <c r="J527" s="124" t="s">
        <v>45</v>
      </c>
      <c r="K527" s="124" t="s">
        <v>46</v>
      </c>
      <c r="L527" s="124"/>
      <c r="M527" s="124"/>
      <c r="N527" s="124"/>
      <c r="O527" s="100">
        <f t="shared" si="170"/>
        <v>3</v>
      </c>
      <c r="P527" s="100">
        <f t="shared" si="171"/>
        <v>1</v>
      </c>
      <c r="R527" s="100">
        <f t="shared" si="155"/>
        <v>0</v>
      </c>
      <c r="S527" s="100">
        <f t="shared" si="156"/>
        <v>0</v>
      </c>
      <c r="T527" s="100">
        <f t="shared" si="157"/>
        <v>0</v>
      </c>
      <c r="U527" s="100">
        <f t="shared" si="158"/>
        <v>0</v>
      </c>
      <c r="V527" s="100">
        <f t="shared" si="159"/>
        <v>0</v>
      </c>
      <c r="W527" s="100">
        <f t="shared" si="160"/>
        <v>0</v>
      </c>
      <c r="X527" s="100">
        <f t="shared" si="161"/>
        <v>1</v>
      </c>
      <c r="Y527" s="100">
        <f t="shared" si="162"/>
        <v>0</v>
      </c>
      <c r="Z527" s="100">
        <f t="shared" si="163"/>
        <v>1</v>
      </c>
      <c r="AA527" s="100">
        <f t="shared" si="164"/>
        <v>1</v>
      </c>
      <c r="AB527" s="100">
        <f t="shared" si="165"/>
        <v>0</v>
      </c>
      <c r="AC527" s="100">
        <f t="shared" si="166"/>
        <v>0</v>
      </c>
      <c r="AF527" s="100">
        <f t="shared" si="167"/>
        <v>3</v>
      </c>
      <c r="AG527" s="100">
        <f t="shared" si="168"/>
        <v>3</v>
      </c>
      <c r="AH527" s="100" t="str">
        <f t="shared" si="172"/>
        <v>Correct</v>
      </c>
      <c r="AJ527" s="120" t="str">
        <f>IFERROR(VLOOKUP(Table1[RespondentID],'All Data'!$A$3:$CO$999,87,FALSE),"unknown")</f>
        <v>Man</v>
      </c>
      <c r="AK527" s="120">
        <f>IFERROR(VLOOKUP(Table1[RespondentID],'All Data'!$A$3:$CO$999,88,FALSE),"unknown")</f>
        <v>26</v>
      </c>
      <c r="AL527" s="120" t="str">
        <f>IFERROR(VLOOKUP(Table1[RespondentID],'All Data'!$A$3:$CO$999,89,FALSE),"unknown")</f>
        <v>Nassau</v>
      </c>
      <c r="AM527" s="120">
        <f>IFERROR(VLOOKUP(Table1[RespondentID],'All Data'!$A$3:$CO$999,90,FALSE),"unknown")</f>
        <v>0</v>
      </c>
      <c r="AN527" s="120">
        <f>IFERROR(VLOOKUP(Table1[RespondentID],'All Data'!$A$3:$CO$999,91,FALSE),"unknown")</f>
        <v>0</v>
      </c>
      <c r="AO527" s="120">
        <f>IFERROR(VLOOKUP(Table1[RespondentID],'All Data'!$A$3:$CO$999,92,FALSE),"unknown")</f>
        <v>0</v>
      </c>
      <c r="AP527" s="120">
        <f>IFERROR(VLOOKUP(Table1[RespondentID],'All Data'!$A$3:$CO$999,93,FALSE),"unknown")</f>
        <v>0</v>
      </c>
      <c r="AQ527" s="120">
        <f>IFERROR(VLOOKUP(Table1[RespondentID],'All Data'!$A$3:$CW$999,94,FALSE),"unknown")</f>
        <v>0</v>
      </c>
      <c r="AR527" s="120">
        <f>IFERROR(VLOOKUP(Table1[RespondentID],'All Data'!$A$3:$CW$999,95,FALSE),"unknown")</f>
        <v>0</v>
      </c>
      <c r="AS527" s="120">
        <f>IFERROR(VLOOKUP(Table1[RespondentID],'All Data'!$A$3:$CW$999,96,FALSE),"unknown")</f>
        <v>0</v>
      </c>
      <c r="AT527" s="120">
        <f>IFERROR(VLOOKUP(Table1[RespondentID],'All Data'!$A$3:$CW$999,97,FALSE),"unknown")</f>
        <v>0</v>
      </c>
      <c r="AU527" s="120">
        <f>IFERROR(VLOOKUP(Table1[RespondentID],'All Data'!$A$3:$CW$999,98,FALSE),"unknown")</f>
        <v>0</v>
      </c>
      <c r="AV527" s="120">
        <f>IFERROR(VLOOKUP(Table1[RespondentID],'All Data'!$A$3:$CW$999,99,FALSE),"unknown")</f>
        <v>0</v>
      </c>
    </row>
    <row r="528" spans="1:48">
      <c r="A528" s="5">
        <v>18030569067</v>
      </c>
      <c r="B528" s="160"/>
      <c r="C528" s="124"/>
      <c r="D528" s="124"/>
      <c r="E528" s="124"/>
      <c r="F528" s="124"/>
      <c r="G528" s="124"/>
      <c r="H528" s="124" t="s">
        <v>43</v>
      </c>
      <c r="I528" s="124"/>
      <c r="J528" s="124"/>
      <c r="K528" s="124" t="s">
        <v>46</v>
      </c>
      <c r="L528" s="124"/>
      <c r="M528" s="124" t="s">
        <v>48</v>
      </c>
      <c r="N528" s="124"/>
      <c r="O528" s="100">
        <f t="shared" si="170"/>
        <v>3</v>
      </c>
      <c r="P528" s="100">
        <f t="shared" si="171"/>
        <v>1</v>
      </c>
      <c r="R528" s="100">
        <f t="shared" si="155"/>
        <v>0</v>
      </c>
      <c r="S528" s="100">
        <f t="shared" si="156"/>
        <v>0</v>
      </c>
      <c r="T528" s="100">
        <f t="shared" si="157"/>
        <v>0</v>
      </c>
      <c r="U528" s="100">
        <f t="shared" si="158"/>
        <v>0</v>
      </c>
      <c r="V528" s="100">
        <f t="shared" si="159"/>
        <v>0</v>
      </c>
      <c r="W528" s="100">
        <f t="shared" si="160"/>
        <v>0</v>
      </c>
      <c r="X528" s="100">
        <f t="shared" si="161"/>
        <v>1</v>
      </c>
      <c r="Y528" s="100">
        <f t="shared" si="162"/>
        <v>0</v>
      </c>
      <c r="Z528" s="100">
        <f t="shared" si="163"/>
        <v>0</v>
      </c>
      <c r="AA528" s="100">
        <f t="shared" si="164"/>
        <v>1</v>
      </c>
      <c r="AB528" s="100">
        <f t="shared" si="165"/>
        <v>0</v>
      </c>
      <c r="AC528" s="100">
        <f t="shared" si="166"/>
        <v>1</v>
      </c>
      <c r="AF528" s="100">
        <f t="shared" si="167"/>
        <v>3</v>
      </c>
      <c r="AG528" s="100">
        <f t="shared" si="168"/>
        <v>3</v>
      </c>
      <c r="AH528" s="100" t="str">
        <f t="shared" si="172"/>
        <v>Correct</v>
      </c>
      <c r="AJ528" s="120">
        <f>IFERROR(VLOOKUP(Table1[RespondentID],'All Data'!$A$3:$CO$999,87,FALSE),"unknown")</f>
        <v>0</v>
      </c>
      <c r="AK528" s="120">
        <f>IFERROR(VLOOKUP(Table1[RespondentID],'All Data'!$A$3:$CO$999,88,FALSE),"unknown")</f>
        <v>0</v>
      </c>
      <c r="AL528" s="120">
        <f>IFERROR(VLOOKUP(Table1[RespondentID],'All Data'!$A$3:$CO$999,89,FALSE),"unknown")</f>
        <v>0</v>
      </c>
      <c r="AM528" s="120">
        <f>IFERROR(VLOOKUP(Table1[RespondentID],'All Data'!$A$3:$CO$999,90,FALSE),"unknown")</f>
        <v>0</v>
      </c>
      <c r="AN528" s="120">
        <f>IFERROR(VLOOKUP(Table1[RespondentID],'All Data'!$A$3:$CO$999,91,FALSE),"unknown")</f>
        <v>0</v>
      </c>
      <c r="AO528" s="120">
        <f>IFERROR(VLOOKUP(Table1[RespondentID],'All Data'!$A$3:$CO$999,92,FALSE),"unknown")</f>
        <v>0</v>
      </c>
      <c r="AP528" s="120">
        <f>IFERROR(VLOOKUP(Table1[RespondentID],'All Data'!$A$3:$CO$999,93,FALSE),"unknown")</f>
        <v>0</v>
      </c>
      <c r="AQ528" s="120">
        <f>IFERROR(VLOOKUP(Table1[RespondentID],'All Data'!$A$3:$CW$999,94,FALSE),"unknown")</f>
        <v>0</v>
      </c>
      <c r="AR528" s="120">
        <f>IFERROR(VLOOKUP(Table1[RespondentID],'All Data'!$A$3:$CW$999,95,FALSE),"unknown")</f>
        <v>0</v>
      </c>
      <c r="AS528" s="120">
        <f>IFERROR(VLOOKUP(Table1[RespondentID],'All Data'!$A$3:$CW$999,96,FALSE),"unknown")</f>
        <v>0</v>
      </c>
      <c r="AT528" s="120">
        <f>IFERROR(VLOOKUP(Table1[RespondentID],'All Data'!$A$3:$CW$999,97,FALSE),"unknown")</f>
        <v>0</v>
      </c>
      <c r="AU528" s="120">
        <f>IFERROR(VLOOKUP(Table1[RespondentID],'All Data'!$A$3:$CW$999,98,FALSE),"unknown")</f>
        <v>0</v>
      </c>
      <c r="AV528" s="120">
        <f>IFERROR(VLOOKUP(Table1[RespondentID],'All Data'!$A$3:$CW$999,99,FALSE),"unknown")</f>
        <v>0</v>
      </c>
    </row>
    <row r="529" spans="1:48">
      <c r="A529" s="5">
        <v>18030545755</v>
      </c>
      <c r="B529" s="160"/>
      <c r="C529" s="124" t="s">
        <v>39</v>
      </c>
      <c r="D529" s="124"/>
      <c r="E529" s="124"/>
      <c r="F529" s="124"/>
      <c r="G529" s="124"/>
      <c r="H529" s="124" t="s">
        <v>43</v>
      </c>
      <c r="I529" s="124"/>
      <c r="J529" s="124" t="s">
        <v>45</v>
      </c>
      <c r="K529" s="124" t="s">
        <v>46</v>
      </c>
      <c r="L529" s="124"/>
      <c r="M529" s="124"/>
      <c r="N529" s="124"/>
      <c r="O529" s="100">
        <f t="shared" si="170"/>
        <v>4</v>
      </c>
      <c r="P529" s="100">
        <f t="shared" si="171"/>
        <v>0.75</v>
      </c>
      <c r="R529" s="100">
        <f t="shared" si="155"/>
        <v>0</v>
      </c>
      <c r="S529" s="100">
        <f t="shared" si="156"/>
        <v>0.75</v>
      </c>
      <c r="T529" s="100">
        <f t="shared" si="157"/>
        <v>0</v>
      </c>
      <c r="U529" s="100">
        <f t="shared" si="158"/>
        <v>0</v>
      </c>
      <c r="V529" s="100">
        <f t="shared" si="159"/>
        <v>0</v>
      </c>
      <c r="W529" s="100">
        <f t="shared" si="160"/>
        <v>0</v>
      </c>
      <c r="X529" s="100">
        <f t="shared" si="161"/>
        <v>0.75</v>
      </c>
      <c r="Y529" s="100">
        <f t="shared" si="162"/>
        <v>0</v>
      </c>
      <c r="Z529" s="100">
        <f t="shared" si="163"/>
        <v>0.75</v>
      </c>
      <c r="AA529" s="100">
        <f t="shared" si="164"/>
        <v>0.75</v>
      </c>
      <c r="AB529" s="100">
        <f t="shared" si="165"/>
        <v>0</v>
      </c>
      <c r="AC529" s="100">
        <f t="shared" si="166"/>
        <v>0</v>
      </c>
      <c r="AF529" s="100">
        <f t="shared" si="167"/>
        <v>3</v>
      </c>
      <c r="AG529" s="100">
        <f t="shared" si="168"/>
        <v>4</v>
      </c>
      <c r="AH529" s="100" t="str">
        <f t="shared" si="172"/>
        <v>Correct</v>
      </c>
      <c r="AJ529" s="120" t="str">
        <f>IFERROR(VLOOKUP(Table1[RespondentID],'All Data'!$A$3:$CO$999,87,FALSE),"unknown")</f>
        <v>Woman</v>
      </c>
      <c r="AK529" s="120">
        <f>IFERROR(VLOOKUP(Table1[RespondentID],'All Data'!$A$3:$CO$999,88,FALSE),"unknown")</f>
        <v>0</v>
      </c>
      <c r="AL529" s="120" t="str">
        <f>IFERROR(VLOOKUP(Table1[RespondentID],'All Data'!$A$3:$CO$999,89,FALSE),"unknown")</f>
        <v>Nassau</v>
      </c>
      <c r="AM529" s="120">
        <f>IFERROR(VLOOKUP(Table1[RespondentID],'All Data'!$A$3:$CO$999,90,FALSE),"unknown")</f>
        <v>0</v>
      </c>
      <c r="AN529" s="120">
        <f>IFERROR(VLOOKUP(Table1[RespondentID],'All Data'!$A$3:$CO$999,91,FALSE),"unknown")</f>
        <v>0</v>
      </c>
      <c r="AO529" s="120">
        <f>IFERROR(VLOOKUP(Table1[RespondentID],'All Data'!$A$3:$CO$999,92,FALSE),"unknown")</f>
        <v>0</v>
      </c>
      <c r="AP529" s="120">
        <f>IFERROR(VLOOKUP(Table1[RespondentID],'All Data'!$A$3:$CO$999,93,FALSE),"unknown")</f>
        <v>0</v>
      </c>
      <c r="AQ529" s="120">
        <f>IFERROR(VLOOKUP(Table1[RespondentID],'All Data'!$A$3:$CW$999,94,FALSE),"unknown")</f>
        <v>0</v>
      </c>
      <c r="AR529" s="120">
        <f>IFERROR(VLOOKUP(Table1[RespondentID],'All Data'!$A$3:$CW$999,95,FALSE),"unknown")</f>
        <v>0</v>
      </c>
      <c r="AS529" s="120">
        <f>IFERROR(VLOOKUP(Table1[RespondentID],'All Data'!$A$3:$CW$999,96,FALSE),"unknown")</f>
        <v>0</v>
      </c>
      <c r="AT529" s="120">
        <f>IFERROR(VLOOKUP(Table1[RespondentID],'All Data'!$A$3:$CW$999,97,FALSE),"unknown")</f>
        <v>0</v>
      </c>
      <c r="AU529" s="120">
        <f>IFERROR(VLOOKUP(Table1[RespondentID],'All Data'!$A$3:$CW$999,98,FALSE),"unknown")</f>
        <v>0</v>
      </c>
      <c r="AV529" s="120">
        <f>IFERROR(VLOOKUP(Table1[RespondentID],'All Data'!$A$3:$CW$999,99,FALSE),"unknown")</f>
        <v>0</v>
      </c>
    </row>
    <row r="530" spans="1:48">
      <c r="A530" s="151">
        <v>18029414524</v>
      </c>
      <c r="B530" s="160"/>
      <c r="C530" s="130"/>
      <c r="D530" s="130"/>
      <c r="E530" s="130"/>
      <c r="F530" s="130"/>
      <c r="G530" s="130"/>
      <c r="H530" s="130"/>
      <c r="I530" s="130"/>
      <c r="J530" s="130"/>
      <c r="K530" s="130"/>
      <c r="L530" s="130"/>
      <c r="M530" s="130"/>
      <c r="N530" s="130"/>
      <c r="O530" s="179">
        <f t="shared" si="170"/>
        <v>0</v>
      </c>
      <c r="P530" s="179" t="e">
        <f t="shared" si="171"/>
        <v>#DIV/0!</v>
      </c>
      <c r="Q530" s="179"/>
      <c r="R530" s="179">
        <f t="shared" si="155"/>
        <v>0</v>
      </c>
      <c r="S530" s="179">
        <f t="shared" si="156"/>
        <v>0</v>
      </c>
      <c r="T530" s="179">
        <f t="shared" si="157"/>
        <v>0</v>
      </c>
      <c r="U530" s="179">
        <f t="shared" si="158"/>
        <v>0</v>
      </c>
      <c r="V530" s="179">
        <f t="shared" si="159"/>
        <v>0</v>
      </c>
      <c r="W530" s="179">
        <f t="shared" si="160"/>
        <v>0</v>
      </c>
      <c r="X530" s="179">
        <f t="shared" si="161"/>
        <v>0</v>
      </c>
      <c r="Y530" s="179">
        <f t="shared" si="162"/>
        <v>0</v>
      </c>
      <c r="Z530" s="179">
        <f t="shared" si="163"/>
        <v>0</v>
      </c>
      <c r="AA530" s="179">
        <f t="shared" si="164"/>
        <v>0</v>
      </c>
      <c r="AB530" s="179">
        <f t="shared" si="165"/>
        <v>0</v>
      </c>
      <c r="AC530" s="179">
        <f t="shared" si="166"/>
        <v>0</v>
      </c>
      <c r="AD530" s="179"/>
      <c r="AE530" s="179"/>
      <c r="AF530" s="179">
        <f t="shared" si="167"/>
        <v>0</v>
      </c>
      <c r="AG530" s="179">
        <f t="shared" si="168"/>
        <v>0</v>
      </c>
      <c r="AH530" s="179" t="str">
        <f t="shared" si="172"/>
        <v>Correct</v>
      </c>
      <c r="AI530" s="151"/>
      <c r="AJ530" s="120">
        <f>IFERROR(VLOOKUP(Table1[RespondentID],'All Data'!$A$3:$CO$999,87,FALSE),"unknown")</f>
        <v>0</v>
      </c>
      <c r="AK530" s="120">
        <f>IFERROR(VLOOKUP(Table1[RespondentID],'All Data'!$A$3:$CO$999,88,FALSE),"unknown")</f>
        <v>0</v>
      </c>
      <c r="AL530" s="120">
        <f>IFERROR(VLOOKUP(Table1[RespondentID],'All Data'!$A$3:$CO$999,89,FALSE),"unknown")</f>
        <v>0</v>
      </c>
      <c r="AM530" s="120" t="str">
        <f>IFERROR(VLOOKUP(Table1[RespondentID],'All Data'!$A$3:$CO$999,90,FALSE),"unknown")</f>
        <v>Floral Park, 11001</v>
      </c>
      <c r="AN530" s="120">
        <f>IFERROR(VLOOKUP(Table1[RespondentID],'All Data'!$A$3:$CO$999,91,FALSE),"unknown")</f>
        <v>0</v>
      </c>
      <c r="AO530" s="120">
        <f>IFERROR(VLOOKUP(Table1[RespondentID],'All Data'!$A$3:$CO$999,92,FALSE),"unknown")</f>
        <v>0</v>
      </c>
      <c r="AP530" s="120">
        <f>IFERROR(VLOOKUP(Table1[RespondentID],'All Data'!$A$3:$CO$999,93,FALSE),"unknown")</f>
        <v>0</v>
      </c>
      <c r="AQ530" s="120">
        <f>IFERROR(VLOOKUP(Table1[RespondentID],'All Data'!$A$3:$CW$999,94,FALSE),"unknown")</f>
        <v>0</v>
      </c>
      <c r="AR530" s="120">
        <f>IFERROR(VLOOKUP(Table1[RespondentID],'All Data'!$A$3:$CW$999,95,FALSE),"unknown")</f>
        <v>0</v>
      </c>
      <c r="AS530" s="120">
        <f>IFERROR(VLOOKUP(Table1[RespondentID],'All Data'!$A$3:$CW$999,96,FALSE),"unknown")</f>
        <v>0</v>
      </c>
      <c r="AT530" s="120">
        <f>IFERROR(VLOOKUP(Table1[RespondentID],'All Data'!$A$3:$CW$999,97,FALSE),"unknown")</f>
        <v>0</v>
      </c>
      <c r="AU530" s="120">
        <f>IFERROR(VLOOKUP(Table1[RespondentID],'All Data'!$A$3:$CW$999,98,FALSE),"unknown")</f>
        <v>0</v>
      </c>
      <c r="AV530" s="120">
        <f>IFERROR(VLOOKUP(Table1[RespondentID],'All Data'!$A$3:$CW$999,99,FALSE),"unknown")</f>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30"/>
  <sheetViews>
    <sheetView workbookViewId="0"/>
  </sheetViews>
  <sheetFormatPr defaultRowHeight="14.5"/>
  <cols>
    <col min="1" max="1" width="11" style="5" customWidth="1"/>
    <col min="2" max="2" width="14.453125" customWidth="1"/>
    <col min="3" max="3" width="15.26953125" customWidth="1"/>
    <col min="4" max="4" width="24.54296875" customWidth="1"/>
    <col min="5" max="5" width="7" customWidth="1"/>
    <col min="6" max="6" width="23.7265625" customWidth="1"/>
    <col min="7" max="7" width="9.1796875" customWidth="1"/>
    <col min="8" max="8" width="11.26953125" customWidth="1"/>
    <col min="9" max="9" width="23.54296875" customWidth="1"/>
    <col min="10" max="10" width="12.54296875" customWidth="1"/>
    <col min="11" max="11" width="16.81640625" customWidth="1"/>
    <col min="12" max="12" width="13.1796875" customWidth="1"/>
    <col min="13" max="13" width="18" customWidth="1"/>
    <col min="14" max="14" width="8.81640625" customWidth="1"/>
    <col min="15" max="15" width="45.26953125" customWidth="1"/>
    <col min="16" max="16" width="26.453125" customWidth="1"/>
    <col min="17" max="17" width="27.81640625" customWidth="1"/>
    <col min="18" max="18" width="34.1796875" customWidth="1"/>
    <col min="19" max="19" width="15.81640625" customWidth="1"/>
    <col min="20" max="20" width="11" customWidth="1"/>
    <col min="21" max="21" width="3" style="100" customWidth="1"/>
    <col min="22" max="22" width="12" style="100" customWidth="1"/>
    <col min="23" max="23" width="11" style="100" customWidth="1"/>
    <col min="24" max="41" width="12" style="100" customWidth="1"/>
    <col min="42" max="43" width="11" style="100" customWidth="1"/>
    <col min="44" max="44" width="2" style="100" customWidth="1"/>
    <col min="45" max="45" width="3" style="100" customWidth="1"/>
    <col min="46" max="46" width="7.453125" style="100" customWidth="1"/>
    <col min="47" max="47" width="11" customWidth="1"/>
    <col min="48" max="48" width="7.54296875" customWidth="1"/>
    <col min="49" max="49" width="3" customWidth="1"/>
    <col min="50" max="50" width="7.26953125" customWidth="1"/>
    <col min="51" max="51" width="26.7265625" customWidth="1"/>
    <col min="52" max="52" width="22.453125" customWidth="1"/>
    <col min="53" max="53" width="4" customWidth="1"/>
    <col min="54" max="54" width="88.7265625" customWidth="1"/>
    <col min="55" max="55" width="18.1796875" customWidth="1"/>
    <col min="56" max="56" width="19.7265625" customWidth="1"/>
    <col min="57" max="57" width="35.1796875" customWidth="1"/>
    <col min="58" max="58" width="22" customWidth="1"/>
    <col min="59" max="59" width="4" customWidth="1"/>
  </cols>
  <sheetData>
    <row r="1" spans="1:60" ht="16">
      <c r="A1" s="87" t="s">
        <v>0</v>
      </c>
      <c r="B1" s="88" t="s">
        <v>49</v>
      </c>
      <c r="C1" s="87" t="s">
        <v>50</v>
      </c>
      <c r="D1" s="87" t="s">
        <v>51</v>
      </c>
      <c r="E1" s="87" t="s">
        <v>17</v>
      </c>
      <c r="F1" s="87" t="s">
        <v>52</v>
      </c>
      <c r="G1" s="87" t="s">
        <v>53</v>
      </c>
      <c r="H1" s="87" t="s">
        <v>54</v>
      </c>
      <c r="I1" s="87" t="s">
        <v>55</v>
      </c>
      <c r="J1" s="87" t="s">
        <v>56</v>
      </c>
      <c r="K1" s="87" t="s">
        <v>57</v>
      </c>
      <c r="L1" s="87" t="s">
        <v>58</v>
      </c>
      <c r="M1" s="87" t="s">
        <v>59</v>
      </c>
      <c r="N1" s="87" t="s">
        <v>24</v>
      </c>
      <c r="O1" s="87" t="s">
        <v>20</v>
      </c>
      <c r="P1" s="87" t="s">
        <v>60</v>
      </c>
      <c r="Q1" s="87" t="s">
        <v>61</v>
      </c>
      <c r="R1" s="87" t="s">
        <v>62</v>
      </c>
      <c r="S1" s="87" t="s">
        <v>63</v>
      </c>
      <c r="T1" s="87" t="s">
        <v>395</v>
      </c>
      <c r="U1" s="115" t="s">
        <v>189</v>
      </c>
      <c r="V1" s="115" t="s">
        <v>190</v>
      </c>
      <c r="W1" s="116" t="s">
        <v>208</v>
      </c>
      <c r="X1" s="115" t="s">
        <v>234</v>
      </c>
      <c r="Y1" s="115" t="s">
        <v>235</v>
      </c>
      <c r="Z1" s="115" t="s">
        <v>236</v>
      </c>
      <c r="AA1" s="115" t="s">
        <v>237</v>
      </c>
      <c r="AB1" s="115" t="s">
        <v>238</v>
      </c>
      <c r="AC1" s="115" t="s">
        <v>239</v>
      </c>
      <c r="AD1" s="115" t="s">
        <v>240</v>
      </c>
      <c r="AE1" s="115" t="s">
        <v>241</v>
      </c>
      <c r="AF1" s="115" t="s">
        <v>242</v>
      </c>
      <c r="AG1" s="115" t="s">
        <v>243</v>
      </c>
      <c r="AH1" s="115" t="s">
        <v>244</v>
      </c>
      <c r="AI1" s="115" t="s">
        <v>245</v>
      </c>
      <c r="AJ1" s="115" t="s">
        <v>246</v>
      </c>
      <c r="AK1" s="115" t="s">
        <v>247</v>
      </c>
      <c r="AL1" s="115" t="s">
        <v>248</v>
      </c>
      <c r="AM1" s="115" t="s">
        <v>249</v>
      </c>
      <c r="AN1" s="115" t="s">
        <v>250</v>
      </c>
      <c r="AO1" s="115" t="s">
        <v>251</v>
      </c>
      <c r="AP1" s="116" t="s">
        <v>209</v>
      </c>
      <c r="AQ1" s="116" t="s">
        <v>210</v>
      </c>
      <c r="AR1" s="115" t="s">
        <v>204</v>
      </c>
      <c r="AS1" s="115" t="s">
        <v>205</v>
      </c>
      <c r="AT1" s="115" t="s">
        <v>252</v>
      </c>
      <c r="AU1" s="87" t="s">
        <v>211</v>
      </c>
      <c r="AV1" s="13" t="s">
        <v>6</v>
      </c>
      <c r="AW1" s="12" t="s">
        <v>7</v>
      </c>
      <c r="AX1" s="12" t="s">
        <v>8</v>
      </c>
      <c r="AY1" s="12" t="s">
        <v>188</v>
      </c>
      <c r="AZ1" s="12" t="s">
        <v>9</v>
      </c>
      <c r="BA1" s="12" t="s">
        <v>10</v>
      </c>
      <c r="BB1" s="12" t="s">
        <v>11</v>
      </c>
      <c r="BC1" s="12" t="s">
        <v>12</v>
      </c>
      <c r="BD1" s="12" t="s">
        <v>13</v>
      </c>
      <c r="BE1" s="12" t="s">
        <v>14</v>
      </c>
      <c r="BF1" s="12" t="s">
        <v>15</v>
      </c>
      <c r="BG1" s="12" t="s">
        <v>394</v>
      </c>
      <c r="BH1" s="12" t="s">
        <v>382</v>
      </c>
    </row>
    <row r="2" spans="1:60">
      <c r="A2" s="5">
        <v>18025536856</v>
      </c>
      <c r="B2" s="5"/>
      <c r="C2" s="5"/>
      <c r="D2" s="5"/>
      <c r="E2" s="5"/>
      <c r="F2" s="5"/>
      <c r="G2" s="5"/>
      <c r="H2" s="5"/>
      <c r="I2" s="5"/>
      <c r="J2" s="5" t="s">
        <v>56</v>
      </c>
      <c r="K2" s="5"/>
      <c r="L2" s="5"/>
      <c r="M2" s="5" t="s">
        <v>59</v>
      </c>
      <c r="N2" s="5"/>
      <c r="O2" s="5"/>
      <c r="P2" s="5"/>
      <c r="Q2" s="5"/>
      <c r="R2" s="5"/>
      <c r="S2" s="5"/>
      <c r="T2" s="37"/>
      <c r="U2" s="37">
        <f t="shared" ref="U2:U65" si="0">COUNTA(B2:T2)</f>
        <v>2</v>
      </c>
      <c r="V2" s="37">
        <f t="shared" ref="V2:V65" si="1">3/U2</f>
        <v>1.5</v>
      </c>
      <c r="W2" s="37"/>
      <c r="X2" s="37">
        <f t="shared" ref="X2:X65" si="2">IF($U2&lt;3,IF($B2=$B$1,1,0),IF($B2=$B$1,$V2,0))</f>
        <v>0</v>
      </c>
      <c r="Y2" s="37">
        <f t="shared" ref="Y2:Y65" si="3">IF($U2&lt;3,IF($C2=$C$1,1,0),IF($C2=$C$1,$V2,0))</f>
        <v>0</v>
      </c>
      <c r="Z2" s="37">
        <f t="shared" ref="Z2:Z65" si="4">IF($U2&lt;3,IF($D2=$D$1,1,0),IF($D2=$D$1,$V2,0))</f>
        <v>0</v>
      </c>
      <c r="AA2" s="37">
        <f t="shared" ref="AA2:AA65" si="5">IF($U2&lt;3,IF($E2=$E$1,1,0),IF($E2=$E$1,$V2,0))</f>
        <v>0</v>
      </c>
      <c r="AB2" s="37">
        <f t="shared" ref="AB2:AB65" si="6">IF($U2&lt;3,IF($F2=$F$1,1,0),IF($F2=$F$1,$V2,0))</f>
        <v>0</v>
      </c>
      <c r="AC2" s="37">
        <f t="shared" ref="AC2:AC65" si="7">IF($U2&lt;3,IF($G2=$G$1,1,0),IF($G2=$G$1,$V2,0))</f>
        <v>0</v>
      </c>
      <c r="AD2" s="37">
        <f t="shared" ref="AD2:AD65" si="8">IF($U2&lt;3,IF($H2=$H$1,1,0),IF($H2=$H$1,$V2,0))</f>
        <v>0</v>
      </c>
      <c r="AE2" s="37">
        <f t="shared" ref="AE2:AE65" si="9">IF($U2&lt;3,IF($I2=$I$1,1,0),IF($I2=$I$1,$V2,0))</f>
        <v>0</v>
      </c>
      <c r="AF2" s="37">
        <f t="shared" ref="AF2:AF65" si="10">IF($U2&lt;3,IF($J2=$J$1,1,0),IF($J2=$J$1,$V2,0))</f>
        <v>1</v>
      </c>
      <c r="AG2" s="37">
        <f t="shared" ref="AG2:AG65" si="11">IF($U2&lt;3,IF($K2=$K$1,1,0),IF($K2=$K$1,$V2,0))</f>
        <v>0</v>
      </c>
      <c r="AH2" s="37">
        <f t="shared" ref="AH2:AH65" si="12">IF($U2&lt;3,IF($L2=$L$1,1,0),IF($L2=$L$1,$V2,0))</f>
        <v>0</v>
      </c>
      <c r="AI2" s="37">
        <f t="shared" ref="AI2:AI65" si="13">IF($U2&lt;3,IF($M2=$M$1,1,0),IF($M2=$M$1,$V2,0))</f>
        <v>1</v>
      </c>
      <c r="AJ2" s="37">
        <f t="shared" ref="AJ2:AJ65" si="14">IF($U2&lt;3,IF($N2=$N$1,1,0),IF($N2=$N$1,$V2,0))</f>
        <v>0</v>
      </c>
      <c r="AK2" s="37">
        <f t="shared" ref="AK2:AK65" si="15">IF($U2&lt;3,IF($O2=$O$1,1,0),IF($O2=$O$1,$V2,0))</f>
        <v>0</v>
      </c>
      <c r="AL2" s="37">
        <f t="shared" ref="AL2:AL65" si="16">IF($U2&lt;3,IF($P2=$P$1,1,0),IF($P2=$P$1,$V2,0))</f>
        <v>0</v>
      </c>
      <c r="AM2" s="37">
        <f t="shared" ref="AM2:AM65" si="17">IF($U2&lt;3,IF($Q2=$Q$1,1,0),IF($Q2=$Q$1,$V2,0))</f>
        <v>0</v>
      </c>
      <c r="AN2" s="37">
        <f t="shared" ref="AN2:AN65" si="18">IF($U2&lt;3,IF($R2=$R$1,1,0),IF($R2=$R$1,$V2,0))</f>
        <v>0</v>
      </c>
      <c r="AO2" s="37">
        <f t="shared" ref="AO2:AO65" si="19">IF($U2&lt;3,IF($S2=$S$1,1,0),IF($S2=$S$1,$V2,0))</f>
        <v>0</v>
      </c>
      <c r="AP2" s="37"/>
      <c r="AQ2" s="37"/>
      <c r="AR2" s="37">
        <f t="shared" ref="AR2:AR65" si="20">SUM(X2:AP2)</f>
        <v>2</v>
      </c>
      <c r="AS2" s="37">
        <f t="shared" ref="AS2:AS65" si="21">U2</f>
        <v>2</v>
      </c>
      <c r="AT2" s="37" t="str">
        <f t="shared" ref="AT2:AT65" si="22">IF(AR2=AS2,"Correct",IF(AR2=3,"Correct","Wrong"))</f>
        <v>Correct</v>
      </c>
      <c r="AU2" s="37"/>
      <c r="AV2" s="120" t="str">
        <f>IFERROR(VLOOKUP(Table1[RespondentID],'All Data'!$A$3:$CO$999,87,FALSE),"unknown")</f>
        <v>Man</v>
      </c>
      <c r="AW2" s="120">
        <f>IFERROR(VLOOKUP(Table1[RespondentID],'All Data'!$A$3:$CO$999,88,FALSE),"unknown")</f>
        <v>41</v>
      </c>
      <c r="AX2" s="120" t="str">
        <f>IFERROR(VLOOKUP(Table1[RespondentID],'All Data'!$A$3:$CO$999,89,FALSE),"unknown")</f>
        <v>Suffolk</v>
      </c>
      <c r="AY2" s="120" t="str">
        <f>IFERROR(VLOOKUP(Table1[RespondentID],'All Data'!$A$3:$CO$999,90,FALSE),"unknown")</f>
        <v>Ridge, 11961</v>
      </c>
      <c r="AZ2" s="120" t="str">
        <f>IFERROR(VLOOKUP(Table1[RespondentID],'All Data'!$A$3:$CO$999,91,FALSE),"unknown")</f>
        <v>Asian</v>
      </c>
      <c r="BA2" s="120" t="str">
        <f>IFERROR(VLOOKUP(Table1[RespondentID],'All Data'!$A$3:$CO$999,92,FALSE),"unknown")</f>
        <v>Not Hispanic or Latino</v>
      </c>
      <c r="BB2" s="120">
        <f>IFERROR(VLOOKUP(Table1[RespondentID],'All Data'!$A$3:$CO$999,93,FALSE),"unknown")</f>
        <v>0</v>
      </c>
      <c r="BC2" s="120" t="str">
        <f>IFERROR(VLOOKUP(Table1[RespondentID],'All Data'!$A$3:$CW$999,94,FALSE),"unknown")</f>
        <v>$50,000 to $74,999</v>
      </c>
      <c r="BD2" s="120" t="str">
        <f>IFERROR(VLOOKUP(Table1[RespondentID],'All Data'!$A$3:$CW$999,95,FALSE),"unknown")</f>
        <v>Other (please specify)</v>
      </c>
      <c r="BE2" s="120" t="str">
        <f>IFERROR(VLOOKUP(Table1[RespondentID],'All Data'!$A$3:$CW$999,96,FALSE),"unknown")</f>
        <v>Self-employed</v>
      </c>
      <c r="BF2" s="120" t="str">
        <f>IFERROR(VLOOKUP(Table1[RespondentID],'All Data'!$A$3:$CW$999,97,FALSE),"unknown")</f>
        <v>Yes</v>
      </c>
      <c r="BG2" s="120" t="str">
        <f>IFERROR(VLOOKUP(Table1[RespondentID],'All Data'!$A$3:$CW$999,98,FALSE),"unknown")</f>
        <v>Medicare</v>
      </c>
      <c r="BH2" s="120">
        <f>IFERROR(VLOOKUP(Table1[RespondentID],'All Data'!$A$3:$CW$999,99,FALSE),"unknown")</f>
        <v>0</v>
      </c>
    </row>
    <row r="3" spans="1:60">
      <c r="A3" s="5">
        <v>18025536720</v>
      </c>
      <c r="B3" s="5"/>
      <c r="C3" s="5"/>
      <c r="D3" s="5"/>
      <c r="E3" s="5"/>
      <c r="F3" s="5"/>
      <c r="G3" s="5" t="s">
        <v>53</v>
      </c>
      <c r="H3" s="5"/>
      <c r="I3" s="5"/>
      <c r="J3" s="5"/>
      <c r="K3" s="5"/>
      <c r="L3" s="5"/>
      <c r="M3" s="5"/>
      <c r="N3" s="5"/>
      <c r="O3" s="5"/>
      <c r="P3" s="5"/>
      <c r="Q3" s="5"/>
      <c r="R3" s="5"/>
      <c r="S3" s="5"/>
      <c r="T3" s="37"/>
      <c r="U3" s="37">
        <f t="shared" si="0"/>
        <v>1</v>
      </c>
      <c r="V3" s="37">
        <f t="shared" si="1"/>
        <v>3</v>
      </c>
      <c r="W3" s="37"/>
      <c r="X3" s="37">
        <f t="shared" si="2"/>
        <v>0</v>
      </c>
      <c r="Y3" s="37">
        <f t="shared" si="3"/>
        <v>0</v>
      </c>
      <c r="Z3" s="37">
        <f t="shared" si="4"/>
        <v>0</v>
      </c>
      <c r="AA3" s="37">
        <f t="shared" si="5"/>
        <v>0</v>
      </c>
      <c r="AB3" s="37">
        <f t="shared" si="6"/>
        <v>0</v>
      </c>
      <c r="AC3" s="37">
        <f t="shared" si="7"/>
        <v>1</v>
      </c>
      <c r="AD3" s="37">
        <f t="shared" si="8"/>
        <v>0</v>
      </c>
      <c r="AE3" s="37">
        <f t="shared" si="9"/>
        <v>0</v>
      </c>
      <c r="AF3" s="37">
        <f t="shared" si="10"/>
        <v>0</v>
      </c>
      <c r="AG3" s="37">
        <f t="shared" si="11"/>
        <v>0</v>
      </c>
      <c r="AH3" s="37">
        <f t="shared" si="12"/>
        <v>0</v>
      </c>
      <c r="AI3" s="37">
        <f t="shared" si="13"/>
        <v>0</v>
      </c>
      <c r="AJ3" s="37">
        <f t="shared" si="14"/>
        <v>0</v>
      </c>
      <c r="AK3" s="37">
        <f t="shared" si="15"/>
        <v>0</v>
      </c>
      <c r="AL3" s="37">
        <f t="shared" si="16"/>
        <v>0</v>
      </c>
      <c r="AM3" s="37">
        <f t="shared" si="17"/>
        <v>0</v>
      </c>
      <c r="AN3" s="37">
        <f t="shared" si="18"/>
        <v>0</v>
      </c>
      <c r="AO3" s="37">
        <f t="shared" si="19"/>
        <v>0</v>
      </c>
      <c r="AP3" s="37"/>
      <c r="AQ3" s="37"/>
      <c r="AR3" s="37">
        <f t="shared" si="20"/>
        <v>1</v>
      </c>
      <c r="AS3" s="37">
        <f t="shared" si="21"/>
        <v>1</v>
      </c>
      <c r="AT3" s="37" t="str">
        <f t="shared" si="22"/>
        <v>Correct</v>
      </c>
      <c r="AU3" s="37"/>
      <c r="AV3" s="120" t="str">
        <f>IFERROR(VLOOKUP(Table1[RespondentID],'All Data'!$A$3:$CO$999,87,FALSE),"unknown")</f>
        <v>Woman</v>
      </c>
      <c r="AW3" s="120">
        <f>IFERROR(VLOOKUP(Table1[RespondentID],'All Data'!$A$3:$CO$999,88,FALSE),"unknown")</f>
        <v>45</v>
      </c>
      <c r="AX3" s="120" t="str">
        <f>IFERROR(VLOOKUP(Table1[RespondentID],'All Data'!$A$3:$CO$999,89,FALSE),"unknown")</f>
        <v>Suffolk</v>
      </c>
      <c r="AY3" s="120" t="str">
        <f>IFERROR(VLOOKUP(Table1[RespondentID],'All Data'!$A$3:$CO$999,90,FALSE),"unknown")</f>
        <v>Middle Island, 11953</v>
      </c>
      <c r="AZ3" s="120" t="str">
        <f>IFERROR(VLOOKUP(Table1[RespondentID],'All Data'!$A$3:$CO$999,91,FALSE),"unknown")</f>
        <v>Other (please specify)</v>
      </c>
      <c r="BA3" s="120" t="str">
        <f>IFERROR(VLOOKUP(Table1[RespondentID],'All Data'!$A$3:$CO$999,92,FALSE),"unknown")</f>
        <v>Not Hispanic or Latino</v>
      </c>
      <c r="BB3" s="120">
        <f>IFERROR(VLOOKUP(Table1[RespondentID],'All Data'!$A$3:$CO$999,93,FALSE),"unknown")</f>
        <v>0</v>
      </c>
      <c r="BC3" s="120" t="str">
        <f>IFERROR(VLOOKUP(Table1[RespondentID],'All Data'!$A$3:$CW$999,94,FALSE),"unknown")</f>
        <v>$20,000 to $34,999</v>
      </c>
      <c r="BD3" s="120" t="str">
        <f>IFERROR(VLOOKUP(Table1[RespondentID],'All Data'!$A$3:$CW$999,95,FALSE),"unknown")</f>
        <v>College graduate</v>
      </c>
      <c r="BE3" s="120" t="str">
        <f>IFERROR(VLOOKUP(Table1[RespondentID],'All Data'!$A$3:$CW$999,96,FALSE),"unknown")</f>
        <v>Self-employed</v>
      </c>
      <c r="BF3" s="120" t="str">
        <f>IFERROR(VLOOKUP(Table1[RespondentID],'All Data'!$A$3:$CW$999,97,FALSE),"unknown")</f>
        <v>Yes</v>
      </c>
      <c r="BG3" s="120" t="str">
        <f>IFERROR(VLOOKUP(Table1[RespondentID],'All Data'!$A$3:$CW$999,98,FALSE),"unknown")</f>
        <v>Medicare</v>
      </c>
      <c r="BH3" s="120">
        <f>IFERROR(VLOOKUP(Table1[RespondentID],'All Data'!$A$3:$CW$999,99,FALSE),"unknown")</f>
        <v>0</v>
      </c>
    </row>
    <row r="4" spans="1:60">
      <c r="A4" s="5">
        <v>18025536611</v>
      </c>
      <c r="B4" s="5"/>
      <c r="C4" s="5"/>
      <c r="D4" s="5"/>
      <c r="E4" s="5"/>
      <c r="F4" s="5"/>
      <c r="G4" s="5"/>
      <c r="H4" s="5"/>
      <c r="I4" s="5"/>
      <c r="J4" s="5" t="s">
        <v>56</v>
      </c>
      <c r="K4" s="5"/>
      <c r="L4" s="5"/>
      <c r="M4" s="5"/>
      <c r="N4" s="5"/>
      <c r="O4" s="5"/>
      <c r="P4" s="5"/>
      <c r="Q4" s="5"/>
      <c r="R4" s="5"/>
      <c r="S4" s="5"/>
      <c r="T4" s="37"/>
      <c r="U4" s="37">
        <f t="shared" si="0"/>
        <v>1</v>
      </c>
      <c r="V4" s="37">
        <f t="shared" si="1"/>
        <v>3</v>
      </c>
      <c r="W4" s="37"/>
      <c r="X4" s="37">
        <f t="shared" si="2"/>
        <v>0</v>
      </c>
      <c r="Y4" s="37">
        <f t="shared" si="3"/>
        <v>0</v>
      </c>
      <c r="Z4" s="37">
        <f t="shared" si="4"/>
        <v>0</v>
      </c>
      <c r="AA4" s="37">
        <f t="shared" si="5"/>
        <v>0</v>
      </c>
      <c r="AB4" s="37">
        <f t="shared" si="6"/>
        <v>0</v>
      </c>
      <c r="AC4" s="37">
        <f t="shared" si="7"/>
        <v>0</v>
      </c>
      <c r="AD4" s="37">
        <f t="shared" si="8"/>
        <v>0</v>
      </c>
      <c r="AE4" s="37">
        <f t="shared" si="9"/>
        <v>0</v>
      </c>
      <c r="AF4" s="37">
        <f t="shared" si="10"/>
        <v>1</v>
      </c>
      <c r="AG4" s="37">
        <f t="shared" si="11"/>
        <v>0</v>
      </c>
      <c r="AH4" s="37">
        <f t="shared" si="12"/>
        <v>0</v>
      </c>
      <c r="AI4" s="37">
        <f t="shared" si="13"/>
        <v>0</v>
      </c>
      <c r="AJ4" s="37">
        <f t="shared" si="14"/>
        <v>0</v>
      </c>
      <c r="AK4" s="37">
        <f t="shared" si="15"/>
        <v>0</v>
      </c>
      <c r="AL4" s="37">
        <f t="shared" si="16"/>
        <v>0</v>
      </c>
      <c r="AM4" s="37">
        <f t="shared" si="17"/>
        <v>0</v>
      </c>
      <c r="AN4" s="37">
        <f t="shared" si="18"/>
        <v>0</v>
      </c>
      <c r="AO4" s="37">
        <f t="shared" si="19"/>
        <v>0</v>
      </c>
      <c r="AP4" s="37"/>
      <c r="AQ4" s="37"/>
      <c r="AR4" s="37">
        <f t="shared" si="20"/>
        <v>1</v>
      </c>
      <c r="AS4" s="37">
        <f t="shared" si="21"/>
        <v>1</v>
      </c>
      <c r="AT4" s="37" t="str">
        <f t="shared" si="22"/>
        <v>Correct</v>
      </c>
      <c r="AU4" s="37"/>
      <c r="AV4" s="120" t="str">
        <f>IFERROR(VLOOKUP(Table1[RespondentID],'All Data'!$A$3:$CO$999,87,FALSE),"unknown")</f>
        <v>Woman</v>
      </c>
      <c r="AW4" s="120">
        <f>IFERROR(VLOOKUP(Table1[RespondentID],'All Data'!$A$3:$CO$999,88,FALSE),"unknown")</f>
        <v>41</v>
      </c>
      <c r="AX4" s="120" t="str">
        <f>IFERROR(VLOOKUP(Table1[RespondentID],'All Data'!$A$3:$CO$999,89,FALSE),"unknown")</f>
        <v>Suffolk</v>
      </c>
      <c r="AY4" s="120" t="str">
        <f>IFERROR(VLOOKUP(Table1[RespondentID],'All Data'!$A$3:$CO$999,90,FALSE),"unknown")</f>
        <v>Ridge, 11961</v>
      </c>
      <c r="AZ4" s="120" t="str">
        <f>IFERROR(VLOOKUP(Table1[RespondentID],'All Data'!$A$3:$CO$999,91,FALSE),"unknown")</f>
        <v>Asian</v>
      </c>
      <c r="BA4" s="120" t="str">
        <f>IFERROR(VLOOKUP(Table1[RespondentID],'All Data'!$A$3:$CO$999,92,FALSE),"unknown")</f>
        <v>Not Hispanic or Latino</v>
      </c>
      <c r="BB4" s="120">
        <f>IFERROR(VLOOKUP(Table1[RespondentID],'All Data'!$A$3:$CO$999,93,FALSE),"unknown")</f>
        <v>0</v>
      </c>
      <c r="BC4" s="120" t="str">
        <f>IFERROR(VLOOKUP(Table1[RespondentID],'All Data'!$A$3:$CW$999,94,FALSE),"unknown")</f>
        <v>$20,000 to $34,999</v>
      </c>
      <c r="BD4" s="120" t="str">
        <f>IFERROR(VLOOKUP(Table1[RespondentID],'All Data'!$A$3:$CW$999,95,FALSE),"unknown")</f>
        <v>Graduate school</v>
      </c>
      <c r="BE4" s="120" t="str">
        <f>IFERROR(VLOOKUP(Table1[RespondentID],'All Data'!$A$3:$CW$999,96,FALSE),"unknown")</f>
        <v>Self-employed</v>
      </c>
      <c r="BF4" s="120">
        <f>IFERROR(VLOOKUP(Table1[RespondentID],'All Data'!$A$3:$CW$999,97,FALSE),"unknown")</f>
        <v>0</v>
      </c>
      <c r="BG4" s="120" t="str">
        <f>IFERROR(VLOOKUP(Table1[RespondentID],'All Data'!$A$3:$CW$999,98,FALSE),"unknown")</f>
        <v>Private/Commercial</v>
      </c>
      <c r="BH4" s="120">
        <f>IFERROR(VLOOKUP(Table1[RespondentID],'All Data'!$A$3:$CW$999,99,FALSE),"unknown")</f>
        <v>0</v>
      </c>
    </row>
    <row r="5" spans="1:60">
      <c r="A5" s="5">
        <v>18025536366</v>
      </c>
      <c r="B5" s="5"/>
      <c r="C5" s="5"/>
      <c r="D5" s="5"/>
      <c r="E5" s="5"/>
      <c r="F5" s="5"/>
      <c r="G5" s="5"/>
      <c r="H5" s="5"/>
      <c r="I5" s="5"/>
      <c r="J5" s="5"/>
      <c r="K5" s="5"/>
      <c r="L5" s="5"/>
      <c r="M5" s="5"/>
      <c r="N5" s="5"/>
      <c r="O5" s="5"/>
      <c r="P5" s="5"/>
      <c r="Q5" s="5"/>
      <c r="R5" s="5" t="s">
        <v>62</v>
      </c>
      <c r="S5" s="5"/>
      <c r="T5" s="37"/>
      <c r="U5" s="37">
        <f t="shared" si="0"/>
        <v>1</v>
      </c>
      <c r="V5" s="37">
        <f t="shared" si="1"/>
        <v>3</v>
      </c>
      <c r="W5" s="37"/>
      <c r="X5" s="37">
        <f t="shared" si="2"/>
        <v>0</v>
      </c>
      <c r="Y5" s="37">
        <f t="shared" si="3"/>
        <v>0</v>
      </c>
      <c r="Z5" s="37">
        <f t="shared" si="4"/>
        <v>0</v>
      </c>
      <c r="AA5" s="37">
        <f t="shared" si="5"/>
        <v>0</v>
      </c>
      <c r="AB5" s="37">
        <f t="shared" si="6"/>
        <v>0</v>
      </c>
      <c r="AC5" s="37">
        <f t="shared" si="7"/>
        <v>0</v>
      </c>
      <c r="AD5" s="37">
        <f t="shared" si="8"/>
        <v>0</v>
      </c>
      <c r="AE5" s="37">
        <f t="shared" si="9"/>
        <v>0</v>
      </c>
      <c r="AF5" s="37">
        <f t="shared" si="10"/>
        <v>0</v>
      </c>
      <c r="AG5" s="37">
        <f t="shared" si="11"/>
        <v>0</v>
      </c>
      <c r="AH5" s="37">
        <f t="shared" si="12"/>
        <v>0</v>
      </c>
      <c r="AI5" s="37">
        <f t="shared" si="13"/>
        <v>0</v>
      </c>
      <c r="AJ5" s="37">
        <f t="shared" si="14"/>
        <v>0</v>
      </c>
      <c r="AK5" s="37">
        <f t="shared" si="15"/>
        <v>0</v>
      </c>
      <c r="AL5" s="37">
        <f t="shared" si="16"/>
        <v>0</v>
      </c>
      <c r="AM5" s="37">
        <f t="shared" si="17"/>
        <v>0</v>
      </c>
      <c r="AN5" s="37">
        <f t="shared" si="18"/>
        <v>1</v>
      </c>
      <c r="AO5" s="37">
        <f t="shared" si="19"/>
        <v>0</v>
      </c>
      <c r="AP5" s="37"/>
      <c r="AQ5" s="37"/>
      <c r="AR5" s="37">
        <f t="shared" si="20"/>
        <v>1</v>
      </c>
      <c r="AS5" s="37">
        <f t="shared" si="21"/>
        <v>1</v>
      </c>
      <c r="AT5" s="37" t="str">
        <f t="shared" si="22"/>
        <v>Correct</v>
      </c>
      <c r="AU5" s="37"/>
      <c r="AV5" s="120" t="str">
        <f>IFERROR(VLOOKUP(Table1[RespondentID],'All Data'!$A$3:$CO$999,87,FALSE),"unknown")</f>
        <v>Woman</v>
      </c>
      <c r="AW5" s="120">
        <f>IFERROR(VLOOKUP(Table1[RespondentID],'All Data'!$A$3:$CO$999,88,FALSE),"unknown")</f>
        <v>49</v>
      </c>
      <c r="AX5" s="120" t="str">
        <f>IFERROR(VLOOKUP(Table1[RespondentID],'All Data'!$A$3:$CO$999,89,FALSE),"unknown")</f>
        <v>Suffolk</v>
      </c>
      <c r="AY5" s="120" t="str">
        <f>IFERROR(VLOOKUP(Table1[RespondentID],'All Data'!$A$3:$CO$999,90,FALSE),"unknown")</f>
        <v>Middle Island, 11953</v>
      </c>
      <c r="AZ5" s="120" t="str">
        <f>IFERROR(VLOOKUP(Table1[RespondentID],'All Data'!$A$3:$CO$999,91,FALSE),"unknown")</f>
        <v>White</v>
      </c>
      <c r="BA5" s="120" t="str">
        <f>IFERROR(VLOOKUP(Table1[RespondentID],'All Data'!$A$3:$CO$999,92,FALSE),"unknown")</f>
        <v>Not Hispanic or Latino</v>
      </c>
      <c r="BB5" s="120" t="str">
        <f>IFERROR(VLOOKUP(Table1[RespondentID],'All Data'!$A$3:$CO$999,93,FALSE),"unknown")</f>
        <v>English</v>
      </c>
      <c r="BC5" s="120" t="str">
        <f>IFERROR(VLOOKUP(Table1[RespondentID],'All Data'!$A$3:$CW$999,94,FALSE),"unknown")</f>
        <v>$20,000 to $34,999</v>
      </c>
      <c r="BD5" s="120" t="str">
        <f>IFERROR(VLOOKUP(Table1[RespondentID],'All Data'!$A$3:$CW$999,95,FALSE),"unknown")</f>
        <v>College graduate</v>
      </c>
      <c r="BE5" s="120" t="str">
        <f>IFERROR(VLOOKUP(Table1[RespondentID],'All Data'!$A$3:$CW$999,96,FALSE),"unknown")</f>
        <v>Self-employed</v>
      </c>
      <c r="BF5" s="120" t="str">
        <f>IFERROR(VLOOKUP(Table1[RespondentID],'All Data'!$A$3:$CW$999,97,FALSE),"unknown")</f>
        <v>Yes</v>
      </c>
      <c r="BG5" s="120" t="str">
        <f>IFERROR(VLOOKUP(Table1[RespondentID],'All Data'!$A$3:$CW$999,98,FALSE),"unknown")</f>
        <v>Medicaid</v>
      </c>
      <c r="BH5" s="120">
        <f>IFERROR(VLOOKUP(Table1[RespondentID],'All Data'!$A$3:$CW$999,99,FALSE),"unknown")</f>
        <v>0</v>
      </c>
    </row>
    <row r="6" spans="1:60">
      <c r="A6" s="5">
        <v>18025536248</v>
      </c>
      <c r="B6" s="5"/>
      <c r="C6" s="5"/>
      <c r="D6" s="5" t="s">
        <v>51</v>
      </c>
      <c r="E6" s="5"/>
      <c r="F6" s="5"/>
      <c r="G6" s="5"/>
      <c r="H6" s="5"/>
      <c r="I6" s="5"/>
      <c r="J6" s="5"/>
      <c r="K6" s="5"/>
      <c r="L6" s="5" t="s">
        <v>58</v>
      </c>
      <c r="M6" s="5"/>
      <c r="N6" s="5"/>
      <c r="O6" s="5"/>
      <c r="P6" s="5"/>
      <c r="Q6" s="5"/>
      <c r="R6" s="5"/>
      <c r="S6" s="5"/>
      <c r="T6" s="37"/>
      <c r="U6" s="37">
        <f t="shared" si="0"/>
        <v>2</v>
      </c>
      <c r="V6" s="37">
        <f t="shared" si="1"/>
        <v>1.5</v>
      </c>
      <c r="W6" s="37"/>
      <c r="X6" s="37">
        <f t="shared" si="2"/>
        <v>0</v>
      </c>
      <c r="Y6" s="37">
        <f t="shared" si="3"/>
        <v>0</v>
      </c>
      <c r="Z6" s="37">
        <f t="shared" si="4"/>
        <v>1</v>
      </c>
      <c r="AA6" s="37">
        <f t="shared" si="5"/>
        <v>0</v>
      </c>
      <c r="AB6" s="37">
        <f t="shared" si="6"/>
        <v>0</v>
      </c>
      <c r="AC6" s="37">
        <f t="shared" si="7"/>
        <v>0</v>
      </c>
      <c r="AD6" s="37">
        <f t="shared" si="8"/>
        <v>0</v>
      </c>
      <c r="AE6" s="37">
        <f t="shared" si="9"/>
        <v>0</v>
      </c>
      <c r="AF6" s="37">
        <f t="shared" si="10"/>
        <v>0</v>
      </c>
      <c r="AG6" s="37">
        <f t="shared" si="11"/>
        <v>0</v>
      </c>
      <c r="AH6" s="37">
        <f t="shared" si="12"/>
        <v>1</v>
      </c>
      <c r="AI6" s="37">
        <f t="shared" si="13"/>
        <v>0</v>
      </c>
      <c r="AJ6" s="37">
        <f t="shared" si="14"/>
        <v>0</v>
      </c>
      <c r="AK6" s="37">
        <f t="shared" si="15"/>
        <v>0</v>
      </c>
      <c r="AL6" s="37">
        <f t="shared" si="16"/>
        <v>0</v>
      </c>
      <c r="AM6" s="37">
        <f t="shared" si="17"/>
        <v>0</v>
      </c>
      <c r="AN6" s="37">
        <f t="shared" si="18"/>
        <v>0</v>
      </c>
      <c r="AO6" s="37">
        <f t="shared" si="19"/>
        <v>0</v>
      </c>
      <c r="AP6" s="37"/>
      <c r="AQ6" s="37"/>
      <c r="AR6" s="37">
        <f t="shared" si="20"/>
        <v>2</v>
      </c>
      <c r="AS6" s="37">
        <f t="shared" si="21"/>
        <v>2</v>
      </c>
      <c r="AT6" s="37" t="str">
        <f t="shared" si="22"/>
        <v>Correct</v>
      </c>
      <c r="AU6" s="37"/>
      <c r="AV6" s="120" t="str">
        <f>IFERROR(VLOOKUP(Table1[RespondentID],'All Data'!$A$3:$CO$999,87,FALSE),"unknown")</f>
        <v>Man</v>
      </c>
      <c r="AW6" s="120">
        <f>IFERROR(VLOOKUP(Table1[RespondentID],'All Data'!$A$3:$CO$999,88,FALSE),"unknown")</f>
        <v>36</v>
      </c>
      <c r="AX6" s="120" t="str">
        <f>IFERROR(VLOOKUP(Table1[RespondentID],'All Data'!$A$3:$CO$999,89,FALSE),"unknown")</f>
        <v>Suffolk</v>
      </c>
      <c r="AY6" s="120" t="str">
        <f>IFERROR(VLOOKUP(Table1[RespondentID],'All Data'!$A$3:$CO$999,90,FALSE),"unknown")</f>
        <v>Middle Island, 11953</v>
      </c>
      <c r="AZ6" s="120" t="str">
        <f>IFERROR(VLOOKUP(Table1[RespondentID],'All Data'!$A$3:$CO$999,91,FALSE),"unknown")</f>
        <v>Other (please specify)</v>
      </c>
      <c r="BA6" s="120" t="str">
        <f>IFERROR(VLOOKUP(Table1[RespondentID],'All Data'!$A$3:$CO$999,92,FALSE),"unknown")</f>
        <v>Hispanic or Latino</v>
      </c>
      <c r="BB6" s="120" t="str">
        <f>IFERROR(VLOOKUP(Table1[RespondentID],'All Data'!$A$3:$CO$999,93,FALSE),"unknown")</f>
        <v>Spanish</v>
      </c>
      <c r="BC6" s="120" t="str">
        <f>IFERROR(VLOOKUP(Table1[RespondentID],'All Data'!$A$3:$CW$999,94,FALSE),"unknown")</f>
        <v>$0-$19,999</v>
      </c>
      <c r="BD6" s="120" t="str">
        <f>IFERROR(VLOOKUP(Table1[RespondentID],'All Data'!$A$3:$CW$999,95,FALSE),"unknown")</f>
        <v>Technical school</v>
      </c>
      <c r="BE6" s="120" t="str">
        <f>IFERROR(VLOOKUP(Table1[RespondentID],'All Data'!$A$3:$CW$999,96,FALSE),"unknown")</f>
        <v>Out of work and looking for work</v>
      </c>
      <c r="BF6" s="120" t="str">
        <f>IFERROR(VLOOKUP(Table1[RespondentID],'All Data'!$A$3:$CW$999,97,FALSE),"unknown")</f>
        <v>Yes</v>
      </c>
      <c r="BG6" s="120" t="str">
        <f>IFERROR(VLOOKUP(Table1[RespondentID],'All Data'!$A$3:$CW$999,98,FALSE),"unknown")</f>
        <v>Medicaid</v>
      </c>
      <c r="BH6" s="120">
        <f>IFERROR(VLOOKUP(Table1[RespondentID],'All Data'!$A$3:$CW$999,99,FALSE),"unknown")</f>
        <v>0</v>
      </c>
    </row>
    <row r="7" spans="1:60">
      <c r="A7" s="5">
        <v>18025536153</v>
      </c>
      <c r="B7" s="5"/>
      <c r="C7" s="5"/>
      <c r="D7" s="5"/>
      <c r="E7" s="5"/>
      <c r="F7" s="5"/>
      <c r="G7" s="5" t="s">
        <v>53</v>
      </c>
      <c r="H7" s="5"/>
      <c r="I7" s="5"/>
      <c r="J7" s="5"/>
      <c r="K7" s="5"/>
      <c r="L7" s="5"/>
      <c r="M7" s="5"/>
      <c r="N7" s="5"/>
      <c r="O7" s="5"/>
      <c r="P7" s="5"/>
      <c r="Q7" s="5"/>
      <c r="R7" s="5"/>
      <c r="S7" s="5"/>
      <c r="T7" s="37"/>
      <c r="U7" s="37">
        <f t="shared" si="0"/>
        <v>1</v>
      </c>
      <c r="V7" s="37">
        <f t="shared" si="1"/>
        <v>3</v>
      </c>
      <c r="W7" s="37"/>
      <c r="X7" s="37">
        <f t="shared" si="2"/>
        <v>0</v>
      </c>
      <c r="Y7" s="37">
        <f t="shared" si="3"/>
        <v>0</v>
      </c>
      <c r="Z7" s="37">
        <f t="shared" si="4"/>
        <v>0</v>
      </c>
      <c r="AA7" s="37">
        <f t="shared" si="5"/>
        <v>0</v>
      </c>
      <c r="AB7" s="37">
        <f t="shared" si="6"/>
        <v>0</v>
      </c>
      <c r="AC7" s="37">
        <f t="shared" si="7"/>
        <v>1</v>
      </c>
      <c r="AD7" s="37">
        <f t="shared" si="8"/>
        <v>0</v>
      </c>
      <c r="AE7" s="37">
        <f t="shared" si="9"/>
        <v>0</v>
      </c>
      <c r="AF7" s="37">
        <f t="shared" si="10"/>
        <v>0</v>
      </c>
      <c r="AG7" s="37">
        <f t="shared" si="11"/>
        <v>0</v>
      </c>
      <c r="AH7" s="37">
        <f t="shared" si="12"/>
        <v>0</v>
      </c>
      <c r="AI7" s="37">
        <f t="shared" si="13"/>
        <v>0</v>
      </c>
      <c r="AJ7" s="37">
        <f t="shared" si="14"/>
        <v>0</v>
      </c>
      <c r="AK7" s="37">
        <f t="shared" si="15"/>
        <v>0</v>
      </c>
      <c r="AL7" s="37">
        <f t="shared" si="16"/>
        <v>0</v>
      </c>
      <c r="AM7" s="37">
        <f t="shared" si="17"/>
        <v>0</v>
      </c>
      <c r="AN7" s="37">
        <f t="shared" si="18"/>
        <v>0</v>
      </c>
      <c r="AO7" s="37">
        <f t="shared" si="19"/>
        <v>0</v>
      </c>
      <c r="AP7" s="37"/>
      <c r="AQ7" s="37"/>
      <c r="AR7" s="37">
        <f t="shared" si="20"/>
        <v>1</v>
      </c>
      <c r="AS7" s="37">
        <f t="shared" si="21"/>
        <v>1</v>
      </c>
      <c r="AT7" s="37" t="str">
        <f t="shared" si="22"/>
        <v>Correct</v>
      </c>
      <c r="AU7" s="37"/>
      <c r="AV7" s="120" t="str">
        <f>IFERROR(VLOOKUP(Table1[RespondentID],'All Data'!$A$3:$CO$999,87,FALSE),"unknown")</f>
        <v>Woman</v>
      </c>
      <c r="AW7" s="120">
        <f>IFERROR(VLOOKUP(Table1[RespondentID],'All Data'!$A$3:$CO$999,88,FALSE),"unknown")</f>
        <v>34</v>
      </c>
      <c r="AX7" s="120" t="str">
        <f>IFERROR(VLOOKUP(Table1[RespondentID],'All Data'!$A$3:$CO$999,89,FALSE),"unknown")</f>
        <v>Suffolk</v>
      </c>
      <c r="AY7" s="120" t="str">
        <f>IFERROR(VLOOKUP(Table1[RespondentID],'All Data'!$A$3:$CO$999,90,FALSE),"unknown")</f>
        <v>Ridge, 11961</v>
      </c>
      <c r="AZ7" s="120" t="str">
        <f>IFERROR(VLOOKUP(Table1[RespondentID],'All Data'!$A$3:$CO$999,91,FALSE),"unknown")</f>
        <v>Asian</v>
      </c>
      <c r="BA7" s="120" t="str">
        <f>IFERROR(VLOOKUP(Table1[RespondentID],'All Data'!$A$3:$CO$999,92,FALSE),"unknown")</f>
        <v>Not Hispanic or Latino</v>
      </c>
      <c r="BB7" s="120">
        <f>IFERROR(VLOOKUP(Table1[RespondentID],'All Data'!$A$3:$CO$999,93,FALSE),"unknown")</f>
        <v>0</v>
      </c>
      <c r="BC7" s="120" t="str">
        <f>IFERROR(VLOOKUP(Table1[RespondentID],'All Data'!$A$3:$CW$999,94,FALSE),"unknown")</f>
        <v>$0-$19,999</v>
      </c>
      <c r="BD7" s="120" t="str">
        <f>IFERROR(VLOOKUP(Table1[RespondentID],'All Data'!$A$3:$CW$999,95,FALSE),"unknown")</f>
        <v>Graduate school</v>
      </c>
      <c r="BE7" s="120">
        <f>IFERROR(VLOOKUP(Table1[RespondentID],'All Data'!$A$3:$CW$999,96,FALSE),"unknown")</f>
        <v>0</v>
      </c>
      <c r="BF7" s="120" t="str">
        <f>IFERROR(VLOOKUP(Table1[RespondentID],'All Data'!$A$3:$CW$999,97,FALSE),"unknown")</f>
        <v>Yes</v>
      </c>
      <c r="BG7" s="120" t="str">
        <f>IFERROR(VLOOKUP(Table1[RespondentID],'All Data'!$A$3:$CW$999,98,FALSE),"unknown")</f>
        <v>Private/Commercial</v>
      </c>
      <c r="BH7" s="120">
        <f>IFERROR(VLOOKUP(Table1[RespondentID],'All Data'!$A$3:$CW$999,99,FALSE),"unknown")</f>
        <v>0</v>
      </c>
    </row>
    <row r="8" spans="1:60">
      <c r="A8" s="5">
        <v>18025536056</v>
      </c>
      <c r="B8" s="5"/>
      <c r="C8" s="5"/>
      <c r="D8" s="5"/>
      <c r="E8" s="5"/>
      <c r="F8" s="5"/>
      <c r="G8" s="5" t="s">
        <v>53</v>
      </c>
      <c r="H8" s="5"/>
      <c r="I8" s="5"/>
      <c r="J8" s="5" t="s">
        <v>56</v>
      </c>
      <c r="K8" s="5"/>
      <c r="L8" s="5"/>
      <c r="M8" s="5"/>
      <c r="N8" s="5"/>
      <c r="O8" s="5"/>
      <c r="P8" s="5"/>
      <c r="Q8" s="5"/>
      <c r="R8" s="5"/>
      <c r="S8" s="5"/>
      <c r="T8" s="37"/>
      <c r="U8" s="37">
        <f t="shared" si="0"/>
        <v>2</v>
      </c>
      <c r="V8" s="37">
        <f t="shared" si="1"/>
        <v>1.5</v>
      </c>
      <c r="W8" s="37"/>
      <c r="X8" s="37">
        <f t="shared" si="2"/>
        <v>0</v>
      </c>
      <c r="Y8" s="37">
        <f t="shared" si="3"/>
        <v>0</v>
      </c>
      <c r="Z8" s="37">
        <f t="shared" si="4"/>
        <v>0</v>
      </c>
      <c r="AA8" s="37">
        <f t="shared" si="5"/>
        <v>0</v>
      </c>
      <c r="AB8" s="37">
        <f t="shared" si="6"/>
        <v>0</v>
      </c>
      <c r="AC8" s="37">
        <f t="shared" si="7"/>
        <v>1</v>
      </c>
      <c r="AD8" s="37">
        <f t="shared" si="8"/>
        <v>0</v>
      </c>
      <c r="AE8" s="37">
        <f t="shared" si="9"/>
        <v>0</v>
      </c>
      <c r="AF8" s="37">
        <f t="shared" si="10"/>
        <v>1</v>
      </c>
      <c r="AG8" s="37">
        <f t="shared" si="11"/>
        <v>0</v>
      </c>
      <c r="AH8" s="37">
        <f t="shared" si="12"/>
        <v>0</v>
      </c>
      <c r="AI8" s="37">
        <f t="shared" si="13"/>
        <v>0</v>
      </c>
      <c r="AJ8" s="37">
        <f t="shared" si="14"/>
        <v>0</v>
      </c>
      <c r="AK8" s="37">
        <f t="shared" si="15"/>
        <v>0</v>
      </c>
      <c r="AL8" s="37">
        <f t="shared" si="16"/>
        <v>0</v>
      </c>
      <c r="AM8" s="37">
        <f t="shared" si="17"/>
        <v>0</v>
      </c>
      <c r="AN8" s="37">
        <f t="shared" si="18"/>
        <v>0</v>
      </c>
      <c r="AO8" s="37">
        <f t="shared" si="19"/>
        <v>0</v>
      </c>
      <c r="AP8" s="37"/>
      <c r="AQ8" s="37"/>
      <c r="AR8" s="37">
        <f t="shared" si="20"/>
        <v>2</v>
      </c>
      <c r="AS8" s="37">
        <f t="shared" si="21"/>
        <v>2</v>
      </c>
      <c r="AT8" s="37" t="str">
        <f t="shared" si="22"/>
        <v>Correct</v>
      </c>
      <c r="AU8" s="37"/>
      <c r="AV8" s="120" t="str">
        <f>IFERROR(VLOOKUP(Table1[RespondentID],'All Data'!$A$3:$CO$999,87,FALSE),"unknown")</f>
        <v>Man</v>
      </c>
      <c r="AW8" s="120">
        <f>IFERROR(VLOOKUP(Table1[RespondentID],'All Data'!$A$3:$CO$999,88,FALSE),"unknown")</f>
        <v>30</v>
      </c>
      <c r="AX8" s="120" t="str">
        <f>IFERROR(VLOOKUP(Table1[RespondentID],'All Data'!$A$3:$CO$999,89,FALSE),"unknown")</f>
        <v>Suffolk</v>
      </c>
      <c r="AY8" s="120" t="str">
        <f>IFERROR(VLOOKUP(Table1[RespondentID],'All Data'!$A$3:$CO$999,90,FALSE),"unknown")</f>
        <v>Ridge, 11961</v>
      </c>
      <c r="AZ8" s="120" t="str">
        <f>IFERROR(VLOOKUP(Table1[RespondentID],'All Data'!$A$3:$CO$999,91,FALSE),"unknown")</f>
        <v>Two or more races</v>
      </c>
      <c r="BA8" s="120" t="str">
        <f>IFERROR(VLOOKUP(Table1[RespondentID],'All Data'!$A$3:$CO$999,92,FALSE),"unknown")</f>
        <v>Not Hispanic or Latino</v>
      </c>
      <c r="BB8" s="120" t="str">
        <f>IFERROR(VLOOKUP(Table1[RespondentID],'All Data'!$A$3:$CO$999,93,FALSE),"unknown")</f>
        <v>English</v>
      </c>
      <c r="BC8" s="120" t="str">
        <f>IFERROR(VLOOKUP(Table1[RespondentID],'All Data'!$A$3:$CW$999,94,FALSE),"unknown")</f>
        <v>$50,000 to $74,999</v>
      </c>
      <c r="BD8" s="120" t="str">
        <f>IFERROR(VLOOKUP(Table1[RespondentID],'All Data'!$A$3:$CW$999,95,FALSE),"unknown")</f>
        <v>Some college</v>
      </c>
      <c r="BE8" s="120" t="str">
        <f>IFERROR(VLOOKUP(Table1[RespondentID],'All Data'!$A$3:$CW$999,96,FALSE),"unknown")</f>
        <v>Self-employed</v>
      </c>
      <c r="BF8" s="120" t="str">
        <f>IFERROR(VLOOKUP(Table1[RespondentID],'All Data'!$A$3:$CW$999,97,FALSE),"unknown")</f>
        <v>Yes</v>
      </c>
      <c r="BG8" s="120" t="str">
        <f>IFERROR(VLOOKUP(Table1[RespondentID],'All Data'!$A$3:$CW$999,98,FALSE),"unknown")</f>
        <v>Medicare</v>
      </c>
      <c r="BH8" s="120">
        <f>IFERROR(VLOOKUP(Table1[RespondentID],'All Data'!$A$3:$CW$999,99,FALSE),"unknown")</f>
        <v>0</v>
      </c>
    </row>
    <row r="9" spans="1:60">
      <c r="A9" s="5">
        <v>18025535944</v>
      </c>
      <c r="B9" s="5"/>
      <c r="C9" s="5"/>
      <c r="D9" s="5"/>
      <c r="E9" s="5"/>
      <c r="F9" s="5"/>
      <c r="G9" s="5"/>
      <c r="H9" s="5"/>
      <c r="I9" s="5" t="s">
        <v>55</v>
      </c>
      <c r="J9" s="5"/>
      <c r="K9" s="5"/>
      <c r="L9" s="5"/>
      <c r="M9" s="5"/>
      <c r="N9" s="5"/>
      <c r="O9" s="5"/>
      <c r="P9" s="5"/>
      <c r="Q9" s="5"/>
      <c r="R9" s="5"/>
      <c r="S9" s="5"/>
      <c r="T9" s="37"/>
      <c r="U9" s="37">
        <f t="shared" si="0"/>
        <v>1</v>
      </c>
      <c r="V9" s="37">
        <f t="shared" si="1"/>
        <v>3</v>
      </c>
      <c r="W9" s="37"/>
      <c r="X9" s="37">
        <f t="shared" si="2"/>
        <v>0</v>
      </c>
      <c r="Y9" s="37">
        <f t="shared" si="3"/>
        <v>0</v>
      </c>
      <c r="Z9" s="37">
        <f t="shared" si="4"/>
        <v>0</v>
      </c>
      <c r="AA9" s="37">
        <f t="shared" si="5"/>
        <v>0</v>
      </c>
      <c r="AB9" s="37">
        <f t="shared" si="6"/>
        <v>0</v>
      </c>
      <c r="AC9" s="37">
        <f t="shared" si="7"/>
        <v>0</v>
      </c>
      <c r="AD9" s="37">
        <f t="shared" si="8"/>
        <v>0</v>
      </c>
      <c r="AE9" s="37">
        <f t="shared" si="9"/>
        <v>1</v>
      </c>
      <c r="AF9" s="37">
        <f t="shared" si="10"/>
        <v>0</v>
      </c>
      <c r="AG9" s="37">
        <f t="shared" si="11"/>
        <v>0</v>
      </c>
      <c r="AH9" s="37">
        <f t="shared" si="12"/>
        <v>0</v>
      </c>
      <c r="AI9" s="37">
        <f t="shared" si="13"/>
        <v>0</v>
      </c>
      <c r="AJ9" s="37">
        <f t="shared" si="14"/>
        <v>0</v>
      </c>
      <c r="AK9" s="37">
        <f t="shared" si="15"/>
        <v>0</v>
      </c>
      <c r="AL9" s="37">
        <f t="shared" si="16"/>
        <v>0</v>
      </c>
      <c r="AM9" s="37">
        <f t="shared" si="17"/>
        <v>0</v>
      </c>
      <c r="AN9" s="37">
        <f t="shared" si="18"/>
        <v>0</v>
      </c>
      <c r="AO9" s="37">
        <f t="shared" si="19"/>
        <v>0</v>
      </c>
      <c r="AP9" s="37"/>
      <c r="AQ9" s="37"/>
      <c r="AR9" s="37">
        <f t="shared" si="20"/>
        <v>1</v>
      </c>
      <c r="AS9" s="37">
        <f t="shared" si="21"/>
        <v>1</v>
      </c>
      <c r="AT9" s="37" t="str">
        <f t="shared" si="22"/>
        <v>Correct</v>
      </c>
      <c r="AU9" s="37"/>
      <c r="AV9" s="120" t="str">
        <f>IFERROR(VLOOKUP(Table1[RespondentID],'All Data'!$A$3:$CO$999,87,FALSE),"unknown")</f>
        <v>Woman</v>
      </c>
      <c r="AW9" s="120">
        <f>IFERROR(VLOOKUP(Table1[RespondentID],'All Data'!$A$3:$CO$999,88,FALSE),"unknown")</f>
        <v>43</v>
      </c>
      <c r="AX9" s="120" t="str">
        <f>IFERROR(VLOOKUP(Table1[RespondentID],'All Data'!$A$3:$CO$999,89,FALSE),"unknown")</f>
        <v>Suffolk</v>
      </c>
      <c r="AY9" s="120" t="str">
        <f>IFERROR(VLOOKUP(Table1[RespondentID],'All Data'!$A$3:$CO$999,90,FALSE),"unknown")</f>
        <v>Ridge, 11961</v>
      </c>
      <c r="AZ9" s="120" t="str">
        <f>IFERROR(VLOOKUP(Table1[RespondentID],'All Data'!$A$3:$CO$999,91,FALSE),"unknown")</f>
        <v>Asian</v>
      </c>
      <c r="BA9" s="120" t="str">
        <f>IFERROR(VLOOKUP(Table1[RespondentID],'All Data'!$A$3:$CO$999,92,FALSE),"unknown")</f>
        <v>Not Hispanic or Latino</v>
      </c>
      <c r="BB9" s="120">
        <f>IFERROR(VLOOKUP(Table1[RespondentID],'All Data'!$A$3:$CO$999,93,FALSE),"unknown")</f>
        <v>0</v>
      </c>
      <c r="BC9" s="120" t="str">
        <f>IFERROR(VLOOKUP(Table1[RespondentID],'All Data'!$A$3:$CW$999,94,FALSE),"unknown")</f>
        <v>$75,000 to $125,000</v>
      </c>
      <c r="BD9" s="120" t="str">
        <f>IFERROR(VLOOKUP(Table1[RespondentID],'All Data'!$A$3:$CW$999,95,FALSE),"unknown")</f>
        <v>Other (please specify)</v>
      </c>
      <c r="BE9" s="120" t="str">
        <f>IFERROR(VLOOKUP(Table1[RespondentID],'All Data'!$A$3:$CW$999,96,FALSE),"unknown")</f>
        <v>Out of work and looking for work</v>
      </c>
      <c r="BF9" s="120" t="str">
        <f>IFERROR(VLOOKUP(Table1[RespondentID],'All Data'!$A$3:$CW$999,97,FALSE),"unknown")</f>
        <v>Yes</v>
      </c>
      <c r="BG9" s="120" t="str">
        <f>IFERROR(VLOOKUP(Table1[RespondentID],'All Data'!$A$3:$CW$999,98,FALSE),"unknown")</f>
        <v>Private/Commercial</v>
      </c>
      <c r="BH9" s="120">
        <f>IFERROR(VLOOKUP(Table1[RespondentID],'All Data'!$A$3:$CW$999,99,FALSE),"unknown")</f>
        <v>0</v>
      </c>
    </row>
    <row r="10" spans="1:60">
      <c r="A10" s="5">
        <v>18025535832</v>
      </c>
      <c r="B10" s="5"/>
      <c r="C10" s="5"/>
      <c r="D10" s="5" t="s">
        <v>51</v>
      </c>
      <c r="E10" s="5"/>
      <c r="F10" s="5"/>
      <c r="G10" s="5"/>
      <c r="H10" s="5"/>
      <c r="I10" s="5"/>
      <c r="J10" s="5"/>
      <c r="K10" s="5"/>
      <c r="L10" s="5"/>
      <c r="M10" s="5"/>
      <c r="N10" s="5"/>
      <c r="O10" s="5" t="s">
        <v>20</v>
      </c>
      <c r="P10" s="5"/>
      <c r="Q10" s="5"/>
      <c r="R10" s="5"/>
      <c r="S10" s="5" t="s">
        <v>63</v>
      </c>
      <c r="T10" s="37"/>
      <c r="U10" s="37">
        <f t="shared" si="0"/>
        <v>3</v>
      </c>
      <c r="V10" s="37">
        <f t="shared" si="1"/>
        <v>1</v>
      </c>
      <c r="W10" s="37"/>
      <c r="X10" s="37">
        <f t="shared" si="2"/>
        <v>0</v>
      </c>
      <c r="Y10" s="37">
        <f t="shared" si="3"/>
        <v>0</v>
      </c>
      <c r="Z10" s="37">
        <f t="shared" si="4"/>
        <v>1</v>
      </c>
      <c r="AA10" s="37">
        <f t="shared" si="5"/>
        <v>0</v>
      </c>
      <c r="AB10" s="37">
        <f t="shared" si="6"/>
        <v>0</v>
      </c>
      <c r="AC10" s="37">
        <f t="shared" si="7"/>
        <v>0</v>
      </c>
      <c r="AD10" s="37">
        <f t="shared" si="8"/>
        <v>0</v>
      </c>
      <c r="AE10" s="37">
        <f t="shared" si="9"/>
        <v>0</v>
      </c>
      <c r="AF10" s="37">
        <f t="shared" si="10"/>
        <v>0</v>
      </c>
      <c r="AG10" s="37">
        <f t="shared" si="11"/>
        <v>0</v>
      </c>
      <c r="AH10" s="37">
        <f t="shared" si="12"/>
        <v>0</v>
      </c>
      <c r="AI10" s="37">
        <f t="shared" si="13"/>
        <v>0</v>
      </c>
      <c r="AJ10" s="37">
        <f t="shared" si="14"/>
        <v>0</v>
      </c>
      <c r="AK10" s="37">
        <f t="shared" si="15"/>
        <v>1</v>
      </c>
      <c r="AL10" s="37">
        <f t="shared" si="16"/>
        <v>0</v>
      </c>
      <c r="AM10" s="37">
        <f t="shared" si="17"/>
        <v>0</v>
      </c>
      <c r="AN10" s="37">
        <f t="shared" si="18"/>
        <v>0</v>
      </c>
      <c r="AO10" s="37">
        <f t="shared" si="19"/>
        <v>1</v>
      </c>
      <c r="AP10" s="37"/>
      <c r="AQ10" s="37"/>
      <c r="AR10" s="37">
        <f t="shared" si="20"/>
        <v>3</v>
      </c>
      <c r="AS10" s="37">
        <f t="shared" si="21"/>
        <v>3</v>
      </c>
      <c r="AT10" s="37" t="str">
        <f t="shared" si="22"/>
        <v>Correct</v>
      </c>
      <c r="AU10" s="37"/>
      <c r="AV10" s="120" t="str">
        <f>IFERROR(VLOOKUP(Table1[RespondentID],'All Data'!$A$3:$CO$999,87,FALSE),"unknown")</f>
        <v>Woman</v>
      </c>
      <c r="AW10" s="120">
        <f>IFERROR(VLOOKUP(Table1[RespondentID],'All Data'!$A$3:$CO$999,88,FALSE),"unknown")</f>
        <v>20</v>
      </c>
      <c r="AX10" s="120" t="str">
        <f>IFERROR(VLOOKUP(Table1[RespondentID],'All Data'!$A$3:$CO$999,89,FALSE),"unknown")</f>
        <v>Suffolk</v>
      </c>
      <c r="AY10" s="120" t="str">
        <f>IFERROR(VLOOKUP(Table1[RespondentID],'All Data'!$A$3:$CO$999,90,FALSE),"unknown")</f>
        <v>Ridge, 11961</v>
      </c>
      <c r="AZ10" s="120" t="str">
        <f>IFERROR(VLOOKUP(Table1[RespondentID],'All Data'!$A$3:$CO$999,91,FALSE),"unknown")</f>
        <v>Asian</v>
      </c>
      <c r="BA10" s="120">
        <f>IFERROR(VLOOKUP(Table1[RespondentID],'All Data'!$A$3:$CO$999,92,FALSE),"unknown")</f>
        <v>0</v>
      </c>
      <c r="BB10" s="120">
        <f>IFERROR(VLOOKUP(Table1[RespondentID],'All Data'!$A$3:$CO$999,93,FALSE),"unknown")</f>
        <v>0</v>
      </c>
      <c r="BC10" s="120" t="str">
        <f>IFERROR(VLOOKUP(Table1[RespondentID],'All Data'!$A$3:$CW$999,94,FALSE),"unknown")</f>
        <v>$0-$19,999</v>
      </c>
      <c r="BD10" s="120" t="str">
        <f>IFERROR(VLOOKUP(Table1[RespondentID],'All Data'!$A$3:$CW$999,95,FALSE),"unknown")</f>
        <v>High school graduate</v>
      </c>
      <c r="BE10" s="120" t="str">
        <f>IFERROR(VLOOKUP(Table1[RespondentID],'All Data'!$A$3:$CW$999,96,FALSE),"unknown")</f>
        <v>Student</v>
      </c>
      <c r="BF10" s="120" t="str">
        <f>IFERROR(VLOOKUP(Table1[RespondentID],'All Data'!$A$3:$CW$999,97,FALSE),"unknown")</f>
        <v>Yes</v>
      </c>
      <c r="BG10" s="120" t="str">
        <f>IFERROR(VLOOKUP(Table1[RespondentID],'All Data'!$A$3:$CW$999,98,FALSE),"unknown")</f>
        <v>Medicare</v>
      </c>
      <c r="BH10" s="120">
        <f>IFERROR(VLOOKUP(Table1[RespondentID],'All Data'!$A$3:$CW$999,99,FALSE),"unknown")</f>
        <v>0</v>
      </c>
    </row>
    <row r="11" spans="1:60">
      <c r="A11" s="5">
        <v>18025535657</v>
      </c>
      <c r="B11" s="5"/>
      <c r="C11" s="5"/>
      <c r="D11" s="5"/>
      <c r="E11" s="5"/>
      <c r="F11" s="5"/>
      <c r="G11" s="5" t="s">
        <v>53</v>
      </c>
      <c r="H11" s="5"/>
      <c r="I11" s="5" t="s">
        <v>55</v>
      </c>
      <c r="J11" s="5"/>
      <c r="K11" s="5"/>
      <c r="L11" s="5"/>
      <c r="M11" s="5"/>
      <c r="N11" s="5"/>
      <c r="O11" s="5"/>
      <c r="P11" s="5"/>
      <c r="Q11" s="5"/>
      <c r="R11" s="5" t="s">
        <v>62</v>
      </c>
      <c r="S11" s="5"/>
      <c r="T11" s="37"/>
      <c r="U11" s="37">
        <f t="shared" si="0"/>
        <v>3</v>
      </c>
      <c r="V11" s="37">
        <f t="shared" si="1"/>
        <v>1</v>
      </c>
      <c r="W11" s="37"/>
      <c r="X11" s="37">
        <f t="shared" si="2"/>
        <v>0</v>
      </c>
      <c r="Y11" s="37">
        <f t="shared" si="3"/>
        <v>0</v>
      </c>
      <c r="Z11" s="37">
        <f t="shared" si="4"/>
        <v>0</v>
      </c>
      <c r="AA11" s="37">
        <f t="shared" si="5"/>
        <v>0</v>
      </c>
      <c r="AB11" s="37">
        <f t="shared" si="6"/>
        <v>0</v>
      </c>
      <c r="AC11" s="37">
        <f t="shared" si="7"/>
        <v>1</v>
      </c>
      <c r="AD11" s="37">
        <f t="shared" si="8"/>
        <v>0</v>
      </c>
      <c r="AE11" s="37">
        <f t="shared" si="9"/>
        <v>1</v>
      </c>
      <c r="AF11" s="37">
        <f t="shared" si="10"/>
        <v>0</v>
      </c>
      <c r="AG11" s="37">
        <f t="shared" si="11"/>
        <v>0</v>
      </c>
      <c r="AH11" s="37">
        <f t="shared" si="12"/>
        <v>0</v>
      </c>
      <c r="AI11" s="37">
        <f t="shared" si="13"/>
        <v>0</v>
      </c>
      <c r="AJ11" s="37">
        <f t="shared" si="14"/>
        <v>0</v>
      </c>
      <c r="AK11" s="37">
        <f t="shared" si="15"/>
        <v>0</v>
      </c>
      <c r="AL11" s="37">
        <f t="shared" si="16"/>
        <v>0</v>
      </c>
      <c r="AM11" s="37">
        <f t="shared" si="17"/>
        <v>0</v>
      </c>
      <c r="AN11" s="37">
        <f t="shared" si="18"/>
        <v>1</v>
      </c>
      <c r="AO11" s="37">
        <f t="shared" si="19"/>
        <v>0</v>
      </c>
      <c r="AP11" s="37"/>
      <c r="AQ11" s="37"/>
      <c r="AR11" s="37">
        <f t="shared" si="20"/>
        <v>3</v>
      </c>
      <c r="AS11" s="37">
        <f t="shared" si="21"/>
        <v>3</v>
      </c>
      <c r="AT11" s="37" t="str">
        <f t="shared" si="22"/>
        <v>Correct</v>
      </c>
      <c r="AU11" s="37"/>
      <c r="AV11" s="120">
        <f>IFERROR(VLOOKUP(Table1[RespondentID],'All Data'!$A$3:$CO$999,87,FALSE),"unknown")</f>
        <v>0</v>
      </c>
      <c r="AW11" s="120">
        <f>IFERROR(VLOOKUP(Table1[RespondentID],'All Data'!$A$3:$CO$999,88,FALSE),"unknown")</f>
        <v>17</v>
      </c>
      <c r="AX11" s="120" t="str">
        <f>IFERROR(VLOOKUP(Table1[RespondentID],'All Data'!$A$3:$CO$999,89,FALSE),"unknown")</f>
        <v>Suffolk</v>
      </c>
      <c r="AY11" s="120" t="str">
        <f>IFERROR(VLOOKUP(Table1[RespondentID],'All Data'!$A$3:$CO$999,90,FALSE),"unknown")</f>
        <v>Ridge, 11961</v>
      </c>
      <c r="AZ11" s="120" t="str">
        <f>IFERROR(VLOOKUP(Table1[RespondentID],'All Data'!$A$3:$CO$999,91,FALSE),"unknown")</f>
        <v>Asian</v>
      </c>
      <c r="BA11" s="120" t="str">
        <f>IFERROR(VLOOKUP(Table1[RespondentID],'All Data'!$A$3:$CO$999,92,FALSE),"unknown")</f>
        <v>Not Hispanic or Latino</v>
      </c>
      <c r="BB11" s="120">
        <f>IFERROR(VLOOKUP(Table1[RespondentID],'All Data'!$A$3:$CO$999,93,FALSE),"unknown")</f>
        <v>0</v>
      </c>
      <c r="BC11" s="120" t="str">
        <f>IFERROR(VLOOKUP(Table1[RespondentID],'All Data'!$A$3:$CW$999,94,FALSE),"unknown")</f>
        <v>$0-$19,999</v>
      </c>
      <c r="BD11" s="120" t="str">
        <f>IFERROR(VLOOKUP(Table1[RespondentID],'All Data'!$A$3:$CW$999,95,FALSE),"unknown")</f>
        <v>Some high school</v>
      </c>
      <c r="BE11" s="120" t="str">
        <f>IFERROR(VLOOKUP(Table1[RespondentID],'All Data'!$A$3:$CW$999,96,FALSE),"unknown")</f>
        <v>Out of work, but not currently looking</v>
      </c>
      <c r="BF11" s="120" t="str">
        <f>IFERROR(VLOOKUP(Table1[RespondentID],'All Data'!$A$3:$CW$999,97,FALSE),"unknown")</f>
        <v>Yes</v>
      </c>
      <c r="BG11" s="120" t="str">
        <f>IFERROR(VLOOKUP(Table1[RespondentID],'All Data'!$A$3:$CW$999,98,FALSE),"unknown")</f>
        <v>Medicare</v>
      </c>
      <c r="BH11" s="120">
        <f>IFERROR(VLOOKUP(Table1[RespondentID],'All Data'!$A$3:$CW$999,99,FALSE),"unknown")</f>
        <v>0</v>
      </c>
    </row>
    <row r="12" spans="1:60">
      <c r="A12" s="5">
        <v>18025535535</v>
      </c>
      <c r="B12" s="5"/>
      <c r="C12" s="5"/>
      <c r="D12" s="5" t="s">
        <v>51</v>
      </c>
      <c r="E12" s="5"/>
      <c r="F12" s="5"/>
      <c r="G12" s="5"/>
      <c r="H12" s="5"/>
      <c r="I12" s="5"/>
      <c r="J12" s="5"/>
      <c r="K12" s="5"/>
      <c r="L12" s="5"/>
      <c r="M12" s="5" t="s">
        <v>59</v>
      </c>
      <c r="N12" s="5"/>
      <c r="O12" s="5"/>
      <c r="P12" s="5"/>
      <c r="Q12" s="5" t="s">
        <v>61</v>
      </c>
      <c r="R12" s="5"/>
      <c r="S12" s="5"/>
      <c r="T12" s="37"/>
      <c r="U12" s="37">
        <f t="shared" si="0"/>
        <v>3</v>
      </c>
      <c r="V12" s="37">
        <f t="shared" si="1"/>
        <v>1</v>
      </c>
      <c r="W12" s="37"/>
      <c r="X12" s="37">
        <f t="shared" si="2"/>
        <v>0</v>
      </c>
      <c r="Y12" s="37">
        <f t="shared" si="3"/>
        <v>0</v>
      </c>
      <c r="Z12" s="37">
        <f t="shared" si="4"/>
        <v>1</v>
      </c>
      <c r="AA12" s="37">
        <f t="shared" si="5"/>
        <v>0</v>
      </c>
      <c r="AB12" s="37">
        <f t="shared" si="6"/>
        <v>0</v>
      </c>
      <c r="AC12" s="37">
        <f t="shared" si="7"/>
        <v>0</v>
      </c>
      <c r="AD12" s="37">
        <f t="shared" si="8"/>
        <v>0</v>
      </c>
      <c r="AE12" s="37">
        <f t="shared" si="9"/>
        <v>0</v>
      </c>
      <c r="AF12" s="37">
        <f t="shared" si="10"/>
        <v>0</v>
      </c>
      <c r="AG12" s="37">
        <f t="shared" si="11"/>
        <v>0</v>
      </c>
      <c r="AH12" s="37">
        <f t="shared" si="12"/>
        <v>0</v>
      </c>
      <c r="AI12" s="37">
        <f t="shared" si="13"/>
        <v>1</v>
      </c>
      <c r="AJ12" s="37">
        <f t="shared" si="14"/>
        <v>0</v>
      </c>
      <c r="AK12" s="37">
        <f t="shared" si="15"/>
        <v>0</v>
      </c>
      <c r="AL12" s="37">
        <f t="shared" si="16"/>
        <v>0</v>
      </c>
      <c r="AM12" s="37">
        <f t="shared" si="17"/>
        <v>1</v>
      </c>
      <c r="AN12" s="37">
        <f t="shared" si="18"/>
        <v>0</v>
      </c>
      <c r="AO12" s="37">
        <f t="shared" si="19"/>
        <v>0</v>
      </c>
      <c r="AP12" s="37"/>
      <c r="AQ12" s="37"/>
      <c r="AR12" s="37">
        <f t="shared" si="20"/>
        <v>3</v>
      </c>
      <c r="AS12" s="37">
        <f t="shared" si="21"/>
        <v>3</v>
      </c>
      <c r="AT12" s="37" t="str">
        <f t="shared" si="22"/>
        <v>Correct</v>
      </c>
      <c r="AU12" s="37"/>
      <c r="AV12" s="120" t="str">
        <f>IFERROR(VLOOKUP(Table1[RespondentID],'All Data'!$A$3:$CO$999,87,FALSE),"unknown")</f>
        <v>Woman</v>
      </c>
      <c r="AW12" s="120">
        <f>IFERROR(VLOOKUP(Table1[RespondentID],'All Data'!$A$3:$CO$999,88,FALSE),"unknown")</f>
        <v>38</v>
      </c>
      <c r="AX12" s="120" t="str">
        <f>IFERROR(VLOOKUP(Table1[RespondentID],'All Data'!$A$3:$CO$999,89,FALSE),"unknown")</f>
        <v>Suffolk</v>
      </c>
      <c r="AY12" s="120" t="str">
        <f>IFERROR(VLOOKUP(Table1[RespondentID],'All Data'!$A$3:$CO$999,90,FALSE),"unknown")</f>
        <v>Baiting Hollow, 11933</v>
      </c>
      <c r="AZ12" s="120" t="str">
        <f>IFERROR(VLOOKUP(Table1[RespondentID],'All Data'!$A$3:$CO$999,91,FALSE),"unknown")</f>
        <v>White</v>
      </c>
      <c r="BA12" s="120" t="str">
        <f>IFERROR(VLOOKUP(Table1[RespondentID],'All Data'!$A$3:$CO$999,92,FALSE),"unknown")</f>
        <v>Not Hispanic or Latino</v>
      </c>
      <c r="BB12" s="120" t="str">
        <f>IFERROR(VLOOKUP(Table1[RespondentID],'All Data'!$A$3:$CO$999,93,FALSE),"unknown")</f>
        <v>English</v>
      </c>
      <c r="BC12" s="120" t="str">
        <f>IFERROR(VLOOKUP(Table1[RespondentID],'All Data'!$A$3:$CW$999,94,FALSE),"unknown")</f>
        <v>Over $125,000</v>
      </c>
      <c r="BD12" s="120" t="str">
        <f>IFERROR(VLOOKUP(Table1[RespondentID],'All Data'!$A$3:$CW$999,95,FALSE),"unknown")</f>
        <v>Some college</v>
      </c>
      <c r="BE12" s="120" t="str">
        <f>IFERROR(VLOOKUP(Table1[RespondentID],'All Data'!$A$3:$CW$999,96,FALSE),"unknown")</f>
        <v>Employed for wages</v>
      </c>
      <c r="BF12" s="120" t="str">
        <f>IFERROR(VLOOKUP(Table1[RespondentID],'All Data'!$A$3:$CW$999,97,FALSE),"unknown")</f>
        <v>No</v>
      </c>
      <c r="BG12" s="120" t="str">
        <f>IFERROR(VLOOKUP(Table1[RespondentID],'All Data'!$A$3:$CW$999,98,FALSE),"unknown")</f>
        <v>Private/Commercial</v>
      </c>
      <c r="BH12" s="120">
        <f>IFERROR(VLOOKUP(Table1[RespondentID],'All Data'!$A$3:$CW$999,99,FALSE),"unknown")</f>
        <v>0</v>
      </c>
    </row>
    <row r="13" spans="1:60">
      <c r="A13" s="5">
        <v>18025535409</v>
      </c>
      <c r="B13" s="5"/>
      <c r="C13" s="5"/>
      <c r="D13" s="5" t="s">
        <v>51</v>
      </c>
      <c r="E13" s="5"/>
      <c r="F13" s="5"/>
      <c r="G13" s="5"/>
      <c r="H13" s="5"/>
      <c r="I13" s="5"/>
      <c r="J13" s="5"/>
      <c r="K13" s="5"/>
      <c r="L13" s="5"/>
      <c r="M13" s="5" t="s">
        <v>59</v>
      </c>
      <c r="N13" s="5"/>
      <c r="O13" s="5"/>
      <c r="P13" s="5"/>
      <c r="Q13" s="5"/>
      <c r="R13" s="5" t="s">
        <v>62</v>
      </c>
      <c r="S13" s="5"/>
      <c r="T13" s="37"/>
      <c r="U13" s="37">
        <f t="shared" si="0"/>
        <v>3</v>
      </c>
      <c r="V13" s="37">
        <f t="shared" si="1"/>
        <v>1</v>
      </c>
      <c r="W13" s="37"/>
      <c r="X13" s="37">
        <f t="shared" si="2"/>
        <v>0</v>
      </c>
      <c r="Y13" s="37">
        <f t="shared" si="3"/>
        <v>0</v>
      </c>
      <c r="Z13" s="37">
        <f t="shared" si="4"/>
        <v>1</v>
      </c>
      <c r="AA13" s="37">
        <f t="shared" si="5"/>
        <v>0</v>
      </c>
      <c r="AB13" s="37">
        <f t="shared" si="6"/>
        <v>0</v>
      </c>
      <c r="AC13" s="37">
        <f t="shared" si="7"/>
        <v>0</v>
      </c>
      <c r="AD13" s="37">
        <f t="shared" si="8"/>
        <v>0</v>
      </c>
      <c r="AE13" s="37">
        <f t="shared" si="9"/>
        <v>0</v>
      </c>
      <c r="AF13" s="37">
        <f t="shared" si="10"/>
        <v>0</v>
      </c>
      <c r="AG13" s="37">
        <f t="shared" si="11"/>
        <v>0</v>
      </c>
      <c r="AH13" s="37">
        <f t="shared" si="12"/>
        <v>0</v>
      </c>
      <c r="AI13" s="37">
        <f t="shared" si="13"/>
        <v>1</v>
      </c>
      <c r="AJ13" s="37">
        <f t="shared" si="14"/>
        <v>0</v>
      </c>
      <c r="AK13" s="37">
        <f t="shared" si="15"/>
        <v>0</v>
      </c>
      <c r="AL13" s="37">
        <f t="shared" si="16"/>
        <v>0</v>
      </c>
      <c r="AM13" s="37">
        <f t="shared" si="17"/>
        <v>0</v>
      </c>
      <c r="AN13" s="37">
        <f t="shared" si="18"/>
        <v>1</v>
      </c>
      <c r="AO13" s="37">
        <f t="shared" si="19"/>
        <v>0</v>
      </c>
      <c r="AP13" s="37"/>
      <c r="AQ13" s="37"/>
      <c r="AR13" s="37">
        <f t="shared" si="20"/>
        <v>3</v>
      </c>
      <c r="AS13" s="37">
        <f t="shared" si="21"/>
        <v>3</v>
      </c>
      <c r="AT13" s="37" t="str">
        <f t="shared" si="22"/>
        <v>Correct</v>
      </c>
      <c r="AU13" s="37"/>
      <c r="AV13" s="120" t="str">
        <f>IFERROR(VLOOKUP(Table1[RespondentID],'All Data'!$A$3:$CO$999,87,FALSE),"unknown")</f>
        <v>Woman</v>
      </c>
      <c r="AW13" s="120">
        <f>IFERROR(VLOOKUP(Table1[RespondentID],'All Data'!$A$3:$CO$999,88,FALSE),"unknown")</f>
        <v>51</v>
      </c>
      <c r="AX13" s="120" t="str">
        <f>IFERROR(VLOOKUP(Table1[RespondentID],'All Data'!$A$3:$CO$999,89,FALSE),"unknown")</f>
        <v>Suffolk</v>
      </c>
      <c r="AY13" s="120" t="str">
        <f>IFERROR(VLOOKUP(Table1[RespondentID],'All Data'!$A$3:$CO$999,90,FALSE),"unknown")</f>
        <v>Ridge, 11961</v>
      </c>
      <c r="AZ13" s="120" t="str">
        <f>IFERROR(VLOOKUP(Table1[RespondentID],'All Data'!$A$3:$CO$999,91,FALSE),"unknown")</f>
        <v>White</v>
      </c>
      <c r="BA13" s="120" t="str">
        <f>IFERROR(VLOOKUP(Table1[RespondentID],'All Data'!$A$3:$CO$999,92,FALSE),"unknown")</f>
        <v>Not Hispanic or Latino</v>
      </c>
      <c r="BB13" s="120" t="str">
        <f>IFERROR(VLOOKUP(Table1[RespondentID],'All Data'!$A$3:$CO$999,93,FALSE),"unknown")</f>
        <v>English</v>
      </c>
      <c r="BC13" s="120" t="str">
        <f>IFERROR(VLOOKUP(Table1[RespondentID],'All Data'!$A$3:$CW$999,94,FALSE),"unknown")</f>
        <v>Over $125,000</v>
      </c>
      <c r="BD13" s="120" t="str">
        <f>IFERROR(VLOOKUP(Table1[RespondentID],'All Data'!$A$3:$CW$999,95,FALSE),"unknown")</f>
        <v>High school graduate</v>
      </c>
      <c r="BE13" s="120" t="str">
        <f>IFERROR(VLOOKUP(Table1[RespondentID],'All Data'!$A$3:$CW$999,96,FALSE),"unknown")</f>
        <v>Employed for wages</v>
      </c>
      <c r="BF13" s="120" t="str">
        <f>IFERROR(VLOOKUP(Table1[RespondentID],'All Data'!$A$3:$CW$999,97,FALSE),"unknown")</f>
        <v>Yes</v>
      </c>
      <c r="BG13" s="120" t="str">
        <f>IFERROR(VLOOKUP(Table1[RespondentID],'All Data'!$A$3:$CW$999,98,FALSE),"unknown")</f>
        <v>Private/Commercial</v>
      </c>
      <c r="BH13" s="120">
        <f>IFERROR(VLOOKUP(Table1[RespondentID],'All Data'!$A$3:$CW$999,99,FALSE),"unknown")</f>
        <v>0</v>
      </c>
    </row>
    <row r="14" spans="1:60">
      <c r="A14" s="5">
        <v>18025535294</v>
      </c>
      <c r="B14" s="5"/>
      <c r="C14" s="5"/>
      <c r="D14" s="5"/>
      <c r="E14" s="5"/>
      <c r="F14" s="5"/>
      <c r="G14" s="5" t="s">
        <v>53</v>
      </c>
      <c r="H14" s="5"/>
      <c r="I14" s="5"/>
      <c r="J14" s="5" t="s">
        <v>56</v>
      </c>
      <c r="K14" s="5"/>
      <c r="L14" s="5"/>
      <c r="M14" s="5" t="s">
        <v>59</v>
      </c>
      <c r="N14" s="5"/>
      <c r="O14" s="5"/>
      <c r="P14" s="5"/>
      <c r="Q14" s="5"/>
      <c r="R14" s="5"/>
      <c r="S14" s="5"/>
      <c r="T14" s="37"/>
      <c r="U14" s="37">
        <f t="shared" si="0"/>
        <v>3</v>
      </c>
      <c r="V14" s="37">
        <f t="shared" si="1"/>
        <v>1</v>
      </c>
      <c r="W14" s="37"/>
      <c r="X14" s="37">
        <f t="shared" si="2"/>
        <v>0</v>
      </c>
      <c r="Y14" s="37">
        <f t="shared" si="3"/>
        <v>0</v>
      </c>
      <c r="Z14" s="37">
        <f t="shared" si="4"/>
        <v>0</v>
      </c>
      <c r="AA14" s="37">
        <f t="shared" si="5"/>
        <v>0</v>
      </c>
      <c r="AB14" s="37">
        <f t="shared" si="6"/>
        <v>0</v>
      </c>
      <c r="AC14" s="37">
        <f t="shared" si="7"/>
        <v>1</v>
      </c>
      <c r="AD14" s="37">
        <f t="shared" si="8"/>
        <v>0</v>
      </c>
      <c r="AE14" s="37">
        <f t="shared" si="9"/>
        <v>0</v>
      </c>
      <c r="AF14" s="37">
        <f t="shared" si="10"/>
        <v>1</v>
      </c>
      <c r="AG14" s="37">
        <f t="shared" si="11"/>
        <v>0</v>
      </c>
      <c r="AH14" s="37">
        <f t="shared" si="12"/>
        <v>0</v>
      </c>
      <c r="AI14" s="37">
        <f t="shared" si="13"/>
        <v>1</v>
      </c>
      <c r="AJ14" s="37">
        <f t="shared" si="14"/>
        <v>0</v>
      </c>
      <c r="AK14" s="37">
        <f t="shared" si="15"/>
        <v>0</v>
      </c>
      <c r="AL14" s="37">
        <f t="shared" si="16"/>
        <v>0</v>
      </c>
      <c r="AM14" s="37">
        <f t="shared" si="17"/>
        <v>0</v>
      </c>
      <c r="AN14" s="37">
        <f t="shared" si="18"/>
        <v>0</v>
      </c>
      <c r="AO14" s="37">
        <f t="shared" si="19"/>
        <v>0</v>
      </c>
      <c r="AP14" s="37"/>
      <c r="AQ14" s="37"/>
      <c r="AR14" s="37">
        <f t="shared" si="20"/>
        <v>3</v>
      </c>
      <c r="AS14" s="37">
        <f t="shared" si="21"/>
        <v>3</v>
      </c>
      <c r="AT14" s="37" t="str">
        <f t="shared" si="22"/>
        <v>Correct</v>
      </c>
      <c r="AU14" s="37"/>
      <c r="AV14" s="120" t="str">
        <f>IFERROR(VLOOKUP(Table1[RespondentID],'All Data'!$A$3:$CO$999,87,FALSE),"unknown")</f>
        <v>Woman</v>
      </c>
      <c r="AW14" s="120">
        <f>IFERROR(VLOOKUP(Table1[RespondentID],'All Data'!$A$3:$CO$999,88,FALSE),"unknown")</f>
        <v>59</v>
      </c>
      <c r="AX14" s="120" t="str">
        <f>IFERROR(VLOOKUP(Table1[RespondentID],'All Data'!$A$3:$CO$999,89,FALSE),"unknown")</f>
        <v>Suffolk</v>
      </c>
      <c r="AY14" s="120" t="str">
        <f>IFERROR(VLOOKUP(Table1[RespondentID],'All Data'!$A$3:$CO$999,90,FALSE),"unknown")</f>
        <v>Ridge, 11961</v>
      </c>
      <c r="AZ14" s="120" t="str">
        <f>IFERROR(VLOOKUP(Table1[RespondentID],'All Data'!$A$3:$CO$999,91,FALSE),"unknown")</f>
        <v>White</v>
      </c>
      <c r="BA14" s="120">
        <f>IFERROR(VLOOKUP(Table1[RespondentID],'All Data'!$A$3:$CO$999,92,FALSE),"unknown")</f>
        <v>0</v>
      </c>
      <c r="BB14" s="120" t="str">
        <f>IFERROR(VLOOKUP(Table1[RespondentID],'All Data'!$A$3:$CO$999,93,FALSE),"unknown")</f>
        <v>English</v>
      </c>
      <c r="BC14" s="120" t="str">
        <f>IFERROR(VLOOKUP(Table1[RespondentID],'All Data'!$A$3:$CW$999,94,FALSE),"unknown")</f>
        <v>$50,000 to $74,999</v>
      </c>
      <c r="BD14" s="120" t="str">
        <f>IFERROR(VLOOKUP(Table1[RespondentID],'All Data'!$A$3:$CW$999,95,FALSE),"unknown")</f>
        <v>High school graduate</v>
      </c>
      <c r="BE14" s="120" t="str">
        <f>IFERROR(VLOOKUP(Table1[RespondentID],'All Data'!$A$3:$CW$999,96,FALSE),"unknown")</f>
        <v>Retired</v>
      </c>
      <c r="BF14" s="120" t="str">
        <f>IFERROR(VLOOKUP(Table1[RespondentID],'All Data'!$A$3:$CW$999,97,FALSE),"unknown")</f>
        <v>Yes</v>
      </c>
      <c r="BG14" s="120" t="str">
        <f>IFERROR(VLOOKUP(Table1[RespondentID],'All Data'!$A$3:$CW$999,98,FALSE),"unknown")</f>
        <v>Medicare</v>
      </c>
      <c r="BH14" s="120">
        <f>IFERROR(VLOOKUP(Table1[RespondentID],'All Data'!$A$3:$CW$999,99,FALSE),"unknown")</f>
        <v>0</v>
      </c>
    </row>
    <row r="15" spans="1:60">
      <c r="A15" s="5">
        <v>18025535123</v>
      </c>
      <c r="B15" s="5"/>
      <c r="C15" s="5"/>
      <c r="D15" s="5" t="s">
        <v>51</v>
      </c>
      <c r="E15" s="5"/>
      <c r="F15" s="5" t="s">
        <v>52</v>
      </c>
      <c r="G15" s="5" t="s">
        <v>53</v>
      </c>
      <c r="H15" s="5"/>
      <c r="I15" s="5"/>
      <c r="J15" s="5" t="s">
        <v>56</v>
      </c>
      <c r="K15" s="5"/>
      <c r="L15" s="5"/>
      <c r="M15" s="5"/>
      <c r="N15" s="5"/>
      <c r="O15" s="5"/>
      <c r="P15" s="5"/>
      <c r="Q15" s="5"/>
      <c r="R15" s="5" t="s">
        <v>62</v>
      </c>
      <c r="S15" s="5"/>
      <c r="T15" s="37"/>
      <c r="U15" s="37">
        <f t="shared" si="0"/>
        <v>5</v>
      </c>
      <c r="V15" s="37">
        <f t="shared" si="1"/>
        <v>0.6</v>
      </c>
      <c r="W15" s="37"/>
      <c r="X15" s="37">
        <f t="shared" si="2"/>
        <v>0</v>
      </c>
      <c r="Y15" s="37">
        <f t="shared" si="3"/>
        <v>0</v>
      </c>
      <c r="Z15" s="37">
        <f t="shared" si="4"/>
        <v>0.6</v>
      </c>
      <c r="AA15" s="37">
        <f t="shared" si="5"/>
        <v>0</v>
      </c>
      <c r="AB15" s="37">
        <f t="shared" si="6"/>
        <v>0.6</v>
      </c>
      <c r="AC15" s="37">
        <f t="shared" si="7"/>
        <v>0.6</v>
      </c>
      <c r="AD15" s="37">
        <f t="shared" si="8"/>
        <v>0</v>
      </c>
      <c r="AE15" s="37">
        <f t="shared" si="9"/>
        <v>0</v>
      </c>
      <c r="AF15" s="37">
        <f t="shared" si="10"/>
        <v>0.6</v>
      </c>
      <c r="AG15" s="37">
        <f t="shared" si="11"/>
        <v>0</v>
      </c>
      <c r="AH15" s="37">
        <f t="shared" si="12"/>
        <v>0</v>
      </c>
      <c r="AI15" s="37">
        <f t="shared" si="13"/>
        <v>0</v>
      </c>
      <c r="AJ15" s="37">
        <f t="shared" si="14"/>
        <v>0</v>
      </c>
      <c r="AK15" s="37">
        <f t="shared" si="15"/>
        <v>0</v>
      </c>
      <c r="AL15" s="37">
        <f t="shared" si="16"/>
        <v>0</v>
      </c>
      <c r="AM15" s="37">
        <f t="shared" si="17"/>
        <v>0</v>
      </c>
      <c r="AN15" s="37">
        <f t="shared" si="18"/>
        <v>0.6</v>
      </c>
      <c r="AO15" s="37">
        <f t="shared" si="19"/>
        <v>0</v>
      </c>
      <c r="AP15" s="37"/>
      <c r="AQ15" s="37"/>
      <c r="AR15" s="37">
        <f t="shared" si="20"/>
        <v>3</v>
      </c>
      <c r="AS15" s="37">
        <f t="shared" si="21"/>
        <v>5</v>
      </c>
      <c r="AT15" s="37" t="str">
        <f t="shared" si="22"/>
        <v>Correct</v>
      </c>
      <c r="AU15" s="37"/>
      <c r="AV15" s="120" t="str">
        <f>IFERROR(VLOOKUP(Table1[RespondentID],'All Data'!$A$3:$CO$999,87,FALSE),"unknown")</f>
        <v>Woman</v>
      </c>
      <c r="AW15" s="120">
        <f>IFERROR(VLOOKUP(Table1[RespondentID],'All Data'!$A$3:$CO$999,88,FALSE),"unknown")</f>
        <v>24</v>
      </c>
      <c r="AX15" s="120" t="str">
        <f>IFERROR(VLOOKUP(Table1[RespondentID],'All Data'!$A$3:$CO$999,89,FALSE),"unknown")</f>
        <v>Suffolk</v>
      </c>
      <c r="AY15" s="120" t="str">
        <f>IFERROR(VLOOKUP(Table1[RespondentID],'All Data'!$A$3:$CO$999,90,FALSE),"unknown")</f>
        <v>Peconic, 11958</v>
      </c>
      <c r="AZ15" s="120" t="str">
        <f>IFERROR(VLOOKUP(Table1[RespondentID],'All Data'!$A$3:$CO$999,91,FALSE),"unknown")</f>
        <v>Two or more races</v>
      </c>
      <c r="BA15" s="120" t="str">
        <f>IFERROR(VLOOKUP(Table1[RespondentID],'All Data'!$A$3:$CO$999,92,FALSE),"unknown")</f>
        <v>Not Hispanic or Latino</v>
      </c>
      <c r="BB15" s="120" t="str">
        <f>IFERROR(VLOOKUP(Table1[RespondentID],'All Data'!$A$3:$CO$999,93,FALSE),"unknown")</f>
        <v>French Creole</v>
      </c>
      <c r="BC15" s="120" t="str">
        <f>IFERROR(VLOOKUP(Table1[RespondentID],'All Data'!$A$3:$CW$999,94,FALSE),"unknown")</f>
        <v>$75,000 to $125,000</v>
      </c>
      <c r="BD15" s="120" t="str">
        <f>IFERROR(VLOOKUP(Table1[RespondentID],'All Data'!$A$3:$CW$999,95,FALSE),"unknown")</f>
        <v>Doctorate</v>
      </c>
      <c r="BE15" s="120" t="str">
        <f>IFERROR(VLOOKUP(Table1[RespondentID],'All Data'!$A$3:$CW$999,96,FALSE),"unknown")</f>
        <v>Employed for wages</v>
      </c>
      <c r="BF15" s="120" t="str">
        <f>IFERROR(VLOOKUP(Table1[RespondentID],'All Data'!$A$3:$CW$999,97,FALSE),"unknown")</f>
        <v>Yes</v>
      </c>
      <c r="BG15" s="120">
        <f>IFERROR(VLOOKUP(Table1[RespondentID],'All Data'!$A$3:$CW$999,98,FALSE),"unknown")</f>
        <v>0</v>
      </c>
      <c r="BH15" s="120">
        <f>IFERROR(VLOOKUP(Table1[RespondentID],'All Data'!$A$3:$CW$999,99,FALSE),"unknown")</f>
        <v>0</v>
      </c>
    </row>
    <row r="16" spans="1:60">
      <c r="A16" s="5">
        <v>18025534952</v>
      </c>
      <c r="B16" s="5"/>
      <c r="C16" s="5"/>
      <c r="D16" s="5"/>
      <c r="E16" s="5"/>
      <c r="F16" s="5" t="s">
        <v>52</v>
      </c>
      <c r="G16" s="5" t="s">
        <v>53</v>
      </c>
      <c r="H16" s="5"/>
      <c r="I16" s="5"/>
      <c r="J16" s="5"/>
      <c r="K16" s="5"/>
      <c r="L16" s="5"/>
      <c r="M16" s="5"/>
      <c r="N16" s="5"/>
      <c r="O16" s="5"/>
      <c r="P16" s="5"/>
      <c r="Q16" s="5"/>
      <c r="R16" s="5" t="s">
        <v>62</v>
      </c>
      <c r="S16" s="5"/>
      <c r="T16" s="37"/>
      <c r="U16" s="37">
        <f t="shared" si="0"/>
        <v>3</v>
      </c>
      <c r="V16" s="37">
        <f t="shared" si="1"/>
        <v>1</v>
      </c>
      <c r="W16" s="37"/>
      <c r="X16" s="37">
        <f t="shared" si="2"/>
        <v>0</v>
      </c>
      <c r="Y16" s="37">
        <f t="shared" si="3"/>
        <v>0</v>
      </c>
      <c r="Z16" s="37">
        <f t="shared" si="4"/>
        <v>0</v>
      </c>
      <c r="AA16" s="37">
        <f t="shared" si="5"/>
        <v>0</v>
      </c>
      <c r="AB16" s="37">
        <f t="shared" si="6"/>
        <v>1</v>
      </c>
      <c r="AC16" s="37">
        <f t="shared" si="7"/>
        <v>1</v>
      </c>
      <c r="AD16" s="37">
        <f t="shared" si="8"/>
        <v>0</v>
      </c>
      <c r="AE16" s="37">
        <f t="shared" si="9"/>
        <v>0</v>
      </c>
      <c r="AF16" s="37">
        <f t="shared" si="10"/>
        <v>0</v>
      </c>
      <c r="AG16" s="37">
        <f t="shared" si="11"/>
        <v>0</v>
      </c>
      <c r="AH16" s="37">
        <f t="shared" si="12"/>
        <v>0</v>
      </c>
      <c r="AI16" s="37">
        <f t="shared" si="13"/>
        <v>0</v>
      </c>
      <c r="AJ16" s="37">
        <f t="shared" si="14"/>
        <v>0</v>
      </c>
      <c r="AK16" s="37">
        <f t="shared" si="15"/>
        <v>0</v>
      </c>
      <c r="AL16" s="37">
        <f t="shared" si="16"/>
        <v>0</v>
      </c>
      <c r="AM16" s="37">
        <f t="shared" si="17"/>
        <v>0</v>
      </c>
      <c r="AN16" s="37">
        <f t="shared" si="18"/>
        <v>1</v>
      </c>
      <c r="AO16" s="37">
        <f t="shared" si="19"/>
        <v>0</v>
      </c>
      <c r="AP16" s="37"/>
      <c r="AQ16" s="37"/>
      <c r="AR16" s="37">
        <f t="shared" si="20"/>
        <v>3</v>
      </c>
      <c r="AS16" s="37">
        <f t="shared" si="21"/>
        <v>3</v>
      </c>
      <c r="AT16" s="37" t="str">
        <f t="shared" si="22"/>
        <v>Correct</v>
      </c>
      <c r="AU16" s="37"/>
      <c r="AV16" s="120" t="str">
        <f>IFERROR(VLOOKUP(Table1[RespondentID],'All Data'!$A$3:$CO$999,87,FALSE),"unknown")</f>
        <v>Woman</v>
      </c>
      <c r="AW16" s="120">
        <f>IFERROR(VLOOKUP(Table1[RespondentID],'All Data'!$A$3:$CO$999,88,FALSE),"unknown")</f>
        <v>31</v>
      </c>
      <c r="AX16" s="120" t="str">
        <f>IFERROR(VLOOKUP(Table1[RespondentID],'All Data'!$A$3:$CO$999,89,FALSE),"unknown")</f>
        <v>Suffolk</v>
      </c>
      <c r="AY16" s="120" t="str">
        <f>IFERROR(VLOOKUP(Table1[RespondentID],'All Data'!$A$3:$CO$999,90,FALSE),"unknown")</f>
        <v>Patchogue, 11772</v>
      </c>
      <c r="AZ16" s="120" t="str">
        <f>IFERROR(VLOOKUP(Table1[RespondentID],'All Data'!$A$3:$CO$999,91,FALSE),"unknown")</f>
        <v>White</v>
      </c>
      <c r="BA16" s="120">
        <f>IFERROR(VLOOKUP(Table1[RespondentID],'All Data'!$A$3:$CO$999,92,FALSE),"unknown")</f>
        <v>0</v>
      </c>
      <c r="BB16" s="120" t="str">
        <f>IFERROR(VLOOKUP(Table1[RespondentID],'All Data'!$A$3:$CO$999,93,FALSE),"unknown")</f>
        <v>English</v>
      </c>
      <c r="BC16" s="120" t="str">
        <f>IFERROR(VLOOKUP(Table1[RespondentID],'All Data'!$A$3:$CW$999,94,FALSE),"unknown")</f>
        <v>Over $125,000</v>
      </c>
      <c r="BD16" s="120" t="str">
        <f>IFERROR(VLOOKUP(Table1[RespondentID],'All Data'!$A$3:$CW$999,95,FALSE),"unknown")</f>
        <v>College graduate</v>
      </c>
      <c r="BE16" s="120" t="str">
        <f>IFERROR(VLOOKUP(Table1[RespondentID],'All Data'!$A$3:$CW$999,96,FALSE),"unknown")</f>
        <v>Employed for wages</v>
      </c>
      <c r="BF16" s="120" t="str">
        <f>IFERROR(VLOOKUP(Table1[RespondentID],'All Data'!$A$3:$CW$999,97,FALSE),"unknown")</f>
        <v>Yes</v>
      </c>
      <c r="BG16" s="120" t="str">
        <f>IFERROR(VLOOKUP(Table1[RespondentID],'All Data'!$A$3:$CW$999,98,FALSE),"unknown")</f>
        <v>Private/Commercial</v>
      </c>
      <c r="BH16" s="120">
        <f>IFERROR(VLOOKUP(Table1[RespondentID],'All Data'!$A$3:$CW$999,99,FALSE),"unknown")</f>
        <v>0</v>
      </c>
    </row>
    <row r="17" spans="1:60">
      <c r="A17" s="5">
        <v>18025534839</v>
      </c>
      <c r="B17" s="5"/>
      <c r="C17" s="5"/>
      <c r="D17" s="5" t="s">
        <v>51</v>
      </c>
      <c r="E17" s="5"/>
      <c r="F17" s="5"/>
      <c r="G17" s="5" t="s">
        <v>53</v>
      </c>
      <c r="H17" s="5"/>
      <c r="I17" s="5"/>
      <c r="J17" s="5"/>
      <c r="K17" s="5"/>
      <c r="L17" s="5"/>
      <c r="M17" s="5" t="s">
        <v>59</v>
      </c>
      <c r="N17" s="5"/>
      <c r="O17" s="5"/>
      <c r="P17" s="5"/>
      <c r="Q17" s="5"/>
      <c r="R17" s="5"/>
      <c r="S17" s="5"/>
      <c r="T17" s="37"/>
      <c r="U17" s="37">
        <f t="shared" si="0"/>
        <v>3</v>
      </c>
      <c r="V17" s="37">
        <f t="shared" si="1"/>
        <v>1</v>
      </c>
      <c r="W17" s="37"/>
      <c r="X17" s="37">
        <f t="shared" si="2"/>
        <v>0</v>
      </c>
      <c r="Y17" s="37">
        <f t="shared" si="3"/>
        <v>0</v>
      </c>
      <c r="Z17" s="37">
        <f t="shared" si="4"/>
        <v>1</v>
      </c>
      <c r="AA17" s="37">
        <f t="shared" si="5"/>
        <v>0</v>
      </c>
      <c r="AB17" s="37">
        <f t="shared" si="6"/>
        <v>0</v>
      </c>
      <c r="AC17" s="37">
        <f t="shared" si="7"/>
        <v>1</v>
      </c>
      <c r="AD17" s="37">
        <f t="shared" si="8"/>
        <v>0</v>
      </c>
      <c r="AE17" s="37">
        <f t="shared" si="9"/>
        <v>0</v>
      </c>
      <c r="AF17" s="37">
        <f t="shared" si="10"/>
        <v>0</v>
      </c>
      <c r="AG17" s="37">
        <f t="shared" si="11"/>
        <v>0</v>
      </c>
      <c r="AH17" s="37">
        <f t="shared" si="12"/>
        <v>0</v>
      </c>
      <c r="AI17" s="37">
        <f t="shared" si="13"/>
        <v>1</v>
      </c>
      <c r="AJ17" s="37">
        <f t="shared" si="14"/>
        <v>0</v>
      </c>
      <c r="AK17" s="37">
        <f t="shared" si="15"/>
        <v>0</v>
      </c>
      <c r="AL17" s="37">
        <f t="shared" si="16"/>
        <v>0</v>
      </c>
      <c r="AM17" s="37">
        <f t="shared" si="17"/>
        <v>0</v>
      </c>
      <c r="AN17" s="37">
        <f t="shared" si="18"/>
        <v>0</v>
      </c>
      <c r="AO17" s="37">
        <f t="shared" si="19"/>
        <v>0</v>
      </c>
      <c r="AP17" s="37"/>
      <c r="AQ17" s="37"/>
      <c r="AR17" s="37">
        <f t="shared" si="20"/>
        <v>3</v>
      </c>
      <c r="AS17" s="37">
        <f t="shared" si="21"/>
        <v>3</v>
      </c>
      <c r="AT17" s="37" t="str">
        <f t="shared" si="22"/>
        <v>Correct</v>
      </c>
      <c r="AU17" s="37"/>
      <c r="AV17" s="120" t="str">
        <f>IFERROR(VLOOKUP(Table1[RespondentID],'All Data'!$A$3:$CO$999,87,FALSE),"unknown")</f>
        <v>Woman</v>
      </c>
      <c r="AW17" s="120">
        <f>IFERROR(VLOOKUP(Table1[RespondentID],'All Data'!$A$3:$CO$999,88,FALSE),"unknown")</f>
        <v>57</v>
      </c>
      <c r="AX17" s="120" t="str">
        <f>IFERROR(VLOOKUP(Table1[RespondentID],'All Data'!$A$3:$CO$999,89,FALSE),"unknown")</f>
        <v>Suffolk</v>
      </c>
      <c r="AY17" s="120" t="str">
        <f>IFERROR(VLOOKUP(Table1[RespondentID],'All Data'!$A$3:$CO$999,90,FALSE),"unknown")</f>
        <v>Ronkonkoma, 11779</v>
      </c>
      <c r="AZ17" s="120" t="str">
        <f>IFERROR(VLOOKUP(Table1[RespondentID],'All Data'!$A$3:$CO$999,91,FALSE),"unknown")</f>
        <v>White</v>
      </c>
      <c r="BA17" s="120" t="str">
        <f>IFERROR(VLOOKUP(Table1[RespondentID],'All Data'!$A$3:$CO$999,92,FALSE),"unknown")</f>
        <v>Not Hispanic or Latino</v>
      </c>
      <c r="BB17" s="120" t="str">
        <f>IFERROR(VLOOKUP(Table1[RespondentID],'All Data'!$A$3:$CO$999,93,FALSE),"unknown")</f>
        <v>English</v>
      </c>
      <c r="BC17" s="120" t="str">
        <f>IFERROR(VLOOKUP(Table1[RespondentID],'All Data'!$A$3:$CW$999,94,FALSE),"unknown")</f>
        <v>Over $125,000</v>
      </c>
      <c r="BD17" s="120" t="str">
        <f>IFERROR(VLOOKUP(Table1[RespondentID],'All Data'!$A$3:$CW$999,95,FALSE),"unknown")</f>
        <v>Technical school</v>
      </c>
      <c r="BE17" s="120" t="str">
        <f>IFERROR(VLOOKUP(Table1[RespondentID],'All Data'!$A$3:$CW$999,96,FALSE),"unknown")</f>
        <v>Employed for wages</v>
      </c>
      <c r="BF17" s="120" t="str">
        <f>IFERROR(VLOOKUP(Table1[RespondentID],'All Data'!$A$3:$CW$999,97,FALSE),"unknown")</f>
        <v>Yes</v>
      </c>
      <c r="BG17" s="120" t="str">
        <f>IFERROR(VLOOKUP(Table1[RespondentID],'All Data'!$A$3:$CW$999,98,FALSE),"unknown")</f>
        <v>Private/Commercial</v>
      </c>
      <c r="BH17" s="120">
        <f>IFERROR(VLOOKUP(Table1[RespondentID],'All Data'!$A$3:$CW$999,99,FALSE),"unknown")</f>
        <v>0</v>
      </c>
    </row>
    <row r="18" spans="1:60">
      <c r="A18" s="5">
        <v>18025534704</v>
      </c>
      <c r="B18" s="5"/>
      <c r="C18" s="5"/>
      <c r="D18" s="5"/>
      <c r="E18" s="5"/>
      <c r="F18" s="5"/>
      <c r="G18" s="5"/>
      <c r="H18" s="5"/>
      <c r="I18" s="5"/>
      <c r="J18" s="5"/>
      <c r="K18" s="5" t="s">
        <v>57</v>
      </c>
      <c r="L18" s="5"/>
      <c r="M18" s="5"/>
      <c r="N18" s="5"/>
      <c r="O18" s="5"/>
      <c r="P18" s="5"/>
      <c r="Q18" s="5"/>
      <c r="R18" s="5"/>
      <c r="S18" s="5" t="s">
        <v>63</v>
      </c>
      <c r="T18" s="37"/>
      <c r="U18" s="37">
        <f t="shared" si="0"/>
        <v>2</v>
      </c>
      <c r="V18" s="37">
        <f t="shared" si="1"/>
        <v>1.5</v>
      </c>
      <c r="W18" s="37"/>
      <c r="X18" s="37">
        <f t="shared" si="2"/>
        <v>0</v>
      </c>
      <c r="Y18" s="37">
        <f t="shared" si="3"/>
        <v>0</v>
      </c>
      <c r="Z18" s="37">
        <f t="shared" si="4"/>
        <v>0</v>
      </c>
      <c r="AA18" s="37">
        <f t="shared" si="5"/>
        <v>0</v>
      </c>
      <c r="AB18" s="37">
        <f t="shared" si="6"/>
        <v>0</v>
      </c>
      <c r="AC18" s="37">
        <f t="shared" si="7"/>
        <v>0</v>
      </c>
      <c r="AD18" s="37">
        <f t="shared" si="8"/>
        <v>0</v>
      </c>
      <c r="AE18" s="37">
        <f t="shared" si="9"/>
        <v>0</v>
      </c>
      <c r="AF18" s="37">
        <f t="shared" si="10"/>
        <v>0</v>
      </c>
      <c r="AG18" s="37">
        <f t="shared" si="11"/>
        <v>1</v>
      </c>
      <c r="AH18" s="37">
        <f t="shared" si="12"/>
        <v>0</v>
      </c>
      <c r="AI18" s="37">
        <f t="shared" si="13"/>
        <v>0</v>
      </c>
      <c r="AJ18" s="37">
        <f t="shared" si="14"/>
        <v>0</v>
      </c>
      <c r="AK18" s="37">
        <f t="shared" si="15"/>
        <v>0</v>
      </c>
      <c r="AL18" s="37">
        <f t="shared" si="16"/>
        <v>0</v>
      </c>
      <c r="AM18" s="37">
        <f t="shared" si="17"/>
        <v>0</v>
      </c>
      <c r="AN18" s="37">
        <f t="shared" si="18"/>
        <v>0</v>
      </c>
      <c r="AO18" s="37">
        <f t="shared" si="19"/>
        <v>1</v>
      </c>
      <c r="AP18" s="37"/>
      <c r="AQ18" s="37"/>
      <c r="AR18" s="37">
        <f t="shared" si="20"/>
        <v>2</v>
      </c>
      <c r="AS18" s="37">
        <f t="shared" si="21"/>
        <v>2</v>
      </c>
      <c r="AT18" s="37" t="str">
        <f t="shared" si="22"/>
        <v>Correct</v>
      </c>
      <c r="AU18" s="37"/>
      <c r="AV18" s="120" t="str">
        <f>IFERROR(VLOOKUP(Table1[RespondentID],'All Data'!$A$3:$CO$999,87,FALSE),"unknown")</f>
        <v>Man</v>
      </c>
      <c r="AW18" s="120">
        <f>IFERROR(VLOOKUP(Table1[RespondentID],'All Data'!$A$3:$CO$999,88,FALSE),"unknown")</f>
        <v>48</v>
      </c>
      <c r="AX18" s="120" t="str">
        <f>IFERROR(VLOOKUP(Table1[RespondentID],'All Data'!$A$3:$CO$999,89,FALSE),"unknown")</f>
        <v>Suffolk</v>
      </c>
      <c r="AY18" s="120" t="str">
        <f>IFERROR(VLOOKUP(Table1[RespondentID],'All Data'!$A$3:$CO$999,90,FALSE),"unknown")</f>
        <v>Ridge, 11961</v>
      </c>
      <c r="AZ18" s="120" t="str">
        <f>IFERROR(VLOOKUP(Table1[RespondentID],'All Data'!$A$3:$CO$999,91,FALSE),"unknown")</f>
        <v>White</v>
      </c>
      <c r="BA18" s="120" t="str">
        <f>IFERROR(VLOOKUP(Table1[RespondentID],'All Data'!$A$3:$CO$999,92,FALSE),"unknown")</f>
        <v>Not Hispanic or Latino</v>
      </c>
      <c r="BB18" s="120" t="str">
        <f>IFERROR(VLOOKUP(Table1[RespondentID],'All Data'!$A$3:$CO$999,93,FALSE),"unknown")</f>
        <v>English</v>
      </c>
      <c r="BC18" s="120" t="str">
        <f>IFERROR(VLOOKUP(Table1[RespondentID],'All Data'!$A$3:$CW$999,94,FALSE),"unknown")</f>
        <v>Over $125,000</v>
      </c>
      <c r="BD18" s="120" t="str">
        <f>IFERROR(VLOOKUP(Table1[RespondentID],'All Data'!$A$3:$CW$999,95,FALSE),"unknown")</f>
        <v>High school graduate</v>
      </c>
      <c r="BE18" s="120" t="str">
        <f>IFERROR(VLOOKUP(Table1[RespondentID],'All Data'!$A$3:$CW$999,96,FALSE),"unknown")</f>
        <v>Retired</v>
      </c>
      <c r="BF18" s="120" t="str">
        <f>IFERROR(VLOOKUP(Table1[RespondentID],'All Data'!$A$3:$CW$999,97,FALSE),"unknown")</f>
        <v>Yes</v>
      </c>
      <c r="BG18" s="120" t="str">
        <f>IFERROR(VLOOKUP(Table1[RespondentID],'All Data'!$A$3:$CW$999,98,FALSE),"unknown")</f>
        <v>Private/Commercial</v>
      </c>
      <c r="BH18" s="120">
        <f>IFERROR(VLOOKUP(Table1[RespondentID],'All Data'!$A$3:$CW$999,99,FALSE),"unknown")</f>
        <v>0</v>
      </c>
    </row>
    <row r="19" spans="1:60">
      <c r="A19" s="5">
        <v>18025534585</v>
      </c>
      <c r="B19" s="5" t="s">
        <v>49</v>
      </c>
      <c r="C19" s="5" t="s">
        <v>50</v>
      </c>
      <c r="D19" s="5"/>
      <c r="E19" s="5"/>
      <c r="F19" s="5"/>
      <c r="G19" s="5"/>
      <c r="H19" s="5" t="s">
        <v>54</v>
      </c>
      <c r="I19" s="5"/>
      <c r="J19" s="5"/>
      <c r="K19" s="5"/>
      <c r="L19" s="5"/>
      <c r="M19" s="5"/>
      <c r="N19" s="5"/>
      <c r="O19" s="5"/>
      <c r="P19" s="5"/>
      <c r="Q19" s="5"/>
      <c r="R19" s="5"/>
      <c r="S19" s="5"/>
      <c r="T19" s="37"/>
      <c r="U19" s="37">
        <f t="shared" si="0"/>
        <v>3</v>
      </c>
      <c r="V19" s="37">
        <f t="shared" si="1"/>
        <v>1</v>
      </c>
      <c r="W19" s="37"/>
      <c r="X19" s="37">
        <f t="shared" si="2"/>
        <v>1</v>
      </c>
      <c r="Y19" s="37">
        <f t="shared" si="3"/>
        <v>1</v>
      </c>
      <c r="Z19" s="37">
        <f t="shared" si="4"/>
        <v>0</v>
      </c>
      <c r="AA19" s="37">
        <f t="shared" si="5"/>
        <v>0</v>
      </c>
      <c r="AB19" s="37">
        <f t="shared" si="6"/>
        <v>0</v>
      </c>
      <c r="AC19" s="37">
        <f t="shared" si="7"/>
        <v>0</v>
      </c>
      <c r="AD19" s="37">
        <f t="shared" si="8"/>
        <v>1</v>
      </c>
      <c r="AE19" s="37">
        <f t="shared" si="9"/>
        <v>0</v>
      </c>
      <c r="AF19" s="37">
        <f t="shared" si="10"/>
        <v>0</v>
      </c>
      <c r="AG19" s="37">
        <f t="shared" si="11"/>
        <v>0</v>
      </c>
      <c r="AH19" s="37">
        <f t="shared" si="12"/>
        <v>0</v>
      </c>
      <c r="AI19" s="37">
        <f t="shared" si="13"/>
        <v>0</v>
      </c>
      <c r="AJ19" s="37">
        <f t="shared" si="14"/>
        <v>0</v>
      </c>
      <c r="AK19" s="37">
        <f t="shared" si="15"/>
        <v>0</v>
      </c>
      <c r="AL19" s="37">
        <f t="shared" si="16"/>
        <v>0</v>
      </c>
      <c r="AM19" s="37">
        <f t="shared" si="17"/>
        <v>0</v>
      </c>
      <c r="AN19" s="37">
        <f t="shared" si="18"/>
        <v>0</v>
      </c>
      <c r="AO19" s="37">
        <f t="shared" si="19"/>
        <v>0</v>
      </c>
      <c r="AP19" s="37"/>
      <c r="AQ19" s="37"/>
      <c r="AR19" s="37">
        <f t="shared" si="20"/>
        <v>3</v>
      </c>
      <c r="AS19" s="37">
        <f t="shared" si="21"/>
        <v>3</v>
      </c>
      <c r="AT19" s="37" t="str">
        <f t="shared" si="22"/>
        <v>Correct</v>
      </c>
      <c r="AU19" s="37"/>
      <c r="AV19" s="120" t="str">
        <f>IFERROR(VLOOKUP(Table1[RespondentID],'All Data'!$A$3:$CO$999,87,FALSE),"unknown")</f>
        <v>Woman</v>
      </c>
      <c r="AW19" s="120">
        <f>IFERROR(VLOOKUP(Table1[RespondentID],'All Data'!$A$3:$CO$999,88,FALSE),"unknown")</f>
        <v>84</v>
      </c>
      <c r="AX19" s="120" t="str">
        <f>IFERROR(VLOOKUP(Table1[RespondentID],'All Data'!$A$3:$CO$999,89,FALSE),"unknown")</f>
        <v>Suffolk</v>
      </c>
      <c r="AY19" s="120" t="str">
        <f>IFERROR(VLOOKUP(Table1[RespondentID],'All Data'!$A$3:$CO$999,90,FALSE),"unknown")</f>
        <v>Selden, 11784</v>
      </c>
      <c r="AZ19" s="120">
        <f>IFERROR(VLOOKUP(Table1[RespondentID],'All Data'!$A$3:$CO$999,91,FALSE),"unknown")</f>
        <v>0</v>
      </c>
      <c r="BA19" s="120">
        <f>IFERROR(VLOOKUP(Table1[RespondentID],'All Data'!$A$3:$CO$999,92,FALSE),"unknown")</f>
        <v>0</v>
      </c>
      <c r="BB19" s="120" t="str">
        <f>IFERROR(VLOOKUP(Table1[RespondentID],'All Data'!$A$3:$CO$999,93,FALSE),"unknown")</f>
        <v>English</v>
      </c>
      <c r="BC19" s="120" t="str">
        <f>IFERROR(VLOOKUP(Table1[RespondentID],'All Data'!$A$3:$CW$999,94,FALSE),"unknown")</f>
        <v>$0-$19,999</v>
      </c>
      <c r="BD19" s="120" t="str">
        <f>IFERROR(VLOOKUP(Table1[RespondentID],'All Data'!$A$3:$CW$999,95,FALSE),"unknown")</f>
        <v>Technical school</v>
      </c>
      <c r="BE19" s="120" t="str">
        <f>IFERROR(VLOOKUP(Table1[RespondentID],'All Data'!$A$3:$CW$999,96,FALSE),"unknown")</f>
        <v>Retired</v>
      </c>
      <c r="BF19" s="120" t="str">
        <f>IFERROR(VLOOKUP(Table1[RespondentID],'All Data'!$A$3:$CW$999,97,FALSE),"unknown")</f>
        <v>Yes</v>
      </c>
      <c r="BG19" s="120" t="str">
        <f>IFERROR(VLOOKUP(Table1[RespondentID],'All Data'!$A$3:$CW$999,98,FALSE),"unknown")</f>
        <v>Medicare</v>
      </c>
      <c r="BH19" s="120">
        <f>IFERROR(VLOOKUP(Table1[RespondentID],'All Data'!$A$3:$CW$999,99,FALSE),"unknown")</f>
        <v>0</v>
      </c>
    </row>
    <row r="20" spans="1:60">
      <c r="A20" s="5">
        <v>18025500754</v>
      </c>
      <c r="B20" s="5"/>
      <c r="C20" s="5"/>
      <c r="D20" s="5"/>
      <c r="E20" s="5"/>
      <c r="F20" s="5"/>
      <c r="G20" s="5"/>
      <c r="H20" s="5"/>
      <c r="I20" s="5"/>
      <c r="J20" s="5"/>
      <c r="K20" s="5" t="s">
        <v>57</v>
      </c>
      <c r="L20" s="5"/>
      <c r="M20" s="5"/>
      <c r="N20" s="5"/>
      <c r="O20" s="5"/>
      <c r="P20" s="5"/>
      <c r="Q20" s="5"/>
      <c r="R20" s="5"/>
      <c r="S20" s="5"/>
      <c r="T20" s="37"/>
      <c r="U20" s="37">
        <f t="shared" si="0"/>
        <v>1</v>
      </c>
      <c r="V20" s="37">
        <f t="shared" si="1"/>
        <v>3</v>
      </c>
      <c r="W20" s="37"/>
      <c r="X20" s="37">
        <f t="shared" si="2"/>
        <v>0</v>
      </c>
      <c r="Y20" s="37">
        <f t="shared" si="3"/>
        <v>0</v>
      </c>
      <c r="Z20" s="37">
        <f t="shared" si="4"/>
        <v>0</v>
      </c>
      <c r="AA20" s="37">
        <f t="shared" si="5"/>
        <v>0</v>
      </c>
      <c r="AB20" s="37">
        <f t="shared" si="6"/>
        <v>0</v>
      </c>
      <c r="AC20" s="37">
        <f t="shared" si="7"/>
        <v>0</v>
      </c>
      <c r="AD20" s="37">
        <f t="shared" si="8"/>
        <v>0</v>
      </c>
      <c r="AE20" s="37">
        <f t="shared" si="9"/>
        <v>0</v>
      </c>
      <c r="AF20" s="37">
        <f t="shared" si="10"/>
        <v>0</v>
      </c>
      <c r="AG20" s="37">
        <f t="shared" si="11"/>
        <v>1</v>
      </c>
      <c r="AH20" s="37">
        <f t="shared" si="12"/>
        <v>0</v>
      </c>
      <c r="AI20" s="37">
        <f t="shared" si="13"/>
        <v>0</v>
      </c>
      <c r="AJ20" s="37">
        <f t="shared" si="14"/>
        <v>0</v>
      </c>
      <c r="AK20" s="37">
        <f t="shared" si="15"/>
        <v>0</v>
      </c>
      <c r="AL20" s="37">
        <f t="shared" si="16"/>
        <v>0</v>
      </c>
      <c r="AM20" s="37">
        <f t="shared" si="17"/>
        <v>0</v>
      </c>
      <c r="AN20" s="37">
        <f t="shared" si="18"/>
        <v>0</v>
      </c>
      <c r="AO20" s="37">
        <f t="shared" si="19"/>
        <v>0</v>
      </c>
      <c r="AP20" s="37"/>
      <c r="AQ20" s="37"/>
      <c r="AR20" s="37">
        <f t="shared" si="20"/>
        <v>1</v>
      </c>
      <c r="AS20" s="37">
        <f t="shared" si="21"/>
        <v>1</v>
      </c>
      <c r="AT20" s="37" t="str">
        <f t="shared" si="22"/>
        <v>Correct</v>
      </c>
      <c r="AU20" s="37"/>
      <c r="AV20" s="120">
        <f>IFERROR(VLOOKUP(Table1[RespondentID],'All Data'!$A$3:$CO$999,87,FALSE),"unknown")</f>
        <v>0</v>
      </c>
      <c r="AW20" s="120">
        <f>IFERROR(VLOOKUP(Table1[RespondentID],'All Data'!$A$3:$CO$999,88,FALSE),"unknown")</f>
        <v>0</v>
      </c>
      <c r="AX20" s="120">
        <f>IFERROR(VLOOKUP(Table1[RespondentID],'All Data'!$A$3:$CO$999,89,FALSE),"unknown")</f>
        <v>0</v>
      </c>
      <c r="AY20" s="120">
        <f>IFERROR(VLOOKUP(Table1[RespondentID],'All Data'!$A$3:$CO$999,90,FALSE),"unknown")</f>
        <v>0</v>
      </c>
      <c r="AZ20" s="120">
        <f>IFERROR(VLOOKUP(Table1[RespondentID],'All Data'!$A$3:$CO$999,91,FALSE),"unknown")</f>
        <v>0</v>
      </c>
      <c r="BA20" s="120">
        <f>IFERROR(VLOOKUP(Table1[RespondentID],'All Data'!$A$3:$CO$999,92,FALSE),"unknown")</f>
        <v>0</v>
      </c>
      <c r="BB20" s="120">
        <f>IFERROR(VLOOKUP(Table1[RespondentID],'All Data'!$A$3:$CO$999,93,FALSE),"unknown")</f>
        <v>0</v>
      </c>
      <c r="BC20" s="120">
        <f>IFERROR(VLOOKUP(Table1[RespondentID],'All Data'!$A$3:$CW$999,94,FALSE),"unknown")</f>
        <v>0</v>
      </c>
      <c r="BD20" s="120">
        <f>IFERROR(VLOOKUP(Table1[RespondentID],'All Data'!$A$3:$CW$999,95,FALSE),"unknown")</f>
        <v>0</v>
      </c>
      <c r="BE20" s="120">
        <f>IFERROR(VLOOKUP(Table1[RespondentID],'All Data'!$A$3:$CW$999,96,FALSE),"unknown")</f>
        <v>0</v>
      </c>
      <c r="BF20" s="120">
        <f>IFERROR(VLOOKUP(Table1[RespondentID],'All Data'!$A$3:$CW$999,97,FALSE),"unknown")</f>
        <v>0</v>
      </c>
      <c r="BG20" s="120">
        <f>IFERROR(VLOOKUP(Table1[RespondentID],'All Data'!$A$3:$CW$999,98,FALSE),"unknown")</f>
        <v>0</v>
      </c>
      <c r="BH20" s="120">
        <f>IFERROR(VLOOKUP(Table1[RespondentID],'All Data'!$A$3:$CW$999,99,FALSE),"unknown")</f>
        <v>0</v>
      </c>
    </row>
    <row r="21" spans="1:60">
      <c r="A21" s="5">
        <v>18025435174</v>
      </c>
      <c r="B21" s="5"/>
      <c r="C21" s="5"/>
      <c r="D21" s="5"/>
      <c r="E21" s="5"/>
      <c r="F21" s="5"/>
      <c r="G21" s="5"/>
      <c r="H21" s="5"/>
      <c r="I21" s="5"/>
      <c r="J21" s="5"/>
      <c r="K21" s="5"/>
      <c r="L21" s="5"/>
      <c r="M21" s="5"/>
      <c r="N21" s="5"/>
      <c r="O21" s="5"/>
      <c r="P21" s="5"/>
      <c r="Q21" s="5"/>
      <c r="R21" s="5"/>
      <c r="S21" s="5"/>
      <c r="T21" s="37"/>
      <c r="U21" s="37">
        <f t="shared" si="0"/>
        <v>0</v>
      </c>
      <c r="V21" s="37" t="e">
        <f t="shared" si="1"/>
        <v>#DIV/0!</v>
      </c>
      <c r="W21" s="37"/>
      <c r="X21" s="37">
        <f t="shared" si="2"/>
        <v>0</v>
      </c>
      <c r="Y21" s="37">
        <f t="shared" si="3"/>
        <v>0</v>
      </c>
      <c r="Z21" s="37">
        <f t="shared" si="4"/>
        <v>0</v>
      </c>
      <c r="AA21" s="37">
        <f t="shared" si="5"/>
        <v>0</v>
      </c>
      <c r="AB21" s="37">
        <f t="shared" si="6"/>
        <v>0</v>
      </c>
      <c r="AC21" s="37">
        <f t="shared" si="7"/>
        <v>0</v>
      </c>
      <c r="AD21" s="37">
        <f t="shared" si="8"/>
        <v>0</v>
      </c>
      <c r="AE21" s="37">
        <f t="shared" si="9"/>
        <v>0</v>
      </c>
      <c r="AF21" s="37">
        <f t="shared" si="10"/>
        <v>0</v>
      </c>
      <c r="AG21" s="37">
        <f t="shared" si="11"/>
        <v>0</v>
      </c>
      <c r="AH21" s="37">
        <f t="shared" si="12"/>
        <v>0</v>
      </c>
      <c r="AI21" s="37">
        <f t="shared" si="13"/>
        <v>0</v>
      </c>
      <c r="AJ21" s="37">
        <f t="shared" si="14"/>
        <v>0</v>
      </c>
      <c r="AK21" s="37">
        <f t="shared" si="15"/>
        <v>0</v>
      </c>
      <c r="AL21" s="37">
        <f t="shared" si="16"/>
        <v>0</v>
      </c>
      <c r="AM21" s="37">
        <f t="shared" si="17"/>
        <v>0</v>
      </c>
      <c r="AN21" s="37">
        <f t="shared" si="18"/>
        <v>0</v>
      </c>
      <c r="AO21" s="37">
        <f t="shared" si="19"/>
        <v>0</v>
      </c>
      <c r="AP21" s="37"/>
      <c r="AQ21" s="37"/>
      <c r="AR21" s="37">
        <f t="shared" si="20"/>
        <v>0</v>
      </c>
      <c r="AS21" s="37">
        <f t="shared" si="21"/>
        <v>0</v>
      </c>
      <c r="AT21" s="37" t="str">
        <f t="shared" si="22"/>
        <v>Correct</v>
      </c>
      <c r="AU21" s="37"/>
      <c r="AV21" s="120">
        <f>IFERROR(VLOOKUP(Table1[RespondentID],'All Data'!$A$3:$CO$999,87,FALSE),"unknown")</f>
        <v>0</v>
      </c>
      <c r="AW21" s="120">
        <f>IFERROR(VLOOKUP(Table1[RespondentID],'All Data'!$A$3:$CO$999,88,FALSE),"unknown")</f>
        <v>0</v>
      </c>
      <c r="AX21" s="120">
        <f>IFERROR(VLOOKUP(Table1[RespondentID],'All Data'!$A$3:$CO$999,89,FALSE),"unknown")</f>
        <v>0</v>
      </c>
      <c r="AY21" s="120" t="str">
        <f>IFERROR(VLOOKUP(Table1[RespondentID],'All Data'!$A$3:$CO$999,90,FALSE),"unknown")</f>
        <v>Albertson, 11507</v>
      </c>
      <c r="AZ21" s="120">
        <f>IFERROR(VLOOKUP(Table1[RespondentID],'All Data'!$A$3:$CO$999,91,FALSE),"unknown")</f>
        <v>0</v>
      </c>
      <c r="BA21" s="120">
        <f>IFERROR(VLOOKUP(Table1[RespondentID],'All Data'!$A$3:$CO$999,92,FALSE),"unknown")</f>
        <v>0</v>
      </c>
      <c r="BB21" s="120">
        <f>IFERROR(VLOOKUP(Table1[RespondentID],'All Data'!$A$3:$CO$999,93,FALSE),"unknown")</f>
        <v>0</v>
      </c>
      <c r="BC21" s="120">
        <f>IFERROR(VLOOKUP(Table1[RespondentID],'All Data'!$A$3:$CW$999,94,FALSE),"unknown")</f>
        <v>0</v>
      </c>
      <c r="BD21" s="120">
        <f>IFERROR(VLOOKUP(Table1[RespondentID],'All Data'!$A$3:$CW$999,95,FALSE),"unknown")</f>
        <v>0</v>
      </c>
      <c r="BE21" s="120">
        <f>IFERROR(VLOOKUP(Table1[RespondentID],'All Data'!$A$3:$CW$999,96,FALSE),"unknown")</f>
        <v>0</v>
      </c>
      <c r="BF21" s="120">
        <f>IFERROR(VLOOKUP(Table1[RespondentID],'All Data'!$A$3:$CW$999,97,FALSE),"unknown")</f>
        <v>0</v>
      </c>
      <c r="BG21" s="120">
        <f>IFERROR(VLOOKUP(Table1[RespondentID],'All Data'!$A$3:$CW$999,98,FALSE),"unknown")</f>
        <v>0</v>
      </c>
      <c r="BH21" s="120">
        <f>IFERROR(VLOOKUP(Table1[RespondentID],'All Data'!$A$3:$CW$999,99,FALSE),"unknown")</f>
        <v>0</v>
      </c>
    </row>
    <row r="22" spans="1:60">
      <c r="A22" s="5">
        <v>18025209840</v>
      </c>
      <c r="B22" s="5"/>
      <c r="C22" s="5"/>
      <c r="D22" s="5"/>
      <c r="E22" s="5"/>
      <c r="F22" s="5"/>
      <c r="G22" s="5"/>
      <c r="H22" s="5"/>
      <c r="I22" s="5" t="s">
        <v>55</v>
      </c>
      <c r="J22" s="5"/>
      <c r="K22" s="5"/>
      <c r="L22" s="5"/>
      <c r="M22" s="5"/>
      <c r="N22" s="5"/>
      <c r="O22" s="5"/>
      <c r="P22" s="5"/>
      <c r="Q22" s="5" t="s">
        <v>61</v>
      </c>
      <c r="R22" s="5"/>
      <c r="S22" s="5"/>
      <c r="T22" s="37"/>
      <c r="U22" s="37">
        <f t="shared" si="0"/>
        <v>2</v>
      </c>
      <c r="V22" s="37">
        <f t="shared" si="1"/>
        <v>1.5</v>
      </c>
      <c r="W22" s="37"/>
      <c r="X22" s="37">
        <f t="shared" si="2"/>
        <v>0</v>
      </c>
      <c r="Y22" s="37">
        <f t="shared" si="3"/>
        <v>0</v>
      </c>
      <c r="Z22" s="37">
        <f t="shared" si="4"/>
        <v>0</v>
      </c>
      <c r="AA22" s="37">
        <f t="shared" si="5"/>
        <v>0</v>
      </c>
      <c r="AB22" s="37">
        <f t="shared" si="6"/>
        <v>0</v>
      </c>
      <c r="AC22" s="37">
        <f t="shared" si="7"/>
        <v>0</v>
      </c>
      <c r="AD22" s="37">
        <f t="shared" si="8"/>
        <v>0</v>
      </c>
      <c r="AE22" s="37">
        <f t="shared" si="9"/>
        <v>1</v>
      </c>
      <c r="AF22" s="37">
        <f t="shared" si="10"/>
        <v>0</v>
      </c>
      <c r="AG22" s="37">
        <f t="shared" si="11"/>
        <v>0</v>
      </c>
      <c r="AH22" s="37">
        <f t="shared" si="12"/>
        <v>0</v>
      </c>
      <c r="AI22" s="37">
        <f t="shared" si="13"/>
        <v>0</v>
      </c>
      <c r="AJ22" s="37">
        <f t="shared" si="14"/>
        <v>0</v>
      </c>
      <c r="AK22" s="37">
        <f t="shared" si="15"/>
        <v>0</v>
      </c>
      <c r="AL22" s="37">
        <f t="shared" si="16"/>
        <v>0</v>
      </c>
      <c r="AM22" s="37">
        <f t="shared" si="17"/>
        <v>1</v>
      </c>
      <c r="AN22" s="37">
        <f t="shared" si="18"/>
        <v>0</v>
      </c>
      <c r="AO22" s="37">
        <f t="shared" si="19"/>
        <v>0</v>
      </c>
      <c r="AP22" s="37"/>
      <c r="AQ22" s="37"/>
      <c r="AR22" s="37">
        <f t="shared" si="20"/>
        <v>2</v>
      </c>
      <c r="AS22" s="37">
        <f t="shared" si="21"/>
        <v>2</v>
      </c>
      <c r="AT22" s="37" t="str">
        <f t="shared" si="22"/>
        <v>Correct</v>
      </c>
      <c r="AU22" s="37"/>
      <c r="AV22" s="120" t="str">
        <f>IFERROR(VLOOKUP(Table1[RespondentID],'All Data'!$A$3:$CO$999,87,FALSE),"unknown")</f>
        <v>Woman</v>
      </c>
      <c r="AW22" s="120">
        <f>IFERROR(VLOOKUP(Table1[RespondentID],'All Data'!$A$3:$CO$999,88,FALSE),"unknown")</f>
        <v>60</v>
      </c>
      <c r="AX22" s="120" t="str">
        <f>IFERROR(VLOOKUP(Table1[RespondentID],'All Data'!$A$3:$CO$999,89,FALSE),"unknown")</f>
        <v>Nassau</v>
      </c>
      <c r="AY22" s="120" t="str">
        <f>IFERROR(VLOOKUP(Table1[RespondentID],'All Data'!$A$3:$CO$999,90,FALSE),"unknown")</f>
        <v>Seaford, 11783</v>
      </c>
      <c r="AZ22" s="120" t="str">
        <f>IFERROR(VLOOKUP(Table1[RespondentID],'All Data'!$A$3:$CO$999,91,FALSE),"unknown")</f>
        <v>White</v>
      </c>
      <c r="BA22" s="120" t="str">
        <f>IFERROR(VLOOKUP(Table1[RespondentID],'All Data'!$A$3:$CO$999,92,FALSE),"unknown")</f>
        <v>Not Hispanic or Latino</v>
      </c>
      <c r="BB22" s="120" t="str">
        <f>IFERROR(VLOOKUP(Table1[RespondentID],'All Data'!$A$3:$CO$999,93,FALSE),"unknown")</f>
        <v>English</v>
      </c>
      <c r="BC22" s="120" t="str">
        <f>IFERROR(VLOOKUP(Table1[RespondentID],'All Data'!$A$3:$CW$999,94,FALSE),"unknown")</f>
        <v>$35,000 to $49,999</v>
      </c>
      <c r="BD22" s="120" t="str">
        <f>IFERROR(VLOOKUP(Table1[RespondentID],'All Data'!$A$3:$CW$999,95,FALSE),"unknown")</f>
        <v>Doctorate</v>
      </c>
      <c r="BE22" s="120" t="str">
        <f>IFERROR(VLOOKUP(Table1[RespondentID],'All Data'!$A$3:$CW$999,96,FALSE),"unknown")</f>
        <v>Out of work and looking for work</v>
      </c>
      <c r="BF22" s="120" t="str">
        <f>IFERROR(VLOOKUP(Table1[RespondentID],'All Data'!$A$3:$CW$999,97,FALSE),"unknown")</f>
        <v>Yes</v>
      </c>
      <c r="BG22" s="120" t="str">
        <f>IFERROR(VLOOKUP(Table1[RespondentID],'All Data'!$A$3:$CW$999,98,FALSE),"unknown")</f>
        <v>Private/Commercial</v>
      </c>
      <c r="BH22" s="120" t="str">
        <f>IFERROR(VLOOKUP(Table1[RespondentID],'All Data'!$A$3:$CW$999,99,FALSE),"unknown")</f>
        <v>Yes</v>
      </c>
    </row>
    <row r="23" spans="1:60">
      <c r="A23" s="5">
        <v>18025186517</v>
      </c>
      <c r="B23" s="5"/>
      <c r="C23" s="5" t="s">
        <v>50</v>
      </c>
      <c r="D23" s="5" t="s">
        <v>51</v>
      </c>
      <c r="E23" s="5" t="s">
        <v>17</v>
      </c>
      <c r="F23" s="5"/>
      <c r="G23" s="5"/>
      <c r="H23" s="5"/>
      <c r="I23" s="5"/>
      <c r="J23" s="5"/>
      <c r="K23" s="5"/>
      <c r="L23" s="5"/>
      <c r="M23" s="5"/>
      <c r="N23" s="5"/>
      <c r="O23" s="5"/>
      <c r="P23" s="5"/>
      <c r="Q23" s="5"/>
      <c r="R23" s="5"/>
      <c r="S23" s="5"/>
      <c r="T23" s="37"/>
      <c r="U23" s="37">
        <f t="shared" si="0"/>
        <v>3</v>
      </c>
      <c r="V23" s="37">
        <f t="shared" si="1"/>
        <v>1</v>
      </c>
      <c r="W23" s="37"/>
      <c r="X23" s="37">
        <f t="shared" si="2"/>
        <v>0</v>
      </c>
      <c r="Y23" s="37">
        <f t="shared" si="3"/>
        <v>1</v>
      </c>
      <c r="Z23" s="37">
        <f t="shared" si="4"/>
        <v>1</v>
      </c>
      <c r="AA23" s="37">
        <f t="shared" si="5"/>
        <v>1</v>
      </c>
      <c r="AB23" s="37">
        <f t="shared" si="6"/>
        <v>0</v>
      </c>
      <c r="AC23" s="37">
        <f t="shared" si="7"/>
        <v>0</v>
      </c>
      <c r="AD23" s="37">
        <f t="shared" si="8"/>
        <v>0</v>
      </c>
      <c r="AE23" s="37">
        <f t="shared" si="9"/>
        <v>0</v>
      </c>
      <c r="AF23" s="37">
        <f t="shared" si="10"/>
        <v>0</v>
      </c>
      <c r="AG23" s="37">
        <f t="shared" si="11"/>
        <v>0</v>
      </c>
      <c r="AH23" s="37">
        <f t="shared" si="12"/>
        <v>0</v>
      </c>
      <c r="AI23" s="37">
        <f t="shared" si="13"/>
        <v>0</v>
      </c>
      <c r="AJ23" s="37">
        <f t="shared" si="14"/>
        <v>0</v>
      </c>
      <c r="AK23" s="37">
        <f t="shared" si="15"/>
        <v>0</v>
      </c>
      <c r="AL23" s="37">
        <f t="shared" si="16"/>
        <v>0</v>
      </c>
      <c r="AM23" s="37">
        <f t="shared" si="17"/>
        <v>0</v>
      </c>
      <c r="AN23" s="37">
        <f t="shared" si="18"/>
        <v>0</v>
      </c>
      <c r="AO23" s="37">
        <f t="shared" si="19"/>
        <v>0</v>
      </c>
      <c r="AP23" s="37"/>
      <c r="AQ23" s="37"/>
      <c r="AR23" s="37">
        <f t="shared" si="20"/>
        <v>3</v>
      </c>
      <c r="AS23" s="37">
        <f t="shared" si="21"/>
        <v>3</v>
      </c>
      <c r="AT23" s="37" t="str">
        <f t="shared" si="22"/>
        <v>Correct</v>
      </c>
      <c r="AU23" s="37"/>
      <c r="AV23" s="120" t="str">
        <f>IFERROR(VLOOKUP(Table1[RespondentID],'All Data'!$A$3:$CO$999,87,FALSE),"unknown")</f>
        <v>Woman</v>
      </c>
      <c r="AW23" s="120">
        <f>IFERROR(VLOOKUP(Table1[RespondentID],'All Data'!$A$3:$CO$999,88,FALSE),"unknown")</f>
        <v>21</v>
      </c>
      <c r="AX23" s="120" t="str">
        <f>IFERROR(VLOOKUP(Table1[RespondentID],'All Data'!$A$3:$CO$999,89,FALSE),"unknown")</f>
        <v>Suffolk</v>
      </c>
      <c r="AY23" s="120" t="str">
        <f>IFERROR(VLOOKUP(Table1[RespondentID],'All Data'!$A$3:$CO$999,90,FALSE),"unknown")</f>
        <v>Centerport, 11721</v>
      </c>
      <c r="AZ23" s="120" t="str">
        <f>IFERROR(VLOOKUP(Table1[RespondentID],'All Data'!$A$3:$CO$999,91,FALSE),"unknown")</f>
        <v>White</v>
      </c>
      <c r="BA23" s="120" t="str">
        <f>IFERROR(VLOOKUP(Table1[RespondentID],'All Data'!$A$3:$CO$999,92,FALSE),"unknown")</f>
        <v>Not Hispanic or Latino</v>
      </c>
      <c r="BB23" s="120" t="str">
        <f>IFERROR(VLOOKUP(Table1[RespondentID],'All Data'!$A$3:$CO$999,93,FALSE),"unknown")</f>
        <v>English</v>
      </c>
      <c r="BC23" s="120" t="str">
        <f>IFERROR(VLOOKUP(Table1[RespondentID],'All Data'!$A$3:$CW$999,94,FALSE),"unknown")</f>
        <v>$75,000 to $125,000</v>
      </c>
      <c r="BD23" s="120" t="str">
        <f>IFERROR(VLOOKUP(Table1[RespondentID],'All Data'!$A$3:$CW$999,95,FALSE),"unknown")</f>
        <v>Some college</v>
      </c>
      <c r="BE23" s="120" t="str">
        <f>IFERROR(VLOOKUP(Table1[RespondentID],'All Data'!$A$3:$CW$999,96,FALSE),"unknown")</f>
        <v>Employed for wages</v>
      </c>
      <c r="BF23" s="120" t="str">
        <f>IFERROR(VLOOKUP(Table1[RespondentID],'All Data'!$A$3:$CW$999,97,FALSE),"unknown")</f>
        <v>Yes</v>
      </c>
      <c r="BG23" s="120">
        <f>IFERROR(VLOOKUP(Table1[RespondentID],'All Data'!$A$3:$CW$999,98,FALSE),"unknown")</f>
        <v>0</v>
      </c>
      <c r="BH23" s="120">
        <f>IFERROR(VLOOKUP(Table1[RespondentID],'All Data'!$A$3:$CW$999,99,FALSE),"unknown")</f>
        <v>0</v>
      </c>
    </row>
    <row r="24" spans="1:60">
      <c r="A24" s="5">
        <v>18025186406</v>
      </c>
      <c r="B24" s="5"/>
      <c r="C24" s="5"/>
      <c r="D24" s="5"/>
      <c r="E24" s="5" t="s">
        <v>17</v>
      </c>
      <c r="F24" s="5"/>
      <c r="G24" s="5"/>
      <c r="H24" s="5"/>
      <c r="I24" s="5"/>
      <c r="J24" s="5"/>
      <c r="K24" s="5"/>
      <c r="L24" s="5"/>
      <c r="M24" s="5"/>
      <c r="N24" s="5" t="s">
        <v>24</v>
      </c>
      <c r="O24" s="5"/>
      <c r="P24" s="5"/>
      <c r="Q24" s="5"/>
      <c r="R24" s="5" t="s">
        <v>62</v>
      </c>
      <c r="S24" s="5"/>
      <c r="T24" s="37"/>
      <c r="U24" s="37">
        <f t="shared" si="0"/>
        <v>3</v>
      </c>
      <c r="V24" s="37">
        <f t="shared" si="1"/>
        <v>1</v>
      </c>
      <c r="W24" s="37"/>
      <c r="X24" s="37">
        <f t="shared" si="2"/>
        <v>0</v>
      </c>
      <c r="Y24" s="37">
        <f t="shared" si="3"/>
        <v>0</v>
      </c>
      <c r="Z24" s="37">
        <f t="shared" si="4"/>
        <v>0</v>
      </c>
      <c r="AA24" s="37">
        <f t="shared" si="5"/>
        <v>1</v>
      </c>
      <c r="AB24" s="37">
        <f t="shared" si="6"/>
        <v>0</v>
      </c>
      <c r="AC24" s="37">
        <f t="shared" si="7"/>
        <v>0</v>
      </c>
      <c r="AD24" s="37">
        <f t="shared" si="8"/>
        <v>0</v>
      </c>
      <c r="AE24" s="37">
        <f t="shared" si="9"/>
        <v>0</v>
      </c>
      <c r="AF24" s="37">
        <f t="shared" si="10"/>
        <v>0</v>
      </c>
      <c r="AG24" s="37">
        <f t="shared" si="11"/>
        <v>0</v>
      </c>
      <c r="AH24" s="37">
        <f t="shared" si="12"/>
        <v>0</v>
      </c>
      <c r="AI24" s="37">
        <f t="shared" si="13"/>
        <v>0</v>
      </c>
      <c r="AJ24" s="37">
        <f t="shared" si="14"/>
        <v>1</v>
      </c>
      <c r="AK24" s="37">
        <f t="shared" si="15"/>
        <v>0</v>
      </c>
      <c r="AL24" s="37">
        <f t="shared" si="16"/>
        <v>0</v>
      </c>
      <c r="AM24" s="37">
        <f t="shared" si="17"/>
        <v>0</v>
      </c>
      <c r="AN24" s="37">
        <f t="shared" si="18"/>
        <v>1</v>
      </c>
      <c r="AO24" s="37">
        <f t="shared" si="19"/>
        <v>0</v>
      </c>
      <c r="AP24" s="37"/>
      <c r="AQ24" s="37"/>
      <c r="AR24" s="37">
        <f t="shared" si="20"/>
        <v>3</v>
      </c>
      <c r="AS24" s="37">
        <f t="shared" si="21"/>
        <v>3</v>
      </c>
      <c r="AT24" s="37" t="str">
        <f t="shared" si="22"/>
        <v>Correct</v>
      </c>
      <c r="AU24" s="37"/>
      <c r="AV24" s="120" t="str">
        <f>IFERROR(VLOOKUP(Table1[RespondentID],'All Data'!$A$3:$CO$999,87,FALSE),"unknown")</f>
        <v>Man</v>
      </c>
      <c r="AW24" s="120">
        <f>IFERROR(VLOOKUP(Table1[RespondentID],'All Data'!$A$3:$CO$999,88,FALSE),"unknown")</f>
        <v>56</v>
      </c>
      <c r="AX24" s="120" t="str">
        <f>IFERROR(VLOOKUP(Table1[RespondentID],'All Data'!$A$3:$CO$999,89,FALSE),"unknown")</f>
        <v>Suffolk</v>
      </c>
      <c r="AY24" s="120" t="str">
        <f>IFERROR(VLOOKUP(Table1[RespondentID],'All Data'!$A$3:$CO$999,90,FALSE),"unknown")</f>
        <v>Smithtown, 11787</v>
      </c>
      <c r="AZ24" s="120" t="str">
        <f>IFERROR(VLOOKUP(Table1[RespondentID],'All Data'!$A$3:$CO$999,91,FALSE),"unknown")</f>
        <v>White</v>
      </c>
      <c r="BA24" s="120" t="str">
        <f>IFERROR(VLOOKUP(Table1[RespondentID],'All Data'!$A$3:$CO$999,92,FALSE),"unknown")</f>
        <v>Not Hispanic or Latino</v>
      </c>
      <c r="BB24" s="120" t="str">
        <f>IFERROR(VLOOKUP(Table1[RespondentID],'All Data'!$A$3:$CO$999,93,FALSE),"unknown")</f>
        <v>English</v>
      </c>
      <c r="BC24" s="120" t="str">
        <f>IFERROR(VLOOKUP(Table1[RespondentID],'All Data'!$A$3:$CW$999,94,FALSE),"unknown")</f>
        <v>Over $125,000</v>
      </c>
      <c r="BD24" s="120" t="str">
        <f>IFERROR(VLOOKUP(Table1[RespondentID],'All Data'!$A$3:$CW$999,95,FALSE),"unknown")</f>
        <v>Doctorate</v>
      </c>
      <c r="BE24" s="120" t="str">
        <f>IFERROR(VLOOKUP(Table1[RespondentID],'All Data'!$A$3:$CW$999,96,FALSE),"unknown")</f>
        <v>Employed for wages</v>
      </c>
      <c r="BF24" s="120" t="str">
        <f>IFERROR(VLOOKUP(Table1[RespondentID],'All Data'!$A$3:$CW$999,97,FALSE),"unknown")</f>
        <v>Yes</v>
      </c>
      <c r="BG24" s="120">
        <f>IFERROR(VLOOKUP(Table1[RespondentID],'All Data'!$A$3:$CW$999,98,FALSE),"unknown")</f>
        <v>0</v>
      </c>
      <c r="BH24" s="120">
        <f>IFERROR(VLOOKUP(Table1[RespondentID],'All Data'!$A$3:$CW$999,99,FALSE),"unknown")</f>
        <v>0</v>
      </c>
    </row>
    <row r="25" spans="1:60">
      <c r="A25" s="5">
        <v>18025186288</v>
      </c>
      <c r="B25" s="5"/>
      <c r="C25" s="5"/>
      <c r="D25" s="5"/>
      <c r="E25" s="5" t="s">
        <v>17</v>
      </c>
      <c r="F25" s="5"/>
      <c r="G25" s="5"/>
      <c r="H25" s="5"/>
      <c r="I25" s="5"/>
      <c r="J25" s="5"/>
      <c r="K25" s="5"/>
      <c r="L25" s="5"/>
      <c r="M25" s="5"/>
      <c r="N25" s="5"/>
      <c r="O25" s="5"/>
      <c r="P25" s="5"/>
      <c r="Q25" s="5"/>
      <c r="R25" s="5"/>
      <c r="S25" s="5" t="s">
        <v>63</v>
      </c>
      <c r="T25" s="37"/>
      <c r="U25" s="37">
        <f t="shared" si="0"/>
        <v>2</v>
      </c>
      <c r="V25" s="37">
        <f t="shared" si="1"/>
        <v>1.5</v>
      </c>
      <c r="W25" s="37"/>
      <c r="X25" s="37">
        <f t="shared" si="2"/>
        <v>0</v>
      </c>
      <c r="Y25" s="37">
        <f t="shared" si="3"/>
        <v>0</v>
      </c>
      <c r="Z25" s="37">
        <f t="shared" si="4"/>
        <v>0</v>
      </c>
      <c r="AA25" s="37">
        <f t="shared" si="5"/>
        <v>1</v>
      </c>
      <c r="AB25" s="37">
        <f t="shared" si="6"/>
        <v>0</v>
      </c>
      <c r="AC25" s="37">
        <f t="shared" si="7"/>
        <v>0</v>
      </c>
      <c r="AD25" s="37">
        <f t="shared" si="8"/>
        <v>0</v>
      </c>
      <c r="AE25" s="37">
        <f t="shared" si="9"/>
        <v>0</v>
      </c>
      <c r="AF25" s="37">
        <f t="shared" si="10"/>
        <v>0</v>
      </c>
      <c r="AG25" s="37">
        <f t="shared" si="11"/>
        <v>0</v>
      </c>
      <c r="AH25" s="37">
        <f t="shared" si="12"/>
        <v>0</v>
      </c>
      <c r="AI25" s="37">
        <f t="shared" si="13"/>
        <v>0</v>
      </c>
      <c r="AJ25" s="37">
        <f t="shared" si="14"/>
        <v>0</v>
      </c>
      <c r="AK25" s="37">
        <f t="shared" si="15"/>
        <v>0</v>
      </c>
      <c r="AL25" s="37">
        <f t="shared" si="16"/>
        <v>0</v>
      </c>
      <c r="AM25" s="37">
        <f t="shared" si="17"/>
        <v>0</v>
      </c>
      <c r="AN25" s="37">
        <f t="shared" si="18"/>
        <v>0</v>
      </c>
      <c r="AO25" s="37">
        <f t="shared" si="19"/>
        <v>1</v>
      </c>
      <c r="AP25" s="37"/>
      <c r="AQ25" s="37"/>
      <c r="AR25" s="37">
        <f t="shared" si="20"/>
        <v>2</v>
      </c>
      <c r="AS25" s="37">
        <f t="shared" si="21"/>
        <v>2</v>
      </c>
      <c r="AT25" s="37" t="str">
        <f t="shared" si="22"/>
        <v>Correct</v>
      </c>
      <c r="AU25" s="37"/>
      <c r="AV25" s="120" t="str">
        <f>IFERROR(VLOOKUP(Table1[RespondentID],'All Data'!$A$3:$CO$999,87,FALSE),"unknown")</f>
        <v>Woman</v>
      </c>
      <c r="AW25" s="120">
        <f>IFERROR(VLOOKUP(Table1[RespondentID],'All Data'!$A$3:$CO$999,88,FALSE),"unknown")</f>
        <v>78</v>
      </c>
      <c r="AX25" s="120" t="str">
        <f>IFERROR(VLOOKUP(Table1[RespondentID],'All Data'!$A$3:$CO$999,89,FALSE),"unknown")</f>
        <v>Suffolk</v>
      </c>
      <c r="AY25" s="120" t="str">
        <f>IFERROR(VLOOKUP(Table1[RespondentID],'All Data'!$A$3:$CO$999,90,FALSE),"unknown")</f>
        <v>Smithtown, 11787</v>
      </c>
      <c r="AZ25" s="120" t="str">
        <f>IFERROR(VLOOKUP(Table1[RespondentID],'All Data'!$A$3:$CO$999,91,FALSE),"unknown")</f>
        <v>White</v>
      </c>
      <c r="BA25" s="120" t="str">
        <f>IFERROR(VLOOKUP(Table1[RespondentID],'All Data'!$A$3:$CO$999,92,FALSE),"unknown")</f>
        <v>Not Hispanic or Latino</v>
      </c>
      <c r="BB25" s="120" t="str">
        <f>IFERROR(VLOOKUP(Table1[RespondentID],'All Data'!$A$3:$CO$999,93,FALSE),"unknown")</f>
        <v>English</v>
      </c>
      <c r="BC25" s="120" t="str">
        <f>IFERROR(VLOOKUP(Table1[RespondentID],'All Data'!$A$3:$CW$999,94,FALSE),"unknown")</f>
        <v>$35,000 to $49,999</v>
      </c>
      <c r="BD25" s="120" t="str">
        <f>IFERROR(VLOOKUP(Table1[RespondentID],'All Data'!$A$3:$CW$999,95,FALSE),"unknown")</f>
        <v>Some college</v>
      </c>
      <c r="BE25" s="120" t="str">
        <f>IFERROR(VLOOKUP(Table1[RespondentID],'All Data'!$A$3:$CW$999,96,FALSE),"unknown")</f>
        <v>Retired</v>
      </c>
      <c r="BF25" s="120" t="str">
        <f>IFERROR(VLOOKUP(Table1[RespondentID],'All Data'!$A$3:$CW$999,97,FALSE),"unknown")</f>
        <v>Yes</v>
      </c>
      <c r="BG25" s="120">
        <f>IFERROR(VLOOKUP(Table1[RespondentID],'All Data'!$A$3:$CW$999,98,FALSE),"unknown")</f>
        <v>0</v>
      </c>
      <c r="BH25" s="120">
        <f>IFERROR(VLOOKUP(Table1[RespondentID],'All Data'!$A$3:$CW$999,99,FALSE),"unknown")</f>
        <v>0</v>
      </c>
    </row>
    <row r="26" spans="1:60">
      <c r="A26" s="5">
        <v>18025186085</v>
      </c>
      <c r="B26" s="5"/>
      <c r="C26" s="5"/>
      <c r="D26" s="5"/>
      <c r="E26" s="5" t="s">
        <v>17</v>
      </c>
      <c r="F26" s="5"/>
      <c r="G26" s="5"/>
      <c r="H26" s="5"/>
      <c r="I26" s="5" t="s">
        <v>55</v>
      </c>
      <c r="J26" s="5"/>
      <c r="K26" s="5"/>
      <c r="L26" s="5"/>
      <c r="M26" s="5"/>
      <c r="N26" s="5" t="s">
        <v>24</v>
      </c>
      <c r="O26" s="5"/>
      <c r="P26" s="5"/>
      <c r="Q26" s="5"/>
      <c r="R26" s="5"/>
      <c r="S26" s="5"/>
      <c r="T26" s="37"/>
      <c r="U26" s="37">
        <f t="shared" si="0"/>
        <v>3</v>
      </c>
      <c r="V26" s="37">
        <f t="shared" si="1"/>
        <v>1</v>
      </c>
      <c r="W26" s="37"/>
      <c r="X26" s="37">
        <f t="shared" si="2"/>
        <v>0</v>
      </c>
      <c r="Y26" s="37">
        <f t="shared" si="3"/>
        <v>0</v>
      </c>
      <c r="Z26" s="37">
        <f t="shared" si="4"/>
        <v>0</v>
      </c>
      <c r="AA26" s="37">
        <f t="shared" si="5"/>
        <v>1</v>
      </c>
      <c r="AB26" s="37">
        <f t="shared" si="6"/>
        <v>0</v>
      </c>
      <c r="AC26" s="37">
        <f t="shared" si="7"/>
        <v>0</v>
      </c>
      <c r="AD26" s="37">
        <f t="shared" si="8"/>
        <v>0</v>
      </c>
      <c r="AE26" s="37">
        <f t="shared" si="9"/>
        <v>1</v>
      </c>
      <c r="AF26" s="37">
        <f t="shared" si="10"/>
        <v>0</v>
      </c>
      <c r="AG26" s="37">
        <f t="shared" si="11"/>
        <v>0</v>
      </c>
      <c r="AH26" s="37">
        <f t="shared" si="12"/>
        <v>0</v>
      </c>
      <c r="AI26" s="37">
        <f t="shared" si="13"/>
        <v>0</v>
      </c>
      <c r="AJ26" s="37">
        <f t="shared" si="14"/>
        <v>1</v>
      </c>
      <c r="AK26" s="37">
        <f t="shared" si="15"/>
        <v>0</v>
      </c>
      <c r="AL26" s="37">
        <f t="shared" si="16"/>
        <v>0</v>
      </c>
      <c r="AM26" s="37">
        <f t="shared" si="17"/>
        <v>0</v>
      </c>
      <c r="AN26" s="37">
        <f t="shared" si="18"/>
        <v>0</v>
      </c>
      <c r="AO26" s="37">
        <f t="shared" si="19"/>
        <v>0</v>
      </c>
      <c r="AP26" s="37"/>
      <c r="AQ26" s="37"/>
      <c r="AR26" s="37">
        <f t="shared" si="20"/>
        <v>3</v>
      </c>
      <c r="AS26" s="37">
        <f t="shared" si="21"/>
        <v>3</v>
      </c>
      <c r="AT26" s="37" t="str">
        <f t="shared" si="22"/>
        <v>Correct</v>
      </c>
      <c r="AU26" s="37"/>
      <c r="AV26" s="120" t="str">
        <f>IFERROR(VLOOKUP(Table1[RespondentID],'All Data'!$A$3:$CO$999,87,FALSE),"unknown")</f>
        <v>Man</v>
      </c>
      <c r="AW26" s="120">
        <f>IFERROR(VLOOKUP(Table1[RespondentID],'All Data'!$A$3:$CO$999,88,FALSE),"unknown")</f>
        <v>56</v>
      </c>
      <c r="AX26" s="120" t="str">
        <f>IFERROR(VLOOKUP(Table1[RespondentID],'All Data'!$A$3:$CO$999,89,FALSE),"unknown")</f>
        <v>Suffolk</v>
      </c>
      <c r="AY26" s="120" t="str">
        <f>IFERROR(VLOOKUP(Table1[RespondentID],'All Data'!$A$3:$CO$999,90,FALSE),"unknown")</f>
        <v>Centerport, 11721</v>
      </c>
      <c r="AZ26" s="120" t="str">
        <f>IFERROR(VLOOKUP(Table1[RespondentID],'All Data'!$A$3:$CO$999,91,FALSE),"unknown")</f>
        <v>White</v>
      </c>
      <c r="BA26" s="120" t="str">
        <f>IFERROR(VLOOKUP(Table1[RespondentID],'All Data'!$A$3:$CO$999,92,FALSE),"unknown")</f>
        <v>Not Hispanic or Latino</v>
      </c>
      <c r="BB26" s="120" t="str">
        <f>IFERROR(VLOOKUP(Table1[RespondentID],'All Data'!$A$3:$CO$999,93,FALSE),"unknown")</f>
        <v>English</v>
      </c>
      <c r="BC26" s="120" t="str">
        <f>IFERROR(VLOOKUP(Table1[RespondentID],'All Data'!$A$3:$CW$999,94,FALSE),"unknown")</f>
        <v>$75,000 to $125,000</v>
      </c>
      <c r="BD26" s="120" t="str">
        <f>IFERROR(VLOOKUP(Table1[RespondentID],'All Data'!$A$3:$CW$999,95,FALSE),"unknown")</f>
        <v>Doctorate</v>
      </c>
      <c r="BE26" s="120" t="str">
        <f>IFERROR(VLOOKUP(Table1[RespondentID],'All Data'!$A$3:$CW$999,96,FALSE),"unknown")</f>
        <v>Employed for wages</v>
      </c>
      <c r="BF26" s="120" t="str">
        <f>IFERROR(VLOOKUP(Table1[RespondentID],'All Data'!$A$3:$CW$999,97,FALSE),"unknown")</f>
        <v>Yes</v>
      </c>
      <c r="BG26" s="120">
        <f>IFERROR(VLOOKUP(Table1[RespondentID],'All Data'!$A$3:$CW$999,98,FALSE),"unknown")</f>
        <v>0</v>
      </c>
      <c r="BH26" s="120">
        <f>IFERROR(VLOOKUP(Table1[RespondentID],'All Data'!$A$3:$CW$999,99,FALSE),"unknown")</f>
        <v>0</v>
      </c>
    </row>
    <row r="27" spans="1:60">
      <c r="A27" s="5">
        <v>18025185956</v>
      </c>
      <c r="B27" s="5"/>
      <c r="C27" s="5"/>
      <c r="D27" s="5"/>
      <c r="E27" s="5"/>
      <c r="F27" s="5"/>
      <c r="G27" s="5"/>
      <c r="H27" s="5"/>
      <c r="I27" s="5" t="s">
        <v>55</v>
      </c>
      <c r="J27" s="5"/>
      <c r="K27" s="5"/>
      <c r="L27" s="5"/>
      <c r="M27" s="5" t="s">
        <v>59</v>
      </c>
      <c r="N27" s="5"/>
      <c r="O27" s="5"/>
      <c r="P27" s="5" t="s">
        <v>60</v>
      </c>
      <c r="Q27" s="5"/>
      <c r="R27" s="5"/>
      <c r="S27" s="5"/>
      <c r="T27" s="37"/>
      <c r="U27" s="37">
        <f t="shared" si="0"/>
        <v>3</v>
      </c>
      <c r="V27" s="37">
        <f t="shared" si="1"/>
        <v>1</v>
      </c>
      <c r="W27" s="37"/>
      <c r="X27" s="37">
        <f t="shared" si="2"/>
        <v>0</v>
      </c>
      <c r="Y27" s="37">
        <f t="shared" si="3"/>
        <v>0</v>
      </c>
      <c r="Z27" s="37">
        <f t="shared" si="4"/>
        <v>0</v>
      </c>
      <c r="AA27" s="37">
        <f t="shared" si="5"/>
        <v>0</v>
      </c>
      <c r="AB27" s="37">
        <f t="shared" si="6"/>
        <v>0</v>
      </c>
      <c r="AC27" s="37">
        <f t="shared" si="7"/>
        <v>0</v>
      </c>
      <c r="AD27" s="37">
        <f t="shared" si="8"/>
        <v>0</v>
      </c>
      <c r="AE27" s="37">
        <f t="shared" si="9"/>
        <v>1</v>
      </c>
      <c r="AF27" s="37">
        <f t="shared" si="10"/>
        <v>0</v>
      </c>
      <c r="AG27" s="37">
        <f t="shared" si="11"/>
        <v>0</v>
      </c>
      <c r="AH27" s="37">
        <f t="shared" si="12"/>
        <v>0</v>
      </c>
      <c r="AI27" s="37">
        <f t="shared" si="13"/>
        <v>1</v>
      </c>
      <c r="AJ27" s="37">
        <f t="shared" si="14"/>
        <v>0</v>
      </c>
      <c r="AK27" s="37">
        <f t="shared" si="15"/>
        <v>0</v>
      </c>
      <c r="AL27" s="37">
        <f t="shared" si="16"/>
        <v>1</v>
      </c>
      <c r="AM27" s="37">
        <f t="shared" si="17"/>
        <v>0</v>
      </c>
      <c r="AN27" s="37">
        <f t="shared" si="18"/>
        <v>0</v>
      </c>
      <c r="AO27" s="37">
        <f t="shared" si="19"/>
        <v>0</v>
      </c>
      <c r="AP27" s="37"/>
      <c r="AQ27" s="37"/>
      <c r="AR27" s="37">
        <f t="shared" si="20"/>
        <v>3</v>
      </c>
      <c r="AS27" s="37">
        <f t="shared" si="21"/>
        <v>3</v>
      </c>
      <c r="AT27" s="37" t="str">
        <f t="shared" si="22"/>
        <v>Correct</v>
      </c>
      <c r="AU27" s="37"/>
      <c r="AV27" s="120" t="str">
        <f>IFERROR(VLOOKUP(Table1[RespondentID],'All Data'!$A$3:$CO$999,87,FALSE),"unknown")</f>
        <v>Man</v>
      </c>
      <c r="AW27" s="120">
        <f>IFERROR(VLOOKUP(Table1[RespondentID],'All Data'!$A$3:$CO$999,88,FALSE),"unknown")</f>
        <v>19</v>
      </c>
      <c r="AX27" s="120" t="str">
        <f>IFERROR(VLOOKUP(Table1[RespondentID],'All Data'!$A$3:$CO$999,89,FALSE),"unknown")</f>
        <v>Suffolk</v>
      </c>
      <c r="AY27" s="120" t="str">
        <f>IFERROR(VLOOKUP(Table1[RespondentID],'All Data'!$A$3:$CO$999,90,FALSE),"unknown")</f>
        <v>Centerport, 11721</v>
      </c>
      <c r="AZ27" s="120" t="str">
        <f>IFERROR(VLOOKUP(Table1[RespondentID],'All Data'!$A$3:$CO$999,91,FALSE),"unknown")</f>
        <v>White</v>
      </c>
      <c r="BA27" s="120" t="str">
        <f>IFERROR(VLOOKUP(Table1[RespondentID],'All Data'!$A$3:$CO$999,92,FALSE),"unknown")</f>
        <v>Not Hispanic or Latino</v>
      </c>
      <c r="BB27" s="120" t="str">
        <f>IFERROR(VLOOKUP(Table1[RespondentID],'All Data'!$A$3:$CO$999,93,FALSE),"unknown")</f>
        <v>English</v>
      </c>
      <c r="BC27" s="120" t="str">
        <f>IFERROR(VLOOKUP(Table1[RespondentID],'All Data'!$A$3:$CW$999,94,FALSE),"unknown")</f>
        <v>Over $125,000</v>
      </c>
      <c r="BD27" s="120" t="str">
        <f>IFERROR(VLOOKUP(Table1[RespondentID],'All Data'!$A$3:$CW$999,95,FALSE),"unknown")</f>
        <v>Some college</v>
      </c>
      <c r="BE27" s="120" t="str">
        <f>IFERROR(VLOOKUP(Table1[RespondentID],'All Data'!$A$3:$CW$999,96,FALSE),"unknown")</f>
        <v>Student</v>
      </c>
      <c r="BF27" s="120" t="str">
        <f>IFERROR(VLOOKUP(Table1[RespondentID],'All Data'!$A$3:$CW$999,97,FALSE),"unknown")</f>
        <v>Yes</v>
      </c>
      <c r="BG27" s="120">
        <f>IFERROR(VLOOKUP(Table1[RespondentID],'All Data'!$A$3:$CW$999,98,FALSE),"unknown")</f>
        <v>0</v>
      </c>
      <c r="BH27" s="120">
        <f>IFERROR(VLOOKUP(Table1[RespondentID],'All Data'!$A$3:$CW$999,99,FALSE),"unknown")</f>
        <v>0</v>
      </c>
    </row>
    <row r="28" spans="1:60">
      <c r="A28" s="5">
        <v>18025185799</v>
      </c>
      <c r="B28" s="5"/>
      <c r="C28" s="5"/>
      <c r="D28" s="5"/>
      <c r="E28" s="5"/>
      <c r="F28" s="5"/>
      <c r="G28" s="5"/>
      <c r="H28" s="5"/>
      <c r="I28" s="5"/>
      <c r="J28" s="5"/>
      <c r="K28" s="5"/>
      <c r="L28" s="5"/>
      <c r="M28" s="5"/>
      <c r="N28" s="5"/>
      <c r="O28" s="5"/>
      <c r="P28" s="5"/>
      <c r="Q28" s="5"/>
      <c r="R28" s="5"/>
      <c r="S28" s="5" t="s">
        <v>63</v>
      </c>
      <c r="T28" s="37"/>
      <c r="U28" s="37">
        <f t="shared" si="0"/>
        <v>1</v>
      </c>
      <c r="V28" s="37">
        <f t="shared" si="1"/>
        <v>3</v>
      </c>
      <c r="W28" s="37"/>
      <c r="X28" s="37">
        <f t="shared" si="2"/>
        <v>0</v>
      </c>
      <c r="Y28" s="37">
        <f t="shared" si="3"/>
        <v>0</v>
      </c>
      <c r="Z28" s="37">
        <f t="shared" si="4"/>
        <v>0</v>
      </c>
      <c r="AA28" s="37">
        <f t="shared" si="5"/>
        <v>0</v>
      </c>
      <c r="AB28" s="37">
        <f t="shared" si="6"/>
        <v>0</v>
      </c>
      <c r="AC28" s="37">
        <f t="shared" si="7"/>
        <v>0</v>
      </c>
      <c r="AD28" s="37">
        <f t="shared" si="8"/>
        <v>0</v>
      </c>
      <c r="AE28" s="37">
        <f t="shared" si="9"/>
        <v>0</v>
      </c>
      <c r="AF28" s="37">
        <f t="shared" si="10"/>
        <v>0</v>
      </c>
      <c r="AG28" s="37">
        <f t="shared" si="11"/>
        <v>0</v>
      </c>
      <c r="AH28" s="37">
        <f t="shared" si="12"/>
        <v>0</v>
      </c>
      <c r="AI28" s="37">
        <f t="shared" si="13"/>
        <v>0</v>
      </c>
      <c r="AJ28" s="37">
        <f t="shared" si="14"/>
        <v>0</v>
      </c>
      <c r="AK28" s="37">
        <f t="shared" si="15"/>
        <v>0</v>
      </c>
      <c r="AL28" s="37">
        <f t="shared" si="16"/>
        <v>0</v>
      </c>
      <c r="AM28" s="37">
        <f t="shared" si="17"/>
        <v>0</v>
      </c>
      <c r="AN28" s="37">
        <f t="shared" si="18"/>
        <v>0</v>
      </c>
      <c r="AO28" s="37">
        <f t="shared" si="19"/>
        <v>1</v>
      </c>
      <c r="AP28" s="37"/>
      <c r="AQ28" s="37"/>
      <c r="AR28" s="37">
        <f t="shared" si="20"/>
        <v>1</v>
      </c>
      <c r="AS28" s="37">
        <f t="shared" si="21"/>
        <v>1</v>
      </c>
      <c r="AT28" s="37" t="str">
        <f t="shared" si="22"/>
        <v>Correct</v>
      </c>
      <c r="AU28" s="37"/>
      <c r="AV28" s="120" t="str">
        <f>IFERROR(VLOOKUP(Table1[RespondentID],'All Data'!$A$3:$CO$999,87,FALSE),"unknown")</f>
        <v>Woman</v>
      </c>
      <c r="AW28" s="120">
        <f>IFERROR(VLOOKUP(Table1[RespondentID],'All Data'!$A$3:$CO$999,88,FALSE),"unknown")</f>
        <v>26</v>
      </c>
      <c r="AX28" s="120" t="str">
        <f>IFERROR(VLOOKUP(Table1[RespondentID],'All Data'!$A$3:$CO$999,89,FALSE),"unknown")</f>
        <v>Suffolk</v>
      </c>
      <c r="AY28" s="120" t="str">
        <f>IFERROR(VLOOKUP(Table1[RespondentID],'All Data'!$A$3:$CO$999,90,FALSE),"unknown")</f>
        <v>Greenlawn, 11740</v>
      </c>
      <c r="AZ28" s="120" t="str">
        <f>IFERROR(VLOOKUP(Table1[RespondentID],'All Data'!$A$3:$CO$999,91,FALSE),"unknown")</f>
        <v>Black or African American</v>
      </c>
      <c r="BA28" s="120" t="str">
        <f>IFERROR(VLOOKUP(Table1[RespondentID],'All Data'!$A$3:$CO$999,92,FALSE),"unknown")</f>
        <v>Not Hispanic or Latino</v>
      </c>
      <c r="BB28" s="120" t="str">
        <f>IFERROR(VLOOKUP(Table1[RespondentID],'All Data'!$A$3:$CO$999,93,FALSE),"unknown")</f>
        <v>English, Haitian Creole</v>
      </c>
      <c r="BC28" s="120" t="str">
        <f>IFERROR(VLOOKUP(Table1[RespondentID],'All Data'!$A$3:$CW$999,94,FALSE),"unknown")</f>
        <v>$50,000 to $74,999</v>
      </c>
      <c r="BD28" s="120" t="str">
        <f>IFERROR(VLOOKUP(Table1[RespondentID],'All Data'!$A$3:$CW$999,95,FALSE),"unknown")</f>
        <v>College graduate</v>
      </c>
      <c r="BE28" s="120" t="str">
        <f>IFERROR(VLOOKUP(Table1[RespondentID],'All Data'!$A$3:$CW$999,96,FALSE),"unknown")</f>
        <v>Self-employed</v>
      </c>
      <c r="BF28" s="120" t="str">
        <f>IFERROR(VLOOKUP(Table1[RespondentID],'All Data'!$A$3:$CW$999,97,FALSE),"unknown")</f>
        <v>Yes</v>
      </c>
      <c r="BG28" s="120">
        <f>IFERROR(VLOOKUP(Table1[RespondentID],'All Data'!$A$3:$CW$999,98,FALSE),"unknown")</f>
        <v>0</v>
      </c>
      <c r="BH28" s="120">
        <f>IFERROR(VLOOKUP(Table1[RespondentID],'All Data'!$A$3:$CW$999,99,FALSE),"unknown")</f>
        <v>0</v>
      </c>
    </row>
    <row r="29" spans="1:60">
      <c r="A29" s="5">
        <v>18025185651</v>
      </c>
      <c r="B29" s="5"/>
      <c r="C29" s="5" t="s">
        <v>50</v>
      </c>
      <c r="D29" s="5" t="s">
        <v>51</v>
      </c>
      <c r="E29" s="5" t="s">
        <v>17</v>
      </c>
      <c r="F29" s="5"/>
      <c r="G29" s="5"/>
      <c r="H29" s="5"/>
      <c r="I29" s="5"/>
      <c r="J29" s="5"/>
      <c r="K29" s="5"/>
      <c r="L29" s="5"/>
      <c r="M29" s="5" t="s">
        <v>59</v>
      </c>
      <c r="N29" s="5"/>
      <c r="O29" s="5"/>
      <c r="P29" s="5"/>
      <c r="Q29" s="5"/>
      <c r="R29" s="5"/>
      <c r="S29" s="5"/>
      <c r="T29" s="37"/>
      <c r="U29" s="37">
        <f t="shared" si="0"/>
        <v>4</v>
      </c>
      <c r="V29" s="37">
        <f t="shared" si="1"/>
        <v>0.75</v>
      </c>
      <c r="W29" s="37"/>
      <c r="X29" s="37">
        <f t="shared" si="2"/>
        <v>0</v>
      </c>
      <c r="Y29" s="37">
        <f t="shared" si="3"/>
        <v>0.75</v>
      </c>
      <c r="Z29" s="37">
        <f t="shared" si="4"/>
        <v>0.75</v>
      </c>
      <c r="AA29" s="37">
        <f t="shared" si="5"/>
        <v>0.75</v>
      </c>
      <c r="AB29" s="37">
        <f t="shared" si="6"/>
        <v>0</v>
      </c>
      <c r="AC29" s="37">
        <f t="shared" si="7"/>
        <v>0</v>
      </c>
      <c r="AD29" s="37">
        <f t="shared" si="8"/>
        <v>0</v>
      </c>
      <c r="AE29" s="37">
        <f t="shared" si="9"/>
        <v>0</v>
      </c>
      <c r="AF29" s="37">
        <f t="shared" si="10"/>
        <v>0</v>
      </c>
      <c r="AG29" s="37">
        <f t="shared" si="11"/>
        <v>0</v>
      </c>
      <c r="AH29" s="37">
        <f t="shared" si="12"/>
        <v>0</v>
      </c>
      <c r="AI29" s="37">
        <f t="shared" si="13"/>
        <v>0.75</v>
      </c>
      <c r="AJ29" s="37">
        <f t="shared" si="14"/>
        <v>0</v>
      </c>
      <c r="AK29" s="37">
        <f t="shared" si="15"/>
        <v>0</v>
      </c>
      <c r="AL29" s="37">
        <f t="shared" si="16"/>
        <v>0</v>
      </c>
      <c r="AM29" s="37">
        <f t="shared" si="17"/>
        <v>0</v>
      </c>
      <c r="AN29" s="37">
        <f t="shared" si="18"/>
        <v>0</v>
      </c>
      <c r="AO29" s="37">
        <f t="shared" si="19"/>
        <v>0</v>
      </c>
      <c r="AP29" s="37"/>
      <c r="AQ29" s="37"/>
      <c r="AR29" s="37">
        <f t="shared" si="20"/>
        <v>3</v>
      </c>
      <c r="AS29" s="37">
        <f t="shared" si="21"/>
        <v>4</v>
      </c>
      <c r="AT29" s="37" t="str">
        <f t="shared" si="22"/>
        <v>Correct</v>
      </c>
      <c r="AU29" s="37"/>
      <c r="AV29" s="120" t="str">
        <f>IFERROR(VLOOKUP(Table1[RespondentID],'All Data'!$A$3:$CO$999,87,FALSE),"unknown")</f>
        <v>Woman</v>
      </c>
      <c r="AW29" s="120">
        <f>IFERROR(VLOOKUP(Table1[RespondentID],'All Data'!$A$3:$CO$999,88,FALSE),"unknown")</f>
        <v>17</v>
      </c>
      <c r="AX29" s="120" t="str">
        <f>IFERROR(VLOOKUP(Table1[RespondentID],'All Data'!$A$3:$CO$999,89,FALSE),"unknown")</f>
        <v>Suffolk</v>
      </c>
      <c r="AY29" s="120" t="str">
        <f>IFERROR(VLOOKUP(Table1[RespondentID],'All Data'!$A$3:$CO$999,90,FALSE),"unknown")</f>
        <v>Centerport, 11721</v>
      </c>
      <c r="AZ29" s="120" t="str">
        <f>IFERROR(VLOOKUP(Table1[RespondentID],'All Data'!$A$3:$CO$999,91,FALSE),"unknown")</f>
        <v>White</v>
      </c>
      <c r="BA29" s="120" t="str">
        <f>IFERROR(VLOOKUP(Table1[RespondentID],'All Data'!$A$3:$CO$999,92,FALSE),"unknown")</f>
        <v>Not Hispanic or Latino</v>
      </c>
      <c r="BB29" s="120" t="str">
        <f>IFERROR(VLOOKUP(Table1[RespondentID],'All Data'!$A$3:$CO$999,93,FALSE),"unknown")</f>
        <v>English</v>
      </c>
      <c r="BC29" s="120" t="str">
        <f>IFERROR(VLOOKUP(Table1[RespondentID],'All Data'!$A$3:$CW$999,94,FALSE),"unknown")</f>
        <v>Over $125,000</v>
      </c>
      <c r="BD29" s="120" t="str">
        <f>IFERROR(VLOOKUP(Table1[RespondentID],'All Data'!$A$3:$CW$999,95,FALSE),"unknown")</f>
        <v>Some high school</v>
      </c>
      <c r="BE29" s="120" t="str">
        <f>IFERROR(VLOOKUP(Table1[RespondentID],'All Data'!$A$3:$CW$999,96,FALSE),"unknown")</f>
        <v>Student</v>
      </c>
      <c r="BF29" s="120" t="str">
        <f>IFERROR(VLOOKUP(Table1[RespondentID],'All Data'!$A$3:$CW$999,97,FALSE),"unknown")</f>
        <v>Yes</v>
      </c>
      <c r="BG29" s="120">
        <f>IFERROR(VLOOKUP(Table1[RespondentID],'All Data'!$A$3:$CW$999,98,FALSE),"unknown")</f>
        <v>0</v>
      </c>
      <c r="BH29" s="120">
        <f>IFERROR(VLOOKUP(Table1[RespondentID],'All Data'!$A$3:$CW$999,99,FALSE),"unknown")</f>
        <v>0</v>
      </c>
    </row>
    <row r="30" spans="1:60">
      <c r="A30" s="5">
        <v>18025185458</v>
      </c>
      <c r="B30" s="5" t="s">
        <v>49</v>
      </c>
      <c r="C30" s="5" t="s">
        <v>50</v>
      </c>
      <c r="D30" s="5"/>
      <c r="E30" s="5"/>
      <c r="F30" s="5"/>
      <c r="G30" s="5" t="s">
        <v>53</v>
      </c>
      <c r="H30" s="5" t="s">
        <v>54</v>
      </c>
      <c r="I30" s="5" t="s">
        <v>55</v>
      </c>
      <c r="J30" s="5"/>
      <c r="K30" s="5"/>
      <c r="L30" s="5" t="s">
        <v>58</v>
      </c>
      <c r="M30" s="5"/>
      <c r="N30" s="5" t="s">
        <v>24</v>
      </c>
      <c r="O30" s="5"/>
      <c r="P30" s="5"/>
      <c r="Q30" s="5"/>
      <c r="R30" s="5" t="s">
        <v>62</v>
      </c>
      <c r="S30" s="5"/>
      <c r="T30" s="37"/>
      <c r="U30" s="37">
        <f t="shared" si="0"/>
        <v>8</v>
      </c>
      <c r="V30" s="37">
        <f t="shared" si="1"/>
        <v>0.375</v>
      </c>
      <c r="W30" s="37"/>
      <c r="X30" s="37">
        <f t="shared" si="2"/>
        <v>0.375</v>
      </c>
      <c r="Y30" s="37">
        <f t="shared" si="3"/>
        <v>0.375</v>
      </c>
      <c r="Z30" s="37">
        <f t="shared" si="4"/>
        <v>0</v>
      </c>
      <c r="AA30" s="37">
        <f t="shared" si="5"/>
        <v>0</v>
      </c>
      <c r="AB30" s="37">
        <f t="shared" si="6"/>
        <v>0</v>
      </c>
      <c r="AC30" s="37">
        <f t="shared" si="7"/>
        <v>0.375</v>
      </c>
      <c r="AD30" s="37">
        <f t="shared" si="8"/>
        <v>0.375</v>
      </c>
      <c r="AE30" s="37">
        <f t="shared" si="9"/>
        <v>0.375</v>
      </c>
      <c r="AF30" s="37">
        <f t="shared" si="10"/>
        <v>0</v>
      </c>
      <c r="AG30" s="37">
        <f t="shared" si="11"/>
        <v>0</v>
      </c>
      <c r="AH30" s="37">
        <f t="shared" si="12"/>
        <v>0.375</v>
      </c>
      <c r="AI30" s="37">
        <f t="shared" si="13"/>
        <v>0</v>
      </c>
      <c r="AJ30" s="37">
        <f t="shared" si="14"/>
        <v>0.375</v>
      </c>
      <c r="AK30" s="37">
        <f t="shared" si="15"/>
        <v>0</v>
      </c>
      <c r="AL30" s="37">
        <f t="shared" si="16"/>
        <v>0</v>
      </c>
      <c r="AM30" s="37">
        <f t="shared" si="17"/>
        <v>0</v>
      </c>
      <c r="AN30" s="37">
        <f t="shared" si="18"/>
        <v>0.375</v>
      </c>
      <c r="AO30" s="37">
        <f t="shared" si="19"/>
        <v>0</v>
      </c>
      <c r="AP30" s="37"/>
      <c r="AQ30" s="37"/>
      <c r="AR30" s="37">
        <f t="shared" si="20"/>
        <v>3</v>
      </c>
      <c r="AS30" s="37">
        <f t="shared" si="21"/>
        <v>8</v>
      </c>
      <c r="AT30" s="37" t="str">
        <f t="shared" si="22"/>
        <v>Correct</v>
      </c>
      <c r="AU30" s="37"/>
      <c r="AV30" s="120" t="str">
        <f>IFERROR(VLOOKUP(Table1[RespondentID],'All Data'!$A$3:$CO$999,87,FALSE),"unknown")</f>
        <v>Man</v>
      </c>
      <c r="AW30" s="120">
        <f>IFERROR(VLOOKUP(Table1[RespondentID],'All Data'!$A$3:$CO$999,88,FALSE),"unknown")</f>
        <v>38</v>
      </c>
      <c r="AX30" s="120" t="str">
        <f>IFERROR(VLOOKUP(Table1[RespondentID],'All Data'!$A$3:$CO$999,89,FALSE),"unknown")</f>
        <v>Suffolk</v>
      </c>
      <c r="AY30" s="120" t="str">
        <f>IFERROR(VLOOKUP(Table1[RespondentID],'All Data'!$A$3:$CO$999,90,FALSE),"unknown")</f>
        <v>Cold Spring Harbor, 11724</v>
      </c>
      <c r="AZ30" s="120" t="str">
        <f>IFERROR(VLOOKUP(Table1[RespondentID],'All Data'!$A$3:$CO$999,91,FALSE),"unknown")</f>
        <v>White</v>
      </c>
      <c r="BA30" s="120" t="str">
        <f>IFERROR(VLOOKUP(Table1[RespondentID],'All Data'!$A$3:$CO$999,92,FALSE),"unknown")</f>
        <v>Not Hispanic or Latino</v>
      </c>
      <c r="BB30" s="120" t="str">
        <f>IFERROR(VLOOKUP(Table1[RespondentID],'All Data'!$A$3:$CO$999,93,FALSE),"unknown")</f>
        <v>English</v>
      </c>
      <c r="BC30" s="120" t="str">
        <f>IFERROR(VLOOKUP(Table1[RespondentID],'All Data'!$A$3:$CW$999,94,FALSE),"unknown")</f>
        <v>$35,000 to $49,999</v>
      </c>
      <c r="BD30" s="120" t="str">
        <f>IFERROR(VLOOKUP(Table1[RespondentID],'All Data'!$A$3:$CW$999,95,FALSE),"unknown")</f>
        <v>College graduate</v>
      </c>
      <c r="BE30" s="120" t="str">
        <f>IFERROR(VLOOKUP(Table1[RespondentID],'All Data'!$A$3:$CW$999,96,FALSE),"unknown")</f>
        <v>Employed for wages</v>
      </c>
      <c r="BF30" s="120" t="str">
        <f>IFERROR(VLOOKUP(Table1[RespondentID],'All Data'!$A$3:$CW$999,97,FALSE),"unknown")</f>
        <v>Yes</v>
      </c>
      <c r="BG30" s="120">
        <f>IFERROR(VLOOKUP(Table1[RespondentID],'All Data'!$A$3:$CW$999,98,FALSE),"unknown")</f>
        <v>0</v>
      </c>
      <c r="BH30" s="120">
        <f>IFERROR(VLOOKUP(Table1[RespondentID],'All Data'!$A$3:$CW$999,99,FALSE),"unknown")</f>
        <v>0</v>
      </c>
    </row>
    <row r="31" spans="1:60">
      <c r="A31" s="5">
        <v>18025185352</v>
      </c>
      <c r="B31" s="5" t="s">
        <v>49</v>
      </c>
      <c r="C31" s="5"/>
      <c r="D31" s="5"/>
      <c r="E31" s="5" t="s">
        <v>17</v>
      </c>
      <c r="F31" s="5"/>
      <c r="G31" s="5"/>
      <c r="H31" s="5"/>
      <c r="I31" s="5"/>
      <c r="J31" s="5"/>
      <c r="K31" s="5"/>
      <c r="L31" s="5"/>
      <c r="M31" s="5"/>
      <c r="N31" s="5"/>
      <c r="O31" s="5"/>
      <c r="P31" s="5"/>
      <c r="Q31" s="5"/>
      <c r="R31" s="5" t="s">
        <v>62</v>
      </c>
      <c r="S31" s="5"/>
      <c r="T31" s="37"/>
      <c r="U31" s="37">
        <f t="shared" si="0"/>
        <v>3</v>
      </c>
      <c r="V31" s="37">
        <f t="shared" si="1"/>
        <v>1</v>
      </c>
      <c r="W31" s="37"/>
      <c r="X31" s="37">
        <f t="shared" si="2"/>
        <v>1</v>
      </c>
      <c r="Y31" s="37">
        <f t="shared" si="3"/>
        <v>0</v>
      </c>
      <c r="Z31" s="37">
        <f t="shared" si="4"/>
        <v>0</v>
      </c>
      <c r="AA31" s="37">
        <f t="shared" si="5"/>
        <v>1</v>
      </c>
      <c r="AB31" s="37">
        <f t="shared" si="6"/>
        <v>0</v>
      </c>
      <c r="AC31" s="37">
        <f t="shared" si="7"/>
        <v>0</v>
      </c>
      <c r="AD31" s="37">
        <f t="shared" si="8"/>
        <v>0</v>
      </c>
      <c r="AE31" s="37">
        <f t="shared" si="9"/>
        <v>0</v>
      </c>
      <c r="AF31" s="37">
        <f t="shared" si="10"/>
        <v>0</v>
      </c>
      <c r="AG31" s="37">
        <f t="shared" si="11"/>
        <v>0</v>
      </c>
      <c r="AH31" s="37">
        <f t="shared" si="12"/>
        <v>0</v>
      </c>
      <c r="AI31" s="37">
        <f t="shared" si="13"/>
        <v>0</v>
      </c>
      <c r="AJ31" s="37">
        <f t="shared" si="14"/>
        <v>0</v>
      </c>
      <c r="AK31" s="37">
        <f t="shared" si="15"/>
        <v>0</v>
      </c>
      <c r="AL31" s="37">
        <f t="shared" si="16"/>
        <v>0</v>
      </c>
      <c r="AM31" s="37">
        <f t="shared" si="17"/>
        <v>0</v>
      </c>
      <c r="AN31" s="37">
        <f t="shared" si="18"/>
        <v>1</v>
      </c>
      <c r="AO31" s="37">
        <f t="shared" si="19"/>
        <v>0</v>
      </c>
      <c r="AP31" s="37"/>
      <c r="AQ31" s="37"/>
      <c r="AR31" s="37">
        <f t="shared" si="20"/>
        <v>3</v>
      </c>
      <c r="AS31" s="37">
        <f t="shared" si="21"/>
        <v>3</v>
      </c>
      <c r="AT31" s="37" t="str">
        <f t="shared" si="22"/>
        <v>Correct</v>
      </c>
      <c r="AU31" s="37"/>
      <c r="AV31" s="120" t="str">
        <f>IFERROR(VLOOKUP(Table1[RespondentID],'All Data'!$A$3:$CO$999,87,FALSE),"unknown")</f>
        <v>Man</v>
      </c>
      <c r="AW31" s="120">
        <f>IFERROR(VLOOKUP(Table1[RespondentID],'All Data'!$A$3:$CO$999,88,FALSE),"unknown")</f>
        <v>53</v>
      </c>
      <c r="AX31" s="120" t="str">
        <f>IFERROR(VLOOKUP(Table1[RespondentID],'All Data'!$A$3:$CO$999,89,FALSE),"unknown")</f>
        <v>Suffolk</v>
      </c>
      <c r="AY31" s="120" t="str">
        <f>IFERROR(VLOOKUP(Table1[RespondentID],'All Data'!$A$3:$CO$999,90,FALSE),"unknown")</f>
        <v>Saint James, 11780</v>
      </c>
      <c r="AZ31" s="120" t="str">
        <f>IFERROR(VLOOKUP(Table1[RespondentID],'All Data'!$A$3:$CO$999,91,FALSE),"unknown")</f>
        <v>White</v>
      </c>
      <c r="BA31" s="120" t="str">
        <f>IFERROR(VLOOKUP(Table1[RespondentID],'All Data'!$A$3:$CO$999,92,FALSE),"unknown")</f>
        <v>Not Hispanic or Latino</v>
      </c>
      <c r="BB31" s="120" t="str">
        <f>IFERROR(VLOOKUP(Table1[RespondentID],'All Data'!$A$3:$CO$999,93,FALSE),"unknown")</f>
        <v>English</v>
      </c>
      <c r="BC31" s="120" t="str">
        <f>IFERROR(VLOOKUP(Table1[RespondentID],'All Data'!$A$3:$CW$999,94,FALSE),"unknown")</f>
        <v>Over $125,000</v>
      </c>
      <c r="BD31" s="120" t="str">
        <f>IFERROR(VLOOKUP(Table1[RespondentID],'All Data'!$A$3:$CW$999,95,FALSE),"unknown")</f>
        <v>College graduate</v>
      </c>
      <c r="BE31" s="120" t="str">
        <f>IFERROR(VLOOKUP(Table1[RespondentID],'All Data'!$A$3:$CW$999,96,FALSE),"unknown")</f>
        <v>Employed for wages</v>
      </c>
      <c r="BF31" s="120" t="str">
        <f>IFERROR(VLOOKUP(Table1[RespondentID],'All Data'!$A$3:$CW$999,97,FALSE),"unknown")</f>
        <v>Yes</v>
      </c>
      <c r="BG31" s="120">
        <f>IFERROR(VLOOKUP(Table1[RespondentID],'All Data'!$A$3:$CW$999,98,FALSE),"unknown")</f>
        <v>0</v>
      </c>
      <c r="BH31" s="120">
        <f>IFERROR(VLOOKUP(Table1[RespondentID],'All Data'!$A$3:$CW$999,99,FALSE),"unknown")</f>
        <v>0</v>
      </c>
    </row>
    <row r="32" spans="1:60">
      <c r="A32" s="5">
        <v>18025185219</v>
      </c>
      <c r="B32" s="5" t="s">
        <v>49</v>
      </c>
      <c r="C32" s="5"/>
      <c r="D32" s="5" t="s">
        <v>51</v>
      </c>
      <c r="E32" s="5"/>
      <c r="F32" s="5"/>
      <c r="G32" s="5"/>
      <c r="H32" s="5"/>
      <c r="I32" s="5"/>
      <c r="J32" s="5"/>
      <c r="K32" s="5"/>
      <c r="L32" s="5"/>
      <c r="M32" s="5"/>
      <c r="N32" s="5"/>
      <c r="O32" s="5"/>
      <c r="P32" s="5"/>
      <c r="Q32" s="5"/>
      <c r="R32" s="5" t="s">
        <v>62</v>
      </c>
      <c r="S32" s="5"/>
      <c r="T32" s="37"/>
      <c r="U32" s="37">
        <f t="shared" si="0"/>
        <v>3</v>
      </c>
      <c r="V32" s="37">
        <f t="shared" si="1"/>
        <v>1</v>
      </c>
      <c r="W32" s="37"/>
      <c r="X32" s="37">
        <f t="shared" si="2"/>
        <v>1</v>
      </c>
      <c r="Y32" s="37">
        <f t="shared" si="3"/>
        <v>0</v>
      </c>
      <c r="Z32" s="37">
        <f t="shared" si="4"/>
        <v>1</v>
      </c>
      <c r="AA32" s="37">
        <f t="shared" si="5"/>
        <v>0</v>
      </c>
      <c r="AB32" s="37">
        <f t="shared" si="6"/>
        <v>0</v>
      </c>
      <c r="AC32" s="37">
        <f t="shared" si="7"/>
        <v>0</v>
      </c>
      <c r="AD32" s="37">
        <f t="shared" si="8"/>
        <v>0</v>
      </c>
      <c r="AE32" s="37">
        <f t="shared" si="9"/>
        <v>0</v>
      </c>
      <c r="AF32" s="37">
        <f t="shared" si="10"/>
        <v>0</v>
      </c>
      <c r="AG32" s="37">
        <f t="shared" si="11"/>
        <v>0</v>
      </c>
      <c r="AH32" s="37">
        <f t="shared" si="12"/>
        <v>0</v>
      </c>
      <c r="AI32" s="37">
        <f t="shared" si="13"/>
        <v>0</v>
      </c>
      <c r="AJ32" s="37">
        <f t="shared" si="14"/>
        <v>0</v>
      </c>
      <c r="AK32" s="37">
        <f t="shared" si="15"/>
        <v>0</v>
      </c>
      <c r="AL32" s="37">
        <f t="shared" si="16"/>
        <v>0</v>
      </c>
      <c r="AM32" s="37">
        <f t="shared" si="17"/>
        <v>0</v>
      </c>
      <c r="AN32" s="37">
        <f t="shared" si="18"/>
        <v>1</v>
      </c>
      <c r="AO32" s="37">
        <f t="shared" si="19"/>
        <v>0</v>
      </c>
      <c r="AP32" s="37"/>
      <c r="AQ32" s="37"/>
      <c r="AR32" s="37">
        <f t="shared" si="20"/>
        <v>3</v>
      </c>
      <c r="AS32" s="37">
        <f t="shared" si="21"/>
        <v>3</v>
      </c>
      <c r="AT32" s="37" t="str">
        <f t="shared" si="22"/>
        <v>Correct</v>
      </c>
      <c r="AU32" s="37"/>
      <c r="AV32" s="120" t="str">
        <f>IFERROR(VLOOKUP(Table1[RespondentID],'All Data'!$A$3:$CO$999,87,FALSE),"unknown")</f>
        <v>Man</v>
      </c>
      <c r="AW32" s="120">
        <f>IFERROR(VLOOKUP(Table1[RespondentID],'All Data'!$A$3:$CO$999,88,FALSE),"unknown")</f>
        <v>40</v>
      </c>
      <c r="AX32" s="120" t="str">
        <f>IFERROR(VLOOKUP(Table1[RespondentID],'All Data'!$A$3:$CO$999,89,FALSE),"unknown")</f>
        <v>Suffolk</v>
      </c>
      <c r="AY32" s="120" t="str">
        <f>IFERROR(VLOOKUP(Table1[RespondentID],'All Data'!$A$3:$CO$999,90,FALSE),"unknown")</f>
        <v>Kings Park, 11754</v>
      </c>
      <c r="AZ32" s="120" t="str">
        <f>IFERROR(VLOOKUP(Table1[RespondentID],'All Data'!$A$3:$CO$999,91,FALSE),"unknown")</f>
        <v>White</v>
      </c>
      <c r="BA32" s="120" t="str">
        <f>IFERROR(VLOOKUP(Table1[RespondentID],'All Data'!$A$3:$CO$999,92,FALSE),"unknown")</f>
        <v>Hispanic or Latino</v>
      </c>
      <c r="BB32" s="120" t="str">
        <f>IFERROR(VLOOKUP(Table1[RespondentID],'All Data'!$A$3:$CO$999,93,FALSE),"unknown")</f>
        <v>English</v>
      </c>
      <c r="BC32" s="120" t="str">
        <f>IFERROR(VLOOKUP(Table1[RespondentID],'All Data'!$A$3:$CW$999,94,FALSE),"unknown")</f>
        <v>Over $125,000</v>
      </c>
      <c r="BD32" s="120" t="str">
        <f>IFERROR(VLOOKUP(Table1[RespondentID],'All Data'!$A$3:$CW$999,95,FALSE),"unknown")</f>
        <v>Graduate school</v>
      </c>
      <c r="BE32" s="120" t="str">
        <f>IFERROR(VLOOKUP(Table1[RespondentID],'All Data'!$A$3:$CW$999,96,FALSE),"unknown")</f>
        <v>Employed for wages</v>
      </c>
      <c r="BF32" s="120" t="str">
        <f>IFERROR(VLOOKUP(Table1[RespondentID],'All Data'!$A$3:$CW$999,97,FALSE),"unknown")</f>
        <v>Yes</v>
      </c>
      <c r="BG32" s="120">
        <f>IFERROR(VLOOKUP(Table1[RespondentID],'All Data'!$A$3:$CW$999,98,FALSE),"unknown")</f>
        <v>0</v>
      </c>
      <c r="BH32" s="120">
        <f>IFERROR(VLOOKUP(Table1[RespondentID],'All Data'!$A$3:$CW$999,99,FALSE),"unknown")</f>
        <v>0</v>
      </c>
    </row>
    <row r="33" spans="1:60">
      <c r="A33" s="5">
        <v>18025185091</v>
      </c>
      <c r="B33" s="5"/>
      <c r="C33" s="5"/>
      <c r="D33" s="5" t="s">
        <v>51</v>
      </c>
      <c r="E33" s="5"/>
      <c r="F33" s="5"/>
      <c r="G33" s="5"/>
      <c r="H33" s="5"/>
      <c r="I33" s="5"/>
      <c r="J33" s="5"/>
      <c r="K33" s="5"/>
      <c r="L33" s="5"/>
      <c r="M33" s="5" t="s">
        <v>59</v>
      </c>
      <c r="N33" s="5"/>
      <c r="O33" s="5"/>
      <c r="P33" s="5"/>
      <c r="Q33" s="5"/>
      <c r="R33" s="5"/>
      <c r="S33" s="5" t="s">
        <v>63</v>
      </c>
      <c r="T33" s="37"/>
      <c r="U33" s="37">
        <f t="shared" si="0"/>
        <v>3</v>
      </c>
      <c r="V33" s="37">
        <f t="shared" si="1"/>
        <v>1</v>
      </c>
      <c r="W33" s="37"/>
      <c r="X33" s="37">
        <f t="shared" si="2"/>
        <v>0</v>
      </c>
      <c r="Y33" s="37">
        <f t="shared" si="3"/>
        <v>0</v>
      </c>
      <c r="Z33" s="37">
        <f t="shared" si="4"/>
        <v>1</v>
      </c>
      <c r="AA33" s="37">
        <f t="shared" si="5"/>
        <v>0</v>
      </c>
      <c r="AB33" s="37">
        <f t="shared" si="6"/>
        <v>0</v>
      </c>
      <c r="AC33" s="37">
        <f t="shared" si="7"/>
        <v>0</v>
      </c>
      <c r="AD33" s="37">
        <f t="shared" si="8"/>
        <v>0</v>
      </c>
      <c r="AE33" s="37">
        <f t="shared" si="9"/>
        <v>0</v>
      </c>
      <c r="AF33" s="37">
        <f t="shared" si="10"/>
        <v>0</v>
      </c>
      <c r="AG33" s="37">
        <f t="shared" si="11"/>
        <v>0</v>
      </c>
      <c r="AH33" s="37">
        <f t="shared" si="12"/>
        <v>0</v>
      </c>
      <c r="AI33" s="37">
        <f t="shared" si="13"/>
        <v>1</v>
      </c>
      <c r="AJ33" s="37">
        <f t="shared" si="14"/>
        <v>0</v>
      </c>
      <c r="AK33" s="37">
        <f t="shared" si="15"/>
        <v>0</v>
      </c>
      <c r="AL33" s="37">
        <f t="shared" si="16"/>
        <v>0</v>
      </c>
      <c r="AM33" s="37">
        <f t="shared" si="17"/>
        <v>0</v>
      </c>
      <c r="AN33" s="37">
        <f t="shared" si="18"/>
        <v>0</v>
      </c>
      <c r="AO33" s="37">
        <f t="shared" si="19"/>
        <v>1</v>
      </c>
      <c r="AP33" s="37"/>
      <c r="AQ33" s="37"/>
      <c r="AR33" s="37">
        <f t="shared" si="20"/>
        <v>3</v>
      </c>
      <c r="AS33" s="37">
        <f t="shared" si="21"/>
        <v>3</v>
      </c>
      <c r="AT33" s="37" t="str">
        <f t="shared" si="22"/>
        <v>Correct</v>
      </c>
      <c r="AU33" s="37"/>
      <c r="AV33" s="120" t="str">
        <f>IFERROR(VLOOKUP(Table1[RespondentID],'All Data'!$A$3:$CO$999,87,FALSE),"unknown")</f>
        <v>Woman</v>
      </c>
      <c r="AW33" s="120">
        <f>IFERROR(VLOOKUP(Table1[RespondentID],'All Data'!$A$3:$CO$999,88,FALSE),"unknown")</f>
        <v>25</v>
      </c>
      <c r="AX33" s="120" t="str">
        <f>IFERROR(VLOOKUP(Table1[RespondentID],'All Data'!$A$3:$CO$999,89,FALSE),"unknown")</f>
        <v>Suffolk</v>
      </c>
      <c r="AY33" s="120" t="str">
        <f>IFERROR(VLOOKUP(Table1[RespondentID],'All Data'!$A$3:$CO$999,90,FALSE),"unknown")</f>
        <v>Smithtown, 11787</v>
      </c>
      <c r="AZ33" s="120" t="str">
        <f>IFERROR(VLOOKUP(Table1[RespondentID],'All Data'!$A$3:$CO$999,91,FALSE),"unknown")</f>
        <v>White</v>
      </c>
      <c r="BA33" s="120" t="str">
        <f>IFERROR(VLOOKUP(Table1[RespondentID],'All Data'!$A$3:$CO$999,92,FALSE),"unknown")</f>
        <v>Not Hispanic or Latino</v>
      </c>
      <c r="BB33" s="120" t="str">
        <f>IFERROR(VLOOKUP(Table1[RespondentID],'All Data'!$A$3:$CO$999,93,FALSE),"unknown")</f>
        <v>English</v>
      </c>
      <c r="BC33" s="120" t="str">
        <f>IFERROR(VLOOKUP(Table1[RespondentID],'All Data'!$A$3:$CW$999,94,FALSE),"unknown")</f>
        <v>Over $125,000</v>
      </c>
      <c r="BD33" s="120" t="str">
        <f>IFERROR(VLOOKUP(Table1[RespondentID],'All Data'!$A$3:$CW$999,95,FALSE),"unknown")</f>
        <v>Graduate school</v>
      </c>
      <c r="BE33" s="120" t="str">
        <f>IFERROR(VLOOKUP(Table1[RespondentID],'All Data'!$A$3:$CW$999,96,FALSE),"unknown")</f>
        <v>Employed for wages</v>
      </c>
      <c r="BF33" s="120" t="str">
        <f>IFERROR(VLOOKUP(Table1[RespondentID],'All Data'!$A$3:$CW$999,97,FALSE),"unknown")</f>
        <v>Yes</v>
      </c>
      <c r="BG33" s="120">
        <f>IFERROR(VLOOKUP(Table1[RespondentID],'All Data'!$A$3:$CW$999,98,FALSE),"unknown")</f>
        <v>0</v>
      </c>
      <c r="BH33" s="120">
        <f>IFERROR(VLOOKUP(Table1[RespondentID],'All Data'!$A$3:$CW$999,99,FALSE),"unknown")</f>
        <v>0</v>
      </c>
    </row>
    <row r="34" spans="1:60">
      <c r="A34" s="5">
        <v>18025184990</v>
      </c>
      <c r="B34" s="5"/>
      <c r="C34" s="5"/>
      <c r="D34" s="5"/>
      <c r="E34" s="5"/>
      <c r="F34" s="5"/>
      <c r="G34" s="5"/>
      <c r="H34" s="5" t="s">
        <v>54</v>
      </c>
      <c r="I34" s="5"/>
      <c r="J34" s="5"/>
      <c r="K34" s="5" t="s">
        <v>57</v>
      </c>
      <c r="L34" s="5"/>
      <c r="M34" s="5"/>
      <c r="N34" s="5"/>
      <c r="O34" s="5"/>
      <c r="P34" s="5"/>
      <c r="Q34" s="5"/>
      <c r="R34" s="5"/>
      <c r="S34" s="5"/>
      <c r="T34" s="37"/>
      <c r="U34" s="37">
        <f t="shared" si="0"/>
        <v>2</v>
      </c>
      <c r="V34" s="37">
        <f t="shared" si="1"/>
        <v>1.5</v>
      </c>
      <c r="W34" s="37"/>
      <c r="X34" s="37">
        <f t="shared" si="2"/>
        <v>0</v>
      </c>
      <c r="Y34" s="37">
        <f t="shared" si="3"/>
        <v>0</v>
      </c>
      <c r="Z34" s="37">
        <f t="shared" si="4"/>
        <v>0</v>
      </c>
      <c r="AA34" s="37">
        <f t="shared" si="5"/>
        <v>0</v>
      </c>
      <c r="AB34" s="37">
        <f t="shared" si="6"/>
        <v>0</v>
      </c>
      <c r="AC34" s="37">
        <f t="shared" si="7"/>
        <v>0</v>
      </c>
      <c r="AD34" s="37">
        <f t="shared" si="8"/>
        <v>1</v>
      </c>
      <c r="AE34" s="37">
        <f t="shared" si="9"/>
        <v>0</v>
      </c>
      <c r="AF34" s="37">
        <f t="shared" si="10"/>
        <v>0</v>
      </c>
      <c r="AG34" s="37">
        <f t="shared" si="11"/>
        <v>1</v>
      </c>
      <c r="AH34" s="37">
        <f t="shared" si="12"/>
        <v>0</v>
      </c>
      <c r="AI34" s="37">
        <f t="shared" si="13"/>
        <v>0</v>
      </c>
      <c r="AJ34" s="37">
        <f t="shared" si="14"/>
        <v>0</v>
      </c>
      <c r="AK34" s="37">
        <f t="shared" si="15"/>
        <v>0</v>
      </c>
      <c r="AL34" s="37">
        <f t="shared" si="16"/>
        <v>0</v>
      </c>
      <c r="AM34" s="37">
        <f t="shared" si="17"/>
        <v>0</v>
      </c>
      <c r="AN34" s="37">
        <f t="shared" si="18"/>
        <v>0</v>
      </c>
      <c r="AO34" s="37">
        <f t="shared" si="19"/>
        <v>0</v>
      </c>
      <c r="AP34" s="37"/>
      <c r="AQ34" s="37"/>
      <c r="AR34" s="37">
        <f t="shared" si="20"/>
        <v>2</v>
      </c>
      <c r="AS34" s="37">
        <f t="shared" si="21"/>
        <v>2</v>
      </c>
      <c r="AT34" s="37" t="str">
        <f t="shared" si="22"/>
        <v>Correct</v>
      </c>
      <c r="AU34" s="37"/>
      <c r="AV34" s="120" t="str">
        <f>IFERROR(VLOOKUP(Table1[RespondentID],'All Data'!$A$3:$CO$999,87,FALSE),"unknown")</f>
        <v>Woman</v>
      </c>
      <c r="AW34" s="120">
        <f>IFERROR(VLOOKUP(Table1[RespondentID],'All Data'!$A$3:$CO$999,88,FALSE),"unknown")</f>
        <v>26</v>
      </c>
      <c r="AX34" s="120" t="str">
        <f>IFERROR(VLOOKUP(Table1[RespondentID],'All Data'!$A$3:$CO$999,89,FALSE),"unknown")</f>
        <v>Suffolk</v>
      </c>
      <c r="AY34" s="120" t="str">
        <f>IFERROR(VLOOKUP(Table1[RespondentID],'All Data'!$A$3:$CO$999,90,FALSE),"unknown")</f>
        <v>Saint James, 11780</v>
      </c>
      <c r="AZ34" s="120" t="str">
        <f>IFERROR(VLOOKUP(Table1[RespondentID],'All Data'!$A$3:$CO$999,91,FALSE),"unknown")</f>
        <v>White</v>
      </c>
      <c r="BA34" s="120" t="str">
        <f>IFERROR(VLOOKUP(Table1[RespondentID],'All Data'!$A$3:$CO$999,92,FALSE),"unknown")</f>
        <v>Not Hispanic or Latino</v>
      </c>
      <c r="BB34" s="120" t="str">
        <f>IFERROR(VLOOKUP(Table1[RespondentID],'All Data'!$A$3:$CO$999,93,FALSE),"unknown")</f>
        <v>English</v>
      </c>
      <c r="BC34" s="120" t="str">
        <f>IFERROR(VLOOKUP(Table1[RespondentID],'All Data'!$A$3:$CW$999,94,FALSE),"unknown")</f>
        <v>$75,000 to $125,000</v>
      </c>
      <c r="BD34" s="120" t="str">
        <f>IFERROR(VLOOKUP(Table1[RespondentID],'All Data'!$A$3:$CW$999,95,FALSE),"unknown")</f>
        <v>College graduate</v>
      </c>
      <c r="BE34" s="120" t="str">
        <f>IFERROR(VLOOKUP(Table1[RespondentID],'All Data'!$A$3:$CW$999,96,FALSE),"unknown")</f>
        <v>Employed for wages</v>
      </c>
      <c r="BF34" s="120" t="str">
        <f>IFERROR(VLOOKUP(Table1[RespondentID],'All Data'!$A$3:$CW$999,97,FALSE),"unknown")</f>
        <v>Yes</v>
      </c>
      <c r="BG34" s="120">
        <f>IFERROR(VLOOKUP(Table1[RespondentID],'All Data'!$A$3:$CW$999,98,FALSE),"unknown")</f>
        <v>0</v>
      </c>
      <c r="BH34" s="120">
        <f>IFERROR(VLOOKUP(Table1[RespondentID],'All Data'!$A$3:$CW$999,99,FALSE),"unknown")</f>
        <v>0</v>
      </c>
    </row>
    <row r="35" spans="1:60">
      <c r="A35" s="5">
        <v>18025184829</v>
      </c>
      <c r="B35" s="5"/>
      <c r="C35" s="5"/>
      <c r="D35" s="5"/>
      <c r="E35" s="5"/>
      <c r="F35" s="5"/>
      <c r="G35" s="5"/>
      <c r="H35" s="5" t="s">
        <v>54</v>
      </c>
      <c r="I35" s="5" t="s">
        <v>55</v>
      </c>
      <c r="J35" s="5"/>
      <c r="K35" s="5"/>
      <c r="L35" s="5" t="s">
        <v>58</v>
      </c>
      <c r="M35" s="5"/>
      <c r="N35" s="5"/>
      <c r="O35" s="5"/>
      <c r="P35" s="5"/>
      <c r="Q35" s="5"/>
      <c r="R35" s="5"/>
      <c r="S35" s="5"/>
      <c r="T35" s="37"/>
      <c r="U35" s="37">
        <f t="shared" si="0"/>
        <v>3</v>
      </c>
      <c r="V35" s="37">
        <f t="shared" si="1"/>
        <v>1</v>
      </c>
      <c r="W35" s="37"/>
      <c r="X35" s="37">
        <f t="shared" si="2"/>
        <v>0</v>
      </c>
      <c r="Y35" s="37">
        <f t="shared" si="3"/>
        <v>0</v>
      </c>
      <c r="Z35" s="37">
        <f t="shared" si="4"/>
        <v>0</v>
      </c>
      <c r="AA35" s="37">
        <f t="shared" si="5"/>
        <v>0</v>
      </c>
      <c r="AB35" s="37">
        <f t="shared" si="6"/>
        <v>0</v>
      </c>
      <c r="AC35" s="37">
        <f t="shared" si="7"/>
        <v>0</v>
      </c>
      <c r="AD35" s="37">
        <f t="shared" si="8"/>
        <v>1</v>
      </c>
      <c r="AE35" s="37">
        <f t="shared" si="9"/>
        <v>1</v>
      </c>
      <c r="AF35" s="37">
        <f t="shared" si="10"/>
        <v>0</v>
      </c>
      <c r="AG35" s="37">
        <f t="shared" si="11"/>
        <v>0</v>
      </c>
      <c r="AH35" s="37">
        <f t="shared" si="12"/>
        <v>1</v>
      </c>
      <c r="AI35" s="37">
        <f t="shared" si="13"/>
        <v>0</v>
      </c>
      <c r="AJ35" s="37">
        <f t="shared" si="14"/>
        <v>0</v>
      </c>
      <c r="AK35" s="37">
        <f t="shared" si="15"/>
        <v>0</v>
      </c>
      <c r="AL35" s="37">
        <f t="shared" si="16"/>
        <v>0</v>
      </c>
      <c r="AM35" s="37">
        <f t="shared" si="17"/>
        <v>0</v>
      </c>
      <c r="AN35" s="37">
        <f t="shared" si="18"/>
        <v>0</v>
      </c>
      <c r="AO35" s="37">
        <f t="shared" si="19"/>
        <v>0</v>
      </c>
      <c r="AP35" s="37"/>
      <c r="AQ35" s="37"/>
      <c r="AR35" s="37">
        <f t="shared" si="20"/>
        <v>3</v>
      </c>
      <c r="AS35" s="37">
        <f t="shared" si="21"/>
        <v>3</v>
      </c>
      <c r="AT35" s="37" t="str">
        <f t="shared" si="22"/>
        <v>Correct</v>
      </c>
      <c r="AU35" s="37"/>
      <c r="AV35" s="120" t="str">
        <f>IFERROR(VLOOKUP(Table1[RespondentID],'All Data'!$A$3:$CO$999,87,FALSE),"unknown")</f>
        <v>Woman</v>
      </c>
      <c r="AW35" s="120">
        <f>IFERROR(VLOOKUP(Table1[RespondentID],'All Data'!$A$3:$CO$999,88,FALSE),"unknown")</f>
        <v>48</v>
      </c>
      <c r="AX35" s="120" t="str">
        <f>IFERROR(VLOOKUP(Table1[RespondentID],'All Data'!$A$3:$CO$999,89,FALSE),"unknown")</f>
        <v>Suffolk</v>
      </c>
      <c r="AY35" s="120" t="str">
        <f>IFERROR(VLOOKUP(Table1[RespondentID],'All Data'!$A$3:$CO$999,90,FALSE),"unknown")</f>
        <v>Smithtown, 11787</v>
      </c>
      <c r="AZ35" s="120" t="str">
        <f>IFERROR(VLOOKUP(Table1[RespondentID],'All Data'!$A$3:$CO$999,91,FALSE),"unknown")</f>
        <v>White</v>
      </c>
      <c r="BA35" s="120" t="str">
        <f>IFERROR(VLOOKUP(Table1[RespondentID],'All Data'!$A$3:$CO$999,92,FALSE),"unknown")</f>
        <v>Not Hispanic or Latino</v>
      </c>
      <c r="BB35" s="120" t="str">
        <f>IFERROR(VLOOKUP(Table1[RespondentID],'All Data'!$A$3:$CO$999,93,FALSE),"unknown")</f>
        <v>English, Italian</v>
      </c>
      <c r="BC35" s="120" t="str">
        <f>IFERROR(VLOOKUP(Table1[RespondentID],'All Data'!$A$3:$CW$999,94,FALSE),"unknown")</f>
        <v>Over $125,000</v>
      </c>
      <c r="BD35" s="120" t="str">
        <f>IFERROR(VLOOKUP(Table1[RespondentID],'All Data'!$A$3:$CW$999,95,FALSE),"unknown")</f>
        <v>Graduate school</v>
      </c>
      <c r="BE35" s="120" t="str">
        <f>IFERROR(VLOOKUP(Table1[RespondentID],'All Data'!$A$3:$CW$999,96,FALSE),"unknown")</f>
        <v>Employed for wages</v>
      </c>
      <c r="BF35" s="120" t="str">
        <f>IFERROR(VLOOKUP(Table1[RespondentID],'All Data'!$A$3:$CW$999,97,FALSE),"unknown")</f>
        <v>Yes</v>
      </c>
      <c r="BG35" s="120">
        <f>IFERROR(VLOOKUP(Table1[RespondentID],'All Data'!$A$3:$CW$999,98,FALSE),"unknown")</f>
        <v>0</v>
      </c>
      <c r="BH35" s="120">
        <f>IFERROR(VLOOKUP(Table1[RespondentID],'All Data'!$A$3:$CW$999,99,FALSE),"unknown")</f>
        <v>0</v>
      </c>
    </row>
    <row r="36" spans="1:60">
      <c r="A36" s="5">
        <v>18025184660</v>
      </c>
      <c r="B36" s="5"/>
      <c r="C36" s="5" t="s">
        <v>50</v>
      </c>
      <c r="D36" s="5"/>
      <c r="E36" s="5" t="s">
        <v>17</v>
      </c>
      <c r="F36" s="5"/>
      <c r="G36" s="5" t="s">
        <v>53</v>
      </c>
      <c r="H36" s="5"/>
      <c r="I36" s="5"/>
      <c r="J36" s="5"/>
      <c r="K36" s="5"/>
      <c r="L36" s="5"/>
      <c r="M36" s="5"/>
      <c r="N36" s="5"/>
      <c r="O36" s="5"/>
      <c r="P36" s="5"/>
      <c r="Q36" s="5"/>
      <c r="R36" s="5"/>
      <c r="S36" s="5"/>
      <c r="T36" s="37"/>
      <c r="U36" s="37">
        <f t="shared" si="0"/>
        <v>3</v>
      </c>
      <c r="V36" s="37">
        <f t="shared" si="1"/>
        <v>1</v>
      </c>
      <c r="W36" s="37"/>
      <c r="X36" s="37">
        <f t="shared" si="2"/>
        <v>0</v>
      </c>
      <c r="Y36" s="37">
        <f t="shared" si="3"/>
        <v>1</v>
      </c>
      <c r="Z36" s="37">
        <f t="shared" si="4"/>
        <v>0</v>
      </c>
      <c r="AA36" s="37">
        <f t="shared" si="5"/>
        <v>1</v>
      </c>
      <c r="AB36" s="37">
        <f t="shared" si="6"/>
        <v>0</v>
      </c>
      <c r="AC36" s="37">
        <f t="shared" si="7"/>
        <v>1</v>
      </c>
      <c r="AD36" s="37">
        <f t="shared" si="8"/>
        <v>0</v>
      </c>
      <c r="AE36" s="37">
        <f t="shared" si="9"/>
        <v>0</v>
      </c>
      <c r="AF36" s="37">
        <f t="shared" si="10"/>
        <v>0</v>
      </c>
      <c r="AG36" s="37">
        <f t="shared" si="11"/>
        <v>0</v>
      </c>
      <c r="AH36" s="37">
        <f t="shared" si="12"/>
        <v>0</v>
      </c>
      <c r="AI36" s="37">
        <f t="shared" si="13"/>
        <v>0</v>
      </c>
      <c r="AJ36" s="37">
        <f t="shared" si="14"/>
        <v>0</v>
      </c>
      <c r="AK36" s="37">
        <f t="shared" si="15"/>
        <v>0</v>
      </c>
      <c r="AL36" s="37">
        <f t="shared" si="16"/>
        <v>0</v>
      </c>
      <c r="AM36" s="37">
        <f t="shared" si="17"/>
        <v>0</v>
      </c>
      <c r="AN36" s="37">
        <f t="shared" si="18"/>
        <v>0</v>
      </c>
      <c r="AO36" s="37">
        <f t="shared" si="19"/>
        <v>0</v>
      </c>
      <c r="AP36" s="37"/>
      <c r="AQ36" s="37"/>
      <c r="AR36" s="37">
        <f t="shared" si="20"/>
        <v>3</v>
      </c>
      <c r="AS36" s="37">
        <f t="shared" si="21"/>
        <v>3</v>
      </c>
      <c r="AT36" s="37" t="str">
        <f t="shared" si="22"/>
        <v>Correct</v>
      </c>
      <c r="AU36" s="37"/>
      <c r="AV36" s="120" t="str">
        <f>IFERROR(VLOOKUP(Table1[RespondentID],'All Data'!$A$3:$CO$999,87,FALSE),"unknown")</f>
        <v>Man</v>
      </c>
      <c r="AW36" s="120">
        <f>IFERROR(VLOOKUP(Table1[RespondentID],'All Data'!$A$3:$CO$999,88,FALSE),"unknown")</f>
        <v>47</v>
      </c>
      <c r="AX36" s="120" t="str">
        <f>IFERROR(VLOOKUP(Table1[RespondentID],'All Data'!$A$3:$CO$999,89,FALSE),"unknown")</f>
        <v>Suffolk</v>
      </c>
      <c r="AY36" s="120" t="str">
        <f>IFERROR(VLOOKUP(Table1[RespondentID],'All Data'!$A$3:$CO$999,90,FALSE),"unknown")</f>
        <v>Saint James, 11780</v>
      </c>
      <c r="AZ36" s="120" t="str">
        <f>IFERROR(VLOOKUP(Table1[RespondentID],'All Data'!$A$3:$CO$999,91,FALSE),"unknown")</f>
        <v>White</v>
      </c>
      <c r="BA36" s="120" t="str">
        <f>IFERROR(VLOOKUP(Table1[RespondentID],'All Data'!$A$3:$CO$999,92,FALSE),"unknown")</f>
        <v>Not Hispanic or Latino</v>
      </c>
      <c r="BB36" s="120" t="str">
        <f>IFERROR(VLOOKUP(Table1[RespondentID],'All Data'!$A$3:$CO$999,93,FALSE),"unknown")</f>
        <v>English</v>
      </c>
      <c r="BC36" s="120" t="str">
        <f>IFERROR(VLOOKUP(Table1[RespondentID],'All Data'!$A$3:$CW$999,94,FALSE),"unknown")</f>
        <v>Over $125,000</v>
      </c>
      <c r="BD36" s="120" t="str">
        <f>IFERROR(VLOOKUP(Table1[RespondentID],'All Data'!$A$3:$CW$999,95,FALSE),"unknown")</f>
        <v>Graduate school</v>
      </c>
      <c r="BE36" s="120" t="str">
        <f>IFERROR(VLOOKUP(Table1[RespondentID],'All Data'!$A$3:$CW$999,96,FALSE),"unknown")</f>
        <v>Employed for wages</v>
      </c>
      <c r="BF36" s="120" t="str">
        <f>IFERROR(VLOOKUP(Table1[RespondentID],'All Data'!$A$3:$CW$999,97,FALSE),"unknown")</f>
        <v>Yes</v>
      </c>
      <c r="BG36" s="120">
        <f>IFERROR(VLOOKUP(Table1[RespondentID],'All Data'!$A$3:$CW$999,98,FALSE),"unknown")</f>
        <v>0</v>
      </c>
      <c r="BH36" s="120">
        <f>IFERROR(VLOOKUP(Table1[RespondentID],'All Data'!$A$3:$CW$999,99,FALSE),"unknown")</f>
        <v>0</v>
      </c>
    </row>
    <row r="37" spans="1:60">
      <c r="A37" s="5">
        <v>18025184519</v>
      </c>
      <c r="B37" s="5"/>
      <c r="C37" s="5"/>
      <c r="D37" s="5" t="s">
        <v>51</v>
      </c>
      <c r="E37" s="5"/>
      <c r="F37" s="5"/>
      <c r="G37" s="5"/>
      <c r="H37" s="5"/>
      <c r="I37" s="5"/>
      <c r="J37" s="5"/>
      <c r="K37" s="5"/>
      <c r="L37" s="5" t="s">
        <v>58</v>
      </c>
      <c r="M37" s="5"/>
      <c r="N37" s="5"/>
      <c r="O37" s="5"/>
      <c r="P37" s="5"/>
      <c r="Q37" s="5"/>
      <c r="R37" s="5"/>
      <c r="S37" s="5" t="s">
        <v>63</v>
      </c>
      <c r="T37" s="37"/>
      <c r="U37" s="37">
        <f t="shared" si="0"/>
        <v>3</v>
      </c>
      <c r="V37" s="37">
        <f t="shared" si="1"/>
        <v>1</v>
      </c>
      <c r="W37" s="37"/>
      <c r="X37" s="37">
        <f t="shared" si="2"/>
        <v>0</v>
      </c>
      <c r="Y37" s="37">
        <f t="shared" si="3"/>
        <v>0</v>
      </c>
      <c r="Z37" s="37">
        <f t="shared" si="4"/>
        <v>1</v>
      </c>
      <c r="AA37" s="37">
        <f t="shared" si="5"/>
        <v>0</v>
      </c>
      <c r="AB37" s="37">
        <f t="shared" si="6"/>
        <v>0</v>
      </c>
      <c r="AC37" s="37">
        <f t="shared" si="7"/>
        <v>0</v>
      </c>
      <c r="AD37" s="37">
        <f t="shared" si="8"/>
        <v>0</v>
      </c>
      <c r="AE37" s="37">
        <f t="shared" si="9"/>
        <v>0</v>
      </c>
      <c r="AF37" s="37">
        <f t="shared" si="10"/>
        <v>0</v>
      </c>
      <c r="AG37" s="37">
        <f t="shared" si="11"/>
        <v>0</v>
      </c>
      <c r="AH37" s="37">
        <f t="shared" si="12"/>
        <v>1</v>
      </c>
      <c r="AI37" s="37">
        <f t="shared" si="13"/>
        <v>0</v>
      </c>
      <c r="AJ37" s="37">
        <f t="shared" si="14"/>
        <v>0</v>
      </c>
      <c r="AK37" s="37">
        <f t="shared" si="15"/>
        <v>0</v>
      </c>
      <c r="AL37" s="37">
        <f t="shared" si="16"/>
        <v>0</v>
      </c>
      <c r="AM37" s="37">
        <f t="shared" si="17"/>
        <v>0</v>
      </c>
      <c r="AN37" s="37">
        <f t="shared" si="18"/>
        <v>0</v>
      </c>
      <c r="AO37" s="37">
        <f t="shared" si="19"/>
        <v>1</v>
      </c>
      <c r="AP37" s="37"/>
      <c r="AQ37" s="37"/>
      <c r="AR37" s="37">
        <f t="shared" si="20"/>
        <v>3</v>
      </c>
      <c r="AS37" s="37">
        <f t="shared" si="21"/>
        <v>3</v>
      </c>
      <c r="AT37" s="37" t="str">
        <f t="shared" si="22"/>
        <v>Correct</v>
      </c>
      <c r="AU37" s="37"/>
      <c r="AV37" s="120" t="str">
        <f>IFERROR(VLOOKUP(Table1[RespondentID],'All Data'!$A$3:$CO$999,87,FALSE),"unknown")</f>
        <v>Woman</v>
      </c>
      <c r="AW37" s="120">
        <f>IFERROR(VLOOKUP(Table1[RespondentID],'All Data'!$A$3:$CO$999,88,FALSE),"unknown")</f>
        <v>39</v>
      </c>
      <c r="AX37" s="120" t="str">
        <f>IFERROR(VLOOKUP(Table1[RespondentID],'All Data'!$A$3:$CO$999,89,FALSE),"unknown")</f>
        <v>Suffolk</v>
      </c>
      <c r="AY37" s="120" t="str">
        <f>IFERROR(VLOOKUP(Table1[RespondentID],'All Data'!$A$3:$CO$999,90,FALSE),"unknown")</f>
        <v>Nesconset, 11767</v>
      </c>
      <c r="AZ37" s="120" t="str">
        <f>IFERROR(VLOOKUP(Table1[RespondentID],'All Data'!$A$3:$CO$999,91,FALSE),"unknown")</f>
        <v>White</v>
      </c>
      <c r="BA37" s="120" t="str">
        <f>IFERROR(VLOOKUP(Table1[RespondentID],'All Data'!$A$3:$CO$999,92,FALSE),"unknown")</f>
        <v>Not Hispanic or Latino</v>
      </c>
      <c r="BB37" s="120" t="str">
        <f>IFERROR(VLOOKUP(Table1[RespondentID],'All Data'!$A$3:$CO$999,93,FALSE),"unknown")</f>
        <v>English</v>
      </c>
      <c r="BC37" s="120" t="str">
        <f>IFERROR(VLOOKUP(Table1[RespondentID],'All Data'!$A$3:$CW$999,94,FALSE),"unknown")</f>
        <v>Over $125,000</v>
      </c>
      <c r="BD37" s="120" t="str">
        <f>IFERROR(VLOOKUP(Table1[RespondentID],'All Data'!$A$3:$CW$999,95,FALSE),"unknown")</f>
        <v>Graduate school</v>
      </c>
      <c r="BE37" s="120" t="str">
        <f>IFERROR(VLOOKUP(Table1[RespondentID],'All Data'!$A$3:$CW$999,96,FALSE),"unknown")</f>
        <v>Employed for wages</v>
      </c>
      <c r="BF37" s="120" t="str">
        <f>IFERROR(VLOOKUP(Table1[RespondentID],'All Data'!$A$3:$CW$999,97,FALSE),"unknown")</f>
        <v>Yes</v>
      </c>
      <c r="BG37" s="120">
        <f>IFERROR(VLOOKUP(Table1[RespondentID],'All Data'!$A$3:$CW$999,98,FALSE),"unknown")</f>
        <v>0</v>
      </c>
      <c r="BH37" s="120">
        <f>IFERROR(VLOOKUP(Table1[RespondentID],'All Data'!$A$3:$CW$999,99,FALSE),"unknown")</f>
        <v>0</v>
      </c>
    </row>
    <row r="38" spans="1:60">
      <c r="A38" s="5">
        <v>18025184369</v>
      </c>
      <c r="B38" s="5"/>
      <c r="C38" s="5"/>
      <c r="D38" s="5" t="s">
        <v>51</v>
      </c>
      <c r="E38" s="5"/>
      <c r="F38" s="5"/>
      <c r="G38" s="5"/>
      <c r="H38" s="5"/>
      <c r="I38" s="5"/>
      <c r="J38" s="5"/>
      <c r="K38" s="5"/>
      <c r="L38" s="5"/>
      <c r="M38" s="5" t="s">
        <v>59</v>
      </c>
      <c r="N38" s="5"/>
      <c r="O38" s="5"/>
      <c r="P38" s="5"/>
      <c r="Q38" s="5"/>
      <c r="R38" s="5"/>
      <c r="S38" s="5" t="s">
        <v>63</v>
      </c>
      <c r="T38" s="37"/>
      <c r="U38" s="37">
        <f t="shared" si="0"/>
        <v>3</v>
      </c>
      <c r="V38" s="37">
        <f t="shared" si="1"/>
        <v>1</v>
      </c>
      <c r="W38" s="37"/>
      <c r="X38" s="37">
        <f t="shared" si="2"/>
        <v>0</v>
      </c>
      <c r="Y38" s="37">
        <f t="shared" si="3"/>
        <v>0</v>
      </c>
      <c r="Z38" s="37">
        <f t="shared" si="4"/>
        <v>1</v>
      </c>
      <c r="AA38" s="37">
        <f t="shared" si="5"/>
        <v>0</v>
      </c>
      <c r="AB38" s="37">
        <f t="shared" si="6"/>
        <v>0</v>
      </c>
      <c r="AC38" s="37">
        <f t="shared" si="7"/>
        <v>0</v>
      </c>
      <c r="AD38" s="37">
        <f t="shared" si="8"/>
        <v>0</v>
      </c>
      <c r="AE38" s="37">
        <f t="shared" si="9"/>
        <v>0</v>
      </c>
      <c r="AF38" s="37">
        <f t="shared" si="10"/>
        <v>0</v>
      </c>
      <c r="AG38" s="37">
        <f t="shared" si="11"/>
        <v>0</v>
      </c>
      <c r="AH38" s="37">
        <f t="shared" si="12"/>
        <v>0</v>
      </c>
      <c r="AI38" s="37">
        <f t="shared" si="13"/>
        <v>1</v>
      </c>
      <c r="AJ38" s="37">
        <f t="shared" si="14"/>
        <v>0</v>
      </c>
      <c r="AK38" s="37">
        <f t="shared" si="15"/>
        <v>0</v>
      </c>
      <c r="AL38" s="37">
        <f t="shared" si="16"/>
        <v>0</v>
      </c>
      <c r="AM38" s="37">
        <f t="shared" si="17"/>
        <v>0</v>
      </c>
      <c r="AN38" s="37">
        <f t="shared" si="18"/>
        <v>0</v>
      </c>
      <c r="AO38" s="37">
        <f t="shared" si="19"/>
        <v>1</v>
      </c>
      <c r="AP38" s="37"/>
      <c r="AQ38" s="37"/>
      <c r="AR38" s="37">
        <f t="shared" si="20"/>
        <v>3</v>
      </c>
      <c r="AS38" s="37">
        <f t="shared" si="21"/>
        <v>3</v>
      </c>
      <c r="AT38" s="37" t="str">
        <f t="shared" si="22"/>
        <v>Correct</v>
      </c>
      <c r="AU38" s="37"/>
      <c r="AV38" s="120" t="str">
        <f>IFERROR(VLOOKUP(Table1[RespondentID],'All Data'!$A$3:$CO$999,87,FALSE),"unknown")</f>
        <v>Woman</v>
      </c>
      <c r="AW38" s="120">
        <f>IFERROR(VLOOKUP(Table1[RespondentID],'All Data'!$A$3:$CO$999,88,FALSE),"unknown")</f>
        <v>52</v>
      </c>
      <c r="AX38" s="120" t="str">
        <f>IFERROR(VLOOKUP(Table1[RespondentID],'All Data'!$A$3:$CO$999,89,FALSE),"unknown")</f>
        <v>Suffolk</v>
      </c>
      <c r="AY38" s="120" t="str">
        <f>IFERROR(VLOOKUP(Table1[RespondentID],'All Data'!$A$3:$CO$999,90,FALSE),"unknown")</f>
        <v>Smithtown, 11787</v>
      </c>
      <c r="AZ38" s="120" t="str">
        <f>IFERROR(VLOOKUP(Table1[RespondentID],'All Data'!$A$3:$CO$999,91,FALSE),"unknown")</f>
        <v>White</v>
      </c>
      <c r="BA38" s="120" t="str">
        <f>IFERROR(VLOOKUP(Table1[RespondentID],'All Data'!$A$3:$CO$999,92,FALSE),"unknown")</f>
        <v>Hispanic or Latino</v>
      </c>
      <c r="BB38" s="120" t="str">
        <f>IFERROR(VLOOKUP(Table1[RespondentID],'All Data'!$A$3:$CO$999,93,FALSE),"unknown")</f>
        <v>English, Spanish</v>
      </c>
      <c r="BC38" s="120" t="str">
        <f>IFERROR(VLOOKUP(Table1[RespondentID],'All Data'!$A$3:$CW$999,94,FALSE),"unknown")</f>
        <v>$75,000 to $125,000</v>
      </c>
      <c r="BD38" s="120" t="str">
        <f>IFERROR(VLOOKUP(Table1[RespondentID],'All Data'!$A$3:$CW$999,95,FALSE),"unknown")</f>
        <v>Graduate school</v>
      </c>
      <c r="BE38" s="120" t="str">
        <f>IFERROR(VLOOKUP(Table1[RespondentID],'All Data'!$A$3:$CW$999,96,FALSE),"unknown")</f>
        <v>Employed for wages</v>
      </c>
      <c r="BF38" s="120" t="str">
        <f>IFERROR(VLOOKUP(Table1[RespondentID],'All Data'!$A$3:$CW$999,97,FALSE),"unknown")</f>
        <v>Yes</v>
      </c>
      <c r="BG38" s="120">
        <f>IFERROR(VLOOKUP(Table1[RespondentID],'All Data'!$A$3:$CW$999,98,FALSE),"unknown")</f>
        <v>0</v>
      </c>
      <c r="BH38" s="120">
        <f>IFERROR(VLOOKUP(Table1[RespondentID],'All Data'!$A$3:$CW$999,99,FALSE),"unknown")</f>
        <v>0</v>
      </c>
    </row>
    <row r="39" spans="1:60">
      <c r="A39" s="5">
        <v>18025184067</v>
      </c>
      <c r="B39" s="5"/>
      <c r="C39" s="5"/>
      <c r="D39" s="5"/>
      <c r="E39" s="5"/>
      <c r="F39" s="5"/>
      <c r="G39" s="5"/>
      <c r="H39" s="5"/>
      <c r="I39" s="5" t="s">
        <v>55</v>
      </c>
      <c r="J39" s="5"/>
      <c r="K39" s="5"/>
      <c r="L39" s="5"/>
      <c r="M39" s="5"/>
      <c r="N39" s="5"/>
      <c r="O39" s="5"/>
      <c r="P39" s="5"/>
      <c r="Q39" s="5"/>
      <c r="R39" s="5" t="s">
        <v>62</v>
      </c>
      <c r="S39" s="5"/>
      <c r="T39" s="37"/>
      <c r="U39" s="37">
        <f t="shared" si="0"/>
        <v>2</v>
      </c>
      <c r="V39" s="37">
        <f t="shared" si="1"/>
        <v>1.5</v>
      </c>
      <c r="W39" s="37"/>
      <c r="X39" s="37">
        <f t="shared" si="2"/>
        <v>0</v>
      </c>
      <c r="Y39" s="37">
        <f t="shared" si="3"/>
        <v>0</v>
      </c>
      <c r="Z39" s="37">
        <f t="shared" si="4"/>
        <v>0</v>
      </c>
      <c r="AA39" s="37">
        <f t="shared" si="5"/>
        <v>0</v>
      </c>
      <c r="AB39" s="37">
        <f t="shared" si="6"/>
        <v>0</v>
      </c>
      <c r="AC39" s="37">
        <f t="shared" si="7"/>
        <v>0</v>
      </c>
      <c r="AD39" s="37">
        <f t="shared" si="8"/>
        <v>0</v>
      </c>
      <c r="AE39" s="37">
        <f t="shared" si="9"/>
        <v>1</v>
      </c>
      <c r="AF39" s="37">
        <f t="shared" si="10"/>
        <v>0</v>
      </c>
      <c r="AG39" s="37">
        <f t="shared" si="11"/>
        <v>0</v>
      </c>
      <c r="AH39" s="37">
        <f t="shared" si="12"/>
        <v>0</v>
      </c>
      <c r="AI39" s="37">
        <f t="shared" si="13"/>
        <v>0</v>
      </c>
      <c r="AJ39" s="37">
        <f t="shared" si="14"/>
        <v>0</v>
      </c>
      <c r="AK39" s="37">
        <f t="shared" si="15"/>
        <v>0</v>
      </c>
      <c r="AL39" s="37">
        <f t="shared" si="16"/>
        <v>0</v>
      </c>
      <c r="AM39" s="37">
        <f t="shared" si="17"/>
        <v>0</v>
      </c>
      <c r="AN39" s="37">
        <f t="shared" si="18"/>
        <v>1</v>
      </c>
      <c r="AO39" s="37">
        <f t="shared" si="19"/>
        <v>0</v>
      </c>
      <c r="AP39" s="37"/>
      <c r="AQ39" s="37"/>
      <c r="AR39" s="37">
        <f t="shared" si="20"/>
        <v>2</v>
      </c>
      <c r="AS39" s="37">
        <f t="shared" si="21"/>
        <v>2</v>
      </c>
      <c r="AT39" s="37" t="str">
        <f t="shared" si="22"/>
        <v>Correct</v>
      </c>
      <c r="AU39" s="37"/>
      <c r="AV39" s="120" t="str">
        <f>IFERROR(VLOOKUP(Table1[RespondentID],'All Data'!$A$3:$CO$999,87,FALSE),"unknown")</f>
        <v>Woman</v>
      </c>
      <c r="AW39" s="120">
        <f>IFERROR(VLOOKUP(Table1[RespondentID],'All Data'!$A$3:$CO$999,88,FALSE),"unknown")</f>
        <v>40</v>
      </c>
      <c r="AX39" s="120" t="str">
        <f>IFERROR(VLOOKUP(Table1[RespondentID],'All Data'!$A$3:$CO$999,89,FALSE),"unknown")</f>
        <v>Suffolk</v>
      </c>
      <c r="AY39" s="120" t="str">
        <f>IFERROR(VLOOKUP(Table1[RespondentID],'All Data'!$A$3:$CO$999,90,FALSE),"unknown")</f>
        <v>Baiting Hollow, 11933</v>
      </c>
      <c r="AZ39" s="120" t="str">
        <f>IFERROR(VLOOKUP(Table1[RespondentID],'All Data'!$A$3:$CO$999,91,FALSE),"unknown")</f>
        <v>White</v>
      </c>
      <c r="BA39" s="120" t="str">
        <f>IFERROR(VLOOKUP(Table1[RespondentID],'All Data'!$A$3:$CO$999,92,FALSE),"unknown")</f>
        <v>Not Hispanic or Latino</v>
      </c>
      <c r="BB39" s="120" t="str">
        <f>IFERROR(VLOOKUP(Table1[RespondentID],'All Data'!$A$3:$CO$999,93,FALSE),"unknown")</f>
        <v>English</v>
      </c>
      <c r="BC39" s="120" t="str">
        <f>IFERROR(VLOOKUP(Table1[RespondentID],'All Data'!$A$3:$CW$999,94,FALSE),"unknown")</f>
        <v>Over $125,000</v>
      </c>
      <c r="BD39" s="120" t="str">
        <f>IFERROR(VLOOKUP(Table1[RespondentID],'All Data'!$A$3:$CW$999,95,FALSE),"unknown")</f>
        <v>Other (please specify)</v>
      </c>
      <c r="BE39" s="120" t="str">
        <f>IFERROR(VLOOKUP(Table1[RespondentID],'All Data'!$A$3:$CW$999,96,FALSE),"unknown")</f>
        <v>Employed for wages</v>
      </c>
      <c r="BF39" s="120" t="str">
        <f>IFERROR(VLOOKUP(Table1[RespondentID],'All Data'!$A$3:$CW$999,97,FALSE),"unknown")</f>
        <v>Yes</v>
      </c>
      <c r="BG39" s="120">
        <f>IFERROR(VLOOKUP(Table1[RespondentID],'All Data'!$A$3:$CW$999,98,FALSE),"unknown")</f>
        <v>0</v>
      </c>
      <c r="BH39" s="120">
        <f>IFERROR(VLOOKUP(Table1[RespondentID],'All Data'!$A$3:$CW$999,99,FALSE),"unknown")</f>
        <v>0</v>
      </c>
    </row>
    <row r="40" spans="1:60">
      <c r="A40" s="5">
        <v>18025183911</v>
      </c>
      <c r="B40" s="5" t="s">
        <v>49</v>
      </c>
      <c r="C40" s="5"/>
      <c r="D40" s="5"/>
      <c r="E40" s="5" t="s">
        <v>17</v>
      </c>
      <c r="F40" s="5"/>
      <c r="G40" s="5"/>
      <c r="H40" s="5"/>
      <c r="I40" s="5"/>
      <c r="J40" s="5"/>
      <c r="K40" s="5"/>
      <c r="L40" s="5"/>
      <c r="M40" s="5"/>
      <c r="N40" s="5"/>
      <c r="O40" s="5"/>
      <c r="P40" s="5"/>
      <c r="Q40" s="5" t="s">
        <v>61</v>
      </c>
      <c r="R40" s="5"/>
      <c r="S40" s="5"/>
      <c r="T40" s="37"/>
      <c r="U40" s="37">
        <f t="shared" si="0"/>
        <v>3</v>
      </c>
      <c r="V40" s="37">
        <f t="shared" si="1"/>
        <v>1</v>
      </c>
      <c r="W40" s="37"/>
      <c r="X40" s="37">
        <f t="shared" si="2"/>
        <v>1</v>
      </c>
      <c r="Y40" s="37">
        <f t="shared" si="3"/>
        <v>0</v>
      </c>
      <c r="Z40" s="37">
        <f t="shared" si="4"/>
        <v>0</v>
      </c>
      <c r="AA40" s="37">
        <f t="shared" si="5"/>
        <v>1</v>
      </c>
      <c r="AB40" s="37">
        <f t="shared" si="6"/>
        <v>0</v>
      </c>
      <c r="AC40" s="37">
        <f t="shared" si="7"/>
        <v>0</v>
      </c>
      <c r="AD40" s="37">
        <f t="shared" si="8"/>
        <v>0</v>
      </c>
      <c r="AE40" s="37">
        <f t="shared" si="9"/>
        <v>0</v>
      </c>
      <c r="AF40" s="37">
        <f t="shared" si="10"/>
        <v>0</v>
      </c>
      <c r="AG40" s="37">
        <f t="shared" si="11"/>
        <v>0</v>
      </c>
      <c r="AH40" s="37">
        <f t="shared" si="12"/>
        <v>0</v>
      </c>
      <c r="AI40" s="37">
        <f t="shared" si="13"/>
        <v>0</v>
      </c>
      <c r="AJ40" s="37">
        <f t="shared" si="14"/>
        <v>0</v>
      </c>
      <c r="AK40" s="37">
        <f t="shared" si="15"/>
        <v>0</v>
      </c>
      <c r="AL40" s="37">
        <f t="shared" si="16"/>
        <v>0</v>
      </c>
      <c r="AM40" s="37">
        <f t="shared" si="17"/>
        <v>1</v>
      </c>
      <c r="AN40" s="37">
        <f t="shared" si="18"/>
        <v>0</v>
      </c>
      <c r="AO40" s="37">
        <f t="shared" si="19"/>
        <v>0</v>
      </c>
      <c r="AP40" s="37"/>
      <c r="AQ40" s="37"/>
      <c r="AR40" s="37">
        <f t="shared" si="20"/>
        <v>3</v>
      </c>
      <c r="AS40" s="37">
        <f t="shared" si="21"/>
        <v>3</v>
      </c>
      <c r="AT40" s="37" t="str">
        <f t="shared" si="22"/>
        <v>Correct</v>
      </c>
      <c r="AU40" s="37"/>
      <c r="AV40" s="120" t="str">
        <f>IFERROR(VLOOKUP(Table1[RespondentID],'All Data'!$A$3:$CO$999,87,FALSE),"unknown")</f>
        <v>Man</v>
      </c>
      <c r="AW40" s="120">
        <f>IFERROR(VLOOKUP(Table1[RespondentID],'All Data'!$A$3:$CO$999,88,FALSE),"unknown")</f>
        <v>46</v>
      </c>
      <c r="AX40" s="120" t="str">
        <f>IFERROR(VLOOKUP(Table1[RespondentID],'All Data'!$A$3:$CO$999,89,FALSE),"unknown")</f>
        <v>Suffolk</v>
      </c>
      <c r="AY40" s="120" t="str">
        <f>IFERROR(VLOOKUP(Table1[RespondentID],'All Data'!$A$3:$CO$999,90,FALSE),"unknown")</f>
        <v>Smithtown, 11787</v>
      </c>
      <c r="AZ40" s="120" t="str">
        <f>IFERROR(VLOOKUP(Table1[RespondentID],'All Data'!$A$3:$CO$999,91,FALSE),"unknown")</f>
        <v>White</v>
      </c>
      <c r="BA40" s="120" t="str">
        <f>IFERROR(VLOOKUP(Table1[RespondentID],'All Data'!$A$3:$CO$999,92,FALSE),"unknown")</f>
        <v>Not Hispanic or Latino</v>
      </c>
      <c r="BB40" s="120" t="str">
        <f>IFERROR(VLOOKUP(Table1[RespondentID],'All Data'!$A$3:$CO$999,93,FALSE),"unknown")</f>
        <v>English</v>
      </c>
      <c r="BC40" s="120" t="str">
        <f>IFERROR(VLOOKUP(Table1[RespondentID],'All Data'!$A$3:$CW$999,94,FALSE),"unknown")</f>
        <v>$75,000 to $125,000</v>
      </c>
      <c r="BD40" s="120" t="str">
        <f>IFERROR(VLOOKUP(Table1[RespondentID],'All Data'!$A$3:$CW$999,95,FALSE),"unknown")</f>
        <v>College graduate</v>
      </c>
      <c r="BE40" s="120" t="str">
        <f>IFERROR(VLOOKUP(Table1[RespondentID],'All Data'!$A$3:$CW$999,96,FALSE),"unknown")</f>
        <v>Employed for wages</v>
      </c>
      <c r="BF40" s="120" t="str">
        <f>IFERROR(VLOOKUP(Table1[RespondentID],'All Data'!$A$3:$CW$999,97,FALSE),"unknown")</f>
        <v>Yes</v>
      </c>
      <c r="BG40" s="120">
        <f>IFERROR(VLOOKUP(Table1[RespondentID],'All Data'!$A$3:$CW$999,98,FALSE),"unknown")</f>
        <v>0</v>
      </c>
      <c r="BH40" s="120">
        <f>IFERROR(VLOOKUP(Table1[RespondentID],'All Data'!$A$3:$CW$999,99,FALSE),"unknown")</f>
        <v>0</v>
      </c>
    </row>
    <row r="41" spans="1:60">
      <c r="A41" s="5">
        <v>18025183737</v>
      </c>
      <c r="B41" s="5"/>
      <c r="C41" s="5"/>
      <c r="D41" s="5"/>
      <c r="E41" s="5"/>
      <c r="F41" s="5"/>
      <c r="G41" s="5"/>
      <c r="H41" s="5"/>
      <c r="I41" s="5"/>
      <c r="J41" s="5"/>
      <c r="K41" s="5"/>
      <c r="L41" s="5"/>
      <c r="M41" s="5"/>
      <c r="N41" s="5"/>
      <c r="O41" s="5"/>
      <c r="P41" s="5" t="s">
        <v>60</v>
      </c>
      <c r="Q41" s="5" t="s">
        <v>61</v>
      </c>
      <c r="R41" s="5" t="s">
        <v>62</v>
      </c>
      <c r="S41" s="5"/>
      <c r="T41" s="37"/>
      <c r="U41" s="37">
        <f t="shared" si="0"/>
        <v>3</v>
      </c>
      <c r="V41" s="37">
        <f t="shared" si="1"/>
        <v>1</v>
      </c>
      <c r="W41" s="37"/>
      <c r="X41" s="37">
        <f t="shared" si="2"/>
        <v>0</v>
      </c>
      <c r="Y41" s="37">
        <f t="shared" si="3"/>
        <v>0</v>
      </c>
      <c r="Z41" s="37">
        <f t="shared" si="4"/>
        <v>0</v>
      </c>
      <c r="AA41" s="37">
        <f t="shared" si="5"/>
        <v>0</v>
      </c>
      <c r="AB41" s="37">
        <f t="shared" si="6"/>
        <v>0</v>
      </c>
      <c r="AC41" s="37">
        <f t="shared" si="7"/>
        <v>0</v>
      </c>
      <c r="AD41" s="37">
        <f t="shared" si="8"/>
        <v>0</v>
      </c>
      <c r="AE41" s="37">
        <f t="shared" si="9"/>
        <v>0</v>
      </c>
      <c r="AF41" s="37">
        <f t="shared" si="10"/>
        <v>0</v>
      </c>
      <c r="AG41" s="37">
        <f t="shared" si="11"/>
        <v>0</v>
      </c>
      <c r="AH41" s="37">
        <f t="shared" si="12"/>
        <v>0</v>
      </c>
      <c r="AI41" s="37">
        <f t="shared" si="13"/>
        <v>0</v>
      </c>
      <c r="AJ41" s="37">
        <f t="shared" si="14"/>
        <v>0</v>
      </c>
      <c r="AK41" s="37">
        <f t="shared" si="15"/>
        <v>0</v>
      </c>
      <c r="AL41" s="37">
        <f t="shared" si="16"/>
        <v>1</v>
      </c>
      <c r="AM41" s="37">
        <f t="shared" si="17"/>
        <v>1</v>
      </c>
      <c r="AN41" s="37">
        <f t="shared" si="18"/>
        <v>1</v>
      </c>
      <c r="AO41" s="37">
        <f t="shared" si="19"/>
        <v>0</v>
      </c>
      <c r="AP41" s="37"/>
      <c r="AQ41" s="37"/>
      <c r="AR41" s="37">
        <f t="shared" si="20"/>
        <v>3</v>
      </c>
      <c r="AS41" s="37">
        <f t="shared" si="21"/>
        <v>3</v>
      </c>
      <c r="AT41" s="37" t="str">
        <f t="shared" si="22"/>
        <v>Correct</v>
      </c>
      <c r="AU41" s="37"/>
      <c r="AV41" s="120" t="str">
        <f>IFERROR(VLOOKUP(Table1[RespondentID],'All Data'!$A$3:$CO$999,87,FALSE),"unknown")</f>
        <v>Woman</v>
      </c>
      <c r="AW41" s="120">
        <f>IFERROR(VLOOKUP(Table1[RespondentID],'All Data'!$A$3:$CO$999,88,FALSE),"unknown")</f>
        <v>39</v>
      </c>
      <c r="AX41" s="120" t="str">
        <f>IFERROR(VLOOKUP(Table1[RespondentID],'All Data'!$A$3:$CO$999,89,FALSE),"unknown")</f>
        <v>Suffolk</v>
      </c>
      <c r="AY41" s="120" t="str">
        <f>IFERROR(VLOOKUP(Table1[RespondentID],'All Data'!$A$3:$CO$999,90,FALSE),"unknown")</f>
        <v>Ronkonkoma, 11779</v>
      </c>
      <c r="AZ41" s="120" t="str">
        <f>IFERROR(VLOOKUP(Table1[RespondentID],'All Data'!$A$3:$CO$999,91,FALSE),"unknown")</f>
        <v>Two or more races</v>
      </c>
      <c r="BA41" s="120" t="str">
        <f>IFERROR(VLOOKUP(Table1[RespondentID],'All Data'!$A$3:$CO$999,92,FALSE),"unknown")</f>
        <v>Hispanic or Latino</v>
      </c>
      <c r="BB41" s="120" t="str">
        <f>IFERROR(VLOOKUP(Table1[RespondentID],'All Data'!$A$3:$CO$999,93,FALSE),"unknown")</f>
        <v>English, Spanish</v>
      </c>
      <c r="BC41" s="120" t="str">
        <f>IFERROR(VLOOKUP(Table1[RespondentID],'All Data'!$A$3:$CW$999,94,FALSE),"unknown")</f>
        <v>$50,000 to $74,999</v>
      </c>
      <c r="BD41" s="120" t="str">
        <f>IFERROR(VLOOKUP(Table1[RespondentID],'All Data'!$A$3:$CW$999,95,FALSE),"unknown")</f>
        <v>Technical school</v>
      </c>
      <c r="BE41" s="120" t="str">
        <f>IFERROR(VLOOKUP(Table1[RespondentID],'All Data'!$A$3:$CW$999,96,FALSE),"unknown")</f>
        <v>Employed for wages</v>
      </c>
      <c r="BF41" s="120" t="str">
        <f>IFERROR(VLOOKUP(Table1[RespondentID],'All Data'!$A$3:$CW$999,97,FALSE),"unknown")</f>
        <v>Yes</v>
      </c>
      <c r="BG41" s="120">
        <f>IFERROR(VLOOKUP(Table1[RespondentID],'All Data'!$A$3:$CW$999,98,FALSE),"unknown")</f>
        <v>0</v>
      </c>
      <c r="BH41" s="120">
        <f>IFERROR(VLOOKUP(Table1[RespondentID],'All Data'!$A$3:$CW$999,99,FALSE),"unknown")</f>
        <v>0</v>
      </c>
    </row>
    <row r="42" spans="1:60">
      <c r="A42" s="5">
        <v>18025183581</v>
      </c>
      <c r="B42" s="5"/>
      <c r="C42" s="5"/>
      <c r="D42" s="5"/>
      <c r="E42" s="5" t="s">
        <v>17</v>
      </c>
      <c r="F42" s="5"/>
      <c r="G42" s="5"/>
      <c r="H42" s="5"/>
      <c r="I42" s="5"/>
      <c r="J42" s="5"/>
      <c r="K42" s="5"/>
      <c r="L42" s="5"/>
      <c r="M42" s="5"/>
      <c r="N42" s="5" t="s">
        <v>24</v>
      </c>
      <c r="O42" s="5"/>
      <c r="P42" s="5"/>
      <c r="Q42" s="5"/>
      <c r="R42" s="5" t="s">
        <v>62</v>
      </c>
      <c r="S42" s="5"/>
      <c r="T42" s="37"/>
      <c r="U42" s="37">
        <f t="shared" si="0"/>
        <v>3</v>
      </c>
      <c r="V42" s="37">
        <f t="shared" si="1"/>
        <v>1</v>
      </c>
      <c r="W42" s="37"/>
      <c r="X42" s="37">
        <f t="shared" si="2"/>
        <v>0</v>
      </c>
      <c r="Y42" s="37">
        <f t="shared" si="3"/>
        <v>0</v>
      </c>
      <c r="Z42" s="37">
        <f t="shared" si="4"/>
        <v>0</v>
      </c>
      <c r="AA42" s="37">
        <f t="shared" si="5"/>
        <v>1</v>
      </c>
      <c r="AB42" s="37">
        <f t="shared" si="6"/>
        <v>0</v>
      </c>
      <c r="AC42" s="37">
        <f t="shared" si="7"/>
        <v>0</v>
      </c>
      <c r="AD42" s="37">
        <f t="shared" si="8"/>
        <v>0</v>
      </c>
      <c r="AE42" s="37">
        <f t="shared" si="9"/>
        <v>0</v>
      </c>
      <c r="AF42" s="37">
        <f t="shared" si="10"/>
        <v>0</v>
      </c>
      <c r="AG42" s="37">
        <f t="shared" si="11"/>
        <v>0</v>
      </c>
      <c r="AH42" s="37">
        <f t="shared" si="12"/>
        <v>0</v>
      </c>
      <c r="AI42" s="37">
        <f t="shared" si="13"/>
        <v>0</v>
      </c>
      <c r="AJ42" s="37">
        <f t="shared" si="14"/>
        <v>1</v>
      </c>
      <c r="AK42" s="37">
        <f t="shared" si="15"/>
        <v>0</v>
      </c>
      <c r="AL42" s="37">
        <f t="shared" si="16"/>
        <v>0</v>
      </c>
      <c r="AM42" s="37">
        <f t="shared" si="17"/>
        <v>0</v>
      </c>
      <c r="AN42" s="37">
        <f t="shared" si="18"/>
        <v>1</v>
      </c>
      <c r="AO42" s="37">
        <f t="shared" si="19"/>
        <v>0</v>
      </c>
      <c r="AP42" s="37"/>
      <c r="AQ42" s="37"/>
      <c r="AR42" s="37">
        <f t="shared" si="20"/>
        <v>3</v>
      </c>
      <c r="AS42" s="37">
        <f t="shared" si="21"/>
        <v>3</v>
      </c>
      <c r="AT42" s="37" t="str">
        <f t="shared" si="22"/>
        <v>Correct</v>
      </c>
      <c r="AU42" s="37"/>
      <c r="AV42" s="120" t="str">
        <f>IFERROR(VLOOKUP(Table1[RespondentID],'All Data'!$A$3:$CO$999,87,FALSE),"unknown")</f>
        <v>Man</v>
      </c>
      <c r="AW42" s="120">
        <f>IFERROR(VLOOKUP(Table1[RespondentID],'All Data'!$A$3:$CO$999,88,FALSE),"unknown")</f>
        <v>56</v>
      </c>
      <c r="AX42" s="120" t="str">
        <f>IFERROR(VLOOKUP(Table1[RespondentID],'All Data'!$A$3:$CO$999,89,FALSE),"unknown")</f>
        <v>Suffolk</v>
      </c>
      <c r="AY42" s="120" t="str">
        <f>IFERROR(VLOOKUP(Table1[RespondentID],'All Data'!$A$3:$CO$999,90,FALSE),"unknown")</f>
        <v>Smithtown, 11787</v>
      </c>
      <c r="AZ42" s="120" t="str">
        <f>IFERROR(VLOOKUP(Table1[RespondentID],'All Data'!$A$3:$CO$999,91,FALSE),"unknown")</f>
        <v>White</v>
      </c>
      <c r="BA42" s="120" t="str">
        <f>IFERROR(VLOOKUP(Table1[RespondentID],'All Data'!$A$3:$CO$999,92,FALSE),"unknown")</f>
        <v>Not Hispanic or Latino</v>
      </c>
      <c r="BB42" s="120" t="str">
        <f>IFERROR(VLOOKUP(Table1[RespondentID],'All Data'!$A$3:$CO$999,93,FALSE),"unknown")</f>
        <v>English</v>
      </c>
      <c r="BC42" s="120" t="str">
        <f>IFERROR(VLOOKUP(Table1[RespondentID],'All Data'!$A$3:$CW$999,94,FALSE),"unknown")</f>
        <v>Over $125,000</v>
      </c>
      <c r="BD42" s="120" t="str">
        <f>IFERROR(VLOOKUP(Table1[RespondentID],'All Data'!$A$3:$CW$999,95,FALSE),"unknown")</f>
        <v>Doctorate</v>
      </c>
      <c r="BE42" s="120" t="str">
        <f>IFERROR(VLOOKUP(Table1[RespondentID],'All Data'!$A$3:$CW$999,96,FALSE),"unknown")</f>
        <v>Employed for wages</v>
      </c>
      <c r="BF42" s="120" t="str">
        <f>IFERROR(VLOOKUP(Table1[RespondentID],'All Data'!$A$3:$CW$999,97,FALSE),"unknown")</f>
        <v>Yes</v>
      </c>
      <c r="BG42" s="120">
        <f>IFERROR(VLOOKUP(Table1[RespondentID],'All Data'!$A$3:$CW$999,98,FALSE),"unknown")</f>
        <v>0</v>
      </c>
      <c r="BH42" s="120">
        <f>IFERROR(VLOOKUP(Table1[RespondentID],'All Data'!$A$3:$CW$999,99,FALSE),"unknown")</f>
        <v>0</v>
      </c>
    </row>
    <row r="43" spans="1:60">
      <c r="A43" s="5">
        <v>18025183430</v>
      </c>
      <c r="B43" s="5"/>
      <c r="C43" s="5" t="s">
        <v>50</v>
      </c>
      <c r="D43" s="5" t="s">
        <v>51</v>
      </c>
      <c r="E43" s="5"/>
      <c r="F43" s="5"/>
      <c r="G43" s="5"/>
      <c r="H43" s="5"/>
      <c r="I43" s="5"/>
      <c r="J43" s="5"/>
      <c r="K43" s="5"/>
      <c r="L43" s="5"/>
      <c r="M43" s="5" t="s">
        <v>59</v>
      </c>
      <c r="N43" s="5"/>
      <c r="O43" s="5"/>
      <c r="P43" s="5"/>
      <c r="Q43" s="5"/>
      <c r="R43" s="5"/>
      <c r="S43" s="5"/>
      <c r="T43" s="37"/>
      <c r="U43" s="37">
        <f t="shared" si="0"/>
        <v>3</v>
      </c>
      <c r="V43" s="37">
        <f t="shared" si="1"/>
        <v>1</v>
      </c>
      <c r="W43" s="37"/>
      <c r="X43" s="37">
        <f t="shared" si="2"/>
        <v>0</v>
      </c>
      <c r="Y43" s="37">
        <f t="shared" si="3"/>
        <v>1</v>
      </c>
      <c r="Z43" s="37">
        <f t="shared" si="4"/>
        <v>1</v>
      </c>
      <c r="AA43" s="37">
        <f t="shared" si="5"/>
        <v>0</v>
      </c>
      <c r="AB43" s="37">
        <f t="shared" si="6"/>
        <v>0</v>
      </c>
      <c r="AC43" s="37">
        <f t="shared" si="7"/>
        <v>0</v>
      </c>
      <c r="AD43" s="37">
        <f t="shared" si="8"/>
        <v>0</v>
      </c>
      <c r="AE43" s="37">
        <f t="shared" si="9"/>
        <v>0</v>
      </c>
      <c r="AF43" s="37">
        <f t="shared" si="10"/>
        <v>0</v>
      </c>
      <c r="AG43" s="37">
        <f t="shared" si="11"/>
        <v>0</v>
      </c>
      <c r="AH43" s="37">
        <f t="shared" si="12"/>
        <v>0</v>
      </c>
      <c r="AI43" s="37">
        <f t="shared" si="13"/>
        <v>1</v>
      </c>
      <c r="AJ43" s="37">
        <f t="shared" si="14"/>
        <v>0</v>
      </c>
      <c r="AK43" s="37">
        <f t="shared" si="15"/>
        <v>0</v>
      </c>
      <c r="AL43" s="37">
        <f t="shared" si="16"/>
        <v>0</v>
      </c>
      <c r="AM43" s="37">
        <f t="shared" si="17"/>
        <v>0</v>
      </c>
      <c r="AN43" s="37">
        <f t="shared" si="18"/>
        <v>0</v>
      </c>
      <c r="AO43" s="37">
        <f t="shared" si="19"/>
        <v>0</v>
      </c>
      <c r="AP43" s="37"/>
      <c r="AQ43" s="37"/>
      <c r="AR43" s="37">
        <f t="shared" si="20"/>
        <v>3</v>
      </c>
      <c r="AS43" s="37">
        <f t="shared" si="21"/>
        <v>3</v>
      </c>
      <c r="AT43" s="37" t="str">
        <f t="shared" si="22"/>
        <v>Correct</v>
      </c>
      <c r="AU43" s="37"/>
      <c r="AV43" s="120" t="str">
        <f>IFERROR(VLOOKUP(Table1[RespondentID],'All Data'!$A$3:$CO$999,87,FALSE),"unknown")</f>
        <v>Woman</v>
      </c>
      <c r="AW43" s="120">
        <f>IFERROR(VLOOKUP(Table1[RespondentID],'All Data'!$A$3:$CO$999,88,FALSE),"unknown")</f>
        <v>22</v>
      </c>
      <c r="AX43" s="120" t="str">
        <f>IFERROR(VLOOKUP(Table1[RespondentID],'All Data'!$A$3:$CO$999,89,FALSE),"unknown")</f>
        <v>Suffolk</v>
      </c>
      <c r="AY43" s="120" t="str">
        <f>IFERROR(VLOOKUP(Table1[RespondentID],'All Data'!$A$3:$CO$999,90,FALSE),"unknown")</f>
        <v>Brentwood, 11717</v>
      </c>
      <c r="AZ43" s="120" t="str">
        <f>IFERROR(VLOOKUP(Table1[RespondentID],'All Data'!$A$3:$CO$999,91,FALSE),"unknown")</f>
        <v>Two or more races</v>
      </c>
      <c r="BA43" s="120">
        <f>IFERROR(VLOOKUP(Table1[RespondentID],'All Data'!$A$3:$CO$999,92,FALSE),"unknown")</f>
        <v>0</v>
      </c>
      <c r="BB43" s="120" t="str">
        <f>IFERROR(VLOOKUP(Table1[RespondentID],'All Data'!$A$3:$CO$999,93,FALSE),"unknown")</f>
        <v>English</v>
      </c>
      <c r="BC43" s="120" t="str">
        <f>IFERROR(VLOOKUP(Table1[RespondentID],'All Data'!$A$3:$CW$999,94,FALSE),"unknown")</f>
        <v>$35,000 to $49,999</v>
      </c>
      <c r="BD43" s="120" t="str">
        <f>IFERROR(VLOOKUP(Table1[RespondentID],'All Data'!$A$3:$CW$999,95,FALSE),"unknown")</f>
        <v>College graduate</v>
      </c>
      <c r="BE43" s="120" t="str">
        <f>IFERROR(VLOOKUP(Table1[RespondentID],'All Data'!$A$3:$CW$999,96,FALSE),"unknown")</f>
        <v>Employed for wages</v>
      </c>
      <c r="BF43" s="120" t="str">
        <f>IFERROR(VLOOKUP(Table1[RespondentID],'All Data'!$A$3:$CW$999,97,FALSE),"unknown")</f>
        <v>Yes</v>
      </c>
      <c r="BG43" s="120" t="str">
        <f>IFERROR(VLOOKUP(Table1[RespondentID],'All Data'!$A$3:$CW$999,98,FALSE),"unknown")</f>
        <v>Private/Commercial</v>
      </c>
      <c r="BH43" s="120">
        <f>IFERROR(VLOOKUP(Table1[RespondentID],'All Data'!$A$3:$CW$999,99,FALSE),"unknown")</f>
        <v>0</v>
      </c>
    </row>
    <row r="44" spans="1:60">
      <c r="A44" s="5">
        <v>18025183271</v>
      </c>
      <c r="B44" s="5"/>
      <c r="C44" s="5" t="s">
        <v>50</v>
      </c>
      <c r="D44" s="5" t="s">
        <v>51</v>
      </c>
      <c r="E44" s="5"/>
      <c r="F44" s="5"/>
      <c r="G44" s="5"/>
      <c r="H44" s="5"/>
      <c r="I44" s="5"/>
      <c r="J44" s="5"/>
      <c r="K44" s="5"/>
      <c r="L44" s="5"/>
      <c r="M44" s="5" t="s">
        <v>59</v>
      </c>
      <c r="N44" s="5"/>
      <c r="O44" s="5" t="s">
        <v>20</v>
      </c>
      <c r="P44" s="5"/>
      <c r="Q44" s="5"/>
      <c r="R44" s="5"/>
      <c r="S44" s="5"/>
      <c r="T44" s="37"/>
      <c r="U44" s="37">
        <f t="shared" si="0"/>
        <v>4</v>
      </c>
      <c r="V44" s="37">
        <f t="shared" si="1"/>
        <v>0.75</v>
      </c>
      <c r="W44" s="37"/>
      <c r="X44" s="37">
        <f t="shared" si="2"/>
        <v>0</v>
      </c>
      <c r="Y44" s="37">
        <f t="shared" si="3"/>
        <v>0.75</v>
      </c>
      <c r="Z44" s="37">
        <f t="shared" si="4"/>
        <v>0.75</v>
      </c>
      <c r="AA44" s="37">
        <f t="shared" si="5"/>
        <v>0</v>
      </c>
      <c r="AB44" s="37">
        <f t="shared" si="6"/>
        <v>0</v>
      </c>
      <c r="AC44" s="37">
        <f t="shared" si="7"/>
        <v>0</v>
      </c>
      <c r="AD44" s="37">
        <f t="shared" si="8"/>
        <v>0</v>
      </c>
      <c r="AE44" s="37">
        <f t="shared" si="9"/>
        <v>0</v>
      </c>
      <c r="AF44" s="37">
        <f t="shared" si="10"/>
        <v>0</v>
      </c>
      <c r="AG44" s="37">
        <f t="shared" si="11"/>
        <v>0</v>
      </c>
      <c r="AH44" s="37">
        <f t="shared" si="12"/>
        <v>0</v>
      </c>
      <c r="AI44" s="37">
        <f t="shared" si="13"/>
        <v>0.75</v>
      </c>
      <c r="AJ44" s="37">
        <f t="shared" si="14"/>
        <v>0</v>
      </c>
      <c r="AK44" s="37">
        <f t="shared" si="15"/>
        <v>0.75</v>
      </c>
      <c r="AL44" s="37">
        <f t="shared" si="16"/>
        <v>0</v>
      </c>
      <c r="AM44" s="37">
        <f t="shared" si="17"/>
        <v>0</v>
      </c>
      <c r="AN44" s="37">
        <f t="shared" si="18"/>
        <v>0</v>
      </c>
      <c r="AO44" s="37">
        <f t="shared" si="19"/>
        <v>0</v>
      </c>
      <c r="AP44" s="37"/>
      <c r="AQ44" s="37"/>
      <c r="AR44" s="37">
        <f t="shared" si="20"/>
        <v>3</v>
      </c>
      <c r="AS44" s="37">
        <f t="shared" si="21"/>
        <v>4</v>
      </c>
      <c r="AT44" s="37" t="str">
        <f t="shared" si="22"/>
        <v>Correct</v>
      </c>
      <c r="AU44" s="37"/>
      <c r="AV44" s="120" t="str">
        <f>IFERROR(VLOOKUP(Table1[RespondentID],'All Data'!$A$3:$CO$999,87,FALSE),"unknown")</f>
        <v>Woman</v>
      </c>
      <c r="AW44" s="120">
        <f>IFERROR(VLOOKUP(Table1[RespondentID],'All Data'!$A$3:$CO$999,88,FALSE),"unknown")</f>
        <v>28</v>
      </c>
      <c r="AX44" s="120" t="str">
        <f>IFERROR(VLOOKUP(Table1[RespondentID],'All Data'!$A$3:$CO$999,89,FALSE),"unknown")</f>
        <v>Suffolk</v>
      </c>
      <c r="AY44" s="120" t="str">
        <f>IFERROR(VLOOKUP(Table1[RespondentID],'All Data'!$A$3:$CO$999,90,FALSE),"unknown")</f>
        <v>Hauppauge, 11788</v>
      </c>
      <c r="AZ44" s="120" t="str">
        <f>IFERROR(VLOOKUP(Table1[RespondentID],'All Data'!$A$3:$CO$999,91,FALSE),"unknown")</f>
        <v>White</v>
      </c>
      <c r="BA44" s="120">
        <f>IFERROR(VLOOKUP(Table1[RespondentID],'All Data'!$A$3:$CO$999,92,FALSE),"unknown")</f>
        <v>0</v>
      </c>
      <c r="BB44" s="120" t="str">
        <f>IFERROR(VLOOKUP(Table1[RespondentID],'All Data'!$A$3:$CO$999,93,FALSE),"unknown")</f>
        <v>English</v>
      </c>
      <c r="BC44" s="120" t="str">
        <f>IFERROR(VLOOKUP(Table1[RespondentID],'All Data'!$A$3:$CW$999,94,FALSE),"unknown")</f>
        <v>$50,000 to $74,999</v>
      </c>
      <c r="BD44" s="120" t="str">
        <f>IFERROR(VLOOKUP(Table1[RespondentID],'All Data'!$A$3:$CW$999,95,FALSE),"unknown")</f>
        <v>College graduate</v>
      </c>
      <c r="BE44" s="120" t="str">
        <f>IFERROR(VLOOKUP(Table1[RespondentID],'All Data'!$A$3:$CW$999,96,FALSE),"unknown")</f>
        <v>Self-employed</v>
      </c>
      <c r="BF44" s="120" t="str">
        <f>IFERROR(VLOOKUP(Table1[RespondentID],'All Data'!$A$3:$CW$999,97,FALSE),"unknown")</f>
        <v>Yes</v>
      </c>
      <c r="BG44" s="120" t="str">
        <f>IFERROR(VLOOKUP(Table1[RespondentID],'All Data'!$A$3:$CW$999,98,FALSE),"unknown")</f>
        <v>Private/Commercial</v>
      </c>
      <c r="BH44" s="120">
        <f>IFERROR(VLOOKUP(Table1[RespondentID],'All Data'!$A$3:$CW$999,99,FALSE),"unknown")</f>
        <v>0</v>
      </c>
    </row>
    <row r="45" spans="1:60">
      <c r="A45" s="5">
        <v>18025183125</v>
      </c>
      <c r="B45" s="5"/>
      <c r="C45" s="5" t="s">
        <v>50</v>
      </c>
      <c r="D45" s="5" t="s">
        <v>51</v>
      </c>
      <c r="E45" s="5"/>
      <c r="F45" s="5"/>
      <c r="G45" s="5"/>
      <c r="H45" s="5"/>
      <c r="I45" s="5" t="s">
        <v>55</v>
      </c>
      <c r="J45" s="5"/>
      <c r="K45" s="5"/>
      <c r="L45" s="5"/>
      <c r="M45" s="5" t="s">
        <v>59</v>
      </c>
      <c r="N45" s="5"/>
      <c r="O45" s="5"/>
      <c r="P45" s="5"/>
      <c r="Q45" s="5"/>
      <c r="R45" s="5"/>
      <c r="S45" s="5" t="s">
        <v>63</v>
      </c>
      <c r="T45" s="37"/>
      <c r="U45" s="37">
        <f t="shared" si="0"/>
        <v>5</v>
      </c>
      <c r="V45" s="37">
        <f t="shared" si="1"/>
        <v>0.6</v>
      </c>
      <c r="W45" s="37"/>
      <c r="X45" s="37">
        <f t="shared" si="2"/>
        <v>0</v>
      </c>
      <c r="Y45" s="37">
        <f t="shared" si="3"/>
        <v>0.6</v>
      </c>
      <c r="Z45" s="37">
        <f t="shared" si="4"/>
        <v>0.6</v>
      </c>
      <c r="AA45" s="37">
        <f t="shared" si="5"/>
        <v>0</v>
      </c>
      <c r="AB45" s="37">
        <f t="shared" si="6"/>
        <v>0</v>
      </c>
      <c r="AC45" s="37">
        <f t="shared" si="7"/>
        <v>0</v>
      </c>
      <c r="AD45" s="37">
        <f t="shared" si="8"/>
        <v>0</v>
      </c>
      <c r="AE45" s="37">
        <f t="shared" si="9"/>
        <v>0.6</v>
      </c>
      <c r="AF45" s="37">
        <f t="shared" si="10"/>
        <v>0</v>
      </c>
      <c r="AG45" s="37">
        <f t="shared" si="11"/>
        <v>0</v>
      </c>
      <c r="AH45" s="37">
        <f t="shared" si="12"/>
        <v>0</v>
      </c>
      <c r="AI45" s="37">
        <f t="shared" si="13"/>
        <v>0.6</v>
      </c>
      <c r="AJ45" s="37">
        <f t="shared" si="14"/>
        <v>0</v>
      </c>
      <c r="AK45" s="37">
        <f t="shared" si="15"/>
        <v>0</v>
      </c>
      <c r="AL45" s="37">
        <f t="shared" si="16"/>
        <v>0</v>
      </c>
      <c r="AM45" s="37">
        <f t="shared" si="17"/>
        <v>0</v>
      </c>
      <c r="AN45" s="37">
        <f t="shared" si="18"/>
        <v>0</v>
      </c>
      <c r="AO45" s="37">
        <f t="shared" si="19"/>
        <v>0.6</v>
      </c>
      <c r="AP45" s="37"/>
      <c r="AQ45" s="37"/>
      <c r="AR45" s="37">
        <f t="shared" si="20"/>
        <v>3</v>
      </c>
      <c r="AS45" s="37">
        <f t="shared" si="21"/>
        <v>5</v>
      </c>
      <c r="AT45" s="37" t="str">
        <f t="shared" si="22"/>
        <v>Correct</v>
      </c>
      <c r="AU45" s="37"/>
      <c r="AV45" s="120" t="str">
        <f>IFERROR(VLOOKUP(Table1[RespondentID],'All Data'!$A$3:$CO$999,87,FALSE),"unknown")</f>
        <v>Man</v>
      </c>
      <c r="AW45" s="120">
        <f>IFERROR(VLOOKUP(Table1[RespondentID],'All Data'!$A$3:$CO$999,88,FALSE),"unknown")</f>
        <v>28</v>
      </c>
      <c r="AX45" s="120" t="str">
        <f>IFERROR(VLOOKUP(Table1[RespondentID],'All Data'!$A$3:$CO$999,89,FALSE),"unknown")</f>
        <v>Suffolk</v>
      </c>
      <c r="AY45" s="120" t="str">
        <f>IFERROR(VLOOKUP(Table1[RespondentID],'All Data'!$A$3:$CO$999,90,FALSE),"unknown")</f>
        <v>Greenlawn, 11740</v>
      </c>
      <c r="AZ45" s="120" t="str">
        <f>IFERROR(VLOOKUP(Table1[RespondentID],'All Data'!$A$3:$CO$999,91,FALSE),"unknown")</f>
        <v>White</v>
      </c>
      <c r="BA45" s="120" t="str">
        <f>IFERROR(VLOOKUP(Table1[RespondentID],'All Data'!$A$3:$CO$999,92,FALSE),"unknown")</f>
        <v>Not Hispanic or Latino</v>
      </c>
      <c r="BB45" s="120" t="str">
        <f>IFERROR(VLOOKUP(Table1[RespondentID],'All Data'!$A$3:$CO$999,93,FALSE),"unknown")</f>
        <v>English</v>
      </c>
      <c r="BC45" s="120" t="str">
        <f>IFERROR(VLOOKUP(Table1[RespondentID],'All Data'!$A$3:$CW$999,94,FALSE),"unknown")</f>
        <v>$75,000 to $125,000</v>
      </c>
      <c r="BD45" s="120" t="str">
        <f>IFERROR(VLOOKUP(Table1[RespondentID],'All Data'!$A$3:$CW$999,95,FALSE),"unknown")</f>
        <v>Some college</v>
      </c>
      <c r="BE45" s="120" t="str">
        <f>IFERROR(VLOOKUP(Table1[RespondentID],'All Data'!$A$3:$CW$999,96,FALSE),"unknown")</f>
        <v>Out of work and looking for work</v>
      </c>
      <c r="BF45" s="120">
        <f>IFERROR(VLOOKUP(Table1[RespondentID],'All Data'!$A$3:$CW$999,97,FALSE),"unknown")</f>
        <v>0</v>
      </c>
      <c r="BG45" s="120">
        <f>IFERROR(VLOOKUP(Table1[RespondentID],'All Data'!$A$3:$CW$999,98,FALSE),"unknown")</f>
        <v>0</v>
      </c>
      <c r="BH45" s="120">
        <f>IFERROR(VLOOKUP(Table1[RespondentID],'All Data'!$A$3:$CW$999,99,FALSE),"unknown")</f>
        <v>0</v>
      </c>
    </row>
    <row r="46" spans="1:60">
      <c r="A46" s="5">
        <v>18025182993</v>
      </c>
      <c r="B46" s="5"/>
      <c r="C46" s="5"/>
      <c r="D46" s="5" t="s">
        <v>51</v>
      </c>
      <c r="E46" s="5"/>
      <c r="F46" s="5"/>
      <c r="G46" s="5"/>
      <c r="H46" s="5"/>
      <c r="I46" s="5"/>
      <c r="J46" s="5"/>
      <c r="K46" s="5"/>
      <c r="L46" s="5"/>
      <c r="M46" s="5"/>
      <c r="N46" s="5"/>
      <c r="O46" s="5"/>
      <c r="P46" s="5"/>
      <c r="Q46" s="5"/>
      <c r="R46" s="5"/>
      <c r="S46" s="5"/>
      <c r="T46" s="37"/>
      <c r="U46" s="37">
        <f t="shared" si="0"/>
        <v>1</v>
      </c>
      <c r="V46" s="37">
        <f t="shared" si="1"/>
        <v>3</v>
      </c>
      <c r="W46" s="37"/>
      <c r="X46" s="37">
        <f t="shared" si="2"/>
        <v>0</v>
      </c>
      <c r="Y46" s="37">
        <f t="shared" si="3"/>
        <v>0</v>
      </c>
      <c r="Z46" s="37">
        <f t="shared" si="4"/>
        <v>1</v>
      </c>
      <c r="AA46" s="37">
        <f t="shared" si="5"/>
        <v>0</v>
      </c>
      <c r="AB46" s="37">
        <f t="shared" si="6"/>
        <v>0</v>
      </c>
      <c r="AC46" s="37">
        <f t="shared" si="7"/>
        <v>0</v>
      </c>
      <c r="AD46" s="37">
        <f t="shared" si="8"/>
        <v>0</v>
      </c>
      <c r="AE46" s="37">
        <f t="shared" si="9"/>
        <v>0</v>
      </c>
      <c r="AF46" s="37">
        <f t="shared" si="10"/>
        <v>0</v>
      </c>
      <c r="AG46" s="37">
        <f t="shared" si="11"/>
        <v>0</v>
      </c>
      <c r="AH46" s="37">
        <f t="shared" si="12"/>
        <v>0</v>
      </c>
      <c r="AI46" s="37">
        <f t="shared" si="13"/>
        <v>0</v>
      </c>
      <c r="AJ46" s="37">
        <f t="shared" si="14"/>
        <v>0</v>
      </c>
      <c r="AK46" s="37">
        <f t="shared" si="15"/>
        <v>0</v>
      </c>
      <c r="AL46" s="37">
        <f t="shared" si="16"/>
        <v>0</v>
      </c>
      <c r="AM46" s="37">
        <f t="shared" si="17"/>
        <v>0</v>
      </c>
      <c r="AN46" s="37">
        <f t="shared" si="18"/>
        <v>0</v>
      </c>
      <c r="AO46" s="37">
        <f t="shared" si="19"/>
        <v>0</v>
      </c>
      <c r="AP46" s="37"/>
      <c r="AQ46" s="37"/>
      <c r="AR46" s="37">
        <f t="shared" si="20"/>
        <v>1</v>
      </c>
      <c r="AS46" s="37">
        <f t="shared" si="21"/>
        <v>1</v>
      </c>
      <c r="AT46" s="37" t="str">
        <f t="shared" si="22"/>
        <v>Correct</v>
      </c>
      <c r="AU46" s="37"/>
      <c r="AV46" s="120" t="str">
        <f>IFERROR(VLOOKUP(Table1[RespondentID],'All Data'!$A$3:$CO$999,87,FALSE),"unknown")</f>
        <v>Man</v>
      </c>
      <c r="AW46" s="120">
        <f>IFERROR(VLOOKUP(Table1[RespondentID],'All Data'!$A$3:$CO$999,88,FALSE),"unknown")</f>
        <v>60</v>
      </c>
      <c r="AX46" s="120" t="str">
        <f>IFERROR(VLOOKUP(Table1[RespondentID],'All Data'!$A$3:$CO$999,89,FALSE),"unknown")</f>
        <v>Suffolk</v>
      </c>
      <c r="AY46" s="120" t="str">
        <f>IFERROR(VLOOKUP(Table1[RespondentID],'All Data'!$A$3:$CO$999,90,FALSE),"unknown")</f>
        <v>Greenlawn, 11740</v>
      </c>
      <c r="AZ46" s="120" t="str">
        <f>IFERROR(VLOOKUP(Table1[RespondentID],'All Data'!$A$3:$CO$999,91,FALSE),"unknown")</f>
        <v>Two or more races</v>
      </c>
      <c r="BA46" s="120" t="str">
        <f>IFERROR(VLOOKUP(Table1[RespondentID],'All Data'!$A$3:$CO$999,92,FALSE),"unknown")</f>
        <v>Hispanic or Latino</v>
      </c>
      <c r="BB46" s="120" t="str">
        <f>IFERROR(VLOOKUP(Table1[RespondentID],'All Data'!$A$3:$CO$999,93,FALSE),"unknown")</f>
        <v>English</v>
      </c>
      <c r="BC46" s="120" t="str">
        <f>IFERROR(VLOOKUP(Table1[RespondentID],'All Data'!$A$3:$CW$999,94,FALSE),"unknown")</f>
        <v>Over $125,000</v>
      </c>
      <c r="BD46" s="120" t="str">
        <f>IFERROR(VLOOKUP(Table1[RespondentID],'All Data'!$A$3:$CW$999,95,FALSE),"unknown")</f>
        <v>Graduate school</v>
      </c>
      <c r="BE46" s="120" t="str">
        <f>IFERROR(VLOOKUP(Table1[RespondentID],'All Data'!$A$3:$CW$999,96,FALSE),"unknown")</f>
        <v>Retired</v>
      </c>
      <c r="BF46" s="120" t="str">
        <f>IFERROR(VLOOKUP(Table1[RespondentID],'All Data'!$A$3:$CW$999,97,FALSE),"unknown")</f>
        <v>Yes</v>
      </c>
      <c r="BG46" s="120" t="str">
        <f>IFERROR(VLOOKUP(Table1[RespondentID],'All Data'!$A$3:$CW$999,98,FALSE),"unknown")</f>
        <v>Private/Commercial</v>
      </c>
      <c r="BH46" s="120">
        <f>IFERROR(VLOOKUP(Table1[RespondentID],'All Data'!$A$3:$CW$999,99,FALSE),"unknown")</f>
        <v>0</v>
      </c>
    </row>
    <row r="47" spans="1:60">
      <c r="A47" s="5">
        <v>18025182885</v>
      </c>
      <c r="B47" s="5"/>
      <c r="C47" s="5"/>
      <c r="D47" s="5" t="s">
        <v>51</v>
      </c>
      <c r="E47" s="5"/>
      <c r="F47" s="5"/>
      <c r="G47" s="5"/>
      <c r="H47" s="5"/>
      <c r="I47" s="5"/>
      <c r="J47" s="5"/>
      <c r="K47" s="5"/>
      <c r="L47" s="5" t="s">
        <v>58</v>
      </c>
      <c r="M47" s="5"/>
      <c r="N47" s="5"/>
      <c r="O47" s="5"/>
      <c r="P47" s="5"/>
      <c r="Q47" s="5"/>
      <c r="R47" s="5"/>
      <c r="S47" s="5" t="s">
        <v>63</v>
      </c>
      <c r="T47" s="37"/>
      <c r="U47" s="37">
        <f t="shared" si="0"/>
        <v>3</v>
      </c>
      <c r="V47" s="37">
        <f t="shared" si="1"/>
        <v>1</v>
      </c>
      <c r="W47" s="37"/>
      <c r="X47" s="37">
        <f t="shared" si="2"/>
        <v>0</v>
      </c>
      <c r="Y47" s="37">
        <f t="shared" si="3"/>
        <v>0</v>
      </c>
      <c r="Z47" s="37">
        <f t="shared" si="4"/>
        <v>1</v>
      </c>
      <c r="AA47" s="37">
        <f t="shared" si="5"/>
        <v>0</v>
      </c>
      <c r="AB47" s="37">
        <f t="shared" si="6"/>
        <v>0</v>
      </c>
      <c r="AC47" s="37">
        <f t="shared" si="7"/>
        <v>0</v>
      </c>
      <c r="AD47" s="37">
        <f t="shared" si="8"/>
        <v>0</v>
      </c>
      <c r="AE47" s="37">
        <f t="shared" si="9"/>
        <v>0</v>
      </c>
      <c r="AF47" s="37">
        <f t="shared" si="10"/>
        <v>0</v>
      </c>
      <c r="AG47" s="37">
        <f t="shared" si="11"/>
        <v>0</v>
      </c>
      <c r="AH47" s="37">
        <f t="shared" si="12"/>
        <v>1</v>
      </c>
      <c r="AI47" s="37">
        <f t="shared" si="13"/>
        <v>0</v>
      </c>
      <c r="AJ47" s="37">
        <f t="shared" si="14"/>
        <v>0</v>
      </c>
      <c r="AK47" s="37">
        <f t="shared" si="15"/>
        <v>0</v>
      </c>
      <c r="AL47" s="37">
        <f t="shared" si="16"/>
        <v>0</v>
      </c>
      <c r="AM47" s="37">
        <f t="shared" si="17"/>
        <v>0</v>
      </c>
      <c r="AN47" s="37">
        <f t="shared" si="18"/>
        <v>0</v>
      </c>
      <c r="AO47" s="37">
        <f t="shared" si="19"/>
        <v>1</v>
      </c>
      <c r="AP47" s="37"/>
      <c r="AQ47" s="37"/>
      <c r="AR47" s="37">
        <f t="shared" si="20"/>
        <v>3</v>
      </c>
      <c r="AS47" s="37">
        <f t="shared" si="21"/>
        <v>3</v>
      </c>
      <c r="AT47" s="37" t="str">
        <f t="shared" si="22"/>
        <v>Correct</v>
      </c>
      <c r="AU47" s="37"/>
      <c r="AV47" s="120">
        <f>IFERROR(VLOOKUP(Table1[RespondentID],'All Data'!$A$3:$CO$999,87,FALSE),"unknown")</f>
        <v>0</v>
      </c>
      <c r="AW47" s="120">
        <f>IFERROR(VLOOKUP(Table1[RespondentID],'All Data'!$A$3:$CO$999,88,FALSE),"unknown")</f>
        <v>55</v>
      </c>
      <c r="AX47" s="120" t="str">
        <f>IFERROR(VLOOKUP(Table1[RespondentID],'All Data'!$A$3:$CO$999,89,FALSE),"unknown")</f>
        <v>Suffolk</v>
      </c>
      <c r="AY47" s="120" t="str">
        <f>IFERROR(VLOOKUP(Table1[RespondentID],'All Data'!$A$3:$CO$999,90,FALSE),"unknown")</f>
        <v>Greenlawn, 11740</v>
      </c>
      <c r="AZ47" s="120" t="str">
        <f>IFERROR(VLOOKUP(Table1[RespondentID],'All Data'!$A$3:$CO$999,91,FALSE),"unknown")</f>
        <v>White</v>
      </c>
      <c r="BA47" s="120" t="str">
        <f>IFERROR(VLOOKUP(Table1[RespondentID],'All Data'!$A$3:$CO$999,92,FALSE),"unknown")</f>
        <v>Not Hispanic or Latino</v>
      </c>
      <c r="BB47" s="120" t="str">
        <f>IFERROR(VLOOKUP(Table1[RespondentID],'All Data'!$A$3:$CO$999,93,FALSE),"unknown")</f>
        <v>English</v>
      </c>
      <c r="BC47" s="120" t="str">
        <f>IFERROR(VLOOKUP(Table1[RespondentID],'All Data'!$A$3:$CW$999,94,FALSE),"unknown")</f>
        <v>Over $125,000</v>
      </c>
      <c r="BD47" s="120" t="str">
        <f>IFERROR(VLOOKUP(Table1[RespondentID],'All Data'!$A$3:$CW$999,95,FALSE),"unknown")</f>
        <v>College graduate</v>
      </c>
      <c r="BE47" s="120" t="str">
        <f>IFERROR(VLOOKUP(Table1[RespondentID],'All Data'!$A$3:$CW$999,96,FALSE),"unknown")</f>
        <v>Employed for wages</v>
      </c>
      <c r="BF47" s="120" t="str">
        <f>IFERROR(VLOOKUP(Table1[RespondentID],'All Data'!$A$3:$CW$999,97,FALSE),"unknown")</f>
        <v>Yes</v>
      </c>
      <c r="BG47" s="120">
        <f>IFERROR(VLOOKUP(Table1[RespondentID],'All Data'!$A$3:$CW$999,98,FALSE),"unknown")</f>
        <v>0</v>
      </c>
      <c r="BH47" s="120">
        <f>IFERROR(VLOOKUP(Table1[RespondentID],'All Data'!$A$3:$CW$999,99,FALSE),"unknown")</f>
        <v>0</v>
      </c>
    </row>
    <row r="48" spans="1:60">
      <c r="A48" s="5">
        <v>18025182704</v>
      </c>
      <c r="B48" s="5"/>
      <c r="C48" s="5"/>
      <c r="D48" s="5" t="s">
        <v>51</v>
      </c>
      <c r="E48" s="5"/>
      <c r="F48" s="5"/>
      <c r="G48" s="5"/>
      <c r="H48" s="5"/>
      <c r="I48" s="5"/>
      <c r="J48" s="5"/>
      <c r="K48" s="5"/>
      <c r="L48" s="5"/>
      <c r="M48" s="5"/>
      <c r="N48" s="5"/>
      <c r="O48" s="5" t="s">
        <v>20</v>
      </c>
      <c r="P48" s="5"/>
      <c r="Q48" s="5"/>
      <c r="R48" s="5" t="s">
        <v>62</v>
      </c>
      <c r="S48" s="5" t="s">
        <v>63</v>
      </c>
      <c r="T48" s="37"/>
      <c r="U48" s="37">
        <f t="shared" si="0"/>
        <v>4</v>
      </c>
      <c r="V48" s="37">
        <f t="shared" si="1"/>
        <v>0.75</v>
      </c>
      <c r="W48" s="37"/>
      <c r="X48" s="37">
        <f t="shared" si="2"/>
        <v>0</v>
      </c>
      <c r="Y48" s="37">
        <f t="shared" si="3"/>
        <v>0</v>
      </c>
      <c r="Z48" s="37">
        <f t="shared" si="4"/>
        <v>0.75</v>
      </c>
      <c r="AA48" s="37">
        <f t="shared" si="5"/>
        <v>0</v>
      </c>
      <c r="AB48" s="37">
        <f t="shared" si="6"/>
        <v>0</v>
      </c>
      <c r="AC48" s="37">
        <f t="shared" si="7"/>
        <v>0</v>
      </c>
      <c r="AD48" s="37">
        <f t="shared" si="8"/>
        <v>0</v>
      </c>
      <c r="AE48" s="37">
        <f t="shared" si="9"/>
        <v>0</v>
      </c>
      <c r="AF48" s="37">
        <f t="shared" si="10"/>
        <v>0</v>
      </c>
      <c r="AG48" s="37">
        <f t="shared" si="11"/>
        <v>0</v>
      </c>
      <c r="AH48" s="37">
        <f t="shared" si="12"/>
        <v>0</v>
      </c>
      <c r="AI48" s="37">
        <f t="shared" si="13"/>
        <v>0</v>
      </c>
      <c r="AJ48" s="37">
        <f t="shared" si="14"/>
        <v>0</v>
      </c>
      <c r="AK48" s="37">
        <f t="shared" si="15"/>
        <v>0.75</v>
      </c>
      <c r="AL48" s="37">
        <f t="shared" si="16"/>
        <v>0</v>
      </c>
      <c r="AM48" s="37">
        <f t="shared" si="17"/>
        <v>0</v>
      </c>
      <c r="AN48" s="37">
        <f t="shared" si="18"/>
        <v>0.75</v>
      </c>
      <c r="AO48" s="37">
        <f t="shared" si="19"/>
        <v>0.75</v>
      </c>
      <c r="AP48" s="37"/>
      <c r="AQ48" s="37"/>
      <c r="AR48" s="37">
        <f t="shared" si="20"/>
        <v>3</v>
      </c>
      <c r="AS48" s="37">
        <f t="shared" si="21"/>
        <v>4</v>
      </c>
      <c r="AT48" s="37" t="str">
        <f t="shared" si="22"/>
        <v>Correct</v>
      </c>
      <c r="AU48" s="37"/>
      <c r="AV48" s="120" t="str">
        <f>IFERROR(VLOOKUP(Table1[RespondentID],'All Data'!$A$3:$CO$999,87,FALSE),"unknown")</f>
        <v>Man</v>
      </c>
      <c r="AW48" s="120">
        <f>IFERROR(VLOOKUP(Table1[RespondentID],'All Data'!$A$3:$CO$999,88,FALSE),"unknown")</f>
        <v>19</v>
      </c>
      <c r="AX48" s="120" t="str">
        <f>IFERROR(VLOOKUP(Table1[RespondentID],'All Data'!$A$3:$CO$999,89,FALSE),"unknown")</f>
        <v>Nassau</v>
      </c>
      <c r="AY48" s="120" t="str">
        <f>IFERROR(VLOOKUP(Table1[RespondentID],'All Data'!$A$3:$CO$999,90,FALSE),"unknown")</f>
        <v>Hicksville, 11801</v>
      </c>
      <c r="AZ48" s="120" t="str">
        <f>IFERROR(VLOOKUP(Table1[RespondentID],'All Data'!$A$3:$CO$999,91,FALSE),"unknown")</f>
        <v>White</v>
      </c>
      <c r="BA48" s="120">
        <f>IFERROR(VLOOKUP(Table1[RespondentID],'All Data'!$A$3:$CO$999,92,FALSE),"unknown")</f>
        <v>0</v>
      </c>
      <c r="BB48" s="120" t="str">
        <f>IFERROR(VLOOKUP(Table1[RespondentID],'All Data'!$A$3:$CO$999,93,FALSE),"unknown")</f>
        <v>English</v>
      </c>
      <c r="BC48" s="120" t="str">
        <f>IFERROR(VLOOKUP(Table1[RespondentID],'All Data'!$A$3:$CW$999,94,FALSE),"unknown")</f>
        <v>$35,000 to $49,999</v>
      </c>
      <c r="BD48" s="120" t="str">
        <f>IFERROR(VLOOKUP(Table1[RespondentID],'All Data'!$A$3:$CW$999,95,FALSE),"unknown")</f>
        <v>Some college</v>
      </c>
      <c r="BE48" s="120" t="str">
        <f>IFERROR(VLOOKUP(Table1[RespondentID],'All Data'!$A$3:$CW$999,96,FALSE),"unknown")</f>
        <v>Student</v>
      </c>
      <c r="BF48" s="120" t="str">
        <f>IFERROR(VLOOKUP(Table1[RespondentID],'All Data'!$A$3:$CW$999,97,FALSE),"unknown")</f>
        <v>Yes</v>
      </c>
      <c r="BG48" s="120" t="str">
        <f>IFERROR(VLOOKUP(Table1[RespondentID],'All Data'!$A$3:$CW$999,98,FALSE),"unknown")</f>
        <v>Private/Commercial</v>
      </c>
      <c r="BH48" s="120">
        <f>IFERROR(VLOOKUP(Table1[RespondentID],'All Data'!$A$3:$CW$999,99,FALSE),"unknown")</f>
        <v>0</v>
      </c>
    </row>
    <row r="49" spans="1:60">
      <c r="A49" s="5">
        <v>18025182523</v>
      </c>
      <c r="B49" s="5" t="s">
        <v>49</v>
      </c>
      <c r="C49" s="5"/>
      <c r="D49" s="5"/>
      <c r="E49" s="5"/>
      <c r="F49" s="5"/>
      <c r="G49" s="5"/>
      <c r="H49" s="5" t="s">
        <v>54</v>
      </c>
      <c r="I49" s="5"/>
      <c r="J49" s="5"/>
      <c r="K49" s="5"/>
      <c r="L49" s="5"/>
      <c r="M49" s="5"/>
      <c r="N49" s="5" t="s">
        <v>24</v>
      </c>
      <c r="O49" s="5"/>
      <c r="P49" s="5"/>
      <c r="Q49" s="5"/>
      <c r="R49" s="5" t="s">
        <v>62</v>
      </c>
      <c r="S49" s="5"/>
      <c r="T49" s="37"/>
      <c r="U49" s="37">
        <f t="shared" si="0"/>
        <v>4</v>
      </c>
      <c r="V49" s="37">
        <f t="shared" si="1"/>
        <v>0.75</v>
      </c>
      <c r="W49" s="37"/>
      <c r="X49" s="37">
        <f t="shared" si="2"/>
        <v>0.75</v>
      </c>
      <c r="Y49" s="37">
        <f t="shared" si="3"/>
        <v>0</v>
      </c>
      <c r="Z49" s="37">
        <f t="shared" si="4"/>
        <v>0</v>
      </c>
      <c r="AA49" s="37">
        <f t="shared" si="5"/>
        <v>0</v>
      </c>
      <c r="AB49" s="37">
        <f t="shared" si="6"/>
        <v>0</v>
      </c>
      <c r="AC49" s="37">
        <f t="shared" si="7"/>
        <v>0</v>
      </c>
      <c r="AD49" s="37">
        <f t="shared" si="8"/>
        <v>0.75</v>
      </c>
      <c r="AE49" s="37">
        <f t="shared" si="9"/>
        <v>0</v>
      </c>
      <c r="AF49" s="37">
        <f t="shared" si="10"/>
        <v>0</v>
      </c>
      <c r="AG49" s="37">
        <f t="shared" si="11"/>
        <v>0</v>
      </c>
      <c r="AH49" s="37">
        <f t="shared" si="12"/>
        <v>0</v>
      </c>
      <c r="AI49" s="37">
        <f t="shared" si="13"/>
        <v>0</v>
      </c>
      <c r="AJ49" s="37">
        <f t="shared" si="14"/>
        <v>0.75</v>
      </c>
      <c r="AK49" s="37">
        <f t="shared" si="15"/>
        <v>0</v>
      </c>
      <c r="AL49" s="37">
        <f t="shared" si="16"/>
        <v>0</v>
      </c>
      <c r="AM49" s="37">
        <f t="shared" si="17"/>
        <v>0</v>
      </c>
      <c r="AN49" s="37">
        <f t="shared" si="18"/>
        <v>0.75</v>
      </c>
      <c r="AO49" s="37">
        <f t="shared" si="19"/>
        <v>0</v>
      </c>
      <c r="AP49" s="37"/>
      <c r="AQ49" s="37"/>
      <c r="AR49" s="37">
        <f t="shared" si="20"/>
        <v>3</v>
      </c>
      <c r="AS49" s="37">
        <f t="shared" si="21"/>
        <v>4</v>
      </c>
      <c r="AT49" s="37" t="str">
        <f t="shared" si="22"/>
        <v>Correct</v>
      </c>
      <c r="AU49" s="37"/>
      <c r="AV49" s="120">
        <f>IFERROR(VLOOKUP(Table1[RespondentID],'All Data'!$A$3:$CO$999,87,FALSE),"unknown")</f>
        <v>0</v>
      </c>
      <c r="AW49" s="120">
        <f>IFERROR(VLOOKUP(Table1[RespondentID],'All Data'!$A$3:$CO$999,88,FALSE),"unknown")</f>
        <v>65</v>
      </c>
      <c r="AX49" s="120" t="str">
        <f>IFERROR(VLOOKUP(Table1[RespondentID],'All Data'!$A$3:$CO$999,89,FALSE),"unknown")</f>
        <v>Nassau</v>
      </c>
      <c r="AY49" s="120" t="str">
        <f>IFERROR(VLOOKUP(Table1[RespondentID],'All Data'!$A$3:$CO$999,90,FALSE),"unknown")</f>
        <v>Floral Park, 11001</v>
      </c>
      <c r="AZ49" s="120" t="str">
        <f>IFERROR(VLOOKUP(Table1[RespondentID],'All Data'!$A$3:$CO$999,91,FALSE),"unknown")</f>
        <v>White</v>
      </c>
      <c r="BA49" s="120">
        <f>IFERROR(VLOOKUP(Table1[RespondentID],'All Data'!$A$3:$CO$999,92,FALSE),"unknown")</f>
        <v>0</v>
      </c>
      <c r="BB49" s="120" t="str">
        <f>IFERROR(VLOOKUP(Table1[RespondentID],'All Data'!$A$3:$CO$999,93,FALSE),"unknown")</f>
        <v>English</v>
      </c>
      <c r="BC49" s="120" t="str">
        <f>IFERROR(VLOOKUP(Table1[RespondentID],'All Data'!$A$3:$CW$999,94,FALSE),"unknown")</f>
        <v>$50,000 to $74,999</v>
      </c>
      <c r="BD49" s="120" t="str">
        <f>IFERROR(VLOOKUP(Table1[RespondentID],'All Data'!$A$3:$CW$999,95,FALSE),"unknown")</f>
        <v>College graduate</v>
      </c>
      <c r="BE49" s="120" t="str">
        <f>IFERROR(VLOOKUP(Table1[RespondentID],'All Data'!$A$3:$CW$999,96,FALSE),"unknown")</f>
        <v>Retired</v>
      </c>
      <c r="BF49" s="120" t="str">
        <f>IFERROR(VLOOKUP(Table1[RespondentID],'All Data'!$A$3:$CW$999,97,FALSE),"unknown")</f>
        <v>Yes</v>
      </c>
      <c r="BG49" s="120" t="str">
        <f>IFERROR(VLOOKUP(Table1[RespondentID],'All Data'!$A$3:$CW$999,98,FALSE),"unknown")</f>
        <v>Private/Commercial</v>
      </c>
      <c r="BH49" s="120">
        <f>IFERROR(VLOOKUP(Table1[RespondentID],'All Data'!$A$3:$CW$999,99,FALSE),"unknown")</f>
        <v>0</v>
      </c>
    </row>
    <row r="50" spans="1:60">
      <c r="A50" s="5">
        <v>18025182362</v>
      </c>
      <c r="B50" s="5"/>
      <c r="C50" s="5"/>
      <c r="D50" s="5" t="s">
        <v>51</v>
      </c>
      <c r="E50" s="5"/>
      <c r="F50" s="5"/>
      <c r="G50" s="5"/>
      <c r="H50" s="5"/>
      <c r="I50" s="5"/>
      <c r="J50" s="5"/>
      <c r="K50" s="5"/>
      <c r="L50" s="5"/>
      <c r="M50" s="5"/>
      <c r="N50" s="5"/>
      <c r="O50" s="5"/>
      <c r="P50" s="5"/>
      <c r="Q50" s="5"/>
      <c r="R50" s="5"/>
      <c r="S50" s="5"/>
      <c r="T50" s="37"/>
      <c r="U50" s="37">
        <f t="shared" si="0"/>
        <v>1</v>
      </c>
      <c r="V50" s="37">
        <f t="shared" si="1"/>
        <v>3</v>
      </c>
      <c r="W50" s="37"/>
      <c r="X50" s="37">
        <f t="shared" si="2"/>
        <v>0</v>
      </c>
      <c r="Y50" s="37">
        <f t="shared" si="3"/>
        <v>0</v>
      </c>
      <c r="Z50" s="37">
        <f t="shared" si="4"/>
        <v>1</v>
      </c>
      <c r="AA50" s="37">
        <f t="shared" si="5"/>
        <v>0</v>
      </c>
      <c r="AB50" s="37">
        <f t="shared" si="6"/>
        <v>0</v>
      </c>
      <c r="AC50" s="37">
        <f t="shared" si="7"/>
        <v>0</v>
      </c>
      <c r="AD50" s="37">
        <f t="shared" si="8"/>
        <v>0</v>
      </c>
      <c r="AE50" s="37">
        <f t="shared" si="9"/>
        <v>0</v>
      </c>
      <c r="AF50" s="37">
        <f t="shared" si="10"/>
        <v>0</v>
      </c>
      <c r="AG50" s="37">
        <f t="shared" si="11"/>
        <v>0</v>
      </c>
      <c r="AH50" s="37">
        <f t="shared" si="12"/>
        <v>0</v>
      </c>
      <c r="AI50" s="37">
        <f t="shared" si="13"/>
        <v>0</v>
      </c>
      <c r="AJ50" s="37">
        <f t="shared" si="14"/>
        <v>0</v>
      </c>
      <c r="AK50" s="37">
        <f t="shared" si="15"/>
        <v>0</v>
      </c>
      <c r="AL50" s="37">
        <f t="shared" si="16"/>
        <v>0</v>
      </c>
      <c r="AM50" s="37">
        <f t="shared" si="17"/>
        <v>0</v>
      </c>
      <c r="AN50" s="37">
        <f t="shared" si="18"/>
        <v>0</v>
      </c>
      <c r="AO50" s="37">
        <f t="shared" si="19"/>
        <v>0</v>
      </c>
      <c r="AP50" s="37"/>
      <c r="AQ50" s="37"/>
      <c r="AR50" s="37">
        <f t="shared" si="20"/>
        <v>1</v>
      </c>
      <c r="AS50" s="37">
        <f t="shared" si="21"/>
        <v>1</v>
      </c>
      <c r="AT50" s="37" t="str">
        <f t="shared" si="22"/>
        <v>Correct</v>
      </c>
      <c r="AU50" s="37"/>
      <c r="AV50" s="120" t="str">
        <f>IFERROR(VLOOKUP(Table1[RespondentID],'All Data'!$A$3:$CO$999,87,FALSE),"unknown")</f>
        <v>Man</v>
      </c>
      <c r="AW50" s="120">
        <f>IFERROR(VLOOKUP(Table1[RespondentID],'All Data'!$A$3:$CO$999,88,FALSE),"unknown")</f>
        <v>30</v>
      </c>
      <c r="AX50" s="120" t="str">
        <f>IFERROR(VLOOKUP(Table1[RespondentID],'All Data'!$A$3:$CO$999,89,FALSE),"unknown")</f>
        <v>Suffolk</v>
      </c>
      <c r="AY50" s="120" t="str">
        <f>IFERROR(VLOOKUP(Table1[RespondentID],'All Data'!$A$3:$CO$999,90,FALSE),"unknown")</f>
        <v>Huntington, 11743</v>
      </c>
      <c r="AZ50" s="120">
        <f>IFERROR(VLOOKUP(Table1[RespondentID],'All Data'!$A$3:$CO$999,91,FALSE),"unknown")</f>
        <v>0</v>
      </c>
      <c r="BA50" s="120">
        <f>IFERROR(VLOOKUP(Table1[RespondentID],'All Data'!$A$3:$CO$999,92,FALSE),"unknown")</f>
        <v>0</v>
      </c>
      <c r="BB50" s="120" t="str">
        <f>IFERROR(VLOOKUP(Table1[RespondentID],'All Data'!$A$3:$CO$999,93,FALSE),"unknown")</f>
        <v>Spanish</v>
      </c>
      <c r="BC50" s="120" t="str">
        <f>IFERROR(VLOOKUP(Table1[RespondentID],'All Data'!$A$3:$CW$999,94,FALSE),"unknown")</f>
        <v>$35,000 to $49,999</v>
      </c>
      <c r="BD50" s="120" t="str">
        <f>IFERROR(VLOOKUP(Table1[RespondentID],'All Data'!$A$3:$CW$999,95,FALSE),"unknown")</f>
        <v>Some college</v>
      </c>
      <c r="BE50" s="120" t="str">
        <f>IFERROR(VLOOKUP(Table1[RespondentID],'All Data'!$A$3:$CW$999,96,FALSE),"unknown")</f>
        <v>Out of work and looking for work</v>
      </c>
      <c r="BF50" s="120" t="str">
        <f>IFERROR(VLOOKUP(Table1[RespondentID],'All Data'!$A$3:$CW$999,97,FALSE),"unknown")</f>
        <v>No</v>
      </c>
      <c r="BG50" s="120">
        <f>IFERROR(VLOOKUP(Table1[RespondentID],'All Data'!$A$3:$CW$999,98,FALSE),"unknown")</f>
        <v>0</v>
      </c>
      <c r="BH50" s="120">
        <f>IFERROR(VLOOKUP(Table1[RespondentID],'All Data'!$A$3:$CW$999,99,FALSE),"unknown")</f>
        <v>0</v>
      </c>
    </row>
    <row r="51" spans="1:60">
      <c r="A51" s="5">
        <v>18025182185</v>
      </c>
      <c r="B51" s="5"/>
      <c r="C51" s="5"/>
      <c r="D51" s="5"/>
      <c r="E51" s="5"/>
      <c r="F51" s="5"/>
      <c r="G51" s="5"/>
      <c r="H51" s="5"/>
      <c r="I51" s="5"/>
      <c r="J51" s="5"/>
      <c r="K51" s="5"/>
      <c r="L51" s="5"/>
      <c r="M51" s="5"/>
      <c r="N51" s="5" t="s">
        <v>24</v>
      </c>
      <c r="O51" s="5"/>
      <c r="P51" s="5"/>
      <c r="Q51" s="5"/>
      <c r="R51" s="5"/>
      <c r="S51" s="5"/>
      <c r="T51" s="37"/>
      <c r="U51" s="37">
        <f t="shared" si="0"/>
        <v>1</v>
      </c>
      <c r="V51" s="37">
        <f t="shared" si="1"/>
        <v>3</v>
      </c>
      <c r="W51" s="37"/>
      <c r="X51" s="37">
        <f t="shared" si="2"/>
        <v>0</v>
      </c>
      <c r="Y51" s="37">
        <f t="shared" si="3"/>
        <v>0</v>
      </c>
      <c r="Z51" s="37">
        <f t="shared" si="4"/>
        <v>0</v>
      </c>
      <c r="AA51" s="37">
        <f t="shared" si="5"/>
        <v>0</v>
      </c>
      <c r="AB51" s="37">
        <f t="shared" si="6"/>
        <v>0</v>
      </c>
      <c r="AC51" s="37">
        <f t="shared" si="7"/>
        <v>0</v>
      </c>
      <c r="AD51" s="37">
        <f t="shared" si="8"/>
        <v>0</v>
      </c>
      <c r="AE51" s="37">
        <f t="shared" si="9"/>
        <v>0</v>
      </c>
      <c r="AF51" s="37">
        <f t="shared" si="10"/>
        <v>0</v>
      </c>
      <c r="AG51" s="37">
        <f t="shared" si="11"/>
        <v>0</v>
      </c>
      <c r="AH51" s="37">
        <f t="shared" si="12"/>
        <v>0</v>
      </c>
      <c r="AI51" s="37">
        <f t="shared" si="13"/>
        <v>0</v>
      </c>
      <c r="AJ51" s="37">
        <f t="shared" si="14"/>
        <v>1</v>
      </c>
      <c r="AK51" s="37">
        <f t="shared" si="15"/>
        <v>0</v>
      </c>
      <c r="AL51" s="37">
        <f t="shared" si="16"/>
        <v>0</v>
      </c>
      <c r="AM51" s="37">
        <f t="shared" si="17"/>
        <v>0</v>
      </c>
      <c r="AN51" s="37">
        <f t="shared" si="18"/>
        <v>0</v>
      </c>
      <c r="AO51" s="37">
        <f t="shared" si="19"/>
        <v>0</v>
      </c>
      <c r="AP51" s="37"/>
      <c r="AQ51" s="37"/>
      <c r="AR51" s="37">
        <f t="shared" si="20"/>
        <v>1</v>
      </c>
      <c r="AS51" s="37">
        <f t="shared" si="21"/>
        <v>1</v>
      </c>
      <c r="AT51" s="37" t="str">
        <f t="shared" si="22"/>
        <v>Correct</v>
      </c>
      <c r="AU51" s="37"/>
      <c r="AV51" s="120" t="str">
        <f>IFERROR(VLOOKUP(Table1[RespondentID],'All Data'!$A$3:$CO$999,87,FALSE),"unknown")</f>
        <v>Woman</v>
      </c>
      <c r="AW51" s="120">
        <f>IFERROR(VLOOKUP(Table1[RespondentID],'All Data'!$A$3:$CO$999,88,FALSE),"unknown")</f>
        <v>37</v>
      </c>
      <c r="AX51" s="120" t="str">
        <f>IFERROR(VLOOKUP(Table1[RespondentID],'All Data'!$A$3:$CO$999,89,FALSE),"unknown")</f>
        <v>Suffolk</v>
      </c>
      <c r="AY51" s="120" t="str">
        <f>IFERROR(VLOOKUP(Table1[RespondentID],'All Data'!$A$3:$CO$999,90,FALSE),"unknown")</f>
        <v>Huntington, 11743</v>
      </c>
      <c r="AZ51" s="120">
        <f>IFERROR(VLOOKUP(Table1[RespondentID],'All Data'!$A$3:$CO$999,91,FALSE),"unknown")</f>
        <v>0</v>
      </c>
      <c r="BA51" s="120">
        <f>IFERROR(VLOOKUP(Table1[RespondentID],'All Data'!$A$3:$CO$999,92,FALSE),"unknown")</f>
        <v>0</v>
      </c>
      <c r="BB51" s="120" t="str">
        <f>IFERROR(VLOOKUP(Table1[RespondentID],'All Data'!$A$3:$CO$999,93,FALSE),"unknown")</f>
        <v>English, Spanish</v>
      </c>
      <c r="BC51" s="120">
        <f>IFERROR(VLOOKUP(Table1[RespondentID],'All Data'!$A$3:$CW$999,94,FALSE),"unknown")</f>
        <v>0</v>
      </c>
      <c r="BD51" s="120" t="str">
        <f>IFERROR(VLOOKUP(Table1[RespondentID],'All Data'!$A$3:$CW$999,95,FALSE),"unknown")</f>
        <v>Graduate school</v>
      </c>
      <c r="BE51" s="120" t="str">
        <f>IFERROR(VLOOKUP(Table1[RespondentID],'All Data'!$A$3:$CW$999,96,FALSE),"unknown")</f>
        <v>Employed for wages</v>
      </c>
      <c r="BF51" s="120" t="str">
        <f>IFERROR(VLOOKUP(Table1[RespondentID],'All Data'!$A$3:$CW$999,97,FALSE),"unknown")</f>
        <v>Yes</v>
      </c>
      <c r="BG51" s="120" t="str">
        <f>IFERROR(VLOOKUP(Table1[RespondentID],'All Data'!$A$3:$CW$999,98,FALSE),"unknown")</f>
        <v>Private/Commercial</v>
      </c>
      <c r="BH51" s="120">
        <f>IFERROR(VLOOKUP(Table1[RespondentID],'All Data'!$A$3:$CW$999,99,FALSE),"unknown")</f>
        <v>0</v>
      </c>
    </row>
    <row r="52" spans="1:60">
      <c r="A52" s="5">
        <v>18025182059</v>
      </c>
      <c r="B52" s="5"/>
      <c r="C52" s="5"/>
      <c r="D52" s="5" t="s">
        <v>51</v>
      </c>
      <c r="E52" s="5"/>
      <c r="F52" s="5"/>
      <c r="G52" s="5"/>
      <c r="H52" s="5"/>
      <c r="I52" s="5" t="s">
        <v>55</v>
      </c>
      <c r="J52" s="5"/>
      <c r="K52" s="5"/>
      <c r="L52" s="5"/>
      <c r="M52" s="5"/>
      <c r="N52" s="5" t="s">
        <v>24</v>
      </c>
      <c r="O52" s="5"/>
      <c r="P52" s="5"/>
      <c r="Q52" s="5"/>
      <c r="R52" s="5"/>
      <c r="S52" s="5"/>
      <c r="T52" s="37"/>
      <c r="U52" s="37">
        <f t="shared" si="0"/>
        <v>3</v>
      </c>
      <c r="V52" s="37">
        <f t="shared" si="1"/>
        <v>1</v>
      </c>
      <c r="W52" s="37"/>
      <c r="X52" s="37">
        <f t="shared" si="2"/>
        <v>0</v>
      </c>
      <c r="Y52" s="37">
        <f t="shared" si="3"/>
        <v>0</v>
      </c>
      <c r="Z52" s="37">
        <f t="shared" si="4"/>
        <v>1</v>
      </c>
      <c r="AA52" s="37">
        <f t="shared" si="5"/>
        <v>0</v>
      </c>
      <c r="AB52" s="37">
        <f t="shared" si="6"/>
        <v>0</v>
      </c>
      <c r="AC52" s="37">
        <f t="shared" si="7"/>
        <v>0</v>
      </c>
      <c r="AD52" s="37">
        <f t="shared" si="8"/>
        <v>0</v>
      </c>
      <c r="AE52" s="37">
        <f t="shared" si="9"/>
        <v>1</v>
      </c>
      <c r="AF52" s="37">
        <f t="shared" si="10"/>
        <v>0</v>
      </c>
      <c r="AG52" s="37">
        <f t="shared" si="11"/>
        <v>0</v>
      </c>
      <c r="AH52" s="37">
        <f t="shared" si="12"/>
        <v>0</v>
      </c>
      <c r="AI52" s="37">
        <f t="shared" si="13"/>
        <v>0</v>
      </c>
      <c r="AJ52" s="37">
        <f t="shared" si="14"/>
        <v>1</v>
      </c>
      <c r="AK52" s="37">
        <f t="shared" si="15"/>
        <v>0</v>
      </c>
      <c r="AL52" s="37">
        <f t="shared" si="16"/>
        <v>0</v>
      </c>
      <c r="AM52" s="37">
        <f t="shared" si="17"/>
        <v>0</v>
      </c>
      <c r="AN52" s="37">
        <f t="shared" si="18"/>
        <v>0</v>
      </c>
      <c r="AO52" s="37">
        <f t="shared" si="19"/>
        <v>0</v>
      </c>
      <c r="AP52" s="37"/>
      <c r="AQ52" s="37"/>
      <c r="AR52" s="37">
        <f t="shared" si="20"/>
        <v>3</v>
      </c>
      <c r="AS52" s="37">
        <f t="shared" si="21"/>
        <v>3</v>
      </c>
      <c r="AT52" s="37" t="str">
        <f t="shared" si="22"/>
        <v>Correct</v>
      </c>
      <c r="AU52" s="37"/>
      <c r="AV52" s="120" t="str">
        <f>IFERROR(VLOOKUP(Table1[RespondentID],'All Data'!$A$3:$CO$999,87,FALSE),"unknown")</f>
        <v>Man</v>
      </c>
      <c r="AW52" s="120">
        <f>IFERROR(VLOOKUP(Table1[RespondentID],'All Data'!$A$3:$CO$999,88,FALSE),"unknown")</f>
        <v>58</v>
      </c>
      <c r="AX52" s="120" t="str">
        <f>IFERROR(VLOOKUP(Table1[RespondentID],'All Data'!$A$3:$CO$999,89,FALSE),"unknown")</f>
        <v>Suffolk</v>
      </c>
      <c r="AY52" s="120" t="str">
        <f>IFERROR(VLOOKUP(Table1[RespondentID],'All Data'!$A$3:$CO$999,90,FALSE),"unknown")</f>
        <v>Centerport, 11721</v>
      </c>
      <c r="AZ52" s="120" t="str">
        <f>IFERROR(VLOOKUP(Table1[RespondentID],'All Data'!$A$3:$CO$999,91,FALSE),"unknown")</f>
        <v>White</v>
      </c>
      <c r="BA52" s="120" t="str">
        <f>IFERROR(VLOOKUP(Table1[RespondentID],'All Data'!$A$3:$CO$999,92,FALSE),"unknown")</f>
        <v>Not Hispanic or Latino</v>
      </c>
      <c r="BB52" s="120" t="str">
        <f>IFERROR(VLOOKUP(Table1[RespondentID],'All Data'!$A$3:$CO$999,93,FALSE),"unknown")</f>
        <v>English</v>
      </c>
      <c r="BC52" s="120" t="str">
        <f>IFERROR(VLOOKUP(Table1[RespondentID],'All Data'!$A$3:$CW$999,94,FALSE),"unknown")</f>
        <v>Over $125,000</v>
      </c>
      <c r="BD52" s="120" t="str">
        <f>IFERROR(VLOOKUP(Table1[RespondentID],'All Data'!$A$3:$CW$999,95,FALSE),"unknown")</f>
        <v>Doctorate</v>
      </c>
      <c r="BE52" s="120" t="str">
        <f>IFERROR(VLOOKUP(Table1[RespondentID],'All Data'!$A$3:$CW$999,96,FALSE),"unknown")</f>
        <v>Self-employed</v>
      </c>
      <c r="BF52" s="120" t="str">
        <f>IFERROR(VLOOKUP(Table1[RespondentID],'All Data'!$A$3:$CW$999,97,FALSE),"unknown")</f>
        <v>Yes</v>
      </c>
      <c r="BG52" s="120">
        <f>IFERROR(VLOOKUP(Table1[RespondentID],'All Data'!$A$3:$CW$999,98,FALSE),"unknown")</f>
        <v>0</v>
      </c>
      <c r="BH52" s="120">
        <f>IFERROR(VLOOKUP(Table1[RespondentID],'All Data'!$A$3:$CW$999,99,FALSE),"unknown")</f>
        <v>0</v>
      </c>
    </row>
    <row r="53" spans="1:60">
      <c r="A53" s="5">
        <v>18025181795</v>
      </c>
      <c r="B53" s="5"/>
      <c r="C53" s="5"/>
      <c r="D53" s="5" t="s">
        <v>51</v>
      </c>
      <c r="E53" s="5"/>
      <c r="F53" s="5"/>
      <c r="G53" s="5"/>
      <c r="H53" s="5"/>
      <c r="I53" s="5" t="s">
        <v>55</v>
      </c>
      <c r="J53" s="5"/>
      <c r="K53" s="5"/>
      <c r="L53" s="5"/>
      <c r="M53" s="5"/>
      <c r="N53" s="5" t="s">
        <v>24</v>
      </c>
      <c r="O53" s="5"/>
      <c r="P53" s="5"/>
      <c r="Q53" s="5"/>
      <c r="R53" s="5"/>
      <c r="S53" s="5"/>
      <c r="T53" s="37"/>
      <c r="U53" s="37">
        <f t="shared" si="0"/>
        <v>3</v>
      </c>
      <c r="V53" s="37">
        <f t="shared" si="1"/>
        <v>1</v>
      </c>
      <c r="W53" s="37"/>
      <c r="X53" s="37">
        <f t="shared" si="2"/>
        <v>0</v>
      </c>
      <c r="Y53" s="37">
        <f t="shared" si="3"/>
        <v>0</v>
      </c>
      <c r="Z53" s="37">
        <f t="shared" si="4"/>
        <v>1</v>
      </c>
      <c r="AA53" s="37">
        <f t="shared" si="5"/>
        <v>0</v>
      </c>
      <c r="AB53" s="37">
        <f t="shared" si="6"/>
        <v>0</v>
      </c>
      <c r="AC53" s="37">
        <f t="shared" si="7"/>
        <v>0</v>
      </c>
      <c r="AD53" s="37">
        <f t="shared" si="8"/>
        <v>0</v>
      </c>
      <c r="AE53" s="37">
        <f t="shared" si="9"/>
        <v>1</v>
      </c>
      <c r="AF53" s="37">
        <f t="shared" si="10"/>
        <v>0</v>
      </c>
      <c r="AG53" s="37">
        <f t="shared" si="11"/>
        <v>0</v>
      </c>
      <c r="AH53" s="37">
        <f t="shared" si="12"/>
        <v>0</v>
      </c>
      <c r="AI53" s="37">
        <f t="shared" si="13"/>
        <v>0</v>
      </c>
      <c r="AJ53" s="37">
        <f t="shared" si="14"/>
        <v>1</v>
      </c>
      <c r="AK53" s="37">
        <f t="shared" si="15"/>
        <v>0</v>
      </c>
      <c r="AL53" s="37">
        <f t="shared" si="16"/>
        <v>0</v>
      </c>
      <c r="AM53" s="37">
        <f t="shared" si="17"/>
        <v>0</v>
      </c>
      <c r="AN53" s="37">
        <f t="shared" si="18"/>
        <v>0</v>
      </c>
      <c r="AO53" s="37">
        <f t="shared" si="19"/>
        <v>0</v>
      </c>
      <c r="AP53" s="37"/>
      <c r="AQ53" s="37"/>
      <c r="AR53" s="37">
        <f t="shared" si="20"/>
        <v>3</v>
      </c>
      <c r="AS53" s="37">
        <f t="shared" si="21"/>
        <v>3</v>
      </c>
      <c r="AT53" s="37" t="str">
        <f t="shared" si="22"/>
        <v>Correct</v>
      </c>
      <c r="AU53" s="37"/>
      <c r="AV53" s="120" t="str">
        <f>IFERROR(VLOOKUP(Table1[RespondentID],'All Data'!$A$3:$CO$999,87,FALSE),"unknown")</f>
        <v>Man</v>
      </c>
      <c r="AW53" s="120">
        <f>IFERROR(VLOOKUP(Table1[RespondentID],'All Data'!$A$3:$CO$999,88,FALSE),"unknown")</f>
        <v>58</v>
      </c>
      <c r="AX53" s="120" t="str">
        <f>IFERROR(VLOOKUP(Table1[RespondentID],'All Data'!$A$3:$CO$999,89,FALSE),"unknown")</f>
        <v>Suffolk</v>
      </c>
      <c r="AY53" s="120" t="str">
        <f>IFERROR(VLOOKUP(Table1[RespondentID],'All Data'!$A$3:$CO$999,90,FALSE),"unknown")</f>
        <v>Centerport, 11721</v>
      </c>
      <c r="AZ53" s="120" t="str">
        <f>IFERROR(VLOOKUP(Table1[RespondentID],'All Data'!$A$3:$CO$999,91,FALSE),"unknown")</f>
        <v>White</v>
      </c>
      <c r="BA53" s="120" t="str">
        <f>IFERROR(VLOOKUP(Table1[RespondentID],'All Data'!$A$3:$CO$999,92,FALSE),"unknown")</f>
        <v>Not Hispanic or Latino</v>
      </c>
      <c r="BB53" s="120" t="str">
        <f>IFERROR(VLOOKUP(Table1[RespondentID],'All Data'!$A$3:$CO$999,93,FALSE),"unknown")</f>
        <v>English</v>
      </c>
      <c r="BC53" s="120" t="str">
        <f>IFERROR(VLOOKUP(Table1[RespondentID],'All Data'!$A$3:$CW$999,94,FALSE),"unknown")</f>
        <v>Over $125,000</v>
      </c>
      <c r="BD53" s="120" t="str">
        <f>IFERROR(VLOOKUP(Table1[RespondentID],'All Data'!$A$3:$CW$999,95,FALSE),"unknown")</f>
        <v>Doctorate</v>
      </c>
      <c r="BE53" s="120" t="str">
        <f>IFERROR(VLOOKUP(Table1[RespondentID],'All Data'!$A$3:$CW$999,96,FALSE),"unknown")</f>
        <v>Employed for wages</v>
      </c>
      <c r="BF53" s="120" t="str">
        <f>IFERROR(VLOOKUP(Table1[RespondentID],'All Data'!$A$3:$CW$999,97,FALSE),"unknown")</f>
        <v>Yes</v>
      </c>
      <c r="BG53" s="120">
        <f>IFERROR(VLOOKUP(Table1[RespondentID],'All Data'!$A$3:$CW$999,98,FALSE),"unknown")</f>
        <v>0</v>
      </c>
      <c r="BH53" s="120">
        <f>IFERROR(VLOOKUP(Table1[RespondentID],'All Data'!$A$3:$CW$999,99,FALSE),"unknown")</f>
        <v>0</v>
      </c>
    </row>
    <row r="54" spans="1:60">
      <c r="A54" s="5">
        <v>18025181633</v>
      </c>
      <c r="B54" s="5"/>
      <c r="C54" s="5"/>
      <c r="D54" s="5" t="s">
        <v>51</v>
      </c>
      <c r="E54" s="5"/>
      <c r="F54" s="5"/>
      <c r="G54" s="5"/>
      <c r="H54" s="5"/>
      <c r="I54" s="5"/>
      <c r="J54" s="5"/>
      <c r="K54" s="5"/>
      <c r="L54" s="5" t="s">
        <v>58</v>
      </c>
      <c r="M54" s="5"/>
      <c r="N54" s="5"/>
      <c r="O54" s="5"/>
      <c r="P54" s="5"/>
      <c r="Q54" s="5"/>
      <c r="R54" s="5"/>
      <c r="S54" s="5" t="s">
        <v>63</v>
      </c>
      <c r="T54" s="37"/>
      <c r="U54" s="37">
        <f t="shared" si="0"/>
        <v>3</v>
      </c>
      <c r="V54" s="37">
        <f t="shared" si="1"/>
        <v>1</v>
      </c>
      <c r="W54" s="37"/>
      <c r="X54" s="37">
        <f t="shared" si="2"/>
        <v>0</v>
      </c>
      <c r="Y54" s="37">
        <f t="shared" si="3"/>
        <v>0</v>
      </c>
      <c r="Z54" s="37">
        <f t="shared" si="4"/>
        <v>1</v>
      </c>
      <c r="AA54" s="37">
        <f t="shared" si="5"/>
        <v>0</v>
      </c>
      <c r="AB54" s="37">
        <f t="shared" si="6"/>
        <v>0</v>
      </c>
      <c r="AC54" s="37">
        <f t="shared" si="7"/>
        <v>0</v>
      </c>
      <c r="AD54" s="37">
        <f t="shared" si="8"/>
        <v>0</v>
      </c>
      <c r="AE54" s="37">
        <f t="shared" si="9"/>
        <v>0</v>
      </c>
      <c r="AF54" s="37">
        <f t="shared" si="10"/>
        <v>0</v>
      </c>
      <c r="AG54" s="37">
        <f t="shared" si="11"/>
        <v>0</v>
      </c>
      <c r="AH54" s="37">
        <f t="shared" si="12"/>
        <v>1</v>
      </c>
      <c r="AI54" s="37">
        <f t="shared" si="13"/>
        <v>0</v>
      </c>
      <c r="AJ54" s="37">
        <f t="shared" si="14"/>
        <v>0</v>
      </c>
      <c r="AK54" s="37">
        <f t="shared" si="15"/>
        <v>0</v>
      </c>
      <c r="AL54" s="37">
        <f t="shared" si="16"/>
        <v>0</v>
      </c>
      <c r="AM54" s="37">
        <f t="shared" si="17"/>
        <v>0</v>
      </c>
      <c r="AN54" s="37">
        <f t="shared" si="18"/>
        <v>0</v>
      </c>
      <c r="AO54" s="37">
        <f t="shared" si="19"/>
        <v>1</v>
      </c>
      <c r="AP54" s="37"/>
      <c r="AQ54" s="37"/>
      <c r="AR54" s="37">
        <f t="shared" si="20"/>
        <v>3</v>
      </c>
      <c r="AS54" s="37">
        <f t="shared" si="21"/>
        <v>3</v>
      </c>
      <c r="AT54" s="37" t="str">
        <f t="shared" si="22"/>
        <v>Correct</v>
      </c>
      <c r="AU54" s="37"/>
      <c r="AV54" s="120" t="str">
        <f>IFERROR(VLOOKUP(Table1[RespondentID],'All Data'!$A$3:$CO$999,87,FALSE),"unknown")</f>
        <v>Man</v>
      </c>
      <c r="AW54" s="120">
        <f>IFERROR(VLOOKUP(Table1[RespondentID],'All Data'!$A$3:$CO$999,88,FALSE),"unknown")</f>
        <v>26</v>
      </c>
      <c r="AX54" s="120" t="str">
        <f>IFERROR(VLOOKUP(Table1[RespondentID],'All Data'!$A$3:$CO$999,89,FALSE),"unknown")</f>
        <v>Queens</v>
      </c>
      <c r="AY54" s="120">
        <f>IFERROR(VLOOKUP(Table1[RespondentID],'All Data'!$A$3:$CO$999,90,FALSE),"unknown")</f>
        <v>11231</v>
      </c>
      <c r="AZ54" s="120" t="str">
        <f>IFERROR(VLOOKUP(Table1[RespondentID],'All Data'!$A$3:$CO$999,91,FALSE),"unknown")</f>
        <v>White</v>
      </c>
      <c r="BA54" s="120" t="str">
        <f>IFERROR(VLOOKUP(Table1[RespondentID],'All Data'!$A$3:$CO$999,92,FALSE),"unknown")</f>
        <v>Hispanic or Latino</v>
      </c>
      <c r="BB54" s="120" t="str">
        <f>IFERROR(VLOOKUP(Table1[RespondentID],'All Data'!$A$3:$CO$999,93,FALSE),"unknown")</f>
        <v>English</v>
      </c>
      <c r="BC54" s="120" t="str">
        <f>IFERROR(VLOOKUP(Table1[RespondentID],'All Data'!$A$3:$CW$999,94,FALSE),"unknown")</f>
        <v>$75,000 to $125,000</v>
      </c>
      <c r="BD54" s="120" t="str">
        <f>IFERROR(VLOOKUP(Table1[RespondentID],'All Data'!$A$3:$CW$999,95,FALSE),"unknown")</f>
        <v>College graduate</v>
      </c>
      <c r="BE54" s="120" t="str">
        <f>IFERROR(VLOOKUP(Table1[RespondentID],'All Data'!$A$3:$CW$999,96,FALSE),"unknown")</f>
        <v>Employed for wages</v>
      </c>
      <c r="BF54" s="120" t="str">
        <f>IFERROR(VLOOKUP(Table1[RespondentID],'All Data'!$A$3:$CW$999,97,FALSE),"unknown")</f>
        <v>Yes</v>
      </c>
      <c r="BG54" s="120" t="str">
        <f>IFERROR(VLOOKUP(Table1[RespondentID],'All Data'!$A$3:$CW$999,98,FALSE),"unknown")</f>
        <v>Private/Commercial</v>
      </c>
      <c r="BH54" s="120">
        <f>IFERROR(VLOOKUP(Table1[RespondentID],'All Data'!$A$3:$CW$999,99,FALSE),"unknown")</f>
        <v>0</v>
      </c>
    </row>
    <row r="55" spans="1:60">
      <c r="A55" s="5">
        <v>18025180780</v>
      </c>
      <c r="B55" s="5" t="s">
        <v>49</v>
      </c>
      <c r="C55" s="5"/>
      <c r="D55" s="5"/>
      <c r="E55" s="5" t="s">
        <v>17</v>
      </c>
      <c r="F55" s="5"/>
      <c r="G55" s="5"/>
      <c r="H55" s="5"/>
      <c r="I55" s="5"/>
      <c r="J55" s="5"/>
      <c r="K55" s="5"/>
      <c r="L55" s="5"/>
      <c r="M55" s="5"/>
      <c r="N55" s="5"/>
      <c r="O55" s="5"/>
      <c r="P55" s="5"/>
      <c r="Q55" s="5"/>
      <c r="R55" s="5"/>
      <c r="S55" s="5" t="s">
        <v>63</v>
      </c>
      <c r="T55" s="37"/>
      <c r="U55" s="37">
        <f t="shared" si="0"/>
        <v>3</v>
      </c>
      <c r="V55" s="37">
        <f t="shared" si="1"/>
        <v>1</v>
      </c>
      <c r="W55" s="37"/>
      <c r="X55" s="37">
        <f t="shared" si="2"/>
        <v>1</v>
      </c>
      <c r="Y55" s="37">
        <f t="shared" si="3"/>
        <v>0</v>
      </c>
      <c r="Z55" s="37">
        <f t="shared" si="4"/>
        <v>0</v>
      </c>
      <c r="AA55" s="37">
        <f t="shared" si="5"/>
        <v>1</v>
      </c>
      <c r="AB55" s="37">
        <f t="shared" si="6"/>
        <v>0</v>
      </c>
      <c r="AC55" s="37">
        <f t="shared" si="7"/>
        <v>0</v>
      </c>
      <c r="AD55" s="37">
        <f t="shared" si="8"/>
        <v>0</v>
      </c>
      <c r="AE55" s="37">
        <f t="shared" si="9"/>
        <v>0</v>
      </c>
      <c r="AF55" s="37">
        <f t="shared" si="10"/>
        <v>0</v>
      </c>
      <c r="AG55" s="37">
        <f t="shared" si="11"/>
        <v>0</v>
      </c>
      <c r="AH55" s="37">
        <f t="shared" si="12"/>
        <v>0</v>
      </c>
      <c r="AI55" s="37">
        <f t="shared" si="13"/>
        <v>0</v>
      </c>
      <c r="AJ55" s="37">
        <f t="shared" si="14"/>
        <v>0</v>
      </c>
      <c r="AK55" s="37">
        <f t="shared" si="15"/>
        <v>0</v>
      </c>
      <c r="AL55" s="37">
        <f t="shared" si="16"/>
        <v>0</v>
      </c>
      <c r="AM55" s="37">
        <f t="shared" si="17"/>
        <v>0</v>
      </c>
      <c r="AN55" s="37">
        <f t="shared" si="18"/>
        <v>0</v>
      </c>
      <c r="AO55" s="37">
        <f t="shared" si="19"/>
        <v>1</v>
      </c>
      <c r="AP55" s="37"/>
      <c r="AQ55" s="37"/>
      <c r="AR55" s="37">
        <f t="shared" si="20"/>
        <v>3</v>
      </c>
      <c r="AS55" s="37">
        <f t="shared" si="21"/>
        <v>3</v>
      </c>
      <c r="AT55" s="37" t="str">
        <f t="shared" si="22"/>
        <v>Correct</v>
      </c>
      <c r="AU55" s="37"/>
      <c r="AV55" s="120" t="str">
        <f>IFERROR(VLOOKUP(Table1[RespondentID],'All Data'!$A$3:$CO$999,87,FALSE),"unknown")</f>
        <v>Man</v>
      </c>
      <c r="AW55" s="120">
        <f>IFERROR(VLOOKUP(Table1[RespondentID],'All Data'!$A$3:$CO$999,88,FALSE),"unknown")</f>
        <v>42</v>
      </c>
      <c r="AX55" s="120" t="str">
        <f>IFERROR(VLOOKUP(Table1[RespondentID],'All Data'!$A$3:$CO$999,89,FALSE),"unknown")</f>
        <v>Nassau</v>
      </c>
      <c r="AY55" s="120" t="str">
        <f>IFERROR(VLOOKUP(Table1[RespondentID],'All Data'!$A$3:$CO$999,90,FALSE),"unknown")</f>
        <v>Jericho, 11753</v>
      </c>
      <c r="AZ55" s="120" t="str">
        <f>IFERROR(VLOOKUP(Table1[RespondentID],'All Data'!$A$3:$CO$999,91,FALSE),"unknown")</f>
        <v>Asian</v>
      </c>
      <c r="BA55" s="120" t="str">
        <f>IFERROR(VLOOKUP(Table1[RespondentID],'All Data'!$A$3:$CO$999,92,FALSE),"unknown")</f>
        <v>Not Hispanic or Latino</v>
      </c>
      <c r="BB55" s="120" t="str">
        <f>IFERROR(VLOOKUP(Table1[RespondentID],'All Data'!$A$3:$CO$999,93,FALSE),"unknown")</f>
        <v>English, Hindi</v>
      </c>
      <c r="BC55" s="120" t="str">
        <f>IFERROR(VLOOKUP(Table1[RespondentID],'All Data'!$A$3:$CW$999,94,FALSE),"unknown")</f>
        <v>$50,000 to $74,999</v>
      </c>
      <c r="BD55" s="120" t="str">
        <f>IFERROR(VLOOKUP(Table1[RespondentID],'All Data'!$A$3:$CW$999,95,FALSE),"unknown")</f>
        <v>High school graduate</v>
      </c>
      <c r="BE55" s="120" t="str">
        <f>IFERROR(VLOOKUP(Table1[RespondentID],'All Data'!$A$3:$CW$999,96,FALSE),"unknown")</f>
        <v>Self-employed</v>
      </c>
      <c r="BF55" s="120" t="str">
        <f>IFERROR(VLOOKUP(Table1[RespondentID],'All Data'!$A$3:$CW$999,97,FALSE),"unknown")</f>
        <v>Yes</v>
      </c>
      <c r="BG55" s="120">
        <f>IFERROR(VLOOKUP(Table1[RespondentID],'All Data'!$A$3:$CW$999,98,FALSE),"unknown")</f>
        <v>0</v>
      </c>
      <c r="BH55" s="120">
        <f>IFERROR(VLOOKUP(Table1[RespondentID],'All Data'!$A$3:$CW$999,99,FALSE),"unknown")</f>
        <v>0</v>
      </c>
    </row>
    <row r="56" spans="1:60">
      <c r="A56" s="5">
        <v>18025180610</v>
      </c>
      <c r="B56" s="5"/>
      <c r="C56" s="5"/>
      <c r="D56" s="5" t="s">
        <v>51</v>
      </c>
      <c r="E56" s="5"/>
      <c r="F56" s="5"/>
      <c r="G56" s="5"/>
      <c r="H56" s="5"/>
      <c r="I56" s="5"/>
      <c r="J56" s="5"/>
      <c r="K56" s="5"/>
      <c r="L56" s="5"/>
      <c r="M56" s="5"/>
      <c r="N56" s="5"/>
      <c r="O56" s="5"/>
      <c r="P56" s="5"/>
      <c r="Q56" s="5"/>
      <c r="R56" s="5" t="s">
        <v>62</v>
      </c>
      <c r="S56" s="5" t="s">
        <v>63</v>
      </c>
      <c r="T56" s="37"/>
      <c r="U56" s="37">
        <f t="shared" si="0"/>
        <v>3</v>
      </c>
      <c r="V56" s="37">
        <f t="shared" si="1"/>
        <v>1</v>
      </c>
      <c r="W56" s="37"/>
      <c r="X56" s="37">
        <f t="shared" si="2"/>
        <v>0</v>
      </c>
      <c r="Y56" s="37">
        <f t="shared" si="3"/>
        <v>0</v>
      </c>
      <c r="Z56" s="37">
        <f t="shared" si="4"/>
        <v>1</v>
      </c>
      <c r="AA56" s="37">
        <f t="shared" si="5"/>
        <v>0</v>
      </c>
      <c r="AB56" s="37">
        <f t="shared" si="6"/>
        <v>0</v>
      </c>
      <c r="AC56" s="37">
        <f t="shared" si="7"/>
        <v>0</v>
      </c>
      <c r="AD56" s="37">
        <f t="shared" si="8"/>
        <v>0</v>
      </c>
      <c r="AE56" s="37">
        <f t="shared" si="9"/>
        <v>0</v>
      </c>
      <c r="AF56" s="37">
        <f t="shared" si="10"/>
        <v>0</v>
      </c>
      <c r="AG56" s="37">
        <f t="shared" si="11"/>
        <v>0</v>
      </c>
      <c r="AH56" s="37">
        <f t="shared" si="12"/>
        <v>0</v>
      </c>
      <c r="AI56" s="37">
        <f t="shared" si="13"/>
        <v>0</v>
      </c>
      <c r="AJ56" s="37">
        <f t="shared" si="14"/>
        <v>0</v>
      </c>
      <c r="AK56" s="37">
        <f t="shared" si="15"/>
        <v>0</v>
      </c>
      <c r="AL56" s="37">
        <f t="shared" si="16"/>
        <v>0</v>
      </c>
      <c r="AM56" s="37">
        <f t="shared" si="17"/>
        <v>0</v>
      </c>
      <c r="AN56" s="37">
        <f t="shared" si="18"/>
        <v>1</v>
      </c>
      <c r="AO56" s="37">
        <f t="shared" si="19"/>
        <v>1</v>
      </c>
      <c r="AP56" s="37"/>
      <c r="AQ56" s="37"/>
      <c r="AR56" s="37">
        <f t="shared" si="20"/>
        <v>3</v>
      </c>
      <c r="AS56" s="37">
        <f t="shared" si="21"/>
        <v>3</v>
      </c>
      <c r="AT56" s="37" t="str">
        <f t="shared" si="22"/>
        <v>Correct</v>
      </c>
      <c r="AU56" s="37"/>
      <c r="AV56" s="120" t="str">
        <f>IFERROR(VLOOKUP(Table1[RespondentID],'All Data'!$A$3:$CO$999,87,FALSE),"unknown")</f>
        <v>Woman</v>
      </c>
      <c r="AW56" s="120">
        <f>IFERROR(VLOOKUP(Table1[RespondentID],'All Data'!$A$3:$CO$999,88,FALSE),"unknown")</f>
        <v>44</v>
      </c>
      <c r="AX56" s="120" t="str">
        <f>IFERROR(VLOOKUP(Table1[RespondentID],'All Data'!$A$3:$CO$999,89,FALSE),"unknown")</f>
        <v>Suffolk</v>
      </c>
      <c r="AY56" s="120" t="str">
        <f>IFERROR(VLOOKUP(Table1[RespondentID],'All Data'!$A$3:$CO$999,90,FALSE),"unknown")</f>
        <v>Huntington, 11743</v>
      </c>
      <c r="AZ56" s="120" t="str">
        <f>IFERROR(VLOOKUP(Table1[RespondentID],'All Data'!$A$3:$CO$999,91,FALSE),"unknown")</f>
        <v>Asian</v>
      </c>
      <c r="BA56" s="120" t="str">
        <f>IFERROR(VLOOKUP(Table1[RespondentID],'All Data'!$A$3:$CO$999,92,FALSE),"unknown")</f>
        <v>Not Hispanic or Latino</v>
      </c>
      <c r="BB56" s="120" t="str">
        <f>IFERROR(VLOOKUP(Table1[RespondentID],'All Data'!$A$3:$CO$999,93,FALSE),"unknown")</f>
        <v>Hindi</v>
      </c>
      <c r="BC56" s="120" t="str">
        <f>IFERROR(VLOOKUP(Table1[RespondentID],'All Data'!$A$3:$CW$999,94,FALSE),"unknown")</f>
        <v>$50,000 to $74,999</v>
      </c>
      <c r="BD56" s="120" t="str">
        <f>IFERROR(VLOOKUP(Table1[RespondentID],'All Data'!$A$3:$CW$999,95,FALSE),"unknown")</f>
        <v>College graduate</v>
      </c>
      <c r="BE56" s="120" t="str">
        <f>IFERROR(VLOOKUP(Table1[RespondentID],'All Data'!$A$3:$CW$999,96,FALSE),"unknown")</f>
        <v>Employed for wages</v>
      </c>
      <c r="BF56" s="120" t="str">
        <f>IFERROR(VLOOKUP(Table1[RespondentID],'All Data'!$A$3:$CW$999,97,FALSE),"unknown")</f>
        <v>Yes</v>
      </c>
      <c r="BG56" s="120">
        <f>IFERROR(VLOOKUP(Table1[RespondentID],'All Data'!$A$3:$CW$999,98,FALSE),"unknown")</f>
        <v>0</v>
      </c>
      <c r="BH56" s="120">
        <f>IFERROR(VLOOKUP(Table1[RespondentID],'All Data'!$A$3:$CW$999,99,FALSE),"unknown")</f>
        <v>0</v>
      </c>
    </row>
    <row r="57" spans="1:60">
      <c r="A57" s="5">
        <v>18025180456</v>
      </c>
      <c r="B57" s="5"/>
      <c r="C57" s="5"/>
      <c r="D57" s="5"/>
      <c r="E57" s="5"/>
      <c r="F57" s="5"/>
      <c r="G57" s="5" t="s">
        <v>53</v>
      </c>
      <c r="H57" s="5"/>
      <c r="I57" s="5"/>
      <c r="J57" s="5"/>
      <c r="K57" s="5"/>
      <c r="L57" s="5" t="s">
        <v>58</v>
      </c>
      <c r="M57" s="5"/>
      <c r="N57" s="5" t="s">
        <v>24</v>
      </c>
      <c r="O57" s="5"/>
      <c r="P57" s="5"/>
      <c r="Q57" s="5"/>
      <c r="R57" s="5"/>
      <c r="S57" s="5"/>
      <c r="T57" s="37"/>
      <c r="U57" s="37">
        <f t="shared" si="0"/>
        <v>3</v>
      </c>
      <c r="V57" s="37">
        <f t="shared" si="1"/>
        <v>1</v>
      </c>
      <c r="W57" s="37"/>
      <c r="X57" s="37">
        <f t="shared" si="2"/>
        <v>0</v>
      </c>
      <c r="Y57" s="37">
        <f t="shared" si="3"/>
        <v>0</v>
      </c>
      <c r="Z57" s="37">
        <f t="shared" si="4"/>
        <v>0</v>
      </c>
      <c r="AA57" s="37">
        <f t="shared" si="5"/>
        <v>0</v>
      </c>
      <c r="AB57" s="37">
        <f t="shared" si="6"/>
        <v>0</v>
      </c>
      <c r="AC57" s="37">
        <f t="shared" si="7"/>
        <v>1</v>
      </c>
      <c r="AD57" s="37">
        <f t="shared" si="8"/>
        <v>0</v>
      </c>
      <c r="AE57" s="37">
        <f t="shared" si="9"/>
        <v>0</v>
      </c>
      <c r="AF57" s="37">
        <f t="shared" si="10"/>
        <v>0</v>
      </c>
      <c r="AG57" s="37">
        <f t="shared" si="11"/>
        <v>0</v>
      </c>
      <c r="AH57" s="37">
        <f t="shared" si="12"/>
        <v>1</v>
      </c>
      <c r="AI57" s="37">
        <f t="shared" si="13"/>
        <v>0</v>
      </c>
      <c r="AJ57" s="37">
        <f t="shared" si="14"/>
        <v>1</v>
      </c>
      <c r="AK57" s="37">
        <f t="shared" si="15"/>
        <v>0</v>
      </c>
      <c r="AL57" s="37">
        <f t="shared" si="16"/>
        <v>0</v>
      </c>
      <c r="AM57" s="37">
        <f t="shared" si="17"/>
        <v>0</v>
      </c>
      <c r="AN57" s="37">
        <f t="shared" si="18"/>
        <v>0</v>
      </c>
      <c r="AO57" s="37">
        <f t="shared" si="19"/>
        <v>0</v>
      </c>
      <c r="AP57" s="37"/>
      <c r="AQ57" s="37"/>
      <c r="AR57" s="37">
        <f t="shared" si="20"/>
        <v>3</v>
      </c>
      <c r="AS57" s="37">
        <f t="shared" si="21"/>
        <v>3</v>
      </c>
      <c r="AT57" s="37" t="str">
        <f t="shared" si="22"/>
        <v>Correct</v>
      </c>
      <c r="AU57" s="37"/>
      <c r="AV57" s="120" t="str">
        <f>IFERROR(VLOOKUP(Table1[RespondentID],'All Data'!$A$3:$CO$999,87,FALSE),"unknown")</f>
        <v>Man</v>
      </c>
      <c r="AW57" s="120">
        <f>IFERROR(VLOOKUP(Table1[RespondentID],'All Data'!$A$3:$CO$999,88,FALSE),"unknown")</f>
        <v>65</v>
      </c>
      <c r="AX57" s="120" t="str">
        <f>IFERROR(VLOOKUP(Table1[RespondentID],'All Data'!$A$3:$CO$999,89,FALSE),"unknown")</f>
        <v>Suffolk</v>
      </c>
      <c r="AY57" s="120" t="str">
        <f>IFERROR(VLOOKUP(Table1[RespondentID],'All Data'!$A$3:$CO$999,90,FALSE),"unknown")</f>
        <v>Huntington, 11743</v>
      </c>
      <c r="AZ57" s="120" t="str">
        <f>IFERROR(VLOOKUP(Table1[RespondentID],'All Data'!$A$3:$CO$999,91,FALSE),"unknown")</f>
        <v>Asian</v>
      </c>
      <c r="BA57" s="120" t="str">
        <f>IFERROR(VLOOKUP(Table1[RespondentID],'All Data'!$A$3:$CO$999,92,FALSE),"unknown")</f>
        <v>Not Hispanic or Latino</v>
      </c>
      <c r="BB57" s="120" t="str">
        <f>IFERROR(VLOOKUP(Table1[RespondentID],'All Data'!$A$3:$CO$999,93,FALSE),"unknown")</f>
        <v>Hindi</v>
      </c>
      <c r="BC57" s="120" t="str">
        <f>IFERROR(VLOOKUP(Table1[RespondentID],'All Data'!$A$3:$CW$999,94,FALSE),"unknown")</f>
        <v>$50,000 to $74,999</v>
      </c>
      <c r="BD57" s="120" t="str">
        <f>IFERROR(VLOOKUP(Table1[RespondentID],'All Data'!$A$3:$CW$999,95,FALSE),"unknown")</f>
        <v>Some high school</v>
      </c>
      <c r="BE57" s="120" t="str">
        <f>IFERROR(VLOOKUP(Table1[RespondentID],'All Data'!$A$3:$CW$999,96,FALSE),"unknown")</f>
        <v>Self-employed</v>
      </c>
      <c r="BF57" s="120" t="str">
        <f>IFERROR(VLOOKUP(Table1[RespondentID],'All Data'!$A$3:$CW$999,97,FALSE),"unknown")</f>
        <v>Yes</v>
      </c>
      <c r="BG57" s="120">
        <f>IFERROR(VLOOKUP(Table1[RespondentID],'All Data'!$A$3:$CW$999,98,FALSE),"unknown")</f>
        <v>0</v>
      </c>
      <c r="BH57" s="120">
        <f>IFERROR(VLOOKUP(Table1[RespondentID],'All Data'!$A$3:$CW$999,99,FALSE),"unknown")</f>
        <v>0</v>
      </c>
    </row>
    <row r="58" spans="1:60">
      <c r="A58" s="5">
        <v>18025180354</v>
      </c>
      <c r="B58" s="5"/>
      <c r="C58" s="5"/>
      <c r="D58" s="5" t="s">
        <v>51</v>
      </c>
      <c r="E58" s="5"/>
      <c r="F58" s="5"/>
      <c r="G58" s="5"/>
      <c r="H58" s="5"/>
      <c r="I58" s="5" t="s">
        <v>55</v>
      </c>
      <c r="J58" s="5"/>
      <c r="K58" s="5"/>
      <c r="L58" s="5"/>
      <c r="M58" s="5"/>
      <c r="N58" s="5"/>
      <c r="O58" s="5"/>
      <c r="P58" s="5"/>
      <c r="Q58" s="5"/>
      <c r="R58" s="5" t="s">
        <v>62</v>
      </c>
      <c r="S58" s="5"/>
      <c r="T58" s="37"/>
      <c r="U58" s="37">
        <f t="shared" si="0"/>
        <v>3</v>
      </c>
      <c r="V58" s="37">
        <f t="shared" si="1"/>
        <v>1</v>
      </c>
      <c r="W58" s="37"/>
      <c r="X58" s="37">
        <f t="shared" si="2"/>
        <v>0</v>
      </c>
      <c r="Y58" s="37">
        <f t="shared" si="3"/>
        <v>0</v>
      </c>
      <c r="Z58" s="37">
        <f t="shared" si="4"/>
        <v>1</v>
      </c>
      <c r="AA58" s="37">
        <f t="shared" si="5"/>
        <v>0</v>
      </c>
      <c r="AB58" s="37">
        <f t="shared" si="6"/>
        <v>0</v>
      </c>
      <c r="AC58" s="37">
        <f t="shared" si="7"/>
        <v>0</v>
      </c>
      <c r="AD58" s="37">
        <f t="shared" si="8"/>
        <v>0</v>
      </c>
      <c r="AE58" s="37">
        <f t="shared" si="9"/>
        <v>1</v>
      </c>
      <c r="AF58" s="37">
        <f t="shared" si="10"/>
        <v>0</v>
      </c>
      <c r="AG58" s="37">
        <f t="shared" si="11"/>
        <v>0</v>
      </c>
      <c r="AH58" s="37">
        <f t="shared" si="12"/>
        <v>0</v>
      </c>
      <c r="AI58" s="37">
        <f t="shared" si="13"/>
        <v>0</v>
      </c>
      <c r="AJ58" s="37">
        <f t="shared" si="14"/>
        <v>0</v>
      </c>
      <c r="AK58" s="37">
        <f t="shared" si="15"/>
        <v>0</v>
      </c>
      <c r="AL58" s="37">
        <f t="shared" si="16"/>
        <v>0</v>
      </c>
      <c r="AM58" s="37">
        <f t="shared" si="17"/>
        <v>0</v>
      </c>
      <c r="AN58" s="37">
        <f t="shared" si="18"/>
        <v>1</v>
      </c>
      <c r="AO58" s="37">
        <f t="shared" si="19"/>
        <v>0</v>
      </c>
      <c r="AP58" s="37"/>
      <c r="AQ58" s="37"/>
      <c r="AR58" s="37">
        <f t="shared" si="20"/>
        <v>3</v>
      </c>
      <c r="AS58" s="37">
        <f t="shared" si="21"/>
        <v>3</v>
      </c>
      <c r="AT58" s="37" t="str">
        <f t="shared" si="22"/>
        <v>Correct</v>
      </c>
      <c r="AU58" s="37"/>
      <c r="AV58" s="120" t="str">
        <f>IFERROR(VLOOKUP(Table1[RespondentID],'All Data'!$A$3:$CO$999,87,FALSE),"unknown")</f>
        <v>Man</v>
      </c>
      <c r="AW58" s="120">
        <f>IFERROR(VLOOKUP(Table1[RespondentID],'All Data'!$A$3:$CO$999,88,FALSE),"unknown")</f>
        <v>18</v>
      </c>
      <c r="AX58" s="120" t="str">
        <f>IFERROR(VLOOKUP(Table1[RespondentID],'All Data'!$A$3:$CO$999,89,FALSE),"unknown")</f>
        <v>Suffolk</v>
      </c>
      <c r="AY58" s="120" t="str">
        <f>IFERROR(VLOOKUP(Table1[RespondentID],'All Data'!$A$3:$CO$999,90,FALSE),"unknown")</f>
        <v>Huntington, 11743</v>
      </c>
      <c r="AZ58" s="120" t="str">
        <f>IFERROR(VLOOKUP(Table1[RespondentID],'All Data'!$A$3:$CO$999,91,FALSE),"unknown")</f>
        <v>White</v>
      </c>
      <c r="BA58" s="120" t="str">
        <f>IFERROR(VLOOKUP(Table1[RespondentID],'All Data'!$A$3:$CO$999,92,FALSE),"unknown")</f>
        <v>Not Hispanic or Latino</v>
      </c>
      <c r="BB58" s="120" t="str">
        <f>IFERROR(VLOOKUP(Table1[RespondentID],'All Data'!$A$3:$CO$999,93,FALSE),"unknown")</f>
        <v>English</v>
      </c>
      <c r="BC58" s="120" t="str">
        <f>IFERROR(VLOOKUP(Table1[RespondentID],'All Data'!$A$3:$CW$999,94,FALSE),"unknown")</f>
        <v>$75,000 to $125,000</v>
      </c>
      <c r="BD58" s="120" t="str">
        <f>IFERROR(VLOOKUP(Table1[RespondentID],'All Data'!$A$3:$CW$999,95,FALSE),"unknown")</f>
        <v>High school graduate</v>
      </c>
      <c r="BE58" s="120" t="str">
        <f>IFERROR(VLOOKUP(Table1[RespondentID],'All Data'!$A$3:$CW$999,96,FALSE),"unknown")</f>
        <v>Employed for wages</v>
      </c>
      <c r="BF58" s="120" t="str">
        <f>IFERROR(VLOOKUP(Table1[RespondentID],'All Data'!$A$3:$CW$999,97,FALSE),"unknown")</f>
        <v>Yes</v>
      </c>
      <c r="BG58" s="120">
        <f>IFERROR(VLOOKUP(Table1[RespondentID],'All Data'!$A$3:$CW$999,98,FALSE),"unknown")</f>
        <v>0</v>
      </c>
      <c r="BH58" s="120">
        <f>IFERROR(VLOOKUP(Table1[RespondentID],'All Data'!$A$3:$CW$999,99,FALSE),"unknown")</f>
        <v>0</v>
      </c>
    </row>
    <row r="59" spans="1:60">
      <c r="A59" s="5">
        <v>18025180228</v>
      </c>
      <c r="B59" s="5"/>
      <c r="C59" s="5" t="s">
        <v>50</v>
      </c>
      <c r="D59" s="5" t="s">
        <v>51</v>
      </c>
      <c r="E59" s="5" t="s">
        <v>17</v>
      </c>
      <c r="F59" s="5"/>
      <c r="G59" s="5"/>
      <c r="H59" s="5"/>
      <c r="I59" s="5"/>
      <c r="J59" s="5"/>
      <c r="K59" s="5"/>
      <c r="L59" s="5"/>
      <c r="M59" s="5"/>
      <c r="N59" s="5"/>
      <c r="O59" s="5"/>
      <c r="P59" s="5"/>
      <c r="Q59" s="5"/>
      <c r="R59" s="5"/>
      <c r="S59" s="5"/>
      <c r="T59" s="37"/>
      <c r="U59" s="37">
        <f t="shared" si="0"/>
        <v>3</v>
      </c>
      <c r="V59" s="37">
        <f t="shared" si="1"/>
        <v>1</v>
      </c>
      <c r="W59" s="37"/>
      <c r="X59" s="37">
        <f t="shared" si="2"/>
        <v>0</v>
      </c>
      <c r="Y59" s="37">
        <f t="shared" si="3"/>
        <v>1</v>
      </c>
      <c r="Z59" s="37">
        <f t="shared" si="4"/>
        <v>1</v>
      </c>
      <c r="AA59" s="37">
        <f t="shared" si="5"/>
        <v>1</v>
      </c>
      <c r="AB59" s="37">
        <f t="shared" si="6"/>
        <v>0</v>
      </c>
      <c r="AC59" s="37">
        <f t="shared" si="7"/>
        <v>0</v>
      </c>
      <c r="AD59" s="37">
        <f t="shared" si="8"/>
        <v>0</v>
      </c>
      <c r="AE59" s="37">
        <f t="shared" si="9"/>
        <v>0</v>
      </c>
      <c r="AF59" s="37">
        <f t="shared" si="10"/>
        <v>0</v>
      </c>
      <c r="AG59" s="37">
        <f t="shared" si="11"/>
        <v>0</v>
      </c>
      <c r="AH59" s="37">
        <f t="shared" si="12"/>
        <v>0</v>
      </c>
      <c r="AI59" s="37">
        <f t="shared" si="13"/>
        <v>0</v>
      </c>
      <c r="AJ59" s="37">
        <f t="shared" si="14"/>
        <v>0</v>
      </c>
      <c r="AK59" s="37">
        <f t="shared" si="15"/>
        <v>0</v>
      </c>
      <c r="AL59" s="37">
        <f t="shared" si="16"/>
        <v>0</v>
      </c>
      <c r="AM59" s="37">
        <f t="shared" si="17"/>
        <v>0</v>
      </c>
      <c r="AN59" s="37">
        <f t="shared" si="18"/>
        <v>0</v>
      </c>
      <c r="AO59" s="37">
        <f t="shared" si="19"/>
        <v>0</v>
      </c>
      <c r="AP59" s="37"/>
      <c r="AQ59" s="37"/>
      <c r="AR59" s="37">
        <f t="shared" si="20"/>
        <v>3</v>
      </c>
      <c r="AS59" s="37">
        <f t="shared" si="21"/>
        <v>3</v>
      </c>
      <c r="AT59" s="37" t="str">
        <f t="shared" si="22"/>
        <v>Correct</v>
      </c>
      <c r="AU59" s="37"/>
      <c r="AV59" s="120" t="str">
        <f>IFERROR(VLOOKUP(Table1[RespondentID],'All Data'!$A$3:$CO$999,87,FALSE),"unknown")</f>
        <v>Woman</v>
      </c>
      <c r="AW59" s="120">
        <f>IFERROR(VLOOKUP(Table1[RespondentID],'All Data'!$A$3:$CO$999,88,FALSE),"unknown")</f>
        <v>18</v>
      </c>
      <c r="AX59" s="120" t="str">
        <f>IFERROR(VLOOKUP(Table1[RespondentID],'All Data'!$A$3:$CO$999,89,FALSE),"unknown")</f>
        <v>Suffolk</v>
      </c>
      <c r="AY59" s="120" t="str">
        <f>IFERROR(VLOOKUP(Table1[RespondentID],'All Data'!$A$3:$CO$999,90,FALSE),"unknown")</f>
        <v>Centerport, 11721</v>
      </c>
      <c r="AZ59" s="120" t="str">
        <f>IFERROR(VLOOKUP(Table1[RespondentID],'All Data'!$A$3:$CO$999,91,FALSE),"unknown")</f>
        <v>White</v>
      </c>
      <c r="BA59" s="120" t="str">
        <f>IFERROR(VLOOKUP(Table1[RespondentID],'All Data'!$A$3:$CO$999,92,FALSE),"unknown")</f>
        <v>Not Hispanic or Latino</v>
      </c>
      <c r="BB59" s="120" t="str">
        <f>IFERROR(VLOOKUP(Table1[RespondentID],'All Data'!$A$3:$CO$999,93,FALSE),"unknown")</f>
        <v>English</v>
      </c>
      <c r="BC59" s="120" t="str">
        <f>IFERROR(VLOOKUP(Table1[RespondentID],'All Data'!$A$3:$CW$999,94,FALSE),"unknown")</f>
        <v>$75,000 to $125,000</v>
      </c>
      <c r="BD59" s="120" t="str">
        <f>IFERROR(VLOOKUP(Table1[RespondentID],'All Data'!$A$3:$CW$999,95,FALSE),"unknown")</f>
        <v>High school graduate</v>
      </c>
      <c r="BE59" s="120" t="str">
        <f>IFERROR(VLOOKUP(Table1[RespondentID],'All Data'!$A$3:$CW$999,96,FALSE),"unknown")</f>
        <v>Student</v>
      </c>
      <c r="BF59" s="120" t="str">
        <f>IFERROR(VLOOKUP(Table1[RespondentID],'All Data'!$A$3:$CW$999,97,FALSE),"unknown")</f>
        <v>Yes</v>
      </c>
      <c r="BG59" s="120">
        <f>IFERROR(VLOOKUP(Table1[RespondentID],'All Data'!$A$3:$CW$999,98,FALSE),"unknown")</f>
        <v>0</v>
      </c>
      <c r="BH59" s="120">
        <f>IFERROR(VLOOKUP(Table1[RespondentID],'All Data'!$A$3:$CW$999,99,FALSE),"unknown")</f>
        <v>0</v>
      </c>
    </row>
    <row r="60" spans="1:60">
      <c r="A60" s="5">
        <v>18025180094</v>
      </c>
      <c r="B60" s="5" t="s">
        <v>49</v>
      </c>
      <c r="C60" s="5"/>
      <c r="D60" s="5" t="s">
        <v>51</v>
      </c>
      <c r="E60" s="5" t="s">
        <v>17</v>
      </c>
      <c r="F60" s="5" t="s">
        <v>52</v>
      </c>
      <c r="G60" s="5"/>
      <c r="H60" s="5"/>
      <c r="I60" s="5"/>
      <c r="J60" s="5"/>
      <c r="K60" s="5"/>
      <c r="L60" s="5"/>
      <c r="M60" s="5"/>
      <c r="N60" s="5"/>
      <c r="O60" s="5"/>
      <c r="P60" s="5"/>
      <c r="Q60" s="5"/>
      <c r="R60" s="5"/>
      <c r="S60" s="5"/>
      <c r="T60" s="37"/>
      <c r="U60" s="37">
        <f t="shared" si="0"/>
        <v>4</v>
      </c>
      <c r="V60" s="37">
        <f t="shared" si="1"/>
        <v>0.75</v>
      </c>
      <c r="W60" s="37"/>
      <c r="X60" s="37">
        <f t="shared" si="2"/>
        <v>0.75</v>
      </c>
      <c r="Y60" s="37">
        <f t="shared" si="3"/>
        <v>0</v>
      </c>
      <c r="Z60" s="37">
        <f t="shared" si="4"/>
        <v>0.75</v>
      </c>
      <c r="AA60" s="37">
        <f t="shared" si="5"/>
        <v>0.75</v>
      </c>
      <c r="AB60" s="37">
        <f t="shared" si="6"/>
        <v>0.75</v>
      </c>
      <c r="AC60" s="37">
        <f t="shared" si="7"/>
        <v>0</v>
      </c>
      <c r="AD60" s="37">
        <f t="shared" si="8"/>
        <v>0</v>
      </c>
      <c r="AE60" s="37">
        <f t="shared" si="9"/>
        <v>0</v>
      </c>
      <c r="AF60" s="37">
        <f t="shared" si="10"/>
        <v>0</v>
      </c>
      <c r="AG60" s="37">
        <f t="shared" si="11"/>
        <v>0</v>
      </c>
      <c r="AH60" s="37">
        <f t="shared" si="12"/>
        <v>0</v>
      </c>
      <c r="AI60" s="37">
        <f t="shared" si="13"/>
        <v>0</v>
      </c>
      <c r="AJ60" s="37">
        <f t="shared" si="14"/>
        <v>0</v>
      </c>
      <c r="AK60" s="37">
        <f t="shared" si="15"/>
        <v>0</v>
      </c>
      <c r="AL60" s="37">
        <f t="shared" si="16"/>
        <v>0</v>
      </c>
      <c r="AM60" s="37">
        <f t="shared" si="17"/>
        <v>0</v>
      </c>
      <c r="AN60" s="37">
        <f t="shared" si="18"/>
        <v>0</v>
      </c>
      <c r="AO60" s="37">
        <f t="shared" si="19"/>
        <v>0</v>
      </c>
      <c r="AP60" s="37"/>
      <c r="AQ60" s="37"/>
      <c r="AR60" s="37">
        <f t="shared" si="20"/>
        <v>3</v>
      </c>
      <c r="AS60" s="37">
        <f t="shared" si="21"/>
        <v>4</v>
      </c>
      <c r="AT60" s="37" t="str">
        <f t="shared" si="22"/>
        <v>Correct</v>
      </c>
      <c r="AU60" s="37"/>
      <c r="AV60" s="120" t="str">
        <f>IFERROR(VLOOKUP(Table1[RespondentID],'All Data'!$A$3:$CO$999,87,FALSE),"unknown")</f>
        <v>Woman</v>
      </c>
      <c r="AW60" s="120">
        <f>IFERROR(VLOOKUP(Table1[RespondentID],'All Data'!$A$3:$CO$999,88,FALSE),"unknown")</f>
        <v>46</v>
      </c>
      <c r="AX60" s="120" t="str">
        <f>IFERROR(VLOOKUP(Table1[RespondentID],'All Data'!$A$3:$CO$999,89,FALSE),"unknown")</f>
        <v>Suffolk</v>
      </c>
      <c r="AY60" s="120" t="str">
        <f>IFERROR(VLOOKUP(Table1[RespondentID],'All Data'!$A$3:$CO$999,90,FALSE),"unknown")</f>
        <v>Brightwaters, 11718</v>
      </c>
      <c r="AZ60" s="120" t="str">
        <f>IFERROR(VLOOKUP(Table1[RespondentID],'All Data'!$A$3:$CO$999,91,FALSE),"unknown")</f>
        <v>White</v>
      </c>
      <c r="BA60" s="120" t="str">
        <f>IFERROR(VLOOKUP(Table1[RespondentID],'All Data'!$A$3:$CO$999,92,FALSE),"unknown")</f>
        <v>Not Hispanic or Latino</v>
      </c>
      <c r="BB60" s="120" t="str">
        <f>IFERROR(VLOOKUP(Table1[RespondentID],'All Data'!$A$3:$CO$999,93,FALSE),"unknown")</f>
        <v>English</v>
      </c>
      <c r="BC60" s="120" t="str">
        <f>IFERROR(VLOOKUP(Table1[RespondentID],'All Data'!$A$3:$CW$999,94,FALSE),"unknown")</f>
        <v>$75,000 to $125,000</v>
      </c>
      <c r="BD60" s="120" t="str">
        <f>IFERROR(VLOOKUP(Table1[RespondentID],'All Data'!$A$3:$CW$999,95,FALSE),"unknown")</f>
        <v>Graduate school</v>
      </c>
      <c r="BE60" s="120" t="str">
        <f>IFERROR(VLOOKUP(Table1[RespondentID],'All Data'!$A$3:$CW$999,96,FALSE),"unknown")</f>
        <v>Employed for wages</v>
      </c>
      <c r="BF60" s="120" t="str">
        <f>IFERROR(VLOOKUP(Table1[RespondentID],'All Data'!$A$3:$CW$999,97,FALSE),"unknown")</f>
        <v>Yes</v>
      </c>
      <c r="BG60" s="120">
        <f>IFERROR(VLOOKUP(Table1[RespondentID],'All Data'!$A$3:$CW$999,98,FALSE),"unknown")</f>
        <v>0</v>
      </c>
      <c r="BH60" s="120">
        <f>IFERROR(VLOOKUP(Table1[RespondentID],'All Data'!$A$3:$CW$999,99,FALSE),"unknown")</f>
        <v>0</v>
      </c>
    </row>
    <row r="61" spans="1:60">
      <c r="A61" s="5">
        <v>18025179894</v>
      </c>
      <c r="B61" s="5"/>
      <c r="C61" s="5"/>
      <c r="D61" s="5" t="s">
        <v>51</v>
      </c>
      <c r="E61" s="5" t="s">
        <v>17</v>
      </c>
      <c r="F61" s="5"/>
      <c r="G61" s="5"/>
      <c r="H61" s="5"/>
      <c r="I61" s="5"/>
      <c r="J61" s="5"/>
      <c r="K61" s="5"/>
      <c r="L61" s="5"/>
      <c r="M61" s="5"/>
      <c r="N61" s="5"/>
      <c r="O61" s="5"/>
      <c r="P61" s="5" t="s">
        <v>60</v>
      </c>
      <c r="Q61" s="5"/>
      <c r="R61" s="5"/>
      <c r="S61" s="5"/>
      <c r="T61" s="37"/>
      <c r="U61" s="37">
        <f t="shared" si="0"/>
        <v>3</v>
      </c>
      <c r="V61" s="37">
        <f t="shared" si="1"/>
        <v>1</v>
      </c>
      <c r="W61" s="37"/>
      <c r="X61" s="37">
        <f t="shared" si="2"/>
        <v>0</v>
      </c>
      <c r="Y61" s="37">
        <f t="shared" si="3"/>
        <v>0</v>
      </c>
      <c r="Z61" s="37">
        <f t="shared" si="4"/>
        <v>1</v>
      </c>
      <c r="AA61" s="37">
        <f t="shared" si="5"/>
        <v>1</v>
      </c>
      <c r="AB61" s="37">
        <f t="shared" si="6"/>
        <v>0</v>
      </c>
      <c r="AC61" s="37">
        <f t="shared" si="7"/>
        <v>0</v>
      </c>
      <c r="AD61" s="37">
        <f t="shared" si="8"/>
        <v>0</v>
      </c>
      <c r="AE61" s="37">
        <f t="shared" si="9"/>
        <v>0</v>
      </c>
      <c r="AF61" s="37">
        <f t="shared" si="10"/>
        <v>0</v>
      </c>
      <c r="AG61" s="37">
        <f t="shared" si="11"/>
        <v>0</v>
      </c>
      <c r="AH61" s="37">
        <f t="shared" si="12"/>
        <v>0</v>
      </c>
      <c r="AI61" s="37">
        <f t="shared" si="13"/>
        <v>0</v>
      </c>
      <c r="AJ61" s="37">
        <f t="shared" si="14"/>
        <v>0</v>
      </c>
      <c r="AK61" s="37">
        <f t="shared" si="15"/>
        <v>0</v>
      </c>
      <c r="AL61" s="37">
        <f t="shared" si="16"/>
        <v>1</v>
      </c>
      <c r="AM61" s="37">
        <f t="shared" si="17"/>
        <v>0</v>
      </c>
      <c r="AN61" s="37">
        <f t="shared" si="18"/>
        <v>0</v>
      </c>
      <c r="AO61" s="37">
        <f t="shared" si="19"/>
        <v>0</v>
      </c>
      <c r="AP61" s="37"/>
      <c r="AQ61" s="37"/>
      <c r="AR61" s="37">
        <f t="shared" si="20"/>
        <v>3</v>
      </c>
      <c r="AS61" s="37">
        <f t="shared" si="21"/>
        <v>3</v>
      </c>
      <c r="AT61" s="37" t="str">
        <f t="shared" si="22"/>
        <v>Correct</v>
      </c>
      <c r="AU61" s="37"/>
      <c r="AV61" s="120" t="str">
        <f>IFERROR(VLOOKUP(Table1[RespondentID],'All Data'!$A$3:$CO$999,87,FALSE),"unknown")</f>
        <v>Man</v>
      </c>
      <c r="AW61" s="120">
        <f>IFERROR(VLOOKUP(Table1[RespondentID],'All Data'!$A$3:$CO$999,88,FALSE),"unknown")</f>
        <v>18</v>
      </c>
      <c r="AX61" s="120" t="str">
        <f>IFERROR(VLOOKUP(Table1[RespondentID],'All Data'!$A$3:$CO$999,89,FALSE),"unknown")</f>
        <v>Suffolk</v>
      </c>
      <c r="AY61" s="120" t="str">
        <f>IFERROR(VLOOKUP(Table1[RespondentID],'All Data'!$A$3:$CO$999,90,FALSE),"unknown")</f>
        <v>Centerport, 11721</v>
      </c>
      <c r="AZ61" s="120" t="str">
        <f>IFERROR(VLOOKUP(Table1[RespondentID],'All Data'!$A$3:$CO$999,91,FALSE),"unknown")</f>
        <v>White</v>
      </c>
      <c r="BA61" s="120" t="str">
        <f>IFERROR(VLOOKUP(Table1[RespondentID],'All Data'!$A$3:$CO$999,92,FALSE),"unknown")</f>
        <v>Not Hispanic or Latino</v>
      </c>
      <c r="BB61" s="120" t="str">
        <f>IFERROR(VLOOKUP(Table1[RespondentID],'All Data'!$A$3:$CO$999,93,FALSE),"unknown")</f>
        <v>English</v>
      </c>
      <c r="BC61" s="120" t="str">
        <f>IFERROR(VLOOKUP(Table1[RespondentID],'All Data'!$A$3:$CW$999,94,FALSE),"unknown")</f>
        <v>Over $125,000</v>
      </c>
      <c r="BD61" s="120" t="str">
        <f>IFERROR(VLOOKUP(Table1[RespondentID],'All Data'!$A$3:$CW$999,95,FALSE),"unknown")</f>
        <v>High school graduate</v>
      </c>
      <c r="BE61" s="120" t="str">
        <f>IFERROR(VLOOKUP(Table1[RespondentID],'All Data'!$A$3:$CW$999,96,FALSE),"unknown")</f>
        <v>Student</v>
      </c>
      <c r="BF61" s="120" t="str">
        <f>IFERROR(VLOOKUP(Table1[RespondentID],'All Data'!$A$3:$CW$999,97,FALSE),"unknown")</f>
        <v>Yes</v>
      </c>
      <c r="BG61" s="120">
        <f>IFERROR(VLOOKUP(Table1[RespondentID],'All Data'!$A$3:$CW$999,98,FALSE),"unknown")</f>
        <v>0</v>
      </c>
      <c r="BH61" s="120">
        <f>IFERROR(VLOOKUP(Table1[RespondentID],'All Data'!$A$3:$CW$999,99,FALSE),"unknown")</f>
        <v>0</v>
      </c>
    </row>
    <row r="62" spans="1:60">
      <c r="A62" s="5">
        <v>18025179745</v>
      </c>
      <c r="B62" s="5"/>
      <c r="C62" s="5"/>
      <c r="D62" s="5"/>
      <c r="E62" s="5" t="s">
        <v>17</v>
      </c>
      <c r="F62" s="5" t="s">
        <v>52</v>
      </c>
      <c r="G62" s="5"/>
      <c r="H62" s="5"/>
      <c r="I62" s="5"/>
      <c r="J62" s="5"/>
      <c r="K62" s="5"/>
      <c r="L62" s="5"/>
      <c r="M62" s="5"/>
      <c r="N62" s="5"/>
      <c r="O62" s="5"/>
      <c r="P62" s="5"/>
      <c r="Q62" s="5"/>
      <c r="R62" s="5"/>
      <c r="S62" s="5" t="s">
        <v>63</v>
      </c>
      <c r="T62" s="37"/>
      <c r="U62" s="37">
        <f t="shared" si="0"/>
        <v>3</v>
      </c>
      <c r="V62" s="37">
        <f t="shared" si="1"/>
        <v>1</v>
      </c>
      <c r="W62" s="37"/>
      <c r="X62" s="37">
        <f t="shared" si="2"/>
        <v>0</v>
      </c>
      <c r="Y62" s="37">
        <f t="shared" si="3"/>
        <v>0</v>
      </c>
      <c r="Z62" s="37">
        <f t="shared" si="4"/>
        <v>0</v>
      </c>
      <c r="AA62" s="37">
        <f t="shared" si="5"/>
        <v>1</v>
      </c>
      <c r="AB62" s="37">
        <f t="shared" si="6"/>
        <v>1</v>
      </c>
      <c r="AC62" s="37">
        <f t="shared" si="7"/>
        <v>0</v>
      </c>
      <c r="AD62" s="37">
        <f t="shared" si="8"/>
        <v>0</v>
      </c>
      <c r="AE62" s="37">
        <f t="shared" si="9"/>
        <v>0</v>
      </c>
      <c r="AF62" s="37">
        <f t="shared" si="10"/>
        <v>0</v>
      </c>
      <c r="AG62" s="37">
        <f t="shared" si="11"/>
        <v>0</v>
      </c>
      <c r="AH62" s="37">
        <f t="shared" si="12"/>
        <v>0</v>
      </c>
      <c r="AI62" s="37">
        <f t="shared" si="13"/>
        <v>0</v>
      </c>
      <c r="AJ62" s="37">
        <f t="shared" si="14"/>
        <v>0</v>
      </c>
      <c r="AK62" s="37">
        <f t="shared" si="15"/>
        <v>0</v>
      </c>
      <c r="AL62" s="37">
        <f t="shared" si="16"/>
        <v>0</v>
      </c>
      <c r="AM62" s="37">
        <f t="shared" si="17"/>
        <v>0</v>
      </c>
      <c r="AN62" s="37">
        <f t="shared" si="18"/>
        <v>0</v>
      </c>
      <c r="AO62" s="37">
        <f t="shared" si="19"/>
        <v>1</v>
      </c>
      <c r="AP62" s="37"/>
      <c r="AQ62" s="37"/>
      <c r="AR62" s="37">
        <f t="shared" si="20"/>
        <v>3</v>
      </c>
      <c r="AS62" s="37">
        <f t="shared" si="21"/>
        <v>3</v>
      </c>
      <c r="AT62" s="37" t="str">
        <f t="shared" si="22"/>
        <v>Correct</v>
      </c>
      <c r="AU62" s="37"/>
      <c r="AV62" s="120" t="str">
        <f>IFERROR(VLOOKUP(Table1[RespondentID],'All Data'!$A$3:$CO$999,87,FALSE),"unknown")</f>
        <v>Man</v>
      </c>
      <c r="AW62" s="120">
        <f>IFERROR(VLOOKUP(Table1[RespondentID],'All Data'!$A$3:$CO$999,88,FALSE),"unknown")</f>
        <v>39</v>
      </c>
      <c r="AX62" s="120" t="str">
        <f>IFERROR(VLOOKUP(Table1[RespondentID],'All Data'!$A$3:$CO$999,89,FALSE),"unknown")</f>
        <v>Suffolk</v>
      </c>
      <c r="AY62" s="120" t="str">
        <f>IFERROR(VLOOKUP(Table1[RespondentID],'All Data'!$A$3:$CO$999,90,FALSE),"unknown")</f>
        <v>Northport, 11768</v>
      </c>
      <c r="AZ62" s="120" t="str">
        <f>IFERROR(VLOOKUP(Table1[RespondentID],'All Data'!$A$3:$CO$999,91,FALSE),"unknown")</f>
        <v>White</v>
      </c>
      <c r="BA62" s="120" t="str">
        <f>IFERROR(VLOOKUP(Table1[RespondentID],'All Data'!$A$3:$CO$999,92,FALSE),"unknown")</f>
        <v>Not Hispanic or Latino</v>
      </c>
      <c r="BB62" s="120" t="str">
        <f>IFERROR(VLOOKUP(Table1[RespondentID],'All Data'!$A$3:$CO$999,93,FALSE),"unknown")</f>
        <v>English</v>
      </c>
      <c r="BC62" s="120" t="str">
        <f>IFERROR(VLOOKUP(Table1[RespondentID],'All Data'!$A$3:$CW$999,94,FALSE),"unknown")</f>
        <v>Over $125,000</v>
      </c>
      <c r="BD62" s="120" t="str">
        <f>IFERROR(VLOOKUP(Table1[RespondentID],'All Data'!$A$3:$CW$999,95,FALSE),"unknown")</f>
        <v>Graduate school</v>
      </c>
      <c r="BE62" s="120" t="str">
        <f>IFERROR(VLOOKUP(Table1[RespondentID],'All Data'!$A$3:$CW$999,96,FALSE),"unknown")</f>
        <v>Employed for wages</v>
      </c>
      <c r="BF62" s="120" t="str">
        <f>IFERROR(VLOOKUP(Table1[RespondentID],'All Data'!$A$3:$CW$999,97,FALSE),"unknown")</f>
        <v>Yes</v>
      </c>
      <c r="BG62" s="120">
        <f>IFERROR(VLOOKUP(Table1[RespondentID],'All Data'!$A$3:$CW$999,98,FALSE),"unknown")</f>
        <v>0</v>
      </c>
      <c r="BH62" s="120">
        <f>IFERROR(VLOOKUP(Table1[RespondentID],'All Data'!$A$3:$CW$999,99,FALSE),"unknown")</f>
        <v>0</v>
      </c>
    </row>
    <row r="63" spans="1:60">
      <c r="A63" s="5">
        <v>18025179616</v>
      </c>
      <c r="B63" s="5"/>
      <c r="C63" s="5"/>
      <c r="D63" s="5"/>
      <c r="E63" s="5"/>
      <c r="F63" s="5"/>
      <c r="G63" s="5" t="s">
        <v>53</v>
      </c>
      <c r="H63" s="5"/>
      <c r="I63" s="5"/>
      <c r="J63" s="5"/>
      <c r="K63" s="5" t="s">
        <v>57</v>
      </c>
      <c r="L63" s="5"/>
      <c r="M63" s="5"/>
      <c r="N63" s="5" t="s">
        <v>24</v>
      </c>
      <c r="O63" s="5"/>
      <c r="P63" s="5"/>
      <c r="Q63" s="5"/>
      <c r="R63" s="5"/>
      <c r="S63" s="5"/>
      <c r="T63" s="37"/>
      <c r="U63" s="37">
        <f t="shared" si="0"/>
        <v>3</v>
      </c>
      <c r="V63" s="37">
        <f t="shared" si="1"/>
        <v>1</v>
      </c>
      <c r="W63" s="37"/>
      <c r="X63" s="37">
        <f t="shared" si="2"/>
        <v>0</v>
      </c>
      <c r="Y63" s="37">
        <f t="shared" si="3"/>
        <v>0</v>
      </c>
      <c r="Z63" s="37">
        <f t="shared" si="4"/>
        <v>0</v>
      </c>
      <c r="AA63" s="37">
        <f t="shared" si="5"/>
        <v>0</v>
      </c>
      <c r="AB63" s="37">
        <f t="shared" si="6"/>
        <v>0</v>
      </c>
      <c r="AC63" s="37">
        <f t="shared" si="7"/>
        <v>1</v>
      </c>
      <c r="AD63" s="37">
        <f t="shared" si="8"/>
        <v>0</v>
      </c>
      <c r="AE63" s="37">
        <f t="shared" si="9"/>
        <v>0</v>
      </c>
      <c r="AF63" s="37">
        <f t="shared" si="10"/>
        <v>0</v>
      </c>
      <c r="AG63" s="37">
        <f t="shared" si="11"/>
        <v>1</v>
      </c>
      <c r="AH63" s="37">
        <f t="shared" si="12"/>
        <v>0</v>
      </c>
      <c r="AI63" s="37">
        <f t="shared" si="13"/>
        <v>0</v>
      </c>
      <c r="AJ63" s="37">
        <f t="shared" si="14"/>
        <v>1</v>
      </c>
      <c r="AK63" s="37">
        <f t="shared" si="15"/>
        <v>0</v>
      </c>
      <c r="AL63" s="37">
        <f t="shared" si="16"/>
        <v>0</v>
      </c>
      <c r="AM63" s="37">
        <f t="shared" si="17"/>
        <v>0</v>
      </c>
      <c r="AN63" s="37">
        <f t="shared" si="18"/>
        <v>0</v>
      </c>
      <c r="AO63" s="37">
        <f t="shared" si="19"/>
        <v>0</v>
      </c>
      <c r="AP63" s="37"/>
      <c r="AQ63" s="37"/>
      <c r="AR63" s="37">
        <f t="shared" si="20"/>
        <v>3</v>
      </c>
      <c r="AS63" s="37">
        <f t="shared" si="21"/>
        <v>3</v>
      </c>
      <c r="AT63" s="37" t="str">
        <f t="shared" si="22"/>
        <v>Correct</v>
      </c>
      <c r="AU63" s="37"/>
      <c r="AV63" s="120" t="str">
        <f>IFERROR(VLOOKUP(Table1[RespondentID],'All Data'!$A$3:$CO$999,87,FALSE),"unknown")</f>
        <v>Woman</v>
      </c>
      <c r="AW63" s="120">
        <f>IFERROR(VLOOKUP(Table1[RespondentID],'All Data'!$A$3:$CO$999,88,FALSE),"unknown")</f>
        <v>40</v>
      </c>
      <c r="AX63" s="120" t="str">
        <f>IFERROR(VLOOKUP(Table1[RespondentID],'All Data'!$A$3:$CO$999,89,FALSE),"unknown")</f>
        <v>Suffolk</v>
      </c>
      <c r="AY63" s="120" t="str">
        <f>IFERROR(VLOOKUP(Table1[RespondentID],'All Data'!$A$3:$CO$999,90,FALSE),"unknown")</f>
        <v>South Huntington, 11746</v>
      </c>
      <c r="AZ63" s="120" t="str">
        <f>IFERROR(VLOOKUP(Table1[RespondentID],'All Data'!$A$3:$CO$999,91,FALSE),"unknown")</f>
        <v>Asian</v>
      </c>
      <c r="BA63" s="120" t="str">
        <f>IFERROR(VLOOKUP(Table1[RespondentID],'All Data'!$A$3:$CO$999,92,FALSE),"unknown")</f>
        <v>Not Hispanic or Latino</v>
      </c>
      <c r="BB63" s="120" t="str">
        <f>IFERROR(VLOOKUP(Table1[RespondentID],'All Data'!$A$3:$CO$999,93,FALSE),"unknown")</f>
        <v>English, Hindi</v>
      </c>
      <c r="BC63" s="120" t="str">
        <f>IFERROR(VLOOKUP(Table1[RespondentID],'All Data'!$A$3:$CW$999,94,FALSE),"unknown")</f>
        <v>$75,000 to $125,000</v>
      </c>
      <c r="BD63" s="120" t="str">
        <f>IFERROR(VLOOKUP(Table1[RespondentID],'All Data'!$A$3:$CW$999,95,FALSE),"unknown")</f>
        <v>College graduate</v>
      </c>
      <c r="BE63" s="120" t="str">
        <f>IFERROR(VLOOKUP(Table1[RespondentID],'All Data'!$A$3:$CW$999,96,FALSE),"unknown")</f>
        <v>Employed for wages</v>
      </c>
      <c r="BF63" s="120" t="str">
        <f>IFERROR(VLOOKUP(Table1[RespondentID],'All Data'!$A$3:$CW$999,97,FALSE),"unknown")</f>
        <v>Yes</v>
      </c>
      <c r="BG63" s="120">
        <f>IFERROR(VLOOKUP(Table1[RespondentID],'All Data'!$A$3:$CW$999,98,FALSE),"unknown")</f>
        <v>0</v>
      </c>
      <c r="BH63" s="120">
        <f>IFERROR(VLOOKUP(Table1[RespondentID],'All Data'!$A$3:$CW$999,99,FALSE),"unknown")</f>
        <v>0</v>
      </c>
    </row>
    <row r="64" spans="1:60">
      <c r="A64" s="5">
        <v>18025179232</v>
      </c>
      <c r="B64" s="5"/>
      <c r="C64" s="5"/>
      <c r="D64" s="5"/>
      <c r="E64" s="5" t="s">
        <v>17</v>
      </c>
      <c r="F64" s="5"/>
      <c r="G64" s="5"/>
      <c r="H64" s="5"/>
      <c r="I64" s="5"/>
      <c r="J64" s="5"/>
      <c r="K64" s="5"/>
      <c r="L64" s="5"/>
      <c r="M64" s="5"/>
      <c r="N64" s="5"/>
      <c r="O64" s="5" t="s">
        <v>20</v>
      </c>
      <c r="P64" s="5" t="s">
        <v>60</v>
      </c>
      <c r="Q64" s="5"/>
      <c r="R64" s="5"/>
      <c r="S64" s="5"/>
      <c r="T64" s="37"/>
      <c r="U64" s="37">
        <f t="shared" si="0"/>
        <v>3</v>
      </c>
      <c r="V64" s="37">
        <f t="shared" si="1"/>
        <v>1</v>
      </c>
      <c r="W64" s="37"/>
      <c r="X64" s="37">
        <f t="shared" si="2"/>
        <v>0</v>
      </c>
      <c r="Y64" s="37">
        <f t="shared" si="3"/>
        <v>0</v>
      </c>
      <c r="Z64" s="37">
        <f t="shared" si="4"/>
        <v>0</v>
      </c>
      <c r="AA64" s="37">
        <f t="shared" si="5"/>
        <v>1</v>
      </c>
      <c r="AB64" s="37">
        <f t="shared" si="6"/>
        <v>0</v>
      </c>
      <c r="AC64" s="37">
        <f t="shared" si="7"/>
        <v>0</v>
      </c>
      <c r="AD64" s="37">
        <f t="shared" si="8"/>
        <v>0</v>
      </c>
      <c r="AE64" s="37">
        <f t="shared" si="9"/>
        <v>0</v>
      </c>
      <c r="AF64" s="37">
        <f t="shared" si="10"/>
        <v>0</v>
      </c>
      <c r="AG64" s="37">
        <f t="shared" si="11"/>
        <v>0</v>
      </c>
      <c r="AH64" s="37">
        <f t="shared" si="12"/>
        <v>0</v>
      </c>
      <c r="AI64" s="37">
        <f t="shared" si="13"/>
        <v>0</v>
      </c>
      <c r="AJ64" s="37">
        <f t="shared" si="14"/>
        <v>0</v>
      </c>
      <c r="AK64" s="37">
        <f t="shared" si="15"/>
        <v>1</v>
      </c>
      <c r="AL64" s="37">
        <f t="shared" si="16"/>
        <v>1</v>
      </c>
      <c r="AM64" s="37">
        <f t="shared" si="17"/>
        <v>0</v>
      </c>
      <c r="AN64" s="37">
        <f t="shared" si="18"/>
        <v>0</v>
      </c>
      <c r="AO64" s="37">
        <f t="shared" si="19"/>
        <v>0</v>
      </c>
      <c r="AP64" s="37"/>
      <c r="AQ64" s="37"/>
      <c r="AR64" s="37">
        <f t="shared" si="20"/>
        <v>3</v>
      </c>
      <c r="AS64" s="37">
        <f t="shared" si="21"/>
        <v>3</v>
      </c>
      <c r="AT64" s="37" t="str">
        <f t="shared" si="22"/>
        <v>Correct</v>
      </c>
      <c r="AU64" s="37"/>
      <c r="AV64" s="120" t="str">
        <f>IFERROR(VLOOKUP(Table1[RespondentID],'All Data'!$A$3:$CO$999,87,FALSE),"unknown")</f>
        <v>Woman</v>
      </c>
      <c r="AW64" s="120">
        <f>IFERROR(VLOOKUP(Table1[RespondentID],'All Data'!$A$3:$CO$999,88,FALSE),"unknown")</f>
        <v>44</v>
      </c>
      <c r="AX64" s="120" t="str">
        <f>IFERROR(VLOOKUP(Table1[RespondentID],'All Data'!$A$3:$CO$999,89,FALSE),"unknown")</f>
        <v>Suffolk</v>
      </c>
      <c r="AY64" s="120" t="str">
        <f>IFERROR(VLOOKUP(Table1[RespondentID],'All Data'!$A$3:$CO$999,90,FALSE),"unknown")</f>
        <v>Deer Park, 11729</v>
      </c>
      <c r="AZ64" s="120" t="str">
        <f>IFERROR(VLOOKUP(Table1[RespondentID],'All Data'!$A$3:$CO$999,91,FALSE),"unknown")</f>
        <v>Asian</v>
      </c>
      <c r="BA64" s="120" t="str">
        <f>IFERROR(VLOOKUP(Table1[RespondentID],'All Data'!$A$3:$CO$999,92,FALSE),"unknown")</f>
        <v>Not Hispanic or Latino</v>
      </c>
      <c r="BB64" s="120" t="str">
        <f>IFERROR(VLOOKUP(Table1[RespondentID],'All Data'!$A$3:$CO$999,93,FALSE),"unknown")</f>
        <v>English, Farsi</v>
      </c>
      <c r="BC64" s="120" t="str">
        <f>IFERROR(VLOOKUP(Table1[RespondentID],'All Data'!$A$3:$CW$999,94,FALSE),"unknown")</f>
        <v>$75,000 to $125,000</v>
      </c>
      <c r="BD64" s="120" t="str">
        <f>IFERROR(VLOOKUP(Table1[RespondentID],'All Data'!$A$3:$CW$999,95,FALSE),"unknown")</f>
        <v>College graduate</v>
      </c>
      <c r="BE64" s="120" t="str">
        <f>IFERROR(VLOOKUP(Table1[RespondentID],'All Data'!$A$3:$CW$999,96,FALSE),"unknown")</f>
        <v>Self-employed</v>
      </c>
      <c r="BF64" s="120" t="str">
        <f>IFERROR(VLOOKUP(Table1[RespondentID],'All Data'!$A$3:$CW$999,97,FALSE),"unknown")</f>
        <v>Yes</v>
      </c>
      <c r="BG64" s="120">
        <f>IFERROR(VLOOKUP(Table1[RespondentID],'All Data'!$A$3:$CW$999,98,FALSE),"unknown")</f>
        <v>0</v>
      </c>
      <c r="BH64" s="120">
        <f>IFERROR(VLOOKUP(Table1[RespondentID],'All Data'!$A$3:$CW$999,99,FALSE),"unknown")</f>
        <v>0</v>
      </c>
    </row>
    <row r="65" spans="1:60">
      <c r="A65" s="5">
        <v>18025179113</v>
      </c>
      <c r="B65" s="5" t="s">
        <v>49</v>
      </c>
      <c r="C65" s="5"/>
      <c r="D65" s="5"/>
      <c r="E65" s="5"/>
      <c r="F65" s="5"/>
      <c r="G65" s="5"/>
      <c r="H65" s="5" t="s">
        <v>54</v>
      </c>
      <c r="I65" s="5"/>
      <c r="J65" s="5"/>
      <c r="K65" s="5"/>
      <c r="L65" s="5" t="s">
        <v>58</v>
      </c>
      <c r="M65" s="5"/>
      <c r="N65" s="5"/>
      <c r="O65" s="5"/>
      <c r="P65" s="5"/>
      <c r="Q65" s="5"/>
      <c r="R65" s="5"/>
      <c r="S65" s="5"/>
      <c r="T65" s="37"/>
      <c r="U65" s="37">
        <f t="shared" si="0"/>
        <v>3</v>
      </c>
      <c r="V65" s="37">
        <f t="shared" si="1"/>
        <v>1</v>
      </c>
      <c r="W65" s="37"/>
      <c r="X65" s="37">
        <f t="shared" si="2"/>
        <v>1</v>
      </c>
      <c r="Y65" s="37">
        <f t="shared" si="3"/>
        <v>0</v>
      </c>
      <c r="Z65" s="37">
        <f t="shared" si="4"/>
        <v>0</v>
      </c>
      <c r="AA65" s="37">
        <f t="shared" si="5"/>
        <v>0</v>
      </c>
      <c r="AB65" s="37">
        <f t="shared" si="6"/>
        <v>0</v>
      </c>
      <c r="AC65" s="37">
        <f t="shared" si="7"/>
        <v>0</v>
      </c>
      <c r="AD65" s="37">
        <f t="shared" si="8"/>
        <v>1</v>
      </c>
      <c r="AE65" s="37">
        <f t="shared" si="9"/>
        <v>0</v>
      </c>
      <c r="AF65" s="37">
        <f t="shared" si="10"/>
        <v>0</v>
      </c>
      <c r="AG65" s="37">
        <f t="shared" si="11"/>
        <v>0</v>
      </c>
      <c r="AH65" s="37">
        <f t="shared" si="12"/>
        <v>1</v>
      </c>
      <c r="AI65" s="37">
        <f t="shared" si="13"/>
        <v>0</v>
      </c>
      <c r="AJ65" s="37">
        <f t="shared" si="14"/>
        <v>0</v>
      </c>
      <c r="AK65" s="37">
        <f t="shared" si="15"/>
        <v>0</v>
      </c>
      <c r="AL65" s="37">
        <f t="shared" si="16"/>
        <v>0</v>
      </c>
      <c r="AM65" s="37">
        <f t="shared" si="17"/>
        <v>0</v>
      </c>
      <c r="AN65" s="37">
        <f t="shared" si="18"/>
        <v>0</v>
      </c>
      <c r="AO65" s="37">
        <f t="shared" si="19"/>
        <v>0</v>
      </c>
      <c r="AP65" s="37"/>
      <c r="AQ65" s="37"/>
      <c r="AR65" s="37">
        <f t="shared" si="20"/>
        <v>3</v>
      </c>
      <c r="AS65" s="37">
        <f t="shared" si="21"/>
        <v>3</v>
      </c>
      <c r="AT65" s="37" t="str">
        <f t="shared" si="22"/>
        <v>Correct</v>
      </c>
      <c r="AU65" s="37"/>
      <c r="AV65" s="120" t="str">
        <f>IFERROR(VLOOKUP(Table1[RespondentID],'All Data'!$A$3:$CO$999,87,FALSE),"unknown")</f>
        <v>Woman</v>
      </c>
      <c r="AW65" s="120">
        <f>IFERROR(VLOOKUP(Table1[RespondentID],'All Data'!$A$3:$CO$999,88,FALSE),"unknown")</f>
        <v>53</v>
      </c>
      <c r="AX65" s="120" t="str">
        <f>IFERROR(VLOOKUP(Table1[RespondentID],'All Data'!$A$3:$CO$999,89,FALSE),"unknown")</f>
        <v>Suffolk</v>
      </c>
      <c r="AY65" s="120" t="str">
        <f>IFERROR(VLOOKUP(Table1[RespondentID],'All Data'!$A$3:$CO$999,90,FALSE),"unknown")</f>
        <v>Kings Park, 11754</v>
      </c>
      <c r="AZ65" s="120" t="str">
        <f>IFERROR(VLOOKUP(Table1[RespondentID],'All Data'!$A$3:$CO$999,91,FALSE),"unknown")</f>
        <v>Asian</v>
      </c>
      <c r="BA65" s="120" t="str">
        <f>IFERROR(VLOOKUP(Table1[RespondentID],'All Data'!$A$3:$CO$999,92,FALSE),"unknown")</f>
        <v>Not Hispanic or Latino</v>
      </c>
      <c r="BB65" s="120" t="str">
        <f>IFERROR(VLOOKUP(Table1[RespondentID],'All Data'!$A$3:$CO$999,93,FALSE),"unknown")</f>
        <v>English</v>
      </c>
      <c r="BC65" s="120" t="str">
        <f>IFERROR(VLOOKUP(Table1[RespondentID],'All Data'!$A$3:$CW$999,94,FALSE),"unknown")</f>
        <v>$75,000 to $125,000</v>
      </c>
      <c r="BD65" s="120" t="str">
        <f>IFERROR(VLOOKUP(Table1[RespondentID],'All Data'!$A$3:$CW$999,95,FALSE),"unknown")</f>
        <v>High school graduate</v>
      </c>
      <c r="BE65" s="120" t="str">
        <f>IFERROR(VLOOKUP(Table1[RespondentID],'All Data'!$A$3:$CW$999,96,FALSE),"unknown")</f>
        <v>Out of work, but not currently looking</v>
      </c>
      <c r="BF65" s="120" t="str">
        <f>IFERROR(VLOOKUP(Table1[RespondentID],'All Data'!$A$3:$CW$999,97,FALSE),"unknown")</f>
        <v>Yes</v>
      </c>
      <c r="BG65" s="120">
        <f>IFERROR(VLOOKUP(Table1[RespondentID],'All Data'!$A$3:$CW$999,98,FALSE),"unknown")</f>
        <v>0</v>
      </c>
      <c r="BH65" s="120">
        <f>IFERROR(VLOOKUP(Table1[RespondentID],'All Data'!$A$3:$CW$999,99,FALSE),"unknown")</f>
        <v>0</v>
      </c>
    </row>
    <row r="66" spans="1:60">
      <c r="A66" s="5">
        <v>18025179000</v>
      </c>
      <c r="B66" s="5"/>
      <c r="C66" s="5"/>
      <c r="D66" s="5" t="s">
        <v>51</v>
      </c>
      <c r="E66" s="5"/>
      <c r="F66" s="5"/>
      <c r="G66" s="5"/>
      <c r="H66" s="5"/>
      <c r="I66" s="5"/>
      <c r="J66" s="5"/>
      <c r="K66" s="5"/>
      <c r="L66" s="5"/>
      <c r="M66" s="5"/>
      <c r="N66" s="5"/>
      <c r="O66" s="5"/>
      <c r="P66" s="5" t="s">
        <v>60</v>
      </c>
      <c r="Q66" s="5"/>
      <c r="R66" s="5" t="s">
        <v>62</v>
      </c>
      <c r="S66" s="5"/>
      <c r="T66" s="37"/>
      <c r="U66" s="37">
        <f t="shared" ref="U66:U129" si="23">COUNTA(B66:T66)</f>
        <v>3</v>
      </c>
      <c r="V66" s="37">
        <f t="shared" ref="V66:V129" si="24">3/U66</f>
        <v>1</v>
      </c>
      <c r="W66" s="37"/>
      <c r="X66" s="37">
        <f t="shared" ref="X66:X129" si="25">IF($U66&lt;3,IF($B66=$B$1,1,0),IF($B66=$B$1,$V66,0))</f>
        <v>0</v>
      </c>
      <c r="Y66" s="37">
        <f t="shared" ref="Y66:Y129" si="26">IF($U66&lt;3,IF($C66=$C$1,1,0),IF($C66=$C$1,$V66,0))</f>
        <v>0</v>
      </c>
      <c r="Z66" s="37">
        <f t="shared" ref="Z66:Z129" si="27">IF($U66&lt;3,IF($D66=$D$1,1,0),IF($D66=$D$1,$V66,0))</f>
        <v>1</v>
      </c>
      <c r="AA66" s="37">
        <f t="shared" ref="AA66:AA129" si="28">IF($U66&lt;3,IF($E66=$E$1,1,0),IF($E66=$E$1,$V66,0))</f>
        <v>0</v>
      </c>
      <c r="AB66" s="37">
        <f t="shared" ref="AB66:AB129" si="29">IF($U66&lt;3,IF($F66=$F$1,1,0),IF($F66=$F$1,$V66,0))</f>
        <v>0</v>
      </c>
      <c r="AC66" s="37">
        <f t="shared" ref="AC66:AC129" si="30">IF($U66&lt;3,IF($G66=$G$1,1,0),IF($G66=$G$1,$V66,0))</f>
        <v>0</v>
      </c>
      <c r="AD66" s="37">
        <f t="shared" ref="AD66:AD129" si="31">IF($U66&lt;3,IF($H66=$H$1,1,0),IF($H66=$H$1,$V66,0))</f>
        <v>0</v>
      </c>
      <c r="AE66" s="37">
        <f t="shared" ref="AE66:AE129" si="32">IF($U66&lt;3,IF($I66=$I$1,1,0),IF($I66=$I$1,$V66,0))</f>
        <v>0</v>
      </c>
      <c r="AF66" s="37">
        <f t="shared" ref="AF66:AF129" si="33">IF($U66&lt;3,IF($J66=$J$1,1,0),IF($J66=$J$1,$V66,0))</f>
        <v>0</v>
      </c>
      <c r="AG66" s="37">
        <f t="shared" ref="AG66:AG129" si="34">IF($U66&lt;3,IF($K66=$K$1,1,0),IF($K66=$K$1,$V66,0))</f>
        <v>0</v>
      </c>
      <c r="AH66" s="37">
        <f t="shared" ref="AH66:AH129" si="35">IF($U66&lt;3,IF($L66=$L$1,1,0),IF($L66=$L$1,$V66,0))</f>
        <v>0</v>
      </c>
      <c r="AI66" s="37">
        <f t="shared" ref="AI66:AI129" si="36">IF($U66&lt;3,IF($M66=$M$1,1,0),IF($M66=$M$1,$V66,0))</f>
        <v>0</v>
      </c>
      <c r="AJ66" s="37">
        <f t="shared" ref="AJ66:AJ129" si="37">IF($U66&lt;3,IF($N66=$N$1,1,0),IF($N66=$N$1,$V66,0))</f>
        <v>0</v>
      </c>
      <c r="AK66" s="37">
        <f t="shared" ref="AK66:AK129" si="38">IF($U66&lt;3,IF($O66=$O$1,1,0),IF($O66=$O$1,$V66,0))</f>
        <v>0</v>
      </c>
      <c r="AL66" s="37">
        <f t="shared" ref="AL66:AL129" si="39">IF($U66&lt;3,IF($P66=$P$1,1,0),IF($P66=$P$1,$V66,0))</f>
        <v>1</v>
      </c>
      <c r="AM66" s="37">
        <f t="shared" ref="AM66:AM129" si="40">IF($U66&lt;3,IF($Q66=$Q$1,1,0),IF($Q66=$Q$1,$V66,0))</f>
        <v>0</v>
      </c>
      <c r="AN66" s="37">
        <f t="shared" ref="AN66:AN129" si="41">IF($U66&lt;3,IF($R66=$R$1,1,0),IF($R66=$R$1,$V66,0))</f>
        <v>1</v>
      </c>
      <c r="AO66" s="37">
        <f t="shared" ref="AO66:AO129" si="42">IF($U66&lt;3,IF($S66=$S$1,1,0),IF($S66=$S$1,$V66,0))</f>
        <v>0</v>
      </c>
      <c r="AP66" s="37"/>
      <c r="AQ66" s="37"/>
      <c r="AR66" s="37">
        <f t="shared" ref="AR66:AR129" si="43">SUM(X66:AP66)</f>
        <v>3</v>
      </c>
      <c r="AS66" s="37">
        <f t="shared" ref="AS66:AS129" si="44">U66</f>
        <v>3</v>
      </c>
      <c r="AT66" s="37" t="str">
        <f t="shared" ref="AT66:AT129" si="45">IF(AR66=AS66,"Correct",IF(AR66=3,"Correct","Wrong"))</f>
        <v>Correct</v>
      </c>
      <c r="AU66" s="37"/>
      <c r="AV66" s="120" t="str">
        <f>IFERROR(VLOOKUP(Table1[RespondentID],'All Data'!$A$3:$CO$999,87,FALSE),"unknown")</f>
        <v>Man</v>
      </c>
      <c r="AW66" s="120">
        <f>IFERROR(VLOOKUP(Table1[RespondentID],'All Data'!$A$3:$CO$999,88,FALSE),"unknown")</f>
        <v>0</v>
      </c>
      <c r="AX66" s="120" t="str">
        <f>IFERROR(VLOOKUP(Table1[RespondentID],'All Data'!$A$3:$CO$999,89,FALSE),"unknown")</f>
        <v>Suffolk</v>
      </c>
      <c r="AY66" s="120" t="str">
        <f>IFERROR(VLOOKUP(Table1[RespondentID],'All Data'!$A$3:$CO$999,90,FALSE),"unknown")</f>
        <v>East Northport, 11731</v>
      </c>
      <c r="AZ66" s="120" t="str">
        <f>IFERROR(VLOOKUP(Table1[RespondentID],'All Data'!$A$3:$CO$999,91,FALSE),"unknown")</f>
        <v>Asian</v>
      </c>
      <c r="BA66" s="120" t="str">
        <f>IFERROR(VLOOKUP(Table1[RespondentID],'All Data'!$A$3:$CO$999,92,FALSE),"unknown")</f>
        <v>Not Hispanic or Latino</v>
      </c>
      <c r="BB66" s="120" t="str">
        <f>IFERROR(VLOOKUP(Table1[RespondentID],'All Data'!$A$3:$CO$999,93,FALSE),"unknown")</f>
        <v>English</v>
      </c>
      <c r="BC66" s="120">
        <f>IFERROR(VLOOKUP(Table1[RespondentID],'All Data'!$A$3:$CW$999,94,FALSE),"unknown")</f>
        <v>0</v>
      </c>
      <c r="BD66" s="120" t="str">
        <f>IFERROR(VLOOKUP(Table1[RespondentID],'All Data'!$A$3:$CW$999,95,FALSE),"unknown")</f>
        <v>College graduate</v>
      </c>
      <c r="BE66" s="120" t="str">
        <f>IFERROR(VLOOKUP(Table1[RespondentID],'All Data'!$A$3:$CW$999,96,FALSE),"unknown")</f>
        <v>Self-employed</v>
      </c>
      <c r="BF66" s="120" t="str">
        <f>IFERROR(VLOOKUP(Table1[RespondentID],'All Data'!$A$3:$CW$999,97,FALSE),"unknown")</f>
        <v>Yes</v>
      </c>
      <c r="BG66" s="120">
        <f>IFERROR(VLOOKUP(Table1[RespondentID],'All Data'!$A$3:$CW$999,98,FALSE),"unknown")</f>
        <v>0</v>
      </c>
      <c r="BH66" s="120">
        <f>IFERROR(VLOOKUP(Table1[RespondentID],'All Data'!$A$3:$CW$999,99,FALSE),"unknown")</f>
        <v>0</v>
      </c>
    </row>
    <row r="67" spans="1:60">
      <c r="A67" s="5">
        <v>18025178810</v>
      </c>
      <c r="B67" s="5"/>
      <c r="C67" s="5"/>
      <c r="D67" s="5"/>
      <c r="E67" s="5"/>
      <c r="F67" s="5"/>
      <c r="G67" s="5"/>
      <c r="H67" s="5"/>
      <c r="I67" s="5"/>
      <c r="J67" s="5"/>
      <c r="K67" s="5"/>
      <c r="L67" s="5"/>
      <c r="M67" s="5"/>
      <c r="N67" s="5"/>
      <c r="O67" s="5"/>
      <c r="P67" s="5" t="s">
        <v>60</v>
      </c>
      <c r="Q67" s="5"/>
      <c r="R67" s="5"/>
      <c r="S67" s="5" t="s">
        <v>63</v>
      </c>
      <c r="T67" s="37"/>
      <c r="U67" s="37">
        <f t="shared" si="23"/>
        <v>2</v>
      </c>
      <c r="V67" s="37">
        <f t="shared" si="24"/>
        <v>1.5</v>
      </c>
      <c r="W67" s="37"/>
      <c r="X67" s="37">
        <f t="shared" si="25"/>
        <v>0</v>
      </c>
      <c r="Y67" s="37">
        <f t="shared" si="26"/>
        <v>0</v>
      </c>
      <c r="Z67" s="37">
        <f t="shared" si="27"/>
        <v>0</v>
      </c>
      <c r="AA67" s="37">
        <f t="shared" si="28"/>
        <v>0</v>
      </c>
      <c r="AB67" s="37">
        <f t="shared" si="29"/>
        <v>0</v>
      </c>
      <c r="AC67" s="37">
        <f t="shared" si="30"/>
        <v>0</v>
      </c>
      <c r="AD67" s="37">
        <f t="shared" si="31"/>
        <v>0</v>
      </c>
      <c r="AE67" s="37">
        <f t="shared" si="32"/>
        <v>0</v>
      </c>
      <c r="AF67" s="37">
        <f t="shared" si="33"/>
        <v>0</v>
      </c>
      <c r="AG67" s="37">
        <f t="shared" si="34"/>
        <v>0</v>
      </c>
      <c r="AH67" s="37">
        <f t="shared" si="35"/>
        <v>0</v>
      </c>
      <c r="AI67" s="37">
        <f t="shared" si="36"/>
        <v>0</v>
      </c>
      <c r="AJ67" s="37">
        <f t="shared" si="37"/>
        <v>0</v>
      </c>
      <c r="AK67" s="37">
        <f t="shared" si="38"/>
        <v>0</v>
      </c>
      <c r="AL67" s="37">
        <f t="shared" si="39"/>
        <v>1</v>
      </c>
      <c r="AM67" s="37">
        <f t="shared" si="40"/>
        <v>0</v>
      </c>
      <c r="AN67" s="37">
        <f t="shared" si="41"/>
        <v>0</v>
      </c>
      <c r="AO67" s="37">
        <f t="shared" si="42"/>
        <v>1</v>
      </c>
      <c r="AP67" s="37"/>
      <c r="AQ67" s="37"/>
      <c r="AR67" s="37">
        <f t="shared" si="43"/>
        <v>2</v>
      </c>
      <c r="AS67" s="37">
        <f t="shared" si="44"/>
        <v>2</v>
      </c>
      <c r="AT67" s="37" t="str">
        <f t="shared" si="45"/>
        <v>Correct</v>
      </c>
      <c r="AU67" s="37"/>
      <c r="AV67" s="120" t="str">
        <f>IFERROR(VLOOKUP(Table1[RespondentID],'All Data'!$A$3:$CO$999,87,FALSE),"unknown")</f>
        <v>Woman</v>
      </c>
      <c r="AW67" s="120">
        <f>IFERROR(VLOOKUP(Table1[RespondentID],'All Data'!$A$3:$CO$999,88,FALSE),"unknown")</f>
        <v>32</v>
      </c>
      <c r="AX67" s="120" t="str">
        <f>IFERROR(VLOOKUP(Table1[RespondentID],'All Data'!$A$3:$CO$999,89,FALSE),"unknown")</f>
        <v>Suffolk</v>
      </c>
      <c r="AY67" s="120" t="str">
        <f>IFERROR(VLOOKUP(Table1[RespondentID],'All Data'!$A$3:$CO$999,90,FALSE),"unknown")</f>
        <v>Kings Park, 11754</v>
      </c>
      <c r="AZ67" s="120" t="str">
        <f>IFERROR(VLOOKUP(Table1[RespondentID],'All Data'!$A$3:$CO$999,91,FALSE),"unknown")</f>
        <v>Two or more races</v>
      </c>
      <c r="BA67" s="120" t="str">
        <f>IFERROR(VLOOKUP(Table1[RespondentID],'All Data'!$A$3:$CO$999,92,FALSE),"unknown")</f>
        <v>Hispanic or Latino</v>
      </c>
      <c r="BB67" s="120" t="str">
        <f>IFERROR(VLOOKUP(Table1[RespondentID],'All Data'!$A$3:$CO$999,93,FALSE),"unknown")</f>
        <v>English, Spanish</v>
      </c>
      <c r="BC67" s="120" t="str">
        <f>IFERROR(VLOOKUP(Table1[RespondentID],'All Data'!$A$3:$CW$999,94,FALSE),"unknown")</f>
        <v>Over $125,000</v>
      </c>
      <c r="BD67" s="120" t="str">
        <f>IFERROR(VLOOKUP(Table1[RespondentID],'All Data'!$A$3:$CW$999,95,FALSE),"unknown")</f>
        <v>Doctorate</v>
      </c>
      <c r="BE67" s="120" t="str">
        <f>IFERROR(VLOOKUP(Table1[RespondentID],'All Data'!$A$3:$CW$999,96,FALSE),"unknown")</f>
        <v>Out of work, but not currently looking</v>
      </c>
      <c r="BF67" s="120" t="str">
        <f>IFERROR(VLOOKUP(Table1[RespondentID],'All Data'!$A$3:$CW$999,97,FALSE),"unknown")</f>
        <v>Yes</v>
      </c>
      <c r="BG67" s="120">
        <f>IFERROR(VLOOKUP(Table1[RespondentID],'All Data'!$A$3:$CW$999,98,FALSE),"unknown")</f>
        <v>0</v>
      </c>
      <c r="BH67" s="120">
        <f>IFERROR(VLOOKUP(Table1[RespondentID],'All Data'!$A$3:$CW$999,99,FALSE),"unknown")</f>
        <v>0</v>
      </c>
    </row>
    <row r="68" spans="1:60">
      <c r="A68" s="5">
        <v>18025178531</v>
      </c>
      <c r="B68" s="5"/>
      <c r="C68" s="5"/>
      <c r="D68" s="5"/>
      <c r="E68" s="5"/>
      <c r="F68" s="5"/>
      <c r="G68" s="5"/>
      <c r="H68" s="5"/>
      <c r="I68" s="5"/>
      <c r="J68" s="5"/>
      <c r="K68" s="5"/>
      <c r="L68" s="5"/>
      <c r="M68" s="5"/>
      <c r="N68" s="5"/>
      <c r="O68" s="5"/>
      <c r="P68" s="5" t="s">
        <v>60</v>
      </c>
      <c r="Q68" s="5"/>
      <c r="R68" s="5"/>
      <c r="S68" s="5"/>
      <c r="T68" s="37"/>
      <c r="U68" s="37">
        <f t="shared" si="23"/>
        <v>1</v>
      </c>
      <c r="V68" s="37">
        <f t="shared" si="24"/>
        <v>3</v>
      </c>
      <c r="W68" s="37"/>
      <c r="X68" s="37">
        <f t="shared" si="25"/>
        <v>0</v>
      </c>
      <c r="Y68" s="37">
        <f t="shared" si="26"/>
        <v>0</v>
      </c>
      <c r="Z68" s="37">
        <f t="shared" si="27"/>
        <v>0</v>
      </c>
      <c r="AA68" s="37">
        <f t="shared" si="28"/>
        <v>0</v>
      </c>
      <c r="AB68" s="37">
        <f t="shared" si="29"/>
        <v>0</v>
      </c>
      <c r="AC68" s="37">
        <f t="shared" si="30"/>
        <v>0</v>
      </c>
      <c r="AD68" s="37">
        <f t="shared" si="31"/>
        <v>0</v>
      </c>
      <c r="AE68" s="37">
        <f t="shared" si="32"/>
        <v>0</v>
      </c>
      <c r="AF68" s="37">
        <f t="shared" si="33"/>
        <v>0</v>
      </c>
      <c r="AG68" s="37">
        <f t="shared" si="34"/>
        <v>0</v>
      </c>
      <c r="AH68" s="37">
        <f t="shared" si="35"/>
        <v>0</v>
      </c>
      <c r="AI68" s="37">
        <f t="shared" si="36"/>
        <v>0</v>
      </c>
      <c r="AJ68" s="37">
        <f t="shared" si="37"/>
        <v>0</v>
      </c>
      <c r="AK68" s="37">
        <f t="shared" si="38"/>
        <v>0</v>
      </c>
      <c r="AL68" s="37">
        <f t="shared" si="39"/>
        <v>1</v>
      </c>
      <c r="AM68" s="37">
        <f t="shared" si="40"/>
        <v>0</v>
      </c>
      <c r="AN68" s="37">
        <f t="shared" si="41"/>
        <v>0</v>
      </c>
      <c r="AO68" s="37">
        <f t="shared" si="42"/>
        <v>0</v>
      </c>
      <c r="AP68" s="37"/>
      <c r="AQ68" s="37"/>
      <c r="AR68" s="37">
        <f t="shared" si="43"/>
        <v>1</v>
      </c>
      <c r="AS68" s="37">
        <f t="shared" si="44"/>
        <v>1</v>
      </c>
      <c r="AT68" s="37" t="str">
        <f t="shared" si="45"/>
        <v>Correct</v>
      </c>
      <c r="AU68" s="37"/>
      <c r="AV68" s="120" t="str">
        <f>IFERROR(VLOOKUP(Table1[RespondentID],'All Data'!$A$3:$CO$999,87,FALSE),"unknown")</f>
        <v>Man</v>
      </c>
      <c r="AW68" s="120">
        <f>IFERROR(VLOOKUP(Table1[RespondentID],'All Data'!$A$3:$CO$999,88,FALSE),"unknown")</f>
        <v>39</v>
      </c>
      <c r="AX68" s="120" t="str">
        <f>IFERROR(VLOOKUP(Table1[RespondentID],'All Data'!$A$3:$CO$999,89,FALSE),"unknown")</f>
        <v>Suffolk</v>
      </c>
      <c r="AY68" s="120" t="str">
        <f>IFERROR(VLOOKUP(Table1[RespondentID],'All Data'!$A$3:$CO$999,90,FALSE),"unknown")</f>
        <v>Commack, 11725</v>
      </c>
      <c r="AZ68" s="120" t="str">
        <f>IFERROR(VLOOKUP(Table1[RespondentID],'All Data'!$A$3:$CO$999,91,FALSE),"unknown")</f>
        <v>White</v>
      </c>
      <c r="BA68" s="120">
        <f>IFERROR(VLOOKUP(Table1[RespondentID],'All Data'!$A$3:$CO$999,92,FALSE),"unknown")</f>
        <v>0</v>
      </c>
      <c r="BB68" s="120" t="str">
        <f>IFERROR(VLOOKUP(Table1[RespondentID],'All Data'!$A$3:$CO$999,93,FALSE),"unknown")</f>
        <v>English</v>
      </c>
      <c r="BC68" s="120" t="str">
        <f>IFERROR(VLOOKUP(Table1[RespondentID],'All Data'!$A$3:$CW$999,94,FALSE),"unknown")</f>
        <v>$75,000 to $125,000</v>
      </c>
      <c r="BD68" s="120" t="str">
        <f>IFERROR(VLOOKUP(Table1[RespondentID],'All Data'!$A$3:$CW$999,95,FALSE),"unknown")</f>
        <v>College graduate</v>
      </c>
      <c r="BE68" s="120" t="str">
        <f>IFERROR(VLOOKUP(Table1[RespondentID],'All Data'!$A$3:$CW$999,96,FALSE),"unknown")</f>
        <v>Employed for wages</v>
      </c>
      <c r="BF68" s="120" t="str">
        <f>IFERROR(VLOOKUP(Table1[RespondentID],'All Data'!$A$3:$CW$999,97,FALSE),"unknown")</f>
        <v>Yes</v>
      </c>
      <c r="BG68" s="120">
        <f>IFERROR(VLOOKUP(Table1[RespondentID],'All Data'!$A$3:$CW$999,98,FALSE),"unknown")</f>
        <v>0</v>
      </c>
      <c r="BH68" s="120">
        <f>IFERROR(VLOOKUP(Table1[RespondentID],'All Data'!$A$3:$CW$999,99,FALSE),"unknown")</f>
        <v>0</v>
      </c>
    </row>
    <row r="69" spans="1:60">
      <c r="A69" s="5">
        <v>18025178424</v>
      </c>
      <c r="B69" s="5"/>
      <c r="C69" s="5"/>
      <c r="D69" s="5" t="s">
        <v>51</v>
      </c>
      <c r="E69" s="5"/>
      <c r="F69" s="5" t="s">
        <v>52</v>
      </c>
      <c r="G69" s="5"/>
      <c r="H69" s="5"/>
      <c r="I69" s="5"/>
      <c r="J69" s="5"/>
      <c r="K69" s="5"/>
      <c r="L69" s="5"/>
      <c r="M69" s="5" t="s">
        <v>59</v>
      </c>
      <c r="N69" s="5"/>
      <c r="O69" s="5"/>
      <c r="P69" s="5"/>
      <c r="Q69" s="5"/>
      <c r="R69" s="5"/>
      <c r="S69" s="5"/>
      <c r="T69" s="37"/>
      <c r="U69" s="37">
        <f t="shared" si="23"/>
        <v>3</v>
      </c>
      <c r="V69" s="37">
        <f t="shared" si="24"/>
        <v>1</v>
      </c>
      <c r="W69" s="37"/>
      <c r="X69" s="37">
        <f t="shared" si="25"/>
        <v>0</v>
      </c>
      <c r="Y69" s="37">
        <f t="shared" si="26"/>
        <v>0</v>
      </c>
      <c r="Z69" s="37">
        <f t="shared" si="27"/>
        <v>1</v>
      </c>
      <c r="AA69" s="37">
        <f t="shared" si="28"/>
        <v>0</v>
      </c>
      <c r="AB69" s="37">
        <f t="shared" si="29"/>
        <v>1</v>
      </c>
      <c r="AC69" s="37">
        <f t="shared" si="30"/>
        <v>0</v>
      </c>
      <c r="AD69" s="37">
        <f t="shared" si="31"/>
        <v>0</v>
      </c>
      <c r="AE69" s="37">
        <f t="shared" si="32"/>
        <v>0</v>
      </c>
      <c r="AF69" s="37">
        <f t="shared" si="33"/>
        <v>0</v>
      </c>
      <c r="AG69" s="37">
        <f t="shared" si="34"/>
        <v>0</v>
      </c>
      <c r="AH69" s="37">
        <f t="shared" si="35"/>
        <v>0</v>
      </c>
      <c r="AI69" s="37">
        <f t="shared" si="36"/>
        <v>1</v>
      </c>
      <c r="AJ69" s="37">
        <f t="shared" si="37"/>
        <v>0</v>
      </c>
      <c r="AK69" s="37">
        <f t="shared" si="38"/>
        <v>0</v>
      </c>
      <c r="AL69" s="37">
        <f t="shared" si="39"/>
        <v>0</v>
      </c>
      <c r="AM69" s="37">
        <f t="shared" si="40"/>
        <v>0</v>
      </c>
      <c r="AN69" s="37">
        <f t="shared" si="41"/>
        <v>0</v>
      </c>
      <c r="AO69" s="37">
        <f t="shared" si="42"/>
        <v>0</v>
      </c>
      <c r="AP69" s="37"/>
      <c r="AQ69" s="37"/>
      <c r="AR69" s="37">
        <f t="shared" si="43"/>
        <v>3</v>
      </c>
      <c r="AS69" s="37">
        <f t="shared" si="44"/>
        <v>3</v>
      </c>
      <c r="AT69" s="37" t="str">
        <f t="shared" si="45"/>
        <v>Correct</v>
      </c>
      <c r="AU69" s="37"/>
      <c r="AV69" s="120" t="str">
        <f>IFERROR(VLOOKUP(Table1[RespondentID],'All Data'!$A$3:$CO$999,87,FALSE),"unknown")</f>
        <v>Woman</v>
      </c>
      <c r="AW69" s="120">
        <f>IFERROR(VLOOKUP(Table1[RespondentID],'All Data'!$A$3:$CO$999,88,FALSE),"unknown")</f>
        <v>59</v>
      </c>
      <c r="AX69" s="120" t="str">
        <f>IFERROR(VLOOKUP(Table1[RespondentID],'All Data'!$A$3:$CO$999,89,FALSE),"unknown")</f>
        <v>Suffolk</v>
      </c>
      <c r="AY69" s="120" t="str">
        <f>IFERROR(VLOOKUP(Table1[RespondentID],'All Data'!$A$3:$CO$999,90,FALSE),"unknown")</f>
        <v>Saint James, 11780</v>
      </c>
      <c r="AZ69" s="120" t="str">
        <f>IFERROR(VLOOKUP(Table1[RespondentID],'All Data'!$A$3:$CO$999,91,FALSE),"unknown")</f>
        <v>White</v>
      </c>
      <c r="BA69" s="120" t="str">
        <f>IFERROR(VLOOKUP(Table1[RespondentID],'All Data'!$A$3:$CO$999,92,FALSE),"unknown")</f>
        <v>Not Hispanic or Latino</v>
      </c>
      <c r="BB69" s="120" t="str">
        <f>IFERROR(VLOOKUP(Table1[RespondentID],'All Data'!$A$3:$CO$999,93,FALSE),"unknown")</f>
        <v>English</v>
      </c>
      <c r="BC69" s="120" t="str">
        <f>IFERROR(VLOOKUP(Table1[RespondentID],'All Data'!$A$3:$CW$999,94,FALSE),"unknown")</f>
        <v>Over $125,000</v>
      </c>
      <c r="BD69" s="120" t="str">
        <f>IFERROR(VLOOKUP(Table1[RespondentID],'All Data'!$A$3:$CW$999,95,FALSE),"unknown")</f>
        <v>College graduate</v>
      </c>
      <c r="BE69" s="120" t="str">
        <f>IFERROR(VLOOKUP(Table1[RespondentID],'All Data'!$A$3:$CW$999,96,FALSE),"unknown")</f>
        <v>Employed for wages</v>
      </c>
      <c r="BF69" s="120" t="str">
        <f>IFERROR(VLOOKUP(Table1[RespondentID],'All Data'!$A$3:$CW$999,97,FALSE),"unknown")</f>
        <v>Yes</v>
      </c>
      <c r="BG69" s="120" t="str">
        <f>IFERROR(VLOOKUP(Table1[RespondentID],'All Data'!$A$3:$CW$999,98,FALSE),"unknown")</f>
        <v>Private/Commercial</v>
      </c>
      <c r="BH69" s="120">
        <f>IFERROR(VLOOKUP(Table1[RespondentID],'All Data'!$A$3:$CW$999,99,FALSE),"unknown")</f>
        <v>0</v>
      </c>
    </row>
    <row r="70" spans="1:60">
      <c r="A70" s="5">
        <v>18025178298</v>
      </c>
      <c r="B70" s="5"/>
      <c r="C70" s="5"/>
      <c r="D70" s="5"/>
      <c r="E70" s="5"/>
      <c r="F70" s="5"/>
      <c r="G70" s="5"/>
      <c r="H70" s="5"/>
      <c r="I70" s="5"/>
      <c r="J70" s="5"/>
      <c r="K70" s="5"/>
      <c r="L70" s="5"/>
      <c r="M70" s="5"/>
      <c r="N70" s="5"/>
      <c r="O70" s="5"/>
      <c r="P70" s="5" t="s">
        <v>60</v>
      </c>
      <c r="Q70" s="5"/>
      <c r="R70" s="5"/>
      <c r="S70" s="5"/>
      <c r="T70" s="37"/>
      <c r="U70" s="37">
        <f t="shared" si="23"/>
        <v>1</v>
      </c>
      <c r="V70" s="37">
        <f t="shared" si="24"/>
        <v>3</v>
      </c>
      <c r="W70" s="37"/>
      <c r="X70" s="37">
        <f t="shared" si="25"/>
        <v>0</v>
      </c>
      <c r="Y70" s="37">
        <f t="shared" si="26"/>
        <v>0</v>
      </c>
      <c r="Z70" s="37">
        <f t="shared" si="27"/>
        <v>0</v>
      </c>
      <c r="AA70" s="37">
        <f t="shared" si="28"/>
        <v>0</v>
      </c>
      <c r="AB70" s="37">
        <f t="shared" si="29"/>
        <v>0</v>
      </c>
      <c r="AC70" s="37">
        <f t="shared" si="30"/>
        <v>0</v>
      </c>
      <c r="AD70" s="37">
        <f t="shared" si="31"/>
        <v>0</v>
      </c>
      <c r="AE70" s="37">
        <f t="shared" si="32"/>
        <v>0</v>
      </c>
      <c r="AF70" s="37">
        <f t="shared" si="33"/>
        <v>0</v>
      </c>
      <c r="AG70" s="37">
        <f t="shared" si="34"/>
        <v>0</v>
      </c>
      <c r="AH70" s="37">
        <f t="shared" si="35"/>
        <v>0</v>
      </c>
      <c r="AI70" s="37">
        <f t="shared" si="36"/>
        <v>0</v>
      </c>
      <c r="AJ70" s="37">
        <f t="shared" si="37"/>
        <v>0</v>
      </c>
      <c r="AK70" s="37">
        <f t="shared" si="38"/>
        <v>0</v>
      </c>
      <c r="AL70" s="37">
        <f t="shared" si="39"/>
        <v>1</v>
      </c>
      <c r="AM70" s="37">
        <f t="shared" si="40"/>
        <v>0</v>
      </c>
      <c r="AN70" s="37">
        <f t="shared" si="41"/>
        <v>0</v>
      </c>
      <c r="AO70" s="37">
        <f t="shared" si="42"/>
        <v>0</v>
      </c>
      <c r="AP70" s="37"/>
      <c r="AQ70" s="37"/>
      <c r="AR70" s="37">
        <f t="shared" si="43"/>
        <v>1</v>
      </c>
      <c r="AS70" s="37">
        <f t="shared" si="44"/>
        <v>1</v>
      </c>
      <c r="AT70" s="37" t="str">
        <f t="shared" si="45"/>
        <v>Correct</v>
      </c>
      <c r="AU70" s="37"/>
      <c r="AV70" s="120" t="str">
        <f>IFERROR(VLOOKUP(Table1[RespondentID],'All Data'!$A$3:$CO$999,87,FALSE),"unknown")</f>
        <v>Woman</v>
      </c>
      <c r="AW70" s="120">
        <f>IFERROR(VLOOKUP(Table1[RespondentID],'All Data'!$A$3:$CO$999,88,FALSE),"unknown")</f>
        <v>42</v>
      </c>
      <c r="AX70" s="120" t="str">
        <f>IFERROR(VLOOKUP(Table1[RespondentID],'All Data'!$A$3:$CO$999,89,FALSE),"unknown")</f>
        <v>Suffolk</v>
      </c>
      <c r="AY70" s="120" t="str">
        <f>IFERROR(VLOOKUP(Table1[RespondentID],'All Data'!$A$3:$CO$999,90,FALSE),"unknown")</f>
        <v>Commack, 11725</v>
      </c>
      <c r="AZ70" s="120" t="str">
        <f>IFERROR(VLOOKUP(Table1[RespondentID],'All Data'!$A$3:$CO$999,91,FALSE),"unknown")</f>
        <v>Asian</v>
      </c>
      <c r="BA70" s="120">
        <f>IFERROR(VLOOKUP(Table1[RespondentID],'All Data'!$A$3:$CO$999,92,FALSE),"unknown")</f>
        <v>0</v>
      </c>
      <c r="BB70" s="120">
        <f>IFERROR(VLOOKUP(Table1[RespondentID],'All Data'!$A$3:$CO$999,93,FALSE),"unknown")</f>
        <v>0</v>
      </c>
      <c r="BC70" s="120" t="str">
        <f>IFERROR(VLOOKUP(Table1[RespondentID],'All Data'!$A$3:$CW$999,94,FALSE),"unknown")</f>
        <v>Over $125,000</v>
      </c>
      <c r="BD70" s="120" t="str">
        <f>IFERROR(VLOOKUP(Table1[RespondentID],'All Data'!$A$3:$CW$999,95,FALSE),"unknown")</f>
        <v>Graduate school</v>
      </c>
      <c r="BE70" s="120" t="str">
        <f>IFERROR(VLOOKUP(Table1[RespondentID],'All Data'!$A$3:$CW$999,96,FALSE),"unknown")</f>
        <v>Out of work, but not currently looking</v>
      </c>
      <c r="BF70" s="120" t="str">
        <f>IFERROR(VLOOKUP(Table1[RespondentID],'All Data'!$A$3:$CW$999,97,FALSE),"unknown")</f>
        <v>Yes</v>
      </c>
      <c r="BG70" s="120">
        <f>IFERROR(VLOOKUP(Table1[RespondentID],'All Data'!$A$3:$CW$999,98,FALSE),"unknown")</f>
        <v>0</v>
      </c>
      <c r="BH70" s="120">
        <f>IFERROR(VLOOKUP(Table1[RespondentID],'All Data'!$A$3:$CW$999,99,FALSE),"unknown")</f>
        <v>0</v>
      </c>
    </row>
    <row r="71" spans="1:60">
      <c r="A71" s="5">
        <v>18025178212</v>
      </c>
      <c r="B71" s="5"/>
      <c r="C71" s="5"/>
      <c r="D71" s="5"/>
      <c r="E71" s="5"/>
      <c r="F71" s="5"/>
      <c r="G71" s="5"/>
      <c r="H71" s="5"/>
      <c r="I71" s="5"/>
      <c r="J71" s="5"/>
      <c r="K71" s="5"/>
      <c r="L71" s="5"/>
      <c r="M71" s="5"/>
      <c r="N71" s="5"/>
      <c r="O71" s="5"/>
      <c r="P71" s="5" t="s">
        <v>60</v>
      </c>
      <c r="Q71" s="5"/>
      <c r="R71" s="5"/>
      <c r="S71" s="5"/>
      <c r="T71" s="37"/>
      <c r="U71" s="37">
        <f t="shared" si="23"/>
        <v>1</v>
      </c>
      <c r="V71" s="37">
        <f t="shared" si="24"/>
        <v>3</v>
      </c>
      <c r="W71" s="37"/>
      <c r="X71" s="37">
        <f t="shared" si="25"/>
        <v>0</v>
      </c>
      <c r="Y71" s="37">
        <f t="shared" si="26"/>
        <v>0</v>
      </c>
      <c r="Z71" s="37">
        <f t="shared" si="27"/>
        <v>0</v>
      </c>
      <c r="AA71" s="37">
        <f t="shared" si="28"/>
        <v>0</v>
      </c>
      <c r="AB71" s="37">
        <f t="shared" si="29"/>
        <v>0</v>
      </c>
      <c r="AC71" s="37">
        <f t="shared" si="30"/>
        <v>0</v>
      </c>
      <c r="AD71" s="37">
        <f t="shared" si="31"/>
        <v>0</v>
      </c>
      <c r="AE71" s="37">
        <f t="shared" si="32"/>
        <v>0</v>
      </c>
      <c r="AF71" s="37">
        <f t="shared" si="33"/>
        <v>0</v>
      </c>
      <c r="AG71" s="37">
        <f t="shared" si="34"/>
        <v>0</v>
      </c>
      <c r="AH71" s="37">
        <f t="shared" si="35"/>
        <v>0</v>
      </c>
      <c r="AI71" s="37">
        <f t="shared" si="36"/>
        <v>0</v>
      </c>
      <c r="AJ71" s="37">
        <f t="shared" si="37"/>
        <v>0</v>
      </c>
      <c r="AK71" s="37">
        <f t="shared" si="38"/>
        <v>0</v>
      </c>
      <c r="AL71" s="37">
        <f t="shared" si="39"/>
        <v>1</v>
      </c>
      <c r="AM71" s="37">
        <f t="shared" si="40"/>
        <v>0</v>
      </c>
      <c r="AN71" s="37">
        <f t="shared" si="41"/>
        <v>0</v>
      </c>
      <c r="AO71" s="37">
        <f t="shared" si="42"/>
        <v>0</v>
      </c>
      <c r="AP71" s="37"/>
      <c r="AQ71" s="37"/>
      <c r="AR71" s="37">
        <f t="shared" si="43"/>
        <v>1</v>
      </c>
      <c r="AS71" s="37">
        <f t="shared" si="44"/>
        <v>1</v>
      </c>
      <c r="AT71" s="37" t="str">
        <f t="shared" si="45"/>
        <v>Correct</v>
      </c>
      <c r="AU71" s="37"/>
      <c r="AV71" s="120" t="str">
        <f>IFERROR(VLOOKUP(Table1[RespondentID],'All Data'!$A$3:$CO$999,87,FALSE),"unknown")</f>
        <v>Woman</v>
      </c>
      <c r="AW71" s="120">
        <f>IFERROR(VLOOKUP(Table1[RespondentID],'All Data'!$A$3:$CO$999,88,FALSE),"unknown")</f>
        <v>46</v>
      </c>
      <c r="AX71" s="120" t="str">
        <f>IFERROR(VLOOKUP(Table1[RespondentID],'All Data'!$A$3:$CO$999,89,FALSE),"unknown")</f>
        <v>Suffolk</v>
      </c>
      <c r="AY71" s="120" t="str">
        <f>IFERROR(VLOOKUP(Table1[RespondentID],'All Data'!$A$3:$CO$999,90,FALSE),"unknown")</f>
        <v>East Northport, 11731</v>
      </c>
      <c r="AZ71" s="120" t="str">
        <f>IFERROR(VLOOKUP(Table1[RespondentID],'All Data'!$A$3:$CO$999,91,FALSE),"unknown")</f>
        <v>Asian</v>
      </c>
      <c r="BA71" s="120" t="str">
        <f>IFERROR(VLOOKUP(Table1[RespondentID],'All Data'!$A$3:$CO$999,92,FALSE),"unknown")</f>
        <v>Not Hispanic or Latino</v>
      </c>
      <c r="BB71" s="120">
        <f>IFERROR(VLOOKUP(Table1[RespondentID],'All Data'!$A$3:$CO$999,93,FALSE),"unknown")</f>
        <v>0</v>
      </c>
      <c r="BC71" s="120" t="str">
        <f>IFERROR(VLOOKUP(Table1[RespondentID],'All Data'!$A$3:$CW$999,94,FALSE),"unknown")</f>
        <v>$75,000 to $125,000</v>
      </c>
      <c r="BD71" s="120" t="str">
        <f>IFERROR(VLOOKUP(Table1[RespondentID],'All Data'!$A$3:$CW$999,95,FALSE),"unknown")</f>
        <v>Graduate school</v>
      </c>
      <c r="BE71" s="120" t="str">
        <f>IFERROR(VLOOKUP(Table1[RespondentID],'All Data'!$A$3:$CW$999,96,FALSE),"unknown")</f>
        <v>Out of work, but not currently looking</v>
      </c>
      <c r="BF71" s="120" t="str">
        <f>IFERROR(VLOOKUP(Table1[RespondentID],'All Data'!$A$3:$CW$999,97,FALSE),"unknown")</f>
        <v>Yes</v>
      </c>
      <c r="BG71" s="120">
        <f>IFERROR(VLOOKUP(Table1[RespondentID],'All Data'!$A$3:$CW$999,98,FALSE),"unknown")</f>
        <v>0</v>
      </c>
      <c r="BH71" s="120">
        <f>IFERROR(VLOOKUP(Table1[RespondentID],'All Data'!$A$3:$CW$999,99,FALSE),"unknown")</f>
        <v>0</v>
      </c>
    </row>
    <row r="72" spans="1:60">
      <c r="A72" s="5">
        <v>18025178011</v>
      </c>
      <c r="B72" s="5"/>
      <c r="C72" s="5"/>
      <c r="D72" s="5"/>
      <c r="E72" s="5"/>
      <c r="F72" s="5"/>
      <c r="G72" s="5"/>
      <c r="H72" s="5"/>
      <c r="I72" s="5"/>
      <c r="J72" s="5"/>
      <c r="K72" s="5"/>
      <c r="L72" s="5"/>
      <c r="M72" s="5"/>
      <c r="N72" s="5"/>
      <c r="O72" s="5"/>
      <c r="P72" s="5" t="s">
        <v>60</v>
      </c>
      <c r="Q72" s="5"/>
      <c r="R72" s="5"/>
      <c r="S72" s="5"/>
      <c r="T72" s="37"/>
      <c r="U72" s="37">
        <f t="shared" si="23"/>
        <v>1</v>
      </c>
      <c r="V72" s="37">
        <f t="shared" si="24"/>
        <v>3</v>
      </c>
      <c r="W72" s="37"/>
      <c r="X72" s="37">
        <f t="shared" si="25"/>
        <v>0</v>
      </c>
      <c r="Y72" s="37">
        <f t="shared" si="26"/>
        <v>0</v>
      </c>
      <c r="Z72" s="37">
        <f t="shared" si="27"/>
        <v>0</v>
      </c>
      <c r="AA72" s="37">
        <f t="shared" si="28"/>
        <v>0</v>
      </c>
      <c r="AB72" s="37">
        <f t="shared" si="29"/>
        <v>0</v>
      </c>
      <c r="AC72" s="37">
        <f t="shared" si="30"/>
        <v>0</v>
      </c>
      <c r="AD72" s="37">
        <f t="shared" si="31"/>
        <v>0</v>
      </c>
      <c r="AE72" s="37">
        <f t="shared" si="32"/>
        <v>0</v>
      </c>
      <c r="AF72" s="37">
        <f t="shared" si="33"/>
        <v>0</v>
      </c>
      <c r="AG72" s="37">
        <f t="shared" si="34"/>
        <v>0</v>
      </c>
      <c r="AH72" s="37">
        <f t="shared" si="35"/>
        <v>0</v>
      </c>
      <c r="AI72" s="37">
        <f t="shared" si="36"/>
        <v>0</v>
      </c>
      <c r="AJ72" s="37">
        <f t="shared" si="37"/>
        <v>0</v>
      </c>
      <c r="AK72" s="37">
        <f t="shared" si="38"/>
        <v>0</v>
      </c>
      <c r="AL72" s="37">
        <f t="shared" si="39"/>
        <v>1</v>
      </c>
      <c r="AM72" s="37">
        <f t="shared" si="40"/>
        <v>0</v>
      </c>
      <c r="AN72" s="37">
        <f t="shared" si="41"/>
        <v>0</v>
      </c>
      <c r="AO72" s="37">
        <f t="shared" si="42"/>
        <v>0</v>
      </c>
      <c r="AP72" s="37"/>
      <c r="AQ72" s="37"/>
      <c r="AR72" s="37">
        <f t="shared" si="43"/>
        <v>1</v>
      </c>
      <c r="AS72" s="37">
        <f t="shared" si="44"/>
        <v>1</v>
      </c>
      <c r="AT72" s="37" t="str">
        <f t="shared" si="45"/>
        <v>Correct</v>
      </c>
      <c r="AU72" s="37"/>
      <c r="AV72" s="120" t="str">
        <f>IFERROR(VLOOKUP(Table1[RespondentID],'All Data'!$A$3:$CO$999,87,FALSE),"unknown")</f>
        <v>Man</v>
      </c>
      <c r="AW72" s="120">
        <f>IFERROR(VLOOKUP(Table1[RespondentID],'All Data'!$A$3:$CO$999,88,FALSE),"unknown")</f>
        <v>52</v>
      </c>
      <c r="AX72" s="120" t="str">
        <f>IFERROR(VLOOKUP(Table1[RespondentID],'All Data'!$A$3:$CO$999,89,FALSE),"unknown")</f>
        <v>Suffolk</v>
      </c>
      <c r="AY72" s="120" t="str">
        <f>IFERROR(VLOOKUP(Table1[RespondentID],'All Data'!$A$3:$CO$999,90,FALSE),"unknown")</f>
        <v>East Northport, 11731</v>
      </c>
      <c r="AZ72" s="120" t="str">
        <f>IFERROR(VLOOKUP(Table1[RespondentID],'All Data'!$A$3:$CO$999,91,FALSE),"unknown")</f>
        <v>Asian</v>
      </c>
      <c r="BA72" s="120" t="str">
        <f>IFERROR(VLOOKUP(Table1[RespondentID],'All Data'!$A$3:$CO$999,92,FALSE),"unknown")</f>
        <v>Not Hispanic or Latino</v>
      </c>
      <c r="BB72" s="120">
        <f>IFERROR(VLOOKUP(Table1[RespondentID],'All Data'!$A$3:$CO$999,93,FALSE),"unknown")</f>
        <v>0</v>
      </c>
      <c r="BC72" s="120" t="str">
        <f>IFERROR(VLOOKUP(Table1[RespondentID],'All Data'!$A$3:$CW$999,94,FALSE),"unknown")</f>
        <v>Over $125,000</v>
      </c>
      <c r="BD72" s="120" t="str">
        <f>IFERROR(VLOOKUP(Table1[RespondentID],'All Data'!$A$3:$CW$999,95,FALSE),"unknown")</f>
        <v>College graduate</v>
      </c>
      <c r="BE72" s="120" t="str">
        <f>IFERROR(VLOOKUP(Table1[RespondentID],'All Data'!$A$3:$CW$999,96,FALSE),"unknown")</f>
        <v>Self-employed</v>
      </c>
      <c r="BF72" s="120" t="str">
        <f>IFERROR(VLOOKUP(Table1[RespondentID],'All Data'!$A$3:$CW$999,97,FALSE),"unknown")</f>
        <v>Yes</v>
      </c>
      <c r="BG72" s="120">
        <f>IFERROR(VLOOKUP(Table1[RespondentID],'All Data'!$A$3:$CW$999,98,FALSE),"unknown")</f>
        <v>0</v>
      </c>
      <c r="BH72" s="120">
        <f>IFERROR(VLOOKUP(Table1[RespondentID],'All Data'!$A$3:$CW$999,99,FALSE),"unknown")</f>
        <v>0</v>
      </c>
    </row>
    <row r="73" spans="1:60">
      <c r="A73" s="5">
        <v>18025177820</v>
      </c>
      <c r="B73" s="5"/>
      <c r="C73" s="5"/>
      <c r="D73" s="5" t="s">
        <v>51</v>
      </c>
      <c r="E73" s="5"/>
      <c r="F73" s="5"/>
      <c r="G73" s="5"/>
      <c r="H73" s="5"/>
      <c r="I73" s="5"/>
      <c r="J73" s="5"/>
      <c r="K73" s="5"/>
      <c r="L73" s="5"/>
      <c r="M73" s="5" t="s">
        <v>59</v>
      </c>
      <c r="N73" s="5"/>
      <c r="O73" s="5"/>
      <c r="P73" s="5" t="s">
        <v>60</v>
      </c>
      <c r="Q73" s="5"/>
      <c r="R73" s="5"/>
      <c r="S73" s="5"/>
      <c r="T73" s="37"/>
      <c r="U73" s="37">
        <f t="shared" si="23"/>
        <v>3</v>
      </c>
      <c r="V73" s="37">
        <f t="shared" si="24"/>
        <v>1</v>
      </c>
      <c r="W73" s="37"/>
      <c r="X73" s="37">
        <f t="shared" si="25"/>
        <v>0</v>
      </c>
      <c r="Y73" s="37">
        <f t="shared" si="26"/>
        <v>0</v>
      </c>
      <c r="Z73" s="37">
        <f t="shared" si="27"/>
        <v>1</v>
      </c>
      <c r="AA73" s="37">
        <f t="shared" si="28"/>
        <v>0</v>
      </c>
      <c r="AB73" s="37">
        <f t="shared" si="29"/>
        <v>0</v>
      </c>
      <c r="AC73" s="37">
        <f t="shared" si="30"/>
        <v>0</v>
      </c>
      <c r="AD73" s="37">
        <f t="shared" si="31"/>
        <v>0</v>
      </c>
      <c r="AE73" s="37">
        <f t="shared" si="32"/>
        <v>0</v>
      </c>
      <c r="AF73" s="37">
        <f t="shared" si="33"/>
        <v>0</v>
      </c>
      <c r="AG73" s="37">
        <f t="shared" si="34"/>
        <v>0</v>
      </c>
      <c r="AH73" s="37">
        <f t="shared" si="35"/>
        <v>0</v>
      </c>
      <c r="AI73" s="37">
        <f t="shared" si="36"/>
        <v>1</v>
      </c>
      <c r="AJ73" s="37">
        <f t="shared" si="37"/>
        <v>0</v>
      </c>
      <c r="AK73" s="37">
        <f t="shared" si="38"/>
        <v>0</v>
      </c>
      <c r="AL73" s="37">
        <f t="shared" si="39"/>
        <v>1</v>
      </c>
      <c r="AM73" s="37">
        <f t="shared" si="40"/>
        <v>0</v>
      </c>
      <c r="AN73" s="37">
        <f t="shared" si="41"/>
        <v>0</v>
      </c>
      <c r="AO73" s="37">
        <f t="shared" si="42"/>
        <v>0</v>
      </c>
      <c r="AP73" s="37"/>
      <c r="AQ73" s="37"/>
      <c r="AR73" s="37">
        <f t="shared" si="43"/>
        <v>3</v>
      </c>
      <c r="AS73" s="37">
        <f t="shared" si="44"/>
        <v>3</v>
      </c>
      <c r="AT73" s="37" t="str">
        <f t="shared" si="45"/>
        <v>Correct</v>
      </c>
      <c r="AU73" s="37"/>
      <c r="AV73" s="120" t="str">
        <f>IFERROR(VLOOKUP(Table1[RespondentID],'All Data'!$A$3:$CO$999,87,FALSE),"unknown")</f>
        <v>Woman</v>
      </c>
      <c r="AW73" s="120">
        <f>IFERROR(VLOOKUP(Table1[RespondentID],'All Data'!$A$3:$CO$999,88,FALSE),"unknown")</f>
        <v>18</v>
      </c>
      <c r="AX73" s="120" t="str">
        <f>IFERROR(VLOOKUP(Table1[RespondentID],'All Data'!$A$3:$CO$999,89,FALSE),"unknown")</f>
        <v>Suffolk</v>
      </c>
      <c r="AY73" s="120" t="str">
        <f>IFERROR(VLOOKUP(Table1[RespondentID],'All Data'!$A$3:$CO$999,90,FALSE),"unknown")</f>
        <v>East Northport, 11731</v>
      </c>
      <c r="AZ73" s="120" t="str">
        <f>IFERROR(VLOOKUP(Table1[RespondentID],'All Data'!$A$3:$CO$999,91,FALSE),"unknown")</f>
        <v>Asian</v>
      </c>
      <c r="BA73" s="120" t="str">
        <f>IFERROR(VLOOKUP(Table1[RespondentID],'All Data'!$A$3:$CO$999,92,FALSE),"unknown")</f>
        <v>Not Hispanic or Latino</v>
      </c>
      <c r="BB73" s="120">
        <f>IFERROR(VLOOKUP(Table1[RespondentID],'All Data'!$A$3:$CO$999,93,FALSE),"unknown")</f>
        <v>0</v>
      </c>
      <c r="BC73" s="120" t="str">
        <f>IFERROR(VLOOKUP(Table1[RespondentID],'All Data'!$A$3:$CW$999,94,FALSE),"unknown")</f>
        <v>Over $125,000</v>
      </c>
      <c r="BD73" s="120" t="str">
        <f>IFERROR(VLOOKUP(Table1[RespondentID],'All Data'!$A$3:$CW$999,95,FALSE),"unknown")</f>
        <v>Some high school</v>
      </c>
      <c r="BE73" s="120" t="str">
        <f>IFERROR(VLOOKUP(Table1[RespondentID],'All Data'!$A$3:$CW$999,96,FALSE),"unknown")</f>
        <v>Student</v>
      </c>
      <c r="BF73" s="120" t="str">
        <f>IFERROR(VLOOKUP(Table1[RespondentID],'All Data'!$A$3:$CW$999,97,FALSE),"unknown")</f>
        <v>Yes</v>
      </c>
      <c r="BG73" s="120">
        <f>IFERROR(VLOOKUP(Table1[RespondentID],'All Data'!$A$3:$CW$999,98,FALSE),"unknown")</f>
        <v>0</v>
      </c>
      <c r="BH73" s="120">
        <f>IFERROR(VLOOKUP(Table1[RespondentID],'All Data'!$A$3:$CW$999,99,FALSE),"unknown")</f>
        <v>0</v>
      </c>
    </row>
    <row r="74" spans="1:60">
      <c r="A74" s="5">
        <v>18025177600</v>
      </c>
      <c r="B74" s="5"/>
      <c r="C74" s="5"/>
      <c r="D74" s="5"/>
      <c r="E74" s="5"/>
      <c r="F74" s="5"/>
      <c r="G74" s="5" t="s">
        <v>53</v>
      </c>
      <c r="H74" s="5"/>
      <c r="I74" s="5"/>
      <c r="J74" s="5"/>
      <c r="K74" s="5"/>
      <c r="L74" s="5"/>
      <c r="M74" s="5"/>
      <c r="N74" s="5"/>
      <c r="O74" s="5"/>
      <c r="P74" s="5"/>
      <c r="Q74" s="5"/>
      <c r="R74" s="5"/>
      <c r="S74" s="5"/>
      <c r="T74" s="37"/>
      <c r="U74" s="37">
        <f t="shared" si="23"/>
        <v>1</v>
      </c>
      <c r="V74" s="37">
        <f t="shared" si="24"/>
        <v>3</v>
      </c>
      <c r="W74" s="37"/>
      <c r="X74" s="37">
        <f t="shared" si="25"/>
        <v>0</v>
      </c>
      <c r="Y74" s="37">
        <f t="shared" si="26"/>
        <v>0</v>
      </c>
      <c r="Z74" s="37">
        <f t="shared" si="27"/>
        <v>0</v>
      </c>
      <c r="AA74" s="37">
        <f t="shared" si="28"/>
        <v>0</v>
      </c>
      <c r="AB74" s="37">
        <f t="shared" si="29"/>
        <v>0</v>
      </c>
      <c r="AC74" s="37">
        <f t="shared" si="30"/>
        <v>1</v>
      </c>
      <c r="AD74" s="37">
        <f t="shared" si="31"/>
        <v>0</v>
      </c>
      <c r="AE74" s="37">
        <f t="shared" si="32"/>
        <v>0</v>
      </c>
      <c r="AF74" s="37">
        <f t="shared" si="33"/>
        <v>0</v>
      </c>
      <c r="AG74" s="37">
        <f t="shared" si="34"/>
        <v>0</v>
      </c>
      <c r="AH74" s="37">
        <f t="shared" si="35"/>
        <v>0</v>
      </c>
      <c r="AI74" s="37">
        <f t="shared" si="36"/>
        <v>0</v>
      </c>
      <c r="AJ74" s="37">
        <f t="shared" si="37"/>
        <v>0</v>
      </c>
      <c r="AK74" s="37">
        <f t="shared" si="38"/>
        <v>0</v>
      </c>
      <c r="AL74" s="37">
        <f t="shared" si="39"/>
        <v>0</v>
      </c>
      <c r="AM74" s="37">
        <f t="shared" si="40"/>
        <v>0</v>
      </c>
      <c r="AN74" s="37">
        <f t="shared" si="41"/>
        <v>0</v>
      </c>
      <c r="AO74" s="37">
        <f t="shared" si="42"/>
        <v>0</v>
      </c>
      <c r="AP74" s="37"/>
      <c r="AQ74" s="37"/>
      <c r="AR74" s="37">
        <f t="shared" si="43"/>
        <v>1</v>
      </c>
      <c r="AS74" s="37">
        <f t="shared" si="44"/>
        <v>1</v>
      </c>
      <c r="AT74" s="37" t="str">
        <f t="shared" si="45"/>
        <v>Correct</v>
      </c>
      <c r="AU74" s="37"/>
      <c r="AV74" s="120" t="str">
        <f>IFERROR(VLOOKUP(Table1[RespondentID],'All Data'!$A$3:$CO$999,87,FALSE),"unknown")</f>
        <v>Woman</v>
      </c>
      <c r="AW74" s="120">
        <f>IFERROR(VLOOKUP(Table1[RespondentID],'All Data'!$A$3:$CO$999,88,FALSE),"unknown")</f>
        <v>62</v>
      </c>
      <c r="AX74" s="120" t="str">
        <f>IFERROR(VLOOKUP(Table1[RespondentID],'All Data'!$A$3:$CO$999,89,FALSE),"unknown")</f>
        <v>Suffolk</v>
      </c>
      <c r="AY74" s="120" t="str">
        <f>IFERROR(VLOOKUP(Table1[RespondentID],'All Data'!$A$3:$CO$999,90,FALSE),"unknown")</f>
        <v>Kings Park, 11754</v>
      </c>
      <c r="AZ74" s="120" t="str">
        <f>IFERROR(VLOOKUP(Table1[RespondentID],'All Data'!$A$3:$CO$999,91,FALSE),"unknown")</f>
        <v>White</v>
      </c>
      <c r="BA74" s="120" t="str">
        <f>IFERROR(VLOOKUP(Table1[RespondentID],'All Data'!$A$3:$CO$999,92,FALSE),"unknown")</f>
        <v>Not Hispanic or Latino</v>
      </c>
      <c r="BB74" s="120">
        <f>IFERROR(VLOOKUP(Table1[RespondentID],'All Data'!$A$3:$CO$999,93,FALSE),"unknown")</f>
        <v>0</v>
      </c>
      <c r="BC74" s="120" t="str">
        <f>IFERROR(VLOOKUP(Table1[RespondentID],'All Data'!$A$3:$CW$999,94,FALSE),"unknown")</f>
        <v>Over $125,000</v>
      </c>
      <c r="BD74" s="120" t="str">
        <f>IFERROR(VLOOKUP(Table1[RespondentID],'All Data'!$A$3:$CW$999,95,FALSE),"unknown")</f>
        <v>Some college</v>
      </c>
      <c r="BE74" s="120" t="str">
        <f>IFERROR(VLOOKUP(Table1[RespondentID],'All Data'!$A$3:$CW$999,96,FALSE),"unknown")</f>
        <v>Self-employed</v>
      </c>
      <c r="BF74" s="120" t="str">
        <f>IFERROR(VLOOKUP(Table1[RespondentID],'All Data'!$A$3:$CW$999,97,FALSE),"unknown")</f>
        <v>Yes</v>
      </c>
      <c r="BG74" s="120" t="str">
        <f>IFERROR(VLOOKUP(Table1[RespondentID],'All Data'!$A$3:$CW$999,98,FALSE),"unknown")</f>
        <v>Private/Commercial</v>
      </c>
      <c r="BH74" s="120">
        <f>IFERROR(VLOOKUP(Table1[RespondentID],'All Data'!$A$3:$CW$999,99,FALSE),"unknown")</f>
        <v>0</v>
      </c>
    </row>
    <row r="75" spans="1:60">
      <c r="A75" s="5">
        <v>18025177479</v>
      </c>
      <c r="B75" s="5" t="s">
        <v>49</v>
      </c>
      <c r="C75" s="5"/>
      <c r="D75" s="5"/>
      <c r="E75" s="5"/>
      <c r="F75" s="5"/>
      <c r="G75" s="5"/>
      <c r="H75" s="5"/>
      <c r="I75" s="5" t="s">
        <v>55</v>
      </c>
      <c r="J75" s="5"/>
      <c r="K75" s="5"/>
      <c r="L75" s="5"/>
      <c r="M75" s="5"/>
      <c r="N75" s="5"/>
      <c r="O75" s="5"/>
      <c r="P75" s="5"/>
      <c r="Q75" s="5"/>
      <c r="R75" s="5"/>
      <c r="S75" s="5" t="s">
        <v>63</v>
      </c>
      <c r="T75" s="37"/>
      <c r="U75" s="37">
        <f t="shared" si="23"/>
        <v>3</v>
      </c>
      <c r="V75" s="37">
        <f t="shared" si="24"/>
        <v>1</v>
      </c>
      <c r="W75" s="37"/>
      <c r="X75" s="37">
        <f t="shared" si="25"/>
        <v>1</v>
      </c>
      <c r="Y75" s="37">
        <f t="shared" si="26"/>
        <v>0</v>
      </c>
      <c r="Z75" s="37">
        <f t="shared" si="27"/>
        <v>0</v>
      </c>
      <c r="AA75" s="37">
        <f t="shared" si="28"/>
        <v>0</v>
      </c>
      <c r="AB75" s="37">
        <f t="shared" si="29"/>
        <v>0</v>
      </c>
      <c r="AC75" s="37">
        <f t="shared" si="30"/>
        <v>0</v>
      </c>
      <c r="AD75" s="37">
        <f t="shared" si="31"/>
        <v>0</v>
      </c>
      <c r="AE75" s="37">
        <f t="shared" si="32"/>
        <v>1</v>
      </c>
      <c r="AF75" s="37">
        <f t="shared" si="33"/>
        <v>0</v>
      </c>
      <c r="AG75" s="37">
        <f t="shared" si="34"/>
        <v>0</v>
      </c>
      <c r="AH75" s="37">
        <f t="shared" si="35"/>
        <v>0</v>
      </c>
      <c r="AI75" s="37">
        <f t="shared" si="36"/>
        <v>0</v>
      </c>
      <c r="AJ75" s="37">
        <f t="shared" si="37"/>
        <v>0</v>
      </c>
      <c r="AK75" s="37">
        <f t="shared" si="38"/>
        <v>0</v>
      </c>
      <c r="AL75" s="37">
        <f t="shared" si="39"/>
        <v>0</v>
      </c>
      <c r="AM75" s="37">
        <f t="shared" si="40"/>
        <v>0</v>
      </c>
      <c r="AN75" s="37">
        <f t="shared" si="41"/>
        <v>0</v>
      </c>
      <c r="AO75" s="37">
        <f t="shared" si="42"/>
        <v>1</v>
      </c>
      <c r="AP75" s="37"/>
      <c r="AQ75" s="37"/>
      <c r="AR75" s="37">
        <f t="shared" si="43"/>
        <v>3</v>
      </c>
      <c r="AS75" s="37">
        <f t="shared" si="44"/>
        <v>3</v>
      </c>
      <c r="AT75" s="37" t="str">
        <f t="shared" si="45"/>
        <v>Correct</v>
      </c>
      <c r="AU75" s="37"/>
      <c r="AV75" s="120" t="str">
        <f>IFERROR(VLOOKUP(Table1[RespondentID],'All Data'!$A$3:$CO$999,87,FALSE),"unknown")</f>
        <v>Man</v>
      </c>
      <c r="AW75" s="120">
        <f>IFERROR(VLOOKUP(Table1[RespondentID],'All Data'!$A$3:$CO$999,88,FALSE),"unknown")</f>
        <v>64</v>
      </c>
      <c r="AX75" s="120" t="str">
        <f>IFERROR(VLOOKUP(Table1[RespondentID],'All Data'!$A$3:$CO$999,89,FALSE),"unknown")</f>
        <v>Suffolk</v>
      </c>
      <c r="AY75" s="120" t="str">
        <f>IFERROR(VLOOKUP(Table1[RespondentID],'All Data'!$A$3:$CO$999,90,FALSE),"unknown")</f>
        <v>Farmingville, 11738</v>
      </c>
      <c r="AZ75" s="120" t="str">
        <f>IFERROR(VLOOKUP(Table1[RespondentID],'All Data'!$A$3:$CO$999,91,FALSE),"unknown")</f>
        <v>White</v>
      </c>
      <c r="BA75" s="120" t="str">
        <f>IFERROR(VLOOKUP(Table1[RespondentID],'All Data'!$A$3:$CO$999,92,FALSE),"unknown")</f>
        <v>Not Hispanic or Latino</v>
      </c>
      <c r="BB75" s="120" t="str">
        <f>IFERROR(VLOOKUP(Table1[RespondentID],'All Data'!$A$3:$CO$999,93,FALSE),"unknown")</f>
        <v>English</v>
      </c>
      <c r="BC75" s="120" t="str">
        <f>IFERROR(VLOOKUP(Table1[RespondentID],'All Data'!$A$3:$CW$999,94,FALSE),"unknown")</f>
        <v>$75,000 to $125,000</v>
      </c>
      <c r="BD75" s="120" t="str">
        <f>IFERROR(VLOOKUP(Table1[RespondentID],'All Data'!$A$3:$CW$999,95,FALSE),"unknown")</f>
        <v>Graduate school</v>
      </c>
      <c r="BE75" s="120" t="str">
        <f>IFERROR(VLOOKUP(Table1[RespondentID],'All Data'!$A$3:$CW$999,96,FALSE),"unknown")</f>
        <v>Retired</v>
      </c>
      <c r="BF75" s="120" t="str">
        <f>IFERROR(VLOOKUP(Table1[RespondentID],'All Data'!$A$3:$CW$999,97,FALSE),"unknown")</f>
        <v>Yes</v>
      </c>
      <c r="BG75" s="120" t="str">
        <f>IFERROR(VLOOKUP(Table1[RespondentID],'All Data'!$A$3:$CW$999,98,FALSE),"unknown")</f>
        <v>Medicare</v>
      </c>
      <c r="BH75" s="120">
        <f>IFERROR(VLOOKUP(Table1[RespondentID],'All Data'!$A$3:$CW$999,99,FALSE),"unknown")</f>
        <v>0</v>
      </c>
    </row>
    <row r="76" spans="1:60">
      <c r="A76" s="5">
        <v>18025177067</v>
      </c>
      <c r="B76" s="5"/>
      <c r="C76" s="5"/>
      <c r="D76" s="5"/>
      <c r="E76" s="5"/>
      <c r="F76" s="5"/>
      <c r="G76" s="5" t="s">
        <v>53</v>
      </c>
      <c r="H76" s="5" t="s">
        <v>54</v>
      </c>
      <c r="I76" s="5"/>
      <c r="J76" s="5"/>
      <c r="K76" s="5"/>
      <c r="L76" s="5"/>
      <c r="M76" s="5"/>
      <c r="N76" s="5" t="s">
        <v>24</v>
      </c>
      <c r="O76" s="5"/>
      <c r="P76" s="5"/>
      <c r="Q76" s="5"/>
      <c r="R76" s="5"/>
      <c r="S76" s="5"/>
      <c r="T76" s="37"/>
      <c r="U76" s="37">
        <f t="shared" si="23"/>
        <v>3</v>
      </c>
      <c r="V76" s="37">
        <f t="shared" si="24"/>
        <v>1</v>
      </c>
      <c r="W76" s="37"/>
      <c r="X76" s="37">
        <f t="shared" si="25"/>
        <v>0</v>
      </c>
      <c r="Y76" s="37">
        <f t="shared" si="26"/>
        <v>0</v>
      </c>
      <c r="Z76" s="37">
        <f t="shared" si="27"/>
        <v>0</v>
      </c>
      <c r="AA76" s="37">
        <f t="shared" si="28"/>
        <v>0</v>
      </c>
      <c r="AB76" s="37">
        <f t="shared" si="29"/>
        <v>0</v>
      </c>
      <c r="AC76" s="37">
        <f t="shared" si="30"/>
        <v>1</v>
      </c>
      <c r="AD76" s="37">
        <f t="shared" si="31"/>
        <v>1</v>
      </c>
      <c r="AE76" s="37">
        <f t="shared" si="32"/>
        <v>0</v>
      </c>
      <c r="AF76" s="37">
        <f t="shared" si="33"/>
        <v>0</v>
      </c>
      <c r="AG76" s="37">
        <f t="shared" si="34"/>
        <v>0</v>
      </c>
      <c r="AH76" s="37">
        <f t="shared" si="35"/>
        <v>0</v>
      </c>
      <c r="AI76" s="37">
        <f t="shared" si="36"/>
        <v>0</v>
      </c>
      <c r="AJ76" s="37">
        <f t="shared" si="37"/>
        <v>1</v>
      </c>
      <c r="AK76" s="37">
        <f t="shared" si="38"/>
        <v>0</v>
      </c>
      <c r="AL76" s="37">
        <f t="shared" si="39"/>
        <v>0</v>
      </c>
      <c r="AM76" s="37">
        <f t="shared" si="40"/>
        <v>0</v>
      </c>
      <c r="AN76" s="37">
        <f t="shared" si="41"/>
        <v>0</v>
      </c>
      <c r="AO76" s="37">
        <f t="shared" si="42"/>
        <v>0</v>
      </c>
      <c r="AP76" s="37"/>
      <c r="AQ76" s="37"/>
      <c r="AR76" s="37">
        <f t="shared" si="43"/>
        <v>3</v>
      </c>
      <c r="AS76" s="37">
        <f t="shared" si="44"/>
        <v>3</v>
      </c>
      <c r="AT76" s="37" t="str">
        <f t="shared" si="45"/>
        <v>Correct</v>
      </c>
      <c r="AU76" s="37"/>
      <c r="AV76" s="120" t="str">
        <f>IFERROR(VLOOKUP(Table1[RespondentID],'All Data'!$A$3:$CO$999,87,FALSE),"unknown")</f>
        <v>Man</v>
      </c>
      <c r="AW76" s="120">
        <f>IFERROR(VLOOKUP(Table1[RespondentID],'All Data'!$A$3:$CO$999,88,FALSE),"unknown")</f>
        <v>36</v>
      </c>
      <c r="AX76" s="120" t="str">
        <f>IFERROR(VLOOKUP(Table1[RespondentID],'All Data'!$A$3:$CO$999,89,FALSE),"unknown")</f>
        <v>Suffolk</v>
      </c>
      <c r="AY76" s="120" t="str">
        <f>IFERROR(VLOOKUP(Table1[RespondentID],'All Data'!$A$3:$CO$999,90,FALSE),"unknown")</f>
        <v>Wading River, 11792</v>
      </c>
      <c r="AZ76" s="120" t="str">
        <f>IFERROR(VLOOKUP(Table1[RespondentID],'All Data'!$A$3:$CO$999,91,FALSE),"unknown")</f>
        <v>Two or more races</v>
      </c>
      <c r="BA76" s="120" t="str">
        <f>IFERROR(VLOOKUP(Table1[RespondentID],'All Data'!$A$3:$CO$999,92,FALSE),"unknown")</f>
        <v>Hispanic or Latino</v>
      </c>
      <c r="BB76" s="120" t="str">
        <f>IFERROR(VLOOKUP(Table1[RespondentID],'All Data'!$A$3:$CO$999,93,FALSE),"unknown")</f>
        <v>English</v>
      </c>
      <c r="BC76" s="120" t="str">
        <f>IFERROR(VLOOKUP(Table1[RespondentID],'All Data'!$A$3:$CW$999,94,FALSE),"unknown")</f>
        <v>$50,000 to $74,999</v>
      </c>
      <c r="BD76" s="120" t="str">
        <f>IFERROR(VLOOKUP(Table1[RespondentID],'All Data'!$A$3:$CW$999,95,FALSE),"unknown")</f>
        <v>College graduate</v>
      </c>
      <c r="BE76" s="120" t="str">
        <f>IFERROR(VLOOKUP(Table1[RespondentID],'All Data'!$A$3:$CW$999,96,FALSE),"unknown")</f>
        <v>Self-employed</v>
      </c>
      <c r="BF76" s="120" t="str">
        <f>IFERROR(VLOOKUP(Table1[RespondentID],'All Data'!$A$3:$CW$999,97,FALSE),"unknown")</f>
        <v>Yes</v>
      </c>
      <c r="BG76" s="120" t="str">
        <f>IFERROR(VLOOKUP(Table1[RespondentID],'All Data'!$A$3:$CW$999,98,FALSE),"unknown")</f>
        <v>Private/Commercial</v>
      </c>
      <c r="BH76" s="120">
        <f>IFERROR(VLOOKUP(Table1[RespondentID],'All Data'!$A$3:$CW$999,99,FALSE),"unknown")</f>
        <v>0</v>
      </c>
    </row>
    <row r="77" spans="1:60">
      <c r="A77" s="5">
        <v>18024285770</v>
      </c>
      <c r="B77" s="5"/>
      <c r="C77" s="5"/>
      <c r="D77" s="5"/>
      <c r="E77" s="5"/>
      <c r="F77" s="5"/>
      <c r="G77" s="5"/>
      <c r="H77" s="5"/>
      <c r="I77" s="5"/>
      <c r="J77" s="5"/>
      <c r="K77" s="5"/>
      <c r="L77" s="5"/>
      <c r="M77" s="5"/>
      <c r="N77" s="5"/>
      <c r="O77" s="5"/>
      <c r="P77" s="5"/>
      <c r="Q77" s="5"/>
      <c r="R77" s="5"/>
      <c r="S77" s="5"/>
      <c r="T77" s="37"/>
      <c r="U77" s="37">
        <f t="shared" si="23"/>
        <v>0</v>
      </c>
      <c r="V77" s="37" t="e">
        <f t="shared" si="24"/>
        <v>#DIV/0!</v>
      </c>
      <c r="W77" s="37"/>
      <c r="X77" s="37">
        <f t="shared" si="25"/>
        <v>0</v>
      </c>
      <c r="Y77" s="37">
        <f t="shared" si="26"/>
        <v>0</v>
      </c>
      <c r="Z77" s="37">
        <f t="shared" si="27"/>
        <v>0</v>
      </c>
      <c r="AA77" s="37">
        <f t="shared" si="28"/>
        <v>0</v>
      </c>
      <c r="AB77" s="37">
        <f t="shared" si="29"/>
        <v>0</v>
      </c>
      <c r="AC77" s="37">
        <f t="shared" si="30"/>
        <v>0</v>
      </c>
      <c r="AD77" s="37">
        <f t="shared" si="31"/>
        <v>0</v>
      </c>
      <c r="AE77" s="37">
        <f t="shared" si="32"/>
        <v>0</v>
      </c>
      <c r="AF77" s="37">
        <f t="shared" si="33"/>
        <v>0</v>
      </c>
      <c r="AG77" s="37">
        <f t="shared" si="34"/>
        <v>0</v>
      </c>
      <c r="AH77" s="37">
        <f t="shared" si="35"/>
        <v>0</v>
      </c>
      <c r="AI77" s="37">
        <f t="shared" si="36"/>
        <v>0</v>
      </c>
      <c r="AJ77" s="37">
        <f t="shared" si="37"/>
        <v>0</v>
      </c>
      <c r="AK77" s="37">
        <f t="shared" si="38"/>
        <v>0</v>
      </c>
      <c r="AL77" s="37">
        <f t="shared" si="39"/>
        <v>0</v>
      </c>
      <c r="AM77" s="37">
        <f t="shared" si="40"/>
        <v>0</v>
      </c>
      <c r="AN77" s="37">
        <f t="shared" si="41"/>
        <v>0</v>
      </c>
      <c r="AO77" s="37">
        <f t="shared" si="42"/>
        <v>0</v>
      </c>
      <c r="AP77" s="37"/>
      <c r="AQ77" s="37"/>
      <c r="AR77" s="37">
        <f t="shared" si="43"/>
        <v>0</v>
      </c>
      <c r="AS77" s="37">
        <f t="shared" si="44"/>
        <v>0</v>
      </c>
      <c r="AT77" s="37" t="str">
        <f t="shared" si="45"/>
        <v>Correct</v>
      </c>
      <c r="AU77" s="37"/>
      <c r="AV77" s="120" t="str">
        <f>IFERROR(VLOOKUP(Table1[RespondentID],'All Data'!$A$3:$CO$999,87,FALSE),"unknown")</f>
        <v>Man</v>
      </c>
      <c r="AW77" s="120">
        <f>IFERROR(VLOOKUP(Table1[RespondentID],'All Data'!$A$3:$CO$999,88,FALSE),"unknown")</f>
        <v>0</v>
      </c>
      <c r="AX77" s="120" t="str">
        <f>IFERROR(VLOOKUP(Table1[RespondentID],'All Data'!$A$3:$CO$999,89,FALSE),"unknown")</f>
        <v>Suffolk</v>
      </c>
      <c r="AY77" s="120" t="str">
        <f>IFERROR(VLOOKUP(Table1[RespondentID],'All Data'!$A$3:$CO$999,90,FALSE),"unknown")</f>
        <v>Smithtown, 11787</v>
      </c>
      <c r="AZ77" s="120" t="str">
        <f>IFERROR(VLOOKUP(Table1[RespondentID],'All Data'!$A$3:$CO$999,91,FALSE),"unknown")</f>
        <v>White</v>
      </c>
      <c r="BA77" s="120" t="str">
        <f>IFERROR(VLOOKUP(Table1[RespondentID],'All Data'!$A$3:$CO$999,92,FALSE),"unknown")</f>
        <v>Not Hispanic or Latino</v>
      </c>
      <c r="BB77" s="120" t="str">
        <f>IFERROR(VLOOKUP(Table1[RespondentID],'All Data'!$A$3:$CO$999,93,FALSE),"unknown")</f>
        <v>English</v>
      </c>
      <c r="BC77" s="120" t="str">
        <f>IFERROR(VLOOKUP(Table1[RespondentID],'All Data'!$A$3:$CW$999,94,FALSE),"unknown")</f>
        <v>$0-$19,999</v>
      </c>
      <c r="BD77" s="120" t="str">
        <f>IFERROR(VLOOKUP(Table1[RespondentID],'All Data'!$A$3:$CW$999,95,FALSE),"unknown")</f>
        <v>High school graduate</v>
      </c>
      <c r="BE77" s="120" t="str">
        <f>IFERROR(VLOOKUP(Table1[RespondentID],'All Data'!$A$3:$CW$999,96,FALSE),"unknown")</f>
        <v>Out of work, but not currently looking</v>
      </c>
      <c r="BF77" s="120" t="str">
        <f>IFERROR(VLOOKUP(Table1[RespondentID],'All Data'!$A$3:$CW$999,97,FALSE),"unknown")</f>
        <v>Yes</v>
      </c>
      <c r="BG77" s="120" t="str">
        <f>IFERROR(VLOOKUP(Table1[RespondentID],'All Data'!$A$3:$CW$999,98,FALSE),"unknown")</f>
        <v>Medicaid</v>
      </c>
      <c r="BH77" s="120" t="str">
        <f>IFERROR(VLOOKUP(Table1[RespondentID],'All Data'!$A$3:$CW$999,99,FALSE),"unknown")</f>
        <v>Yes</v>
      </c>
    </row>
    <row r="78" spans="1:60">
      <c r="A78" s="5">
        <v>18024204548</v>
      </c>
      <c r="B78" s="5"/>
      <c r="C78" s="5"/>
      <c r="D78" s="5"/>
      <c r="E78" s="5"/>
      <c r="F78" s="5"/>
      <c r="G78" s="5"/>
      <c r="H78" s="5"/>
      <c r="I78" s="5"/>
      <c r="J78" s="5"/>
      <c r="K78" s="5"/>
      <c r="L78" s="5"/>
      <c r="M78" s="5"/>
      <c r="N78" s="5"/>
      <c r="O78" s="5"/>
      <c r="P78" s="5"/>
      <c r="Q78" s="5"/>
      <c r="R78" s="5"/>
      <c r="S78" s="5"/>
      <c r="T78" s="37"/>
      <c r="U78" s="37">
        <f t="shared" si="23"/>
        <v>0</v>
      </c>
      <c r="V78" s="37" t="e">
        <f t="shared" si="24"/>
        <v>#DIV/0!</v>
      </c>
      <c r="W78" s="37"/>
      <c r="X78" s="37">
        <f t="shared" si="25"/>
        <v>0</v>
      </c>
      <c r="Y78" s="37">
        <f t="shared" si="26"/>
        <v>0</v>
      </c>
      <c r="Z78" s="37">
        <f t="shared" si="27"/>
        <v>0</v>
      </c>
      <c r="AA78" s="37">
        <f t="shared" si="28"/>
        <v>0</v>
      </c>
      <c r="AB78" s="37">
        <f t="shared" si="29"/>
        <v>0</v>
      </c>
      <c r="AC78" s="37">
        <f t="shared" si="30"/>
        <v>0</v>
      </c>
      <c r="AD78" s="37">
        <f t="shared" si="31"/>
        <v>0</v>
      </c>
      <c r="AE78" s="37">
        <f t="shared" si="32"/>
        <v>0</v>
      </c>
      <c r="AF78" s="37">
        <f t="shared" si="33"/>
        <v>0</v>
      </c>
      <c r="AG78" s="37">
        <f t="shared" si="34"/>
        <v>0</v>
      </c>
      <c r="AH78" s="37">
        <f t="shared" si="35"/>
        <v>0</v>
      </c>
      <c r="AI78" s="37">
        <f t="shared" si="36"/>
        <v>0</v>
      </c>
      <c r="AJ78" s="37">
        <f t="shared" si="37"/>
        <v>0</v>
      </c>
      <c r="AK78" s="37">
        <f t="shared" si="38"/>
        <v>0</v>
      </c>
      <c r="AL78" s="37">
        <f t="shared" si="39"/>
        <v>0</v>
      </c>
      <c r="AM78" s="37">
        <f t="shared" si="40"/>
        <v>0</v>
      </c>
      <c r="AN78" s="37">
        <f t="shared" si="41"/>
        <v>0</v>
      </c>
      <c r="AO78" s="37">
        <f t="shared" si="42"/>
        <v>0</v>
      </c>
      <c r="AP78" s="37"/>
      <c r="AQ78" s="37"/>
      <c r="AR78" s="37">
        <f t="shared" si="43"/>
        <v>0</v>
      </c>
      <c r="AS78" s="37">
        <f t="shared" si="44"/>
        <v>0</v>
      </c>
      <c r="AT78" s="37" t="str">
        <f t="shared" si="45"/>
        <v>Correct</v>
      </c>
      <c r="AU78" s="37"/>
      <c r="AV78" s="120">
        <f>IFERROR(VLOOKUP(Table1[RespondentID],'All Data'!$A$3:$CO$999,87,FALSE),"unknown")</f>
        <v>0</v>
      </c>
      <c r="AW78" s="120">
        <f>IFERROR(VLOOKUP(Table1[RespondentID],'All Data'!$A$3:$CO$999,88,FALSE),"unknown")</f>
        <v>0</v>
      </c>
      <c r="AX78" s="120">
        <f>IFERROR(VLOOKUP(Table1[RespondentID],'All Data'!$A$3:$CO$999,89,FALSE),"unknown")</f>
        <v>0</v>
      </c>
      <c r="AY78" s="120" t="str">
        <f>IFERROR(VLOOKUP(Table1[RespondentID],'All Data'!$A$3:$CO$999,90,FALSE),"unknown")</f>
        <v>Allenwood, 11021</v>
      </c>
      <c r="AZ78" s="120">
        <f>IFERROR(VLOOKUP(Table1[RespondentID],'All Data'!$A$3:$CO$999,91,FALSE),"unknown")</f>
        <v>0</v>
      </c>
      <c r="BA78" s="120">
        <f>IFERROR(VLOOKUP(Table1[RespondentID],'All Data'!$A$3:$CO$999,92,FALSE),"unknown")</f>
        <v>0</v>
      </c>
      <c r="BB78" s="120">
        <f>IFERROR(VLOOKUP(Table1[RespondentID],'All Data'!$A$3:$CO$999,93,FALSE),"unknown")</f>
        <v>0</v>
      </c>
      <c r="BC78" s="120">
        <f>IFERROR(VLOOKUP(Table1[RespondentID],'All Data'!$A$3:$CW$999,94,FALSE),"unknown")</f>
        <v>0</v>
      </c>
      <c r="BD78" s="120">
        <f>IFERROR(VLOOKUP(Table1[RespondentID],'All Data'!$A$3:$CW$999,95,FALSE),"unknown")</f>
        <v>0</v>
      </c>
      <c r="BE78" s="120">
        <f>IFERROR(VLOOKUP(Table1[RespondentID],'All Data'!$A$3:$CW$999,96,FALSE),"unknown")</f>
        <v>0</v>
      </c>
      <c r="BF78" s="120">
        <f>IFERROR(VLOOKUP(Table1[RespondentID],'All Data'!$A$3:$CW$999,97,FALSE),"unknown")</f>
        <v>0</v>
      </c>
      <c r="BG78" s="120">
        <f>IFERROR(VLOOKUP(Table1[RespondentID],'All Data'!$A$3:$CW$999,98,FALSE),"unknown")</f>
        <v>0</v>
      </c>
      <c r="BH78" s="120">
        <f>IFERROR(VLOOKUP(Table1[RespondentID],'All Data'!$A$3:$CW$999,99,FALSE),"unknown")</f>
        <v>0</v>
      </c>
    </row>
    <row r="79" spans="1:60">
      <c r="A79" s="5">
        <v>18024007695</v>
      </c>
      <c r="B79" s="5"/>
      <c r="C79" s="5"/>
      <c r="D79" s="5"/>
      <c r="E79" s="5"/>
      <c r="F79" s="5"/>
      <c r="G79" s="5"/>
      <c r="H79" s="5"/>
      <c r="I79" s="5"/>
      <c r="J79" s="5"/>
      <c r="K79" s="5"/>
      <c r="L79" s="5"/>
      <c r="M79" s="5"/>
      <c r="N79" s="5"/>
      <c r="O79" s="5"/>
      <c r="P79" s="5"/>
      <c r="Q79" s="5"/>
      <c r="R79" s="5"/>
      <c r="S79" s="5"/>
      <c r="T79" s="37"/>
      <c r="U79" s="37">
        <f t="shared" si="23"/>
        <v>0</v>
      </c>
      <c r="V79" s="37" t="e">
        <f t="shared" si="24"/>
        <v>#DIV/0!</v>
      </c>
      <c r="W79" s="37"/>
      <c r="X79" s="37">
        <f t="shared" si="25"/>
        <v>0</v>
      </c>
      <c r="Y79" s="37">
        <f t="shared" si="26"/>
        <v>0</v>
      </c>
      <c r="Z79" s="37">
        <f t="shared" si="27"/>
        <v>0</v>
      </c>
      <c r="AA79" s="37">
        <f t="shared" si="28"/>
        <v>0</v>
      </c>
      <c r="AB79" s="37">
        <f t="shared" si="29"/>
        <v>0</v>
      </c>
      <c r="AC79" s="37">
        <f t="shared" si="30"/>
        <v>0</v>
      </c>
      <c r="AD79" s="37">
        <f t="shared" si="31"/>
        <v>0</v>
      </c>
      <c r="AE79" s="37">
        <f t="shared" si="32"/>
        <v>0</v>
      </c>
      <c r="AF79" s="37">
        <f t="shared" si="33"/>
        <v>0</v>
      </c>
      <c r="AG79" s="37">
        <f t="shared" si="34"/>
        <v>0</v>
      </c>
      <c r="AH79" s="37">
        <f t="shared" si="35"/>
        <v>0</v>
      </c>
      <c r="AI79" s="37">
        <f t="shared" si="36"/>
        <v>0</v>
      </c>
      <c r="AJ79" s="37">
        <f t="shared" si="37"/>
        <v>0</v>
      </c>
      <c r="AK79" s="37">
        <f t="shared" si="38"/>
        <v>0</v>
      </c>
      <c r="AL79" s="37">
        <f t="shared" si="39"/>
        <v>0</v>
      </c>
      <c r="AM79" s="37">
        <f t="shared" si="40"/>
        <v>0</v>
      </c>
      <c r="AN79" s="37">
        <f t="shared" si="41"/>
        <v>0</v>
      </c>
      <c r="AO79" s="37">
        <f t="shared" si="42"/>
        <v>0</v>
      </c>
      <c r="AP79" s="37"/>
      <c r="AQ79" s="37"/>
      <c r="AR79" s="37">
        <f t="shared" si="43"/>
        <v>0</v>
      </c>
      <c r="AS79" s="37">
        <f t="shared" si="44"/>
        <v>0</v>
      </c>
      <c r="AT79" s="37" t="str">
        <f t="shared" si="45"/>
        <v>Correct</v>
      </c>
      <c r="AU79" s="37"/>
      <c r="AV79" s="120">
        <f>IFERROR(VLOOKUP(Table1[RespondentID],'All Data'!$A$3:$CO$999,87,FALSE),"unknown")</f>
        <v>0</v>
      </c>
      <c r="AW79" s="120">
        <f>IFERROR(VLOOKUP(Table1[RespondentID],'All Data'!$A$3:$CO$999,88,FALSE),"unknown")</f>
        <v>0</v>
      </c>
      <c r="AX79" s="120">
        <f>IFERROR(VLOOKUP(Table1[RespondentID],'All Data'!$A$3:$CO$999,89,FALSE),"unknown")</f>
        <v>0</v>
      </c>
      <c r="AY79" s="120" t="str">
        <f>IFERROR(VLOOKUP(Table1[RespondentID],'All Data'!$A$3:$CO$999,90,FALSE),"unknown")</f>
        <v>Albertson, 11507</v>
      </c>
      <c r="AZ79" s="120">
        <f>IFERROR(VLOOKUP(Table1[RespondentID],'All Data'!$A$3:$CO$999,91,FALSE),"unknown")</f>
        <v>0</v>
      </c>
      <c r="BA79" s="120">
        <f>IFERROR(VLOOKUP(Table1[RespondentID],'All Data'!$A$3:$CO$999,92,FALSE),"unknown")</f>
        <v>0</v>
      </c>
      <c r="BB79" s="120">
        <f>IFERROR(VLOOKUP(Table1[RespondentID],'All Data'!$A$3:$CO$999,93,FALSE),"unknown")</f>
        <v>0</v>
      </c>
      <c r="BC79" s="120">
        <f>IFERROR(VLOOKUP(Table1[RespondentID],'All Data'!$A$3:$CW$999,94,FALSE),"unknown")</f>
        <v>0</v>
      </c>
      <c r="BD79" s="120">
        <f>IFERROR(VLOOKUP(Table1[RespondentID],'All Data'!$A$3:$CW$999,95,FALSE),"unknown")</f>
        <v>0</v>
      </c>
      <c r="BE79" s="120">
        <f>IFERROR(VLOOKUP(Table1[RespondentID],'All Data'!$A$3:$CW$999,96,FALSE),"unknown")</f>
        <v>0</v>
      </c>
      <c r="BF79" s="120">
        <f>IFERROR(VLOOKUP(Table1[RespondentID],'All Data'!$A$3:$CW$999,97,FALSE),"unknown")</f>
        <v>0</v>
      </c>
      <c r="BG79" s="120">
        <f>IFERROR(VLOOKUP(Table1[RespondentID],'All Data'!$A$3:$CW$999,98,FALSE),"unknown")</f>
        <v>0</v>
      </c>
      <c r="BH79" s="120">
        <f>IFERROR(VLOOKUP(Table1[RespondentID],'All Data'!$A$3:$CW$999,99,FALSE),"unknown")</f>
        <v>0</v>
      </c>
    </row>
    <row r="80" spans="1:60">
      <c r="A80" s="5">
        <v>18023492246</v>
      </c>
      <c r="B80" s="5"/>
      <c r="C80" s="5"/>
      <c r="D80" s="5" t="s">
        <v>51</v>
      </c>
      <c r="E80" s="5"/>
      <c r="F80" s="5"/>
      <c r="G80" s="5"/>
      <c r="H80" s="5"/>
      <c r="I80" s="5"/>
      <c r="J80" s="5"/>
      <c r="K80" s="5"/>
      <c r="L80" s="5"/>
      <c r="M80" s="5"/>
      <c r="N80" s="5" t="s">
        <v>24</v>
      </c>
      <c r="O80" s="5"/>
      <c r="P80" s="5"/>
      <c r="Q80" s="5" t="s">
        <v>61</v>
      </c>
      <c r="R80" s="5"/>
      <c r="S80" s="5"/>
      <c r="T80" s="37"/>
      <c r="U80" s="37">
        <f t="shared" si="23"/>
        <v>3</v>
      </c>
      <c r="V80" s="37">
        <f t="shared" si="24"/>
        <v>1</v>
      </c>
      <c r="W80" s="37"/>
      <c r="X80" s="37">
        <f t="shared" si="25"/>
        <v>0</v>
      </c>
      <c r="Y80" s="37">
        <f t="shared" si="26"/>
        <v>0</v>
      </c>
      <c r="Z80" s="37">
        <f t="shared" si="27"/>
        <v>1</v>
      </c>
      <c r="AA80" s="37">
        <f t="shared" si="28"/>
        <v>0</v>
      </c>
      <c r="AB80" s="37">
        <f t="shared" si="29"/>
        <v>0</v>
      </c>
      <c r="AC80" s="37">
        <f t="shared" si="30"/>
        <v>0</v>
      </c>
      <c r="AD80" s="37">
        <f t="shared" si="31"/>
        <v>0</v>
      </c>
      <c r="AE80" s="37">
        <f t="shared" si="32"/>
        <v>0</v>
      </c>
      <c r="AF80" s="37">
        <f t="shared" si="33"/>
        <v>0</v>
      </c>
      <c r="AG80" s="37">
        <f t="shared" si="34"/>
        <v>0</v>
      </c>
      <c r="AH80" s="37">
        <f t="shared" si="35"/>
        <v>0</v>
      </c>
      <c r="AI80" s="37">
        <f t="shared" si="36"/>
        <v>0</v>
      </c>
      <c r="AJ80" s="37">
        <f t="shared" si="37"/>
        <v>1</v>
      </c>
      <c r="AK80" s="37">
        <f t="shared" si="38"/>
        <v>0</v>
      </c>
      <c r="AL80" s="37">
        <f t="shared" si="39"/>
        <v>0</v>
      </c>
      <c r="AM80" s="37">
        <f t="shared" si="40"/>
        <v>1</v>
      </c>
      <c r="AN80" s="37">
        <f t="shared" si="41"/>
        <v>0</v>
      </c>
      <c r="AO80" s="37">
        <f t="shared" si="42"/>
        <v>0</v>
      </c>
      <c r="AP80" s="37"/>
      <c r="AQ80" s="37"/>
      <c r="AR80" s="37">
        <f t="shared" si="43"/>
        <v>3</v>
      </c>
      <c r="AS80" s="37">
        <f t="shared" si="44"/>
        <v>3</v>
      </c>
      <c r="AT80" s="37" t="str">
        <f t="shared" si="45"/>
        <v>Correct</v>
      </c>
      <c r="AU80" s="37"/>
      <c r="AV80" s="120">
        <f>IFERROR(VLOOKUP(Table1[RespondentID],'All Data'!$A$3:$CO$999,87,FALSE),"unknown")</f>
        <v>0</v>
      </c>
      <c r="AW80" s="120">
        <f>IFERROR(VLOOKUP(Table1[RespondentID],'All Data'!$A$3:$CO$999,88,FALSE),"unknown")</f>
        <v>0</v>
      </c>
      <c r="AX80" s="120">
        <f>IFERROR(VLOOKUP(Table1[RespondentID],'All Data'!$A$3:$CO$999,89,FALSE),"unknown")</f>
        <v>0</v>
      </c>
      <c r="AY80" s="120">
        <f>IFERROR(VLOOKUP(Table1[RespondentID],'All Data'!$A$3:$CO$999,90,FALSE),"unknown")</f>
        <v>0</v>
      </c>
      <c r="AZ80" s="120">
        <f>IFERROR(VLOOKUP(Table1[RespondentID],'All Data'!$A$3:$CO$999,91,FALSE),"unknown")</f>
        <v>0</v>
      </c>
      <c r="BA80" s="120">
        <f>IFERROR(VLOOKUP(Table1[RespondentID],'All Data'!$A$3:$CO$999,92,FALSE),"unknown")</f>
        <v>0</v>
      </c>
      <c r="BB80" s="120">
        <f>IFERROR(VLOOKUP(Table1[RespondentID],'All Data'!$A$3:$CO$999,93,FALSE),"unknown")</f>
        <v>0</v>
      </c>
      <c r="BC80" s="120">
        <f>IFERROR(VLOOKUP(Table1[RespondentID],'All Data'!$A$3:$CW$999,94,FALSE),"unknown")</f>
        <v>0</v>
      </c>
      <c r="BD80" s="120">
        <f>IFERROR(VLOOKUP(Table1[RespondentID],'All Data'!$A$3:$CW$999,95,FALSE),"unknown")</f>
        <v>0</v>
      </c>
      <c r="BE80" s="120">
        <f>IFERROR(VLOOKUP(Table1[RespondentID],'All Data'!$A$3:$CW$999,96,FALSE),"unknown")</f>
        <v>0</v>
      </c>
      <c r="BF80" s="120">
        <f>IFERROR(VLOOKUP(Table1[RespondentID],'All Data'!$A$3:$CW$999,97,FALSE),"unknown")</f>
        <v>0</v>
      </c>
      <c r="BG80" s="120">
        <f>IFERROR(VLOOKUP(Table1[RespondentID],'All Data'!$A$3:$CW$999,98,FALSE),"unknown")</f>
        <v>0</v>
      </c>
      <c r="BH80" s="120">
        <f>IFERROR(VLOOKUP(Table1[RespondentID],'All Data'!$A$3:$CW$999,99,FALSE),"unknown")</f>
        <v>0</v>
      </c>
    </row>
    <row r="81" spans="1:60">
      <c r="A81" s="5">
        <v>18023288956</v>
      </c>
      <c r="B81" s="5"/>
      <c r="C81" s="5"/>
      <c r="D81" s="5"/>
      <c r="E81" s="5"/>
      <c r="F81" s="5" t="s">
        <v>52</v>
      </c>
      <c r="G81" s="5"/>
      <c r="H81" s="5" t="s">
        <v>54</v>
      </c>
      <c r="I81" s="5"/>
      <c r="J81" s="5"/>
      <c r="K81" s="5"/>
      <c r="L81" s="5"/>
      <c r="M81" s="5"/>
      <c r="N81" s="5"/>
      <c r="O81" s="5"/>
      <c r="P81" s="5" t="s">
        <v>60</v>
      </c>
      <c r="Q81" s="5"/>
      <c r="R81" s="5"/>
      <c r="S81" s="5"/>
      <c r="T81" s="37"/>
      <c r="U81" s="37">
        <f t="shared" si="23"/>
        <v>3</v>
      </c>
      <c r="V81" s="37">
        <f t="shared" si="24"/>
        <v>1</v>
      </c>
      <c r="W81" s="37"/>
      <c r="X81" s="37">
        <f t="shared" si="25"/>
        <v>0</v>
      </c>
      <c r="Y81" s="37">
        <f t="shared" si="26"/>
        <v>0</v>
      </c>
      <c r="Z81" s="37">
        <f t="shared" si="27"/>
        <v>0</v>
      </c>
      <c r="AA81" s="37">
        <f t="shared" si="28"/>
        <v>0</v>
      </c>
      <c r="AB81" s="37">
        <f t="shared" si="29"/>
        <v>1</v>
      </c>
      <c r="AC81" s="37">
        <f t="shared" si="30"/>
        <v>0</v>
      </c>
      <c r="AD81" s="37">
        <f t="shared" si="31"/>
        <v>1</v>
      </c>
      <c r="AE81" s="37">
        <f t="shared" si="32"/>
        <v>0</v>
      </c>
      <c r="AF81" s="37">
        <f t="shared" si="33"/>
        <v>0</v>
      </c>
      <c r="AG81" s="37">
        <f t="shared" si="34"/>
        <v>0</v>
      </c>
      <c r="AH81" s="37">
        <f t="shared" si="35"/>
        <v>0</v>
      </c>
      <c r="AI81" s="37">
        <f t="shared" si="36"/>
        <v>0</v>
      </c>
      <c r="AJ81" s="37">
        <f t="shared" si="37"/>
        <v>0</v>
      </c>
      <c r="AK81" s="37">
        <f t="shared" si="38"/>
        <v>0</v>
      </c>
      <c r="AL81" s="37">
        <f t="shared" si="39"/>
        <v>1</v>
      </c>
      <c r="AM81" s="37">
        <f t="shared" si="40"/>
        <v>0</v>
      </c>
      <c r="AN81" s="37">
        <f t="shared" si="41"/>
        <v>0</v>
      </c>
      <c r="AO81" s="37">
        <f t="shared" si="42"/>
        <v>0</v>
      </c>
      <c r="AP81" s="37"/>
      <c r="AQ81" s="37"/>
      <c r="AR81" s="37">
        <f t="shared" si="43"/>
        <v>3</v>
      </c>
      <c r="AS81" s="37">
        <f t="shared" si="44"/>
        <v>3</v>
      </c>
      <c r="AT81" s="37" t="str">
        <f t="shared" si="45"/>
        <v>Correct</v>
      </c>
      <c r="AU81" s="37"/>
      <c r="AV81" s="120" t="str">
        <f>IFERROR(VLOOKUP(Table1[RespondentID],'All Data'!$A$3:$CO$999,87,FALSE),"unknown")</f>
        <v>Woman</v>
      </c>
      <c r="AW81" s="120">
        <f>IFERROR(VLOOKUP(Table1[RespondentID],'All Data'!$A$3:$CO$999,88,FALSE),"unknown")</f>
        <v>33</v>
      </c>
      <c r="AX81" s="120" t="str">
        <f>IFERROR(VLOOKUP(Table1[RespondentID],'All Data'!$A$3:$CO$999,89,FALSE),"unknown")</f>
        <v>Suffolk</v>
      </c>
      <c r="AY81" s="120" t="str">
        <f>IFERROR(VLOOKUP(Table1[RespondentID],'All Data'!$A$3:$CO$999,90,FALSE),"unknown")</f>
        <v>Deer Park, 11729</v>
      </c>
      <c r="AZ81" s="120" t="str">
        <f>IFERROR(VLOOKUP(Table1[RespondentID],'All Data'!$A$3:$CO$999,91,FALSE),"unknown")</f>
        <v>Asian</v>
      </c>
      <c r="BA81" s="120">
        <f>IFERROR(VLOOKUP(Table1[RespondentID],'All Data'!$A$3:$CO$999,92,FALSE),"unknown")</f>
        <v>0</v>
      </c>
      <c r="BB81" s="120" t="str">
        <f>IFERROR(VLOOKUP(Table1[RespondentID],'All Data'!$A$3:$CO$999,93,FALSE),"unknown")</f>
        <v>English</v>
      </c>
      <c r="BC81" s="120" t="str">
        <f>IFERROR(VLOOKUP(Table1[RespondentID],'All Data'!$A$3:$CW$999,94,FALSE),"unknown")</f>
        <v>$50,000 to $74,999</v>
      </c>
      <c r="BD81" s="120" t="str">
        <f>IFERROR(VLOOKUP(Table1[RespondentID],'All Data'!$A$3:$CW$999,95,FALSE),"unknown")</f>
        <v>Some college</v>
      </c>
      <c r="BE81" s="120" t="str">
        <f>IFERROR(VLOOKUP(Table1[RespondentID],'All Data'!$A$3:$CW$999,96,FALSE),"unknown")</f>
        <v>Employed for wages</v>
      </c>
      <c r="BF81" s="120" t="str">
        <f>IFERROR(VLOOKUP(Table1[RespondentID],'All Data'!$A$3:$CW$999,97,FALSE),"unknown")</f>
        <v>Yes</v>
      </c>
      <c r="BG81" s="120">
        <f>IFERROR(VLOOKUP(Table1[RespondentID],'All Data'!$A$3:$CW$999,98,FALSE),"unknown")</f>
        <v>0</v>
      </c>
      <c r="BH81" s="120">
        <f>IFERROR(VLOOKUP(Table1[RespondentID],'All Data'!$A$3:$CW$999,99,FALSE),"unknown")</f>
        <v>0</v>
      </c>
    </row>
    <row r="82" spans="1:60">
      <c r="A82" s="5">
        <v>18023288812</v>
      </c>
      <c r="B82" s="5"/>
      <c r="C82" s="5" t="s">
        <v>50</v>
      </c>
      <c r="D82" s="5" t="s">
        <v>51</v>
      </c>
      <c r="E82" s="5"/>
      <c r="F82" s="5"/>
      <c r="G82" s="5"/>
      <c r="H82" s="5"/>
      <c r="I82" s="5"/>
      <c r="J82" s="5"/>
      <c r="K82" s="5"/>
      <c r="L82" s="5"/>
      <c r="M82" s="5"/>
      <c r="N82" s="5"/>
      <c r="O82" s="5"/>
      <c r="P82" s="5" t="s">
        <v>60</v>
      </c>
      <c r="Q82" s="5"/>
      <c r="R82" s="5"/>
      <c r="S82" s="5"/>
      <c r="T82" s="37"/>
      <c r="U82" s="37">
        <f t="shared" si="23"/>
        <v>3</v>
      </c>
      <c r="V82" s="37">
        <f t="shared" si="24"/>
        <v>1</v>
      </c>
      <c r="W82" s="37"/>
      <c r="X82" s="37">
        <f t="shared" si="25"/>
        <v>0</v>
      </c>
      <c r="Y82" s="37">
        <f t="shared" si="26"/>
        <v>1</v>
      </c>
      <c r="Z82" s="37">
        <f t="shared" si="27"/>
        <v>1</v>
      </c>
      <c r="AA82" s="37">
        <f t="shared" si="28"/>
        <v>0</v>
      </c>
      <c r="AB82" s="37">
        <f t="shared" si="29"/>
        <v>0</v>
      </c>
      <c r="AC82" s="37">
        <f t="shared" si="30"/>
        <v>0</v>
      </c>
      <c r="AD82" s="37">
        <f t="shared" si="31"/>
        <v>0</v>
      </c>
      <c r="AE82" s="37">
        <f t="shared" si="32"/>
        <v>0</v>
      </c>
      <c r="AF82" s="37">
        <f t="shared" si="33"/>
        <v>0</v>
      </c>
      <c r="AG82" s="37">
        <f t="shared" si="34"/>
        <v>0</v>
      </c>
      <c r="AH82" s="37">
        <f t="shared" si="35"/>
        <v>0</v>
      </c>
      <c r="AI82" s="37">
        <f t="shared" si="36"/>
        <v>0</v>
      </c>
      <c r="AJ82" s="37">
        <f t="shared" si="37"/>
        <v>0</v>
      </c>
      <c r="AK82" s="37">
        <f t="shared" si="38"/>
        <v>0</v>
      </c>
      <c r="AL82" s="37">
        <f t="shared" si="39"/>
        <v>1</v>
      </c>
      <c r="AM82" s="37">
        <f t="shared" si="40"/>
        <v>0</v>
      </c>
      <c r="AN82" s="37">
        <f t="shared" si="41"/>
        <v>0</v>
      </c>
      <c r="AO82" s="37">
        <f t="shared" si="42"/>
        <v>0</v>
      </c>
      <c r="AP82" s="37"/>
      <c r="AQ82" s="37"/>
      <c r="AR82" s="37">
        <f t="shared" si="43"/>
        <v>3</v>
      </c>
      <c r="AS82" s="37">
        <f t="shared" si="44"/>
        <v>3</v>
      </c>
      <c r="AT82" s="37" t="str">
        <f t="shared" si="45"/>
        <v>Correct</v>
      </c>
      <c r="AU82" s="37"/>
      <c r="AV82" s="120" t="str">
        <f>IFERROR(VLOOKUP(Table1[RespondentID],'All Data'!$A$3:$CO$999,87,FALSE),"unknown")</f>
        <v>Man</v>
      </c>
      <c r="AW82" s="120">
        <f>IFERROR(VLOOKUP(Table1[RespondentID],'All Data'!$A$3:$CO$999,88,FALSE),"unknown")</f>
        <v>18</v>
      </c>
      <c r="AX82" s="120" t="str">
        <f>IFERROR(VLOOKUP(Table1[RespondentID],'All Data'!$A$3:$CO$999,89,FALSE),"unknown")</f>
        <v>Suffolk</v>
      </c>
      <c r="AY82" s="120" t="str">
        <f>IFERROR(VLOOKUP(Table1[RespondentID],'All Data'!$A$3:$CO$999,90,FALSE),"unknown")</f>
        <v>Huntington Station, 11746</v>
      </c>
      <c r="AZ82" s="120" t="str">
        <f>IFERROR(VLOOKUP(Table1[RespondentID],'All Data'!$A$3:$CO$999,91,FALSE),"unknown")</f>
        <v>White</v>
      </c>
      <c r="BA82" s="120" t="str">
        <f>IFERROR(VLOOKUP(Table1[RespondentID],'All Data'!$A$3:$CO$999,92,FALSE),"unknown")</f>
        <v>Hispanic or Latino</v>
      </c>
      <c r="BB82" s="120" t="str">
        <f>IFERROR(VLOOKUP(Table1[RespondentID],'All Data'!$A$3:$CO$999,93,FALSE),"unknown")</f>
        <v>English</v>
      </c>
      <c r="BC82" s="120" t="str">
        <f>IFERROR(VLOOKUP(Table1[RespondentID],'All Data'!$A$3:$CW$999,94,FALSE),"unknown")</f>
        <v>Over $125,000</v>
      </c>
      <c r="BD82" s="120" t="str">
        <f>IFERROR(VLOOKUP(Table1[RespondentID],'All Data'!$A$3:$CW$999,95,FALSE),"unknown")</f>
        <v>High school graduate</v>
      </c>
      <c r="BE82" s="120" t="str">
        <f>IFERROR(VLOOKUP(Table1[RespondentID],'All Data'!$A$3:$CW$999,96,FALSE),"unknown")</f>
        <v>Out of work, but not currently looking</v>
      </c>
      <c r="BF82" s="120" t="str">
        <f>IFERROR(VLOOKUP(Table1[RespondentID],'All Data'!$A$3:$CW$999,97,FALSE),"unknown")</f>
        <v>Yes</v>
      </c>
      <c r="BG82" s="120" t="str">
        <f>IFERROR(VLOOKUP(Table1[RespondentID],'All Data'!$A$3:$CW$999,98,FALSE),"unknown")</f>
        <v>Medicaid</v>
      </c>
      <c r="BH82" s="120">
        <f>IFERROR(VLOOKUP(Table1[RespondentID],'All Data'!$A$3:$CW$999,99,FALSE),"unknown")</f>
        <v>0</v>
      </c>
    </row>
    <row r="83" spans="1:60">
      <c r="A83" s="5">
        <v>18023288714</v>
      </c>
      <c r="B83" s="5"/>
      <c r="C83" s="5"/>
      <c r="D83" s="5" t="s">
        <v>51</v>
      </c>
      <c r="E83" s="5"/>
      <c r="F83" s="5"/>
      <c r="G83" s="5"/>
      <c r="H83" s="5"/>
      <c r="I83" s="5"/>
      <c r="J83" s="5"/>
      <c r="K83" s="5"/>
      <c r="L83" s="5"/>
      <c r="M83" s="5"/>
      <c r="N83" s="5"/>
      <c r="O83" s="5"/>
      <c r="P83" s="5"/>
      <c r="Q83" s="5"/>
      <c r="R83" s="5" t="s">
        <v>62</v>
      </c>
      <c r="S83" s="5" t="s">
        <v>63</v>
      </c>
      <c r="T83" s="37"/>
      <c r="U83" s="37">
        <f t="shared" si="23"/>
        <v>3</v>
      </c>
      <c r="V83" s="37">
        <f t="shared" si="24"/>
        <v>1</v>
      </c>
      <c r="W83" s="37"/>
      <c r="X83" s="37">
        <f t="shared" si="25"/>
        <v>0</v>
      </c>
      <c r="Y83" s="37">
        <f t="shared" si="26"/>
        <v>0</v>
      </c>
      <c r="Z83" s="37">
        <f t="shared" si="27"/>
        <v>1</v>
      </c>
      <c r="AA83" s="37">
        <f t="shared" si="28"/>
        <v>0</v>
      </c>
      <c r="AB83" s="37">
        <f t="shared" si="29"/>
        <v>0</v>
      </c>
      <c r="AC83" s="37">
        <f t="shared" si="30"/>
        <v>0</v>
      </c>
      <c r="AD83" s="37">
        <f t="shared" si="31"/>
        <v>0</v>
      </c>
      <c r="AE83" s="37">
        <f t="shared" si="32"/>
        <v>0</v>
      </c>
      <c r="AF83" s="37">
        <f t="shared" si="33"/>
        <v>0</v>
      </c>
      <c r="AG83" s="37">
        <f t="shared" si="34"/>
        <v>0</v>
      </c>
      <c r="AH83" s="37">
        <f t="shared" si="35"/>
        <v>0</v>
      </c>
      <c r="AI83" s="37">
        <f t="shared" si="36"/>
        <v>0</v>
      </c>
      <c r="AJ83" s="37">
        <f t="shared" si="37"/>
        <v>0</v>
      </c>
      <c r="AK83" s="37">
        <f t="shared" si="38"/>
        <v>0</v>
      </c>
      <c r="AL83" s="37">
        <f t="shared" si="39"/>
        <v>0</v>
      </c>
      <c r="AM83" s="37">
        <f t="shared" si="40"/>
        <v>0</v>
      </c>
      <c r="AN83" s="37">
        <f t="shared" si="41"/>
        <v>1</v>
      </c>
      <c r="AO83" s="37">
        <f t="shared" si="42"/>
        <v>1</v>
      </c>
      <c r="AP83" s="37"/>
      <c r="AQ83" s="37"/>
      <c r="AR83" s="37">
        <f t="shared" si="43"/>
        <v>3</v>
      </c>
      <c r="AS83" s="37">
        <f t="shared" si="44"/>
        <v>3</v>
      </c>
      <c r="AT83" s="37" t="str">
        <f t="shared" si="45"/>
        <v>Correct</v>
      </c>
      <c r="AU83" s="37"/>
      <c r="AV83" s="120" t="str">
        <f>IFERROR(VLOOKUP(Table1[RespondentID],'All Data'!$A$3:$CO$999,87,FALSE),"unknown")</f>
        <v>Woman</v>
      </c>
      <c r="AW83" s="120">
        <f>IFERROR(VLOOKUP(Table1[RespondentID],'All Data'!$A$3:$CO$999,88,FALSE),"unknown")</f>
        <v>53</v>
      </c>
      <c r="AX83" s="120" t="str">
        <f>IFERROR(VLOOKUP(Table1[RespondentID],'All Data'!$A$3:$CO$999,89,FALSE),"unknown")</f>
        <v>Suffolk</v>
      </c>
      <c r="AY83" s="120" t="str">
        <f>IFERROR(VLOOKUP(Table1[RespondentID],'All Data'!$A$3:$CO$999,90,FALSE),"unknown")</f>
        <v>Huntington Station, 11746</v>
      </c>
      <c r="AZ83" s="120" t="str">
        <f>IFERROR(VLOOKUP(Table1[RespondentID],'All Data'!$A$3:$CO$999,91,FALSE),"unknown")</f>
        <v>White</v>
      </c>
      <c r="BA83" s="120" t="str">
        <f>IFERROR(VLOOKUP(Table1[RespondentID],'All Data'!$A$3:$CO$999,92,FALSE),"unknown")</f>
        <v>Hispanic or Latino</v>
      </c>
      <c r="BB83" s="120" t="str">
        <f>IFERROR(VLOOKUP(Table1[RespondentID],'All Data'!$A$3:$CO$999,93,FALSE),"unknown")</f>
        <v>English</v>
      </c>
      <c r="BC83" s="120" t="str">
        <f>IFERROR(VLOOKUP(Table1[RespondentID],'All Data'!$A$3:$CW$999,94,FALSE),"unknown")</f>
        <v>Over $125,000</v>
      </c>
      <c r="BD83" s="120" t="str">
        <f>IFERROR(VLOOKUP(Table1[RespondentID],'All Data'!$A$3:$CW$999,95,FALSE),"unknown")</f>
        <v>College graduate</v>
      </c>
      <c r="BE83" s="120" t="str">
        <f>IFERROR(VLOOKUP(Table1[RespondentID],'All Data'!$A$3:$CW$999,96,FALSE),"unknown")</f>
        <v>Employed for wages</v>
      </c>
      <c r="BF83" s="120" t="str">
        <f>IFERROR(VLOOKUP(Table1[RespondentID],'All Data'!$A$3:$CW$999,97,FALSE),"unknown")</f>
        <v>Yes</v>
      </c>
      <c r="BG83" s="120" t="str">
        <f>IFERROR(VLOOKUP(Table1[RespondentID],'All Data'!$A$3:$CW$999,98,FALSE),"unknown")</f>
        <v>Private/Commercial</v>
      </c>
      <c r="BH83" s="120">
        <f>IFERROR(VLOOKUP(Table1[RespondentID],'All Data'!$A$3:$CW$999,99,FALSE),"unknown")</f>
        <v>0</v>
      </c>
    </row>
    <row r="84" spans="1:60">
      <c r="A84" s="5">
        <v>18023288631</v>
      </c>
      <c r="B84" s="5"/>
      <c r="C84" s="5"/>
      <c r="D84" s="5" t="s">
        <v>51</v>
      </c>
      <c r="E84" s="5"/>
      <c r="F84" s="5"/>
      <c r="G84" s="5"/>
      <c r="H84" s="5"/>
      <c r="I84" s="5"/>
      <c r="J84" s="5"/>
      <c r="K84" s="5"/>
      <c r="L84" s="5"/>
      <c r="M84" s="5" t="s">
        <v>59</v>
      </c>
      <c r="N84" s="5"/>
      <c r="O84" s="5"/>
      <c r="P84" s="5"/>
      <c r="Q84" s="5" t="s">
        <v>61</v>
      </c>
      <c r="R84" s="5" t="s">
        <v>62</v>
      </c>
      <c r="S84" s="5" t="s">
        <v>63</v>
      </c>
      <c r="T84" s="37"/>
      <c r="U84" s="37">
        <f t="shared" si="23"/>
        <v>5</v>
      </c>
      <c r="V84" s="37">
        <f t="shared" si="24"/>
        <v>0.6</v>
      </c>
      <c r="W84" s="37"/>
      <c r="X84" s="37">
        <f t="shared" si="25"/>
        <v>0</v>
      </c>
      <c r="Y84" s="37">
        <f t="shared" si="26"/>
        <v>0</v>
      </c>
      <c r="Z84" s="37">
        <f t="shared" si="27"/>
        <v>0.6</v>
      </c>
      <c r="AA84" s="37">
        <f t="shared" si="28"/>
        <v>0</v>
      </c>
      <c r="AB84" s="37">
        <f t="shared" si="29"/>
        <v>0</v>
      </c>
      <c r="AC84" s="37">
        <f t="shared" si="30"/>
        <v>0</v>
      </c>
      <c r="AD84" s="37">
        <f t="shared" si="31"/>
        <v>0</v>
      </c>
      <c r="AE84" s="37">
        <f t="shared" si="32"/>
        <v>0</v>
      </c>
      <c r="AF84" s="37">
        <f t="shared" si="33"/>
        <v>0</v>
      </c>
      <c r="AG84" s="37">
        <f t="shared" si="34"/>
        <v>0</v>
      </c>
      <c r="AH84" s="37">
        <f t="shared" si="35"/>
        <v>0</v>
      </c>
      <c r="AI84" s="37">
        <f t="shared" si="36"/>
        <v>0.6</v>
      </c>
      <c r="AJ84" s="37">
        <f t="shared" si="37"/>
        <v>0</v>
      </c>
      <c r="AK84" s="37">
        <f t="shared" si="38"/>
        <v>0</v>
      </c>
      <c r="AL84" s="37">
        <f t="shared" si="39"/>
        <v>0</v>
      </c>
      <c r="AM84" s="37">
        <f t="shared" si="40"/>
        <v>0.6</v>
      </c>
      <c r="AN84" s="37">
        <f t="shared" si="41"/>
        <v>0.6</v>
      </c>
      <c r="AO84" s="37">
        <f t="shared" si="42"/>
        <v>0.6</v>
      </c>
      <c r="AP84" s="37"/>
      <c r="AQ84" s="37"/>
      <c r="AR84" s="37">
        <f t="shared" si="43"/>
        <v>3</v>
      </c>
      <c r="AS84" s="37">
        <f t="shared" si="44"/>
        <v>5</v>
      </c>
      <c r="AT84" s="37" t="str">
        <f t="shared" si="45"/>
        <v>Correct</v>
      </c>
      <c r="AU84" s="37"/>
      <c r="AV84" s="120" t="str">
        <f>IFERROR(VLOOKUP(Table1[RespondentID],'All Data'!$A$3:$CO$999,87,FALSE),"unknown")</f>
        <v>Man</v>
      </c>
      <c r="AW84" s="120">
        <f>IFERROR(VLOOKUP(Table1[RespondentID],'All Data'!$A$3:$CO$999,88,FALSE),"unknown")</f>
        <v>49</v>
      </c>
      <c r="AX84" s="120" t="str">
        <f>IFERROR(VLOOKUP(Table1[RespondentID],'All Data'!$A$3:$CO$999,89,FALSE),"unknown")</f>
        <v>Suffolk</v>
      </c>
      <c r="AY84" s="120" t="str">
        <f>IFERROR(VLOOKUP(Table1[RespondentID],'All Data'!$A$3:$CO$999,90,FALSE),"unknown")</f>
        <v>Kings Park, 11754</v>
      </c>
      <c r="AZ84" s="120" t="str">
        <f>IFERROR(VLOOKUP(Table1[RespondentID],'All Data'!$A$3:$CO$999,91,FALSE),"unknown")</f>
        <v>White</v>
      </c>
      <c r="BA84" s="120" t="str">
        <f>IFERROR(VLOOKUP(Table1[RespondentID],'All Data'!$A$3:$CO$999,92,FALSE),"unknown")</f>
        <v>Hispanic or Latino</v>
      </c>
      <c r="BB84" s="120" t="str">
        <f>IFERROR(VLOOKUP(Table1[RespondentID],'All Data'!$A$3:$CO$999,93,FALSE),"unknown")</f>
        <v>English</v>
      </c>
      <c r="BC84" s="120" t="str">
        <f>IFERROR(VLOOKUP(Table1[RespondentID],'All Data'!$A$3:$CW$999,94,FALSE),"unknown")</f>
        <v>Over $125,000</v>
      </c>
      <c r="BD84" s="120" t="str">
        <f>IFERROR(VLOOKUP(Table1[RespondentID],'All Data'!$A$3:$CW$999,95,FALSE),"unknown")</f>
        <v>Graduate school</v>
      </c>
      <c r="BE84" s="120" t="str">
        <f>IFERROR(VLOOKUP(Table1[RespondentID],'All Data'!$A$3:$CW$999,96,FALSE),"unknown")</f>
        <v>Employed for wages</v>
      </c>
      <c r="BF84" s="120" t="str">
        <f>IFERROR(VLOOKUP(Table1[RespondentID],'All Data'!$A$3:$CW$999,97,FALSE),"unknown")</f>
        <v>Yes</v>
      </c>
      <c r="BG84" s="120" t="str">
        <f>IFERROR(VLOOKUP(Table1[RespondentID],'All Data'!$A$3:$CW$999,98,FALSE),"unknown")</f>
        <v>Private/Commercial</v>
      </c>
      <c r="BH84" s="120">
        <f>IFERROR(VLOOKUP(Table1[RespondentID],'All Data'!$A$3:$CW$999,99,FALSE),"unknown")</f>
        <v>0</v>
      </c>
    </row>
    <row r="85" spans="1:60">
      <c r="A85" s="5">
        <v>18023288504</v>
      </c>
      <c r="B85" s="5"/>
      <c r="C85" s="5"/>
      <c r="D85" s="5"/>
      <c r="E85" s="5"/>
      <c r="F85" s="5"/>
      <c r="G85" s="5" t="s">
        <v>53</v>
      </c>
      <c r="H85" s="5"/>
      <c r="I85" s="5"/>
      <c r="J85" s="5" t="s">
        <v>56</v>
      </c>
      <c r="K85" s="5" t="s">
        <v>57</v>
      </c>
      <c r="L85" s="5"/>
      <c r="M85" s="5"/>
      <c r="N85" s="5"/>
      <c r="O85" s="5"/>
      <c r="P85" s="5"/>
      <c r="Q85" s="5"/>
      <c r="R85" s="5"/>
      <c r="S85" s="5"/>
      <c r="T85" s="37"/>
      <c r="U85" s="37">
        <f t="shared" si="23"/>
        <v>3</v>
      </c>
      <c r="V85" s="37">
        <f t="shared" si="24"/>
        <v>1</v>
      </c>
      <c r="W85" s="37"/>
      <c r="X85" s="37">
        <f t="shared" si="25"/>
        <v>0</v>
      </c>
      <c r="Y85" s="37">
        <f t="shared" si="26"/>
        <v>0</v>
      </c>
      <c r="Z85" s="37">
        <f t="shared" si="27"/>
        <v>0</v>
      </c>
      <c r="AA85" s="37">
        <f t="shared" si="28"/>
        <v>0</v>
      </c>
      <c r="AB85" s="37">
        <f t="shared" si="29"/>
        <v>0</v>
      </c>
      <c r="AC85" s="37">
        <f t="shared" si="30"/>
        <v>1</v>
      </c>
      <c r="AD85" s="37">
        <f t="shared" si="31"/>
        <v>0</v>
      </c>
      <c r="AE85" s="37">
        <f t="shared" si="32"/>
        <v>0</v>
      </c>
      <c r="AF85" s="37">
        <f t="shared" si="33"/>
        <v>1</v>
      </c>
      <c r="AG85" s="37">
        <f t="shared" si="34"/>
        <v>1</v>
      </c>
      <c r="AH85" s="37">
        <f t="shared" si="35"/>
        <v>0</v>
      </c>
      <c r="AI85" s="37">
        <f t="shared" si="36"/>
        <v>0</v>
      </c>
      <c r="AJ85" s="37">
        <f t="shared" si="37"/>
        <v>0</v>
      </c>
      <c r="AK85" s="37">
        <f t="shared" si="38"/>
        <v>0</v>
      </c>
      <c r="AL85" s="37">
        <f t="shared" si="39"/>
        <v>0</v>
      </c>
      <c r="AM85" s="37">
        <f t="shared" si="40"/>
        <v>0</v>
      </c>
      <c r="AN85" s="37">
        <f t="shared" si="41"/>
        <v>0</v>
      </c>
      <c r="AO85" s="37">
        <f t="shared" si="42"/>
        <v>0</v>
      </c>
      <c r="AP85" s="37"/>
      <c r="AQ85" s="37"/>
      <c r="AR85" s="37">
        <f t="shared" si="43"/>
        <v>3</v>
      </c>
      <c r="AS85" s="37">
        <f t="shared" si="44"/>
        <v>3</v>
      </c>
      <c r="AT85" s="37" t="str">
        <f t="shared" si="45"/>
        <v>Correct</v>
      </c>
      <c r="AU85" s="37"/>
      <c r="AV85" s="120" t="str">
        <f>IFERROR(VLOOKUP(Table1[RespondentID],'All Data'!$A$3:$CO$999,87,FALSE),"unknown")</f>
        <v>Man</v>
      </c>
      <c r="AW85" s="120">
        <f>IFERROR(VLOOKUP(Table1[RespondentID],'All Data'!$A$3:$CO$999,88,FALSE),"unknown")</f>
        <v>59</v>
      </c>
      <c r="AX85" s="120" t="str">
        <f>IFERROR(VLOOKUP(Table1[RespondentID],'All Data'!$A$3:$CO$999,89,FALSE),"unknown")</f>
        <v>Suffolk</v>
      </c>
      <c r="AY85" s="120" t="str">
        <f>IFERROR(VLOOKUP(Table1[RespondentID],'All Data'!$A$3:$CO$999,90,FALSE),"unknown")</f>
        <v>Deer Park, 11729</v>
      </c>
      <c r="AZ85" s="120" t="str">
        <f>IFERROR(VLOOKUP(Table1[RespondentID],'All Data'!$A$3:$CO$999,91,FALSE),"unknown")</f>
        <v>White</v>
      </c>
      <c r="BA85" s="120" t="str">
        <f>IFERROR(VLOOKUP(Table1[RespondentID],'All Data'!$A$3:$CO$999,92,FALSE),"unknown")</f>
        <v>Hispanic or Latino</v>
      </c>
      <c r="BB85" s="120" t="str">
        <f>IFERROR(VLOOKUP(Table1[RespondentID],'All Data'!$A$3:$CO$999,93,FALSE),"unknown")</f>
        <v>English</v>
      </c>
      <c r="BC85" s="120" t="str">
        <f>IFERROR(VLOOKUP(Table1[RespondentID],'All Data'!$A$3:$CW$999,94,FALSE),"unknown")</f>
        <v>Over $125,000</v>
      </c>
      <c r="BD85" s="120" t="str">
        <f>IFERROR(VLOOKUP(Table1[RespondentID],'All Data'!$A$3:$CW$999,95,FALSE),"unknown")</f>
        <v>Graduate school</v>
      </c>
      <c r="BE85" s="120" t="str">
        <f>IFERROR(VLOOKUP(Table1[RespondentID],'All Data'!$A$3:$CW$999,96,FALSE),"unknown")</f>
        <v>Employed for wages</v>
      </c>
      <c r="BF85" s="120" t="str">
        <f>IFERROR(VLOOKUP(Table1[RespondentID],'All Data'!$A$3:$CW$999,97,FALSE),"unknown")</f>
        <v>Yes</v>
      </c>
      <c r="BG85" s="120" t="str">
        <f>IFERROR(VLOOKUP(Table1[RespondentID],'All Data'!$A$3:$CW$999,98,FALSE),"unknown")</f>
        <v>Private/Commercial</v>
      </c>
      <c r="BH85" s="120">
        <f>IFERROR(VLOOKUP(Table1[RespondentID],'All Data'!$A$3:$CW$999,99,FALSE),"unknown")</f>
        <v>0</v>
      </c>
    </row>
    <row r="86" spans="1:60">
      <c r="A86" s="5">
        <v>18023288405</v>
      </c>
      <c r="B86" s="5"/>
      <c r="C86" s="5"/>
      <c r="D86" s="5" t="s">
        <v>51</v>
      </c>
      <c r="E86" s="5"/>
      <c r="F86" s="5"/>
      <c r="G86" s="5"/>
      <c r="H86" s="5"/>
      <c r="I86" s="5"/>
      <c r="J86" s="5"/>
      <c r="K86" s="5"/>
      <c r="L86" s="5" t="s">
        <v>58</v>
      </c>
      <c r="M86" s="5"/>
      <c r="N86" s="5" t="s">
        <v>24</v>
      </c>
      <c r="O86" s="5"/>
      <c r="P86" s="5"/>
      <c r="Q86" s="5"/>
      <c r="R86" s="5"/>
      <c r="S86" s="5"/>
      <c r="T86" s="37"/>
      <c r="U86" s="37">
        <f t="shared" si="23"/>
        <v>3</v>
      </c>
      <c r="V86" s="37">
        <f t="shared" si="24"/>
        <v>1</v>
      </c>
      <c r="W86" s="37"/>
      <c r="X86" s="37">
        <f t="shared" si="25"/>
        <v>0</v>
      </c>
      <c r="Y86" s="37">
        <f t="shared" si="26"/>
        <v>0</v>
      </c>
      <c r="Z86" s="37">
        <f t="shared" si="27"/>
        <v>1</v>
      </c>
      <c r="AA86" s="37">
        <f t="shared" si="28"/>
        <v>0</v>
      </c>
      <c r="AB86" s="37">
        <f t="shared" si="29"/>
        <v>0</v>
      </c>
      <c r="AC86" s="37">
        <f t="shared" si="30"/>
        <v>0</v>
      </c>
      <c r="AD86" s="37">
        <f t="shared" si="31"/>
        <v>0</v>
      </c>
      <c r="AE86" s="37">
        <f t="shared" si="32"/>
        <v>0</v>
      </c>
      <c r="AF86" s="37">
        <f t="shared" si="33"/>
        <v>0</v>
      </c>
      <c r="AG86" s="37">
        <f t="shared" si="34"/>
        <v>0</v>
      </c>
      <c r="AH86" s="37">
        <f t="shared" si="35"/>
        <v>1</v>
      </c>
      <c r="AI86" s="37">
        <f t="shared" si="36"/>
        <v>0</v>
      </c>
      <c r="AJ86" s="37">
        <f t="shared" si="37"/>
        <v>1</v>
      </c>
      <c r="AK86" s="37">
        <f t="shared" si="38"/>
        <v>0</v>
      </c>
      <c r="AL86" s="37">
        <f t="shared" si="39"/>
        <v>0</v>
      </c>
      <c r="AM86" s="37">
        <f t="shared" si="40"/>
        <v>0</v>
      </c>
      <c r="AN86" s="37">
        <f t="shared" si="41"/>
        <v>0</v>
      </c>
      <c r="AO86" s="37">
        <f t="shared" si="42"/>
        <v>0</v>
      </c>
      <c r="AP86" s="37"/>
      <c r="AQ86" s="37"/>
      <c r="AR86" s="37">
        <f t="shared" si="43"/>
        <v>3</v>
      </c>
      <c r="AS86" s="37">
        <f t="shared" si="44"/>
        <v>3</v>
      </c>
      <c r="AT86" s="37" t="str">
        <f t="shared" si="45"/>
        <v>Correct</v>
      </c>
      <c r="AU86" s="37"/>
      <c r="AV86" s="120" t="str">
        <f>IFERROR(VLOOKUP(Table1[RespondentID],'All Data'!$A$3:$CO$999,87,FALSE),"unknown")</f>
        <v>Man</v>
      </c>
      <c r="AW86" s="120">
        <f>IFERROR(VLOOKUP(Table1[RespondentID],'All Data'!$A$3:$CO$999,88,FALSE),"unknown")</f>
        <v>57</v>
      </c>
      <c r="AX86" s="120" t="str">
        <f>IFERROR(VLOOKUP(Table1[RespondentID],'All Data'!$A$3:$CO$999,89,FALSE),"unknown")</f>
        <v>Suffolk</v>
      </c>
      <c r="AY86" s="120" t="str">
        <f>IFERROR(VLOOKUP(Table1[RespondentID],'All Data'!$A$3:$CO$999,90,FALSE),"unknown")</f>
        <v>Kings Park, 11754</v>
      </c>
      <c r="AZ86" s="120" t="str">
        <f>IFERROR(VLOOKUP(Table1[RespondentID],'All Data'!$A$3:$CO$999,91,FALSE),"unknown")</f>
        <v>White</v>
      </c>
      <c r="BA86" s="120" t="str">
        <f>IFERROR(VLOOKUP(Table1[RespondentID],'All Data'!$A$3:$CO$999,92,FALSE),"unknown")</f>
        <v>Hispanic or Latino</v>
      </c>
      <c r="BB86" s="120" t="str">
        <f>IFERROR(VLOOKUP(Table1[RespondentID],'All Data'!$A$3:$CO$999,93,FALSE),"unknown")</f>
        <v>English</v>
      </c>
      <c r="BC86" s="120" t="str">
        <f>IFERROR(VLOOKUP(Table1[RespondentID],'All Data'!$A$3:$CW$999,94,FALSE),"unknown")</f>
        <v>Over $125,000</v>
      </c>
      <c r="BD86" s="120" t="str">
        <f>IFERROR(VLOOKUP(Table1[RespondentID],'All Data'!$A$3:$CW$999,95,FALSE),"unknown")</f>
        <v>Graduate school</v>
      </c>
      <c r="BE86" s="120" t="str">
        <f>IFERROR(VLOOKUP(Table1[RespondentID],'All Data'!$A$3:$CW$999,96,FALSE),"unknown")</f>
        <v>Employed for wages</v>
      </c>
      <c r="BF86" s="120" t="str">
        <f>IFERROR(VLOOKUP(Table1[RespondentID],'All Data'!$A$3:$CW$999,97,FALSE),"unknown")</f>
        <v>Yes</v>
      </c>
      <c r="BG86" s="120" t="str">
        <f>IFERROR(VLOOKUP(Table1[RespondentID],'All Data'!$A$3:$CW$999,98,FALSE),"unknown")</f>
        <v>Private/Commercial</v>
      </c>
      <c r="BH86" s="120">
        <f>IFERROR(VLOOKUP(Table1[RespondentID],'All Data'!$A$3:$CW$999,99,FALSE),"unknown")</f>
        <v>0</v>
      </c>
    </row>
    <row r="87" spans="1:60">
      <c r="A87" s="5">
        <v>18023288287</v>
      </c>
      <c r="B87" s="5"/>
      <c r="C87" s="5"/>
      <c r="D87" s="5" t="s">
        <v>51</v>
      </c>
      <c r="E87" s="5"/>
      <c r="F87" s="5"/>
      <c r="G87" s="5" t="s">
        <v>53</v>
      </c>
      <c r="H87" s="5"/>
      <c r="I87" s="5"/>
      <c r="J87" s="5"/>
      <c r="K87" s="5"/>
      <c r="L87" s="5"/>
      <c r="M87" s="5"/>
      <c r="N87" s="5"/>
      <c r="O87" s="5"/>
      <c r="P87" s="5"/>
      <c r="Q87" s="5"/>
      <c r="R87" s="5"/>
      <c r="S87" s="5" t="s">
        <v>63</v>
      </c>
      <c r="T87" s="37"/>
      <c r="U87" s="37">
        <f t="shared" si="23"/>
        <v>3</v>
      </c>
      <c r="V87" s="37">
        <f t="shared" si="24"/>
        <v>1</v>
      </c>
      <c r="W87" s="37"/>
      <c r="X87" s="37">
        <f t="shared" si="25"/>
        <v>0</v>
      </c>
      <c r="Y87" s="37">
        <f t="shared" si="26"/>
        <v>0</v>
      </c>
      <c r="Z87" s="37">
        <f t="shared" si="27"/>
        <v>1</v>
      </c>
      <c r="AA87" s="37">
        <f t="shared" si="28"/>
        <v>0</v>
      </c>
      <c r="AB87" s="37">
        <f t="shared" si="29"/>
        <v>0</v>
      </c>
      <c r="AC87" s="37">
        <f t="shared" si="30"/>
        <v>1</v>
      </c>
      <c r="AD87" s="37">
        <f t="shared" si="31"/>
        <v>0</v>
      </c>
      <c r="AE87" s="37">
        <f t="shared" si="32"/>
        <v>0</v>
      </c>
      <c r="AF87" s="37">
        <f t="shared" si="33"/>
        <v>0</v>
      </c>
      <c r="AG87" s="37">
        <f t="shared" si="34"/>
        <v>0</v>
      </c>
      <c r="AH87" s="37">
        <f t="shared" si="35"/>
        <v>0</v>
      </c>
      <c r="AI87" s="37">
        <f t="shared" si="36"/>
        <v>0</v>
      </c>
      <c r="AJ87" s="37">
        <f t="shared" si="37"/>
        <v>0</v>
      </c>
      <c r="AK87" s="37">
        <f t="shared" si="38"/>
        <v>0</v>
      </c>
      <c r="AL87" s="37">
        <f t="shared" si="39"/>
        <v>0</v>
      </c>
      <c r="AM87" s="37">
        <f t="shared" si="40"/>
        <v>0</v>
      </c>
      <c r="AN87" s="37">
        <f t="shared" si="41"/>
        <v>0</v>
      </c>
      <c r="AO87" s="37">
        <f t="shared" si="42"/>
        <v>1</v>
      </c>
      <c r="AP87" s="37"/>
      <c r="AQ87" s="37"/>
      <c r="AR87" s="37">
        <f t="shared" si="43"/>
        <v>3</v>
      </c>
      <c r="AS87" s="37">
        <f t="shared" si="44"/>
        <v>3</v>
      </c>
      <c r="AT87" s="37" t="str">
        <f t="shared" si="45"/>
        <v>Correct</v>
      </c>
      <c r="AU87" s="37"/>
      <c r="AV87" s="120" t="str">
        <f>IFERROR(VLOOKUP(Table1[RespondentID],'All Data'!$A$3:$CO$999,87,FALSE),"unknown")</f>
        <v>Man</v>
      </c>
      <c r="AW87" s="120">
        <f>IFERROR(VLOOKUP(Table1[RespondentID],'All Data'!$A$3:$CO$999,88,FALSE),"unknown")</f>
        <v>50</v>
      </c>
      <c r="AX87" s="120" t="str">
        <f>IFERROR(VLOOKUP(Table1[RespondentID],'All Data'!$A$3:$CO$999,89,FALSE),"unknown")</f>
        <v>Suffolk</v>
      </c>
      <c r="AY87" s="120" t="str">
        <f>IFERROR(VLOOKUP(Table1[RespondentID],'All Data'!$A$3:$CO$999,90,FALSE),"unknown")</f>
        <v>Melville, 11747</v>
      </c>
      <c r="AZ87" s="120" t="str">
        <f>IFERROR(VLOOKUP(Table1[RespondentID],'All Data'!$A$3:$CO$999,91,FALSE),"unknown")</f>
        <v>White</v>
      </c>
      <c r="BA87" s="120" t="str">
        <f>IFERROR(VLOOKUP(Table1[RespondentID],'All Data'!$A$3:$CO$999,92,FALSE),"unknown")</f>
        <v>Not Hispanic or Latino</v>
      </c>
      <c r="BB87" s="120" t="str">
        <f>IFERROR(VLOOKUP(Table1[RespondentID],'All Data'!$A$3:$CO$999,93,FALSE),"unknown")</f>
        <v>English, Spanish</v>
      </c>
      <c r="BC87" s="120" t="str">
        <f>IFERROR(VLOOKUP(Table1[RespondentID],'All Data'!$A$3:$CW$999,94,FALSE),"unknown")</f>
        <v>Over $125,000</v>
      </c>
      <c r="BD87" s="120" t="str">
        <f>IFERROR(VLOOKUP(Table1[RespondentID],'All Data'!$A$3:$CW$999,95,FALSE),"unknown")</f>
        <v>Graduate school</v>
      </c>
      <c r="BE87" s="120" t="str">
        <f>IFERROR(VLOOKUP(Table1[RespondentID],'All Data'!$A$3:$CW$999,96,FALSE),"unknown")</f>
        <v>Employed for wages</v>
      </c>
      <c r="BF87" s="120" t="str">
        <f>IFERROR(VLOOKUP(Table1[RespondentID],'All Data'!$A$3:$CW$999,97,FALSE),"unknown")</f>
        <v>Yes</v>
      </c>
      <c r="BG87" s="120" t="str">
        <f>IFERROR(VLOOKUP(Table1[RespondentID],'All Data'!$A$3:$CW$999,98,FALSE),"unknown")</f>
        <v>Private/Commercial</v>
      </c>
      <c r="BH87" s="120">
        <f>IFERROR(VLOOKUP(Table1[RespondentID],'All Data'!$A$3:$CW$999,99,FALSE),"unknown")</f>
        <v>0</v>
      </c>
    </row>
    <row r="88" spans="1:60">
      <c r="A88" s="5">
        <v>18023288205</v>
      </c>
      <c r="B88" s="5"/>
      <c r="C88" s="5" t="s">
        <v>50</v>
      </c>
      <c r="D88" s="5" t="s">
        <v>51</v>
      </c>
      <c r="E88" s="5"/>
      <c r="F88" s="5"/>
      <c r="G88" s="5"/>
      <c r="H88" s="5"/>
      <c r="I88" s="5"/>
      <c r="J88" s="5"/>
      <c r="K88" s="5"/>
      <c r="L88" s="5"/>
      <c r="M88" s="5"/>
      <c r="N88" s="5"/>
      <c r="O88" s="5"/>
      <c r="P88" s="5"/>
      <c r="Q88" s="5" t="s">
        <v>61</v>
      </c>
      <c r="R88" s="5"/>
      <c r="S88" s="5"/>
      <c r="T88" s="37"/>
      <c r="U88" s="37">
        <f t="shared" si="23"/>
        <v>3</v>
      </c>
      <c r="V88" s="37">
        <f t="shared" si="24"/>
        <v>1</v>
      </c>
      <c r="W88" s="37"/>
      <c r="X88" s="37">
        <f t="shared" si="25"/>
        <v>0</v>
      </c>
      <c r="Y88" s="37">
        <f t="shared" si="26"/>
        <v>1</v>
      </c>
      <c r="Z88" s="37">
        <f t="shared" si="27"/>
        <v>1</v>
      </c>
      <c r="AA88" s="37">
        <f t="shared" si="28"/>
        <v>0</v>
      </c>
      <c r="AB88" s="37">
        <f t="shared" si="29"/>
        <v>0</v>
      </c>
      <c r="AC88" s="37">
        <f t="shared" si="30"/>
        <v>0</v>
      </c>
      <c r="AD88" s="37">
        <f t="shared" si="31"/>
        <v>0</v>
      </c>
      <c r="AE88" s="37">
        <f t="shared" si="32"/>
        <v>0</v>
      </c>
      <c r="AF88" s="37">
        <f t="shared" si="33"/>
        <v>0</v>
      </c>
      <c r="AG88" s="37">
        <f t="shared" si="34"/>
        <v>0</v>
      </c>
      <c r="AH88" s="37">
        <f t="shared" si="35"/>
        <v>0</v>
      </c>
      <c r="AI88" s="37">
        <f t="shared" si="36"/>
        <v>0</v>
      </c>
      <c r="AJ88" s="37">
        <f t="shared" si="37"/>
        <v>0</v>
      </c>
      <c r="AK88" s="37">
        <f t="shared" si="38"/>
        <v>0</v>
      </c>
      <c r="AL88" s="37">
        <f t="shared" si="39"/>
        <v>0</v>
      </c>
      <c r="AM88" s="37">
        <f t="shared" si="40"/>
        <v>1</v>
      </c>
      <c r="AN88" s="37">
        <f t="shared" si="41"/>
        <v>0</v>
      </c>
      <c r="AO88" s="37">
        <f t="shared" si="42"/>
        <v>0</v>
      </c>
      <c r="AP88" s="37"/>
      <c r="AQ88" s="37"/>
      <c r="AR88" s="37">
        <f t="shared" si="43"/>
        <v>3</v>
      </c>
      <c r="AS88" s="37">
        <f t="shared" si="44"/>
        <v>3</v>
      </c>
      <c r="AT88" s="37" t="str">
        <f t="shared" si="45"/>
        <v>Correct</v>
      </c>
      <c r="AU88" s="37"/>
      <c r="AV88" s="120" t="str">
        <f>IFERROR(VLOOKUP(Table1[RespondentID],'All Data'!$A$3:$CO$999,87,FALSE),"unknown")</f>
        <v>Man</v>
      </c>
      <c r="AW88" s="120">
        <f>IFERROR(VLOOKUP(Table1[RespondentID],'All Data'!$A$3:$CO$999,88,FALSE),"unknown")</f>
        <v>52</v>
      </c>
      <c r="AX88" s="120" t="str">
        <f>IFERROR(VLOOKUP(Table1[RespondentID],'All Data'!$A$3:$CO$999,89,FALSE),"unknown")</f>
        <v>Suffolk</v>
      </c>
      <c r="AY88" s="120" t="str">
        <f>IFERROR(VLOOKUP(Table1[RespondentID],'All Data'!$A$3:$CO$999,90,FALSE),"unknown")</f>
        <v>Huntington Station, 11746</v>
      </c>
      <c r="AZ88" s="120" t="str">
        <f>IFERROR(VLOOKUP(Table1[RespondentID],'All Data'!$A$3:$CO$999,91,FALSE),"unknown")</f>
        <v>White</v>
      </c>
      <c r="BA88" s="120" t="str">
        <f>IFERROR(VLOOKUP(Table1[RespondentID],'All Data'!$A$3:$CO$999,92,FALSE),"unknown")</f>
        <v>Hispanic or Latino</v>
      </c>
      <c r="BB88" s="120" t="str">
        <f>IFERROR(VLOOKUP(Table1[RespondentID],'All Data'!$A$3:$CO$999,93,FALSE),"unknown")</f>
        <v>English</v>
      </c>
      <c r="BC88" s="120" t="str">
        <f>IFERROR(VLOOKUP(Table1[RespondentID],'All Data'!$A$3:$CW$999,94,FALSE),"unknown")</f>
        <v>Over $125,000</v>
      </c>
      <c r="BD88" s="120" t="str">
        <f>IFERROR(VLOOKUP(Table1[RespondentID],'All Data'!$A$3:$CW$999,95,FALSE),"unknown")</f>
        <v>Graduate school</v>
      </c>
      <c r="BE88" s="120" t="str">
        <f>IFERROR(VLOOKUP(Table1[RespondentID],'All Data'!$A$3:$CW$999,96,FALSE),"unknown")</f>
        <v>Employed for wages</v>
      </c>
      <c r="BF88" s="120" t="str">
        <f>IFERROR(VLOOKUP(Table1[RespondentID],'All Data'!$A$3:$CW$999,97,FALSE),"unknown")</f>
        <v>Yes</v>
      </c>
      <c r="BG88" s="120" t="str">
        <f>IFERROR(VLOOKUP(Table1[RespondentID],'All Data'!$A$3:$CW$999,98,FALSE),"unknown")</f>
        <v>Private/Commercial</v>
      </c>
      <c r="BH88" s="120">
        <f>IFERROR(VLOOKUP(Table1[RespondentID],'All Data'!$A$3:$CW$999,99,FALSE),"unknown")</f>
        <v>0</v>
      </c>
    </row>
    <row r="89" spans="1:60">
      <c r="A89" s="5">
        <v>18023288112</v>
      </c>
      <c r="B89" s="5"/>
      <c r="C89" s="5"/>
      <c r="D89" s="5" t="s">
        <v>51</v>
      </c>
      <c r="E89" s="5"/>
      <c r="F89" s="5"/>
      <c r="G89" s="5"/>
      <c r="H89" s="5"/>
      <c r="I89" s="5"/>
      <c r="J89" s="5"/>
      <c r="K89" s="5"/>
      <c r="L89" s="5"/>
      <c r="M89" s="5" t="s">
        <v>59</v>
      </c>
      <c r="N89" s="5"/>
      <c r="O89" s="5"/>
      <c r="P89" s="5"/>
      <c r="Q89" s="5"/>
      <c r="R89" s="5"/>
      <c r="S89" s="5" t="s">
        <v>63</v>
      </c>
      <c r="T89" s="37"/>
      <c r="U89" s="37">
        <f t="shared" si="23"/>
        <v>3</v>
      </c>
      <c r="V89" s="37">
        <f t="shared" si="24"/>
        <v>1</v>
      </c>
      <c r="W89" s="37"/>
      <c r="X89" s="37">
        <f t="shared" si="25"/>
        <v>0</v>
      </c>
      <c r="Y89" s="37">
        <f t="shared" si="26"/>
        <v>0</v>
      </c>
      <c r="Z89" s="37">
        <f t="shared" si="27"/>
        <v>1</v>
      </c>
      <c r="AA89" s="37">
        <f t="shared" si="28"/>
        <v>0</v>
      </c>
      <c r="AB89" s="37">
        <f t="shared" si="29"/>
        <v>0</v>
      </c>
      <c r="AC89" s="37">
        <f t="shared" si="30"/>
        <v>0</v>
      </c>
      <c r="AD89" s="37">
        <f t="shared" si="31"/>
        <v>0</v>
      </c>
      <c r="AE89" s="37">
        <f t="shared" si="32"/>
        <v>0</v>
      </c>
      <c r="AF89" s="37">
        <f t="shared" si="33"/>
        <v>0</v>
      </c>
      <c r="AG89" s="37">
        <f t="shared" si="34"/>
        <v>0</v>
      </c>
      <c r="AH89" s="37">
        <f t="shared" si="35"/>
        <v>0</v>
      </c>
      <c r="AI89" s="37">
        <f t="shared" si="36"/>
        <v>1</v>
      </c>
      <c r="AJ89" s="37">
        <f t="shared" si="37"/>
        <v>0</v>
      </c>
      <c r="AK89" s="37">
        <f t="shared" si="38"/>
        <v>0</v>
      </c>
      <c r="AL89" s="37">
        <f t="shared" si="39"/>
        <v>0</v>
      </c>
      <c r="AM89" s="37">
        <f t="shared" si="40"/>
        <v>0</v>
      </c>
      <c r="AN89" s="37">
        <f t="shared" si="41"/>
        <v>0</v>
      </c>
      <c r="AO89" s="37">
        <f t="shared" si="42"/>
        <v>1</v>
      </c>
      <c r="AP89" s="37"/>
      <c r="AQ89" s="37"/>
      <c r="AR89" s="37">
        <f t="shared" si="43"/>
        <v>3</v>
      </c>
      <c r="AS89" s="37">
        <f t="shared" si="44"/>
        <v>3</v>
      </c>
      <c r="AT89" s="37" t="str">
        <f t="shared" si="45"/>
        <v>Correct</v>
      </c>
      <c r="AU89" s="37"/>
      <c r="AV89" s="120" t="str">
        <f>IFERROR(VLOOKUP(Table1[RespondentID],'All Data'!$A$3:$CO$999,87,FALSE),"unknown")</f>
        <v>Man</v>
      </c>
      <c r="AW89" s="120">
        <f>IFERROR(VLOOKUP(Table1[RespondentID],'All Data'!$A$3:$CO$999,88,FALSE),"unknown")</f>
        <v>48</v>
      </c>
      <c r="AX89" s="120" t="str">
        <f>IFERROR(VLOOKUP(Table1[RespondentID],'All Data'!$A$3:$CO$999,89,FALSE),"unknown")</f>
        <v>Suffolk</v>
      </c>
      <c r="AY89" s="120" t="str">
        <f>IFERROR(VLOOKUP(Table1[RespondentID],'All Data'!$A$3:$CO$999,90,FALSE),"unknown")</f>
        <v>East Northport, 11731</v>
      </c>
      <c r="AZ89" s="120" t="str">
        <f>IFERROR(VLOOKUP(Table1[RespondentID],'All Data'!$A$3:$CO$999,91,FALSE),"unknown")</f>
        <v>White</v>
      </c>
      <c r="BA89" s="120" t="str">
        <f>IFERROR(VLOOKUP(Table1[RespondentID],'All Data'!$A$3:$CO$999,92,FALSE),"unknown")</f>
        <v>Hispanic or Latino</v>
      </c>
      <c r="BB89" s="120" t="str">
        <f>IFERROR(VLOOKUP(Table1[RespondentID],'All Data'!$A$3:$CO$999,93,FALSE),"unknown")</f>
        <v>English</v>
      </c>
      <c r="BC89" s="120" t="str">
        <f>IFERROR(VLOOKUP(Table1[RespondentID],'All Data'!$A$3:$CW$999,94,FALSE),"unknown")</f>
        <v>Over $125,000</v>
      </c>
      <c r="BD89" s="120" t="str">
        <f>IFERROR(VLOOKUP(Table1[RespondentID],'All Data'!$A$3:$CW$999,95,FALSE),"unknown")</f>
        <v>Graduate school</v>
      </c>
      <c r="BE89" s="120" t="str">
        <f>IFERROR(VLOOKUP(Table1[RespondentID],'All Data'!$A$3:$CW$999,96,FALSE),"unknown")</f>
        <v>Employed for wages</v>
      </c>
      <c r="BF89" s="120">
        <f>IFERROR(VLOOKUP(Table1[RespondentID],'All Data'!$A$3:$CW$999,97,FALSE),"unknown")</f>
        <v>0</v>
      </c>
      <c r="BG89" s="120" t="str">
        <f>IFERROR(VLOOKUP(Table1[RespondentID],'All Data'!$A$3:$CW$999,98,FALSE),"unknown")</f>
        <v>Private/Commercial</v>
      </c>
      <c r="BH89" s="120">
        <f>IFERROR(VLOOKUP(Table1[RespondentID],'All Data'!$A$3:$CW$999,99,FALSE),"unknown")</f>
        <v>0</v>
      </c>
    </row>
    <row r="90" spans="1:60">
      <c r="A90" s="5">
        <v>18023288040</v>
      </c>
      <c r="B90" s="5"/>
      <c r="C90" s="5" t="s">
        <v>50</v>
      </c>
      <c r="D90" s="5"/>
      <c r="E90" s="5"/>
      <c r="F90" s="5"/>
      <c r="G90" s="5"/>
      <c r="H90" s="5"/>
      <c r="I90" s="5"/>
      <c r="J90" s="5"/>
      <c r="K90" s="5"/>
      <c r="L90" s="5"/>
      <c r="M90" s="5"/>
      <c r="N90" s="5"/>
      <c r="O90" s="5"/>
      <c r="P90" s="5"/>
      <c r="Q90" s="5"/>
      <c r="R90" s="5"/>
      <c r="S90" s="5" t="s">
        <v>63</v>
      </c>
      <c r="T90" s="37"/>
      <c r="U90" s="37">
        <f t="shared" si="23"/>
        <v>2</v>
      </c>
      <c r="V90" s="37">
        <f t="shared" si="24"/>
        <v>1.5</v>
      </c>
      <c r="W90" s="37"/>
      <c r="X90" s="37">
        <f t="shared" si="25"/>
        <v>0</v>
      </c>
      <c r="Y90" s="37">
        <f t="shared" si="26"/>
        <v>1</v>
      </c>
      <c r="Z90" s="37">
        <f t="shared" si="27"/>
        <v>0</v>
      </c>
      <c r="AA90" s="37">
        <f t="shared" si="28"/>
        <v>0</v>
      </c>
      <c r="AB90" s="37">
        <f t="shared" si="29"/>
        <v>0</v>
      </c>
      <c r="AC90" s="37">
        <f t="shared" si="30"/>
        <v>0</v>
      </c>
      <c r="AD90" s="37">
        <f t="shared" si="31"/>
        <v>0</v>
      </c>
      <c r="AE90" s="37">
        <f t="shared" si="32"/>
        <v>0</v>
      </c>
      <c r="AF90" s="37">
        <f t="shared" si="33"/>
        <v>0</v>
      </c>
      <c r="AG90" s="37">
        <f t="shared" si="34"/>
        <v>0</v>
      </c>
      <c r="AH90" s="37">
        <f t="shared" si="35"/>
        <v>0</v>
      </c>
      <c r="AI90" s="37">
        <f t="shared" si="36"/>
        <v>0</v>
      </c>
      <c r="AJ90" s="37">
        <f t="shared" si="37"/>
        <v>0</v>
      </c>
      <c r="AK90" s="37">
        <f t="shared" si="38"/>
        <v>0</v>
      </c>
      <c r="AL90" s="37">
        <f t="shared" si="39"/>
        <v>0</v>
      </c>
      <c r="AM90" s="37">
        <f t="shared" si="40"/>
        <v>0</v>
      </c>
      <c r="AN90" s="37">
        <f t="shared" si="41"/>
        <v>0</v>
      </c>
      <c r="AO90" s="37">
        <f t="shared" si="42"/>
        <v>1</v>
      </c>
      <c r="AP90" s="37"/>
      <c r="AQ90" s="37"/>
      <c r="AR90" s="37">
        <f t="shared" si="43"/>
        <v>2</v>
      </c>
      <c r="AS90" s="37">
        <f t="shared" si="44"/>
        <v>2</v>
      </c>
      <c r="AT90" s="37" t="str">
        <f t="shared" si="45"/>
        <v>Correct</v>
      </c>
      <c r="AU90" s="37"/>
      <c r="AV90" s="120" t="str">
        <f>IFERROR(VLOOKUP(Table1[RespondentID],'All Data'!$A$3:$CO$999,87,FALSE),"unknown")</f>
        <v>Man</v>
      </c>
      <c r="AW90" s="120">
        <f>IFERROR(VLOOKUP(Table1[RespondentID],'All Data'!$A$3:$CO$999,88,FALSE),"unknown")</f>
        <v>49</v>
      </c>
      <c r="AX90" s="120" t="str">
        <f>IFERROR(VLOOKUP(Table1[RespondentID],'All Data'!$A$3:$CO$999,89,FALSE),"unknown")</f>
        <v>Suffolk</v>
      </c>
      <c r="AY90" s="120" t="str">
        <f>IFERROR(VLOOKUP(Table1[RespondentID],'All Data'!$A$3:$CO$999,90,FALSE),"unknown")</f>
        <v>Smithtown, 11787</v>
      </c>
      <c r="AZ90" s="120" t="str">
        <f>IFERROR(VLOOKUP(Table1[RespondentID],'All Data'!$A$3:$CO$999,91,FALSE),"unknown")</f>
        <v>White</v>
      </c>
      <c r="BA90" s="120" t="str">
        <f>IFERROR(VLOOKUP(Table1[RespondentID],'All Data'!$A$3:$CO$999,92,FALSE),"unknown")</f>
        <v>Hispanic or Latino</v>
      </c>
      <c r="BB90" s="120" t="str">
        <f>IFERROR(VLOOKUP(Table1[RespondentID],'All Data'!$A$3:$CO$999,93,FALSE),"unknown")</f>
        <v>English</v>
      </c>
      <c r="BC90" s="120" t="str">
        <f>IFERROR(VLOOKUP(Table1[RespondentID],'All Data'!$A$3:$CW$999,94,FALSE),"unknown")</f>
        <v>Over $125,000</v>
      </c>
      <c r="BD90" s="120" t="str">
        <f>IFERROR(VLOOKUP(Table1[RespondentID],'All Data'!$A$3:$CW$999,95,FALSE),"unknown")</f>
        <v>Graduate school</v>
      </c>
      <c r="BE90" s="120" t="str">
        <f>IFERROR(VLOOKUP(Table1[RespondentID],'All Data'!$A$3:$CW$999,96,FALSE),"unknown")</f>
        <v>Employed for wages</v>
      </c>
      <c r="BF90" s="120">
        <f>IFERROR(VLOOKUP(Table1[RespondentID],'All Data'!$A$3:$CW$999,97,FALSE),"unknown")</f>
        <v>0</v>
      </c>
      <c r="BG90" s="120" t="str">
        <f>IFERROR(VLOOKUP(Table1[RespondentID],'All Data'!$A$3:$CW$999,98,FALSE),"unknown")</f>
        <v>Private/Commercial</v>
      </c>
      <c r="BH90" s="120">
        <f>IFERROR(VLOOKUP(Table1[RespondentID],'All Data'!$A$3:$CW$999,99,FALSE),"unknown")</f>
        <v>0</v>
      </c>
    </row>
    <row r="91" spans="1:60">
      <c r="A91" s="5">
        <v>18023287912</v>
      </c>
      <c r="B91" s="5"/>
      <c r="C91" s="5"/>
      <c r="D91" s="5" t="s">
        <v>51</v>
      </c>
      <c r="E91" s="5"/>
      <c r="F91" s="5"/>
      <c r="G91" s="5"/>
      <c r="H91" s="5"/>
      <c r="I91" s="5"/>
      <c r="J91" s="5"/>
      <c r="K91" s="5"/>
      <c r="L91" s="5"/>
      <c r="M91" s="5"/>
      <c r="N91" s="5"/>
      <c r="O91" s="5"/>
      <c r="P91" s="5"/>
      <c r="Q91" s="5"/>
      <c r="R91" s="5"/>
      <c r="S91" s="5" t="s">
        <v>63</v>
      </c>
      <c r="T91" s="37"/>
      <c r="U91" s="37">
        <f t="shared" si="23"/>
        <v>2</v>
      </c>
      <c r="V91" s="37">
        <f t="shared" si="24"/>
        <v>1.5</v>
      </c>
      <c r="W91" s="37"/>
      <c r="X91" s="37">
        <f t="shared" si="25"/>
        <v>0</v>
      </c>
      <c r="Y91" s="37">
        <f t="shared" si="26"/>
        <v>0</v>
      </c>
      <c r="Z91" s="37">
        <f t="shared" si="27"/>
        <v>1</v>
      </c>
      <c r="AA91" s="37">
        <f t="shared" si="28"/>
        <v>0</v>
      </c>
      <c r="AB91" s="37">
        <f t="shared" si="29"/>
        <v>0</v>
      </c>
      <c r="AC91" s="37">
        <f t="shared" si="30"/>
        <v>0</v>
      </c>
      <c r="AD91" s="37">
        <f t="shared" si="31"/>
        <v>0</v>
      </c>
      <c r="AE91" s="37">
        <f t="shared" si="32"/>
        <v>0</v>
      </c>
      <c r="AF91" s="37">
        <f t="shared" si="33"/>
        <v>0</v>
      </c>
      <c r="AG91" s="37">
        <f t="shared" si="34"/>
        <v>0</v>
      </c>
      <c r="AH91" s="37">
        <f t="shared" si="35"/>
        <v>0</v>
      </c>
      <c r="AI91" s="37">
        <f t="shared" si="36"/>
        <v>0</v>
      </c>
      <c r="AJ91" s="37">
        <f t="shared" si="37"/>
        <v>0</v>
      </c>
      <c r="AK91" s="37">
        <f t="shared" si="38"/>
        <v>0</v>
      </c>
      <c r="AL91" s="37">
        <f t="shared" si="39"/>
        <v>0</v>
      </c>
      <c r="AM91" s="37">
        <f t="shared" si="40"/>
        <v>0</v>
      </c>
      <c r="AN91" s="37">
        <f t="shared" si="41"/>
        <v>0</v>
      </c>
      <c r="AO91" s="37">
        <f t="shared" si="42"/>
        <v>1</v>
      </c>
      <c r="AP91" s="37"/>
      <c r="AQ91" s="37"/>
      <c r="AR91" s="37">
        <f t="shared" si="43"/>
        <v>2</v>
      </c>
      <c r="AS91" s="37">
        <f t="shared" si="44"/>
        <v>2</v>
      </c>
      <c r="AT91" s="37" t="str">
        <f t="shared" si="45"/>
        <v>Correct</v>
      </c>
      <c r="AU91" s="37"/>
      <c r="AV91" s="120" t="str">
        <f>IFERROR(VLOOKUP(Table1[RespondentID],'All Data'!$A$3:$CO$999,87,FALSE),"unknown")</f>
        <v>Man</v>
      </c>
      <c r="AW91" s="120">
        <f>IFERROR(VLOOKUP(Table1[RespondentID],'All Data'!$A$3:$CO$999,88,FALSE),"unknown")</f>
        <v>47</v>
      </c>
      <c r="AX91" s="120" t="str">
        <f>IFERROR(VLOOKUP(Table1[RespondentID],'All Data'!$A$3:$CO$999,89,FALSE),"unknown")</f>
        <v>Suffolk</v>
      </c>
      <c r="AY91" s="120" t="str">
        <f>IFERROR(VLOOKUP(Table1[RespondentID],'All Data'!$A$3:$CO$999,90,FALSE),"unknown")</f>
        <v>Stony Brook, 11790</v>
      </c>
      <c r="AZ91" s="120" t="str">
        <f>IFERROR(VLOOKUP(Table1[RespondentID],'All Data'!$A$3:$CO$999,91,FALSE),"unknown")</f>
        <v>White</v>
      </c>
      <c r="BA91" s="120" t="str">
        <f>IFERROR(VLOOKUP(Table1[RespondentID],'All Data'!$A$3:$CO$999,92,FALSE),"unknown")</f>
        <v>Hispanic or Latino</v>
      </c>
      <c r="BB91" s="120" t="str">
        <f>IFERROR(VLOOKUP(Table1[RespondentID],'All Data'!$A$3:$CO$999,93,FALSE),"unknown")</f>
        <v>English</v>
      </c>
      <c r="BC91" s="120" t="str">
        <f>IFERROR(VLOOKUP(Table1[RespondentID],'All Data'!$A$3:$CW$999,94,FALSE),"unknown")</f>
        <v>Over $125,000</v>
      </c>
      <c r="BD91" s="120" t="str">
        <f>IFERROR(VLOOKUP(Table1[RespondentID],'All Data'!$A$3:$CW$999,95,FALSE),"unknown")</f>
        <v>Graduate school</v>
      </c>
      <c r="BE91" s="120" t="str">
        <f>IFERROR(VLOOKUP(Table1[RespondentID],'All Data'!$A$3:$CW$999,96,FALSE),"unknown")</f>
        <v>Employed for wages</v>
      </c>
      <c r="BF91" s="120" t="str">
        <f>IFERROR(VLOOKUP(Table1[RespondentID],'All Data'!$A$3:$CW$999,97,FALSE),"unknown")</f>
        <v>Yes</v>
      </c>
      <c r="BG91" s="120" t="str">
        <f>IFERROR(VLOOKUP(Table1[RespondentID],'All Data'!$A$3:$CW$999,98,FALSE),"unknown")</f>
        <v>Private/Commercial</v>
      </c>
      <c r="BH91" s="120">
        <f>IFERROR(VLOOKUP(Table1[RespondentID],'All Data'!$A$3:$CW$999,99,FALSE),"unknown")</f>
        <v>0</v>
      </c>
    </row>
    <row r="92" spans="1:60">
      <c r="A92" s="5">
        <v>18023287497</v>
      </c>
      <c r="B92" s="5"/>
      <c r="C92" s="5"/>
      <c r="D92" s="5"/>
      <c r="E92" s="5" t="s">
        <v>17</v>
      </c>
      <c r="F92" s="5"/>
      <c r="G92" s="5"/>
      <c r="H92" s="5"/>
      <c r="I92" s="5"/>
      <c r="J92" s="5"/>
      <c r="K92" s="5"/>
      <c r="L92" s="5" t="s">
        <v>58</v>
      </c>
      <c r="M92" s="5"/>
      <c r="N92" s="5"/>
      <c r="O92" s="5"/>
      <c r="P92" s="5"/>
      <c r="Q92" s="5"/>
      <c r="R92" s="5"/>
      <c r="S92" s="5" t="s">
        <v>63</v>
      </c>
      <c r="T92" s="37"/>
      <c r="U92" s="37">
        <f t="shared" si="23"/>
        <v>3</v>
      </c>
      <c r="V92" s="37">
        <f t="shared" si="24"/>
        <v>1</v>
      </c>
      <c r="W92" s="37"/>
      <c r="X92" s="37">
        <f t="shared" si="25"/>
        <v>0</v>
      </c>
      <c r="Y92" s="37">
        <f t="shared" si="26"/>
        <v>0</v>
      </c>
      <c r="Z92" s="37">
        <f t="shared" si="27"/>
        <v>0</v>
      </c>
      <c r="AA92" s="37">
        <f t="shared" si="28"/>
        <v>1</v>
      </c>
      <c r="AB92" s="37">
        <f t="shared" si="29"/>
        <v>0</v>
      </c>
      <c r="AC92" s="37">
        <f t="shared" si="30"/>
        <v>0</v>
      </c>
      <c r="AD92" s="37">
        <f t="shared" si="31"/>
        <v>0</v>
      </c>
      <c r="AE92" s="37">
        <f t="shared" si="32"/>
        <v>0</v>
      </c>
      <c r="AF92" s="37">
        <f t="shared" si="33"/>
        <v>0</v>
      </c>
      <c r="AG92" s="37">
        <f t="shared" si="34"/>
        <v>0</v>
      </c>
      <c r="AH92" s="37">
        <f t="shared" si="35"/>
        <v>1</v>
      </c>
      <c r="AI92" s="37">
        <f t="shared" si="36"/>
        <v>0</v>
      </c>
      <c r="AJ92" s="37">
        <f t="shared" si="37"/>
        <v>0</v>
      </c>
      <c r="AK92" s="37">
        <f t="shared" si="38"/>
        <v>0</v>
      </c>
      <c r="AL92" s="37">
        <f t="shared" si="39"/>
        <v>0</v>
      </c>
      <c r="AM92" s="37">
        <f t="shared" si="40"/>
        <v>0</v>
      </c>
      <c r="AN92" s="37">
        <f t="shared" si="41"/>
        <v>0</v>
      </c>
      <c r="AO92" s="37">
        <f t="shared" si="42"/>
        <v>1</v>
      </c>
      <c r="AP92" s="37"/>
      <c r="AQ92" s="37"/>
      <c r="AR92" s="37">
        <f t="shared" si="43"/>
        <v>3</v>
      </c>
      <c r="AS92" s="37">
        <f t="shared" si="44"/>
        <v>3</v>
      </c>
      <c r="AT92" s="37" t="str">
        <f t="shared" si="45"/>
        <v>Correct</v>
      </c>
      <c r="AU92" s="37"/>
      <c r="AV92" s="120" t="str">
        <f>IFERROR(VLOOKUP(Table1[RespondentID],'All Data'!$A$3:$CO$999,87,FALSE),"unknown")</f>
        <v>Woman</v>
      </c>
      <c r="AW92" s="120">
        <f>IFERROR(VLOOKUP(Table1[RespondentID],'All Data'!$A$3:$CO$999,88,FALSE),"unknown")</f>
        <v>52</v>
      </c>
      <c r="AX92" s="120" t="str">
        <f>IFERROR(VLOOKUP(Table1[RespondentID],'All Data'!$A$3:$CO$999,89,FALSE),"unknown")</f>
        <v>Suffolk</v>
      </c>
      <c r="AY92" s="120" t="str">
        <f>IFERROR(VLOOKUP(Table1[RespondentID],'All Data'!$A$3:$CO$999,90,FALSE),"unknown")</f>
        <v>Smithtown, 11787</v>
      </c>
      <c r="AZ92" s="120" t="str">
        <f>IFERROR(VLOOKUP(Table1[RespondentID],'All Data'!$A$3:$CO$999,91,FALSE),"unknown")</f>
        <v>White</v>
      </c>
      <c r="BA92" s="120" t="str">
        <f>IFERROR(VLOOKUP(Table1[RespondentID],'All Data'!$A$3:$CO$999,92,FALSE),"unknown")</f>
        <v>Hispanic or Latino</v>
      </c>
      <c r="BB92" s="120" t="str">
        <f>IFERROR(VLOOKUP(Table1[RespondentID],'All Data'!$A$3:$CO$999,93,FALSE),"unknown")</f>
        <v>English</v>
      </c>
      <c r="BC92" s="120" t="str">
        <f>IFERROR(VLOOKUP(Table1[RespondentID],'All Data'!$A$3:$CW$999,94,FALSE),"unknown")</f>
        <v>Over $125,000</v>
      </c>
      <c r="BD92" s="120" t="str">
        <f>IFERROR(VLOOKUP(Table1[RespondentID],'All Data'!$A$3:$CW$999,95,FALSE),"unknown")</f>
        <v>College graduate</v>
      </c>
      <c r="BE92" s="120" t="str">
        <f>IFERROR(VLOOKUP(Table1[RespondentID],'All Data'!$A$3:$CW$999,96,FALSE),"unknown")</f>
        <v>Employed for wages</v>
      </c>
      <c r="BF92" s="120">
        <f>IFERROR(VLOOKUP(Table1[RespondentID],'All Data'!$A$3:$CW$999,97,FALSE),"unknown")</f>
        <v>0</v>
      </c>
      <c r="BG92" s="120">
        <f>IFERROR(VLOOKUP(Table1[RespondentID],'All Data'!$A$3:$CW$999,98,FALSE),"unknown")</f>
        <v>0</v>
      </c>
      <c r="BH92" s="120">
        <f>IFERROR(VLOOKUP(Table1[RespondentID],'All Data'!$A$3:$CW$999,99,FALSE),"unknown")</f>
        <v>0</v>
      </c>
    </row>
    <row r="93" spans="1:60">
      <c r="A93" s="5">
        <v>18023287370</v>
      </c>
      <c r="B93" s="5"/>
      <c r="C93" s="5"/>
      <c r="D93" s="5"/>
      <c r="E93" s="5"/>
      <c r="F93" s="5"/>
      <c r="G93" s="5"/>
      <c r="H93" s="5"/>
      <c r="I93" s="5" t="s">
        <v>55</v>
      </c>
      <c r="J93" s="5"/>
      <c r="K93" s="5"/>
      <c r="L93" s="5"/>
      <c r="M93" s="5" t="s">
        <v>59</v>
      </c>
      <c r="N93" s="5"/>
      <c r="O93" s="5"/>
      <c r="P93" s="5"/>
      <c r="Q93" s="5"/>
      <c r="R93" s="5"/>
      <c r="S93" s="5"/>
      <c r="T93" s="37"/>
      <c r="U93" s="37">
        <f t="shared" si="23"/>
        <v>2</v>
      </c>
      <c r="V93" s="37">
        <f t="shared" si="24"/>
        <v>1.5</v>
      </c>
      <c r="W93" s="37"/>
      <c r="X93" s="37">
        <f t="shared" si="25"/>
        <v>0</v>
      </c>
      <c r="Y93" s="37">
        <f t="shared" si="26"/>
        <v>0</v>
      </c>
      <c r="Z93" s="37">
        <f t="shared" si="27"/>
        <v>0</v>
      </c>
      <c r="AA93" s="37">
        <f t="shared" si="28"/>
        <v>0</v>
      </c>
      <c r="AB93" s="37">
        <f t="shared" si="29"/>
        <v>0</v>
      </c>
      <c r="AC93" s="37">
        <f t="shared" si="30"/>
        <v>0</v>
      </c>
      <c r="AD93" s="37">
        <f t="shared" si="31"/>
        <v>0</v>
      </c>
      <c r="AE93" s="37">
        <f t="shared" si="32"/>
        <v>1</v>
      </c>
      <c r="AF93" s="37">
        <f t="shared" si="33"/>
        <v>0</v>
      </c>
      <c r="AG93" s="37">
        <f t="shared" si="34"/>
        <v>0</v>
      </c>
      <c r="AH93" s="37">
        <f t="shared" si="35"/>
        <v>0</v>
      </c>
      <c r="AI93" s="37">
        <f t="shared" si="36"/>
        <v>1</v>
      </c>
      <c r="AJ93" s="37">
        <f t="shared" si="37"/>
        <v>0</v>
      </c>
      <c r="AK93" s="37">
        <f t="shared" si="38"/>
        <v>0</v>
      </c>
      <c r="AL93" s="37">
        <f t="shared" si="39"/>
        <v>0</v>
      </c>
      <c r="AM93" s="37">
        <f t="shared" si="40"/>
        <v>0</v>
      </c>
      <c r="AN93" s="37">
        <f t="shared" si="41"/>
        <v>0</v>
      </c>
      <c r="AO93" s="37">
        <f t="shared" si="42"/>
        <v>0</v>
      </c>
      <c r="AP93" s="37"/>
      <c r="AQ93" s="37"/>
      <c r="AR93" s="37">
        <f t="shared" si="43"/>
        <v>2</v>
      </c>
      <c r="AS93" s="37">
        <f t="shared" si="44"/>
        <v>2</v>
      </c>
      <c r="AT93" s="37" t="str">
        <f t="shared" si="45"/>
        <v>Correct</v>
      </c>
      <c r="AU93" s="37"/>
      <c r="AV93" s="120" t="str">
        <f>IFERROR(VLOOKUP(Table1[RespondentID],'All Data'!$A$3:$CO$999,87,FALSE),"unknown")</f>
        <v>Man</v>
      </c>
      <c r="AW93" s="120">
        <f>IFERROR(VLOOKUP(Table1[RespondentID],'All Data'!$A$3:$CO$999,88,FALSE),"unknown")</f>
        <v>23</v>
      </c>
      <c r="AX93" s="120" t="str">
        <f>IFERROR(VLOOKUP(Table1[RespondentID],'All Data'!$A$3:$CO$999,89,FALSE),"unknown")</f>
        <v>Suffolk</v>
      </c>
      <c r="AY93" s="120" t="str">
        <f>IFERROR(VLOOKUP(Table1[RespondentID],'All Data'!$A$3:$CO$999,90,FALSE),"unknown")</f>
        <v>Central Islip, 11722</v>
      </c>
      <c r="AZ93" s="120">
        <f>IFERROR(VLOOKUP(Table1[RespondentID],'All Data'!$A$3:$CO$999,91,FALSE),"unknown")</f>
        <v>0</v>
      </c>
      <c r="BA93" s="120" t="str">
        <f>IFERROR(VLOOKUP(Table1[RespondentID],'All Data'!$A$3:$CO$999,92,FALSE),"unknown")</f>
        <v>Not Hispanic or Latino</v>
      </c>
      <c r="BB93" s="120" t="str">
        <f>IFERROR(VLOOKUP(Table1[RespondentID],'All Data'!$A$3:$CO$999,93,FALSE),"unknown")</f>
        <v>Spanish</v>
      </c>
      <c r="BC93" s="120" t="str">
        <f>IFERROR(VLOOKUP(Table1[RespondentID],'All Data'!$A$3:$CW$999,94,FALSE),"unknown")</f>
        <v>$20,000 to $34,999</v>
      </c>
      <c r="BD93" s="120" t="str">
        <f>IFERROR(VLOOKUP(Table1[RespondentID],'All Data'!$A$3:$CW$999,95,FALSE),"unknown")</f>
        <v>Some college</v>
      </c>
      <c r="BE93" s="120" t="str">
        <f>IFERROR(VLOOKUP(Table1[RespondentID],'All Data'!$A$3:$CW$999,96,FALSE),"unknown")</f>
        <v>Employed for wages</v>
      </c>
      <c r="BF93" s="120" t="str">
        <f>IFERROR(VLOOKUP(Table1[RespondentID],'All Data'!$A$3:$CW$999,97,FALSE),"unknown")</f>
        <v>Yes</v>
      </c>
      <c r="BG93" s="120">
        <f>IFERROR(VLOOKUP(Table1[RespondentID],'All Data'!$A$3:$CW$999,98,FALSE),"unknown")</f>
        <v>0</v>
      </c>
      <c r="BH93" s="120">
        <f>IFERROR(VLOOKUP(Table1[RespondentID],'All Data'!$A$3:$CW$999,99,FALSE),"unknown")</f>
        <v>0</v>
      </c>
    </row>
    <row r="94" spans="1:60">
      <c r="A94" s="5">
        <v>18023287265</v>
      </c>
      <c r="B94" s="5"/>
      <c r="C94" s="5"/>
      <c r="D94" s="5" t="s">
        <v>51</v>
      </c>
      <c r="E94" s="5" t="s">
        <v>17</v>
      </c>
      <c r="F94" s="5"/>
      <c r="G94" s="5"/>
      <c r="H94" s="5"/>
      <c r="I94" s="5"/>
      <c r="J94" s="5"/>
      <c r="K94" s="5"/>
      <c r="L94" s="5" t="s">
        <v>58</v>
      </c>
      <c r="M94" s="5"/>
      <c r="N94" s="5"/>
      <c r="O94" s="5"/>
      <c r="P94" s="5"/>
      <c r="Q94" s="5"/>
      <c r="R94" s="5"/>
      <c r="S94" s="5"/>
      <c r="T94" s="37"/>
      <c r="U94" s="37">
        <f t="shared" si="23"/>
        <v>3</v>
      </c>
      <c r="V94" s="37">
        <f t="shared" si="24"/>
        <v>1</v>
      </c>
      <c r="W94" s="37"/>
      <c r="X94" s="37">
        <f t="shared" si="25"/>
        <v>0</v>
      </c>
      <c r="Y94" s="37">
        <f t="shared" si="26"/>
        <v>0</v>
      </c>
      <c r="Z94" s="37">
        <f t="shared" si="27"/>
        <v>1</v>
      </c>
      <c r="AA94" s="37">
        <f t="shared" si="28"/>
        <v>1</v>
      </c>
      <c r="AB94" s="37">
        <f t="shared" si="29"/>
        <v>0</v>
      </c>
      <c r="AC94" s="37">
        <f t="shared" si="30"/>
        <v>0</v>
      </c>
      <c r="AD94" s="37">
        <f t="shared" si="31"/>
        <v>0</v>
      </c>
      <c r="AE94" s="37">
        <f t="shared" si="32"/>
        <v>0</v>
      </c>
      <c r="AF94" s="37">
        <f t="shared" si="33"/>
        <v>0</v>
      </c>
      <c r="AG94" s="37">
        <f t="shared" si="34"/>
        <v>0</v>
      </c>
      <c r="AH94" s="37">
        <f t="shared" si="35"/>
        <v>1</v>
      </c>
      <c r="AI94" s="37">
        <f t="shared" si="36"/>
        <v>0</v>
      </c>
      <c r="AJ94" s="37">
        <f t="shared" si="37"/>
        <v>0</v>
      </c>
      <c r="AK94" s="37">
        <f t="shared" si="38"/>
        <v>0</v>
      </c>
      <c r="AL94" s="37">
        <f t="shared" si="39"/>
        <v>0</v>
      </c>
      <c r="AM94" s="37">
        <f t="shared" si="40"/>
        <v>0</v>
      </c>
      <c r="AN94" s="37">
        <f t="shared" si="41"/>
        <v>0</v>
      </c>
      <c r="AO94" s="37">
        <f t="shared" si="42"/>
        <v>0</v>
      </c>
      <c r="AP94" s="37"/>
      <c r="AQ94" s="37"/>
      <c r="AR94" s="37">
        <f t="shared" si="43"/>
        <v>3</v>
      </c>
      <c r="AS94" s="37">
        <f t="shared" si="44"/>
        <v>3</v>
      </c>
      <c r="AT94" s="37" t="str">
        <f t="shared" si="45"/>
        <v>Correct</v>
      </c>
      <c r="AU94" s="37"/>
      <c r="AV94" s="120" t="str">
        <f>IFERROR(VLOOKUP(Table1[RespondentID],'All Data'!$A$3:$CO$999,87,FALSE),"unknown")</f>
        <v>Woman</v>
      </c>
      <c r="AW94" s="120">
        <f>IFERROR(VLOOKUP(Table1[RespondentID],'All Data'!$A$3:$CO$999,88,FALSE),"unknown")</f>
        <v>33</v>
      </c>
      <c r="AX94" s="120" t="str">
        <f>IFERROR(VLOOKUP(Table1[RespondentID],'All Data'!$A$3:$CO$999,89,FALSE),"unknown")</f>
        <v>Suffolk</v>
      </c>
      <c r="AY94" s="120" t="str">
        <f>IFERROR(VLOOKUP(Table1[RespondentID],'All Data'!$A$3:$CO$999,90,FALSE),"unknown")</f>
        <v>North Babylon, 11703</v>
      </c>
      <c r="AZ94" s="120" t="str">
        <f>IFERROR(VLOOKUP(Table1[RespondentID],'All Data'!$A$3:$CO$999,91,FALSE),"unknown")</f>
        <v>White</v>
      </c>
      <c r="BA94" s="120" t="str">
        <f>IFERROR(VLOOKUP(Table1[RespondentID],'All Data'!$A$3:$CO$999,92,FALSE),"unknown")</f>
        <v>Not Hispanic or Latino</v>
      </c>
      <c r="BB94" s="120" t="str">
        <f>IFERROR(VLOOKUP(Table1[RespondentID],'All Data'!$A$3:$CO$999,93,FALSE),"unknown")</f>
        <v>English</v>
      </c>
      <c r="BC94" s="120" t="str">
        <f>IFERROR(VLOOKUP(Table1[RespondentID],'All Data'!$A$3:$CW$999,94,FALSE),"unknown")</f>
        <v>Over $125,000</v>
      </c>
      <c r="BD94" s="120" t="str">
        <f>IFERROR(VLOOKUP(Table1[RespondentID],'All Data'!$A$3:$CW$999,95,FALSE),"unknown")</f>
        <v>College graduate</v>
      </c>
      <c r="BE94" s="120" t="str">
        <f>IFERROR(VLOOKUP(Table1[RespondentID],'All Data'!$A$3:$CW$999,96,FALSE),"unknown")</f>
        <v>Employed for wages</v>
      </c>
      <c r="BF94" s="120" t="str">
        <f>IFERROR(VLOOKUP(Table1[RespondentID],'All Data'!$A$3:$CW$999,97,FALSE),"unknown")</f>
        <v>Yes</v>
      </c>
      <c r="BG94" s="120">
        <f>IFERROR(VLOOKUP(Table1[RespondentID],'All Data'!$A$3:$CW$999,98,FALSE),"unknown")</f>
        <v>0</v>
      </c>
      <c r="BH94" s="120">
        <f>IFERROR(VLOOKUP(Table1[RespondentID],'All Data'!$A$3:$CW$999,99,FALSE),"unknown")</f>
        <v>0</v>
      </c>
    </row>
    <row r="95" spans="1:60">
      <c r="A95" s="5">
        <v>18023287153</v>
      </c>
      <c r="B95" s="5"/>
      <c r="C95" s="5"/>
      <c r="D95" s="5" t="s">
        <v>51</v>
      </c>
      <c r="E95" s="5"/>
      <c r="F95" s="5"/>
      <c r="G95" s="5"/>
      <c r="H95" s="5"/>
      <c r="I95" s="5"/>
      <c r="J95" s="5"/>
      <c r="K95" s="5"/>
      <c r="L95" s="5" t="s">
        <v>58</v>
      </c>
      <c r="M95" s="5"/>
      <c r="N95" s="5"/>
      <c r="O95" s="5"/>
      <c r="P95" s="5"/>
      <c r="Q95" s="5"/>
      <c r="R95" s="5"/>
      <c r="S95" s="5" t="s">
        <v>63</v>
      </c>
      <c r="T95" s="37"/>
      <c r="U95" s="37">
        <f t="shared" si="23"/>
        <v>3</v>
      </c>
      <c r="V95" s="37">
        <f t="shared" si="24"/>
        <v>1</v>
      </c>
      <c r="W95" s="37"/>
      <c r="X95" s="37">
        <f t="shared" si="25"/>
        <v>0</v>
      </c>
      <c r="Y95" s="37">
        <f t="shared" si="26"/>
        <v>0</v>
      </c>
      <c r="Z95" s="37">
        <f t="shared" si="27"/>
        <v>1</v>
      </c>
      <c r="AA95" s="37">
        <f t="shared" si="28"/>
        <v>0</v>
      </c>
      <c r="AB95" s="37">
        <f t="shared" si="29"/>
        <v>0</v>
      </c>
      <c r="AC95" s="37">
        <f t="shared" si="30"/>
        <v>0</v>
      </c>
      <c r="AD95" s="37">
        <f t="shared" si="31"/>
        <v>0</v>
      </c>
      <c r="AE95" s="37">
        <f t="shared" si="32"/>
        <v>0</v>
      </c>
      <c r="AF95" s="37">
        <f t="shared" si="33"/>
        <v>0</v>
      </c>
      <c r="AG95" s="37">
        <f t="shared" si="34"/>
        <v>0</v>
      </c>
      <c r="AH95" s="37">
        <f t="shared" si="35"/>
        <v>1</v>
      </c>
      <c r="AI95" s="37">
        <f t="shared" si="36"/>
        <v>0</v>
      </c>
      <c r="AJ95" s="37">
        <f t="shared" si="37"/>
        <v>0</v>
      </c>
      <c r="AK95" s="37">
        <f t="shared" si="38"/>
        <v>0</v>
      </c>
      <c r="AL95" s="37">
        <f t="shared" si="39"/>
        <v>0</v>
      </c>
      <c r="AM95" s="37">
        <f t="shared" si="40"/>
        <v>0</v>
      </c>
      <c r="AN95" s="37">
        <f t="shared" si="41"/>
        <v>0</v>
      </c>
      <c r="AO95" s="37">
        <f t="shared" si="42"/>
        <v>1</v>
      </c>
      <c r="AP95" s="37"/>
      <c r="AQ95" s="37"/>
      <c r="AR95" s="37">
        <f t="shared" si="43"/>
        <v>3</v>
      </c>
      <c r="AS95" s="37">
        <f t="shared" si="44"/>
        <v>3</v>
      </c>
      <c r="AT95" s="37" t="str">
        <f t="shared" si="45"/>
        <v>Correct</v>
      </c>
      <c r="AU95" s="37"/>
      <c r="AV95" s="120" t="str">
        <f>IFERROR(VLOOKUP(Table1[RespondentID],'All Data'!$A$3:$CO$999,87,FALSE),"unknown")</f>
        <v>Woman</v>
      </c>
      <c r="AW95" s="120">
        <f>IFERROR(VLOOKUP(Table1[RespondentID],'All Data'!$A$3:$CO$999,88,FALSE),"unknown")</f>
        <v>60</v>
      </c>
      <c r="AX95" s="120" t="str">
        <f>IFERROR(VLOOKUP(Table1[RespondentID],'All Data'!$A$3:$CO$999,89,FALSE),"unknown")</f>
        <v>Suffolk</v>
      </c>
      <c r="AY95" s="120" t="str">
        <f>IFERROR(VLOOKUP(Table1[RespondentID],'All Data'!$A$3:$CO$999,90,FALSE),"unknown")</f>
        <v>Smithtown, 11787</v>
      </c>
      <c r="AZ95" s="120" t="str">
        <f>IFERROR(VLOOKUP(Table1[RespondentID],'All Data'!$A$3:$CO$999,91,FALSE),"unknown")</f>
        <v>White</v>
      </c>
      <c r="BA95" s="120" t="str">
        <f>IFERROR(VLOOKUP(Table1[RespondentID],'All Data'!$A$3:$CO$999,92,FALSE),"unknown")</f>
        <v>Hispanic or Latino</v>
      </c>
      <c r="BB95" s="120" t="str">
        <f>IFERROR(VLOOKUP(Table1[RespondentID],'All Data'!$A$3:$CO$999,93,FALSE),"unknown")</f>
        <v>English</v>
      </c>
      <c r="BC95" s="120" t="str">
        <f>IFERROR(VLOOKUP(Table1[RespondentID],'All Data'!$A$3:$CW$999,94,FALSE),"unknown")</f>
        <v>$75,000 to $125,000</v>
      </c>
      <c r="BD95" s="120" t="str">
        <f>IFERROR(VLOOKUP(Table1[RespondentID],'All Data'!$A$3:$CW$999,95,FALSE),"unknown")</f>
        <v>College graduate</v>
      </c>
      <c r="BE95" s="120" t="str">
        <f>IFERROR(VLOOKUP(Table1[RespondentID],'All Data'!$A$3:$CW$999,96,FALSE),"unknown")</f>
        <v>Employed for wages</v>
      </c>
      <c r="BF95" s="120" t="str">
        <f>IFERROR(VLOOKUP(Table1[RespondentID],'All Data'!$A$3:$CW$999,97,FALSE),"unknown")</f>
        <v>Yes</v>
      </c>
      <c r="BG95" s="120">
        <f>IFERROR(VLOOKUP(Table1[RespondentID],'All Data'!$A$3:$CW$999,98,FALSE),"unknown")</f>
        <v>0</v>
      </c>
      <c r="BH95" s="120">
        <f>IFERROR(VLOOKUP(Table1[RespondentID],'All Data'!$A$3:$CW$999,99,FALSE),"unknown")</f>
        <v>0</v>
      </c>
    </row>
    <row r="96" spans="1:60">
      <c r="A96" s="5">
        <v>18023287064</v>
      </c>
      <c r="B96" s="5"/>
      <c r="C96" s="5"/>
      <c r="D96" s="5" t="s">
        <v>51</v>
      </c>
      <c r="E96" s="5"/>
      <c r="F96" s="5"/>
      <c r="G96" s="5"/>
      <c r="H96" s="5"/>
      <c r="I96" s="5"/>
      <c r="J96" s="5"/>
      <c r="K96" s="5"/>
      <c r="L96" s="5"/>
      <c r="M96" s="5"/>
      <c r="N96" s="5"/>
      <c r="O96" s="5"/>
      <c r="P96" s="5"/>
      <c r="Q96" s="5"/>
      <c r="R96" s="5"/>
      <c r="S96" s="5"/>
      <c r="T96" s="37"/>
      <c r="U96" s="37">
        <f t="shared" si="23"/>
        <v>1</v>
      </c>
      <c r="V96" s="37">
        <f t="shared" si="24"/>
        <v>3</v>
      </c>
      <c r="W96" s="37"/>
      <c r="X96" s="37">
        <f t="shared" si="25"/>
        <v>0</v>
      </c>
      <c r="Y96" s="37">
        <f t="shared" si="26"/>
        <v>0</v>
      </c>
      <c r="Z96" s="37">
        <f t="shared" si="27"/>
        <v>1</v>
      </c>
      <c r="AA96" s="37">
        <f t="shared" si="28"/>
        <v>0</v>
      </c>
      <c r="AB96" s="37">
        <f t="shared" si="29"/>
        <v>0</v>
      </c>
      <c r="AC96" s="37">
        <f t="shared" si="30"/>
        <v>0</v>
      </c>
      <c r="AD96" s="37">
        <f t="shared" si="31"/>
        <v>0</v>
      </c>
      <c r="AE96" s="37">
        <f t="shared" si="32"/>
        <v>0</v>
      </c>
      <c r="AF96" s="37">
        <f t="shared" si="33"/>
        <v>0</v>
      </c>
      <c r="AG96" s="37">
        <f t="shared" si="34"/>
        <v>0</v>
      </c>
      <c r="AH96" s="37">
        <f t="shared" si="35"/>
        <v>0</v>
      </c>
      <c r="AI96" s="37">
        <f t="shared" si="36"/>
        <v>0</v>
      </c>
      <c r="AJ96" s="37">
        <f t="shared" si="37"/>
        <v>0</v>
      </c>
      <c r="AK96" s="37">
        <f t="shared" si="38"/>
        <v>0</v>
      </c>
      <c r="AL96" s="37">
        <f t="shared" si="39"/>
        <v>0</v>
      </c>
      <c r="AM96" s="37">
        <f t="shared" si="40"/>
        <v>0</v>
      </c>
      <c r="AN96" s="37">
        <f t="shared" si="41"/>
        <v>0</v>
      </c>
      <c r="AO96" s="37">
        <f t="shared" si="42"/>
        <v>0</v>
      </c>
      <c r="AP96" s="37"/>
      <c r="AQ96" s="37"/>
      <c r="AR96" s="37">
        <f t="shared" si="43"/>
        <v>1</v>
      </c>
      <c r="AS96" s="37">
        <f t="shared" si="44"/>
        <v>1</v>
      </c>
      <c r="AT96" s="37" t="str">
        <f t="shared" si="45"/>
        <v>Correct</v>
      </c>
      <c r="AU96" s="37"/>
      <c r="AV96" s="120" t="str">
        <f>IFERROR(VLOOKUP(Table1[RespondentID],'All Data'!$A$3:$CO$999,87,FALSE),"unknown")</f>
        <v>Man</v>
      </c>
      <c r="AW96" s="120">
        <f>IFERROR(VLOOKUP(Table1[RespondentID],'All Data'!$A$3:$CO$999,88,FALSE),"unknown")</f>
        <v>60</v>
      </c>
      <c r="AX96" s="120" t="str">
        <f>IFERROR(VLOOKUP(Table1[RespondentID],'All Data'!$A$3:$CO$999,89,FALSE),"unknown")</f>
        <v>Suffolk</v>
      </c>
      <c r="AY96" s="120" t="str">
        <f>IFERROR(VLOOKUP(Table1[RespondentID],'All Data'!$A$3:$CO$999,90,FALSE),"unknown")</f>
        <v>Holtsville, 11742</v>
      </c>
      <c r="AZ96" s="120" t="str">
        <f>IFERROR(VLOOKUP(Table1[RespondentID],'All Data'!$A$3:$CO$999,91,FALSE),"unknown")</f>
        <v>White</v>
      </c>
      <c r="BA96" s="120" t="str">
        <f>IFERROR(VLOOKUP(Table1[RespondentID],'All Data'!$A$3:$CO$999,92,FALSE),"unknown")</f>
        <v>Hispanic or Latino</v>
      </c>
      <c r="BB96" s="120" t="str">
        <f>IFERROR(VLOOKUP(Table1[RespondentID],'All Data'!$A$3:$CO$999,93,FALSE),"unknown")</f>
        <v>English</v>
      </c>
      <c r="BC96" s="120" t="str">
        <f>IFERROR(VLOOKUP(Table1[RespondentID],'All Data'!$A$3:$CW$999,94,FALSE),"unknown")</f>
        <v>$75,000 to $125,000</v>
      </c>
      <c r="BD96" s="120" t="str">
        <f>IFERROR(VLOOKUP(Table1[RespondentID],'All Data'!$A$3:$CW$999,95,FALSE),"unknown")</f>
        <v>Technical school</v>
      </c>
      <c r="BE96" s="120" t="str">
        <f>IFERROR(VLOOKUP(Table1[RespondentID],'All Data'!$A$3:$CW$999,96,FALSE),"unknown")</f>
        <v>Employed for wages</v>
      </c>
      <c r="BF96" s="120" t="str">
        <f>IFERROR(VLOOKUP(Table1[RespondentID],'All Data'!$A$3:$CW$999,97,FALSE),"unknown")</f>
        <v>Yes</v>
      </c>
      <c r="BG96" s="120">
        <f>IFERROR(VLOOKUP(Table1[RespondentID],'All Data'!$A$3:$CW$999,98,FALSE),"unknown")</f>
        <v>0</v>
      </c>
      <c r="BH96" s="120">
        <f>IFERROR(VLOOKUP(Table1[RespondentID],'All Data'!$A$3:$CW$999,99,FALSE),"unknown")</f>
        <v>0</v>
      </c>
    </row>
    <row r="97" spans="1:60">
      <c r="A97" s="5">
        <v>18023286963</v>
      </c>
      <c r="B97" s="5"/>
      <c r="C97" s="5" t="s">
        <v>50</v>
      </c>
      <c r="D97" s="5" t="s">
        <v>51</v>
      </c>
      <c r="E97" s="5"/>
      <c r="F97" s="5"/>
      <c r="G97" s="5"/>
      <c r="H97" s="5"/>
      <c r="I97" s="5"/>
      <c r="J97" s="5"/>
      <c r="K97" s="5"/>
      <c r="L97" s="5"/>
      <c r="M97" s="5"/>
      <c r="N97" s="5"/>
      <c r="O97" s="5"/>
      <c r="P97" s="5"/>
      <c r="Q97" s="5"/>
      <c r="R97" s="5" t="s">
        <v>62</v>
      </c>
      <c r="S97" s="5"/>
      <c r="T97" s="37"/>
      <c r="U97" s="37">
        <f t="shared" si="23"/>
        <v>3</v>
      </c>
      <c r="V97" s="37">
        <f t="shared" si="24"/>
        <v>1</v>
      </c>
      <c r="W97" s="37"/>
      <c r="X97" s="37">
        <f t="shared" si="25"/>
        <v>0</v>
      </c>
      <c r="Y97" s="37">
        <f t="shared" si="26"/>
        <v>1</v>
      </c>
      <c r="Z97" s="37">
        <f t="shared" si="27"/>
        <v>1</v>
      </c>
      <c r="AA97" s="37">
        <f t="shared" si="28"/>
        <v>0</v>
      </c>
      <c r="AB97" s="37">
        <f t="shared" si="29"/>
        <v>0</v>
      </c>
      <c r="AC97" s="37">
        <f t="shared" si="30"/>
        <v>0</v>
      </c>
      <c r="AD97" s="37">
        <f t="shared" si="31"/>
        <v>0</v>
      </c>
      <c r="AE97" s="37">
        <f t="shared" si="32"/>
        <v>0</v>
      </c>
      <c r="AF97" s="37">
        <f t="shared" si="33"/>
        <v>0</v>
      </c>
      <c r="AG97" s="37">
        <f t="shared" si="34"/>
        <v>0</v>
      </c>
      <c r="AH97" s="37">
        <f t="shared" si="35"/>
        <v>0</v>
      </c>
      <c r="AI97" s="37">
        <f t="shared" si="36"/>
        <v>0</v>
      </c>
      <c r="AJ97" s="37">
        <f t="shared" si="37"/>
        <v>0</v>
      </c>
      <c r="AK97" s="37">
        <f t="shared" si="38"/>
        <v>0</v>
      </c>
      <c r="AL97" s="37">
        <f t="shared" si="39"/>
        <v>0</v>
      </c>
      <c r="AM97" s="37">
        <f t="shared" si="40"/>
        <v>0</v>
      </c>
      <c r="AN97" s="37">
        <f t="shared" si="41"/>
        <v>1</v>
      </c>
      <c r="AO97" s="37">
        <f t="shared" si="42"/>
        <v>0</v>
      </c>
      <c r="AP97" s="37"/>
      <c r="AQ97" s="37"/>
      <c r="AR97" s="37">
        <f t="shared" si="43"/>
        <v>3</v>
      </c>
      <c r="AS97" s="37">
        <f t="shared" si="44"/>
        <v>3</v>
      </c>
      <c r="AT97" s="37" t="str">
        <f t="shared" si="45"/>
        <v>Correct</v>
      </c>
      <c r="AU97" s="37"/>
      <c r="AV97" s="120" t="str">
        <f>IFERROR(VLOOKUP(Table1[RespondentID],'All Data'!$A$3:$CO$999,87,FALSE),"unknown")</f>
        <v>Man</v>
      </c>
      <c r="AW97" s="120">
        <f>IFERROR(VLOOKUP(Table1[RespondentID],'All Data'!$A$3:$CO$999,88,FALSE),"unknown")</f>
        <v>50</v>
      </c>
      <c r="AX97" s="120" t="str">
        <f>IFERROR(VLOOKUP(Table1[RespondentID],'All Data'!$A$3:$CO$999,89,FALSE),"unknown")</f>
        <v>Suffolk</v>
      </c>
      <c r="AY97" s="120" t="str">
        <f>IFERROR(VLOOKUP(Table1[RespondentID],'All Data'!$A$3:$CO$999,90,FALSE),"unknown")</f>
        <v>Smithtown, 11787</v>
      </c>
      <c r="AZ97" s="120" t="str">
        <f>IFERROR(VLOOKUP(Table1[RespondentID],'All Data'!$A$3:$CO$999,91,FALSE),"unknown")</f>
        <v>White</v>
      </c>
      <c r="BA97" s="120" t="str">
        <f>IFERROR(VLOOKUP(Table1[RespondentID],'All Data'!$A$3:$CO$999,92,FALSE),"unknown")</f>
        <v>Hispanic or Latino</v>
      </c>
      <c r="BB97" s="120" t="str">
        <f>IFERROR(VLOOKUP(Table1[RespondentID],'All Data'!$A$3:$CO$999,93,FALSE),"unknown")</f>
        <v>English</v>
      </c>
      <c r="BC97" s="120" t="str">
        <f>IFERROR(VLOOKUP(Table1[RespondentID],'All Data'!$A$3:$CW$999,94,FALSE),"unknown")</f>
        <v>Over $125,000</v>
      </c>
      <c r="BD97" s="120" t="str">
        <f>IFERROR(VLOOKUP(Table1[RespondentID],'All Data'!$A$3:$CW$999,95,FALSE),"unknown")</f>
        <v>Some college</v>
      </c>
      <c r="BE97" s="120" t="str">
        <f>IFERROR(VLOOKUP(Table1[RespondentID],'All Data'!$A$3:$CW$999,96,FALSE),"unknown")</f>
        <v>Employed for wages</v>
      </c>
      <c r="BF97" s="120" t="str">
        <f>IFERROR(VLOOKUP(Table1[RespondentID],'All Data'!$A$3:$CW$999,97,FALSE),"unknown")</f>
        <v>Yes</v>
      </c>
      <c r="BG97" s="120">
        <f>IFERROR(VLOOKUP(Table1[RespondentID],'All Data'!$A$3:$CW$999,98,FALSE),"unknown")</f>
        <v>0</v>
      </c>
      <c r="BH97" s="120">
        <f>IFERROR(VLOOKUP(Table1[RespondentID],'All Data'!$A$3:$CW$999,99,FALSE),"unknown")</f>
        <v>0</v>
      </c>
    </row>
    <row r="98" spans="1:60">
      <c r="A98" s="5">
        <v>18023286873</v>
      </c>
      <c r="B98" s="5"/>
      <c r="C98" s="5"/>
      <c r="D98" s="5"/>
      <c r="E98" s="5"/>
      <c r="F98" s="5"/>
      <c r="G98" s="5"/>
      <c r="H98" s="5"/>
      <c r="I98" s="5"/>
      <c r="J98" s="5"/>
      <c r="K98" s="5"/>
      <c r="L98" s="5"/>
      <c r="M98" s="5"/>
      <c r="N98" s="5"/>
      <c r="O98" s="5"/>
      <c r="P98" s="5"/>
      <c r="Q98" s="5"/>
      <c r="R98" s="5" t="s">
        <v>62</v>
      </c>
      <c r="S98" s="5"/>
      <c r="T98" s="37"/>
      <c r="U98" s="37">
        <f t="shared" si="23"/>
        <v>1</v>
      </c>
      <c r="V98" s="37">
        <f t="shared" si="24"/>
        <v>3</v>
      </c>
      <c r="W98" s="37"/>
      <c r="X98" s="37">
        <f t="shared" si="25"/>
        <v>0</v>
      </c>
      <c r="Y98" s="37">
        <f t="shared" si="26"/>
        <v>0</v>
      </c>
      <c r="Z98" s="37">
        <f t="shared" si="27"/>
        <v>0</v>
      </c>
      <c r="AA98" s="37">
        <f t="shared" si="28"/>
        <v>0</v>
      </c>
      <c r="AB98" s="37">
        <f t="shared" si="29"/>
        <v>0</v>
      </c>
      <c r="AC98" s="37">
        <f t="shared" si="30"/>
        <v>0</v>
      </c>
      <c r="AD98" s="37">
        <f t="shared" si="31"/>
        <v>0</v>
      </c>
      <c r="AE98" s="37">
        <f t="shared" si="32"/>
        <v>0</v>
      </c>
      <c r="AF98" s="37">
        <f t="shared" si="33"/>
        <v>0</v>
      </c>
      <c r="AG98" s="37">
        <f t="shared" si="34"/>
        <v>0</v>
      </c>
      <c r="AH98" s="37">
        <f t="shared" si="35"/>
        <v>0</v>
      </c>
      <c r="AI98" s="37">
        <f t="shared" si="36"/>
        <v>0</v>
      </c>
      <c r="AJ98" s="37">
        <f t="shared" si="37"/>
        <v>0</v>
      </c>
      <c r="AK98" s="37">
        <f t="shared" si="38"/>
        <v>0</v>
      </c>
      <c r="AL98" s="37">
        <f t="shared" si="39"/>
        <v>0</v>
      </c>
      <c r="AM98" s="37">
        <f t="shared" si="40"/>
        <v>0</v>
      </c>
      <c r="AN98" s="37">
        <f t="shared" si="41"/>
        <v>1</v>
      </c>
      <c r="AO98" s="37">
        <f t="shared" si="42"/>
        <v>0</v>
      </c>
      <c r="AP98" s="37"/>
      <c r="AQ98" s="37"/>
      <c r="AR98" s="37">
        <f t="shared" si="43"/>
        <v>1</v>
      </c>
      <c r="AS98" s="37">
        <f t="shared" si="44"/>
        <v>1</v>
      </c>
      <c r="AT98" s="37" t="str">
        <f t="shared" si="45"/>
        <v>Correct</v>
      </c>
      <c r="AU98" s="37"/>
      <c r="AV98" s="120" t="str">
        <f>IFERROR(VLOOKUP(Table1[RespondentID],'All Data'!$A$3:$CO$999,87,FALSE),"unknown")</f>
        <v>Man</v>
      </c>
      <c r="AW98" s="120">
        <f>IFERROR(VLOOKUP(Table1[RespondentID],'All Data'!$A$3:$CO$999,88,FALSE),"unknown")</f>
        <v>34</v>
      </c>
      <c r="AX98" s="120" t="str">
        <f>IFERROR(VLOOKUP(Table1[RespondentID],'All Data'!$A$3:$CO$999,89,FALSE),"unknown")</f>
        <v>Suffolk</v>
      </c>
      <c r="AY98" s="120" t="str">
        <f>IFERROR(VLOOKUP(Table1[RespondentID],'All Data'!$A$3:$CO$999,90,FALSE),"unknown")</f>
        <v>Rocky Point, 11778</v>
      </c>
      <c r="AZ98" s="120" t="str">
        <f>IFERROR(VLOOKUP(Table1[RespondentID],'All Data'!$A$3:$CO$999,91,FALSE),"unknown")</f>
        <v>White</v>
      </c>
      <c r="BA98" s="120" t="str">
        <f>IFERROR(VLOOKUP(Table1[RespondentID],'All Data'!$A$3:$CO$999,92,FALSE),"unknown")</f>
        <v>Hispanic or Latino</v>
      </c>
      <c r="BB98" s="120" t="str">
        <f>IFERROR(VLOOKUP(Table1[RespondentID],'All Data'!$A$3:$CO$999,93,FALSE),"unknown")</f>
        <v>English</v>
      </c>
      <c r="BC98" s="120" t="str">
        <f>IFERROR(VLOOKUP(Table1[RespondentID],'All Data'!$A$3:$CW$999,94,FALSE),"unknown")</f>
        <v>$50,000 to $74,999</v>
      </c>
      <c r="BD98" s="120" t="str">
        <f>IFERROR(VLOOKUP(Table1[RespondentID],'All Data'!$A$3:$CW$999,95,FALSE),"unknown")</f>
        <v>College graduate</v>
      </c>
      <c r="BE98" s="120" t="str">
        <f>IFERROR(VLOOKUP(Table1[RespondentID],'All Data'!$A$3:$CW$999,96,FALSE),"unknown")</f>
        <v>Employed for wages</v>
      </c>
      <c r="BF98" s="120" t="str">
        <f>IFERROR(VLOOKUP(Table1[RespondentID],'All Data'!$A$3:$CW$999,97,FALSE),"unknown")</f>
        <v>Yes</v>
      </c>
      <c r="BG98" s="120">
        <f>IFERROR(VLOOKUP(Table1[RespondentID],'All Data'!$A$3:$CW$999,98,FALSE),"unknown")</f>
        <v>0</v>
      </c>
      <c r="BH98" s="120">
        <f>IFERROR(VLOOKUP(Table1[RespondentID],'All Data'!$A$3:$CW$999,99,FALSE),"unknown")</f>
        <v>0</v>
      </c>
    </row>
    <row r="99" spans="1:60">
      <c r="A99" s="5">
        <v>18023000376</v>
      </c>
      <c r="B99" s="5"/>
      <c r="C99" s="5"/>
      <c r="D99" s="5" t="s">
        <v>51</v>
      </c>
      <c r="E99" s="5"/>
      <c r="F99" s="5"/>
      <c r="G99" s="5"/>
      <c r="H99" s="5"/>
      <c r="I99" s="5"/>
      <c r="J99" s="5"/>
      <c r="K99" s="5"/>
      <c r="L99" s="5"/>
      <c r="M99" s="5"/>
      <c r="N99" s="5" t="s">
        <v>24</v>
      </c>
      <c r="O99" s="5"/>
      <c r="P99" s="5" t="s">
        <v>60</v>
      </c>
      <c r="Q99" s="5"/>
      <c r="R99" s="5"/>
      <c r="S99" s="5"/>
      <c r="T99" s="37"/>
      <c r="U99" s="37">
        <f t="shared" si="23"/>
        <v>3</v>
      </c>
      <c r="V99" s="37">
        <f t="shared" si="24"/>
        <v>1</v>
      </c>
      <c r="W99" s="37"/>
      <c r="X99" s="37">
        <f t="shared" si="25"/>
        <v>0</v>
      </c>
      <c r="Y99" s="37">
        <f t="shared" si="26"/>
        <v>0</v>
      </c>
      <c r="Z99" s="37">
        <f t="shared" si="27"/>
        <v>1</v>
      </c>
      <c r="AA99" s="37">
        <f t="shared" si="28"/>
        <v>0</v>
      </c>
      <c r="AB99" s="37">
        <f t="shared" si="29"/>
        <v>0</v>
      </c>
      <c r="AC99" s="37">
        <f t="shared" si="30"/>
        <v>0</v>
      </c>
      <c r="AD99" s="37">
        <f t="shared" si="31"/>
        <v>0</v>
      </c>
      <c r="AE99" s="37">
        <f t="shared" si="32"/>
        <v>0</v>
      </c>
      <c r="AF99" s="37">
        <f t="shared" si="33"/>
        <v>0</v>
      </c>
      <c r="AG99" s="37">
        <f t="shared" si="34"/>
        <v>0</v>
      </c>
      <c r="AH99" s="37">
        <f t="shared" si="35"/>
        <v>0</v>
      </c>
      <c r="AI99" s="37">
        <f t="shared" si="36"/>
        <v>0</v>
      </c>
      <c r="AJ99" s="37">
        <f t="shared" si="37"/>
        <v>1</v>
      </c>
      <c r="AK99" s="37">
        <f t="shared" si="38"/>
        <v>0</v>
      </c>
      <c r="AL99" s="37">
        <f t="shared" si="39"/>
        <v>1</v>
      </c>
      <c r="AM99" s="37">
        <f t="shared" si="40"/>
        <v>0</v>
      </c>
      <c r="AN99" s="37">
        <f t="shared" si="41"/>
        <v>0</v>
      </c>
      <c r="AO99" s="37">
        <f t="shared" si="42"/>
        <v>0</v>
      </c>
      <c r="AP99" s="37"/>
      <c r="AQ99" s="37"/>
      <c r="AR99" s="37">
        <f t="shared" si="43"/>
        <v>3</v>
      </c>
      <c r="AS99" s="37">
        <f t="shared" si="44"/>
        <v>3</v>
      </c>
      <c r="AT99" s="37" t="str">
        <f t="shared" si="45"/>
        <v>Correct</v>
      </c>
      <c r="AU99" s="37"/>
      <c r="AV99" s="120" t="str">
        <f>IFERROR(VLOOKUP(Table1[RespondentID],'All Data'!$A$3:$CO$999,87,FALSE),"unknown")</f>
        <v>Man</v>
      </c>
      <c r="AW99" s="120">
        <f>IFERROR(VLOOKUP(Table1[RespondentID],'All Data'!$A$3:$CO$999,88,FALSE),"unknown")</f>
        <v>30</v>
      </c>
      <c r="AX99" s="120" t="str">
        <f>IFERROR(VLOOKUP(Table1[RespondentID],'All Data'!$A$3:$CO$999,89,FALSE),"unknown")</f>
        <v>Suffolk</v>
      </c>
      <c r="AY99" s="120" t="str">
        <f>IFERROR(VLOOKUP(Table1[RespondentID],'All Data'!$A$3:$CO$999,90,FALSE),"unknown")</f>
        <v>Miller Place, 11764</v>
      </c>
      <c r="AZ99" s="120" t="str">
        <f>IFERROR(VLOOKUP(Table1[RespondentID],'All Data'!$A$3:$CO$999,91,FALSE),"unknown")</f>
        <v>White</v>
      </c>
      <c r="BA99" s="120" t="str">
        <f>IFERROR(VLOOKUP(Table1[RespondentID],'All Data'!$A$3:$CO$999,92,FALSE),"unknown")</f>
        <v>Hispanic or Latino</v>
      </c>
      <c r="BB99" s="120" t="str">
        <f>IFERROR(VLOOKUP(Table1[RespondentID],'All Data'!$A$3:$CO$999,93,FALSE),"unknown")</f>
        <v>English</v>
      </c>
      <c r="BC99" s="120" t="str">
        <f>IFERROR(VLOOKUP(Table1[RespondentID],'All Data'!$A$3:$CW$999,94,FALSE),"unknown")</f>
        <v>$75,000 to $125,000</v>
      </c>
      <c r="BD99" s="120" t="str">
        <f>IFERROR(VLOOKUP(Table1[RespondentID],'All Data'!$A$3:$CW$999,95,FALSE),"unknown")</f>
        <v>College graduate</v>
      </c>
      <c r="BE99" s="120" t="str">
        <f>IFERROR(VLOOKUP(Table1[RespondentID],'All Data'!$A$3:$CW$999,96,FALSE),"unknown")</f>
        <v>Employed for wages</v>
      </c>
      <c r="BF99" s="120" t="str">
        <f>IFERROR(VLOOKUP(Table1[RespondentID],'All Data'!$A$3:$CW$999,97,FALSE),"unknown")</f>
        <v>Yes</v>
      </c>
      <c r="BG99" s="120" t="str">
        <f>IFERROR(VLOOKUP(Table1[RespondentID],'All Data'!$A$3:$CW$999,98,FALSE),"unknown")</f>
        <v>Private/Commercial</v>
      </c>
      <c r="BH99" s="120" t="str">
        <f>IFERROR(VLOOKUP(Table1[RespondentID],'All Data'!$A$3:$CW$999,99,FALSE),"unknown")</f>
        <v>Yes</v>
      </c>
    </row>
    <row r="100" spans="1:60">
      <c r="A100" s="5">
        <v>18022999885</v>
      </c>
      <c r="B100" s="5"/>
      <c r="C100" s="5"/>
      <c r="D100" s="5" t="s">
        <v>51</v>
      </c>
      <c r="E100" s="5"/>
      <c r="F100" s="5"/>
      <c r="G100" s="5"/>
      <c r="H100" s="5" t="s">
        <v>54</v>
      </c>
      <c r="I100" s="5" t="s">
        <v>55</v>
      </c>
      <c r="J100" s="5"/>
      <c r="K100" s="5"/>
      <c r="L100" s="5"/>
      <c r="M100" s="5"/>
      <c r="N100" s="5"/>
      <c r="O100" s="5"/>
      <c r="P100" s="5"/>
      <c r="Q100" s="5"/>
      <c r="R100" s="5"/>
      <c r="S100" s="5" t="s">
        <v>63</v>
      </c>
      <c r="T100" s="37"/>
      <c r="U100" s="37">
        <f t="shared" si="23"/>
        <v>4</v>
      </c>
      <c r="V100" s="37">
        <f t="shared" si="24"/>
        <v>0.75</v>
      </c>
      <c r="W100" s="37"/>
      <c r="X100" s="37">
        <f t="shared" si="25"/>
        <v>0</v>
      </c>
      <c r="Y100" s="37">
        <f t="shared" si="26"/>
        <v>0</v>
      </c>
      <c r="Z100" s="37">
        <f t="shared" si="27"/>
        <v>0.75</v>
      </c>
      <c r="AA100" s="37">
        <f t="shared" si="28"/>
        <v>0</v>
      </c>
      <c r="AB100" s="37">
        <f t="shared" si="29"/>
        <v>0</v>
      </c>
      <c r="AC100" s="37">
        <f t="shared" si="30"/>
        <v>0</v>
      </c>
      <c r="AD100" s="37">
        <f t="shared" si="31"/>
        <v>0.75</v>
      </c>
      <c r="AE100" s="37">
        <f t="shared" si="32"/>
        <v>0.75</v>
      </c>
      <c r="AF100" s="37">
        <f t="shared" si="33"/>
        <v>0</v>
      </c>
      <c r="AG100" s="37">
        <f t="shared" si="34"/>
        <v>0</v>
      </c>
      <c r="AH100" s="37">
        <f t="shared" si="35"/>
        <v>0</v>
      </c>
      <c r="AI100" s="37">
        <f t="shared" si="36"/>
        <v>0</v>
      </c>
      <c r="AJ100" s="37">
        <f t="shared" si="37"/>
        <v>0</v>
      </c>
      <c r="AK100" s="37">
        <f t="shared" si="38"/>
        <v>0</v>
      </c>
      <c r="AL100" s="37">
        <f t="shared" si="39"/>
        <v>0</v>
      </c>
      <c r="AM100" s="37">
        <f t="shared" si="40"/>
        <v>0</v>
      </c>
      <c r="AN100" s="37">
        <f t="shared" si="41"/>
        <v>0</v>
      </c>
      <c r="AO100" s="37">
        <f t="shared" si="42"/>
        <v>0.75</v>
      </c>
      <c r="AP100" s="37"/>
      <c r="AQ100" s="37"/>
      <c r="AR100" s="37">
        <f t="shared" si="43"/>
        <v>3</v>
      </c>
      <c r="AS100" s="37">
        <f t="shared" si="44"/>
        <v>4</v>
      </c>
      <c r="AT100" s="37" t="str">
        <f t="shared" si="45"/>
        <v>Correct</v>
      </c>
      <c r="AU100" s="37"/>
      <c r="AV100" s="120" t="str">
        <f>IFERROR(VLOOKUP(Table1[RespondentID],'All Data'!$A$3:$CO$999,87,FALSE),"unknown")</f>
        <v>Man</v>
      </c>
      <c r="AW100" s="120">
        <f>IFERROR(VLOOKUP(Table1[RespondentID],'All Data'!$A$3:$CO$999,88,FALSE),"unknown")</f>
        <v>24</v>
      </c>
      <c r="AX100" s="120" t="str">
        <f>IFERROR(VLOOKUP(Table1[RespondentID],'All Data'!$A$3:$CO$999,89,FALSE),"unknown")</f>
        <v>Suffolk</v>
      </c>
      <c r="AY100" s="120" t="str">
        <f>IFERROR(VLOOKUP(Table1[RespondentID],'All Data'!$A$3:$CO$999,90,FALSE),"unknown")</f>
        <v>Coram, 11727</v>
      </c>
      <c r="AZ100" s="120" t="str">
        <f>IFERROR(VLOOKUP(Table1[RespondentID],'All Data'!$A$3:$CO$999,91,FALSE),"unknown")</f>
        <v>White</v>
      </c>
      <c r="BA100" s="120" t="str">
        <f>IFERROR(VLOOKUP(Table1[RespondentID],'All Data'!$A$3:$CO$999,92,FALSE),"unknown")</f>
        <v>Hispanic or Latino</v>
      </c>
      <c r="BB100" s="120" t="str">
        <f>IFERROR(VLOOKUP(Table1[RespondentID],'All Data'!$A$3:$CO$999,93,FALSE),"unknown")</f>
        <v>English</v>
      </c>
      <c r="BC100" s="120" t="str">
        <f>IFERROR(VLOOKUP(Table1[RespondentID],'All Data'!$A$3:$CW$999,94,FALSE),"unknown")</f>
        <v>$75,000 to $125,000</v>
      </c>
      <c r="BD100" s="120" t="str">
        <f>IFERROR(VLOOKUP(Table1[RespondentID],'All Data'!$A$3:$CW$999,95,FALSE),"unknown")</f>
        <v>College graduate</v>
      </c>
      <c r="BE100" s="120" t="str">
        <f>IFERROR(VLOOKUP(Table1[RespondentID],'All Data'!$A$3:$CW$999,96,FALSE),"unknown")</f>
        <v>Employed for wages</v>
      </c>
      <c r="BF100" s="120" t="str">
        <f>IFERROR(VLOOKUP(Table1[RespondentID],'All Data'!$A$3:$CW$999,97,FALSE),"unknown")</f>
        <v>Yes</v>
      </c>
      <c r="BG100" s="120" t="str">
        <f>IFERROR(VLOOKUP(Table1[RespondentID],'All Data'!$A$3:$CW$999,98,FALSE),"unknown")</f>
        <v>Private/Commercial</v>
      </c>
      <c r="BH100" s="120" t="str">
        <f>IFERROR(VLOOKUP(Table1[RespondentID],'All Data'!$A$3:$CW$999,99,FALSE),"unknown")</f>
        <v>Yes</v>
      </c>
    </row>
    <row r="101" spans="1:60">
      <c r="A101" s="5">
        <v>18022879421</v>
      </c>
      <c r="B101" s="5"/>
      <c r="C101" s="5"/>
      <c r="D101" s="5" t="s">
        <v>51</v>
      </c>
      <c r="E101" s="5" t="s">
        <v>17</v>
      </c>
      <c r="F101" s="5"/>
      <c r="G101" s="5"/>
      <c r="H101" s="5"/>
      <c r="I101" s="5"/>
      <c r="J101" s="5"/>
      <c r="K101" s="5"/>
      <c r="L101" s="5"/>
      <c r="M101" s="5"/>
      <c r="N101" s="5"/>
      <c r="O101" s="5"/>
      <c r="P101" s="5"/>
      <c r="Q101" s="5"/>
      <c r="R101" s="5"/>
      <c r="S101" s="5" t="s">
        <v>63</v>
      </c>
      <c r="T101" s="37"/>
      <c r="U101" s="37">
        <f t="shared" si="23"/>
        <v>3</v>
      </c>
      <c r="V101" s="37">
        <f t="shared" si="24"/>
        <v>1</v>
      </c>
      <c r="W101" s="37"/>
      <c r="X101" s="37">
        <f t="shared" si="25"/>
        <v>0</v>
      </c>
      <c r="Y101" s="37">
        <f t="shared" si="26"/>
        <v>0</v>
      </c>
      <c r="Z101" s="37">
        <f t="shared" si="27"/>
        <v>1</v>
      </c>
      <c r="AA101" s="37">
        <f t="shared" si="28"/>
        <v>1</v>
      </c>
      <c r="AB101" s="37">
        <f t="shared" si="29"/>
        <v>0</v>
      </c>
      <c r="AC101" s="37">
        <f t="shared" si="30"/>
        <v>0</v>
      </c>
      <c r="AD101" s="37">
        <f t="shared" si="31"/>
        <v>0</v>
      </c>
      <c r="AE101" s="37">
        <f t="shared" si="32"/>
        <v>0</v>
      </c>
      <c r="AF101" s="37">
        <f t="shared" si="33"/>
        <v>0</v>
      </c>
      <c r="AG101" s="37">
        <f t="shared" si="34"/>
        <v>0</v>
      </c>
      <c r="AH101" s="37">
        <f t="shared" si="35"/>
        <v>0</v>
      </c>
      <c r="AI101" s="37">
        <f t="shared" si="36"/>
        <v>0</v>
      </c>
      <c r="AJ101" s="37">
        <f t="shared" si="37"/>
        <v>0</v>
      </c>
      <c r="AK101" s="37">
        <f t="shared" si="38"/>
        <v>0</v>
      </c>
      <c r="AL101" s="37">
        <f t="shared" si="39"/>
        <v>0</v>
      </c>
      <c r="AM101" s="37">
        <f t="shared" si="40"/>
        <v>0</v>
      </c>
      <c r="AN101" s="37">
        <f t="shared" si="41"/>
        <v>0</v>
      </c>
      <c r="AO101" s="37">
        <f t="shared" si="42"/>
        <v>1</v>
      </c>
      <c r="AP101" s="37"/>
      <c r="AQ101" s="37"/>
      <c r="AR101" s="37">
        <f t="shared" si="43"/>
        <v>3</v>
      </c>
      <c r="AS101" s="37">
        <f t="shared" si="44"/>
        <v>3</v>
      </c>
      <c r="AT101" s="37" t="str">
        <f t="shared" si="45"/>
        <v>Correct</v>
      </c>
      <c r="AU101" s="37"/>
      <c r="AV101" s="120" t="str">
        <f>IFERROR(VLOOKUP(Table1[RespondentID],'All Data'!$A$3:$CO$999,87,FALSE),"unknown")</f>
        <v>Man</v>
      </c>
      <c r="AW101" s="120">
        <f>IFERROR(VLOOKUP(Table1[RespondentID],'All Data'!$A$3:$CO$999,88,FALSE),"unknown")</f>
        <v>52</v>
      </c>
      <c r="AX101" s="120" t="str">
        <f>IFERROR(VLOOKUP(Table1[RespondentID],'All Data'!$A$3:$CO$999,89,FALSE),"unknown")</f>
        <v>Suffolk</v>
      </c>
      <c r="AY101" s="120" t="str">
        <f>IFERROR(VLOOKUP(Table1[RespondentID],'All Data'!$A$3:$CO$999,90,FALSE),"unknown")</f>
        <v>Smithtown, 11787</v>
      </c>
      <c r="AZ101" s="120" t="str">
        <f>IFERROR(VLOOKUP(Table1[RespondentID],'All Data'!$A$3:$CO$999,91,FALSE),"unknown")</f>
        <v>White</v>
      </c>
      <c r="BA101" s="120" t="str">
        <f>IFERROR(VLOOKUP(Table1[RespondentID],'All Data'!$A$3:$CO$999,92,FALSE),"unknown")</f>
        <v>Hispanic or Latino</v>
      </c>
      <c r="BB101" s="120" t="str">
        <f>IFERROR(VLOOKUP(Table1[RespondentID],'All Data'!$A$3:$CO$999,93,FALSE),"unknown")</f>
        <v>English</v>
      </c>
      <c r="BC101" s="120" t="str">
        <f>IFERROR(VLOOKUP(Table1[RespondentID],'All Data'!$A$3:$CW$999,94,FALSE),"unknown")</f>
        <v>Over $125,000</v>
      </c>
      <c r="BD101" s="120" t="str">
        <f>IFERROR(VLOOKUP(Table1[RespondentID],'All Data'!$A$3:$CW$999,95,FALSE),"unknown")</f>
        <v>College graduate</v>
      </c>
      <c r="BE101" s="120" t="str">
        <f>IFERROR(VLOOKUP(Table1[RespondentID],'All Data'!$A$3:$CW$999,96,FALSE),"unknown")</f>
        <v>Employed for wages</v>
      </c>
      <c r="BF101" s="120" t="str">
        <f>IFERROR(VLOOKUP(Table1[RespondentID],'All Data'!$A$3:$CW$999,97,FALSE),"unknown")</f>
        <v>Yes</v>
      </c>
      <c r="BG101" s="120">
        <f>IFERROR(VLOOKUP(Table1[RespondentID],'All Data'!$A$3:$CW$999,98,FALSE),"unknown")</f>
        <v>0</v>
      </c>
      <c r="BH101" s="120">
        <f>IFERROR(VLOOKUP(Table1[RespondentID],'All Data'!$A$3:$CW$999,99,FALSE),"unknown")</f>
        <v>0</v>
      </c>
    </row>
    <row r="102" spans="1:60">
      <c r="A102" s="5">
        <v>18022879253</v>
      </c>
      <c r="B102" s="5"/>
      <c r="C102" s="5"/>
      <c r="D102" s="5" t="s">
        <v>51</v>
      </c>
      <c r="E102" s="5"/>
      <c r="F102" s="5"/>
      <c r="G102" s="5"/>
      <c r="H102" s="5"/>
      <c r="I102" s="5"/>
      <c r="J102" s="5"/>
      <c r="K102" s="5"/>
      <c r="L102" s="5"/>
      <c r="M102" s="5"/>
      <c r="N102" s="5"/>
      <c r="O102" s="5"/>
      <c r="P102" s="5"/>
      <c r="Q102" s="5"/>
      <c r="R102" s="5" t="s">
        <v>62</v>
      </c>
      <c r="S102" s="5" t="s">
        <v>63</v>
      </c>
      <c r="T102" s="37"/>
      <c r="U102" s="37">
        <f t="shared" si="23"/>
        <v>3</v>
      </c>
      <c r="V102" s="37">
        <f t="shared" si="24"/>
        <v>1</v>
      </c>
      <c r="W102" s="37"/>
      <c r="X102" s="37">
        <f t="shared" si="25"/>
        <v>0</v>
      </c>
      <c r="Y102" s="37">
        <f t="shared" si="26"/>
        <v>0</v>
      </c>
      <c r="Z102" s="37">
        <f t="shared" si="27"/>
        <v>1</v>
      </c>
      <c r="AA102" s="37">
        <f t="shared" si="28"/>
        <v>0</v>
      </c>
      <c r="AB102" s="37">
        <f t="shared" si="29"/>
        <v>0</v>
      </c>
      <c r="AC102" s="37">
        <f t="shared" si="30"/>
        <v>0</v>
      </c>
      <c r="AD102" s="37">
        <f t="shared" si="31"/>
        <v>0</v>
      </c>
      <c r="AE102" s="37">
        <f t="shared" si="32"/>
        <v>0</v>
      </c>
      <c r="AF102" s="37">
        <f t="shared" si="33"/>
        <v>0</v>
      </c>
      <c r="AG102" s="37">
        <f t="shared" si="34"/>
        <v>0</v>
      </c>
      <c r="AH102" s="37">
        <f t="shared" si="35"/>
        <v>0</v>
      </c>
      <c r="AI102" s="37">
        <f t="shared" si="36"/>
        <v>0</v>
      </c>
      <c r="AJ102" s="37">
        <f t="shared" si="37"/>
        <v>0</v>
      </c>
      <c r="AK102" s="37">
        <f t="shared" si="38"/>
        <v>0</v>
      </c>
      <c r="AL102" s="37">
        <f t="shared" si="39"/>
        <v>0</v>
      </c>
      <c r="AM102" s="37">
        <f t="shared" si="40"/>
        <v>0</v>
      </c>
      <c r="AN102" s="37">
        <f t="shared" si="41"/>
        <v>1</v>
      </c>
      <c r="AO102" s="37">
        <f t="shared" si="42"/>
        <v>1</v>
      </c>
      <c r="AP102" s="37"/>
      <c r="AQ102" s="37"/>
      <c r="AR102" s="37">
        <f t="shared" si="43"/>
        <v>3</v>
      </c>
      <c r="AS102" s="37">
        <f t="shared" si="44"/>
        <v>3</v>
      </c>
      <c r="AT102" s="37" t="str">
        <f t="shared" si="45"/>
        <v>Correct</v>
      </c>
      <c r="AU102" s="37"/>
      <c r="AV102" s="120" t="str">
        <f>IFERROR(VLOOKUP(Table1[RespondentID],'All Data'!$A$3:$CO$999,87,FALSE),"unknown")</f>
        <v>Woman</v>
      </c>
      <c r="AW102" s="120">
        <f>IFERROR(VLOOKUP(Table1[RespondentID],'All Data'!$A$3:$CO$999,88,FALSE),"unknown")</f>
        <v>60</v>
      </c>
      <c r="AX102" s="120" t="str">
        <f>IFERROR(VLOOKUP(Table1[RespondentID],'All Data'!$A$3:$CO$999,89,FALSE),"unknown")</f>
        <v>Suffolk</v>
      </c>
      <c r="AY102" s="120" t="str">
        <f>IFERROR(VLOOKUP(Table1[RespondentID],'All Data'!$A$3:$CO$999,90,FALSE),"unknown")</f>
        <v>Lake Ronkonkoma, 11779</v>
      </c>
      <c r="AZ102" s="120" t="str">
        <f>IFERROR(VLOOKUP(Table1[RespondentID],'All Data'!$A$3:$CO$999,91,FALSE),"unknown")</f>
        <v>White</v>
      </c>
      <c r="BA102" s="120" t="str">
        <f>IFERROR(VLOOKUP(Table1[RespondentID],'All Data'!$A$3:$CO$999,92,FALSE),"unknown")</f>
        <v>Hispanic or Latino</v>
      </c>
      <c r="BB102" s="120" t="str">
        <f>IFERROR(VLOOKUP(Table1[RespondentID],'All Data'!$A$3:$CO$999,93,FALSE),"unknown")</f>
        <v>English, Italian</v>
      </c>
      <c r="BC102" s="120" t="str">
        <f>IFERROR(VLOOKUP(Table1[RespondentID],'All Data'!$A$3:$CW$999,94,FALSE),"unknown")</f>
        <v>$50,000 to $74,999</v>
      </c>
      <c r="BD102" s="120" t="str">
        <f>IFERROR(VLOOKUP(Table1[RespondentID],'All Data'!$A$3:$CW$999,95,FALSE),"unknown")</f>
        <v>Some college</v>
      </c>
      <c r="BE102" s="120" t="str">
        <f>IFERROR(VLOOKUP(Table1[RespondentID],'All Data'!$A$3:$CW$999,96,FALSE),"unknown")</f>
        <v>Employed for wages</v>
      </c>
      <c r="BF102" s="120" t="str">
        <f>IFERROR(VLOOKUP(Table1[RespondentID],'All Data'!$A$3:$CW$999,97,FALSE),"unknown")</f>
        <v>No</v>
      </c>
      <c r="BG102" s="120">
        <f>IFERROR(VLOOKUP(Table1[RespondentID],'All Data'!$A$3:$CW$999,98,FALSE),"unknown")</f>
        <v>0</v>
      </c>
      <c r="BH102" s="120">
        <f>IFERROR(VLOOKUP(Table1[RespondentID],'All Data'!$A$3:$CW$999,99,FALSE),"unknown")</f>
        <v>0</v>
      </c>
    </row>
    <row r="103" spans="1:60">
      <c r="A103" s="5">
        <v>18022879053</v>
      </c>
      <c r="B103" s="5"/>
      <c r="C103" s="5"/>
      <c r="D103" s="5"/>
      <c r="E103" s="5"/>
      <c r="F103" s="5"/>
      <c r="G103" s="5"/>
      <c r="H103" s="5"/>
      <c r="I103" s="5"/>
      <c r="J103" s="5"/>
      <c r="K103" s="5"/>
      <c r="L103" s="5"/>
      <c r="M103" s="5" t="s">
        <v>59</v>
      </c>
      <c r="N103" s="5"/>
      <c r="O103" s="5" t="s">
        <v>20</v>
      </c>
      <c r="P103" s="5" t="s">
        <v>60</v>
      </c>
      <c r="Q103" s="5"/>
      <c r="R103" s="5"/>
      <c r="S103" s="5"/>
      <c r="T103" s="37"/>
      <c r="U103" s="37">
        <f t="shared" si="23"/>
        <v>3</v>
      </c>
      <c r="V103" s="37">
        <f t="shared" si="24"/>
        <v>1</v>
      </c>
      <c r="W103" s="37"/>
      <c r="X103" s="37">
        <f t="shared" si="25"/>
        <v>0</v>
      </c>
      <c r="Y103" s="37">
        <f t="shared" si="26"/>
        <v>0</v>
      </c>
      <c r="Z103" s="37">
        <f t="shared" si="27"/>
        <v>0</v>
      </c>
      <c r="AA103" s="37">
        <f t="shared" si="28"/>
        <v>0</v>
      </c>
      <c r="AB103" s="37">
        <f t="shared" si="29"/>
        <v>0</v>
      </c>
      <c r="AC103" s="37">
        <f t="shared" si="30"/>
        <v>0</v>
      </c>
      <c r="AD103" s="37">
        <f t="shared" si="31"/>
        <v>0</v>
      </c>
      <c r="AE103" s="37">
        <f t="shared" si="32"/>
        <v>0</v>
      </c>
      <c r="AF103" s="37">
        <f t="shared" si="33"/>
        <v>0</v>
      </c>
      <c r="AG103" s="37">
        <f t="shared" si="34"/>
        <v>0</v>
      </c>
      <c r="AH103" s="37">
        <f t="shared" si="35"/>
        <v>0</v>
      </c>
      <c r="AI103" s="37">
        <f t="shared" si="36"/>
        <v>1</v>
      </c>
      <c r="AJ103" s="37">
        <f t="shared" si="37"/>
        <v>0</v>
      </c>
      <c r="AK103" s="37">
        <f t="shared" si="38"/>
        <v>1</v>
      </c>
      <c r="AL103" s="37">
        <f t="shared" si="39"/>
        <v>1</v>
      </c>
      <c r="AM103" s="37">
        <f t="shared" si="40"/>
        <v>0</v>
      </c>
      <c r="AN103" s="37">
        <f t="shared" si="41"/>
        <v>0</v>
      </c>
      <c r="AO103" s="37">
        <f t="shared" si="42"/>
        <v>0</v>
      </c>
      <c r="AP103" s="37"/>
      <c r="AQ103" s="37"/>
      <c r="AR103" s="37">
        <f t="shared" si="43"/>
        <v>3</v>
      </c>
      <c r="AS103" s="37">
        <f t="shared" si="44"/>
        <v>3</v>
      </c>
      <c r="AT103" s="37" t="str">
        <f t="shared" si="45"/>
        <v>Correct</v>
      </c>
      <c r="AU103" s="37"/>
      <c r="AV103" s="120" t="str">
        <f>IFERROR(VLOOKUP(Table1[RespondentID],'All Data'!$A$3:$CO$999,87,FALSE),"unknown")</f>
        <v>Man</v>
      </c>
      <c r="AW103" s="120">
        <f>IFERROR(VLOOKUP(Table1[RespondentID],'All Data'!$A$3:$CO$999,88,FALSE),"unknown")</f>
        <v>54</v>
      </c>
      <c r="AX103" s="120" t="str">
        <f>IFERROR(VLOOKUP(Table1[RespondentID],'All Data'!$A$3:$CO$999,89,FALSE),"unknown")</f>
        <v>Suffolk</v>
      </c>
      <c r="AY103" s="120" t="str">
        <f>IFERROR(VLOOKUP(Table1[RespondentID],'All Data'!$A$3:$CO$999,90,FALSE),"unknown")</f>
        <v>Ronkonkoma, 11779</v>
      </c>
      <c r="AZ103" s="120" t="str">
        <f>IFERROR(VLOOKUP(Table1[RespondentID],'All Data'!$A$3:$CO$999,91,FALSE),"unknown")</f>
        <v>White</v>
      </c>
      <c r="BA103" s="120" t="str">
        <f>IFERROR(VLOOKUP(Table1[RespondentID],'All Data'!$A$3:$CO$999,92,FALSE),"unknown")</f>
        <v>Hispanic or Latino</v>
      </c>
      <c r="BB103" s="120" t="str">
        <f>IFERROR(VLOOKUP(Table1[RespondentID],'All Data'!$A$3:$CO$999,93,FALSE),"unknown")</f>
        <v>English</v>
      </c>
      <c r="BC103" s="120" t="str">
        <f>IFERROR(VLOOKUP(Table1[RespondentID],'All Data'!$A$3:$CW$999,94,FALSE),"unknown")</f>
        <v>$50,000 to $74,999</v>
      </c>
      <c r="BD103" s="120" t="str">
        <f>IFERROR(VLOOKUP(Table1[RespondentID],'All Data'!$A$3:$CW$999,95,FALSE),"unknown")</f>
        <v>High school graduate</v>
      </c>
      <c r="BE103" s="120" t="str">
        <f>IFERROR(VLOOKUP(Table1[RespondentID],'All Data'!$A$3:$CW$999,96,FALSE),"unknown")</f>
        <v>Employed for wages</v>
      </c>
      <c r="BF103" s="120" t="str">
        <f>IFERROR(VLOOKUP(Table1[RespondentID],'All Data'!$A$3:$CW$999,97,FALSE),"unknown")</f>
        <v>Yes</v>
      </c>
      <c r="BG103" s="120">
        <f>IFERROR(VLOOKUP(Table1[RespondentID],'All Data'!$A$3:$CW$999,98,FALSE),"unknown")</f>
        <v>0</v>
      </c>
      <c r="BH103" s="120">
        <f>IFERROR(VLOOKUP(Table1[RespondentID],'All Data'!$A$3:$CW$999,99,FALSE),"unknown")</f>
        <v>0</v>
      </c>
    </row>
    <row r="104" spans="1:60">
      <c r="A104" s="5">
        <v>18022878819</v>
      </c>
      <c r="B104" s="5"/>
      <c r="C104" s="5"/>
      <c r="D104" s="5" t="s">
        <v>51</v>
      </c>
      <c r="E104" s="5"/>
      <c r="F104" s="5"/>
      <c r="G104" s="5" t="s">
        <v>53</v>
      </c>
      <c r="H104" s="5"/>
      <c r="I104" s="5"/>
      <c r="J104" s="5"/>
      <c r="K104" s="5"/>
      <c r="L104" s="5" t="s">
        <v>58</v>
      </c>
      <c r="M104" s="5"/>
      <c r="N104" s="5"/>
      <c r="O104" s="5"/>
      <c r="P104" s="5"/>
      <c r="Q104" s="5"/>
      <c r="R104" s="5"/>
      <c r="S104" s="5"/>
      <c r="T104" s="37"/>
      <c r="U104" s="37">
        <f t="shared" si="23"/>
        <v>3</v>
      </c>
      <c r="V104" s="37">
        <f t="shared" si="24"/>
        <v>1</v>
      </c>
      <c r="W104" s="37"/>
      <c r="X104" s="37">
        <f t="shared" si="25"/>
        <v>0</v>
      </c>
      <c r="Y104" s="37">
        <f t="shared" si="26"/>
        <v>0</v>
      </c>
      <c r="Z104" s="37">
        <f t="shared" si="27"/>
        <v>1</v>
      </c>
      <c r="AA104" s="37">
        <f t="shared" si="28"/>
        <v>0</v>
      </c>
      <c r="AB104" s="37">
        <f t="shared" si="29"/>
        <v>0</v>
      </c>
      <c r="AC104" s="37">
        <f t="shared" si="30"/>
        <v>1</v>
      </c>
      <c r="AD104" s="37">
        <f t="shared" si="31"/>
        <v>0</v>
      </c>
      <c r="AE104" s="37">
        <f t="shared" si="32"/>
        <v>0</v>
      </c>
      <c r="AF104" s="37">
        <f t="shared" si="33"/>
        <v>0</v>
      </c>
      <c r="AG104" s="37">
        <f t="shared" si="34"/>
        <v>0</v>
      </c>
      <c r="AH104" s="37">
        <f t="shared" si="35"/>
        <v>1</v>
      </c>
      <c r="AI104" s="37">
        <f t="shared" si="36"/>
        <v>0</v>
      </c>
      <c r="AJ104" s="37">
        <f t="shared" si="37"/>
        <v>0</v>
      </c>
      <c r="AK104" s="37">
        <f t="shared" si="38"/>
        <v>0</v>
      </c>
      <c r="AL104" s="37">
        <f t="shared" si="39"/>
        <v>0</v>
      </c>
      <c r="AM104" s="37">
        <f t="shared" si="40"/>
        <v>0</v>
      </c>
      <c r="AN104" s="37">
        <f t="shared" si="41"/>
        <v>0</v>
      </c>
      <c r="AO104" s="37">
        <f t="shared" si="42"/>
        <v>0</v>
      </c>
      <c r="AP104" s="37"/>
      <c r="AQ104" s="37"/>
      <c r="AR104" s="37">
        <f t="shared" si="43"/>
        <v>3</v>
      </c>
      <c r="AS104" s="37">
        <f t="shared" si="44"/>
        <v>3</v>
      </c>
      <c r="AT104" s="37" t="str">
        <f t="shared" si="45"/>
        <v>Correct</v>
      </c>
      <c r="AU104" s="37"/>
      <c r="AV104" s="120" t="str">
        <f>IFERROR(VLOOKUP(Table1[RespondentID],'All Data'!$A$3:$CO$999,87,FALSE),"unknown")</f>
        <v>Woman</v>
      </c>
      <c r="AW104" s="120">
        <f>IFERROR(VLOOKUP(Table1[RespondentID],'All Data'!$A$3:$CO$999,88,FALSE),"unknown")</f>
        <v>25</v>
      </c>
      <c r="AX104" s="120" t="str">
        <f>IFERROR(VLOOKUP(Table1[RespondentID],'All Data'!$A$3:$CO$999,89,FALSE),"unknown")</f>
        <v>Suffolk</v>
      </c>
      <c r="AY104" s="120" t="str">
        <f>IFERROR(VLOOKUP(Table1[RespondentID],'All Data'!$A$3:$CO$999,90,FALSE),"unknown")</f>
        <v>Mastic, 11950</v>
      </c>
      <c r="AZ104" s="120" t="str">
        <f>IFERROR(VLOOKUP(Table1[RespondentID],'All Data'!$A$3:$CO$999,91,FALSE),"unknown")</f>
        <v>White</v>
      </c>
      <c r="BA104" s="120" t="str">
        <f>IFERROR(VLOOKUP(Table1[RespondentID],'All Data'!$A$3:$CO$999,92,FALSE),"unknown")</f>
        <v>Hispanic or Latino</v>
      </c>
      <c r="BB104" s="120" t="str">
        <f>IFERROR(VLOOKUP(Table1[RespondentID],'All Data'!$A$3:$CO$999,93,FALSE),"unknown")</f>
        <v>English</v>
      </c>
      <c r="BC104" s="120" t="str">
        <f>IFERROR(VLOOKUP(Table1[RespondentID],'All Data'!$A$3:$CW$999,94,FALSE),"unknown")</f>
        <v>$75,000 to $125,000</v>
      </c>
      <c r="BD104" s="120" t="str">
        <f>IFERROR(VLOOKUP(Table1[RespondentID],'All Data'!$A$3:$CW$999,95,FALSE),"unknown")</f>
        <v>College graduate</v>
      </c>
      <c r="BE104" s="120" t="str">
        <f>IFERROR(VLOOKUP(Table1[RespondentID],'All Data'!$A$3:$CW$999,96,FALSE),"unknown")</f>
        <v>Employed for wages</v>
      </c>
      <c r="BF104" s="120" t="str">
        <f>IFERROR(VLOOKUP(Table1[RespondentID],'All Data'!$A$3:$CW$999,97,FALSE),"unknown")</f>
        <v>Yes</v>
      </c>
      <c r="BG104" s="120">
        <f>IFERROR(VLOOKUP(Table1[RespondentID],'All Data'!$A$3:$CW$999,98,FALSE),"unknown")</f>
        <v>0</v>
      </c>
      <c r="BH104" s="120">
        <f>IFERROR(VLOOKUP(Table1[RespondentID],'All Data'!$A$3:$CW$999,99,FALSE),"unknown")</f>
        <v>0</v>
      </c>
    </row>
    <row r="105" spans="1:60">
      <c r="A105" s="5">
        <v>18022878706</v>
      </c>
      <c r="B105" s="5"/>
      <c r="C105" s="5"/>
      <c r="D105" s="5" t="s">
        <v>51</v>
      </c>
      <c r="E105" s="5"/>
      <c r="F105" s="5"/>
      <c r="G105" s="5" t="s">
        <v>53</v>
      </c>
      <c r="H105" s="5"/>
      <c r="I105" s="5"/>
      <c r="J105" s="5"/>
      <c r="K105" s="5"/>
      <c r="L105" s="5"/>
      <c r="M105" s="5"/>
      <c r="N105" s="5"/>
      <c r="O105" s="5"/>
      <c r="P105" s="5"/>
      <c r="Q105" s="5"/>
      <c r="R105" s="5"/>
      <c r="S105" s="5"/>
      <c r="T105" s="37"/>
      <c r="U105" s="37">
        <f t="shared" si="23"/>
        <v>2</v>
      </c>
      <c r="V105" s="37">
        <f t="shared" si="24"/>
        <v>1.5</v>
      </c>
      <c r="W105" s="37"/>
      <c r="X105" s="37">
        <f t="shared" si="25"/>
        <v>0</v>
      </c>
      <c r="Y105" s="37">
        <f t="shared" si="26"/>
        <v>0</v>
      </c>
      <c r="Z105" s="37">
        <f t="shared" si="27"/>
        <v>1</v>
      </c>
      <c r="AA105" s="37">
        <f t="shared" si="28"/>
        <v>0</v>
      </c>
      <c r="AB105" s="37">
        <f t="shared" si="29"/>
        <v>0</v>
      </c>
      <c r="AC105" s="37">
        <f t="shared" si="30"/>
        <v>1</v>
      </c>
      <c r="AD105" s="37">
        <f t="shared" si="31"/>
        <v>0</v>
      </c>
      <c r="AE105" s="37">
        <f t="shared" si="32"/>
        <v>0</v>
      </c>
      <c r="AF105" s="37">
        <f t="shared" si="33"/>
        <v>0</v>
      </c>
      <c r="AG105" s="37">
        <f t="shared" si="34"/>
        <v>0</v>
      </c>
      <c r="AH105" s="37">
        <f t="shared" si="35"/>
        <v>0</v>
      </c>
      <c r="AI105" s="37">
        <f t="shared" si="36"/>
        <v>0</v>
      </c>
      <c r="AJ105" s="37">
        <f t="shared" si="37"/>
        <v>0</v>
      </c>
      <c r="AK105" s="37">
        <f t="shared" si="38"/>
        <v>0</v>
      </c>
      <c r="AL105" s="37">
        <f t="shared" si="39"/>
        <v>0</v>
      </c>
      <c r="AM105" s="37">
        <f t="shared" si="40"/>
        <v>0</v>
      </c>
      <c r="AN105" s="37">
        <f t="shared" si="41"/>
        <v>0</v>
      </c>
      <c r="AO105" s="37">
        <f t="shared" si="42"/>
        <v>0</v>
      </c>
      <c r="AP105" s="37"/>
      <c r="AQ105" s="37"/>
      <c r="AR105" s="37">
        <f t="shared" si="43"/>
        <v>2</v>
      </c>
      <c r="AS105" s="37">
        <f t="shared" si="44"/>
        <v>2</v>
      </c>
      <c r="AT105" s="37" t="str">
        <f t="shared" si="45"/>
        <v>Correct</v>
      </c>
      <c r="AU105" s="37"/>
      <c r="AV105" s="120" t="str">
        <f>IFERROR(VLOOKUP(Table1[RespondentID],'All Data'!$A$3:$CO$999,87,FALSE),"unknown")</f>
        <v>Man</v>
      </c>
      <c r="AW105" s="120">
        <f>IFERROR(VLOOKUP(Table1[RespondentID],'All Data'!$A$3:$CO$999,88,FALSE),"unknown")</f>
        <v>32</v>
      </c>
      <c r="AX105" s="120" t="str">
        <f>IFERROR(VLOOKUP(Table1[RespondentID],'All Data'!$A$3:$CO$999,89,FALSE),"unknown")</f>
        <v>Suffolk</v>
      </c>
      <c r="AY105" s="120" t="str">
        <f>IFERROR(VLOOKUP(Table1[RespondentID],'All Data'!$A$3:$CO$999,90,FALSE),"unknown")</f>
        <v>Smithtown, 11787</v>
      </c>
      <c r="AZ105" s="120" t="str">
        <f>IFERROR(VLOOKUP(Table1[RespondentID],'All Data'!$A$3:$CO$999,91,FALSE),"unknown")</f>
        <v>White</v>
      </c>
      <c r="BA105" s="120" t="str">
        <f>IFERROR(VLOOKUP(Table1[RespondentID],'All Data'!$A$3:$CO$999,92,FALSE),"unknown")</f>
        <v>Hispanic or Latino</v>
      </c>
      <c r="BB105" s="120" t="str">
        <f>IFERROR(VLOOKUP(Table1[RespondentID],'All Data'!$A$3:$CO$999,93,FALSE),"unknown")</f>
        <v>English</v>
      </c>
      <c r="BC105" s="120" t="str">
        <f>IFERROR(VLOOKUP(Table1[RespondentID],'All Data'!$A$3:$CW$999,94,FALSE),"unknown")</f>
        <v>Over $125,000</v>
      </c>
      <c r="BD105" s="120" t="str">
        <f>IFERROR(VLOOKUP(Table1[RespondentID],'All Data'!$A$3:$CW$999,95,FALSE),"unknown")</f>
        <v>High school graduate</v>
      </c>
      <c r="BE105" s="120" t="str">
        <f>IFERROR(VLOOKUP(Table1[RespondentID],'All Data'!$A$3:$CW$999,96,FALSE),"unknown")</f>
        <v>Employed for wages</v>
      </c>
      <c r="BF105" s="120">
        <f>IFERROR(VLOOKUP(Table1[RespondentID],'All Data'!$A$3:$CW$999,97,FALSE),"unknown")</f>
        <v>0</v>
      </c>
      <c r="BG105" s="120">
        <f>IFERROR(VLOOKUP(Table1[RespondentID],'All Data'!$A$3:$CW$999,98,FALSE),"unknown")</f>
        <v>0</v>
      </c>
      <c r="BH105" s="120">
        <f>IFERROR(VLOOKUP(Table1[RespondentID],'All Data'!$A$3:$CW$999,99,FALSE),"unknown")</f>
        <v>0</v>
      </c>
    </row>
    <row r="106" spans="1:60">
      <c r="A106" s="5">
        <v>18022878547</v>
      </c>
      <c r="B106" s="5"/>
      <c r="C106" s="5"/>
      <c r="D106" s="5"/>
      <c r="E106" s="5" t="s">
        <v>17</v>
      </c>
      <c r="F106" s="5"/>
      <c r="G106" s="5"/>
      <c r="H106" s="5"/>
      <c r="I106" s="5"/>
      <c r="J106" s="5"/>
      <c r="K106" s="5" t="s">
        <v>57</v>
      </c>
      <c r="L106" s="5" t="s">
        <v>58</v>
      </c>
      <c r="M106" s="5"/>
      <c r="N106" s="5"/>
      <c r="O106" s="5"/>
      <c r="P106" s="5"/>
      <c r="Q106" s="5"/>
      <c r="R106" s="5"/>
      <c r="S106" s="5"/>
      <c r="T106" s="37"/>
      <c r="U106" s="37">
        <f t="shared" si="23"/>
        <v>3</v>
      </c>
      <c r="V106" s="37">
        <f t="shared" si="24"/>
        <v>1</v>
      </c>
      <c r="W106" s="37"/>
      <c r="X106" s="37">
        <f t="shared" si="25"/>
        <v>0</v>
      </c>
      <c r="Y106" s="37">
        <f t="shared" si="26"/>
        <v>0</v>
      </c>
      <c r="Z106" s="37">
        <f t="shared" si="27"/>
        <v>0</v>
      </c>
      <c r="AA106" s="37">
        <f t="shared" si="28"/>
        <v>1</v>
      </c>
      <c r="AB106" s="37">
        <f t="shared" si="29"/>
        <v>0</v>
      </c>
      <c r="AC106" s="37">
        <f t="shared" si="30"/>
        <v>0</v>
      </c>
      <c r="AD106" s="37">
        <f t="shared" si="31"/>
        <v>0</v>
      </c>
      <c r="AE106" s="37">
        <f t="shared" si="32"/>
        <v>0</v>
      </c>
      <c r="AF106" s="37">
        <f t="shared" si="33"/>
        <v>0</v>
      </c>
      <c r="AG106" s="37">
        <f t="shared" si="34"/>
        <v>1</v>
      </c>
      <c r="AH106" s="37">
        <f t="shared" si="35"/>
        <v>1</v>
      </c>
      <c r="AI106" s="37">
        <f t="shared" si="36"/>
        <v>0</v>
      </c>
      <c r="AJ106" s="37">
        <f t="shared" si="37"/>
        <v>0</v>
      </c>
      <c r="AK106" s="37">
        <f t="shared" si="38"/>
        <v>0</v>
      </c>
      <c r="AL106" s="37">
        <f t="shared" si="39"/>
        <v>0</v>
      </c>
      <c r="AM106" s="37">
        <f t="shared" si="40"/>
        <v>0</v>
      </c>
      <c r="AN106" s="37">
        <f t="shared" si="41"/>
        <v>0</v>
      </c>
      <c r="AO106" s="37">
        <f t="shared" si="42"/>
        <v>0</v>
      </c>
      <c r="AP106" s="37"/>
      <c r="AQ106" s="37"/>
      <c r="AR106" s="37">
        <f t="shared" si="43"/>
        <v>3</v>
      </c>
      <c r="AS106" s="37">
        <f t="shared" si="44"/>
        <v>3</v>
      </c>
      <c r="AT106" s="37" t="str">
        <f t="shared" si="45"/>
        <v>Correct</v>
      </c>
      <c r="AU106" s="37"/>
      <c r="AV106" s="120" t="str">
        <f>IFERROR(VLOOKUP(Table1[RespondentID],'All Data'!$A$3:$CO$999,87,FALSE),"unknown")</f>
        <v>Man</v>
      </c>
      <c r="AW106" s="120">
        <f>IFERROR(VLOOKUP(Table1[RespondentID],'All Data'!$A$3:$CO$999,88,FALSE),"unknown")</f>
        <v>50</v>
      </c>
      <c r="AX106" s="120" t="str">
        <f>IFERROR(VLOOKUP(Table1[RespondentID],'All Data'!$A$3:$CO$999,89,FALSE),"unknown")</f>
        <v>Suffolk</v>
      </c>
      <c r="AY106" s="120" t="str">
        <f>IFERROR(VLOOKUP(Table1[RespondentID],'All Data'!$A$3:$CO$999,90,FALSE),"unknown")</f>
        <v>Shirley, 11967</v>
      </c>
      <c r="AZ106" s="120" t="str">
        <f>IFERROR(VLOOKUP(Table1[RespondentID],'All Data'!$A$3:$CO$999,91,FALSE),"unknown")</f>
        <v>White</v>
      </c>
      <c r="BA106" s="120" t="str">
        <f>IFERROR(VLOOKUP(Table1[RespondentID],'All Data'!$A$3:$CO$999,92,FALSE),"unknown")</f>
        <v>Hispanic or Latino</v>
      </c>
      <c r="BB106" s="120" t="str">
        <f>IFERROR(VLOOKUP(Table1[RespondentID],'All Data'!$A$3:$CO$999,93,FALSE),"unknown")</f>
        <v>English</v>
      </c>
      <c r="BC106" s="120" t="str">
        <f>IFERROR(VLOOKUP(Table1[RespondentID],'All Data'!$A$3:$CW$999,94,FALSE),"unknown")</f>
        <v>$0-$19,999</v>
      </c>
      <c r="BD106" s="120" t="str">
        <f>IFERROR(VLOOKUP(Table1[RespondentID],'All Data'!$A$3:$CW$999,95,FALSE),"unknown")</f>
        <v>High school graduate</v>
      </c>
      <c r="BE106" s="120" t="str">
        <f>IFERROR(VLOOKUP(Table1[RespondentID],'All Data'!$A$3:$CW$999,96,FALSE),"unknown")</f>
        <v>Out of work, but not currently looking</v>
      </c>
      <c r="BF106" s="120" t="str">
        <f>IFERROR(VLOOKUP(Table1[RespondentID],'All Data'!$A$3:$CW$999,97,FALSE),"unknown")</f>
        <v>Yes</v>
      </c>
      <c r="BG106" s="120">
        <f>IFERROR(VLOOKUP(Table1[RespondentID],'All Data'!$A$3:$CW$999,98,FALSE),"unknown")</f>
        <v>0</v>
      </c>
      <c r="BH106" s="120">
        <f>IFERROR(VLOOKUP(Table1[RespondentID],'All Data'!$A$3:$CW$999,99,FALSE),"unknown")</f>
        <v>0</v>
      </c>
    </row>
    <row r="107" spans="1:60">
      <c r="A107" s="5">
        <v>18022878424</v>
      </c>
      <c r="B107" s="5"/>
      <c r="C107" s="5"/>
      <c r="D107" s="5" t="s">
        <v>51</v>
      </c>
      <c r="E107" s="5" t="s">
        <v>17</v>
      </c>
      <c r="F107" s="5"/>
      <c r="G107" s="5"/>
      <c r="H107" s="5"/>
      <c r="I107" s="5"/>
      <c r="J107" s="5"/>
      <c r="K107" s="5"/>
      <c r="L107" s="5" t="s">
        <v>58</v>
      </c>
      <c r="M107" s="5"/>
      <c r="N107" s="5"/>
      <c r="O107" s="5"/>
      <c r="P107" s="5"/>
      <c r="Q107" s="5"/>
      <c r="R107" s="5"/>
      <c r="S107" s="5"/>
      <c r="T107" s="37"/>
      <c r="U107" s="37">
        <f t="shared" si="23"/>
        <v>3</v>
      </c>
      <c r="V107" s="37">
        <f t="shared" si="24"/>
        <v>1</v>
      </c>
      <c r="W107" s="37"/>
      <c r="X107" s="37">
        <f t="shared" si="25"/>
        <v>0</v>
      </c>
      <c r="Y107" s="37">
        <f t="shared" si="26"/>
        <v>0</v>
      </c>
      <c r="Z107" s="37">
        <f t="shared" si="27"/>
        <v>1</v>
      </c>
      <c r="AA107" s="37">
        <f t="shared" si="28"/>
        <v>1</v>
      </c>
      <c r="AB107" s="37">
        <f t="shared" si="29"/>
        <v>0</v>
      </c>
      <c r="AC107" s="37">
        <f t="shared" si="30"/>
        <v>0</v>
      </c>
      <c r="AD107" s="37">
        <f t="shared" si="31"/>
        <v>0</v>
      </c>
      <c r="AE107" s="37">
        <f t="shared" si="32"/>
        <v>0</v>
      </c>
      <c r="AF107" s="37">
        <f t="shared" si="33"/>
        <v>0</v>
      </c>
      <c r="AG107" s="37">
        <f t="shared" si="34"/>
        <v>0</v>
      </c>
      <c r="AH107" s="37">
        <f t="shared" si="35"/>
        <v>1</v>
      </c>
      <c r="AI107" s="37">
        <f t="shared" si="36"/>
        <v>0</v>
      </c>
      <c r="AJ107" s="37">
        <f t="shared" si="37"/>
        <v>0</v>
      </c>
      <c r="AK107" s="37">
        <f t="shared" si="38"/>
        <v>0</v>
      </c>
      <c r="AL107" s="37">
        <f t="shared" si="39"/>
        <v>0</v>
      </c>
      <c r="AM107" s="37">
        <f t="shared" si="40"/>
        <v>0</v>
      </c>
      <c r="AN107" s="37">
        <f t="shared" si="41"/>
        <v>0</v>
      </c>
      <c r="AO107" s="37">
        <f t="shared" si="42"/>
        <v>0</v>
      </c>
      <c r="AP107" s="37"/>
      <c r="AQ107" s="37"/>
      <c r="AR107" s="37">
        <f t="shared" si="43"/>
        <v>3</v>
      </c>
      <c r="AS107" s="37">
        <f t="shared" si="44"/>
        <v>3</v>
      </c>
      <c r="AT107" s="37" t="str">
        <f t="shared" si="45"/>
        <v>Correct</v>
      </c>
      <c r="AU107" s="37"/>
      <c r="AV107" s="120" t="str">
        <f>IFERROR(VLOOKUP(Table1[RespondentID],'All Data'!$A$3:$CO$999,87,FALSE),"unknown")</f>
        <v>Man</v>
      </c>
      <c r="AW107" s="120">
        <f>IFERROR(VLOOKUP(Table1[RespondentID],'All Data'!$A$3:$CO$999,88,FALSE),"unknown")</f>
        <v>26</v>
      </c>
      <c r="AX107" s="120" t="str">
        <f>IFERROR(VLOOKUP(Table1[RespondentID],'All Data'!$A$3:$CO$999,89,FALSE),"unknown")</f>
        <v>Suffolk</v>
      </c>
      <c r="AY107" s="120" t="str">
        <f>IFERROR(VLOOKUP(Table1[RespondentID],'All Data'!$A$3:$CO$999,90,FALSE),"unknown")</f>
        <v>Moriches, 11955</v>
      </c>
      <c r="AZ107" s="120" t="str">
        <f>IFERROR(VLOOKUP(Table1[RespondentID],'All Data'!$A$3:$CO$999,91,FALSE),"unknown")</f>
        <v>White</v>
      </c>
      <c r="BA107" s="120" t="str">
        <f>IFERROR(VLOOKUP(Table1[RespondentID],'All Data'!$A$3:$CO$999,92,FALSE),"unknown")</f>
        <v>Hispanic or Latino</v>
      </c>
      <c r="BB107" s="120" t="str">
        <f>IFERROR(VLOOKUP(Table1[RespondentID],'All Data'!$A$3:$CO$999,93,FALSE),"unknown")</f>
        <v>English</v>
      </c>
      <c r="BC107" s="120" t="str">
        <f>IFERROR(VLOOKUP(Table1[RespondentID],'All Data'!$A$3:$CW$999,94,FALSE),"unknown")</f>
        <v>Over $125,000</v>
      </c>
      <c r="BD107" s="120" t="str">
        <f>IFERROR(VLOOKUP(Table1[RespondentID],'All Data'!$A$3:$CW$999,95,FALSE),"unknown")</f>
        <v>Technical school</v>
      </c>
      <c r="BE107" s="120" t="str">
        <f>IFERROR(VLOOKUP(Table1[RespondentID],'All Data'!$A$3:$CW$999,96,FALSE),"unknown")</f>
        <v>Employed for wages</v>
      </c>
      <c r="BF107" s="120" t="str">
        <f>IFERROR(VLOOKUP(Table1[RespondentID],'All Data'!$A$3:$CW$999,97,FALSE),"unknown")</f>
        <v>Yes</v>
      </c>
      <c r="BG107" s="120">
        <f>IFERROR(VLOOKUP(Table1[RespondentID],'All Data'!$A$3:$CW$999,98,FALSE),"unknown")</f>
        <v>0</v>
      </c>
      <c r="BH107" s="120">
        <f>IFERROR(VLOOKUP(Table1[RespondentID],'All Data'!$A$3:$CW$999,99,FALSE),"unknown")</f>
        <v>0</v>
      </c>
    </row>
    <row r="108" spans="1:60">
      <c r="A108" s="5">
        <v>18022878292</v>
      </c>
      <c r="B108" s="5"/>
      <c r="C108" s="5" t="s">
        <v>50</v>
      </c>
      <c r="D108" s="5" t="s">
        <v>51</v>
      </c>
      <c r="E108" s="5"/>
      <c r="F108" s="5"/>
      <c r="G108" s="5"/>
      <c r="H108" s="5"/>
      <c r="I108" s="5"/>
      <c r="J108" s="5"/>
      <c r="K108" s="5"/>
      <c r="L108" s="5"/>
      <c r="M108" s="5"/>
      <c r="N108" s="5"/>
      <c r="O108" s="5"/>
      <c r="P108" s="5"/>
      <c r="Q108" s="5"/>
      <c r="R108" s="5"/>
      <c r="S108" s="5" t="s">
        <v>63</v>
      </c>
      <c r="T108" s="37"/>
      <c r="U108" s="37">
        <f t="shared" si="23"/>
        <v>3</v>
      </c>
      <c r="V108" s="37">
        <f t="shared" si="24"/>
        <v>1</v>
      </c>
      <c r="W108" s="37"/>
      <c r="X108" s="37">
        <f t="shared" si="25"/>
        <v>0</v>
      </c>
      <c r="Y108" s="37">
        <f t="shared" si="26"/>
        <v>1</v>
      </c>
      <c r="Z108" s="37">
        <f t="shared" si="27"/>
        <v>1</v>
      </c>
      <c r="AA108" s="37">
        <f t="shared" si="28"/>
        <v>0</v>
      </c>
      <c r="AB108" s="37">
        <f t="shared" si="29"/>
        <v>0</v>
      </c>
      <c r="AC108" s="37">
        <f t="shared" si="30"/>
        <v>0</v>
      </c>
      <c r="AD108" s="37">
        <f t="shared" si="31"/>
        <v>0</v>
      </c>
      <c r="AE108" s="37">
        <f t="shared" si="32"/>
        <v>0</v>
      </c>
      <c r="AF108" s="37">
        <f t="shared" si="33"/>
        <v>0</v>
      </c>
      <c r="AG108" s="37">
        <f t="shared" si="34"/>
        <v>0</v>
      </c>
      <c r="AH108" s="37">
        <f t="shared" si="35"/>
        <v>0</v>
      </c>
      <c r="AI108" s="37">
        <f t="shared" si="36"/>
        <v>0</v>
      </c>
      <c r="AJ108" s="37">
        <f t="shared" si="37"/>
        <v>0</v>
      </c>
      <c r="AK108" s="37">
        <f t="shared" si="38"/>
        <v>0</v>
      </c>
      <c r="AL108" s="37">
        <f t="shared" si="39"/>
        <v>0</v>
      </c>
      <c r="AM108" s="37">
        <f t="shared" si="40"/>
        <v>0</v>
      </c>
      <c r="AN108" s="37">
        <f t="shared" si="41"/>
        <v>0</v>
      </c>
      <c r="AO108" s="37">
        <f t="shared" si="42"/>
        <v>1</v>
      </c>
      <c r="AP108" s="37"/>
      <c r="AQ108" s="37"/>
      <c r="AR108" s="37">
        <f t="shared" si="43"/>
        <v>3</v>
      </c>
      <c r="AS108" s="37">
        <f t="shared" si="44"/>
        <v>3</v>
      </c>
      <c r="AT108" s="37" t="str">
        <f t="shared" si="45"/>
        <v>Correct</v>
      </c>
      <c r="AU108" s="37"/>
      <c r="AV108" s="120" t="str">
        <f>IFERROR(VLOOKUP(Table1[RespondentID],'All Data'!$A$3:$CO$999,87,FALSE),"unknown")</f>
        <v>Man</v>
      </c>
      <c r="AW108" s="120">
        <f>IFERROR(VLOOKUP(Table1[RespondentID],'All Data'!$A$3:$CO$999,88,FALSE),"unknown")</f>
        <v>47</v>
      </c>
      <c r="AX108" s="120" t="str">
        <f>IFERROR(VLOOKUP(Table1[RespondentID],'All Data'!$A$3:$CO$999,89,FALSE),"unknown")</f>
        <v>Suffolk</v>
      </c>
      <c r="AY108" s="120" t="str">
        <f>IFERROR(VLOOKUP(Table1[RespondentID],'All Data'!$A$3:$CO$999,90,FALSE),"unknown")</f>
        <v>Smithtown, 11787</v>
      </c>
      <c r="AZ108" s="120" t="str">
        <f>IFERROR(VLOOKUP(Table1[RespondentID],'All Data'!$A$3:$CO$999,91,FALSE),"unknown")</f>
        <v>White</v>
      </c>
      <c r="BA108" s="120" t="str">
        <f>IFERROR(VLOOKUP(Table1[RespondentID],'All Data'!$A$3:$CO$999,92,FALSE),"unknown")</f>
        <v>Hispanic or Latino</v>
      </c>
      <c r="BB108" s="120" t="str">
        <f>IFERROR(VLOOKUP(Table1[RespondentID],'All Data'!$A$3:$CO$999,93,FALSE),"unknown")</f>
        <v>English</v>
      </c>
      <c r="BC108" s="120" t="str">
        <f>IFERROR(VLOOKUP(Table1[RespondentID],'All Data'!$A$3:$CW$999,94,FALSE),"unknown")</f>
        <v>Over $125,000</v>
      </c>
      <c r="BD108" s="120" t="str">
        <f>IFERROR(VLOOKUP(Table1[RespondentID],'All Data'!$A$3:$CW$999,95,FALSE),"unknown")</f>
        <v>Some college</v>
      </c>
      <c r="BE108" s="120" t="str">
        <f>IFERROR(VLOOKUP(Table1[RespondentID],'All Data'!$A$3:$CW$999,96,FALSE),"unknown")</f>
        <v>Employed for wages</v>
      </c>
      <c r="BF108" s="120" t="str">
        <f>IFERROR(VLOOKUP(Table1[RespondentID],'All Data'!$A$3:$CW$999,97,FALSE),"unknown")</f>
        <v>Yes</v>
      </c>
      <c r="BG108" s="120">
        <f>IFERROR(VLOOKUP(Table1[RespondentID],'All Data'!$A$3:$CW$999,98,FALSE),"unknown")</f>
        <v>0</v>
      </c>
      <c r="BH108" s="120">
        <f>IFERROR(VLOOKUP(Table1[RespondentID],'All Data'!$A$3:$CW$999,99,FALSE),"unknown")</f>
        <v>0</v>
      </c>
    </row>
    <row r="109" spans="1:60">
      <c r="A109" s="5">
        <v>18022878149</v>
      </c>
      <c r="B109" s="5"/>
      <c r="C109" s="5"/>
      <c r="D109" s="5"/>
      <c r="E109" s="5"/>
      <c r="F109" s="5"/>
      <c r="G109" s="5" t="s">
        <v>53</v>
      </c>
      <c r="H109" s="5"/>
      <c r="I109" s="5" t="s">
        <v>55</v>
      </c>
      <c r="J109" s="5"/>
      <c r="K109" s="5"/>
      <c r="L109" s="5"/>
      <c r="M109" s="5"/>
      <c r="N109" s="5"/>
      <c r="O109" s="5"/>
      <c r="P109" s="5"/>
      <c r="Q109" s="5"/>
      <c r="R109" s="5"/>
      <c r="S109" s="5" t="s">
        <v>63</v>
      </c>
      <c r="T109" s="37"/>
      <c r="U109" s="37">
        <f t="shared" si="23"/>
        <v>3</v>
      </c>
      <c r="V109" s="37">
        <f t="shared" si="24"/>
        <v>1</v>
      </c>
      <c r="W109" s="37"/>
      <c r="X109" s="37">
        <f t="shared" si="25"/>
        <v>0</v>
      </c>
      <c r="Y109" s="37">
        <f t="shared" si="26"/>
        <v>0</v>
      </c>
      <c r="Z109" s="37">
        <f t="shared" si="27"/>
        <v>0</v>
      </c>
      <c r="AA109" s="37">
        <f t="shared" si="28"/>
        <v>0</v>
      </c>
      <c r="AB109" s="37">
        <f t="shared" si="29"/>
        <v>0</v>
      </c>
      <c r="AC109" s="37">
        <f t="shared" si="30"/>
        <v>1</v>
      </c>
      <c r="AD109" s="37">
        <f t="shared" si="31"/>
        <v>0</v>
      </c>
      <c r="AE109" s="37">
        <f t="shared" si="32"/>
        <v>1</v>
      </c>
      <c r="AF109" s="37">
        <f t="shared" si="33"/>
        <v>0</v>
      </c>
      <c r="AG109" s="37">
        <f t="shared" si="34"/>
        <v>0</v>
      </c>
      <c r="AH109" s="37">
        <f t="shared" si="35"/>
        <v>0</v>
      </c>
      <c r="AI109" s="37">
        <f t="shared" si="36"/>
        <v>0</v>
      </c>
      <c r="AJ109" s="37">
        <f t="shared" si="37"/>
        <v>0</v>
      </c>
      <c r="AK109" s="37">
        <f t="shared" si="38"/>
        <v>0</v>
      </c>
      <c r="AL109" s="37">
        <f t="shared" si="39"/>
        <v>0</v>
      </c>
      <c r="AM109" s="37">
        <f t="shared" si="40"/>
        <v>0</v>
      </c>
      <c r="AN109" s="37">
        <f t="shared" si="41"/>
        <v>0</v>
      </c>
      <c r="AO109" s="37">
        <f t="shared" si="42"/>
        <v>1</v>
      </c>
      <c r="AP109" s="37"/>
      <c r="AQ109" s="37"/>
      <c r="AR109" s="37">
        <f t="shared" si="43"/>
        <v>3</v>
      </c>
      <c r="AS109" s="37">
        <f t="shared" si="44"/>
        <v>3</v>
      </c>
      <c r="AT109" s="37" t="str">
        <f t="shared" si="45"/>
        <v>Correct</v>
      </c>
      <c r="AU109" s="37"/>
      <c r="AV109" s="120" t="str">
        <f>IFERROR(VLOOKUP(Table1[RespondentID],'All Data'!$A$3:$CO$999,87,FALSE),"unknown")</f>
        <v>Woman</v>
      </c>
      <c r="AW109" s="120">
        <f>IFERROR(VLOOKUP(Table1[RespondentID],'All Data'!$A$3:$CO$999,88,FALSE),"unknown")</f>
        <v>49</v>
      </c>
      <c r="AX109" s="120" t="str">
        <f>IFERROR(VLOOKUP(Table1[RespondentID],'All Data'!$A$3:$CO$999,89,FALSE),"unknown")</f>
        <v>Suffolk</v>
      </c>
      <c r="AY109" s="120" t="str">
        <f>IFERROR(VLOOKUP(Table1[RespondentID],'All Data'!$A$3:$CO$999,90,FALSE),"unknown")</f>
        <v>Smithtown, 11787</v>
      </c>
      <c r="AZ109" s="120" t="str">
        <f>IFERROR(VLOOKUP(Table1[RespondentID],'All Data'!$A$3:$CO$999,91,FALSE),"unknown")</f>
        <v>White</v>
      </c>
      <c r="BA109" s="120">
        <f>IFERROR(VLOOKUP(Table1[RespondentID],'All Data'!$A$3:$CO$999,92,FALSE),"unknown")</f>
        <v>0</v>
      </c>
      <c r="BB109" s="120" t="str">
        <f>IFERROR(VLOOKUP(Table1[RespondentID],'All Data'!$A$3:$CO$999,93,FALSE),"unknown")</f>
        <v>English</v>
      </c>
      <c r="BC109" s="120" t="str">
        <f>IFERROR(VLOOKUP(Table1[RespondentID],'All Data'!$A$3:$CW$999,94,FALSE),"unknown")</f>
        <v>Over $125,000</v>
      </c>
      <c r="BD109" s="120" t="str">
        <f>IFERROR(VLOOKUP(Table1[RespondentID],'All Data'!$A$3:$CW$999,95,FALSE),"unknown")</f>
        <v>Technical school</v>
      </c>
      <c r="BE109" s="120" t="str">
        <f>IFERROR(VLOOKUP(Table1[RespondentID],'All Data'!$A$3:$CW$999,96,FALSE),"unknown")</f>
        <v>Self-employed</v>
      </c>
      <c r="BF109" s="120" t="str">
        <f>IFERROR(VLOOKUP(Table1[RespondentID],'All Data'!$A$3:$CW$999,97,FALSE),"unknown")</f>
        <v>Yes</v>
      </c>
      <c r="BG109" s="120">
        <f>IFERROR(VLOOKUP(Table1[RespondentID],'All Data'!$A$3:$CW$999,98,FALSE),"unknown")</f>
        <v>0</v>
      </c>
      <c r="BH109" s="120">
        <f>IFERROR(VLOOKUP(Table1[RespondentID],'All Data'!$A$3:$CW$999,99,FALSE),"unknown")</f>
        <v>0</v>
      </c>
    </row>
    <row r="110" spans="1:60">
      <c r="A110" s="5">
        <v>18022878031</v>
      </c>
      <c r="B110" s="5" t="s">
        <v>49</v>
      </c>
      <c r="C110" s="5"/>
      <c r="D110" s="5"/>
      <c r="E110" s="5" t="s">
        <v>17</v>
      </c>
      <c r="F110" s="5"/>
      <c r="G110" s="5"/>
      <c r="H110" s="5"/>
      <c r="I110" s="5"/>
      <c r="J110" s="5"/>
      <c r="K110" s="5"/>
      <c r="L110" s="5"/>
      <c r="M110" s="5"/>
      <c r="N110" s="5"/>
      <c r="O110" s="5"/>
      <c r="P110" s="5"/>
      <c r="Q110" s="5"/>
      <c r="R110" s="5"/>
      <c r="S110" s="5" t="s">
        <v>63</v>
      </c>
      <c r="T110" s="37"/>
      <c r="U110" s="37">
        <f t="shared" si="23"/>
        <v>3</v>
      </c>
      <c r="V110" s="37">
        <f t="shared" si="24"/>
        <v>1</v>
      </c>
      <c r="W110" s="37"/>
      <c r="X110" s="37">
        <f t="shared" si="25"/>
        <v>1</v>
      </c>
      <c r="Y110" s="37">
        <f t="shared" si="26"/>
        <v>0</v>
      </c>
      <c r="Z110" s="37">
        <f t="shared" si="27"/>
        <v>0</v>
      </c>
      <c r="AA110" s="37">
        <f t="shared" si="28"/>
        <v>1</v>
      </c>
      <c r="AB110" s="37">
        <f t="shared" si="29"/>
        <v>0</v>
      </c>
      <c r="AC110" s="37">
        <f t="shared" si="30"/>
        <v>0</v>
      </c>
      <c r="AD110" s="37">
        <f t="shared" si="31"/>
        <v>0</v>
      </c>
      <c r="AE110" s="37">
        <f t="shared" si="32"/>
        <v>0</v>
      </c>
      <c r="AF110" s="37">
        <f t="shared" si="33"/>
        <v>0</v>
      </c>
      <c r="AG110" s="37">
        <f t="shared" si="34"/>
        <v>0</v>
      </c>
      <c r="AH110" s="37">
        <f t="shared" si="35"/>
        <v>0</v>
      </c>
      <c r="AI110" s="37">
        <f t="shared" si="36"/>
        <v>0</v>
      </c>
      <c r="AJ110" s="37">
        <f t="shared" si="37"/>
        <v>0</v>
      </c>
      <c r="AK110" s="37">
        <f t="shared" si="38"/>
        <v>0</v>
      </c>
      <c r="AL110" s="37">
        <f t="shared" si="39"/>
        <v>0</v>
      </c>
      <c r="AM110" s="37">
        <f t="shared" si="40"/>
        <v>0</v>
      </c>
      <c r="AN110" s="37">
        <f t="shared" si="41"/>
        <v>0</v>
      </c>
      <c r="AO110" s="37">
        <f t="shared" si="42"/>
        <v>1</v>
      </c>
      <c r="AP110" s="37"/>
      <c r="AQ110" s="37"/>
      <c r="AR110" s="37">
        <f t="shared" si="43"/>
        <v>3</v>
      </c>
      <c r="AS110" s="37">
        <f t="shared" si="44"/>
        <v>3</v>
      </c>
      <c r="AT110" s="37" t="str">
        <f t="shared" si="45"/>
        <v>Correct</v>
      </c>
      <c r="AU110" s="37"/>
      <c r="AV110" s="120" t="str">
        <f>IFERROR(VLOOKUP(Table1[RespondentID],'All Data'!$A$3:$CO$999,87,FALSE),"unknown")</f>
        <v>Man</v>
      </c>
      <c r="AW110" s="120">
        <f>IFERROR(VLOOKUP(Table1[RespondentID],'All Data'!$A$3:$CO$999,88,FALSE),"unknown")</f>
        <v>23</v>
      </c>
      <c r="AX110" s="120" t="str">
        <f>IFERROR(VLOOKUP(Table1[RespondentID],'All Data'!$A$3:$CO$999,89,FALSE),"unknown")</f>
        <v>Suffolk</v>
      </c>
      <c r="AY110" s="120" t="str">
        <f>IFERROR(VLOOKUP(Table1[RespondentID],'All Data'!$A$3:$CO$999,90,FALSE),"unknown")</f>
        <v>Selden, 11784</v>
      </c>
      <c r="AZ110" s="120" t="str">
        <f>IFERROR(VLOOKUP(Table1[RespondentID],'All Data'!$A$3:$CO$999,91,FALSE),"unknown")</f>
        <v>White</v>
      </c>
      <c r="BA110" s="120" t="str">
        <f>IFERROR(VLOOKUP(Table1[RespondentID],'All Data'!$A$3:$CO$999,92,FALSE),"unknown")</f>
        <v>Hispanic or Latino</v>
      </c>
      <c r="BB110" s="120" t="str">
        <f>IFERROR(VLOOKUP(Table1[RespondentID],'All Data'!$A$3:$CO$999,93,FALSE),"unknown")</f>
        <v>English</v>
      </c>
      <c r="BC110" s="120" t="str">
        <f>IFERROR(VLOOKUP(Table1[RespondentID],'All Data'!$A$3:$CW$999,94,FALSE),"unknown")</f>
        <v>$35,000 to $49,999</v>
      </c>
      <c r="BD110" s="120" t="str">
        <f>IFERROR(VLOOKUP(Table1[RespondentID],'All Data'!$A$3:$CW$999,95,FALSE),"unknown")</f>
        <v>Some college</v>
      </c>
      <c r="BE110" s="120" t="str">
        <f>IFERROR(VLOOKUP(Table1[RespondentID],'All Data'!$A$3:$CW$999,96,FALSE),"unknown")</f>
        <v>Student</v>
      </c>
      <c r="BF110" s="120" t="str">
        <f>IFERROR(VLOOKUP(Table1[RespondentID],'All Data'!$A$3:$CW$999,97,FALSE),"unknown")</f>
        <v>Yes</v>
      </c>
      <c r="BG110" s="120">
        <f>IFERROR(VLOOKUP(Table1[RespondentID],'All Data'!$A$3:$CW$999,98,FALSE),"unknown")</f>
        <v>0</v>
      </c>
      <c r="BH110" s="120">
        <f>IFERROR(VLOOKUP(Table1[RespondentID],'All Data'!$A$3:$CW$999,99,FALSE),"unknown")</f>
        <v>0</v>
      </c>
    </row>
    <row r="111" spans="1:60">
      <c r="A111" s="5">
        <v>18022877886</v>
      </c>
      <c r="B111" s="5"/>
      <c r="C111" s="5"/>
      <c r="D111" s="5" t="s">
        <v>51</v>
      </c>
      <c r="E111" s="5"/>
      <c r="F111" s="5"/>
      <c r="G111" s="5" t="s">
        <v>53</v>
      </c>
      <c r="H111" s="5"/>
      <c r="I111" s="5"/>
      <c r="J111" s="5"/>
      <c r="K111" s="5"/>
      <c r="L111" s="5"/>
      <c r="M111" s="5" t="s">
        <v>59</v>
      </c>
      <c r="N111" s="5"/>
      <c r="O111" s="5"/>
      <c r="P111" s="5"/>
      <c r="Q111" s="5"/>
      <c r="R111" s="5"/>
      <c r="S111" s="5"/>
      <c r="T111" s="37"/>
      <c r="U111" s="37">
        <f t="shared" si="23"/>
        <v>3</v>
      </c>
      <c r="V111" s="37">
        <f t="shared" si="24"/>
        <v>1</v>
      </c>
      <c r="W111" s="37"/>
      <c r="X111" s="37">
        <f t="shared" si="25"/>
        <v>0</v>
      </c>
      <c r="Y111" s="37">
        <f t="shared" si="26"/>
        <v>0</v>
      </c>
      <c r="Z111" s="37">
        <f t="shared" si="27"/>
        <v>1</v>
      </c>
      <c r="AA111" s="37">
        <f t="shared" si="28"/>
        <v>0</v>
      </c>
      <c r="AB111" s="37">
        <f t="shared" si="29"/>
        <v>0</v>
      </c>
      <c r="AC111" s="37">
        <f t="shared" si="30"/>
        <v>1</v>
      </c>
      <c r="AD111" s="37">
        <f t="shared" si="31"/>
        <v>0</v>
      </c>
      <c r="AE111" s="37">
        <f t="shared" si="32"/>
        <v>0</v>
      </c>
      <c r="AF111" s="37">
        <f t="shared" si="33"/>
        <v>0</v>
      </c>
      <c r="AG111" s="37">
        <f t="shared" si="34"/>
        <v>0</v>
      </c>
      <c r="AH111" s="37">
        <f t="shared" si="35"/>
        <v>0</v>
      </c>
      <c r="AI111" s="37">
        <f t="shared" si="36"/>
        <v>1</v>
      </c>
      <c r="AJ111" s="37">
        <f t="shared" si="37"/>
        <v>0</v>
      </c>
      <c r="AK111" s="37">
        <f t="shared" si="38"/>
        <v>0</v>
      </c>
      <c r="AL111" s="37">
        <f t="shared" si="39"/>
        <v>0</v>
      </c>
      <c r="AM111" s="37">
        <f t="shared" si="40"/>
        <v>0</v>
      </c>
      <c r="AN111" s="37">
        <f t="shared" si="41"/>
        <v>0</v>
      </c>
      <c r="AO111" s="37">
        <f t="shared" si="42"/>
        <v>0</v>
      </c>
      <c r="AP111" s="37"/>
      <c r="AQ111" s="37"/>
      <c r="AR111" s="37">
        <f t="shared" si="43"/>
        <v>3</v>
      </c>
      <c r="AS111" s="37">
        <f t="shared" si="44"/>
        <v>3</v>
      </c>
      <c r="AT111" s="37" t="str">
        <f t="shared" si="45"/>
        <v>Correct</v>
      </c>
      <c r="AU111" s="37"/>
      <c r="AV111" s="120" t="str">
        <f>IFERROR(VLOOKUP(Table1[RespondentID],'All Data'!$A$3:$CO$999,87,FALSE),"unknown")</f>
        <v>Man</v>
      </c>
      <c r="AW111" s="120">
        <f>IFERROR(VLOOKUP(Table1[RespondentID],'All Data'!$A$3:$CO$999,88,FALSE),"unknown")</f>
        <v>18</v>
      </c>
      <c r="AX111" s="120" t="str">
        <f>IFERROR(VLOOKUP(Table1[RespondentID],'All Data'!$A$3:$CO$999,89,FALSE),"unknown")</f>
        <v>Suffolk</v>
      </c>
      <c r="AY111" s="120" t="str">
        <f>IFERROR(VLOOKUP(Table1[RespondentID],'All Data'!$A$3:$CO$999,90,FALSE),"unknown")</f>
        <v>Centereach, 11720</v>
      </c>
      <c r="AZ111" s="120" t="str">
        <f>IFERROR(VLOOKUP(Table1[RespondentID],'All Data'!$A$3:$CO$999,91,FALSE),"unknown")</f>
        <v>White</v>
      </c>
      <c r="BA111" s="120" t="str">
        <f>IFERROR(VLOOKUP(Table1[RespondentID],'All Data'!$A$3:$CO$999,92,FALSE),"unknown")</f>
        <v>Hispanic or Latino</v>
      </c>
      <c r="BB111" s="120" t="str">
        <f>IFERROR(VLOOKUP(Table1[RespondentID],'All Data'!$A$3:$CO$999,93,FALSE),"unknown")</f>
        <v>English</v>
      </c>
      <c r="BC111" s="120" t="str">
        <f>IFERROR(VLOOKUP(Table1[RespondentID],'All Data'!$A$3:$CW$999,94,FALSE),"unknown")</f>
        <v>$75,000 to $125,000</v>
      </c>
      <c r="BD111" s="120" t="str">
        <f>IFERROR(VLOOKUP(Table1[RespondentID],'All Data'!$A$3:$CW$999,95,FALSE),"unknown")</f>
        <v>College graduate</v>
      </c>
      <c r="BE111" s="120" t="str">
        <f>IFERROR(VLOOKUP(Table1[RespondentID],'All Data'!$A$3:$CW$999,96,FALSE),"unknown")</f>
        <v>Student</v>
      </c>
      <c r="BF111" s="120" t="str">
        <f>IFERROR(VLOOKUP(Table1[RespondentID],'All Data'!$A$3:$CW$999,97,FALSE),"unknown")</f>
        <v>Yes</v>
      </c>
      <c r="BG111" s="120">
        <f>IFERROR(VLOOKUP(Table1[RespondentID],'All Data'!$A$3:$CW$999,98,FALSE),"unknown")</f>
        <v>0</v>
      </c>
      <c r="BH111" s="120">
        <f>IFERROR(VLOOKUP(Table1[RespondentID],'All Data'!$A$3:$CW$999,99,FALSE),"unknown")</f>
        <v>0</v>
      </c>
    </row>
    <row r="112" spans="1:60">
      <c r="A112" s="5">
        <v>18022877779</v>
      </c>
      <c r="B112" s="5"/>
      <c r="C112" s="5"/>
      <c r="D112" s="5" t="s">
        <v>51</v>
      </c>
      <c r="E112" s="5"/>
      <c r="F112" s="5"/>
      <c r="G112" s="5" t="s">
        <v>53</v>
      </c>
      <c r="H112" s="5"/>
      <c r="I112" s="5"/>
      <c r="J112" s="5"/>
      <c r="K112" s="5"/>
      <c r="L112" s="5"/>
      <c r="M112" s="5" t="s">
        <v>59</v>
      </c>
      <c r="N112" s="5"/>
      <c r="O112" s="5"/>
      <c r="P112" s="5"/>
      <c r="Q112" s="5"/>
      <c r="R112" s="5"/>
      <c r="S112" s="5"/>
      <c r="T112" s="37"/>
      <c r="U112" s="37">
        <f t="shared" si="23"/>
        <v>3</v>
      </c>
      <c r="V112" s="37">
        <f t="shared" si="24"/>
        <v>1</v>
      </c>
      <c r="W112" s="37"/>
      <c r="X112" s="37">
        <f t="shared" si="25"/>
        <v>0</v>
      </c>
      <c r="Y112" s="37">
        <f t="shared" si="26"/>
        <v>0</v>
      </c>
      <c r="Z112" s="37">
        <f t="shared" si="27"/>
        <v>1</v>
      </c>
      <c r="AA112" s="37">
        <f t="shared" si="28"/>
        <v>0</v>
      </c>
      <c r="AB112" s="37">
        <f t="shared" si="29"/>
        <v>0</v>
      </c>
      <c r="AC112" s="37">
        <f t="shared" si="30"/>
        <v>1</v>
      </c>
      <c r="AD112" s="37">
        <f t="shared" si="31"/>
        <v>0</v>
      </c>
      <c r="AE112" s="37">
        <f t="shared" si="32"/>
        <v>0</v>
      </c>
      <c r="AF112" s="37">
        <f t="shared" si="33"/>
        <v>0</v>
      </c>
      <c r="AG112" s="37">
        <f t="shared" si="34"/>
        <v>0</v>
      </c>
      <c r="AH112" s="37">
        <f t="shared" si="35"/>
        <v>0</v>
      </c>
      <c r="AI112" s="37">
        <f t="shared" si="36"/>
        <v>1</v>
      </c>
      <c r="AJ112" s="37">
        <f t="shared" si="37"/>
        <v>0</v>
      </c>
      <c r="AK112" s="37">
        <f t="shared" si="38"/>
        <v>0</v>
      </c>
      <c r="AL112" s="37">
        <f t="shared" si="39"/>
        <v>0</v>
      </c>
      <c r="AM112" s="37">
        <f t="shared" si="40"/>
        <v>0</v>
      </c>
      <c r="AN112" s="37">
        <f t="shared" si="41"/>
        <v>0</v>
      </c>
      <c r="AO112" s="37">
        <f t="shared" si="42"/>
        <v>0</v>
      </c>
      <c r="AP112" s="37"/>
      <c r="AQ112" s="37"/>
      <c r="AR112" s="37">
        <f t="shared" si="43"/>
        <v>3</v>
      </c>
      <c r="AS112" s="37">
        <f t="shared" si="44"/>
        <v>3</v>
      </c>
      <c r="AT112" s="37" t="str">
        <f t="shared" si="45"/>
        <v>Correct</v>
      </c>
      <c r="AU112" s="37"/>
      <c r="AV112" s="120">
        <f>IFERROR(VLOOKUP(Table1[RespondentID],'All Data'!$A$3:$CO$999,87,FALSE),"unknown")</f>
        <v>0</v>
      </c>
      <c r="AW112" s="120">
        <f>IFERROR(VLOOKUP(Table1[RespondentID],'All Data'!$A$3:$CO$999,88,FALSE),"unknown")</f>
        <v>21</v>
      </c>
      <c r="AX112" s="120" t="str">
        <f>IFERROR(VLOOKUP(Table1[RespondentID],'All Data'!$A$3:$CO$999,89,FALSE),"unknown")</f>
        <v>Suffolk</v>
      </c>
      <c r="AY112" s="120" t="str">
        <f>IFERROR(VLOOKUP(Table1[RespondentID],'All Data'!$A$3:$CO$999,90,FALSE),"unknown")</f>
        <v>Saint James, 11780</v>
      </c>
      <c r="AZ112" s="120" t="str">
        <f>IFERROR(VLOOKUP(Table1[RespondentID],'All Data'!$A$3:$CO$999,91,FALSE),"unknown")</f>
        <v>White</v>
      </c>
      <c r="BA112" s="120">
        <f>IFERROR(VLOOKUP(Table1[RespondentID],'All Data'!$A$3:$CO$999,92,FALSE),"unknown")</f>
        <v>0</v>
      </c>
      <c r="BB112" s="120" t="str">
        <f>IFERROR(VLOOKUP(Table1[RespondentID],'All Data'!$A$3:$CO$999,93,FALSE),"unknown")</f>
        <v>English</v>
      </c>
      <c r="BC112" s="120" t="str">
        <f>IFERROR(VLOOKUP(Table1[RespondentID],'All Data'!$A$3:$CW$999,94,FALSE),"unknown")</f>
        <v>$75,000 to $125,000</v>
      </c>
      <c r="BD112" s="120" t="str">
        <f>IFERROR(VLOOKUP(Table1[RespondentID],'All Data'!$A$3:$CW$999,95,FALSE),"unknown")</f>
        <v>Technical school</v>
      </c>
      <c r="BE112" s="120" t="str">
        <f>IFERROR(VLOOKUP(Table1[RespondentID],'All Data'!$A$3:$CW$999,96,FALSE),"unknown")</f>
        <v>Employed for wages</v>
      </c>
      <c r="BF112" s="120" t="str">
        <f>IFERROR(VLOOKUP(Table1[RespondentID],'All Data'!$A$3:$CW$999,97,FALSE),"unknown")</f>
        <v>Yes</v>
      </c>
      <c r="BG112" s="120">
        <f>IFERROR(VLOOKUP(Table1[RespondentID],'All Data'!$A$3:$CW$999,98,FALSE),"unknown")</f>
        <v>0</v>
      </c>
      <c r="BH112" s="120">
        <f>IFERROR(VLOOKUP(Table1[RespondentID],'All Data'!$A$3:$CW$999,99,FALSE),"unknown")</f>
        <v>0</v>
      </c>
    </row>
    <row r="113" spans="1:60">
      <c r="A113" s="5">
        <v>18022877531</v>
      </c>
      <c r="B113" s="5"/>
      <c r="C113" s="5"/>
      <c r="D113" s="5"/>
      <c r="E113" s="5" t="s">
        <v>17</v>
      </c>
      <c r="F113" s="5"/>
      <c r="G113" s="5"/>
      <c r="H113" s="5"/>
      <c r="I113" s="5"/>
      <c r="J113" s="5"/>
      <c r="K113" s="5"/>
      <c r="L113" s="5" t="s">
        <v>58</v>
      </c>
      <c r="M113" s="5"/>
      <c r="N113" s="5"/>
      <c r="O113" s="5"/>
      <c r="P113" s="5" t="s">
        <v>60</v>
      </c>
      <c r="Q113" s="5"/>
      <c r="R113" s="5"/>
      <c r="S113" s="5"/>
      <c r="T113" s="37"/>
      <c r="U113" s="37">
        <f t="shared" si="23"/>
        <v>3</v>
      </c>
      <c r="V113" s="37">
        <f t="shared" si="24"/>
        <v>1</v>
      </c>
      <c r="W113" s="37"/>
      <c r="X113" s="37">
        <f t="shared" si="25"/>
        <v>0</v>
      </c>
      <c r="Y113" s="37">
        <f t="shared" si="26"/>
        <v>0</v>
      </c>
      <c r="Z113" s="37">
        <f t="shared" si="27"/>
        <v>0</v>
      </c>
      <c r="AA113" s="37">
        <f t="shared" si="28"/>
        <v>1</v>
      </c>
      <c r="AB113" s="37">
        <f t="shared" si="29"/>
        <v>0</v>
      </c>
      <c r="AC113" s="37">
        <f t="shared" si="30"/>
        <v>0</v>
      </c>
      <c r="AD113" s="37">
        <f t="shared" si="31"/>
        <v>0</v>
      </c>
      <c r="AE113" s="37">
        <f t="shared" si="32"/>
        <v>0</v>
      </c>
      <c r="AF113" s="37">
        <f t="shared" si="33"/>
        <v>0</v>
      </c>
      <c r="AG113" s="37">
        <f t="shared" si="34"/>
        <v>0</v>
      </c>
      <c r="AH113" s="37">
        <f t="shared" si="35"/>
        <v>1</v>
      </c>
      <c r="AI113" s="37">
        <f t="shared" si="36"/>
        <v>0</v>
      </c>
      <c r="AJ113" s="37">
        <f t="shared" si="37"/>
        <v>0</v>
      </c>
      <c r="AK113" s="37">
        <f t="shared" si="38"/>
        <v>0</v>
      </c>
      <c r="AL113" s="37">
        <f t="shared" si="39"/>
        <v>1</v>
      </c>
      <c r="AM113" s="37">
        <f t="shared" si="40"/>
        <v>0</v>
      </c>
      <c r="AN113" s="37">
        <f t="shared" si="41"/>
        <v>0</v>
      </c>
      <c r="AO113" s="37">
        <f t="shared" si="42"/>
        <v>0</v>
      </c>
      <c r="AP113" s="37"/>
      <c r="AQ113" s="37"/>
      <c r="AR113" s="37">
        <f t="shared" si="43"/>
        <v>3</v>
      </c>
      <c r="AS113" s="37">
        <f t="shared" si="44"/>
        <v>3</v>
      </c>
      <c r="AT113" s="37" t="str">
        <f t="shared" si="45"/>
        <v>Correct</v>
      </c>
      <c r="AU113" s="37"/>
      <c r="AV113" s="120" t="str">
        <f>IFERROR(VLOOKUP(Table1[RespondentID],'All Data'!$A$3:$CO$999,87,FALSE),"unknown")</f>
        <v>Man</v>
      </c>
      <c r="AW113" s="120">
        <f>IFERROR(VLOOKUP(Table1[RespondentID],'All Data'!$A$3:$CO$999,88,FALSE),"unknown")</f>
        <v>37</v>
      </c>
      <c r="AX113" s="120" t="str">
        <f>IFERROR(VLOOKUP(Table1[RespondentID],'All Data'!$A$3:$CO$999,89,FALSE),"unknown")</f>
        <v>Suffolk</v>
      </c>
      <c r="AY113" s="120" t="str">
        <f>IFERROR(VLOOKUP(Table1[RespondentID],'All Data'!$A$3:$CO$999,90,FALSE),"unknown")</f>
        <v>Smithtown, 11787</v>
      </c>
      <c r="AZ113" s="120" t="str">
        <f>IFERROR(VLOOKUP(Table1[RespondentID],'All Data'!$A$3:$CO$999,91,FALSE),"unknown")</f>
        <v>White</v>
      </c>
      <c r="BA113" s="120" t="str">
        <f>IFERROR(VLOOKUP(Table1[RespondentID],'All Data'!$A$3:$CO$999,92,FALSE),"unknown")</f>
        <v>Hispanic or Latino</v>
      </c>
      <c r="BB113" s="120" t="str">
        <f>IFERROR(VLOOKUP(Table1[RespondentID],'All Data'!$A$3:$CO$999,93,FALSE),"unknown")</f>
        <v>English</v>
      </c>
      <c r="BC113" s="120" t="str">
        <f>IFERROR(VLOOKUP(Table1[RespondentID],'All Data'!$A$3:$CW$999,94,FALSE),"unknown")</f>
        <v>$75,000 to $125,000</v>
      </c>
      <c r="BD113" s="120" t="str">
        <f>IFERROR(VLOOKUP(Table1[RespondentID],'All Data'!$A$3:$CW$999,95,FALSE),"unknown")</f>
        <v>High school graduate</v>
      </c>
      <c r="BE113" s="120" t="str">
        <f>IFERROR(VLOOKUP(Table1[RespondentID],'All Data'!$A$3:$CW$999,96,FALSE),"unknown")</f>
        <v>Self-employed</v>
      </c>
      <c r="BF113" s="120" t="str">
        <f>IFERROR(VLOOKUP(Table1[RespondentID],'All Data'!$A$3:$CW$999,97,FALSE),"unknown")</f>
        <v>No</v>
      </c>
      <c r="BG113" s="120">
        <f>IFERROR(VLOOKUP(Table1[RespondentID],'All Data'!$A$3:$CW$999,98,FALSE),"unknown")</f>
        <v>0</v>
      </c>
      <c r="BH113" s="120">
        <f>IFERROR(VLOOKUP(Table1[RespondentID],'All Data'!$A$3:$CW$999,99,FALSE),"unknown")</f>
        <v>0</v>
      </c>
    </row>
    <row r="114" spans="1:60">
      <c r="A114" s="5">
        <v>18022877402</v>
      </c>
      <c r="B114" s="5"/>
      <c r="C114" s="5"/>
      <c r="D114" s="5"/>
      <c r="E114" s="5" t="s">
        <v>17</v>
      </c>
      <c r="F114" s="5"/>
      <c r="G114" s="5"/>
      <c r="H114" s="5"/>
      <c r="I114" s="5"/>
      <c r="J114" s="5"/>
      <c r="K114" s="5"/>
      <c r="L114" s="5" t="s">
        <v>58</v>
      </c>
      <c r="M114" s="5"/>
      <c r="N114" s="5"/>
      <c r="O114" s="5"/>
      <c r="P114" s="5"/>
      <c r="Q114" s="5"/>
      <c r="R114" s="5"/>
      <c r="S114" s="5" t="s">
        <v>63</v>
      </c>
      <c r="T114" s="37"/>
      <c r="U114" s="37">
        <f t="shared" si="23"/>
        <v>3</v>
      </c>
      <c r="V114" s="37">
        <f t="shared" si="24"/>
        <v>1</v>
      </c>
      <c r="W114" s="37"/>
      <c r="X114" s="37">
        <f t="shared" si="25"/>
        <v>0</v>
      </c>
      <c r="Y114" s="37">
        <f t="shared" si="26"/>
        <v>0</v>
      </c>
      <c r="Z114" s="37">
        <f t="shared" si="27"/>
        <v>0</v>
      </c>
      <c r="AA114" s="37">
        <f t="shared" si="28"/>
        <v>1</v>
      </c>
      <c r="AB114" s="37">
        <f t="shared" si="29"/>
        <v>0</v>
      </c>
      <c r="AC114" s="37">
        <f t="shared" si="30"/>
        <v>0</v>
      </c>
      <c r="AD114" s="37">
        <f t="shared" si="31"/>
        <v>0</v>
      </c>
      <c r="AE114" s="37">
        <f t="shared" si="32"/>
        <v>0</v>
      </c>
      <c r="AF114" s="37">
        <f t="shared" si="33"/>
        <v>0</v>
      </c>
      <c r="AG114" s="37">
        <f t="shared" si="34"/>
        <v>0</v>
      </c>
      <c r="AH114" s="37">
        <f t="shared" si="35"/>
        <v>1</v>
      </c>
      <c r="AI114" s="37">
        <f t="shared" si="36"/>
        <v>0</v>
      </c>
      <c r="AJ114" s="37">
        <f t="shared" si="37"/>
        <v>0</v>
      </c>
      <c r="AK114" s="37">
        <f t="shared" si="38"/>
        <v>0</v>
      </c>
      <c r="AL114" s="37">
        <f t="shared" si="39"/>
        <v>0</v>
      </c>
      <c r="AM114" s="37">
        <f t="shared" si="40"/>
        <v>0</v>
      </c>
      <c r="AN114" s="37">
        <f t="shared" si="41"/>
        <v>0</v>
      </c>
      <c r="AO114" s="37">
        <f t="shared" si="42"/>
        <v>1</v>
      </c>
      <c r="AP114" s="37"/>
      <c r="AQ114" s="37"/>
      <c r="AR114" s="37">
        <f t="shared" si="43"/>
        <v>3</v>
      </c>
      <c r="AS114" s="37">
        <f t="shared" si="44"/>
        <v>3</v>
      </c>
      <c r="AT114" s="37" t="str">
        <f t="shared" si="45"/>
        <v>Correct</v>
      </c>
      <c r="AU114" s="37"/>
      <c r="AV114" s="120" t="str">
        <f>IFERROR(VLOOKUP(Table1[RespondentID],'All Data'!$A$3:$CO$999,87,FALSE),"unknown")</f>
        <v>Man</v>
      </c>
      <c r="AW114" s="120">
        <f>IFERROR(VLOOKUP(Table1[RespondentID],'All Data'!$A$3:$CO$999,88,FALSE),"unknown")</f>
        <v>32</v>
      </c>
      <c r="AX114" s="120" t="str">
        <f>IFERROR(VLOOKUP(Table1[RespondentID],'All Data'!$A$3:$CO$999,89,FALSE),"unknown")</f>
        <v>Suffolk</v>
      </c>
      <c r="AY114" s="120" t="str">
        <f>IFERROR(VLOOKUP(Table1[RespondentID],'All Data'!$A$3:$CO$999,90,FALSE),"unknown")</f>
        <v>Smithtown, 11787</v>
      </c>
      <c r="AZ114" s="120" t="str">
        <f>IFERROR(VLOOKUP(Table1[RespondentID],'All Data'!$A$3:$CO$999,91,FALSE),"unknown")</f>
        <v>White</v>
      </c>
      <c r="BA114" s="120" t="str">
        <f>IFERROR(VLOOKUP(Table1[RespondentID],'All Data'!$A$3:$CO$999,92,FALSE),"unknown")</f>
        <v>Hispanic or Latino</v>
      </c>
      <c r="BB114" s="120" t="str">
        <f>IFERROR(VLOOKUP(Table1[RespondentID],'All Data'!$A$3:$CO$999,93,FALSE),"unknown")</f>
        <v>English</v>
      </c>
      <c r="BC114" s="120" t="str">
        <f>IFERROR(VLOOKUP(Table1[RespondentID],'All Data'!$A$3:$CW$999,94,FALSE),"unknown")</f>
        <v>$35,000 to $49,999</v>
      </c>
      <c r="BD114" s="120">
        <f>IFERROR(VLOOKUP(Table1[RespondentID],'All Data'!$A$3:$CW$999,95,FALSE),"unknown")</f>
        <v>0</v>
      </c>
      <c r="BE114" s="120" t="str">
        <f>IFERROR(VLOOKUP(Table1[RespondentID],'All Data'!$A$3:$CW$999,96,FALSE),"unknown")</f>
        <v>Employed for wages</v>
      </c>
      <c r="BF114" s="120" t="str">
        <f>IFERROR(VLOOKUP(Table1[RespondentID],'All Data'!$A$3:$CW$999,97,FALSE),"unknown")</f>
        <v>No</v>
      </c>
      <c r="BG114" s="120">
        <f>IFERROR(VLOOKUP(Table1[RespondentID],'All Data'!$A$3:$CW$999,98,FALSE),"unknown")</f>
        <v>0</v>
      </c>
      <c r="BH114" s="120">
        <f>IFERROR(VLOOKUP(Table1[RespondentID],'All Data'!$A$3:$CW$999,99,FALSE),"unknown")</f>
        <v>0</v>
      </c>
    </row>
    <row r="115" spans="1:60">
      <c r="A115" s="5">
        <v>18022877220</v>
      </c>
      <c r="B115" s="5"/>
      <c r="C115" s="5"/>
      <c r="D115" s="5"/>
      <c r="E115" s="5"/>
      <c r="F115" s="5"/>
      <c r="G115" s="5"/>
      <c r="H115" s="5"/>
      <c r="I115" s="5"/>
      <c r="J115" s="5"/>
      <c r="K115" s="5"/>
      <c r="L115" s="5"/>
      <c r="M115" s="5"/>
      <c r="N115" s="5"/>
      <c r="O115" s="5"/>
      <c r="P115" s="5"/>
      <c r="Q115" s="5"/>
      <c r="R115" s="5"/>
      <c r="S115" s="5" t="s">
        <v>63</v>
      </c>
      <c r="T115" s="37"/>
      <c r="U115" s="37">
        <f t="shared" si="23"/>
        <v>1</v>
      </c>
      <c r="V115" s="37">
        <f t="shared" si="24"/>
        <v>3</v>
      </c>
      <c r="W115" s="37"/>
      <c r="X115" s="37">
        <f t="shared" si="25"/>
        <v>0</v>
      </c>
      <c r="Y115" s="37">
        <f t="shared" si="26"/>
        <v>0</v>
      </c>
      <c r="Z115" s="37">
        <f t="shared" si="27"/>
        <v>0</v>
      </c>
      <c r="AA115" s="37">
        <f t="shared" si="28"/>
        <v>0</v>
      </c>
      <c r="AB115" s="37">
        <f t="shared" si="29"/>
        <v>0</v>
      </c>
      <c r="AC115" s="37">
        <f t="shared" si="30"/>
        <v>0</v>
      </c>
      <c r="AD115" s="37">
        <f t="shared" si="31"/>
        <v>0</v>
      </c>
      <c r="AE115" s="37">
        <f t="shared" si="32"/>
        <v>0</v>
      </c>
      <c r="AF115" s="37">
        <f t="shared" si="33"/>
        <v>0</v>
      </c>
      <c r="AG115" s="37">
        <f t="shared" si="34"/>
        <v>0</v>
      </c>
      <c r="AH115" s="37">
        <f t="shared" si="35"/>
        <v>0</v>
      </c>
      <c r="AI115" s="37">
        <f t="shared" si="36"/>
        <v>0</v>
      </c>
      <c r="AJ115" s="37">
        <f t="shared" si="37"/>
        <v>0</v>
      </c>
      <c r="AK115" s="37">
        <f t="shared" si="38"/>
        <v>0</v>
      </c>
      <c r="AL115" s="37">
        <f t="shared" si="39"/>
        <v>0</v>
      </c>
      <c r="AM115" s="37">
        <f t="shared" si="40"/>
        <v>0</v>
      </c>
      <c r="AN115" s="37">
        <f t="shared" si="41"/>
        <v>0</v>
      </c>
      <c r="AO115" s="37">
        <f t="shared" si="42"/>
        <v>1</v>
      </c>
      <c r="AP115" s="37"/>
      <c r="AQ115" s="37"/>
      <c r="AR115" s="37">
        <f t="shared" si="43"/>
        <v>1</v>
      </c>
      <c r="AS115" s="37">
        <f t="shared" si="44"/>
        <v>1</v>
      </c>
      <c r="AT115" s="37" t="str">
        <f t="shared" si="45"/>
        <v>Correct</v>
      </c>
      <c r="AU115" s="37"/>
      <c r="AV115" s="120" t="str">
        <f>IFERROR(VLOOKUP(Table1[RespondentID],'All Data'!$A$3:$CO$999,87,FALSE),"unknown")</f>
        <v>Man</v>
      </c>
      <c r="AW115" s="120">
        <f>IFERROR(VLOOKUP(Table1[RespondentID],'All Data'!$A$3:$CO$999,88,FALSE),"unknown")</f>
        <v>63</v>
      </c>
      <c r="AX115" s="120" t="str">
        <f>IFERROR(VLOOKUP(Table1[RespondentID],'All Data'!$A$3:$CO$999,89,FALSE),"unknown")</f>
        <v>Suffolk</v>
      </c>
      <c r="AY115" s="120" t="str">
        <f>IFERROR(VLOOKUP(Table1[RespondentID],'All Data'!$A$3:$CO$999,90,FALSE),"unknown")</f>
        <v>Kings Park, 11754</v>
      </c>
      <c r="AZ115" s="120" t="str">
        <f>IFERROR(VLOOKUP(Table1[RespondentID],'All Data'!$A$3:$CO$999,91,FALSE),"unknown")</f>
        <v>White</v>
      </c>
      <c r="BA115" s="120" t="str">
        <f>IFERROR(VLOOKUP(Table1[RespondentID],'All Data'!$A$3:$CO$999,92,FALSE),"unknown")</f>
        <v>Hispanic or Latino</v>
      </c>
      <c r="BB115" s="120" t="str">
        <f>IFERROR(VLOOKUP(Table1[RespondentID],'All Data'!$A$3:$CO$999,93,FALSE),"unknown")</f>
        <v>English</v>
      </c>
      <c r="BC115" s="120" t="str">
        <f>IFERROR(VLOOKUP(Table1[RespondentID],'All Data'!$A$3:$CW$999,94,FALSE),"unknown")</f>
        <v>Over $125,000</v>
      </c>
      <c r="BD115" s="120" t="str">
        <f>IFERROR(VLOOKUP(Table1[RespondentID],'All Data'!$A$3:$CW$999,95,FALSE),"unknown")</f>
        <v>High school graduate</v>
      </c>
      <c r="BE115" s="120" t="str">
        <f>IFERROR(VLOOKUP(Table1[RespondentID],'All Data'!$A$3:$CW$999,96,FALSE),"unknown")</f>
        <v>Retired</v>
      </c>
      <c r="BF115" s="120" t="str">
        <f>IFERROR(VLOOKUP(Table1[RespondentID],'All Data'!$A$3:$CW$999,97,FALSE),"unknown")</f>
        <v>Yes</v>
      </c>
      <c r="BG115" s="120">
        <f>IFERROR(VLOOKUP(Table1[RespondentID],'All Data'!$A$3:$CW$999,98,FALSE),"unknown")</f>
        <v>0</v>
      </c>
      <c r="BH115" s="120">
        <f>IFERROR(VLOOKUP(Table1[RespondentID],'All Data'!$A$3:$CW$999,99,FALSE),"unknown")</f>
        <v>0</v>
      </c>
    </row>
    <row r="116" spans="1:60">
      <c r="A116" s="5">
        <v>18022760139</v>
      </c>
      <c r="B116" s="5"/>
      <c r="C116" s="5"/>
      <c r="D116" s="5"/>
      <c r="E116" s="5"/>
      <c r="F116" s="5"/>
      <c r="G116" s="5"/>
      <c r="H116" s="5" t="s">
        <v>54</v>
      </c>
      <c r="I116" s="5"/>
      <c r="J116" s="5"/>
      <c r="K116" s="5"/>
      <c r="L116" s="5"/>
      <c r="M116" s="5"/>
      <c r="N116" s="5" t="s">
        <v>24</v>
      </c>
      <c r="O116" s="5"/>
      <c r="P116" s="5"/>
      <c r="Q116" s="5"/>
      <c r="R116" s="5" t="s">
        <v>62</v>
      </c>
      <c r="S116" s="5"/>
      <c r="T116" s="37"/>
      <c r="U116" s="37">
        <f t="shared" si="23"/>
        <v>3</v>
      </c>
      <c r="V116" s="37">
        <f t="shared" si="24"/>
        <v>1</v>
      </c>
      <c r="W116" s="37"/>
      <c r="X116" s="37">
        <f t="shared" si="25"/>
        <v>0</v>
      </c>
      <c r="Y116" s="37">
        <f t="shared" si="26"/>
        <v>0</v>
      </c>
      <c r="Z116" s="37">
        <f t="shared" si="27"/>
        <v>0</v>
      </c>
      <c r="AA116" s="37">
        <f t="shared" si="28"/>
        <v>0</v>
      </c>
      <c r="AB116" s="37">
        <f t="shared" si="29"/>
        <v>0</v>
      </c>
      <c r="AC116" s="37">
        <f t="shared" si="30"/>
        <v>0</v>
      </c>
      <c r="AD116" s="37">
        <f t="shared" si="31"/>
        <v>1</v>
      </c>
      <c r="AE116" s="37">
        <f t="shared" si="32"/>
        <v>0</v>
      </c>
      <c r="AF116" s="37">
        <f t="shared" si="33"/>
        <v>0</v>
      </c>
      <c r="AG116" s="37">
        <f t="shared" si="34"/>
        <v>0</v>
      </c>
      <c r="AH116" s="37">
        <f t="shared" si="35"/>
        <v>0</v>
      </c>
      <c r="AI116" s="37">
        <f t="shared" si="36"/>
        <v>0</v>
      </c>
      <c r="AJ116" s="37">
        <f t="shared" si="37"/>
        <v>1</v>
      </c>
      <c r="AK116" s="37">
        <f t="shared" si="38"/>
        <v>0</v>
      </c>
      <c r="AL116" s="37">
        <f t="shared" si="39"/>
        <v>0</v>
      </c>
      <c r="AM116" s="37">
        <f t="shared" si="40"/>
        <v>0</v>
      </c>
      <c r="AN116" s="37">
        <f t="shared" si="41"/>
        <v>1</v>
      </c>
      <c r="AO116" s="37">
        <f t="shared" si="42"/>
        <v>0</v>
      </c>
      <c r="AP116" s="37"/>
      <c r="AQ116" s="37"/>
      <c r="AR116" s="37">
        <f t="shared" si="43"/>
        <v>3</v>
      </c>
      <c r="AS116" s="37">
        <f t="shared" si="44"/>
        <v>3</v>
      </c>
      <c r="AT116" s="37" t="str">
        <f t="shared" si="45"/>
        <v>Correct</v>
      </c>
      <c r="AU116" s="37"/>
      <c r="AV116" s="120" t="str">
        <f>IFERROR(VLOOKUP(Table1[RespondentID],'All Data'!$A$3:$CO$999,87,FALSE),"unknown")</f>
        <v>Man</v>
      </c>
      <c r="AW116" s="120">
        <f>IFERROR(VLOOKUP(Table1[RespondentID],'All Data'!$A$3:$CO$999,88,FALSE),"unknown")</f>
        <v>66</v>
      </c>
      <c r="AX116" s="120" t="str">
        <f>IFERROR(VLOOKUP(Table1[RespondentID],'All Data'!$A$3:$CO$999,89,FALSE),"unknown")</f>
        <v>Nassau</v>
      </c>
      <c r="AY116" s="120" t="str">
        <f>IFERROR(VLOOKUP(Table1[RespondentID],'All Data'!$A$3:$CO$999,90,FALSE),"unknown")</f>
        <v>Merrick, 11566</v>
      </c>
      <c r="AZ116" s="120" t="str">
        <f>IFERROR(VLOOKUP(Table1[RespondentID],'All Data'!$A$3:$CO$999,91,FALSE),"unknown")</f>
        <v>White</v>
      </c>
      <c r="BA116" s="120" t="str">
        <f>IFERROR(VLOOKUP(Table1[RespondentID],'All Data'!$A$3:$CO$999,92,FALSE),"unknown")</f>
        <v>Hispanic or Latino</v>
      </c>
      <c r="BB116" s="120" t="str">
        <f>IFERROR(VLOOKUP(Table1[RespondentID],'All Data'!$A$3:$CO$999,93,FALSE),"unknown")</f>
        <v>English</v>
      </c>
      <c r="BC116" s="120" t="str">
        <f>IFERROR(VLOOKUP(Table1[RespondentID],'All Data'!$A$3:$CW$999,94,FALSE),"unknown")</f>
        <v>Over $125,000</v>
      </c>
      <c r="BD116" s="120" t="str">
        <f>IFERROR(VLOOKUP(Table1[RespondentID],'All Data'!$A$3:$CW$999,95,FALSE),"unknown")</f>
        <v>Graduate school</v>
      </c>
      <c r="BE116" s="120" t="str">
        <f>IFERROR(VLOOKUP(Table1[RespondentID],'All Data'!$A$3:$CW$999,96,FALSE),"unknown")</f>
        <v>Employed for wages</v>
      </c>
      <c r="BF116" s="120" t="str">
        <f>IFERROR(VLOOKUP(Table1[RespondentID],'All Data'!$A$3:$CW$999,97,FALSE),"unknown")</f>
        <v>Yes</v>
      </c>
      <c r="BG116" s="120" t="str">
        <f>IFERROR(VLOOKUP(Table1[RespondentID],'All Data'!$A$3:$CW$999,98,FALSE),"unknown")</f>
        <v>Medicare, Private/Commercial</v>
      </c>
      <c r="BH116" s="120" t="str">
        <f>IFERROR(VLOOKUP(Table1[RespondentID],'All Data'!$A$3:$CW$999,99,FALSE),"unknown")</f>
        <v>Yes</v>
      </c>
    </row>
    <row r="117" spans="1:60">
      <c r="A117" s="5">
        <v>18022520402</v>
      </c>
      <c r="B117" s="5"/>
      <c r="C117" s="5"/>
      <c r="D117" s="5" t="s">
        <v>51</v>
      </c>
      <c r="E117" s="5" t="s">
        <v>17</v>
      </c>
      <c r="F117" s="5"/>
      <c r="G117" s="5"/>
      <c r="H117" s="5"/>
      <c r="I117" s="5"/>
      <c r="J117" s="5"/>
      <c r="K117" s="5"/>
      <c r="L117" s="5"/>
      <c r="M117" s="5" t="s">
        <v>59</v>
      </c>
      <c r="N117" s="5"/>
      <c r="O117" s="5"/>
      <c r="P117" s="5"/>
      <c r="Q117" s="5"/>
      <c r="R117" s="5"/>
      <c r="S117" s="5"/>
      <c r="T117" s="37"/>
      <c r="U117" s="37">
        <f t="shared" si="23"/>
        <v>3</v>
      </c>
      <c r="V117" s="37">
        <f t="shared" si="24"/>
        <v>1</v>
      </c>
      <c r="W117" s="37"/>
      <c r="X117" s="37">
        <f t="shared" si="25"/>
        <v>0</v>
      </c>
      <c r="Y117" s="37">
        <f t="shared" si="26"/>
        <v>0</v>
      </c>
      <c r="Z117" s="37">
        <f t="shared" si="27"/>
        <v>1</v>
      </c>
      <c r="AA117" s="37">
        <f t="shared" si="28"/>
        <v>1</v>
      </c>
      <c r="AB117" s="37">
        <f t="shared" si="29"/>
        <v>0</v>
      </c>
      <c r="AC117" s="37">
        <f t="shared" si="30"/>
        <v>0</v>
      </c>
      <c r="AD117" s="37">
        <f t="shared" si="31"/>
        <v>0</v>
      </c>
      <c r="AE117" s="37">
        <f t="shared" si="32"/>
        <v>0</v>
      </c>
      <c r="AF117" s="37">
        <f t="shared" si="33"/>
        <v>0</v>
      </c>
      <c r="AG117" s="37">
        <f t="shared" si="34"/>
        <v>0</v>
      </c>
      <c r="AH117" s="37">
        <f t="shared" si="35"/>
        <v>0</v>
      </c>
      <c r="AI117" s="37">
        <f t="shared" si="36"/>
        <v>1</v>
      </c>
      <c r="AJ117" s="37">
        <f t="shared" si="37"/>
        <v>0</v>
      </c>
      <c r="AK117" s="37">
        <f t="shared" si="38"/>
        <v>0</v>
      </c>
      <c r="AL117" s="37">
        <f t="shared" si="39"/>
        <v>0</v>
      </c>
      <c r="AM117" s="37">
        <f t="shared" si="40"/>
        <v>0</v>
      </c>
      <c r="AN117" s="37">
        <f t="shared" si="41"/>
        <v>0</v>
      </c>
      <c r="AO117" s="37">
        <f t="shared" si="42"/>
        <v>0</v>
      </c>
      <c r="AP117" s="37"/>
      <c r="AQ117" s="37"/>
      <c r="AR117" s="37">
        <f t="shared" si="43"/>
        <v>3</v>
      </c>
      <c r="AS117" s="37">
        <f t="shared" si="44"/>
        <v>3</v>
      </c>
      <c r="AT117" s="37" t="str">
        <f t="shared" si="45"/>
        <v>Correct</v>
      </c>
      <c r="AU117" s="37"/>
      <c r="AV117" s="120" t="str">
        <f>IFERROR(VLOOKUP(Table1[RespondentID],'All Data'!$A$3:$CO$999,87,FALSE),"unknown")</f>
        <v>Man</v>
      </c>
      <c r="AW117" s="120">
        <f>IFERROR(VLOOKUP(Table1[RespondentID],'All Data'!$A$3:$CO$999,88,FALSE),"unknown")</f>
        <v>55</v>
      </c>
      <c r="AX117" s="120" t="str">
        <f>IFERROR(VLOOKUP(Table1[RespondentID],'All Data'!$A$3:$CO$999,89,FALSE),"unknown")</f>
        <v>Suffolk</v>
      </c>
      <c r="AY117" s="120" t="str">
        <f>IFERROR(VLOOKUP(Table1[RespondentID],'All Data'!$A$3:$CO$999,90,FALSE),"unknown")</f>
        <v>East Northport, 11731</v>
      </c>
      <c r="AZ117" s="120" t="str">
        <f>IFERROR(VLOOKUP(Table1[RespondentID],'All Data'!$A$3:$CO$999,91,FALSE),"unknown")</f>
        <v>White</v>
      </c>
      <c r="BA117" s="120" t="str">
        <f>IFERROR(VLOOKUP(Table1[RespondentID],'All Data'!$A$3:$CO$999,92,FALSE),"unknown")</f>
        <v>Hispanic or Latino</v>
      </c>
      <c r="BB117" s="120" t="str">
        <f>IFERROR(VLOOKUP(Table1[RespondentID],'All Data'!$A$3:$CO$999,93,FALSE),"unknown")</f>
        <v>English</v>
      </c>
      <c r="BC117" s="120" t="str">
        <f>IFERROR(VLOOKUP(Table1[RespondentID],'All Data'!$A$3:$CW$999,94,FALSE),"unknown")</f>
        <v>Over $125,000</v>
      </c>
      <c r="BD117" s="120" t="str">
        <f>IFERROR(VLOOKUP(Table1[RespondentID],'All Data'!$A$3:$CW$999,95,FALSE),"unknown")</f>
        <v>College graduate</v>
      </c>
      <c r="BE117" s="120" t="str">
        <f>IFERROR(VLOOKUP(Table1[RespondentID],'All Data'!$A$3:$CW$999,96,FALSE),"unknown")</f>
        <v>Employed for wages</v>
      </c>
      <c r="BF117" s="120" t="str">
        <f>IFERROR(VLOOKUP(Table1[RespondentID],'All Data'!$A$3:$CW$999,97,FALSE),"unknown")</f>
        <v>Yes</v>
      </c>
      <c r="BG117" s="120">
        <f>IFERROR(VLOOKUP(Table1[RespondentID],'All Data'!$A$3:$CW$999,98,FALSE),"unknown")</f>
        <v>0</v>
      </c>
      <c r="BH117" s="120">
        <f>IFERROR(VLOOKUP(Table1[RespondentID],'All Data'!$A$3:$CW$999,99,FALSE),"unknown")</f>
        <v>0</v>
      </c>
    </row>
    <row r="118" spans="1:60">
      <c r="A118" s="5">
        <v>18022520259</v>
      </c>
      <c r="B118" s="5" t="s">
        <v>49</v>
      </c>
      <c r="C118" s="5" t="s">
        <v>50</v>
      </c>
      <c r="D118" s="5"/>
      <c r="E118" s="5" t="s">
        <v>17</v>
      </c>
      <c r="F118" s="5"/>
      <c r="G118" s="5"/>
      <c r="H118" s="5" t="s">
        <v>54</v>
      </c>
      <c r="I118" s="5"/>
      <c r="J118" s="5"/>
      <c r="K118" s="5"/>
      <c r="L118" s="5"/>
      <c r="M118" s="5"/>
      <c r="N118" s="5"/>
      <c r="O118" s="5"/>
      <c r="P118" s="5"/>
      <c r="Q118" s="5"/>
      <c r="R118" s="5"/>
      <c r="S118" s="5"/>
      <c r="T118" s="37"/>
      <c r="U118" s="37">
        <f t="shared" si="23"/>
        <v>4</v>
      </c>
      <c r="V118" s="37">
        <f t="shared" si="24"/>
        <v>0.75</v>
      </c>
      <c r="W118" s="37"/>
      <c r="X118" s="37">
        <f t="shared" si="25"/>
        <v>0.75</v>
      </c>
      <c r="Y118" s="37">
        <f t="shared" si="26"/>
        <v>0.75</v>
      </c>
      <c r="Z118" s="37">
        <f t="shared" si="27"/>
        <v>0</v>
      </c>
      <c r="AA118" s="37">
        <f t="shared" si="28"/>
        <v>0.75</v>
      </c>
      <c r="AB118" s="37">
        <f t="shared" si="29"/>
        <v>0</v>
      </c>
      <c r="AC118" s="37">
        <f t="shared" si="30"/>
        <v>0</v>
      </c>
      <c r="AD118" s="37">
        <f t="shared" si="31"/>
        <v>0.75</v>
      </c>
      <c r="AE118" s="37">
        <f t="shared" si="32"/>
        <v>0</v>
      </c>
      <c r="AF118" s="37">
        <f t="shared" si="33"/>
        <v>0</v>
      </c>
      <c r="AG118" s="37">
        <f t="shared" si="34"/>
        <v>0</v>
      </c>
      <c r="AH118" s="37">
        <f t="shared" si="35"/>
        <v>0</v>
      </c>
      <c r="AI118" s="37">
        <f t="shared" si="36"/>
        <v>0</v>
      </c>
      <c r="AJ118" s="37">
        <f t="shared" si="37"/>
        <v>0</v>
      </c>
      <c r="AK118" s="37">
        <f t="shared" si="38"/>
        <v>0</v>
      </c>
      <c r="AL118" s="37">
        <f t="shared" si="39"/>
        <v>0</v>
      </c>
      <c r="AM118" s="37">
        <f t="shared" si="40"/>
        <v>0</v>
      </c>
      <c r="AN118" s="37">
        <f t="shared" si="41"/>
        <v>0</v>
      </c>
      <c r="AO118" s="37">
        <f t="shared" si="42"/>
        <v>0</v>
      </c>
      <c r="AP118" s="37"/>
      <c r="AQ118" s="37"/>
      <c r="AR118" s="37">
        <f t="shared" si="43"/>
        <v>3</v>
      </c>
      <c r="AS118" s="37">
        <f t="shared" si="44"/>
        <v>4</v>
      </c>
      <c r="AT118" s="37" t="str">
        <f t="shared" si="45"/>
        <v>Correct</v>
      </c>
      <c r="AU118" s="37"/>
      <c r="AV118" s="120" t="str">
        <f>IFERROR(VLOOKUP(Table1[RespondentID],'All Data'!$A$3:$CO$999,87,FALSE),"unknown")</f>
        <v>Transgender</v>
      </c>
      <c r="AW118" s="120">
        <f>IFERROR(VLOOKUP(Table1[RespondentID],'All Data'!$A$3:$CO$999,88,FALSE),"unknown")</f>
        <v>52</v>
      </c>
      <c r="AX118" s="120" t="str">
        <f>IFERROR(VLOOKUP(Table1[RespondentID],'All Data'!$A$3:$CO$999,89,FALSE),"unknown")</f>
        <v>Suffolk</v>
      </c>
      <c r="AY118" s="120" t="str">
        <f>IFERROR(VLOOKUP(Table1[RespondentID],'All Data'!$A$3:$CO$999,90,FALSE),"unknown")</f>
        <v>Commack, 11725</v>
      </c>
      <c r="AZ118" s="120" t="str">
        <f>IFERROR(VLOOKUP(Table1[RespondentID],'All Data'!$A$3:$CO$999,91,FALSE),"unknown")</f>
        <v>Asian</v>
      </c>
      <c r="BA118" s="120" t="str">
        <f>IFERROR(VLOOKUP(Table1[RespondentID],'All Data'!$A$3:$CO$999,92,FALSE),"unknown")</f>
        <v>Hispanic or Latino</v>
      </c>
      <c r="BB118" s="120" t="str">
        <f>IFERROR(VLOOKUP(Table1[RespondentID],'All Data'!$A$3:$CO$999,93,FALSE),"unknown")</f>
        <v>English, Spanish, Farsi, Polish, Korean, Hindi</v>
      </c>
      <c r="BC118" s="120" t="str">
        <f>IFERROR(VLOOKUP(Table1[RespondentID],'All Data'!$A$3:$CW$999,94,FALSE),"unknown")</f>
        <v>Over $125,000</v>
      </c>
      <c r="BD118" s="120" t="str">
        <f>IFERROR(VLOOKUP(Table1[RespondentID],'All Data'!$A$3:$CW$999,95,FALSE),"unknown")</f>
        <v>Doctorate</v>
      </c>
      <c r="BE118" s="120" t="str">
        <f>IFERROR(VLOOKUP(Table1[RespondentID],'All Data'!$A$3:$CW$999,96,FALSE),"unknown")</f>
        <v>Self-employed</v>
      </c>
      <c r="BF118" s="120" t="str">
        <f>IFERROR(VLOOKUP(Table1[RespondentID],'All Data'!$A$3:$CW$999,97,FALSE),"unknown")</f>
        <v>Yes</v>
      </c>
      <c r="BG118" s="120">
        <f>IFERROR(VLOOKUP(Table1[RespondentID],'All Data'!$A$3:$CW$999,98,FALSE),"unknown")</f>
        <v>0</v>
      </c>
      <c r="BH118" s="120">
        <f>IFERROR(VLOOKUP(Table1[RespondentID],'All Data'!$A$3:$CW$999,99,FALSE),"unknown")</f>
        <v>0</v>
      </c>
    </row>
    <row r="119" spans="1:60">
      <c r="A119" s="5">
        <v>18022520086</v>
      </c>
      <c r="B119" s="5"/>
      <c r="C119" s="5" t="s">
        <v>50</v>
      </c>
      <c r="D119" s="5" t="s">
        <v>51</v>
      </c>
      <c r="E119" s="5"/>
      <c r="F119" s="5" t="s">
        <v>52</v>
      </c>
      <c r="G119" s="5"/>
      <c r="H119" s="5"/>
      <c r="I119" s="5"/>
      <c r="J119" s="5"/>
      <c r="K119" s="5"/>
      <c r="L119" s="5"/>
      <c r="M119" s="5"/>
      <c r="N119" s="5"/>
      <c r="O119" s="5"/>
      <c r="P119" s="5"/>
      <c r="Q119" s="5"/>
      <c r="R119" s="5"/>
      <c r="S119" s="5"/>
      <c r="T119" s="37"/>
      <c r="U119" s="37">
        <f t="shared" si="23"/>
        <v>3</v>
      </c>
      <c r="V119" s="37">
        <f t="shared" si="24"/>
        <v>1</v>
      </c>
      <c r="W119" s="37"/>
      <c r="X119" s="37">
        <f t="shared" si="25"/>
        <v>0</v>
      </c>
      <c r="Y119" s="37">
        <f t="shared" si="26"/>
        <v>1</v>
      </c>
      <c r="Z119" s="37">
        <f t="shared" si="27"/>
        <v>1</v>
      </c>
      <c r="AA119" s="37">
        <f t="shared" si="28"/>
        <v>0</v>
      </c>
      <c r="AB119" s="37">
        <f t="shared" si="29"/>
        <v>1</v>
      </c>
      <c r="AC119" s="37">
        <f t="shared" si="30"/>
        <v>0</v>
      </c>
      <c r="AD119" s="37">
        <f t="shared" si="31"/>
        <v>0</v>
      </c>
      <c r="AE119" s="37">
        <f t="shared" si="32"/>
        <v>0</v>
      </c>
      <c r="AF119" s="37">
        <f t="shared" si="33"/>
        <v>0</v>
      </c>
      <c r="AG119" s="37">
        <f t="shared" si="34"/>
        <v>0</v>
      </c>
      <c r="AH119" s="37">
        <f t="shared" si="35"/>
        <v>0</v>
      </c>
      <c r="AI119" s="37">
        <f t="shared" si="36"/>
        <v>0</v>
      </c>
      <c r="AJ119" s="37">
        <f t="shared" si="37"/>
        <v>0</v>
      </c>
      <c r="AK119" s="37">
        <f t="shared" si="38"/>
        <v>0</v>
      </c>
      <c r="AL119" s="37">
        <f t="shared" si="39"/>
        <v>0</v>
      </c>
      <c r="AM119" s="37">
        <f t="shared" si="40"/>
        <v>0</v>
      </c>
      <c r="AN119" s="37">
        <f t="shared" si="41"/>
        <v>0</v>
      </c>
      <c r="AO119" s="37">
        <f t="shared" si="42"/>
        <v>0</v>
      </c>
      <c r="AP119" s="37"/>
      <c r="AQ119" s="37"/>
      <c r="AR119" s="37">
        <f t="shared" si="43"/>
        <v>3</v>
      </c>
      <c r="AS119" s="37">
        <f t="shared" si="44"/>
        <v>3</v>
      </c>
      <c r="AT119" s="37" t="str">
        <f t="shared" si="45"/>
        <v>Correct</v>
      </c>
      <c r="AU119" s="37"/>
      <c r="AV119" s="120" t="str">
        <f>IFERROR(VLOOKUP(Table1[RespondentID],'All Data'!$A$3:$CO$999,87,FALSE),"unknown")</f>
        <v>Man</v>
      </c>
      <c r="AW119" s="120">
        <f>IFERROR(VLOOKUP(Table1[RespondentID],'All Data'!$A$3:$CO$999,88,FALSE),"unknown")</f>
        <v>29</v>
      </c>
      <c r="AX119" s="120" t="str">
        <f>IFERROR(VLOOKUP(Table1[RespondentID],'All Data'!$A$3:$CO$999,89,FALSE),"unknown")</f>
        <v>Suffolk</v>
      </c>
      <c r="AY119" s="120" t="str">
        <f>IFERROR(VLOOKUP(Table1[RespondentID],'All Data'!$A$3:$CO$999,90,FALSE),"unknown")</f>
        <v>Commack, 11725</v>
      </c>
      <c r="AZ119" s="120" t="str">
        <f>IFERROR(VLOOKUP(Table1[RespondentID],'All Data'!$A$3:$CO$999,91,FALSE),"unknown")</f>
        <v>American Indian and Alaska Native</v>
      </c>
      <c r="BA119" s="120" t="str">
        <f>IFERROR(VLOOKUP(Table1[RespondentID],'All Data'!$A$3:$CO$999,92,FALSE),"unknown")</f>
        <v>Hispanic or Latino</v>
      </c>
      <c r="BB119" s="120" t="str">
        <f>IFERROR(VLOOKUP(Table1[RespondentID],'All Data'!$A$3:$CO$999,93,FALSE),"unknown")</f>
        <v>English, Spanish, Hindi</v>
      </c>
      <c r="BC119" s="120" t="str">
        <f>IFERROR(VLOOKUP(Table1[RespondentID],'All Data'!$A$3:$CW$999,94,FALSE),"unknown")</f>
        <v>Over $125,000</v>
      </c>
      <c r="BD119" s="120" t="str">
        <f>IFERROR(VLOOKUP(Table1[RespondentID],'All Data'!$A$3:$CW$999,95,FALSE),"unknown")</f>
        <v>Graduate school</v>
      </c>
      <c r="BE119" s="120" t="str">
        <f>IFERROR(VLOOKUP(Table1[RespondentID],'All Data'!$A$3:$CW$999,96,FALSE),"unknown")</f>
        <v>Employed for wages</v>
      </c>
      <c r="BF119" s="120" t="str">
        <f>IFERROR(VLOOKUP(Table1[RespondentID],'All Data'!$A$3:$CW$999,97,FALSE),"unknown")</f>
        <v>Yes</v>
      </c>
      <c r="BG119" s="120">
        <f>IFERROR(VLOOKUP(Table1[RespondentID],'All Data'!$A$3:$CW$999,98,FALSE),"unknown")</f>
        <v>0</v>
      </c>
      <c r="BH119" s="120">
        <f>IFERROR(VLOOKUP(Table1[RespondentID],'All Data'!$A$3:$CW$999,99,FALSE),"unknown")</f>
        <v>0</v>
      </c>
    </row>
    <row r="120" spans="1:60">
      <c r="A120" s="5">
        <v>18022519957</v>
      </c>
      <c r="B120" s="5"/>
      <c r="C120" s="5"/>
      <c r="D120" s="5"/>
      <c r="E120" s="5"/>
      <c r="F120" s="5" t="s">
        <v>52</v>
      </c>
      <c r="G120" s="5"/>
      <c r="H120" s="5"/>
      <c r="I120" s="5"/>
      <c r="J120" s="5"/>
      <c r="K120" s="5"/>
      <c r="L120" s="5" t="s">
        <v>58</v>
      </c>
      <c r="M120" s="5"/>
      <c r="N120" s="5" t="s">
        <v>24</v>
      </c>
      <c r="O120" s="5"/>
      <c r="P120" s="5"/>
      <c r="Q120" s="5"/>
      <c r="R120" s="5"/>
      <c r="S120" s="5"/>
      <c r="T120" s="37"/>
      <c r="U120" s="37">
        <f t="shared" si="23"/>
        <v>3</v>
      </c>
      <c r="V120" s="37">
        <f t="shared" si="24"/>
        <v>1</v>
      </c>
      <c r="W120" s="37"/>
      <c r="X120" s="37">
        <f t="shared" si="25"/>
        <v>0</v>
      </c>
      <c r="Y120" s="37">
        <f t="shared" si="26"/>
        <v>0</v>
      </c>
      <c r="Z120" s="37">
        <f t="shared" si="27"/>
        <v>0</v>
      </c>
      <c r="AA120" s="37">
        <f t="shared" si="28"/>
        <v>0</v>
      </c>
      <c r="AB120" s="37">
        <f t="shared" si="29"/>
        <v>1</v>
      </c>
      <c r="AC120" s="37">
        <f t="shared" si="30"/>
        <v>0</v>
      </c>
      <c r="AD120" s="37">
        <f t="shared" si="31"/>
        <v>0</v>
      </c>
      <c r="AE120" s="37">
        <f t="shared" si="32"/>
        <v>0</v>
      </c>
      <c r="AF120" s="37">
        <f t="shared" si="33"/>
        <v>0</v>
      </c>
      <c r="AG120" s="37">
        <f t="shared" si="34"/>
        <v>0</v>
      </c>
      <c r="AH120" s="37">
        <f t="shared" si="35"/>
        <v>1</v>
      </c>
      <c r="AI120" s="37">
        <f t="shared" si="36"/>
        <v>0</v>
      </c>
      <c r="AJ120" s="37">
        <f t="shared" si="37"/>
        <v>1</v>
      </c>
      <c r="AK120" s="37">
        <f t="shared" si="38"/>
        <v>0</v>
      </c>
      <c r="AL120" s="37">
        <f t="shared" si="39"/>
        <v>0</v>
      </c>
      <c r="AM120" s="37">
        <f t="shared" si="40"/>
        <v>0</v>
      </c>
      <c r="AN120" s="37">
        <f t="shared" si="41"/>
        <v>0</v>
      </c>
      <c r="AO120" s="37">
        <f t="shared" si="42"/>
        <v>0</v>
      </c>
      <c r="AP120" s="37"/>
      <c r="AQ120" s="37"/>
      <c r="AR120" s="37">
        <f t="shared" si="43"/>
        <v>3</v>
      </c>
      <c r="AS120" s="37">
        <f t="shared" si="44"/>
        <v>3</v>
      </c>
      <c r="AT120" s="37" t="str">
        <f t="shared" si="45"/>
        <v>Correct</v>
      </c>
      <c r="AU120" s="37"/>
      <c r="AV120" s="120" t="str">
        <f>IFERROR(VLOOKUP(Table1[RespondentID],'All Data'!$A$3:$CO$999,87,FALSE),"unknown")</f>
        <v>Man</v>
      </c>
      <c r="AW120" s="120">
        <f>IFERROR(VLOOKUP(Table1[RespondentID],'All Data'!$A$3:$CO$999,88,FALSE),"unknown")</f>
        <v>18</v>
      </c>
      <c r="AX120" s="120" t="str">
        <f>IFERROR(VLOOKUP(Table1[RespondentID],'All Data'!$A$3:$CO$999,89,FALSE),"unknown")</f>
        <v>Suffolk</v>
      </c>
      <c r="AY120" s="120" t="str">
        <f>IFERROR(VLOOKUP(Table1[RespondentID],'All Data'!$A$3:$CO$999,90,FALSE),"unknown")</f>
        <v>Dix Hills, 11746</v>
      </c>
      <c r="AZ120" s="120" t="str">
        <f>IFERROR(VLOOKUP(Table1[RespondentID],'All Data'!$A$3:$CO$999,91,FALSE),"unknown")</f>
        <v>White</v>
      </c>
      <c r="BA120" s="120" t="str">
        <f>IFERROR(VLOOKUP(Table1[RespondentID],'All Data'!$A$3:$CO$999,92,FALSE),"unknown")</f>
        <v>Hispanic or Latino</v>
      </c>
      <c r="BB120" s="120" t="str">
        <f>IFERROR(VLOOKUP(Table1[RespondentID],'All Data'!$A$3:$CO$999,93,FALSE),"unknown")</f>
        <v>English</v>
      </c>
      <c r="BC120" s="120" t="str">
        <f>IFERROR(VLOOKUP(Table1[RespondentID],'All Data'!$A$3:$CW$999,94,FALSE),"unknown")</f>
        <v>$75,000 to $125,000</v>
      </c>
      <c r="BD120" s="120" t="str">
        <f>IFERROR(VLOOKUP(Table1[RespondentID],'All Data'!$A$3:$CW$999,95,FALSE),"unknown")</f>
        <v>High school graduate</v>
      </c>
      <c r="BE120" s="120" t="str">
        <f>IFERROR(VLOOKUP(Table1[RespondentID],'All Data'!$A$3:$CW$999,96,FALSE),"unknown")</f>
        <v>Student</v>
      </c>
      <c r="BF120" s="120" t="str">
        <f>IFERROR(VLOOKUP(Table1[RespondentID],'All Data'!$A$3:$CW$999,97,FALSE),"unknown")</f>
        <v>Yes</v>
      </c>
      <c r="BG120" s="120">
        <f>IFERROR(VLOOKUP(Table1[RespondentID],'All Data'!$A$3:$CW$999,98,FALSE),"unknown")</f>
        <v>0</v>
      </c>
      <c r="BH120" s="120">
        <f>IFERROR(VLOOKUP(Table1[RespondentID],'All Data'!$A$3:$CW$999,99,FALSE),"unknown")</f>
        <v>0</v>
      </c>
    </row>
    <row r="121" spans="1:60">
      <c r="A121" s="5">
        <v>18022519838</v>
      </c>
      <c r="B121" s="5"/>
      <c r="C121" s="5"/>
      <c r="D121" s="5" t="s">
        <v>51</v>
      </c>
      <c r="E121" s="5"/>
      <c r="F121" s="5"/>
      <c r="G121" s="5"/>
      <c r="H121" s="5"/>
      <c r="I121" s="5"/>
      <c r="J121" s="5"/>
      <c r="K121" s="5"/>
      <c r="L121" s="5"/>
      <c r="M121" s="5"/>
      <c r="N121" s="5"/>
      <c r="O121" s="5"/>
      <c r="P121" s="5"/>
      <c r="Q121" s="5"/>
      <c r="R121" s="5" t="s">
        <v>62</v>
      </c>
      <c r="S121" s="5" t="s">
        <v>63</v>
      </c>
      <c r="T121" s="37"/>
      <c r="U121" s="37">
        <f t="shared" si="23"/>
        <v>3</v>
      </c>
      <c r="V121" s="37">
        <f t="shared" si="24"/>
        <v>1</v>
      </c>
      <c r="W121" s="37"/>
      <c r="X121" s="37">
        <f t="shared" si="25"/>
        <v>0</v>
      </c>
      <c r="Y121" s="37">
        <f t="shared" si="26"/>
        <v>0</v>
      </c>
      <c r="Z121" s="37">
        <f t="shared" si="27"/>
        <v>1</v>
      </c>
      <c r="AA121" s="37">
        <f t="shared" si="28"/>
        <v>0</v>
      </c>
      <c r="AB121" s="37">
        <f t="shared" si="29"/>
        <v>0</v>
      </c>
      <c r="AC121" s="37">
        <f t="shared" si="30"/>
        <v>0</v>
      </c>
      <c r="AD121" s="37">
        <f t="shared" si="31"/>
        <v>0</v>
      </c>
      <c r="AE121" s="37">
        <f t="shared" si="32"/>
        <v>0</v>
      </c>
      <c r="AF121" s="37">
        <f t="shared" si="33"/>
        <v>0</v>
      </c>
      <c r="AG121" s="37">
        <f t="shared" si="34"/>
        <v>0</v>
      </c>
      <c r="AH121" s="37">
        <f t="shared" si="35"/>
        <v>0</v>
      </c>
      <c r="AI121" s="37">
        <f t="shared" si="36"/>
        <v>0</v>
      </c>
      <c r="AJ121" s="37">
        <f t="shared" si="37"/>
        <v>0</v>
      </c>
      <c r="AK121" s="37">
        <f t="shared" si="38"/>
        <v>0</v>
      </c>
      <c r="AL121" s="37">
        <f t="shared" si="39"/>
        <v>0</v>
      </c>
      <c r="AM121" s="37">
        <f t="shared" si="40"/>
        <v>0</v>
      </c>
      <c r="AN121" s="37">
        <f t="shared" si="41"/>
        <v>1</v>
      </c>
      <c r="AO121" s="37">
        <f t="shared" si="42"/>
        <v>1</v>
      </c>
      <c r="AP121" s="37"/>
      <c r="AQ121" s="37"/>
      <c r="AR121" s="37">
        <f t="shared" si="43"/>
        <v>3</v>
      </c>
      <c r="AS121" s="37">
        <f t="shared" si="44"/>
        <v>3</v>
      </c>
      <c r="AT121" s="37" t="str">
        <f t="shared" si="45"/>
        <v>Correct</v>
      </c>
      <c r="AU121" s="37"/>
      <c r="AV121" s="120" t="str">
        <f>IFERROR(VLOOKUP(Table1[RespondentID],'All Data'!$A$3:$CO$999,87,FALSE),"unknown")</f>
        <v>Man</v>
      </c>
      <c r="AW121" s="120">
        <f>IFERROR(VLOOKUP(Table1[RespondentID],'All Data'!$A$3:$CO$999,88,FALSE),"unknown")</f>
        <v>0</v>
      </c>
      <c r="AX121" s="120" t="str">
        <f>IFERROR(VLOOKUP(Table1[RespondentID],'All Data'!$A$3:$CO$999,89,FALSE),"unknown")</f>
        <v>Suffolk</v>
      </c>
      <c r="AY121" s="120" t="str">
        <f>IFERROR(VLOOKUP(Table1[RespondentID],'All Data'!$A$3:$CO$999,90,FALSE),"unknown")</f>
        <v>Commack, 11725</v>
      </c>
      <c r="AZ121" s="120" t="str">
        <f>IFERROR(VLOOKUP(Table1[RespondentID],'All Data'!$A$3:$CO$999,91,FALSE),"unknown")</f>
        <v>White</v>
      </c>
      <c r="BA121" s="120">
        <f>IFERROR(VLOOKUP(Table1[RespondentID],'All Data'!$A$3:$CO$999,92,FALSE),"unknown")</f>
        <v>0</v>
      </c>
      <c r="BB121" s="120" t="str">
        <f>IFERROR(VLOOKUP(Table1[RespondentID],'All Data'!$A$3:$CO$999,93,FALSE),"unknown")</f>
        <v>English</v>
      </c>
      <c r="BC121" s="120">
        <f>IFERROR(VLOOKUP(Table1[RespondentID],'All Data'!$A$3:$CW$999,94,FALSE),"unknown")</f>
        <v>0</v>
      </c>
      <c r="BD121" s="120" t="str">
        <f>IFERROR(VLOOKUP(Table1[RespondentID],'All Data'!$A$3:$CW$999,95,FALSE),"unknown")</f>
        <v>College graduate</v>
      </c>
      <c r="BE121" s="120" t="str">
        <f>IFERROR(VLOOKUP(Table1[RespondentID],'All Data'!$A$3:$CW$999,96,FALSE),"unknown")</f>
        <v>Employed for wages</v>
      </c>
      <c r="BF121" s="120" t="str">
        <f>IFERROR(VLOOKUP(Table1[RespondentID],'All Data'!$A$3:$CW$999,97,FALSE),"unknown")</f>
        <v>Yes</v>
      </c>
      <c r="BG121" s="120">
        <f>IFERROR(VLOOKUP(Table1[RespondentID],'All Data'!$A$3:$CW$999,98,FALSE),"unknown")</f>
        <v>0</v>
      </c>
      <c r="BH121" s="120">
        <f>IFERROR(VLOOKUP(Table1[RespondentID],'All Data'!$A$3:$CW$999,99,FALSE),"unknown")</f>
        <v>0</v>
      </c>
    </row>
    <row r="122" spans="1:60">
      <c r="A122" s="5">
        <v>18022519606</v>
      </c>
      <c r="B122" s="5"/>
      <c r="C122" s="5"/>
      <c r="D122" s="5"/>
      <c r="E122" s="5"/>
      <c r="F122" s="5" t="s">
        <v>52</v>
      </c>
      <c r="G122" s="5"/>
      <c r="H122" s="5"/>
      <c r="I122" s="5"/>
      <c r="J122" s="5"/>
      <c r="K122" s="5"/>
      <c r="L122" s="5"/>
      <c r="M122" s="5" t="s">
        <v>59</v>
      </c>
      <c r="N122" s="5"/>
      <c r="O122" s="5"/>
      <c r="P122" s="5"/>
      <c r="Q122" s="5"/>
      <c r="R122" s="5" t="s">
        <v>62</v>
      </c>
      <c r="S122" s="5"/>
      <c r="T122" s="37"/>
      <c r="U122" s="37">
        <f t="shared" si="23"/>
        <v>3</v>
      </c>
      <c r="V122" s="37">
        <f t="shared" si="24"/>
        <v>1</v>
      </c>
      <c r="W122" s="37"/>
      <c r="X122" s="37">
        <f t="shared" si="25"/>
        <v>0</v>
      </c>
      <c r="Y122" s="37">
        <f t="shared" si="26"/>
        <v>0</v>
      </c>
      <c r="Z122" s="37">
        <f t="shared" si="27"/>
        <v>0</v>
      </c>
      <c r="AA122" s="37">
        <f t="shared" si="28"/>
        <v>0</v>
      </c>
      <c r="AB122" s="37">
        <f t="shared" si="29"/>
        <v>1</v>
      </c>
      <c r="AC122" s="37">
        <f t="shared" si="30"/>
        <v>0</v>
      </c>
      <c r="AD122" s="37">
        <f t="shared" si="31"/>
        <v>0</v>
      </c>
      <c r="AE122" s="37">
        <f t="shared" si="32"/>
        <v>0</v>
      </c>
      <c r="AF122" s="37">
        <f t="shared" si="33"/>
        <v>0</v>
      </c>
      <c r="AG122" s="37">
        <f t="shared" si="34"/>
        <v>0</v>
      </c>
      <c r="AH122" s="37">
        <f t="shared" si="35"/>
        <v>0</v>
      </c>
      <c r="AI122" s="37">
        <f t="shared" si="36"/>
        <v>1</v>
      </c>
      <c r="AJ122" s="37">
        <f t="shared" si="37"/>
        <v>0</v>
      </c>
      <c r="AK122" s="37">
        <f t="shared" si="38"/>
        <v>0</v>
      </c>
      <c r="AL122" s="37">
        <f t="shared" si="39"/>
        <v>0</v>
      </c>
      <c r="AM122" s="37">
        <f t="shared" si="40"/>
        <v>0</v>
      </c>
      <c r="AN122" s="37">
        <f t="shared" si="41"/>
        <v>1</v>
      </c>
      <c r="AO122" s="37">
        <f t="shared" si="42"/>
        <v>0</v>
      </c>
      <c r="AP122" s="37"/>
      <c r="AQ122" s="37"/>
      <c r="AR122" s="37">
        <f t="shared" si="43"/>
        <v>3</v>
      </c>
      <c r="AS122" s="37">
        <f t="shared" si="44"/>
        <v>3</v>
      </c>
      <c r="AT122" s="37" t="str">
        <f t="shared" si="45"/>
        <v>Correct</v>
      </c>
      <c r="AU122" s="37"/>
      <c r="AV122" s="120" t="str">
        <f>IFERROR(VLOOKUP(Table1[RespondentID],'All Data'!$A$3:$CO$999,87,FALSE),"unknown")</f>
        <v>Woman</v>
      </c>
      <c r="AW122" s="120">
        <f>IFERROR(VLOOKUP(Table1[RespondentID],'All Data'!$A$3:$CO$999,88,FALSE),"unknown")</f>
        <v>32</v>
      </c>
      <c r="AX122" s="120" t="str">
        <f>IFERROR(VLOOKUP(Table1[RespondentID],'All Data'!$A$3:$CO$999,89,FALSE),"unknown")</f>
        <v>Suffolk</v>
      </c>
      <c r="AY122" s="120" t="str">
        <f>IFERROR(VLOOKUP(Table1[RespondentID],'All Data'!$A$3:$CO$999,90,FALSE),"unknown")</f>
        <v>West Islip, 11795</v>
      </c>
      <c r="AZ122" s="120" t="str">
        <f>IFERROR(VLOOKUP(Table1[RespondentID],'All Data'!$A$3:$CO$999,91,FALSE),"unknown")</f>
        <v>White</v>
      </c>
      <c r="BA122" s="120" t="str">
        <f>IFERROR(VLOOKUP(Table1[RespondentID],'All Data'!$A$3:$CO$999,92,FALSE),"unknown")</f>
        <v>Hispanic or Latino</v>
      </c>
      <c r="BB122" s="120" t="str">
        <f>IFERROR(VLOOKUP(Table1[RespondentID],'All Data'!$A$3:$CO$999,93,FALSE),"unknown")</f>
        <v>English</v>
      </c>
      <c r="BC122" s="120" t="str">
        <f>IFERROR(VLOOKUP(Table1[RespondentID],'All Data'!$A$3:$CW$999,94,FALSE),"unknown")</f>
        <v>$50,000 to $74,999</v>
      </c>
      <c r="BD122" s="120" t="str">
        <f>IFERROR(VLOOKUP(Table1[RespondentID],'All Data'!$A$3:$CW$999,95,FALSE),"unknown")</f>
        <v>Graduate school</v>
      </c>
      <c r="BE122" s="120" t="str">
        <f>IFERROR(VLOOKUP(Table1[RespondentID],'All Data'!$A$3:$CW$999,96,FALSE),"unknown")</f>
        <v>Employed for wages</v>
      </c>
      <c r="BF122" s="120" t="str">
        <f>IFERROR(VLOOKUP(Table1[RespondentID],'All Data'!$A$3:$CW$999,97,FALSE),"unknown")</f>
        <v>Yes</v>
      </c>
      <c r="BG122" s="120">
        <f>IFERROR(VLOOKUP(Table1[RespondentID],'All Data'!$A$3:$CW$999,98,FALSE),"unknown")</f>
        <v>0</v>
      </c>
      <c r="BH122" s="120">
        <f>IFERROR(VLOOKUP(Table1[RespondentID],'All Data'!$A$3:$CW$999,99,FALSE),"unknown")</f>
        <v>0</v>
      </c>
    </row>
    <row r="123" spans="1:60">
      <c r="A123" s="5">
        <v>18022519229</v>
      </c>
      <c r="B123" s="5"/>
      <c r="C123" s="5"/>
      <c r="D123" s="5" t="s">
        <v>51</v>
      </c>
      <c r="E123" s="5"/>
      <c r="F123" s="5" t="s">
        <v>52</v>
      </c>
      <c r="G123" s="5"/>
      <c r="H123" s="5"/>
      <c r="I123" s="5"/>
      <c r="J123" s="5"/>
      <c r="K123" s="5"/>
      <c r="L123" s="5"/>
      <c r="M123" s="5"/>
      <c r="N123" s="5"/>
      <c r="O123" s="5"/>
      <c r="P123" s="5"/>
      <c r="Q123" s="5"/>
      <c r="R123" s="5"/>
      <c r="S123" s="5"/>
      <c r="T123" s="37"/>
      <c r="U123" s="37">
        <f t="shared" si="23"/>
        <v>2</v>
      </c>
      <c r="V123" s="37">
        <f t="shared" si="24"/>
        <v>1.5</v>
      </c>
      <c r="W123" s="37"/>
      <c r="X123" s="37">
        <f t="shared" si="25"/>
        <v>0</v>
      </c>
      <c r="Y123" s="37">
        <f t="shared" si="26"/>
        <v>0</v>
      </c>
      <c r="Z123" s="37">
        <f t="shared" si="27"/>
        <v>1</v>
      </c>
      <c r="AA123" s="37">
        <f t="shared" si="28"/>
        <v>0</v>
      </c>
      <c r="AB123" s="37">
        <f t="shared" si="29"/>
        <v>1</v>
      </c>
      <c r="AC123" s="37">
        <f t="shared" si="30"/>
        <v>0</v>
      </c>
      <c r="AD123" s="37">
        <f t="shared" si="31"/>
        <v>0</v>
      </c>
      <c r="AE123" s="37">
        <f t="shared" si="32"/>
        <v>0</v>
      </c>
      <c r="AF123" s="37">
        <f t="shared" si="33"/>
        <v>0</v>
      </c>
      <c r="AG123" s="37">
        <f t="shared" si="34"/>
        <v>0</v>
      </c>
      <c r="AH123" s="37">
        <f t="shared" si="35"/>
        <v>0</v>
      </c>
      <c r="AI123" s="37">
        <f t="shared" si="36"/>
        <v>0</v>
      </c>
      <c r="AJ123" s="37">
        <f t="shared" si="37"/>
        <v>0</v>
      </c>
      <c r="AK123" s="37">
        <f t="shared" si="38"/>
        <v>0</v>
      </c>
      <c r="AL123" s="37">
        <f t="shared" si="39"/>
        <v>0</v>
      </c>
      <c r="AM123" s="37">
        <f t="shared" si="40"/>
        <v>0</v>
      </c>
      <c r="AN123" s="37">
        <f t="shared" si="41"/>
        <v>0</v>
      </c>
      <c r="AO123" s="37">
        <f t="shared" si="42"/>
        <v>0</v>
      </c>
      <c r="AP123" s="37"/>
      <c r="AQ123" s="37"/>
      <c r="AR123" s="37">
        <f t="shared" si="43"/>
        <v>2</v>
      </c>
      <c r="AS123" s="37">
        <f t="shared" si="44"/>
        <v>2</v>
      </c>
      <c r="AT123" s="37" t="str">
        <f t="shared" si="45"/>
        <v>Correct</v>
      </c>
      <c r="AU123" s="37"/>
      <c r="AV123" s="120" t="str">
        <f>IFERROR(VLOOKUP(Table1[RespondentID],'All Data'!$A$3:$CO$999,87,FALSE),"unknown")</f>
        <v>Man</v>
      </c>
      <c r="AW123" s="120">
        <f>IFERROR(VLOOKUP(Table1[RespondentID],'All Data'!$A$3:$CO$999,88,FALSE),"unknown")</f>
        <v>45</v>
      </c>
      <c r="AX123" s="120" t="str">
        <f>IFERROR(VLOOKUP(Table1[RespondentID],'All Data'!$A$3:$CO$999,89,FALSE),"unknown")</f>
        <v>Suffolk</v>
      </c>
      <c r="AY123" s="120" t="str">
        <f>IFERROR(VLOOKUP(Table1[RespondentID],'All Data'!$A$3:$CO$999,90,FALSE),"unknown")</f>
        <v>Commack, 11725</v>
      </c>
      <c r="AZ123" s="120" t="str">
        <f>IFERROR(VLOOKUP(Table1[RespondentID],'All Data'!$A$3:$CO$999,91,FALSE),"unknown")</f>
        <v>White</v>
      </c>
      <c r="BA123" s="120">
        <f>IFERROR(VLOOKUP(Table1[RespondentID],'All Data'!$A$3:$CO$999,92,FALSE),"unknown")</f>
        <v>0</v>
      </c>
      <c r="BB123" s="120" t="str">
        <f>IFERROR(VLOOKUP(Table1[RespondentID],'All Data'!$A$3:$CO$999,93,FALSE),"unknown")</f>
        <v>English</v>
      </c>
      <c r="BC123" s="120" t="str">
        <f>IFERROR(VLOOKUP(Table1[RespondentID],'All Data'!$A$3:$CW$999,94,FALSE),"unknown")</f>
        <v>$50,000 to $74,999</v>
      </c>
      <c r="BD123" s="120" t="str">
        <f>IFERROR(VLOOKUP(Table1[RespondentID],'All Data'!$A$3:$CW$999,95,FALSE),"unknown")</f>
        <v>Graduate school</v>
      </c>
      <c r="BE123" s="120" t="str">
        <f>IFERROR(VLOOKUP(Table1[RespondentID],'All Data'!$A$3:$CW$999,96,FALSE),"unknown")</f>
        <v>Employed for wages</v>
      </c>
      <c r="BF123" s="120" t="str">
        <f>IFERROR(VLOOKUP(Table1[RespondentID],'All Data'!$A$3:$CW$999,97,FALSE),"unknown")</f>
        <v>Yes</v>
      </c>
      <c r="BG123" s="120">
        <f>IFERROR(VLOOKUP(Table1[RespondentID],'All Data'!$A$3:$CW$999,98,FALSE),"unknown")</f>
        <v>0</v>
      </c>
      <c r="BH123" s="120">
        <f>IFERROR(VLOOKUP(Table1[RespondentID],'All Data'!$A$3:$CW$999,99,FALSE),"unknown")</f>
        <v>0</v>
      </c>
    </row>
    <row r="124" spans="1:60">
      <c r="A124" s="5">
        <v>18022519049</v>
      </c>
      <c r="B124" s="5"/>
      <c r="C124" s="5"/>
      <c r="D124" s="5" t="s">
        <v>51</v>
      </c>
      <c r="E124" s="5"/>
      <c r="F124" s="5" t="s">
        <v>52</v>
      </c>
      <c r="G124" s="5"/>
      <c r="H124" s="5"/>
      <c r="I124" s="5"/>
      <c r="J124" s="5"/>
      <c r="K124" s="5"/>
      <c r="L124" s="5"/>
      <c r="M124" s="5"/>
      <c r="N124" s="5"/>
      <c r="O124" s="5" t="s">
        <v>20</v>
      </c>
      <c r="P124" s="5"/>
      <c r="Q124" s="5"/>
      <c r="R124" s="5"/>
      <c r="S124" s="5"/>
      <c r="T124" s="37"/>
      <c r="U124" s="37">
        <f t="shared" si="23"/>
        <v>3</v>
      </c>
      <c r="V124" s="37">
        <f t="shared" si="24"/>
        <v>1</v>
      </c>
      <c r="W124" s="37"/>
      <c r="X124" s="37">
        <f t="shared" si="25"/>
        <v>0</v>
      </c>
      <c r="Y124" s="37">
        <f t="shared" si="26"/>
        <v>0</v>
      </c>
      <c r="Z124" s="37">
        <f t="shared" si="27"/>
        <v>1</v>
      </c>
      <c r="AA124" s="37">
        <f t="shared" si="28"/>
        <v>0</v>
      </c>
      <c r="AB124" s="37">
        <f t="shared" si="29"/>
        <v>1</v>
      </c>
      <c r="AC124" s="37">
        <f t="shared" si="30"/>
        <v>0</v>
      </c>
      <c r="AD124" s="37">
        <f t="shared" si="31"/>
        <v>0</v>
      </c>
      <c r="AE124" s="37">
        <f t="shared" si="32"/>
        <v>0</v>
      </c>
      <c r="AF124" s="37">
        <f t="shared" si="33"/>
        <v>0</v>
      </c>
      <c r="AG124" s="37">
        <f t="shared" si="34"/>
        <v>0</v>
      </c>
      <c r="AH124" s="37">
        <f t="shared" si="35"/>
        <v>0</v>
      </c>
      <c r="AI124" s="37">
        <f t="shared" si="36"/>
        <v>0</v>
      </c>
      <c r="AJ124" s="37">
        <f t="shared" si="37"/>
        <v>0</v>
      </c>
      <c r="AK124" s="37">
        <f t="shared" si="38"/>
        <v>1</v>
      </c>
      <c r="AL124" s="37">
        <f t="shared" si="39"/>
        <v>0</v>
      </c>
      <c r="AM124" s="37">
        <f t="shared" si="40"/>
        <v>0</v>
      </c>
      <c r="AN124" s="37">
        <f t="shared" si="41"/>
        <v>0</v>
      </c>
      <c r="AO124" s="37">
        <f t="shared" si="42"/>
        <v>0</v>
      </c>
      <c r="AP124" s="37"/>
      <c r="AQ124" s="37"/>
      <c r="AR124" s="37">
        <f t="shared" si="43"/>
        <v>3</v>
      </c>
      <c r="AS124" s="37">
        <f t="shared" si="44"/>
        <v>3</v>
      </c>
      <c r="AT124" s="37" t="str">
        <f t="shared" si="45"/>
        <v>Correct</v>
      </c>
      <c r="AU124" s="37"/>
      <c r="AV124" s="120" t="str">
        <f>IFERROR(VLOOKUP(Table1[RespondentID],'All Data'!$A$3:$CO$999,87,FALSE),"unknown")</f>
        <v>Man</v>
      </c>
      <c r="AW124" s="120">
        <f>IFERROR(VLOOKUP(Table1[RespondentID],'All Data'!$A$3:$CO$999,88,FALSE),"unknown")</f>
        <v>44</v>
      </c>
      <c r="AX124" s="120" t="str">
        <f>IFERROR(VLOOKUP(Table1[RespondentID],'All Data'!$A$3:$CO$999,89,FALSE),"unknown")</f>
        <v>Suffolk</v>
      </c>
      <c r="AY124" s="120" t="str">
        <f>IFERROR(VLOOKUP(Table1[RespondentID],'All Data'!$A$3:$CO$999,90,FALSE),"unknown")</f>
        <v>Commack, 11725</v>
      </c>
      <c r="AZ124" s="120" t="str">
        <f>IFERROR(VLOOKUP(Table1[RespondentID],'All Data'!$A$3:$CO$999,91,FALSE),"unknown")</f>
        <v>White</v>
      </c>
      <c r="BA124" s="120" t="str">
        <f>IFERROR(VLOOKUP(Table1[RespondentID],'All Data'!$A$3:$CO$999,92,FALSE),"unknown")</f>
        <v>Hispanic or Latino</v>
      </c>
      <c r="BB124" s="120" t="str">
        <f>IFERROR(VLOOKUP(Table1[RespondentID],'All Data'!$A$3:$CO$999,93,FALSE),"unknown")</f>
        <v>English</v>
      </c>
      <c r="BC124" s="120" t="str">
        <f>IFERROR(VLOOKUP(Table1[RespondentID],'All Data'!$A$3:$CW$999,94,FALSE),"unknown")</f>
        <v>Over $125,000</v>
      </c>
      <c r="BD124" s="120" t="str">
        <f>IFERROR(VLOOKUP(Table1[RespondentID],'All Data'!$A$3:$CW$999,95,FALSE),"unknown")</f>
        <v>Some college</v>
      </c>
      <c r="BE124" s="120">
        <f>IFERROR(VLOOKUP(Table1[RespondentID],'All Data'!$A$3:$CW$999,96,FALSE),"unknown")</f>
        <v>0</v>
      </c>
      <c r="BF124" s="120" t="str">
        <f>IFERROR(VLOOKUP(Table1[RespondentID],'All Data'!$A$3:$CW$999,97,FALSE),"unknown")</f>
        <v>Yes</v>
      </c>
      <c r="BG124" s="120">
        <f>IFERROR(VLOOKUP(Table1[RespondentID],'All Data'!$A$3:$CW$999,98,FALSE),"unknown")</f>
        <v>0</v>
      </c>
      <c r="BH124" s="120">
        <f>IFERROR(VLOOKUP(Table1[RespondentID],'All Data'!$A$3:$CW$999,99,FALSE),"unknown")</f>
        <v>0</v>
      </c>
    </row>
    <row r="125" spans="1:60">
      <c r="A125" s="5">
        <v>18022518816</v>
      </c>
      <c r="B125" s="5"/>
      <c r="C125" s="5" t="s">
        <v>50</v>
      </c>
      <c r="D125" s="5" t="s">
        <v>51</v>
      </c>
      <c r="E125" s="5"/>
      <c r="F125" s="5"/>
      <c r="G125" s="5"/>
      <c r="H125" s="5"/>
      <c r="I125" s="5"/>
      <c r="J125" s="5"/>
      <c r="K125" s="5"/>
      <c r="L125" s="5"/>
      <c r="M125" s="5" t="s">
        <v>59</v>
      </c>
      <c r="N125" s="5"/>
      <c r="O125" s="5"/>
      <c r="P125" s="5"/>
      <c r="Q125" s="5"/>
      <c r="R125" s="5"/>
      <c r="S125" s="5"/>
      <c r="T125" s="37"/>
      <c r="U125" s="37">
        <f t="shared" si="23"/>
        <v>3</v>
      </c>
      <c r="V125" s="37">
        <f t="shared" si="24"/>
        <v>1</v>
      </c>
      <c r="W125" s="37"/>
      <c r="X125" s="37">
        <f t="shared" si="25"/>
        <v>0</v>
      </c>
      <c r="Y125" s="37">
        <f t="shared" si="26"/>
        <v>1</v>
      </c>
      <c r="Z125" s="37">
        <f t="shared" si="27"/>
        <v>1</v>
      </c>
      <c r="AA125" s="37">
        <f t="shared" si="28"/>
        <v>0</v>
      </c>
      <c r="AB125" s="37">
        <f t="shared" si="29"/>
        <v>0</v>
      </c>
      <c r="AC125" s="37">
        <f t="shared" si="30"/>
        <v>0</v>
      </c>
      <c r="AD125" s="37">
        <f t="shared" si="31"/>
        <v>0</v>
      </c>
      <c r="AE125" s="37">
        <f t="shared" si="32"/>
        <v>0</v>
      </c>
      <c r="AF125" s="37">
        <f t="shared" si="33"/>
        <v>0</v>
      </c>
      <c r="AG125" s="37">
        <f t="shared" si="34"/>
        <v>0</v>
      </c>
      <c r="AH125" s="37">
        <f t="shared" si="35"/>
        <v>0</v>
      </c>
      <c r="AI125" s="37">
        <f t="shared" si="36"/>
        <v>1</v>
      </c>
      <c r="AJ125" s="37">
        <f t="shared" si="37"/>
        <v>0</v>
      </c>
      <c r="AK125" s="37">
        <f t="shared" si="38"/>
        <v>0</v>
      </c>
      <c r="AL125" s="37">
        <f t="shared" si="39"/>
        <v>0</v>
      </c>
      <c r="AM125" s="37">
        <f t="shared" si="40"/>
        <v>0</v>
      </c>
      <c r="AN125" s="37">
        <f t="shared" si="41"/>
        <v>0</v>
      </c>
      <c r="AO125" s="37">
        <f t="shared" si="42"/>
        <v>0</v>
      </c>
      <c r="AP125" s="37"/>
      <c r="AQ125" s="37"/>
      <c r="AR125" s="37">
        <f t="shared" si="43"/>
        <v>3</v>
      </c>
      <c r="AS125" s="37">
        <f t="shared" si="44"/>
        <v>3</v>
      </c>
      <c r="AT125" s="37" t="str">
        <f t="shared" si="45"/>
        <v>Correct</v>
      </c>
      <c r="AU125" s="37"/>
      <c r="AV125" s="120" t="str">
        <f>IFERROR(VLOOKUP(Table1[RespondentID],'All Data'!$A$3:$CO$999,87,FALSE),"unknown")</f>
        <v>Man</v>
      </c>
      <c r="AW125" s="120">
        <f>IFERROR(VLOOKUP(Table1[RespondentID],'All Data'!$A$3:$CO$999,88,FALSE),"unknown")</f>
        <v>18</v>
      </c>
      <c r="AX125" s="120" t="str">
        <f>IFERROR(VLOOKUP(Table1[RespondentID],'All Data'!$A$3:$CO$999,89,FALSE),"unknown")</f>
        <v>Suffolk</v>
      </c>
      <c r="AY125" s="120" t="str">
        <f>IFERROR(VLOOKUP(Table1[RespondentID],'All Data'!$A$3:$CO$999,90,FALSE),"unknown")</f>
        <v>Smithtown, 11787</v>
      </c>
      <c r="AZ125" s="120" t="str">
        <f>IFERROR(VLOOKUP(Table1[RespondentID],'All Data'!$A$3:$CO$999,91,FALSE),"unknown")</f>
        <v>White</v>
      </c>
      <c r="BA125" s="120">
        <f>IFERROR(VLOOKUP(Table1[RespondentID],'All Data'!$A$3:$CO$999,92,FALSE),"unknown")</f>
        <v>0</v>
      </c>
      <c r="BB125" s="120" t="str">
        <f>IFERROR(VLOOKUP(Table1[RespondentID],'All Data'!$A$3:$CO$999,93,FALSE),"unknown")</f>
        <v>English</v>
      </c>
      <c r="BC125" s="120" t="str">
        <f>IFERROR(VLOOKUP(Table1[RespondentID],'All Data'!$A$3:$CW$999,94,FALSE),"unknown")</f>
        <v>$75,000 to $125,000</v>
      </c>
      <c r="BD125" s="120" t="str">
        <f>IFERROR(VLOOKUP(Table1[RespondentID],'All Data'!$A$3:$CW$999,95,FALSE),"unknown")</f>
        <v>Some high school</v>
      </c>
      <c r="BE125" s="120">
        <f>IFERROR(VLOOKUP(Table1[RespondentID],'All Data'!$A$3:$CW$999,96,FALSE),"unknown")</f>
        <v>0</v>
      </c>
      <c r="BF125" s="120" t="str">
        <f>IFERROR(VLOOKUP(Table1[RespondentID],'All Data'!$A$3:$CW$999,97,FALSE),"unknown")</f>
        <v>Yes</v>
      </c>
      <c r="BG125" s="120">
        <f>IFERROR(VLOOKUP(Table1[RespondentID],'All Data'!$A$3:$CW$999,98,FALSE),"unknown")</f>
        <v>0</v>
      </c>
      <c r="BH125" s="120">
        <f>IFERROR(VLOOKUP(Table1[RespondentID],'All Data'!$A$3:$CW$999,99,FALSE),"unknown")</f>
        <v>0</v>
      </c>
    </row>
    <row r="126" spans="1:60">
      <c r="A126" s="5">
        <v>18022518632</v>
      </c>
      <c r="B126" s="5"/>
      <c r="C126" s="5" t="s">
        <v>50</v>
      </c>
      <c r="D126" s="5" t="s">
        <v>51</v>
      </c>
      <c r="E126" s="5"/>
      <c r="F126" s="5"/>
      <c r="G126" s="5"/>
      <c r="H126" s="5"/>
      <c r="I126" s="5"/>
      <c r="J126" s="5"/>
      <c r="K126" s="5"/>
      <c r="L126" s="5"/>
      <c r="M126" s="5" t="s">
        <v>59</v>
      </c>
      <c r="N126" s="5"/>
      <c r="O126" s="5"/>
      <c r="P126" s="5"/>
      <c r="Q126" s="5" t="s">
        <v>61</v>
      </c>
      <c r="R126" s="5"/>
      <c r="S126" s="5"/>
      <c r="T126" s="37"/>
      <c r="U126" s="37">
        <f t="shared" si="23"/>
        <v>4</v>
      </c>
      <c r="V126" s="37">
        <f t="shared" si="24"/>
        <v>0.75</v>
      </c>
      <c r="W126" s="37"/>
      <c r="X126" s="37">
        <f t="shared" si="25"/>
        <v>0</v>
      </c>
      <c r="Y126" s="37">
        <f t="shared" si="26"/>
        <v>0.75</v>
      </c>
      <c r="Z126" s="37">
        <f t="shared" si="27"/>
        <v>0.75</v>
      </c>
      <c r="AA126" s="37">
        <f t="shared" si="28"/>
        <v>0</v>
      </c>
      <c r="AB126" s="37">
        <f t="shared" si="29"/>
        <v>0</v>
      </c>
      <c r="AC126" s="37">
        <f t="shared" si="30"/>
        <v>0</v>
      </c>
      <c r="AD126" s="37">
        <f t="shared" si="31"/>
        <v>0</v>
      </c>
      <c r="AE126" s="37">
        <f t="shared" si="32"/>
        <v>0</v>
      </c>
      <c r="AF126" s="37">
        <f t="shared" si="33"/>
        <v>0</v>
      </c>
      <c r="AG126" s="37">
        <f t="shared" si="34"/>
        <v>0</v>
      </c>
      <c r="AH126" s="37">
        <f t="shared" si="35"/>
        <v>0</v>
      </c>
      <c r="AI126" s="37">
        <f t="shared" si="36"/>
        <v>0.75</v>
      </c>
      <c r="AJ126" s="37">
        <f t="shared" si="37"/>
        <v>0</v>
      </c>
      <c r="AK126" s="37">
        <f t="shared" si="38"/>
        <v>0</v>
      </c>
      <c r="AL126" s="37">
        <f t="shared" si="39"/>
        <v>0</v>
      </c>
      <c r="AM126" s="37">
        <f t="shared" si="40"/>
        <v>0.75</v>
      </c>
      <c r="AN126" s="37">
        <f t="shared" si="41"/>
        <v>0</v>
      </c>
      <c r="AO126" s="37">
        <f t="shared" si="42"/>
        <v>0</v>
      </c>
      <c r="AP126" s="37"/>
      <c r="AQ126" s="37"/>
      <c r="AR126" s="37">
        <f t="shared" si="43"/>
        <v>3</v>
      </c>
      <c r="AS126" s="37">
        <f t="shared" si="44"/>
        <v>4</v>
      </c>
      <c r="AT126" s="37" t="str">
        <f t="shared" si="45"/>
        <v>Correct</v>
      </c>
      <c r="AU126" s="37"/>
      <c r="AV126" s="120" t="str">
        <f>IFERROR(VLOOKUP(Table1[RespondentID],'All Data'!$A$3:$CO$999,87,FALSE),"unknown")</f>
        <v>Man</v>
      </c>
      <c r="AW126" s="120">
        <f>IFERROR(VLOOKUP(Table1[RespondentID],'All Data'!$A$3:$CO$999,88,FALSE),"unknown")</f>
        <v>18</v>
      </c>
      <c r="AX126" s="120" t="str">
        <f>IFERROR(VLOOKUP(Table1[RespondentID],'All Data'!$A$3:$CO$999,89,FALSE),"unknown")</f>
        <v>Suffolk</v>
      </c>
      <c r="AY126" s="120" t="str">
        <f>IFERROR(VLOOKUP(Table1[RespondentID],'All Data'!$A$3:$CO$999,90,FALSE),"unknown")</f>
        <v>East Northport, 11731</v>
      </c>
      <c r="AZ126" s="120" t="str">
        <f>IFERROR(VLOOKUP(Table1[RespondentID],'All Data'!$A$3:$CO$999,91,FALSE),"unknown")</f>
        <v>White</v>
      </c>
      <c r="BA126" s="120" t="str">
        <f>IFERROR(VLOOKUP(Table1[RespondentID],'All Data'!$A$3:$CO$999,92,FALSE),"unknown")</f>
        <v>Hispanic or Latino</v>
      </c>
      <c r="BB126" s="120" t="str">
        <f>IFERROR(VLOOKUP(Table1[RespondentID],'All Data'!$A$3:$CO$999,93,FALSE),"unknown")</f>
        <v>English</v>
      </c>
      <c r="BC126" s="120">
        <f>IFERROR(VLOOKUP(Table1[RespondentID],'All Data'!$A$3:$CW$999,94,FALSE),"unknown")</f>
        <v>0</v>
      </c>
      <c r="BD126" s="120" t="str">
        <f>IFERROR(VLOOKUP(Table1[RespondentID],'All Data'!$A$3:$CW$999,95,FALSE),"unknown")</f>
        <v>Some high school</v>
      </c>
      <c r="BE126" s="120" t="str">
        <f>IFERROR(VLOOKUP(Table1[RespondentID],'All Data'!$A$3:$CW$999,96,FALSE),"unknown")</f>
        <v>Student</v>
      </c>
      <c r="BF126" s="120" t="str">
        <f>IFERROR(VLOOKUP(Table1[RespondentID],'All Data'!$A$3:$CW$999,97,FALSE),"unknown")</f>
        <v>Yes</v>
      </c>
      <c r="BG126" s="120">
        <f>IFERROR(VLOOKUP(Table1[RespondentID],'All Data'!$A$3:$CW$999,98,FALSE),"unknown")</f>
        <v>0</v>
      </c>
      <c r="BH126" s="120">
        <f>IFERROR(VLOOKUP(Table1[RespondentID],'All Data'!$A$3:$CW$999,99,FALSE),"unknown")</f>
        <v>0</v>
      </c>
    </row>
    <row r="127" spans="1:60">
      <c r="A127" s="5">
        <v>18022518486</v>
      </c>
      <c r="B127" s="5"/>
      <c r="C127" s="5" t="s">
        <v>50</v>
      </c>
      <c r="D127" s="5" t="s">
        <v>51</v>
      </c>
      <c r="E127" s="5"/>
      <c r="F127" s="5"/>
      <c r="G127" s="5" t="s">
        <v>53</v>
      </c>
      <c r="H127" s="5"/>
      <c r="I127" s="5" t="s">
        <v>55</v>
      </c>
      <c r="J127" s="5"/>
      <c r="K127" s="5"/>
      <c r="L127" s="5"/>
      <c r="M127" s="5" t="s">
        <v>59</v>
      </c>
      <c r="N127" s="5"/>
      <c r="O127" s="5"/>
      <c r="P127" s="5"/>
      <c r="Q127" s="5"/>
      <c r="R127" s="5"/>
      <c r="S127" s="5"/>
      <c r="T127" s="37"/>
      <c r="U127" s="37">
        <f t="shared" si="23"/>
        <v>5</v>
      </c>
      <c r="V127" s="37">
        <f t="shared" si="24"/>
        <v>0.6</v>
      </c>
      <c r="W127" s="37"/>
      <c r="X127" s="37">
        <f t="shared" si="25"/>
        <v>0</v>
      </c>
      <c r="Y127" s="37">
        <f t="shared" si="26"/>
        <v>0.6</v>
      </c>
      <c r="Z127" s="37">
        <f t="shared" si="27"/>
        <v>0.6</v>
      </c>
      <c r="AA127" s="37">
        <f t="shared" si="28"/>
        <v>0</v>
      </c>
      <c r="AB127" s="37">
        <f t="shared" si="29"/>
        <v>0</v>
      </c>
      <c r="AC127" s="37">
        <f t="shared" si="30"/>
        <v>0.6</v>
      </c>
      <c r="AD127" s="37">
        <f t="shared" si="31"/>
        <v>0</v>
      </c>
      <c r="AE127" s="37">
        <f t="shared" si="32"/>
        <v>0.6</v>
      </c>
      <c r="AF127" s="37">
        <f t="shared" si="33"/>
        <v>0</v>
      </c>
      <c r="AG127" s="37">
        <f t="shared" si="34"/>
        <v>0</v>
      </c>
      <c r="AH127" s="37">
        <f t="shared" si="35"/>
        <v>0</v>
      </c>
      <c r="AI127" s="37">
        <f t="shared" si="36"/>
        <v>0.6</v>
      </c>
      <c r="AJ127" s="37">
        <f t="shared" si="37"/>
        <v>0</v>
      </c>
      <c r="AK127" s="37">
        <f t="shared" si="38"/>
        <v>0</v>
      </c>
      <c r="AL127" s="37">
        <f t="shared" si="39"/>
        <v>0</v>
      </c>
      <c r="AM127" s="37">
        <f t="shared" si="40"/>
        <v>0</v>
      </c>
      <c r="AN127" s="37">
        <f t="shared" si="41"/>
        <v>0</v>
      </c>
      <c r="AO127" s="37">
        <f t="shared" si="42"/>
        <v>0</v>
      </c>
      <c r="AP127" s="37"/>
      <c r="AQ127" s="37"/>
      <c r="AR127" s="37">
        <f t="shared" si="43"/>
        <v>3</v>
      </c>
      <c r="AS127" s="37">
        <f t="shared" si="44"/>
        <v>5</v>
      </c>
      <c r="AT127" s="37" t="str">
        <f t="shared" si="45"/>
        <v>Correct</v>
      </c>
      <c r="AU127" s="37"/>
      <c r="AV127" s="120" t="str">
        <f>IFERROR(VLOOKUP(Table1[RespondentID],'All Data'!$A$3:$CO$999,87,FALSE),"unknown")</f>
        <v>Man</v>
      </c>
      <c r="AW127" s="120">
        <f>IFERROR(VLOOKUP(Table1[RespondentID],'All Data'!$A$3:$CO$999,88,FALSE),"unknown")</f>
        <v>18</v>
      </c>
      <c r="AX127" s="120" t="str">
        <f>IFERROR(VLOOKUP(Table1[RespondentID],'All Data'!$A$3:$CO$999,89,FALSE),"unknown")</f>
        <v>Suffolk</v>
      </c>
      <c r="AY127" s="120" t="str">
        <f>IFERROR(VLOOKUP(Table1[RespondentID],'All Data'!$A$3:$CO$999,90,FALSE),"unknown")</f>
        <v>Commack, 11725</v>
      </c>
      <c r="AZ127" s="120" t="str">
        <f>IFERROR(VLOOKUP(Table1[RespondentID],'All Data'!$A$3:$CO$999,91,FALSE),"unknown")</f>
        <v>White</v>
      </c>
      <c r="BA127" s="120" t="str">
        <f>IFERROR(VLOOKUP(Table1[RespondentID],'All Data'!$A$3:$CO$999,92,FALSE),"unknown")</f>
        <v>Not Hispanic or Latino</v>
      </c>
      <c r="BB127" s="120" t="str">
        <f>IFERROR(VLOOKUP(Table1[RespondentID],'All Data'!$A$3:$CO$999,93,FALSE),"unknown")</f>
        <v>English, Spanish</v>
      </c>
      <c r="BC127" s="120">
        <f>IFERROR(VLOOKUP(Table1[RespondentID],'All Data'!$A$3:$CW$999,94,FALSE),"unknown")</f>
        <v>0</v>
      </c>
      <c r="BD127" s="120" t="str">
        <f>IFERROR(VLOOKUP(Table1[RespondentID],'All Data'!$A$3:$CW$999,95,FALSE),"unknown")</f>
        <v>Some high school</v>
      </c>
      <c r="BE127" s="120" t="str">
        <f>IFERROR(VLOOKUP(Table1[RespondentID],'All Data'!$A$3:$CW$999,96,FALSE),"unknown")</f>
        <v>Employed for wages</v>
      </c>
      <c r="BF127" s="120" t="str">
        <f>IFERROR(VLOOKUP(Table1[RespondentID],'All Data'!$A$3:$CW$999,97,FALSE),"unknown")</f>
        <v>Yes</v>
      </c>
      <c r="BG127" s="120">
        <f>IFERROR(VLOOKUP(Table1[RespondentID],'All Data'!$A$3:$CW$999,98,FALSE),"unknown")</f>
        <v>0</v>
      </c>
      <c r="BH127" s="120">
        <f>IFERROR(VLOOKUP(Table1[RespondentID],'All Data'!$A$3:$CW$999,99,FALSE),"unknown")</f>
        <v>0</v>
      </c>
    </row>
    <row r="128" spans="1:60">
      <c r="A128" s="5">
        <v>18022518320</v>
      </c>
      <c r="B128" s="5"/>
      <c r="C128" s="5"/>
      <c r="D128" s="5" t="s">
        <v>51</v>
      </c>
      <c r="E128" s="5"/>
      <c r="F128" s="5"/>
      <c r="G128" s="5"/>
      <c r="H128" s="5"/>
      <c r="I128" s="5" t="s">
        <v>55</v>
      </c>
      <c r="J128" s="5"/>
      <c r="K128" s="5"/>
      <c r="L128" s="5"/>
      <c r="M128" s="5" t="s">
        <v>59</v>
      </c>
      <c r="N128" s="5"/>
      <c r="O128" s="5"/>
      <c r="P128" s="5"/>
      <c r="Q128" s="5"/>
      <c r="R128" s="5"/>
      <c r="S128" s="5"/>
      <c r="T128" s="37"/>
      <c r="U128" s="37">
        <f t="shared" si="23"/>
        <v>3</v>
      </c>
      <c r="V128" s="37">
        <f t="shared" si="24"/>
        <v>1</v>
      </c>
      <c r="W128" s="37"/>
      <c r="X128" s="37">
        <f t="shared" si="25"/>
        <v>0</v>
      </c>
      <c r="Y128" s="37">
        <f t="shared" si="26"/>
        <v>0</v>
      </c>
      <c r="Z128" s="37">
        <f t="shared" si="27"/>
        <v>1</v>
      </c>
      <c r="AA128" s="37">
        <f t="shared" si="28"/>
        <v>0</v>
      </c>
      <c r="AB128" s="37">
        <f t="shared" si="29"/>
        <v>0</v>
      </c>
      <c r="AC128" s="37">
        <f t="shared" si="30"/>
        <v>0</v>
      </c>
      <c r="AD128" s="37">
        <f t="shared" si="31"/>
        <v>0</v>
      </c>
      <c r="AE128" s="37">
        <f t="shared" si="32"/>
        <v>1</v>
      </c>
      <c r="AF128" s="37">
        <f t="shared" si="33"/>
        <v>0</v>
      </c>
      <c r="AG128" s="37">
        <f t="shared" si="34"/>
        <v>0</v>
      </c>
      <c r="AH128" s="37">
        <f t="shared" si="35"/>
        <v>0</v>
      </c>
      <c r="AI128" s="37">
        <f t="shared" si="36"/>
        <v>1</v>
      </c>
      <c r="AJ128" s="37">
        <f t="shared" si="37"/>
        <v>0</v>
      </c>
      <c r="AK128" s="37">
        <f t="shared" si="38"/>
        <v>0</v>
      </c>
      <c r="AL128" s="37">
        <f t="shared" si="39"/>
        <v>0</v>
      </c>
      <c r="AM128" s="37">
        <f t="shared" si="40"/>
        <v>0</v>
      </c>
      <c r="AN128" s="37">
        <f t="shared" si="41"/>
        <v>0</v>
      </c>
      <c r="AO128" s="37">
        <f t="shared" si="42"/>
        <v>0</v>
      </c>
      <c r="AP128" s="37"/>
      <c r="AQ128" s="37"/>
      <c r="AR128" s="37">
        <f t="shared" si="43"/>
        <v>3</v>
      </c>
      <c r="AS128" s="37">
        <f t="shared" si="44"/>
        <v>3</v>
      </c>
      <c r="AT128" s="37" t="str">
        <f t="shared" si="45"/>
        <v>Correct</v>
      </c>
      <c r="AU128" s="37"/>
      <c r="AV128" s="120" t="str">
        <f>IFERROR(VLOOKUP(Table1[RespondentID],'All Data'!$A$3:$CO$999,87,FALSE),"unknown")</f>
        <v>Woman</v>
      </c>
      <c r="AW128" s="120">
        <f>IFERROR(VLOOKUP(Table1[RespondentID],'All Data'!$A$3:$CO$999,88,FALSE),"unknown")</f>
        <v>18</v>
      </c>
      <c r="AX128" s="120" t="str">
        <f>IFERROR(VLOOKUP(Table1[RespondentID],'All Data'!$A$3:$CO$999,89,FALSE),"unknown")</f>
        <v>Suffolk</v>
      </c>
      <c r="AY128" s="120" t="str">
        <f>IFERROR(VLOOKUP(Table1[RespondentID],'All Data'!$A$3:$CO$999,90,FALSE),"unknown")</f>
        <v>Commack, 11725</v>
      </c>
      <c r="AZ128" s="120" t="str">
        <f>IFERROR(VLOOKUP(Table1[RespondentID],'All Data'!$A$3:$CO$999,91,FALSE),"unknown")</f>
        <v>White</v>
      </c>
      <c r="BA128" s="120" t="str">
        <f>IFERROR(VLOOKUP(Table1[RespondentID],'All Data'!$A$3:$CO$999,92,FALSE),"unknown")</f>
        <v>Hispanic or Latino</v>
      </c>
      <c r="BB128" s="120" t="str">
        <f>IFERROR(VLOOKUP(Table1[RespondentID],'All Data'!$A$3:$CO$999,93,FALSE),"unknown")</f>
        <v>English</v>
      </c>
      <c r="BC128" s="120" t="str">
        <f>IFERROR(VLOOKUP(Table1[RespondentID],'All Data'!$A$3:$CW$999,94,FALSE),"unknown")</f>
        <v>$50,000 to $74,999</v>
      </c>
      <c r="BD128" s="120" t="str">
        <f>IFERROR(VLOOKUP(Table1[RespondentID],'All Data'!$A$3:$CW$999,95,FALSE),"unknown")</f>
        <v>Some high school</v>
      </c>
      <c r="BE128" s="120">
        <f>IFERROR(VLOOKUP(Table1[RespondentID],'All Data'!$A$3:$CW$999,96,FALSE),"unknown")</f>
        <v>0</v>
      </c>
      <c r="BF128" s="120" t="str">
        <f>IFERROR(VLOOKUP(Table1[RespondentID],'All Data'!$A$3:$CW$999,97,FALSE),"unknown")</f>
        <v>Yes</v>
      </c>
      <c r="BG128" s="120">
        <f>IFERROR(VLOOKUP(Table1[RespondentID],'All Data'!$A$3:$CW$999,98,FALSE),"unknown")</f>
        <v>0</v>
      </c>
      <c r="BH128" s="120">
        <f>IFERROR(VLOOKUP(Table1[RespondentID],'All Data'!$A$3:$CW$999,99,FALSE),"unknown")</f>
        <v>0</v>
      </c>
    </row>
    <row r="129" spans="1:60">
      <c r="A129" s="5">
        <v>18022518124</v>
      </c>
      <c r="B129" s="5"/>
      <c r="C129" s="5"/>
      <c r="D129" s="5" t="s">
        <v>51</v>
      </c>
      <c r="E129" s="5" t="s">
        <v>17</v>
      </c>
      <c r="F129" s="5"/>
      <c r="G129" s="5"/>
      <c r="H129" s="5"/>
      <c r="I129" s="5"/>
      <c r="J129" s="5"/>
      <c r="K129" s="5"/>
      <c r="L129" s="5"/>
      <c r="M129" s="5"/>
      <c r="N129" s="5" t="s">
        <v>24</v>
      </c>
      <c r="O129" s="5"/>
      <c r="P129" s="5"/>
      <c r="Q129" s="5"/>
      <c r="R129" s="5"/>
      <c r="S129" s="5"/>
      <c r="T129" s="37"/>
      <c r="U129" s="37">
        <f t="shared" si="23"/>
        <v>3</v>
      </c>
      <c r="V129" s="37">
        <f t="shared" si="24"/>
        <v>1</v>
      </c>
      <c r="W129" s="37"/>
      <c r="X129" s="37">
        <f t="shared" si="25"/>
        <v>0</v>
      </c>
      <c r="Y129" s="37">
        <f t="shared" si="26"/>
        <v>0</v>
      </c>
      <c r="Z129" s="37">
        <f t="shared" si="27"/>
        <v>1</v>
      </c>
      <c r="AA129" s="37">
        <f t="shared" si="28"/>
        <v>1</v>
      </c>
      <c r="AB129" s="37">
        <f t="shared" si="29"/>
        <v>0</v>
      </c>
      <c r="AC129" s="37">
        <f t="shared" si="30"/>
        <v>0</v>
      </c>
      <c r="AD129" s="37">
        <f t="shared" si="31"/>
        <v>0</v>
      </c>
      <c r="AE129" s="37">
        <f t="shared" si="32"/>
        <v>0</v>
      </c>
      <c r="AF129" s="37">
        <f t="shared" si="33"/>
        <v>0</v>
      </c>
      <c r="AG129" s="37">
        <f t="shared" si="34"/>
        <v>0</v>
      </c>
      <c r="AH129" s="37">
        <f t="shared" si="35"/>
        <v>0</v>
      </c>
      <c r="AI129" s="37">
        <f t="shared" si="36"/>
        <v>0</v>
      </c>
      <c r="AJ129" s="37">
        <f t="shared" si="37"/>
        <v>1</v>
      </c>
      <c r="AK129" s="37">
        <f t="shared" si="38"/>
        <v>0</v>
      </c>
      <c r="AL129" s="37">
        <f t="shared" si="39"/>
        <v>0</v>
      </c>
      <c r="AM129" s="37">
        <f t="shared" si="40"/>
        <v>0</v>
      </c>
      <c r="AN129" s="37">
        <f t="shared" si="41"/>
        <v>0</v>
      </c>
      <c r="AO129" s="37">
        <f t="shared" si="42"/>
        <v>0</v>
      </c>
      <c r="AP129" s="37"/>
      <c r="AQ129" s="37"/>
      <c r="AR129" s="37">
        <f t="shared" si="43"/>
        <v>3</v>
      </c>
      <c r="AS129" s="37">
        <f t="shared" si="44"/>
        <v>3</v>
      </c>
      <c r="AT129" s="37" t="str">
        <f t="shared" si="45"/>
        <v>Correct</v>
      </c>
      <c r="AU129" s="37"/>
      <c r="AV129" s="120" t="str">
        <f>IFERROR(VLOOKUP(Table1[RespondentID],'All Data'!$A$3:$CO$999,87,FALSE),"unknown")</f>
        <v>Woman</v>
      </c>
      <c r="AW129" s="120">
        <f>IFERROR(VLOOKUP(Table1[RespondentID],'All Data'!$A$3:$CO$999,88,FALSE),"unknown")</f>
        <v>42</v>
      </c>
      <c r="AX129" s="120" t="str">
        <f>IFERROR(VLOOKUP(Table1[RespondentID],'All Data'!$A$3:$CO$999,89,FALSE),"unknown")</f>
        <v>Nassau</v>
      </c>
      <c r="AY129" s="120" t="str">
        <f>IFERROR(VLOOKUP(Table1[RespondentID],'All Data'!$A$3:$CO$999,90,FALSE),"unknown")</f>
        <v>Westbury, 11590</v>
      </c>
      <c r="AZ129" s="120" t="str">
        <f>IFERROR(VLOOKUP(Table1[RespondentID],'All Data'!$A$3:$CO$999,91,FALSE),"unknown")</f>
        <v>White</v>
      </c>
      <c r="BA129" s="120">
        <f>IFERROR(VLOOKUP(Table1[RespondentID],'All Data'!$A$3:$CO$999,92,FALSE),"unknown")</f>
        <v>0</v>
      </c>
      <c r="BB129" s="120" t="str">
        <f>IFERROR(VLOOKUP(Table1[RespondentID],'All Data'!$A$3:$CO$999,93,FALSE),"unknown")</f>
        <v>English</v>
      </c>
      <c r="BC129" s="120" t="str">
        <f>IFERROR(VLOOKUP(Table1[RespondentID],'All Data'!$A$3:$CW$999,94,FALSE),"unknown")</f>
        <v>Over $125,000</v>
      </c>
      <c r="BD129" s="120" t="str">
        <f>IFERROR(VLOOKUP(Table1[RespondentID],'All Data'!$A$3:$CW$999,95,FALSE),"unknown")</f>
        <v>Doctorate</v>
      </c>
      <c r="BE129" s="120" t="str">
        <f>IFERROR(VLOOKUP(Table1[RespondentID],'All Data'!$A$3:$CW$999,96,FALSE),"unknown")</f>
        <v>Employed for wages</v>
      </c>
      <c r="BF129" s="120" t="str">
        <f>IFERROR(VLOOKUP(Table1[RespondentID],'All Data'!$A$3:$CW$999,97,FALSE),"unknown")</f>
        <v>Yes</v>
      </c>
      <c r="BG129" s="120">
        <f>IFERROR(VLOOKUP(Table1[RespondentID],'All Data'!$A$3:$CW$999,98,FALSE),"unknown")</f>
        <v>0</v>
      </c>
      <c r="BH129" s="120">
        <f>IFERROR(VLOOKUP(Table1[RespondentID],'All Data'!$A$3:$CW$999,99,FALSE),"unknown")</f>
        <v>0</v>
      </c>
    </row>
    <row r="130" spans="1:60">
      <c r="A130" s="5">
        <v>18022517936</v>
      </c>
      <c r="B130" s="5"/>
      <c r="C130" s="5"/>
      <c r="D130" s="5"/>
      <c r="E130" s="5"/>
      <c r="F130" s="5" t="s">
        <v>52</v>
      </c>
      <c r="G130" s="5" t="s">
        <v>53</v>
      </c>
      <c r="H130" s="5"/>
      <c r="I130" s="5"/>
      <c r="J130" s="5"/>
      <c r="K130" s="5"/>
      <c r="L130" s="5"/>
      <c r="M130" s="5" t="s">
        <v>59</v>
      </c>
      <c r="N130" s="5"/>
      <c r="O130" s="5"/>
      <c r="P130" s="5"/>
      <c r="Q130" s="5"/>
      <c r="R130" s="5"/>
      <c r="S130" s="5"/>
      <c r="T130" s="37"/>
      <c r="U130" s="37">
        <f t="shared" ref="U130:U193" si="46">COUNTA(B130:T130)</f>
        <v>3</v>
      </c>
      <c r="V130" s="37">
        <f t="shared" ref="V130:V193" si="47">3/U130</f>
        <v>1</v>
      </c>
      <c r="W130" s="37"/>
      <c r="X130" s="37">
        <f t="shared" ref="X130:X193" si="48">IF($U130&lt;3,IF($B130=$B$1,1,0),IF($B130=$B$1,$V130,0))</f>
        <v>0</v>
      </c>
      <c r="Y130" s="37">
        <f t="shared" ref="Y130:Y193" si="49">IF($U130&lt;3,IF($C130=$C$1,1,0),IF($C130=$C$1,$V130,0))</f>
        <v>0</v>
      </c>
      <c r="Z130" s="37">
        <f t="shared" ref="Z130:Z193" si="50">IF($U130&lt;3,IF($D130=$D$1,1,0),IF($D130=$D$1,$V130,0))</f>
        <v>0</v>
      </c>
      <c r="AA130" s="37">
        <f t="shared" ref="AA130:AA193" si="51">IF($U130&lt;3,IF($E130=$E$1,1,0),IF($E130=$E$1,$V130,0))</f>
        <v>0</v>
      </c>
      <c r="AB130" s="37">
        <f t="shared" ref="AB130:AB193" si="52">IF($U130&lt;3,IF($F130=$F$1,1,0),IF($F130=$F$1,$V130,0))</f>
        <v>1</v>
      </c>
      <c r="AC130" s="37">
        <f t="shared" ref="AC130:AC193" si="53">IF($U130&lt;3,IF($G130=$G$1,1,0),IF($G130=$G$1,$V130,0))</f>
        <v>1</v>
      </c>
      <c r="AD130" s="37">
        <f t="shared" ref="AD130:AD193" si="54">IF($U130&lt;3,IF($H130=$H$1,1,0),IF($H130=$H$1,$V130,0))</f>
        <v>0</v>
      </c>
      <c r="AE130" s="37">
        <f t="shared" ref="AE130:AE193" si="55">IF($U130&lt;3,IF($I130=$I$1,1,0),IF($I130=$I$1,$V130,0))</f>
        <v>0</v>
      </c>
      <c r="AF130" s="37">
        <f t="shared" ref="AF130:AF193" si="56">IF($U130&lt;3,IF($J130=$J$1,1,0),IF($J130=$J$1,$V130,0))</f>
        <v>0</v>
      </c>
      <c r="AG130" s="37">
        <f t="shared" ref="AG130:AG193" si="57">IF($U130&lt;3,IF($K130=$K$1,1,0),IF($K130=$K$1,$V130,0))</f>
        <v>0</v>
      </c>
      <c r="AH130" s="37">
        <f t="shared" ref="AH130:AH193" si="58">IF($U130&lt;3,IF($L130=$L$1,1,0),IF($L130=$L$1,$V130,0))</f>
        <v>0</v>
      </c>
      <c r="AI130" s="37">
        <f t="shared" ref="AI130:AI193" si="59">IF($U130&lt;3,IF($M130=$M$1,1,0),IF($M130=$M$1,$V130,0))</f>
        <v>1</v>
      </c>
      <c r="AJ130" s="37">
        <f t="shared" ref="AJ130:AJ193" si="60">IF($U130&lt;3,IF($N130=$N$1,1,0),IF($N130=$N$1,$V130,0))</f>
        <v>0</v>
      </c>
      <c r="AK130" s="37">
        <f t="shared" ref="AK130:AK193" si="61">IF($U130&lt;3,IF($O130=$O$1,1,0),IF($O130=$O$1,$V130,0))</f>
        <v>0</v>
      </c>
      <c r="AL130" s="37">
        <f t="shared" ref="AL130:AL193" si="62">IF($U130&lt;3,IF($P130=$P$1,1,0),IF($P130=$P$1,$V130,0))</f>
        <v>0</v>
      </c>
      <c r="AM130" s="37">
        <f t="shared" ref="AM130:AM193" si="63">IF($U130&lt;3,IF($Q130=$Q$1,1,0),IF($Q130=$Q$1,$V130,0))</f>
        <v>0</v>
      </c>
      <c r="AN130" s="37">
        <f t="shared" ref="AN130:AN193" si="64">IF($U130&lt;3,IF($R130=$R$1,1,0),IF($R130=$R$1,$V130,0))</f>
        <v>0</v>
      </c>
      <c r="AO130" s="37">
        <f t="shared" ref="AO130:AO193" si="65">IF($U130&lt;3,IF($S130=$S$1,1,0),IF($S130=$S$1,$V130,0))</f>
        <v>0</v>
      </c>
      <c r="AP130" s="37"/>
      <c r="AQ130" s="37"/>
      <c r="AR130" s="37">
        <f t="shared" ref="AR130:AR193" si="66">SUM(X130:AP130)</f>
        <v>3</v>
      </c>
      <c r="AS130" s="37">
        <f t="shared" ref="AS130:AS193" si="67">U130</f>
        <v>3</v>
      </c>
      <c r="AT130" s="37" t="str">
        <f t="shared" ref="AT130:AT193" si="68">IF(AR130=AS130,"Correct",IF(AR130=3,"Correct","Wrong"))</f>
        <v>Correct</v>
      </c>
      <c r="AU130" s="37"/>
      <c r="AV130" s="120" t="str">
        <f>IFERROR(VLOOKUP(Table1[RespondentID],'All Data'!$A$3:$CO$999,87,FALSE),"unknown")</f>
        <v>Man</v>
      </c>
      <c r="AW130" s="120">
        <f>IFERROR(VLOOKUP(Table1[RespondentID],'All Data'!$A$3:$CO$999,88,FALSE),"unknown")</f>
        <v>18</v>
      </c>
      <c r="AX130" s="120" t="str">
        <f>IFERROR(VLOOKUP(Table1[RespondentID],'All Data'!$A$3:$CO$999,89,FALSE),"unknown")</f>
        <v>Suffolk</v>
      </c>
      <c r="AY130" s="120" t="str">
        <f>IFERROR(VLOOKUP(Table1[RespondentID],'All Data'!$A$3:$CO$999,90,FALSE),"unknown")</f>
        <v>Dix Hills, 11746</v>
      </c>
      <c r="AZ130" s="120" t="str">
        <f>IFERROR(VLOOKUP(Table1[RespondentID],'All Data'!$A$3:$CO$999,91,FALSE),"unknown")</f>
        <v>White</v>
      </c>
      <c r="BA130" s="120" t="str">
        <f>IFERROR(VLOOKUP(Table1[RespondentID],'All Data'!$A$3:$CO$999,92,FALSE),"unknown")</f>
        <v>Hispanic or Latino</v>
      </c>
      <c r="BB130" s="120" t="str">
        <f>IFERROR(VLOOKUP(Table1[RespondentID],'All Data'!$A$3:$CO$999,93,FALSE),"unknown")</f>
        <v>English</v>
      </c>
      <c r="BC130" s="120" t="str">
        <f>IFERROR(VLOOKUP(Table1[RespondentID],'All Data'!$A$3:$CW$999,94,FALSE),"unknown")</f>
        <v>$75,000 to $125,000</v>
      </c>
      <c r="BD130" s="120" t="str">
        <f>IFERROR(VLOOKUP(Table1[RespondentID],'All Data'!$A$3:$CW$999,95,FALSE),"unknown")</f>
        <v>High school graduate</v>
      </c>
      <c r="BE130" s="120">
        <f>IFERROR(VLOOKUP(Table1[RespondentID],'All Data'!$A$3:$CW$999,96,FALSE),"unknown")</f>
        <v>0</v>
      </c>
      <c r="BF130" s="120" t="str">
        <f>IFERROR(VLOOKUP(Table1[RespondentID],'All Data'!$A$3:$CW$999,97,FALSE),"unknown")</f>
        <v>Yes</v>
      </c>
      <c r="BG130" s="120">
        <f>IFERROR(VLOOKUP(Table1[RespondentID],'All Data'!$A$3:$CW$999,98,FALSE),"unknown")</f>
        <v>0</v>
      </c>
      <c r="BH130" s="120">
        <f>IFERROR(VLOOKUP(Table1[RespondentID],'All Data'!$A$3:$CW$999,99,FALSE),"unknown")</f>
        <v>0</v>
      </c>
    </row>
    <row r="131" spans="1:60">
      <c r="A131" s="5">
        <v>18022517728</v>
      </c>
      <c r="B131" s="5" t="s">
        <v>49</v>
      </c>
      <c r="C131" s="5" t="s">
        <v>50</v>
      </c>
      <c r="D131" s="5"/>
      <c r="E131" s="5"/>
      <c r="F131" s="5"/>
      <c r="G131" s="5" t="s">
        <v>53</v>
      </c>
      <c r="H131" s="5" t="s">
        <v>54</v>
      </c>
      <c r="I131" s="5" t="s">
        <v>55</v>
      </c>
      <c r="J131" s="5" t="s">
        <v>56</v>
      </c>
      <c r="K131" s="5"/>
      <c r="L131" s="5" t="s">
        <v>58</v>
      </c>
      <c r="M131" s="5"/>
      <c r="N131" s="5" t="s">
        <v>24</v>
      </c>
      <c r="O131" s="5"/>
      <c r="P131" s="5"/>
      <c r="Q131" s="5"/>
      <c r="R131" s="5"/>
      <c r="S131" s="5"/>
      <c r="T131" s="37"/>
      <c r="U131" s="37">
        <f t="shared" si="46"/>
        <v>8</v>
      </c>
      <c r="V131" s="37">
        <f t="shared" si="47"/>
        <v>0.375</v>
      </c>
      <c r="W131" s="37"/>
      <c r="X131" s="37">
        <f t="shared" si="48"/>
        <v>0.375</v>
      </c>
      <c r="Y131" s="37">
        <f t="shared" si="49"/>
        <v>0.375</v>
      </c>
      <c r="Z131" s="37">
        <f t="shared" si="50"/>
        <v>0</v>
      </c>
      <c r="AA131" s="37">
        <f t="shared" si="51"/>
        <v>0</v>
      </c>
      <c r="AB131" s="37">
        <f t="shared" si="52"/>
        <v>0</v>
      </c>
      <c r="AC131" s="37">
        <f t="shared" si="53"/>
        <v>0.375</v>
      </c>
      <c r="AD131" s="37">
        <f t="shared" si="54"/>
        <v>0.375</v>
      </c>
      <c r="AE131" s="37">
        <f t="shared" si="55"/>
        <v>0.375</v>
      </c>
      <c r="AF131" s="37">
        <f t="shared" si="56"/>
        <v>0.375</v>
      </c>
      <c r="AG131" s="37">
        <f t="shared" si="57"/>
        <v>0</v>
      </c>
      <c r="AH131" s="37">
        <f t="shared" si="58"/>
        <v>0.375</v>
      </c>
      <c r="AI131" s="37">
        <f t="shared" si="59"/>
        <v>0</v>
      </c>
      <c r="AJ131" s="37">
        <f t="shared" si="60"/>
        <v>0.375</v>
      </c>
      <c r="AK131" s="37">
        <f t="shared" si="61"/>
        <v>0</v>
      </c>
      <c r="AL131" s="37">
        <f t="shared" si="62"/>
        <v>0</v>
      </c>
      <c r="AM131" s="37">
        <f t="shared" si="63"/>
        <v>0</v>
      </c>
      <c r="AN131" s="37">
        <f t="shared" si="64"/>
        <v>0</v>
      </c>
      <c r="AO131" s="37">
        <f t="shared" si="65"/>
        <v>0</v>
      </c>
      <c r="AP131" s="37"/>
      <c r="AQ131" s="37"/>
      <c r="AR131" s="37">
        <f t="shared" si="66"/>
        <v>3</v>
      </c>
      <c r="AS131" s="37">
        <f t="shared" si="67"/>
        <v>8</v>
      </c>
      <c r="AT131" s="37" t="str">
        <f t="shared" si="68"/>
        <v>Correct</v>
      </c>
      <c r="AU131" s="37"/>
      <c r="AV131" s="120" t="str">
        <f>IFERROR(VLOOKUP(Table1[RespondentID],'All Data'!$A$3:$CO$999,87,FALSE),"unknown")</f>
        <v>Man</v>
      </c>
      <c r="AW131" s="120">
        <f>IFERROR(VLOOKUP(Table1[RespondentID],'All Data'!$A$3:$CO$999,88,FALSE),"unknown")</f>
        <v>18</v>
      </c>
      <c r="AX131" s="120" t="str">
        <f>IFERROR(VLOOKUP(Table1[RespondentID],'All Data'!$A$3:$CO$999,89,FALSE),"unknown")</f>
        <v>Suffolk</v>
      </c>
      <c r="AY131" s="120" t="str">
        <f>IFERROR(VLOOKUP(Table1[RespondentID],'All Data'!$A$3:$CO$999,90,FALSE),"unknown")</f>
        <v>Commack, 11725</v>
      </c>
      <c r="AZ131" s="120" t="str">
        <f>IFERROR(VLOOKUP(Table1[RespondentID],'All Data'!$A$3:$CO$999,91,FALSE),"unknown")</f>
        <v>White</v>
      </c>
      <c r="BA131" s="120" t="str">
        <f>IFERROR(VLOOKUP(Table1[RespondentID],'All Data'!$A$3:$CO$999,92,FALSE),"unknown")</f>
        <v>Not Hispanic or Latino</v>
      </c>
      <c r="BB131" s="120" t="str">
        <f>IFERROR(VLOOKUP(Table1[RespondentID],'All Data'!$A$3:$CO$999,93,FALSE),"unknown")</f>
        <v>English</v>
      </c>
      <c r="BC131" s="120" t="str">
        <f>IFERROR(VLOOKUP(Table1[RespondentID],'All Data'!$A$3:$CW$999,94,FALSE),"unknown")</f>
        <v>$20,000 to $34,999</v>
      </c>
      <c r="BD131" s="120" t="str">
        <f>IFERROR(VLOOKUP(Table1[RespondentID],'All Data'!$A$3:$CW$999,95,FALSE),"unknown")</f>
        <v>High school graduate</v>
      </c>
      <c r="BE131" s="120" t="str">
        <f>IFERROR(VLOOKUP(Table1[RespondentID],'All Data'!$A$3:$CW$999,96,FALSE),"unknown")</f>
        <v>Student</v>
      </c>
      <c r="BF131" s="120" t="str">
        <f>IFERROR(VLOOKUP(Table1[RespondentID],'All Data'!$A$3:$CW$999,97,FALSE),"unknown")</f>
        <v>Yes</v>
      </c>
      <c r="BG131" s="120">
        <f>IFERROR(VLOOKUP(Table1[RespondentID],'All Data'!$A$3:$CW$999,98,FALSE),"unknown")</f>
        <v>0</v>
      </c>
      <c r="BH131" s="120">
        <f>IFERROR(VLOOKUP(Table1[RespondentID],'All Data'!$A$3:$CW$999,99,FALSE),"unknown")</f>
        <v>0</v>
      </c>
    </row>
    <row r="132" spans="1:60">
      <c r="A132" s="5">
        <v>18022517350</v>
      </c>
      <c r="B132" s="5"/>
      <c r="C132" s="5"/>
      <c r="D132" s="5"/>
      <c r="E132" s="5"/>
      <c r="F132" s="5" t="s">
        <v>52</v>
      </c>
      <c r="G132" s="5"/>
      <c r="H132" s="5"/>
      <c r="I132" s="5"/>
      <c r="J132" s="5"/>
      <c r="K132" s="5"/>
      <c r="L132" s="5"/>
      <c r="M132" s="5" t="s">
        <v>59</v>
      </c>
      <c r="N132" s="5"/>
      <c r="O132" s="5"/>
      <c r="P132" s="5"/>
      <c r="Q132" s="5"/>
      <c r="R132" s="5" t="s">
        <v>62</v>
      </c>
      <c r="S132" s="5"/>
      <c r="T132" s="37"/>
      <c r="U132" s="37">
        <f t="shared" si="46"/>
        <v>3</v>
      </c>
      <c r="V132" s="37">
        <f t="shared" si="47"/>
        <v>1</v>
      </c>
      <c r="W132" s="37"/>
      <c r="X132" s="37">
        <f t="shared" si="48"/>
        <v>0</v>
      </c>
      <c r="Y132" s="37">
        <f t="shared" si="49"/>
        <v>0</v>
      </c>
      <c r="Z132" s="37">
        <f t="shared" si="50"/>
        <v>0</v>
      </c>
      <c r="AA132" s="37">
        <f t="shared" si="51"/>
        <v>0</v>
      </c>
      <c r="AB132" s="37">
        <f t="shared" si="52"/>
        <v>1</v>
      </c>
      <c r="AC132" s="37">
        <f t="shared" si="53"/>
        <v>0</v>
      </c>
      <c r="AD132" s="37">
        <f t="shared" si="54"/>
        <v>0</v>
      </c>
      <c r="AE132" s="37">
        <f t="shared" si="55"/>
        <v>0</v>
      </c>
      <c r="AF132" s="37">
        <f t="shared" si="56"/>
        <v>0</v>
      </c>
      <c r="AG132" s="37">
        <f t="shared" si="57"/>
        <v>0</v>
      </c>
      <c r="AH132" s="37">
        <f t="shared" si="58"/>
        <v>0</v>
      </c>
      <c r="AI132" s="37">
        <f t="shared" si="59"/>
        <v>1</v>
      </c>
      <c r="AJ132" s="37">
        <f t="shared" si="60"/>
        <v>0</v>
      </c>
      <c r="AK132" s="37">
        <f t="shared" si="61"/>
        <v>0</v>
      </c>
      <c r="AL132" s="37">
        <f t="shared" si="62"/>
        <v>0</v>
      </c>
      <c r="AM132" s="37">
        <f t="shared" si="63"/>
        <v>0</v>
      </c>
      <c r="AN132" s="37">
        <f t="shared" si="64"/>
        <v>1</v>
      </c>
      <c r="AO132" s="37">
        <f t="shared" si="65"/>
        <v>0</v>
      </c>
      <c r="AP132" s="37"/>
      <c r="AQ132" s="37"/>
      <c r="AR132" s="37">
        <f t="shared" si="66"/>
        <v>3</v>
      </c>
      <c r="AS132" s="37">
        <f t="shared" si="67"/>
        <v>3</v>
      </c>
      <c r="AT132" s="37" t="str">
        <f t="shared" si="68"/>
        <v>Correct</v>
      </c>
      <c r="AU132" s="37"/>
      <c r="AV132" s="120" t="str">
        <f>IFERROR(VLOOKUP(Table1[RespondentID],'All Data'!$A$3:$CO$999,87,FALSE),"unknown")</f>
        <v>Man</v>
      </c>
      <c r="AW132" s="120">
        <f>IFERROR(VLOOKUP(Table1[RespondentID],'All Data'!$A$3:$CO$999,88,FALSE),"unknown")</f>
        <v>18</v>
      </c>
      <c r="AX132" s="120" t="str">
        <f>IFERROR(VLOOKUP(Table1[RespondentID],'All Data'!$A$3:$CO$999,89,FALSE),"unknown")</f>
        <v>Suffolk</v>
      </c>
      <c r="AY132" s="120" t="str">
        <f>IFERROR(VLOOKUP(Table1[RespondentID],'All Data'!$A$3:$CO$999,90,FALSE),"unknown")</f>
        <v>Commack, 11725</v>
      </c>
      <c r="AZ132" s="120" t="str">
        <f>IFERROR(VLOOKUP(Table1[RespondentID],'All Data'!$A$3:$CO$999,91,FALSE),"unknown")</f>
        <v>White</v>
      </c>
      <c r="BA132" s="120" t="str">
        <f>IFERROR(VLOOKUP(Table1[RespondentID],'All Data'!$A$3:$CO$999,92,FALSE),"unknown")</f>
        <v>Hispanic or Latino</v>
      </c>
      <c r="BB132" s="120" t="str">
        <f>IFERROR(VLOOKUP(Table1[RespondentID],'All Data'!$A$3:$CO$999,93,FALSE),"unknown")</f>
        <v>English</v>
      </c>
      <c r="BC132" s="120" t="str">
        <f>IFERROR(VLOOKUP(Table1[RespondentID],'All Data'!$A$3:$CW$999,94,FALSE),"unknown")</f>
        <v>Over $125,000</v>
      </c>
      <c r="BD132" s="120" t="str">
        <f>IFERROR(VLOOKUP(Table1[RespondentID],'All Data'!$A$3:$CW$999,95,FALSE),"unknown")</f>
        <v>High school graduate</v>
      </c>
      <c r="BE132" s="120" t="str">
        <f>IFERROR(VLOOKUP(Table1[RespondentID],'All Data'!$A$3:$CW$999,96,FALSE),"unknown")</f>
        <v>Student</v>
      </c>
      <c r="BF132" s="120" t="str">
        <f>IFERROR(VLOOKUP(Table1[RespondentID],'All Data'!$A$3:$CW$999,97,FALSE),"unknown")</f>
        <v>Yes</v>
      </c>
      <c r="BG132" s="120">
        <f>IFERROR(VLOOKUP(Table1[RespondentID],'All Data'!$A$3:$CW$999,98,FALSE),"unknown")</f>
        <v>0</v>
      </c>
      <c r="BH132" s="120">
        <f>IFERROR(VLOOKUP(Table1[RespondentID],'All Data'!$A$3:$CW$999,99,FALSE),"unknown")</f>
        <v>0</v>
      </c>
    </row>
    <row r="133" spans="1:60">
      <c r="A133" s="5">
        <v>18022517003</v>
      </c>
      <c r="B133" s="5"/>
      <c r="C133" s="5"/>
      <c r="D133" s="5"/>
      <c r="E133" s="5"/>
      <c r="F133" s="5"/>
      <c r="G133" s="5" t="s">
        <v>53</v>
      </c>
      <c r="H133" s="5"/>
      <c r="I133" s="5"/>
      <c r="J133" s="5"/>
      <c r="K133" s="5"/>
      <c r="L133" s="5"/>
      <c r="M133" s="5"/>
      <c r="N133" s="5"/>
      <c r="O133" s="5"/>
      <c r="P133" s="5"/>
      <c r="Q133" s="5"/>
      <c r="R133" s="5"/>
      <c r="S133" s="5" t="s">
        <v>63</v>
      </c>
      <c r="T133" s="37"/>
      <c r="U133" s="37">
        <f t="shared" si="46"/>
        <v>2</v>
      </c>
      <c r="V133" s="37">
        <f t="shared" si="47"/>
        <v>1.5</v>
      </c>
      <c r="W133" s="37"/>
      <c r="X133" s="37">
        <f t="shared" si="48"/>
        <v>0</v>
      </c>
      <c r="Y133" s="37">
        <f t="shared" si="49"/>
        <v>0</v>
      </c>
      <c r="Z133" s="37">
        <f t="shared" si="50"/>
        <v>0</v>
      </c>
      <c r="AA133" s="37">
        <f t="shared" si="51"/>
        <v>0</v>
      </c>
      <c r="AB133" s="37">
        <f t="shared" si="52"/>
        <v>0</v>
      </c>
      <c r="AC133" s="37">
        <f t="shared" si="53"/>
        <v>1</v>
      </c>
      <c r="AD133" s="37">
        <f t="shared" si="54"/>
        <v>0</v>
      </c>
      <c r="AE133" s="37">
        <f t="shared" si="55"/>
        <v>0</v>
      </c>
      <c r="AF133" s="37">
        <f t="shared" si="56"/>
        <v>0</v>
      </c>
      <c r="AG133" s="37">
        <f t="shared" si="57"/>
        <v>0</v>
      </c>
      <c r="AH133" s="37">
        <f t="shared" si="58"/>
        <v>0</v>
      </c>
      <c r="AI133" s="37">
        <f t="shared" si="59"/>
        <v>0</v>
      </c>
      <c r="AJ133" s="37">
        <f t="shared" si="60"/>
        <v>0</v>
      </c>
      <c r="AK133" s="37">
        <f t="shared" si="61"/>
        <v>0</v>
      </c>
      <c r="AL133" s="37">
        <f t="shared" si="62"/>
        <v>0</v>
      </c>
      <c r="AM133" s="37">
        <f t="shared" si="63"/>
        <v>0</v>
      </c>
      <c r="AN133" s="37">
        <f t="shared" si="64"/>
        <v>0</v>
      </c>
      <c r="AO133" s="37">
        <f t="shared" si="65"/>
        <v>1</v>
      </c>
      <c r="AP133" s="37"/>
      <c r="AQ133" s="37"/>
      <c r="AR133" s="37">
        <f t="shared" si="66"/>
        <v>2</v>
      </c>
      <c r="AS133" s="37">
        <f t="shared" si="67"/>
        <v>2</v>
      </c>
      <c r="AT133" s="37" t="str">
        <f t="shared" si="68"/>
        <v>Correct</v>
      </c>
      <c r="AU133" s="37"/>
      <c r="AV133" s="120" t="str">
        <f>IFERROR(VLOOKUP(Table1[RespondentID],'All Data'!$A$3:$CO$999,87,FALSE),"unknown")</f>
        <v>Woman</v>
      </c>
      <c r="AW133" s="120">
        <f>IFERROR(VLOOKUP(Table1[RespondentID],'All Data'!$A$3:$CO$999,88,FALSE),"unknown")</f>
        <v>52</v>
      </c>
      <c r="AX133" s="120" t="str">
        <f>IFERROR(VLOOKUP(Table1[RespondentID],'All Data'!$A$3:$CO$999,89,FALSE),"unknown")</f>
        <v>Suffolk</v>
      </c>
      <c r="AY133" s="120" t="str">
        <f>IFERROR(VLOOKUP(Table1[RespondentID],'All Data'!$A$3:$CO$999,90,FALSE),"unknown")</f>
        <v>Kings Park, 11754</v>
      </c>
      <c r="AZ133" s="120" t="str">
        <f>IFERROR(VLOOKUP(Table1[RespondentID],'All Data'!$A$3:$CO$999,91,FALSE),"unknown")</f>
        <v>White</v>
      </c>
      <c r="BA133" s="120" t="str">
        <f>IFERROR(VLOOKUP(Table1[RespondentID],'All Data'!$A$3:$CO$999,92,FALSE),"unknown")</f>
        <v>Hispanic or Latino</v>
      </c>
      <c r="BB133" s="120" t="str">
        <f>IFERROR(VLOOKUP(Table1[RespondentID],'All Data'!$A$3:$CO$999,93,FALSE),"unknown")</f>
        <v>English</v>
      </c>
      <c r="BC133" s="120" t="str">
        <f>IFERROR(VLOOKUP(Table1[RespondentID],'All Data'!$A$3:$CW$999,94,FALSE),"unknown")</f>
        <v>Over $125,000</v>
      </c>
      <c r="BD133" s="120" t="str">
        <f>IFERROR(VLOOKUP(Table1[RespondentID],'All Data'!$A$3:$CW$999,95,FALSE),"unknown")</f>
        <v>Graduate school</v>
      </c>
      <c r="BE133" s="120" t="str">
        <f>IFERROR(VLOOKUP(Table1[RespondentID],'All Data'!$A$3:$CW$999,96,FALSE),"unknown")</f>
        <v>Employed for wages</v>
      </c>
      <c r="BF133" s="120" t="str">
        <f>IFERROR(VLOOKUP(Table1[RespondentID],'All Data'!$A$3:$CW$999,97,FALSE),"unknown")</f>
        <v>Yes</v>
      </c>
      <c r="BG133" s="120" t="str">
        <f>IFERROR(VLOOKUP(Table1[RespondentID],'All Data'!$A$3:$CW$999,98,FALSE),"unknown")</f>
        <v>Private/Commercial</v>
      </c>
      <c r="BH133" s="120">
        <f>IFERROR(VLOOKUP(Table1[RespondentID],'All Data'!$A$3:$CW$999,99,FALSE),"unknown")</f>
        <v>0</v>
      </c>
    </row>
    <row r="134" spans="1:60">
      <c r="A134" s="5">
        <v>18022515327</v>
      </c>
      <c r="B134" s="5"/>
      <c r="C134" s="5"/>
      <c r="D134" s="5"/>
      <c r="E134" s="5"/>
      <c r="F134" s="5" t="s">
        <v>52</v>
      </c>
      <c r="G134" s="5"/>
      <c r="H134" s="5"/>
      <c r="I134" s="5"/>
      <c r="J134" s="5"/>
      <c r="K134" s="5"/>
      <c r="L134" s="5" t="s">
        <v>58</v>
      </c>
      <c r="M134" s="5"/>
      <c r="N134" s="5"/>
      <c r="O134" s="5"/>
      <c r="P134" s="5"/>
      <c r="Q134" s="5"/>
      <c r="R134" s="5"/>
      <c r="S134" s="5" t="s">
        <v>63</v>
      </c>
      <c r="T134" s="37"/>
      <c r="U134" s="37">
        <f t="shared" si="46"/>
        <v>3</v>
      </c>
      <c r="V134" s="37">
        <f t="shared" si="47"/>
        <v>1</v>
      </c>
      <c r="W134" s="37"/>
      <c r="X134" s="37">
        <f t="shared" si="48"/>
        <v>0</v>
      </c>
      <c r="Y134" s="37">
        <f t="shared" si="49"/>
        <v>0</v>
      </c>
      <c r="Z134" s="37">
        <f t="shared" si="50"/>
        <v>0</v>
      </c>
      <c r="AA134" s="37">
        <f t="shared" si="51"/>
        <v>0</v>
      </c>
      <c r="AB134" s="37">
        <f t="shared" si="52"/>
        <v>1</v>
      </c>
      <c r="AC134" s="37">
        <f t="shared" si="53"/>
        <v>0</v>
      </c>
      <c r="AD134" s="37">
        <f t="shared" si="54"/>
        <v>0</v>
      </c>
      <c r="AE134" s="37">
        <f t="shared" si="55"/>
        <v>0</v>
      </c>
      <c r="AF134" s="37">
        <f t="shared" si="56"/>
        <v>0</v>
      </c>
      <c r="AG134" s="37">
        <f t="shared" si="57"/>
        <v>0</v>
      </c>
      <c r="AH134" s="37">
        <f t="shared" si="58"/>
        <v>1</v>
      </c>
      <c r="AI134" s="37">
        <f t="shared" si="59"/>
        <v>0</v>
      </c>
      <c r="AJ134" s="37">
        <f t="shared" si="60"/>
        <v>0</v>
      </c>
      <c r="AK134" s="37">
        <f t="shared" si="61"/>
        <v>0</v>
      </c>
      <c r="AL134" s="37">
        <f t="shared" si="62"/>
        <v>0</v>
      </c>
      <c r="AM134" s="37">
        <f t="shared" si="63"/>
        <v>0</v>
      </c>
      <c r="AN134" s="37">
        <f t="shared" si="64"/>
        <v>0</v>
      </c>
      <c r="AO134" s="37">
        <f t="shared" si="65"/>
        <v>1</v>
      </c>
      <c r="AP134" s="37"/>
      <c r="AQ134" s="37"/>
      <c r="AR134" s="37">
        <f t="shared" si="66"/>
        <v>3</v>
      </c>
      <c r="AS134" s="37">
        <f t="shared" si="67"/>
        <v>3</v>
      </c>
      <c r="AT134" s="37" t="str">
        <f t="shared" si="68"/>
        <v>Correct</v>
      </c>
      <c r="AU134" s="37"/>
      <c r="AV134" s="120" t="str">
        <f>IFERROR(VLOOKUP(Table1[RespondentID],'All Data'!$A$3:$CO$999,87,FALSE),"unknown")</f>
        <v>Woman</v>
      </c>
      <c r="AW134" s="120">
        <f>IFERROR(VLOOKUP(Table1[RespondentID],'All Data'!$A$3:$CO$999,88,FALSE),"unknown")</f>
        <v>47</v>
      </c>
      <c r="AX134" s="120" t="str">
        <f>IFERROR(VLOOKUP(Table1[RespondentID],'All Data'!$A$3:$CO$999,89,FALSE),"unknown")</f>
        <v>Suffolk</v>
      </c>
      <c r="AY134" s="120" t="str">
        <f>IFERROR(VLOOKUP(Table1[RespondentID],'All Data'!$A$3:$CO$999,90,FALSE),"unknown")</f>
        <v>Smithtown, 11787</v>
      </c>
      <c r="AZ134" s="120" t="str">
        <f>IFERROR(VLOOKUP(Table1[RespondentID],'All Data'!$A$3:$CO$999,91,FALSE),"unknown")</f>
        <v>American Indian and Alaska Native</v>
      </c>
      <c r="BA134" s="120" t="str">
        <f>IFERROR(VLOOKUP(Table1[RespondentID],'All Data'!$A$3:$CO$999,92,FALSE),"unknown")</f>
        <v>Hispanic or Latino</v>
      </c>
      <c r="BB134" s="120" t="str">
        <f>IFERROR(VLOOKUP(Table1[RespondentID],'All Data'!$A$3:$CO$999,93,FALSE),"unknown")</f>
        <v>Korean</v>
      </c>
      <c r="BC134" s="120" t="str">
        <f>IFERROR(VLOOKUP(Table1[RespondentID],'All Data'!$A$3:$CW$999,94,FALSE),"unknown")</f>
        <v>$75,000 to $125,000</v>
      </c>
      <c r="BD134" s="120" t="str">
        <f>IFERROR(VLOOKUP(Table1[RespondentID],'All Data'!$A$3:$CW$999,95,FALSE),"unknown")</f>
        <v>College graduate</v>
      </c>
      <c r="BE134" s="120" t="str">
        <f>IFERROR(VLOOKUP(Table1[RespondentID],'All Data'!$A$3:$CW$999,96,FALSE),"unknown")</f>
        <v>Employed for wages</v>
      </c>
      <c r="BF134" s="120" t="str">
        <f>IFERROR(VLOOKUP(Table1[RespondentID],'All Data'!$A$3:$CW$999,97,FALSE),"unknown")</f>
        <v>Yes</v>
      </c>
      <c r="BG134" s="120" t="str">
        <f>IFERROR(VLOOKUP(Table1[RespondentID],'All Data'!$A$3:$CW$999,98,FALSE),"unknown")</f>
        <v>Private/Commercial</v>
      </c>
      <c r="BH134" s="120" t="str">
        <f>IFERROR(VLOOKUP(Table1[RespondentID],'All Data'!$A$3:$CW$999,99,FALSE),"unknown")</f>
        <v>Yes</v>
      </c>
    </row>
    <row r="135" spans="1:60">
      <c r="A135" s="5">
        <v>18022426389</v>
      </c>
      <c r="B135" s="5"/>
      <c r="C135" s="5" t="s">
        <v>50</v>
      </c>
      <c r="D135" s="5" t="s">
        <v>51</v>
      </c>
      <c r="E135" s="5" t="s">
        <v>17</v>
      </c>
      <c r="F135" s="5"/>
      <c r="G135" s="5"/>
      <c r="H135" s="5"/>
      <c r="I135" s="5"/>
      <c r="J135" s="5"/>
      <c r="K135" s="5"/>
      <c r="L135" s="5" t="s">
        <v>58</v>
      </c>
      <c r="M135" s="5" t="s">
        <v>59</v>
      </c>
      <c r="N135" s="5"/>
      <c r="O135" s="5"/>
      <c r="P135" s="5"/>
      <c r="Q135" s="5"/>
      <c r="R135" s="5"/>
      <c r="S135" s="5" t="s">
        <v>63</v>
      </c>
      <c r="T135" s="37"/>
      <c r="U135" s="37">
        <f t="shared" si="46"/>
        <v>6</v>
      </c>
      <c r="V135" s="37">
        <f t="shared" si="47"/>
        <v>0.5</v>
      </c>
      <c r="W135" s="37"/>
      <c r="X135" s="37">
        <f t="shared" si="48"/>
        <v>0</v>
      </c>
      <c r="Y135" s="37">
        <f t="shared" si="49"/>
        <v>0.5</v>
      </c>
      <c r="Z135" s="37">
        <f t="shared" si="50"/>
        <v>0.5</v>
      </c>
      <c r="AA135" s="37">
        <f t="shared" si="51"/>
        <v>0.5</v>
      </c>
      <c r="AB135" s="37">
        <f t="shared" si="52"/>
        <v>0</v>
      </c>
      <c r="AC135" s="37">
        <f t="shared" si="53"/>
        <v>0</v>
      </c>
      <c r="AD135" s="37">
        <f t="shared" si="54"/>
        <v>0</v>
      </c>
      <c r="AE135" s="37">
        <f t="shared" si="55"/>
        <v>0</v>
      </c>
      <c r="AF135" s="37">
        <f t="shared" si="56"/>
        <v>0</v>
      </c>
      <c r="AG135" s="37">
        <f t="shared" si="57"/>
        <v>0</v>
      </c>
      <c r="AH135" s="37">
        <f t="shared" si="58"/>
        <v>0.5</v>
      </c>
      <c r="AI135" s="37">
        <f t="shared" si="59"/>
        <v>0.5</v>
      </c>
      <c r="AJ135" s="37">
        <f t="shared" si="60"/>
        <v>0</v>
      </c>
      <c r="AK135" s="37">
        <f t="shared" si="61"/>
        <v>0</v>
      </c>
      <c r="AL135" s="37">
        <f t="shared" si="62"/>
        <v>0</v>
      </c>
      <c r="AM135" s="37">
        <f t="shared" si="63"/>
        <v>0</v>
      </c>
      <c r="AN135" s="37">
        <f t="shared" si="64"/>
        <v>0</v>
      </c>
      <c r="AO135" s="37">
        <f t="shared" si="65"/>
        <v>0.5</v>
      </c>
      <c r="AP135" s="37"/>
      <c r="AQ135" s="37"/>
      <c r="AR135" s="37">
        <f t="shared" si="66"/>
        <v>3</v>
      </c>
      <c r="AS135" s="37">
        <f t="shared" si="67"/>
        <v>6</v>
      </c>
      <c r="AT135" s="37" t="str">
        <f t="shared" si="68"/>
        <v>Correct</v>
      </c>
      <c r="AU135" s="37"/>
      <c r="AV135" s="120" t="str">
        <f>IFERROR(VLOOKUP(Table1[RespondentID],'All Data'!$A$3:$CO$999,87,FALSE),"unknown")</f>
        <v>Man</v>
      </c>
      <c r="AW135" s="120">
        <f>IFERROR(VLOOKUP(Table1[RespondentID],'All Data'!$A$3:$CO$999,88,FALSE),"unknown")</f>
        <v>48</v>
      </c>
      <c r="AX135" s="120" t="str">
        <f>IFERROR(VLOOKUP(Table1[RespondentID],'All Data'!$A$3:$CO$999,89,FALSE),"unknown")</f>
        <v>Suffolk</v>
      </c>
      <c r="AY135" s="120" t="str">
        <f>IFERROR(VLOOKUP(Table1[RespondentID],'All Data'!$A$3:$CO$999,90,FALSE),"unknown")</f>
        <v>Kings Park, 11754</v>
      </c>
      <c r="AZ135" s="120" t="str">
        <f>IFERROR(VLOOKUP(Table1[RespondentID],'All Data'!$A$3:$CO$999,91,FALSE),"unknown")</f>
        <v>White</v>
      </c>
      <c r="BA135" s="120" t="str">
        <f>IFERROR(VLOOKUP(Table1[RespondentID],'All Data'!$A$3:$CO$999,92,FALSE),"unknown")</f>
        <v>Hispanic or Latino</v>
      </c>
      <c r="BB135" s="120" t="str">
        <f>IFERROR(VLOOKUP(Table1[RespondentID],'All Data'!$A$3:$CO$999,93,FALSE),"unknown")</f>
        <v>English</v>
      </c>
      <c r="BC135" s="120" t="str">
        <f>IFERROR(VLOOKUP(Table1[RespondentID],'All Data'!$A$3:$CW$999,94,FALSE),"unknown")</f>
        <v>Over $125,000</v>
      </c>
      <c r="BD135" s="120" t="str">
        <f>IFERROR(VLOOKUP(Table1[RespondentID],'All Data'!$A$3:$CW$999,95,FALSE),"unknown")</f>
        <v>Other (please specify)</v>
      </c>
      <c r="BE135" s="120" t="str">
        <f>IFERROR(VLOOKUP(Table1[RespondentID],'All Data'!$A$3:$CW$999,96,FALSE),"unknown")</f>
        <v>Employed for wages</v>
      </c>
      <c r="BF135" s="120" t="str">
        <f>IFERROR(VLOOKUP(Table1[RespondentID],'All Data'!$A$3:$CW$999,97,FALSE),"unknown")</f>
        <v>Yes</v>
      </c>
      <c r="BG135" s="120" t="str">
        <f>IFERROR(VLOOKUP(Table1[RespondentID],'All Data'!$A$3:$CW$999,98,FALSE),"unknown")</f>
        <v>Private/Commercial</v>
      </c>
      <c r="BH135" s="120" t="str">
        <f>IFERROR(VLOOKUP(Table1[RespondentID],'All Data'!$A$3:$CW$999,99,FALSE),"unknown")</f>
        <v>Yes</v>
      </c>
    </row>
    <row r="136" spans="1:60">
      <c r="A136" s="5">
        <v>18022425382</v>
      </c>
      <c r="B136" s="5"/>
      <c r="C136" s="5"/>
      <c r="D136" s="5"/>
      <c r="E136" s="5"/>
      <c r="F136" s="5"/>
      <c r="G136" s="5"/>
      <c r="H136" s="5"/>
      <c r="I136" s="5" t="s">
        <v>55</v>
      </c>
      <c r="J136" s="5"/>
      <c r="K136" s="5"/>
      <c r="L136" s="5"/>
      <c r="M136" s="5"/>
      <c r="N136" s="5"/>
      <c r="O136" s="5"/>
      <c r="P136" s="5" t="s">
        <v>60</v>
      </c>
      <c r="Q136" s="5" t="s">
        <v>61</v>
      </c>
      <c r="R136" s="5"/>
      <c r="S136" s="5"/>
      <c r="T136" s="37"/>
      <c r="U136" s="37">
        <f t="shared" si="46"/>
        <v>3</v>
      </c>
      <c r="V136" s="37">
        <f t="shared" si="47"/>
        <v>1</v>
      </c>
      <c r="W136" s="37"/>
      <c r="X136" s="37">
        <f t="shared" si="48"/>
        <v>0</v>
      </c>
      <c r="Y136" s="37">
        <f t="shared" si="49"/>
        <v>0</v>
      </c>
      <c r="Z136" s="37">
        <f t="shared" si="50"/>
        <v>0</v>
      </c>
      <c r="AA136" s="37">
        <f t="shared" si="51"/>
        <v>0</v>
      </c>
      <c r="AB136" s="37">
        <f t="shared" si="52"/>
        <v>0</v>
      </c>
      <c r="AC136" s="37">
        <f t="shared" si="53"/>
        <v>0</v>
      </c>
      <c r="AD136" s="37">
        <f t="shared" si="54"/>
        <v>0</v>
      </c>
      <c r="AE136" s="37">
        <f t="shared" si="55"/>
        <v>1</v>
      </c>
      <c r="AF136" s="37">
        <f t="shared" si="56"/>
        <v>0</v>
      </c>
      <c r="AG136" s="37">
        <f t="shared" si="57"/>
        <v>0</v>
      </c>
      <c r="AH136" s="37">
        <f t="shared" si="58"/>
        <v>0</v>
      </c>
      <c r="AI136" s="37">
        <f t="shared" si="59"/>
        <v>0</v>
      </c>
      <c r="AJ136" s="37">
        <f t="shared" si="60"/>
        <v>0</v>
      </c>
      <c r="AK136" s="37">
        <f t="shared" si="61"/>
        <v>0</v>
      </c>
      <c r="AL136" s="37">
        <f t="shared" si="62"/>
        <v>1</v>
      </c>
      <c r="AM136" s="37">
        <f t="shared" si="63"/>
        <v>1</v>
      </c>
      <c r="AN136" s="37">
        <f t="shared" si="64"/>
        <v>0</v>
      </c>
      <c r="AO136" s="37">
        <f t="shared" si="65"/>
        <v>0</v>
      </c>
      <c r="AP136" s="37"/>
      <c r="AQ136" s="37"/>
      <c r="AR136" s="37">
        <f t="shared" si="66"/>
        <v>3</v>
      </c>
      <c r="AS136" s="37">
        <f t="shared" si="67"/>
        <v>3</v>
      </c>
      <c r="AT136" s="37" t="str">
        <f t="shared" si="68"/>
        <v>Correct</v>
      </c>
      <c r="AU136" s="37"/>
      <c r="AV136" s="120" t="str">
        <f>IFERROR(VLOOKUP(Table1[RespondentID],'All Data'!$A$3:$CO$999,87,FALSE),"unknown")</f>
        <v>Woman</v>
      </c>
      <c r="AW136" s="120">
        <f>IFERROR(VLOOKUP(Table1[RespondentID],'All Data'!$A$3:$CO$999,88,FALSE),"unknown")</f>
        <v>50</v>
      </c>
      <c r="AX136" s="120" t="str">
        <f>IFERROR(VLOOKUP(Table1[RespondentID],'All Data'!$A$3:$CO$999,89,FALSE),"unknown")</f>
        <v>Suffolk</v>
      </c>
      <c r="AY136" s="120" t="str">
        <f>IFERROR(VLOOKUP(Table1[RespondentID],'All Data'!$A$3:$CO$999,90,FALSE),"unknown")</f>
        <v>Hauppauge, 11788</v>
      </c>
      <c r="AZ136" s="120" t="str">
        <f>IFERROR(VLOOKUP(Table1[RespondentID],'All Data'!$A$3:$CO$999,91,FALSE),"unknown")</f>
        <v>White</v>
      </c>
      <c r="BA136" s="120" t="str">
        <f>IFERROR(VLOOKUP(Table1[RespondentID],'All Data'!$A$3:$CO$999,92,FALSE),"unknown")</f>
        <v>Hispanic or Latino</v>
      </c>
      <c r="BB136" s="120" t="str">
        <f>IFERROR(VLOOKUP(Table1[RespondentID],'All Data'!$A$3:$CO$999,93,FALSE),"unknown")</f>
        <v>English</v>
      </c>
      <c r="BC136" s="120" t="str">
        <f>IFERROR(VLOOKUP(Table1[RespondentID],'All Data'!$A$3:$CW$999,94,FALSE),"unknown")</f>
        <v>Over $125,000</v>
      </c>
      <c r="BD136" s="120" t="str">
        <f>IFERROR(VLOOKUP(Table1[RespondentID],'All Data'!$A$3:$CW$999,95,FALSE),"unknown")</f>
        <v>College graduate</v>
      </c>
      <c r="BE136" s="120" t="str">
        <f>IFERROR(VLOOKUP(Table1[RespondentID],'All Data'!$A$3:$CW$999,96,FALSE),"unknown")</f>
        <v>Employed for wages</v>
      </c>
      <c r="BF136" s="120" t="str">
        <f>IFERROR(VLOOKUP(Table1[RespondentID],'All Data'!$A$3:$CW$999,97,FALSE),"unknown")</f>
        <v>Yes</v>
      </c>
      <c r="BG136" s="120" t="str">
        <f>IFERROR(VLOOKUP(Table1[RespondentID],'All Data'!$A$3:$CW$999,98,FALSE),"unknown")</f>
        <v>Private/Commercial</v>
      </c>
      <c r="BH136" s="120" t="str">
        <f>IFERROR(VLOOKUP(Table1[RespondentID],'All Data'!$A$3:$CW$999,99,FALSE),"unknown")</f>
        <v>Yes</v>
      </c>
    </row>
    <row r="137" spans="1:60">
      <c r="A137" s="5">
        <v>18022420665</v>
      </c>
      <c r="B137" s="5"/>
      <c r="C137" s="5"/>
      <c r="D137" s="5"/>
      <c r="E137" s="5"/>
      <c r="F137" s="5"/>
      <c r="G137" s="5"/>
      <c r="H137" s="5" t="s">
        <v>54</v>
      </c>
      <c r="I137" s="5"/>
      <c r="J137" s="5"/>
      <c r="K137" s="5" t="s">
        <v>57</v>
      </c>
      <c r="L137" s="5" t="s">
        <v>58</v>
      </c>
      <c r="M137" s="5"/>
      <c r="N137" s="5"/>
      <c r="O137" s="5"/>
      <c r="P137" s="5"/>
      <c r="Q137" s="5" t="s">
        <v>61</v>
      </c>
      <c r="R137" s="5" t="s">
        <v>62</v>
      </c>
      <c r="S137" s="5"/>
      <c r="T137" s="37"/>
      <c r="U137" s="37">
        <f t="shared" si="46"/>
        <v>5</v>
      </c>
      <c r="V137" s="37">
        <f t="shared" si="47"/>
        <v>0.6</v>
      </c>
      <c r="W137" s="37"/>
      <c r="X137" s="37">
        <f t="shared" si="48"/>
        <v>0</v>
      </c>
      <c r="Y137" s="37">
        <f t="shared" si="49"/>
        <v>0</v>
      </c>
      <c r="Z137" s="37">
        <f t="shared" si="50"/>
        <v>0</v>
      </c>
      <c r="AA137" s="37">
        <f t="shared" si="51"/>
        <v>0</v>
      </c>
      <c r="AB137" s="37">
        <f t="shared" si="52"/>
        <v>0</v>
      </c>
      <c r="AC137" s="37">
        <f t="shared" si="53"/>
        <v>0</v>
      </c>
      <c r="AD137" s="37">
        <f t="shared" si="54"/>
        <v>0.6</v>
      </c>
      <c r="AE137" s="37">
        <f t="shared" si="55"/>
        <v>0</v>
      </c>
      <c r="AF137" s="37">
        <f t="shared" si="56"/>
        <v>0</v>
      </c>
      <c r="AG137" s="37">
        <f t="shared" si="57"/>
        <v>0.6</v>
      </c>
      <c r="AH137" s="37">
        <f t="shared" si="58"/>
        <v>0.6</v>
      </c>
      <c r="AI137" s="37">
        <f t="shared" si="59"/>
        <v>0</v>
      </c>
      <c r="AJ137" s="37">
        <f t="shared" si="60"/>
        <v>0</v>
      </c>
      <c r="AK137" s="37">
        <f t="shared" si="61"/>
        <v>0</v>
      </c>
      <c r="AL137" s="37">
        <f t="shared" si="62"/>
        <v>0</v>
      </c>
      <c r="AM137" s="37">
        <f t="shared" si="63"/>
        <v>0.6</v>
      </c>
      <c r="AN137" s="37">
        <f t="shared" si="64"/>
        <v>0.6</v>
      </c>
      <c r="AO137" s="37">
        <f t="shared" si="65"/>
        <v>0</v>
      </c>
      <c r="AP137" s="37"/>
      <c r="AQ137" s="37"/>
      <c r="AR137" s="37">
        <f t="shared" si="66"/>
        <v>3</v>
      </c>
      <c r="AS137" s="37">
        <f t="shared" si="67"/>
        <v>5</v>
      </c>
      <c r="AT137" s="37" t="str">
        <f t="shared" si="68"/>
        <v>Correct</v>
      </c>
      <c r="AU137" s="37"/>
      <c r="AV137" s="120" t="str">
        <f>IFERROR(VLOOKUP(Table1[RespondentID],'All Data'!$A$3:$CO$999,87,FALSE),"unknown")</f>
        <v>Man</v>
      </c>
      <c r="AW137" s="120">
        <f>IFERROR(VLOOKUP(Table1[RespondentID],'All Data'!$A$3:$CO$999,88,FALSE),"unknown")</f>
        <v>55</v>
      </c>
      <c r="AX137" s="120" t="str">
        <f>IFERROR(VLOOKUP(Table1[RespondentID],'All Data'!$A$3:$CO$999,89,FALSE),"unknown")</f>
        <v>Suffolk</v>
      </c>
      <c r="AY137" s="120" t="str">
        <f>IFERROR(VLOOKUP(Table1[RespondentID],'All Data'!$A$3:$CO$999,90,FALSE),"unknown")</f>
        <v>Commack, 11725</v>
      </c>
      <c r="AZ137" s="120" t="str">
        <f>IFERROR(VLOOKUP(Table1[RespondentID],'All Data'!$A$3:$CO$999,91,FALSE),"unknown")</f>
        <v>White</v>
      </c>
      <c r="BA137" s="120" t="str">
        <f>IFERROR(VLOOKUP(Table1[RespondentID],'All Data'!$A$3:$CO$999,92,FALSE),"unknown")</f>
        <v>Hispanic or Latino</v>
      </c>
      <c r="BB137" s="120" t="str">
        <f>IFERROR(VLOOKUP(Table1[RespondentID],'All Data'!$A$3:$CO$999,93,FALSE),"unknown")</f>
        <v>English</v>
      </c>
      <c r="BC137" s="120" t="str">
        <f>IFERROR(VLOOKUP(Table1[RespondentID],'All Data'!$A$3:$CW$999,94,FALSE),"unknown")</f>
        <v>$50,000 to $74,999</v>
      </c>
      <c r="BD137" s="120" t="str">
        <f>IFERROR(VLOOKUP(Table1[RespondentID],'All Data'!$A$3:$CW$999,95,FALSE),"unknown")</f>
        <v>College graduate</v>
      </c>
      <c r="BE137" s="120" t="str">
        <f>IFERROR(VLOOKUP(Table1[RespondentID],'All Data'!$A$3:$CW$999,96,FALSE),"unknown")</f>
        <v>Employed for wages</v>
      </c>
      <c r="BF137" s="120" t="str">
        <f>IFERROR(VLOOKUP(Table1[RespondentID],'All Data'!$A$3:$CW$999,97,FALSE),"unknown")</f>
        <v>Yes</v>
      </c>
      <c r="BG137" s="120" t="str">
        <f>IFERROR(VLOOKUP(Table1[RespondentID],'All Data'!$A$3:$CW$999,98,FALSE),"unknown")</f>
        <v>Private/Commercial</v>
      </c>
      <c r="BH137" s="120" t="str">
        <f>IFERROR(VLOOKUP(Table1[RespondentID],'All Data'!$A$3:$CW$999,99,FALSE),"unknown")</f>
        <v>Yes</v>
      </c>
    </row>
    <row r="138" spans="1:60">
      <c r="A138" s="5">
        <v>18022420608</v>
      </c>
      <c r="B138" s="5"/>
      <c r="C138" s="5"/>
      <c r="D138" s="5" t="s">
        <v>51</v>
      </c>
      <c r="E138" s="5" t="s">
        <v>17</v>
      </c>
      <c r="F138" s="5"/>
      <c r="G138" s="5"/>
      <c r="H138" s="5" t="s">
        <v>54</v>
      </c>
      <c r="I138" s="5"/>
      <c r="J138" s="5"/>
      <c r="K138" s="5"/>
      <c r="L138" s="5"/>
      <c r="M138" s="5"/>
      <c r="N138" s="5" t="s">
        <v>24</v>
      </c>
      <c r="O138" s="5"/>
      <c r="P138" s="5" t="s">
        <v>60</v>
      </c>
      <c r="Q138" s="5" t="s">
        <v>61</v>
      </c>
      <c r="R138" s="5" t="s">
        <v>62</v>
      </c>
      <c r="S138" s="5"/>
      <c r="T138" s="37"/>
      <c r="U138" s="37">
        <f t="shared" si="46"/>
        <v>7</v>
      </c>
      <c r="V138" s="37">
        <f t="shared" si="47"/>
        <v>0.42857142857142855</v>
      </c>
      <c r="W138" s="37"/>
      <c r="X138" s="37">
        <f t="shared" si="48"/>
        <v>0</v>
      </c>
      <c r="Y138" s="37">
        <f t="shared" si="49"/>
        <v>0</v>
      </c>
      <c r="Z138" s="37">
        <f t="shared" si="50"/>
        <v>0.42857142857142855</v>
      </c>
      <c r="AA138" s="37">
        <f t="shared" si="51"/>
        <v>0.42857142857142855</v>
      </c>
      <c r="AB138" s="37">
        <f t="shared" si="52"/>
        <v>0</v>
      </c>
      <c r="AC138" s="37">
        <f t="shared" si="53"/>
        <v>0</v>
      </c>
      <c r="AD138" s="37">
        <f t="shared" si="54"/>
        <v>0.42857142857142855</v>
      </c>
      <c r="AE138" s="37">
        <f t="shared" si="55"/>
        <v>0</v>
      </c>
      <c r="AF138" s="37">
        <f t="shared" si="56"/>
        <v>0</v>
      </c>
      <c r="AG138" s="37">
        <f t="shared" si="57"/>
        <v>0</v>
      </c>
      <c r="AH138" s="37">
        <f t="shared" si="58"/>
        <v>0</v>
      </c>
      <c r="AI138" s="37">
        <f t="shared" si="59"/>
        <v>0</v>
      </c>
      <c r="AJ138" s="37">
        <f t="shared" si="60"/>
        <v>0.42857142857142855</v>
      </c>
      <c r="AK138" s="37">
        <f t="shared" si="61"/>
        <v>0</v>
      </c>
      <c r="AL138" s="37">
        <f t="shared" si="62"/>
        <v>0.42857142857142855</v>
      </c>
      <c r="AM138" s="37">
        <f t="shared" si="63"/>
        <v>0.42857142857142855</v>
      </c>
      <c r="AN138" s="37">
        <f t="shared" si="64"/>
        <v>0.42857142857142855</v>
      </c>
      <c r="AO138" s="37">
        <f t="shared" si="65"/>
        <v>0</v>
      </c>
      <c r="AP138" s="37"/>
      <c r="AQ138" s="37"/>
      <c r="AR138" s="37">
        <f t="shared" si="66"/>
        <v>2.9999999999999996</v>
      </c>
      <c r="AS138" s="37">
        <f t="shared" si="67"/>
        <v>7</v>
      </c>
      <c r="AT138" s="37" t="str">
        <f t="shared" si="68"/>
        <v>Correct</v>
      </c>
      <c r="AU138" s="37"/>
      <c r="AV138" s="120" t="str">
        <f>IFERROR(VLOOKUP(Table1[RespondentID],'All Data'!$A$3:$CO$999,87,FALSE),"unknown")</f>
        <v>Man</v>
      </c>
      <c r="AW138" s="120">
        <f>IFERROR(VLOOKUP(Table1[RespondentID],'All Data'!$A$3:$CO$999,88,FALSE),"unknown")</f>
        <v>81</v>
      </c>
      <c r="AX138" s="120" t="str">
        <f>IFERROR(VLOOKUP(Table1[RespondentID],'All Data'!$A$3:$CO$999,89,FALSE),"unknown")</f>
        <v>Suffolk</v>
      </c>
      <c r="AY138" s="120" t="str">
        <f>IFERROR(VLOOKUP(Table1[RespondentID],'All Data'!$A$3:$CO$999,90,FALSE),"unknown")</f>
        <v>Ridge, 11961</v>
      </c>
      <c r="AZ138" s="120" t="str">
        <f>IFERROR(VLOOKUP(Table1[RespondentID],'All Data'!$A$3:$CO$999,91,FALSE),"unknown")</f>
        <v>White</v>
      </c>
      <c r="BA138" s="120" t="str">
        <f>IFERROR(VLOOKUP(Table1[RespondentID],'All Data'!$A$3:$CO$999,92,FALSE),"unknown")</f>
        <v>Not Hispanic or Latino</v>
      </c>
      <c r="BB138" s="120" t="str">
        <f>IFERROR(VLOOKUP(Table1[RespondentID],'All Data'!$A$3:$CO$999,93,FALSE),"unknown")</f>
        <v>English, Spanish</v>
      </c>
      <c r="BC138" s="120" t="str">
        <f>IFERROR(VLOOKUP(Table1[RespondentID],'All Data'!$A$3:$CW$999,94,FALSE),"unknown")</f>
        <v>Over $125,000</v>
      </c>
      <c r="BD138" s="120" t="str">
        <f>IFERROR(VLOOKUP(Table1[RespondentID],'All Data'!$A$3:$CW$999,95,FALSE),"unknown")</f>
        <v>College graduate</v>
      </c>
      <c r="BE138" s="120" t="str">
        <f>IFERROR(VLOOKUP(Table1[RespondentID],'All Data'!$A$3:$CW$999,96,FALSE),"unknown")</f>
        <v>Retired</v>
      </c>
      <c r="BF138" s="120" t="str">
        <f>IFERROR(VLOOKUP(Table1[RespondentID],'All Data'!$A$3:$CW$999,97,FALSE),"unknown")</f>
        <v>Yes</v>
      </c>
      <c r="BG138" s="120" t="str">
        <f>IFERROR(VLOOKUP(Table1[RespondentID],'All Data'!$A$3:$CW$999,98,FALSE),"unknown")</f>
        <v>Medicare</v>
      </c>
      <c r="BH138" s="120" t="str">
        <f>IFERROR(VLOOKUP(Table1[RespondentID],'All Data'!$A$3:$CW$999,99,FALSE),"unknown")</f>
        <v>Yes</v>
      </c>
    </row>
    <row r="139" spans="1:60">
      <c r="A139" s="5">
        <v>18022392509</v>
      </c>
      <c r="B139" s="5"/>
      <c r="C139" s="5"/>
      <c r="D139" s="5" t="s">
        <v>51</v>
      </c>
      <c r="E139" s="5"/>
      <c r="F139" s="5"/>
      <c r="G139" s="5" t="s">
        <v>53</v>
      </c>
      <c r="H139" s="5"/>
      <c r="I139" s="5" t="s">
        <v>55</v>
      </c>
      <c r="J139" s="5"/>
      <c r="K139" s="5"/>
      <c r="L139" s="5"/>
      <c r="M139" s="5" t="s">
        <v>59</v>
      </c>
      <c r="N139" s="5" t="s">
        <v>24</v>
      </c>
      <c r="O139" s="5"/>
      <c r="P139" s="5" t="s">
        <v>60</v>
      </c>
      <c r="Q139" s="5"/>
      <c r="R139" s="5"/>
      <c r="S139" s="5"/>
      <c r="T139" s="37"/>
      <c r="U139" s="37">
        <f t="shared" si="46"/>
        <v>6</v>
      </c>
      <c r="V139" s="37">
        <f t="shared" si="47"/>
        <v>0.5</v>
      </c>
      <c r="W139" s="37"/>
      <c r="X139" s="37">
        <f t="shared" si="48"/>
        <v>0</v>
      </c>
      <c r="Y139" s="37">
        <f t="shared" si="49"/>
        <v>0</v>
      </c>
      <c r="Z139" s="37">
        <f t="shared" si="50"/>
        <v>0.5</v>
      </c>
      <c r="AA139" s="37">
        <f t="shared" si="51"/>
        <v>0</v>
      </c>
      <c r="AB139" s="37">
        <f t="shared" si="52"/>
        <v>0</v>
      </c>
      <c r="AC139" s="37">
        <f t="shared" si="53"/>
        <v>0.5</v>
      </c>
      <c r="AD139" s="37">
        <f t="shared" si="54"/>
        <v>0</v>
      </c>
      <c r="AE139" s="37">
        <f t="shared" si="55"/>
        <v>0.5</v>
      </c>
      <c r="AF139" s="37">
        <f t="shared" si="56"/>
        <v>0</v>
      </c>
      <c r="AG139" s="37">
        <f t="shared" si="57"/>
        <v>0</v>
      </c>
      <c r="AH139" s="37">
        <f t="shared" si="58"/>
        <v>0</v>
      </c>
      <c r="AI139" s="37">
        <f t="shared" si="59"/>
        <v>0.5</v>
      </c>
      <c r="AJ139" s="37">
        <f t="shared" si="60"/>
        <v>0.5</v>
      </c>
      <c r="AK139" s="37">
        <f t="shared" si="61"/>
        <v>0</v>
      </c>
      <c r="AL139" s="37">
        <f t="shared" si="62"/>
        <v>0.5</v>
      </c>
      <c r="AM139" s="37">
        <f t="shared" si="63"/>
        <v>0</v>
      </c>
      <c r="AN139" s="37">
        <f t="shared" si="64"/>
        <v>0</v>
      </c>
      <c r="AO139" s="37">
        <f t="shared" si="65"/>
        <v>0</v>
      </c>
      <c r="AP139" s="37"/>
      <c r="AQ139" s="37"/>
      <c r="AR139" s="37">
        <f t="shared" si="66"/>
        <v>3</v>
      </c>
      <c r="AS139" s="37">
        <f t="shared" si="67"/>
        <v>6</v>
      </c>
      <c r="AT139" s="37" t="str">
        <f t="shared" si="68"/>
        <v>Correct</v>
      </c>
      <c r="AU139" s="37"/>
      <c r="AV139" s="120" t="str">
        <f>IFERROR(VLOOKUP(Table1[RespondentID],'All Data'!$A$3:$CO$999,87,FALSE),"unknown")</f>
        <v>Woman</v>
      </c>
      <c r="AW139" s="120">
        <f>IFERROR(VLOOKUP(Table1[RespondentID],'All Data'!$A$3:$CO$999,88,FALSE),"unknown")</f>
        <v>64</v>
      </c>
      <c r="AX139" s="120" t="str">
        <f>IFERROR(VLOOKUP(Table1[RespondentID],'All Data'!$A$3:$CO$999,89,FALSE),"unknown")</f>
        <v>Suffolk</v>
      </c>
      <c r="AY139" s="120" t="str">
        <f>IFERROR(VLOOKUP(Table1[RespondentID],'All Data'!$A$3:$CO$999,90,FALSE),"unknown")</f>
        <v>West Sayville, 11796</v>
      </c>
      <c r="AZ139" s="120" t="str">
        <f>IFERROR(VLOOKUP(Table1[RespondentID],'All Data'!$A$3:$CO$999,91,FALSE),"unknown")</f>
        <v>White</v>
      </c>
      <c r="BA139" s="120" t="str">
        <f>IFERROR(VLOOKUP(Table1[RespondentID],'All Data'!$A$3:$CO$999,92,FALSE),"unknown")</f>
        <v>Hispanic or Latino</v>
      </c>
      <c r="BB139" s="120" t="str">
        <f>IFERROR(VLOOKUP(Table1[RespondentID],'All Data'!$A$3:$CO$999,93,FALSE),"unknown")</f>
        <v>English</v>
      </c>
      <c r="BC139" s="120" t="str">
        <f>IFERROR(VLOOKUP(Table1[RespondentID],'All Data'!$A$3:$CW$999,94,FALSE),"unknown")</f>
        <v>$75,000 to $125,000</v>
      </c>
      <c r="BD139" s="120" t="str">
        <f>IFERROR(VLOOKUP(Table1[RespondentID],'All Data'!$A$3:$CW$999,95,FALSE),"unknown")</f>
        <v>High school graduate</v>
      </c>
      <c r="BE139" s="120" t="str">
        <f>IFERROR(VLOOKUP(Table1[RespondentID],'All Data'!$A$3:$CW$999,96,FALSE),"unknown")</f>
        <v>Employed for wages</v>
      </c>
      <c r="BF139" s="120" t="str">
        <f>IFERROR(VLOOKUP(Table1[RespondentID],'All Data'!$A$3:$CW$999,97,FALSE),"unknown")</f>
        <v>Yes</v>
      </c>
      <c r="BG139" s="120" t="str">
        <f>IFERROR(VLOOKUP(Table1[RespondentID],'All Data'!$A$3:$CW$999,98,FALSE),"unknown")</f>
        <v>Private/Commercial</v>
      </c>
      <c r="BH139" s="120" t="str">
        <f>IFERROR(VLOOKUP(Table1[RespondentID],'All Data'!$A$3:$CW$999,99,FALSE),"unknown")</f>
        <v>Yes</v>
      </c>
    </row>
    <row r="140" spans="1:60">
      <c r="A140" s="5">
        <v>18022346650</v>
      </c>
      <c r="B140" s="5"/>
      <c r="C140" s="5"/>
      <c r="D140" s="5" t="s">
        <v>51</v>
      </c>
      <c r="E140" s="5"/>
      <c r="F140" s="5" t="s">
        <v>52</v>
      </c>
      <c r="G140" s="5"/>
      <c r="H140" s="5"/>
      <c r="I140" s="5" t="s">
        <v>55</v>
      </c>
      <c r="J140" s="5"/>
      <c r="K140" s="5"/>
      <c r="L140" s="5"/>
      <c r="M140" s="5"/>
      <c r="N140" s="5"/>
      <c r="O140" s="5"/>
      <c r="P140" s="5"/>
      <c r="Q140" s="5"/>
      <c r="R140" s="5" t="s">
        <v>62</v>
      </c>
      <c r="S140" s="5"/>
      <c r="T140" s="37"/>
      <c r="U140" s="37">
        <f t="shared" si="46"/>
        <v>4</v>
      </c>
      <c r="V140" s="37">
        <f t="shared" si="47"/>
        <v>0.75</v>
      </c>
      <c r="W140" s="37"/>
      <c r="X140" s="37">
        <f t="shared" si="48"/>
        <v>0</v>
      </c>
      <c r="Y140" s="37">
        <f t="shared" si="49"/>
        <v>0</v>
      </c>
      <c r="Z140" s="37">
        <f t="shared" si="50"/>
        <v>0.75</v>
      </c>
      <c r="AA140" s="37">
        <f t="shared" si="51"/>
        <v>0</v>
      </c>
      <c r="AB140" s="37">
        <f t="shared" si="52"/>
        <v>0.75</v>
      </c>
      <c r="AC140" s="37">
        <f t="shared" si="53"/>
        <v>0</v>
      </c>
      <c r="AD140" s="37">
        <f t="shared" si="54"/>
        <v>0</v>
      </c>
      <c r="AE140" s="37">
        <f t="shared" si="55"/>
        <v>0.75</v>
      </c>
      <c r="AF140" s="37">
        <f t="shared" si="56"/>
        <v>0</v>
      </c>
      <c r="AG140" s="37">
        <f t="shared" si="57"/>
        <v>0</v>
      </c>
      <c r="AH140" s="37">
        <f t="shared" si="58"/>
        <v>0</v>
      </c>
      <c r="AI140" s="37">
        <f t="shared" si="59"/>
        <v>0</v>
      </c>
      <c r="AJ140" s="37">
        <f t="shared" si="60"/>
        <v>0</v>
      </c>
      <c r="AK140" s="37">
        <f t="shared" si="61"/>
        <v>0</v>
      </c>
      <c r="AL140" s="37">
        <f t="shared" si="62"/>
        <v>0</v>
      </c>
      <c r="AM140" s="37">
        <f t="shared" si="63"/>
        <v>0</v>
      </c>
      <c r="AN140" s="37">
        <f t="shared" si="64"/>
        <v>0.75</v>
      </c>
      <c r="AO140" s="37">
        <f t="shared" si="65"/>
        <v>0</v>
      </c>
      <c r="AP140" s="37"/>
      <c r="AQ140" s="37"/>
      <c r="AR140" s="37">
        <f t="shared" si="66"/>
        <v>3</v>
      </c>
      <c r="AS140" s="37">
        <f t="shared" si="67"/>
        <v>4</v>
      </c>
      <c r="AT140" s="37" t="str">
        <f t="shared" si="68"/>
        <v>Correct</v>
      </c>
      <c r="AU140" s="37"/>
      <c r="AV140" s="120" t="str">
        <f>IFERROR(VLOOKUP(Table1[RespondentID],'All Data'!$A$3:$CO$999,87,FALSE),"unknown")</f>
        <v>Man</v>
      </c>
      <c r="AW140" s="120">
        <f>IFERROR(VLOOKUP(Table1[RespondentID],'All Data'!$A$3:$CO$999,88,FALSE),"unknown")</f>
        <v>37</v>
      </c>
      <c r="AX140" s="120" t="str">
        <f>IFERROR(VLOOKUP(Table1[RespondentID],'All Data'!$A$3:$CO$999,89,FALSE),"unknown")</f>
        <v>Suffolk</v>
      </c>
      <c r="AY140" s="120" t="str">
        <f>IFERROR(VLOOKUP(Table1[RespondentID],'All Data'!$A$3:$CO$999,90,FALSE),"unknown")</f>
        <v>Lake Grove, 11755</v>
      </c>
      <c r="AZ140" s="120" t="str">
        <f>IFERROR(VLOOKUP(Table1[RespondentID],'All Data'!$A$3:$CO$999,91,FALSE),"unknown")</f>
        <v>Other (please specify)</v>
      </c>
      <c r="BA140" s="120" t="str">
        <f>IFERROR(VLOOKUP(Table1[RespondentID],'All Data'!$A$3:$CO$999,92,FALSE),"unknown")</f>
        <v>Not Hispanic or Latino</v>
      </c>
      <c r="BB140" s="120" t="str">
        <f>IFERROR(VLOOKUP(Table1[RespondentID],'All Data'!$A$3:$CO$999,93,FALSE),"unknown")</f>
        <v>English, Spanish</v>
      </c>
      <c r="BC140" s="120" t="str">
        <f>IFERROR(VLOOKUP(Table1[RespondentID],'All Data'!$A$3:$CW$999,94,FALSE),"unknown")</f>
        <v>Over $125,000</v>
      </c>
      <c r="BD140" s="120">
        <f>IFERROR(VLOOKUP(Table1[RespondentID],'All Data'!$A$3:$CW$999,95,FALSE),"unknown")</f>
        <v>0</v>
      </c>
      <c r="BE140" s="120" t="str">
        <f>IFERROR(VLOOKUP(Table1[RespondentID],'All Data'!$A$3:$CW$999,96,FALSE),"unknown")</f>
        <v>Employed for wages</v>
      </c>
      <c r="BF140" s="120" t="str">
        <f>IFERROR(VLOOKUP(Table1[RespondentID],'All Data'!$A$3:$CW$999,97,FALSE),"unknown")</f>
        <v>Yes</v>
      </c>
      <c r="BG140" s="120" t="str">
        <f>IFERROR(VLOOKUP(Table1[RespondentID],'All Data'!$A$3:$CW$999,98,FALSE),"unknown")</f>
        <v>Private/Commercial</v>
      </c>
      <c r="BH140" s="120" t="str">
        <f>IFERROR(VLOOKUP(Table1[RespondentID],'All Data'!$A$3:$CW$999,99,FALSE),"unknown")</f>
        <v>Yes</v>
      </c>
    </row>
    <row r="141" spans="1:60">
      <c r="A141" s="5">
        <v>18022301049</v>
      </c>
      <c r="B141" s="5" t="s">
        <v>49</v>
      </c>
      <c r="C141" s="5" t="s">
        <v>50</v>
      </c>
      <c r="D141" s="5" t="s">
        <v>51</v>
      </c>
      <c r="E141" s="5"/>
      <c r="F141" s="5"/>
      <c r="G141" s="5"/>
      <c r="H141" s="5"/>
      <c r="I141" s="5" t="s">
        <v>55</v>
      </c>
      <c r="J141" s="5"/>
      <c r="K141" s="5"/>
      <c r="L141" s="5"/>
      <c r="M141" s="5" t="s">
        <v>59</v>
      </c>
      <c r="N141" s="5"/>
      <c r="O141" s="5"/>
      <c r="P141" s="5" t="s">
        <v>60</v>
      </c>
      <c r="Q141" s="5"/>
      <c r="R141" s="5"/>
      <c r="S141" s="5" t="s">
        <v>63</v>
      </c>
      <c r="T141" s="37"/>
      <c r="U141" s="37">
        <f t="shared" si="46"/>
        <v>7</v>
      </c>
      <c r="V141" s="37">
        <f t="shared" si="47"/>
        <v>0.42857142857142855</v>
      </c>
      <c r="W141" s="37"/>
      <c r="X141" s="37">
        <f t="shared" si="48"/>
        <v>0.42857142857142855</v>
      </c>
      <c r="Y141" s="37">
        <f t="shared" si="49"/>
        <v>0.42857142857142855</v>
      </c>
      <c r="Z141" s="37">
        <f t="shared" si="50"/>
        <v>0.42857142857142855</v>
      </c>
      <c r="AA141" s="37">
        <f t="shared" si="51"/>
        <v>0</v>
      </c>
      <c r="AB141" s="37">
        <f t="shared" si="52"/>
        <v>0</v>
      </c>
      <c r="AC141" s="37">
        <f t="shared" si="53"/>
        <v>0</v>
      </c>
      <c r="AD141" s="37">
        <f t="shared" si="54"/>
        <v>0</v>
      </c>
      <c r="AE141" s="37">
        <f t="shared" si="55"/>
        <v>0.42857142857142855</v>
      </c>
      <c r="AF141" s="37">
        <f t="shared" si="56"/>
        <v>0</v>
      </c>
      <c r="AG141" s="37">
        <f t="shared" si="57"/>
        <v>0</v>
      </c>
      <c r="AH141" s="37">
        <f t="shared" si="58"/>
        <v>0</v>
      </c>
      <c r="AI141" s="37">
        <f t="shared" si="59"/>
        <v>0.42857142857142855</v>
      </c>
      <c r="AJ141" s="37">
        <f t="shared" si="60"/>
        <v>0</v>
      </c>
      <c r="AK141" s="37">
        <f t="shared" si="61"/>
        <v>0</v>
      </c>
      <c r="AL141" s="37">
        <f t="shared" si="62"/>
        <v>0.42857142857142855</v>
      </c>
      <c r="AM141" s="37">
        <f t="shared" si="63"/>
        <v>0</v>
      </c>
      <c r="AN141" s="37">
        <f t="shared" si="64"/>
        <v>0</v>
      </c>
      <c r="AO141" s="37">
        <f t="shared" si="65"/>
        <v>0.42857142857142855</v>
      </c>
      <c r="AP141" s="37"/>
      <c r="AQ141" s="37"/>
      <c r="AR141" s="37">
        <f t="shared" si="66"/>
        <v>2.9999999999999996</v>
      </c>
      <c r="AS141" s="37">
        <f t="shared" si="67"/>
        <v>7</v>
      </c>
      <c r="AT141" s="37" t="str">
        <f t="shared" si="68"/>
        <v>Correct</v>
      </c>
      <c r="AU141" s="37"/>
      <c r="AV141" s="120" t="str">
        <f>IFERROR(VLOOKUP(Table1[RespondentID],'All Data'!$A$3:$CO$999,87,FALSE),"unknown")</f>
        <v>Man</v>
      </c>
      <c r="AW141" s="120">
        <f>IFERROR(VLOOKUP(Table1[RespondentID],'All Data'!$A$3:$CO$999,88,FALSE),"unknown")</f>
        <v>16</v>
      </c>
      <c r="AX141" s="120" t="str">
        <f>IFERROR(VLOOKUP(Table1[RespondentID],'All Data'!$A$3:$CO$999,89,FALSE),"unknown")</f>
        <v>Suffolk</v>
      </c>
      <c r="AY141" s="120" t="str">
        <f>IFERROR(VLOOKUP(Table1[RespondentID],'All Data'!$A$3:$CO$999,90,FALSE),"unknown")</f>
        <v>Dix Hills, 11746</v>
      </c>
      <c r="AZ141" s="120" t="str">
        <f>IFERROR(VLOOKUP(Table1[RespondentID],'All Data'!$A$3:$CO$999,91,FALSE),"unknown")</f>
        <v>White</v>
      </c>
      <c r="BA141" s="120" t="str">
        <f>IFERROR(VLOOKUP(Table1[RespondentID],'All Data'!$A$3:$CO$999,92,FALSE),"unknown")</f>
        <v>Not Hispanic or Latino</v>
      </c>
      <c r="BB141" s="120" t="str">
        <f>IFERROR(VLOOKUP(Table1[RespondentID],'All Data'!$A$3:$CO$999,93,FALSE),"unknown")</f>
        <v>English</v>
      </c>
      <c r="BC141" s="120" t="str">
        <f>IFERROR(VLOOKUP(Table1[RespondentID],'All Data'!$A$3:$CW$999,94,FALSE),"unknown")</f>
        <v>Over $125,000</v>
      </c>
      <c r="BD141" s="120" t="str">
        <f>IFERROR(VLOOKUP(Table1[RespondentID],'All Data'!$A$3:$CW$999,95,FALSE),"unknown")</f>
        <v>Some high school</v>
      </c>
      <c r="BE141" s="120" t="str">
        <f>IFERROR(VLOOKUP(Table1[RespondentID],'All Data'!$A$3:$CW$999,96,FALSE),"unknown")</f>
        <v>Student</v>
      </c>
      <c r="BF141" s="120" t="str">
        <f>IFERROR(VLOOKUP(Table1[RespondentID],'All Data'!$A$3:$CW$999,97,FALSE),"unknown")</f>
        <v>Yes</v>
      </c>
      <c r="BG141" s="120" t="str">
        <f>IFERROR(VLOOKUP(Table1[RespondentID],'All Data'!$A$3:$CW$999,98,FALSE),"unknown")</f>
        <v>Medicaid</v>
      </c>
      <c r="BH141" s="120" t="str">
        <f>IFERROR(VLOOKUP(Table1[RespondentID],'All Data'!$A$3:$CW$999,99,FALSE),"unknown")</f>
        <v>Yes</v>
      </c>
    </row>
    <row r="142" spans="1:60">
      <c r="A142" s="5">
        <v>18022218440</v>
      </c>
      <c r="B142" s="5" t="s">
        <v>49</v>
      </c>
      <c r="C142" s="5"/>
      <c r="D142" s="5"/>
      <c r="E142" s="5" t="s">
        <v>17</v>
      </c>
      <c r="F142" s="5"/>
      <c r="G142" s="5" t="s">
        <v>53</v>
      </c>
      <c r="H142" s="5" t="s">
        <v>54</v>
      </c>
      <c r="I142" s="5"/>
      <c r="J142" s="5"/>
      <c r="K142" s="5" t="s">
        <v>57</v>
      </c>
      <c r="L142" s="5" t="s">
        <v>58</v>
      </c>
      <c r="M142" s="5"/>
      <c r="N142" s="5" t="s">
        <v>24</v>
      </c>
      <c r="O142" s="5"/>
      <c r="P142" s="5"/>
      <c r="Q142" s="5"/>
      <c r="R142" s="5" t="s">
        <v>62</v>
      </c>
      <c r="S142" s="5"/>
      <c r="T142" s="37"/>
      <c r="U142" s="37">
        <f t="shared" si="46"/>
        <v>8</v>
      </c>
      <c r="V142" s="37">
        <f t="shared" si="47"/>
        <v>0.375</v>
      </c>
      <c r="W142" s="37"/>
      <c r="X142" s="37">
        <f t="shared" si="48"/>
        <v>0.375</v>
      </c>
      <c r="Y142" s="37">
        <f t="shared" si="49"/>
        <v>0</v>
      </c>
      <c r="Z142" s="37">
        <f t="shared" si="50"/>
        <v>0</v>
      </c>
      <c r="AA142" s="37">
        <f t="shared" si="51"/>
        <v>0.375</v>
      </c>
      <c r="AB142" s="37">
        <f t="shared" si="52"/>
        <v>0</v>
      </c>
      <c r="AC142" s="37">
        <f t="shared" si="53"/>
        <v>0.375</v>
      </c>
      <c r="AD142" s="37">
        <f t="shared" si="54"/>
        <v>0.375</v>
      </c>
      <c r="AE142" s="37">
        <f t="shared" si="55"/>
        <v>0</v>
      </c>
      <c r="AF142" s="37">
        <f t="shared" si="56"/>
        <v>0</v>
      </c>
      <c r="AG142" s="37">
        <f t="shared" si="57"/>
        <v>0.375</v>
      </c>
      <c r="AH142" s="37">
        <f t="shared" si="58"/>
        <v>0.375</v>
      </c>
      <c r="AI142" s="37">
        <f t="shared" si="59"/>
        <v>0</v>
      </c>
      <c r="AJ142" s="37">
        <f t="shared" si="60"/>
        <v>0.375</v>
      </c>
      <c r="AK142" s="37">
        <f t="shared" si="61"/>
        <v>0</v>
      </c>
      <c r="AL142" s="37">
        <f t="shared" si="62"/>
        <v>0</v>
      </c>
      <c r="AM142" s="37">
        <f t="shared" si="63"/>
        <v>0</v>
      </c>
      <c r="AN142" s="37">
        <f t="shared" si="64"/>
        <v>0.375</v>
      </c>
      <c r="AO142" s="37">
        <f t="shared" si="65"/>
        <v>0</v>
      </c>
      <c r="AP142" s="37"/>
      <c r="AQ142" s="37"/>
      <c r="AR142" s="37">
        <f t="shared" si="66"/>
        <v>3</v>
      </c>
      <c r="AS142" s="37">
        <f t="shared" si="67"/>
        <v>8</v>
      </c>
      <c r="AT142" s="37" t="str">
        <f t="shared" si="68"/>
        <v>Correct</v>
      </c>
      <c r="AU142" s="37"/>
      <c r="AV142" s="120" t="str">
        <f>IFERROR(VLOOKUP(Table1[RespondentID],'All Data'!$A$3:$CO$999,87,FALSE),"unknown")</f>
        <v>Woman</v>
      </c>
      <c r="AW142" s="120">
        <f>IFERROR(VLOOKUP(Table1[RespondentID],'All Data'!$A$3:$CO$999,88,FALSE),"unknown")</f>
        <v>42</v>
      </c>
      <c r="AX142" s="120" t="str">
        <f>IFERROR(VLOOKUP(Table1[RespondentID],'All Data'!$A$3:$CO$999,89,FALSE),"unknown")</f>
        <v>Suffolk</v>
      </c>
      <c r="AY142" s="120" t="str">
        <f>IFERROR(VLOOKUP(Table1[RespondentID],'All Data'!$A$3:$CO$999,90,FALSE),"unknown")</f>
        <v>East Northport, 11731</v>
      </c>
      <c r="AZ142" s="120" t="str">
        <f>IFERROR(VLOOKUP(Table1[RespondentID],'All Data'!$A$3:$CO$999,91,FALSE),"unknown")</f>
        <v>White</v>
      </c>
      <c r="BA142" s="120" t="str">
        <f>IFERROR(VLOOKUP(Table1[RespondentID],'All Data'!$A$3:$CO$999,92,FALSE),"unknown")</f>
        <v>Hispanic or Latino</v>
      </c>
      <c r="BB142" s="120">
        <f>IFERROR(VLOOKUP(Table1[RespondentID],'All Data'!$A$3:$CO$999,93,FALSE),"unknown")</f>
        <v>0</v>
      </c>
      <c r="BC142" s="120" t="str">
        <f>IFERROR(VLOOKUP(Table1[RespondentID],'All Data'!$A$3:$CW$999,94,FALSE),"unknown")</f>
        <v>Over $125,000</v>
      </c>
      <c r="BD142" s="120" t="str">
        <f>IFERROR(VLOOKUP(Table1[RespondentID],'All Data'!$A$3:$CW$999,95,FALSE),"unknown")</f>
        <v>Graduate school</v>
      </c>
      <c r="BE142" s="120" t="str">
        <f>IFERROR(VLOOKUP(Table1[RespondentID],'All Data'!$A$3:$CW$999,96,FALSE),"unknown")</f>
        <v>Employed for wages</v>
      </c>
      <c r="BF142" s="120" t="str">
        <f>IFERROR(VLOOKUP(Table1[RespondentID],'All Data'!$A$3:$CW$999,97,FALSE),"unknown")</f>
        <v>Yes</v>
      </c>
      <c r="BG142" s="120" t="str">
        <f>IFERROR(VLOOKUP(Table1[RespondentID],'All Data'!$A$3:$CW$999,98,FALSE),"unknown")</f>
        <v>Private/Commercial</v>
      </c>
      <c r="BH142" s="120" t="str">
        <f>IFERROR(VLOOKUP(Table1[RespondentID],'All Data'!$A$3:$CW$999,99,FALSE),"unknown")</f>
        <v>Yes</v>
      </c>
    </row>
    <row r="143" spans="1:60">
      <c r="A143" s="5">
        <v>18022157625</v>
      </c>
      <c r="B143" s="5"/>
      <c r="C143" s="5"/>
      <c r="D143" s="5" t="s">
        <v>51</v>
      </c>
      <c r="E143" s="5"/>
      <c r="F143" s="5" t="s">
        <v>52</v>
      </c>
      <c r="G143" s="5"/>
      <c r="H143" s="5"/>
      <c r="I143" s="5"/>
      <c r="J143" s="5"/>
      <c r="K143" s="5"/>
      <c r="L143" s="5"/>
      <c r="M143" s="5"/>
      <c r="N143" s="5"/>
      <c r="O143" s="5"/>
      <c r="P143" s="5"/>
      <c r="Q143" s="5"/>
      <c r="R143" s="5"/>
      <c r="S143" s="5" t="s">
        <v>63</v>
      </c>
      <c r="T143" s="37"/>
      <c r="U143" s="37">
        <f t="shared" si="46"/>
        <v>3</v>
      </c>
      <c r="V143" s="37">
        <f t="shared" si="47"/>
        <v>1</v>
      </c>
      <c r="W143" s="37"/>
      <c r="X143" s="37">
        <f t="shared" si="48"/>
        <v>0</v>
      </c>
      <c r="Y143" s="37">
        <f t="shared" si="49"/>
        <v>0</v>
      </c>
      <c r="Z143" s="37">
        <f t="shared" si="50"/>
        <v>1</v>
      </c>
      <c r="AA143" s="37">
        <f t="shared" si="51"/>
        <v>0</v>
      </c>
      <c r="AB143" s="37">
        <f t="shared" si="52"/>
        <v>1</v>
      </c>
      <c r="AC143" s="37">
        <f t="shared" si="53"/>
        <v>0</v>
      </c>
      <c r="AD143" s="37">
        <f t="shared" si="54"/>
        <v>0</v>
      </c>
      <c r="AE143" s="37">
        <f t="shared" si="55"/>
        <v>0</v>
      </c>
      <c r="AF143" s="37">
        <f t="shared" si="56"/>
        <v>0</v>
      </c>
      <c r="AG143" s="37">
        <f t="shared" si="57"/>
        <v>0</v>
      </c>
      <c r="AH143" s="37">
        <f t="shared" si="58"/>
        <v>0</v>
      </c>
      <c r="AI143" s="37">
        <f t="shared" si="59"/>
        <v>0</v>
      </c>
      <c r="AJ143" s="37">
        <f t="shared" si="60"/>
        <v>0</v>
      </c>
      <c r="AK143" s="37">
        <f t="shared" si="61"/>
        <v>0</v>
      </c>
      <c r="AL143" s="37">
        <f t="shared" si="62"/>
        <v>0</v>
      </c>
      <c r="AM143" s="37">
        <f t="shared" si="63"/>
        <v>0</v>
      </c>
      <c r="AN143" s="37">
        <f t="shared" si="64"/>
        <v>0</v>
      </c>
      <c r="AO143" s="37">
        <f t="shared" si="65"/>
        <v>1</v>
      </c>
      <c r="AP143" s="37"/>
      <c r="AQ143" s="37"/>
      <c r="AR143" s="37">
        <f t="shared" si="66"/>
        <v>3</v>
      </c>
      <c r="AS143" s="37">
        <f t="shared" si="67"/>
        <v>3</v>
      </c>
      <c r="AT143" s="37" t="str">
        <f t="shared" si="68"/>
        <v>Correct</v>
      </c>
      <c r="AU143" s="37"/>
      <c r="AV143" s="120" t="str">
        <f>IFERROR(VLOOKUP(Table1[RespondentID],'All Data'!$A$3:$CO$999,87,FALSE),"unknown")</f>
        <v>Man</v>
      </c>
      <c r="AW143" s="120">
        <f>IFERROR(VLOOKUP(Table1[RespondentID],'All Data'!$A$3:$CO$999,88,FALSE),"unknown")</f>
        <v>20</v>
      </c>
      <c r="AX143" s="120" t="str">
        <f>IFERROR(VLOOKUP(Table1[RespondentID],'All Data'!$A$3:$CO$999,89,FALSE),"unknown")</f>
        <v>Suffolk</v>
      </c>
      <c r="AY143" s="120" t="str">
        <f>IFERROR(VLOOKUP(Table1[RespondentID],'All Data'!$A$3:$CO$999,90,FALSE),"unknown")</f>
        <v>Kings Park, 11754</v>
      </c>
      <c r="AZ143" s="120" t="str">
        <f>IFERROR(VLOOKUP(Table1[RespondentID],'All Data'!$A$3:$CO$999,91,FALSE),"unknown")</f>
        <v>White</v>
      </c>
      <c r="BA143" s="120" t="str">
        <f>IFERROR(VLOOKUP(Table1[RespondentID],'All Data'!$A$3:$CO$999,92,FALSE),"unknown")</f>
        <v>Hispanic or Latino</v>
      </c>
      <c r="BB143" s="120" t="str">
        <f>IFERROR(VLOOKUP(Table1[RespondentID],'All Data'!$A$3:$CO$999,93,FALSE),"unknown")</f>
        <v>English</v>
      </c>
      <c r="BC143" s="120" t="str">
        <f>IFERROR(VLOOKUP(Table1[RespondentID],'All Data'!$A$3:$CW$999,94,FALSE),"unknown")</f>
        <v>Over $125,000</v>
      </c>
      <c r="BD143" s="120" t="str">
        <f>IFERROR(VLOOKUP(Table1[RespondentID],'All Data'!$A$3:$CW$999,95,FALSE),"unknown")</f>
        <v>High school graduate</v>
      </c>
      <c r="BE143" s="120" t="str">
        <f>IFERROR(VLOOKUP(Table1[RespondentID],'All Data'!$A$3:$CW$999,96,FALSE),"unknown")</f>
        <v>Employed for wages</v>
      </c>
      <c r="BF143" s="120" t="str">
        <f>IFERROR(VLOOKUP(Table1[RespondentID],'All Data'!$A$3:$CW$999,97,FALSE),"unknown")</f>
        <v>Yes</v>
      </c>
      <c r="BG143" s="120" t="str">
        <f>IFERROR(VLOOKUP(Table1[RespondentID],'All Data'!$A$3:$CW$999,98,FALSE),"unknown")</f>
        <v>Medicare</v>
      </c>
      <c r="BH143" s="120">
        <f>IFERROR(VLOOKUP(Table1[RespondentID],'All Data'!$A$3:$CW$999,99,FALSE),"unknown")</f>
        <v>0</v>
      </c>
    </row>
    <row r="144" spans="1:60">
      <c r="A144" s="5">
        <v>18022157486</v>
      </c>
      <c r="B144" s="5"/>
      <c r="C144" s="5"/>
      <c r="D144" s="5" t="s">
        <v>51</v>
      </c>
      <c r="E144" s="5"/>
      <c r="F144" s="5"/>
      <c r="G144" s="5" t="s">
        <v>53</v>
      </c>
      <c r="H144" s="5"/>
      <c r="I144" s="5"/>
      <c r="J144" s="5"/>
      <c r="K144" s="5"/>
      <c r="L144" s="5"/>
      <c r="M144" s="5"/>
      <c r="N144" s="5"/>
      <c r="O144" s="5"/>
      <c r="P144" s="5"/>
      <c r="Q144" s="5"/>
      <c r="R144" s="5"/>
      <c r="S144" s="5" t="s">
        <v>63</v>
      </c>
      <c r="T144" s="37"/>
      <c r="U144" s="37">
        <f t="shared" si="46"/>
        <v>3</v>
      </c>
      <c r="V144" s="37">
        <f t="shared" si="47"/>
        <v>1</v>
      </c>
      <c r="W144" s="37"/>
      <c r="X144" s="37">
        <f t="shared" si="48"/>
        <v>0</v>
      </c>
      <c r="Y144" s="37">
        <f t="shared" si="49"/>
        <v>0</v>
      </c>
      <c r="Z144" s="37">
        <f t="shared" si="50"/>
        <v>1</v>
      </c>
      <c r="AA144" s="37">
        <f t="shared" si="51"/>
        <v>0</v>
      </c>
      <c r="AB144" s="37">
        <f t="shared" si="52"/>
        <v>0</v>
      </c>
      <c r="AC144" s="37">
        <f t="shared" si="53"/>
        <v>1</v>
      </c>
      <c r="AD144" s="37">
        <f t="shared" si="54"/>
        <v>0</v>
      </c>
      <c r="AE144" s="37">
        <f t="shared" si="55"/>
        <v>0</v>
      </c>
      <c r="AF144" s="37">
        <f t="shared" si="56"/>
        <v>0</v>
      </c>
      <c r="AG144" s="37">
        <f t="shared" si="57"/>
        <v>0</v>
      </c>
      <c r="AH144" s="37">
        <f t="shared" si="58"/>
        <v>0</v>
      </c>
      <c r="AI144" s="37">
        <f t="shared" si="59"/>
        <v>0</v>
      </c>
      <c r="AJ144" s="37">
        <f t="shared" si="60"/>
        <v>0</v>
      </c>
      <c r="AK144" s="37">
        <f t="shared" si="61"/>
        <v>0</v>
      </c>
      <c r="AL144" s="37">
        <f t="shared" si="62"/>
        <v>0</v>
      </c>
      <c r="AM144" s="37">
        <f t="shared" si="63"/>
        <v>0</v>
      </c>
      <c r="AN144" s="37">
        <f t="shared" si="64"/>
        <v>0</v>
      </c>
      <c r="AO144" s="37">
        <f t="shared" si="65"/>
        <v>1</v>
      </c>
      <c r="AP144" s="37"/>
      <c r="AQ144" s="37"/>
      <c r="AR144" s="37">
        <f t="shared" si="66"/>
        <v>3</v>
      </c>
      <c r="AS144" s="37">
        <f t="shared" si="67"/>
        <v>3</v>
      </c>
      <c r="AT144" s="37" t="str">
        <f t="shared" si="68"/>
        <v>Correct</v>
      </c>
      <c r="AU144" s="37"/>
      <c r="AV144" s="120" t="str">
        <f>IFERROR(VLOOKUP(Table1[RespondentID],'All Data'!$A$3:$CO$999,87,FALSE),"unknown")</f>
        <v>Woman</v>
      </c>
      <c r="AW144" s="120">
        <f>IFERROR(VLOOKUP(Table1[RespondentID],'All Data'!$A$3:$CO$999,88,FALSE),"unknown")</f>
        <v>18</v>
      </c>
      <c r="AX144" s="120" t="str">
        <f>IFERROR(VLOOKUP(Table1[RespondentID],'All Data'!$A$3:$CO$999,89,FALSE),"unknown")</f>
        <v>Suffolk</v>
      </c>
      <c r="AY144" s="120" t="str">
        <f>IFERROR(VLOOKUP(Table1[RespondentID],'All Data'!$A$3:$CO$999,90,FALSE),"unknown")</f>
        <v>Kings Park, 11754</v>
      </c>
      <c r="AZ144" s="120" t="str">
        <f>IFERROR(VLOOKUP(Table1[RespondentID],'All Data'!$A$3:$CO$999,91,FALSE),"unknown")</f>
        <v>White</v>
      </c>
      <c r="BA144" s="120">
        <f>IFERROR(VLOOKUP(Table1[RespondentID],'All Data'!$A$3:$CO$999,92,FALSE),"unknown")</f>
        <v>0</v>
      </c>
      <c r="BB144" s="120" t="str">
        <f>IFERROR(VLOOKUP(Table1[RespondentID],'All Data'!$A$3:$CO$999,93,FALSE),"unknown")</f>
        <v>English, Spanish</v>
      </c>
      <c r="BC144" s="120" t="str">
        <f>IFERROR(VLOOKUP(Table1[RespondentID],'All Data'!$A$3:$CW$999,94,FALSE),"unknown")</f>
        <v>$0-$19,999</v>
      </c>
      <c r="BD144" s="120" t="str">
        <f>IFERROR(VLOOKUP(Table1[RespondentID],'All Data'!$A$3:$CW$999,95,FALSE),"unknown")</f>
        <v>High school graduate</v>
      </c>
      <c r="BE144" s="120" t="str">
        <f>IFERROR(VLOOKUP(Table1[RespondentID],'All Data'!$A$3:$CW$999,96,FALSE),"unknown")</f>
        <v>Employed for wages</v>
      </c>
      <c r="BF144" s="120">
        <f>IFERROR(VLOOKUP(Table1[RespondentID],'All Data'!$A$3:$CW$999,97,FALSE),"unknown")</f>
        <v>0</v>
      </c>
      <c r="BG144" s="120" t="str">
        <f>IFERROR(VLOOKUP(Table1[RespondentID],'All Data'!$A$3:$CW$999,98,FALSE),"unknown")</f>
        <v>Private/Commercial</v>
      </c>
      <c r="BH144" s="120">
        <f>IFERROR(VLOOKUP(Table1[RespondentID],'All Data'!$A$3:$CW$999,99,FALSE),"unknown")</f>
        <v>0</v>
      </c>
    </row>
    <row r="145" spans="1:60">
      <c r="A145" s="5">
        <v>18022157371</v>
      </c>
      <c r="B145" s="5"/>
      <c r="C145" s="5"/>
      <c r="D145" s="5" t="s">
        <v>51</v>
      </c>
      <c r="E145" s="5"/>
      <c r="F145" s="5"/>
      <c r="G145" s="5" t="s">
        <v>53</v>
      </c>
      <c r="H145" s="5"/>
      <c r="I145" s="5"/>
      <c r="J145" s="5"/>
      <c r="K145" s="5"/>
      <c r="L145" s="5"/>
      <c r="M145" s="5"/>
      <c r="N145" s="5"/>
      <c r="O145" s="5"/>
      <c r="P145" s="5"/>
      <c r="Q145" s="5"/>
      <c r="R145" s="5" t="s">
        <v>62</v>
      </c>
      <c r="S145" s="5"/>
      <c r="T145" s="37"/>
      <c r="U145" s="37">
        <f t="shared" si="46"/>
        <v>3</v>
      </c>
      <c r="V145" s="37">
        <f t="shared" si="47"/>
        <v>1</v>
      </c>
      <c r="W145" s="37"/>
      <c r="X145" s="37">
        <f t="shared" si="48"/>
        <v>0</v>
      </c>
      <c r="Y145" s="37">
        <f t="shared" si="49"/>
        <v>0</v>
      </c>
      <c r="Z145" s="37">
        <f t="shared" si="50"/>
        <v>1</v>
      </c>
      <c r="AA145" s="37">
        <f t="shared" si="51"/>
        <v>0</v>
      </c>
      <c r="AB145" s="37">
        <f t="shared" si="52"/>
        <v>0</v>
      </c>
      <c r="AC145" s="37">
        <f t="shared" si="53"/>
        <v>1</v>
      </c>
      <c r="AD145" s="37">
        <f t="shared" si="54"/>
        <v>0</v>
      </c>
      <c r="AE145" s="37">
        <f t="shared" si="55"/>
        <v>0</v>
      </c>
      <c r="AF145" s="37">
        <f t="shared" si="56"/>
        <v>0</v>
      </c>
      <c r="AG145" s="37">
        <f t="shared" si="57"/>
        <v>0</v>
      </c>
      <c r="AH145" s="37">
        <f t="shared" si="58"/>
        <v>0</v>
      </c>
      <c r="AI145" s="37">
        <f t="shared" si="59"/>
        <v>0</v>
      </c>
      <c r="AJ145" s="37">
        <f t="shared" si="60"/>
        <v>0</v>
      </c>
      <c r="AK145" s="37">
        <f t="shared" si="61"/>
        <v>0</v>
      </c>
      <c r="AL145" s="37">
        <f t="shared" si="62"/>
        <v>0</v>
      </c>
      <c r="AM145" s="37">
        <f t="shared" si="63"/>
        <v>0</v>
      </c>
      <c r="AN145" s="37">
        <f t="shared" si="64"/>
        <v>1</v>
      </c>
      <c r="AO145" s="37">
        <f t="shared" si="65"/>
        <v>0</v>
      </c>
      <c r="AP145" s="37"/>
      <c r="AQ145" s="37"/>
      <c r="AR145" s="37">
        <f t="shared" si="66"/>
        <v>3</v>
      </c>
      <c r="AS145" s="37">
        <f t="shared" si="67"/>
        <v>3</v>
      </c>
      <c r="AT145" s="37" t="str">
        <f t="shared" si="68"/>
        <v>Correct</v>
      </c>
      <c r="AU145" s="37"/>
      <c r="AV145" s="120" t="str">
        <f>IFERROR(VLOOKUP(Table1[RespondentID],'All Data'!$A$3:$CO$999,87,FALSE),"unknown")</f>
        <v>Man</v>
      </c>
      <c r="AW145" s="120">
        <f>IFERROR(VLOOKUP(Table1[RespondentID],'All Data'!$A$3:$CO$999,88,FALSE),"unknown")</f>
        <v>42</v>
      </c>
      <c r="AX145" s="120" t="str">
        <f>IFERROR(VLOOKUP(Table1[RespondentID],'All Data'!$A$3:$CO$999,89,FALSE),"unknown")</f>
        <v>Suffolk</v>
      </c>
      <c r="AY145" s="120" t="str">
        <f>IFERROR(VLOOKUP(Table1[RespondentID],'All Data'!$A$3:$CO$999,90,FALSE),"unknown")</f>
        <v>Hauppauge, 11788</v>
      </c>
      <c r="AZ145" s="120" t="str">
        <f>IFERROR(VLOOKUP(Table1[RespondentID],'All Data'!$A$3:$CO$999,91,FALSE),"unknown")</f>
        <v>White</v>
      </c>
      <c r="BA145" s="120" t="str">
        <f>IFERROR(VLOOKUP(Table1[RespondentID],'All Data'!$A$3:$CO$999,92,FALSE),"unknown")</f>
        <v>Hispanic or Latino</v>
      </c>
      <c r="BB145" s="120" t="str">
        <f>IFERROR(VLOOKUP(Table1[RespondentID],'All Data'!$A$3:$CO$999,93,FALSE),"unknown")</f>
        <v>English</v>
      </c>
      <c r="BC145" s="120" t="str">
        <f>IFERROR(VLOOKUP(Table1[RespondentID],'All Data'!$A$3:$CW$999,94,FALSE),"unknown")</f>
        <v>Over $125,000</v>
      </c>
      <c r="BD145" s="120" t="str">
        <f>IFERROR(VLOOKUP(Table1[RespondentID],'All Data'!$A$3:$CW$999,95,FALSE),"unknown")</f>
        <v>Graduate school</v>
      </c>
      <c r="BE145" s="120" t="str">
        <f>IFERROR(VLOOKUP(Table1[RespondentID],'All Data'!$A$3:$CW$999,96,FALSE),"unknown")</f>
        <v>Employed for wages</v>
      </c>
      <c r="BF145" s="120" t="str">
        <f>IFERROR(VLOOKUP(Table1[RespondentID],'All Data'!$A$3:$CW$999,97,FALSE),"unknown")</f>
        <v>Yes</v>
      </c>
      <c r="BG145" s="120" t="str">
        <f>IFERROR(VLOOKUP(Table1[RespondentID],'All Data'!$A$3:$CW$999,98,FALSE),"unknown")</f>
        <v>Private/Commercial</v>
      </c>
      <c r="BH145" s="120">
        <f>IFERROR(VLOOKUP(Table1[RespondentID],'All Data'!$A$3:$CW$999,99,FALSE),"unknown")</f>
        <v>0</v>
      </c>
    </row>
    <row r="146" spans="1:60">
      <c r="A146" s="5">
        <v>18022157215</v>
      </c>
      <c r="B146" s="5"/>
      <c r="C146" s="5" t="s">
        <v>50</v>
      </c>
      <c r="D146" s="5"/>
      <c r="E146" s="5"/>
      <c r="F146" s="5"/>
      <c r="G146" s="5"/>
      <c r="H146" s="5"/>
      <c r="I146" s="5"/>
      <c r="J146" s="5"/>
      <c r="K146" s="5"/>
      <c r="L146" s="5"/>
      <c r="M146" s="5" t="s">
        <v>59</v>
      </c>
      <c r="N146" s="5"/>
      <c r="O146" s="5"/>
      <c r="P146" s="5"/>
      <c r="Q146" s="5"/>
      <c r="R146" s="5"/>
      <c r="S146" s="5" t="s">
        <v>63</v>
      </c>
      <c r="T146" s="37"/>
      <c r="U146" s="37">
        <f t="shared" si="46"/>
        <v>3</v>
      </c>
      <c r="V146" s="37">
        <f t="shared" si="47"/>
        <v>1</v>
      </c>
      <c r="W146" s="37"/>
      <c r="X146" s="37">
        <f t="shared" si="48"/>
        <v>0</v>
      </c>
      <c r="Y146" s="37">
        <f t="shared" si="49"/>
        <v>1</v>
      </c>
      <c r="Z146" s="37">
        <f t="shared" si="50"/>
        <v>0</v>
      </c>
      <c r="AA146" s="37">
        <f t="shared" si="51"/>
        <v>0</v>
      </c>
      <c r="AB146" s="37">
        <f t="shared" si="52"/>
        <v>0</v>
      </c>
      <c r="AC146" s="37">
        <f t="shared" si="53"/>
        <v>0</v>
      </c>
      <c r="AD146" s="37">
        <f t="shared" si="54"/>
        <v>0</v>
      </c>
      <c r="AE146" s="37">
        <f t="shared" si="55"/>
        <v>0</v>
      </c>
      <c r="AF146" s="37">
        <f t="shared" si="56"/>
        <v>0</v>
      </c>
      <c r="AG146" s="37">
        <f t="shared" si="57"/>
        <v>0</v>
      </c>
      <c r="AH146" s="37">
        <f t="shared" si="58"/>
        <v>0</v>
      </c>
      <c r="AI146" s="37">
        <f t="shared" si="59"/>
        <v>1</v>
      </c>
      <c r="AJ146" s="37">
        <f t="shared" si="60"/>
        <v>0</v>
      </c>
      <c r="AK146" s="37">
        <f t="shared" si="61"/>
        <v>0</v>
      </c>
      <c r="AL146" s="37">
        <f t="shared" si="62"/>
        <v>0</v>
      </c>
      <c r="AM146" s="37">
        <f t="shared" si="63"/>
        <v>0</v>
      </c>
      <c r="AN146" s="37">
        <f t="shared" si="64"/>
        <v>0</v>
      </c>
      <c r="AO146" s="37">
        <f t="shared" si="65"/>
        <v>1</v>
      </c>
      <c r="AP146" s="37"/>
      <c r="AQ146" s="37"/>
      <c r="AR146" s="37">
        <f t="shared" si="66"/>
        <v>3</v>
      </c>
      <c r="AS146" s="37">
        <f t="shared" si="67"/>
        <v>3</v>
      </c>
      <c r="AT146" s="37" t="str">
        <f t="shared" si="68"/>
        <v>Correct</v>
      </c>
      <c r="AU146" s="37"/>
      <c r="AV146" s="120" t="str">
        <f>IFERROR(VLOOKUP(Table1[RespondentID],'All Data'!$A$3:$CO$999,87,FALSE),"unknown")</f>
        <v>Man</v>
      </c>
      <c r="AW146" s="120">
        <f>IFERROR(VLOOKUP(Table1[RespondentID],'All Data'!$A$3:$CO$999,88,FALSE),"unknown")</f>
        <v>18</v>
      </c>
      <c r="AX146" s="120" t="str">
        <f>IFERROR(VLOOKUP(Table1[RespondentID],'All Data'!$A$3:$CO$999,89,FALSE),"unknown")</f>
        <v>Suffolk</v>
      </c>
      <c r="AY146" s="120" t="str">
        <f>IFERROR(VLOOKUP(Table1[RespondentID],'All Data'!$A$3:$CO$999,90,FALSE),"unknown")</f>
        <v>Kings Park, 11754</v>
      </c>
      <c r="AZ146" s="120" t="str">
        <f>IFERROR(VLOOKUP(Table1[RespondentID],'All Data'!$A$3:$CO$999,91,FALSE),"unknown")</f>
        <v>White</v>
      </c>
      <c r="BA146" s="120" t="str">
        <f>IFERROR(VLOOKUP(Table1[RespondentID],'All Data'!$A$3:$CO$999,92,FALSE),"unknown")</f>
        <v>Hispanic or Latino</v>
      </c>
      <c r="BB146" s="120" t="str">
        <f>IFERROR(VLOOKUP(Table1[RespondentID],'All Data'!$A$3:$CO$999,93,FALSE),"unknown")</f>
        <v>English</v>
      </c>
      <c r="BC146" s="120" t="str">
        <f>IFERROR(VLOOKUP(Table1[RespondentID],'All Data'!$A$3:$CW$999,94,FALSE),"unknown")</f>
        <v>Over $125,000</v>
      </c>
      <c r="BD146" s="120" t="str">
        <f>IFERROR(VLOOKUP(Table1[RespondentID],'All Data'!$A$3:$CW$999,95,FALSE),"unknown")</f>
        <v>High school graduate</v>
      </c>
      <c r="BE146" s="120" t="str">
        <f>IFERROR(VLOOKUP(Table1[RespondentID],'All Data'!$A$3:$CW$999,96,FALSE),"unknown")</f>
        <v>Student</v>
      </c>
      <c r="BF146" s="120">
        <f>IFERROR(VLOOKUP(Table1[RespondentID],'All Data'!$A$3:$CW$999,97,FALSE),"unknown")</f>
        <v>0</v>
      </c>
      <c r="BG146" s="120" t="str">
        <f>IFERROR(VLOOKUP(Table1[RespondentID],'All Data'!$A$3:$CW$999,98,FALSE),"unknown")</f>
        <v>Medicare</v>
      </c>
      <c r="BH146" s="120">
        <f>IFERROR(VLOOKUP(Table1[RespondentID],'All Data'!$A$3:$CW$999,99,FALSE),"unknown")</f>
        <v>0</v>
      </c>
    </row>
    <row r="147" spans="1:60">
      <c r="A147" s="5">
        <v>18022157058</v>
      </c>
      <c r="B147" s="5"/>
      <c r="C147" s="5"/>
      <c r="D147" s="5" t="s">
        <v>51</v>
      </c>
      <c r="E147" s="5" t="s">
        <v>17</v>
      </c>
      <c r="F147" s="5"/>
      <c r="G147" s="5"/>
      <c r="H147" s="5"/>
      <c r="I147" s="5"/>
      <c r="J147" s="5"/>
      <c r="K147" s="5"/>
      <c r="L147" s="5"/>
      <c r="M147" s="5"/>
      <c r="N147" s="5"/>
      <c r="O147" s="5"/>
      <c r="P147" s="5"/>
      <c r="Q147" s="5"/>
      <c r="R147" s="5"/>
      <c r="S147" s="5"/>
      <c r="T147" s="37"/>
      <c r="U147" s="37">
        <f t="shared" si="46"/>
        <v>2</v>
      </c>
      <c r="V147" s="37">
        <f t="shared" si="47"/>
        <v>1.5</v>
      </c>
      <c r="W147" s="37"/>
      <c r="X147" s="37">
        <f t="shared" si="48"/>
        <v>0</v>
      </c>
      <c r="Y147" s="37">
        <f t="shared" si="49"/>
        <v>0</v>
      </c>
      <c r="Z147" s="37">
        <f t="shared" si="50"/>
        <v>1</v>
      </c>
      <c r="AA147" s="37">
        <f t="shared" si="51"/>
        <v>1</v>
      </c>
      <c r="AB147" s="37">
        <f t="shared" si="52"/>
        <v>0</v>
      </c>
      <c r="AC147" s="37">
        <f t="shared" si="53"/>
        <v>0</v>
      </c>
      <c r="AD147" s="37">
        <f t="shared" si="54"/>
        <v>0</v>
      </c>
      <c r="AE147" s="37">
        <f t="shared" si="55"/>
        <v>0</v>
      </c>
      <c r="AF147" s="37">
        <f t="shared" si="56"/>
        <v>0</v>
      </c>
      <c r="AG147" s="37">
        <f t="shared" si="57"/>
        <v>0</v>
      </c>
      <c r="AH147" s="37">
        <f t="shared" si="58"/>
        <v>0</v>
      </c>
      <c r="AI147" s="37">
        <f t="shared" si="59"/>
        <v>0</v>
      </c>
      <c r="AJ147" s="37">
        <f t="shared" si="60"/>
        <v>0</v>
      </c>
      <c r="AK147" s="37">
        <f t="shared" si="61"/>
        <v>0</v>
      </c>
      <c r="AL147" s="37">
        <f t="shared" si="62"/>
        <v>0</v>
      </c>
      <c r="AM147" s="37">
        <f t="shared" si="63"/>
        <v>0</v>
      </c>
      <c r="AN147" s="37">
        <f t="shared" si="64"/>
        <v>0</v>
      </c>
      <c r="AO147" s="37">
        <f t="shared" si="65"/>
        <v>0</v>
      </c>
      <c r="AP147" s="37"/>
      <c r="AQ147" s="37"/>
      <c r="AR147" s="37">
        <f t="shared" si="66"/>
        <v>2</v>
      </c>
      <c r="AS147" s="37">
        <f t="shared" si="67"/>
        <v>2</v>
      </c>
      <c r="AT147" s="37" t="str">
        <f t="shared" si="68"/>
        <v>Correct</v>
      </c>
      <c r="AU147" s="37"/>
      <c r="AV147" s="120" t="str">
        <f>IFERROR(VLOOKUP(Table1[RespondentID],'All Data'!$A$3:$CO$999,87,FALSE),"unknown")</f>
        <v>Man</v>
      </c>
      <c r="AW147" s="120">
        <f>IFERROR(VLOOKUP(Table1[RespondentID],'All Data'!$A$3:$CO$999,88,FALSE),"unknown")</f>
        <v>18</v>
      </c>
      <c r="AX147" s="120" t="str">
        <f>IFERROR(VLOOKUP(Table1[RespondentID],'All Data'!$A$3:$CO$999,89,FALSE),"unknown")</f>
        <v>Suffolk</v>
      </c>
      <c r="AY147" s="120" t="str">
        <f>IFERROR(VLOOKUP(Table1[RespondentID],'All Data'!$A$3:$CO$999,90,FALSE),"unknown")</f>
        <v>Kings Park, 11754</v>
      </c>
      <c r="AZ147" s="120" t="str">
        <f>IFERROR(VLOOKUP(Table1[RespondentID],'All Data'!$A$3:$CO$999,91,FALSE),"unknown")</f>
        <v>White</v>
      </c>
      <c r="BA147" s="120" t="str">
        <f>IFERROR(VLOOKUP(Table1[RespondentID],'All Data'!$A$3:$CO$999,92,FALSE),"unknown")</f>
        <v>Hispanic or Latino</v>
      </c>
      <c r="BB147" s="120" t="str">
        <f>IFERROR(VLOOKUP(Table1[RespondentID],'All Data'!$A$3:$CO$999,93,FALSE),"unknown")</f>
        <v>English</v>
      </c>
      <c r="BC147" s="120" t="str">
        <f>IFERROR(VLOOKUP(Table1[RespondentID],'All Data'!$A$3:$CW$999,94,FALSE),"unknown")</f>
        <v>$75,000 to $125,000</v>
      </c>
      <c r="BD147" s="120" t="str">
        <f>IFERROR(VLOOKUP(Table1[RespondentID],'All Data'!$A$3:$CW$999,95,FALSE),"unknown")</f>
        <v>Some high school</v>
      </c>
      <c r="BE147" s="120" t="str">
        <f>IFERROR(VLOOKUP(Table1[RespondentID],'All Data'!$A$3:$CW$999,96,FALSE),"unknown")</f>
        <v>Self-employed</v>
      </c>
      <c r="BF147" s="120" t="str">
        <f>IFERROR(VLOOKUP(Table1[RespondentID],'All Data'!$A$3:$CW$999,97,FALSE),"unknown")</f>
        <v>Yes</v>
      </c>
      <c r="BG147" s="120">
        <f>IFERROR(VLOOKUP(Table1[RespondentID],'All Data'!$A$3:$CW$999,98,FALSE),"unknown")</f>
        <v>0</v>
      </c>
      <c r="BH147" s="120">
        <f>IFERROR(VLOOKUP(Table1[RespondentID],'All Data'!$A$3:$CW$999,99,FALSE),"unknown")</f>
        <v>0</v>
      </c>
    </row>
    <row r="148" spans="1:60">
      <c r="A148" s="5">
        <v>18022156869</v>
      </c>
      <c r="B148" s="5"/>
      <c r="C148" s="5" t="s">
        <v>50</v>
      </c>
      <c r="D148" s="5"/>
      <c r="E148" s="5"/>
      <c r="F148" s="5"/>
      <c r="G148" s="5"/>
      <c r="H148" s="5"/>
      <c r="I148" s="5"/>
      <c r="J148" s="5"/>
      <c r="K148" s="5"/>
      <c r="L148" s="5"/>
      <c r="M148" s="5" t="s">
        <v>59</v>
      </c>
      <c r="N148" s="5"/>
      <c r="O148" s="5"/>
      <c r="P148" s="5"/>
      <c r="Q148" s="5"/>
      <c r="R148" s="5"/>
      <c r="S148" s="5" t="s">
        <v>63</v>
      </c>
      <c r="T148" s="37"/>
      <c r="U148" s="37">
        <f t="shared" si="46"/>
        <v>3</v>
      </c>
      <c r="V148" s="37">
        <f t="shared" si="47"/>
        <v>1</v>
      </c>
      <c r="W148" s="37"/>
      <c r="X148" s="37">
        <f t="shared" si="48"/>
        <v>0</v>
      </c>
      <c r="Y148" s="37">
        <f t="shared" si="49"/>
        <v>1</v>
      </c>
      <c r="Z148" s="37">
        <f t="shared" si="50"/>
        <v>0</v>
      </c>
      <c r="AA148" s="37">
        <f t="shared" si="51"/>
        <v>0</v>
      </c>
      <c r="AB148" s="37">
        <f t="shared" si="52"/>
        <v>0</v>
      </c>
      <c r="AC148" s="37">
        <f t="shared" si="53"/>
        <v>0</v>
      </c>
      <c r="AD148" s="37">
        <f t="shared" si="54"/>
        <v>0</v>
      </c>
      <c r="AE148" s="37">
        <f t="shared" si="55"/>
        <v>0</v>
      </c>
      <c r="AF148" s="37">
        <f t="shared" si="56"/>
        <v>0</v>
      </c>
      <c r="AG148" s="37">
        <f t="shared" si="57"/>
        <v>0</v>
      </c>
      <c r="AH148" s="37">
        <f t="shared" si="58"/>
        <v>0</v>
      </c>
      <c r="AI148" s="37">
        <f t="shared" si="59"/>
        <v>1</v>
      </c>
      <c r="AJ148" s="37">
        <f t="shared" si="60"/>
        <v>0</v>
      </c>
      <c r="AK148" s="37">
        <f t="shared" si="61"/>
        <v>0</v>
      </c>
      <c r="AL148" s="37">
        <f t="shared" si="62"/>
        <v>0</v>
      </c>
      <c r="AM148" s="37">
        <f t="shared" si="63"/>
        <v>0</v>
      </c>
      <c r="AN148" s="37">
        <f t="shared" si="64"/>
        <v>0</v>
      </c>
      <c r="AO148" s="37">
        <f t="shared" si="65"/>
        <v>1</v>
      </c>
      <c r="AP148" s="37"/>
      <c r="AQ148" s="37"/>
      <c r="AR148" s="37">
        <f t="shared" si="66"/>
        <v>3</v>
      </c>
      <c r="AS148" s="37">
        <f t="shared" si="67"/>
        <v>3</v>
      </c>
      <c r="AT148" s="37" t="str">
        <f t="shared" si="68"/>
        <v>Correct</v>
      </c>
      <c r="AU148" s="37"/>
      <c r="AV148" s="120" t="str">
        <f>IFERROR(VLOOKUP(Table1[RespondentID],'All Data'!$A$3:$CO$999,87,FALSE),"unknown")</f>
        <v>Man</v>
      </c>
      <c r="AW148" s="120">
        <f>IFERROR(VLOOKUP(Table1[RespondentID],'All Data'!$A$3:$CO$999,88,FALSE),"unknown")</f>
        <v>18</v>
      </c>
      <c r="AX148" s="120" t="str">
        <f>IFERROR(VLOOKUP(Table1[RespondentID],'All Data'!$A$3:$CO$999,89,FALSE),"unknown")</f>
        <v>Suffolk</v>
      </c>
      <c r="AY148" s="120" t="str">
        <f>IFERROR(VLOOKUP(Table1[RespondentID],'All Data'!$A$3:$CO$999,90,FALSE),"unknown")</f>
        <v>Kings Park, 11754</v>
      </c>
      <c r="AZ148" s="120" t="str">
        <f>IFERROR(VLOOKUP(Table1[RespondentID],'All Data'!$A$3:$CO$999,91,FALSE),"unknown")</f>
        <v>White</v>
      </c>
      <c r="BA148" s="120" t="str">
        <f>IFERROR(VLOOKUP(Table1[RespondentID],'All Data'!$A$3:$CO$999,92,FALSE),"unknown")</f>
        <v>Hispanic or Latino</v>
      </c>
      <c r="BB148" s="120" t="str">
        <f>IFERROR(VLOOKUP(Table1[RespondentID],'All Data'!$A$3:$CO$999,93,FALSE),"unknown")</f>
        <v>English</v>
      </c>
      <c r="BC148" s="120" t="str">
        <f>IFERROR(VLOOKUP(Table1[RespondentID],'All Data'!$A$3:$CW$999,94,FALSE),"unknown")</f>
        <v>Over $125,000</v>
      </c>
      <c r="BD148" s="120" t="str">
        <f>IFERROR(VLOOKUP(Table1[RespondentID],'All Data'!$A$3:$CW$999,95,FALSE),"unknown")</f>
        <v>Other (please specify)</v>
      </c>
      <c r="BE148" s="120" t="str">
        <f>IFERROR(VLOOKUP(Table1[RespondentID],'All Data'!$A$3:$CW$999,96,FALSE),"unknown")</f>
        <v>Employed for wages</v>
      </c>
      <c r="BF148" s="120" t="str">
        <f>IFERROR(VLOOKUP(Table1[RespondentID],'All Data'!$A$3:$CW$999,97,FALSE),"unknown")</f>
        <v>Yes</v>
      </c>
      <c r="BG148" s="120" t="str">
        <f>IFERROR(VLOOKUP(Table1[RespondentID],'All Data'!$A$3:$CW$999,98,FALSE),"unknown")</f>
        <v>Medicare</v>
      </c>
      <c r="BH148" s="120">
        <f>IFERROR(VLOOKUP(Table1[RespondentID],'All Data'!$A$3:$CW$999,99,FALSE),"unknown")</f>
        <v>0</v>
      </c>
    </row>
    <row r="149" spans="1:60">
      <c r="A149" s="5">
        <v>18022156726</v>
      </c>
      <c r="B149" s="5"/>
      <c r="C149" s="5"/>
      <c r="D149" s="5"/>
      <c r="E149" s="5"/>
      <c r="F149" s="5"/>
      <c r="G149" s="5" t="s">
        <v>53</v>
      </c>
      <c r="H149" s="5"/>
      <c r="I149" s="5"/>
      <c r="J149" s="5"/>
      <c r="K149" s="5"/>
      <c r="L149" s="5"/>
      <c r="M149" s="5"/>
      <c r="N149" s="5"/>
      <c r="O149" s="5"/>
      <c r="P149" s="5"/>
      <c r="Q149" s="5"/>
      <c r="R149" s="5"/>
      <c r="S149" s="5"/>
      <c r="T149" s="37"/>
      <c r="U149" s="37">
        <f t="shared" si="46"/>
        <v>1</v>
      </c>
      <c r="V149" s="37">
        <f t="shared" si="47"/>
        <v>3</v>
      </c>
      <c r="W149" s="37"/>
      <c r="X149" s="37">
        <f t="shared" si="48"/>
        <v>0</v>
      </c>
      <c r="Y149" s="37">
        <f t="shared" si="49"/>
        <v>0</v>
      </c>
      <c r="Z149" s="37">
        <f t="shared" si="50"/>
        <v>0</v>
      </c>
      <c r="AA149" s="37">
        <f t="shared" si="51"/>
        <v>0</v>
      </c>
      <c r="AB149" s="37">
        <f t="shared" si="52"/>
        <v>0</v>
      </c>
      <c r="AC149" s="37">
        <f t="shared" si="53"/>
        <v>1</v>
      </c>
      <c r="AD149" s="37">
        <f t="shared" si="54"/>
        <v>0</v>
      </c>
      <c r="AE149" s="37">
        <f t="shared" si="55"/>
        <v>0</v>
      </c>
      <c r="AF149" s="37">
        <f t="shared" si="56"/>
        <v>0</v>
      </c>
      <c r="AG149" s="37">
        <f t="shared" si="57"/>
        <v>0</v>
      </c>
      <c r="AH149" s="37">
        <f t="shared" si="58"/>
        <v>0</v>
      </c>
      <c r="AI149" s="37">
        <f t="shared" si="59"/>
        <v>0</v>
      </c>
      <c r="AJ149" s="37">
        <f t="shared" si="60"/>
        <v>0</v>
      </c>
      <c r="AK149" s="37">
        <f t="shared" si="61"/>
        <v>0</v>
      </c>
      <c r="AL149" s="37">
        <f t="shared" si="62"/>
        <v>0</v>
      </c>
      <c r="AM149" s="37">
        <f t="shared" si="63"/>
        <v>0</v>
      </c>
      <c r="AN149" s="37">
        <f t="shared" si="64"/>
        <v>0</v>
      </c>
      <c r="AO149" s="37">
        <f t="shared" si="65"/>
        <v>0</v>
      </c>
      <c r="AP149" s="37"/>
      <c r="AQ149" s="37"/>
      <c r="AR149" s="37">
        <f t="shared" si="66"/>
        <v>1</v>
      </c>
      <c r="AS149" s="37">
        <f t="shared" si="67"/>
        <v>1</v>
      </c>
      <c r="AT149" s="37" t="str">
        <f t="shared" si="68"/>
        <v>Correct</v>
      </c>
      <c r="AU149" s="37"/>
      <c r="AV149" s="120" t="str">
        <f>IFERROR(VLOOKUP(Table1[RespondentID],'All Data'!$A$3:$CO$999,87,FALSE),"unknown")</f>
        <v>Man</v>
      </c>
      <c r="AW149" s="120">
        <f>IFERROR(VLOOKUP(Table1[RespondentID],'All Data'!$A$3:$CO$999,88,FALSE),"unknown")</f>
        <v>39</v>
      </c>
      <c r="AX149" s="120" t="str">
        <f>IFERROR(VLOOKUP(Table1[RespondentID],'All Data'!$A$3:$CO$999,89,FALSE),"unknown")</f>
        <v>Suffolk</v>
      </c>
      <c r="AY149" s="120" t="str">
        <f>IFERROR(VLOOKUP(Table1[RespondentID],'All Data'!$A$3:$CO$999,90,FALSE),"unknown")</f>
        <v>Medford, 11763</v>
      </c>
      <c r="AZ149" s="120" t="str">
        <f>IFERROR(VLOOKUP(Table1[RespondentID],'All Data'!$A$3:$CO$999,91,FALSE),"unknown")</f>
        <v>White</v>
      </c>
      <c r="BA149" s="120" t="str">
        <f>IFERROR(VLOOKUP(Table1[RespondentID],'All Data'!$A$3:$CO$999,92,FALSE),"unknown")</f>
        <v>Hispanic or Latino</v>
      </c>
      <c r="BB149" s="120" t="str">
        <f>IFERROR(VLOOKUP(Table1[RespondentID],'All Data'!$A$3:$CO$999,93,FALSE),"unknown")</f>
        <v>English</v>
      </c>
      <c r="BC149" s="120" t="str">
        <f>IFERROR(VLOOKUP(Table1[RespondentID],'All Data'!$A$3:$CW$999,94,FALSE),"unknown")</f>
        <v>Over $125,000</v>
      </c>
      <c r="BD149" s="120" t="str">
        <f>IFERROR(VLOOKUP(Table1[RespondentID],'All Data'!$A$3:$CW$999,95,FALSE),"unknown")</f>
        <v>Graduate school</v>
      </c>
      <c r="BE149" s="120" t="str">
        <f>IFERROR(VLOOKUP(Table1[RespondentID],'All Data'!$A$3:$CW$999,96,FALSE),"unknown")</f>
        <v>Employed for wages</v>
      </c>
      <c r="BF149" s="120" t="str">
        <f>IFERROR(VLOOKUP(Table1[RespondentID],'All Data'!$A$3:$CW$999,97,FALSE),"unknown")</f>
        <v>Yes</v>
      </c>
      <c r="BG149" s="120">
        <f>IFERROR(VLOOKUP(Table1[RespondentID],'All Data'!$A$3:$CW$999,98,FALSE),"unknown")</f>
        <v>0</v>
      </c>
      <c r="BH149" s="120">
        <f>IFERROR(VLOOKUP(Table1[RespondentID],'All Data'!$A$3:$CW$999,99,FALSE),"unknown")</f>
        <v>0</v>
      </c>
    </row>
    <row r="150" spans="1:60">
      <c r="A150" s="5">
        <v>18022156601</v>
      </c>
      <c r="B150" s="5"/>
      <c r="C150" s="5"/>
      <c r="D150" s="5" t="s">
        <v>51</v>
      </c>
      <c r="E150" s="5"/>
      <c r="F150" s="5"/>
      <c r="G150" s="5" t="s">
        <v>53</v>
      </c>
      <c r="H150" s="5"/>
      <c r="I150" s="5" t="s">
        <v>55</v>
      </c>
      <c r="J150" s="5"/>
      <c r="K150" s="5"/>
      <c r="L150" s="5"/>
      <c r="M150" s="5"/>
      <c r="N150" s="5"/>
      <c r="O150" s="5"/>
      <c r="P150" s="5"/>
      <c r="Q150" s="5"/>
      <c r="R150" s="5"/>
      <c r="S150" s="5"/>
      <c r="T150" s="37"/>
      <c r="U150" s="37">
        <f t="shared" si="46"/>
        <v>3</v>
      </c>
      <c r="V150" s="37">
        <f t="shared" si="47"/>
        <v>1</v>
      </c>
      <c r="W150" s="37"/>
      <c r="X150" s="37">
        <f t="shared" si="48"/>
        <v>0</v>
      </c>
      <c r="Y150" s="37">
        <f t="shared" si="49"/>
        <v>0</v>
      </c>
      <c r="Z150" s="37">
        <f t="shared" si="50"/>
        <v>1</v>
      </c>
      <c r="AA150" s="37">
        <f t="shared" si="51"/>
        <v>0</v>
      </c>
      <c r="AB150" s="37">
        <f t="shared" si="52"/>
        <v>0</v>
      </c>
      <c r="AC150" s="37">
        <f t="shared" si="53"/>
        <v>1</v>
      </c>
      <c r="AD150" s="37">
        <f t="shared" si="54"/>
        <v>0</v>
      </c>
      <c r="AE150" s="37">
        <f t="shared" si="55"/>
        <v>1</v>
      </c>
      <c r="AF150" s="37">
        <f t="shared" si="56"/>
        <v>0</v>
      </c>
      <c r="AG150" s="37">
        <f t="shared" si="57"/>
        <v>0</v>
      </c>
      <c r="AH150" s="37">
        <f t="shared" si="58"/>
        <v>0</v>
      </c>
      <c r="AI150" s="37">
        <f t="shared" si="59"/>
        <v>0</v>
      </c>
      <c r="AJ150" s="37">
        <f t="shared" si="60"/>
        <v>0</v>
      </c>
      <c r="AK150" s="37">
        <f t="shared" si="61"/>
        <v>0</v>
      </c>
      <c r="AL150" s="37">
        <f t="shared" si="62"/>
        <v>0</v>
      </c>
      <c r="AM150" s="37">
        <f t="shared" si="63"/>
        <v>0</v>
      </c>
      <c r="AN150" s="37">
        <f t="shared" si="64"/>
        <v>0</v>
      </c>
      <c r="AO150" s="37">
        <f t="shared" si="65"/>
        <v>0</v>
      </c>
      <c r="AP150" s="37"/>
      <c r="AQ150" s="37"/>
      <c r="AR150" s="37">
        <f t="shared" si="66"/>
        <v>3</v>
      </c>
      <c r="AS150" s="37">
        <f t="shared" si="67"/>
        <v>3</v>
      </c>
      <c r="AT150" s="37" t="str">
        <f t="shared" si="68"/>
        <v>Correct</v>
      </c>
      <c r="AU150" s="37"/>
      <c r="AV150" s="120" t="str">
        <f>IFERROR(VLOOKUP(Table1[RespondentID],'All Data'!$A$3:$CO$999,87,FALSE),"unknown")</f>
        <v>Man</v>
      </c>
      <c r="AW150" s="120">
        <f>IFERROR(VLOOKUP(Table1[RespondentID],'All Data'!$A$3:$CO$999,88,FALSE),"unknown")</f>
        <v>49</v>
      </c>
      <c r="AX150" s="120" t="str">
        <f>IFERROR(VLOOKUP(Table1[RespondentID],'All Data'!$A$3:$CO$999,89,FALSE),"unknown")</f>
        <v>Suffolk</v>
      </c>
      <c r="AY150" s="120" t="str">
        <f>IFERROR(VLOOKUP(Table1[RespondentID],'All Data'!$A$3:$CO$999,90,FALSE),"unknown")</f>
        <v>Kings Park, 11754</v>
      </c>
      <c r="AZ150" s="120" t="str">
        <f>IFERROR(VLOOKUP(Table1[RespondentID],'All Data'!$A$3:$CO$999,91,FALSE),"unknown")</f>
        <v>White</v>
      </c>
      <c r="BA150" s="120" t="str">
        <f>IFERROR(VLOOKUP(Table1[RespondentID],'All Data'!$A$3:$CO$999,92,FALSE),"unknown")</f>
        <v>Hispanic or Latino</v>
      </c>
      <c r="BB150" s="120" t="str">
        <f>IFERROR(VLOOKUP(Table1[RespondentID],'All Data'!$A$3:$CO$999,93,FALSE),"unknown")</f>
        <v>English</v>
      </c>
      <c r="BC150" s="120" t="str">
        <f>IFERROR(VLOOKUP(Table1[RespondentID],'All Data'!$A$3:$CW$999,94,FALSE),"unknown")</f>
        <v>Over $125,000</v>
      </c>
      <c r="BD150" s="120" t="str">
        <f>IFERROR(VLOOKUP(Table1[RespondentID],'All Data'!$A$3:$CW$999,95,FALSE),"unknown")</f>
        <v>High school graduate</v>
      </c>
      <c r="BE150" s="120" t="str">
        <f>IFERROR(VLOOKUP(Table1[RespondentID],'All Data'!$A$3:$CW$999,96,FALSE),"unknown")</f>
        <v>Out of work, but not currently looking</v>
      </c>
      <c r="BF150" s="120" t="str">
        <f>IFERROR(VLOOKUP(Table1[RespondentID],'All Data'!$A$3:$CW$999,97,FALSE),"unknown")</f>
        <v>Yes</v>
      </c>
      <c r="BG150" s="120" t="str">
        <f>IFERROR(VLOOKUP(Table1[RespondentID],'All Data'!$A$3:$CW$999,98,FALSE),"unknown")</f>
        <v>Private/Commercial</v>
      </c>
      <c r="BH150" s="120">
        <f>IFERROR(VLOOKUP(Table1[RespondentID],'All Data'!$A$3:$CW$999,99,FALSE),"unknown")</f>
        <v>0</v>
      </c>
    </row>
    <row r="151" spans="1:60">
      <c r="A151" s="5">
        <v>18022142040</v>
      </c>
      <c r="B151" s="5"/>
      <c r="C151" s="5"/>
      <c r="D151" s="5" t="s">
        <v>51</v>
      </c>
      <c r="E151" s="5" t="s">
        <v>17</v>
      </c>
      <c r="F151" s="5"/>
      <c r="G151" s="5"/>
      <c r="H151" s="5"/>
      <c r="I151" s="5"/>
      <c r="J151" s="5"/>
      <c r="K151" s="5"/>
      <c r="L151" s="5"/>
      <c r="M151" s="5"/>
      <c r="N151" s="5"/>
      <c r="O151" s="5"/>
      <c r="P151" s="5" t="s">
        <v>60</v>
      </c>
      <c r="Q151" s="5"/>
      <c r="R151" s="5"/>
      <c r="S151" s="5"/>
      <c r="T151" s="37"/>
      <c r="U151" s="37">
        <f t="shared" si="46"/>
        <v>3</v>
      </c>
      <c r="V151" s="37">
        <f t="shared" si="47"/>
        <v>1</v>
      </c>
      <c r="W151" s="37"/>
      <c r="X151" s="37">
        <f t="shared" si="48"/>
        <v>0</v>
      </c>
      <c r="Y151" s="37">
        <f t="shared" si="49"/>
        <v>0</v>
      </c>
      <c r="Z151" s="37">
        <f t="shared" si="50"/>
        <v>1</v>
      </c>
      <c r="AA151" s="37">
        <f t="shared" si="51"/>
        <v>1</v>
      </c>
      <c r="AB151" s="37">
        <f t="shared" si="52"/>
        <v>0</v>
      </c>
      <c r="AC151" s="37">
        <f t="shared" si="53"/>
        <v>0</v>
      </c>
      <c r="AD151" s="37">
        <f t="shared" si="54"/>
        <v>0</v>
      </c>
      <c r="AE151" s="37">
        <f t="shared" si="55"/>
        <v>0</v>
      </c>
      <c r="AF151" s="37">
        <f t="shared" si="56"/>
        <v>0</v>
      </c>
      <c r="AG151" s="37">
        <f t="shared" si="57"/>
        <v>0</v>
      </c>
      <c r="AH151" s="37">
        <f t="shared" si="58"/>
        <v>0</v>
      </c>
      <c r="AI151" s="37">
        <f t="shared" si="59"/>
        <v>0</v>
      </c>
      <c r="AJ151" s="37">
        <f t="shared" si="60"/>
        <v>0</v>
      </c>
      <c r="AK151" s="37">
        <f t="shared" si="61"/>
        <v>0</v>
      </c>
      <c r="AL151" s="37">
        <f t="shared" si="62"/>
        <v>1</v>
      </c>
      <c r="AM151" s="37">
        <f t="shared" si="63"/>
        <v>0</v>
      </c>
      <c r="AN151" s="37">
        <f t="shared" si="64"/>
        <v>0</v>
      </c>
      <c r="AO151" s="37">
        <f t="shared" si="65"/>
        <v>0</v>
      </c>
      <c r="AP151" s="37"/>
      <c r="AQ151" s="37"/>
      <c r="AR151" s="37">
        <f t="shared" si="66"/>
        <v>3</v>
      </c>
      <c r="AS151" s="37">
        <f t="shared" si="67"/>
        <v>3</v>
      </c>
      <c r="AT151" s="37" t="str">
        <f t="shared" si="68"/>
        <v>Correct</v>
      </c>
      <c r="AU151" s="37"/>
      <c r="AV151" s="120" t="str">
        <f>IFERROR(VLOOKUP(Table1[RespondentID],'All Data'!$A$3:$CO$999,87,FALSE),"unknown")</f>
        <v>Woman</v>
      </c>
      <c r="AW151" s="120">
        <f>IFERROR(VLOOKUP(Table1[RespondentID],'All Data'!$A$3:$CO$999,88,FALSE),"unknown")</f>
        <v>37</v>
      </c>
      <c r="AX151" s="120" t="str">
        <f>IFERROR(VLOOKUP(Table1[RespondentID],'All Data'!$A$3:$CO$999,89,FALSE),"unknown")</f>
        <v>Suffolk</v>
      </c>
      <c r="AY151" s="120" t="str">
        <f>IFERROR(VLOOKUP(Table1[RespondentID],'All Data'!$A$3:$CO$999,90,FALSE),"unknown")</f>
        <v>Miller Place, 11764</v>
      </c>
      <c r="AZ151" s="120" t="str">
        <f>IFERROR(VLOOKUP(Table1[RespondentID],'All Data'!$A$3:$CO$999,91,FALSE),"unknown")</f>
        <v>White</v>
      </c>
      <c r="BA151" s="120" t="str">
        <f>IFERROR(VLOOKUP(Table1[RespondentID],'All Data'!$A$3:$CO$999,92,FALSE),"unknown")</f>
        <v>Hispanic or Latino</v>
      </c>
      <c r="BB151" s="120" t="str">
        <f>IFERROR(VLOOKUP(Table1[RespondentID],'All Data'!$A$3:$CO$999,93,FALSE),"unknown")</f>
        <v>English</v>
      </c>
      <c r="BC151" s="120" t="str">
        <f>IFERROR(VLOOKUP(Table1[RespondentID],'All Data'!$A$3:$CW$999,94,FALSE),"unknown")</f>
        <v>Over $125,000</v>
      </c>
      <c r="BD151" s="120" t="str">
        <f>IFERROR(VLOOKUP(Table1[RespondentID],'All Data'!$A$3:$CW$999,95,FALSE),"unknown")</f>
        <v>Graduate school</v>
      </c>
      <c r="BE151" s="120" t="str">
        <f>IFERROR(VLOOKUP(Table1[RespondentID],'All Data'!$A$3:$CW$999,96,FALSE),"unknown")</f>
        <v>Employed for wages</v>
      </c>
      <c r="BF151" s="120" t="str">
        <f>IFERROR(VLOOKUP(Table1[RespondentID],'All Data'!$A$3:$CW$999,97,FALSE),"unknown")</f>
        <v>Yes</v>
      </c>
      <c r="BG151" s="120" t="str">
        <f>IFERROR(VLOOKUP(Table1[RespondentID],'All Data'!$A$3:$CW$999,98,FALSE),"unknown")</f>
        <v>Private/Commercial</v>
      </c>
      <c r="BH151" s="120" t="str">
        <f>IFERROR(VLOOKUP(Table1[RespondentID],'All Data'!$A$3:$CW$999,99,FALSE),"unknown")</f>
        <v>Yes</v>
      </c>
    </row>
    <row r="152" spans="1:60">
      <c r="A152" s="5">
        <v>18022097237</v>
      </c>
      <c r="B152" s="5"/>
      <c r="C152" s="5"/>
      <c r="D152" s="5" t="s">
        <v>51</v>
      </c>
      <c r="E152" s="5"/>
      <c r="F152" s="5"/>
      <c r="G152" s="5" t="s">
        <v>53</v>
      </c>
      <c r="H152" s="5"/>
      <c r="I152" s="5" t="s">
        <v>55</v>
      </c>
      <c r="J152" s="5"/>
      <c r="K152" s="5"/>
      <c r="L152" s="5"/>
      <c r="M152" s="5"/>
      <c r="N152" s="5"/>
      <c r="O152" s="5"/>
      <c r="P152" s="5"/>
      <c r="Q152" s="5"/>
      <c r="R152" s="5"/>
      <c r="S152" s="5"/>
      <c r="T152" s="37"/>
      <c r="U152" s="37">
        <f t="shared" si="46"/>
        <v>3</v>
      </c>
      <c r="V152" s="37">
        <f t="shared" si="47"/>
        <v>1</v>
      </c>
      <c r="W152" s="37"/>
      <c r="X152" s="37">
        <f t="shared" si="48"/>
        <v>0</v>
      </c>
      <c r="Y152" s="37">
        <f t="shared" si="49"/>
        <v>0</v>
      </c>
      <c r="Z152" s="37">
        <f t="shared" si="50"/>
        <v>1</v>
      </c>
      <c r="AA152" s="37">
        <f t="shared" si="51"/>
        <v>0</v>
      </c>
      <c r="AB152" s="37">
        <f t="shared" si="52"/>
        <v>0</v>
      </c>
      <c r="AC152" s="37">
        <f t="shared" si="53"/>
        <v>1</v>
      </c>
      <c r="AD152" s="37">
        <f t="shared" si="54"/>
        <v>0</v>
      </c>
      <c r="AE152" s="37">
        <f t="shared" si="55"/>
        <v>1</v>
      </c>
      <c r="AF152" s="37">
        <f t="shared" si="56"/>
        <v>0</v>
      </c>
      <c r="AG152" s="37">
        <f t="shared" si="57"/>
        <v>0</v>
      </c>
      <c r="AH152" s="37">
        <f t="shared" si="58"/>
        <v>0</v>
      </c>
      <c r="AI152" s="37">
        <f t="shared" si="59"/>
        <v>0</v>
      </c>
      <c r="AJ152" s="37">
        <f t="shared" si="60"/>
        <v>0</v>
      </c>
      <c r="AK152" s="37">
        <f t="shared" si="61"/>
        <v>0</v>
      </c>
      <c r="AL152" s="37">
        <f t="shared" si="62"/>
        <v>0</v>
      </c>
      <c r="AM152" s="37">
        <f t="shared" si="63"/>
        <v>0</v>
      </c>
      <c r="AN152" s="37">
        <f t="shared" si="64"/>
        <v>0</v>
      </c>
      <c r="AO152" s="37">
        <f t="shared" si="65"/>
        <v>0</v>
      </c>
      <c r="AP152" s="37"/>
      <c r="AQ152" s="37"/>
      <c r="AR152" s="37">
        <f t="shared" si="66"/>
        <v>3</v>
      </c>
      <c r="AS152" s="37">
        <f t="shared" si="67"/>
        <v>3</v>
      </c>
      <c r="AT152" s="37" t="str">
        <f t="shared" si="68"/>
        <v>Correct</v>
      </c>
      <c r="AU152" s="37"/>
      <c r="AV152" s="120" t="str">
        <f>IFERROR(VLOOKUP(Table1[RespondentID],'All Data'!$A$3:$CO$999,87,FALSE),"unknown")</f>
        <v>Man</v>
      </c>
      <c r="AW152" s="120">
        <f>IFERROR(VLOOKUP(Table1[RespondentID],'All Data'!$A$3:$CO$999,88,FALSE),"unknown")</f>
        <v>38</v>
      </c>
      <c r="AX152" s="120" t="str">
        <f>IFERROR(VLOOKUP(Table1[RespondentID],'All Data'!$A$3:$CO$999,89,FALSE),"unknown")</f>
        <v>Suffolk</v>
      </c>
      <c r="AY152" s="120" t="str">
        <f>IFERROR(VLOOKUP(Table1[RespondentID],'All Data'!$A$3:$CO$999,90,FALSE),"unknown")</f>
        <v>Saint James, 11780</v>
      </c>
      <c r="AZ152" s="120" t="str">
        <f>IFERROR(VLOOKUP(Table1[RespondentID],'All Data'!$A$3:$CO$999,91,FALSE),"unknown")</f>
        <v>White</v>
      </c>
      <c r="BA152" s="120" t="str">
        <f>IFERROR(VLOOKUP(Table1[RespondentID],'All Data'!$A$3:$CO$999,92,FALSE),"unknown")</f>
        <v>Hispanic or Latino</v>
      </c>
      <c r="BB152" s="120" t="str">
        <f>IFERROR(VLOOKUP(Table1[RespondentID],'All Data'!$A$3:$CO$999,93,FALSE),"unknown")</f>
        <v>English</v>
      </c>
      <c r="BC152" s="120" t="str">
        <f>IFERROR(VLOOKUP(Table1[RespondentID],'All Data'!$A$3:$CW$999,94,FALSE),"unknown")</f>
        <v>Over $125,000</v>
      </c>
      <c r="BD152" s="120" t="str">
        <f>IFERROR(VLOOKUP(Table1[RespondentID],'All Data'!$A$3:$CW$999,95,FALSE),"unknown")</f>
        <v>Graduate school</v>
      </c>
      <c r="BE152" s="120" t="str">
        <f>IFERROR(VLOOKUP(Table1[RespondentID],'All Data'!$A$3:$CW$999,96,FALSE),"unknown")</f>
        <v>Employed for wages</v>
      </c>
      <c r="BF152" s="120" t="str">
        <f>IFERROR(VLOOKUP(Table1[RespondentID],'All Data'!$A$3:$CW$999,97,FALSE),"unknown")</f>
        <v>Yes</v>
      </c>
      <c r="BG152" s="120" t="str">
        <f>IFERROR(VLOOKUP(Table1[RespondentID],'All Data'!$A$3:$CW$999,98,FALSE),"unknown")</f>
        <v>Private/Commercial</v>
      </c>
      <c r="BH152" s="120" t="str">
        <f>IFERROR(VLOOKUP(Table1[RespondentID],'All Data'!$A$3:$CW$999,99,FALSE),"unknown")</f>
        <v>Yes</v>
      </c>
    </row>
    <row r="153" spans="1:60">
      <c r="A153" s="5">
        <v>18022088692</v>
      </c>
      <c r="B153" s="5"/>
      <c r="C153" s="5"/>
      <c r="D153" s="5" t="s">
        <v>51</v>
      </c>
      <c r="E153" s="5" t="s">
        <v>17</v>
      </c>
      <c r="F153" s="5"/>
      <c r="G153" s="5"/>
      <c r="H153" s="5"/>
      <c r="I153" s="5"/>
      <c r="J153" s="5"/>
      <c r="K153" s="5"/>
      <c r="L153" s="5"/>
      <c r="M153" s="5"/>
      <c r="N153" s="5"/>
      <c r="O153" s="5"/>
      <c r="P153" s="5"/>
      <c r="Q153" s="5"/>
      <c r="R153" s="5"/>
      <c r="S153" s="5" t="s">
        <v>63</v>
      </c>
      <c r="T153" s="37"/>
      <c r="U153" s="37">
        <f t="shared" si="46"/>
        <v>3</v>
      </c>
      <c r="V153" s="37">
        <f t="shared" si="47"/>
        <v>1</v>
      </c>
      <c r="W153" s="37"/>
      <c r="X153" s="37">
        <f t="shared" si="48"/>
        <v>0</v>
      </c>
      <c r="Y153" s="37">
        <f t="shared" si="49"/>
        <v>0</v>
      </c>
      <c r="Z153" s="37">
        <f t="shared" si="50"/>
        <v>1</v>
      </c>
      <c r="AA153" s="37">
        <f t="shared" si="51"/>
        <v>1</v>
      </c>
      <c r="AB153" s="37">
        <f t="shared" si="52"/>
        <v>0</v>
      </c>
      <c r="AC153" s="37">
        <f t="shared" si="53"/>
        <v>0</v>
      </c>
      <c r="AD153" s="37">
        <f t="shared" si="54"/>
        <v>0</v>
      </c>
      <c r="AE153" s="37">
        <f t="shared" si="55"/>
        <v>0</v>
      </c>
      <c r="AF153" s="37">
        <f t="shared" si="56"/>
        <v>0</v>
      </c>
      <c r="AG153" s="37">
        <f t="shared" si="57"/>
        <v>0</v>
      </c>
      <c r="AH153" s="37">
        <f t="shared" si="58"/>
        <v>0</v>
      </c>
      <c r="AI153" s="37">
        <f t="shared" si="59"/>
        <v>0</v>
      </c>
      <c r="AJ153" s="37">
        <f t="shared" si="60"/>
        <v>0</v>
      </c>
      <c r="AK153" s="37">
        <f t="shared" si="61"/>
        <v>0</v>
      </c>
      <c r="AL153" s="37">
        <f t="shared" si="62"/>
        <v>0</v>
      </c>
      <c r="AM153" s="37">
        <f t="shared" si="63"/>
        <v>0</v>
      </c>
      <c r="AN153" s="37">
        <f t="shared" si="64"/>
        <v>0</v>
      </c>
      <c r="AO153" s="37">
        <f t="shared" si="65"/>
        <v>1</v>
      </c>
      <c r="AP153" s="37"/>
      <c r="AQ153" s="37"/>
      <c r="AR153" s="37">
        <f t="shared" si="66"/>
        <v>3</v>
      </c>
      <c r="AS153" s="37">
        <f t="shared" si="67"/>
        <v>3</v>
      </c>
      <c r="AT153" s="37" t="str">
        <f t="shared" si="68"/>
        <v>Correct</v>
      </c>
      <c r="AU153" s="37"/>
      <c r="AV153" s="120" t="str">
        <f>IFERROR(VLOOKUP(Table1[RespondentID],'All Data'!$A$3:$CO$999,87,FALSE),"unknown")</f>
        <v>Man</v>
      </c>
      <c r="AW153" s="120">
        <f>IFERROR(VLOOKUP(Table1[RespondentID],'All Data'!$A$3:$CO$999,88,FALSE),"unknown")</f>
        <v>50</v>
      </c>
      <c r="AX153" s="120" t="str">
        <f>IFERROR(VLOOKUP(Table1[RespondentID],'All Data'!$A$3:$CO$999,89,FALSE),"unknown")</f>
        <v>Suffolk</v>
      </c>
      <c r="AY153" s="120" t="str">
        <f>IFERROR(VLOOKUP(Table1[RespondentID],'All Data'!$A$3:$CO$999,90,FALSE),"unknown")</f>
        <v>Saint James, 11780</v>
      </c>
      <c r="AZ153" s="120" t="str">
        <f>IFERROR(VLOOKUP(Table1[RespondentID],'All Data'!$A$3:$CO$999,91,FALSE),"unknown")</f>
        <v>White</v>
      </c>
      <c r="BA153" s="120" t="str">
        <f>IFERROR(VLOOKUP(Table1[RespondentID],'All Data'!$A$3:$CO$999,92,FALSE),"unknown")</f>
        <v>Hispanic or Latino</v>
      </c>
      <c r="BB153" s="120" t="str">
        <f>IFERROR(VLOOKUP(Table1[RespondentID],'All Data'!$A$3:$CO$999,93,FALSE),"unknown")</f>
        <v>English</v>
      </c>
      <c r="BC153" s="120" t="str">
        <f>IFERROR(VLOOKUP(Table1[RespondentID],'All Data'!$A$3:$CW$999,94,FALSE),"unknown")</f>
        <v>Over $125,000</v>
      </c>
      <c r="BD153" s="120" t="str">
        <f>IFERROR(VLOOKUP(Table1[RespondentID],'All Data'!$A$3:$CW$999,95,FALSE),"unknown")</f>
        <v>Graduate school</v>
      </c>
      <c r="BE153" s="120" t="str">
        <f>IFERROR(VLOOKUP(Table1[RespondentID],'All Data'!$A$3:$CW$999,96,FALSE),"unknown")</f>
        <v>Employed for wages</v>
      </c>
      <c r="BF153" s="120" t="str">
        <f>IFERROR(VLOOKUP(Table1[RespondentID],'All Data'!$A$3:$CW$999,97,FALSE),"unknown")</f>
        <v>Yes</v>
      </c>
      <c r="BG153" s="120" t="str">
        <f>IFERROR(VLOOKUP(Table1[RespondentID],'All Data'!$A$3:$CW$999,98,FALSE),"unknown")</f>
        <v>Private/Commercial</v>
      </c>
      <c r="BH153" s="120" t="str">
        <f>IFERROR(VLOOKUP(Table1[RespondentID],'All Data'!$A$3:$CW$999,99,FALSE),"unknown")</f>
        <v>Yes</v>
      </c>
    </row>
    <row r="154" spans="1:60">
      <c r="A154" s="5">
        <v>18022063568</v>
      </c>
      <c r="B154" s="5"/>
      <c r="C154" s="5"/>
      <c r="D154" s="5" t="s">
        <v>51</v>
      </c>
      <c r="E154" s="5" t="s">
        <v>17</v>
      </c>
      <c r="F154" s="5"/>
      <c r="G154" s="5"/>
      <c r="H154" s="5"/>
      <c r="I154" s="5"/>
      <c r="J154" s="5"/>
      <c r="K154" s="5"/>
      <c r="L154" s="5" t="s">
        <v>58</v>
      </c>
      <c r="M154" s="5"/>
      <c r="N154" s="5"/>
      <c r="O154" s="5"/>
      <c r="P154" s="5"/>
      <c r="Q154" s="5"/>
      <c r="R154" s="5"/>
      <c r="S154" s="5"/>
      <c r="T154" s="37"/>
      <c r="U154" s="37">
        <f t="shared" si="46"/>
        <v>3</v>
      </c>
      <c r="V154" s="37">
        <f t="shared" si="47"/>
        <v>1</v>
      </c>
      <c r="W154" s="37"/>
      <c r="X154" s="37">
        <f t="shared" si="48"/>
        <v>0</v>
      </c>
      <c r="Y154" s="37">
        <f t="shared" si="49"/>
        <v>0</v>
      </c>
      <c r="Z154" s="37">
        <f t="shared" si="50"/>
        <v>1</v>
      </c>
      <c r="AA154" s="37">
        <f t="shared" si="51"/>
        <v>1</v>
      </c>
      <c r="AB154" s="37">
        <f t="shared" si="52"/>
        <v>0</v>
      </c>
      <c r="AC154" s="37">
        <f t="shared" si="53"/>
        <v>0</v>
      </c>
      <c r="AD154" s="37">
        <f t="shared" si="54"/>
        <v>0</v>
      </c>
      <c r="AE154" s="37">
        <f t="shared" si="55"/>
        <v>0</v>
      </c>
      <c r="AF154" s="37">
        <f t="shared" si="56"/>
        <v>0</v>
      </c>
      <c r="AG154" s="37">
        <f t="shared" si="57"/>
        <v>0</v>
      </c>
      <c r="AH154" s="37">
        <f t="shared" si="58"/>
        <v>1</v>
      </c>
      <c r="AI154" s="37">
        <f t="shared" si="59"/>
        <v>0</v>
      </c>
      <c r="AJ154" s="37">
        <f t="shared" si="60"/>
        <v>0</v>
      </c>
      <c r="AK154" s="37">
        <f t="shared" si="61"/>
        <v>0</v>
      </c>
      <c r="AL154" s="37">
        <f t="shared" si="62"/>
        <v>0</v>
      </c>
      <c r="AM154" s="37">
        <f t="shared" si="63"/>
        <v>0</v>
      </c>
      <c r="AN154" s="37">
        <f t="shared" si="64"/>
        <v>0</v>
      </c>
      <c r="AO154" s="37">
        <f t="shared" si="65"/>
        <v>0</v>
      </c>
      <c r="AP154" s="37"/>
      <c r="AQ154" s="37"/>
      <c r="AR154" s="37">
        <f t="shared" si="66"/>
        <v>3</v>
      </c>
      <c r="AS154" s="37">
        <f t="shared" si="67"/>
        <v>3</v>
      </c>
      <c r="AT154" s="37" t="str">
        <f t="shared" si="68"/>
        <v>Correct</v>
      </c>
      <c r="AU154" s="37"/>
      <c r="AV154" s="120" t="str">
        <f>IFERROR(VLOOKUP(Table1[RespondentID],'All Data'!$A$3:$CO$999,87,FALSE),"unknown")</f>
        <v>Man</v>
      </c>
      <c r="AW154" s="120">
        <f>IFERROR(VLOOKUP(Table1[RespondentID],'All Data'!$A$3:$CO$999,88,FALSE),"unknown")</f>
        <v>66</v>
      </c>
      <c r="AX154" s="120" t="str">
        <f>IFERROR(VLOOKUP(Table1[RespondentID],'All Data'!$A$3:$CO$999,89,FALSE),"unknown")</f>
        <v>Suffolk</v>
      </c>
      <c r="AY154" s="120" t="str">
        <f>IFERROR(VLOOKUP(Table1[RespondentID],'All Data'!$A$3:$CO$999,90,FALSE),"unknown")</f>
        <v>Islip Manor, 11751</v>
      </c>
      <c r="AZ154" s="120" t="str">
        <f>IFERROR(VLOOKUP(Table1[RespondentID],'All Data'!$A$3:$CO$999,91,FALSE),"unknown")</f>
        <v>White</v>
      </c>
      <c r="BA154" s="120" t="str">
        <f>IFERROR(VLOOKUP(Table1[RespondentID],'All Data'!$A$3:$CO$999,92,FALSE),"unknown")</f>
        <v>Hispanic or Latino</v>
      </c>
      <c r="BB154" s="120" t="str">
        <f>IFERROR(VLOOKUP(Table1[RespondentID],'All Data'!$A$3:$CO$999,93,FALSE),"unknown")</f>
        <v>English</v>
      </c>
      <c r="BC154" s="120" t="str">
        <f>IFERROR(VLOOKUP(Table1[RespondentID],'All Data'!$A$3:$CW$999,94,FALSE),"unknown")</f>
        <v>$75,000 to $125,000</v>
      </c>
      <c r="BD154" s="120" t="str">
        <f>IFERROR(VLOOKUP(Table1[RespondentID],'All Data'!$A$3:$CW$999,95,FALSE),"unknown")</f>
        <v>College graduate</v>
      </c>
      <c r="BE154" s="120" t="str">
        <f>IFERROR(VLOOKUP(Table1[RespondentID],'All Data'!$A$3:$CW$999,96,FALSE),"unknown")</f>
        <v>Retired</v>
      </c>
      <c r="BF154" s="120" t="str">
        <f>IFERROR(VLOOKUP(Table1[RespondentID],'All Data'!$A$3:$CW$999,97,FALSE),"unknown")</f>
        <v>Yes</v>
      </c>
      <c r="BG154" s="120" t="str">
        <f>IFERROR(VLOOKUP(Table1[RespondentID],'All Data'!$A$3:$CW$999,98,FALSE),"unknown")</f>
        <v>Medicare, Private/Commercial</v>
      </c>
      <c r="BH154" s="120" t="str">
        <f>IFERROR(VLOOKUP(Table1[RespondentID],'All Data'!$A$3:$CW$999,99,FALSE),"unknown")</f>
        <v>Yes</v>
      </c>
    </row>
    <row r="155" spans="1:60">
      <c r="A155" s="5">
        <v>18021911363</v>
      </c>
      <c r="B155" s="5"/>
      <c r="C155" s="5"/>
      <c r="D155" s="5"/>
      <c r="E155" s="5"/>
      <c r="F155" s="5"/>
      <c r="G155" s="5" t="s">
        <v>53</v>
      </c>
      <c r="H155" s="5"/>
      <c r="I155" s="5" t="s">
        <v>55</v>
      </c>
      <c r="J155" s="5"/>
      <c r="K155" s="5"/>
      <c r="L155" s="5"/>
      <c r="M155" s="5"/>
      <c r="N155" s="5" t="s">
        <v>24</v>
      </c>
      <c r="O155" s="5"/>
      <c r="P155" s="5"/>
      <c r="Q155" s="5"/>
      <c r="R155" s="5"/>
      <c r="S155" s="5"/>
      <c r="T155" s="37"/>
      <c r="U155" s="37">
        <f t="shared" si="46"/>
        <v>3</v>
      </c>
      <c r="V155" s="37">
        <f t="shared" si="47"/>
        <v>1</v>
      </c>
      <c r="W155" s="37"/>
      <c r="X155" s="37">
        <f t="shared" si="48"/>
        <v>0</v>
      </c>
      <c r="Y155" s="37">
        <f t="shared" si="49"/>
        <v>0</v>
      </c>
      <c r="Z155" s="37">
        <f t="shared" si="50"/>
        <v>0</v>
      </c>
      <c r="AA155" s="37">
        <f t="shared" si="51"/>
        <v>0</v>
      </c>
      <c r="AB155" s="37">
        <f t="shared" si="52"/>
        <v>0</v>
      </c>
      <c r="AC155" s="37">
        <f t="shared" si="53"/>
        <v>1</v>
      </c>
      <c r="AD155" s="37">
        <f t="shared" si="54"/>
        <v>0</v>
      </c>
      <c r="AE155" s="37">
        <f t="shared" si="55"/>
        <v>1</v>
      </c>
      <c r="AF155" s="37">
        <f t="shared" si="56"/>
        <v>0</v>
      </c>
      <c r="AG155" s="37">
        <f t="shared" si="57"/>
        <v>0</v>
      </c>
      <c r="AH155" s="37">
        <f t="shared" si="58"/>
        <v>0</v>
      </c>
      <c r="AI155" s="37">
        <f t="shared" si="59"/>
        <v>0</v>
      </c>
      <c r="AJ155" s="37">
        <f t="shared" si="60"/>
        <v>1</v>
      </c>
      <c r="AK155" s="37">
        <f t="shared" si="61"/>
        <v>0</v>
      </c>
      <c r="AL155" s="37">
        <f t="shared" si="62"/>
        <v>0</v>
      </c>
      <c r="AM155" s="37">
        <f t="shared" si="63"/>
        <v>0</v>
      </c>
      <c r="AN155" s="37">
        <f t="shared" si="64"/>
        <v>0</v>
      </c>
      <c r="AO155" s="37">
        <f t="shared" si="65"/>
        <v>0</v>
      </c>
      <c r="AP155" s="37"/>
      <c r="AQ155" s="37"/>
      <c r="AR155" s="37">
        <f t="shared" si="66"/>
        <v>3</v>
      </c>
      <c r="AS155" s="37">
        <f t="shared" si="67"/>
        <v>3</v>
      </c>
      <c r="AT155" s="37" t="str">
        <f t="shared" si="68"/>
        <v>Correct</v>
      </c>
      <c r="AU155" s="37"/>
      <c r="AV155" s="120" t="str">
        <f>IFERROR(VLOOKUP(Table1[RespondentID],'All Data'!$A$3:$CO$999,87,FALSE),"unknown")</f>
        <v>Man</v>
      </c>
      <c r="AW155" s="120">
        <f>IFERROR(VLOOKUP(Table1[RespondentID],'All Data'!$A$3:$CO$999,88,FALSE),"unknown")</f>
        <v>40</v>
      </c>
      <c r="AX155" s="120" t="str">
        <f>IFERROR(VLOOKUP(Table1[RespondentID],'All Data'!$A$3:$CO$999,89,FALSE),"unknown")</f>
        <v>Suffolk</v>
      </c>
      <c r="AY155" s="120" t="str">
        <f>IFERROR(VLOOKUP(Table1[RespondentID],'All Data'!$A$3:$CO$999,90,FALSE),"unknown")</f>
        <v>Deer Park, 11729</v>
      </c>
      <c r="AZ155" s="120" t="str">
        <f>IFERROR(VLOOKUP(Table1[RespondentID],'All Data'!$A$3:$CO$999,91,FALSE),"unknown")</f>
        <v>White</v>
      </c>
      <c r="BA155" s="120" t="str">
        <f>IFERROR(VLOOKUP(Table1[RespondentID],'All Data'!$A$3:$CO$999,92,FALSE),"unknown")</f>
        <v>Hispanic or Latino</v>
      </c>
      <c r="BB155" s="120" t="str">
        <f>IFERROR(VLOOKUP(Table1[RespondentID],'All Data'!$A$3:$CO$999,93,FALSE),"unknown")</f>
        <v>English</v>
      </c>
      <c r="BC155" s="120" t="str">
        <f>IFERROR(VLOOKUP(Table1[RespondentID],'All Data'!$A$3:$CW$999,94,FALSE),"unknown")</f>
        <v>$75,000 to $125,000</v>
      </c>
      <c r="BD155" s="120" t="str">
        <f>IFERROR(VLOOKUP(Table1[RespondentID],'All Data'!$A$3:$CW$999,95,FALSE),"unknown")</f>
        <v>Graduate school</v>
      </c>
      <c r="BE155" s="120" t="str">
        <f>IFERROR(VLOOKUP(Table1[RespondentID],'All Data'!$A$3:$CW$999,96,FALSE),"unknown")</f>
        <v>Employed for wages</v>
      </c>
      <c r="BF155" s="120" t="str">
        <f>IFERROR(VLOOKUP(Table1[RespondentID],'All Data'!$A$3:$CW$999,97,FALSE),"unknown")</f>
        <v>Yes</v>
      </c>
      <c r="BG155" s="120" t="str">
        <f>IFERROR(VLOOKUP(Table1[RespondentID],'All Data'!$A$3:$CW$999,98,FALSE),"unknown")</f>
        <v>Private/Commercial</v>
      </c>
      <c r="BH155" s="120" t="str">
        <f>IFERROR(VLOOKUP(Table1[RespondentID],'All Data'!$A$3:$CW$999,99,FALSE),"unknown")</f>
        <v>Yes</v>
      </c>
    </row>
    <row r="156" spans="1:60">
      <c r="A156" s="5">
        <v>18021903702</v>
      </c>
      <c r="B156" s="5"/>
      <c r="C156" s="5"/>
      <c r="D156" s="5" t="s">
        <v>51</v>
      </c>
      <c r="E156" s="5"/>
      <c r="F156" s="5"/>
      <c r="G156" s="5"/>
      <c r="H156" s="5"/>
      <c r="I156" s="5"/>
      <c r="J156" s="5"/>
      <c r="K156" s="5"/>
      <c r="L156" s="5"/>
      <c r="M156" s="5" t="s">
        <v>59</v>
      </c>
      <c r="N156" s="5"/>
      <c r="O156" s="5"/>
      <c r="P156" s="5"/>
      <c r="Q156" s="5"/>
      <c r="R156" s="5"/>
      <c r="S156" s="5"/>
      <c r="T156" s="37"/>
      <c r="U156" s="37">
        <f t="shared" si="46"/>
        <v>2</v>
      </c>
      <c r="V156" s="37">
        <f t="shared" si="47"/>
        <v>1.5</v>
      </c>
      <c r="W156" s="37"/>
      <c r="X156" s="37">
        <f t="shared" si="48"/>
        <v>0</v>
      </c>
      <c r="Y156" s="37">
        <f t="shared" si="49"/>
        <v>0</v>
      </c>
      <c r="Z156" s="37">
        <f t="shared" si="50"/>
        <v>1</v>
      </c>
      <c r="AA156" s="37">
        <f t="shared" si="51"/>
        <v>0</v>
      </c>
      <c r="AB156" s="37">
        <f t="shared" si="52"/>
        <v>0</v>
      </c>
      <c r="AC156" s="37">
        <f t="shared" si="53"/>
        <v>0</v>
      </c>
      <c r="AD156" s="37">
        <f t="shared" si="54"/>
        <v>0</v>
      </c>
      <c r="AE156" s="37">
        <f t="shared" si="55"/>
        <v>0</v>
      </c>
      <c r="AF156" s="37">
        <f t="shared" si="56"/>
        <v>0</v>
      </c>
      <c r="AG156" s="37">
        <f t="shared" si="57"/>
        <v>0</v>
      </c>
      <c r="AH156" s="37">
        <f t="shared" si="58"/>
        <v>0</v>
      </c>
      <c r="AI156" s="37">
        <f t="shared" si="59"/>
        <v>1</v>
      </c>
      <c r="AJ156" s="37">
        <f t="shared" si="60"/>
        <v>0</v>
      </c>
      <c r="AK156" s="37">
        <f t="shared" si="61"/>
        <v>0</v>
      </c>
      <c r="AL156" s="37">
        <f t="shared" si="62"/>
        <v>0</v>
      </c>
      <c r="AM156" s="37">
        <f t="shared" si="63"/>
        <v>0</v>
      </c>
      <c r="AN156" s="37">
        <f t="shared" si="64"/>
        <v>0</v>
      </c>
      <c r="AO156" s="37">
        <f t="shared" si="65"/>
        <v>0</v>
      </c>
      <c r="AP156" s="37"/>
      <c r="AQ156" s="37"/>
      <c r="AR156" s="37">
        <f t="shared" si="66"/>
        <v>2</v>
      </c>
      <c r="AS156" s="37">
        <f t="shared" si="67"/>
        <v>2</v>
      </c>
      <c r="AT156" s="37" t="str">
        <f t="shared" si="68"/>
        <v>Correct</v>
      </c>
      <c r="AU156" s="37"/>
      <c r="AV156" s="120" t="str">
        <f>IFERROR(VLOOKUP(Table1[RespondentID],'All Data'!$A$3:$CO$999,87,FALSE),"unknown")</f>
        <v>Man</v>
      </c>
      <c r="AW156" s="120">
        <f>IFERROR(VLOOKUP(Table1[RespondentID],'All Data'!$A$3:$CO$999,88,FALSE),"unknown")</f>
        <v>49</v>
      </c>
      <c r="AX156" s="120" t="str">
        <f>IFERROR(VLOOKUP(Table1[RespondentID],'All Data'!$A$3:$CO$999,89,FALSE),"unknown")</f>
        <v>Suffolk</v>
      </c>
      <c r="AY156" s="120" t="str">
        <f>IFERROR(VLOOKUP(Table1[RespondentID],'All Data'!$A$3:$CO$999,90,FALSE),"unknown")</f>
        <v>Copiague, 11726</v>
      </c>
      <c r="AZ156" s="120" t="str">
        <f>IFERROR(VLOOKUP(Table1[RespondentID],'All Data'!$A$3:$CO$999,91,FALSE),"unknown")</f>
        <v>Other (please specify)</v>
      </c>
      <c r="BA156" s="120" t="str">
        <f>IFERROR(VLOOKUP(Table1[RespondentID],'All Data'!$A$3:$CO$999,92,FALSE),"unknown")</f>
        <v>Not Hispanic or Latino</v>
      </c>
      <c r="BB156" s="120" t="str">
        <f>IFERROR(VLOOKUP(Table1[RespondentID],'All Data'!$A$3:$CO$999,93,FALSE),"unknown")</f>
        <v>English</v>
      </c>
      <c r="BC156" s="120" t="str">
        <f>IFERROR(VLOOKUP(Table1[RespondentID],'All Data'!$A$3:$CW$999,94,FALSE),"unknown")</f>
        <v>Over $125,000</v>
      </c>
      <c r="BD156" s="120" t="str">
        <f>IFERROR(VLOOKUP(Table1[RespondentID],'All Data'!$A$3:$CW$999,95,FALSE),"unknown")</f>
        <v>College graduate</v>
      </c>
      <c r="BE156" s="120" t="str">
        <f>IFERROR(VLOOKUP(Table1[RespondentID],'All Data'!$A$3:$CW$999,96,FALSE),"unknown")</f>
        <v>Employed for wages</v>
      </c>
      <c r="BF156" s="120" t="str">
        <f>IFERROR(VLOOKUP(Table1[RespondentID],'All Data'!$A$3:$CW$999,97,FALSE),"unknown")</f>
        <v>Yes</v>
      </c>
      <c r="BG156" s="120" t="str">
        <f>IFERROR(VLOOKUP(Table1[RespondentID],'All Data'!$A$3:$CW$999,98,FALSE),"unknown")</f>
        <v>Private/Commercial</v>
      </c>
      <c r="BH156" s="120" t="str">
        <f>IFERROR(VLOOKUP(Table1[RespondentID],'All Data'!$A$3:$CW$999,99,FALSE),"unknown")</f>
        <v>Yes</v>
      </c>
    </row>
    <row r="157" spans="1:60">
      <c r="A157" s="5">
        <v>18021801473</v>
      </c>
      <c r="B157" s="5"/>
      <c r="C157" s="5"/>
      <c r="D157" s="5"/>
      <c r="E157" s="5" t="s">
        <v>17</v>
      </c>
      <c r="F157" s="5"/>
      <c r="G157" s="5" t="s">
        <v>53</v>
      </c>
      <c r="H157" s="5"/>
      <c r="I157" s="5"/>
      <c r="J157" s="5" t="s">
        <v>56</v>
      </c>
      <c r="K157" s="5"/>
      <c r="L157" s="5"/>
      <c r="M157" s="5"/>
      <c r="N157" s="5"/>
      <c r="O157" s="5"/>
      <c r="P157" s="5"/>
      <c r="Q157" s="5"/>
      <c r="R157" s="5"/>
      <c r="S157" s="5"/>
      <c r="T157" s="37"/>
      <c r="U157" s="37">
        <f t="shared" si="46"/>
        <v>3</v>
      </c>
      <c r="V157" s="37">
        <f t="shared" si="47"/>
        <v>1</v>
      </c>
      <c r="W157" s="37"/>
      <c r="X157" s="37">
        <f t="shared" si="48"/>
        <v>0</v>
      </c>
      <c r="Y157" s="37">
        <f t="shared" si="49"/>
        <v>0</v>
      </c>
      <c r="Z157" s="37">
        <f t="shared" si="50"/>
        <v>0</v>
      </c>
      <c r="AA157" s="37">
        <f t="shared" si="51"/>
        <v>1</v>
      </c>
      <c r="AB157" s="37">
        <f t="shared" si="52"/>
        <v>0</v>
      </c>
      <c r="AC157" s="37">
        <f t="shared" si="53"/>
        <v>1</v>
      </c>
      <c r="AD157" s="37">
        <f t="shared" si="54"/>
        <v>0</v>
      </c>
      <c r="AE157" s="37">
        <f t="shared" si="55"/>
        <v>0</v>
      </c>
      <c r="AF157" s="37">
        <f t="shared" si="56"/>
        <v>1</v>
      </c>
      <c r="AG157" s="37">
        <f t="shared" si="57"/>
        <v>0</v>
      </c>
      <c r="AH157" s="37">
        <f t="shared" si="58"/>
        <v>0</v>
      </c>
      <c r="AI157" s="37">
        <f t="shared" si="59"/>
        <v>0</v>
      </c>
      <c r="AJ157" s="37">
        <f t="shared" si="60"/>
        <v>0</v>
      </c>
      <c r="AK157" s="37">
        <f t="shared" si="61"/>
        <v>0</v>
      </c>
      <c r="AL157" s="37">
        <f t="shared" si="62"/>
        <v>0</v>
      </c>
      <c r="AM157" s="37">
        <f t="shared" si="63"/>
        <v>0</v>
      </c>
      <c r="AN157" s="37">
        <f t="shared" si="64"/>
        <v>0</v>
      </c>
      <c r="AO157" s="37">
        <f t="shared" si="65"/>
        <v>0</v>
      </c>
      <c r="AP157" s="37"/>
      <c r="AQ157" s="37"/>
      <c r="AR157" s="37">
        <f t="shared" si="66"/>
        <v>3</v>
      </c>
      <c r="AS157" s="37">
        <f t="shared" si="67"/>
        <v>3</v>
      </c>
      <c r="AT157" s="37" t="str">
        <f t="shared" si="68"/>
        <v>Correct</v>
      </c>
      <c r="AU157" s="37"/>
      <c r="AV157" s="120" t="str">
        <f>IFERROR(VLOOKUP(Table1[RespondentID],'All Data'!$A$3:$CO$999,87,FALSE),"unknown")</f>
        <v>Man</v>
      </c>
      <c r="AW157" s="120">
        <f>IFERROR(VLOOKUP(Table1[RespondentID],'All Data'!$A$3:$CO$999,88,FALSE),"unknown")</f>
        <v>18</v>
      </c>
      <c r="AX157" s="120">
        <f>IFERROR(VLOOKUP(Table1[RespondentID],'All Data'!$A$3:$CO$999,89,FALSE),"unknown")</f>
        <v>0</v>
      </c>
      <c r="AY157" s="120">
        <f>IFERROR(VLOOKUP(Table1[RespondentID],'All Data'!$A$3:$CO$999,90,FALSE),"unknown")</f>
        <v>0</v>
      </c>
      <c r="AZ157" s="120">
        <f>IFERROR(VLOOKUP(Table1[RespondentID],'All Data'!$A$3:$CO$999,91,FALSE),"unknown")</f>
        <v>0</v>
      </c>
      <c r="BA157" s="120">
        <f>IFERROR(VLOOKUP(Table1[RespondentID],'All Data'!$A$3:$CO$999,92,FALSE),"unknown")</f>
        <v>0</v>
      </c>
      <c r="BB157" s="120">
        <f>IFERROR(VLOOKUP(Table1[RespondentID],'All Data'!$A$3:$CO$999,93,FALSE),"unknown")</f>
        <v>0</v>
      </c>
      <c r="BC157" s="120">
        <f>IFERROR(VLOOKUP(Table1[RespondentID],'All Data'!$A$3:$CW$999,94,FALSE),"unknown")</f>
        <v>0</v>
      </c>
      <c r="BD157" s="120">
        <f>IFERROR(VLOOKUP(Table1[RespondentID],'All Data'!$A$3:$CW$999,95,FALSE),"unknown")</f>
        <v>0</v>
      </c>
      <c r="BE157" s="120">
        <f>IFERROR(VLOOKUP(Table1[RespondentID],'All Data'!$A$3:$CW$999,96,FALSE),"unknown")</f>
        <v>0</v>
      </c>
      <c r="BF157" s="120">
        <f>IFERROR(VLOOKUP(Table1[RespondentID],'All Data'!$A$3:$CW$999,97,FALSE),"unknown")</f>
        <v>0</v>
      </c>
      <c r="BG157" s="120">
        <f>IFERROR(VLOOKUP(Table1[RespondentID],'All Data'!$A$3:$CW$999,98,FALSE),"unknown")</f>
        <v>0</v>
      </c>
      <c r="BH157" s="120">
        <f>IFERROR(VLOOKUP(Table1[RespondentID],'All Data'!$A$3:$CW$999,99,FALSE),"unknown")</f>
        <v>0</v>
      </c>
    </row>
    <row r="158" spans="1:60">
      <c r="A158" s="5">
        <v>18021801305</v>
      </c>
      <c r="B158" s="5"/>
      <c r="C158" s="5"/>
      <c r="D158" s="5" t="s">
        <v>51</v>
      </c>
      <c r="E158" s="5"/>
      <c r="F158" s="5"/>
      <c r="G158" s="5"/>
      <c r="H158" s="5"/>
      <c r="I158" s="5" t="s">
        <v>55</v>
      </c>
      <c r="J158" s="5"/>
      <c r="K158" s="5"/>
      <c r="L158" s="5"/>
      <c r="M158" s="5" t="s">
        <v>59</v>
      </c>
      <c r="N158" s="5"/>
      <c r="O158" s="5"/>
      <c r="P158" s="5"/>
      <c r="Q158" s="5"/>
      <c r="R158" s="5"/>
      <c r="S158" s="5"/>
      <c r="T158" s="37"/>
      <c r="U158" s="37">
        <f t="shared" si="46"/>
        <v>3</v>
      </c>
      <c r="V158" s="37">
        <f t="shared" si="47"/>
        <v>1</v>
      </c>
      <c r="W158" s="37"/>
      <c r="X158" s="37">
        <f t="shared" si="48"/>
        <v>0</v>
      </c>
      <c r="Y158" s="37">
        <f t="shared" si="49"/>
        <v>0</v>
      </c>
      <c r="Z158" s="37">
        <f t="shared" si="50"/>
        <v>1</v>
      </c>
      <c r="AA158" s="37">
        <f t="shared" si="51"/>
        <v>0</v>
      </c>
      <c r="AB158" s="37">
        <f t="shared" si="52"/>
        <v>0</v>
      </c>
      <c r="AC158" s="37">
        <f t="shared" si="53"/>
        <v>0</v>
      </c>
      <c r="AD158" s="37">
        <f t="shared" si="54"/>
        <v>0</v>
      </c>
      <c r="AE158" s="37">
        <f t="shared" si="55"/>
        <v>1</v>
      </c>
      <c r="AF158" s="37">
        <f t="shared" si="56"/>
        <v>0</v>
      </c>
      <c r="AG158" s="37">
        <f t="shared" si="57"/>
        <v>0</v>
      </c>
      <c r="AH158" s="37">
        <f t="shared" si="58"/>
        <v>0</v>
      </c>
      <c r="AI158" s="37">
        <f t="shared" si="59"/>
        <v>1</v>
      </c>
      <c r="AJ158" s="37">
        <f t="shared" si="60"/>
        <v>0</v>
      </c>
      <c r="AK158" s="37">
        <f t="shared" si="61"/>
        <v>0</v>
      </c>
      <c r="AL158" s="37">
        <f t="shared" si="62"/>
        <v>0</v>
      </c>
      <c r="AM158" s="37">
        <f t="shared" si="63"/>
        <v>0</v>
      </c>
      <c r="AN158" s="37">
        <f t="shared" si="64"/>
        <v>0</v>
      </c>
      <c r="AO158" s="37">
        <f t="shared" si="65"/>
        <v>0</v>
      </c>
      <c r="AP158" s="37"/>
      <c r="AQ158" s="37"/>
      <c r="AR158" s="37">
        <f t="shared" si="66"/>
        <v>3</v>
      </c>
      <c r="AS158" s="37">
        <f t="shared" si="67"/>
        <v>3</v>
      </c>
      <c r="AT158" s="37" t="str">
        <f t="shared" si="68"/>
        <v>Correct</v>
      </c>
      <c r="AU158" s="37"/>
      <c r="AV158" s="120" t="str">
        <f>IFERROR(VLOOKUP(Table1[RespondentID],'All Data'!$A$3:$CO$999,87,FALSE),"unknown")</f>
        <v>Woman</v>
      </c>
      <c r="AW158" s="120">
        <f>IFERROR(VLOOKUP(Table1[RespondentID],'All Data'!$A$3:$CO$999,88,FALSE),"unknown")</f>
        <v>18</v>
      </c>
      <c r="AX158" s="120" t="str">
        <f>IFERROR(VLOOKUP(Table1[RespondentID],'All Data'!$A$3:$CO$999,89,FALSE),"unknown")</f>
        <v>Suffolk</v>
      </c>
      <c r="AY158" s="120" t="str">
        <f>IFERROR(VLOOKUP(Table1[RespondentID],'All Data'!$A$3:$CO$999,90,FALSE),"unknown")</f>
        <v>Commack, 11725</v>
      </c>
      <c r="AZ158" s="120" t="str">
        <f>IFERROR(VLOOKUP(Table1[RespondentID],'All Data'!$A$3:$CO$999,91,FALSE),"unknown")</f>
        <v>American Indian and Alaska Native</v>
      </c>
      <c r="BA158" s="120" t="str">
        <f>IFERROR(VLOOKUP(Table1[RespondentID],'All Data'!$A$3:$CO$999,92,FALSE),"unknown")</f>
        <v>Hispanic or Latino</v>
      </c>
      <c r="BB158" s="120" t="str">
        <f>IFERROR(VLOOKUP(Table1[RespondentID],'All Data'!$A$3:$CO$999,93,FALSE),"unknown")</f>
        <v>English</v>
      </c>
      <c r="BC158" s="120" t="str">
        <f>IFERROR(VLOOKUP(Table1[RespondentID],'All Data'!$A$3:$CW$999,94,FALSE),"unknown")</f>
        <v>Over $125,000</v>
      </c>
      <c r="BD158" s="120" t="str">
        <f>IFERROR(VLOOKUP(Table1[RespondentID],'All Data'!$A$3:$CW$999,95,FALSE),"unknown")</f>
        <v>High school graduate</v>
      </c>
      <c r="BE158" s="120" t="str">
        <f>IFERROR(VLOOKUP(Table1[RespondentID],'All Data'!$A$3:$CW$999,96,FALSE),"unknown")</f>
        <v>Student</v>
      </c>
      <c r="BF158" s="120" t="str">
        <f>IFERROR(VLOOKUP(Table1[RespondentID],'All Data'!$A$3:$CW$999,97,FALSE),"unknown")</f>
        <v>Yes</v>
      </c>
      <c r="BG158" s="120">
        <f>IFERROR(VLOOKUP(Table1[RespondentID],'All Data'!$A$3:$CW$999,98,FALSE),"unknown")</f>
        <v>0</v>
      </c>
      <c r="BH158" s="120">
        <f>IFERROR(VLOOKUP(Table1[RespondentID],'All Data'!$A$3:$CW$999,99,FALSE),"unknown")</f>
        <v>0</v>
      </c>
    </row>
    <row r="159" spans="1:60">
      <c r="A159" s="5">
        <v>18021801172</v>
      </c>
      <c r="B159" s="5"/>
      <c r="C159" s="5"/>
      <c r="D159" s="5" t="s">
        <v>51</v>
      </c>
      <c r="E159" s="5"/>
      <c r="F159" s="5"/>
      <c r="G159" s="5"/>
      <c r="H159" s="5"/>
      <c r="I159" s="5" t="s">
        <v>55</v>
      </c>
      <c r="J159" s="5"/>
      <c r="K159" s="5" t="s">
        <v>57</v>
      </c>
      <c r="L159" s="5"/>
      <c r="M159" s="5"/>
      <c r="N159" s="5"/>
      <c r="O159" s="5"/>
      <c r="P159" s="5"/>
      <c r="Q159" s="5"/>
      <c r="R159" s="5"/>
      <c r="S159" s="5"/>
      <c r="T159" s="37"/>
      <c r="U159" s="37">
        <f t="shared" si="46"/>
        <v>3</v>
      </c>
      <c r="V159" s="37">
        <f t="shared" si="47"/>
        <v>1</v>
      </c>
      <c r="W159" s="37"/>
      <c r="X159" s="37">
        <f t="shared" si="48"/>
        <v>0</v>
      </c>
      <c r="Y159" s="37">
        <f t="shared" si="49"/>
        <v>0</v>
      </c>
      <c r="Z159" s="37">
        <f t="shared" si="50"/>
        <v>1</v>
      </c>
      <c r="AA159" s="37">
        <f t="shared" si="51"/>
        <v>0</v>
      </c>
      <c r="AB159" s="37">
        <f t="shared" si="52"/>
        <v>0</v>
      </c>
      <c r="AC159" s="37">
        <f t="shared" si="53"/>
        <v>0</v>
      </c>
      <c r="AD159" s="37">
        <f t="shared" si="54"/>
        <v>0</v>
      </c>
      <c r="AE159" s="37">
        <f t="shared" si="55"/>
        <v>1</v>
      </c>
      <c r="AF159" s="37">
        <f t="shared" si="56"/>
        <v>0</v>
      </c>
      <c r="AG159" s="37">
        <f t="shared" si="57"/>
        <v>1</v>
      </c>
      <c r="AH159" s="37">
        <f t="shared" si="58"/>
        <v>0</v>
      </c>
      <c r="AI159" s="37">
        <f t="shared" si="59"/>
        <v>0</v>
      </c>
      <c r="AJ159" s="37">
        <f t="shared" si="60"/>
        <v>0</v>
      </c>
      <c r="AK159" s="37">
        <f t="shared" si="61"/>
        <v>0</v>
      </c>
      <c r="AL159" s="37">
        <f t="shared" si="62"/>
        <v>0</v>
      </c>
      <c r="AM159" s="37">
        <f t="shared" si="63"/>
        <v>0</v>
      </c>
      <c r="AN159" s="37">
        <f t="shared" si="64"/>
        <v>0</v>
      </c>
      <c r="AO159" s="37">
        <f t="shared" si="65"/>
        <v>0</v>
      </c>
      <c r="AP159" s="37"/>
      <c r="AQ159" s="37"/>
      <c r="AR159" s="37">
        <f t="shared" si="66"/>
        <v>3</v>
      </c>
      <c r="AS159" s="37">
        <f t="shared" si="67"/>
        <v>3</v>
      </c>
      <c r="AT159" s="37" t="str">
        <f t="shared" si="68"/>
        <v>Correct</v>
      </c>
      <c r="AU159" s="37"/>
      <c r="AV159" s="120" t="str">
        <f>IFERROR(VLOOKUP(Table1[RespondentID],'All Data'!$A$3:$CO$999,87,FALSE),"unknown")</f>
        <v>Transgender</v>
      </c>
      <c r="AW159" s="120">
        <f>IFERROR(VLOOKUP(Table1[RespondentID],'All Data'!$A$3:$CO$999,88,FALSE),"unknown")</f>
        <v>27</v>
      </c>
      <c r="AX159" s="120" t="str">
        <f>IFERROR(VLOOKUP(Table1[RespondentID],'All Data'!$A$3:$CO$999,89,FALSE),"unknown")</f>
        <v>Suffolk</v>
      </c>
      <c r="AY159" s="120" t="str">
        <f>IFERROR(VLOOKUP(Table1[RespondentID],'All Data'!$A$3:$CO$999,90,FALSE),"unknown")</f>
        <v>Commack, 11725</v>
      </c>
      <c r="AZ159" s="120" t="str">
        <f>IFERROR(VLOOKUP(Table1[RespondentID],'All Data'!$A$3:$CO$999,91,FALSE),"unknown")</f>
        <v>American Indian and Alaska Native</v>
      </c>
      <c r="BA159" s="120" t="str">
        <f>IFERROR(VLOOKUP(Table1[RespondentID],'All Data'!$A$3:$CO$999,92,FALSE),"unknown")</f>
        <v>Not Hispanic or Latino</v>
      </c>
      <c r="BB159" s="120" t="str">
        <f>IFERROR(VLOOKUP(Table1[RespondentID],'All Data'!$A$3:$CO$999,93,FALSE),"unknown")</f>
        <v>English</v>
      </c>
      <c r="BC159" s="120" t="str">
        <f>IFERROR(VLOOKUP(Table1[RespondentID],'All Data'!$A$3:$CW$999,94,FALSE),"unknown")</f>
        <v>Over $125,000</v>
      </c>
      <c r="BD159" s="120" t="str">
        <f>IFERROR(VLOOKUP(Table1[RespondentID],'All Data'!$A$3:$CW$999,95,FALSE),"unknown")</f>
        <v>Some college</v>
      </c>
      <c r="BE159" s="120" t="str">
        <f>IFERROR(VLOOKUP(Table1[RespondentID],'All Data'!$A$3:$CW$999,96,FALSE),"unknown")</f>
        <v>Self-employed</v>
      </c>
      <c r="BF159" s="120" t="str">
        <f>IFERROR(VLOOKUP(Table1[RespondentID],'All Data'!$A$3:$CW$999,97,FALSE),"unknown")</f>
        <v>Yes</v>
      </c>
      <c r="BG159" s="120">
        <f>IFERROR(VLOOKUP(Table1[RespondentID],'All Data'!$A$3:$CW$999,98,FALSE),"unknown")</f>
        <v>0</v>
      </c>
      <c r="BH159" s="120">
        <f>IFERROR(VLOOKUP(Table1[RespondentID],'All Data'!$A$3:$CW$999,99,FALSE),"unknown")</f>
        <v>0</v>
      </c>
    </row>
    <row r="160" spans="1:60">
      <c r="A160" s="5">
        <v>18021800907</v>
      </c>
      <c r="B160" s="5" t="s">
        <v>49</v>
      </c>
      <c r="C160" s="5"/>
      <c r="D160" s="5"/>
      <c r="E160" s="5"/>
      <c r="F160" s="5"/>
      <c r="G160" s="5"/>
      <c r="H160" s="5" t="s">
        <v>54</v>
      </c>
      <c r="I160" s="5"/>
      <c r="J160" s="5"/>
      <c r="K160" s="5"/>
      <c r="L160" s="5"/>
      <c r="M160" s="5" t="s">
        <v>59</v>
      </c>
      <c r="N160" s="5"/>
      <c r="O160" s="5"/>
      <c r="P160" s="5"/>
      <c r="Q160" s="5"/>
      <c r="R160" s="5"/>
      <c r="S160" s="5"/>
      <c r="T160" s="37"/>
      <c r="U160" s="37">
        <f t="shared" si="46"/>
        <v>3</v>
      </c>
      <c r="V160" s="37">
        <f t="shared" si="47"/>
        <v>1</v>
      </c>
      <c r="W160" s="37"/>
      <c r="X160" s="37">
        <f t="shared" si="48"/>
        <v>1</v>
      </c>
      <c r="Y160" s="37">
        <f t="shared" si="49"/>
        <v>0</v>
      </c>
      <c r="Z160" s="37">
        <f t="shared" si="50"/>
        <v>0</v>
      </c>
      <c r="AA160" s="37">
        <f t="shared" si="51"/>
        <v>0</v>
      </c>
      <c r="AB160" s="37">
        <f t="shared" si="52"/>
        <v>0</v>
      </c>
      <c r="AC160" s="37">
        <f t="shared" si="53"/>
        <v>0</v>
      </c>
      <c r="AD160" s="37">
        <f t="shared" si="54"/>
        <v>1</v>
      </c>
      <c r="AE160" s="37">
        <f t="shared" si="55"/>
        <v>0</v>
      </c>
      <c r="AF160" s="37">
        <f t="shared" si="56"/>
        <v>0</v>
      </c>
      <c r="AG160" s="37">
        <f t="shared" si="57"/>
        <v>0</v>
      </c>
      <c r="AH160" s="37">
        <f t="shared" si="58"/>
        <v>0</v>
      </c>
      <c r="AI160" s="37">
        <f t="shared" si="59"/>
        <v>1</v>
      </c>
      <c r="AJ160" s="37">
        <f t="shared" si="60"/>
        <v>0</v>
      </c>
      <c r="AK160" s="37">
        <f t="shared" si="61"/>
        <v>0</v>
      </c>
      <c r="AL160" s="37">
        <f t="shared" si="62"/>
        <v>0</v>
      </c>
      <c r="AM160" s="37">
        <f t="shared" si="63"/>
        <v>0</v>
      </c>
      <c r="AN160" s="37">
        <f t="shared" si="64"/>
        <v>0</v>
      </c>
      <c r="AO160" s="37">
        <f t="shared" si="65"/>
        <v>0</v>
      </c>
      <c r="AP160" s="37"/>
      <c r="AQ160" s="37"/>
      <c r="AR160" s="37">
        <f t="shared" si="66"/>
        <v>3</v>
      </c>
      <c r="AS160" s="37">
        <f t="shared" si="67"/>
        <v>3</v>
      </c>
      <c r="AT160" s="37" t="str">
        <f t="shared" si="68"/>
        <v>Correct</v>
      </c>
      <c r="AU160" s="37"/>
      <c r="AV160" s="120" t="str">
        <f>IFERROR(VLOOKUP(Table1[RespondentID],'All Data'!$A$3:$CO$999,87,FALSE),"unknown")</f>
        <v>Man</v>
      </c>
      <c r="AW160" s="120">
        <f>IFERROR(VLOOKUP(Table1[RespondentID],'All Data'!$A$3:$CO$999,88,FALSE),"unknown")</f>
        <v>43</v>
      </c>
      <c r="AX160" s="120" t="str">
        <f>IFERROR(VLOOKUP(Table1[RespondentID],'All Data'!$A$3:$CO$999,89,FALSE),"unknown")</f>
        <v>Suffolk</v>
      </c>
      <c r="AY160" s="120" t="str">
        <f>IFERROR(VLOOKUP(Table1[RespondentID],'All Data'!$A$3:$CO$999,90,FALSE),"unknown")</f>
        <v>Commack, 11725</v>
      </c>
      <c r="AZ160" s="120" t="str">
        <f>IFERROR(VLOOKUP(Table1[RespondentID],'All Data'!$A$3:$CO$999,91,FALSE),"unknown")</f>
        <v>American Indian and Alaska Native</v>
      </c>
      <c r="BA160" s="120" t="str">
        <f>IFERROR(VLOOKUP(Table1[RespondentID],'All Data'!$A$3:$CO$999,92,FALSE),"unknown")</f>
        <v>Hispanic or Latino</v>
      </c>
      <c r="BB160" s="120" t="str">
        <f>IFERROR(VLOOKUP(Table1[RespondentID],'All Data'!$A$3:$CO$999,93,FALSE),"unknown")</f>
        <v>English, Hindi</v>
      </c>
      <c r="BC160" s="120" t="str">
        <f>IFERROR(VLOOKUP(Table1[RespondentID],'All Data'!$A$3:$CW$999,94,FALSE),"unknown")</f>
        <v>$50,000 to $74,999</v>
      </c>
      <c r="BD160" s="120" t="str">
        <f>IFERROR(VLOOKUP(Table1[RespondentID],'All Data'!$A$3:$CW$999,95,FALSE),"unknown")</f>
        <v>Some high school</v>
      </c>
      <c r="BE160" s="120" t="str">
        <f>IFERROR(VLOOKUP(Table1[RespondentID],'All Data'!$A$3:$CW$999,96,FALSE),"unknown")</f>
        <v>Employed for wages</v>
      </c>
      <c r="BF160" s="120" t="str">
        <f>IFERROR(VLOOKUP(Table1[RespondentID],'All Data'!$A$3:$CW$999,97,FALSE),"unknown")</f>
        <v>Yes</v>
      </c>
      <c r="BG160" s="120">
        <f>IFERROR(VLOOKUP(Table1[RespondentID],'All Data'!$A$3:$CW$999,98,FALSE),"unknown")</f>
        <v>0</v>
      </c>
      <c r="BH160" s="120">
        <f>IFERROR(VLOOKUP(Table1[RespondentID],'All Data'!$A$3:$CW$999,99,FALSE),"unknown")</f>
        <v>0</v>
      </c>
    </row>
    <row r="161" spans="1:60">
      <c r="A161" s="5">
        <v>18021800772</v>
      </c>
      <c r="B161" s="5"/>
      <c r="C161" s="5"/>
      <c r="D161" s="5"/>
      <c r="E161" s="5" t="s">
        <v>17</v>
      </c>
      <c r="F161" s="5"/>
      <c r="G161" s="5"/>
      <c r="H161" s="5"/>
      <c r="I161" s="5"/>
      <c r="J161" s="5"/>
      <c r="K161" s="5"/>
      <c r="L161" s="5" t="s">
        <v>58</v>
      </c>
      <c r="M161" s="5"/>
      <c r="N161" s="5" t="s">
        <v>24</v>
      </c>
      <c r="O161" s="5"/>
      <c r="P161" s="5" t="s">
        <v>60</v>
      </c>
      <c r="Q161" s="5"/>
      <c r="R161" s="5"/>
      <c r="S161" s="5"/>
      <c r="T161" s="37"/>
      <c r="U161" s="37">
        <f t="shared" si="46"/>
        <v>4</v>
      </c>
      <c r="V161" s="37">
        <f t="shared" si="47"/>
        <v>0.75</v>
      </c>
      <c r="W161" s="37"/>
      <c r="X161" s="37">
        <f t="shared" si="48"/>
        <v>0</v>
      </c>
      <c r="Y161" s="37">
        <f t="shared" si="49"/>
        <v>0</v>
      </c>
      <c r="Z161" s="37">
        <f t="shared" si="50"/>
        <v>0</v>
      </c>
      <c r="AA161" s="37">
        <f t="shared" si="51"/>
        <v>0.75</v>
      </c>
      <c r="AB161" s="37">
        <f t="shared" si="52"/>
        <v>0</v>
      </c>
      <c r="AC161" s="37">
        <f t="shared" si="53"/>
        <v>0</v>
      </c>
      <c r="AD161" s="37">
        <f t="shared" si="54"/>
        <v>0</v>
      </c>
      <c r="AE161" s="37">
        <f t="shared" si="55"/>
        <v>0</v>
      </c>
      <c r="AF161" s="37">
        <f t="shared" si="56"/>
        <v>0</v>
      </c>
      <c r="AG161" s="37">
        <f t="shared" si="57"/>
        <v>0</v>
      </c>
      <c r="AH161" s="37">
        <f t="shared" si="58"/>
        <v>0.75</v>
      </c>
      <c r="AI161" s="37">
        <f t="shared" si="59"/>
        <v>0</v>
      </c>
      <c r="AJ161" s="37">
        <f t="shared" si="60"/>
        <v>0.75</v>
      </c>
      <c r="AK161" s="37">
        <f t="shared" si="61"/>
        <v>0</v>
      </c>
      <c r="AL161" s="37">
        <f t="shared" si="62"/>
        <v>0.75</v>
      </c>
      <c r="AM161" s="37">
        <f t="shared" si="63"/>
        <v>0</v>
      </c>
      <c r="AN161" s="37">
        <f t="shared" si="64"/>
        <v>0</v>
      </c>
      <c r="AO161" s="37">
        <f t="shared" si="65"/>
        <v>0</v>
      </c>
      <c r="AP161" s="37"/>
      <c r="AQ161" s="37"/>
      <c r="AR161" s="37">
        <f t="shared" si="66"/>
        <v>3</v>
      </c>
      <c r="AS161" s="37">
        <f t="shared" si="67"/>
        <v>4</v>
      </c>
      <c r="AT161" s="37" t="str">
        <f t="shared" si="68"/>
        <v>Correct</v>
      </c>
      <c r="AU161" s="37"/>
      <c r="AV161" s="120" t="str">
        <f>IFERROR(VLOOKUP(Table1[RespondentID],'All Data'!$A$3:$CO$999,87,FALSE),"unknown")</f>
        <v>Woman</v>
      </c>
      <c r="AW161" s="120">
        <f>IFERROR(VLOOKUP(Table1[RespondentID],'All Data'!$A$3:$CO$999,88,FALSE),"unknown")</f>
        <v>42</v>
      </c>
      <c r="AX161" s="120" t="str">
        <f>IFERROR(VLOOKUP(Table1[RespondentID],'All Data'!$A$3:$CO$999,89,FALSE),"unknown")</f>
        <v>Nassau</v>
      </c>
      <c r="AY161" s="120" t="str">
        <f>IFERROR(VLOOKUP(Table1[RespondentID],'All Data'!$A$3:$CO$999,90,FALSE),"unknown")</f>
        <v>Westbury, 11590</v>
      </c>
      <c r="AZ161" s="120" t="str">
        <f>IFERROR(VLOOKUP(Table1[RespondentID],'All Data'!$A$3:$CO$999,91,FALSE),"unknown")</f>
        <v>White</v>
      </c>
      <c r="BA161" s="120" t="str">
        <f>IFERROR(VLOOKUP(Table1[RespondentID],'All Data'!$A$3:$CO$999,92,FALSE),"unknown")</f>
        <v>Hispanic or Latino</v>
      </c>
      <c r="BB161" s="120" t="str">
        <f>IFERROR(VLOOKUP(Table1[RespondentID],'All Data'!$A$3:$CO$999,93,FALSE),"unknown")</f>
        <v>English</v>
      </c>
      <c r="BC161" s="120" t="str">
        <f>IFERROR(VLOOKUP(Table1[RespondentID],'All Data'!$A$3:$CW$999,94,FALSE),"unknown")</f>
        <v>Over $125,000</v>
      </c>
      <c r="BD161" s="120" t="str">
        <f>IFERROR(VLOOKUP(Table1[RespondentID],'All Data'!$A$3:$CW$999,95,FALSE),"unknown")</f>
        <v>Doctorate</v>
      </c>
      <c r="BE161" s="120" t="str">
        <f>IFERROR(VLOOKUP(Table1[RespondentID],'All Data'!$A$3:$CW$999,96,FALSE),"unknown")</f>
        <v>Employed for wages</v>
      </c>
      <c r="BF161" s="120" t="str">
        <f>IFERROR(VLOOKUP(Table1[RespondentID],'All Data'!$A$3:$CW$999,97,FALSE),"unknown")</f>
        <v>Yes</v>
      </c>
      <c r="BG161" s="120">
        <f>IFERROR(VLOOKUP(Table1[RespondentID],'All Data'!$A$3:$CW$999,98,FALSE),"unknown")</f>
        <v>0</v>
      </c>
      <c r="BH161" s="120">
        <f>IFERROR(VLOOKUP(Table1[RespondentID],'All Data'!$A$3:$CW$999,99,FALSE),"unknown")</f>
        <v>0</v>
      </c>
    </row>
    <row r="162" spans="1:60">
      <c r="A162" s="5">
        <v>18021800631</v>
      </c>
      <c r="B162" s="5"/>
      <c r="C162" s="5"/>
      <c r="D162" s="5"/>
      <c r="E162" s="5" t="s">
        <v>17</v>
      </c>
      <c r="F162" s="5"/>
      <c r="G162" s="5"/>
      <c r="H162" s="5"/>
      <c r="I162" s="5" t="s">
        <v>55</v>
      </c>
      <c r="J162" s="5"/>
      <c r="K162" s="5"/>
      <c r="L162" s="5"/>
      <c r="M162" s="5"/>
      <c r="N162" s="5"/>
      <c r="O162" s="5"/>
      <c r="P162" s="5"/>
      <c r="Q162" s="5"/>
      <c r="R162" s="5" t="s">
        <v>62</v>
      </c>
      <c r="S162" s="5"/>
      <c r="T162" s="37"/>
      <c r="U162" s="37">
        <f t="shared" si="46"/>
        <v>3</v>
      </c>
      <c r="V162" s="37">
        <f t="shared" si="47"/>
        <v>1</v>
      </c>
      <c r="W162" s="37"/>
      <c r="X162" s="37">
        <f t="shared" si="48"/>
        <v>0</v>
      </c>
      <c r="Y162" s="37">
        <f t="shared" si="49"/>
        <v>0</v>
      </c>
      <c r="Z162" s="37">
        <f t="shared" si="50"/>
        <v>0</v>
      </c>
      <c r="AA162" s="37">
        <f t="shared" si="51"/>
        <v>1</v>
      </c>
      <c r="AB162" s="37">
        <f t="shared" si="52"/>
        <v>0</v>
      </c>
      <c r="AC162" s="37">
        <f t="shared" si="53"/>
        <v>0</v>
      </c>
      <c r="AD162" s="37">
        <f t="shared" si="54"/>
        <v>0</v>
      </c>
      <c r="AE162" s="37">
        <f t="shared" si="55"/>
        <v>1</v>
      </c>
      <c r="AF162" s="37">
        <f t="shared" si="56"/>
        <v>0</v>
      </c>
      <c r="AG162" s="37">
        <f t="shared" si="57"/>
        <v>0</v>
      </c>
      <c r="AH162" s="37">
        <f t="shared" si="58"/>
        <v>0</v>
      </c>
      <c r="AI162" s="37">
        <f t="shared" si="59"/>
        <v>0</v>
      </c>
      <c r="AJ162" s="37">
        <f t="shared" si="60"/>
        <v>0</v>
      </c>
      <c r="AK162" s="37">
        <f t="shared" si="61"/>
        <v>0</v>
      </c>
      <c r="AL162" s="37">
        <f t="shared" si="62"/>
        <v>0</v>
      </c>
      <c r="AM162" s="37">
        <f t="shared" si="63"/>
        <v>0</v>
      </c>
      <c r="AN162" s="37">
        <f t="shared" si="64"/>
        <v>1</v>
      </c>
      <c r="AO162" s="37">
        <f t="shared" si="65"/>
        <v>0</v>
      </c>
      <c r="AP162" s="37"/>
      <c r="AQ162" s="37"/>
      <c r="AR162" s="37">
        <f t="shared" si="66"/>
        <v>3</v>
      </c>
      <c r="AS162" s="37">
        <f t="shared" si="67"/>
        <v>3</v>
      </c>
      <c r="AT162" s="37" t="str">
        <f t="shared" si="68"/>
        <v>Correct</v>
      </c>
      <c r="AU162" s="37"/>
      <c r="AV162" s="120" t="str">
        <f>IFERROR(VLOOKUP(Table1[RespondentID],'All Data'!$A$3:$CO$999,87,FALSE),"unknown")</f>
        <v>Man</v>
      </c>
      <c r="AW162" s="120">
        <f>IFERROR(VLOOKUP(Table1[RespondentID],'All Data'!$A$3:$CO$999,88,FALSE),"unknown")</f>
        <v>54</v>
      </c>
      <c r="AX162" s="120" t="str">
        <f>IFERROR(VLOOKUP(Table1[RespondentID],'All Data'!$A$3:$CO$999,89,FALSE),"unknown")</f>
        <v>Nassau</v>
      </c>
      <c r="AY162" s="120" t="str">
        <f>IFERROR(VLOOKUP(Table1[RespondentID],'All Data'!$A$3:$CO$999,90,FALSE),"unknown")</f>
        <v>Bethpage, 11714</v>
      </c>
      <c r="AZ162" s="120" t="str">
        <f>IFERROR(VLOOKUP(Table1[RespondentID],'All Data'!$A$3:$CO$999,91,FALSE),"unknown")</f>
        <v>White</v>
      </c>
      <c r="BA162" s="120" t="str">
        <f>IFERROR(VLOOKUP(Table1[RespondentID],'All Data'!$A$3:$CO$999,92,FALSE),"unknown")</f>
        <v>Hispanic or Latino</v>
      </c>
      <c r="BB162" s="120" t="str">
        <f>IFERROR(VLOOKUP(Table1[RespondentID],'All Data'!$A$3:$CO$999,93,FALSE),"unknown")</f>
        <v>English</v>
      </c>
      <c r="BC162" s="120" t="str">
        <f>IFERROR(VLOOKUP(Table1[RespondentID],'All Data'!$A$3:$CW$999,94,FALSE),"unknown")</f>
        <v>Over $125,000</v>
      </c>
      <c r="BD162" s="120" t="str">
        <f>IFERROR(VLOOKUP(Table1[RespondentID],'All Data'!$A$3:$CW$999,95,FALSE),"unknown")</f>
        <v>Graduate school</v>
      </c>
      <c r="BE162" s="120" t="str">
        <f>IFERROR(VLOOKUP(Table1[RespondentID],'All Data'!$A$3:$CW$999,96,FALSE),"unknown")</f>
        <v>Employed for wages</v>
      </c>
      <c r="BF162" s="120" t="str">
        <f>IFERROR(VLOOKUP(Table1[RespondentID],'All Data'!$A$3:$CW$999,97,FALSE),"unknown")</f>
        <v>Yes</v>
      </c>
      <c r="BG162" s="120">
        <f>IFERROR(VLOOKUP(Table1[RespondentID],'All Data'!$A$3:$CW$999,98,FALSE),"unknown")</f>
        <v>0</v>
      </c>
      <c r="BH162" s="120">
        <f>IFERROR(VLOOKUP(Table1[RespondentID],'All Data'!$A$3:$CW$999,99,FALSE),"unknown")</f>
        <v>0</v>
      </c>
    </row>
    <row r="163" spans="1:60">
      <c r="A163" s="5">
        <v>18021800480</v>
      </c>
      <c r="B163" s="5"/>
      <c r="C163" s="5"/>
      <c r="D163" s="5" t="s">
        <v>51</v>
      </c>
      <c r="E163" s="5"/>
      <c r="F163" s="5"/>
      <c r="G163" s="5"/>
      <c r="H163" s="5"/>
      <c r="I163" s="5"/>
      <c r="J163" s="5"/>
      <c r="K163" s="5"/>
      <c r="L163" s="5"/>
      <c r="M163" s="5" t="s">
        <v>59</v>
      </c>
      <c r="N163" s="5"/>
      <c r="O163" s="5"/>
      <c r="P163" s="5"/>
      <c r="Q163" s="5"/>
      <c r="R163" s="5"/>
      <c r="S163" s="5"/>
      <c r="T163" s="37"/>
      <c r="U163" s="37">
        <f t="shared" si="46"/>
        <v>2</v>
      </c>
      <c r="V163" s="37">
        <f t="shared" si="47"/>
        <v>1.5</v>
      </c>
      <c r="W163" s="37"/>
      <c r="X163" s="37">
        <f t="shared" si="48"/>
        <v>0</v>
      </c>
      <c r="Y163" s="37">
        <f t="shared" si="49"/>
        <v>0</v>
      </c>
      <c r="Z163" s="37">
        <f t="shared" si="50"/>
        <v>1</v>
      </c>
      <c r="AA163" s="37">
        <f t="shared" si="51"/>
        <v>0</v>
      </c>
      <c r="AB163" s="37">
        <f t="shared" si="52"/>
        <v>0</v>
      </c>
      <c r="AC163" s="37">
        <f t="shared" si="53"/>
        <v>0</v>
      </c>
      <c r="AD163" s="37">
        <f t="shared" si="54"/>
        <v>0</v>
      </c>
      <c r="AE163" s="37">
        <f t="shared" si="55"/>
        <v>0</v>
      </c>
      <c r="AF163" s="37">
        <f t="shared" si="56"/>
        <v>0</v>
      </c>
      <c r="AG163" s="37">
        <f t="shared" si="57"/>
        <v>0</v>
      </c>
      <c r="AH163" s="37">
        <f t="shared" si="58"/>
        <v>0</v>
      </c>
      <c r="AI163" s="37">
        <f t="shared" si="59"/>
        <v>1</v>
      </c>
      <c r="AJ163" s="37">
        <f t="shared" si="60"/>
        <v>0</v>
      </c>
      <c r="AK163" s="37">
        <f t="shared" si="61"/>
        <v>0</v>
      </c>
      <c r="AL163" s="37">
        <f t="shared" si="62"/>
        <v>0</v>
      </c>
      <c r="AM163" s="37">
        <f t="shared" si="63"/>
        <v>0</v>
      </c>
      <c r="AN163" s="37">
        <f t="shared" si="64"/>
        <v>0</v>
      </c>
      <c r="AO163" s="37">
        <f t="shared" si="65"/>
        <v>0</v>
      </c>
      <c r="AP163" s="37"/>
      <c r="AQ163" s="37"/>
      <c r="AR163" s="37">
        <f t="shared" si="66"/>
        <v>2</v>
      </c>
      <c r="AS163" s="37">
        <f t="shared" si="67"/>
        <v>2</v>
      </c>
      <c r="AT163" s="37" t="str">
        <f t="shared" si="68"/>
        <v>Correct</v>
      </c>
      <c r="AU163" s="37"/>
      <c r="AV163" s="120" t="str">
        <f>IFERROR(VLOOKUP(Table1[RespondentID],'All Data'!$A$3:$CO$999,87,FALSE),"unknown")</f>
        <v>Woman</v>
      </c>
      <c r="AW163" s="120">
        <f>IFERROR(VLOOKUP(Table1[RespondentID],'All Data'!$A$3:$CO$999,88,FALSE),"unknown")</f>
        <v>18</v>
      </c>
      <c r="AX163" s="120" t="str">
        <f>IFERROR(VLOOKUP(Table1[RespondentID],'All Data'!$A$3:$CO$999,89,FALSE),"unknown")</f>
        <v>Suffolk</v>
      </c>
      <c r="AY163" s="120" t="str">
        <f>IFERROR(VLOOKUP(Table1[RespondentID],'All Data'!$A$3:$CO$999,90,FALSE),"unknown")</f>
        <v>Commack, 11725</v>
      </c>
      <c r="AZ163" s="120" t="str">
        <f>IFERROR(VLOOKUP(Table1[RespondentID],'All Data'!$A$3:$CO$999,91,FALSE),"unknown")</f>
        <v>White</v>
      </c>
      <c r="BA163" s="120" t="str">
        <f>IFERROR(VLOOKUP(Table1[RespondentID],'All Data'!$A$3:$CO$999,92,FALSE),"unknown")</f>
        <v>Hispanic or Latino</v>
      </c>
      <c r="BB163" s="120" t="str">
        <f>IFERROR(VLOOKUP(Table1[RespondentID],'All Data'!$A$3:$CO$999,93,FALSE),"unknown")</f>
        <v>English</v>
      </c>
      <c r="BC163" s="120" t="str">
        <f>IFERROR(VLOOKUP(Table1[RespondentID],'All Data'!$A$3:$CW$999,94,FALSE),"unknown")</f>
        <v>Over $125,000</v>
      </c>
      <c r="BD163" s="120" t="str">
        <f>IFERROR(VLOOKUP(Table1[RespondentID],'All Data'!$A$3:$CW$999,95,FALSE),"unknown")</f>
        <v>High school graduate</v>
      </c>
      <c r="BE163" s="120" t="str">
        <f>IFERROR(VLOOKUP(Table1[RespondentID],'All Data'!$A$3:$CW$999,96,FALSE),"unknown")</f>
        <v>Employed for wages</v>
      </c>
      <c r="BF163" s="120" t="str">
        <f>IFERROR(VLOOKUP(Table1[RespondentID],'All Data'!$A$3:$CW$999,97,FALSE),"unknown")</f>
        <v>Yes</v>
      </c>
      <c r="BG163" s="120">
        <f>IFERROR(VLOOKUP(Table1[RespondentID],'All Data'!$A$3:$CW$999,98,FALSE),"unknown")</f>
        <v>0</v>
      </c>
      <c r="BH163" s="120">
        <f>IFERROR(VLOOKUP(Table1[RespondentID],'All Data'!$A$3:$CW$999,99,FALSE),"unknown")</f>
        <v>0</v>
      </c>
    </row>
    <row r="164" spans="1:60">
      <c r="A164" s="5">
        <v>18021800333</v>
      </c>
      <c r="B164" s="5"/>
      <c r="C164" s="5"/>
      <c r="D164" s="5" t="s">
        <v>51</v>
      </c>
      <c r="E164" s="5" t="s">
        <v>17</v>
      </c>
      <c r="F164" s="5"/>
      <c r="G164" s="5"/>
      <c r="H164" s="5"/>
      <c r="I164" s="5" t="s">
        <v>55</v>
      </c>
      <c r="J164" s="5"/>
      <c r="K164" s="5"/>
      <c r="L164" s="5"/>
      <c r="M164" s="5"/>
      <c r="N164" s="5"/>
      <c r="O164" s="5"/>
      <c r="P164" s="5"/>
      <c r="Q164" s="5"/>
      <c r="R164" s="5"/>
      <c r="S164" s="5"/>
      <c r="T164" s="37"/>
      <c r="U164" s="37">
        <f t="shared" si="46"/>
        <v>3</v>
      </c>
      <c r="V164" s="37">
        <f t="shared" si="47"/>
        <v>1</v>
      </c>
      <c r="W164" s="37"/>
      <c r="X164" s="37">
        <f t="shared" si="48"/>
        <v>0</v>
      </c>
      <c r="Y164" s="37">
        <f t="shared" si="49"/>
        <v>0</v>
      </c>
      <c r="Z164" s="37">
        <f t="shared" si="50"/>
        <v>1</v>
      </c>
      <c r="AA164" s="37">
        <f t="shared" si="51"/>
        <v>1</v>
      </c>
      <c r="AB164" s="37">
        <f t="shared" si="52"/>
        <v>0</v>
      </c>
      <c r="AC164" s="37">
        <f t="shared" si="53"/>
        <v>0</v>
      </c>
      <c r="AD164" s="37">
        <f t="shared" si="54"/>
        <v>0</v>
      </c>
      <c r="AE164" s="37">
        <f t="shared" si="55"/>
        <v>1</v>
      </c>
      <c r="AF164" s="37">
        <f t="shared" si="56"/>
        <v>0</v>
      </c>
      <c r="AG164" s="37">
        <f t="shared" si="57"/>
        <v>0</v>
      </c>
      <c r="AH164" s="37">
        <f t="shared" si="58"/>
        <v>0</v>
      </c>
      <c r="AI164" s="37">
        <f t="shared" si="59"/>
        <v>0</v>
      </c>
      <c r="AJ164" s="37">
        <f t="shared" si="60"/>
        <v>0</v>
      </c>
      <c r="AK164" s="37">
        <f t="shared" si="61"/>
        <v>0</v>
      </c>
      <c r="AL164" s="37">
        <f t="shared" si="62"/>
        <v>0</v>
      </c>
      <c r="AM164" s="37">
        <f t="shared" si="63"/>
        <v>0</v>
      </c>
      <c r="AN164" s="37">
        <f t="shared" si="64"/>
        <v>0</v>
      </c>
      <c r="AO164" s="37">
        <f t="shared" si="65"/>
        <v>0</v>
      </c>
      <c r="AP164" s="37"/>
      <c r="AQ164" s="37"/>
      <c r="AR164" s="37">
        <f t="shared" si="66"/>
        <v>3</v>
      </c>
      <c r="AS164" s="37">
        <f t="shared" si="67"/>
        <v>3</v>
      </c>
      <c r="AT164" s="37" t="str">
        <f t="shared" si="68"/>
        <v>Correct</v>
      </c>
      <c r="AU164" s="37"/>
      <c r="AV164" s="120" t="str">
        <f>IFERROR(VLOOKUP(Table1[RespondentID],'All Data'!$A$3:$CO$999,87,FALSE),"unknown")</f>
        <v>Woman</v>
      </c>
      <c r="AW164" s="120">
        <f>IFERROR(VLOOKUP(Table1[RespondentID],'All Data'!$A$3:$CO$999,88,FALSE),"unknown")</f>
        <v>18</v>
      </c>
      <c r="AX164" s="120" t="str">
        <f>IFERROR(VLOOKUP(Table1[RespondentID],'All Data'!$A$3:$CO$999,89,FALSE),"unknown")</f>
        <v>Suffolk</v>
      </c>
      <c r="AY164" s="120" t="str">
        <f>IFERROR(VLOOKUP(Table1[RespondentID],'All Data'!$A$3:$CO$999,90,FALSE),"unknown")</f>
        <v>Dix Hills, 11746</v>
      </c>
      <c r="AZ164" s="120" t="str">
        <f>IFERROR(VLOOKUP(Table1[RespondentID],'All Data'!$A$3:$CO$999,91,FALSE),"unknown")</f>
        <v>American Indian and Alaska Native</v>
      </c>
      <c r="BA164" s="120" t="str">
        <f>IFERROR(VLOOKUP(Table1[RespondentID],'All Data'!$A$3:$CO$999,92,FALSE),"unknown")</f>
        <v>Hispanic or Latino</v>
      </c>
      <c r="BB164" s="120" t="str">
        <f>IFERROR(VLOOKUP(Table1[RespondentID],'All Data'!$A$3:$CO$999,93,FALSE),"unknown")</f>
        <v>English, Korean</v>
      </c>
      <c r="BC164" s="120" t="str">
        <f>IFERROR(VLOOKUP(Table1[RespondentID],'All Data'!$A$3:$CW$999,94,FALSE),"unknown")</f>
        <v>Over $125,000</v>
      </c>
      <c r="BD164" s="120" t="str">
        <f>IFERROR(VLOOKUP(Table1[RespondentID],'All Data'!$A$3:$CW$999,95,FALSE),"unknown")</f>
        <v>Some high school</v>
      </c>
      <c r="BE164" s="120" t="str">
        <f>IFERROR(VLOOKUP(Table1[RespondentID],'All Data'!$A$3:$CW$999,96,FALSE),"unknown")</f>
        <v>Self-employed</v>
      </c>
      <c r="BF164" s="120" t="str">
        <f>IFERROR(VLOOKUP(Table1[RespondentID],'All Data'!$A$3:$CW$999,97,FALSE),"unknown")</f>
        <v>Yes</v>
      </c>
      <c r="BG164" s="120">
        <f>IFERROR(VLOOKUP(Table1[RespondentID],'All Data'!$A$3:$CW$999,98,FALSE),"unknown")</f>
        <v>0</v>
      </c>
      <c r="BH164" s="120">
        <f>IFERROR(VLOOKUP(Table1[RespondentID],'All Data'!$A$3:$CW$999,99,FALSE),"unknown")</f>
        <v>0</v>
      </c>
    </row>
    <row r="165" spans="1:60">
      <c r="A165" s="5">
        <v>18021800200</v>
      </c>
      <c r="B165" s="5"/>
      <c r="C165" s="5"/>
      <c r="D165" s="5" t="s">
        <v>51</v>
      </c>
      <c r="E165" s="5"/>
      <c r="F165" s="5"/>
      <c r="G165" s="5"/>
      <c r="H165" s="5"/>
      <c r="I165" s="5"/>
      <c r="J165" s="5"/>
      <c r="K165" s="5"/>
      <c r="L165" s="5"/>
      <c r="M165" s="5"/>
      <c r="N165" s="5"/>
      <c r="O165" s="5"/>
      <c r="P165" s="5" t="s">
        <v>60</v>
      </c>
      <c r="Q165" s="5"/>
      <c r="R165" s="5"/>
      <c r="S165" s="5"/>
      <c r="T165" s="37"/>
      <c r="U165" s="37">
        <f t="shared" si="46"/>
        <v>2</v>
      </c>
      <c r="V165" s="37">
        <f t="shared" si="47"/>
        <v>1.5</v>
      </c>
      <c r="W165" s="37"/>
      <c r="X165" s="37">
        <f t="shared" si="48"/>
        <v>0</v>
      </c>
      <c r="Y165" s="37">
        <f t="shared" si="49"/>
        <v>0</v>
      </c>
      <c r="Z165" s="37">
        <f t="shared" si="50"/>
        <v>1</v>
      </c>
      <c r="AA165" s="37">
        <f t="shared" si="51"/>
        <v>0</v>
      </c>
      <c r="AB165" s="37">
        <f t="shared" si="52"/>
        <v>0</v>
      </c>
      <c r="AC165" s="37">
        <f t="shared" si="53"/>
        <v>0</v>
      </c>
      <c r="AD165" s="37">
        <f t="shared" si="54"/>
        <v>0</v>
      </c>
      <c r="AE165" s="37">
        <f t="shared" si="55"/>
        <v>0</v>
      </c>
      <c r="AF165" s="37">
        <f t="shared" si="56"/>
        <v>0</v>
      </c>
      <c r="AG165" s="37">
        <f t="shared" si="57"/>
        <v>0</v>
      </c>
      <c r="AH165" s="37">
        <f t="shared" si="58"/>
        <v>0</v>
      </c>
      <c r="AI165" s="37">
        <f t="shared" si="59"/>
        <v>0</v>
      </c>
      <c r="AJ165" s="37">
        <f t="shared" si="60"/>
        <v>0</v>
      </c>
      <c r="AK165" s="37">
        <f t="shared" si="61"/>
        <v>0</v>
      </c>
      <c r="AL165" s="37">
        <f t="shared" si="62"/>
        <v>1</v>
      </c>
      <c r="AM165" s="37">
        <f t="shared" si="63"/>
        <v>0</v>
      </c>
      <c r="AN165" s="37">
        <f t="shared" si="64"/>
        <v>0</v>
      </c>
      <c r="AO165" s="37">
        <f t="shared" si="65"/>
        <v>0</v>
      </c>
      <c r="AP165" s="37"/>
      <c r="AQ165" s="37"/>
      <c r="AR165" s="37">
        <f t="shared" si="66"/>
        <v>2</v>
      </c>
      <c r="AS165" s="37">
        <f t="shared" si="67"/>
        <v>2</v>
      </c>
      <c r="AT165" s="37" t="str">
        <f t="shared" si="68"/>
        <v>Correct</v>
      </c>
      <c r="AU165" s="37"/>
      <c r="AV165" s="120" t="str">
        <f>IFERROR(VLOOKUP(Table1[RespondentID],'All Data'!$A$3:$CO$999,87,FALSE),"unknown")</f>
        <v>Woman</v>
      </c>
      <c r="AW165" s="120">
        <f>IFERROR(VLOOKUP(Table1[RespondentID],'All Data'!$A$3:$CO$999,88,FALSE),"unknown")</f>
        <v>18</v>
      </c>
      <c r="AX165" s="120" t="str">
        <f>IFERROR(VLOOKUP(Table1[RespondentID],'All Data'!$A$3:$CO$999,89,FALSE),"unknown")</f>
        <v>Suffolk</v>
      </c>
      <c r="AY165" s="120" t="str">
        <f>IFERROR(VLOOKUP(Table1[RespondentID],'All Data'!$A$3:$CO$999,90,FALSE),"unknown")</f>
        <v>Commack, 11725</v>
      </c>
      <c r="AZ165" s="120" t="str">
        <f>IFERROR(VLOOKUP(Table1[RespondentID],'All Data'!$A$3:$CO$999,91,FALSE),"unknown")</f>
        <v>American Indian and Alaska Native</v>
      </c>
      <c r="BA165" s="120" t="str">
        <f>IFERROR(VLOOKUP(Table1[RespondentID],'All Data'!$A$3:$CO$999,92,FALSE),"unknown")</f>
        <v>Hispanic or Latino</v>
      </c>
      <c r="BB165" s="120" t="str">
        <f>IFERROR(VLOOKUP(Table1[RespondentID],'All Data'!$A$3:$CO$999,93,FALSE),"unknown")</f>
        <v>English, Korean</v>
      </c>
      <c r="BC165" s="120" t="str">
        <f>IFERROR(VLOOKUP(Table1[RespondentID],'All Data'!$A$3:$CW$999,94,FALSE),"unknown")</f>
        <v>$75,000 to $125,000</v>
      </c>
      <c r="BD165" s="120" t="str">
        <f>IFERROR(VLOOKUP(Table1[RespondentID],'All Data'!$A$3:$CW$999,95,FALSE),"unknown")</f>
        <v>Some high school</v>
      </c>
      <c r="BE165" s="120" t="str">
        <f>IFERROR(VLOOKUP(Table1[RespondentID],'All Data'!$A$3:$CW$999,96,FALSE),"unknown")</f>
        <v>Student</v>
      </c>
      <c r="BF165" s="120" t="str">
        <f>IFERROR(VLOOKUP(Table1[RespondentID],'All Data'!$A$3:$CW$999,97,FALSE),"unknown")</f>
        <v>Yes</v>
      </c>
      <c r="BG165" s="120">
        <f>IFERROR(VLOOKUP(Table1[RespondentID],'All Data'!$A$3:$CW$999,98,FALSE),"unknown")</f>
        <v>0</v>
      </c>
      <c r="BH165" s="120">
        <f>IFERROR(VLOOKUP(Table1[RespondentID],'All Data'!$A$3:$CW$999,99,FALSE),"unknown")</f>
        <v>0</v>
      </c>
    </row>
    <row r="166" spans="1:60">
      <c r="A166" s="5">
        <v>18021800054</v>
      </c>
      <c r="B166" s="5"/>
      <c r="C166" s="5"/>
      <c r="D166" s="5"/>
      <c r="E166" s="5"/>
      <c r="F166" s="5"/>
      <c r="G166" s="5"/>
      <c r="H166" s="5"/>
      <c r="I166" s="5"/>
      <c r="J166" s="5"/>
      <c r="K166" s="5"/>
      <c r="L166" s="5" t="s">
        <v>58</v>
      </c>
      <c r="M166" s="5"/>
      <c r="N166" s="5"/>
      <c r="O166" s="5"/>
      <c r="P166" s="5"/>
      <c r="Q166" s="5"/>
      <c r="R166" s="5" t="s">
        <v>62</v>
      </c>
      <c r="S166" s="5" t="s">
        <v>63</v>
      </c>
      <c r="T166" s="37"/>
      <c r="U166" s="37">
        <f t="shared" si="46"/>
        <v>3</v>
      </c>
      <c r="V166" s="37">
        <f t="shared" si="47"/>
        <v>1</v>
      </c>
      <c r="W166" s="37"/>
      <c r="X166" s="37">
        <f t="shared" si="48"/>
        <v>0</v>
      </c>
      <c r="Y166" s="37">
        <f t="shared" si="49"/>
        <v>0</v>
      </c>
      <c r="Z166" s="37">
        <f t="shared" si="50"/>
        <v>0</v>
      </c>
      <c r="AA166" s="37">
        <f t="shared" si="51"/>
        <v>0</v>
      </c>
      <c r="AB166" s="37">
        <f t="shared" si="52"/>
        <v>0</v>
      </c>
      <c r="AC166" s="37">
        <f t="shared" si="53"/>
        <v>0</v>
      </c>
      <c r="AD166" s="37">
        <f t="shared" si="54"/>
        <v>0</v>
      </c>
      <c r="AE166" s="37">
        <f t="shared" si="55"/>
        <v>0</v>
      </c>
      <c r="AF166" s="37">
        <f t="shared" si="56"/>
        <v>0</v>
      </c>
      <c r="AG166" s="37">
        <f t="shared" si="57"/>
        <v>0</v>
      </c>
      <c r="AH166" s="37">
        <f t="shared" si="58"/>
        <v>1</v>
      </c>
      <c r="AI166" s="37">
        <f t="shared" si="59"/>
        <v>0</v>
      </c>
      <c r="AJ166" s="37">
        <f t="shared" si="60"/>
        <v>0</v>
      </c>
      <c r="AK166" s="37">
        <f t="shared" si="61"/>
        <v>0</v>
      </c>
      <c r="AL166" s="37">
        <f t="shared" si="62"/>
        <v>0</v>
      </c>
      <c r="AM166" s="37">
        <f t="shared" si="63"/>
        <v>0</v>
      </c>
      <c r="AN166" s="37">
        <f t="shared" si="64"/>
        <v>1</v>
      </c>
      <c r="AO166" s="37">
        <f t="shared" si="65"/>
        <v>1</v>
      </c>
      <c r="AP166" s="37"/>
      <c r="AQ166" s="37"/>
      <c r="AR166" s="37">
        <f t="shared" si="66"/>
        <v>3</v>
      </c>
      <c r="AS166" s="37">
        <f t="shared" si="67"/>
        <v>3</v>
      </c>
      <c r="AT166" s="37" t="str">
        <f t="shared" si="68"/>
        <v>Correct</v>
      </c>
      <c r="AU166" s="37"/>
      <c r="AV166" s="120" t="str">
        <f>IFERROR(VLOOKUP(Table1[RespondentID],'All Data'!$A$3:$CO$999,87,FALSE),"unknown")</f>
        <v>Woman</v>
      </c>
      <c r="AW166" s="120">
        <f>IFERROR(VLOOKUP(Table1[RespondentID],'All Data'!$A$3:$CO$999,88,FALSE),"unknown")</f>
        <v>18</v>
      </c>
      <c r="AX166" s="120" t="str">
        <f>IFERROR(VLOOKUP(Table1[RespondentID],'All Data'!$A$3:$CO$999,89,FALSE),"unknown")</f>
        <v>Suffolk</v>
      </c>
      <c r="AY166" s="120" t="str">
        <f>IFERROR(VLOOKUP(Table1[RespondentID],'All Data'!$A$3:$CO$999,90,FALSE),"unknown")</f>
        <v>Commack, 11725</v>
      </c>
      <c r="AZ166" s="120" t="str">
        <f>IFERROR(VLOOKUP(Table1[RespondentID],'All Data'!$A$3:$CO$999,91,FALSE),"unknown")</f>
        <v>White</v>
      </c>
      <c r="BA166" s="120" t="str">
        <f>IFERROR(VLOOKUP(Table1[RespondentID],'All Data'!$A$3:$CO$999,92,FALSE),"unknown")</f>
        <v>Hispanic or Latino</v>
      </c>
      <c r="BB166" s="120" t="str">
        <f>IFERROR(VLOOKUP(Table1[RespondentID],'All Data'!$A$3:$CO$999,93,FALSE),"unknown")</f>
        <v>English</v>
      </c>
      <c r="BC166" s="120" t="str">
        <f>IFERROR(VLOOKUP(Table1[RespondentID],'All Data'!$A$3:$CW$999,94,FALSE),"unknown")</f>
        <v>Over $125,000</v>
      </c>
      <c r="BD166" s="120" t="str">
        <f>IFERROR(VLOOKUP(Table1[RespondentID],'All Data'!$A$3:$CW$999,95,FALSE),"unknown")</f>
        <v>High school graduate</v>
      </c>
      <c r="BE166" s="120" t="str">
        <f>IFERROR(VLOOKUP(Table1[RespondentID],'All Data'!$A$3:$CW$999,96,FALSE),"unknown")</f>
        <v>Employed for wages</v>
      </c>
      <c r="BF166" s="120" t="str">
        <f>IFERROR(VLOOKUP(Table1[RespondentID],'All Data'!$A$3:$CW$999,97,FALSE),"unknown")</f>
        <v>Yes</v>
      </c>
      <c r="BG166" s="120">
        <f>IFERROR(VLOOKUP(Table1[RespondentID],'All Data'!$A$3:$CW$999,98,FALSE),"unknown")</f>
        <v>0</v>
      </c>
      <c r="BH166" s="120">
        <f>IFERROR(VLOOKUP(Table1[RespondentID],'All Data'!$A$3:$CW$999,99,FALSE),"unknown")</f>
        <v>0</v>
      </c>
    </row>
    <row r="167" spans="1:60">
      <c r="A167" s="5">
        <v>18021799930</v>
      </c>
      <c r="B167" s="5"/>
      <c r="C167" s="5"/>
      <c r="D167" s="5" t="s">
        <v>51</v>
      </c>
      <c r="E167" s="5"/>
      <c r="F167" s="5"/>
      <c r="G167" s="5"/>
      <c r="H167" s="5"/>
      <c r="I167" s="5"/>
      <c r="J167" s="5"/>
      <c r="K167" s="5"/>
      <c r="L167" s="5"/>
      <c r="M167" s="5" t="s">
        <v>59</v>
      </c>
      <c r="N167" s="5"/>
      <c r="O167" s="5"/>
      <c r="P167" s="5" t="s">
        <v>60</v>
      </c>
      <c r="Q167" s="5"/>
      <c r="R167" s="5"/>
      <c r="S167" s="5"/>
      <c r="T167" s="37"/>
      <c r="U167" s="37">
        <f t="shared" si="46"/>
        <v>3</v>
      </c>
      <c r="V167" s="37">
        <f t="shared" si="47"/>
        <v>1</v>
      </c>
      <c r="W167" s="37"/>
      <c r="X167" s="37">
        <f t="shared" si="48"/>
        <v>0</v>
      </c>
      <c r="Y167" s="37">
        <f t="shared" si="49"/>
        <v>0</v>
      </c>
      <c r="Z167" s="37">
        <f t="shared" si="50"/>
        <v>1</v>
      </c>
      <c r="AA167" s="37">
        <f t="shared" si="51"/>
        <v>0</v>
      </c>
      <c r="AB167" s="37">
        <f t="shared" si="52"/>
        <v>0</v>
      </c>
      <c r="AC167" s="37">
        <f t="shared" si="53"/>
        <v>0</v>
      </c>
      <c r="AD167" s="37">
        <f t="shared" si="54"/>
        <v>0</v>
      </c>
      <c r="AE167" s="37">
        <f t="shared" si="55"/>
        <v>0</v>
      </c>
      <c r="AF167" s="37">
        <f t="shared" si="56"/>
        <v>0</v>
      </c>
      <c r="AG167" s="37">
        <f t="shared" si="57"/>
        <v>0</v>
      </c>
      <c r="AH167" s="37">
        <f t="shared" si="58"/>
        <v>0</v>
      </c>
      <c r="AI167" s="37">
        <f t="shared" si="59"/>
        <v>1</v>
      </c>
      <c r="AJ167" s="37">
        <f t="shared" si="60"/>
        <v>0</v>
      </c>
      <c r="AK167" s="37">
        <f t="shared" si="61"/>
        <v>0</v>
      </c>
      <c r="AL167" s="37">
        <f t="shared" si="62"/>
        <v>1</v>
      </c>
      <c r="AM167" s="37">
        <f t="shared" si="63"/>
        <v>0</v>
      </c>
      <c r="AN167" s="37">
        <f t="shared" si="64"/>
        <v>0</v>
      </c>
      <c r="AO167" s="37">
        <f t="shared" si="65"/>
        <v>0</v>
      </c>
      <c r="AP167" s="37"/>
      <c r="AQ167" s="37"/>
      <c r="AR167" s="37">
        <f t="shared" si="66"/>
        <v>3</v>
      </c>
      <c r="AS167" s="37">
        <f t="shared" si="67"/>
        <v>3</v>
      </c>
      <c r="AT167" s="37" t="str">
        <f t="shared" si="68"/>
        <v>Correct</v>
      </c>
      <c r="AU167" s="37"/>
      <c r="AV167" s="120" t="str">
        <f>IFERROR(VLOOKUP(Table1[RespondentID],'All Data'!$A$3:$CO$999,87,FALSE),"unknown")</f>
        <v>Woman</v>
      </c>
      <c r="AW167" s="120">
        <f>IFERROR(VLOOKUP(Table1[RespondentID],'All Data'!$A$3:$CO$999,88,FALSE),"unknown")</f>
        <v>18</v>
      </c>
      <c r="AX167" s="120" t="str">
        <f>IFERROR(VLOOKUP(Table1[RespondentID],'All Data'!$A$3:$CO$999,89,FALSE),"unknown")</f>
        <v>Suffolk</v>
      </c>
      <c r="AY167" s="120" t="str">
        <f>IFERROR(VLOOKUP(Table1[RespondentID],'All Data'!$A$3:$CO$999,90,FALSE),"unknown")</f>
        <v>Commack, 11725</v>
      </c>
      <c r="AZ167" s="120" t="str">
        <f>IFERROR(VLOOKUP(Table1[RespondentID],'All Data'!$A$3:$CO$999,91,FALSE),"unknown")</f>
        <v>American Indian and Alaska Native</v>
      </c>
      <c r="BA167" s="120" t="str">
        <f>IFERROR(VLOOKUP(Table1[RespondentID],'All Data'!$A$3:$CO$999,92,FALSE),"unknown")</f>
        <v>Hispanic or Latino</v>
      </c>
      <c r="BB167" s="120" t="str">
        <f>IFERROR(VLOOKUP(Table1[RespondentID],'All Data'!$A$3:$CO$999,93,FALSE),"unknown")</f>
        <v>English, Korean</v>
      </c>
      <c r="BC167" s="120" t="str">
        <f>IFERROR(VLOOKUP(Table1[RespondentID],'All Data'!$A$3:$CW$999,94,FALSE),"unknown")</f>
        <v>$20,000 to $34,999</v>
      </c>
      <c r="BD167" s="120" t="str">
        <f>IFERROR(VLOOKUP(Table1[RespondentID],'All Data'!$A$3:$CW$999,95,FALSE),"unknown")</f>
        <v>Some high school</v>
      </c>
      <c r="BE167" s="120" t="str">
        <f>IFERROR(VLOOKUP(Table1[RespondentID],'All Data'!$A$3:$CW$999,96,FALSE),"unknown")</f>
        <v>Employed for wages</v>
      </c>
      <c r="BF167" s="120" t="str">
        <f>IFERROR(VLOOKUP(Table1[RespondentID],'All Data'!$A$3:$CW$999,97,FALSE),"unknown")</f>
        <v>Yes</v>
      </c>
      <c r="BG167" s="120">
        <f>IFERROR(VLOOKUP(Table1[RespondentID],'All Data'!$A$3:$CW$999,98,FALSE),"unknown")</f>
        <v>0</v>
      </c>
      <c r="BH167" s="120">
        <f>IFERROR(VLOOKUP(Table1[RespondentID],'All Data'!$A$3:$CW$999,99,FALSE),"unknown")</f>
        <v>0</v>
      </c>
    </row>
    <row r="168" spans="1:60">
      <c r="A168" s="5">
        <v>18021799815</v>
      </c>
      <c r="B168" s="5"/>
      <c r="C168" s="5"/>
      <c r="D168" s="5"/>
      <c r="E168" s="5"/>
      <c r="F168" s="5" t="s">
        <v>52</v>
      </c>
      <c r="G168" s="5"/>
      <c r="H168" s="5"/>
      <c r="I168" s="5"/>
      <c r="J168" s="5"/>
      <c r="K168" s="5"/>
      <c r="L168" s="5" t="s">
        <v>58</v>
      </c>
      <c r="M168" s="5"/>
      <c r="N168" s="5"/>
      <c r="O168" s="5"/>
      <c r="P168" s="5"/>
      <c r="Q168" s="5"/>
      <c r="R168" s="5"/>
      <c r="S168" s="5" t="s">
        <v>63</v>
      </c>
      <c r="T168" s="37"/>
      <c r="U168" s="37">
        <f t="shared" si="46"/>
        <v>3</v>
      </c>
      <c r="V168" s="37">
        <f t="shared" si="47"/>
        <v>1</v>
      </c>
      <c r="W168" s="37"/>
      <c r="X168" s="37">
        <f t="shared" si="48"/>
        <v>0</v>
      </c>
      <c r="Y168" s="37">
        <f t="shared" si="49"/>
        <v>0</v>
      </c>
      <c r="Z168" s="37">
        <f t="shared" si="50"/>
        <v>0</v>
      </c>
      <c r="AA168" s="37">
        <f t="shared" si="51"/>
        <v>0</v>
      </c>
      <c r="AB168" s="37">
        <f t="shared" si="52"/>
        <v>1</v>
      </c>
      <c r="AC168" s="37">
        <f t="shared" si="53"/>
        <v>0</v>
      </c>
      <c r="AD168" s="37">
        <f t="shared" si="54"/>
        <v>0</v>
      </c>
      <c r="AE168" s="37">
        <f t="shared" si="55"/>
        <v>0</v>
      </c>
      <c r="AF168" s="37">
        <f t="shared" si="56"/>
        <v>0</v>
      </c>
      <c r="AG168" s="37">
        <f t="shared" si="57"/>
        <v>0</v>
      </c>
      <c r="AH168" s="37">
        <f t="shared" si="58"/>
        <v>1</v>
      </c>
      <c r="AI168" s="37">
        <f t="shared" si="59"/>
        <v>0</v>
      </c>
      <c r="AJ168" s="37">
        <f t="shared" si="60"/>
        <v>0</v>
      </c>
      <c r="AK168" s="37">
        <f t="shared" si="61"/>
        <v>0</v>
      </c>
      <c r="AL168" s="37">
        <f t="shared" si="62"/>
        <v>0</v>
      </c>
      <c r="AM168" s="37">
        <f t="shared" si="63"/>
        <v>0</v>
      </c>
      <c r="AN168" s="37">
        <f t="shared" si="64"/>
        <v>0</v>
      </c>
      <c r="AO168" s="37">
        <f t="shared" si="65"/>
        <v>1</v>
      </c>
      <c r="AP168" s="37"/>
      <c r="AQ168" s="37"/>
      <c r="AR168" s="37">
        <f t="shared" si="66"/>
        <v>3</v>
      </c>
      <c r="AS168" s="37">
        <f t="shared" si="67"/>
        <v>3</v>
      </c>
      <c r="AT168" s="37" t="str">
        <f t="shared" si="68"/>
        <v>Correct</v>
      </c>
      <c r="AU168" s="37"/>
      <c r="AV168" s="120" t="str">
        <f>IFERROR(VLOOKUP(Table1[RespondentID],'All Data'!$A$3:$CO$999,87,FALSE),"unknown")</f>
        <v>Woman</v>
      </c>
      <c r="AW168" s="120">
        <f>IFERROR(VLOOKUP(Table1[RespondentID],'All Data'!$A$3:$CO$999,88,FALSE),"unknown")</f>
        <v>18</v>
      </c>
      <c r="AX168" s="120" t="str">
        <f>IFERROR(VLOOKUP(Table1[RespondentID],'All Data'!$A$3:$CO$999,89,FALSE),"unknown")</f>
        <v>Suffolk</v>
      </c>
      <c r="AY168" s="120" t="str">
        <f>IFERROR(VLOOKUP(Table1[RespondentID],'All Data'!$A$3:$CO$999,90,FALSE),"unknown")</f>
        <v>Commack, 11725</v>
      </c>
      <c r="AZ168" s="120" t="str">
        <f>IFERROR(VLOOKUP(Table1[RespondentID],'All Data'!$A$3:$CO$999,91,FALSE),"unknown")</f>
        <v>White</v>
      </c>
      <c r="BA168" s="120" t="str">
        <f>IFERROR(VLOOKUP(Table1[RespondentID],'All Data'!$A$3:$CO$999,92,FALSE),"unknown")</f>
        <v>Hispanic or Latino</v>
      </c>
      <c r="BB168" s="120" t="str">
        <f>IFERROR(VLOOKUP(Table1[RespondentID],'All Data'!$A$3:$CO$999,93,FALSE),"unknown")</f>
        <v>English</v>
      </c>
      <c r="BC168" s="120" t="str">
        <f>IFERROR(VLOOKUP(Table1[RespondentID],'All Data'!$A$3:$CW$999,94,FALSE),"unknown")</f>
        <v>Over $125,000</v>
      </c>
      <c r="BD168" s="120" t="str">
        <f>IFERROR(VLOOKUP(Table1[RespondentID],'All Data'!$A$3:$CW$999,95,FALSE),"unknown")</f>
        <v>Some high school</v>
      </c>
      <c r="BE168" s="120" t="str">
        <f>IFERROR(VLOOKUP(Table1[RespondentID],'All Data'!$A$3:$CW$999,96,FALSE),"unknown")</f>
        <v>Employed for wages</v>
      </c>
      <c r="BF168" s="120" t="str">
        <f>IFERROR(VLOOKUP(Table1[RespondentID],'All Data'!$A$3:$CW$999,97,FALSE),"unknown")</f>
        <v>No</v>
      </c>
      <c r="BG168" s="120">
        <f>IFERROR(VLOOKUP(Table1[RespondentID],'All Data'!$A$3:$CW$999,98,FALSE),"unknown")</f>
        <v>0</v>
      </c>
      <c r="BH168" s="120">
        <f>IFERROR(VLOOKUP(Table1[RespondentID],'All Data'!$A$3:$CW$999,99,FALSE),"unknown")</f>
        <v>0</v>
      </c>
    </row>
    <row r="169" spans="1:60">
      <c r="A169" s="5">
        <v>18021799565</v>
      </c>
      <c r="B169" s="5"/>
      <c r="C169" s="5"/>
      <c r="D169" s="5"/>
      <c r="E169" s="5"/>
      <c r="F169" s="5"/>
      <c r="G169" s="5"/>
      <c r="H169" s="5"/>
      <c r="I169" s="5"/>
      <c r="J169" s="5"/>
      <c r="K169" s="5" t="s">
        <v>57</v>
      </c>
      <c r="L169" s="5"/>
      <c r="M169" s="5"/>
      <c r="N169" s="5" t="s">
        <v>24</v>
      </c>
      <c r="O169" s="5"/>
      <c r="P169" s="5"/>
      <c r="Q169" s="5"/>
      <c r="R169" s="5"/>
      <c r="S169" s="5"/>
      <c r="T169" s="37"/>
      <c r="U169" s="37">
        <f t="shared" si="46"/>
        <v>2</v>
      </c>
      <c r="V169" s="37">
        <f t="shared" si="47"/>
        <v>1.5</v>
      </c>
      <c r="W169" s="37"/>
      <c r="X169" s="37">
        <f t="shared" si="48"/>
        <v>0</v>
      </c>
      <c r="Y169" s="37">
        <f t="shared" si="49"/>
        <v>0</v>
      </c>
      <c r="Z169" s="37">
        <f t="shared" si="50"/>
        <v>0</v>
      </c>
      <c r="AA169" s="37">
        <f t="shared" si="51"/>
        <v>0</v>
      </c>
      <c r="AB169" s="37">
        <f t="shared" si="52"/>
        <v>0</v>
      </c>
      <c r="AC169" s="37">
        <f t="shared" si="53"/>
        <v>0</v>
      </c>
      <c r="AD169" s="37">
        <f t="shared" si="54"/>
        <v>0</v>
      </c>
      <c r="AE169" s="37">
        <f t="shared" si="55"/>
        <v>0</v>
      </c>
      <c r="AF169" s="37">
        <f t="shared" si="56"/>
        <v>0</v>
      </c>
      <c r="AG169" s="37">
        <f t="shared" si="57"/>
        <v>1</v>
      </c>
      <c r="AH169" s="37">
        <f t="shared" si="58"/>
        <v>0</v>
      </c>
      <c r="AI169" s="37">
        <f t="shared" si="59"/>
        <v>0</v>
      </c>
      <c r="AJ169" s="37">
        <f t="shared" si="60"/>
        <v>1</v>
      </c>
      <c r="AK169" s="37">
        <f t="shared" si="61"/>
        <v>0</v>
      </c>
      <c r="AL169" s="37">
        <f t="shared" si="62"/>
        <v>0</v>
      </c>
      <c r="AM169" s="37">
        <f t="shared" si="63"/>
        <v>0</v>
      </c>
      <c r="AN169" s="37">
        <f t="shared" si="64"/>
        <v>0</v>
      </c>
      <c r="AO169" s="37">
        <f t="shared" si="65"/>
        <v>0</v>
      </c>
      <c r="AP169" s="37"/>
      <c r="AQ169" s="37"/>
      <c r="AR169" s="37">
        <f t="shared" si="66"/>
        <v>2</v>
      </c>
      <c r="AS169" s="37">
        <f t="shared" si="67"/>
        <v>2</v>
      </c>
      <c r="AT169" s="37" t="str">
        <f t="shared" si="68"/>
        <v>Correct</v>
      </c>
      <c r="AU169" s="37"/>
      <c r="AV169" s="120" t="str">
        <f>IFERROR(VLOOKUP(Table1[RespondentID],'All Data'!$A$3:$CO$999,87,FALSE),"unknown")</f>
        <v>Woman</v>
      </c>
      <c r="AW169" s="120">
        <f>IFERROR(VLOOKUP(Table1[RespondentID],'All Data'!$A$3:$CO$999,88,FALSE),"unknown")</f>
        <v>43</v>
      </c>
      <c r="AX169" s="120" t="str">
        <f>IFERROR(VLOOKUP(Table1[RespondentID],'All Data'!$A$3:$CO$999,89,FALSE),"unknown")</f>
        <v>Suffolk</v>
      </c>
      <c r="AY169" s="120" t="str">
        <f>IFERROR(VLOOKUP(Table1[RespondentID],'All Data'!$A$3:$CO$999,90,FALSE),"unknown")</f>
        <v>Smithtown, 11787</v>
      </c>
      <c r="AZ169" s="120" t="str">
        <f>IFERROR(VLOOKUP(Table1[RespondentID],'All Data'!$A$3:$CO$999,91,FALSE),"unknown")</f>
        <v>White</v>
      </c>
      <c r="BA169" s="120" t="str">
        <f>IFERROR(VLOOKUP(Table1[RespondentID],'All Data'!$A$3:$CO$999,92,FALSE),"unknown")</f>
        <v>Hispanic or Latino</v>
      </c>
      <c r="BB169" s="120" t="str">
        <f>IFERROR(VLOOKUP(Table1[RespondentID],'All Data'!$A$3:$CO$999,93,FALSE),"unknown")</f>
        <v>English</v>
      </c>
      <c r="BC169" s="120" t="str">
        <f>IFERROR(VLOOKUP(Table1[RespondentID],'All Data'!$A$3:$CW$999,94,FALSE),"unknown")</f>
        <v>$75,000 to $125,000</v>
      </c>
      <c r="BD169" s="120" t="str">
        <f>IFERROR(VLOOKUP(Table1[RespondentID],'All Data'!$A$3:$CW$999,95,FALSE),"unknown")</f>
        <v>Doctorate</v>
      </c>
      <c r="BE169" s="120" t="str">
        <f>IFERROR(VLOOKUP(Table1[RespondentID],'All Data'!$A$3:$CW$999,96,FALSE),"unknown")</f>
        <v>Employed for wages</v>
      </c>
      <c r="BF169" s="120" t="str">
        <f>IFERROR(VLOOKUP(Table1[RespondentID],'All Data'!$A$3:$CW$999,97,FALSE),"unknown")</f>
        <v>Yes</v>
      </c>
      <c r="BG169" s="120">
        <f>IFERROR(VLOOKUP(Table1[RespondentID],'All Data'!$A$3:$CW$999,98,FALSE),"unknown")</f>
        <v>0</v>
      </c>
      <c r="BH169" s="120">
        <f>IFERROR(VLOOKUP(Table1[RespondentID],'All Data'!$A$3:$CW$999,99,FALSE),"unknown")</f>
        <v>0</v>
      </c>
    </row>
    <row r="170" spans="1:60">
      <c r="A170" s="5">
        <v>18021799358</v>
      </c>
      <c r="B170" s="5" t="s">
        <v>49</v>
      </c>
      <c r="C170" s="5"/>
      <c r="D170" s="5"/>
      <c r="E170" s="5"/>
      <c r="F170" s="5"/>
      <c r="G170" s="5" t="s">
        <v>53</v>
      </c>
      <c r="H170" s="5" t="s">
        <v>54</v>
      </c>
      <c r="I170" s="5"/>
      <c r="J170" s="5"/>
      <c r="K170" s="5"/>
      <c r="L170" s="5"/>
      <c r="M170" s="5"/>
      <c r="N170" s="5"/>
      <c r="O170" s="5"/>
      <c r="P170" s="5"/>
      <c r="Q170" s="5"/>
      <c r="R170" s="5"/>
      <c r="S170" s="5"/>
      <c r="T170" s="37"/>
      <c r="U170" s="37">
        <f t="shared" si="46"/>
        <v>3</v>
      </c>
      <c r="V170" s="37">
        <f t="shared" si="47"/>
        <v>1</v>
      </c>
      <c r="W170" s="37"/>
      <c r="X170" s="37">
        <f t="shared" si="48"/>
        <v>1</v>
      </c>
      <c r="Y170" s="37">
        <f t="shared" si="49"/>
        <v>0</v>
      </c>
      <c r="Z170" s="37">
        <f t="shared" si="50"/>
        <v>0</v>
      </c>
      <c r="AA170" s="37">
        <f t="shared" si="51"/>
        <v>0</v>
      </c>
      <c r="AB170" s="37">
        <f t="shared" si="52"/>
        <v>0</v>
      </c>
      <c r="AC170" s="37">
        <f t="shared" si="53"/>
        <v>1</v>
      </c>
      <c r="AD170" s="37">
        <f t="shared" si="54"/>
        <v>1</v>
      </c>
      <c r="AE170" s="37">
        <f t="shared" si="55"/>
        <v>0</v>
      </c>
      <c r="AF170" s="37">
        <f t="shared" si="56"/>
        <v>0</v>
      </c>
      <c r="AG170" s="37">
        <f t="shared" si="57"/>
        <v>0</v>
      </c>
      <c r="AH170" s="37">
        <f t="shared" si="58"/>
        <v>0</v>
      </c>
      <c r="AI170" s="37">
        <f t="shared" si="59"/>
        <v>0</v>
      </c>
      <c r="AJ170" s="37">
        <f t="shared" si="60"/>
        <v>0</v>
      </c>
      <c r="AK170" s="37">
        <f t="shared" si="61"/>
        <v>0</v>
      </c>
      <c r="AL170" s="37">
        <f t="shared" si="62"/>
        <v>0</v>
      </c>
      <c r="AM170" s="37">
        <f t="shared" si="63"/>
        <v>0</v>
      </c>
      <c r="AN170" s="37">
        <f t="shared" si="64"/>
        <v>0</v>
      </c>
      <c r="AO170" s="37">
        <f t="shared" si="65"/>
        <v>0</v>
      </c>
      <c r="AP170" s="37"/>
      <c r="AQ170" s="37"/>
      <c r="AR170" s="37">
        <f t="shared" si="66"/>
        <v>3</v>
      </c>
      <c r="AS170" s="37">
        <f t="shared" si="67"/>
        <v>3</v>
      </c>
      <c r="AT170" s="37" t="str">
        <f t="shared" si="68"/>
        <v>Correct</v>
      </c>
      <c r="AU170" s="37"/>
      <c r="AV170" s="120" t="str">
        <f>IFERROR(VLOOKUP(Table1[RespondentID],'All Data'!$A$3:$CO$999,87,FALSE),"unknown")</f>
        <v>Man</v>
      </c>
      <c r="AW170" s="120">
        <f>IFERROR(VLOOKUP(Table1[RespondentID],'All Data'!$A$3:$CO$999,88,FALSE),"unknown")</f>
        <v>29</v>
      </c>
      <c r="AX170" s="120" t="str">
        <f>IFERROR(VLOOKUP(Table1[RespondentID],'All Data'!$A$3:$CO$999,89,FALSE),"unknown")</f>
        <v>Suffolk</v>
      </c>
      <c r="AY170" s="120" t="str">
        <f>IFERROR(VLOOKUP(Table1[RespondentID],'All Data'!$A$3:$CO$999,90,FALSE),"unknown")</f>
        <v>Lake Grove, 11755</v>
      </c>
      <c r="AZ170" s="120" t="str">
        <f>IFERROR(VLOOKUP(Table1[RespondentID],'All Data'!$A$3:$CO$999,91,FALSE),"unknown")</f>
        <v>Native Hawaiian and Other Pacific Islander</v>
      </c>
      <c r="BA170" s="120">
        <f>IFERROR(VLOOKUP(Table1[RespondentID],'All Data'!$A$3:$CO$999,92,FALSE),"unknown")</f>
        <v>0</v>
      </c>
      <c r="BB170" s="120" t="str">
        <f>IFERROR(VLOOKUP(Table1[RespondentID],'All Data'!$A$3:$CO$999,93,FALSE),"unknown")</f>
        <v>Portuguese</v>
      </c>
      <c r="BC170" s="120">
        <f>IFERROR(VLOOKUP(Table1[RespondentID],'All Data'!$A$3:$CW$999,94,FALSE),"unknown")</f>
        <v>0</v>
      </c>
      <c r="BD170" s="120" t="str">
        <f>IFERROR(VLOOKUP(Table1[RespondentID],'All Data'!$A$3:$CW$999,95,FALSE),"unknown")</f>
        <v>Technical school</v>
      </c>
      <c r="BE170" s="120">
        <f>IFERROR(VLOOKUP(Table1[RespondentID],'All Data'!$A$3:$CW$999,96,FALSE),"unknown")</f>
        <v>0</v>
      </c>
      <c r="BF170" s="120" t="str">
        <f>IFERROR(VLOOKUP(Table1[RespondentID],'All Data'!$A$3:$CW$999,97,FALSE),"unknown")</f>
        <v>No, but I did in the past</v>
      </c>
      <c r="BG170" s="120">
        <f>IFERROR(VLOOKUP(Table1[RespondentID],'All Data'!$A$3:$CW$999,98,FALSE),"unknown")</f>
        <v>0</v>
      </c>
      <c r="BH170" s="120">
        <f>IFERROR(VLOOKUP(Table1[RespondentID],'All Data'!$A$3:$CW$999,99,FALSE),"unknown")</f>
        <v>0</v>
      </c>
    </row>
    <row r="171" spans="1:60">
      <c r="A171" s="5">
        <v>18021799148</v>
      </c>
      <c r="B171" s="5" t="s">
        <v>49</v>
      </c>
      <c r="C171" s="5"/>
      <c r="D171" s="5"/>
      <c r="E171" s="5"/>
      <c r="F171" s="5"/>
      <c r="G171" s="5" t="s">
        <v>53</v>
      </c>
      <c r="H171" s="5" t="s">
        <v>54</v>
      </c>
      <c r="I171" s="5"/>
      <c r="J171" s="5"/>
      <c r="K171" s="5"/>
      <c r="L171" s="5"/>
      <c r="M171" s="5"/>
      <c r="N171" s="5"/>
      <c r="O171" s="5"/>
      <c r="P171" s="5"/>
      <c r="Q171" s="5"/>
      <c r="R171" s="5"/>
      <c r="S171" s="5"/>
      <c r="T171" s="37"/>
      <c r="U171" s="37">
        <f t="shared" si="46"/>
        <v>3</v>
      </c>
      <c r="V171" s="37">
        <f t="shared" si="47"/>
        <v>1</v>
      </c>
      <c r="W171" s="37"/>
      <c r="X171" s="37">
        <f t="shared" si="48"/>
        <v>1</v>
      </c>
      <c r="Y171" s="37">
        <f t="shared" si="49"/>
        <v>0</v>
      </c>
      <c r="Z171" s="37">
        <f t="shared" si="50"/>
        <v>0</v>
      </c>
      <c r="AA171" s="37">
        <f t="shared" si="51"/>
        <v>0</v>
      </c>
      <c r="AB171" s="37">
        <f t="shared" si="52"/>
        <v>0</v>
      </c>
      <c r="AC171" s="37">
        <f t="shared" si="53"/>
        <v>1</v>
      </c>
      <c r="AD171" s="37">
        <f t="shared" si="54"/>
        <v>1</v>
      </c>
      <c r="AE171" s="37">
        <f t="shared" si="55"/>
        <v>0</v>
      </c>
      <c r="AF171" s="37">
        <f t="shared" si="56"/>
        <v>0</v>
      </c>
      <c r="AG171" s="37">
        <f t="shared" si="57"/>
        <v>0</v>
      </c>
      <c r="AH171" s="37">
        <f t="shared" si="58"/>
        <v>0</v>
      </c>
      <c r="AI171" s="37">
        <f t="shared" si="59"/>
        <v>0</v>
      </c>
      <c r="AJ171" s="37">
        <f t="shared" si="60"/>
        <v>0</v>
      </c>
      <c r="AK171" s="37">
        <f t="shared" si="61"/>
        <v>0</v>
      </c>
      <c r="AL171" s="37">
        <f t="shared" si="62"/>
        <v>0</v>
      </c>
      <c r="AM171" s="37">
        <f t="shared" si="63"/>
        <v>0</v>
      </c>
      <c r="AN171" s="37">
        <f t="shared" si="64"/>
        <v>0</v>
      </c>
      <c r="AO171" s="37">
        <f t="shared" si="65"/>
        <v>0</v>
      </c>
      <c r="AP171" s="37"/>
      <c r="AQ171" s="37"/>
      <c r="AR171" s="37">
        <f t="shared" si="66"/>
        <v>3</v>
      </c>
      <c r="AS171" s="37">
        <f t="shared" si="67"/>
        <v>3</v>
      </c>
      <c r="AT171" s="37" t="str">
        <f t="shared" si="68"/>
        <v>Correct</v>
      </c>
      <c r="AU171" s="37"/>
      <c r="AV171" s="120">
        <f>IFERROR(VLOOKUP(Table1[RespondentID],'All Data'!$A$3:$CO$999,87,FALSE),"unknown")</f>
        <v>0</v>
      </c>
      <c r="AW171" s="120">
        <f>IFERROR(VLOOKUP(Table1[RespondentID],'All Data'!$A$3:$CO$999,88,FALSE),"unknown")</f>
        <v>18</v>
      </c>
      <c r="AX171" s="120" t="str">
        <f>IFERROR(VLOOKUP(Table1[RespondentID],'All Data'!$A$3:$CO$999,89,FALSE),"unknown")</f>
        <v>Suffolk</v>
      </c>
      <c r="AY171" s="120" t="str">
        <f>IFERROR(VLOOKUP(Table1[RespondentID],'All Data'!$A$3:$CO$999,90,FALSE),"unknown")</f>
        <v>Kings Park, 11754</v>
      </c>
      <c r="AZ171" s="120" t="str">
        <f>IFERROR(VLOOKUP(Table1[RespondentID],'All Data'!$A$3:$CO$999,91,FALSE),"unknown")</f>
        <v>American Indian and Alaska Native</v>
      </c>
      <c r="BA171" s="120">
        <f>IFERROR(VLOOKUP(Table1[RespondentID],'All Data'!$A$3:$CO$999,92,FALSE),"unknown")</f>
        <v>0</v>
      </c>
      <c r="BB171" s="120" t="str">
        <f>IFERROR(VLOOKUP(Table1[RespondentID],'All Data'!$A$3:$CO$999,93,FALSE),"unknown")</f>
        <v>Polish, Korean</v>
      </c>
      <c r="BC171" s="120">
        <f>IFERROR(VLOOKUP(Table1[RespondentID],'All Data'!$A$3:$CW$999,94,FALSE),"unknown")</f>
        <v>0</v>
      </c>
      <c r="BD171" s="120" t="str">
        <f>IFERROR(VLOOKUP(Table1[RespondentID],'All Data'!$A$3:$CW$999,95,FALSE),"unknown")</f>
        <v>Some high school</v>
      </c>
      <c r="BE171" s="120">
        <f>IFERROR(VLOOKUP(Table1[RespondentID],'All Data'!$A$3:$CW$999,96,FALSE),"unknown")</f>
        <v>0</v>
      </c>
      <c r="BF171" s="120">
        <f>IFERROR(VLOOKUP(Table1[RespondentID],'All Data'!$A$3:$CW$999,97,FALSE),"unknown")</f>
        <v>0</v>
      </c>
      <c r="BG171" s="120">
        <f>IFERROR(VLOOKUP(Table1[RespondentID],'All Data'!$A$3:$CW$999,98,FALSE),"unknown")</f>
        <v>0</v>
      </c>
      <c r="BH171" s="120">
        <f>IFERROR(VLOOKUP(Table1[RespondentID],'All Data'!$A$3:$CW$999,99,FALSE),"unknown")</f>
        <v>0</v>
      </c>
    </row>
    <row r="172" spans="1:60">
      <c r="A172" s="5">
        <v>18021798948</v>
      </c>
      <c r="B172" s="5" t="s">
        <v>49</v>
      </c>
      <c r="C172" s="5"/>
      <c r="D172" s="5"/>
      <c r="E172" s="5"/>
      <c r="F172" s="5"/>
      <c r="G172" s="5" t="s">
        <v>53</v>
      </c>
      <c r="H172" s="5" t="s">
        <v>54</v>
      </c>
      <c r="I172" s="5"/>
      <c r="J172" s="5"/>
      <c r="K172" s="5"/>
      <c r="L172" s="5"/>
      <c r="M172" s="5"/>
      <c r="N172" s="5"/>
      <c r="O172" s="5"/>
      <c r="P172" s="5"/>
      <c r="Q172" s="5"/>
      <c r="R172" s="5"/>
      <c r="S172" s="5"/>
      <c r="T172" s="37"/>
      <c r="U172" s="37">
        <f t="shared" si="46"/>
        <v>3</v>
      </c>
      <c r="V172" s="37">
        <f t="shared" si="47"/>
        <v>1</v>
      </c>
      <c r="W172" s="37"/>
      <c r="X172" s="37">
        <f t="shared" si="48"/>
        <v>1</v>
      </c>
      <c r="Y172" s="37">
        <f t="shared" si="49"/>
        <v>0</v>
      </c>
      <c r="Z172" s="37">
        <f t="shared" si="50"/>
        <v>0</v>
      </c>
      <c r="AA172" s="37">
        <f t="shared" si="51"/>
        <v>0</v>
      </c>
      <c r="AB172" s="37">
        <f t="shared" si="52"/>
        <v>0</v>
      </c>
      <c r="AC172" s="37">
        <f t="shared" si="53"/>
        <v>1</v>
      </c>
      <c r="AD172" s="37">
        <f t="shared" si="54"/>
        <v>1</v>
      </c>
      <c r="AE172" s="37">
        <f t="shared" si="55"/>
        <v>0</v>
      </c>
      <c r="AF172" s="37">
        <f t="shared" si="56"/>
        <v>0</v>
      </c>
      <c r="AG172" s="37">
        <f t="shared" si="57"/>
        <v>0</v>
      </c>
      <c r="AH172" s="37">
        <f t="shared" si="58"/>
        <v>0</v>
      </c>
      <c r="AI172" s="37">
        <f t="shared" si="59"/>
        <v>0</v>
      </c>
      <c r="AJ172" s="37">
        <f t="shared" si="60"/>
        <v>0</v>
      </c>
      <c r="AK172" s="37">
        <f t="shared" si="61"/>
        <v>0</v>
      </c>
      <c r="AL172" s="37">
        <f t="shared" si="62"/>
        <v>0</v>
      </c>
      <c r="AM172" s="37">
        <f t="shared" si="63"/>
        <v>0</v>
      </c>
      <c r="AN172" s="37">
        <f t="shared" si="64"/>
        <v>0</v>
      </c>
      <c r="AO172" s="37">
        <f t="shared" si="65"/>
        <v>0</v>
      </c>
      <c r="AP172" s="37"/>
      <c r="AQ172" s="37"/>
      <c r="AR172" s="37">
        <f t="shared" si="66"/>
        <v>3</v>
      </c>
      <c r="AS172" s="37">
        <f t="shared" si="67"/>
        <v>3</v>
      </c>
      <c r="AT172" s="37" t="str">
        <f t="shared" si="68"/>
        <v>Correct</v>
      </c>
      <c r="AU172" s="37"/>
      <c r="AV172" s="120" t="str">
        <f>IFERROR(VLOOKUP(Table1[RespondentID],'All Data'!$A$3:$CO$999,87,FALSE),"unknown")</f>
        <v>Man</v>
      </c>
      <c r="AW172" s="120">
        <f>IFERROR(VLOOKUP(Table1[RespondentID],'All Data'!$A$3:$CO$999,88,FALSE),"unknown")</f>
        <v>29</v>
      </c>
      <c r="AX172" s="120" t="str">
        <f>IFERROR(VLOOKUP(Table1[RespondentID],'All Data'!$A$3:$CO$999,89,FALSE),"unknown")</f>
        <v>Suffolk</v>
      </c>
      <c r="AY172" s="120" t="str">
        <f>IFERROR(VLOOKUP(Table1[RespondentID],'All Data'!$A$3:$CO$999,90,FALSE),"unknown")</f>
        <v>Lake Grove, 11755</v>
      </c>
      <c r="AZ172" s="120" t="str">
        <f>IFERROR(VLOOKUP(Table1[RespondentID],'All Data'!$A$3:$CO$999,91,FALSE),"unknown")</f>
        <v>Native Hawaiian and Other Pacific Islander</v>
      </c>
      <c r="BA172" s="120">
        <f>IFERROR(VLOOKUP(Table1[RespondentID],'All Data'!$A$3:$CO$999,92,FALSE),"unknown")</f>
        <v>0</v>
      </c>
      <c r="BB172" s="120" t="str">
        <f>IFERROR(VLOOKUP(Table1[RespondentID],'All Data'!$A$3:$CO$999,93,FALSE),"unknown")</f>
        <v>Portuguese</v>
      </c>
      <c r="BC172" s="120">
        <f>IFERROR(VLOOKUP(Table1[RespondentID],'All Data'!$A$3:$CW$999,94,FALSE),"unknown")</f>
        <v>0</v>
      </c>
      <c r="BD172" s="120" t="str">
        <f>IFERROR(VLOOKUP(Table1[RespondentID],'All Data'!$A$3:$CW$999,95,FALSE),"unknown")</f>
        <v>Technical school</v>
      </c>
      <c r="BE172" s="120">
        <f>IFERROR(VLOOKUP(Table1[RespondentID],'All Data'!$A$3:$CW$999,96,FALSE),"unknown")</f>
        <v>0</v>
      </c>
      <c r="BF172" s="120" t="str">
        <f>IFERROR(VLOOKUP(Table1[RespondentID],'All Data'!$A$3:$CW$999,97,FALSE),"unknown")</f>
        <v>No, but I did in the past</v>
      </c>
      <c r="BG172" s="120">
        <f>IFERROR(VLOOKUP(Table1[RespondentID],'All Data'!$A$3:$CW$999,98,FALSE),"unknown")</f>
        <v>0</v>
      </c>
      <c r="BH172" s="120">
        <f>IFERROR(VLOOKUP(Table1[RespondentID],'All Data'!$A$3:$CW$999,99,FALSE),"unknown")</f>
        <v>0</v>
      </c>
    </row>
    <row r="173" spans="1:60">
      <c r="A173" s="5">
        <v>18021798764</v>
      </c>
      <c r="B173" s="5"/>
      <c r="C173" s="5"/>
      <c r="D173" s="5"/>
      <c r="E173" s="5"/>
      <c r="F173" s="5"/>
      <c r="G173" s="5"/>
      <c r="H173" s="5"/>
      <c r="I173" s="5" t="s">
        <v>55</v>
      </c>
      <c r="J173" s="5"/>
      <c r="K173" s="5"/>
      <c r="L173" s="5"/>
      <c r="M173" s="5"/>
      <c r="N173" s="5" t="s">
        <v>24</v>
      </c>
      <c r="O173" s="5"/>
      <c r="P173" s="5"/>
      <c r="Q173" s="5"/>
      <c r="R173" s="5"/>
      <c r="S173" s="5"/>
      <c r="T173" s="37"/>
      <c r="U173" s="37">
        <f t="shared" si="46"/>
        <v>2</v>
      </c>
      <c r="V173" s="37">
        <f t="shared" si="47"/>
        <v>1.5</v>
      </c>
      <c r="W173" s="37"/>
      <c r="X173" s="37">
        <f t="shared" si="48"/>
        <v>0</v>
      </c>
      <c r="Y173" s="37">
        <f t="shared" si="49"/>
        <v>0</v>
      </c>
      <c r="Z173" s="37">
        <f t="shared" si="50"/>
        <v>0</v>
      </c>
      <c r="AA173" s="37">
        <f t="shared" si="51"/>
        <v>0</v>
      </c>
      <c r="AB173" s="37">
        <f t="shared" si="52"/>
        <v>0</v>
      </c>
      <c r="AC173" s="37">
        <f t="shared" si="53"/>
        <v>0</v>
      </c>
      <c r="AD173" s="37">
        <f t="shared" si="54"/>
        <v>0</v>
      </c>
      <c r="AE173" s="37">
        <f t="shared" si="55"/>
        <v>1</v>
      </c>
      <c r="AF173" s="37">
        <f t="shared" si="56"/>
        <v>0</v>
      </c>
      <c r="AG173" s="37">
        <f t="shared" si="57"/>
        <v>0</v>
      </c>
      <c r="AH173" s="37">
        <f t="shared" si="58"/>
        <v>0</v>
      </c>
      <c r="AI173" s="37">
        <f t="shared" si="59"/>
        <v>0</v>
      </c>
      <c r="AJ173" s="37">
        <f t="shared" si="60"/>
        <v>1</v>
      </c>
      <c r="AK173" s="37">
        <f t="shared" si="61"/>
        <v>0</v>
      </c>
      <c r="AL173" s="37">
        <f t="shared" si="62"/>
        <v>0</v>
      </c>
      <c r="AM173" s="37">
        <f t="shared" si="63"/>
        <v>0</v>
      </c>
      <c r="AN173" s="37">
        <f t="shared" si="64"/>
        <v>0</v>
      </c>
      <c r="AO173" s="37">
        <f t="shared" si="65"/>
        <v>0</v>
      </c>
      <c r="AP173" s="37"/>
      <c r="AQ173" s="37"/>
      <c r="AR173" s="37">
        <f t="shared" si="66"/>
        <v>2</v>
      </c>
      <c r="AS173" s="37">
        <f t="shared" si="67"/>
        <v>2</v>
      </c>
      <c r="AT173" s="37" t="str">
        <f t="shared" si="68"/>
        <v>Correct</v>
      </c>
      <c r="AU173" s="37"/>
      <c r="AV173" s="120" t="str">
        <f>IFERROR(VLOOKUP(Table1[RespondentID],'All Data'!$A$3:$CO$999,87,FALSE),"unknown")</f>
        <v>Woman</v>
      </c>
      <c r="AW173" s="120">
        <f>IFERROR(VLOOKUP(Table1[RespondentID],'All Data'!$A$3:$CO$999,88,FALSE),"unknown")</f>
        <v>18</v>
      </c>
      <c r="AX173" s="120" t="str">
        <f>IFERROR(VLOOKUP(Table1[RespondentID],'All Data'!$A$3:$CO$999,89,FALSE),"unknown")</f>
        <v>Suffolk</v>
      </c>
      <c r="AY173" s="120" t="str">
        <f>IFERROR(VLOOKUP(Table1[RespondentID],'All Data'!$A$3:$CO$999,90,FALSE),"unknown")</f>
        <v>Lake Grove, 11755</v>
      </c>
      <c r="AZ173" s="120" t="str">
        <f>IFERROR(VLOOKUP(Table1[RespondentID],'All Data'!$A$3:$CO$999,91,FALSE),"unknown")</f>
        <v>Black or African American</v>
      </c>
      <c r="BA173" s="120">
        <f>IFERROR(VLOOKUP(Table1[RespondentID],'All Data'!$A$3:$CO$999,92,FALSE),"unknown")</f>
        <v>0</v>
      </c>
      <c r="BB173" s="120" t="str">
        <f>IFERROR(VLOOKUP(Table1[RespondentID],'All Data'!$A$3:$CO$999,93,FALSE),"unknown")</f>
        <v>Portuguese</v>
      </c>
      <c r="BC173" s="120" t="str">
        <f>IFERROR(VLOOKUP(Table1[RespondentID],'All Data'!$A$3:$CW$999,94,FALSE),"unknown")</f>
        <v>$50,000 to $74,999</v>
      </c>
      <c r="BD173" s="120" t="str">
        <f>IFERROR(VLOOKUP(Table1[RespondentID],'All Data'!$A$3:$CW$999,95,FALSE),"unknown")</f>
        <v>Some high school</v>
      </c>
      <c r="BE173" s="120">
        <f>IFERROR(VLOOKUP(Table1[RespondentID],'All Data'!$A$3:$CW$999,96,FALSE),"unknown")</f>
        <v>0</v>
      </c>
      <c r="BF173" s="120" t="str">
        <f>IFERROR(VLOOKUP(Table1[RespondentID],'All Data'!$A$3:$CW$999,97,FALSE),"unknown")</f>
        <v>No, but I did in the past</v>
      </c>
      <c r="BG173" s="120">
        <f>IFERROR(VLOOKUP(Table1[RespondentID],'All Data'!$A$3:$CW$999,98,FALSE),"unknown")</f>
        <v>0</v>
      </c>
      <c r="BH173" s="120">
        <f>IFERROR(VLOOKUP(Table1[RespondentID],'All Data'!$A$3:$CW$999,99,FALSE),"unknown")</f>
        <v>0</v>
      </c>
    </row>
    <row r="174" spans="1:60">
      <c r="A174" s="5">
        <v>18021798571</v>
      </c>
      <c r="B174" s="5"/>
      <c r="C174" s="5"/>
      <c r="D174" s="5"/>
      <c r="E174" s="5"/>
      <c r="F174" s="5"/>
      <c r="G174" s="5"/>
      <c r="H174" s="5" t="s">
        <v>54</v>
      </c>
      <c r="I174" s="5"/>
      <c r="J174" s="5"/>
      <c r="K174" s="5"/>
      <c r="L174" s="5" t="s">
        <v>58</v>
      </c>
      <c r="M174" s="5"/>
      <c r="N174" s="5"/>
      <c r="O174" s="5"/>
      <c r="P174" s="5" t="s">
        <v>60</v>
      </c>
      <c r="Q174" s="5"/>
      <c r="R174" s="5"/>
      <c r="S174" s="5"/>
      <c r="T174" s="37"/>
      <c r="U174" s="37">
        <f t="shared" si="46"/>
        <v>3</v>
      </c>
      <c r="V174" s="37">
        <f t="shared" si="47"/>
        <v>1</v>
      </c>
      <c r="W174" s="37"/>
      <c r="X174" s="37">
        <f t="shared" si="48"/>
        <v>0</v>
      </c>
      <c r="Y174" s="37">
        <f t="shared" si="49"/>
        <v>0</v>
      </c>
      <c r="Z174" s="37">
        <f t="shared" si="50"/>
        <v>0</v>
      </c>
      <c r="AA174" s="37">
        <f t="shared" si="51"/>
        <v>0</v>
      </c>
      <c r="AB174" s="37">
        <f t="shared" si="52"/>
        <v>0</v>
      </c>
      <c r="AC174" s="37">
        <f t="shared" si="53"/>
        <v>0</v>
      </c>
      <c r="AD174" s="37">
        <f t="shared" si="54"/>
        <v>1</v>
      </c>
      <c r="AE174" s="37">
        <f t="shared" si="55"/>
        <v>0</v>
      </c>
      <c r="AF174" s="37">
        <f t="shared" si="56"/>
        <v>0</v>
      </c>
      <c r="AG174" s="37">
        <f t="shared" si="57"/>
        <v>0</v>
      </c>
      <c r="AH174" s="37">
        <f t="shared" si="58"/>
        <v>1</v>
      </c>
      <c r="AI174" s="37">
        <f t="shared" si="59"/>
        <v>0</v>
      </c>
      <c r="AJ174" s="37">
        <f t="shared" si="60"/>
        <v>0</v>
      </c>
      <c r="AK174" s="37">
        <f t="shared" si="61"/>
        <v>0</v>
      </c>
      <c r="AL174" s="37">
        <f t="shared" si="62"/>
        <v>1</v>
      </c>
      <c r="AM174" s="37">
        <f t="shared" si="63"/>
        <v>0</v>
      </c>
      <c r="AN174" s="37">
        <f t="shared" si="64"/>
        <v>0</v>
      </c>
      <c r="AO174" s="37">
        <f t="shared" si="65"/>
        <v>0</v>
      </c>
      <c r="AP174" s="37"/>
      <c r="AQ174" s="37"/>
      <c r="AR174" s="37">
        <f t="shared" si="66"/>
        <v>3</v>
      </c>
      <c r="AS174" s="37">
        <f t="shared" si="67"/>
        <v>3</v>
      </c>
      <c r="AT174" s="37" t="str">
        <f t="shared" si="68"/>
        <v>Correct</v>
      </c>
      <c r="AU174" s="37"/>
      <c r="AV174" s="120" t="str">
        <f>IFERROR(VLOOKUP(Table1[RespondentID],'All Data'!$A$3:$CO$999,87,FALSE),"unknown")</f>
        <v>Man</v>
      </c>
      <c r="AW174" s="120">
        <f>IFERROR(VLOOKUP(Table1[RespondentID],'All Data'!$A$3:$CO$999,88,FALSE),"unknown")</f>
        <v>21</v>
      </c>
      <c r="AX174" s="120" t="str">
        <f>IFERROR(VLOOKUP(Table1[RespondentID],'All Data'!$A$3:$CO$999,89,FALSE),"unknown")</f>
        <v>Nassau</v>
      </c>
      <c r="AY174" s="120" t="str">
        <f>IFERROR(VLOOKUP(Table1[RespondentID],'All Data'!$A$3:$CO$999,90,FALSE),"unknown")</f>
        <v>Syosset, 11773</v>
      </c>
      <c r="AZ174" s="120" t="str">
        <f>IFERROR(VLOOKUP(Table1[RespondentID],'All Data'!$A$3:$CO$999,91,FALSE),"unknown")</f>
        <v>White</v>
      </c>
      <c r="BA174" s="120">
        <f>IFERROR(VLOOKUP(Table1[RespondentID],'All Data'!$A$3:$CO$999,92,FALSE),"unknown")</f>
        <v>0</v>
      </c>
      <c r="BB174" s="120" t="str">
        <f>IFERROR(VLOOKUP(Table1[RespondentID],'All Data'!$A$3:$CO$999,93,FALSE),"unknown")</f>
        <v>Korean</v>
      </c>
      <c r="BC174" s="120" t="str">
        <f>IFERROR(VLOOKUP(Table1[RespondentID],'All Data'!$A$3:$CW$999,94,FALSE),"unknown")</f>
        <v>$75,000 to $125,000</v>
      </c>
      <c r="BD174" s="120" t="str">
        <f>IFERROR(VLOOKUP(Table1[RespondentID],'All Data'!$A$3:$CW$999,95,FALSE),"unknown")</f>
        <v>Some high school</v>
      </c>
      <c r="BE174" s="120" t="str">
        <f>IFERROR(VLOOKUP(Table1[RespondentID],'All Data'!$A$3:$CW$999,96,FALSE),"unknown")</f>
        <v>Student</v>
      </c>
      <c r="BF174" s="120" t="str">
        <f>IFERROR(VLOOKUP(Table1[RespondentID],'All Data'!$A$3:$CW$999,97,FALSE),"unknown")</f>
        <v>No, but I did in the past</v>
      </c>
      <c r="BG174" s="120">
        <f>IFERROR(VLOOKUP(Table1[RespondentID],'All Data'!$A$3:$CW$999,98,FALSE),"unknown")</f>
        <v>0</v>
      </c>
      <c r="BH174" s="120">
        <f>IFERROR(VLOOKUP(Table1[RespondentID],'All Data'!$A$3:$CW$999,99,FALSE),"unknown")</f>
        <v>0</v>
      </c>
    </row>
    <row r="175" spans="1:60">
      <c r="A175" s="5">
        <v>18021798337</v>
      </c>
      <c r="B175" s="5"/>
      <c r="C175" s="5"/>
      <c r="D175" s="5"/>
      <c r="E175" s="5"/>
      <c r="F175" s="5"/>
      <c r="G175" s="5"/>
      <c r="H175" s="5" t="s">
        <v>54</v>
      </c>
      <c r="I175" s="5"/>
      <c r="J175" s="5"/>
      <c r="K175" s="5"/>
      <c r="L175" s="5" t="s">
        <v>58</v>
      </c>
      <c r="M175" s="5"/>
      <c r="N175" s="5"/>
      <c r="O175" s="5"/>
      <c r="P175" s="5" t="s">
        <v>60</v>
      </c>
      <c r="Q175" s="5"/>
      <c r="R175" s="5"/>
      <c r="S175" s="5"/>
      <c r="T175" s="37"/>
      <c r="U175" s="37">
        <f t="shared" si="46"/>
        <v>3</v>
      </c>
      <c r="V175" s="37">
        <f t="shared" si="47"/>
        <v>1</v>
      </c>
      <c r="W175" s="37"/>
      <c r="X175" s="37">
        <f t="shared" si="48"/>
        <v>0</v>
      </c>
      <c r="Y175" s="37">
        <f t="shared" si="49"/>
        <v>0</v>
      </c>
      <c r="Z175" s="37">
        <f t="shared" si="50"/>
        <v>0</v>
      </c>
      <c r="AA175" s="37">
        <f t="shared" si="51"/>
        <v>0</v>
      </c>
      <c r="AB175" s="37">
        <f t="shared" si="52"/>
        <v>0</v>
      </c>
      <c r="AC175" s="37">
        <f t="shared" si="53"/>
        <v>0</v>
      </c>
      <c r="AD175" s="37">
        <f t="shared" si="54"/>
        <v>1</v>
      </c>
      <c r="AE175" s="37">
        <f t="shared" si="55"/>
        <v>0</v>
      </c>
      <c r="AF175" s="37">
        <f t="shared" si="56"/>
        <v>0</v>
      </c>
      <c r="AG175" s="37">
        <f t="shared" si="57"/>
        <v>0</v>
      </c>
      <c r="AH175" s="37">
        <f t="shared" si="58"/>
        <v>1</v>
      </c>
      <c r="AI175" s="37">
        <f t="shared" si="59"/>
        <v>0</v>
      </c>
      <c r="AJ175" s="37">
        <f t="shared" si="60"/>
        <v>0</v>
      </c>
      <c r="AK175" s="37">
        <f t="shared" si="61"/>
        <v>0</v>
      </c>
      <c r="AL175" s="37">
        <f t="shared" si="62"/>
        <v>1</v>
      </c>
      <c r="AM175" s="37">
        <f t="shared" si="63"/>
        <v>0</v>
      </c>
      <c r="AN175" s="37">
        <f t="shared" si="64"/>
        <v>0</v>
      </c>
      <c r="AO175" s="37">
        <f t="shared" si="65"/>
        <v>0</v>
      </c>
      <c r="AP175" s="37"/>
      <c r="AQ175" s="37"/>
      <c r="AR175" s="37">
        <f t="shared" si="66"/>
        <v>3</v>
      </c>
      <c r="AS175" s="37">
        <f t="shared" si="67"/>
        <v>3</v>
      </c>
      <c r="AT175" s="37" t="str">
        <f t="shared" si="68"/>
        <v>Correct</v>
      </c>
      <c r="AU175" s="37"/>
      <c r="AV175" s="120" t="str">
        <f>IFERROR(VLOOKUP(Table1[RespondentID],'All Data'!$A$3:$CO$999,87,FALSE),"unknown")</f>
        <v>Woman</v>
      </c>
      <c r="AW175" s="120">
        <f>IFERROR(VLOOKUP(Table1[RespondentID],'All Data'!$A$3:$CO$999,88,FALSE),"unknown")</f>
        <v>17</v>
      </c>
      <c r="AX175" s="120" t="str">
        <f>IFERROR(VLOOKUP(Table1[RespondentID],'All Data'!$A$3:$CO$999,89,FALSE),"unknown")</f>
        <v>Nassau</v>
      </c>
      <c r="AY175" s="120" t="str">
        <f>IFERROR(VLOOKUP(Table1[RespondentID],'All Data'!$A$3:$CO$999,90,FALSE),"unknown")</f>
        <v>Syosset, 11791</v>
      </c>
      <c r="AZ175" s="120" t="str">
        <f>IFERROR(VLOOKUP(Table1[RespondentID],'All Data'!$A$3:$CO$999,91,FALSE),"unknown")</f>
        <v>White</v>
      </c>
      <c r="BA175" s="120">
        <f>IFERROR(VLOOKUP(Table1[RespondentID],'All Data'!$A$3:$CO$999,92,FALSE),"unknown")</f>
        <v>0</v>
      </c>
      <c r="BB175" s="120" t="str">
        <f>IFERROR(VLOOKUP(Table1[RespondentID],'All Data'!$A$3:$CO$999,93,FALSE),"unknown")</f>
        <v>Korean</v>
      </c>
      <c r="BC175" s="120" t="str">
        <f>IFERROR(VLOOKUP(Table1[RespondentID],'All Data'!$A$3:$CW$999,94,FALSE),"unknown")</f>
        <v>$75,000 to $125,000</v>
      </c>
      <c r="BD175" s="120" t="str">
        <f>IFERROR(VLOOKUP(Table1[RespondentID],'All Data'!$A$3:$CW$999,95,FALSE),"unknown")</f>
        <v>Some high school</v>
      </c>
      <c r="BE175" s="120" t="str">
        <f>IFERROR(VLOOKUP(Table1[RespondentID],'All Data'!$A$3:$CW$999,96,FALSE),"unknown")</f>
        <v>Student</v>
      </c>
      <c r="BF175" s="120" t="str">
        <f>IFERROR(VLOOKUP(Table1[RespondentID],'All Data'!$A$3:$CW$999,97,FALSE),"unknown")</f>
        <v>No, but I did in the past</v>
      </c>
      <c r="BG175" s="120">
        <f>IFERROR(VLOOKUP(Table1[RespondentID],'All Data'!$A$3:$CW$999,98,FALSE),"unknown")</f>
        <v>0</v>
      </c>
      <c r="BH175" s="120">
        <f>IFERROR(VLOOKUP(Table1[RespondentID],'All Data'!$A$3:$CW$999,99,FALSE),"unknown")</f>
        <v>0</v>
      </c>
    </row>
    <row r="176" spans="1:60">
      <c r="A176" s="5">
        <v>18021797894</v>
      </c>
      <c r="B176" s="5" t="s">
        <v>49</v>
      </c>
      <c r="C176" s="5" t="s">
        <v>50</v>
      </c>
      <c r="D176" s="5"/>
      <c r="E176" s="5"/>
      <c r="F176" s="5"/>
      <c r="G176" s="5" t="s">
        <v>53</v>
      </c>
      <c r="H176" s="5"/>
      <c r="I176" s="5"/>
      <c r="J176" s="5"/>
      <c r="K176" s="5"/>
      <c r="L176" s="5"/>
      <c r="M176" s="5"/>
      <c r="N176" s="5"/>
      <c r="O176" s="5"/>
      <c r="P176" s="5"/>
      <c r="Q176" s="5"/>
      <c r="R176" s="5"/>
      <c r="S176" s="5"/>
      <c r="T176" s="37"/>
      <c r="U176" s="37">
        <f t="shared" si="46"/>
        <v>3</v>
      </c>
      <c r="V176" s="37">
        <f t="shared" si="47"/>
        <v>1</v>
      </c>
      <c r="W176" s="37"/>
      <c r="X176" s="37">
        <f t="shared" si="48"/>
        <v>1</v>
      </c>
      <c r="Y176" s="37">
        <f t="shared" si="49"/>
        <v>1</v>
      </c>
      <c r="Z176" s="37">
        <f t="shared" si="50"/>
        <v>0</v>
      </c>
      <c r="AA176" s="37">
        <f t="shared" si="51"/>
        <v>0</v>
      </c>
      <c r="AB176" s="37">
        <f t="shared" si="52"/>
        <v>0</v>
      </c>
      <c r="AC176" s="37">
        <f t="shared" si="53"/>
        <v>1</v>
      </c>
      <c r="AD176" s="37">
        <f t="shared" si="54"/>
        <v>0</v>
      </c>
      <c r="AE176" s="37">
        <f t="shared" si="55"/>
        <v>0</v>
      </c>
      <c r="AF176" s="37">
        <f t="shared" si="56"/>
        <v>0</v>
      </c>
      <c r="AG176" s="37">
        <f t="shared" si="57"/>
        <v>0</v>
      </c>
      <c r="AH176" s="37">
        <f t="shared" si="58"/>
        <v>0</v>
      </c>
      <c r="AI176" s="37">
        <f t="shared" si="59"/>
        <v>0</v>
      </c>
      <c r="AJ176" s="37">
        <f t="shared" si="60"/>
        <v>0</v>
      </c>
      <c r="AK176" s="37">
        <f t="shared" si="61"/>
        <v>0</v>
      </c>
      <c r="AL176" s="37">
        <f t="shared" si="62"/>
        <v>0</v>
      </c>
      <c r="AM176" s="37">
        <f t="shared" si="63"/>
        <v>0</v>
      </c>
      <c r="AN176" s="37">
        <f t="shared" si="64"/>
        <v>0</v>
      </c>
      <c r="AO176" s="37">
        <f t="shared" si="65"/>
        <v>0</v>
      </c>
      <c r="AP176" s="37"/>
      <c r="AQ176" s="37"/>
      <c r="AR176" s="37">
        <f t="shared" si="66"/>
        <v>3</v>
      </c>
      <c r="AS176" s="37">
        <f t="shared" si="67"/>
        <v>3</v>
      </c>
      <c r="AT176" s="37" t="str">
        <f t="shared" si="68"/>
        <v>Correct</v>
      </c>
      <c r="AU176" s="37"/>
      <c r="AV176" s="120" t="str">
        <f>IFERROR(VLOOKUP(Table1[RespondentID],'All Data'!$A$3:$CO$999,87,FALSE),"unknown")</f>
        <v>Woman</v>
      </c>
      <c r="AW176" s="120">
        <f>IFERROR(VLOOKUP(Table1[RespondentID],'All Data'!$A$3:$CO$999,88,FALSE),"unknown")</f>
        <v>18</v>
      </c>
      <c r="AX176" s="120" t="str">
        <f>IFERROR(VLOOKUP(Table1[RespondentID],'All Data'!$A$3:$CO$999,89,FALSE),"unknown")</f>
        <v>Suffolk</v>
      </c>
      <c r="AY176" s="120" t="str">
        <f>IFERROR(VLOOKUP(Table1[RespondentID],'All Data'!$A$3:$CO$999,90,FALSE),"unknown")</f>
        <v>Commack, 11725</v>
      </c>
      <c r="AZ176" s="120" t="str">
        <f>IFERROR(VLOOKUP(Table1[RespondentID],'All Data'!$A$3:$CO$999,91,FALSE),"unknown")</f>
        <v>Black or African American</v>
      </c>
      <c r="BA176" s="120">
        <f>IFERROR(VLOOKUP(Table1[RespondentID],'All Data'!$A$3:$CO$999,92,FALSE),"unknown")</f>
        <v>0</v>
      </c>
      <c r="BB176" s="120" t="str">
        <f>IFERROR(VLOOKUP(Table1[RespondentID],'All Data'!$A$3:$CO$999,93,FALSE),"unknown")</f>
        <v>Korean</v>
      </c>
      <c r="BC176" s="120" t="str">
        <f>IFERROR(VLOOKUP(Table1[RespondentID],'All Data'!$A$3:$CW$999,94,FALSE),"unknown")</f>
        <v>$75,000 to $125,000</v>
      </c>
      <c r="BD176" s="120" t="str">
        <f>IFERROR(VLOOKUP(Table1[RespondentID],'All Data'!$A$3:$CW$999,95,FALSE),"unknown")</f>
        <v>Some high school</v>
      </c>
      <c r="BE176" s="120" t="str">
        <f>IFERROR(VLOOKUP(Table1[RespondentID],'All Data'!$A$3:$CW$999,96,FALSE),"unknown")</f>
        <v>Student</v>
      </c>
      <c r="BF176" s="120" t="str">
        <f>IFERROR(VLOOKUP(Table1[RespondentID],'All Data'!$A$3:$CW$999,97,FALSE),"unknown")</f>
        <v>No, but I did in the past</v>
      </c>
      <c r="BG176" s="120">
        <f>IFERROR(VLOOKUP(Table1[RespondentID],'All Data'!$A$3:$CW$999,98,FALSE),"unknown")</f>
        <v>0</v>
      </c>
      <c r="BH176" s="120">
        <f>IFERROR(VLOOKUP(Table1[RespondentID],'All Data'!$A$3:$CW$999,99,FALSE),"unknown")</f>
        <v>0</v>
      </c>
    </row>
    <row r="177" spans="1:60">
      <c r="A177" s="5">
        <v>18021797663</v>
      </c>
      <c r="B177" s="5"/>
      <c r="C177" s="5"/>
      <c r="D177" s="5"/>
      <c r="E177" s="5"/>
      <c r="F177" s="5" t="s">
        <v>52</v>
      </c>
      <c r="G177" s="5" t="s">
        <v>53</v>
      </c>
      <c r="H177" s="5"/>
      <c r="I177" s="5"/>
      <c r="J177" s="5"/>
      <c r="K177" s="5"/>
      <c r="L177" s="5"/>
      <c r="M177" s="5"/>
      <c r="N177" s="5" t="s">
        <v>24</v>
      </c>
      <c r="O177" s="5"/>
      <c r="P177" s="5"/>
      <c r="Q177" s="5"/>
      <c r="R177" s="5"/>
      <c r="S177" s="5"/>
      <c r="T177" s="37"/>
      <c r="U177" s="37">
        <f t="shared" si="46"/>
        <v>3</v>
      </c>
      <c r="V177" s="37">
        <f t="shared" si="47"/>
        <v>1</v>
      </c>
      <c r="W177" s="37"/>
      <c r="X177" s="37">
        <f t="shared" si="48"/>
        <v>0</v>
      </c>
      <c r="Y177" s="37">
        <f t="shared" si="49"/>
        <v>0</v>
      </c>
      <c r="Z177" s="37">
        <f t="shared" si="50"/>
        <v>0</v>
      </c>
      <c r="AA177" s="37">
        <f t="shared" si="51"/>
        <v>0</v>
      </c>
      <c r="AB177" s="37">
        <f t="shared" si="52"/>
        <v>1</v>
      </c>
      <c r="AC177" s="37">
        <f t="shared" si="53"/>
        <v>1</v>
      </c>
      <c r="AD177" s="37">
        <f t="shared" si="54"/>
        <v>0</v>
      </c>
      <c r="AE177" s="37">
        <f t="shared" si="55"/>
        <v>0</v>
      </c>
      <c r="AF177" s="37">
        <f t="shared" si="56"/>
        <v>0</v>
      </c>
      <c r="AG177" s="37">
        <f t="shared" si="57"/>
        <v>0</v>
      </c>
      <c r="AH177" s="37">
        <f t="shared" si="58"/>
        <v>0</v>
      </c>
      <c r="AI177" s="37">
        <f t="shared" si="59"/>
        <v>0</v>
      </c>
      <c r="AJ177" s="37">
        <f t="shared" si="60"/>
        <v>1</v>
      </c>
      <c r="AK177" s="37">
        <f t="shared" si="61"/>
        <v>0</v>
      </c>
      <c r="AL177" s="37">
        <f t="shared" si="62"/>
        <v>0</v>
      </c>
      <c r="AM177" s="37">
        <f t="shared" si="63"/>
        <v>0</v>
      </c>
      <c r="AN177" s="37">
        <f t="shared" si="64"/>
        <v>0</v>
      </c>
      <c r="AO177" s="37">
        <f t="shared" si="65"/>
        <v>0</v>
      </c>
      <c r="AP177" s="37"/>
      <c r="AQ177" s="37"/>
      <c r="AR177" s="37">
        <f t="shared" si="66"/>
        <v>3</v>
      </c>
      <c r="AS177" s="37">
        <f t="shared" si="67"/>
        <v>3</v>
      </c>
      <c r="AT177" s="37" t="str">
        <f t="shared" si="68"/>
        <v>Correct</v>
      </c>
      <c r="AU177" s="37"/>
      <c r="AV177" s="120" t="str">
        <f>IFERROR(VLOOKUP(Table1[RespondentID],'All Data'!$A$3:$CO$999,87,FALSE),"unknown")</f>
        <v>Man</v>
      </c>
      <c r="AW177" s="120">
        <f>IFERROR(VLOOKUP(Table1[RespondentID],'All Data'!$A$3:$CO$999,88,FALSE),"unknown")</f>
        <v>18</v>
      </c>
      <c r="AX177" s="120" t="str">
        <f>IFERROR(VLOOKUP(Table1[RespondentID],'All Data'!$A$3:$CO$999,89,FALSE),"unknown")</f>
        <v>Suffolk</v>
      </c>
      <c r="AY177" s="120" t="str">
        <f>IFERROR(VLOOKUP(Table1[RespondentID],'All Data'!$A$3:$CO$999,90,FALSE),"unknown")</f>
        <v>Commack, 11725</v>
      </c>
      <c r="AZ177" s="120" t="str">
        <f>IFERROR(VLOOKUP(Table1[RespondentID],'All Data'!$A$3:$CO$999,91,FALSE),"unknown")</f>
        <v>White</v>
      </c>
      <c r="BA177" s="120" t="str">
        <f>IFERROR(VLOOKUP(Table1[RespondentID],'All Data'!$A$3:$CO$999,92,FALSE),"unknown")</f>
        <v>Hispanic or Latino</v>
      </c>
      <c r="BB177" s="120" t="str">
        <f>IFERROR(VLOOKUP(Table1[RespondentID],'All Data'!$A$3:$CO$999,93,FALSE),"unknown")</f>
        <v>Chinese</v>
      </c>
      <c r="BC177" s="120">
        <f>IFERROR(VLOOKUP(Table1[RespondentID],'All Data'!$A$3:$CW$999,94,FALSE),"unknown")</f>
        <v>0</v>
      </c>
      <c r="BD177" s="120">
        <f>IFERROR(VLOOKUP(Table1[RespondentID],'All Data'!$A$3:$CW$999,95,FALSE),"unknown")</f>
        <v>0</v>
      </c>
      <c r="BE177" s="120" t="str">
        <f>IFERROR(VLOOKUP(Table1[RespondentID],'All Data'!$A$3:$CW$999,96,FALSE),"unknown")</f>
        <v>Student</v>
      </c>
      <c r="BF177" s="120">
        <f>IFERROR(VLOOKUP(Table1[RespondentID],'All Data'!$A$3:$CW$999,97,FALSE),"unknown")</f>
        <v>0</v>
      </c>
      <c r="BG177" s="120">
        <f>IFERROR(VLOOKUP(Table1[RespondentID],'All Data'!$A$3:$CW$999,98,FALSE),"unknown")</f>
        <v>0</v>
      </c>
      <c r="BH177" s="120">
        <f>IFERROR(VLOOKUP(Table1[RespondentID],'All Data'!$A$3:$CW$999,99,FALSE),"unknown")</f>
        <v>0</v>
      </c>
    </row>
    <row r="178" spans="1:60">
      <c r="A178" s="5">
        <v>18021797480</v>
      </c>
      <c r="B178" s="5"/>
      <c r="C178" s="5"/>
      <c r="D178" s="5"/>
      <c r="E178" s="5"/>
      <c r="F178" s="5"/>
      <c r="G178" s="5"/>
      <c r="H178" s="5"/>
      <c r="I178" s="5"/>
      <c r="J178" s="5"/>
      <c r="K178" s="5"/>
      <c r="L178" s="5"/>
      <c r="M178" s="5"/>
      <c r="N178" s="5"/>
      <c r="O178" s="5"/>
      <c r="P178" s="5"/>
      <c r="Q178" s="5" t="s">
        <v>61</v>
      </c>
      <c r="R178" s="5"/>
      <c r="S178" s="5"/>
      <c r="T178" s="37"/>
      <c r="U178" s="37">
        <f t="shared" si="46"/>
        <v>1</v>
      </c>
      <c r="V178" s="37">
        <f t="shared" si="47"/>
        <v>3</v>
      </c>
      <c r="W178" s="37"/>
      <c r="X178" s="37">
        <f t="shared" si="48"/>
        <v>0</v>
      </c>
      <c r="Y178" s="37">
        <f t="shared" si="49"/>
        <v>0</v>
      </c>
      <c r="Z178" s="37">
        <f t="shared" si="50"/>
        <v>0</v>
      </c>
      <c r="AA178" s="37">
        <f t="shared" si="51"/>
        <v>0</v>
      </c>
      <c r="AB178" s="37">
        <f t="shared" si="52"/>
        <v>0</v>
      </c>
      <c r="AC178" s="37">
        <f t="shared" si="53"/>
        <v>0</v>
      </c>
      <c r="AD178" s="37">
        <f t="shared" si="54"/>
        <v>0</v>
      </c>
      <c r="AE178" s="37">
        <f t="shared" si="55"/>
        <v>0</v>
      </c>
      <c r="AF178" s="37">
        <f t="shared" si="56"/>
        <v>0</v>
      </c>
      <c r="AG178" s="37">
        <f t="shared" si="57"/>
        <v>0</v>
      </c>
      <c r="AH178" s="37">
        <f t="shared" si="58"/>
        <v>0</v>
      </c>
      <c r="AI178" s="37">
        <f t="shared" si="59"/>
        <v>0</v>
      </c>
      <c r="AJ178" s="37">
        <f t="shared" si="60"/>
        <v>0</v>
      </c>
      <c r="AK178" s="37">
        <f t="shared" si="61"/>
        <v>0</v>
      </c>
      <c r="AL178" s="37">
        <f t="shared" si="62"/>
        <v>0</v>
      </c>
      <c r="AM178" s="37">
        <f t="shared" si="63"/>
        <v>1</v>
      </c>
      <c r="AN178" s="37">
        <f t="shared" si="64"/>
        <v>0</v>
      </c>
      <c r="AO178" s="37">
        <f t="shared" si="65"/>
        <v>0</v>
      </c>
      <c r="AP178" s="37"/>
      <c r="AQ178" s="37"/>
      <c r="AR178" s="37">
        <f t="shared" si="66"/>
        <v>1</v>
      </c>
      <c r="AS178" s="37">
        <f t="shared" si="67"/>
        <v>1</v>
      </c>
      <c r="AT178" s="37" t="str">
        <f t="shared" si="68"/>
        <v>Correct</v>
      </c>
      <c r="AU178" s="37"/>
      <c r="AV178" s="120" t="str">
        <f>IFERROR(VLOOKUP(Table1[RespondentID],'All Data'!$A$3:$CO$999,87,FALSE),"unknown")</f>
        <v>Woman</v>
      </c>
      <c r="AW178" s="120">
        <f>IFERROR(VLOOKUP(Table1[RespondentID],'All Data'!$A$3:$CO$999,88,FALSE),"unknown")</f>
        <v>61</v>
      </c>
      <c r="AX178" s="120" t="str">
        <f>IFERROR(VLOOKUP(Table1[RespondentID],'All Data'!$A$3:$CO$999,89,FALSE),"unknown")</f>
        <v>Suffolk</v>
      </c>
      <c r="AY178" s="120" t="str">
        <f>IFERROR(VLOOKUP(Table1[RespondentID],'All Data'!$A$3:$CO$999,90,FALSE),"unknown")</f>
        <v>East Northport, 11731</v>
      </c>
      <c r="AZ178" s="120" t="str">
        <f>IFERROR(VLOOKUP(Table1[RespondentID],'All Data'!$A$3:$CO$999,91,FALSE),"unknown")</f>
        <v>American Indian and Alaska Native</v>
      </c>
      <c r="BA178" s="120">
        <f>IFERROR(VLOOKUP(Table1[RespondentID],'All Data'!$A$3:$CO$999,92,FALSE),"unknown")</f>
        <v>0</v>
      </c>
      <c r="BB178" s="120" t="str">
        <f>IFERROR(VLOOKUP(Table1[RespondentID],'All Data'!$A$3:$CO$999,93,FALSE),"unknown")</f>
        <v>Korean</v>
      </c>
      <c r="BC178" s="120" t="str">
        <f>IFERROR(VLOOKUP(Table1[RespondentID],'All Data'!$A$3:$CW$999,94,FALSE),"unknown")</f>
        <v>$0-$19,999</v>
      </c>
      <c r="BD178" s="120" t="str">
        <f>IFERROR(VLOOKUP(Table1[RespondentID],'All Data'!$A$3:$CW$999,95,FALSE),"unknown")</f>
        <v>College graduate</v>
      </c>
      <c r="BE178" s="120" t="str">
        <f>IFERROR(VLOOKUP(Table1[RespondentID],'All Data'!$A$3:$CW$999,96,FALSE),"unknown")</f>
        <v>Employed for wages</v>
      </c>
      <c r="BF178" s="120" t="str">
        <f>IFERROR(VLOOKUP(Table1[RespondentID],'All Data'!$A$3:$CW$999,97,FALSE),"unknown")</f>
        <v>Yes</v>
      </c>
      <c r="BG178" s="120">
        <f>IFERROR(VLOOKUP(Table1[RespondentID],'All Data'!$A$3:$CW$999,98,FALSE),"unknown")</f>
        <v>0</v>
      </c>
      <c r="BH178" s="120">
        <f>IFERROR(VLOOKUP(Table1[RespondentID],'All Data'!$A$3:$CW$999,99,FALSE),"unknown")</f>
        <v>0</v>
      </c>
    </row>
    <row r="179" spans="1:60">
      <c r="A179" s="5">
        <v>18021796836</v>
      </c>
      <c r="B179" s="5"/>
      <c r="C179" s="5"/>
      <c r="D179" s="5"/>
      <c r="E179" s="5"/>
      <c r="F179" s="5"/>
      <c r="G179" s="5"/>
      <c r="H179" s="5"/>
      <c r="I179" s="5"/>
      <c r="J179" s="5"/>
      <c r="K179" s="5"/>
      <c r="L179" s="5"/>
      <c r="M179" s="5"/>
      <c r="N179" s="5"/>
      <c r="O179" s="5"/>
      <c r="P179" s="5"/>
      <c r="Q179" s="5" t="s">
        <v>61</v>
      </c>
      <c r="R179" s="5"/>
      <c r="S179" s="5"/>
      <c r="T179" s="37"/>
      <c r="U179" s="37">
        <f t="shared" si="46"/>
        <v>1</v>
      </c>
      <c r="V179" s="37">
        <f t="shared" si="47"/>
        <v>3</v>
      </c>
      <c r="W179" s="37"/>
      <c r="X179" s="37">
        <f t="shared" si="48"/>
        <v>0</v>
      </c>
      <c r="Y179" s="37">
        <f t="shared" si="49"/>
        <v>0</v>
      </c>
      <c r="Z179" s="37">
        <f t="shared" si="50"/>
        <v>0</v>
      </c>
      <c r="AA179" s="37">
        <f t="shared" si="51"/>
        <v>0</v>
      </c>
      <c r="AB179" s="37">
        <f t="shared" si="52"/>
        <v>0</v>
      </c>
      <c r="AC179" s="37">
        <f t="shared" si="53"/>
        <v>0</v>
      </c>
      <c r="AD179" s="37">
        <f t="shared" si="54"/>
        <v>0</v>
      </c>
      <c r="AE179" s="37">
        <f t="shared" si="55"/>
        <v>0</v>
      </c>
      <c r="AF179" s="37">
        <f t="shared" si="56"/>
        <v>0</v>
      </c>
      <c r="AG179" s="37">
        <f t="shared" si="57"/>
        <v>0</v>
      </c>
      <c r="AH179" s="37">
        <f t="shared" si="58"/>
        <v>0</v>
      </c>
      <c r="AI179" s="37">
        <f t="shared" si="59"/>
        <v>0</v>
      </c>
      <c r="AJ179" s="37">
        <f t="shared" si="60"/>
        <v>0</v>
      </c>
      <c r="AK179" s="37">
        <f t="shared" si="61"/>
        <v>0</v>
      </c>
      <c r="AL179" s="37">
        <f t="shared" si="62"/>
        <v>0</v>
      </c>
      <c r="AM179" s="37">
        <f t="shared" si="63"/>
        <v>1</v>
      </c>
      <c r="AN179" s="37">
        <f t="shared" si="64"/>
        <v>0</v>
      </c>
      <c r="AO179" s="37">
        <f t="shared" si="65"/>
        <v>0</v>
      </c>
      <c r="AP179" s="37"/>
      <c r="AQ179" s="37"/>
      <c r="AR179" s="37">
        <f t="shared" si="66"/>
        <v>1</v>
      </c>
      <c r="AS179" s="37">
        <f t="shared" si="67"/>
        <v>1</v>
      </c>
      <c r="AT179" s="37" t="str">
        <f t="shared" si="68"/>
        <v>Correct</v>
      </c>
      <c r="AU179" s="37"/>
      <c r="AV179" s="120" t="str">
        <f>IFERROR(VLOOKUP(Table1[RespondentID],'All Data'!$A$3:$CO$999,87,FALSE),"unknown")</f>
        <v>Man</v>
      </c>
      <c r="AW179" s="120">
        <f>IFERROR(VLOOKUP(Table1[RespondentID],'All Data'!$A$3:$CO$999,88,FALSE),"unknown")</f>
        <v>60</v>
      </c>
      <c r="AX179" s="120" t="str">
        <f>IFERROR(VLOOKUP(Table1[RespondentID],'All Data'!$A$3:$CO$999,89,FALSE),"unknown")</f>
        <v>Suffolk</v>
      </c>
      <c r="AY179" s="120" t="str">
        <f>IFERROR(VLOOKUP(Table1[RespondentID],'All Data'!$A$3:$CO$999,90,FALSE),"unknown")</f>
        <v>Commack, 11725</v>
      </c>
      <c r="AZ179" s="120" t="str">
        <f>IFERROR(VLOOKUP(Table1[RespondentID],'All Data'!$A$3:$CO$999,91,FALSE),"unknown")</f>
        <v>American Indian and Alaska Native</v>
      </c>
      <c r="BA179" s="120">
        <f>IFERROR(VLOOKUP(Table1[RespondentID],'All Data'!$A$3:$CO$999,92,FALSE),"unknown")</f>
        <v>0</v>
      </c>
      <c r="BB179" s="120" t="str">
        <f>IFERROR(VLOOKUP(Table1[RespondentID],'All Data'!$A$3:$CO$999,93,FALSE),"unknown")</f>
        <v>Korean</v>
      </c>
      <c r="BC179" s="120" t="str">
        <f>IFERROR(VLOOKUP(Table1[RespondentID],'All Data'!$A$3:$CW$999,94,FALSE),"unknown")</f>
        <v>$0-$19,999</v>
      </c>
      <c r="BD179" s="120" t="str">
        <f>IFERROR(VLOOKUP(Table1[RespondentID],'All Data'!$A$3:$CW$999,95,FALSE),"unknown")</f>
        <v>College graduate</v>
      </c>
      <c r="BE179" s="120" t="str">
        <f>IFERROR(VLOOKUP(Table1[RespondentID],'All Data'!$A$3:$CW$999,96,FALSE),"unknown")</f>
        <v>Employed for wages</v>
      </c>
      <c r="BF179" s="120" t="str">
        <f>IFERROR(VLOOKUP(Table1[RespondentID],'All Data'!$A$3:$CW$999,97,FALSE),"unknown")</f>
        <v>Yes</v>
      </c>
      <c r="BG179" s="120">
        <f>IFERROR(VLOOKUP(Table1[RespondentID],'All Data'!$A$3:$CW$999,98,FALSE),"unknown")</f>
        <v>0</v>
      </c>
      <c r="BH179" s="120">
        <f>IFERROR(VLOOKUP(Table1[RespondentID],'All Data'!$A$3:$CW$999,99,FALSE),"unknown")</f>
        <v>0</v>
      </c>
    </row>
    <row r="180" spans="1:60">
      <c r="A180" s="5">
        <v>18021796390</v>
      </c>
      <c r="B180" s="5"/>
      <c r="C180" s="5"/>
      <c r="D180" s="5"/>
      <c r="E180" s="5" t="s">
        <v>17</v>
      </c>
      <c r="F180" s="5"/>
      <c r="G180" s="5"/>
      <c r="H180" s="5"/>
      <c r="I180" s="5"/>
      <c r="J180" s="5" t="s">
        <v>56</v>
      </c>
      <c r="K180" s="5"/>
      <c r="L180" s="5"/>
      <c r="M180" s="5"/>
      <c r="N180" s="5"/>
      <c r="O180" s="5"/>
      <c r="P180" s="5" t="s">
        <v>60</v>
      </c>
      <c r="Q180" s="5"/>
      <c r="R180" s="5"/>
      <c r="S180" s="5"/>
      <c r="T180" s="37"/>
      <c r="U180" s="37">
        <f t="shared" si="46"/>
        <v>3</v>
      </c>
      <c r="V180" s="37">
        <f t="shared" si="47"/>
        <v>1</v>
      </c>
      <c r="W180" s="37"/>
      <c r="X180" s="37">
        <f t="shared" si="48"/>
        <v>0</v>
      </c>
      <c r="Y180" s="37">
        <f t="shared" si="49"/>
        <v>0</v>
      </c>
      <c r="Z180" s="37">
        <f t="shared" si="50"/>
        <v>0</v>
      </c>
      <c r="AA180" s="37">
        <f t="shared" si="51"/>
        <v>1</v>
      </c>
      <c r="AB180" s="37">
        <f t="shared" si="52"/>
        <v>0</v>
      </c>
      <c r="AC180" s="37">
        <f t="shared" si="53"/>
        <v>0</v>
      </c>
      <c r="AD180" s="37">
        <f t="shared" si="54"/>
        <v>0</v>
      </c>
      <c r="AE180" s="37">
        <f t="shared" si="55"/>
        <v>0</v>
      </c>
      <c r="AF180" s="37">
        <f t="shared" si="56"/>
        <v>1</v>
      </c>
      <c r="AG180" s="37">
        <f t="shared" si="57"/>
        <v>0</v>
      </c>
      <c r="AH180" s="37">
        <f t="shared" si="58"/>
        <v>0</v>
      </c>
      <c r="AI180" s="37">
        <f t="shared" si="59"/>
        <v>0</v>
      </c>
      <c r="AJ180" s="37">
        <f t="shared" si="60"/>
        <v>0</v>
      </c>
      <c r="AK180" s="37">
        <f t="shared" si="61"/>
        <v>0</v>
      </c>
      <c r="AL180" s="37">
        <f t="shared" si="62"/>
        <v>1</v>
      </c>
      <c r="AM180" s="37">
        <f t="shared" si="63"/>
        <v>0</v>
      </c>
      <c r="AN180" s="37">
        <f t="shared" si="64"/>
        <v>0</v>
      </c>
      <c r="AO180" s="37">
        <f t="shared" si="65"/>
        <v>0</v>
      </c>
      <c r="AP180" s="37"/>
      <c r="AQ180" s="37"/>
      <c r="AR180" s="37">
        <f t="shared" si="66"/>
        <v>3</v>
      </c>
      <c r="AS180" s="37">
        <f t="shared" si="67"/>
        <v>3</v>
      </c>
      <c r="AT180" s="37" t="str">
        <f t="shared" si="68"/>
        <v>Correct</v>
      </c>
      <c r="AU180" s="37"/>
      <c r="AV180" s="120" t="str">
        <f>IFERROR(VLOOKUP(Table1[RespondentID],'All Data'!$A$3:$CO$999,87,FALSE),"unknown")</f>
        <v>Man</v>
      </c>
      <c r="AW180" s="120">
        <f>IFERROR(VLOOKUP(Table1[RespondentID],'All Data'!$A$3:$CO$999,88,FALSE),"unknown")</f>
        <v>26</v>
      </c>
      <c r="AX180" s="120" t="str">
        <f>IFERROR(VLOOKUP(Table1[RespondentID],'All Data'!$A$3:$CO$999,89,FALSE),"unknown")</f>
        <v>Suffolk</v>
      </c>
      <c r="AY180" s="120" t="str">
        <f>IFERROR(VLOOKUP(Table1[RespondentID],'All Data'!$A$3:$CO$999,90,FALSE),"unknown")</f>
        <v>Port Jefferson Station, 11776</v>
      </c>
      <c r="AZ180" s="120" t="str">
        <f>IFERROR(VLOOKUP(Table1[RespondentID],'All Data'!$A$3:$CO$999,91,FALSE),"unknown")</f>
        <v>White</v>
      </c>
      <c r="BA180" s="120" t="str">
        <f>IFERROR(VLOOKUP(Table1[RespondentID],'All Data'!$A$3:$CO$999,92,FALSE),"unknown")</f>
        <v>Hispanic or Latino</v>
      </c>
      <c r="BB180" s="120" t="str">
        <f>IFERROR(VLOOKUP(Table1[RespondentID],'All Data'!$A$3:$CO$999,93,FALSE),"unknown")</f>
        <v>English</v>
      </c>
      <c r="BC180" s="120" t="str">
        <f>IFERROR(VLOOKUP(Table1[RespondentID],'All Data'!$A$3:$CW$999,94,FALSE),"unknown")</f>
        <v>Over $125,000</v>
      </c>
      <c r="BD180" s="120" t="str">
        <f>IFERROR(VLOOKUP(Table1[RespondentID],'All Data'!$A$3:$CW$999,95,FALSE),"unknown")</f>
        <v>Some college</v>
      </c>
      <c r="BE180" s="120" t="str">
        <f>IFERROR(VLOOKUP(Table1[RespondentID],'All Data'!$A$3:$CW$999,96,FALSE),"unknown")</f>
        <v>Out of work and looking for work</v>
      </c>
      <c r="BF180" s="120" t="str">
        <f>IFERROR(VLOOKUP(Table1[RespondentID],'All Data'!$A$3:$CW$999,97,FALSE),"unknown")</f>
        <v>Yes</v>
      </c>
      <c r="BG180" s="120">
        <f>IFERROR(VLOOKUP(Table1[RespondentID],'All Data'!$A$3:$CW$999,98,FALSE),"unknown")</f>
        <v>0</v>
      </c>
      <c r="BH180" s="120">
        <f>IFERROR(VLOOKUP(Table1[RespondentID],'All Data'!$A$3:$CW$999,99,FALSE),"unknown")</f>
        <v>0</v>
      </c>
    </row>
    <row r="181" spans="1:60">
      <c r="A181" s="5">
        <v>18021796214</v>
      </c>
      <c r="B181" s="5"/>
      <c r="C181" s="5"/>
      <c r="D181" s="5"/>
      <c r="E181" s="5"/>
      <c r="F181" s="5"/>
      <c r="G181" s="5" t="s">
        <v>53</v>
      </c>
      <c r="H181" s="5"/>
      <c r="I181" s="5" t="s">
        <v>55</v>
      </c>
      <c r="J181" s="5"/>
      <c r="K181" s="5"/>
      <c r="L181" s="5"/>
      <c r="M181" s="5"/>
      <c r="N181" s="5"/>
      <c r="O181" s="5"/>
      <c r="P181" s="5"/>
      <c r="Q181" s="5"/>
      <c r="R181" s="5" t="s">
        <v>62</v>
      </c>
      <c r="S181" s="5"/>
      <c r="T181" s="37"/>
      <c r="U181" s="37">
        <f t="shared" si="46"/>
        <v>3</v>
      </c>
      <c r="V181" s="37">
        <f t="shared" si="47"/>
        <v>1</v>
      </c>
      <c r="W181" s="37"/>
      <c r="X181" s="37">
        <f t="shared" si="48"/>
        <v>0</v>
      </c>
      <c r="Y181" s="37">
        <f t="shared" si="49"/>
        <v>0</v>
      </c>
      <c r="Z181" s="37">
        <f t="shared" si="50"/>
        <v>0</v>
      </c>
      <c r="AA181" s="37">
        <f t="shared" si="51"/>
        <v>0</v>
      </c>
      <c r="AB181" s="37">
        <f t="shared" si="52"/>
        <v>0</v>
      </c>
      <c r="AC181" s="37">
        <f t="shared" si="53"/>
        <v>1</v>
      </c>
      <c r="AD181" s="37">
        <f t="shared" si="54"/>
        <v>0</v>
      </c>
      <c r="AE181" s="37">
        <f t="shared" si="55"/>
        <v>1</v>
      </c>
      <c r="AF181" s="37">
        <f t="shared" si="56"/>
        <v>0</v>
      </c>
      <c r="AG181" s="37">
        <f t="shared" si="57"/>
        <v>0</v>
      </c>
      <c r="AH181" s="37">
        <f t="shared" si="58"/>
        <v>0</v>
      </c>
      <c r="AI181" s="37">
        <f t="shared" si="59"/>
        <v>0</v>
      </c>
      <c r="AJ181" s="37">
        <f t="shared" si="60"/>
        <v>0</v>
      </c>
      <c r="AK181" s="37">
        <f t="shared" si="61"/>
        <v>0</v>
      </c>
      <c r="AL181" s="37">
        <f t="shared" si="62"/>
        <v>0</v>
      </c>
      <c r="AM181" s="37">
        <f t="shared" si="63"/>
        <v>0</v>
      </c>
      <c r="AN181" s="37">
        <f t="shared" si="64"/>
        <v>1</v>
      </c>
      <c r="AO181" s="37">
        <f t="shared" si="65"/>
        <v>0</v>
      </c>
      <c r="AP181" s="37"/>
      <c r="AQ181" s="37"/>
      <c r="AR181" s="37">
        <f t="shared" si="66"/>
        <v>3</v>
      </c>
      <c r="AS181" s="37">
        <f t="shared" si="67"/>
        <v>3</v>
      </c>
      <c r="AT181" s="37" t="str">
        <f t="shared" si="68"/>
        <v>Correct</v>
      </c>
      <c r="AU181" s="37"/>
      <c r="AV181" s="120" t="str">
        <f>IFERROR(VLOOKUP(Table1[RespondentID],'All Data'!$A$3:$CO$999,87,FALSE),"unknown")</f>
        <v>Woman</v>
      </c>
      <c r="AW181" s="120">
        <f>IFERROR(VLOOKUP(Table1[RespondentID],'All Data'!$A$3:$CO$999,88,FALSE),"unknown")</f>
        <v>46</v>
      </c>
      <c r="AX181" s="120" t="str">
        <f>IFERROR(VLOOKUP(Table1[RespondentID],'All Data'!$A$3:$CO$999,89,FALSE),"unknown")</f>
        <v>Nassau</v>
      </c>
      <c r="AY181" s="120" t="str">
        <f>IFERROR(VLOOKUP(Table1[RespondentID],'All Data'!$A$3:$CO$999,90,FALSE),"unknown")</f>
        <v>Long Beach, 11561</v>
      </c>
      <c r="AZ181" s="120" t="str">
        <f>IFERROR(VLOOKUP(Table1[RespondentID],'All Data'!$A$3:$CO$999,91,FALSE),"unknown")</f>
        <v>White</v>
      </c>
      <c r="BA181" s="120" t="str">
        <f>IFERROR(VLOOKUP(Table1[RespondentID],'All Data'!$A$3:$CO$999,92,FALSE),"unknown")</f>
        <v>Hispanic or Latino</v>
      </c>
      <c r="BB181" s="120" t="str">
        <f>IFERROR(VLOOKUP(Table1[RespondentID],'All Data'!$A$3:$CO$999,93,FALSE),"unknown")</f>
        <v>English</v>
      </c>
      <c r="BC181" s="120" t="str">
        <f>IFERROR(VLOOKUP(Table1[RespondentID],'All Data'!$A$3:$CW$999,94,FALSE),"unknown")</f>
        <v>Over $125,000</v>
      </c>
      <c r="BD181" s="120" t="str">
        <f>IFERROR(VLOOKUP(Table1[RespondentID],'All Data'!$A$3:$CW$999,95,FALSE),"unknown")</f>
        <v>Graduate school</v>
      </c>
      <c r="BE181" s="120" t="str">
        <f>IFERROR(VLOOKUP(Table1[RespondentID],'All Data'!$A$3:$CW$999,96,FALSE),"unknown")</f>
        <v>Employed for wages</v>
      </c>
      <c r="BF181" s="120" t="str">
        <f>IFERROR(VLOOKUP(Table1[RespondentID],'All Data'!$A$3:$CW$999,97,FALSE),"unknown")</f>
        <v>Yes</v>
      </c>
      <c r="BG181" s="120">
        <f>IFERROR(VLOOKUP(Table1[RespondentID],'All Data'!$A$3:$CW$999,98,FALSE),"unknown")</f>
        <v>0</v>
      </c>
      <c r="BH181" s="120">
        <f>IFERROR(VLOOKUP(Table1[RespondentID],'All Data'!$A$3:$CW$999,99,FALSE),"unknown")</f>
        <v>0</v>
      </c>
    </row>
    <row r="182" spans="1:60">
      <c r="A182" s="5">
        <v>18021795979</v>
      </c>
      <c r="B182" s="5"/>
      <c r="C182" s="5"/>
      <c r="D182" s="5"/>
      <c r="E182" s="5" t="s">
        <v>17</v>
      </c>
      <c r="F182" s="5"/>
      <c r="G182" s="5"/>
      <c r="H182" s="5"/>
      <c r="I182" s="5"/>
      <c r="J182" s="5"/>
      <c r="K182" s="5"/>
      <c r="L182" s="5"/>
      <c r="M182" s="5"/>
      <c r="N182" s="5"/>
      <c r="O182" s="5"/>
      <c r="P182" s="5" t="s">
        <v>60</v>
      </c>
      <c r="Q182" s="5" t="s">
        <v>61</v>
      </c>
      <c r="R182" s="5"/>
      <c r="S182" s="5"/>
      <c r="T182" s="37"/>
      <c r="U182" s="37">
        <f t="shared" si="46"/>
        <v>3</v>
      </c>
      <c r="V182" s="37">
        <f t="shared" si="47"/>
        <v>1</v>
      </c>
      <c r="W182" s="37"/>
      <c r="X182" s="37">
        <f t="shared" si="48"/>
        <v>0</v>
      </c>
      <c r="Y182" s="37">
        <f t="shared" si="49"/>
        <v>0</v>
      </c>
      <c r="Z182" s="37">
        <f t="shared" si="50"/>
        <v>0</v>
      </c>
      <c r="AA182" s="37">
        <f t="shared" si="51"/>
        <v>1</v>
      </c>
      <c r="AB182" s="37">
        <f t="shared" si="52"/>
        <v>0</v>
      </c>
      <c r="AC182" s="37">
        <f t="shared" si="53"/>
        <v>0</v>
      </c>
      <c r="AD182" s="37">
        <f t="shared" si="54"/>
        <v>0</v>
      </c>
      <c r="AE182" s="37">
        <f t="shared" si="55"/>
        <v>0</v>
      </c>
      <c r="AF182" s="37">
        <f t="shared" si="56"/>
        <v>0</v>
      </c>
      <c r="AG182" s="37">
        <f t="shared" si="57"/>
        <v>0</v>
      </c>
      <c r="AH182" s="37">
        <f t="shared" si="58"/>
        <v>0</v>
      </c>
      <c r="AI182" s="37">
        <f t="shared" si="59"/>
        <v>0</v>
      </c>
      <c r="AJ182" s="37">
        <f t="shared" si="60"/>
        <v>0</v>
      </c>
      <c r="AK182" s="37">
        <f t="shared" si="61"/>
        <v>0</v>
      </c>
      <c r="AL182" s="37">
        <f t="shared" si="62"/>
        <v>1</v>
      </c>
      <c r="AM182" s="37">
        <f t="shared" si="63"/>
        <v>1</v>
      </c>
      <c r="AN182" s="37">
        <f t="shared" si="64"/>
        <v>0</v>
      </c>
      <c r="AO182" s="37">
        <f t="shared" si="65"/>
        <v>0</v>
      </c>
      <c r="AP182" s="37"/>
      <c r="AQ182" s="37"/>
      <c r="AR182" s="37">
        <f t="shared" si="66"/>
        <v>3</v>
      </c>
      <c r="AS182" s="37">
        <f t="shared" si="67"/>
        <v>3</v>
      </c>
      <c r="AT182" s="37" t="str">
        <f t="shared" si="68"/>
        <v>Correct</v>
      </c>
      <c r="AU182" s="37"/>
      <c r="AV182" s="120" t="str">
        <f>IFERROR(VLOOKUP(Table1[RespondentID],'All Data'!$A$3:$CO$999,87,FALSE),"unknown")</f>
        <v>Man</v>
      </c>
      <c r="AW182" s="120">
        <f>IFERROR(VLOOKUP(Table1[RespondentID],'All Data'!$A$3:$CO$999,88,FALSE),"unknown")</f>
        <v>34</v>
      </c>
      <c r="AX182" s="120" t="str">
        <f>IFERROR(VLOOKUP(Table1[RespondentID],'All Data'!$A$3:$CO$999,89,FALSE),"unknown")</f>
        <v>Suffolk</v>
      </c>
      <c r="AY182" s="120" t="str">
        <f>IFERROR(VLOOKUP(Table1[RespondentID],'All Data'!$A$3:$CO$999,90,FALSE),"unknown")</f>
        <v>Stony Brook, 11790</v>
      </c>
      <c r="AZ182" s="120" t="str">
        <f>IFERROR(VLOOKUP(Table1[RespondentID],'All Data'!$A$3:$CO$999,91,FALSE),"unknown")</f>
        <v>White</v>
      </c>
      <c r="BA182" s="120" t="str">
        <f>IFERROR(VLOOKUP(Table1[RespondentID],'All Data'!$A$3:$CO$999,92,FALSE),"unknown")</f>
        <v>Hispanic or Latino</v>
      </c>
      <c r="BB182" s="120" t="str">
        <f>IFERROR(VLOOKUP(Table1[RespondentID],'All Data'!$A$3:$CO$999,93,FALSE),"unknown")</f>
        <v>English</v>
      </c>
      <c r="BC182" s="120" t="str">
        <f>IFERROR(VLOOKUP(Table1[RespondentID],'All Data'!$A$3:$CW$999,94,FALSE),"unknown")</f>
        <v>$35,000 to $49,999</v>
      </c>
      <c r="BD182" s="120" t="str">
        <f>IFERROR(VLOOKUP(Table1[RespondentID],'All Data'!$A$3:$CW$999,95,FALSE),"unknown")</f>
        <v>Some college</v>
      </c>
      <c r="BE182" s="120" t="str">
        <f>IFERROR(VLOOKUP(Table1[RespondentID],'All Data'!$A$3:$CW$999,96,FALSE),"unknown")</f>
        <v>Employed for wages</v>
      </c>
      <c r="BF182" s="120" t="str">
        <f>IFERROR(VLOOKUP(Table1[RespondentID],'All Data'!$A$3:$CW$999,97,FALSE),"unknown")</f>
        <v>Yes</v>
      </c>
      <c r="BG182" s="120">
        <f>IFERROR(VLOOKUP(Table1[RespondentID],'All Data'!$A$3:$CW$999,98,FALSE),"unknown")</f>
        <v>0</v>
      </c>
      <c r="BH182" s="120">
        <f>IFERROR(VLOOKUP(Table1[RespondentID],'All Data'!$A$3:$CW$999,99,FALSE),"unknown")</f>
        <v>0</v>
      </c>
    </row>
    <row r="183" spans="1:60">
      <c r="A183" s="5">
        <v>18021795763</v>
      </c>
      <c r="B183" s="5"/>
      <c r="C183" s="5"/>
      <c r="D183" s="5" t="s">
        <v>51</v>
      </c>
      <c r="E183" s="5"/>
      <c r="F183" s="5"/>
      <c r="G183" s="5"/>
      <c r="H183" s="5"/>
      <c r="I183" s="5"/>
      <c r="J183" s="5"/>
      <c r="K183" s="5"/>
      <c r="L183" s="5"/>
      <c r="M183" s="5" t="s">
        <v>59</v>
      </c>
      <c r="N183" s="5"/>
      <c r="O183" s="5"/>
      <c r="P183" s="5" t="s">
        <v>60</v>
      </c>
      <c r="Q183" s="5"/>
      <c r="R183" s="5"/>
      <c r="S183" s="5"/>
      <c r="T183" s="37"/>
      <c r="U183" s="37">
        <f t="shared" si="46"/>
        <v>3</v>
      </c>
      <c r="V183" s="37">
        <f t="shared" si="47"/>
        <v>1</v>
      </c>
      <c r="W183" s="37"/>
      <c r="X183" s="37">
        <f t="shared" si="48"/>
        <v>0</v>
      </c>
      <c r="Y183" s="37">
        <f t="shared" si="49"/>
        <v>0</v>
      </c>
      <c r="Z183" s="37">
        <f t="shared" si="50"/>
        <v>1</v>
      </c>
      <c r="AA183" s="37">
        <f t="shared" si="51"/>
        <v>0</v>
      </c>
      <c r="AB183" s="37">
        <f t="shared" si="52"/>
        <v>0</v>
      </c>
      <c r="AC183" s="37">
        <f t="shared" si="53"/>
        <v>0</v>
      </c>
      <c r="AD183" s="37">
        <f t="shared" si="54"/>
        <v>0</v>
      </c>
      <c r="AE183" s="37">
        <f t="shared" si="55"/>
        <v>0</v>
      </c>
      <c r="AF183" s="37">
        <f t="shared" si="56"/>
        <v>0</v>
      </c>
      <c r="AG183" s="37">
        <f t="shared" si="57"/>
        <v>0</v>
      </c>
      <c r="AH183" s="37">
        <f t="shared" si="58"/>
        <v>0</v>
      </c>
      <c r="AI183" s="37">
        <f t="shared" si="59"/>
        <v>1</v>
      </c>
      <c r="AJ183" s="37">
        <f t="shared" si="60"/>
        <v>0</v>
      </c>
      <c r="AK183" s="37">
        <f t="shared" si="61"/>
        <v>0</v>
      </c>
      <c r="AL183" s="37">
        <f t="shared" si="62"/>
        <v>1</v>
      </c>
      <c r="AM183" s="37">
        <f t="shared" si="63"/>
        <v>0</v>
      </c>
      <c r="AN183" s="37">
        <f t="shared" si="64"/>
        <v>0</v>
      </c>
      <c r="AO183" s="37">
        <f t="shared" si="65"/>
        <v>0</v>
      </c>
      <c r="AP183" s="37"/>
      <c r="AQ183" s="37"/>
      <c r="AR183" s="37">
        <f t="shared" si="66"/>
        <v>3</v>
      </c>
      <c r="AS183" s="37">
        <f t="shared" si="67"/>
        <v>3</v>
      </c>
      <c r="AT183" s="37" t="str">
        <f t="shared" si="68"/>
        <v>Correct</v>
      </c>
      <c r="AU183" s="37"/>
      <c r="AV183" s="120" t="str">
        <f>IFERROR(VLOOKUP(Table1[RespondentID],'All Data'!$A$3:$CO$999,87,FALSE),"unknown")</f>
        <v>Man</v>
      </c>
      <c r="AW183" s="120">
        <f>IFERROR(VLOOKUP(Table1[RespondentID],'All Data'!$A$3:$CO$999,88,FALSE),"unknown")</f>
        <v>18</v>
      </c>
      <c r="AX183" s="120" t="str">
        <f>IFERROR(VLOOKUP(Table1[RespondentID],'All Data'!$A$3:$CO$999,89,FALSE),"unknown")</f>
        <v>Suffolk</v>
      </c>
      <c r="AY183" s="120" t="str">
        <f>IFERROR(VLOOKUP(Table1[RespondentID],'All Data'!$A$3:$CO$999,90,FALSE),"unknown")</f>
        <v>Commack, 11725</v>
      </c>
      <c r="AZ183" s="120" t="str">
        <f>IFERROR(VLOOKUP(Table1[RespondentID],'All Data'!$A$3:$CO$999,91,FALSE),"unknown")</f>
        <v>White</v>
      </c>
      <c r="BA183" s="120" t="str">
        <f>IFERROR(VLOOKUP(Table1[RespondentID],'All Data'!$A$3:$CO$999,92,FALSE),"unknown")</f>
        <v>Hispanic or Latino</v>
      </c>
      <c r="BB183" s="120" t="str">
        <f>IFERROR(VLOOKUP(Table1[RespondentID],'All Data'!$A$3:$CO$999,93,FALSE),"unknown")</f>
        <v>English</v>
      </c>
      <c r="BC183" s="120" t="str">
        <f>IFERROR(VLOOKUP(Table1[RespondentID],'All Data'!$A$3:$CW$999,94,FALSE),"unknown")</f>
        <v>$50,000 to $74,999</v>
      </c>
      <c r="BD183" s="120" t="str">
        <f>IFERROR(VLOOKUP(Table1[RespondentID],'All Data'!$A$3:$CW$999,95,FALSE),"unknown")</f>
        <v>High school graduate</v>
      </c>
      <c r="BE183" s="120" t="str">
        <f>IFERROR(VLOOKUP(Table1[RespondentID],'All Data'!$A$3:$CW$999,96,FALSE),"unknown")</f>
        <v>Student</v>
      </c>
      <c r="BF183" s="120" t="str">
        <f>IFERROR(VLOOKUP(Table1[RespondentID],'All Data'!$A$3:$CW$999,97,FALSE),"unknown")</f>
        <v>Yes</v>
      </c>
      <c r="BG183" s="120">
        <f>IFERROR(VLOOKUP(Table1[RespondentID],'All Data'!$A$3:$CW$999,98,FALSE),"unknown")</f>
        <v>0</v>
      </c>
      <c r="BH183" s="120">
        <f>IFERROR(VLOOKUP(Table1[RespondentID],'All Data'!$A$3:$CW$999,99,FALSE),"unknown")</f>
        <v>0</v>
      </c>
    </row>
    <row r="184" spans="1:60">
      <c r="A184" s="5">
        <v>18021795588</v>
      </c>
      <c r="B184" s="5" t="s">
        <v>49</v>
      </c>
      <c r="C184" s="5"/>
      <c r="D184" s="5"/>
      <c r="E184" s="5"/>
      <c r="F184" s="5"/>
      <c r="G184" s="5" t="s">
        <v>53</v>
      </c>
      <c r="H184" s="5" t="s">
        <v>54</v>
      </c>
      <c r="I184" s="5"/>
      <c r="J184" s="5"/>
      <c r="K184" s="5"/>
      <c r="L184" s="5"/>
      <c r="M184" s="5"/>
      <c r="N184" s="5" t="s">
        <v>24</v>
      </c>
      <c r="O184" s="5"/>
      <c r="P184" s="5" t="s">
        <v>60</v>
      </c>
      <c r="Q184" s="5"/>
      <c r="R184" s="5"/>
      <c r="S184" s="5"/>
      <c r="T184" s="37"/>
      <c r="U184" s="37">
        <f t="shared" si="46"/>
        <v>5</v>
      </c>
      <c r="V184" s="37">
        <f t="shared" si="47"/>
        <v>0.6</v>
      </c>
      <c r="W184" s="37"/>
      <c r="X184" s="37">
        <f t="shared" si="48"/>
        <v>0.6</v>
      </c>
      <c r="Y184" s="37">
        <f t="shared" si="49"/>
        <v>0</v>
      </c>
      <c r="Z184" s="37">
        <f t="shared" si="50"/>
        <v>0</v>
      </c>
      <c r="AA184" s="37">
        <f t="shared" si="51"/>
        <v>0</v>
      </c>
      <c r="AB184" s="37">
        <f t="shared" si="52"/>
        <v>0</v>
      </c>
      <c r="AC184" s="37">
        <f t="shared" si="53"/>
        <v>0.6</v>
      </c>
      <c r="AD184" s="37">
        <f t="shared" si="54"/>
        <v>0.6</v>
      </c>
      <c r="AE184" s="37">
        <f t="shared" si="55"/>
        <v>0</v>
      </c>
      <c r="AF184" s="37">
        <f t="shared" si="56"/>
        <v>0</v>
      </c>
      <c r="AG184" s="37">
        <f t="shared" si="57"/>
        <v>0</v>
      </c>
      <c r="AH184" s="37">
        <f t="shared" si="58"/>
        <v>0</v>
      </c>
      <c r="AI184" s="37">
        <f t="shared" si="59"/>
        <v>0</v>
      </c>
      <c r="AJ184" s="37">
        <f t="shared" si="60"/>
        <v>0.6</v>
      </c>
      <c r="AK184" s="37">
        <f t="shared" si="61"/>
        <v>0</v>
      </c>
      <c r="AL184" s="37">
        <f t="shared" si="62"/>
        <v>0.6</v>
      </c>
      <c r="AM184" s="37">
        <f t="shared" si="63"/>
        <v>0</v>
      </c>
      <c r="AN184" s="37">
        <f t="shared" si="64"/>
        <v>0</v>
      </c>
      <c r="AO184" s="37">
        <f t="shared" si="65"/>
        <v>0</v>
      </c>
      <c r="AP184" s="37"/>
      <c r="AQ184" s="37"/>
      <c r="AR184" s="37">
        <f t="shared" si="66"/>
        <v>3</v>
      </c>
      <c r="AS184" s="37">
        <f t="shared" si="67"/>
        <v>5</v>
      </c>
      <c r="AT184" s="37" t="str">
        <f t="shared" si="68"/>
        <v>Correct</v>
      </c>
      <c r="AU184" s="37"/>
      <c r="AV184" s="120" t="str">
        <f>IFERROR(VLOOKUP(Table1[RespondentID],'All Data'!$A$3:$CO$999,87,FALSE),"unknown")</f>
        <v>Woman</v>
      </c>
      <c r="AW184" s="120">
        <f>IFERROR(VLOOKUP(Table1[RespondentID],'All Data'!$A$3:$CO$999,88,FALSE),"unknown")</f>
        <v>64</v>
      </c>
      <c r="AX184" s="120" t="str">
        <f>IFERROR(VLOOKUP(Table1[RespondentID],'All Data'!$A$3:$CO$999,89,FALSE),"unknown")</f>
        <v>Suffolk</v>
      </c>
      <c r="AY184" s="120" t="str">
        <f>IFERROR(VLOOKUP(Table1[RespondentID],'All Data'!$A$3:$CO$999,90,FALSE),"unknown")</f>
        <v>Northport, 11768</v>
      </c>
      <c r="AZ184" s="120" t="str">
        <f>IFERROR(VLOOKUP(Table1[RespondentID],'All Data'!$A$3:$CO$999,91,FALSE),"unknown")</f>
        <v>White</v>
      </c>
      <c r="BA184" s="120" t="str">
        <f>IFERROR(VLOOKUP(Table1[RespondentID],'All Data'!$A$3:$CO$999,92,FALSE),"unknown")</f>
        <v>Hispanic or Latino</v>
      </c>
      <c r="BB184" s="120" t="str">
        <f>IFERROR(VLOOKUP(Table1[RespondentID],'All Data'!$A$3:$CO$999,93,FALSE),"unknown")</f>
        <v>English</v>
      </c>
      <c r="BC184" s="120" t="str">
        <f>IFERROR(VLOOKUP(Table1[RespondentID],'All Data'!$A$3:$CW$999,94,FALSE),"unknown")</f>
        <v>Over $125,000</v>
      </c>
      <c r="BD184" s="120" t="str">
        <f>IFERROR(VLOOKUP(Table1[RespondentID],'All Data'!$A$3:$CW$999,95,FALSE),"unknown")</f>
        <v>Graduate school</v>
      </c>
      <c r="BE184" s="120" t="str">
        <f>IFERROR(VLOOKUP(Table1[RespondentID],'All Data'!$A$3:$CW$999,96,FALSE),"unknown")</f>
        <v>Employed for wages</v>
      </c>
      <c r="BF184" s="120" t="str">
        <f>IFERROR(VLOOKUP(Table1[RespondentID],'All Data'!$A$3:$CW$999,97,FALSE),"unknown")</f>
        <v>Yes</v>
      </c>
      <c r="BG184" s="120">
        <f>IFERROR(VLOOKUP(Table1[RespondentID],'All Data'!$A$3:$CW$999,98,FALSE),"unknown")</f>
        <v>0</v>
      </c>
      <c r="BH184" s="120">
        <f>IFERROR(VLOOKUP(Table1[RespondentID],'All Data'!$A$3:$CW$999,99,FALSE),"unknown")</f>
        <v>0</v>
      </c>
    </row>
    <row r="185" spans="1:60">
      <c r="A185" s="5">
        <v>18021795380</v>
      </c>
      <c r="B185" s="5" t="s">
        <v>49</v>
      </c>
      <c r="C185" s="5"/>
      <c r="D185" s="5"/>
      <c r="E185" s="5"/>
      <c r="F185" s="5"/>
      <c r="G185" s="5" t="s">
        <v>53</v>
      </c>
      <c r="H185" s="5" t="s">
        <v>54</v>
      </c>
      <c r="I185" s="5"/>
      <c r="J185" s="5"/>
      <c r="K185" s="5"/>
      <c r="L185" s="5"/>
      <c r="M185" s="5"/>
      <c r="N185" s="5"/>
      <c r="O185" s="5"/>
      <c r="P185" s="5"/>
      <c r="Q185" s="5"/>
      <c r="R185" s="5"/>
      <c r="S185" s="5"/>
      <c r="T185" s="37"/>
      <c r="U185" s="37">
        <f t="shared" si="46"/>
        <v>3</v>
      </c>
      <c r="V185" s="37">
        <f t="shared" si="47"/>
        <v>1</v>
      </c>
      <c r="W185" s="37"/>
      <c r="X185" s="37">
        <f t="shared" si="48"/>
        <v>1</v>
      </c>
      <c r="Y185" s="37">
        <f t="shared" si="49"/>
        <v>0</v>
      </c>
      <c r="Z185" s="37">
        <f t="shared" si="50"/>
        <v>0</v>
      </c>
      <c r="AA185" s="37">
        <f t="shared" si="51"/>
        <v>0</v>
      </c>
      <c r="AB185" s="37">
        <f t="shared" si="52"/>
        <v>0</v>
      </c>
      <c r="AC185" s="37">
        <f t="shared" si="53"/>
        <v>1</v>
      </c>
      <c r="AD185" s="37">
        <f t="shared" si="54"/>
        <v>1</v>
      </c>
      <c r="AE185" s="37">
        <f t="shared" si="55"/>
        <v>0</v>
      </c>
      <c r="AF185" s="37">
        <f t="shared" si="56"/>
        <v>0</v>
      </c>
      <c r="AG185" s="37">
        <f t="shared" si="57"/>
        <v>0</v>
      </c>
      <c r="AH185" s="37">
        <f t="shared" si="58"/>
        <v>0</v>
      </c>
      <c r="AI185" s="37">
        <f t="shared" si="59"/>
        <v>0</v>
      </c>
      <c r="AJ185" s="37">
        <f t="shared" si="60"/>
        <v>0</v>
      </c>
      <c r="AK185" s="37">
        <f t="shared" si="61"/>
        <v>0</v>
      </c>
      <c r="AL185" s="37">
        <f t="shared" si="62"/>
        <v>0</v>
      </c>
      <c r="AM185" s="37">
        <f t="shared" si="63"/>
        <v>0</v>
      </c>
      <c r="AN185" s="37">
        <f t="shared" si="64"/>
        <v>0</v>
      </c>
      <c r="AO185" s="37">
        <f t="shared" si="65"/>
        <v>0</v>
      </c>
      <c r="AP185" s="37"/>
      <c r="AQ185" s="37"/>
      <c r="AR185" s="37">
        <f t="shared" si="66"/>
        <v>3</v>
      </c>
      <c r="AS185" s="37">
        <f t="shared" si="67"/>
        <v>3</v>
      </c>
      <c r="AT185" s="37" t="str">
        <f t="shared" si="68"/>
        <v>Correct</v>
      </c>
      <c r="AU185" s="37"/>
      <c r="AV185" s="120" t="str">
        <f>IFERROR(VLOOKUP(Table1[RespondentID],'All Data'!$A$3:$CO$999,87,FALSE),"unknown")</f>
        <v>Woman</v>
      </c>
      <c r="AW185" s="120">
        <f>IFERROR(VLOOKUP(Table1[RespondentID],'All Data'!$A$3:$CO$999,88,FALSE),"unknown")</f>
        <v>50</v>
      </c>
      <c r="AX185" s="120" t="str">
        <f>IFERROR(VLOOKUP(Table1[RespondentID],'All Data'!$A$3:$CO$999,89,FALSE),"unknown")</f>
        <v>Suffolk</v>
      </c>
      <c r="AY185" s="120" t="str">
        <f>IFERROR(VLOOKUP(Table1[RespondentID],'All Data'!$A$3:$CO$999,90,FALSE),"unknown")</f>
        <v>Dix Hills, 11746</v>
      </c>
      <c r="AZ185" s="120" t="str">
        <f>IFERROR(VLOOKUP(Table1[RespondentID],'All Data'!$A$3:$CO$999,91,FALSE),"unknown")</f>
        <v>American Indian and Alaska Native</v>
      </c>
      <c r="BA185" s="120" t="str">
        <f>IFERROR(VLOOKUP(Table1[RespondentID],'All Data'!$A$3:$CO$999,92,FALSE),"unknown")</f>
        <v>Hispanic or Latino</v>
      </c>
      <c r="BB185" s="120" t="str">
        <f>IFERROR(VLOOKUP(Table1[RespondentID],'All Data'!$A$3:$CO$999,93,FALSE),"unknown")</f>
        <v>English</v>
      </c>
      <c r="BC185" s="120" t="str">
        <f>IFERROR(VLOOKUP(Table1[RespondentID],'All Data'!$A$3:$CW$999,94,FALSE),"unknown")</f>
        <v>$50,000 to $74,999</v>
      </c>
      <c r="BD185" s="120" t="str">
        <f>IFERROR(VLOOKUP(Table1[RespondentID],'All Data'!$A$3:$CW$999,95,FALSE),"unknown")</f>
        <v>Some college</v>
      </c>
      <c r="BE185" s="120" t="str">
        <f>IFERROR(VLOOKUP(Table1[RespondentID],'All Data'!$A$3:$CW$999,96,FALSE),"unknown")</f>
        <v>Employed for wages</v>
      </c>
      <c r="BF185" s="120" t="str">
        <f>IFERROR(VLOOKUP(Table1[RespondentID],'All Data'!$A$3:$CW$999,97,FALSE),"unknown")</f>
        <v>Yes</v>
      </c>
      <c r="BG185" s="120">
        <f>IFERROR(VLOOKUP(Table1[RespondentID],'All Data'!$A$3:$CW$999,98,FALSE),"unknown")</f>
        <v>0</v>
      </c>
      <c r="BH185" s="120">
        <f>IFERROR(VLOOKUP(Table1[RespondentID],'All Data'!$A$3:$CW$999,99,FALSE),"unknown")</f>
        <v>0</v>
      </c>
    </row>
    <row r="186" spans="1:60">
      <c r="A186" s="5">
        <v>18021795224</v>
      </c>
      <c r="B186" s="5" t="s">
        <v>49</v>
      </c>
      <c r="C186" s="5"/>
      <c r="D186" s="5"/>
      <c r="E186" s="5"/>
      <c r="F186" s="5"/>
      <c r="G186" s="5" t="s">
        <v>53</v>
      </c>
      <c r="H186" s="5"/>
      <c r="I186" s="5"/>
      <c r="J186" s="5"/>
      <c r="K186" s="5"/>
      <c r="L186" s="5"/>
      <c r="M186" s="5"/>
      <c r="N186" s="5" t="s">
        <v>24</v>
      </c>
      <c r="O186" s="5"/>
      <c r="P186" s="5"/>
      <c r="Q186" s="5"/>
      <c r="R186" s="5"/>
      <c r="S186" s="5"/>
      <c r="T186" s="37"/>
      <c r="U186" s="37">
        <f t="shared" si="46"/>
        <v>3</v>
      </c>
      <c r="V186" s="37">
        <f t="shared" si="47"/>
        <v>1</v>
      </c>
      <c r="W186" s="37"/>
      <c r="X186" s="37">
        <f t="shared" si="48"/>
        <v>1</v>
      </c>
      <c r="Y186" s="37">
        <f t="shared" si="49"/>
        <v>0</v>
      </c>
      <c r="Z186" s="37">
        <f t="shared" si="50"/>
        <v>0</v>
      </c>
      <c r="AA186" s="37">
        <f t="shared" si="51"/>
        <v>0</v>
      </c>
      <c r="AB186" s="37">
        <f t="shared" si="52"/>
        <v>0</v>
      </c>
      <c r="AC186" s="37">
        <f t="shared" si="53"/>
        <v>1</v>
      </c>
      <c r="AD186" s="37">
        <f t="shared" si="54"/>
        <v>0</v>
      </c>
      <c r="AE186" s="37">
        <f t="shared" si="55"/>
        <v>0</v>
      </c>
      <c r="AF186" s="37">
        <f t="shared" si="56"/>
        <v>0</v>
      </c>
      <c r="AG186" s="37">
        <f t="shared" si="57"/>
        <v>0</v>
      </c>
      <c r="AH186" s="37">
        <f t="shared" si="58"/>
        <v>0</v>
      </c>
      <c r="AI186" s="37">
        <f t="shared" si="59"/>
        <v>0</v>
      </c>
      <c r="AJ186" s="37">
        <f t="shared" si="60"/>
        <v>1</v>
      </c>
      <c r="AK186" s="37">
        <f t="shared" si="61"/>
        <v>0</v>
      </c>
      <c r="AL186" s="37">
        <f t="shared" si="62"/>
        <v>0</v>
      </c>
      <c r="AM186" s="37">
        <f t="shared" si="63"/>
        <v>0</v>
      </c>
      <c r="AN186" s="37">
        <f t="shared" si="64"/>
        <v>0</v>
      </c>
      <c r="AO186" s="37">
        <f t="shared" si="65"/>
        <v>0</v>
      </c>
      <c r="AP186" s="37"/>
      <c r="AQ186" s="37"/>
      <c r="AR186" s="37">
        <f t="shared" si="66"/>
        <v>3</v>
      </c>
      <c r="AS186" s="37">
        <f t="shared" si="67"/>
        <v>3</v>
      </c>
      <c r="AT186" s="37" t="str">
        <f t="shared" si="68"/>
        <v>Correct</v>
      </c>
      <c r="AU186" s="37"/>
      <c r="AV186" s="120" t="str">
        <f>IFERROR(VLOOKUP(Table1[RespondentID],'All Data'!$A$3:$CO$999,87,FALSE),"unknown")</f>
        <v>Man</v>
      </c>
      <c r="AW186" s="120">
        <f>IFERROR(VLOOKUP(Table1[RespondentID],'All Data'!$A$3:$CO$999,88,FALSE),"unknown")</f>
        <v>86</v>
      </c>
      <c r="AX186" s="120" t="str">
        <f>IFERROR(VLOOKUP(Table1[RespondentID],'All Data'!$A$3:$CO$999,89,FALSE),"unknown")</f>
        <v>Suffolk</v>
      </c>
      <c r="AY186" s="120" t="str">
        <f>IFERROR(VLOOKUP(Table1[RespondentID],'All Data'!$A$3:$CO$999,90,FALSE),"unknown")</f>
        <v>Dix Hills, 11746</v>
      </c>
      <c r="AZ186" s="120" t="str">
        <f>IFERROR(VLOOKUP(Table1[RespondentID],'All Data'!$A$3:$CO$999,91,FALSE),"unknown")</f>
        <v>American Indian and Alaska Native</v>
      </c>
      <c r="BA186" s="120" t="str">
        <f>IFERROR(VLOOKUP(Table1[RespondentID],'All Data'!$A$3:$CO$999,92,FALSE),"unknown")</f>
        <v>Hispanic or Latino</v>
      </c>
      <c r="BB186" s="120" t="str">
        <f>IFERROR(VLOOKUP(Table1[RespondentID],'All Data'!$A$3:$CO$999,93,FALSE),"unknown")</f>
        <v>English</v>
      </c>
      <c r="BC186" s="120" t="str">
        <f>IFERROR(VLOOKUP(Table1[RespondentID],'All Data'!$A$3:$CW$999,94,FALSE),"unknown")</f>
        <v>$50,000 to $74,999</v>
      </c>
      <c r="BD186" s="120" t="str">
        <f>IFERROR(VLOOKUP(Table1[RespondentID],'All Data'!$A$3:$CW$999,95,FALSE),"unknown")</f>
        <v>Some high school</v>
      </c>
      <c r="BE186" s="120" t="str">
        <f>IFERROR(VLOOKUP(Table1[RespondentID],'All Data'!$A$3:$CW$999,96,FALSE),"unknown")</f>
        <v>Retired</v>
      </c>
      <c r="BF186" s="120" t="str">
        <f>IFERROR(VLOOKUP(Table1[RespondentID],'All Data'!$A$3:$CW$999,97,FALSE),"unknown")</f>
        <v>Yes</v>
      </c>
      <c r="BG186" s="120">
        <f>IFERROR(VLOOKUP(Table1[RespondentID],'All Data'!$A$3:$CW$999,98,FALSE),"unknown")</f>
        <v>0</v>
      </c>
      <c r="BH186" s="120">
        <f>IFERROR(VLOOKUP(Table1[RespondentID],'All Data'!$A$3:$CW$999,99,FALSE),"unknown")</f>
        <v>0</v>
      </c>
    </row>
    <row r="187" spans="1:60">
      <c r="A187" s="5">
        <v>18021795037</v>
      </c>
      <c r="B187" s="5"/>
      <c r="C187" s="5"/>
      <c r="D187" s="5" t="s">
        <v>51</v>
      </c>
      <c r="E187" s="5"/>
      <c r="F187" s="5"/>
      <c r="G187" s="5" t="s">
        <v>53</v>
      </c>
      <c r="H187" s="5"/>
      <c r="I187" s="5"/>
      <c r="J187" s="5"/>
      <c r="K187" s="5"/>
      <c r="L187" s="5"/>
      <c r="M187" s="5"/>
      <c r="N187" s="5"/>
      <c r="O187" s="5"/>
      <c r="P187" s="5" t="s">
        <v>60</v>
      </c>
      <c r="Q187" s="5"/>
      <c r="R187" s="5"/>
      <c r="S187" s="5"/>
      <c r="T187" s="37"/>
      <c r="U187" s="37">
        <f t="shared" si="46"/>
        <v>3</v>
      </c>
      <c r="V187" s="37">
        <f t="shared" si="47"/>
        <v>1</v>
      </c>
      <c r="W187" s="37"/>
      <c r="X187" s="37">
        <f t="shared" si="48"/>
        <v>0</v>
      </c>
      <c r="Y187" s="37">
        <f t="shared" si="49"/>
        <v>0</v>
      </c>
      <c r="Z187" s="37">
        <f t="shared" si="50"/>
        <v>1</v>
      </c>
      <c r="AA187" s="37">
        <f t="shared" si="51"/>
        <v>0</v>
      </c>
      <c r="AB187" s="37">
        <f t="shared" si="52"/>
        <v>0</v>
      </c>
      <c r="AC187" s="37">
        <f t="shared" si="53"/>
        <v>1</v>
      </c>
      <c r="AD187" s="37">
        <f t="shared" si="54"/>
        <v>0</v>
      </c>
      <c r="AE187" s="37">
        <f t="shared" si="55"/>
        <v>0</v>
      </c>
      <c r="AF187" s="37">
        <f t="shared" si="56"/>
        <v>0</v>
      </c>
      <c r="AG187" s="37">
        <f t="shared" si="57"/>
        <v>0</v>
      </c>
      <c r="AH187" s="37">
        <f t="shared" si="58"/>
        <v>0</v>
      </c>
      <c r="AI187" s="37">
        <f t="shared" si="59"/>
        <v>0</v>
      </c>
      <c r="AJ187" s="37">
        <f t="shared" si="60"/>
        <v>0</v>
      </c>
      <c r="AK187" s="37">
        <f t="shared" si="61"/>
        <v>0</v>
      </c>
      <c r="AL187" s="37">
        <f t="shared" si="62"/>
        <v>1</v>
      </c>
      <c r="AM187" s="37">
        <f t="shared" si="63"/>
        <v>0</v>
      </c>
      <c r="AN187" s="37">
        <f t="shared" si="64"/>
        <v>0</v>
      </c>
      <c r="AO187" s="37">
        <f t="shared" si="65"/>
        <v>0</v>
      </c>
      <c r="AP187" s="37"/>
      <c r="AQ187" s="37"/>
      <c r="AR187" s="37">
        <f t="shared" si="66"/>
        <v>3</v>
      </c>
      <c r="AS187" s="37">
        <f t="shared" si="67"/>
        <v>3</v>
      </c>
      <c r="AT187" s="37" t="str">
        <f t="shared" si="68"/>
        <v>Correct</v>
      </c>
      <c r="AU187" s="37"/>
      <c r="AV187" s="120" t="str">
        <f>IFERROR(VLOOKUP(Table1[RespondentID],'All Data'!$A$3:$CO$999,87,FALSE),"unknown")</f>
        <v>Man</v>
      </c>
      <c r="AW187" s="120">
        <f>IFERROR(VLOOKUP(Table1[RespondentID],'All Data'!$A$3:$CO$999,88,FALSE),"unknown")</f>
        <v>46</v>
      </c>
      <c r="AX187" s="120" t="str">
        <f>IFERROR(VLOOKUP(Table1[RespondentID],'All Data'!$A$3:$CO$999,89,FALSE),"unknown")</f>
        <v>Suffolk</v>
      </c>
      <c r="AY187" s="120" t="str">
        <f>IFERROR(VLOOKUP(Table1[RespondentID],'All Data'!$A$3:$CO$999,90,FALSE),"unknown")</f>
        <v>Dix Hills, 11746</v>
      </c>
      <c r="AZ187" s="120" t="str">
        <f>IFERROR(VLOOKUP(Table1[RespondentID],'All Data'!$A$3:$CO$999,91,FALSE),"unknown")</f>
        <v>American Indian and Alaska Native</v>
      </c>
      <c r="BA187" s="120" t="str">
        <f>IFERROR(VLOOKUP(Table1[RespondentID],'All Data'!$A$3:$CO$999,92,FALSE),"unknown")</f>
        <v>Hispanic or Latino</v>
      </c>
      <c r="BB187" s="120" t="str">
        <f>IFERROR(VLOOKUP(Table1[RespondentID],'All Data'!$A$3:$CO$999,93,FALSE),"unknown")</f>
        <v>English</v>
      </c>
      <c r="BC187" s="120" t="str">
        <f>IFERROR(VLOOKUP(Table1[RespondentID],'All Data'!$A$3:$CW$999,94,FALSE),"unknown")</f>
        <v>$50,000 to $74,999</v>
      </c>
      <c r="BD187" s="120" t="str">
        <f>IFERROR(VLOOKUP(Table1[RespondentID],'All Data'!$A$3:$CW$999,95,FALSE),"unknown")</f>
        <v>Some college</v>
      </c>
      <c r="BE187" s="120" t="str">
        <f>IFERROR(VLOOKUP(Table1[RespondentID],'All Data'!$A$3:$CW$999,96,FALSE),"unknown")</f>
        <v>Employed for wages</v>
      </c>
      <c r="BF187" s="120" t="str">
        <f>IFERROR(VLOOKUP(Table1[RespondentID],'All Data'!$A$3:$CW$999,97,FALSE),"unknown")</f>
        <v>Yes</v>
      </c>
      <c r="BG187" s="120">
        <f>IFERROR(VLOOKUP(Table1[RespondentID],'All Data'!$A$3:$CW$999,98,FALSE),"unknown")</f>
        <v>0</v>
      </c>
      <c r="BH187" s="120">
        <f>IFERROR(VLOOKUP(Table1[RespondentID],'All Data'!$A$3:$CW$999,99,FALSE),"unknown")</f>
        <v>0</v>
      </c>
    </row>
    <row r="188" spans="1:60">
      <c r="A188" s="5">
        <v>18021794841</v>
      </c>
      <c r="B188" s="5"/>
      <c r="C188" s="5"/>
      <c r="D188" s="5"/>
      <c r="E188" s="5"/>
      <c r="F188" s="5"/>
      <c r="G188" s="5" t="s">
        <v>53</v>
      </c>
      <c r="H188" s="5"/>
      <c r="I188" s="5"/>
      <c r="J188" s="5"/>
      <c r="K188" s="5"/>
      <c r="L188" s="5"/>
      <c r="M188" s="5" t="s">
        <v>59</v>
      </c>
      <c r="N188" s="5"/>
      <c r="O188" s="5"/>
      <c r="P188" s="5"/>
      <c r="Q188" s="5"/>
      <c r="R188" s="5"/>
      <c r="S188" s="5" t="s">
        <v>63</v>
      </c>
      <c r="T188" s="37"/>
      <c r="U188" s="37">
        <f t="shared" si="46"/>
        <v>3</v>
      </c>
      <c r="V188" s="37">
        <f t="shared" si="47"/>
        <v>1</v>
      </c>
      <c r="W188" s="37"/>
      <c r="X188" s="37">
        <f t="shared" si="48"/>
        <v>0</v>
      </c>
      <c r="Y188" s="37">
        <f t="shared" si="49"/>
        <v>0</v>
      </c>
      <c r="Z188" s="37">
        <f t="shared" si="50"/>
        <v>0</v>
      </c>
      <c r="AA188" s="37">
        <f t="shared" si="51"/>
        <v>0</v>
      </c>
      <c r="AB188" s="37">
        <f t="shared" si="52"/>
        <v>0</v>
      </c>
      <c r="AC188" s="37">
        <f t="shared" si="53"/>
        <v>1</v>
      </c>
      <c r="AD188" s="37">
        <f t="shared" si="54"/>
        <v>0</v>
      </c>
      <c r="AE188" s="37">
        <f t="shared" si="55"/>
        <v>0</v>
      </c>
      <c r="AF188" s="37">
        <f t="shared" si="56"/>
        <v>0</v>
      </c>
      <c r="AG188" s="37">
        <f t="shared" si="57"/>
        <v>0</v>
      </c>
      <c r="AH188" s="37">
        <f t="shared" si="58"/>
        <v>0</v>
      </c>
      <c r="AI188" s="37">
        <f t="shared" si="59"/>
        <v>1</v>
      </c>
      <c r="AJ188" s="37">
        <f t="shared" si="60"/>
        <v>0</v>
      </c>
      <c r="AK188" s="37">
        <f t="shared" si="61"/>
        <v>0</v>
      </c>
      <c r="AL188" s="37">
        <f t="shared" si="62"/>
        <v>0</v>
      </c>
      <c r="AM188" s="37">
        <f t="shared" si="63"/>
        <v>0</v>
      </c>
      <c r="AN188" s="37">
        <f t="shared" si="64"/>
        <v>0</v>
      </c>
      <c r="AO188" s="37">
        <f t="shared" si="65"/>
        <v>1</v>
      </c>
      <c r="AP188" s="37"/>
      <c r="AQ188" s="37"/>
      <c r="AR188" s="37">
        <f t="shared" si="66"/>
        <v>3</v>
      </c>
      <c r="AS188" s="37">
        <f t="shared" si="67"/>
        <v>3</v>
      </c>
      <c r="AT188" s="37" t="str">
        <f t="shared" si="68"/>
        <v>Correct</v>
      </c>
      <c r="AU188" s="37"/>
      <c r="AV188" s="120" t="str">
        <f>IFERROR(VLOOKUP(Table1[RespondentID],'All Data'!$A$3:$CO$999,87,FALSE),"unknown")</f>
        <v>Woman</v>
      </c>
      <c r="AW188" s="120">
        <f>IFERROR(VLOOKUP(Table1[RespondentID],'All Data'!$A$3:$CO$999,88,FALSE),"unknown")</f>
        <v>18</v>
      </c>
      <c r="AX188" s="120" t="str">
        <f>IFERROR(VLOOKUP(Table1[RespondentID],'All Data'!$A$3:$CO$999,89,FALSE),"unknown")</f>
        <v>Suffolk</v>
      </c>
      <c r="AY188" s="120" t="str">
        <f>IFERROR(VLOOKUP(Table1[RespondentID],'All Data'!$A$3:$CO$999,90,FALSE),"unknown")</f>
        <v>East Northport, 11731</v>
      </c>
      <c r="AZ188" s="120" t="str">
        <f>IFERROR(VLOOKUP(Table1[RespondentID],'All Data'!$A$3:$CO$999,91,FALSE),"unknown")</f>
        <v>White</v>
      </c>
      <c r="BA188" s="120" t="str">
        <f>IFERROR(VLOOKUP(Table1[RespondentID],'All Data'!$A$3:$CO$999,92,FALSE),"unknown")</f>
        <v>Hispanic or Latino</v>
      </c>
      <c r="BB188" s="120" t="str">
        <f>IFERROR(VLOOKUP(Table1[RespondentID],'All Data'!$A$3:$CO$999,93,FALSE),"unknown")</f>
        <v>English</v>
      </c>
      <c r="BC188" s="120" t="str">
        <f>IFERROR(VLOOKUP(Table1[RespondentID],'All Data'!$A$3:$CW$999,94,FALSE),"unknown")</f>
        <v>Over $125,000</v>
      </c>
      <c r="BD188" s="120" t="str">
        <f>IFERROR(VLOOKUP(Table1[RespondentID],'All Data'!$A$3:$CW$999,95,FALSE),"unknown")</f>
        <v>High school graduate</v>
      </c>
      <c r="BE188" s="120" t="str">
        <f>IFERROR(VLOOKUP(Table1[RespondentID],'All Data'!$A$3:$CW$999,96,FALSE),"unknown")</f>
        <v>Student</v>
      </c>
      <c r="BF188" s="120" t="str">
        <f>IFERROR(VLOOKUP(Table1[RespondentID],'All Data'!$A$3:$CW$999,97,FALSE),"unknown")</f>
        <v>Yes</v>
      </c>
      <c r="BG188" s="120">
        <f>IFERROR(VLOOKUP(Table1[RespondentID],'All Data'!$A$3:$CW$999,98,FALSE),"unknown")</f>
        <v>0</v>
      </c>
      <c r="BH188" s="120">
        <f>IFERROR(VLOOKUP(Table1[RespondentID],'All Data'!$A$3:$CW$999,99,FALSE),"unknown")</f>
        <v>0</v>
      </c>
    </row>
    <row r="189" spans="1:60">
      <c r="A189" s="5">
        <v>18021794694</v>
      </c>
      <c r="B189" s="5"/>
      <c r="C189" s="5"/>
      <c r="D189" s="5"/>
      <c r="E189" s="5"/>
      <c r="F189" s="5"/>
      <c r="G189" s="5" t="s">
        <v>53</v>
      </c>
      <c r="H189" s="5" t="s">
        <v>54</v>
      </c>
      <c r="I189" s="5"/>
      <c r="J189" s="5"/>
      <c r="K189" s="5"/>
      <c r="L189" s="5" t="s">
        <v>58</v>
      </c>
      <c r="M189" s="5"/>
      <c r="N189" s="5"/>
      <c r="O189" s="5"/>
      <c r="P189" s="5"/>
      <c r="Q189" s="5"/>
      <c r="R189" s="5"/>
      <c r="S189" s="5"/>
      <c r="T189" s="37"/>
      <c r="U189" s="37">
        <f t="shared" si="46"/>
        <v>3</v>
      </c>
      <c r="V189" s="37">
        <f t="shared" si="47"/>
        <v>1</v>
      </c>
      <c r="W189" s="37"/>
      <c r="X189" s="37">
        <f t="shared" si="48"/>
        <v>0</v>
      </c>
      <c r="Y189" s="37">
        <f t="shared" si="49"/>
        <v>0</v>
      </c>
      <c r="Z189" s="37">
        <f t="shared" si="50"/>
        <v>0</v>
      </c>
      <c r="AA189" s="37">
        <f t="shared" si="51"/>
        <v>0</v>
      </c>
      <c r="AB189" s="37">
        <f t="shared" si="52"/>
        <v>0</v>
      </c>
      <c r="AC189" s="37">
        <f t="shared" si="53"/>
        <v>1</v>
      </c>
      <c r="AD189" s="37">
        <f t="shared" si="54"/>
        <v>1</v>
      </c>
      <c r="AE189" s="37">
        <f t="shared" si="55"/>
        <v>0</v>
      </c>
      <c r="AF189" s="37">
        <f t="shared" si="56"/>
        <v>0</v>
      </c>
      <c r="AG189" s="37">
        <f t="shared" si="57"/>
        <v>0</v>
      </c>
      <c r="AH189" s="37">
        <f t="shared" si="58"/>
        <v>1</v>
      </c>
      <c r="AI189" s="37">
        <f t="shared" si="59"/>
        <v>0</v>
      </c>
      <c r="AJ189" s="37">
        <f t="shared" si="60"/>
        <v>0</v>
      </c>
      <c r="AK189" s="37">
        <f t="shared" si="61"/>
        <v>0</v>
      </c>
      <c r="AL189" s="37">
        <f t="shared" si="62"/>
        <v>0</v>
      </c>
      <c r="AM189" s="37">
        <f t="shared" si="63"/>
        <v>0</v>
      </c>
      <c r="AN189" s="37">
        <f t="shared" si="64"/>
        <v>0</v>
      </c>
      <c r="AO189" s="37">
        <f t="shared" si="65"/>
        <v>0</v>
      </c>
      <c r="AP189" s="37"/>
      <c r="AQ189" s="37"/>
      <c r="AR189" s="37">
        <f t="shared" si="66"/>
        <v>3</v>
      </c>
      <c r="AS189" s="37">
        <f t="shared" si="67"/>
        <v>3</v>
      </c>
      <c r="AT189" s="37" t="str">
        <f t="shared" si="68"/>
        <v>Correct</v>
      </c>
      <c r="AU189" s="37"/>
      <c r="AV189" s="120" t="str">
        <f>IFERROR(VLOOKUP(Table1[RespondentID],'All Data'!$A$3:$CO$999,87,FALSE),"unknown")</f>
        <v>Woman</v>
      </c>
      <c r="AW189" s="120">
        <f>IFERROR(VLOOKUP(Table1[RespondentID],'All Data'!$A$3:$CO$999,88,FALSE),"unknown")</f>
        <v>49</v>
      </c>
      <c r="AX189" s="120" t="str">
        <f>IFERROR(VLOOKUP(Table1[RespondentID],'All Data'!$A$3:$CO$999,89,FALSE),"unknown")</f>
        <v>Queens</v>
      </c>
      <c r="AY189" s="120">
        <f>IFERROR(VLOOKUP(Table1[RespondentID],'All Data'!$A$3:$CO$999,90,FALSE),"unknown")</f>
        <v>11372</v>
      </c>
      <c r="AZ189" s="120">
        <f>IFERROR(VLOOKUP(Table1[RespondentID],'All Data'!$A$3:$CO$999,91,FALSE),"unknown")</f>
        <v>0</v>
      </c>
      <c r="BA189" s="120" t="str">
        <f>IFERROR(VLOOKUP(Table1[RespondentID],'All Data'!$A$3:$CO$999,92,FALSE),"unknown")</f>
        <v>Not Hispanic or Latino</v>
      </c>
      <c r="BB189" s="120" t="str">
        <f>IFERROR(VLOOKUP(Table1[RespondentID],'All Data'!$A$3:$CO$999,93,FALSE),"unknown")</f>
        <v>English, Spanish</v>
      </c>
      <c r="BC189" s="120" t="str">
        <f>IFERROR(VLOOKUP(Table1[RespondentID],'All Data'!$A$3:$CW$999,94,FALSE),"unknown")</f>
        <v>$75,000 to $125,000</v>
      </c>
      <c r="BD189" s="120" t="str">
        <f>IFERROR(VLOOKUP(Table1[RespondentID],'All Data'!$A$3:$CW$999,95,FALSE),"unknown")</f>
        <v>College graduate</v>
      </c>
      <c r="BE189" s="120" t="str">
        <f>IFERROR(VLOOKUP(Table1[RespondentID],'All Data'!$A$3:$CW$999,96,FALSE),"unknown")</f>
        <v>Employed for wages</v>
      </c>
      <c r="BF189" s="120" t="str">
        <f>IFERROR(VLOOKUP(Table1[RespondentID],'All Data'!$A$3:$CW$999,97,FALSE),"unknown")</f>
        <v>Yes</v>
      </c>
      <c r="BG189" s="120">
        <f>IFERROR(VLOOKUP(Table1[RespondentID],'All Data'!$A$3:$CW$999,98,FALSE),"unknown")</f>
        <v>0</v>
      </c>
      <c r="BH189" s="120" t="str">
        <f>IFERROR(VLOOKUP(Table1[RespondentID],'All Data'!$A$3:$CW$999,99,FALSE),"unknown")</f>
        <v>Yes</v>
      </c>
    </row>
    <row r="190" spans="1:60">
      <c r="A190" s="5">
        <v>18021794399</v>
      </c>
      <c r="B190" s="5"/>
      <c r="C190" s="5"/>
      <c r="D190" s="5"/>
      <c r="E190" s="5"/>
      <c r="F190" s="5"/>
      <c r="G190" s="5" t="s">
        <v>53</v>
      </c>
      <c r="H190" s="5"/>
      <c r="I190" s="5"/>
      <c r="J190" s="5"/>
      <c r="K190" s="5"/>
      <c r="L190" s="5"/>
      <c r="M190" s="5"/>
      <c r="N190" s="5"/>
      <c r="O190" s="5"/>
      <c r="P190" s="5" t="s">
        <v>60</v>
      </c>
      <c r="Q190" s="5"/>
      <c r="R190" s="5" t="s">
        <v>62</v>
      </c>
      <c r="S190" s="5"/>
      <c r="T190" s="37"/>
      <c r="U190" s="37">
        <f t="shared" si="46"/>
        <v>3</v>
      </c>
      <c r="V190" s="37">
        <f t="shared" si="47"/>
        <v>1</v>
      </c>
      <c r="W190" s="37"/>
      <c r="X190" s="37">
        <f t="shared" si="48"/>
        <v>0</v>
      </c>
      <c r="Y190" s="37">
        <f t="shared" si="49"/>
        <v>0</v>
      </c>
      <c r="Z190" s="37">
        <f t="shared" si="50"/>
        <v>0</v>
      </c>
      <c r="AA190" s="37">
        <f t="shared" si="51"/>
        <v>0</v>
      </c>
      <c r="AB190" s="37">
        <f t="shared" si="52"/>
        <v>0</v>
      </c>
      <c r="AC190" s="37">
        <f t="shared" si="53"/>
        <v>1</v>
      </c>
      <c r="AD190" s="37">
        <f t="shared" si="54"/>
        <v>0</v>
      </c>
      <c r="AE190" s="37">
        <f t="shared" si="55"/>
        <v>0</v>
      </c>
      <c r="AF190" s="37">
        <f t="shared" si="56"/>
        <v>0</v>
      </c>
      <c r="AG190" s="37">
        <f t="shared" si="57"/>
        <v>0</v>
      </c>
      <c r="AH190" s="37">
        <f t="shared" si="58"/>
        <v>0</v>
      </c>
      <c r="AI190" s="37">
        <f t="shared" si="59"/>
        <v>0</v>
      </c>
      <c r="AJ190" s="37">
        <f t="shared" si="60"/>
        <v>0</v>
      </c>
      <c r="AK190" s="37">
        <f t="shared" si="61"/>
        <v>0</v>
      </c>
      <c r="AL190" s="37">
        <f t="shared" si="62"/>
        <v>1</v>
      </c>
      <c r="AM190" s="37">
        <f t="shared" si="63"/>
        <v>0</v>
      </c>
      <c r="AN190" s="37">
        <f t="shared" si="64"/>
        <v>1</v>
      </c>
      <c r="AO190" s="37">
        <f t="shared" si="65"/>
        <v>0</v>
      </c>
      <c r="AP190" s="37"/>
      <c r="AQ190" s="37"/>
      <c r="AR190" s="37">
        <f t="shared" si="66"/>
        <v>3</v>
      </c>
      <c r="AS190" s="37">
        <f t="shared" si="67"/>
        <v>3</v>
      </c>
      <c r="AT190" s="37" t="str">
        <f t="shared" si="68"/>
        <v>Correct</v>
      </c>
      <c r="AU190" s="37"/>
      <c r="AV190" s="120" t="str">
        <f>IFERROR(VLOOKUP(Table1[RespondentID],'All Data'!$A$3:$CO$999,87,FALSE),"unknown")</f>
        <v>Man</v>
      </c>
      <c r="AW190" s="120">
        <f>IFERROR(VLOOKUP(Table1[RespondentID],'All Data'!$A$3:$CO$999,88,FALSE),"unknown")</f>
        <v>61</v>
      </c>
      <c r="AX190" s="120" t="str">
        <f>IFERROR(VLOOKUP(Table1[RespondentID],'All Data'!$A$3:$CO$999,89,FALSE),"unknown")</f>
        <v>Queens</v>
      </c>
      <c r="AY190" s="120">
        <f>IFERROR(VLOOKUP(Table1[RespondentID],'All Data'!$A$3:$CO$999,90,FALSE),"unknown")</f>
        <v>11372</v>
      </c>
      <c r="AZ190" s="120" t="str">
        <f>IFERROR(VLOOKUP(Table1[RespondentID],'All Data'!$A$3:$CO$999,91,FALSE),"unknown")</f>
        <v>American Indian and Alaska Native</v>
      </c>
      <c r="BA190" s="120" t="str">
        <f>IFERROR(VLOOKUP(Table1[RespondentID],'All Data'!$A$3:$CO$999,92,FALSE),"unknown")</f>
        <v>Hispanic or Latino</v>
      </c>
      <c r="BB190" s="120" t="str">
        <f>IFERROR(VLOOKUP(Table1[RespondentID],'All Data'!$A$3:$CO$999,93,FALSE),"unknown")</f>
        <v>English, Spanish</v>
      </c>
      <c r="BC190" s="120" t="str">
        <f>IFERROR(VLOOKUP(Table1[RespondentID],'All Data'!$A$3:$CW$999,94,FALSE),"unknown")</f>
        <v>$75,000 to $125,000</v>
      </c>
      <c r="BD190" s="120" t="str">
        <f>IFERROR(VLOOKUP(Table1[RespondentID],'All Data'!$A$3:$CW$999,95,FALSE),"unknown")</f>
        <v>Some college</v>
      </c>
      <c r="BE190" s="120" t="str">
        <f>IFERROR(VLOOKUP(Table1[RespondentID],'All Data'!$A$3:$CW$999,96,FALSE),"unknown")</f>
        <v>Employed for wages</v>
      </c>
      <c r="BF190" s="120" t="str">
        <f>IFERROR(VLOOKUP(Table1[RespondentID],'All Data'!$A$3:$CW$999,97,FALSE),"unknown")</f>
        <v>Yes</v>
      </c>
      <c r="BG190" s="120">
        <f>IFERROR(VLOOKUP(Table1[RespondentID],'All Data'!$A$3:$CW$999,98,FALSE),"unknown")</f>
        <v>0</v>
      </c>
      <c r="BH190" s="120" t="str">
        <f>IFERROR(VLOOKUP(Table1[RespondentID],'All Data'!$A$3:$CW$999,99,FALSE),"unknown")</f>
        <v>Yes</v>
      </c>
    </row>
    <row r="191" spans="1:60">
      <c r="A191" s="5">
        <v>18021794261</v>
      </c>
      <c r="B191" s="5"/>
      <c r="C191" s="5"/>
      <c r="D191" s="5" t="s">
        <v>51</v>
      </c>
      <c r="E191" s="5"/>
      <c r="F191" s="5"/>
      <c r="G191" s="5"/>
      <c r="H191" s="5"/>
      <c r="I191" s="5"/>
      <c r="J191" s="5"/>
      <c r="K191" s="5"/>
      <c r="L191" s="5"/>
      <c r="M191" s="5"/>
      <c r="N191" s="5"/>
      <c r="O191" s="5"/>
      <c r="P191" s="5"/>
      <c r="Q191" s="5"/>
      <c r="R191" s="5"/>
      <c r="S191" s="5"/>
      <c r="T191" s="37"/>
      <c r="U191" s="37">
        <f t="shared" si="46"/>
        <v>1</v>
      </c>
      <c r="V191" s="37">
        <f t="shared" si="47"/>
        <v>3</v>
      </c>
      <c r="W191" s="37"/>
      <c r="X191" s="37">
        <f t="shared" si="48"/>
        <v>0</v>
      </c>
      <c r="Y191" s="37">
        <f t="shared" si="49"/>
        <v>0</v>
      </c>
      <c r="Z191" s="37">
        <f t="shared" si="50"/>
        <v>1</v>
      </c>
      <c r="AA191" s="37">
        <f t="shared" si="51"/>
        <v>0</v>
      </c>
      <c r="AB191" s="37">
        <f t="shared" si="52"/>
        <v>0</v>
      </c>
      <c r="AC191" s="37">
        <f t="shared" si="53"/>
        <v>0</v>
      </c>
      <c r="AD191" s="37">
        <f t="shared" si="54"/>
        <v>0</v>
      </c>
      <c r="AE191" s="37">
        <f t="shared" si="55"/>
        <v>0</v>
      </c>
      <c r="AF191" s="37">
        <f t="shared" si="56"/>
        <v>0</v>
      </c>
      <c r="AG191" s="37">
        <f t="shared" si="57"/>
        <v>0</v>
      </c>
      <c r="AH191" s="37">
        <f t="shared" si="58"/>
        <v>0</v>
      </c>
      <c r="AI191" s="37">
        <f t="shared" si="59"/>
        <v>0</v>
      </c>
      <c r="AJ191" s="37">
        <f t="shared" si="60"/>
        <v>0</v>
      </c>
      <c r="AK191" s="37">
        <f t="shared" si="61"/>
        <v>0</v>
      </c>
      <c r="AL191" s="37">
        <f t="shared" si="62"/>
        <v>0</v>
      </c>
      <c r="AM191" s="37">
        <f t="shared" si="63"/>
        <v>0</v>
      </c>
      <c r="AN191" s="37">
        <f t="shared" si="64"/>
        <v>0</v>
      </c>
      <c r="AO191" s="37">
        <f t="shared" si="65"/>
        <v>0</v>
      </c>
      <c r="AP191" s="37"/>
      <c r="AQ191" s="37"/>
      <c r="AR191" s="37">
        <f t="shared" si="66"/>
        <v>1</v>
      </c>
      <c r="AS191" s="37">
        <f t="shared" si="67"/>
        <v>1</v>
      </c>
      <c r="AT191" s="37" t="str">
        <f t="shared" si="68"/>
        <v>Correct</v>
      </c>
      <c r="AU191" s="37"/>
      <c r="AV191" s="120" t="str">
        <f>IFERROR(VLOOKUP(Table1[RespondentID],'All Data'!$A$3:$CO$999,87,FALSE),"unknown")</f>
        <v>Man</v>
      </c>
      <c r="AW191" s="120">
        <f>IFERROR(VLOOKUP(Table1[RespondentID],'All Data'!$A$3:$CO$999,88,FALSE),"unknown")</f>
        <v>44</v>
      </c>
      <c r="AX191" s="120" t="str">
        <f>IFERROR(VLOOKUP(Table1[RespondentID],'All Data'!$A$3:$CO$999,89,FALSE),"unknown")</f>
        <v>Suffolk</v>
      </c>
      <c r="AY191" s="120" t="str">
        <f>IFERROR(VLOOKUP(Table1[RespondentID],'All Data'!$A$3:$CO$999,90,FALSE),"unknown")</f>
        <v>Port Jefferson Station, 11776</v>
      </c>
      <c r="AZ191" s="120" t="str">
        <f>IFERROR(VLOOKUP(Table1[RespondentID],'All Data'!$A$3:$CO$999,91,FALSE),"unknown")</f>
        <v>White</v>
      </c>
      <c r="BA191" s="120" t="str">
        <f>IFERROR(VLOOKUP(Table1[RespondentID],'All Data'!$A$3:$CO$999,92,FALSE),"unknown")</f>
        <v>Hispanic or Latino</v>
      </c>
      <c r="BB191" s="120" t="str">
        <f>IFERROR(VLOOKUP(Table1[RespondentID],'All Data'!$A$3:$CO$999,93,FALSE),"unknown")</f>
        <v>English</v>
      </c>
      <c r="BC191" s="120" t="str">
        <f>IFERROR(VLOOKUP(Table1[RespondentID],'All Data'!$A$3:$CW$999,94,FALSE),"unknown")</f>
        <v>Over $125,000</v>
      </c>
      <c r="BD191" s="120" t="str">
        <f>IFERROR(VLOOKUP(Table1[RespondentID],'All Data'!$A$3:$CW$999,95,FALSE),"unknown")</f>
        <v>Graduate school</v>
      </c>
      <c r="BE191" s="120" t="str">
        <f>IFERROR(VLOOKUP(Table1[RespondentID],'All Data'!$A$3:$CW$999,96,FALSE),"unknown")</f>
        <v>Employed for wages</v>
      </c>
      <c r="BF191" s="120" t="str">
        <f>IFERROR(VLOOKUP(Table1[RespondentID],'All Data'!$A$3:$CW$999,97,FALSE),"unknown")</f>
        <v>Yes</v>
      </c>
      <c r="BG191" s="120">
        <f>IFERROR(VLOOKUP(Table1[RespondentID],'All Data'!$A$3:$CW$999,98,FALSE),"unknown")</f>
        <v>0</v>
      </c>
      <c r="BH191" s="120">
        <f>IFERROR(VLOOKUP(Table1[RespondentID],'All Data'!$A$3:$CW$999,99,FALSE),"unknown")</f>
        <v>0</v>
      </c>
    </row>
    <row r="192" spans="1:60">
      <c r="A192" s="5">
        <v>18021634437</v>
      </c>
      <c r="B192" s="5"/>
      <c r="C192" s="5"/>
      <c r="D192" s="5" t="s">
        <v>51</v>
      </c>
      <c r="E192" s="5"/>
      <c r="F192" s="5"/>
      <c r="G192" s="5"/>
      <c r="H192" s="5"/>
      <c r="I192" s="5"/>
      <c r="J192" s="5"/>
      <c r="K192" s="5"/>
      <c r="L192" s="5"/>
      <c r="M192" s="5"/>
      <c r="N192" s="5"/>
      <c r="O192" s="5"/>
      <c r="P192" s="5" t="s">
        <v>60</v>
      </c>
      <c r="Q192" s="5" t="s">
        <v>61</v>
      </c>
      <c r="R192" s="5"/>
      <c r="S192" s="5"/>
      <c r="T192" s="37"/>
      <c r="U192" s="37">
        <f t="shared" si="46"/>
        <v>3</v>
      </c>
      <c r="V192" s="37">
        <f t="shared" si="47"/>
        <v>1</v>
      </c>
      <c r="W192" s="37"/>
      <c r="X192" s="37">
        <f t="shared" si="48"/>
        <v>0</v>
      </c>
      <c r="Y192" s="37">
        <f t="shared" si="49"/>
        <v>0</v>
      </c>
      <c r="Z192" s="37">
        <f t="shared" si="50"/>
        <v>1</v>
      </c>
      <c r="AA192" s="37">
        <f t="shared" si="51"/>
        <v>0</v>
      </c>
      <c r="AB192" s="37">
        <f t="shared" si="52"/>
        <v>0</v>
      </c>
      <c r="AC192" s="37">
        <f t="shared" si="53"/>
        <v>0</v>
      </c>
      <c r="AD192" s="37">
        <f t="shared" si="54"/>
        <v>0</v>
      </c>
      <c r="AE192" s="37">
        <f t="shared" si="55"/>
        <v>0</v>
      </c>
      <c r="AF192" s="37">
        <f t="shared" si="56"/>
        <v>0</v>
      </c>
      <c r="AG192" s="37">
        <f t="shared" si="57"/>
        <v>0</v>
      </c>
      <c r="AH192" s="37">
        <f t="shared" si="58"/>
        <v>0</v>
      </c>
      <c r="AI192" s="37">
        <f t="shared" si="59"/>
        <v>0</v>
      </c>
      <c r="AJ192" s="37">
        <f t="shared" si="60"/>
        <v>0</v>
      </c>
      <c r="AK192" s="37">
        <f t="shared" si="61"/>
        <v>0</v>
      </c>
      <c r="AL192" s="37">
        <f t="shared" si="62"/>
        <v>1</v>
      </c>
      <c r="AM192" s="37">
        <f t="shared" si="63"/>
        <v>1</v>
      </c>
      <c r="AN192" s="37">
        <f t="shared" si="64"/>
        <v>0</v>
      </c>
      <c r="AO192" s="37">
        <f t="shared" si="65"/>
        <v>0</v>
      </c>
      <c r="AP192" s="37"/>
      <c r="AQ192" s="37"/>
      <c r="AR192" s="37">
        <f t="shared" si="66"/>
        <v>3</v>
      </c>
      <c r="AS192" s="37">
        <f t="shared" si="67"/>
        <v>3</v>
      </c>
      <c r="AT192" s="37" t="str">
        <f t="shared" si="68"/>
        <v>Correct</v>
      </c>
      <c r="AU192" s="37"/>
      <c r="AV192" s="120" t="str">
        <f>IFERROR(VLOOKUP(Table1[RespondentID],'All Data'!$A$3:$CO$999,87,FALSE),"unknown")</f>
        <v>Woman</v>
      </c>
      <c r="AW192" s="120">
        <f>IFERROR(VLOOKUP(Table1[RespondentID],'All Data'!$A$3:$CO$999,88,FALSE),"unknown")</f>
        <v>47</v>
      </c>
      <c r="AX192" s="120" t="str">
        <f>IFERROR(VLOOKUP(Table1[RespondentID],'All Data'!$A$3:$CO$999,89,FALSE),"unknown")</f>
        <v>Suffolk</v>
      </c>
      <c r="AY192" s="120" t="str">
        <f>IFERROR(VLOOKUP(Table1[RespondentID],'All Data'!$A$3:$CO$999,90,FALSE),"unknown")</f>
        <v>Miller Place, 11764</v>
      </c>
      <c r="AZ192" s="120" t="str">
        <f>IFERROR(VLOOKUP(Table1[RespondentID],'All Data'!$A$3:$CO$999,91,FALSE),"unknown")</f>
        <v>White</v>
      </c>
      <c r="BA192" s="120" t="str">
        <f>IFERROR(VLOOKUP(Table1[RespondentID],'All Data'!$A$3:$CO$999,92,FALSE),"unknown")</f>
        <v>Hispanic or Latino</v>
      </c>
      <c r="BB192" s="120" t="str">
        <f>IFERROR(VLOOKUP(Table1[RespondentID],'All Data'!$A$3:$CO$999,93,FALSE),"unknown")</f>
        <v>English, Spanish</v>
      </c>
      <c r="BC192" s="120" t="str">
        <f>IFERROR(VLOOKUP(Table1[RespondentID],'All Data'!$A$3:$CW$999,94,FALSE),"unknown")</f>
        <v>Over $125,000</v>
      </c>
      <c r="BD192" s="120" t="str">
        <f>IFERROR(VLOOKUP(Table1[RespondentID],'All Data'!$A$3:$CW$999,95,FALSE),"unknown")</f>
        <v>College graduate</v>
      </c>
      <c r="BE192" s="120" t="str">
        <f>IFERROR(VLOOKUP(Table1[RespondentID],'All Data'!$A$3:$CW$999,96,FALSE),"unknown")</f>
        <v>Employed for wages</v>
      </c>
      <c r="BF192" s="120" t="str">
        <f>IFERROR(VLOOKUP(Table1[RespondentID],'All Data'!$A$3:$CW$999,97,FALSE),"unknown")</f>
        <v>Yes</v>
      </c>
      <c r="BG192" s="120" t="str">
        <f>IFERROR(VLOOKUP(Table1[RespondentID],'All Data'!$A$3:$CW$999,98,FALSE),"unknown")</f>
        <v>Private/Commercial</v>
      </c>
      <c r="BH192" s="120" t="str">
        <f>IFERROR(VLOOKUP(Table1[RespondentID],'All Data'!$A$3:$CW$999,99,FALSE),"unknown")</f>
        <v>Yes</v>
      </c>
    </row>
    <row r="193" spans="1:60">
      <c r="A193" s="5">
        <v>18021525704</v>
      </c>
      <c r="B193" s="5"/>
      <c r="C193" s="5"/>
      <c r="D193" s="5"/>
      <c r="E193" s="5"/>
      <c r="F193" s="5"/>
      <c r="G193" s="5"/>
      <c r="H193" s="5"/>
      <c r="I193" s="5"/>
      <c r="J193" s="5"/>
      <c r="K193" s="5" t="s">
        <v>57</v>
      </c>
      <c r="L193" s="5"/>
      <c r="M193" s="5"/>
      <c r="N193" s="5" t="s">
        <v>24</v>
      </c>
      <c r="O193" s="5"/>
      <c r="P193" s="5"/>
      <c r="Q193" s="5" t="s">
        <v>61</v>
      </c>
      <c r="R193" s="5"/>
      <c r="S193" s="5"/>
      <c r="T193" s="37"/>
      <c r="U193" s="37">
        <f t="shared" si="46"/>
        <v>3</v>
      </c>
      <c r="V193" s="37">
        <f t="shared" si="47"/>
        <v>1</v>
      </c>
      <c r="W193" s="37"/>
      <c r="X193" s="37">
        <f t="shared" si="48"/>
        <v>0</v>
      </c>
      <c r="Y193" s="37">
        <f t="shared" si="49"/>
        <v>0</v>
      </c>
      <c r="Z193" s="37">
        <f t="shared" si="50"/>
        <v>0</v>
      </c>
      <c r="AA193" s="37">
        <f t="shared" si="51"/>
        <v>0</v>
      </c>
      <c r="AB193" s="37">
        <f t="shared" si="52"/>
        <v>0</v>
      </c>
      <c r="AC193" s="37">
        <f t="shared" si="53"/>
        <v>0</v>
      </c>
      <c r="AD193" s="37">
        <f t="shared" si="54"/>
        <v>0</v>
      </c>
      <c r="AE193" s="37">
        <f t="shared" si="55"/>
        <v>0</v>
      </c>
      <c r="AF193" s="37">
        <f t="shared" si="56"/>
        <v>0</v>
      </c>
      <c r="AG193" s="37">
        <f t="shared" si="57"/>
        <v>1</v>
      </c>
      <c r="AH193" s="37">
        <f t="shared" si="58"/>
        <v>0</v>
      </c>
      <c r="AI193" s="37">
        <f t="shared" si="59"/>
        <v>0</v>
      </c>
      <c r="AJ193" s="37">
        <f t="shared" si="60"/>
        <v>1</v>
      </c>
      <c r="AK193" s="37">
        <f t="shared" si="61"/>
        <v>0</v>
      </c>
      <c r="AL193" s="37">
        <f t="shared" si="62"/>
        <v>0</v>
      </c>
      <c r="AM193" s="37">
        <f t="shared" si="63"/>
        <v>1</v>
      </c>
      <c r="AN193" s="37">
        <f t="shared" si="64"/>
        <v>0</v>
      </c>
      <c r="AO193" s="37">
        <f t="shared" si="65"/>
        <v>0</v>
      </c>
      <c r="AP193" s="37"/>
      <c r="AQ193" s="37"/>
      <c r="AR193" s="37">
        <f t="shared" si="66"/>
        <v>3</v>
      </c>
      <c r="AS193" s="37">
        <f t="shared" si="67"/>
        <v>3</v>
      </c>
      <c r="AT193" s="37" t="str">
        <f t="shared" si="68"/>
        <v>Correct</v>
      </c>
      <c r="AU193" s="37"/>
      <c r="AV193" s="120" t="str">
        <f>IFERROR(VLOOKUP(Table1[RespondentID],'All Data'!$A$3:$CO$999,87,FALSE),"unknown")</f>
        <v>Man</v>
      </c>
      <c r="AW193" s="120">
        <f>IFERROR(VLOOKUP(Table1[RespondentID],'All Data'!$A$3:$CO$999,88,FALSE),"unknown")</f>
        <v>0</v>
      </c>
      <c r="AX193" s="120" t="str">
        <f>IFERROR(VLOOKUP(Table1[RespondentID],'All Data'!$A$3:$CO$999,89,FALSE),"unknown")</f>
        <v>Suffolk</v>
      </c>
      <c r="AY193" s="120" t="str">
        <f>IFERROR(VLOOKUP(Table1[RespondentID],'All Data'!$A$3:$CO$999,90,FALSE),"unknown")</f>
        <v>Amityville, 11708</v>
      </c>
      <c r="AZ193" s="120" t="str">
        <f>IFERROR(VLOOKUP(Table1[RespondentID],'All Data'!$A$3:$CO$999,91,FALSE),"unknown")</f>
        <v>Native Hawaiian and Other Pacific Islander</v>
      </c>
      <c r="BA193" s="120" t="str">
        <f>IFERROR(VLOOKUP(Table1[RespondentID],'All Data'!$A$3:$CO$999,92,FALSE),"unknown")</f>
        <v>Not Hispanic or Latino</v>
      </c>
      <c r="BB193" s="120" t="str">
        <f>IFERROR(VLOOKUP(Table1[RespondentID],'All Data'!$A$3:$CO$999,93,FALSE),"unknown")</f>
        <v>English</v>
      </c>
      <c r="BC193" s="120" t="str">
        <f>IFERROR(VLOOKUP(Table1[RespondentID],'All Data'!$A$3:$CW$999,94,FALSE),"unknown")</f>
        <v>$75,000 to $125,000</v>
      </c>
      <c r="BD193" s="120" t="str">
        <f>IFERROR(VLOOKUP(Table1[RespondentID],'All Data'!$A$3:$CW$999,95,FALSE),"unknown")</f>
        <v>High school graduate</v>
      </c>
      <c r="BE193" s="120" t="str">
        <f>IFERROR(VLOOKUP(Table1[RespondentID],'All Data'!$A$3:$CW$999,96,FALSE),"unknown")</f>
        <v>Self-employed</v>
      </c>
      <c r="BF193" s="120" t="str">
        <f>IFERROR(VLOOKUP(Table1[RespondentID],'All Data'!$A$3:$CW$999,97,FALSE),"unknown")</f>
        <v>Yes</v>
      </c>
      <c r="BG193" s="120" t="str">
        <f>IFERROR(VLOOKUP(Table1[RespondentID],'All Data'!$A$3:$CW$999,98,FALSE),"unknown")</f>
        <v>Medicaid</v>
      </c>
      <c r="BH193" s="120" t="str">
        <f>IFERROR(VLOOKUP(Table1[RespondentID],'All Data'!$A$3:$CW$999,99,FALSE),"unknown")</f>
        <v>Yes</v>
      </c>
    </row>
    <row r="194" spans="1:60">
      <c r="A194" s="5">
        <v>18021525431</v>
      </c>
      <c r="B194" s="5"/>
      <c r="C194" s="5"/>
      <c r="D194" s="5"/>
      <c r="E194" s="5" t="s">
        <v>17</v>
      </c>
      <c r="F194" s="5"/>
      <c r="G194" s="5"/>
      <c r="H194" s="5" t="s">
        <v>54</v>
      </c>
      <c r="I194" s="5"/>
      <c r="J194" s="5"/>
      <c r="K194" s="5"/>
      <c r="L194" s="5"/>
      <c r="M194" s="5"/>
      <c r="N194" s="5" t="s">
        <v>24</v>
      </c>
      <c r="O194" s="5"/>
      <c r="P194" s="5"/>
      <c r="Q194" s="5"/>
      <c r="R194" s="5"/>
      <c r="S194" s="5"/>
      <c r="T194" s="37"/>
      <c r="U194" s="37">
        <f t="shared" ref="U194:U257" si="69">COUNTA(B194:T194)</f>
        <v>3</v>
      </c>
      <c r="V194" s="37">
        <f t="shared" ref="V194:V257" si="70">3/U194</f>
        <v>1</v>
      </c>
      <c r="W194" s="37"/>
      <c r="X194" s="37">
        <f t="shared" ref="X194:X257" si="71">IF($U194&lt;3,IF($B194=$B$1,1,0),IF($B194=$B$1,$V194,0))</f>
        <v>0</v>
      </c>
      <c r="Y194" s="37">
        <f t="shared" ref="Y194:Y257" si="72">IF($U194&lt;3,IF($C194=$C$1,1,0),IF($C194=$C$1,$V194,0))</f>
        <v>0</v>
      </c>
      <c r="Z194" s="37">
        <f t="shared" ref="Z194:Z257" si="73">IF($U194&lt;3,IF($D194=$D$1,1,0),IF($D194=$D$1,$V194,0))</f>
        <v>0</v>
      </c>
      <c r="AA194" s="37">
        <f t="shared" ref="AA194:AA257" si="74">IF($U194&lt;3,IF($E194=$E$1,1,0),IF($E194=$E$1,$V194,0))</f>
        <v>1</v>
      </c>
      <c r="AB194" s="37">
        <f t="shared" ref="AB194:AB257" si="75">IF($U194&lt;3,IF($F194=$F$1,1,0),IF($F194=$F$1,$V194,0))</f>
        <v>0</v>
      </c>
      <c r="AC194" s="37">
        <f t="shared" ref="AC194:AC257" si="76">IF($U194&lt;3,IF($G194=$G$1,1,0),IF($G194=$G$1,$V194,0))</f>
        <v>0</v>
      </c>
      <c r="AD194" s="37">
        <f t="shared" ref="AD194:AD257" si="77">IF($U194&lt;3,IF($H194=$H$1,1,0),IF($H194=$H$1,$V194,0))</f>
        <v>1</v>
      </c>
      <c r="AE194" s="37">
        <f t="shared" ref="AE194:AE257" si="78">IF($U194&lt;3,IF($I194=$I$1,1,0),IF($I194=$I$1,$V194,0))</f>
        <v>0</v>
      </c>
      <c r="AF194" s="37">
        <f t="shared" ref="AF194:AF257" si="79">IF($U194&lt;3,IF($J194=$J$1,1,0),IF($J194=$J$1,$V194,0))</f>
        <v>0</v>
      </c>
      <c r="AG194" s="37">
        <f t="shared" ref="AG194:AG257" si="80">IF($U194&lt;3,IF($K194=$K$1,1,0),IF($K194=$K$1,$V194,0))</f>
        <v>0</v>
      </c>
      <c r="AH194" s="37">
        <f t="shared" ref="AH194:AH257" si="81">IF($U194&lt;3,IF($L194=$L$1,1,0),IF($L194=$L$1,$V194,0))</f>
        <v>0</v>
      </c>
      <c r="AI194" s="37">
        <f t="shared" ref="AI194:AI257" si="82">IF($U194&lt;3,IF($M194=$M$1,1,0),IF($M194=$M$1,$V194,0))</f>
        <v>0</v>
      </c>
      <c r="AJ194" s="37">
        <f t="shared" ref="AJ194:AJ257" si="83">IF($U194&lt;3,IF($N194=$N$1,1,0),IF($N194=$N$1,$V194,0))</f>
        <v>1</v>
      </c>
      <c r="AK194" s="37">
        <f t="shared" ref="AK194:AK257" si="84">IF($U194&lt;3,IF($O194=$O$1,1,0),IF($O194=$O$1,$V194,0))</f>
        <v>0</v>
      </c>
      <c r="AL194" s="37">
        <f t="shared" ref="AL194:AL257" si="85">IF($U194&lt;3,IF($P194=$P$1,1,0),IF($P194=$P$1,$V194,0))</f>
        <v>0</v>
      </c>
      <c r="AM194" s="37">
        <f t="shared" ref="AM194:AM257" si="86">IF($U194&lt;3,IF($Q194=$Q$1,1,0),IF($Q194=$Q$1,$V194,0))</f>
        <v>0</v>
      </c>
      <c r="AN194" s="37">
        <f t="shared" ref="AN194:AN257" si="87">IF($U194&lt;3,IF($R194=$R$1,1,0),IF($R194=$R$1,$V194,0))</f>
        <v>0</v>
      </c>
      <c r="AO194" s="37">
        <f t="shared" ref="AO194:AO257" si="88">IF($U194&lt;3,IF($S194=$S$1,1,0),IF($S194=$S$1,$V194,0))</f>
        <v>0</v>
      </c>
      <c r="AP194" s="37"/>
      <c r="AQ194" s="37"/>
      <c r="AR194" s="37">
        <f t="shared" ref="AR194:AR257" si="89">SUM(X194:AP194)</f>
        <v>3</v>
      </c>
      <c r="AS194" s="37">
        <f t="shared" ref="AS194:AS257" si="90">U194</f>
        <v>3</v>
      </c>
      <c r="AT194" s="37" t="str">
        <f t="shared" ref="AT194:AT257" si="91">IF(AR194=AS194,"Correct",IF(AR194=3,"Correct","Wrong"))</f>
        <v>Correct</v>
      </c>
      <c r="AU194" s="37"/>
      <c r="AV194" s="120" t="str">
        <f>IFERROR(VLOOKUP(Table1[RespondentID],'All Data'!$A$3:$CO$999,87,FALSE),"unknown")</f>
        <v>Man</v>
      </c>
      <c r="AW194" s="120">
        <f>IFERROR(VLOOKUP(Table1[RespondentID],'All Data'!$A$3:$CO$999,88,FALSE),"unknown")</f>
        <v>0</v>
      </c>
      <c r="AX194" s="120" t="str">
        <f>IFERROR(VLOOKUP(Table1[RespondentID],'All Data'!$A$3:$CO$999,89,FALSE),"unknown")</f>
        <v>Suffolk</v>
      </c>
      <c r="AY194" s="120" t="str">
        <f>IFERROR(VLOOKUP(Table1[RespondentID],'All Data'!$A$3:$CO$999,90,FALSE),"unknown")</f>
        <v>Amityville, 11701</v>
      </c>
      <c r="AZ194" s="120" t="str">
        <f>IFERROR(VLOOKUP(Table1[RespondentID],'All Data'!$A$3:$CO$999,91,FALSE),"unknown")</f>
        <v>Black or African American</v>
      </c>
      <c r="BA194" s="120" t="str">
        <f>IFERROR(VLOOKUP(Table1[RespondentID],'All Data'!$A$3:$CO$999,92,FALSE),"unknown")</f>
        <v>Not Hispanic or Latino</v>
      </c>
      <c r="BB194" s="120" t="str">
        <f>IFERROR(VLOOKUP(Table1[RespondentID],'All Data'!$A$3:$CO$999,93,FALSE),"unknown")</f>
        <v>Chinese</v>
      </c>
      <c r="BC194" s="120" t="str">
        <f>IFERROR(VLOOKUP(Table1[RespondentID],'All Data'!$A$3:$CW$999,94,FALSE),"unknown")</f>
        <v>$20,000 to $34,999</v>
      </c>
      <c r="BD194" s="120" t="str">
        <f>IFERROR(VLOOKUP(Table1[RespondentID],'All Data'!$A$3:$CW$999,95,FALSE),"unknown")</f>
        <v>Graduate school</v>
      </c>
      <c r="BE194" s="120" t="str">
        <f>IFERROR(VLOOKUP(Table1[RespondentID],'All Data'!$A$3:$CW$999,96,FALSE),"unknown")</f>
        <v>Employed for wages</v>
      </c>
      <c r="BF194" s="120" t="str">
        <f>IFERROR(VLOOKUP(Table1[RespondentID],'All Data'!$A$3:$CW$999,97,FALSE),"unknown")</f>
        <v>Yes</v>
      </c>
      <c r="BG194" s="120" t="str">
        <f>IFERROR(VLOOKUP(Table1[RespondentID],'All Data'!$A$3:$CW$999,98,FALSE),"unknown")</f>
        <v>Medicare</v>
      </c>
      <c r="BH194" s="120" t="str">
        <f>IFERROR(VLOOKUP(Table1[RespondentID],'All Data'!$A$3:$CW$999,99,FALSE),"unknown")</f>
        <v>No</v>
      </c>
    </row>
    <row r="195" spans="1:60">
      <c r="A195" s="5">
        <v>18021263997</v>
      </c>
      <c r="B195" s="5"/>
      <c r="C195" s="5"/>
      <c r="D195" s="5" t="s">
        <v>51</v>
      </c>
      <c r="E195" s="5"/>
      <c r="F195" s="5"/>
      <c r="G195" s="5"/>
      <c r="H195" s="5"/>
      <c r="I195" s="5"/>
      <c r="J195" s="5"/>
      <c r="K195" s="5"/>
      <c r="L195" s="5"/>
      <c r="M195" s="5"/>
      <c r="N195" s="5"/>
      <c r="O195" s="5"/>
      <c r="P195" s="5"/>
      <c r="Q195" s="5"/>
      <c r="R195" s="5" t="s">
        <v>62</v>
      </c>
      <c r="S195" s="5" t="s">
        <v>63</v>
      </c>
      <c r="T195" s="37"/>
      <c r="U195" s="37">
        <f t="shared" si="69"/>
        <v>3</v>
      </c>
      <c r="V195" s="37">
        <f t="shared" si="70"/>
        <v>1</v>
      </c>
      <c r="W195" s="37"/>
      <c r="X195" s="37">
        <f t="shared" si="71"/>
        <v>0</v>
      </c>
      <c r="Y195" s="37">
        <f t="shared" si="72"/>
        <v>0</v>
      </c>
      <c r="Z195" s="37">
        <f t="shared" si="73"/>
        <v>1</v>
      </c>
      <c r="AA195" s="37">
        <f t="shared" si="74"/>
        <v>0</v>
      </c>
      <c r="AB195" s="37">
        <f t="shared" si="75"/>
        <v>0</v>
      </c>
      <c r="AC195" s="37">
        <f t="shared" si="76"/>
        <v>0</v>
      </c>
      <c r="AD195" s="37">
        <f t="shared" si="77"/>
        <v>0</v>
      </c>
      <c r="AE195" s="37">
        <f t="shared" si="78"/>
        <v>0</v>
      </c>
      <c r="AF195" s="37">
        <f t="shared" si="79"/>
        <v>0</v>
      </c>
      <c r="AG195" s="37">
        <f t="shared" si="80"/>
        <v>0</v>
      </c>
      <c r="AH195" s="37">
        <f t="shared" si="81"/>
        <v>0</v>
      </c>
      <c r="AI195" s="37">
        <f t="shared" si="82"/>
        <v>0</v>
      </c>
      <c r="AJ195" s="37">
        <f t="shared" si="83"/>
        <v>0</v>
      </c>
      <c r="AK195" s="37">
        <f t="shared" si="84"/>
        <v>0</v>
      </c>
      <c r="AL195" s="37">
        <f t="shared" si="85"/>
        <v>0</v>
      </c>
      <c r="AM195" s="37">
        <f t="shared" si="86"/>
        <v>0</v>
      </c>
      <c r="AN195" s="37">
        <f t="shared" si="87"/>
        <v>1</v>
      </c>
      <c r="AO195" s="37">
        <f t="shared" si="88"/>
        <v>1</v>
      </c>
      <c r="AP195" s="37"/>
      <c r="AQ195" s="37"/>
      <c r="AR195" s="37">
        <f t="shared" si="89"/>
        <v>3</v>
      </c>
      <c r="AS195" s="37">
        <f t="shared" si="90"/>
        <v>3</v>
      </c>
      <c r="AT195" s="37" t="str">
        <f t="shared" si="91"/>
        <v>Correct</v>
      </c>
      <c r="AU195" s="37"/>
      <c r="AV195" s="120" t="str">
        <f>IFERROR(VLOOKUP(Table1[RespondentID],'All Data'!$A$3:$CO$999,87,FALSE),"unknown")</f>
        <v>Man</v>
      </c>
      <c r="AW195" s="120">
        <f>IFERROR(VLOOKUP(Table1[RespondentID],'All Data'!$A$3:$CO$999,88,FALSE),"unknown")</f>
        <v>52</v>
      </c>
      <c r="AX195" s="120" t="str">
        <f>IFERROR(VLOOKUP(Table1[RespondentID],'All Data'!$A$3:$CO$999,89,FALSE),"unknown")</f>
        <v>Suffolk</v>
      </c>
      <c r="AY195" s="120" t="str">
        <f>IFERROR(VLOOKUP(Table1[RespondentID],'All Data'!$A$3:$CO$999,90,FALSE),"unknown")</f>
        <v>Northport, 11768</v>
      </c>
      <c r="AZ195" s="120" t="str">
        <f>IFERROR(VLOOKUP(Table1[RespondentID],'All Data'!$A$3:$CO$999,91,FALSE),"unknown")</f>
        <v>White</v>
      </c>
      <c r="BA195" s="120" t="str">
        <f>IFERROR(VLOOKUP(Table1[RespondentID],'All Data'!$A$3:$CO$999,92,FALSE),"unknown")</f>
        <v>Hispanic or Latino</v>
      </c>
      <c r="BB195" s="120" t="str">
        <f>IFERROR(VLOOKUP(Table1[RespondentID],'All Data'!$A$3:$CO$999,93,FALSE),"unknown")</f>
        <v>English</v>
      </c>
      <c r="BC195" s="120" t="str">
        <f>IFERROR(VLOOKUP(Table1[RespondentID],'All Data'!$A$3:$CW$999,94,FALSE),"unknown")</f>
        <v>Over $125,000</v>
      </c>
      <c r="BD195" s="120" t="str">
        <f>IFERROR(VLOOKUP(Table1[RespondentID],'All Data'!$A$3:$CW$999,95,FALSE),"unknown")</f>
        <v>Graduate school</v>
      </c>
      <c r="BE195" s="120" t="str">
        <f>IFERROR(VLOOKUP(Table1[RespondentID],'All Data'!$A$3:$CW$999,96,FALSE),"unknown")</f>
        <v>Employed for wages</v>
      </c>
      <c r="BF195" s="120" t="str">
        <f>IFERROR(VLOOKUP(Table1[RespondentID],'All Data'!$A$3:$CW$999,97,FALSE),"unknown")</f>
        <v>Yes</v>
      </c>
      <c r="BG195" s="120" t="str">
        <f>IFERROR(VLOOKUP(Table1[RespondentID],'All Data'!$A$3:$CW$999,98,FALSE),"unknown")</f>
        <v>Private/Commercial</v>
      </c>
      <c r="BH195" s="120" t="str">
        <f>IFERROR(VLOOKUP(Table1[RespondentID],'All Data'!$A$3:$CW$999,99,FALSE),"unknown")</f>
        <v>Yes</v>
      </c>
    </row>
    <row r="196" spans="1:60">
      <c r="A196" s="5">
        <v>18021096939</v>
      </c>
      <c r="B196" s="5"/>
      <c r="C196" s="5"/>
      <c r="D196" s="5"/>
      <c r="E196" s="5"/>
      <c r="F196" s="5"/>
      <c r="G196" s="5"/>
      <c r="H196" s="5"/>
      <c r="I196" s="5" t="s">
        <v>55</v>
      </c>
      <c r="J196" s="5"/>
      <c r="K196" s="5" t="s">
        <v>57</v>
      </c>
      <c r="L196" s="5"/>
      <c r="M196" s="5"/>
      <c r="N196" s="5" t="s">
        <v>24</v>
      </c>
      <c r="O196" s="5"/>
      <c r="P196" s="5"/>
      <c r="Q196" s="5"/>
      <c r="R196" s="5"/>
      <c r="S196" s="5"/>
      <c r="T196" s="37"/>
      <c r="U196" s="37">
        <f t="shared" si="69"/>
        <v>3</v>
      </c>
      <c r="V196" s="37">
        <f t="shared" si="70"/>
        <v>1</v>
      </c>
      <c r="W196" s="37"/>
      <c r="X196" s="37">
        <f t="shared" si="71"/>
        <v>0</v>
      </c>
      <c r="Y196" s="37">
        <f t="shared" si="72"/>
        <v>0</v>
      </c>
      <c r="Z196" s="37">
        <f t="shared" si="73"/>
        <v>0</v>
      </c>
      <c r="AA196" s="37">
        <f t="shared" si="74"/>
        <v>0</v>
      </c>
      <c r="AB196" s="37">
        <f t="shared" si="75"/>
        <v>0</v>
      </c>
      <c r="AC196" s="37">
        <f t="shared" si="76"/>
        <v>0</v>
      </c>
      <c r="AD196" s="37">
        <f t="shared" si="77"/>
        <v>0</v>
      </c>
      <c r="AE196" s="37">
        <f t="shared" si="78"/>
        <v>1</v>
      </c>
      <c r="AF196" s="37">
        <f t="shared" si="79"/>
        <v>0</v>
      </c>
      <c r="AG196" s="37">
        <f t="shared" si="80"/>
        <v>1</v>
      </c>
      <c r="AH196" s="37">
        <f t="shared" si="81"/>
        <v>0</v>
      </c>
      <c r="AI196" s="37">
        <f t="shared" si="82"/>
        <v>0</v>
      </c>
      <c r="AJ196" s="37">
        <f t="shared" si="83"/>
        <v>1</v>
      </c>
      <c r="AK196" s="37">
        <f t="shared" si="84"/>
        <v>0</v>
      </c>
      <c r="AL196" s="37">
        <f t="shared" si="85"/>
        <v>0</v>
      </c>
      <c r="AM196" s="37">
        <f t="shared" si="86"/>
        <v>0</v>
      </c>
      <c r="AN196" s="37">
        <f t="shared" si="87"/>
        <v>0</v>
      </c>
      <c r="AO196" s="37">
        <f t="shared" si="88"/>
        <v>0</v>
      </c>
      <c r="AP196" s="37"/>
      <c r="AQ196" s="37"/>
      <c r="AR196" s="37">
        <f t="shared" si="89"/>
        <v>3</v>
      </c>
      <c r="AS196" s="37">
        <f t="shared" si="90"/>
        <v>3</v>
      </c>
      <c r="AT196" s="37" t="str">
        <f t="shared" si="91"/>
        <v>Correct</v>
      </c>
      <c r="AU196" s="37"/>
      <c r="AV196" s="120" t="str">
        <f>IFERROR(VLOOKUP(Table1[RespondentID],'All Data'!$A$3:$CO$999,87,FALSE),"unknown")</f>
        <v>Man</v>
      </c>
      <c r="AW196" s="120">
        <f>IFERROR(VLOOKUP(Table1[RespondentID],'All Data'!$A$3:$CO$999,88,FALSE),"unknown")</f>
        <v>16</v>
      </c>
      <c r="AX196" s="120" t="str">
        <f>IFERROR(VLOOKUP(Table1[RespondentID],'All Data'!$A$3:$CO$999,89,FALSE),"unknown")</f>
        <v>Suffolk</v>
      </c>
      <c r="AY196" s="120" t="str">
        <f>IFERROR(VLOOKUP(Table1[RespondentID],'All Data'!$A$3:$CO$999,90,FALSE),"unknown")</f>
        <v>Nesconset, 11767</v>
      </c>
      <c r="AZ196" s="120" t="str">
        <f>IFERROR(VLOOKUP(Table1[RespondentID],'All Data'!$A$3:$CO$999,91,FALSE),"unknown")</f>
        <v>American Indian and Alaska Native</v>
      </c>
      <c r="BA196" s="120" t="str">
        <f>IFERROR(VLOOKUP(Table1[RespondentID],'All Data'!$A$3:$CO$999,92,FALSE),"unknown")</f>
        <v>Hispanic or Latino</v>
      </c>
      <c r="BB196" s="120" t="str">
        <f>IFERROR(VLOOKUP(Table1[RespondentID],'All Data'!$A$3:$CO$999,93,FALSE),"unknown")</f>
        <v>English, Hindi</v>
      </c>
      <c r="BC196" s="120" t="str">
        <f>IFERROR(VLOOKUP(Table1[RespondentID],'All Data'!$A$3:$CW$999,94,FALSE),"unknown")</f>
        <v>$75,000 to $125,000</v>
      </c>
      <c r="BD196" s="120" t="str">
        <f>IFERROR(VLOOKUP(Table1[RespondentID],'All Data'!$A$3:$CW$999,95,FALSE),"unknown")</f>
        <v>Some high school</v>
      </c>
      <c r="BE196" s="120" t="str">
        <f>IFERROR(VLOOKUP(Table1[RespondentID],'All Data'!$A$3:$CW$999,96,FALSE),"unknown")</f>
        <v>Out of work, but not currently looking</v>
      </c>
      <c r="BF196" s="120" t="str">
        <f>IFERROR(VLOOKUP(Table1[RespondentID],'All Data'!$A$3:$CW$999,97,FALSE),"unknown")</f>
        <v>Yes</v>
      </c>
      <c r="BG196" s="120" t="str">
        <f>IFERROR(VLOOKUP(Table1[RespondentID],'All Data'!$A$3:$CW$999,98,FALSE),"unknown")</f>
        <v>Private/Commercial</v>
      </c>
      <c r="BH196" s="120" t="str">
        <f>IFERROR(VLOOKUP(Table1[RespondentID],'All Data'!$A$3:$CW$999,99,FALSE),"unknown")</f>
        <v>Yes</v>
      </c>
    </row>
    <row r="197" spans="1:60">
      <c r="A197" s="5">
        <v>18020847868</v>
      </c>
      <c r="B197" s="5" t="s">
        <v>49</v>
      </c>
      <c r="C197" s="5"/>
      <c r="D197" s="5"/>
      <c r="E197" s="5" t="s">
        <v>17</v>
      </c>
      <c r="F197" s="5"/>
      <c r="G197" s="5"/>
      <c r="H197" s="5"/>
      <c r="I197" s="5"/>
      <c r="J197" s="5"/>
      <c r="K197" s="5"/>
      <c r="L197" s="5"/>
      <c r="M197" s="5"/>
      <c r="N197" s="5"/>
      <c r="O197" s="5"/>
      <c r="P197" s="5"/>
      <c r="Q197" s="5"/>
      <c r="R197" s="5"/>
      <c r="S197" s="5" t="s">
        <v>63</v>
      </c>
      <c r="T197" s="37"/>
      <c r="U197" s="37">
        <f t="shared" si="69"/>
        <v>3</v>
      </c>
      <c r="V197" s="37">
        <f t="shared" si="70"/>
        <v>1</v>
      </c>
      <c r="W197" s="37"/>
      <c r="X197" s="37">
        <f t="shared" si="71"/>
        <v>1</v>
      </c>
      <c r="Y197" s="37">
        <f t="shared" si="72"/>
        <v>0</v>
      </c>
      <c r="Z197" s="37">
        <f t="shared" si="73"/>
        <v>0</v>
      </c>
      <c r="AA197" s="37">
        <f t="shared" si="74"/>
        <v>1</v>
      </c>
      <c r="AB197" s="37">
        <f t="shared" si="75"/>
        <v>0</v>
      </c>
      <c r="AC197" s="37">
        <f t="shared" si="76"/>
        <v>0</v>
      </c>
      <c r="AD197" s="37">
        <f t="shared" si="77"/>
        <v>0</v>
      </c>
      <c r="AE197" s="37">
        <f t="shared" si="78"/>
        <v>0</v>
      </c>
      <c r="AF197" s="37">
        <f t="shared" si="79"/>
        <v>0</v>
      </c>
      <c r="AG197" s="37">
        <f t="shared" si="80"/>
        <v>0</v>
      </c>
      <c r="AH197" s="37">
        <f t="shared" si="81"/>
        <v>0</v>
      </c>
      <c r="AI197" s="37">
        <f t="shared" si="82"/>
        <v>0</v>
      </c>
      <c r="AJ197" s="37">
        <f t="shared" si="83"/>
        <v>0</v>
      </c>
      <c r="AK197" s="37">
        <f t="shared" si="84"/>
        <v>0</v>
      </c>
      <c r="AL197" s="37">
        <f t="shared" si="85"/>
        <v>0</v>
      </c>
      <c r="AM197" s="37">
        <f t="shared" si="86"/>
        <v>0</v>
      </c>
      <c r="AN197" s="37">
        <f t="shared" si="87"/>
        <v>0</v>
      </c>
      <c r="AO197" s="37">
        <f t="shared" si="88"/>
        <v>1</v>
      </c>
      <c r="AP197" s="37"/>
      <c r="AQ197" s="37"/>
      <c r="AR197" s="37">
        <f t="shared" si="89"/>
        <v>3</v>
      </c>
      <c r="AS197" s="37">
        <f t="shared" si="90"/>
        <v>3</v>
      </c>
      <c r="AT197" s="37" t="str">
        <f t="shared" si="91"/>
        <v>Correct</v>
      </c>
      <c r="AU197" s="37"/>
      <c r="AV197" s="120" t="str">
        <f>IFERROR(VLOOKUP(Table1[RespondentID],'All Data'!$A$3:$CO$999,87,FALSE),"unknown")</f>
        <v>Man</v>
      </c>
      <c r="AW197" s="120">
        <f>IFERROR(VLOOKUP(Table1[RespondentID],'All Data'!$A$3:$CO$999,88,FALSE),"unknown")</f>
        <v>21</v>
      </c>
      <c r="AX197" s="120" t="str">
        <f>IFERROR(VLOOKUP(Table1[RespondentID],'All Data'!$A$3:$CO$999,89,FALSE),"unknown")</f>
        <v>Suffolk</v>
      </c>
      <c r="AY197" s="120" t="str">
        <f>IFERROR(VLOOKUP(Table1[RespondentID],'All Data'!$A$3:$CO$999,90,FALSE),"unknown")</f>
        <v>East Northport, 11731</v>
      </c>
      <c r="AZ197" s="120" t="str">
        <f>IFERROR(VLOOKUP(Table1[RespondentID],'All Data'!$A$3:$CO$999,91,FALSE),"unknown")</f>
        <v>White</v>
      </c>
      <c r="BA197" s="120" t="str">
        <f>IFERROR(VLOOKUP(Table1[RespondentID],'All Data'!$A$3:$CO$999,92,FALSE),"unknown")</f>
        <v>Hispanic or Latino</v>
      </c>
      <c r="BB197" s="120" t="str">
        <f>IFERROR(VLOOKUP(Table1[RespondentID],'All Data'!$A$3:$CO$999,93,FALSE),"unknown")</f>
        <v>English</v>
      </c>
      <c r="BC197" s="120" t="str">
        <f>IFERROR(VLOOKUP(Table1[RespondentID],'All Data'!$A$3:$CW$999,94,FALSE),"unknown")</f>
        <v>$50,000 to $74,999</v>
      </c>
      <c r="BD197" s="120" t="str">
        <f>IFERROR(VLOOKUP(Table1[RespondentID],'All Data'!$A$3:$CW$999,95,FALSE),"unknown")</f>
        <v>Some college</v>
      </c>
      <c r="BE197" s="120" t="str">
        <f>IFERROR(VLOOKUP(Table1[RespondentID],'All Data'!$A$3:$CW$999,96,FALSE),"unknown")</f>
        <v>Employed for wages</v>
      </c>
      <c r="BF197" s="120" t="str">
        <f>IFERROR(VLOOKUP(Table1[RespondentID],'All Data'!$A$3:$CW$999,97,FALSE),"unknown")</f>
        <v>Yes</v>
      </c>
      <c r="BG197" s="120" t="str">
        <f>IFERROR(VLOOKUP(Table1[RespondentID],'All Data'!$A$3:$CW$999,98,FALSE),"unknown")</f>
        <v>Medicaid, Medicare</v>
      </c>
      <c r="BH197" s="120" t="str">
        <f>IFERROR(VLOOKUP(Table1[RespondentID],'All Data'!$A$3:$CW$999,99,FALSE),"unknown")</f>
        <v>Yes</v>
      </c>
    </row>
    <row r="198" spans="1:60">
      <c r="A198" s="5">
        <v>18020259192</v>
      </c>
      <c r="B198" s="5" t="s">
        <v>49</v>
      </c>
      <c r="C198" s="5"/>
      <c r="D198" s="5"/>
      <c r="E198" s="5" t="s">
        <v>17</v>
      </c>
      <c r="F198" s="5"/>
      <c r="G198" s="5"/>
      <c r="H198" s="5"/>
      <c r="I198" s="5"/>
      <c r="J198" s="5"/>
      <c r="K198" s="5"/>
      <c r="L198" s="5"/>
      <c r="M198" s="5"/>
      <c r="N198" s="5" t="s">
        <v>24</v>
      </c>
      <c r="O198" s="5"/>
      <c r="P198" s="5"/>
      <c r="Q198" s="5"/>
      <c r="R198" s="5"/>
      <c r="S198" s="5"/>
      <c r="T198" s="37"/>
      <c r="U198" s="37">
        <f t="shared" si="69"/>
        <v>3</v>
      </c>
      <c r="V198" s="37">
        <f t="shared" si="70"/>
        <v>1</v>
      </c>
      <c r="W198" s="37"/>
      <c r="X198" s="37">
        <f t="shared" si="71"/>
        <v>1</v>
      </c>
      <c r="Y198" s="37">
        <f t="shared" si="72"/>
        <v>0</v>
      </c>
      <c r="Z198" s="37">
        <f t="shared" si="73"/>
        <v>0</v>
      </c>
      <c r="AA198" s="37">
        <f t="shared" si="74"/>
        <v>1</v>
      </c>
      <c r="AB198" s="37">
        <f t="shared" si="75"/>
        <v>0</v>
      </c>
      <c r="AC198" s="37">
        <f t="shared" si="76"/>
        <v>0</v>
      </c>
      <c r="AD198" s="37">
        <f t="shared" si="77"/>
        <v>0</v>
      </c>
      <c r="AE198" s="37">
        <f t="shared" si="78"/>
        <v>0</v>
      </c>
      <c r="AF198" s="37">
        <f t="shared" si="79"/>
        <v>0</v>
      </c>
      <c r="AG198" s="37">
        <f t="shared" si="80"/>
        <v>0</v>
      </c>
      <c r="AH198" s="37">
        <f t="shared" si="81"/>
        <v>0</v>
      </c>
      <c r="AI198" s="37">
        <f t="shared" si="82"/>
        <v>0</v>
      </c>
      <c r="AJ198" s="37">
        <f t="shared" si="83"/>
        <v>1</v>
      </c>
      <c r="AK198" s="37">
        <f t="shared" si="84"/>
        <v>0</v>
      </c>
      <c r="AL198" s="37">
        <f t="shared" si="85"/>
        <v>0</v>
      </c>
      <c r="AM198" s="37">
        <f t="shared" si="86"/>
        <v>0</v>
      </c>
      <c r="AN198" s="37">
        <f t="shared" si="87"/>
        <v>0</v>
      </c>
      <c r="AO198" s="37">
        <f t="shared" si="88"/>
        <v>0</v>
      </c>
      <c r="AP198" s="37"/>
      <c r="AQ198" s="37"/>
      <c r="AR198" s="37">
        <f t="shared" si="89"/>
        <v>3</v>
      </c>
      <c r="AS198" s="37">
        <f t="shared" si="90"/>
        <v>3</v>
      </c>
      <c r="AT198" s="37" t="str">
        <f t="shared" si="91"/>
        <v>Correct</v>
      </c>
      <c r="AU198" s="37"/>
      <c r="AV198" s="120" t="str">
        <f>IFERROR(VLOOKUP(Table1[RespondentID],'All Data'!$A$3:$CO$999,87,FALSE),"unknown")</f>
        <v>Man</v>
      </c>
      <c r="AW198" s="120">
        <f>IFERROR(VLOOKUP(Table1[RespondentID],'All Data'!$A$3:$CO$999,88,FALSE),"unknown")</f>
        <v>39</v>
      </c>
      <c r="AX198" s="120" t="str">
        <f>IFERROR(VLOOKUP(Table1[RespondentID],'All Data'!$A$3:$CO$999,89,FALSE),"unknown")</f>
        <v>Nassau</v>
      </c>
      <c r="AY198" s="120" t="str">
        <f>IFERROR(VLOOKUP(Table1[RespondentID],'All Data'!$A$3:$CO$999,90,FALSE),"unknown")</f>
        <v>Williston Park, 11596</v>
      </c>
      <c r="AZ198" s="120" t="str">
        <f>IFERROR(VLOOKUP(Table1[RespondentID],'All Data'!$A$3:$CO$999,91,FALSE),"unknown")</f>
        <v>American Indian and Alaska Native</v>
      </c>
      <c r="BA198" s="120" t="str">
        <f>IFERROR(VLOOKUP(Table1[RespondentID],'All Data'!$A$3:$CO$999,92,FALSE),"unknown")</f>
        <v>Hispanic or Latino</v>
      </c>
      <c r="BB198" s="120" t="str">
        <f>IFERROR(VLOOKUP(Table1[RespondentID],'All Data'!$A$3:$CO$999,93,FALSE),"unknown")</f>
        <v>English</v>
      </c>
      <c r="BC198" s="120" t="str">
        <f>IFERROR(VLOOKUP(Table1[RespondentID],'All Data'!$A$3:$CW$999,94,FALSE),"unknown")</f>
        <v>Over $125,000</v>
      </c>
      <c r="BD198" s="120" t="str">
        <f>IFERROR(VLOOKUP(Table1[RespondentID],'All Data'!$A$3:$CW$999,95,FALSE),"unknown")</f>
        <v>College graduate</v>
      </c>
      <c r="BE198" s="120" t="str">
        <f>IFERROR(VLOOKUP(Table1[RespondentID],'All Data'!$A$3:$CW$999,96,FALSE),"unknown")</f>
        <v>Employed for wages</v>
      </c>
      <c r="BF198" s="120" t="str">
        <f>IFERROR(VLOOKUP(Table1[RespondentID],'All Data'!$A$3:$CW$999,97,FALSE),"unknown")</f>
        <v>Yes</v>
      </c>
      <c r="BG198" s="120" t="str">
        <f>IFERROR(VLOOKUP(Table1[RespondentID],'All Data'!$A$3:$CW$999,98,FALSE),"unknown")</f>
        <v>Private/Commercial</v>
      </c>
      <c r="BH198" s="120" t="str">
        <f>IFERROR(VLOOKUP(Table1[RespondentID],'All Data'!$A$3:$CW$999,99,FALSE),"unknown")</f>
        <v>Yes</v>
      </c>
    </row>
    <row r="199" spans="1:60">
      <c r="A199" s="5">
        <v>18020253334</v>
      </c>
      <c r="B199" s="5"/>
      <c r="C199" s="5"/>
      <c r="D199" s="5"/>
      <c r="E199" s="5" t="s">
        <v>17</v>
      </c>
      <c r="F199" s="5"/>
      <c r="G199" s="5"/>
      <c r="H199" s="5"/>
      <c r="I199" s="5"/>
      <c r="J199" s="5"/>
      <c r="K199" s="5"/>
      <c r="L199" s="5" t="s">
        <v>58</v>
      </c>
      <c r="M199" s="5"/>
      <c r="N199" s="5"/>
      <c r="O199" s="5"/>
      <c r="P199" s="5"/>
      <c r="Q199" s="5"/>
      <c r="R199" s="5" t="s">
        <v>62</v>
      </c>
      <c r="S199" s="5"/>
      <c r="T199" s="37"/>
      <c r="U199" s="37">
        <f t="shared" si="69"/>
        <v>3</v>
      </c>
      <c r="V199" s="37">
        <f t="shared" si="70"/>
        <v>1</v>
      </c>
      <c r="W199" s="37"/>
      <c r="X199" s="37">
        <f t="shared" si="71"/>
        <v>0</v>
      </c>
      <c r="Y199" s="37">
        <f t="shared" si="72"/>
        <v>0</v>
      </c>
      <c r="Z199" s="37">
        <f t="shared" si="73"/>
        <v>0</v>
      </c>
      <c r="AA199" s="37">
        <f t="shared" si="74"/>
        <v>1</v>
      </c>
      <c r="AB199" s="37">
        <f t="shared" si="75"/>
        <v>0</v>
      </c>
      <c r="AC199" s="37">
        <f t="shared" si="76"/>
        <v>0</v>
      </c>
      <c r="AD199" s="37">
        <f t="shared" si="77"/>
        <v>0</v>
      </c>
      <c r="AE199" s="37">
        <f t="shared" si="78"/>
        <v>0</v>
      </c>
      <c r="AF199" s="37">
        <f t="shared" si="79"/>
        <v>0</v>
      </c>
      <c r="AG199" s="37">
        <f t="shared" si="80"/>
        <v>0</v>
      </c>
      <c r="AH199" s="37">
        <f t="shared" si="81"/>
        <v>1</v>
      </c>
      <c r="AI199" s="37">
        <f t="shared" si="82"/>
        <v>0</v>
      </c>
      <c r="AJ199" s="37">
        <f t="shared" si="83"/>
        <v>0</v>
      </c>
      <c r="AK199" s="37">
        <f t="shared" si="84"/>
        <v>0</v>
      </c>
      <c r="AL199" s="37">
        <f t="shared" si="85"/>
        <v>0</v>
      </c>
      <c r="AM199" s="37">
        <f t="shared" si="86"/>
        <v>0</v>
      </c>
      <c r="AN199" s="37">
        <f t="shared" si="87"/>
        <v>1</v>
      </c>
      <c r="AO199" s="37">
        <f t="shared" si="88"/>
        <v>0</v>
      </c>
      <c r="AP199" s="37"/>
      <c r="AQ199" s="37"/>
      <c r="AR199" s="37">
        <f t="shared" si="89"/>
        <v>3</v>
      </c>
      <c r="AS199" s="37">
        <f t="shared" si="90"/>
        <v>3</v>
      </c>
      <c r="AT199" s="37" t="str">
        <f t="shared" si="91"/>
        <v>Correct</v>
      </c>
      <c r="AU199" s="37"/>
      <c r="AV199" s="120" t="str">
        <f>IFERROR(VLOOKUP(Table1[RespondentID],'All Data'!$A$3:$CO$999,87,FALSE),"unknown")</f>
        <v>Woman</v>
      </c>
      <c r="AW199" s="120">
        <f>IFERROR(VLOOKUP(Table1[RespondentID],'All Data'!$A$3:$CO$999,88,FALSE),"unknown")</f>
        <v>40</v>
      </c>
      <c r="AX199" s="120" t="str">
        <f>IFERROR(VLOOKUP(Table1[RespondentID],'All Data'!$A$3:$CO$999,89,FALSE),"unknown")</f>
        <v>Nassau</v>
      </c>
      <c r="AY199" s="120" t="str">
        <f>IFERROR(VLOOKUP(Table1[RespondentID],'All Data'!$A$3:$CO$999,90,FALSE),"unknown")</f>
        <v>Herricks, 11040</v>
      </c>
      <c r="AZ199" s="120" t="str">
        <f>IFERROR(VLOOKUP(Table1[RespondentID],'All Data'!$A$3:$CO$999,91,FALSE),"unknown")</f>
        <v>American Indian and Alaska Native</v>
      </c>
      <c r="BA199" s="120" t="str">
        <f>IFERROR(VLOOKUP(Table1[RespondentID],'All Data'!$A$3:$CO$999,92,FALSE),"unknown")</f>
        <v>Hispanic or Latino</v>
      </c>
      <c r="BB199" s="120" t="str">
        <f>IFERROR(VLOOKUP(Table1[RespondentID],'All Data'!$A$3:$CO$999,93,FALSE),"unknown")</f>
        <v>English</v>
      </c>
      <c r="BC199" s="120" t="str">
        <f>IFERROR(VLOOKUP(Table1[RespondentID],'All Data'!$A$3:$CW$999,94,FALSE),"unknown")</f>
        <v>$75,000 to $125,000</v>
      </c>
      <c r="BD199" s="120" t="str">
        <f>IFERROR(VLOOKUP(Table1[RespondentID],'All Data'!$A$3:$CW$999,95,FALSE),"unknown")</f>
        <v>College graduate</v>
      </c>
      <c r="BE199" s="120" t="str">
        <f>IFERROR(VLOOKUP(Table1[RespondentID],'All Data'!$A$3:$CW$999,96,FALSE),"unknown")</f>
        <v>Employed for wages</v>
      </c>
      <c r="BF199" s="120" t="str">
        <f>IFERROR(VLOOKUP(Table1[RespondentID],'All Data'!$A$3:$CW$999,97,FALSE),"unknown")</f>
        <v>Yes</v>
      </c>
      <c r="BG199" s="120" t="str">
        <f>IFERROR(VLOOKUP(Table1[RespondentID],'All Data'!$A$3:$CW$999,98,FALSE),"unknown")</f>
        <v>Private/Commercial</v>
      </c>
      <c r="BH199" s="120" t="str">
        <f>IFERROR(VLOOKUP(Table1[RespondentID],'All Data'!$A$3:$CW$999,99,FALSE),"unknown")</f>
        <v>Yes</v>
      </c>
    </row>
    <row r="200" spans="1:60">
      <c r="A200" s="5">
        <v>18020047097</v>
      </c>
      <c r="B200" s="5"/>
      <c r="C200" s="5"/>
      <c r="D200" s="5"/>
      <c r="E200" s="5"/>
      <c r="F200" s="5"/>
      <c r="G200" s="5"/>
      <c r="H200" s="5"/>
      <c r="I200" s="5"/>
      <c r="J200" s="5"/>
      <c r="K200" s="5"/>
      <c r="L200" s="5"/>
      <c r="M200" s="5"/>
      <c r="N200" s="5"/>
      <c r="O200" s="5"/>
      <c r="P200" s="5"/>
      <c r="Q200" s="5"/>
      <c r="R200" s="5"/>
      <c r="S200" s="5"/>
      <c r="T200" s="37"/>
      <c r="U200" s="37">
        <f t="shared" si="69"/>
        <v>0</v>
      </c>
      <c r="V200" s="37" t="e">
        <f t="shared" si="70"/>
        <v>#DIV/0!</v>
      </c>
      <c r="W200" s="37"/>
      <c r="X200" s="37">
        <f t="shared" si="71"/>
        <v>0</v>
      </c>
      <c r="Y200" s="37">
        <f t="shared" si="72"/>
        <v>0</v>
      </c>
      <c r="Z200" s="37">
        <f t="shared" si="73"/>
        <v>0</v>
      </c>
      <c r="AA200" s="37">
        <f t="shared" si="74"/>
        <v>0</v>
      </c>
      <c r="AB200" s="37">
        <f t="shared" si="75"/>
        <v>0</v>
      </c>
      <c r="AC200" s="37">
        <f t="shared" si="76"/>
        <v>0</v>
      </c>
      <c r="AD200" s="37">
        <f t="shared" si="77"/>
        <v>0</v>
      </c>
      <c r="AE200" s="37">
        <f t="shared" si="78"/>
        <v>0</v>
      </c>
      <c r="AF200" s="37">
        <f t="shared" si="79"/>
        <v>0</v>
      </c>
      <c r="AG200" s="37">
        <f t="shared" si="80"/>
        <v>0</v>
      </c>
      <c r="AH200" s="37">
        <f t="shared" si="81"/>
        <v>0</v>
      </c>
      <c r="AI200" s="37">
        <f t="shared" si="82"/>
        <v>0</v>
      </c>
      <c r="AJ200" s="37">
        <f t="shared" si="83"/>
        <v>0</v>
      </c>
      <c r="AK200" s="37">
        <f t="shared" si="84"/>
        <v>0</v>
      </c>
      <c r="AL200" s="37">
        <f t="shared" si="85"/>
        <v>0</v>
      </c>
      <c r="AM200" s="37">
        <f t="shared" si="86"/>
        <v>0</v>
      </c>
      <c r="AN200" s="37">
        <f t="shared" si="87"/>
        <v>0</v>
      </c>
      <c r="AO200" s="37">
        <f t="shared" si="88"/>
        <v>0</v>
      </c>
      <c r="AP200" s="37"/>
      <c r="AQ200" s="37"/>
      <c r="AR200" s="37">
        <f t="shared" si="89"/>
        <v>0</v>
      </c>
      <c r="AS200" s="37">
        <f t="shared" si="90"/>
        <v>0</v>
      </c>
      <c r="AT200" s="37" t="str">
        <f t="shared" si="91"/>
        <v>Correct</v>
      </c>
      <c r="AU200" s="37"/>
      <c r="AV200" s="120">
        <f>IFERROR(VLOOKUP(Table1[RespondentID],'All Data'!$A$3:$CO$999,87,FALSE),"unknown")</f>
        <v>0</v>
      </c>
      <c r="AW200" s="120">
        <f>IFERROR(VLOOKUP(Table1[RespondentID],'All Data'!$A$3:$CO$999,88,FALSE),"unknown")</f>
        <v>0</v>
      </c>
      <c r="AX200" s="120">
        <f>IFERROR(VLOOKUP(Table1[RespondentID],'All Data'!$A$3:$CO$999,89,FALSE),"unknown")</f>
        <v>0</v>
      </c>
      <c r="AY200" s="120" t="str">
        <f>IFERROR(VLOOKUP(Table1[RespondentID],'All Data'!$A$3:$CO$999,90,FALSE),"unknown")</f>
        <v>Alden Manor, 11003</v>
      </c>
      <c r="AZ200" s="120">
        <f>IFERROR(VLOOKUP(Table1[RespondentID],'All Data'!$A$3:$CO$999,91,FALSE),"unknown")</f>
        <v>0</v>
      </c>
      <c r="BA200" s="120">
        <f>IFERROR(VLOOKUP(Table1[RespondentID],'All Data'!$A$3:$CO$999,92,FALSE),"unknown")</f>
        <v>0</v>
      </c>
      <c r="BB200" s="120">
        <f>IFERROR(VLOOKUP(Table1[RespondentID],'All Data'!$A$3:$CO$999,93,FALSE),"unknown")</f>
        <v>0</v>
      </c>
      <c r="BC200" s="120">
        <f>IFERROR(VLOOKUP(Table1[RespondentID],'All Data'!$A$3:$CW$999,94,FALSE),"unknown")</f>
        <v>0</v>
      </c>
      <c r="BD200" s="120">
        <f>IFERROR(VLOOKUP(Table1[RespondentID],'All Data'!$A$3:$CW$999,95,FALSE),"unknown")</f>
        <v>0</v>
      </c>
      <c r="BE200" s="120">
        <f>IFERROR(VLOOKUP(Table1[RespondentID],'All Data'!$A$3:$CW$999,96,FALSE),"unknown")</f>
        <v>0</v>
      </c>
      <c r="BF200" s="120">
        <f>IFERROR(VLOOKUP(Table1[RespondentID],'All Data'!$A$3:$CW$999,97,FALSE),"unknown")</f>
        <v>0</v>
      </c>
      <c r="BG200" s="120">
        <f>IFERROR(VLOOKUP(Table1[RespondentID],'All Data'!$A$3:$CW$999,98,FALSE),"unknown")</f>
        <v>0</v>
      </c>
      <c r="BH200" s="120">
        <f>IFERROR(VLOOKUP(Table1[RespondentID],'All Data'!$A$3:$CW$999,99,FALSE),"unknown")</f>
        <v>0</v>
      </c>
    </row>
    <row r="201" spans="1:60">
      <c r="A201" s="5">
        <v>18019933763</v>
      </c>
      <c r="B201" s="5" t="s">
        <v>49</v>
      </c>
      <c r="C201" s="5"/>
      <c r="D201" s="5" t="s">
        <v>51</v>
      </c>
      <c r="E201" s="5"/>
      <c r="F201" s="5" t="s">
        <v>52</v>
      </c>
      <c r="G201" s="5"/>
      <c r="H201" s="5"/>
      <c r="I201" s="5"/>
      <c r="J201" s="5"/>
      <c r="K201" s="5"/>
      <c r="L201" s="5"/>
      <c r="M201" s="5"/>
      <c r="N201" s="5"/>
      <c r="O201" s="5"/>
      <c r="P201" s="5"/>
      <c r="Q201" s="5"/>
      <c r="R201" s="5"/>
      <c r="S201" s="5"/>
      <c r="T201" s="37"/>
      <c r="U201" s="37">
        <f t="shared" si="69"/>
        <v>3</v>
      </c>
      <c r="V201" s="37">
        <f t="shared" si="70"/>
        <v>1</v>
      </c>
      <c r="W201" s="37"/>
      <c r="X201" s="37">
        <f t="shared" si="71"/>
        <v>1</v>
      </c>
      <c r="Y201" s="37">
        <f t="shared" si="72"/>
        <v>0</v>
      </c>
      <c r="Z201" s="37">
        <f t="shared" si="73"/>
        <v>1</v>
      </c>
      <c r="AA201" s="37">
        <f t="shared" si="74"/>
        <v>0</v>
      </c>
      <c r="AB201" s="37">
        <f t="shared" si="75"/>
        <v>1</v>
      </c>
      <c r="AC201" s="37">
        <f t="shared" si="76"/>
        <v>0</v>
      </c>
      <c r="AD201" s="37">
        <f t="shared" si="77"/>
        <v>0</v>
      </c>
      <c r="AE201" s="37">
        <f t="shared" si="78"/>
        <v>0</v>
      </c>
      <c r="AF201" s="37">
        <f t="shared" si="79"/>
        <v>0</v>
      </c>
      <c r="AG201" s="37">
        <f t="shared" si="80"/>
        <v>0</v>
      </c>
      <c r="AH201" s="37">
        <f t="shared" si="81"/>
        <v>0</v>
      </c>
      <c r="AI201" s="37">
        <f t="shared" si="82"/>
        <v>0</v>
      </c>
      <c r="AJ201" s="37">
        <f t="shared" si="83"/>
        <v>0</v>
      </c>
      <c r="AK201" s="37">
        <f t="shared" si="84"/>
        <v>0</v>
      </c>
      <c r="AL201" s="37">
        <f t="shared" si="85"/>
        <v>0</v>
      </c>
      <c r="AM201" s="37">
        <f t="shared" si="86"/>
        <v>0</v>
      </c>
      <c r="AN201" s="37">
        <f t="shared" si="87"/>
        <v>0</v>
      </c>
      <c r="AO201" s="37">
        <f t="shared" si="88"/>
        <v>0</v>
      </c>
      <c r="AP201" s="37"/>
      <c r="AQ201" s="37"/>
      <c r="AR201" s="37">
        <f t="shared" si="89"/>
        <v>3</v>
      </c>
      <c r="AS201" s="37">
        <f t="shared" si="90"/>
        <v>3</v>
      </c>
      <c r="AT201" s="37" t="str">
        <f t="shared" si="91"/>
        <v>Correct</v>
      </c>
      <c r="AU201" s="37"/>
      <c r="AV201" s="120" t="str">
        <f>IFERROR(VLOOKUP(Table1[RespondentID],'All Data'!$A$3:$CO$999,87,FALSE),"unknown")</f>
        <v>Woman</v>
      </c>
      <c r="AW201" s="120">
        <f>IFERROR(VLOOKUP(Table1[RespondentID],'All Data'!$A$3:$CO$999,88,FALSE),"unknown")</f>
        <v>24</v>
      </c>
      <c r="AX201" s="120" t="str">
        <f>IFERROR(VLOOKUP(Table1[RespondentID],'All Data'!$A$3:$CO$999,89,FALSE),"unknown")</f>
        <v>Suffolk</v>
      </c>
      <c r="AY201" s="120" t="str">
        <f>IFERROR(VLOOKUP(Table1[RespondentID],'All Data'!$A$3:$CO$999,90,FALSE),"unknown")</f>
        <v>Selden, 11784</v>
      </c>
      <c r="AZ201" s="120" t="str">
        <f>IFERROR(VLOOKUP(Table1[RespondentID],'All Data'!$A$3:$CO$999,91,FALSE),"unknown")</f>
        <v>Native Hawaiian and Other Pacific Islander</v>
      </c>
      <c r="BA201" s="120" t="str">
        <f>IFERROR(VLOOKUP(Table1[RespondentID],'All Data'!$A$3:$CO$999,92,FALSE),"unknown")</f>
        <v>Hispanic or Latino</v>
      </c>
      <c r="BB201" s="120" t="str">
        <f>IFERROR(VLOOKUP(Table1[RespondentID],'All Data'!$A$3:$CO$999,93,FALSE),"unknown")</f>
        <v>English</v>
      </c>
      <c r="BC201" s="120" t="str">
        <f>IFERROR(VLOOKUP(Table1[RespondentID],'All Data'!$A$3:$CW$999,94,FALSE),"unknown")</f>
        <v>$75,000 to $125,000</v>
      </c>
      <c r="BD201" s="120" t="str">
        <f>IFERROR(VLOOKUP(Table1[RespondentID],'All Data'!$A$3:$CW$999,95,FALSE),"unknown")</f>
        <v>College graduate</v>
      </c>
      <c r="BE201" s="120" t="str">
        <f>IFERROR(VLOOKUP(Table1[RespondentID],'All Data'!$A$3:$CW$999,96,FALSE),"unknown")</f>
        <v>Employed for wages</v>
      </c>
      <c r="BF201" s="120" t="str">
        <f>IFERROR(VLOOKUP(Table1[RespondentID],'All Data'!$A$3:$CW$999,97,FALSE),"unknown")</f>
        <v>Yes</v>
      </c>
      <c r="BG201" s="120" t="str">
        <f>IFERROR(VLOOKUP(Table1[RespondentID],'All Data'!$A$3:$CW$999,98,FALSE),"unknown")</f>
        <v>Medicare</v>
      </c>
      <c r="BH201" s="120" t="str">
        <f>IFERROR(VLOOKUP(Table1[RespondentID],'All Data'!$A$3:$CW$999,99,FALSE),"unknown")</f>
        <v>Yes</v>
      </c>
    </row>
    <row r="202" spans="1:60">
      <c r="A202" s="5">
        <v>18019511473</v>
      </c>
      <c r="B202" s="5"/>
      <c r="C202" s="5"/>
      <c r="D202" s="5"/>
      <c r="E202" s="5"/>
      <c r="F202" s="5"/>
      <c r="G202" s="5"/>
      <c r="H202" s="5"/>
      <c r="I202" s="5"/>
      <c r="J202" s="5"/>
      <c r="K202" s="5"/>
      <c r="L202" s="5"/>
      <c r="M202" s="5"/>
      <c r="N202" s="5"/>
      <c r="O202" s="5"/>
      <c r="P202" s="5"/>
      <c r="Q202" s="5"/>
      <c r="R202" s="5"/>
      <c r="S202" s="5" t="s">
        <v>63</v>
      </c>
      <c r="T202" s="37"/>
      <c r="U202" s="37">
        <f t="shared" si="69"/>
        <v>1</v>
      </c>
      <c r="V202" s="37">
        <f t="shared" si="70"/>
        <v>3</v>
      </c>
      <c r="W202" s="37"/>
      <c r="X202" s="37">
        <f t="shared" si="71"/>
        <v>0</v>
      </c>
      <c r="Y202" s="37">
        <f t="shared" si="72"/>
        <v>0</v>
      </c>
      <c r="Z202" s="37">
        <f t="shared" si="73"/>
        <v>0</v>
      </c>
      <c r="AA202" s="37">
        <f t="shared" si="74"/>
        <v>0</v>
      </c>
      <c r="AB202" s="37">
        <f t="shared" si="75"/>
        <v>0</v>
      </c>
      <c r="AC202" s="37">
        <f t="shared" si="76"/>
        <v>0</v>
      </c>
      <c r="AD202" s="37">
        <f t="shared" si="77"/>
        <v>0</v>
      </c>
      <c r="AE202" s="37">
        <f t="shared" si="78"/>
        <v>0</v>
      </c>
      <c r="AF202" s="37">
        <f t="shared" si="79"/>
        <v>0</v>
      </c>
      <c r="AG202" s="37">
        <f t="shared" si="80"/>
        <v>0</v>
      </c>
      <c r="AH202" s="37">
        <f t="shared" si="81"/>
        <v>0</v>
      </c>
      <c r="AI202" s="37">
        <f t="shared" si="82"/>
        <v>0</v>
      </c>
      <c r="AJ202" s="37">
        <f t="shared" si="83"/>
        <v>0</v>
      </c>
      <c r="AK202" s="37">
        <f t="shared" si="84"/>
        <v>0</v>
      </c>
      <c r="AL202" s="37">
        <f t="shared" si="85"/>
        <v>0</v>
      </c>
      <c r="AM202" s="37">
        <f t="shared" si="86"/>
        <v>0</v>
      </c>
      <c r="AN202" s="37">
        <f t="shared" si="87"/>
        <v>0</v>
      </c>
      <c r="AO202" s="37">
        <f t="shared" si="88"/>
        <v>1</v>
      </c>
      <c r="AP202" s="37"/>
      <c r="AQ202" s="37"/>
      <c r="AR202" s="37">
        <f t="shared" si="89"/>
        <v>1</v>
      </c>
      <c r="AS202" s="37">
        <f t="shared" si="90"/>
        <v>1</v>
      </c>
      <c r="AT202" s="37" t="str">
        <f t="shared" si="91"/>
        <v>Correct</v>
      </c>
      <c r="AU202" s="37"/>
      <c r="AV202" s="120" t="str">
        <f>IFERROR(VLOOKUP(Table1[RespondentID],'All Data'!$A$3:$CO$999,87,FALSE),"unknown")</f>
        <v>Man</v>
      </c>
      <c r="AW202" s="120">
        <f>IFERROR(VLOOKUP(Table1[RespondentID],'All Data'!$A$3:$CO$999,88,FALSE),"unknown")</f>
        <v>0</v>
      </c>
      <c r="AX202" s="120" t="str">
        <f>IFERROR(VLOOKUP(Table1[RespondentID],'All Data'!$A$3:$CO$999,89,FALSE),"unknown")</f>
        <v>Suffolk</v>
      </c>
      <c r="AY202" s="120" t="str">
        <f>IFERROR(VLOOKUP(Table1[RespondentID],'All Data'!$A$3:$CO$999,90,FALSE),"unknown")</f>
        <v>Smithtown, 11787</v>
      </c>
      <c r="AZ202" s="120" t="str">
        <f>IFERROR(VLOOKUP(Table1[RespondentID],'All Data'!$A$3:$CO$999,91,FALSE),"unknown")</f>
        <v>White</v>
      </c>
      <c r="BA202" s="120" t="str">
        <f>IFERROR(VLOOKUP(Table1[RespondentID],'All Data'!$A$3:$CO$999,92,FALSE),"unknown")</f>
        <v>Hispanic or Latino</v>
      </c>
      <c r="BB202" s="120" t="str">
        <f>IFERROR(VLOOKUP(Table1[RespondentID],'All Data'!$A$3:$CO$999,93,FALSE),"unknown")</f>
        <v>English</v>
      </c>
      <c r="BC202" s="120" t="str">
        <f>IFERROR(VLOOKUP(Table1[RespondentID],'All Data'!$A$3:$CW$999,94,FALSE),"unknown")</f>
        <v>Over $125,000</v>
      </c>
      <c r="BD202" s="120" t="str">
        <f>IFERROR(VLOOKUP(Table1[RespondentID],'All Data'!$A$3:$CW$999,95,FALSE),"unknown")</f>
        <v>Some college</v>
      </c>
      <c r="BE202" s="120" t="str">
        <f>IFERROR(VLOOKUP(Table1[RespondentID],'All Data'!$A$3:$CW$999,96,FALSE),"unknown")</f>
        <v>Employed for wages</v>
      </c>
      <c r="BF202" s="120" t="str">
        <f>IFERROR(VLOOKUP(Table1[RespondentID],'All Data'!$A$3:$CW$999,97,FALSE),"unknown")</f>
        <v>No</v>
      </c>
      <c r="BG202" s="120" t="str">
        <f>IFERROR(VLOOKUP(Table1[RespondentID],'All Data'!$A$3:$CW$999,98,FALSE),"unknown")</f>
        <v>No Insurance</v>
      </c>
      <c r="BH202" s="120" t="str">
        <f>IFERROR(VLOOKUP(Table1[RespondentID],'All Data'!$A$3:$CW$999,99,FALSE),"unknown")</f>
        <v>Yes</v>
      </c>
    </row>
    <row r="203" spans="1:60">
      <c r="A203" s="5">
        <v>18019480989</v>
      </c>
      <c r="B203" s="5"/>
      <c r="C203" s="5"/>
      <c r="D203" s="5"/>
      <c r="E203" s="5" t="s">
        <v>17</v>
      </c>
      <c r="F203" s="5"/>
      <c r="G203" s="5"/>
      <c r="H203" s="5"/>
      <c r="I203" s="5"/>
      <c r="J203" s="5"/>
      <c r="K203" s="5"/>
      <c r="L203" s="5" t="s">
        <v>58</v>
      </c>
      <c r="M203" s="5" t="s">
        <v>59</v>
      </c>
      <c r="N203" s="5"/>
      <c r="O203" s="5"/>
      <c r="P203" s="5"/>
      <c r="Q203" s="5"/>
      <c r="R203" s="5"/>
      <c r="S203" s="5"/>
      <c r="T203" s="37"/>
      <c r="U203" s="37">
        <f t="shared" si="69"/>
        <v>3</v>
      </c>
      <c r="V203" s="37">
        <f t="shared" si="70"/>
        <v>1</v>
      </c>
      <c r="W203" s="37"/>
      <c r="X203" s="37">
        <f t="shared" si="71"/>
        <v>0</v>
      </c>
      <c r="Y203" s="37">
        <f t="shared" si="72"/>
        <v>0</v>
      </c>
      <c r="Z203" s="37">
        <f t="shared" si="73"/>
        <v>0</v>
      </c>
      <c r="AA203" s="37">
        <f t="shared" si="74"/>
        <v>1</v>
      </c>
      <c r="AB203" s="37">
        <f t="shared" si="75"/>
        <v>0</v>
      </c>
      <c r="AC203" s="37">
        <f t="shared" si="76"/>
        <v>0</v>
      </c>
      <c r="AD203" s="37">
        <f t="shared" si="77"/>
        <v>0</v>
      </c>
      <c r="AE203" s="37">
        <f t="shared" si="78"/>
        <v>0</v>
      </c>
      <c r="AF203" s="37">
        <f t="shared" si="79"/>
        <v>0</v>
      </c>
      <c r="AG203" s="37">
        <f t="shared" si="80"/>
        <v>0</v>
      </c>
      <c r="AH203" s="37">
        <f t="shared" si="81"/>
        <v>1</v>
      </c>
      <c r="AI203" s="37">
        <f t="shared" si="82"/>
        <v>1</v>
      </c>
      <c r="AJ203" s="37">
        <f t="shared" si="83"/>
        <v>0</v>
      </c>
      <c r="AK203" s="37">
        <f t="shared" si="84"/>
        <v>0</v>
      </c>
      <c r="AL203" s="37">
        <f t="shared" si="85"/>
        <v>0</v>
      </c>
      <c r="AM203" s="37">
        <f t="shared" si="86"/>
        <v>0</v>
      </c>
      <c r="AN203" s="37">
        <f t="shared" si="87"/>
        <v>0</v>
      </c>
      <c r="AO203" s="37">
        <f t="shared" si="88"/>
        <v>0</v>
      </c>
      <c r="AP203" s="37"/>
      <c r="AQ203" s="37"/>
      <c r="AR203" s="37">
        <f t="shared" si="89"/>
        <v>3</v>
      </c>
      <c r="AS203" s="37">
        <f t="shared" si="90"/>
        <v>3</v>
      </c>
      <c r="AT203" s="37" t="str">
        <f t="shared" si="91"/>
        <v>Correct</v>
      </c>
      <c r="AU203" s="37"/>
      <c r="AV203" s="120" t="str">
        <f>IFERROR(VLOOKUP(Table1[RespondentID],'All Data'!$A$3:$CO$999,87,FALSE),"unknown")</f>
        <v>Man</v>
      </c>
      <c r="AW203" s="120">
        <f>IFERROR(VLOOKUP(Table1[RespondentID],'All Data'!$A$3:$CO$999,88,FALSE),"unknown")</f>
        <v>23</v>
      </c>
      <c r="AX203" s="120" t="str">
        <f>IFERROR(VLOOKUP(Table1[RespondentID],'All Data'!$A$3:$CO$999,89,FALSE),"unknown")</f>
        <v>Suffolk</v>
      </c>
      <c r="AY203" s="120" t="str">
        <f>IFERROR(VLOOKUP(Table1[RespondentID],'All Data'!$A$3:$CO$999,90,FALSE),"unknown")</f>
        <v>Saint James, 11780</v>
      </c>
      <c r="AZ203" s="120" t="str">
        <f>IFERROR(VLOOKUP(Table1[RespondentID],'All Data'!$A$3:$CO$999,91,FALSE),"unknown")</f>
        <v>White</v>
      </c>
      <c r="BA203" s="120" t="str">
        <f>IFERROR(VLOOKUP(Table1[RespondentID],'All Data'!$A$3:$CO$999,92,FALSE),"unknown")</f>
        <v>Hispanic or Latino</v>
      </c>
      <c r="BB203" s="120" t="str">
        <f>IFERROR(VLOOKUP(Table1[RespondentID],'All Data'!$A$3:$CO$999,93,FALSE),"unknown")</f>
        <v>English</v>
      </c>
      <c r="BC203" s="120" t="str">
        <f>IFERROR(VLOOKUP(Table1[RespondentID],'All Data'!$A$3:$CW$999,94,FALSE),"unknown")</f>
        <v>$0-$19,999</v>
      </c>
      <c r="BD203" s="120" t="str">
        <f>IFERROR(VLOOKUP(Table1[RespondentID],'All Data'!$A$3:$CW$999,95,FALSE),"unknown")</f>
        <v>Graduate school</v>
      </c>
      <c r="BE203" s="120" t="str">
        <f>IFERROR(VLOOKUP(Table1[RespondentID],'All Data'!$A$3:$CW$999,96,FALSE),"unknown")</f>
        <v>Employed for wages</v>
      </c>
      <c r="BF203" s="120" t="str">
        <f>IFERROR(VLOOKUP(Table1[RespondentID],'All Data'!$A$3:$CW$999,97,FALSE),"unknown")</f>
        <v>Yes</v>
      </c>
      <c r="BG203" s="120">
        <f>IFERROR(VLOOKUP(Table1[RespondentID],'All Data'!$A$3:$CW$999,98,FALSE),"unknown")</f>
        <v>0</v>
      </c>
      <c r="BH203" s="120">
        <f>IFERROR(VLOOKUP(Table1[RespondentID],'All Data'!$A$3:$CW$999,99,FALSE),"unknown")</f>
        <v>0</v>
      </c>
    </row>
    <row r="204" spans="1:60">
      <c r="A204" s="5">
        <v>18019480837</v>
      </c>
      <c r="B204" s="5"/>
      <c r="C204" s="5"/>
      <c r="D204" s="5"/>
      <c r="E204" s="5"/>
      <c r="F204" s="5"/>
      <c r="G204" s="5"/>
      <c r="H204" s="5"/>
      <c r="I204" s="5"/>
      <c r="J204" s="5"/>
      <c r="K204" s="5"/>
      <c r="L204" s="5"/>
      <c r="M204" s="5" t="s">
        <v>59</v>
      </c>
      <c r="N204" s="5"/>
      <c r="O204" s="5"/>
      <c r="P204" s="5"/>
      <c r="Q204" s="5"/>
      <c r="R204" s="5"/>
      <c r="S204" s="5"/>
      <c r="T204" s="37"/>
      <c r="U204" s="37">
        <f t="shared" si="69"/>
        <v>1</v>
      </c>
      <c r="V204" s="37">
        <f t="shared" si="70"/>
        <v>3</v>
      </c>
      <c r="W204" s="37"/>
      <c r="X204" s="37">
        <f t="shared" si="71"/>
        <v>0</v>
      </c>
      <c r="Y204" s="37">
        <f t="shared" si="72"/>
        <v>0</v>
      </c>
      <c r="Z204" s="37">
        <f t="shared" si="73"/>
        <v>0</v>
      </c>
      <c r="AA204" s="37">
        <f t="shared" si="74"/>
        <v>0</v>
      </c>
      <c r="AB204" s="37">
        <f t="shared" si="75"/>
        <v>0</v>
      </c>
      <c r="AC204" s="37">
        <f t="shared" si="76"/>
        <v>0</v>
      </c>
      <c r="AD204" s="37">
        <f t="shared" si="77"/>
        <v>0</v>
      </c>
      <c r="AE204" s="37">
        <f t="shared" si="78"/>
        <v>0</v>
      </c>
      <c r="AF204" s="37">
        <f t="shared" si="79"/>
        <v>0</v>
      </c>
      <c r="AG204" s="37">
        <f t="shared" si="80"/>
        <v>0</v>
      </c>
      <c r="AH204" s="37">
        <f t="shared" si="81"/>
        <v>0</v>
      </c>
      <c r="AI204" s="37">
        <f t="shared" si="82"/>
        <v>1</v>
      </c>
      <c r="AJ204" s="37">
        <f t="shared" si="83"/>
        <v>0</v>
      </c>
      <c r="AK204" s="37">
        <f t="shared" si="84"/>
        <v>0</v>
      </c>
      <c r="AL204" s="37">
        <f t="shared" si="85"/>
        <v>0</v>
      </c>
      <c r="AM204" s="37">
        <f t="shared" si="86"/>
        <v>0</v>
      </c>
      <c r="AN204" s="37">
        <f t="shared" si="87"/>
        <v>0</v>
      </c>
      <c r="AO204" s="37">
        <f t="shared" si="88"/>
        <v>0</v>
      </c>
      <c r="AP204" s="37"/>
      <c r="AQ204" s="37"/>
      <c r="AR204" s="37">
        <f t="shared" si="89"/>
        <v>1</v>
      </c>
      <c r="AS204" s="37">
        <f t="shared" si="90"/>
        <v>1</v>
      </c>
      <c r="AT204" s="37" t="str">
        <f t="shared" si="91"/>
        <v>Correct</v>
      </c>
      <c r="AU204" s="37"/>
      <c r="AV204" s="120" t="str">
        <f>IFERROR(VLOOKUP(Table1[RespondentID],'All Data'!$A$3:$CO$999,87,FALSE),"unknown")</f>
        <v>Woman</v>
      </c>
      <c r="AW204" s="120">
        <f>IFERROR(VLOOKUP(Table1[RespondentID],'All Data'!$A$3:$CO$999,88,FALSE),"unknown")</f>
        <v>49</v>
      </c>
      <c r="AX204" s="120" t="str">
        <f>IFERROR(VLOOKUP(Table1[RespondentID],'All Data'!$A$3:$CO$999,89,FALSE),"unknown")</f>
        <v>Suffolk</v>
      </c>
      <c r="AY204" s="120" t="str">
        <f>IFERROR(VLOOKUP(Table1[RespondentID],'All Data'!$A$3:$CO$999,90,FALSE),"unknown")</f>
        <v>Smithtown, 11787</v>
      </c>
      <c r="AZ204" s="120" t="str">
        <f>IFERROR(VLOOKUP(Table1[RespondentID],'All Data'!$A$3:$CO$999,91,FALSE),"unknown")</f>
        <v>White</v>
      </c>
      <c r="BA204" s="120" t="str">
        <f>IFERROR(VLOOKUP(Table1[RespondentID],'All Data'!$A$3:$CO$999,92,FALSE),"unknown")</f>
        <v>Hispanic or Latino</v>
      </c>
      <c r="BB204" s="120" t="str">
        <f>IFERROR(VLOOKUP(Table1[RespondentID],'All Data'!$A$3:$CO$999,93,FALSE),"unknown")</f>
        <v>English</v>
      </c>
      <c r="BC204" s="120" t="str">
        <f>IFERROR(VLOOKUP(Table1[RespondentID],'All Data'!$A$3:$CW$999,94,FALSE),"unknown")</f>
        <v>$50,000 to $74,999</v>
      </c>
      <c r="BD204" s="120" t="str">
        <f>IFERROR(VLOOKUP(Table1[RespondentID],'All Data'!$A$3:$CW$999,95,FALSE),"unknown")</f>
        <v>High school graduate</v>
      </c>
      <c r="BE204" s="120" t="str">
        <f>IFERROR(VLOOKUP(Table1[RespondentID],'All Data'!$A$3:$CW$999,96,FALSE),"unknown")</f>
        <v>Self-employed</v>
      </c>
      <c r="BF204" s="120" t="str">
        <f>IFERROR(VLOOKUP(Table1[RespondentID],'All Data'!$A$3:$CW$999,97,FALSE),"unknown")</f>
        <v>Yes</v>
      </c>
      <c r="BG204" s="120">
        <f>IFERROR(VLOOKUP(Table1[RespondentID],'All Data'!$A$3:$CW$999,98,FALSE),"unknown")</f>
        <v>0</v>
      </c>
      <c r="BH204" s="120">
        <f>IFERROR(VLOOKUP(Table1[RespondentID],'All Data'!$A$3:$CW$999,99,FALSE),"unknown")</f>
        <v>0</v>
      </c>
    </row>
    <row r="205" spans="1:60">
      <c r="A205" s="5">
        <v>18019480727</v>
      </c>
      <c r="B205" s="5"/>
      <c r="C205" s="5"/>
      <c r="D205" s="5" t="s">
        <v>51</v>
      </c>
      <c r="E205" s="5"/>
      <c r="F205" s="5"/>
      <c r="G205" s="5"/>
      <c r="H205" s="5"/>
      <c r="I205" s="5"/>
      <c r="J205" s="5"/>
      <c r="K205" s="5"/>
      <c r="L205" s="5"/>
      <c r="M205" s="5"/>
      <c r="N205" s="5"/>
      <c r="O205" s="5"/>
      <c r="P205" s="5" t="s">
        <v>60</v>
      </c>
      <c r="Q205" s="5"/>
      <c r="R205" s="5" t="s">
        <v>62</v>
      </c>
      <c r="S205" s="5"/>
      <c r="T205" s="37"/>
      <c r="U205" s="37">
        <f t="shared" si="69"/>
        <v>3</v>
      </c>
      <c r="V205" s="37">
        <f t="shared" si="70"/>
        <v>1</v>
      </c>
      <c r="W205" s="37"/>
      <c r="X205" s="37">
        <f t="shared" si="71"/>
        <v>0</v>
      </c>
      <c r="Y205" s="37">
        <f t="shared" si="72"/>
        <v>0</v>
      </c>
      <c r="Z205" s="37">
        <f t="shared" si="73"/>
        <v>1</v>
      </c>
      <c r="AA205" s="37">
        <f t="shared" si="74"/>
        <v>0</v>
      </c>
      <c r="AB205" s="37">
        <f t="shared" si="75"/>
        <v>0</v>
      </c>
      <c r="AC205" s="37">
        <f t="shared" si="76"/>
        <v>0</v>
      </c>
      <c r="AD205" s="37">
        <f t="shared" si="77"/>
        <v>0</v>
      </c>
      <c r="AE205" s="37">
        <f t="shared" si="78"/>
        <v>0</v>
      </c>
      <c r="AF205" s="37">
        <f t="shared" si="79"/>
        <v>0</v>
      </c>
      <c r="AG205" s="37">
        <f t="shared" si="80"/>
        <v>0</v>
      </c>
      <c r="AH205" s="37">
        <f t="shared" si="81"/>
        <v>0</v>
      </c>
      <c r="AI205" s="37">
        <f t="shared" si="82"/>
        <v>0</v>
      </c>
      <c r="AJ205" s="37">
        <f t="shared" si="83"/>
        <v>0</v>
      </c>
      <c r="AK205" s="37">
        <f t="shared" si="84"/>
        <v>0</v>
      </c>
      <c r="AL205" s="37">
        <f t="shared" si="85"/>
        <v>1</v>
      </c>
      <c r="AM205" s="37">
        <f t="shared" si="86"/>
        <v>0</v>
      </c>
      <c r="AN205" s="37">
        <f t="shared" si="87"/>
        <v>1</v>
      </c>
      <c r="AO205" s="37">
        <f t="shared" si="88"/>
        <v>0</v>
      </c>
      <c r="AP205" s="37"/>
      <c r="AQ205" s="37"/>
      <c r="AR205" s="37">
        <f t="shared" si="89"/>
        <v>3</v>
      </c>
      <c r="AS205" s="37">
        <f t="shared" si="90"/>
        <v>3</v>
      </c>
      <c r="AT205" s="37" t="str">
        <f t="shared" si="91"/>
        <v>Correct</v>
      </c>
      <c r="AU205" s="37"/>
      <c r="AV205" s="120" t="str">
        <f>IFERROR(VLOOKUP(Table1[RespondentID],'All Data'!$A$3:$CO$999,87,FALSE),"unknown")</f>
        <v>Man</v>
      </c>
      <c r="AW205" s="120">
        <f>IFERROR(VLOOKUP(Table1[RespondentID],'All Data'!$A$3:$CO$999,88,FALSE),"unknown")</f>
        <v>50</v>
      </c>
      <c r="AX205" s="120" t="str">
        <f>IFERROR(VLOOKUP(Table1[RespondentID],'All Data'!$A$3:$CO$999,89,FALSE),"unknown")</f>
        <v>Suffolk</v>
      </c>
      <c r="AY205" s="120" t="str">
        <f>IFERROR(VLOOKUP(Table1[RespondentID],'All Data'!$A$3:$CO$999,90,FALSE),"unknown")</f>
        <v>Saint James, 11780</v>
      </c>
      <c r="AZ205" s="120" t="str">
        <f>IFERROR(VLOOKUP(Table1[RespondentID],'All Data'!$A$3:$CO$999,91,FALSE),"unknown")</f>
        <v>White</v>
      </c>
      <c r="BA205" s="120" t="str">
        <f>IFERROR(VLOOKUP(Table1[RespondentID],'All Data'!$A$3:$CO$999,92,FALSE),"unknown")</f>
        <v>Hispanic or Latino</v>
      </c>
      <c r="BB205" s="120" t="str">
        <f>IFERROR(VLOOKUP(Table1[RespondentID],'All Data'!$A$3:$CO$999,93,FALSE),"unknown")</f>
        <v>English</v>
      </c>
      <c r="BC205" s="120" t="str">
        <f>IFERROR(VLOOKUP(Table1[RespondentID],'All Data'!$A$3:$CW$999,94,FALSE),"unknown")</f>
        <v>$50,000 to $74,999</v>
      </c>
      <c r="BD205" s="120" t="str">
        <f>IFERROR(VLOOKUP(Table1[RespondentID],'All Data'!$A$3:$CW$999,95,FALSE),"unknown")</f>
        <v>Some college</v>
      </c>
      <c r="BE205" s="120" t="str">
        <f>IFERROR(VLOOKUP(Table1[RespondentID],'All Data'!$A$3:$CW$999,96,FALSE),"unknown")</f>
        <v>Out of work, but not currently looking</v>
      </c>
      <c r="BF205" s="120" t="str">
        <f>IFERROR(VLOOKUP(Table1[RespondentID],'All Data'!$A$3:$CW$999,97,FALSE),"unknown")</f>
        <v>Yes</v>
      </c>
      <c r="BG205" s="120">
        <f>IFERROR(VLOOKUP(Table1[RespondentID],'All Data'!$A$3:$CW$999,98,FALSE),"unknown")</f>
        <v>0</v>
      </c>
      <c r="BH205" s="120">
        <f>IFERROR(VLOOKUP(Table1[RespondentID],'All Data'!$A$3:$CW$999,99,FALSE),"unknown")</f>
        <v>0</v>
      </c>
    </row>
    <row r="206" spans="1:60">
      <c r="A206" s="5">
        <v>18019480579</v>
      </c>
      <c r="B206" s="5" t="s">
        <v>49</v>
      </c>
      <c r="C206" s="5" t="s">
        <v>50</v>
      </c>
      <c r="D206" s="5"/>
      <c r="E206" s="5"/>
      <c r="F206" s="5"/>
      <c r="G206" s="5"/>
      <c r="H206" s="5" t="s">
        <v>54</v>
      </c>
      <c r="I206" s="5"/>
      <c r="J206" s="5"/>
      <c r="K206" s="5"/>
      <c r="L206" s="5"/>
      <c r="M206" s="5"/>
      <c r="N206" s="5"/>
      <c r="O206" s="5"/>
      <c r="P206" s="5"/>
      <c r="Q206" s="5"/>
      <c r="R206" s="5"/>
      <c r="S206" s="5"/>
      <c r="T206" s="37"/>
      <c r="U206" s="37">
        <f t="shared" si="69"/>
        <v>3</v>
      </c>
      <c r="V206" s="37">
        <f t="shared" si="70"/>
        <v>1</v>
      </c>
      <c r="W206" s="37"/>
      <c r="X206" s="37">
        <f t="shared" si="71"/>
        <v>1</v>
      </c>
      <c r="Y206" s="37">
        <f t="shared" si="72"/>
        <v>1</v>
      </c>
      <c r="Z206" s="37">
        <f t="shared" si="73"/>
        <v>0</v>
      </c>
      <c r="AA206" s="37">
        <f t="shared" si="74"/>
        <v>0</v>
      </c>
      <c r="AB206" s="37">
        <f t="shared" si="75"/>
        <v>0</v>
      </c>
      <c r="AC206" s="37">
        <f t="shared" si="76"/>
        <v>0</v>
      </c>
      <c r="AD206" s="37">
        <f t="shared" si="77"/>
        <v>1</v>
      </c>
      <c r="AE206" s="37">
        <f t="shared" si="78"/>
        <v>0</v>
      </c>
      <c r="AF206" s="37">
        <f t="shared" si="79"/>
        <v>0</v>
      </c>
      <c r="AG206" s="37">
        <f t="shared" si="80"/>
        <v>0</v>
      </c>
      <c r="AH206" s="37">
        <f t="shared" si="81"/>
        <v>0</v>
      </c>
      <c r="AI206" s="37">
        <f t="shared" si="82"/>
        <v>0</v>
      </c>
      <c r="AJ206" s="37">
        <f t="shared" si="83"/>
        <v>0</v>
      </c>
      <c r="AK206" s="37">
        <f t="shared" si="84"/>
        <v>0</v>
      </c>
      <c r="AL206" s="37">
        <f t="shared" si="85"/>
        <v>0</v>
      </c>
      <c r="AM206" s="37">
        <f t="shared" si="86"/>
        <v>0</v>
      </c>
      <c r="AN206" s="37">
        <f t="shared" si="87"/>
        <v>0</v>
      </c>
      <c r="AO206" s="37">
        <f t="shared" si="88"/>
        <v>0</v>
      </c>
      <c r="AP206" s="37"/>
      <c r="AQ206" s="37"/>
      <c r="AR206" s="37">
        <f t="shared" si="89"/>
        <v>3</v>
      </c>
      <c r="AS206" s="37">
        <f t="shared" si="90"/>
        <v>3</v>
      </c>
      <c r="AT206" s="37" t="str">
        <f t="shared" si="91"/>
        <v>Correct</v>
      </c>
      <c r="AU206" s="37"/>
      <c r="AV206" s="120" t="str">
        <f>IFERROR(VLOOKUP(Table1[RespondentID],'All Data'!$A$3:$CO$999,87,FALSE),"unknown")</f>
        <v>Man</v>
      </c>
      <c r="AW206" s="120">
        <f>IFERROR(VLOOKUP(Table1[RespondentID],'All Data'!$A$3:$CO$999,88,FALSE),"unknown")</f>
        <v>45</v>
      </c>
      <c r="AX206" s="120" t="str">
        <f>IFERROR(VLOOKUP(Table1[RespondentID],'All Data'!$A$3:$CO$999,89,FALSE),"unknown")</f>
        <v>Suffolk</v>
      </c>
      <c r="AY206" s="120" t="str">
        <f>IFERROR(VLOOKUP(Table1[RespondentID],'All Data'!$A$3:$CO$999,90,FALSE),"unknown")</f>
        <v>Saint James, 11780</v>
      </c>
      <c r="AZ206" s="120" t="str">
        <f>IFERROR(VLOOKUP(Table1[RespondentID],'All Data'!$A$3:$CO$999,91,FALSE),"unknown")</f>
        <v>White</v>
      </c>
      <c r="BA206" s="120" t="str">
        <f>IFERROR(VLOOKUP(Table1[RespondentID],'All Data'!$A$3:$CO$999,92,FALSE),"unknown")</f>
        <v>Hispanic or Latino</v>
      </c>
      <c r="BB206" s="120" t="str">
        <f>IFERROR(VLOOKUP(Table1[RespondentID],'All Data'!$A$3:$CO$999,93,FALSE),"unknown")</f>
        <v>English</v>
      </c>
      <c r="BC206" s="120" t="str">
        <f>IFERROR(VLOOKUP(Table1[RespondentID],'All Data'!$A$3:$CW$999,94,FALSE),"unknown")</f>
        <v>$20,000 to $34,999</v>
      </c>
      <c r="BD206" s="120" t="str">
        <f>IFERROR(VLOOKUP(Table1[RespondentID],'All Data'!$A$3:$CW$999,95,FALSE),"unknown")</f>
        <v>High school graduate</v>
      </c>
      <c r="BE206" s="120" t="str">
        <f>IFERROR(VLOOKUP(Table1[RespondentID],'All Data'!$A$3:$CW$999,96,FALSE),"unknown")</f>
        <v>Employed for wages</v>
      </c>
      <c r="BF206" s="120" t="str">
        <f>IFERROR(VLOOKUP(Table1[RespondentID],'All Data'!$A$3:$CW$999,97,FALSE),"unknown")</f>
        <v>Yes</v>
      </c>
      <c r="BG206" s="120">
        <f>IFERROR(VLOOKUP(Table1[RespondentID],'All Data'!$A$3:$CW$999,98,FALSE),"unknown")</f>
        <v>0</v>
      </c>
      <c r="BH206" s="120">
        <f>IFERROR(VLOOKUP(Table1[RespondentID],'All Data'!$A$3:$CW$999,99,FALSE),"unknown")</f>
        <v>0</v>
      </c>
    </row>
    <row r="207" spans="1:60">
      <c r="A207" s="5">
        <v>18019480437</v>
      </c>
      <c r="B207" s="5"/>
      <c r="C207" s="5"/>
      <c r="D207" s="5"/>
      <c r="E207" s="5" t="s">
        <v>17</v>
      </c>
      <c r="F207" s="5"/>
      <c r="G207" s="5"/>
      <c r="H207" s="5"/>
      <c r="I207" s="5"/>
      <c r="J207" s="5"/>
      <c r="K207" s="5"/>
      <c r="L207" s="5"/>
      <c r="M207" s="5"/>
      <c r="N207" s="5"/>
      <c r="O207" s="5"/>
      <c r="P207" s="5"/>
      <c r="Q207" s="5"/>
      <c r="R207" s="5"/>
      <c r="S207" s="5"/>
      <c r="T207" s="37"/>
      <c r="U207" s="37">
        <f t="shared" si="69"/>
        <v>1</v>
      </c>
      <c r="V207" s="37">
        <f t="shared" si="70"/>
        <v>3</v>
      </c>
      <c r="W207" s="37"/>
      <c r="X207" s="37">
        <f t="shared" si="71"/>
        <v>0</v>
      </c>
      <c r="Y207" s="37">
        <f t="shared" si="72"/>
        <v>0</v>
      </c>
      <c r="Z207" s="37">
        <f t="shared" si="73"/>
        <v>0</v>
      </c>
      <c r="AA207" s="37">
        <f t="shared" si="74"/>
        <v>1</v>
      </c>
      <c r="AB207" s="37">
        <f t="shared" si="75"/>
        <v>0</v>
      </c>
      <c r="AC207" s="37">
        <f t="shared" si="76"/>
        <v>0</v>
      </c>
      <c r="AD207" s="37">
        <f t="shared" si="77"/>
        <v>0</v>
      </c>
      <c r="AE207" s="37">
        <f t="shared" si="78"/>
        <v>0</v>
      </c>
      <c r="AF207" s="37">
        <f t="shared" si="79"/>
        <v>0</v>
      </c>
      <c r="AG207" s="37">
        <f t="shared" si="80"/>
        <v>0</v>
      </c>
      <c r="AH207" s="37">
        <f t="shared" si="81"/>
        <v>0</v>
      </c>
      <c r="AI207" s="37">
        <f t="shared" si="82"/>
        <v>0</v>
      </c>
      <c r="AJ207" s="37">
        <f t="shared" si="83"/>
        <v>0</v>
      </c>
      <c r="AK207" s="37">
        <f t="shared" si="84"/>
        <v>0</v>
      </c>
      <c r="AL207" s="37">
        <f t="shared" si="85"/>
        <v>0</v>
      </c>
      <c r="AM207" s="37">
        <f t="shared" si="86"/>
        <v>0</v>
      </c>
      <c r="AN207" s="37">
        <f t="shared" si="87"/>
        <v>0</v>
      </c>
      <c r="AO207" s="37">
        <f t="shared" si="88"/>
        <v>0</v>
      </c>
      <c r="AP207" s="37"/>
      <c r="AQ207" s="37"/>
      <c r="AR207" s="37">
        <f t="shared" si="89"/>
        <v>1</v>
      </c>
      <c r="AS207" s="37">
        <f t="shared" si="90"/>
        <v>1</v>
      </c>
      <c r="AT207" s="37" t="str">
        <f t="shared" si="91"/>
        <v>Correct</v>
      </c>
      <c r="AU207" s="37"/>
      <c r="AV207" s="120" t="str">
        <f>IFERROR(VLOOKUP(Table1[RespondentID],'All Data'!$A$3:$CO$999,87,FALSE),"unknown")</f>
        <v>Woman</v>
      </c>
      <c r="AW207" s="120">
        <f>IFERROR(VLOOKUP(Table1[RespondentID],'All Data'!$A$3:$CO$999,88,FALSE),"unknown")</f>
        <v>47</v>
      </c>
      <c r="AX207" s="120" t="str">
        <f>IFERROR(VLOOKUP(Table1[RespondentID],'All Data'!$A$3:$CO$999,89,FALSE),"unknown")</f>
        <v>Suffolk</v>
      </c>
      <c r="AY207" s="120" t="str">
        <f>IFERROR(VLOOKUP(Table1[RespondentID],'All Data'!$A$3:$CO$999,90,FALSE),"unknown")</f>
        <v>Saint James, 11780</v>
      </c>
      <c r="AZ207" s="120" t="str">
        <f>IFERROR(VLOOKUP(Table1[RespondentID],'All Data'!$A$3:$CO$999,91,FALSE),"unknown")</f>
        <v>White</v>
      </c>
      <c r="BA207" s="120" t="str">
        <f>IFERROR(VLOOKUP(Table1[RespondentID],'All Data'!$A$3:$CO$999,92,FALSE),"unknown")</f>
        <v>Hispanic or Latino</v>
      </c>
      <c r="BB207" s="120" t="str">
        <f>IFERROR(VLOOKUP(Table1[RespondentID],'All Data'!$A$3:$CO$999,93,FALSE),"unknown")</f>
        <v>English</v>
      </c>
      <c r="BC207" s="120" t="str">
        <f>IFERROR(VLOOKUP(Table1[RespondentID],'All Data'!$A$3:$CW$999,94,FALSE),"unknown")</f>
        <v>$75,000 to $125,000</v>
      </c>
      <c r="BD207" s="120" t="str">
        <f>IFERROR(VLOOKUP(Table1[RespondentID],'All Data'!$A$3:$CW$999,95,FALSE),"unknown")</f>
        <v>High school graduate</v>
      </c>
      <c r="BE207" s="120" t="str">
        <f>IFERROR(VLOOKUP(Table1[RespondentID],'All Data'!$A$3:$CW$999,96,FALSE),"unknown")</f>
        <v>Self-employed</v>
      </c>
      <c r="BF207" s="120" t="str">
        <f>IFERROR(VLOOKUP(Table1[RespondentID],'All Data'!$A$3:$CW$999,97,FALSE),"unknown")</f>
        <v>No</v>
      </c>
      <c r="BG207" s="120">
        <f>IFERROR(VLOOKUP(Table1[RespondentID],'All Data'!$A$3:$CW$999,98,FALSE),"unknown")</f>
        <v>0</v>
      </c>
      <c r="BH207" s="120">
        <f>IFERROR(VLOOKUP(Table1[RespondentID],'All Data'!$A$3:$CW$999,99,FALSE),"unknown")</f>
        <v>0</v>
      </c>
    </row>
    <row r="208" spans="1:60">
      <c r="A208" s="5">
        <v>18019480319</v>
      </c>
      <c r="B208" s="5"/>
      <c r="C208" s="5"/>
      <c r="D208" s="5"/>
      <c r="E208" s="5"/>
      <c r="F208" s="5"/>
      <c r="G208" s="5"/>
      <c r="H208" s="5"/>
      <c r="I208" s="5"/>
      <c r="J208" s="5"/>
      <c r="K208" s="5"/>
      <c r="L208" s="5"/>
      <c r="M208" s="5"/>
      <c r="N208" s="5"/>
      <c r="O208" s="5"/>
      <c r="P208" s="5"/>
      <c r="Q208" s="5" t="s">
        <v>61</v>
      </c>
      <c r="R208" s="5" t="s">
        <v>62</v>
      </c>
      <c r="S208" s="5"/>
      <c r="T208" s="37"/>
      <c r="U208" s="37">
        <f t="shared" si="69"/>
        <v>2</v>
      </c>
      <c r="V208" s="37">
        <f t="shared" si="70"/>
        <v>1.5</v>
      </c>
      <c r="W208" s="37"/>
      <c r="X208" s="37">
        <f t="shared" si="71"/>
        <v>0</v>
      </c>
      <c r="Y208" s="37">
        <f t="shared" si="72"/>
        <v>0</v>
      </c>
      <c r="Z208" s="37">
        <f t="shared" si="73"/>
        <v>0</v>
      </c>
      <c r="AA208" s="37">
        <f t="shared" si="74"/>
        <v>0</v>
      </c>
      <c r="AB208" s="37">
        <f t="shared" si="75"/>
        <v>0</v>
      </c>
      <c r="AC208" s="37">
        <f t="shared" si="76"/>
        <v>0</v>
      </c>
      <c r="AD208" s="37">
        <f t="shared" si="77"/>
        <v>0</v>
      </c>
      <c r="AE208" s="37">
        <f t="shared" si="78"/>
        <v>0</v>
      </c>
      <c r="AF208" s="37">
        <f t="shared" si="79"/>
        <v>0</v>
      </c>
      <c r="AG208" s="37">
        <f t="shared" si="80"/>
        <v>0</v>
      </c>
      <c r="AH208" s="37">
        <f t="shared" si="81"/>
        <v>0</v>
      </c>
      <c r="AI208" s="37">
        <f t="shared" si="82"/>
        <v>0</v>
      </c>
      <c r="AJ208" s="37">
        <f t="shared" si="83"/>
        <v>0</v>
      </c>
      <c r="AK208" s="37">
        <f t="shared" si="84"/>
        <v>0</v>
      </c>
      <c r="AL208" s="37">
        <f t="shared" si="85"/>
        <v>0</v>
      </c>
      <c r="AM208" s="37">
        <f t="shared" si="86"/>
        <v>1</v>
      </c>
      <c r="AN208" s="37">
        <f t="shared" si="87"/>
        <v>1</v>
      </c>
      <c r="AO208" s="37">
        <f t="shared" si="88"/>
        <v>0</v>
      </c>
      <c r="AP208" s="37"/>
      <c r="AQ208" s="37"/>
      <c r="AR208" s="37">
        <f t="shared" si="89"/>
        <v>2</v>
      </c>
      <c r="AS208" s="37">
        <f t="shared" si="90"/>
        <v>2</v>
      </c>
      <c r="AT208" s="37" t="str">
        <f t="shared" si="91"/>
        <v>Correct</v>
      </c>
      <c r="AU208" s="37"/>
      <c r="AV208" s="120" t="str">
        <f>IFERROR(VLOOKUP(Table1[RespondentID],'All Data'!$A$3:$CO$999,87,FALSE),"unknown")</f>
        <v>Woman</v>
      </c>
      <c r="AW208" s="120">
        <f>IFERROR(VLOOKUP(Table1[RespondentID],'All Data'!$A$3:$CO$999,88,FALSE),"unknown")</f>
        <v>65</v>
      </c>
      <c r="AX208" s="120" t="str">
        <f>IFERROR(VLOOKUP(Table1[RespondentID],'All Data'!$A$3:$CO$999,89,FALSE),"unknown")</f>
        <v>Suffolk</v>
      </c>
      <c r="AY208" s="120" t="str">
        <f>IFERROR(VLOOKUP(Table1[RespondentID],'All Data'!$A$3:$CO$999,90,FALSE),"unknown")</f>
        <v>Kings Park, 11754</v>
      </c>
      <c r="AZ208" s="120" t="str">
        <f>IFERROR(VLOOKUP(Table1[RespondentID],'All Data'!$A$3:$CO$999,91,FALSE),"unknown")</f>
        <v>White</v>
      </c>
      <c r="BA208" s="120" t="str">
        <f>IFERROR(VLOOKUP(Table1[RespondentID],'All Data'!$A$3:$CO$999,92,FALSE),"unknown")</f>
        <v>Hispanic or Latino</v>
      </c>
      <c r="BB208" s="120" t="str">
        <f>IFERROR(VLOOKUP(Table1[RespondentID],'All Data'!$A$3:$CO$999,93,FALSE),"unknown")</f>
        <v>English</v>
      </c>
      <c r="BC208" s="120">
        <f>IFERROR(VLOOKUP(Table1[RespondentID],'All Data'!$A$3:$CW$999,94,FALSE),"unknown")</f>
        <v>0</v>
      </c>
      <c r="BD208" s="120" t="str">
        <f>IFERROR(VLOOKUP(Table1[RespondentID],'All Data'!$A$3:$CW$999,95,FALSE),"unknown")</f>
        <v>High school graduate</v>
      </c>
      <c r="BE208" s="120" t="str">
        <f>IFERROR(VLOOKUP(Table1[RespondentID],'All Data'!$A$3:$CW$999,96,FALSE),"unknown")</f>
        <v>Retired</v>
      </c>
      <c r="BF208" s="120" t="str">
        <f>IFERROR(VLOOKUP(Table1[RespondentID],'All Data'!$A$3:$CW$999,97,FALSE),"unknown")</f>
        <v>Yes</v>
      </c>
      <c r="BG208" s="120">
        <f>IFERROR(VLOOKUP(Table1[RespondentID],'All Data'!$A$3:$CW$999,98,FALSE),"unknown")</f>
        <v>0</v>
      </c>
      <c r="BH208" s="120">
        <f>IFERROR(VLOOKUP(Table1[RespondentID],'All Data'!$A$3:$CW$999,99,FALSE),"unknown")</f>
        <v>0</v>
      </c>
    </row>
    <row r="209" spans="1:60">
      <c r="A209" s="5">
        <v>18019480185</v>
      </c>
      <c r="B209" s="5" t="s">
        <v>49</v>
      </c>
      <c r="C209" s="5" t="s">
        <v>50</v>
      </c>
      <c r="D209" s="5"/>
      <c r="E209" s="5"/>
      <c r="F209" s="5"/>
      <c r="G209" s="5"/>
      <c r="H209" s="5"/>
      <c r="I209" s="5"/>
      <c r="J209" s="5"/>
      <c r="K209" s="5"/>
      <c r="L209" s="5"/>
      <c r="M209" s="5" t="s">
        <v>59</v>
      </c>
      <c r="N209" s="5"/>
      <c r="O209" s="5"/>
      <c r="P209" s="5"/>
      <c r="Q209" s="5"/>
      <c r="R209" s="5"/>
      <c r="S209" s="5" t="s">
        <v>63</v>
      </c>
      <c r="T209" s="37"/>
      <c r="U209" s="37">
        <f t="shared" si="69"/>
        <v>4</v>
      </c>
      <c r="V209" s="37">
        <f t="shared" si="70"/>
        <v>0.75</v>
      </c>
      <c r="W209" s="37"/>
      <c r="X209" s="37">
        <f t="shared" si="71"/>
        <v>0.75</v>
      </c>
      <c r="Y209" s="37">
        <f t="shared" si="72"/>
        <v>0.75</v>
      </c>
      <c r="Z209" s="37">
        <f t="shared" si="73"/>
        <v>0</v>
      </c>
      <c r="AA209" s="37">
        <f t="shared" si="74"/>
        <v>0</v>
      </c>
      <c r="AB209" s="37">
        <f t="shared" si="75"/>
        <v>0</v>
      </c>
      <c r="AC209" s="37">
        <f t="shared" si="76"/>
        <v>0</v>
      </c>
      <c r="AD209" s="37">
        <f t="shared" si="77"/>
        <v>0</v>
      </c>
      <c r="AE209" s="37">
        <f t="shared" si="78"/>
        <v>0</v>
      </c>
      <c r="AF209" s="37">
        <f t="shared" si="79"/>
        <v>0</v>
      </c>
      <c r="AG209" s="37">
        <f t="shared" si="80"/>
        <v>0</v>
      </c>
      <c r="AH209" s="37">
        <f t="shared" si="81"/>
        <v>0</v>
      </c>
      <c r="AI209" s="37">
        <f t="shared" si="82"/>
        <v>0.75</v>
      </c>
      <c r="AJ209" s="37">
        <f t="shared" si="83"/>
        <v>0</v>
      </c>
      <c r="AK209" s="37">
        <f t="shared" si="84"/>
        <v>0</v>
      </c>
      <c r="AL209" s="37">
        <f t="shared" si="85"/>
        <v>0</v>
      </c>
      <c r="AM209" s="37">
        <f t="shared" si="86"/>
        <v>0</v>
      </c>
      <c r="AN209" s="37">
        <f t="shared" si="87"/>
        <v>0</v>
      </c>
      <c r="AO209" s="37">
        <f t="shared" si="88"/>
        <v>0.75</v>
      </c>
      <c r="AP209" s="37"/>
      <c r="AQ209" s="37"/>
      <c r="AR209" s="37">
        <f t="shared" si="89"/>
        <v>3</v>
      </c>
      <c r="AS209" s="37">
        <f t="shared" si="90"/>
        <v>4</v>
      </c>
      <c r="AT209" s="37" t="str">
        <f t="shared" si="91"/>
        <v>Correct</v>
      </c>
      <c r="AU209" s="37"/>
      <c r="AV209" s="120" t="str">
        <f>IFERROR(VLOOKUP(Table1[RespondentID],'All Data'!$A$3:$CO$999,87,FALSE),"unknown")</f>
        <v>Woman</v>
      </c>
      <c r="AW209" s="120">
        <f>IFERROR(VLOOKUP(Table1[RespondentID],'All Data'!$A$3:$CO$999,88,FALSE),"unknown")</f>
        <v>44</v>
      </c>
      <c r="AX209" s="120" t="str">
        <f>IFERROR(VLOOKUP(Table1[RespondentID],'All Data'!$A$3:$CO$999,89,FALSE),"unknown")</f>
        <v>Suffolk</v>
      </c>
      <c r="AY209" s="120" t="str">
        <f>IFERROR(VLOOKUP(Table1[RespondentID],'All Data'!$A$3:$CO$999,90,FALSE),"unknown")</f>
        <v>Nesconset, 11767</v>
      </c>
      <c r="AZ209" s="120" t="str">
        <f>IFERROR(VLOOKUP(Table1[RespondentID],'All Data'!$A$3:$CO$999,91,FALSE),"unknown")</f>
        <v>White</v>
      </c>
      <c r="BA209" s="120" t="str">
        <f>IFERROR(VLOOKUP(Table1[RespondentID],'All Data'!$A$3:$CO$999,92,FALSE),"unknown")</f>
        <v>Hispanic or Latino</v>
      </c>
      <c r="BB209" s="120" t="str">
        <f>IFERROR(VLOOKUP(Table1[RespondentID],'All Data'!$A$3:$CO$999,93,FALSE),"unknown")</f>
        <v>English</v>
      </c>
      <c r="BC209" s="120" t="str">
        <f>IFERROR(VLOOKUP(Table1[RespondentID],'All Data'!$A$3:$CW$999,94,FALSE),"unknown")</f>
        <v>Over $125,000</v>
      </c>
      <c r="BD209" s="120" t="str">
        <f>IFERROR(VLOOKUP(Table1[RespondentID],'All Data'!$A$3:$CW$999,95,FALSE),"unknown")</f>
        <v>College graduate</v>
      </c>
      <c r="BE209" s="120" t="str">
        <f>IFERROR(VLOOKUP(Table1[RespondentID],'All Data'!$A$3:$CW$999,96,FALSE),"unknown")</f>
        <v>Self-employed</v>
      </c>
      <c r="BF209" s="120" t="str">
        <f>IFERROR(VLOOKUP(Table1[RespondentID],'All Data'!$A$3:$CW$999,97,FALSE),"unknown")</f>
        <v>Yes</v>
      </c>
      <c r="BG209" s="120">
        <f>IFERROR(VLOOKUP(Table1[RespondentID],'All Data'!$A$3:$CW$999,98,FALSE),"unknown")</f>
        <v>0</v>
      </c>
      <c r="BH209" s="120">
        <f>IFERROR(VLOOKUP(Table1[RespondentID],'All Data'!$A$3:$CW$999,99,FALSE),"unknown")</f>
        <v>0</v>
      </c>
    </row>
    <row r="210" spans="1:60">
      <c r="A210" s="5">
        <v>18019479995</v>
      </c>
      <c r="B210" s="5"/>
      <c r="C210" s="5"/>
      <c r="D210" s="5"/>
      <c r="E210" s="5" t="s">
        <v>17</v>
      </c>
      <c r="F210" s="5" t="s">
        <v>52</v>
      </c>
      <c r="G210" s="5"/>
      <c r="H210" s="5"/>
      <c r="I210" s="5"/>
      <c r="J210" s="5"/>
      <c r="K210" s="5"/>
      <c r="L210" s="5"/>
      <c r="M210" s="5"/>
      <c r="N210" s="5"/>
      <c r="O210" s="5"/>
      <c r="P210" s="5"/>
      <c r="Q210" s="5"/>
      <c r="R210" s="5"/>
      <c r="S210" s="5"/>
      <c r="T210" s="37"/>
      <c r="U210" s="37">
        <f t="shared" si="69"/>
        <v>2</v>
      </c>
      <c r="V210" s="37">
        <f t="shared" si="70"/>
        <v>1.5</v>
      </c>
      <c r="W210" s="37"/>
      <c r="X210" s="37">
        <f t="shared" si="71"/>
        <v>0</v>
      </c>
      <c r="Y210" s="37">
        <f t="shared" si="72"/>
        <v>0</v>
      </c>
      <c r="Z210" s="37">
        <f t="shared" si="73"/>
        <v>0</v>
      </c>
      <c r="AA210" s="37">
        <f t="shared" si="74"/>
        <v>1</v>
      </c>
      <c r="AB210" s="37">
        <f t="shared" si="75"/>
        <v>1</v>
      </c>
      <c r="AC210" s="37">
        <f t="shared" si="76"/>
        <v>0</v>
      </c>
      <c r="AD210" s="37">
        <f t="shared" si="77"/>
        <v>0</v>
      </c>
      <c r="AE210" s="37">
        <f t="shared" si="78"/>
        <v>0</v>
      </c>
      <c r="AF210" s="37">
        <f t="shared" si="79"/>
        <v>0</v>
      </c>
      <c r="AG210" s="37">
        <f t="shared" si="80"/>
        <v>0</v>
      </c>
      <c r="AH210" s="37">
        <f t="shared" si="81"/>
        <v>0</v>
      </c>
      <c r="AI210" s="37">
        <f t="shared" si="82"/>
        <v>0</v>
      </c>
      <c r="AJ210" s="37">
        <f t="shared" si="83"/>
        <v>0</v>
      </c>
      <c r="AK210" s="37">
        <f t="shared" si="84"/>
        <v>0</v>
      </c>
      <c r="AL210" s="37">
        <f t="shared" si="85"/>
        <v>0</v>
      </c>
      <c r="AM210" s="37">
        <f t="shared" si="86"/>
        <v>0</v>
      </c>
      <c r="AN210" s="37">
        <f t="shared" si="87"/>
        <v>0</v>
      </c>
      <c r="AO210" s="37">
        <f t="shared" si="88"/>
        <v>0</v>
      </c>
      <c r="AP210" s="37"/>
      <c r="AQ210" s="37"/>
      <c r="AR210" s="37">
        <f t="shared" si="89"/>
        <v>2</v>
      </c>
      <c r="AS210" s="37">
        <f t="shared" si="90"/>
        <v>2</v>
      </c>
      <c r="AT210" s="37" t="str">
        <f t="shared" si="91"/>
        <v>Correct</v>
      </c>
      <c r="AU210" s="37"/>
      <c r="AV210" s="120" t="str">
        <f>IFERROR(VLOOKUP(Table1[RespondentID],'All Data'!$A$3:$CO$999,87,FALSE),"unknown")</f>
        <v>Man</v>
      </c>
      <c r="AW210" s="120">
        <f>IFERROR(VLOOKUP(Table1[RespondentID],'All Data'!$A$3:$CO$999,88,FALSE),"unknown")</f>
        <v>50</v>
      </c>
      <c r="AX210" s="120" t="str">
        <f>IFERROR(VLOOKUP(Table1[RespondentID],'All Data'!$A$3:$CO$999,89,FALSE),"unknown")</f>
        <v>Suffolk</v>
      </c>
      <c r="AY210" s="120" t="str">
        <f>IFERROR(VLOOKUP(Table1[RespondentID],'All Data'!$A$3:$CO$999,90,FALSE),"unknown")</f>
        <v>Huntington, 11743</v>
      </c>
      <c r="AZ210" s="120" t="str">
        <f>IFERROR(VLOOKUP(Table1[RespondentID],'All Data'!$A$3:$CO$999,91,FALSE),"unknown")</f>
        <v>White</v>
      </c>
      <c r="BA210" s="120" t="str">
        <f>IFERROR(VLOOKUP(Table1[RespondentID],'All Data'!$A$3:$CO$999,92,FALSE),"unknown")</f>
        <v>Hispanic or Latino</v>
      </c>
      <c r="BB210" s="120" t="str">
        <f>IFERROR(VLOOKUP(Table1[RespondentID],'All Data'!$A$3:$CO$999,93,FALSE),"unknown")</f>
        <v>English</v>
      </c>
      <c r="BC210" s="120" t="str">
        <f>IFERROR(VLOOKUP(Table1[RespondentID],'All Data'!$A$3:$CW$999,94,FALSE),"unknown")</f>
        <v>Over $125,000</v>
      </c>
      <c r="BD210" s="120" t="str">
        <f>IFERROR(VLOOKUP(Table1[RespondentID],'All Data'!$A$3:$CW$999,95,FALSE),"unknown")</f>
        <v>College graduate</v>
      </c>
      <c r="BE210" s="120" t="str">
        <f>IFERROR(VLOOKUP(Table1[RespondentID],'All Data'!$A$3:$CW$999,96,FALSE),"unknown")</f>
        <v>Employed for wages</v>
      </c>
      <c r="BF210" s="120" t="str">
        <f>IFERROR(VLOOKUP(Table1[RespondentID],'All Data'!$A$3:$CW$999,97,FALSE),"unknown")</f>
        <v>Yes</v>
      </c>
      <c r="BG210" s="120">
        <f>IFERROR(VLOOKUP(Table1[RespondentID],'All Data'!$A$3:$CW$999,98,FALSE),"unknown")</f>
        <v>0</v>
      </c>
      <c r="BH210" s="120">
        <f>IFERROR(VLOOKUP(Table1[RespondentID],'All Data'!$A$3:$CW$999,99,FALSE),"unknown")</f>
        <v>0</v>
      </c>
    </row>
    <row r="211" spans="1:60">
      <c r="A211" s="5">
        <v>18019479757</v>
      </c>
      <c r="B211" s="5"/>
      <c r="C211" s="5" t="s">
        <v>50</v>
      </c>
      <c r="D211" s="5"/>
      <c r="E211" s="5"/>
      <c r="F211" s="5"/>
      <c r="G211" s="5"/>
      <c r="H211" s="5"/>
      <c r="I211" s="5"/>
      <c r="J211" s="5"/>
      <c r="K211" s="5"/>
      <c r="L211" s="5" t="s">
        <v>58</v>
      </c>
      <c r="M211" s="5"/>
      <c r="N211" s="5"/>
      <c r="O211" s="5"/>
      <c r="P211" s="5"/>
      <c r="Q211" s="5"/>
      <c r="R211" s="5"/>
      <c r="S211" s="5" t="s">
        <v>63</v>
      </c>
      <c r="T211" s="37"/>
      <c r="U211" s="37">
        <f t="shared" si="69"/>
        <v>3</v>
      </c>
      <c r="V211" s="37">
        <f t="shared" si="70"/>
        <v>1</v>
      </c>
      <c r="W211" s="37"/>
      <c r="X211" s="37">
        <f t="shared" si="71"/>
        <v>0</v>
      </c>
      <c r="Y211" s="37">
        <f t="shared" si="72"/>
        <v>1</v>
      </c>
      <c r="Z211" s="37">
        <f t="shared" si="73"/>
        <v>0</v>
      </c>
      <c r="AA211" s="37">
        <f t="shared" si="74"/>
        <v>0</v>
      </c>
      <c r="AB211" s="37">
        <f t="shared" si="75"/>
        <v>0</v>
      </c>
      <c r="AC211" s="37">
        <f t="shared" si="76"/>
        <v>0</v>
      </c>
      <c r="AD211" s="37">
        <f t="shared" si="77"/>
        <v>0</v>
      </c>
      <c r="AE211" s="37">
        <f t="shared" si="78"/>
        <v>0</v>
      </c>
      <c r="AF211" s="37">
        <f t="shared" si="79"/>
        <v>0</v>
      </c>
      <c r="AG211" s="37">
        <f t="shared" si="80"/>
        <v>0</v>
      </c>
      <c r="AH211" s="37">
        <f t="shared" si="81"/>
        <v>1</v>
      </c>
      <c r="AI211" s="37">
        <f t="shared" si="82"/>
        <v>0</v>
      </c>
      <c r="AJ211" s="37">
        <f t="shared" si="83"/>
        <v>0</v>
      </c>
      <c r="AK211" s="37">
        <f t="shared" si="84"/>
        <v>0</v>
      </c>
      <c r="AL211" s="37">
        <f t="shared" si="85"/>
        <v>0</v>
      </c>
      <c r="AM211" s="37">
        <f t="shared" si="86"/>
        <v>0</v>
      </c>
      <c r="AN211" s="37">
        <f t="shared" si="87"/>
        <v>0</v>
      </c>
      <c r="AO211" s="37">
        <f t="shared" si="88"/>
        <v>1</v>
      </c>
      <c r="AP211" s="37"/>
      <c r="AQ211" s="37"/>
      <c r="AR211" s="37">
        <f t="shared" si="89"/>
        <v>3</v>
      </c>
      <c r="AS211" s="37">
        <f t="shared" si="90"/>
        <v>3</v>
      </c>
      <c r="AT211" s="37" t="str">
        <f t="shared" si="91"/>
        <v>Correct</v>
      </c>
      <c r="AU211" s="37"/>
      <c r="AV211" s="120" t="str">
        <f>IFERROR(VLOOKUP(Table1[RespondentID],'All Data'!$A$3:$CO$999,87,FALSE),"unknown")</f>
        <v>Woman</v>
      </c>
      <c r="AW211" s="120">
        <f>IFERROR(VLOOKUP(Table1[RespondentID],'All Data'!$A$3:$CO$999,88,FALSE),"unknown")</f>
        <v>22</v>
      </c>
      <c r="AX211" s="120" t="str">
        <f>IFERROR(VLOOKUP(Table1[RespondentID],'All Data'!$A$3:$CO$999,89,FALSE),"unknown")</f>
        <v>Nassau</v>
      </c>
      <c r="AY211" s="120" t="str">
        <f>IFERROR(VLOOKUP(Table1[RespondentID],'All Data'!$A$3:$CO$999,90,FALSE),"unknown")</f>
        <v>Garden City, 11531</v>
      </c>
      <c r="AZ211" s="120">
        <f>IFERROR(VLOOKUP(Table1[RespondentID],'All Data'!$A$3:$CO$999,91,FALSE),"unknown")</f>
        <v>0</v>
      </c>
      <c r="BA211" s="120">
        <f>IFERROR(VLOOKUP(Table1[RespondentID],'All Data'!$A$3:$CO$999,92,FALSE),"unknown")</f>
        <v>0</v>
      </c>
      <c r="BB211" s="120">
        <f>IFERROR(VLOOKUP(Table1[RespondentID],'All Data'!$A$3:$CO$999,93,FALSE),"unknown")</f>
        <v>0</v>
      </c>
      <c r="BC211" s="120">
        <f>IFERROR(VLOOKUP(Table1[RespondentID],'All Data'!$A$3:$CW$999,94,FALSE),"unknown")</f>
        <v>0</v>
      </c>
      <c r="BD211" s="120">
        <f>IFERROR(VLOOKUP(Table1[RespondentID],'All Data'!$A$3:$CW$999,95,FALSE),"unknown")</f>
        <v>0</v>
      </c>
      <c r="BE211" s="120">
        <f>IFERROR(VLOOKUP(Table1[RespondentID],'All Data'!$A$3:$CW$999,96,FALSE),"unknown")</f>
        <v>0</v>
      </c>
      <c r="BF211" s="120">
        <f>IFERROR(VLOOKUP(Table1[RespondentID],'All Data'!$A$3:$CW$999,97,FALSE),"unknown")</f>
        <v>0</v>
      </c>
      <c r="BG211" s="120">
        <f>IFERROR(VLOOKUP(Table1[RespondentID],'All Data'!$A$3:$CW$999,98,FALSE),"unknown")</f>
        <v>0</v>
      </c>
      <c r="BH211" s="120">
        <f>IFERROR(VLOOKUP(Table1[RespondentID],'All Data'!$A$3:$CW$999,99,FALSE),"unknown")</f>
        <v>0</v>
      </c>
    </row>
    <row r="212" spans="1:60">
      <c r="A212" s="5">
        <v>18019479597</v>
      </c>
      <c r="B212" s="5"/>
      <c r="C212" s="5" t="s">
        <v>50</v>
      </c>
      <c r="D212" s="5"/>
      <c r="E212" s="5"/>
      <c r="F212" s="5"/>
      <c r="G212" s="5"/>
      <c r="H212" s="5"/>
      <c r="I212" s="5"/>
      <c r="J212" s="5"/>
      <c r="K212" s="5"/>
      <c r="L212" s="5"/>
      <c r="M212" s="5"/>
      <c r="N212" s="5"/>
      <c r="O212" s="5"/>
      <c r="P212" s="5"/>
      <c r="Q212" s="5"/>
      <c r="R212" s="5"/>
      <c r="S212" s="5" t="s">
        <v>63</v>
      </c>
      <c r="T212" s="37"/>
      <c r="U212" s="37">
        <f t="shared" si="69"/>
        <v>2</v>
      </c>
      <c r="V212" s="37">
        <f t="shared" si="70"/>
        <v>1.5</v>
      </c>
      <c r="W212" s="37"/>
      <c r="X212" s="37">
        <f t="shared" si="71"/>
        <v>0</v>
      </c>
      <c r="Y212" s="37">
        <f t="shared" si="72"/>
        <v>1</v>
      </c>
      <c r="Z212" s="37">
        <f t="shared" si="73"/>
        <v>0</v>
      </c>
      <c r="AA212" s="37">
        <f t="shared" si="74"/>
        <v>0</v>
      </c>
      <c r="AB212" s="37">
        <f t="shared" si="75"/>
        <v>0</v>
      </c>
      <c r="AC212" s="37">
        <f t="shared" si="76"/>
        <v>0</v>
      </c>
      <c r="AD212" s="37">
        <f t="shared" si="77"/>
        <v>0</v>
      </c>
      <c r="AE212" s="37">
        <f t="shared" si="78"/>
        <v>0</v>
      </c>
      <c r="AF212" s="37">
        <f t="shared" si="79"/>
        <v>0</v>
      </c>
      <c r="AG212" s="37">
        <f t="shared" si="80"/>
        <v>0</v>
      </c>
      <c r="AH212" s="37">
        <f t="shared" si="81"/>
        <v>0</v>
      </c>
      <c r="AI212" s="37">
        <f t="shared" si="82"/>
        <v>0</v>
      </c>
      <c r="AJ212" s="37">
        <f t="shared" si="83"/>
        <v>0</v>
      </c>
      <c r="AK212" s="37">
        <f t="shared" si="84"/>
        <v>0</v>
      </c>
      <c r="AL212" s="37">
        <f t="shared" si="85"/>
        <v>0</v>
      </c>
      <c r="AM212" s="37">
        <f t="shared" si="86"/>
        <v>0</v>
      </c>
      <c r="AN212" s="37">
        <f t="shared" si="87"/>
        <v>0</v>
      </c>
      <c r="AO212" s="37">
        <f t="shared" si="88"/>
        <v>1</v>
      </c>
      <c r="AP212" s="37"/>
      <c r="AQ212" s="37"/>
      <c r="AR212" s="37">
        <f t="shared" si="89"/>
        <v>2</v>
      </c>
      <c r="AS212" s="37">
        <f t="shared" si="90"/>
        <v>2</v>
      </c>
      <c r="AT212" s="37" t="str">
        <f t="shared" si="91"/>
        <v>Correct</v>
      </c>
      <c r="AU212" s="37"/>
      <c r="AV212" s="120" t="str">
        <f>IFERROR(VLOOKUP(Table1[RespondentID],'All Data'!$A$3:$CO$999,87,FALSE),"unknown")</f>
        <v>Man</v>
      </c>
      <c r="AW212" s="120">
        <f>IFERROR(VLOOKUP(Table1[RespondentID],'All Data'!$A$3:$CO$999,88,FALSE),"unknown")</f>
        <v>19</v>
      </c>
      <c r="AX212" s="120" t="str">
        <f>IFERROR(VLOOKUP(Table1[RespondentID],'All Data'!$A$3:$CO$999,89,FALSE),"unknown")</f>
        <v>Suffolk</v>
      </c>
      <c r="AY212" s="120" t="str">
        <f>IFERROR(VLOOKUP(Table1[RespondentID],'All Data'!$A$3:$CO$999,90,FALSE),"unknown")</f>
        <v>Commack, 11725</v>
      </c>
      <c r="AZ212" s="120" t="str">
        <f>IFERROR(VLOOKUP(Table1[RespondentID],'All Data'!$A$3:$CO$999,91,FALSE),"unknown")</f>
        <v>White</v>
      </c>
      <c r="BA212" s="120" t="str">
        <f>IFERROR(VLOOKUP(Table1[RespondentID],'All Data'!$A$3:$CO$999,92,FALSE),"unknown")</f>
        <v>Hispanic or Latino</v>
      </c>
      <c r="BB212" s="120" t="str">
        <f>IFERROR(VLOOKUP(Table1[RespondentID],'All Data'!$A$3:$CO$999,93,FALSE),"unknown")</f>
        <v>English</v>
      </c>
      <c r="BC212" s="120" t="str">
        <f>IFERROR(VLOOKUP(Table1[RespondentID],'All Data'!$A$3:$CW$999,94,FALSE),"unknown")</f>
        <v>Over $125,000</v>
      </c>
      <c r="BD212" s="120" t="str">
        <f>IFERROR(VLOOKUP(Table1[RespondentID],'All Data'!$A$3:$CW$999,95,FALSE),"unknown")</f>
        <v>Some college</v>
      </c>
      <c r="BE212" s="120" t="str">
        <f>IFERROR(VLOOKUP(Table1[RespondentID],'All Data'!$A$3:$CW$999,96,FALSE),"unknown")</f>
        <v>Out of work and looking for work</v>
      </c>
      <c r="BF212" s="120" t="str">
        <f>IFERROR(VLOOKUP(Table1[RespondentID],'All Data'!$A$3:$CW$999,97,FALSE),"unknown")</f>
        <v>No</v>
      </c>
      <c r="BG212" s="120" t="str">
        <f>IFERROR(VLOOKUP(Table1[RespondentID],'All Data'!$A$3:$CW$999,98,FALSE),"unknown")</f>
        <v>No Insurance</v>
      </c>
      <c r="BH212" s="120" t="str">
        <f>IFERROR(VLOOKUP(Table1[RespondentID],'All Data'!$A$3:$CW$999,99,FALSE),"unknown")</f>
        <v>Yes</v>
      </c>
    </row>
    <row r="213" spans="1:60">
      <c r="A213" s="5">
        <v>18019479451</v>
      </c>
      <c r="B213" s="5" t="s">
        <v>49</v>
      </c>
      <c r="C213" s="5"/>
      <c r="D213" s="5" t="s">
        <v>51</v>
      </c>
      <c r="E213" s="5" t="s">
        <v>17</v>
      </c>
      <c r="F213" s="5"/>
      <c r="G213" s="5"/>
      <c r="H213" s="5"/>
      <c r="I213" s="5"/>
      <c r="J213" s="5"/>
      <c r="K213" s="5"/>
      <c r="L213" s="5"/>
      <c r="M213" s="5"/>
      <c r="N213" s="5"/>
      <c r="O213" s="5"/>
      <c r="P213" s="5"/>
      <c r="Q213" s="5"/>
      <c r="R213" s="5"/>
      <c r="S213" s="5"/>
      <c r="T213" s="37"/>
      <c r="U213" s="37">
        <f t="shared" si="69"/>
        <v>3</v>
      </c>
      <c r="V213" s="37">
        <f t="shared" si="70"/>
        <v>1</v>
      </c>
      <c r="W213" s="37"/>
      <c r="X213" s="37">
        <f t="shared" si="71"/>
        <v>1</v>
      </c>
      <c r="Y213" s="37">
        <f t="shared" si="72"/>
        <v>0</v>
      </c>
      <c r="Z213" s="37">
        <f t="shared" si="73"/>
        <v>1</v>
      </c>
      <c r="AA213" s="37">
        <f t="shared" si="74"/>
        <v>1</v>
      </c>
      <c r="AB213" s="37">
        <f t="shared" si="75"/>
        <v>0</v>
      </c>
      <c r="AC213" s="37">
        <f t="shared" si="76"/>
        <v>0</v>
      </c>
      <c r="AD213" s="37">
        <f t="shared" si="77"/>
        <v>0</v>
      </c>
      <c r="AE213" s="37">
        <f t="shared" si="78"/>
        <v>0</v>
      </c>
      <c r="AF213" s="37">
        <f t="shared" si="79"/>
        <v>0</v>
      </c>
      <c r="AG213" s="37">
        <f t="shared" si="80"/>
        <v>0</v>
      </c>
      <c r="AH213" s="37">
        <f t="shared" si="81"/>
        <v>0</v>
      </c>
      <c r="AI213" s="37">
        <f t="shared" si="82"/>
        <v>0</v>
      </c>
      <c r="AJ213" s="37">
        <f t="shared" si="83"/>
        <v>0</v>
      </c>
      <c r="AK213" s="37">
        <f t="shared" si="84"/>
        <v>0</v>
      </c>
      <c r="AL213" s="37">
        <f t="shared" si="85"/>
        <v>0</v>
      </c>
      <c r="AM213" s="37">
        <f t="shared" si="86"/>
        <v>0</v>
      </c>
      <c r="AN213" s="37">
        <f t="shared" si="87"/>
        <v>0</v>
      </c>
      <c r="AO213" s="37">
        <f t="shared" si="88"/>
        <v>0</v>
      </c>
      <c r="AP213" s="37"/>
      <c r="AQ213" s="37"/>
      <c r="AR213" s="37">
        <f t="shared" si="89"/>
        <v>3</v>
      </c>
      <c r="AS213" s="37">
        <f t="shared" si="90"/>
        <v>3</v>
      </c>
      <c r="AT213" s="37" t="str">
        <f t="shared" si="91"/>
        <v>Correct</v>
      </c>
      <c r="AU213" s="37"/>
      <c r="AV213" s="120" t="str">
        <f>IFERROR(VLOOKUP(Table1[RespondentID],'All Data'!$A$3:$CO$999,87,FALSE),"unknown")</f>
        <v>Man</v>
      </c>
      <c r="AW213" s="120">
        <f>IFERROR(VLOOKUP(Table1[RespondentID],'All Data'!$A$3:$CO$999,88,FALSE),"unknown")</f>
        <v>54</v>
      </c>
      <c r="AX213" s="120" t="str">
        <f>IFERROR(VLOOKUP(Table1[RespondentID],'All Data'!$A$3:$CO$999,89,FALSE),"unknown")</f>
        <v>Suffolk</v>
      </c>
      <c r="AY213" s="120" t="str">
        <f>IFERROR(VLOOKUP(Table1[RespondentID],'All Data'!$A$3:$CO$999,90,FALSE),"unknown")</f>
        <v>Commack, 11725</v>
      </c>
      <c r="AZ213" s="120" t="str">
        <f>IFERROR(VLOOKUP(Table1[RespondentID],'All Data'!$A$3:$CO$999,91,FALSE),"unknown")</f>
        <v>White</v>
      </c>
      <c r="BA213" s="120" t="str">
        <f>IFERROR(VLOOKUP(Table1[RespondentID],'All Data'!$A$3:$CO$999,92,FALSE),"unknown")</f>
        <v>Hispanic or Latino</v>
      </c>
      <c r="BB213" s="120" t="str">
        <f>IFERROR(VLOOKUP(Table1[RespondentID],'All Data'!$A$3:$CO$999,93,FALSE),"unknown")</f>
        <v>English</v>
      </c>
      <c r="BC213" s="120" t="str">
        <f>IFERROR(VLOOKUP(Table1[RespondentID],'All Data'!$A$3:$CW$999,94,FALSE),"unknown")</f>
        <v>Over $125,000</v>
      </c>
      <c r="BD213" s="120" t="str">
        <f>IFERROR(VLOOKUP(Table1[RespondentID],'All Data'!$A$3:$CW$999,95,FALSE),"unknown")</f>
        <v>Graduate school</v>
      </c>
      <c r="BE213" s="120" t="str">
        <f>IFERROR(VLOOKUP(Table1[RespondentID],'All Data'!$A$3:$CW$999,96,FALSE),"unknown")</f>
        <v>Retired</v>
      </c>
      <c r="BF213" s="120" t="str">
        <f>IFERROR(VLOOKUP(Table1[RespondentID],'All Data'!$A$3:$CW$999,97,FALSE),"unknown")</f>
        <v>Yes</v>
      </c>
      <c r="BG213" s="120" t="str">
        <f>IFERROR(VLOOKUP(Table1[RespondentID],'All Data'!$A$3:$CW$999,98,FALSE),"unknown")</f>
        <v>Medicare</v>
      </c>
      <c r="BH213" s="120" t="str">
        <f>IFERROR(VLOOKUP(Table1[RespondentID],'All Data'!$A$3:$CW$999,99,FALSE),"unknown")</f>
        <v>Yes</v>
      </c>
    </row>
    <row r="214" spans="1:60">
      <c r="A214" s="5">
        <v>18019479157</v>
      </c>
      <c r="B214" s="5"/>
      <c r="C214" s="5"/>
      <c r="D214" s="5" t="s">
        <v>51</v>
      </c>
      <c r="E214" s="5"/>
      <c r="F214" s="5"/>
      <c r="G214" s="5"/>
      <c r="H214" s="5"/>
      <c r="I214" s="5" t="s">
        <v>55</v>
      </c>
      <c r="J214" s="5"/>
      <c r="K214" s="5"/>
      <c r="L214" s="5"/>
      <c r="M214" s="5" t="s">
        <v>59</v>
      </c>
      <c r="N214" s="5"/>
      <c r="O214" s="5"/>
      <c r="P214" s="5" t="s">
        <v>60</v>
      </c>
      <c r="Q214" s="5"/>
      <c r="R214" s="5"/>
      <c r="S214" s="5"/>
      <c r="T214" s="37"/>
      <c r="U214" s="37">
        <f t="shared" si="69"/>
        <v>4</v>
      </c>
      <c r="V214" s="37">
        <f t="shared" si="70"/>
        <v>0.75</v>
      </c>
      <c r="W214" s="37"/>
      <c r="X214" s="37">
        <f t="shared" si="71"/>
        <v>0</v>
      </c>
      <c r="Y214" s="37">
        <f t="shared" si="72"/>
        <v>0</v>
      </c>
      <c r="Z214" s="37">
        <f t="shared" si="73"/>
        <v>0.75</v>
      </c>
      <c r="AA214" s="37">
        <f t="shared" si="74"/>
        <v>0</v>
      </c>
      <c r="AB214" s="37">
        <f t="shared" si="75"/>
        <v>0</v>
      </c>
      <c r="AC214" s="37">
        <f t="shared" si="76"/>
        <v>0</v>
      </c>
      <c r="AD214" s="37">
        <f t="shared" si="77"/>
        <v>0</v>
      </c>
      <c r="AE214" s="37">
        <f t="shared" si="78"/>
        <v>0.75</v>
      </c>
      <c r="AF214" s="37">
        <f t="shared" si="79"/>
        <v>0</v>
      </c>
      <c r="AG214" s="37">
        <f t="shared" si="80"/>
        <v>0</v>
      </c>
      <c r="AH214" s="37">
        <f t="shared" si="81"/>
        <v>0</v>
      </c>
      <c r="AI214" s="37">
        <f t="shared" si="82"/>
        <v>0.75</v>
      </c>
      <c r="AJ214" s="37">
        <f t="shared" si="83"/>
        <v>0</v>
      </c>
      <c r="AK214" s="37">
        <f t="shared" si="84"/>
        <v>0</v>
      </c>
      <c r="AL214" s="37">
        <f t="shared" si="85"/>
        <v>0.75</v>
      </c>
      <c r="AM214" s="37">
        <f t="shared" si="86"/>
        <v>0</v>
      </c>
      <c r="AN214" s="37">
        <f t="shared" si="87"/>
        <v>0</v>
      </c>
      <c r="AO214" s="37">
        <f t="shared" si="88"/>
        <v>0</v>
      </c>
      <c r="AP214" s="37"/>
      <c r="AQ214" s="37"/>
      <c r="AR214" s="37">
        <f t="shared" si="89"/>
        <v>3</v>
      </c>
      <c r="AS214" s="37">
        <f t="shared" si="90"/>
        <v>4</v>
      </c>
      <c r="AT214" s="37" t="str">
        <f t="shared" si="91"/>
        <v>Correct</v>
      </c>
      <c r="AU214" s="37"/>
      <c r="AV214" s="120" t="str">
        <f>IFERROR(VLOOKUP(Table1[RespondentID],'All Data'!$A$3:$CO$999,87,FALSE),"unknown")</f>
        <v>Woman</v>
      </c>
      <c r="AW214" s="120">
        <f>IFERROR(VLOOKUP(Table1[RespondentID],'All Data'!$A$3:$CO$999,88,FALSE),"unknown")</f>
        <v>50</v>
      </c>
      <c r="AX214" s="120" t="str">
        <f>IFERROR(VLOOKUP(Table1[RespondentID],'All Data'!$A$3:$CO$999,89,FALSE),"unknown")</f>
        <v>Suffolk</v>
      </c>
      <c r="AY214" s="120" t="str">
        <f>IFERROR(VLOOKUP(Table1[RespondentID],'All Data'!$A$3:$CO$999,90,FALSE),"unknown")</f>
        <v>Commack, 11725</v>
      </c>
      <c r="AZ214" s="120" t="str">
        <f>IFERROR(VLOOKUP(Table1[RespondentID],'All Data'!$A$3:$CO$999,91,FALSE),"unknown")</f>
        <v>White</v>
      </c>
      <c r="BA214" s="120" t="str">
        <f>IFERROR(VLOOKUP(Table1[RespondentID],'All Data'!$A$3:$CO$999,92,FALSE),"unknown")</f>
        <v>Hispanic or Latino</v>
      </c>
      <c r="BB214" s="120" t="str">
        <f>IFERROR(VLOOKUP(Table1[RespondentID],'All Data'!$A$3:$CO$999,93,FALSE),"unknown")</f>
        <v>English</v>
      </c>
      <c r="BC214" s="120" t="str">
        <f>IFERROR(VLOOKUP(Table1[RespondentID],'All Data'!$A$3:$CW$999,94,FALSE),"unknown")</f>
        <v>Over $125,000</v>
      </c>
      <c r="BD214" s="120" t="str">
        <f>IFERROR(VLOOKUP(Table1[RespondentID],'All Data'!$A$3:$CW$999,95,FALSE),"unknown")</f>
        <v>College graduate</v>
      </c>
      <c r="BE214" s="120" t="str">
        <f>IFERROR(VLOOKUP(Table1[RespondentID],'All Data'!$A$3:$CW$999,96,FALSE),"unknown")</f>
        <v>Employed for wages</v>
      </c>
      <c r="BF214" s="120" t="str">
        <f>IFERROR(VLOOKUP(Table1[RespondentID],'All Data'!$A$3:$CW$999,97,FALSE),"unknown")</f>
        <v>Yes</v>
      </c>
      <c r="BG214" s="120" t="str">
        <f>IFERROR(VLOOKUP(Table1[RespondentID],'All Data'!$A$3:$CW$999,98,FALSE),"unknown")</f>
        <v>Medicaid</v>
      </c>
      <c r="BH214" s="120" t="str">
        <f>IFERROR(VLOOKUP(Table1[RespondentID],'All Data'!$A$3:$CW$999,99,FALSE),"unknown")</f>
        <v>Yes</v>
      </c>
    </row>
    <row r="215" spans="1:60">
      <c r="A215" s="5">
        <v>18019478995</v>
      </c>
      <c r="B215" s="5"/>
      <c r="C215" s="5"/>
      <c r="D215" s="5"/>
      <c r="E215" s="5"/>
      <c r="F215" s="5" t="s">
        <v>52</v>
      </c>
      <c r="G215" s="5"/>
      <c r="H215" s="5"/>
      <c r="I215" s="5"/>
      <c r="J215" s="5"/>
      <c r="K215" s="5" t="s">
        <v>57</v>
      </c>
      <c r="L215" s="5"/>
      <c r="M215" s="5"/>
      <c r="N215" s="5"/>
      <c r="O215" s="5"/>
      <c r="P215" s="5"/>
      <c r="Q215" s="5"/>
      <c r="R215" s="5" t="s">
        <v>62</v>
      </c>
      <c r="S215" s="5"/>
      <c r="T215" s="37"/>
      <c r="U215" s="37">
        <f t="shared" si="69"/>
        <v>3</v>
      </c>
      <c r="V215" s="37">
        <f t="shared" si="70"/>
        <v>1</v>
      </c>
      <c r="W215" s="37"/>
      <c r="X215" s="37">
        <f t="shared" si="71"/>
        <v>0</v>
      </c>
      <c r="Y215" s="37">
        <f t="shared" si="72"/>
        <v>0</v>
      </c>
      <c r="Z215" s="37">
        <f t="shared" si="73"/>
        <v>0</v>
      </c>
      <c r="AA215" s="37">
        <f t="shared" si="74"/>
        <v>0</v>
      </c>
      <c r="AB215" s="37">
        <f t="shared" si="75"/>
        <v>1</v>
      </c>
      <c r="AC215" s="37">
        <f t="shared" si="76"/>
        <v>0</v>
      </c>
      <c r="AD215" s="37">
        <f t="shared" si="77"/>
        <v>0</v>
      </c>
      <c r="AE215" s="37">
        <f t="shared" si="78"/>
        <v>0</v>
      </c>
      <c r="AF215" s="37">
        <f t="shared" si="79"/>
        <v>0</v>
      </c>
      <c r="AG215" s="37">
        <f t="shared" si="80"/>
        <v>1</v>
      </c>
      <c r="AH215" s="37">
        <f t="shared" si="81"/>
        <v>0</v>
      </c>
      <c r="AI215" s="37">
        <f t="shared" si="82"/>
        <v>0</v>
      </c>
      <c r="AJ215" s="37">
        <f t="shared" si="83"/>
        <v>0</v>
      </c>
      <c r="AK215" s="37">
        <f t="shared" si="84"/>
        <v>0</v>
      </c>
      <c r="AL215" s="37">
        <f t="shared" si="85"/>
        <v>0</v>
      </c>
      <c r="AM215" s="37">
        <f t="shared" si="86"/>
        <v>0</v>
      </c>
      <c r="AN215" s="37">
        <f t="shared" si="87"/>
        <v>1</v>
      </c>
      <c r="AO215" s="37">
        <f t="shared" si="88"/>
        <v>0</v>
      </c>
      <c r="AP215" s="37"/>
      <c r="AQ215" s="37"/>
      <c r="AR215" s="37">
        <f t="shared" si="89"/>
        <v>3</v>
      </c>
      <c r="AS215" s="37">
        <f t="shared" si="90"/>
        <v>3</v>
      </c>
      <c r="AT215" s="37" t="str">
        <f t="shared" si="91"/>
        <v>Correct</v>
      </c>
      <c r="AU215" s="37"/>
      <c r="AV215" s="120" t="str">
        <f>IFERROR(VLOOKUP(Table1[RespondentID],'All Data'!$A$3:$CO$999,87,FALSE),"unknown")</f>
        <v>Man</v>
      </c>
      <c r="AW215" s="120">
        <f>IFERROR(VLOOKUP(Table1[RespondentID],'All Data'!$A$3:$CO$999,88,FALSE),"unknown")</f>
        <v>0</v>
      </c>
      <c r="AX215" s="120" t="str">
        <f>IFERROR(VLOOKUP(Table1[RespondentID],'All Data'!$A$3:$CO$999,89,FALSE),"unknown")</f>
        <v>Suffolk</v>
      </c>
      <c r="AY215" s="120" t="str">
        <f>IFERROR(VLOOKUP(Table1[RespondentID],'All Data'!$A$3:$CO$999,90,FALSE),"unknown")</f>
        <v>East Northport, 11731</v>
      </c>
      <c r="AZ215" s="120" t="str">
        <f>IFERROR(VLOOKUP(Table1[RespondentID],'All Data'!$A$3:$CO$999,91,FALSE),"unknown")</f>
        <v>Asian</v>
      </c>
      <c r="BA215" s="120" t="str">
        <f>IFERROR(VLOOKUP(Table1[RespondentID],'All Data'!$A$3:$CO$999,92,FALSE),"unknown")</f>
        <v>Not Hispanic or Latino</v>
      </c>
      <c r="BB215" s="120" t="str">
        <f>IFERROR(VLOOKUP(Table1[RespondentID],'All Data'!$A$3:$CO$999,93,FALSE),"unknown")</f>
        <v>English</v>
      </c>
      <c r="BC215" s="120" t="str">
        <f>IFERROR(VLOOKUP(Table1[RespondentID],'All Data'!$A$3:$CW$999,94,FALSE),"unknown")</f>
        <v>$50,000 to $74,999</v>
      </c>
      <c r="BD215" s="120" t="str">
        <f>IFERROR(VLOOKUP(Table1[RespondentID],'All Data'!$A$3:$CW$999,95,FALSE),"unknown")</f>
        <v>Some college</v>
      </c>
      <c r="BE215" s="120" t="str">
        <f>IFERROR(VLOOKUP(Table1[RespondentID],'All Data'!$A$3:$CW$999,96,FALSE),"unknown")</f>
        <v>Employed for wages</v>
      </c>
      <c r="BF215" s="120" t="str">
        <f>IFERROR(VLOOKUP(Table1[RespondentID],'All Data'!$A$3:$CW$999,97,FALSE),"unknown")</f>
        <v>No</v>
      </c>
      <c r="BG215" s="120" t="str">
        <f>IFERROR(VLOOKUP(Table1[RespondentID],'All Data'!$A$3:$CW$999,98,FALSE),"unknown")</f>
        <v>No Insurance</v>
      </c>
      <c r="BH215" s="120" t="str">
        <f>IFERROR(VLOOKUP(Table1[RespondentID],'All Data'!$A$3:$CW$999,99,FALSE),"unknown")</f>
        <v>Yes</v>
      </c>
    </row>
    <row r="216" spans="1:60">
      <c r="A216" s="5">
        <v>18019349230</v>
      </c>
      <c r="B216" s="5"/>
      <c r="C216" s="5" t="s">
        <v>50</v>
      </c>
      <c r="D216" s="5" t="s">
        <v>51</v>
      </c>
      <c r="E216" s="5" t="s">
        <v>17</v>
      </c>
      <c r="F216" s="5" t="s">
        <v>52</v>
      </c>
      <c r="G216" s="5"/>
      <c r="H216" s="5"/>
      <c r="I216" s="5"/>
      <c r="J216" s="5"/>
      <c r="K216" s="5"/>
      <c r="L216" s="5"/>
      <c r="M216" s="5" t="s">
        <v>59</v>
      </c>
      <c r="N216" s="5"/>
      <c r="O216" s="5"/>
      <c r="P216" s="5"/>
      <c r="Q216" s="5"/>
      <c r="R216" s="5"/>
      <c r="S216" s="5"/>
      <c r="T216" s="37"/>
      <c r="U216" s="37">
        <f t="shared" si="69"/>
        <v>5</v>
      </c>
      <c r="V216" s="37">
        <f t="shared" si="70"/>
        <v>0.6</v>
      </c>
      <c r="W216" s="37"/>
      <c r="X216" s="37">
        <f t="shared" si="71"/>
        <v>0</v>
      </c>
      <c r="Y216" s="37">
        <f t="shared" si="72"/>
        <v>0.6</v>
      </c>
      <c r="Z216" s="37">
        <f t="shared" si="73"/>
        <v>0.6</v>
      </c>
      <c r="AA216" s="37">
        <f t="shared" si="74"/>
        <v>0.6</v>
      </c>
      <c r="AB216" s="37">
        <f t="shared" si="75"/>
        <v>0.6</v>
      </c>
      <c r="AC216" s="37">
        <f t="shared" si="76"/>
        <v>0</v>
      </c>
      <c r="AD216" s="37">
        <f t="shared" si="77"/>
        <v>0</v>
      </c>
      <c r="AE216" s="37">
        <f t="shared" si="78"/>
        <v>0</v>
      </c>
      <c r="AF216" s="37">
        <f t="shared" si="79"/>
        <v>0</v>
      </c>
      <c r="AG216" s="37">
        <f t="shared" si="80"/>
        <v>0</v>
      </c>
      <c r="AH216" s="37">
        <f t="shared" si="81"/>
        <v>0</v>
      </c>
      <c r="AI216" s="37">
        <f t="shared" si="82"/>
        <v>0.6</v>
      </c>
      <c r="AJ216" s="37">
        <f t="shared" si="83"/>
        <v>0</v>
      </c>
      <c r="AK216" s="37">
        <f t="shared" si="84"/>
        <v>0</v>
      </c>
      <c r="AL216" s="37">
        <f t="shared" si="85"/>
        <v>0</v>
      </c>
      <c r="AM216" s="37">
        <f t="shared" si="86"/>
        <v>0</v>
      </c>
      <c r="AN216" s="37">
        <f t="shared" si="87"/>
        <v>0</v>
      </c>
      <c r="AO216" s="37">
        <f t="shared" si="88"/>
        <v>0</v>
      </c>
      <c r="AP216" s="37"/>
      <c r="AQ216" s="37"/>
      <c r="AR216" s="37">
        <f t="shared" si="89"/>
        <v>3</v>
      </c>
      <c r="AS216" s="37">
        <f t="shared" si="90"/>
        <v>5</v>
      </c>
      <c r="AT216" s="37" t="str">
        <f t="shared" si="91"/>
        <v>Correct</v>
      </c>
      <c r="AU216" s="37"/>
      <c r="AV216" s="120" t="str">
        <f>IFERROR(VLOOKUP(Table1[RespondentID],'All Data'!$A$3:$CO$999,87,FALSE),"unknown")</f>
        <v>Man</v>
      </c>
      <c r="AW216" s="120">
        <f>IFERROR(VLOOKUP(Table1[RespondentID],'All Data'!$A$3:$CO$999,88,FALSE),"unknown")</f>
        <v>16</v>
      </c>
      <c r="AX216" s="120" t="str">
        <f>IFERROR(VLOOKUP(Table1[RespondentID],'All Data'!$A$3:$CO$999,89,FALSE),"unknown")</f>
        <v>Suffolk</v>
      </c>
      <c r="AY216" s="120" t="str">
        <f>IFERROR(VLOOKUP(Table1[RespondentID],'All Data'!$A$3:$CO$999,90,FALSE),"unknown")</f>
        <v>Centerport, 11721</v>
      </c>
      <c r="AZ216" s="120" t="str">
        <f>IFERROR(VLOOKUP(Table1[RespondentID],'All Data'!$A$3:$CO$999,91,FALSE),"unknown")</f>
        <v>Native Hawaiian and Other Pacific Islander</v>
      </c>
      <c r="BA216" s="120" t="str">
        <f>IFERROR(VLOOKUP(Table1[RespondentID],'All Data'!$A$3:$CO$999,92,FALSE),"unknown")</f>
        <v>Hispanic or Latino</v>
      </c>
      <c r="BB216" s="120" t="str">
        <f>IFERROR(VLOOKUP(Table1[RespondentID],'All Data'!$A$3:$CO$999,93,FALSE),"unknown")</f>
        <v>Haitian Creole</v>
      </c>
      <c r="BC216" s="120" t="str">
        <f>IFERROR(VLOOKUP(Table1[RespondentID],'All Data'!$A$3:$CW$999,94,FALSE),"unknown")</f>
        <v>$35,000 to $49,999</v>
      </c>
      <c r="BD216" s="120" t="str">
        <f>IFERROR(VLOOKUP(Table1[RespondentID],'All Data'!$A$3:$CW$999,95,FALSE),"unknown")</f>
        <v>Some high school</v>
      </c>
      <c r="BE216" s="120" t="str">
        <f>IFERROR(VLOOKUP(Table1[RespondentID],'All Data'!$A$3:$CW$999,96,FALSE),"unknown")</f>
        <v>Student</v>
      </c>
      <c r="BF216" s="120">
        <f>IFERROR(VLOOKUP(Table1[RespondentID],'All Data'!$A$3:$CW$999,97,FALSE),"unknown")</f>
        <v>0</v>
      </c>
      <c r="BG216" s="120" t="str">
        <f>IFERROR(VLOOKUP(Table1[RespondentID],'All Data'!$A$3:$CW$999,98,FALSE),"unknown")</f>
        <v>Private/Commercial</v>
      </c>
      <c r="BH216" s="120" t="str">
        <f>IFERROR(VLOOKUP(Table1[RespondentID],'All Data'!$A$3:$CW$999,99,FALSE),"unknown")</f>
        <v>Yes</v>
      </c>
    </row>
    <row r="217" spans="1:60">
      <c r="A217" s="5">
        <v>18019193765</v>
      </c>
      <c r="B217" s="5"/>
      <c r="C217" s="5"/>
      <c r="D217" s="5"/>
      <c r="E217" s="5"/>
      <c r="F217" s="5"/>
      <c r="G217" s="5"/>
      <c r="H217" s="5"/>
      <c r="I217" s="5"/>
      <c r="J217" s="5"/>
      <c r="K217" s="5"/>
      <c r="L217" s="5"/>
      <c r="M217" s="5"/>
      <c r="N217" s="5"/>
      <c r="O217" s="5"/>
      <c r="P217" s="5"/>
      <c r="Q217" s="5"/>
      <c r="R217" s="5"/>
      <c r="S217" s="5"/>
      <c r="T217" s="37"/>
      <c r="U217" s="37">
        <f t="shared" si="69"/>
        <v>0</v>
      </c>
      <c r="V217" s="37" t="e">
        <f t="shared" si="70"/>
        <v>#DIV/0!</v>
      </c>
      <c r="W217" s="37"/>
      <c r="X217" s="37">
        <f t="shared" si="71"/>
        <v>0</v>
      </c>
      <c r="Y217" s="37">
        <f t="shared" si="72"/>
        <v>0</v>
      </c>
      <c r="Z217" s="37">
        <f t="shared" si="73"/>
        <v>0</v>
      </c>
      <c r="AA217" s="37">
        <f t="shared" si="74"/>
        <v>0</v>
      </c>
      <c r="AB217" s="37">
        <f t="shared" si="75"/>
        <v>0</v>
      </c>
      <c r="AC217" s="37">
        <f t="shared" si="76"/>
        <v>0</v>
      </c>
      <c r="AD217" s="37">
        <f t="shared" si="77"/>
        <v>0</v>
      </c>
      <c r="AE217" s="37">
        <f t="shared" si="78"/>
        <v>0</v>
      </c>
      <c r="AF217" s="37">
        <f t="shared" si="79"/>
        <v>0</v>
      </c>
      <c r="AG217" s="37">
        <f t="shared" si="80"/>
        <v>0</v>
      </c>
      <c r="AH217" s="37">
        <f t="shared" si="81"/>
        <v>0</v>
      </c>
      <c r="AI217" s="37">
        <f t="shared" si="82"/>
        <v>0</v>
      </c>
      <c r="AJ217" s="37">
        <f t="shared" si="83"/>
        <v>0</v>
      </c>
      <c r="AK217" s="37">
        <f t="shared" si="84"/>
        <v>0</v>
      </c>
      <c r="AL217" s="37">
        <f t="shared" si="85"/>
        <v>0</v>
      </c>
      <c r="AM217" s="37">
        <f t="shared" si="86"/>
        <v>0</v>
      </c>
      <c r="AN217" s="37">
        <f t="shared" si="87"/>
        <v>0</v>
      </c>
      <c r="AO217" s="37">
        <f t="shared" si="88"/>
        <v>0</v>
      </c>
      <c r="AP217" s="37"/>
      <c r="AQ217" s="37"/>
      <c r="AR217" s="37">
        <f t="shared" si="89"/>
        <v>0</v>
      </c>
      <c r="AS217" s="37">
        <f t="shared" si="90"/>
        <v>0</v>
      </c>
      <c r="AT217" s="37" t="str">
        <f t="shared" si="91"/>
        <v>Correct</v>
      </c>
      <c r="AU217" s="37"/>
      <c r="AV217" s="120">
        <f>IFERROR(VLOOKUP(Table1[RespondentID],'All Data'!$A$3:$CO$999,87,FALSE),"unknown")</f>
        <v>0</v>
      </c>
      <c r="AW217" s="120">
        <f>IFERROR(VLOOKUP(Table1[RespondentID],'All Data'!$A$3:$CO$999,88,FALSE),"unknown")</f>
        <v>0</v>
      </c>
      <c r="AX217" s="120">
        <f>IFERROR(VLOOKUP(Table1[RespondentID],'All Data'!$A$3:$CO$999,89,FALSE),"unknown")</f>
        <v>0</v>
      </c>
      <c r="AY217" s="120" t="str">
        <f>IFERROR(VLOOKUP(Table1[RespondentID],'All Data'!$A$3:$CO$999,90,FALSE),"unknown")</f>
        <v>Brookville, 11545</v>
      </c>
      <c r="AZ217" s="120">
        <f>IFERROR(VLOOKUP(Table1[RespondentID],'All Data'!$A$3:$CO$999,91,FALSE),"unknown")</f>
        <v>0</v>
      </c>
      <c r="BA217" s="120">
        <f>IFERROR(VLOOKUP(Table1[RespondentID],'All Data'!$A$3:$CO$999,92,FALSE),"unknown")</f>
        <v>0</v>
      </c>
      <c r="BB217" s="120">
        <f>IFERROR(VLOOKUP(Table1[RespondentID],'All Data'!$A$3:$CO$999,93,FALSE),"unknown")</f>
        <v>0</v>
      </c>
      <c r="BC217" s="120">
        <f>IFERROR(VLOOKUP(Table1[RespondentID],'All Data'!$A$3:$CW$999,94,FALSE),"unknown")</f>
        <v>0</v>
      </c>
      <c r="BD217" s="120">
        <f>IFERROR(VLOOKUP(Table1[RespondentID],'All Data'!$A$3:$CW$999,95,FALSE),"unknown")</f>
        <v>0</v>
      </c>
      <c r="BE217" s="120">
        <f>IFERROR(VLOOKUP(Table1[RespondentID],'All Data'!$A$3:$CW$999,96,FALSE),"unknown")</f>
        <v>0</v>
      </c>
      <c r="BF217" s="120">
        <f>IFERROR(VLOOKUP(Table1[RespondentID],'All Data'!$A$3:$CW$999,97,FALSE),"unknown")</f>
        <v>0</v>
      </c>
      <c r="BG217" s="120">
        <f>IFERROR(VLOOKUP(Table1[RespondentID],'All Data'!$A$3:$CW$999,98,FALSE),"unknown")</f>
        <v>0</v>
      </c>
      <c r="BH217" s="120">
        <f>IFERROR(VLOOKUP(Table1[RespondentID],'All Data'!$A$3:$CW$999,99,FALSE),"unknown")</f>
        <v>0</v>
      </c>
    </row>
    <row r="218" spans="1:60">
      <c r="A218" s="5">
        <v>18019104432</v>
      </c>
      <c r="B218" s="5"/>
      <c r="C218" s="5" t="s">
        <v>50</v>
      </c>
      <c r="D218" s="5"/>
      <c r="E218" s="5"/>
      <c r="F218" s="5"/>
      <c r="G218" s="5"/>
      <c r="H218" s="5"/>
      <c r="I218" s="5"/>
      <c r="J218" s="5"/>
      <c r="K218" s="5"/>
      <c r="L218" s="5" t="s">
        <v>58</v>
      </c>
      <c r="M218" s="5"/>
      <c r="N218" s="5"/>
      <c r="O218" s="5"/>
      <c r="P218" s="5"/>
      <c r="Q218" s="5"/>
      <c r="R218" s="5" t="s">
        <v>62</v>
      </c>
      <c r="S218" s="5"/>
      <c r="T218" s="37"/>
      <c r="U218" s="37">
        <f t="shared" si="69"/>
        <v>3</v>
      </c>
      <c r="V218" s="37">
        <f t="shared" si="70"/>
        <v>1</v>
      </c>
      <c r="W218" s="37"/>
      <c r="X218" s="37">
        <f t="shared" si="71"/>
        <v>0</v>
      </c>
      <c r="Y218" s="37">
        <f t="shared" si="72"/>
        <v>1</v>
      </c>
      <c r="Z218" s="37">
        <f t="shared" si="73"/>
        <v>0</v>
      </c>
      <c r="AA218" s="37">
        <f t="shared" si="74"/>
        <v>0</v>
      </c>
      <c r="AB218" s="37">
        <f t="shared" si="75"/>
        <v>0</v>
      </c>
      <c r="AC218" s="37">
        <f t="shared" si="76"/>
        <v>0</v>
      </c>
      <c r="AD218" s="37">
        <f t="shared" si="77"/>
        <v>0</v>
      </c>
      <c r="AE218" s="37">
        <f t="shared" si="78"/>
        <v>0</v>
      </c>
      <c r="AF218" s="37">
        <f t="shared" si="79"/>
        <v>0</v>
      </c>
      <c r="AG218" s="37">
        <f t="shared" si="80"/>
        <v>0</v>
      </c>
      <c r="AH218" s="37">
        <f t="shared" si="81"/>
        <v>1</v>
      </c>
      <c r="AI218" s="37">
        <f t="shared" si="82"/>
        <v>0</v>
      </c>
      <c r="AJ218" s="37">
        <f t="shared" si="83"/>
        <v>0</v>
      </c>
      <c r="AK218" s="37">
        <f t="shared" si="84"/>
        <v>0</v>
      </c>
      <c r="AL218" s="37">
        <f t="shared" si="85"/>
        <v>0</v>
      </c>
      <c r="AM218" s="37">
        <f t="shared" si="86"/>
        <v>0</v>
      </c>
      <c r="AN218" s="37">
        <f t="shared" si="87"/>
        <v>1</v>
      </c>
      <c r="AO218" s="37">
        <f t="shared" si="88"/>
        <v>0</v>
      </c>
      <c r="AP218" s="37"/>
      <c r="AQ218" s="37"/>
      <c r="AR218" s="37">
        <f t="shared" si="89"/>
        <v>3</v>
      </c>
      <c r="AS218" s="37">
        <f t="shared" si="90"/>
        <v>3</v>
      </c>
      <c r="AT218" s="37" t="str">
        <f t="shared" si="91"/>
        <v>Correct</v>
      </c>
      <c r="AU218" s="37"/>
      <c r="AV218" s="120" t="str">
        <f>IFERROR(VLOOKUP(Table1[RespondentID],'All Data'!$A$3:$CO$999,87,FALSE),"unknown")</f>
        <v>Woman</v>
      </c>
      <c r="AW218" s="120">
        <f>IFERROR(VLOOKUP(Table1[RespondentID],'All Data'!$A$3:$CO$999,88,FALSE),"unknown")</f>
        <v>23</v>
      </c>
      <c r="AX218" s="120" t="str">
        <f>IFERROR(VLOOKUP(Table1[RespondentID],'All Data'!$A$3:$CO$999,89,FALSE),"unknown")</f>
        <v>Suffolk</v>
      </c>
      <c r="AY218" s="120" t="str">
        <f>IFERROR(VLOOKUP(Table1[RespondentID],'All Data'!$A$3:$CO$999,90,FALSE),"unknown")</f>
        <v>Commack, 11725</v>
      </c>
      <c r="AZ218" s="120" t="str">
        <f>IFERROR(VLOOKUP(Table1[RespondentID],'All Data'!$A$3:$CO$999,91,FALSE),"unknown")</f>
        <v>Native Hawaiian and Other Pacific Islander</v>
      </c>
      <c r="BA218" s="120" t="str">
        <f>IFERROR(VLOOKUP(Table1[RespondentID],'All Data'!$A$3:$CO$999,92,FALSE),"unknown")</f>
        <v>Hispanic or Latino</v>
      </c>
      <c r="BB218" s="120" t="str">
        <f>IFERROR(VLOOKUP(Table1[RespondentID],'All Data'!$A$3:$CO$999,93,FALSE),"unknown")</f>
        <v>English, Italian</v>
      </c>
      <c r="BC218" s="120" t="str">
        <f>IFERROR(VLOOKUP(Table1[RespondentID],'All Data'!$A$3:$CW$999,94,FALSE),"unknown")</f>
        <v>$35,000 to $49,999</v>
      </c>
      <c r="BD218" s="120" t="str">
        <f>IFERROR(VLOOKUP(Table1[RespondentID],'All Data'!$A$3:$CW$999,95,FALSE),"unknown")</f>
        <v>High school graduate</v>
      </c>
      <c r="BE218" s="120" t="str">
        <f>IFERROR(VLOOKUP(Table1[RespondentID],'All Data'!$A$3:$CW$999,96,FALSE),"unknown")</f>
        <v>Employed for wages</v>
      </c>
      <c r="BF218" s="120" t="str">
        <f>IFERROR(VLOOKUP(Table1[RespondentID],'All Data'!$A$3:$CW$999,97,FALSE),"unknown")</f>
        <v>Yes</v>
      </c>
      <c r="BG218" s="120">
        <f>IFERROR(VLOOKUP(Table1[RespondentID],'All Data'!$A$3:$CW$999,98,FALSE),"unknown")</f>
        <v>0</v>
      </c>
      <c r="BH218" s="120">
        <f>IFERROR(VLOOKUP(Table1[RespondentID],'All Data'!$A$3:$CW$999,99,FALSE),"unknown")</f>
        <v>0</v>
      </c>
    </row>
    <row r="219" spans="1:60">
      <c r="A219" s="5">
        <v>18019104294</v>
      </c>
      <c r="B219" s="5" t="s">
        <v>49</v>
      </c>
      <c r="C219" s="5"/>
      <c r="D219" s="5"/>
      <c r="E219" s="5"/>
      <c r="F219" s="5"/>
      <c r="G219" s="5" t="s">
        <v>53</v>
      </c>
      <c r="H219" s="5"/>
      <c r="I219" s="5"/>
      <c r="J219" s="5"/>
      <c r="K219" s="5"/>
      <c r="L219" s="5"/>
      <c r="M219" s="5"/>
      <c r="N219" s="5"/>
      <c r="O219" s="5"/>
      <c r="P219" s="5"/>
      <c r="Q219" s="5"/>
      <c r="R219" s="5" t="s">
        <v>62</v>
      </c>
      <c r="S219" s="5"/>
      <c r="T219" s="37"/>
      <c r="U219" s="37">
        <f t="shared" si="69"/>
        <v>3</v>
      </c>
      <c r="V219" s="37">
        <f t="shared" si="70"/>
        <v>1</v>
      </c>
      <c r="W219" s="37"/>
      <c r="X219" s="37">
        <f t="shared" si="71"/>
        <v>1</v>
      </c>
      <c r="Y219" s="37">
        <f t="shared" si="72"/>
        <v>0</v>
      </c>
      <c r="Z219" s="37">
        <f t="shared" si="73"/>
        <v>0</v>
      </c>
      <c r="AA219" s="37">
        <f t="shared" si="74"/>
        <v>0</v>
      </c>
      <c r="AB219" s="37">
        <f t="shared" si="75"/>
        <v>0</v>
      </c>
      <c r="AC219" s="37">
        <f t="shared" si="76"/>
        <v>1</v>
      </c>
      <c r="AD219" s="37">
        <f t="shared" si="77"/>
        <v>0</v>
      </c>
      <c r="AE219" s="37">
        <f t="shared" si="78"/>
        <v>0</v>
      </c>
      <c r="AF219" s="37">
        <f t="shared" si="79"/>
        <v>0</v>
      </c>
      <c r="AG219" s="37">
        <f t="shared" si="80"/>
        <v>0</v>
      </c>
      <c r="AH219" s="37">
        <f t="shared" si="81"/>
        <v>0</v>
      </c>
      <c r="AI219" s="37">
        <f t="shared" si="82"/>
        <v>0</v>
      </c>
      <c r="AJ219" s="37">
        <f t="shared" si="83"/>
        <v>0</v>
      </c>
      <c r="AK219" s="37">
        <f t="shared" si="84"/>
        <v>0</v>
      </c>
      <c r="AL219" s="37">
        <f t="shared" si="85"/>
        <v>0</v>
      </c>
      <c r="AM219" s="37">
        <f t="shared" si="86"/>
        <v>0</v>
      </c>
      <c r="AN219" s="37">
        <f t="shared" si="87"/>
        <v>1</v>
      </c>
      <c r="AO219" s="37">
        <f t="shared" si="88"/>
        <v>0</v>
      </c>
      <c r="AP219" s="37"/>
      <c r="AQ219" s="37"/>
      <c r="AR219" s="37">
        <f t="shared" si="89"/>
        <v>3</v>
      </c>
      <c r="AS219" s="37">
        <f t="shared" si="90"/>
        <v>3</v>
      </c>
      <c r="AT219" s="37" t="str">
        <f t="shared" si="91"/>
        <v>Correct</v>
      </c>
      <c r="AU219" s="37"/>
      <c r="AV219" s="120" t="str">
        <f>IFERROR(VLOOKUP(Table1[RespondentID],'All Data'!$A$3:$CO$999,87,FALSE),"unknown")</f>
        <v>Woman</v>
      </c>
      <c r="AW219" s="120">
        <f>IFERROR(VLOOKUP(Table1[RespondentID],'All Data'!$A$3:$CO$999,88,FALSE),"unknown")</f>
        <v>15</v>
      </c>
      <c r="AX219" s="120" t="str">
        <f>IFERROR(VLOOKUP(Table1[RespondentID],'All Data'!$A$3:$CO$999,89,FALSE),"unknown")</f>
        <v>Suffolk</v>
      </c>
      <c r="AY219" s="120" t="str">
        <f>IFERROR(VLOOKUP(Table1[RespondentID],'All Data'!$A$3:$CO$999,90,FALSE),"unknown")</f>
        <v>Commack, 11725</v>
      </c>
      <c r="AZ219" s="120" t="str">
        <f>IFERROR(VLOOKUP(Table1[RespondentID],'All Data'!$A$3:$CO$999,91,FALSE),"unknown")</f>
        <v>White</v>
      </c>
      <c r="BA219" s="120" t="str">
        <f>IFERROR(VLOOKUP(Table1[RespondentID],'All Data'!$A$3:$CO$999,92,FALSE),"unknown")</f>
        <v>Hispanic or Latino</v>
      </c>
      <c r="BB219" s="120" t="str">
        <f>IFERROR(VLOOKUP(Table1[RespondentID],'All Data'!$A$3:$CO$999,93,FALSE),"unknown")</f>
        <v>English</v>
      </c>
      <c r="BC219" s="120" t="str">
        <f>IFERROR(VLOOKUP(Table1[RespondentID],'All Data'!$A$3:$CW$999,94,FALSE),"unknown")</f>
        <v>$20,000 to $34,999</v>
      </c>
      <c r="BD219" s="120" t="str">
        <f>IFERROR(VLOOKUP(Table1[RespondentID],'All Data'!$A$3:$CW$999,95,FALSE),"unknown")</f>
        <v>Some high school</v>
      </c>
      <c r="BE219" s="120" t="str">
        <f>IFERROR(VLOOKUP(Table1[RespondentID],'All Data'!$A$3:$CW$999,96,FALSE),"unknown")</f>
        <v>Student</v>
      </c>
      <c r="BF219" s="120" t="str">
        <f>IFERROR(VLOOKUP(Table1[RespondentID],'All Data'!$A$3:$CW$999,97,FALSE),"unknown")</f>
        <v>No</v>
      </c>
      <c r="BG219" s="120">
        <f>IFERROR(VLOOKUP(Table1[RespondentID],'All Data'!$A$3:$CW$999,98,FALSE),"unknown")</f>
        <v>0</v>
      </c>
      <c r="BH219" s="120">
        <f>IFERROR(VLOOKUP(Table1[RespondentID],'All Data'!$A$3:$CW$999,99,FALSE),"unknown")</f>
        <v>0</v>
      </c>
    </row>
    <row r="220" spans="1:60">
      <c r="A220" s="5">
        <v>18019104165</v>
      </c>
      <c r="B220" s="5" t="s">
        <v>49</v>
      </c>
      <c r="C220" s="5"/>
      <c r="D220" s="5" t="s">
        <v>51</v>
      </c>
      <c r="E220" s="5"/>
      <c r="F220" s="5"/>
      <c r="G220" s="5" t="s">
        <v>53</v>
      </c>
      <c r="H220" s="5"/>
      <c r="I220" s="5"/>
      <c r="J220" s="5"/>
      <c r="K220" s="5"/>
      <c r="L220" s="5"/>
      <c r="M220" s="5"/>
      <c r="N220" s="5"/>
      <c r="O220" s="5"/>
      <c r="P220" s="5"/>
      <c r="Q220" s="5"/>
      <c r="R220" s="5"/>
      <c r="S220" s="5"/>
      <c r="T220" s="37"/>
      <c r="U220" s="37">
        <f t="shared" si="69"/>
        <v>3</v>
      </c>
      <c r="V220" s="37">
        <f t="shared" si="70"/>
        <v>1</v>
      </c>
      <c r="W220" s="37"/>
      <c r="X220" s="37">
        <f t="shared" si="71"/>
        <v>1</v>
      </c>
      <c r="Y220" s="37">
        <f t="shared" si="72"/>
        <v>0</v>
      </c>
      <c r="Z220" s="37">
        <f t="shared" si="73"/>
        <v>1</v>
      </c>
      <c r="AA220" s="37">
        <f t="shared" si="74"/>
        <v>0</v>
      </c>
      <c r="AB220" s="37">
        <f t="shared" si="75"/>
        <v>0</v>
      </c>
      <c r="AC220" s="37">
        <f t="shared" si="76"/>
        <v>1</v>
      </c>
      <c r="AD220" s="37">
        <f t="shared" si="77"/>
        <v>0</v>
      </c>
      <c r="AE220" s="37">
        <f t="shared" si="78"/>
        <v>0</v>
      </c>
      <c r="AF220" s="37">
        <f t="shared" si="79"/>
        <v>0</v>
      </c>
      <c r="AG220" s="37">
        <f t="shared" si="80"/>
        <v>0</v>
      </c>
      <c r="AH220" s="37">
        <f t="shared" si="81"/>
        <v>0</v>
      </c>
      <c r="AI220" s="37">
        <f t="shared" si="82"/>
        <v>0</v>
      </c>
      <c r="AJ220" s="37">
        <f t="shared" si="83"/>
        <v>0</v>
      </c>
      <c r="AK220" s="37">
        <f t="shared" si="84"/>
        <v>0</v>
      </c>
      <c r="AL220" s="37">
        <f t="shared" si="85"/>
        <v>0</v>
      </c>
      <c r="AM220" s="37">
        <f t="shared" si="86"/>
        <v>0</v>
      </c>
      <c r="AN220" s="37">
        <f t="shared" si="87"/>
        <v>0</v>
      </c>
      <c r="AO220" s="37">
        <f t="shared" si="88"/>
        <v>0</v>
      </c>
      <c r="AP220" s="37"/>
      <c r="AQ220" s="37"/>
      <c r="AR220" s="37">
        <f t="shared" si="89"/>
        <v>3</v>
      </c>
      <c r="AS220" s="37">
        <f t="shared" si="90"/>
        <v>3</v>
      </c>
      <c r="AT220" s="37" t="str">
        <f t="shared" si="91"/>
        <v>Correct</v>
      </c>
      <c r="AU220" s="37"/>
      <c r="AV220" s="120" t="str">
        <f>IFERROR(VLOOKUP(Table1[RespondentID],'All Data'!$A$3:$CO$999,87,FALSE),"unknown")</f>
        <v>Man</v>
      </c>
      <c r="AW220" s="120">
        <f>IFERROR(VLOOKUP(Table1[RespondentID],'All Data'!$A$3:$CO$999,88,FALSE),"unknown")</f>
        <v>17</v>
      </c>
      <c r="AX220" s="120" t="str">
        <f>IFERROR(VLOOKUP(Table1[RespondentID],'All Data'!$A$3:$CO$999,89,FALSE),"unknown")</f>
        <v>Suffolk</v>
      </c>
      <c r="AY220" s="120" t="str">
        <f>IFERROR(VLOOKUP(Table1[RespondentID],'All Data'!$A$3:$CO$999,90,FALSE),"unknown")</f>
        <v>Commack, 11725</v>
      </c>
      <c r="AZ220" s="120" t="str">
        <f>IFERROR(VLOOKUP(Table1[RespondentID],'All Data'!$A$3:$CO$999,91,FALSE),"unknown")</f>
        <v>American Indian and Alaska Native</v>
      </c>
      <c r="BA220" s="120" t="str">
        <f>IFERROR(VLOOKUP(Table1[RespondentID],'All Data'!$A$3:$CO$999,92,FALSE),"unknown")</f>
        <v>Hispanic or Latino</v>
      </c>
      <c r="BB220" s="120" t="str">
        <f>IFERROR(VLOOKUP(Table1[RespondentID],'All Data'!$A$3:$CO$999,93,FALSE),"unknown")</f>
        <v>English, Korean</v>
      </c>
      <c r="BC220" s="120" t="str">
        <f>IFERROR(VLOOKUP(Table1[RespondentID],'All Data'!$A$3:$CW$999,94,FALSE),"unknown")</f>
        <v>$35,000 to $49,999</v>
      </c>
      <c r="BD220" s="120" t="str">
        <f>IFERROR(VLOOKUP(Table1[RespondentID],'All Data'!$A$3:$CW$999,95,FALSE),"unknown")</f>
        <v>Some high school</v>
      </c>
      <c r="BE220" s="120" t="str">
        <f>IFERROR(VLOOKUP(Table1[RespondentID],'All Data'!$A$3:$CW$999,96,FALSE),"unknown")</f>
        <v>Student</v>
      </c>
      <c r="BF220" s="120">
        <f>IFERROR(VLOOKUP(Table1[RespondentID],'All Data'!$A$3:$CW$999,97,FALSE),"unknown")</f>
        <v>0</v>
      </c>
      <c r="BG220" s="120">
        <f>IFERROR(VLOOKUP(Table1[RespondentID],'All Data'!$A$3:$CW$999,98,FALSE),"unknown")</f>
        <v>0</v>
      </c>
      <c r="BH220" s="120">
        <f>IFERROR(VLOOKUP(Table1[RespondentID],'All Data'!$A$3:$CW$999,99,FALSE),"unknown")</f>
        <v>0</v>
      </c>
    </row>
    <row r="221" spans="1:60">
      <c r="A221" s="5">
        <v>18019103935</v>
      </c>
      <c r="B221" s="5"/>
      <c r="C221" s="5" t="s">
        <v>50</v>
      </c>
      <c r="D221" s="5" t="s">
        <v>51</v>
      </c>
      <c r="E221" s="5"/>
      <c r="F221" s="5"/>
      <c r="G221" s="5" t="s">
        <v>53</v>
      </c>
      <c r="H221" s="5"/>
      <c r="I221" s="5"/>
      <c r="J221" s="5"/>
      <c r="K221" s="5"/>
      <c r="L221" s="5"/>
      <c r="M221" s="5"/>
      <c r="N221" s="5"/>
      <c r="O221" s="5"/>
      <c r="P221" s="5"/>
      <c r="Q221" s="5"/>
      <c r="R221" s="5"/>
      <c r="S221" s="5"/>
      <c r="T221" s="37"/>
      <c r="U221" s="37">
        <f t="shared" si="69"/>
        <v>3</v>
      </c>
      <c r="V221" s="37">
        <f t="shared" si="70"/>
        <v>1</v>
      </c>
      <c r="W221" s="37"/>
      <c r="X221" s="37">
        <f t="shared" si="71"/>
        <v>0</v>
      </c>
      <c r="Y221" s="37">
        <f t="shared" si="72"/>
        <v>1</v>
      </c>
      <c r="Z221" s="37">
        <f t="shared" si="73"/>
        <v>1</v>
      </c>
      <c r="AA221" s="37">
        <f t="shared" si="74"/>
        <v>0</v>
      </c>
      <c r="AB221" s="37">
        <f t="shared" si="75"/>
        <v>0</v>
      </c>
      <c r="AC221" s="37">
        <f t="shared" si="76"/>
        <v>1</v>
      </c>
      <c r="AD221" s="37">
        <f t="shared" si="77"/>
        <v>0</v>
      </c>
      <c r="AE221" s="37">
        <f t="shared" si="78"/>
        <v>0</v>
      </c>
      <c r="AF221" s="37">
        <f t="shared" si="79"/>
        <v>0</v>
      </c>
      <c r="AG221" s="37">
        <f t="shared" si="80"/>
        <v>0</v>
      </c>
      <c r="AH221" s="37">
        <f t="shared" si="81"/>
        <v>0</v>
      </c>
      <c r="AI221" s="37">
        <f t="shared" si="82"/>
        <v>0</v>
      </c>
      <c r="AJ221" s="37">
        <f t="shared" si="83"/>
        <v>0</v>
      </c>
      <c r="AK221" s="37">
        <f t="shared" si="84"/>
        <v>0</v>
      </c>
      <c r="AL221" s="37">
        <f t="shared" si="85"/>
        <v>0</v>
      </c>
      <c r="AM221" s="37">
        <f t="shared" si="86"/>
        <v>0</v>
      </c>
      <c r="AN221" s="37">
        <f t="shared" si="87"/>
        <v>0</v>
      </c>
      <c r="AO221" s="37">
        <f t="shared" si="88"/>
        <v>0</v>
      </c>
      <c r="AP221" s="37"/>
      <c r="AQ221" s="37"/>
      <c r="AR221" s="37">
        <f t="shared" si="89"/>
        <v>3</v>
      </c>
      <c r="AS221" s="37">
        <f t="shared" si="90"/>
        <v>3</v>
      </c>
      <c r="AT221" s="37" t="str">
        <f t="shared" si="91"/>
        <v>Correct</v>
      </c>
      <c r="AU221" s="37"/>
      <c r="AV221" s="120" t="str">
        <f>IFERROR(VLOOKUP(Table1[RespondentID],'All Data'!$A$3:$CO$999,87,FALSE),"unknown")</f>
        <v>Woman</v>
      </c>
      <c r="AW221" s="120">
        <f>IFERROR(VLOOKUP(Table1[RespondentID],'All Data'!$A$3:$CO$999,88,FALSE),"unknown")</f>
        <v>42</v>
      </c>
      <c r="AX221" s="120" t="str">
        <f>IFERROR(VLOOKUP(Table1[RespondentID],'All Data'!$A$3:$CO$999,89,FALSE),"unknown")</f>
        <v>Suffolk</v>
      </c>
      <c r="AY221" s="120" t="str">
        <f>IFERROR(VLOOKUP(Table1[RespondentID],'All Data'!$A$3:$CO$999,90,FALSE),"unknown")</f>
        <v>Commack, 11725</v>
      </c>
      <c r="AZ221" s="120" t="str">
        <f>IFERROR(VLOOKUP(Table1[RespondentID],'All Data'!$A$3:$CO$999,91,FALSE),"unknown")</f>
        <v>Asian</v>
      </c>
      <c r="BA221" s="120" t="str">
        <f>IFERROR(VLOOKUP(Table1[RespondentID],'All Data'!$A$3:$CO$999,92,FALSE),"unknown")</f>
        <v>Not Hispanic or Latino</v>
      </c>
      <c r="BB221" s="120" t="str">
        <f>IFERROR(VLOOKUP(Table1[RespondentID],'All Data'!$A$3:$CO$999,93,FALSE),"unknown")</f>
        <v>English, Portuguese, Spanish</v>
      </c>
      <c r="BC221" s="120" t="str">
        <f>IFERROR(VLOOKUP(Table1[RespondentID],'All Data'!$A$3:$CW$999,94,FALSE),"unknown")</f>
        <v>$20,000 to $34,999</v>
      </c>
      <c r="BD221" s="120" t="str">
        <f>IFERROR(VLOOKUP(Table1[RespondentID],'All Data'!$A$3:$CW$999,95,FALSE),"unknown")</f>
        <v>College graduate</v>
      </c>
      <c r="BE221" s="120" t="str">
        <f>IFERROR(VLOOKUP(Table1[RespondentID],'All Data'!$A$3:$CW$999,96,FALSE),"unknown")</f>
        <v>Employed for wages</v>
      </c>
      <c r="BF221" s="120" t="str">
        <f>IFERROR(VLOOKUP(Table1[RespondentID],'All Data'!$A$3:$CW$999,97,FALSE),"unknown")</f>
        <v>Yes</v>
      </c>
      <c r="BG221" s="120">
        <f>IFERROR(VLOOKUP(Table1[RespondentID],'All Data'!$A$3:$CW$999,98,FALSE),"unknown")</f>
        <v>0</v>
      </c>
      <c r="BH221" s="120">
        <f>IFERROR(VLOOKUP(Table1[RespondentID],'All Data'!$A$3:$CW$999,99,FALSE),"unknown")</f>
        <v>0</v>
      </c>
    </row>
    <row r="222" spans="1:60">
      <c r="A222" s="5">
        <v>18019103724</v>
      </c>
      <c r="B222" s="5" t="s">
        <v>49</v>
      </c>
      <c r="C222" s="5" t="s">
        <v>50</v>
      </c>
      <c r="D222" s="5"/>
      <c r="E222" s="5" t="s">
        <v>17</v>
      </c>
      <c r="F222" s="5"/>
      <c r="G222" s="5"/>
      <c r="H222" s="5"/>
      <c r="I222" s="5"/>
      <c r="J222" s="5"/>
      <c r="K222" s="5"/>
      <c r="L222" s="5"/>
      <c r="M222" s="5"/>
      <c r="N222" s="5"/>
      <c r="O222" s="5"/>
      <c r="P222" s="5"/>
      <c r="Q222" s="5"/>
      <c r="R222" s="5"/>
      <c r="S222" s="5"/>
      <c r="T222" s="37"/>
      <c r="U222" s="37">
        <f t="shared" si="69"/>
        <v>3</v>
      </c>
      <c r="V222" s="37">
        <f t="shared" si="70"/>
        <v>1</v>
      </c>
      <c r="W222" s="37"/>
      <c r="X222" s="37">
        <f t="shared" si="71"/>
        <v>1</v>
      </c>
      <c r="Y222" s="37">
        <f t="shared" si="72"/>
        <v>1</v>
      </c>
      <c r="Z222" s="37">
        <f t="shared" si="73"/>
        <v>0</v>
      </c>
      <c r="AA222" s="37">
        <f t="shared" si="74"/>
        <v>1</v>
      </c>
      <c r="AB222" s="37">
        <f t="shared" si="75"/>
        <v>0</v>
      </c>
      <c r="AC222" s="37">
        <f t="shared" si="76"/>
        <v>0</v>
      </c>
      <c r="AD222" s="37">
        <f t="shared" si="77"/>
        <v>0</v>
      </c>
      <c r="AE222" s="37">
        <f t="shared" si="78"/>
        <v>0</v>
      </c>
      <c r="AF222" s="37">
        <f t="shared" si="79"/>
        <v>0</v>
      </c>
      <c r="AG222" s="37">
        <f t="shared" si="80"/>
        <v>0</v>
      </c>
      <c r="AH222" s="37">
        <f t="shared" si="81"/>
        <v>0</v>
      </c>
      <c r="AI222" s="37">
        <f t="shared" si="82"/>
        <v>0</v>
      </c>
      <c r="AJ222" s="37">
        <f t="shared" si="83"/>
        <v>0</v>
      </c>
      <c r="AK222" s="37">
        <f t="shared" si="84"/>
        <v>0</v>
      </c>
      <c r="AL222" s="37">
        <f t="shared" si="85"/>
        <v>0</v>
      </c>
      <c r="AM222" s="37">
        <f t="shared" si="86"/>
        <v>0</v>
      </c>
      <c r="AN222" s="37">
        <f t="shared" si="87"/>
        <v>0</v>
      </c>
      <c r="AO222" s="37">
        <f t="shared" si="88"/>
        <v>0</v>
      </c>
      <c r="AP222" s="37"/>
      <c r="AQ222" s="37"/>
      <c r="AR222" s="37">
        <f t="shared" si="89"/>
        <v>3</v>
      </c>
      <c r="AS222" s="37">
        <f t="shared" si="90"/>
        <v>3</v>
      </c>
      <c r="AT222" s="37" t="str">
        <f t="shared" si="91"/>
        <v>Correct</v>
      </c>
      <c r="AU222" s="37"/>
      <c r="AV222" s="120" t="str">
        <f>IFERROR(VLOOKUP(Table1[RespondentID],'All Data'!$A$3:$CO$999,87,FALSE),"unknown")</f>
        <v>Man</v>
      </c>
      <c r="AW222" s="120">
        <f>IFERROR(VLOOKUP(Table1[RespondentID],'All Data'!$A$3:$CO$999,88,FALSE),"unknown")</f>
        <v>52</v>
      </c>
      <c r="AX222" s="120" t="str">
        <f>IFERROR(VLOOKUP(Table1[RespondentID],'All Data'!$A$3:$CO$999,89,FALSE),"unknown")</f>
        <v>Suffolk</v>
      </c>
      <c r="AY222" s="120" t="str">
        <f>IFERROR(VLOOKUP(Table1[RespondentID],'All Data'!$A$3:$CO$999,90,FALSE),"unknown")</f>
        <v>Commack, 11725</v>
      </c>
      <c r="AZ222" s="120" t="str">
        <f>IFERROR(VLOOKUP(Table1[RespondentID],'All Data'!$A$3:$CO$999,91,FALSE),"unknown")</f>
        <v>Native Hawaiian and Other Pacific Islander</v>
      </c>
      <c r="BA222" s="120" t="str">
        <f>IFERROR(VLOOKUP(Table1[RespondentID],'All Data'!$A$3:$CO$999,92,FALSE),"unknown")</f>
        <v>Hispanic or Latino</v>
      </c>
      <c r="BB222" s="120" t="str">
        <f>IFERROR(VLOOKUP(Table1[RespondentID],'All Data'!$A$3:$CO$999,93,FALSE),"unknown")</f>
        <v>English, Spanish</v>
      </c>
      <c r="BC222" s="120" t="str">
        <f>IFERROR(VLOOKUP(Table1[RespondentID],'All Data'!$A$3:$CW$999,94,FALSE),"unknown")</f>
        <v>$35,000 to $49,999</v>
      </c>
      <c r="BD222" s="120" t="str">
        <f>IFERROR(VLOOKUP(Table1[RespondentID],'All Data'!$A$3:$CW$999,95,FALSE),"unknown")</f>
        <v>Graduate school</v>
      </c>
      <c r="BE222" s="120" t="str">
        <f>IFERROR(VLOOKUP(Table1[RespondentID],'All Data'!$A$3:$CW$999,96,FALSE),"unknown")</f>
        <v>Employed for wages</v>
      </c>
      <c r="BF222" s="120" t="str">
        <f>IFERROR(VLOOKUP(Table1[RespondentID],'All Data'!$A$3:$CW$999,97,FALSE),"unknown")</f>
        <v>Yes</v>
      </c>
      <c r="BG222" s="120">
        <f>IFERROR(VLOOKUP(Table1[RespondentID],'All Data'!$A$3:$CW$999,98,FALSE),"unknown")</f>
        <v>0</v>
      </c>
      <c r="BH222" s="120">
        <f>IFERROR(VLOOKUP(Table1[RespondentID],'All Data'!$A$3:$CW$999,99,FALSE),"unknown")</f>
        <v>0</v>
      </c>
    </row>
    <row r="223" spans="1:60">
      <c r="A223" s="5">
        <v>18019103593</v>
      </c>
      <c r="B223" s="5"/>
      <c r="C223" s="5"/>
      <c r="D223" s="5" t="s">
        <v>51</v>
      </c>
      <c r="E223" s="5"/>
      <c r="F223" s="5"/>
      <c r="G223" s="5"/>
      <c r="H223" s="5" t="s">
        <v>54</v>
      </c>
      <c r="I223" s="5"/>
      <c r="J223" s="5"/>
      <c r="K223" s="5"/>
      <c r="L223" s="5"/>
      <c r="M223" s="5"/>
      <c r="N223" s="5"/>
      <c r="O223" s="5" t="s">
        <v>20</v>
      </c>
      <c r="P223" s="5"/>
      <c r="Q223" s="5"/>
      <c r="R223" s="5"/>
      <c r="S223" s="5"/>
      <c r="T223" s="37"/>
      <c r="U223" s="37">
        <f t="shared" si="69"/>
        <v>3</v>
      </c>
      <c r="V223" s="37">
        <f t="shared" si="70"/>
        <v>1</v>
      </c>
      <c r="W223" s="37"/>
      <c r="X223" s="37">
        <f t="shared" si="71"/>
        <v>0</v>
      </c>
      <c r="Y223" s="37">
        <f t="shared" si="72"/>
        <v>0</v>
      </c>
      <c r="Z223" s="37">
        <f t="shared" si="73"/>
        <v>1</v>
      </c>
      <c r="AA223" s="37">
        <f t="shared" si="74"/>
        <v>0</v>
      </c>
      <c r="AB223" s="37">
        <f t="shared" si="75"/>
        <v>0</v>
      </c>
      <c r="AC223" s="37">
        <f t="shared" si="76"/>
        <v>0</v>
      </c>
      <c r="AD223" s="37">
        <f t="shared" si="77"/>
        <v>1</v>
      </c>
      <c r="AE223" s="37">
        <f t="shared" si="78"/>
        <v>0</v>
      </c>
      <c r="AF223" s="37">
        <f t="shared" si="79"/>
        <v>0</v>
      </c>
      <c r="AG223" s="37">
        <f t="shared" si="80"/>
        <v>0</v>
      </c>
      <c r="AH223" s="37">
        <f t="shared" si="81"/>
        <v>0</v>
      </c>
      <c r="AI223" s="37">
        <f t="shared" si="82"/>
        <v>0</v>
      </c>
      <c r="AJ223" s="37">
        <f t="shared" si="83"/>
        <v>0</v>
      </c>
      <c r="AK223" s="37">
        <f t="shared" si="84"/>
        <v>1</v>
      </c>
      <c r="AL223" s="37">
        <f t="shared" si="85"/>
        <v>0</v>
      </c>
      <c r="AM223" s="37">
        <f t="shared" si="86"/>
        <v>0</v>
      </c>
      <c r="AN223" s="37">
        <f t="shared" si="87"/>
        <v>0</v>
      </c>
      <c r="AO223" s="37">
        <f t="shared" si="88"/>
        <v>0</v>
      </c>
      <c r="AP223" s="37"/>
      <c r="AQ223" s="37"/>
      <c r="AR223" s="37">
        <f t="shared" si="89"/>
        <v>3</v>
      </c>
      <c r="AS223" s="37">
        <f t="shared" si="90"/>
        <v>3</v>
      </c>
      <c r="AT223" s="37" t="str">
        <f t="shared" si="91"/>
        <v>Correct</v>
      </c>
      <c r="AU223" s="37"/>
      <c r="AV223" s="120" t="str">
        <f>IFERROR(VLOOKUP(Table1[RespondentID],'All Data'!$A$3:$CO$999,87,FALSE),"unknown")</f>
        <v>Woman</v>
      </c>
      <c r="AW223" s="120">
        <f>IFERROR(VLOOKUP(Table1[RespondentID],'All Data'!$A$3:$CO$999,88,FALSE),"unknown")</f>
        <v>85</v>
      </c>
      <c r="AX223" s="120" t="str">
        <f>IFERROR(VLOOKUP(Table1[RespondentID],'All Data'!$A$3:$CO$999,89,FALSE),"unknown")</f>
        <v>Suffolk</v>
      </c>
      <c r="AY223" s="120" t="str">
        <f>IFERROR(VLOOKUP(Table1[RespondentID],'All Data'!$A$3:$CO$999,90,FALSE),"unknown")</f>
        <v>Commack, 11725</v>
      </c>
      <c r="AZ223" s="120" t="str">
        <f>IFERROR(VLOOKUP(Table1[RespondentID],'All Data'!$A$3:$CO$999,91,FALSE),"unknown")</f>
        <v>Black or African American</v>
      </c>
      <c r="BA223" s="120" t="str">
        <f>IFERROR(VLOOKUP(Table1[RespondentID],'All Data'!$A$3:$CO$999,92,FALSE),"unknown")</f>
        <v>Hispanic or Latino</v>
      </c>
      <c r="BB223" s="120" t="str">
        <f>IFERROR(VLOOKUP(Table1[RespondentID],'All Data'!$A$3:$CO$999,93,FALSE),"unknown")</f>
        <v>English</v>
      </c>
      <c r="BC223" s="120" t="str">
        <f>IFERROR(VLOOKUP(Table1[RespondentID],'All Data'!$A$3:$CW$999,94,FALSE),"unknown")</f>
        <v>$50,000 to $74,999</v>
      </c>
      <c r="BD223" s="120" t="str">
        <f>IFERROR(VLOOKUP(Table1[RespondentID],'All Data'!$A$3:$CW$999,95,FALSE),"unknown")</f>
        <v>College graduate</v>
      </c>
      <c r="BE223" s="120" t="str">
        <f>IFERROR(VLOOKUP(Table1[RespondentID],'All Data'!$A$3:$CW$999,96,FALSE),"unknown")</f>
        <v>Retired</v>
      </c>
      <c r="BF223" s="120" t="str">
        <f>IFERROR(VLOOKUP(Table1[RespondentID],'All Data'!$A$3:$CW$999,97,FALSE),"unknown")</f>
        <v>Yes</v>
      </c>
      <c r="BG223" s="120">
        <f>IFERROR(VLOOKUP(Table1[RespondentID],'All Data'!$A$3:$CW$999,98,FALSE),"unknown")</f>
        <v>0</v>
      </c>
      <c r="BH223" s="120">
        <f>IFERROR(VLOOKUP(Table1[RespondentID],'All Data'!$A$3:$CW$999,99,FALSE),"unknown")</f>
        <v>0</v>
      </c>
    </row>
    <row r="224" spans="1:60">
      <c r="A224" s="5">
        <v>18019103458</v>
      </c>
      <c r="B224" s="5"/>
      <c r="C224" s="5"/>
      <c r="D224" s="5"/>
      <c r="E224" s="5"/>
      <c r="F224" s="5" t="s">
        <v>52</v>
      </c>
      <c r="G224" s="5"/>
      <c r="H224" s="5" t="s">
        <v>54</v>
      </c>
      <c r="I224" s="5"/>
      <c r="J224" s="5"/>
      <c r="K224" s="5"/>
      <c r="L224" s="5"/>
      <c r="M224" s="5"/>
      <c r="N224" s="5"/>
      <c r="O224" s="5"/>
      <c r="P224" s="5"/>
      <c r="Q224" s="5"/>
      <c r="R224" s="5" t="s">
        <v>62</v>
      </c>
      <c r="S224" s="5"/>
      <c r="T224" s="37"/>
      <c r="U224" s="37">
        <f t="shared" si="69"/>
        <v>3</v>
      </c>
      <c r="V224" s="37">
        <f t="shared" si="70"/>
        <v>1</v>
      </c>
      <c r="W224" s="37"/>
      <c r="X224" s="37">
        <f t="shared" si="71"/>
        <v>0</v>
      </c>
      <c r="Y224" s="37">
        <f t="shared" si="72"/>
        <v>0</v>
      </c>
      <c r="Z224" s="37">
        <f t="shared" si="73"/>
        <v>0</v>
      </c>
      <c r="AA224" s="37">
        <f t="shared" si="74"/>
        <v>0</v>
      </c>
      <c r="AB224" s="37">
        <f t="shared" si="75"/>
        <v>1</v>
      </c>
      <c r="AC224" s="37">
        <f t="shared" si="76"/>
        <v>0</v>
      </c>
      <c r="AD224" s="37">
        <f t="shared" si="77"/>
        <v>1</v>
      </c>
      <c r="AE224" s="37">
        <f t="shared" si="78"/>
        <v>0</v>
      </c>
      <c r="AF224" s="37">
        <f t="shared" si="79"/>
        <v>0</v>
      </c>
      <c r="AG224" s="37">
        <f t="shared" si="80"/>
        <v>0</v>
      </c>
      <c r="AH224" s="37">
        <f t="shared" si="81"/>
        <v>0</v>
      </c>
      <c r="AI224" s="37">
        <f t="shared" si="82"/>
        <v>0</v>
      </c>
      <c r="AJ224" s="37">
        <f t="shared" si="83"/>
        <v>0</v>
      </c>
      <c r="AK224" s="37">
        <f t="shared" si="84"/>
        <v>0</v>
      </c>
      <c r="AL224" s="37">
        <f t="shared" si="85"/>
        <v>0</v>
      </c>
      <c r="AM224" s="37">
        <f t="shared" si="86"/>
        <v>0</v>
      </c>
      <c r="AN224" s="37">
        <f t="shared" si="87"/>
        <v>1</v>
      </c>
      <c r="AO224" s="37">
        <f t="shared" si="88"/>
        <v>0</v>
      </c>
      <c r="AP224" s="37"/>
      <c r="AQ224" s="37"/>
      <c r="AR224" s="37">
        <f t="shared" si="89"/>
        <v>3</v>
      </c>
      <c r="AS224" s="37">
        <f t="shared" si="90"/>
        <v>3</v>
      </c>
      <c r="AT224" s="37" t="str">
        <f t="shared" si="91"/>
        <v>Correct</v>
      </c>
      <c r="AU224" s="37"/>
      <c r="AV224" s="120" t="str">
        <f>IFERROR(VLOOKUP(Table1[RespondentID],'All Data'!$A$3:$CO$999,87,FALSE),"unknown")</f>
        <v>Woman</v>
      </c>
      <c r="AW224" s="120">
        <f>IFERROR(VLOOKUP(Table1[RespondentID],'All Data'!$A$3:$CO$999,88,FALSE),"unknown")</f>
        <v>14</v>
      </c>
      <c r="AX224" s="120" t="str">
        <f>IFERROR(VLOOKUP(Table1[RespondentID],'All Data'!$A$3:$CO$999,89,FALSE),"unknown")</f>
        <v>Suffolk</v>
      </c>
      <c r="AY224" s="120" t="str">
        <f>IFERROR(VLOOKUP(Table1[RespondentID],'All Data'!$A$3:$CO$999,90,FALSE),"unknown")</f>
        <v>Smithtown, 11787</v>
      </c>
      <c r="AZ224" s="120" t="str">
        <f>IFERROR(VLOOKUP(Table1[RespondentID],'All Data'!$A$3:$CO$999,91,FALSE),"unknown")</f>
        <v>Native Hawaiian and Other Pacific Islander</v>
      </c>
      <c r="BA224" s="120" t="str">
        <f>IFERROR(VLOOKUP(Table1[RespondentID],'All Data'!$A$3:$CO$999,92,FALSE),"unknown")</f>
        <v>Hispanic or Latino</v>
      </c>
      <c r="BB224" s="120" t="str">
        <f>IFERROR(VLOOKUP(Table1[RespondentID],'All Data'!$A$3:$CO$999,93,FALSE),"unknown")</f>
        <v>English</v>
      </c>
      <c r="BC224" s="120" t="str">
        <f>IFERROR(VLOOKUP(Table1[RespondentID],'All Data'!$A$3:$CW$999,94,FALSE),"unknown")</f>
        <v>$20,000 to $34,999</v>
      </c>
      <c r="BD224" s="120" t="str">
        <f>IFERROR(VLOOKUP(Table1[RespondentID],'All Data'!$A$3:$CW$999,95,FALSE),"unknown")</f>
        <v>K-8 grade</v>
      </c>
      <c r="BE224" s="120" t="str">
        <f>IFERROR(VLOOKUP(Table1[RespondentID],'All Data'!$A$3:$CW$999,96,FALSE),"unknown")</f>
        <v>Student</v>
      </c>
      <c r="BF224" s="120" t="str">
        <f>IFERROR(VLOOKUP(Table1[RespondentID],'All Data'!$A$3:$CW$999,97,FALSE),"unknown")</f>
        <v>No</v>
      </c>
      <c r="BG224" s="120">
        <f>IFERROR(VLOOKUP(Table1[RespondentID],'All Data'!$A$3:$CW$999,98,FALSE),"unknown")</f>
        <v>0</v>
      </c>
      <c r="BH224" s="120">
        <f>IFERROR(VLOOKUP(Table1[RespondentID],'All Data'!$A$3:$CW$999,99,FALSE),"unknown")</f>
        <v>0</v>
      </c>
    </row>
    <row r="225" spans="1:60">
      <c r="A225" s="5">
        <v>18019103288</v>
      </c>
      <c r="B225" s="5" t="s">
        <v>49</v>
      </c>
      <c r="C225" s="5"/>
      <c r="D225" s="5"/>
      <c r="E225" s="5"/>
      <c r="F225" s="5" t="s">
        <v>52</v>
      </c>
      <c r="G225" s="5"/>
      <c r="H225" s="5"/>
      <c r="I225" s="5" t="s">
        <v>55</v>
      </c>
      <c r="J225" s="5"/>
      <c r="K225" s="5"/>
      <c r="L225" s="5"/>
      <c r="M225" s="5"/>
      <c r="N225" s="5"/>
      <c r="O225" s="5"/>
      <c r="P225" s="5"/>
      <c r="Q225" s="5"/>
      <c r="R225" s="5"/>
      <c r="S225" s="5"/>
      <c r="T225" s="37"/>
      <c r="U225" s="37">
        <f t="shared" si="69"/>
        <v>3</v>
      </c>
      <c r="V225" s="37">
        <f t="shared" si="70"/>
        <v>1</v>
      </c>
      <c r="W225" s="37"/>
      <c r="X225" s="37">
        <f t="shared" si="71"/>
        <v>1</v>
      </c>
      <c r="Y225" s="37">
        <f t="shared" si="72"/>
        <v>0</v>
      </c>
      <c r="Z225" s="37">
        <f t="shared" si="73"/>
        <v>0</v>
      </c>
      <c r="AA225" s="37">
        <f t="shared" si="74"/>
        <v>0</v>
      </c>
      <c r="AB225" s="37">
        <f t="shared" si="75"/>
        <v>1</v>
      </c>
      <c r="AC225" s="37">
        <f t="shared" si="76"/>
        <v>0</v>
      </c>
      <c r="AD225" s="37">
        <f t="shared" si="77"/>
        <v>0</v>
      </c>
      <c r="AE225" s="37">
        <f t="shared" si="78"/>
        <v>1</v>
      </c>
      <c r="AF225" s="37">
        <f t="shared" si="79"/>
        <v>0</v>
      </c>
      <c r="AG225" s="37">
        <f t="shared" si="80"/>
        <v>0</v>
      </c>
      <c r="AH225" s="37">
        <f t="shared" si="81"/>
        <v>0</v>
      </c>
      <c r="AI225" s="37">
        <f t="shared" si="82"/>
        <v>0</v>
      </c>
      <c r="AJ225" s="37">
        <f t="shared" si="83"/>
        <v>0</v>
      </c>
      <c r="AK225" s="37">
        <f t="shared" si="84"/>
        <v>0</v>
      </c>
      <c r="AL225" s="37">
        <f t="shared" si="85"/>
        <v>0</v>
      </c>
      <c r="AM225" s="37">
        <f t="shared" si="86"/>
        <v>0</v>
      </c>
      <c r="AN225" s="37">
        <f t="shared" si="87"/>
        <v>0</v>
      </c>
      <c r="AO225" s="37">
        <f t="shared" si="88"/>
        <v>0</v>
      </c>
      <c r="AP225" s="37"/>
      <c r="AQ225" s="37"/>
      <c r="AR225" s="37">
        <f t="shared" si="89"/>
        <v>3</v>
      </c>
      <c r="AS225" s="37">
        <f t="shared" si="90"/>
        <v>3</v>
      </c>
      <c r="AT225" s="37" t="str">
        <f t="shared" si="91"/>
        <v>Correct</v>
      </c>
      <c r="AU225" s="37"/>
      <c r="AV225" s="120" t="str">
        <f>IFERROR(VLOOKUP(Table1[RespondentID],'All Data'!$A$3:$CO$999,87,FALSE),"unknown")</f>
        <v>Man</v>
      </c>
      <c r="AW225" s="120">
        <f>IFERROR(VLOOKUP(Table1[RespondentID],'All Data'!$A$3:$CO$999,88,FALSE),"unknown")</f>
        <v>42</v>
      </c>
      <c r="AX225" s="120" t="str">
        <f>IFERROR(VLOOKUP(Table1[RespondentID],'All Data'!$A$3:$CO$999,89,FALSE),"unknown")</f>
        <v>Suffolk</v>
      </c>
      <c r="AY225" s="120" t="str">
        <f>IFERROR(VLOOKUP(Table1[RespondentID],'All Data'!$A$3:$CO$999,90,FALSE),"unknown")</f>
        <v>Smithtown, 11787</v>
      </c>
      <c r="AZ225" s="120" t="str">
        <f>IFERROR(VLOOKUP(Table1[RespondentID],'All Data'!$A$3:$CO$999,91,FALSE),"unknown")</f>
        <v>Asian</v>
      </c>
      <c r="BA225" s="120" t="str">
        <f>IFERROR(VLOOKUP(Table1[RespondentID],'All Data'!$A$3:$CO$999,92,FALSE),"unknown")</f>
        <v>Not Hispanic or Latino</v>
      </c>
      <c r="BB225" s="120" t="str">
        <f>IFERROR(VLOOKUP(Table1[RespondentID],'All Data'!$A$3:$CO$999,93,FALSE),"unknown")</f>
        <v>English, Spanish</v>
      </c>
      <c r="BC225" s="120" t="str">
        <f>IFERROR(VLOOKUP(Table1[RespondentID],'All Data'!$A$3:$CW$999,94,FALSE),"unknown")</f>
        <v>$35,000 to $49,999</v>
      </c>
      <c r="BD225" s="120" t="str">
        <f>IFERROR(VLOOKUP(Table1[RespondentID],'All Data'!$A$3:$CW$999,95,FALSE),"unknown")</f>
        <v>College graduate</v>
      </c>
      <c r="BE225" s="120" t="str">
        <f>IFERROR(VLOOKUP(Table1[RespondentID],'All Data'!$A$3:$CW$999,96,FALSE),"unknown")</f>
        <v>Employed for wages</v>
      </c>
      <c r="BF225" s="120" t="str">
        <f>IFERROR(VLOOKUP(Table1[RespondentID],'All Data'!$A$3:$CW$999,97,FALSE),"unknown")</f>
        <v>Yes</v>
      </c>
      <c r="BG225" s="120">
        <f>IFERROR(VLOOKUP(Table1[RespondentID],'All Data'!$A$3:$CW$999,98,FALSE),"unknown")</f>
        <v>0</v>
      </c>
      <c r="BH225" s="120">
        <f>IFERROR(VLOOKUP(Table1[RespondentID],'All Data'!$A$3:$CW$999,99,FALSE),"unknown")</f>
        <v>0</v>
      </c>
    </row>
    <row r="226" spans="1:60">
      <c r="A226" s="5">
        <v>18019103154</v>
      </c>
      <c r="B226" s="5"/>
      <c r="C226" s="5" t="s">
        <v>50</v>
      </c>
      <c r="D226" s="5"/>
      <c r="E226" s="5"/>
      <c r="F226" s="5"/>
      <c r="G226" s="5"/>
      <c r="H226" s="5"/>
      <c r="I226" s="5"/>
      <c r="J226" s="5" t="s">
        <v>56</v>
      </c>
      <c r="K226" s="5"/>
      <c r="L226" s="5"/>
      <c r="M226" s="5" t="s">
        <v>59</v>
      </c>
      <c r="N226" s="5"/>
      <c r="O226" s="5"/>
      <c r="P226" s="5"/>
      <c r="Q226" s="5"/>
      <c r="R226" s="5"/>
      <c r="S226" s="5"/>
      <c r="T226" s="37"/>
      <c r="U226" s="37">
        <f t="shared" si="69"/>
        <v>3</v>
      </c>
      <c r="V226" s="37">
        <f t="shared" si="70"/>
        <v>1</v>
      </c>
      <c r="W226" s="37"/>
      <c r="X226" s="37">
        <f t="shared" si="71"/>
        <v>0</v>
      </c>
      <c r="Y226" s="37">
        <f t="shared" si="72"/>
        <v>1</v>
      </c>
      <c r="Z226" s="37">
        <f t="shared" si="73"/>
        <v>0</v>
      </c>
      <c r="AA226" s="37">
        <f t="shared" si="74"/>
        <v>0</v>
      </c>
      <c r="AB226" s="37">
        <f t="shared" si="75"/>
        <v>0</v>
      </c>
      <c r="AC226" s="37">
        <f t="shared" si="76"/>
        <v>0</v>
      </c>
      <c r="AD226" s="37">
        <f t="shared" si="77"/>
        <v>0</v>
      </c>
      <c r="AE226" s="37">
        <f t="shared" si="78"/>
        <v>0</v>
      </c>
      <c r="AF226" s="37">
        <f t="shared" si="79"/>
        <v>1</v>
      </c>
      <c r="AG226" s="37">
        <f t="shared" si="80"/>
        <v>0</v>
      </c>
      <c r="AH226" s="37">
        <f t="shared" si="81"/>
        <v>0</v>
      </c>
      <c r="AI226" s="37">
        <f t="shared" si="82"/>
        <v>1</v>
      </c>
      <c r="AJ226" s="37">
        <f t="shared" si="83"/>
        <v>0</v>
      </c>
      <c r="AK226" s="37">
        <f t="shared" si="84"/>
        <v>0</v>
      </c>
      <c r="AL226" s="37">
        <f t="shared" si="85"/>
        <v>0</v>
      </c>
      <c r="AM226" s="37">
        <f t="shared" si="86"/>
        <v>0</v>
      </c>
      <c r="AN226" s="37">
        <f t="shared" si="87"/>
        <v>0</v>
      </c>
      <c r="AO226" s="37">
        <f t="shared" si="88"/>
        <v>0</v>
      </c>
      <c r="AP226" s="37"/>
      <c r="AQ226" s="37"/>
      <c r="AR226" s="37">
        <f t="shared" si="89"/>
        <v>3</v>
      </c>
      <c r="AS226" s="37">
        <f t="shared" si="90"/>
        <v>3</v>
      </c>
      <c r="AT226" s="37" t="str">
        <f t="shared" si="91"/>
        <v>Correct</v>
      </c>
      <c r="AU226" s="37"/>
      <c r="AV226" s="120" t="str">
        <f>IFERROR(VLOOKUP(Table1[RespondentID],'All Data'!$A$3:$CO$999,87,FALSE),"unknown")</f>
        <v>Woman</v>
      </c>
      <c r="AW226" s="120">
        <f>IFERROR(VLOOKUP(Table1[RespondentID],'All Data'!$A$3:$CO$999,88,FALSE),"unknown")</f>
        <v>48</v>
      </c>
      <c r="AX226" s="120" t="str">
        <f>IFERROR(VLOOKUP(Table1[RespondentID],'All Data'!$A$3:$CO$999,89,FALSE),"unknown")</f>
        <v>Suffolk</v>
      </c>
      <c r="AY226" s="120" t="str">
        <f>IFERROR(VLOOKUP(Table1[RespondentID],'All Data'!$A$3:$CO$999,90,FALSE),"unknown")</f>
        <v>Commack, 11725</v>
      </c>
      <c r="AZ226" s="120" t="str">
        <f>IFERROR(VLOOKUP(Table1[RespondentID],'All Data'!$A$3:$CO$999,91,FALSE),"unknown")</f>
        <v>White</v>
      </c>
      <c r="BA226" s="120" t="str">
        <f>IFERROR(VLOOKUP(Table1[RespondentID],'All Data'!$A$3:$CO$999,92,FALSE),"unknown")</f>
        <v>Hispanic or Latino</v>
      </c>
      <c r="BB226" s="120" t="str">
        <f>IFERROR(VLOOKUP(Table1[RespondentID],'All Data'!$A$3:$CO$999,93,FALSE),"unknown")</f>
        <v>English</v>
      </c>
      <c r="BC226" s="120" t="str">
        <f>IFERROR(VLOOKUP(Table1[RespondentID],'All Data'!$A$3:$CW$999,94,FALSE),"unknown")</f>
        <v>$20,000 to $34,999</v>
      </c>
      <c r="BD226" s="120" t="str">
        <f>IFERROR(VLOOKUP(Table1[RespondentID],'All Data'!$A$3:$CW$999,95,FALSE),"unknown")</f>
        <v>Graduate school</v>
      </c>
      <c r="BE226" s="120" t="str">
        <f>IFERROR(VLOOKUP(Table1[RespondentID],'All Data'!$A$3:$CW$999,96,FALSE),"unknown")</f>
        <v>Employed for wages</v>
      </c>
      <c r="BF226" s="120" t="str">
        <f>IFERROR(VLOOKUP(Table1[RespondentID],'All Data'!$A$3:$CW$999,97,FALSE),"unknown")</f>
        <v>Yes</v>
      </c>
      <c r="BG226" s="120">
        <f>IFERROR(VLOOKUP(Table1[RespondentID],'All Data'!$A$3:$CW$999,98,FALSE),"unknown")</f>
        <v>0</v>
      </c>
      <c r="BH226" s="120">
        <f>IFERROR(VLOOKUP(Table1[RespondentID],'All Data'!$A$3:$CW$999,99,FALSE),"unknown")</f>
        <v>0</v>
      </c>
    </row>
    <row r="227" spans="1:60">
      <c r="A227" s="5">
        <v>18019102990</v>
      </c>
      <c r="B227" s="5"/>
      <c r="C227" s="5"/>
      <c r="D227" s="5" t="s">
        <v>51</v>
      </c>
      <c r="E227" s="5"/>
      <c r="F227" s="5"/>
      <c r="G227" s="5"/>
      <c r="H227" s="5"/>
      <c r="I227" s="5"/>
      <c r="J227" s="5"/>
      <c r="K227" s="5"/>
      <c r="L227" s="5" t="s">
        <v>58</v>
      </c>
      <c r="M227" s="5"/>
      <c r="N227" s="5"/>
      <c r="O227" s="5"/>
      <c r="P227" s="5"/>
      <c r="Q227" s="5" t="s">
        <v>61</v>
      </c>
      <c r="R227" s="5"/>
      <c r="S227" s="5"/>
      <c r="T227" s="37"/>
      <c r="U227" s="37">
        <f t="shared" si="69"/>
        <v>3</v>
      </c>
      <c r="V227" s="37">
        <f t="shared" si="70"/>
        <v>1</v>
      </c>
      <c r="W227" s="37"/>
      <c r="X227" s="37">
        <f t="shared" si="71"/>
        <v>0</v>
      </c>
      <c r="Y227" s="37">
        <f t="shared" si="72"/>
        <v>0</v>
      </c>
      <c r="Z227" s="37">
        <f t="shared" si="73"/>
        <v>1</v>
      </c>
      <c r="AA227" s="37">
        <f t="shared" si="74"/>
        <v>0</v>
      </c>
      <c r="AB227" s="37">
        <f t="shared" si="75"/>
        <v>0</v>
      </c>
      <c r="AC227" s="37">
        <f t="shared" si="76"/>
        <v>0</v>
      </c>
      <c r="AD227" s="37">
        <f t="shared" si="77"/>
        <v>0</v>
      </c>
      <c r="AE227" s="37">
        <f t="shared" si="78"/>
        <v>0</v>
      </c>
      <c r="AF227" s="37">
        <f t="shared" si="79"/>
        <v>0</v>
      </c>
      <c r="AG227" s="37">
        <f t="shared" si="80"/>
        <v>0</v>
      </c>
      <c r="AH227" s="37">
        <f t="shared" si="81"/>
        <v>1</v>
      </c>
      <c r="AI227" s="37">
        <f t="shared" si="82"/>
        <v>0</v>
      </c>
      <c r="AJ227" s="37">
        <f t="shared" si="83"/>
        <v>0</v>
      </c>
      <c r="AK227" s="37">
        <f t="shared" si="84"/>
        <v>0</v>
      </c>
      <c r="AL227" s="37">
        <f t="shared" si="85"/>
        <v>0</v>
      </c>
      <c r="AM227" s="37">
        <f t="shared" si="86"/>
        <v>1</v>
      </c>
      <c r="AN227" s="37">
        <f t="shared" si="87"/>
        <v>0</v>
      </c>
      <c r="AO227" s="37">
        <f t="shared" si="88"/>
        <v>0</v>
      </c>
      <c r="AP227" s="37"/>
      <c r="AQ227" s="37"/>
      <c r="AR227" s="37">
        <f t="shared" si="89"/>
        <v>3</v>
      </c>
      <c r="AS227" s="37">
        <f t="shared" si="90"/>
        <v>3</v>
      </c>
      <c r="AT227" s="37" t="str">
        <f t="shared" si="91"/>
        <v>Correct</v>
      </c>
      <c r="AU227" s="37"/>
      <c r="AV227" s="120" t="str">
        <f>IFERROR(VLOOKUP(Table1[RespondentID],'All Data'!$A$3:$CO$999,87,FALSE),"unknown")</f>
        <v>Man</v>
      </c>
      <c r="AW227" s="120">
        <f>IFERROR(VLOOKUP(Table1[RespondentID],'All Data'!$A$3:$CO$999,88,FALSE),"unknown")</f>
        <v>24</v>
      </c>
      <c r="AX227" s="120" t="str">
        <f>IFERROR(VLOOKUP(Table1[RespondentID],'All Data'!$A$3:$CO$999,89,FALSE),"unknown")</f>
        <v>Suffolk</v>
      </c>
      <c r="AY227" s="120" t="str">
        <f>IFERROR(VLOOKUP(Table1[RespondentID],'All Data'!$A$3:$CO$999,90,FALSE),"unknown")</f>
        <v>Commack, 11725</v>
      </c>
      <c r="AZ227" s="120" t="str">
        <f>IFERROR(VLOOKUP(Table1[RespondentID],'All Data'!$A$3:$CO$999,91,FALSE),"unknown")</f>
        <v>Black or African American</v>
      </c>
      <c r="BA227" s="120" t="str">
        <f>IFERROR(VLOOKUP(Table1[RespondentID],'All Data'!$A$3:$CO$999,92,FALSE),"unknown")</f>
        <v>Hispanic or Latino</v>
      </c>
      <c r="BB227" s="120" t="str">
        <f>IFERROR(VLOOKUP(Table1[RespondentID],'All Data'!$A$3:$CO$999,93,FALSE),"unknown")</f>
        <v>Polish</v>
      </c>
      <c r="BC227" s="120" t="str">
        <f>IFERROR(VLOOKUP(Table1[RespondentID],'All Data'!$A$3:$CW$999,94,FALSE),"unknown")</f>
        <v>$35,000 to $49,999</v>
      </c>
      <c r="BD227" s="120" t="str">
        <f>IFERROR(VLOOKUP(Table1[RespondentID],'All Data'!$A$3:$CW$999,95,FALSE),"unknown")</f>
        <v>Some college</v>
      </c>
      <c r="BE227" s="120" t="str">
        <f>IFERROR(VLOOKUP(Table1[RespondentID],'All Data'!$A$3:$CW$999,96,FALSE),"unknown")</f>
        <v>Employed for wages</v>
      </c>
      <c r="BF227" s="120" t="str">
        <f>IFERROR(VLOOKUP(Table1[RespondentID],'All Data'!$A$3:$CW$999,97,FALSE),"unknown")</f>
        <v>Yes</v>
      </c>
      <c r="BG227" s="120">
        <f>IFERROR(VLOOKUP(Table1[RespondentID],'All Data'!$A$3:$CW$999,98,FALSE),"unknown")</f>
        <v>0</v>
      </c>
      <c r="BH227" s="120">
        <f>IFERROR(VLOOKUP(Table1[RespondentID],'All Data'!$A$3:$CW$999,99,FALSE),"unknown")</f>
        <v>0</v>
      </c>
    </row>
    <row r="228" spans="1:60">
      <c r="A228" s="5">
        <v>18019102832</v>
      </c>
      <c r="B228" s="5"/>
      <c r="C228" s="5"/>
      <c r="D228" s="5"/>
      <c r="E228" s="5"/>
      <c r="F228" s="5"/>
      <c r="G228" s="5"/>
      <c r="H228" s="5" t="s">
        <v>54</v>
      </c>
      <c r="I228" s="5" t="s">
        <v>55</v>
      </c>
      <c r="J228" s="5"/>
      <c r="K228" s="5"/>
      <c r="L228" s="5"/>
      <c r="M228" s="5"/>
      <c r="N228" s="5"/>
      <c r="O228" s="5"/>
      <c r="P228" s="5"/>
      <c r="Q228" s="5"/>
      <c r="R228" s="5"/>
      <c r="S228" s="5" t="s">
        <v>63</v>
      </c>
      <c r="T228" s="37"/>
      <c r="U228" s="37">
        <f t="shared" si="69"/>
        <v>3</v>
      </c>
      <c r="V228" s="37">
        <f t="shared" si="70"/>
        <v>1</v>
      </c>
      <c r="W228" s="37"/>
      <c r="X228" s="37">
        <f t="shared" si="71"/>
        <v>0</v>
      </c>
      <c r="Y228" s="37">
        <f t="shared" si="72"/>
        <v>0</v>
      </c>
      <c r="Z228" s="37">
        <f t="shared" si="73"/>
        <v>0</v>
      </c>
      <c r="AA228" s="37">
        <f t="shared" si="74"/>
        <v>0</v>
      </c>
      <c r="AB228" s="37">
        <f t="shared" si="75"/>
        <v>0</v>
      </c>
      <c r="AC228" s="37">
        <f t="shared" si="76"/>
        <v>0</v>
      </c>
      <c r="AD228" s="37">
        <f t="shared" si="77"/>
        <v>1</v>
      </c>
      <c r="AE228" s="37">
        <f t="shared" si="78"/>
        <v>1</v>
      </c>
      <c r="AF228" s="37">
        <f t="shared" si="79"/>
        <v>0</v>
      </c>
      <c r="AG228" s="37">
        <f t="shared" si="80"/>
        <v>0</v>
      </c>
      <c r="AH228" s="37">
        <f t="shared" si="81"/>
        <v>0</v>
      </c>
      <c r="AI228" s="37">
        <f t="shared" si="82"/>
        <v>0</v>
      </c>
      <c r="AJ228" s="37">
        <f t="shared" si="83"/>
        <v>0</v>
      </c>
      <c r="AK228" s="37">
        <f t="shared" si="84"/>
        <v>0</v>
      </c>
      <c r="AL228" s="37">
        <f t="shared" si="85"/>
        <v>0</v>
      </c>
      <c r="AM228" s="37">
        <f t="shared" si="86"/>
        <v>0</v>
      </c>
      <c r="AN228" s="37">
        <f t="shared" si="87"/>
        <v>0</v>
      </c>
      <c r="AO228" s="37">
        <f t="shared" si="88"/>
        <v>1</v>
      </c>
      <c r="AP228" s="37"/>
      <c r="AQ228" s="37"/>
      <c r="AR228" s="37">
        <f t="shared" si="89"/>
        <v>3</v>
      </c>
      <c r="AS228" s="37">
        <f t="shared" si="90"/>
        <v>3</v>
      </c>
      <c r="AT228" s="37" t="str">
        <f t="shared" si="91"/>
        <v>Correct</v>
      </c>
      <c r="AU228" s="37"/>
      <c r="AV228" s="120" t="str">
        <f>IFERROR(VLOOKUP(Table1[RespondentID],'All Data'!$A$3:$CO$999,87,FALSE),"unknown")</f>
        <v>Man</v>
      </c>
      <c r="AW228" s="120">
        <f>IFERROR(VLOOKUP(Table1[RespondentID],'All Data'!$A$3:$CO$999,88,FALSE),"unknown")</f>
        <v>19</v>
      </c>
      <c r="AX228" s="120" t="str">
        <f>IFERROR(VLOOKUP(Table1[RespondentID],'All Data'!$A$3:$CO$999,89,FALSE),"unknown")</f>
        <v>Suffolk</v>
      </c>
      <c r="AY228" s="120" t="str">
        <f>IFERROR(VLOOKUP(Table1[RespondentID],'All Data'!$A$3:$CO$999,90,FALSE),"unknown")</f>
        <v>Commack, 11725</v>
      </c>
      <c r="AZ228" s="120" t="str">
        <f>IFERROR(VLOOKUP(Table1[RespondentID],'All Data'!$A$3:$CO$999,91,FALSE),"unknown")</f>
        <v>American Indian and Alaska Native</v>
      </c>
      <c r="BA228" s="120" t="str">
        <f>IFERROR(VLOOKUP(Table1[RespondentID],'All Data'!$A$3:$CO$999,92,FALSE),"unknown")</f>
        <v>Hispanic or Latino</v>
      </c>
      <c r="BB228" s="120" t="str">
        <f>IFERROR(VLOOKUP(Table1[RespondentID],'All Data'!$A$3:$CO$999,93,FALSE),"unknown")</f>
        <v>English, Chinese</v>
      </c>
      <c r="BC228" s="120" t="str">
        <f>IFERROR(VLOOKUP(Table1[RespondentID],'All Data'!$A$3:$CW$999,94,FALSE),"unknown")</f>
        <v>$20,000 to $34,999</v>
      </c>
      <c r="BD228" s="120" t="str">
        <f>IFERROR(VLOOKUP(Table1[RespondentID],'All Data'!$A$3:$CW$999,95,FALSE),"unknown")</f>
        <v>High school graduate</v>
      </c>
      <c r="BE228" s="120" t="str">
        <f>IFERROR(VLOOKUP(Table1[RespondentID],'All Data'!$A$3:$CW$999,96,FALSE),"unknown")</f>
        <v>Student</v>
      </c>
      <c r="BF228" s="120" t="str">
        <f>IFERROR(VLOOKUP(Table1[RespondentID],'All Data'!$A$3:$CW$999,97,FALSE),"unknown")</f>
        <v>Yes</v>
      </c>
      <c r="BG228" s="120">
        <f>IFERROR(VLOOKUP(Table1[RespondentID],'All Data'!$A$3:$CW$999,98,FALSE),"unknown")</f>
        <v>0</v>
      </c>
      <c r="BH228" s="120">
        <f>IFERROR(VLOOKUP(Table1[RespondentID],'All Data'!$A$3:$CW$999,99,FALSE),"unknown")</f>
        <v>0</v>
      </c>
    </row>
    <row r="229" spans="1:60">
      <c r="A229" s="5">
        <v>18019102674</v>
      </c>
      <c r="B229" s="5"/>
      <c r="C229" s="5"/>
      <c r="D229" s="5"/>
      <c r="E229" s="5"/>
      <c r="F229" s="5" t="s">
        <v>52</v>
      </c>
      <c r="G229" s="5"/>
      <c r="H229" s="5"/>
      <c r="I229" s="5"/>
      <c r="J229" s="5"/>
      <c r="K229" s="5"/>
      <c r="L229" s="5"/>
      <c r="M229" s="5"/>
      <c r="N229" s="5" t="s">
        <v>24</v>
      </c>
      <c r="O229" s="5"/>
      <c r="P229" s="5"/>
      <c r="Q229" s="5"/>
      <c r="R229" s="5" t="s">
        <v>62</v>
      </c>
      <c r="S229" s="5"/>
      <c r="T229" s="37"/>
      <c r="U229" s="37">
        <f t="shared" si="69"/>
        <v>3</v>
      </c>
      <c r="V229" s="37">
        <f t="shared" si="70"/>
        <v>1</v>
      </c>
      <c r="W229" s="37"/>
      <c r="X229" s="37">
        <f t="shared" si="71"/>
        <v>0</v>
      </c>
      <c r="Y229" s="37">
        <f t="shared" si="72"/>
        <v>0</v>
      </c>
      <c r="Z229" s="37">
        <f t="shared" si="73"/>
        <v>0</v>
      </c>
      <c r="AA229" s="37">
        <f t="shared" si="74"/>
        <v>0</v>
      </c>
      <c r="AB229" s="37">
        <f t="shared" si="75"/>
        <v>1</v>
      </c>
      <c r="AC229" s="37">
        <f t="shared" si="76"/>
        <v>0</v>
      </c>
      <c r="AD229" s="37">
        <f t="shared" si="77"/>
        <v>0</v>
      </c>
      <c r="AE229" s="37">
        <f t="shared" si="78"/>
        <v>0</v>
      </c>
      <c r="AF229" s="37">
        <f t="shared" si="79"/>
        <v>0</v>
      </c>
      <c r="AG229" s="37">
        <f t="shared" si="80"/>
        <v>0</v>
      </c>
      <c r="AH229" s="37">
        <f t="shared" si="81"/>
        <v>0</v>
      </c>
      <c r="AI229" s="37">
        <f t="shared" si="82"/>
        <v>0</v>
      </c>
      <c r="AJ229" s="37">
        <f t="shared" si="83"/>
        <v>1</v>
      </c>
      <c r="AK229" s="37">
        <f t="shared" si="84"/>
        <v>0</v>
      </c>
      <c r="AL229" s="37">
        <f t="shared" si="85"/>
        <v>0</v>
      </c>
      <c r="AM229" s="37">
        <f t="shared" si="86"/>
        <v>0</v>
      </c>
      <c r="AN229" s="37">
        <f t="shared" si="87"/>
        <v>1</v>
      </c>
      <c r="AO229" s="37">
        <f t="shared" si="88"/>
        <v>0</v>
      </c>
      <c r="AP229" s="37"/>
      <c r="AQ229" s="37"/>
      <c r="AR229" s="37">
        <f t="shared" si="89"/>
        <v>3</v>
      </c>
      <c r="AS229" s="37">
        <f t="shared" si="90"/>
        <v>3</v>
      </c>
      <c r="AT229" s="37" t="str">
        <f t="shared" si="91"/>
        <v>Correct</v>
      </c>
      <c r="AU229" s="37"/>
      <c r="AV229" s="120" t="str">
        <f>IFERROR(VLOOKUP(Table1[RespondentID],'All Data'!$A$3:$CO$999,87,FALSE),"unknown")</f>
        <v>Woman</v>
      </c>
      <c r="AW229" s="120">
        <f>IFERROR(VLOOKUP(Table1[RespondentID],'All Data'!$A$3:$CO$999,88,FALSE),"unknown")</f>
        <v>72</v>
      </c>
      <c r="AX229" s="120" t="str">
        <f>IFERROR(VLOOKUP(Table1[RespondentID],'All Data'!$A$3:$CO$999,89,FALSE),"unknown")</f>
        <v>Suffolk</v>
      </c>
      <c r="AY229" s="120" t="str">
        <f>IFERROR(VLOOKUP(Table1[RespondentID],'All Data'!$A$3:$CO$999,90,FALSE),"unknown")</f>
        <v>Commack, 11725</v>
      </c>
      <c r="AZ229" s="120" t="str">
        <f>IFERROR(VLOOKUP(Table1[RespondentID],'All Data'!$A$3:$CO$999,91,FALSE),"unknown")</f>
        <v>White</v>
      </c>
      <c r="BA229" s="120" t="str">
        <f>IFERROR(VLOOKUP(Table1[RespondentID],'All Data'!$A$3:$CO$999,92,FALSE),"unknown")</f>
        <v>Hispanic or Latino</v>
      </c>
      <c r="BB229" s="120" t="str">
        <f>IFERROR(VLOOKUP(Table1[RespondentID],'All Data'!$A$3:$CO$999,93,FALSE),"unknown")</f>
        <v>English</v>
      </c>
      <c r="BC229" s="120" t="str">
        <f>IFERROR(VLOOKUP(Table1[RespondentID],'All Data'!$A$3:$CW$999,94,FALSE),"unknown")</f>
        <v>$75,000 to $125,000</v>
      </c>
      <c r="BD229" s="120" t="str">
        <f>IFERROR(VLOOKUP(Table1[RespondentID],'All Data'!$A$3:$CW$999,95,FALSE),"unknown")</f>
        <v>College graduate</v>
      </c>
      <c r="BE229" s="120" t="str">
        <f>IFERROR(VLOOKUP(Table1[RespondentID],'All Data'!$A$3:$CW$999,96,FALSE),"unknown")</f>
        <v>Retired</v>
      </c>
      <c r="BF229" s="120" t="str">
        <f>IFERROR(VLOOKUP(Table1[RespondentID],'All Data'!$A$3:$CW$999,97,FALSE),"unknown")</f>
        <v>Yes</v>
      </c>
      <c r="BG229" s="120">
        <f>IFERROR(VLOOKUP(Table1[RespondentID],'All Data'!$A$3:$CW$999,98,FALSE),"unknown")</f>
        <v>0</v>
      </c>
      <c r="BH229" s="120">
        <f>IFERROR(VLOOKUP(Table1[RespondentID],'All Data'!$A$3:$CW$999,99,FALSE),"unknown")</f>
        <v>0</v>
      </c>
    </row>
    <row r="230" spans="1:60">
      <c r="A230" s="5">
        <v>18019102453</v>
      </c>
      <c r="B230" s="5"/>
      <c r="C230" s="5"/>
      <c r="D230" s="5"/>
      <c r="E230" s="5" t="s">
        <v>17</v>
      </c>
      <c r="F230" s="5" t="s">
        <v>52</v>
      </c>
      <c r="G230" s="5"/>
      <c r="H230" s="5"/>
      <c r="I230" s="5"/>
      <c r="J230" s="5"/>
      <c r="K230" s="5"/>
      <c r="L230" s="5"/>
      <c r="M230" s="5"/>
      <c r="N230" s="5"/>
      <c r="O230" s="5" t="s">
        <v>20</v>
      </c>
      <c r="P230" s="5"/>
      <c r="Q230" s="5"/>
      <c r="R230" s="5"/>
      <c r="S230" s="5"/>
      <c r="T230" s="37"/>
      <c r="U230" s="37">
        <f t="shared" si="69"/>
        <v>3</v>
      </c>
      <c r="V230" s="37">
        <f t="shared" si="70"/>
        <v>1</v>
      </c>
      <c r="W230" s="37"/>
      <c r="X230" s="37">
        <f t="shared" si="71"/>
        <v>0</v>
      </c>
      <c r="Y230" s="37">
        <f t="shared" si="72"/>
        <v>0</v>
      </c>
      <c r="Z230" s="37">
        <f t="shared" si="73"/>
        <v>0</v>
      </c>
      <c r="AA230" s="37">
        <f t="shared" si="74"/>
        <v>1</v>
      </c>
      <c r="AB230" s="37">
        <f t="shared" si="75"/>
        <v>1</v>
      </c>
      <c r="AC230" s="37">
        <f t="shared" si="76"/>
        <v>0</v>
      </c>
      <c r="AD230" s="37">
        <f t="shared" si="77"/>
        <v>0</v>
      </c>
      <c r="AE230" s="37">
        <f t="shared" si="78"/>
        <v>0</v>
      </c>
      <c r="AF230" s="37">
        <f t="shared" si="79"/>
        <v>0</v>
      </c>
      <c r="AG230" s="37">
        <f t="shared" si="80"/>
        <v>0</v>
      </c>
      <c r="AH230" s="37">
        <f t="shared" si="81"/>
        <v>0</v>
      </c>
      <c r="AI230" s="37">
        <f t="shared" si="82"/>
        <v>0</v>
      </c>
      <c r="AJ230" s="37">
        <f t="shared" si="83"/>
        <v>0</v>
      </c>
      <c r="AK230" s="37">
        <f t="shared" si="84"/>
        <v>1</v>
      </c>
      <c r="AL230" s="37">
        <f t="shared" si="85"/>
        <v>0</v>
      </c>
      <c r="AM230" s="37">
        <f t="shared" si="86"/>
        <v>0</v>
      </c>
      <c r="AN230" s="37">
        <f t="shared" si="87"/>
        <v>0</v>
      </c>
      <c r="AO230" s="37">
        <f t="shared" si="88"/>
        <v>0</v>
      </c>
      <c r="AP230" s="37"/>
      <c r="AQ230" s="37"/>
      <c r="AR230" s="37">
        <f t="shared" si="89"/>
        <v>3</v>
      </c>
      <c r="AS230" s="37">
        <f t="shared" si="90"/>
        <v>3</v>
      </c>
      <c r="AT230" s="37" t="str">
        <f t="shared" si="91"/>
        <v>Correct</v>
      </c>
      <c r="AU230" s="37"/>
      <c r="AV230" s="120" t="str">
        <f>IFERROR(VLOOKUP(Table1[RespondentID],'All Data'!$A$3:$CO$999,87,FALSE),"unknown")</f>
        <v>Woman</v>
      </c>
      <c r="AW230" s="120">
        <f>IFERROR(VLOOKUP(Table1[RespondentID],'All Data'!$A$3:$CO$999,88,FALSE),"unknown")</f>
        <v>17</v>
      </c>
      <c r="AX230" s="120" t="str">
        <f>IFERROR(VLOOKUP(Table1[RespondentID],'All Data'!$A$3:$CO$999,89,FALSE),"unknown")</f>
        <v>Suffolk</v>
      </c>
      <c r="AY230" s="120" t="str">
        <f>IFERROR(VLOOKUP(Table1[RespondentID],'All Data'!$A$3:$CO$999,90,FALSE),"unknown")</f>
        <v>Commack, 11725</v>
      </c>
      <c r="AZ230" s="120" t="str">
        <f>IFERROR(VLOOKUP(Table1[RespondentID],'All Data'!$A$3:$CO$999,91,FALSE),"unknown")</f>
        <v>White</v>
      </c>
      <c r="BA230" s="120" t="str">
        <f>IFERROR(VLOOKUP(Table1[RespondentID],'All Data'!$A$3:$CO$999,92,FALSE),"unknown")</f>
        <v>Hispanic or Latino</v>
      </c>
      <c r="BB230" s="120" t="str">
        <f>IFERROR(VLOOKUP(Table1[RespondentID],'All Data'!$A$3:$CO$999,93,FALSE),"unknown")</f>
        <v>English, Italian</v>
      </c>
      <c r="BC230" s="120" t="str">
        <f>IFERROR(VLOOKUP(Table1[RespondentID],'All Data'!$A$3:$CW$999,94,FALSE),"unknown")</f>
        <v>$75,000 to $125,000</v>
      </c>
      <c r="BD230" s="120" t="str">
        <f>IFERROR(VLOOKUP(Table1[RespondentID],'All Data'!$A$3:$CW$999,95,FALSE),"unknown")</f>
        <v>Some high school</v>
      </c>
      <c r="BE230" s="120" t="str">
        <f>IFERROR(VLOOKUP(Table1[RespondentID],'All Data'!$A$3:$CW$999,96,FALSE),"unknown")</f>
        <v>Student</v>
      </c>
      <c r="BF230" s="120" t="str">
        <f>IFERROR(VLOOKUP(Table1[RespondentID],'All Data'!$A$3:$CW$999,97,FALSE),"unknown")</f>
        <v>Yes</v>
      </c>
      <c r="BG230" s="120">
        <f>IFERROR(VLOOKUP(Table1[RespondentID],'All Data'!$A$3:$CW$999,98,FALSE),"unknown")</f>
        <v>0</v>
      </c>
      <c r="BH230" s="120">
        <f>IFERROR(VLOOKUP(Table1[RespondentID],'All Data'!$A$3:$CW$999,99,FALSE),"unknown")</f>
        <v>0</v>
      </c>
    </row>
    <row r="231" spans="1:60">
      <c r="A231" s="5">
        <v>18019102258</v>
      </c>
      <c r="B231" s="5"/>
      <c r="C231" s="5"/>
      <c r="D231" s="5" t="s">
        <v>51</v>
      </c>
      <c r="E231" s="5"/>
      <c r="F231" s="5"/>
      <c r="G231" s="5"/>
      <c r="H231" s="5"/>
      <c r="I231" s="5" t="s">
        <v>55</v>
      </c>
      <c r="J231" s="5"/>
      <c r="K231" s="5"/>
      <c r="L231" s="5"/>
      <c r="M231" s="5"/>
      <c r="N231" s="5"/>
      <c r="O231" s="5" t="s">
        <v>20</v>
      </c>
      <c r="P231" s="5"/>
      <c r="Q231" s="5"/>
      <c r="R231" s="5"/>
      <c r="S231" s="5"/>
      <c r="T231" s="37"/>
      <c r="U231" s="37">
        <f t="shared" si="69"/>
        <v>3</v>
      </c>
      <c r="V231" s="37">
        <f t="shared" si="70"/>
        <v>1</v>
      </c>
      <c r="W231" s="37"/>
      <c r="X231" s="37">
        <f t="shared" si="71"/>
        <v>0</v>
      </c>
      <c r="Y231" s="37">
        <f t="shared" si="72"/>
        <v>0</v>
      </c>
      <c r="Z231" s="37">
        <f t="shared" si="73"/>
        <v>1</v>
      </c>
      <c r="AA231" s="37">
        <f t="shared" si="74"/>
        <v>0</v>
      </c>
      <c r="AB231" s="37">
        <f t="shared" si="75"/>
        <v>0</v>
      </c>
      <c r="AC231" s="37">
        <f t="shared" si="76"/>
        <v>0</v>
      </c>
      <c r="AD231" s="37">
        <f t="shared" si="77"/>
        <v>0</v>
      </c>
      <c r="AE231" s="37">
        <f t="shared" si="78"/>
        <v>1</v>
      </c>
      <c r="AF231" s="37">
        <f t="shared" si="79"/>
        <v>0</v>
      </c>
      <c r="AG231" s="37">
        <f t="shared" si="80"/>
        <v>0</v>
      </c>
      <c r="AH231" s="37">
        <f t="shared" si="81"/>
        <v>0</v>
      </c>
      <c r="AI231" s="37">
        <f t="shared" si="82"/>
        <v>0</v>
      </c>
      <c r="AJ231" s="37">
        <f t="shared" si="83"/>
        <v>0</v>
      </c>
      <c r="AK231" s="37">
        <f t="shared" si="84"/>
        <v>1</v>
      </c>
      <c r="AL231" s="37">
        <f t="shared" si="85"/>
        <v>0</v>
      </c>
      <c r="AM231" s="37">
        <f t="shared" si="86"/>
        <v>0</v>
      </c>
      <c r="AN231" s="37">
        <f t="shared" si="87"/>
        <v>0</v>
      </c>
      <c r="AO231" s="37">
        <f t="shared" si="88"/>
        <v>0</v>
      </c>
      <c r="AP231" s="37"/>
      <c r="AQ231" s="37"/>
      <c r="AR231" s="37">
        <f t="shared" si="89"/>
        <v>3</v>
      </c>
      <c r="AS231" s="37">
        <f t="shared" si="90"/>
        <v>3</v>
      </c>
      <c r="AT231" s="37" t="str">
        <f t="shared" si="91"/>
        <v>Correct</v>
      </c>
      <c r="AU231" s="37"/>
      <c r="AV231" s="120" t="str">
        <f>IFERROR(VLOOKUP(Table1[RespondentID],'All Data'!$A$3:$CO$999,87,FALSE),"unknown")</f>
        <v>Woman</v>
      </c>
      <c r="AW231" s="120">
        <f>IFERROR(VLOOKUP(Table1[RespondentID],'All Data'!$A$3:$CO$999,88,FALSE),"unknown")</f>
        <v>84</v>
      </c>
      <c r="AX231" s="120" t="str">
        <f>IFERROR(VLOOKUP(Table1[RespondentID],'All Data'!$A$3:$CO$999,89,FALSE),"unknown")</f>
        <v>Suffolk</v>
      </c>
      <c r="AY231" s="120" t="str">
        <f>IFERROR(VLOOKUP(Table1[RespondentID],'All Data'!$A$3:$CO$999,90,FALSE),"unknown")</f>
        <v>Smithtown, 11787</v>
      </c>
      <c r="AZ231" s="120" t="str">
        <f>IFERROR(VLOOKUP(Table1[RespondentID],'All Data'!$A$3:$CO$999,91,FALSE),"unknown")</f>
        <v>Asian</v>
      </c>
      <c r="BA231" s="120" t="str">
        <f>IFERROR(VLOOKUP(Table1[RespondentID],'All Data'!$A$3:$CO$999,92,FALSE),"unknown")</f>
        <v>Not Hispanic or Latino</v>
      </c>
      <c r="BB231" s="120" t="str">
        <f>IFERROR(VLOOKUP(Table1[RespondentID],'All Data'!$A$3:$CO$999,93,FALSE),"unknown")</f>
        <v>English, Spanish</v>
      </c>
      <c r="BC231" s="120" t="str">
        <f>IFERROR(VLOOKUP(Table1[RespondentID],'All Data'!$A$3:$CW$999,94,FALSE),"unknown")</f>
        <v>$75,000 to $125,000</v>
      </c>
      <c r="BD231" s="120" t="str">
        <f>IFERROR(VLOOKUP(Table1[RespondentID],'All Data'!$A$3:$CW$999,95,FALSE),"unknown")</f>
        <v>College graduate</v>
      </c>
      <c r="BE231" s="120" t="str">
        <f>IFERROR(VLOOKUP(Table1[RespondentID],'All Data'!$A$3:$CW$999,96,FALSE),"unknown")</f>
        <v>Retired</v>
      </c>
      <c r="BF231" s="120" t="str">
        <f>IFERROR(VLOOKUP(Table1[RespondentID],'All Data'!$A$3:$CW$999,97,FALSE),"unknown")</f>
        <v>Yes</v>
      </c>
      <c r="BG231" s="120">
        <f>IFERROR(VLOOKUP(Table1[RespondentID],'All Data'!$A$3:$CW$999,98,FALSE),"unknown")</f>
        <v>0</v>
      </c>
      <c r="BH231" s="120">
        <f>IFERROR(VLOOKUP(Table1[RespondentID],'All Data'!$A$3:$CW$999,99,FALSE),"unknown")</f>
        <v>0</v>
      </c>
    </row>
    <row r="232" spans="1:60">
      <c r="A232" s="5">
        <v>18019102072</v>
      </c>
      <c r="B232" s="5"/>
      <c r="C232" s="5" t="s">
        <v>50</v>
      </c>
      <c r="D232" s="5" t="s">
        <v>51</v>
      </c>
      <c r="E232" s="5"/>
      <c r="F232" s="5"/>
      <c r="G232" s="5"/>
      <c r="H232" s="5"/>
      <c r="I232" s="5"/>
      <c r="J232" s="5" t="s">
        <v>56</v>
      </c>
      <c r="K232" s="5"/>
      <c r="L232" s="5"/>
      <c r="M232" s="5"/>
      <c r="N232" s="5"/>
      <c r="O232" s="5"/>
      <c r="P232" s="5"/>
      <c r="Q232" s="5"/>
      <c r="R232" s="5"/>
      <c r="S232" s="5"/>
      <c r="T232" s="37"/>
      <c r="U232" s="37">
        <f t="shared" si="69"/>
        <v>3</v>
      </c>
      <c r="V232" s="37">
        <f t="shared" si="70"/>
        <v>1</v>
      </c>
      <c r="W232" s="37"/>
      <c r="X232" s="37">
        <f t="shared" si="71"/>
        <v>0</v>
      </c>
      <c r="Y232" s="37">
        <f t="shared" si="72"/>
        <v>1</v>
      </c>
      <c r="Z232" s="37">
        <f t="shared" si="73"/>
        <v>1</v>
      </c>
      <c r="AA232" s="37">
        <f t="shared" si="74"/>
        <v>0</v>
      </c>
      <c r="AB232" s="37">
        <f t="shared" si="75"/>
        <v>0</v>
      </c>
      <c r="AC232" s="37">
        <f t="shared" si="76"/>
        <v>0</v>
      </c>
      <c r="AD232" s="37">
        <f t="shared" si="77"/>
        <v>0</v>
      </c>
      <c r="AE232" s="37">
        <f t="shared" si="78"/>
        <v>0</v>
      </c>
      <c r="AF232" s="37">
        <f t="shared" si="79"/>
        <v>1</v>
      </c>
      <c r="AG232" s="37">
        <f t="shared" si="80"/>
        <v>0</v>
      </c>
      <c r="AH232" s="37">
        <f t="shared" si="81"/>
        <v>0</v>
      </c>
      <c r="AI232" s="37">
        <f t="shared" si="82"/>
        <v>0</v>
      </c>
      <c r="AJ232" s="37">
        <f t="shared" si="83"/>
        <v>0</v>
      </c>
      <c r="AK232" s="37">
        <f t="shared" si="84"/>
        <v>0</v>
      </c>
      <c r="AL232" s="37">
        <f t="shared" si="85"/>
        <v>0</v>
      </c>
      <c r="AM232" s="37">
        <f t="shared" si="86"/>
        <v>0</v>
      </c>
      <c r="AN232" s="37">
        <f t="shared" si="87"/>
        <v>0</v>
      </c>
      <c r="AO232" s="37">
        <f t="shared" si="88"/>
        <v>0</v>
      </c>
      <c r="AP232" s="37"/>
      <c r="AQ232" s="37"/>
      <c r="AR232" s="37">
        <f t="shared" si="89"/>
        <v>3</v>
      </c>
      <c r="AS232" s="37">
        <f t="shared" si="90"/>
        <v>3</v>
      </c>
      <c r="AT232" s="37" t="str">
        <f t="shared" si="91"/>
        <v>Correct</v>
      </c>
      <c r="AU232" s="37"/>
      <c r="AV232" s="120" t="str">
        <f>IFERROR(VLOOKUP(Table1[RespondentID],'All Data'!$A$3:$CO$999,87,FALSE),"unknown")</f>
        <v>Man</v>
      </c>
      <c r="AW232" s="120">
        <f>IFERROR(VLOOKUP(Table1[RespondentID],'All Data'!$A$3:$CO$999,88,FALSE),"unknown")</f>
        <v>92</v>
      </c>
      <c r="AX232" s="120" t="str">
        <f>IFERROR(VLOOKUP(Table1[RespondentID],'All Data'!$A$3:$CO$999,89,FALSE),"unknown")</f>
        <v>Suffolk</v>
      </c>
      <c r="AY232" s="120" t="str">
        <f>IFERROR(VLOOKUP(Table1[RespondentID],'All Data'!$A$3:$CO$999,90,FALSE),"unknown")</f>
        <v>Commack, 11725</v>
      </c>
      <c r="AZ232" s="120" t="str">
        <f>IFERROR(VLOOKUP(Table1[RespondentID],'All Data'!$A$3:$CO$999,91,FALSE),"unknown")</f>
        <v>Asian</v>
      </c>
      <c r="BA232" s="120" t="str">
        <f>IFERROR(VLOOKUP(Table1[RespondentID],'All Data'!$A$3:$CO$999,92,FALSE),"unknown")</f>
        <v>Not Hispanic or Latino</v>
      </c>
      <c r="BB232" s="120" t="str">
        <f>IFERROR(VLOOKUP(Table1[RespondentID],'All Data'!$A$3:$CO$999,93,FALSE),"unknown")</f>
        <v>English, Spanish, Italian</v>
      </c>
      <c r="BC232" s="120" t="str">
        <f>IFERROR(VLOOKUP(Table1[RespondentID],'All Data'!$A$3:$CW$999,94,FALSE),"unknown")</f>
        <v>$35,000 to $49,999</v>
      </c>
      <c r="BD232" s="120" t="str">
        <f>IFERROR(VLOOKUP(Table1[RespondentID],'All Data'!$A$3:$CW$999,95,FALSE),"unknown")</f>
        <v>Graduate school</v>
      </c>
      <c r="BE232" s="120" t="str">
        <f>IFERROR(VLOOKUP(Table1[RespondentID],'All Data'!$A$3:$CW$999,96,FALSE),"unknown")</f>
        <v>Retired</v>
      </c>
      <c r="BF232" s="120" t="str">
        <f>IFERROR(VLOOKUP(Table1[RespondentID],'All Data'!$A$3:$CW$999,97,FALSE),"unknown")</f>
        <v>Yes</v>
      </c>
      <c r="BG232" s="120">
        <f>IFERROR(VLOOKUP(Table1[RespondentID],'All Data'!$A$3:$CW$999,98,FALSE),"unknown")</f>
        <v>0</v>
      </c>
      <c r="BH232" s="120">
        <f>IFERROR(VLOOKUP(Table1[RespondentID],'All Data'!$A$3:$CW$999,99,FALSE),"unknown")</f>
        <v>0</v>
      </c>
    </row>
    <row r="233" spans="1:60">
      <c r="A233" s="5">
        <v>18019101896</v>
      </c>
      <c r="B233" s="5"/>
      <c r="C233" s="5"/>
      <c r="D233" s="5"/>
      <c r="E233" s="5"/>
      <c r="F233" s="5" t="s">
        <v>52</v>
      </c>
      <c r="G233" s="5" t="s">
        <v>53</v>
      </c>
      <c r="H233" s="5"/>
      <c r="I233" s="5"/>
      <c r="J233" s="5"/>
      <c r="K233" s="5"/>
      <c r="L233" s="5"/>
      <c r="M233" s="5"/>
      <c r="N233" s="5"/>
      <c r="O233" s="5" t="s">
        <v>20</v>
      </c>
      <c r="P233" s="5"/>
      <c r="Q233" s="5"/>
      <c r="R233" s="5"/>
      <c r="S233" s="5"/>
      <c r="T233" s="37"/>
      <c r="U233" s="37">
        <f t="shared" si="69"/>
        <v>3</v>
      </c>
      <c r="V233" s="37">
        <f t="shared" si="70"/>
        <v>1</v>
      </c>
      <c r="W233" s="37"/>
      <c r="X233" s="37">
        <f t="shared" si="71"/>
        <v>0</v>
      </c>
      <c r="Y233" s="37">
        <f t="shared" si="72"/>
        <v>0</v>
      </c>
      <c r="Z233" s="37">
        <f t="shared" si="73"/>
        <v>0</v>
      </c>
      <c r="AA233" s="37">
        <f t="shared" si="74"/>
        <v>0</v>
      </c>
      <c r="AB233" s="37">
        <f t="shared" si="75"/>
        <v>1</v>
      </c>
      <c r="AC233" s="37">
        <f t="shared" si="76"/>
        <v>1</v>
      </c>
      <c r="AD233" s="37">
        <f t="shared" si="77"/>
        <v>0</v>
      </c>
      <c r="AE233" s="37">
        <f t="shared" si="78"/>
        <v>0</v>
      </c>
      <c r="AF233" s="37">
        <f t="shared" si="79"/>
        <v>0</v>
      </c>
      <c r="AG233" s="37">
        <f t="shared" si="80"/>
        <v>0</v>
      </c>
      <c r="AH233" s="37">
        <f t="shared" si="81"/>
        <v>0</v>
      </c>
      <c r="AI233" s="37">
        <f t="shared" si="82"/>
        <v>0</v>
      </c>
      <c r="AJ233" s="37">
        <f t="shared" si="83"/>
        <v>0</v>
      </c>
      <c r="AK233" s="37">
        <f t="shared" si="84"/>
        <v>1</v>
      </c>
      <c r="AL233" s="37">
        <f t="shared" si="85"/>
        <v>0</v>
      </c>
      <c r="AM233" s="37">
        <f t="shared" si="86"/>
        <v>0</v>
      </c>
      <c r="AN233" s="37">
        <f t="shared" si="87"/>
        <v>0</v>
      </c>
      <c r="AO233" s="37">
        <f t="shared" si="88"/>
        <v>0</v>
      </c>
      <c r="AP233" s="37"/>
      <c r="AQ233" s="37"/>
      <c r="AR233" s="37">
        <f t="shared" si="89"/>
        <v>3</v>
      </c>
      <c r="AS233" s="37">
        <f t="shared" si="90"/>
        <v>3</v>
      </c>
      <c r="AT233" s="37" t="str">
        <f t="shared" si="91"/>
        <v>Correct</v>
      </c>
      <c r="AU233" s="37"/>
      <c r="AV233" s="120" t="str">
        <f>IFERROR(VLOOKUP(Table1[RespondentID],'All Data'!$A$3:$CO$999,87,FALSE),"unknown")</f>
        <v>Man</v>
      </c>
      <c r="AW233" s="120">
        <f>IFERROR(VLOOKUP(Table1[RespondentID],'All Data'!$A$3:$CO$999,88,FALSE),"unknown")</f>
        <v>63</v>
      </c>
      <c r="AX233" s="120" t="str">
        <f>IFERROR(VLOOKUP(Table1[RespondentID],'All Data'!$A$3:$CO$999,89,FALSE),"unknown")</f>
        <v>Suffolk</v>
      </c>
      <c r="AY233" s="120" t="str">
        <f>IFERROR(VLOOKUP(Table1[RespondentID],'All Data'!$A$3:$CO$999,90,FALSE),"unknown")</f>
        <v>Smithtown, 11787</v>
      </c>
      <c r="AZ233" s="120" t="str">
        <f>IFERROR(VLOOKUP(Table1[RespondentID],'All Data'!$A$3:$CO$999,91,FALSE),"unknown")</f>
        <v>Native Hawaiian and Other Pacific Islander</v>
      </c>
      <c r="BA233" s="120" t="str">
        <f>IFERROR(VLOOKUP(Table1[RespondentID],'All Data'!$A$3:$CO$999,92,FALSE),"unknown")</f>
        <v>Hispanic or Latino</v>
      </c>
      <c r="BB233" s="120" t="str">
        <f>IFERROR(VLOOKUP(Table1[RespondentID],'All Data'!$A$3:$CO$999,93,FALSE),"unknown")</f>
        <v>English</v>
      </c>
      <c r="BC233" s="120" t="str">
        <f>IFERROR(VLOOKUP(Table1[RespondentID],'All Data'!$A$3:$CW$999,94,FALSE),"unknown")</f>
        <v>$75,000 to $125,000</v>
      </c>
      <c r="BD233" s="120" t="str">
        <f>IFERROR(VLOOKUP(Table1[RespondentID],'All Data'!$A$3:$CW$999,95,FALSE),"unknown")</f>
        <v>College graduate</v>
      </c>
      <c r="BE233" s="120" t="str">
        <f>IFERROR(VLOOKUP(Table1[RespondentID],'All Data'!$A$3:$CW$999,96,FALSE),"unknown")</f>
        <v>Employed for wages</v>
      </c>
      <c r="BF233" s="120" t="str">
        <f>IFERROR(VLOOKUP(Table1[RespondentID],'All Data'!$A$3:$CW$999,97,FALSE),"unknown")</f>
        <v>Yes</v>
      </c>
      <c r="BG233" s="120">
        <f>IFERROR(VLOOKUP(Table1[RespondentID],'All Data'!$A$3:$CW$999,98,FALSE),"unknown")</f>
        <v>0</v>
      </c>
      <c r="BH233" s="120">
        <f>IFERROR(VLOOKUP(Table1[RespondentID],'All Data'!$A$3:$CW$999,99,FALSE),"unknown")</f>
        <v>0</v>
      </c>
    </row>
    <row r="234" spans="1:60">
      <c r="A234" s="5">
        <v>18019101753</v>
      </c>
      <c r="B234" s="5"/>
      <c r="C234" s="5"/>
      <c r="D234" s="5"/>
      <c r="E234" s="5"/>
      <c r="F234" s="5"/>
      <c r="G234" s="5"/>
      <c r="H234" s="5"/>
      <c r="I234" s="5"/>
      <c r="J234" s="5"/>
      <c r="K234" s="5" t="s">
        <v>57</v>
      </c>
      <c r="L234" s="5"/>
      <c r="M234" s="5"/>
      <c r="N234" s="5"/>
      <c r="O234" s="5" t="s">
        <v>20</v>
      </c>
      <c r="P234" s="5"/>
      <c r="Q234" s="5"/>
      <c r="R234" s="5"/>
      <c r="S234" s="5" t="s">
        <v>63</v>
      </c>
      <c r="T234" s="37"/>
      <c r="U234" s="37">
        <f t="shared" si="69"/>
        <v>3</v>
      </c>
      <c r="V234" s="37">
        <f t="shared" si="70"/>
        <v>1</v>
      </c>
      <c r="W234" s="37"/>
      <c r="X234" s="37">
        <f t="shared" si="71"/>
        <v>0</v>
      </c>
      <c r="Y234" s="37">
        <f t="shared" si="72"/>
        <v>0</v>
      </c>
      <c r="Z234" s="37">
        <f t="shared" si="73"/>
        <v>0</v>
      </c>
      <c r="AA234" s="37">
        <f t="shared" si="74"/>
        <v>0</v>
      </c>
      <c r="AB234" s="37">
        <f t="shared" si="75"/>
        <v>0</v>
      </c>
      <c r="AC234" s="37">
        <f t="shared" si="76"/>
        <v>0</v>
      </c>
      <c r="AD234" s="37">
        <f t="shared" si="77"/>
        <v>0</v>
      </c>
      <c r="AE234" s="37">
        <f t="shared" si="78"/>
        <v>0</v>
      </c>
      <c r="AF234" s="37">
        <f t="shared" si="79"/>
        <v>0</v>
      </c>
      <c r="AG234" s="37">
        <f t="shared" si="80"/>
        <v>1</v>
      </c>
      <c r="AH234" s="37">
        <f t="shared" si="81"/>
        <v>0</v>
      </c>
      <c r="AI234" s="37">
        <f t="shared" si="82"/>
        <v>0</v>
      </c>
      <c r="AJ234" s="37">
        <f t="shared" si="83"/>
        <v>0</v>
      </c>
      <c r="AK234" s="37">
        <f t="shared" si="84"/>
        <v>1</v>
      </c>
      <c r="AL234" s="37">
        <f t="shared" si="85"/>
        <v>0</v>
      </c>
      <c r="AM234" s="37">
        <f t="shared" si="86"/>
        <v>0</v>
      </c>
      <c r="AN234" s="37">
        <f t="shared" si="87"/>
        <v>0</v>
      </c>
      <c r="AO234" s="37">
        <f t="shared" si="88"/>
        <v>1</v>
      </c>
      <c r="AP234" s="37"/>
      <c r="AQ234" s="37"/>
      <c r="AR234" s="37">
        <f t="shared" si="89"/>
        <v>3</v>
      </c>
      <c r="AS234" s="37">
        <f t="shared" si="90"/>
        <v>3</v>
      </c>
      <c r="AT234" s="37" t="str">
        <f t="shared" si="91"/>
        <v>Correct</v>
      </c>
      <c r="AU234" s="37"/>
      <c r="AV234" s="120" t="str">
        <f>IFERROR(VLOOKUP(Table1[RespondentID],'All Data'!$A$3:$CO$999,87,FALSE),"unknown")</f>
        <v>Woman</v>
      </c>
      <c r="AW234" s="120">
        <f>IFERROR(VLOOKUP(Table1[RespondentID],'All Data'!$A$3:$CO$999,88,FALSE),"unknown")</f>
        <v>22</v>
      </c>
      <c r="AX234" s="120" t="str">
        <f>IFERROR(VLOOKUP(Table1[RespondentID],'All Data'!$A$3:$CO$999,89,FALSE),"unknown")</f>
        <v>Suffolk</v>
      </c>
      <c r="AY234" s="120" t="str">
        <f>IFERROR(VLOOKUP(Table1[RespondentID],'All Data'!$A$3:$CO$999,90,FALSE),"unknown")</f>
        <v>Commack, 11725</v>
      </c>
      <c r="AZ234" s="120" t="str">
        <f>IFERROR(VLOOKUP(Table1[RespondentID],'All Data'!$A$3:$CO$999,91,FALSE),"unknown")</f>
        <v>Asian</v>
      </c>
      <c r="BA234" s="120" t="str">
        <f>IFERROR(VLOOKUP(Table1[RespondentID],'All Data'!$A$3:$CO$999,92,FALSE),"unknown")</f>
        <v>Not Hispanic or Latino</v>
      </c>
      <c r="BB234" s="120" t="str">
        <f>IFERROR(VLOOKUP(Table1[RespondentID],'All Data'!$A$3:$CO$999,93,FALSE),"unknown")</f>
        <v>English, Spanish, Polish</v>
      </c>
      <c r="BC234" s="120">
        <f>IFERROR(VLOOKUP(Table1[RespondentID],'All Data'!$A$3:$CW$999,94,FALSE),"unknown")</f>
        <v>0</v>
      </c>
      <c r="BD234" s="120" t="str">
        <f>IFERROR(VLOOKUP(Table1[RespondentID],'All Data'!$A$3:$CW$999,95,FALSE),"unknown")</f>
        <v>Some college</v>
      </c>
      <c r="BE234" s="120" t="str">
        <f>IFERROR(VLOOKUP(Table1[RespondentID],'All Data'!$A$3:$CW$999,96,FALSE),"unknown")</f>
        <v>Student</v>
      </c>
      <c r="BF234" s="120" t="str">
        <f>IFERROR(VLOOKUP(Table1[RespondentID],'All Data'!$A$3:$CW$999,97,FALSE),"unknown")</f>
        <v>Yes</v>
      </c>
      <c r="BG234" s="120">
        <f>IFERROR(VLOOKUP(Table1[RespondentID],'All Data'!$A$3:$CW$999,98,FALSE),"unknown")</f>
        <v>0</v>
      </c>
      <c r="BH234" s="120">
        <f>IFERROR(VLOOKUP(Table1[RespondentID],'All Data'!$A$3:$CW$999,99,FALSE),"unknown")</f>
        <v>0</v>
      </c>
    </row>
    <row r="235" spans="1:60">
      <c r="A235" s="5">
        <v>18019101576</v>
      </c>
      <c r="B235" s="5"/>
      <c r="C235" s="5"/>
      <c r="D235" s="5"/>
      <c r="E235" s="5" t="s">
        <v>17</v>
      </c>
      <c r="F235" s="5"/>
      <c r="G235" s="5"/>
      <c r="H235" s="5"/>
      <c r="I235" s="5"/>
      <c r="J235" s="5"/>
      <c r="K235" s="5"/>
      <c r="L235" s="5"/>
      <c r="M235" s="5"/>
      <c r="N235" s="5" t="s">
        <v>24</v>
      </c>
      <c r="O235" s="5"/>
      <c r="P235" s="5"/>
      <c r="Q235" s="5"/>
      <c r="R235" s="5"/>
      <c r="S235" s="5" t="s">
        <v>63</v>
      </c>
      <c r="T235" s="37"/>
      <c r="U235" s="37">
        <f t="shared" si="69"/>
        <v>3</v>
      </c>
      <c r="V235" s="37">
        <f t="shared" si="70"/>
        <v>1</v>
      </c>
      <c r="W235" s="37"/>
      <c r="X235" s="37">
        <f t="shared" si="71"/>
        <v>0</v>
      </c>
      <c r="Y235" s="37">
        <f t="shared" si="72"/>
        <v>0</v>
      </c>
      <c r="Z235" s="37">
        <f t="shared" si="73"/>
        <v>0</v>
      </c>
      <c r="AA235" s="37">
        <f t="shared" si="74"/>
        <v>1</v>
      </c>
      <c r="AB235" s="37">
        <f t="shared" si="75"/>
        <v>0</v>
      </c>
      <c r="AC235" s="37">
        <f t="shared" si="76"/>
        <v>0</v>
      </c>
      <c r="AD235" s="37">
        <f t="shared" si="77"/>
        <v>0</v>
      </c>
      <c r="AE235" s="37">
        <f t="shared" si="78"/>
        <v>0</v>
      </c>
      <c r="AF235" s="37">
        <f t="shared" si="79"/>
        <v>0</v>
      </c>
      <c r="AG235" s="37">
        <f t="shared" si="80"/>
        <v>0</v>
      </c>
      <c r="AH235" s="37">
        <f t="shared" si="81"/>
        <v>0</v>
      </c>
      <c r="AI235" s="37">
        <f t="shared" si="82"/>
        <v>0</v>
      </c>
      <c r="AJ235" s="37">
        <f t="shared" si="83"/>
        <v>1</v>
      </c>
      <c r="AK235" s="37">
        <f t="shared" si="84"/>
        <v>0</v>
      </c>
      <c r="AL235" s="37">
        <f t="shared" si="85"/>
        <v>0</v>
      </c>
      <c r="AM235" s="37">
        <f t="shared" si="86"/>
        <v>0</v>
      </c>
      <c r="AN235" s="37">
        <f t="shared" si="87"/>
        <v>0</v>
      </c>
      <c r="AO235" s="37">
        <f t="shared" si="88"/>
        <v>1</v>
      </c>
      <c r="AP235" s="37"/>
      <c r="AQ235" s="37"/>
      <c r="AR235" s="37">
        <f t="shared" si="89"/>
        <v>3</v>
      </c>
      <c r="AS235" s="37">
        <f t="shared" si="90"/>
        <v>3</v>
      </c>
      <c r="AT235" s="37" t="str">
        <f t="shared" si="91"/>
        <v>Correct</v>
      </c>
      <c r="AU235" s="37"/>
      <c r="AV235" s="120">
        <f>IFERROR(VLOOKUP(Table1[RespondentID],'All Data'!$A$3:$CO$999,87,FALSE),"unknown")</f>
        <v>0</v>
      </c>
      <c r="AW235" s="120">
        <f>IFERROR(VLOOKUP(Table1[RespondentID],'All Data'!$A$3:$CO$999,88,FALSE),"unknown")</f>
        <v>0</v>
      </c>
      <c r="AX235" s="120">
        <f>IFERROR(VLOOKUP(Table1[RespondentID],'All Data'!$A$3:$CO$999,89,FALSE),"unknown")</f>
        <v>0</v>
      </c>
      <c r="AY235" s="120">
        <f>IFERROR(VLOOKUP(Table1[RespondentID],'All Data'!$A$3:$CO$999,90,FALSE),"unknown")</f>
        <v>0</v>
      </c>
      <c r="AZ235" s="120">
        <f>IFERROR(VLOOKUP(Table1[RespondentID],'All Data'!$A$3:$CO$999,91,FALSE),"unknown")</f>
        <v>0</v>
      </c>
      <c r="BA235" s="120">
        <f>IFERROR(VLOOKUP(Table1[RespondentID],'All Data'!$A$3:$CO$999,92,FALSE),"unknown")</f>
        <v>0</v>
      </c>
      <c r="BB235" s="120">
        <f>IFERROR(VLOOKUP(Table1[RespondentID],'All Data'!$A$3:$CO$999,93,FALSE),"unknown")</f>
        <v>0</v>
      </c>
      <c r="BC235" s="120">
        <f>IFERROR(VLOOKUP(Table1[RespondentID],'All Data'!$A$3:$CW$999,94,FALSE),"unknown")</f>
        <v>0</v>
      </c>
      <c r="BD235" s="120">
        <f>IFERROR(VLOOKUP(Table1[RespondentID],'All Data'!$A$3:$CW$999,95,FALSE),"unknown")</f>
        <v>0</v>
      </c>
      <c r="BE235" s="120">
        <f>IFERROR(VLOOKUP(Table1[RespondentID],'All Data'!$A$3:$CW$999,96,FALSE),"unknown")</f>
        <v>0</v>
      </c>
      <c r="BF235" s="120">
        <f>IFERROR(VLOOKUP(Table1[RespondentID],'All Data'!$A$3:$CW$999,97,FALSE),"unknown")</f>
        <v>0</v>
      </c>
      <c r="BG235" s="120">
        <f>IFERROR(VLOOKUP(Table1[RespondentID],'All Data'!$A$3:$CW$999,98,FALSE),"unknown")</f>
        <v>0</v>
      </c>
      <c r="BH235" s="120">
        <f>IFERROR(VLOOKUP(Table1[RespondentID],'All Data'!$A$3:$CW$999,99,FALSE),"unknown")</f>
        <v>0</v>
      </c>
    </row>
    <row r="236" spans="1:60">
      <c r="A236" s="5">
        <v>18019101345</v>
      </c>
      <c r="B236" s="5"/>
      <c r="C236" s="5"/>
      <c r="D236" s="5"/>
      <c r="E236" s="5" t="s">
        <v>17</v>
      </c>
      <c r="F236" s="5" t="s">
        <v>52</v>
      </c>
      <c r="G236" s="5"/>
      <c r="H236" s="5"/>
      <c r="I236" s="5"/>
      <c r="J236" s="5"/>
      <c r="K236" s="5"/>
      <c r="L236" s="5"/>
      <c r="M236" s="5"/>
      <c r="N236" s="5"/>
      <c r="O236" s="5"/>
      <c r="P236" s="5"/>
      <c r="Q236" s="5"/>
      <c r="R236" s="5"/>
      <c r="S236" s="5" t="s">
        <v>63</v>
      </c>
      <c r="T236" s="37"/>
      <c r="U236" s="37">
        <f t="shared" si="69"/>
        <v>3</v>
      </c>
      <c r="V236" s="37">
        <f t="shared" si="70"/>
        <v>1</v>
      </c>
      <c r="W236" s="37"/>
      <c r="X236" s="37">
        <f t="shared" si="71"/>
        <v>0</v>
      </c>
      <c r="Y236" s="37">
        <f t="shared" si="72"/>
        <v>0</v>
      </c>
      <c r="Z236" s="37">
        <f t="shared" si="73"/>
        <v>0</v>
      </c>
      <c r="AA236" s="37">
        <f t="shared" si="74"/>
        <v>1</v>
      </c>
      <c r="AB236" s="37">
        <f t="shared" si="75"/>
        <v>1</v>
      </c>
      <c r="AC236" s="37">
        <f t="shared" si="76"/>
        <v>0</v>
      </c>
      <c r="AD236" s="37">
        <f t="shared" si="77"/>
        <v>0</v>
      </c>
      <c r="AE236" s="37">
        <f t="shared" si="78"/>
        <v>0</v>
      </c>
      <c r="AF236" s="37">
        <f t="shared" si="79"/>
        <v>0</v>
      </c>
      <c r="AG236" s="37">
        <f t="shared" si="80"/>
        <v>0</v>
      </c>
      <c r="AH236" s="37">
        <f t="shared" si="81"/>
        <v>0</v>
      </c>
      <c r="AI236" s="37">
        <f t="shared" si="82"/>
        <v>0</v>
      </c>
      <c r="AJ236" s="37">
        <f t="shared" si="83"/>
        <v>0</v>
      </c>
      <c r="AK236" s="37">
        <f t="shared" si="84"/>
        <v>0</v>
      </c>
      <c r="AL236" s="37">
        <f t="shared" si="85"/>
        <v>0</v>
      </c>
      <c r="AM236" s="37">
        <f t="shared" si="86"/>
        <v>0</v>
      </c>
      <c r="AN236" s="37">
        <f t="shared" si="87"/>
        <v>0</v>
      </c>
      <c r="AO236" s="37">
        <f t="shared" si="88"/>
        <v>1</v>
      </c>
      <c r="AP236" s="37"/>
      <c r="AQ236" s="37"/>
      <c r="AR236" s="37">
        <f t="shared" si="89"/>
        <v>3</v>
      </c>
      <c r="AS236" s="37">
        <f t="shared" si="90"/>
        <v>3</v>
      </c>
      <c r="AT236" s="37" t="str">
        <f t="shared" si="91"/>
        <v>Correct</v>
      </c>
      <c r="AU236" s="37"/>
      <c r="AV236" s="120" t="str">
        <f>IFERROR(VLOOKUP(Table1[RespondentID],'All Data'!$A$3:$CO$999,87,FALSE),"unknown")</f>
        <v>Man</v>
      </c>
      <c r="AW236" s="120">
        <f>IFERROR(VLOOKUP(Table1[RespondentID],'All Data'!$A$3:$CO$999,88,FALSE),"unknown")</f>
        <v>82</v>
      </c>
      <c r="AX236" s="120" t="str">
        <f>IFERROR(VLOOKUP(Table1[RespondentID],'All Data'!$A$3:$CO$999,89,FALSE),"unknown")</f>
        <v>Suffolk</v>
      </c>
      <c r="AY236" s="120" t="str">
        <f>IFERROR(VLOOKUP(Table1[RespondentID],'All Data'!$A$3:$CO$999,90,FALSE),"unknown")</f>
        <v>Smithtown, 11787</v>
      </c>
      <c r="AZ236" s="120" t="str">
        <f>IFERROR(VLOOKUP(Table1[RespondentID],'All Data'!$A$3:$CO$999,91,FALSE),"unknown")</f>
        <v>Black or African American</v>
      </c>
      <c r="BA236" s="120" t="str">
        <f>IFERROR(VLOOKUP(Table1[RespondentID],'All Data'!$A$3:$CO$999,92,FALSE),"unknown")</f>
        <v>Hispanic or Latino</v>
      </c>
      <c r="BB236" s="120" t="str">
        <f>IFERROR(VLOOKUP(Table1[RespondentID],'All Data'!$A$3:$CO$999,93,FALSE),"unknown")</f>
        <v>English</v>
      </c>
      <c r="BC236" s="120" t="str">
        <f>IFERROR(VLOOKUP(Table1[RespondentID],'All Data'!$A$3:$CW$999,94,FALSE),"unknown")</f>
        <v>$75,000 to $125,000</v>
      </c>
      <c r="BD236" s="120" t="str">
        <f>IFERROR(VLOOKUP(Table1[RespondentID],'All Data'!$A$3:$CW$999,95,FALSE),"unknown")</f>
        <v>Graduate school</v>
      </c>
      <c r="BE236" s="120" t="str">
        <f>IFERROR(VLOOKUP(Table1[RespondentID],'All Data'!$A$3:$CW$999,96,FALSE),"unknown")</f>
        <v>Retired</v>
      </c>
      <c r="BF236" s="120" t="str">
        <f>IFERROR(VLOOKUP(Table1[RespondentID],'All Data'!$A$3:$CW$999,97,FALSE),"unknown")</f>
        <v>Yes</v>
      </c>
      <c r="BG236" s="120">
        <f>IFERROR(VLOOKUP(Table1[RespondentID],'All Data'!$A$3:$CW$999,98,FALSE),"unknown")</f>
        <v>0</v>
      </c>
      <c r="BH236" s="120">
        <f>IFERROR(VLOOKUP(Table1[RespondentID],'All Data'!$A$3:$CW$999,99,FALSE),"unknown")</f>
        <v>0</v>
      </c>
    </row>
    <row r="237" spans="1:60">
      <c r="A237" s="5">
        <v>18019101072</v>
      </c>
      <c r="B237" s="5"/>
      <c r="C237" s="5"/>
      <c r="D237" s="5"/>
      <c r="E237" s="5"/>
      <c r="F237" s="5"/>
      <c r="G237" s="5"/>
      <c r="H237" s="5" t="s">
        <v>54</v>
      </c>
      <c r="I237" s="5"/>
      <c r="J237" s="5"/>
      <c r="K237" s="5"/>
      <c r="L237" s="5"/>
      <c r="M237" s="5" t="s">
        <v>59</v>
      </c>
      <c r="N237" s="5" t="s">
        <v>24</v>
      </c>
      <c r="O237" s="5"/>
      <c r="P237" s="5"/>
      <c r="Q237" s="5"/>
      <c r="R237" s="5"/>
      <c r="S237" s="5"/>
      <c r="T237" s="37"/>
      <c r="U237" s="37">
        <f t="shared" si="69"/>
        <v>3</v>
      </c>
      <c r="V237" s="37">
        <f t="shared" si="70"/>
        <v>1</v>
      </c>
      <c r="W237" s="37"/>
      <c r="X237" s="37">
        <f t="shared" si="71"/>
        <v>0</v>
      </c>
      <c r="Y237" s="37">
        <f t="shared" si="72"/>
        <v>0</v>
      </c>
      <c r="Z237" s="37">
        <f t="shared" si="73"/>
        <v>0</v>
      </c>
      <c r="AA237" s="37">
        <f t="shared" si="74"/>
        <v>0</v>
      </c>
      <c r="AB237" s="37">
        <f t="shared" si="75"/>
        <v>0</v>
      </c>
      <c r="AC237" s="37">
        <f t="shared" si="76"/>
        <v>0</v>
      </c>
      <c r="AD237" s="37">
        <f t="shared" si="77"/>
        <v>1</v>
      </c>
      <c r="AE237" s="37">
        <f t="shared" si="78"/>
        <v>0</v>
      </c>
      <c r="AF237" s="37">
        <f t="shared" si="79"/>
        <v>0</v>
      </c>
      <c r="AG237" s="37">
        <f t="shared" si="80"/>
        <v>0</v>
      </c>
      <c r="AH237" s="37">
        <f t="shared" si="81"/>
        <v>0</v>
      </c>
      <c r="AI237" s="37">
        <f t="shared" si="82"/>
        <v>1</v>
      </c>
      <c r="AJ237" s="37">
        <f t="shared" si="83"/>
        <v>1</v>
      </c>
      <c r="AK237" s="37">
        <f t="shared" si="84"/>
        <v>0</v>
      </c>
      <c r="AL237" s="37">
        <f t="shared" si="85"/>
        <v>0</v>
      </c>
      <c r="AM237" s="37">
        <f t="shared" si="86"/>
        <v>0</v>
      </c>
      <c r="AN237" s="37">
        <f t="shared" si="87"/>
        <v>0</v>
      </c>
      <c r="AO237" s="37">
        <f t="shared" si="88"/>
        <v>0</v>
      </c>
      <c r="AP237" s="37"/>
      <c r="AQ237" s="37"/>
      <c r="AR237" s="37">
        <f t="shared" si="89"/>
        <v>3</v>
      </c>
      <c r="AS237" s="37">
        <f t="shared" si="90"/>
        <v>3</v>
      </c>
      <c r="AT237" s="37" t="str">
        <f t="shared" si="91"/>
        <v>Correct</v>
      </c>
      <c r="AU237" s="37"/>
      <c r="AV237" s="120" t="str">
        <f>IFERROR(VLOOKUP(Table1[RespondentID],'All Data'!$A$3:$CO$999,87,FALSE),"unknown")</f>
        <v>Man</v>
      </c>
      <c r="AW237" s="120">
        <f>IFERROR(VLOOKUP(Table1[RespondentID],'All Data'!$A$3:$CO$999,88,FALSE),"unknown")</f>
        <v>18</v>
      </c>
      <c r="AX237" s="120" t="str">
        <f>IFERROR(VLOOKUP(Table1[RespondentID],'All Data'!$A$3:$CO$999,89,FALSE),"unknown")</f>
        <v>Suffolk</v>
      </c>
      <c r="AY237" s="120" t="str">
        <f>IFERROR(VLOOKUP(Table1[RespondentID],'All Data'!$A$3:$CO$999,90,FALSE),"unknown")</f>
        <v>Smithtown, 11787</v>
      </c>
      <c r="AZ237" s="120" t="str">
        <f>IFERROR(VLOOKUP(Table1[RespondentID],'All Data'!$A$3:$CO$999,91,FALSE),"unknown")</f>
        <v>White</v>
      </c>
      <c r="BA237" s="120" t="str">
        <f>IFERROR(VLOOKUP(Table1[RespondentID],'All Data'!$A$3:$CO$999,92,FALSE),"unknown")</f>
        <v>Hispanic or Latino</v>
      </c>
      <c r="BB237" s="120" t="str">
        <f>IFERROR(VLOOKUP(Table1[RespondentID],'All Data'!$A$3:$CO$999,93,FALSE),"unknown")</f>
        <v>English</v>
      </c>
      <c r="BC237" s="120" t="str">
        <f>IFERROR(VLOOKUP(Table1[RespondentID],'All Data'!$A$3:$CW$999,94,FALSE),"unknown")</f>
        <v>$20,000 to $34,999</v>
      </c>
      <c r="BD237" s="120" t="str">
        <f>IFERROR(VLOOKUP(Table1[RespondentID],'All Data'!$A$3:$CW$999,95,FALSE),"unknown")</f>
        <v>Some college</v>
      </c>
      <c r="BE237" s="120" t="str">
        <f>IFERROR(VLOOKUP(Table1[RespondentID],'All Data'!$A$3:$CW$999,96,FALSE),"unknown")</f>
        <v>Student</v>
      </c>
      <c r="BF237" s="120" t="str">
        <f>IFERROR(VLOOKUP(Table1[RespondentID],'All Data'!$A$3:$CW$999,97,FALSE),"unknown")</f>
        <v>Yes</v>
      </c>
      <c r="BG237" s="120">
        <f>IFERROR(VLOOKUP(Table1[RespondentID],'All Data'!$A$3:$CW$999,98,FALSE),"unknown")</f>
        <v>0</v>
      </c>
      <c r="BH237" s="120">
        <f>IFERROR(VLOOKUP(Table1[RespondentID],'All Data'!$A$3:$CW$999,99,FALSE),"unknown")</f>
        <v>0</v>
      </c>
    </row>
    <row r="238" spans="1:60">
      <c r="A238" s="5">
        <v>18019100917</v>
      </c>
      <c r="B238" s="5"/>
      <c r="C238" s="5" t="s">
        <v>50</v>
      </c>
      <c r="D238" s="5"/>
      <c r="E238" s="5"/>
      <c r="F238" s="5"/>
      <c r="G238" s="5"/>
      <c r="H238" s="5"/>
      <c r="I238" s="5"/>
      <c r="J238" s="5" t="s">
        <v>56</v>
      </c>
      <c r="K238" s="5"/>
      <c r="L238" s="5"/>
      <c r="M238" s="5"/>
      <c r="N238" s="5"/>
      <c r="O238" s="5"/>
      <c r="P238" s="5"/>
      <c r="Q238" s="5"/>
      <c r="R238" s="5"/>
      <c r="S238" s="5" t="s">
        <v>63</v>
      </c>
      <c r="T238" s="37"/>
      <c r="U238" s="37">
        <f t="shared" si="69"/>
        <v>3</v>
      </c>
      <c r="V238" s="37">
        <f t="shared" si="70"/>
        <v>1</v>
      </c>
      <c r="W238" s="37"/>
      <c r="X238" s="37">
        <f t="shared" si="71"/>
        <v>0</v>
      </c>
      <c r="Y238" s="37">
        <f t="shared" si="72"/>
        <v>1</v>
      </c>
      <c r="Z238" s="37">
        <f t="shared" si="73"/>
        <v>0</v>
      </c>
      <c r="AA238" s="37">
        <f t="shared" si="74"/>
        <v>0</v>
      </c>
      <c r="AB238" s="37">
        <f t="shared" si="75"/>
        <v>0</v>
      </c>
      <c r="AC238" s="37">
        <f t="shared" si="76"/>
        <v>0</v>
      </c>
      <c r="AD238" s="37">
        <f t="shared" si="77"/>
        <v>0</v>
      </c>
      <c r="AE238" s="37">
        <f t="shared" si="78"/>
        <v>0</v>
      </c>
      <c r="AF238" s="37">
        <f t="shared" si="79"/>
        <v>1</v>
      </c>
      <c r="AG238" s="37">
        <f t="shared" si="80"/>
        <v>0</v>
      </c>
      <c r="AH238" s="37">
        <f t="shared" si="81"/>
        <v>0</v>
      </c>
      <c r="AI238" s="37">
        <f t="shared" si="82"/>
        <v>0</v>
      </c>
      <c r="AJ238" s="37">
        <f t="shared" si="83"/>
        <v>0</v>
      </c>
      <c r="AK238" s="37">
        <f t="shared" si="84"/>
        <v>0</v>
      </c>
      <c r="AL238" s="37">
        <f t="shared" si="85"/>
        <v>0</v>
      </c>
      <c r="AM238" s="37">
        <f t="shared" si="86"/>
        <v>0</v>
      </c>
      <c r="AN238" s="37">
        <f t="shared" si="87"/>
        <v>0</v>
      </c>
      <c r="AO238" s="37">
        <f t="shared" si="88"/>
        <v>1</v>
      </c>
      <c r="AP238" s="37"/>
      <c r="AQ238" s="37"/>
      <c r="AR238" s="37">
        <f t="shared" si="89"/>
        <v>3</v>
      </c>
      <c r="AS238" s="37">
        <f t="shared" si="90"/>
        <v>3</v>
      </c>
      <c r="AT238" s="37" t="str">
        <f t="shared" si="91"/>
        <v>Correct</v>
      </c>
      <c r="AU238" s="37"/>
      <c r="AV238" s="120" t="str">
        <f>IFERROR(VLOOKUP(Table1[RespondentID],'All Data'!$A$3:$CO$999,87,FALSE),"unknown")</f>
        <v>Woman</v>
      </c>
      <c r="AW238" s="120">
        <f>IFERROR(VLOOKUP(Table1[RespondentID],'All Data'!$A$3:$CO$999,88,FALSE),"unknown")</f>
        <v>34</v>
      </c>
      <c r="AX238" s="120" t="str">
        <f>IFERROR(VLOOKUP(Table1[RespondentID],'All Data'!$A$3:$CO$999,89,FALSE),"unknown")</f>
        <v>Suffolk</v>
      </c>
      <c r="AY238" s="120" t="str">
        <f>IFERROR(VLOOKUP(Table1[RespondentID],'All Data'!$A$3:$CO$999,90,FALSE),"unknown")</f>
        <v>Huntington, 11743</v>
      </c>
      <c r="AZ238" s="120" t="str">
        <f>IFERROR(VLOOKUP(Table1[RespondentID],'All Data'!$A$3:$CO$999,91,FALSE),"unknown")</f>
        <v>Native Hawaiian and Other Pacific Islander</v>
      </c>
      <c r="BA238" s="120" t="str">
        <f>IFERROR(VLOOKUP(Table1[RespondentID],'All Data'!$A$3:$CO$999,92,FALSE),"unknown")</f>
        <v>Hispanic or Latino</v>
      </c>
      <c r="BB238" s="120" t="str">
        <f>IFERROR(VLOOKUP(Table1[RespondentID],'All Data'!$A$3:$CO$999,93,FALSE),"unknown")</f>
        <v>English</v>
      </c>
      <c r="BC238" s="120" t="str">
        <f>IFERROR(VLOOKUP(Table1[RespondentID],'All Data'!$A$3:$CW$999,94,FALSE),"unknown")</f>
        <v>$20,000 to $34,999</v>
      </c>
      <c r="BD238" s="120" t="str">
        <f>IFERROR(VLOOKUP(Table1[RespondentID],'All Data'!$A$3:$CW$999,95,FALSE),"unknown")</f>
        <v>Technical school</v>
      </c>
      <c r="BE238" s="120" t="str">
        <f>IFERROR(VLOOKUP(Table1[RespondentID],'All Data'!$A$3:$CW$999,96,FALSE),"unknown")</f>
        <v>Out of work and looking for work</v>
      </c>
      <c r="BF238" s="120" t="str">
        <f>IFERROR(VLOOKUP(Table1[RespondentID],'All Data'!$A$3:$CW$999,97,FALSE),"unknown")</f>
        <v>No</v>
      </c>
      <c r="BG238" s="120">
        <f>IFERROR(VLOOKUP(Table1[RespondentID],'All Data'!$A$3:$CW$999,98,FALSE),"unknown")</f>
        <v>0</v>
      </c>
      <c r="BH238" s="120">
        <f>IFERROR(VLOOKUP(Table1[RespondentID],'All Data'!$A$3:$CW$999,99,FALSE),"unknown")</f>
        <v>0</v>
      </c>
    </row>
    <row r="239" spans="1:60">
      <c r="A239" s="5">
        <v>18019100690</v>
      </c>
      <c r="B239" s="5"/>
      <c r="C239" s="5" t="s">
        <v>50</v>
      </c>
      <c r="D239" s="5"/>
      <c r="E239" s="5"/>
      <c r="F239" s="5" t="s">
        <v>52</v>
      </c>
      <c r="G239" s="5"/>
      <c r="H239" s="5"/>
      <c r="I239" s="5" t="s">
        <v>55</v>
      </c>
      <c r="J239" s="5"/>
      <c r="K239" s="5"/>
      <c r="L239" s="5"/>
      <c r="M239" s="5"/>
      <c r="N239" s="5"/>
      <c r="O239" s="5"/>
      <c r="P239" s="5"/>
      <c r="Q239" s="5"/>
      <c r="R239" s="5"/>
      <c r="S239" s="5"/>
      <c r="T239" s="37"/>
      <c r="U239" s="37">
        <f t="shared" si="69"/>
        <v>3</v>
      </c>
      <c r="V239" s="37">
        <f t="shared" si="70"/>
        <v>1</v>
      </c>
      <c r="W239" s="37"/>
      <c r="X239" s="37">
        <f t="shared" si="71"/>
        <v>0</v>
      </c>
      <c r="Y239" s="37">
        <f t="shared" si="72"/>
        <v>1</v>
      </c>
      <c r="Z239" s="37">
        <f t="shared" si="73"/>
        <v>0</v>
      </c>
      <c r="AA239" s="37">
        <f t="shared" si="74"/>
        <v>0</v>
      </c>
      <c r="AB239" s="37">
        <f t="shared" si="75"/>
        <v>1</v>
      </c>
      <c r="AC239" s="37">
        <f t="shared" si="76"/>
        <v>0</v>
      </c>
      <c r="AD239" s="37">
        <f t="shared" si="77"/>
        <v>0</v>
      </c>
      <c r="AE239" s="37">
        <f t="shared" si="78"/>
        <v>1</v>
      </c>
      <c r="AF239" s="37">
        <f t="shared" si="79"/>
        <v>0</v>
      </c>
      <c r="AG239" s="37">
        <f t="shared" si="80"/>
        <v>0</v>
      </c>
      <c r="AH239" s="37">
        <f t="shared" si="81"/>
        <v>0</v>
      </c>
      <c r="AI239" s="37">
        <f t="shared" si="82"/>
        <v>0</v>
      </c>
      <c r="AJ239" s="37">
        <f t="shared" si="83"/>
        <v>0</v>
      </c>
      <c r="AK239" s="37">
        <f t="shared" si="84"/>
        <v>0</v>
      </c>
      <c r="AL239" s="37">
        <f t="shared" si="85"/>
        <v>0</v>
      </c>
      <c r="AM239" s="37">
        <f t="shared" si="86"/>
        <v>0</v>
      </c>
      <c r="AN239" s="37">
        <f t="shared" si="87"/>
        <v>0</v>
      </c>
      <c r="AO239" s="37">
        <f t="shared" si="88"/>
        <v>0</v>
      </c>
      <c r="AP239" s="37"/>
      <c r="AQ239" s="37"/>
      <c r="AR239" s="37">
        <f t="shared" si="89"/>
        <v>3</v>
      </c>
      <c r="AS239" s="37">
        <f t="shared" si="90"/>
        <v>3</v>
      </c>
      <c r="AT239" s="37" t="str">
        <f t="shared" si="91"/>
        <v>Correct</v>
      </c>
      <c r="AU239" s="37"/>
      <c r="AV239" s="120" t="str">
        <f>IFERROR(VLOOKUP(Table1[RespondentID],'All Data'!$A$3:$CO$999,87,FALSE),"unknown")</f>
        <v>Woman</v>
      </c>
      <c r="AW239" s="120">
        <f>IFERROR(VLOOKUP(Table1[RespondentID],'All Data'!$A$3:$CO$999,88,FALSE),"unknown")</f>
        <v>28</v>
      </c>
      <c r="AX239" s="120" t="str">
        <f>IFERROR(VLOOKUP(Table1[RespondentID],'All Data'!$A$3:$CO$999,89,FALSE),"unknown")</f>
        <v>Suffolk</v>
      </c>
      <c r="AY239" s="120" t="str">
        <f>IFERROR(VLOOKUP(Table1[RespondentID],'All Data'!$A$3:$CO$999,90,FALSE),"unknown")</f>
        <v>Greenlawn, 11740</v>
      </c>
      <c r="AZ239" s="120" t="str">
        <f>IFERROR(VLOOKUP(Table1[RespondentID],'All Data'!$A$3:$CO$999,91,FALSE),"unknown")</f>
        <v>White</v>
      </c>
      <c r="BA239" s="120" t="str">
        <f>IFERROR(VLOOKUP(Table1[RespondentID],'All Data'!$A$3:$CO$999,92,FALSE),"unknown")</f>
        <v>Hispanic or Latino</v>
      </c>
      <c r="BB239" s="120" t="str">
        <f>IFERROR(VLOOKUP(Table1[RespondentID],'All Data'!$A$3:$CO$999,93,FALSE),"unknown")</f>
        <v>English</v>
      </c>
      <c r="BC239" s="120" t="str">
        <f>IFERROR(VLOOKUP(Table1[RespondentID],'All Data'!$A$3:$CW$999,94,FALSE),"unknown")</f>
        <v>$50,000 to $74,999</v>
      </c>
      <c r="BD239" s="120" t="str">
        <f>IFERROR(VLOOKUP(Table1[RespondentID],'All Data'!$A$3:$CW$999,95,FALSE),"unknown")</f>
        <v>College graduate</v>
      </c>
      <c r="BE239" s="120" t="str">
        <f>IFERROR(VLOOKUP(Table1[RespondentID],'All Data'!$A$3:$CW$999,96,FALSE),"unknown")</f>
        <v>Employed for wages</v>
      </c>
      <c r="BF239" s="120" t="str">
        <f>IFERROR(VLOOKUP(Table1[RespondentID],'All Data'!$A$3:$CW$999,97,FALSE),"unknown")</f>
        <v>Yes</v>
      </c>
      <c r="BG239" s="120">
        <f>IFERROR(VLOOKUP(Table1[RespondentID],'All Data'!$A$3:$CW$999,98,FALSE),"unknown")</f>
        <v>0</v>
      </c>
      <c r="BH239" s="120">
        <f>IFERROR(VLOOKUP(Table1[RespondentID],'All Data'!$A$3:$CW$999,99,FALSE),"unknown")</f>
        <v>0</v>
      </c>
    </row>
    <row r="240" spans="1:60">
      <c r="A240" s="5">
        <v>18019098685</v>
      </c>
      <c r="B240" s="5"/>
      <c r="C240" s="5"/>
      <c r="D240" s="5"/>
      <c r="E240" s="5" t="s">
        <v>17</v>
      </c>
      <c r="F240" s="5"/>
      <c r="G240" s="5"/>
      <c r="H240" s="5"/>
      <c r="I240" s="5"/>
      <c r="J240" s="5"/>
      <c r="K240" s="5"/>
      <c r="L240" s="5"/>
      <c r="M240" s="5"/>
      <c r="N240" s="5"/>
      <c r="O240" s="5" t="s">
        <v>20</v>
      </c>
      <c r="P240" s="5"/>
      <c r="Q240" s="5"/>
      <c r="R240" s="5"/>
      <c r="S240" s="5"/>
      <c r="T240" s="37"/>
      <c r="U240" s="37">
        <f t="shared" si="69"/>
        <v>2</v>
      </c>
      <c r="V240" s="37">
        <f t="shared" si="70"/>
        <v>1.5</v>
      </c>
      <c r="W240" s="37"/>
      <c r="X240" s="37">
        <f t="shared" si="71"/>
        <v>0</v>
      </c>
      <c r="Y240" s="37">
        <f t="shared" si="72"/>
        <v>0</v>
      </c>
      <c r="Z240" s="37">
        <f t="shared" si="73"/>
        <v>0</v>
      </c>
      <c r="AA240" s="37">
        <f t="shared" si="74"/>
        <v>1</v>
      </c>
      <c r="AB240" s="37">
        <f t="shared" si="75"/>
        <v>0</v>
      </c>
      <c r="AC240" s="37">
        <f t="shared" si="76"/>
        <v>0</v>
      </c>
      <c r="AD240" s="37">
        <f t="shared" si="77"/>
        <v>0</v>
      </c>
      <c r="AE240" s="37">
        <f t="shared" si="78"/>
        <v>0</v>
      </c>
      <c r="AF240" s="37">
        <f t="shared" si="79"/>
        <v>0</v>
      </c>
      <c r="AG240" s="37">
        <f t="shared" si="80"/>
        <v>0</v>
      </c>
      <c r="AH240" s="37">
        <f t="shared" si="81"/>
        <v>0</v>
      </c>
      <c r="AI240" s="37">
        <f t="shared" si="82"/>
        <v>0</v>
      </c>
      <c r="AJ240" s="37">
        <f t="shared" si="83"/>
        <v>0</v>
      </c>
      <c r="AK240" s="37">
        <f t="shared" si="84"/>
        <v>1</v>
      </c>
      <c r="AL240" s="37">
        <f t="shared" si="85"/>
        <v>0</v>
      </c>
      <c r="AM240" s="37">
        <f t="shared" si="86"/>
        <v>0</v>
      </c>
      <c r="AN240" s="37">
        <f t="shared" si="87"/>
        <v>0</v>
      </c>
      <c r="AO240" s="37">
        <f t="shared" si="88"/>
        <v>0</v>
      </c>
      <c r="AP240" s="37"/>
      <c r="AQ240" s="37"/>
      <c r="AR240" s="37">
        <f t="shared" si="89"/>
        <v>2</v>
      </c>
      <c r="AS240" s="37">
        <f t="shared" si="90"/>
        <v>2</v>
      </c>
      <c r="AT240" s="37" t="str">
        <f t="shared" si="91"/>
        <v>Correct</v>
      </c>
      <c r="AU240" s="37"/>
      <c r="AV240" s="120" t="str">
        <f>IFERROR(VLOOKUP(Table1[RespondentID],'All Data'!$A$3:$CO$999,87,FALSE),"unknown")</f>
        <v>Man</v>
      </c>
      <c r="AW240" s="120">
        <f>IFERROR(VLOOKUP(Table1[RespondentID],'All Data'!$A$3:$CO$999,88,FALSE),"unknown")</f>
        <v>27</v>
      </c>
      <c r="AX240" s="120" t="str">
        <f>IFERROR(VLOOKUP(Table1[RespondentID],'All Data'!$A$3:$CO$999,89,FALSE),"unknown")</f>
        <v>Suffolk</v>
      </c>
      <c r="AY240" s="120" t="str">
        <f>IFERROR(VLOOKUP(Table1[RespondentID],'All Data'!$A$3:$CO$999,90,FALSE),"unknown")</f>
        <v>Centerport, 11721</v>
      </c>
      <c r="AZ240" s="120" t="str">
        <f>IFERROR(VLOOKUP(Table1[RespondentID],'All Data'!$A$3:$CO$999,91,FALSE),"unknown")</f>
        <v>White</v>
      </c>
      <c r="BA240" s="120">
        <f>IFERROR(VLOOKUP(Table1[RespondentID],'All Data'!$A$3:$CO$999,92,FALSE),"unknown")</f>
        <v>0</v>
      </c>
      <c r="BB240" s="120" t="str">
        <f>IFERROR(VLOOKUP(Table1[RespondentID],'All Data'!$A$3:$CO$999,93,FALSE),"unknown")</f>
        <v>English, Spanish</v>
      </c>
      <c r="BC240" s="120" t="str">
        <f>IFERROR(VLOOKUP(Table1[RespondentID],'All Data'!$A$3:$CW$999,94,FALSE),"unknown")</f>
        <v>$75,000 to $125,000</v>
      </c>
      <c r="BD240" s="120" t="str">
        <f>IFERROR(VLOOKUP(Table1[RespondentID],'All Data'!$A$3:$CW$999,95,FALSE),"unknown")</f>
        <v>College graduate</v>
      </c>
      <c r="BE240" s="120" t="str">
        <f>IFERROR(VLOOKUP(Table1[RespondentID],'All Data'!$A$3:$CW$999,96,FALSE),"unknown")</f>
        <v>Student</v>
      </c>
      <c r="BF240" s="120" t="str">
        <f>IFERROR(VLOOKUP(Table1[RespondentID],'All Data'!$A$3:$CW$999,97,FALSE),"unknown")</f>
        <v>Yes</v>
      </c>
      <c r="BG240" s="120">
        <f>IFERROR(VLOOKUP(Table1[RespondentID],'All Data'!$A$3:$CW$999,98,FALSE),"unknown")</f>
        <v>0</v>
      </c>
      <c r="BH240" s="120">
        <f>IFERROR(VLOOKUP(Table1[RespondentID],'All Data'!$A$3:$CW$999,99,FALSE),"unknown")</f>
        <v>0</v>
      </c>
    </row>
    <row r="241" spans="1:60">
      <c r="A241" s="5">
        <v>18019098565</v>
      </c>
      <c r="B241" s="5"/>
      <c r="C241" s="5"/>
      <c r="D241" s="5" t="s">
        <v>51</v>
      </c>
      <c r="E241" s="5" t="s">
        <v>17</v>
      </c>
      <c r="F241" s="5"/>
      <c r="G241" s="5"/>
      <c r="H241" s="5"/>
      <c r="I241" s="5" t="s">
        <v>55</v>
      </c>
      <c r="J241" s="5"/>
      <c r="K241" s="5"/>
      <c r="L241" s="5"/>
      <c r="M241" s="5"/>
      <c r="N241" s="5"/>
      <c r="O241" s="5"/>
      <c r="P241" s="5"/>
      <c r="Q241" s="5"/>
      <c r="R241" s="5"/>
      <c r="S241" s="5"/>
      <c r="T241" s="37"/>
      <c r="U241" s="37">
        <f t="shared" si="69"/>
        <v>3</v>
      </c>
      <c r="V241" s="37">
        <f t="shared" si="70"/>
        <v>1</v>
      </c>
      <c r="W241" s="37"/>
      <c r="X241" s="37">
        <f t="shared" si="71"/>
        <v>0</v>
      </c>
      <c r="Y241" s="37">
        <f t="shared" si="72"/>
        <v>0</v>
      </c>
      <c r="Z241" s="37">
        <f t="shared" si="73"/>
        <v>1</v>
      </c>
      <c r="AA241" s="37">
        <f t="shared" si="74"/>
        <v>1</v>
      </c>
      <c r="AB241" s="37">
        <f t="shared" si="75"/>
        <v>0</v>
      </c>
      <c r="AC241" s="37">
        <f t="shared" si="76"/>
        <v>0</v>
      </c>
      <c r="AD241" s="37">
        <f t="shared" si="77"/>
        <v>0</v>
      </c>
      <c r="AE241" s="37">
        <f t="shared" si="78"/>
        <v>1</v>
      </c>
      <c r="AF241" s="37">
        <f t="shared" si="79"/>
        <v>0</v>
      </c>
      <c r="AG241" s="37">
        <f t="shared" si="80"/>
        <v>0</v>
      </c>
      <c r="AH241" s="37">
        <f t="shared" si="81"/>
        <v>0</v>
      </c>
      <c r="AI241" s="37">
        <f t="shared" si="82"/>
        <v>0</v>
      </c>
      <c r="AJ241" s="37">
        <f t="shared" si="83"/>
        <v>0</v>
      </c>
      <c r="AK241" s="37">
        <f t="shared" si="84"/>
        <v>0</v>
      </c>
      <c r="AL241" s="37">
        <f t="shared" si="85"/>
        <v>0</v>
      </c>
      <c r="AM241" s="37">
        <f t="shared" si="86"/>
        <v>0</v>
      </c>
      <c r="AN241" s="37">
        <f t="shared" si="87"/>
        <v>0</v>
      </c>
      <c r="AO241" s="37">
        <f t="shared" si="88"/>
        <v>0</v>
      </c>
      <c r="AP241" s="37"/>
      <c r="AQ241" s="37"/>
      <c r="AR241" s="37">
        <f t="shared" si="89"/>
        <v>3</v>
      </c>
      <c r="AS241" s="37">
        <f t="shared" si="90"/>
        <v>3</v>
      </c>
      <c r="AT241" s="37" t="str">
        <f t="shared" si="91"/>
        <v>Correct</v>
      </c>
      <c r="AU241" s="37"/>
      <c r="AV241" s="120" t="str">
        <f>IFERROR(VLOOKUP(Table1[RespondentID],'All Data'!$A$3:$CO$999,87,FALSE),"unknown")</f>
        <v>Man</v>
      </c>
      <c r="AW241" s="120">
        <f>IFERROR(VLOOKUP(Table1[RespondentID],'All Data'!$A$3:$CO$999,88,FALSE),"unknown")</f>
        <v>22</v>
      </c>
      <c r="AX241" s="120" t="str">
        <f>IFERROR(VLOOKUP(Table1[RespondentID],'All Data'!$A$3:$CO$999,89,FALSE),"unknown")</f>
        <v>Suffolk</v>
      </c>
      <c r="AY241" s="120" t="str">
        <f>IFERROR(VLOOKUP(Table1[RespondentID],'All Data'!$A$3:$CO$999,90,FALSE),"unknown")</f>
        <v>Centerport, 11721</v>
      </c>
      <c r="AZ241" s="120" t="str">
        <f>IFERROR(VLOOKUP(Table1[RespondentID],'All Data'!$A$3:$CO$999,91,FALSE),"unknown")</f>
        <v>White</v>
      </c>
      <c r="BA241" s="120" t="str">
        <f>IFERROR(VLOOKUP(Table1[RespondentID],'All Data'!$A$3:$CO$999,92,FALSE),"unknown")</f>
        <v>Hispanic or Latino</v>
      </c>
      <c r="BB241" s="120" t="str">
        <f>IFERROR(VLOOKUP(Table1[RespondentID],'All Data'!$A$3:$CO$999,93,FALSE),"unknown")</f>
        <v>English, Polish</v>
      </c>
      <c r="BC241" s="120" t="str">
        <f>IFERROR(VLOOKUP(Table1[RespondentID],'All Data'!$A$3:$CW$999,94,FALSE),"unknown")</f>
        <v>$75,000 to $125,000</v>
      </c>
      <c r="BD241" s="120" t="str">
        <f>IFERROR(VLOOKUP(Table1[RespondentID],'All Data'!$A$3:$CW$999,95,FALSE),"unknown")</f>
        <v>Some college</v>
      </c>
      <c r="BE241" s="120" t="str">
        <f>IFERROR(VLOOKUP(Table1[RespondentID],'All Data'!$A$3:$CW$999,96,FALSE),"unknown")</f>
        <v>Student</v>
      </c>
      <c r="BF241" s="120" t="str">
        <f>IFERROR(VLOOKUP(Table1[RespondentID],'All Data'!$A$3:$CW$999,97,FALSE),"unknown")</f>
        <v>No</v>
      </c>
      <c r="BG241" s="120">
        <f>IFERROR(VLOOKUP(Table1[RespondentID],'All Data'!$A$3:$CW$999,98,FALSE),"unknown")</f>
        <v>0</v>
      </c>
      <c r="BH241" s="120">
        <f>IFERROR(VLOOKUP(Table1[RespondentID],'All Data'!$A$3:$CW$999,99,FALSE),"unknown")</f>
        <v>0</v>
      </c>
    </row>
    <row r="242" spans="1:60">
      <c r="A242" s="5">
        <v>18019098372</v>
      </c>
      <c r="B242" s="5"/>
      <c r="C242" s="5"/>
      <c r="D242" s="5" t="s">
        <v>51</v>
      </c>
      <c r="E242" s="5"/>
      <c r="F242" s="5"/>
      <c r="G242" s="5"/>
      <c r="H242" s="5"/>
      <c r="I242" s="5" t="s">
        <v>55</v>
      </c>
      <c r="J242" s="5"/>
      <c r="K242" s="5"/>
      <c r="L242" s="5"/>
      <c r="M242" s="5"/>
      <c r="N242" s="5"/>
      <c r="O242" s="5"/>
      <c r="P242" s="5"/>
      <c r="Q242" s="5"/>
      <c r="R242" s="5" t="s">
        <v>62</v>
      </c>
      <c r="S242" s="5"/>
      <c r="T242" s="37"/>
      <c r="U242" s="37">
        <f t="shared" si="69"/>
        <v>3</v>
      </c>
      <c r="V242" s="37">
        <f t="shared" si="70"/>
        <v>1</v>
      </c>
      <c r="W242" s="37"/>
      <c r="X242" s="37">
        <f t="shared" si="71"/>
        <v>0</v>
      </c>
      <c r="Y242" s="37">
        <f t="shared" si="72"/>
        <v>0</v>
      </c>
      <c r="Z242" s="37">
        <f t="shared" si="73"/>
        <v>1</v>
      </c>
      <c r="AA242" s="37">
        <f t="shared" si="74"/>
        <v>0</v>
      </c>
      <c r="AB242" s="37">
        <f t="shared" si="75"/>
        <v>0</v>
      </c>
      <c r="AC242" s="37">
        <f t="shared" si="76"/>
        <v>0</v>
      </c>
      <c r="AD242" s="37">
        <f t="shared" si="77"/>
        <v>0</v>
      </c>
      <c r="AE242" s="37">
        <f t="shared" si="78"/>
        <v>1</v>
      </c>
      <c r="AF242" s="37">
        <f t="shared" si="79"/>
        <v>0</v>
      </c>
      <c r="AG242" s="37">
        <f t="shared" si="80"/>
        <v>0</v>
      </c>
      <c r="AH242" s="37">
        <f t="shared" si="81"/>
        <v>0</v>
      </c>
      <c r="AI242" s="37">
        <f t="shared" si="82"/>
        <v>0</v>
      </c>
      <c r="AJ242" s="37">
        <f t="shared" si="83"/>
        <v>0</v>
      </c>
      <c r="AK242" s="37">
        <f t="shared" si="84"/>
        <v>0</v>
      </c>
      <c r="AL242" s="37">
        <f t="shared" si="85"/>
        <v>0</v>
      </c>
      <c r="AM242" s="37">
        <f t="shared" si="86"/>
        <v>0</v>
      </c>
      <c r="AN242" s="37">
        <f t="shared" si="87"/>
        <v>1</v>
      </c>
      <c r="AO242" s="37">
        <f t="shared" si="88"/>
        <v>0</v>
      </c>
      <c r="AP242" s="37"/>
      <c r="AQ242" s="37"/>
      <c r="AR242" s="37">
        <f t="shared" si="89"/>
        <v>3</v>
      </c>
      <c r="AS242" s="37">
        <f t="shared" si="90"/>
        <v>3</v>
      </c>
      <c r="AT242" s="37" t="str">
        <f t="shared" si="91"/>
        <v>Correct</v>
      </c>
      <c r="AU242" s="37"/>
      <c r="AV242" s="120" t="str">
        <f>IFERROR(VLOOKUP(Table1[RespondentID],'All Data'!$A$3:$CO$999,87,FALSE),"unknown")</f>
        <v>Man</v>
      </c>
      <c r="AW242" s="120">
        <f>IFERROR(VLOOKUP(Table1[RespondentID],'All Data'!$A$3:$CO$999,88,FALSE),"unknown")</f>
        <v>59</v>
      </c>
      <c r="AX242" s="120" t="str">
        <f>IFERROR(VLOOKUP(Table1[RespondentID],'All Data'!$A$3:$CO$999,89,FALSE),"unknown")</f>
        <v>Suffolk</v>
      </c>
      <c r="AY242" s="120" t="str">
        <f>IFERROR(VLOOKUP(Table1[RespondentID],'All Data'!$A$3:$CO$999,90,FALSE),"unknown")</f>
        <v>Setauket, 11733</v>
      </c>
      <c r="AZ242" s="120" t="str">
        <f>IFERROR(VLOOKUP(Table1[RespondentID],'All Data'!$A$3:$CO$999,91,FALSE),"unknown")</f>
        <v>White</v>
      </c>
      <c r="BA242" s="120">
        <f>IFERROR(VLOOKUP(Table1[RespondentID],'All Data'!$A$3:$CO$999,92,FALSE),"unknown")</f>
        <v>0</v>
      </c>
      <c r="BB242" s="120" t="str">
        <f>IFERROR(VLOOKUP(Table1[RespondentID],'All Data'!$A$3:$CO$999,93,FALSE),"unknown")</f>
        <v>English</v>
      </c>
      <c r="BC242" s="120">
        <f>IFERROR(VLOOKUP(Table1[RespondentID],'All Data'!$A$3:$CW$999,94,FALSE),"unknown")</f>
        <v>0</v>
      </c>
      <c r="BD242" s="120" t="str">
        <f>IFERROR(VLOOKUP(Table1[RespondentID],'All Data'!$A$3:$CW$999,95,FALSE),"unknown")</f>
        <v>Some college</v>
      </c>
      <c r="BE242" s="120" t="str">
        <f>IFERROR(VLOOKUP(Table1[RespondentID],'All Data'!$A$3:$CW$999,96,FALSE),"unknown")</f>
        <v>Retired</v>
      </c>
      <c r="BF242" s="120" t="str">
        <f>IFERROR(VLOOKUP(Table1[RespondentID],'All Data'!$A$3:$CW$999,97,FALSE),"unknown")</f>
        <v>Yes</v>
      </c>
      <c r="BG242" s="120">
        <f>IFERROR(VLOOKUP(Table1[RespondentID],'All Data'!$A$3:$CW$999,98,FALSE),"unknown")</f>
        <v>0</v>
      </c>
      <c r="BH242" s="120">
        <f>IFERROR(VLOOKUP(Table1[RespondentID],'All Data'!$A$3:$CW$999,99,FALSE),"unknown")</f>
        <v>0</v>
      </c>
    </row>
    <row r="243" spans="1:60">
      <c r="A243" s="5">
        <v>18019098190</v>
      </c>
      <c r="B243" s="5" t="s">
        <v>49</v>
      </c>
      <c r="C243" s="5" t="s">
        <v>50</v>
      </c>
      <c r="D243" s="5" t="s">
        <v>51</v>
      </c>
      <c r="E243" s="5" t="s">
        <v>17</v>
      </c>
      <c r="F243" s="5" t="s">
        <v>52</v>
      </c>
      <c r="G243" s="5" t="s">
        <v>53</v>
      </c>
      <c r="H243" s="5" t="s">
        <v>54</v>
      </c>
      <c r="I243" s="5" t="s">
        <v>55</v>
      </c>
      <c r="J243" s="5" t="s">
        <v>56</v>
      </c>
      <c r="K243" s="5" t="s">
        <v>57</v>
      </c>
      <c r="L243" s="5" t="s">
        <v>58</v>
      </c>
      <c r="M243" s="5" t="s">
        <v>59</v>
      </c>
      <c r="N243" s="5" t="s">
        <v>24</v>
      </c>
      <c r="O243" s="5" t="s">
        <v>20</v>
      </c>
      <c r="P243" s="5" t="s">
        <v>60</v>
      </c>
      <c r="Q243" s="5" t="s">
        <v>61</v>
      </c>
      <c r="R243" s="5" t="s">
        <v>62</v>
      </c>
      <c r="S243" s="5" t="s">
        <v>63</v>
      </c>
      <c r="T243" s="37"/>
      <c r="U243" s="37">
        <f t="shared" si="69"/>
        <v>18</v>
      </c>
      <c r="V243" s="37">
        <f t="shared" si="70"/>
        <v>0.16666666666666666</v>
      </c>
      <c r="W243" s="37"/>
      <c r="X243" s="37">
        <f t="shared" si="71"/>
        <v>0.16666666666666666</v>
      </c>
      <c r="Y243" s="37">
        <f t="shared" si="72"/>
        <v>0.16666666666666666</v>
      </c>
      <c r="Z243" s="37">
        <f t="shared" si="73"/>
        <v>0.16666666666666666</v>
      </c>
      <c r="AA243" s="37">
        <f t="shared" si="74"/>
        <v>0.16666666666666666</v>
      </c>
      <c r="AB243" s="37">
        <f t="shared" si="75"/>
        <v>0.16666666666666666</v>
      </c>
      <c r="AC243" s="37">
        <f t="shared" si="76"/>
        <v>0.16666666666666666</v>
      </c>
      <c r="AD243" s="37">
        <f t="shared" si="77"/>
        <v>0.16666666666666666</v>
      </c>
      <c r="AE243" s="37">
        <f t="shared" si="78"/>
        <v>0.16666666666666666</v>
      </c>
      <c r="AF243" s="37">
        <f t="shared" si="79"/>
        <v>0.16666666666666666</v>
      </c>
      <c r="AG243" s="37">
        <f t="shared" si="80"/>
        <v>0.16666666666666666</v>
      </c>
      <c r="AH243" s="37">
        <f t="shared" si="81"/>
        <v>0.16666666666666666</v>
      </c>
      <c r="AI243" s="37">
        <f t="shared" si="82"/>
        <v>0.16666666666666666</v>
      </c>
      <c r="AJ243" s="37">
        <f t="shared" si="83"/>
        <v>0.16666666666666666</v>
      </c>
      <c r="AK243" s="37">
        <f t="shared" si="84"/>
        <v>0.16666666666666666</v>
      </c>
      <c r="AL243" s="37">
        <f t="shared" si="85"/>
        <v>0.16666666666666666</v>
      </c>
      <c r="AM243" s="37">
        <f t="shared" si="86"/>
        <v>0.16666666666666666</v>
      </c>
      <c r="AN243" s="37">
        <f t="shared" si="87"/>
        <v>0.16666666666666666</v>
      </c>
      <c r="AO243" s="37">
        <f t="shared" si="88"/>
        <v>0.16666666666666666</v>
      </c>
      <c r="AP243" s="37"/>
      <c r="AQ243" s="37"/>
      <c r="AR243" s="37">
        <f t="shared" si="89"/>
        <v>2.9999999999999991</v>
      </c>
      <c r="AS243" s="37">
        <f t="shared" si="90"/>
        <v>18</v>
      </c>
      <c r="AT243" s="37" t="str">
        <f t="shared" si="91"/>
        <v>Correct</v>
      </c>
      <c r="AU243" s="37"/>
      <c r="AV243" s="120" t="str">
        <f>IFERROR(VLOOKUP(Table1[RespondentID],'All Data'!$A$3:$CO$999,87,FALSE),"unknown")</f>
        <v>Man</v>
      </c>
      <c r="AW243" s="120">
        <f>IFERROR(VLOOKUP(Table1[RespondentID],'All Data'!$A$3:$CO$999,88,FALSE),"unknown")</f>
        <v>40</v>
      </c>
      <c r="AX243" s="120" t="str">
        <f>IFERROR(VLOOKUP(Table1[RespondentID],'All Data'!$A$3:$CO$999,89,FALSE),"unknown")</f>
        <v>Suffolk</v>
      </c>
      <c r="AY243" s="120" t="str">
        <f>IFERROR(VLOOKUP(Table1[RespondentID],'All Data'!$A$3:$CO$999,90,FALSE),"unknown")</f>
        <v>Port Jefferson Station, 11776</v>
      </c>
      <c r="AZ243" s="120" t="str">
        <f>IFERROR(VLOOKUP(Table1[RespondentID],'All Data'!$A$3:$CO$999,91,FALSE),"unknown")</f>
        <v>Other (please specify)</v>
      </c>
      <c r="BA243" s="120" t="str">
        <f>IFERROR(VLOOKUP(Table1[RespondentID],'All Data'!$A$3:$CO$999,92,FALSE),"unknown")</f>
        <v>Hispanic or Latino</v>
      </c>
      <c r="BB243" s="120">
        <f>IFERROR(VLOOKUP(Table1[RespondentID],'All Data'!$A$3:$CO$999,93,FALSE),"unknown")</f>
        <v>0</v>
      </c>
      <c r="BC243" s="120" t="str">
        <f>IFERROR(VLOOKUP(Table1[RespondentID],'All Data'!$A$3:$CW$999,94,FALSE),"unknown")</f>
        <v>$75,000 to $125,000</v>
      </c>
      <c r="BD243" s="120" t="str">
        <f>IFERROR(VLOOKUP(Table1[RespondentID],'All Data'!$A$3:$CW$999,95,FALSE),"unknown")</f>
        <v>College graduate</v>
      </c>
      <c r="BE243" s="120" t="str">
        <f>IFERROR(VLOOKUP(Table1[RespondentID],'All Data'!$A$3:$CW$999,96,FALSE),"unknown")</f>
        <v>Employed for wages</v>
      </c>
      <c r="BF243" s="120" t="str">
        <f>IFERROR(VLOOKUP(Table1[RespondentID],'All Data'!$A$3:$CW$999,97,FALSE),"unknown")</f>
        <v>Yes</v>
      </c>
      <c r="BG243" s="120">
        <f>IFERROR(VLOOKUP(Table1[RespondentID],'All Data'!$A$3:$CW$999,98,FALSE),"unknown")</f>
        <v>0</v>
      </c>
      <c r="BH243" s="120">
        <f>IFERROR(VLOOKUP(Table1[RespondentID],'All Data'!$A$3:$CW$999,99,FALSE),"unknown")</f>
        <v>0</v>
      </c>
    </row>
    <row r="244" spans="1:60">
      <c r="A244" s="5">
        <v>18019097991</v>
      </c>
      <c r="B244" s="5" t="s">
        <v>49</v>
      </c>
      <c r="C244" s="5"/>
      <c r="D244" s="5"/>
      <c r="E244" s="5"/>
      <c r="F244" s="5"/>
      <c r="G244" s="5" t="s">
        <v>53</v>
      </c>
      <c r="H244" s="5"/>
      <c r="I244" s="5"/>
      <c r="J244" s="5"/>
      <c r="K244" s="5"/>
      <c r="L244" s="5" t="s">
        <v>58</v>
      </c>
      <c r="M244" s="5"/>
      <c r="N244" s="5"/>
      <c r="O244" s="5"/>
      <c r="P244" s="5"/>
      <c r="Q244" s="5"/>
      <c r="R244" s="5"/>
      <c r="S244" s="5"/>
      <c r="T244" s="37"/>
      <c r="U244" s="37">
        <f t="shared" si="69"/>
        <v>3</v>
      </c>
      <c r="V244" s="37">
        <f t="shared" si="70"/>
        <v>1</v>
      </c>
      <c r="W244" s="37"/>
      <c r="X244" s="37">
        <f t="shared" si="71"/>
        <v>1</v>
      </c>
      <c r="Y244" s="37">
        <f t="shared" si="72"/>
        <v>0</v>
      </c>
      <c r="Z244" s="37">
        <f t="shared" si="73"/>
        <v>0</v>
      </c>
      <c r="AA244" s="37">
        <f t="shared" si="74"/>
        <v>0</v>
      </c>
      <c r="AB244" s="37">
        <f t="shared" si="75"/>
        <v>0</v>
      </c>
      <c r="AC244" s="37">
        <f t="shared" si="76"/>
        <v>1</v>
      </c>
      <c r="AD244" s="37">
        <f t="shared" si="77"/>
        <v>0</v>
      </c>
      <c r="AE244" s="37">
        <f t="shared" si="78"/>
        <v>0</v>
      </c>
      <c r="AF244" s="37">
        <f t="shared" si="79"/>
        <v>0</v>
      </c>
      <c r="AG244" s="37">
        <f t="shared" si="80"/>
        <v>0</v>
      </c>
      <c r="AH244" s="37">
        <f t="shared" si="81"/>
        <v>1</v>
      </c>
      <c r="AI244" s="37">
        <f t="shared" si="82"/>
        <v>0</v>
      </c>
      <c r="AJ244" s="37">
        <f t="shared" si="83"/>
        <v>0</v>
      </c>
      <c r="AK244" s="37">
        <f t="shared" si="84"/>
        <v>0</v>
      </c>
      <c r="AL244" s="37">
        <f t="shared" si="85"/>
        <v>0</v>
      </c>
      <c r="AM244" s="37">
        <f t="shared" si="86"/>
        <v>0</v>
      </c>
      <c r="AN244" s="37">
        <f t="shared" si="87"/>
        <v>0</v>
      </c>
      <c r="AO244" s="37">
        <f t="shared" si="88"/>
        <v>0</v>
      </c>
      <c r="AP244" s="37"/>
      <c r="AQ244" s="37"/>
      <c r="AR244" s="37">
        <f t="shared" si="89"/>
        <v>3</v>
      </c>
      <c r="AS244" s="37">
        <f t="shared" si="90"/>
        <v>3</v>
      </c>
      <c r="AT244" s="37" t="str">
        <f t="shared" si="91"/>
        <v>Correct</v>
      </c>
      <c r="AU244" s="37"/>
      <c r="AV244" s="120" t="str">
        <f>IFERROR(VLOOKUP(Table1[RespondentID],'All Data'!$A$3:$CO$999,87,FALSE),"unknown")</f>
        <v>Woman</v>
      </c>
      <c r="AW244" s="120">
        <f>IFERROR(VLOOKUP(Table1[RespondentID],'All Data'!$A$3:$CO$999,88,FALSE),"unknown")</f>
        <v>47</v>
      </c>
      <c r="AX244" s="120" t="str">
        <f>IFERROR(VLOOKUP(Table1[RespondentID],'All Data'!$A$3:$CO$999,89,FALSE),"unknown")</f>
        <v>Suffolk</v>
      </c>
      <c r="AY244" s="120" t="str">
        <f>IFERROR(VLOOKUP(Table1[RespondentID],'All Data'!$A$3:$CO$999,90,FALSE),"unknown")</f>
        <v>North Babylon, 11703</v>
      </c>
      <c r="AZ244" s="120" t="str">
        <f>IFERROR(VLOOKUP(Table1[RespondentID],'All Data'!$A$3:$CO$999,91,FALSE),"unknown")</f>
        <v>White</v>
      </c>
      <c r="BA244" s="120" t="str">
        <f>IFERROR(VLOOKUP(Table1[RespondentID],'All Data'!$A$3:$CO$999,92,FALSE),"unknown")</f>
        <v>Hispanic or Latino</v>
      </c>
      <c r="BB244" s="120" t="str">
        <f>IFERROR(VLOOKUP(Table1[RespondentID],'All Data'!$A$3:$CO$999,93,FALSE),"unknown")</f>
        <v>English</v>
      </c>
      <c r="BC244" s="120" t="str">
        <f>IFERROR(VLOOKUP(Table1[RespondentID],'All Data'!$A$3:$CW$999,94,FALSE),"unknown")</f>
        <v>Over $125,000</v>
      </c>
      <c r="BD244" s="120" t="str">
        <f>IFERROR(VLOOKUP(Table1[RespondentID],'All Data'!$A$3:$CW$999,95,FALSE),"unknown")</f>
        <v>Graduate school</v>
      </c>
      <c r="BE244" s="120" t="str">
        <f>IFERROR(VLOOKUP(Table1[RespondentID],'All Data'!$A$3:$CW$999,96,FALSE),"unknown")</f>
        <v>Employed for wages</v>
      </c>
      <c r="BF244" s="120" t="str">
        <f>IFERROR(VLOOKUP(Table1[RespondentID],'All Data'!$A$3:$CW$999,97,FALSE),"unknown")</f>
        <v>Yes</v>
      </c>
      <c r="BG244" s="120">
        <f>IFERROR(VLOOKUP(Table1[RespondentID],'All Data'!$A$3:$CW$999,98,FALSE),"unknown")</f>
        <v>0</v>
      </c>
      <c r="BH244" s="120">
        <f>IFERROR(VLOOKUP(Table1[RespondentID],'All Data'!$A$3:$CW$999,99,FALSE),"unknown")</f>
        <v>0</v>
      </c>
    </row>
    <row r="245" spans="1:60">
      <c r="A245" s="5">
        <v>18019097887</v>
      </c>
      <c r="B245" s="5" t="s">
        <v>49</v>
      </c>
      <c r="C245" s="5"/>
      <c r="D245" s="5"/>
      <c r="E245" s="5" t="s">
        <v>17</v>
      </c>
      <c r="F245" s="5"/>
      <c r="G245" s="5"/>
      <c r="H245" s="5" t="s">
        <v>54</v>
      </c>
      <c r="I245" s="5"/>
      <c r="J245" s="5"/>
      <c r="K245" s="5"/>
      <c r="L245" s="5"/>
      <c r="M245" s="5"/>
      <c r="N245" s="5"/>
      <c r="O245" s="5"/>
      <c r="P245" s="5"/>
      <c r="Q245" s="5"/>
      <c r="R245" s="5"/>
      <c r="S245" s="5"/>
      <c r="T245" s="37"/>
      <c r="U245" s="37">
        <f t="shared" si="69"/>
        <v>3</v>
      </c>
      <c r="V245" s="37">
        <f t="shared" si="70"/>
        <v>1</v>
      </c>
      <c r="W245" s="37"/>
      <c r="X245" s="37">
        <f t="shared" si="71"/>
        <v>1</v>
      </c>
      <c r="Y245" s="37">
        <f t="shared" si="72"/>
        <v>0</v>
      </c>
      <c r="Z245" s="37">
        <f t="shared" si="73"/>
        <v>0</v>
      </c>
      <c r="AA245" s="37">
        <f t="shared" si="74"/>
        <v>1</v>
      </c>
      <c r="AB245" s="37">
        <f t="shared" si="75"/>
        <v>0</v>
      </c>
      <c r="AC245" s="37">
        <f t="shared" si="76"/>
        <v>0</v>
      </c>
      <c r="AD245" s="37">
        <f t="shared" si="77"/>
        <v>1</v>
      </c>
      <c r="AE245" s="37">
        <f t="shared" si="78"/>
        <v>0</v>
      </c>
      <c r="AF245" s="37">
        <f t="shared" si="79"/>
        <v>0</v>
      </c>
      <c r="AG245" s="37">
        <f t="shared" si="80"/>
        <v>0</v>
      </c>
      <c r="AH245" s="37">
        <f t="shared" si="81"/>
        <v>0</v>
      </c>
      <c r="AI245" s="37">
        <f t="shared" si="82"/>
        <v>0</v>
      </c>
      <c r="AJ245" s="37">
        <f t="shared" si="83"/>
        <v>0</v>
      </c>
      <c r="AK245" s="37">
        <f t="shared" si="84"/>
        <v>0</v>
      </c>
      <c r="AL245" s="37">
        <f t="shared" si="85"/>
        <v>0</v>
      </c>
      <c r="AM245" s="37">
        <f t="shared" si="86"/>
        <v>0</v>
      </c>
      <c r="AN245" s="37">
        <f t="shared" si="87"/>
        <v>0</v>
      </c>
      <c r="AO245" s="37">
        <f t="shared" si="88"/>
        <v>0</v>
      </c>
      <c r="AP245" s="37"/>
      <c r="AQ245" s="37"/>
      <c r="AR245" s="37">
        <f t="shared" si="89"/>
        <v>3</v>
      </c>
      <c r="AS245" s="37">
        <f t="shared" si="90"/>
        <v>3</v>
      </c>
      <c r="AT245" s="37" t="str">
        <f t="shared" si="91"/>
        <v>Correct</v>
      </c>
      <c r="AU245" s="37"/>
      <c r="AV245" s="120" t="str">
        <f>IFERROR(VLOOKUP(Table1[RespondentID],'All Data'!$A$3:$CO$999,87,FALSE),"unknown")</f>
        <v>Man</v>
      </c>
      <c r="AW245" s="120">
        <f>IFERROR(VLOOKUP(Table1[RespondentID],'All Data'!$A$3:$CO$999,88,FALSE),"unknown")</f>
        <v>40</v>
      </c>
      <c r="AX245" s="120" t="str">
        <f>IFERROR(VLOOKUP(Table1[RespondentID],'All Data'!$A$3:$CO$999,89,FALSE),"unknown")</f>
        <v>Suffolk</v>
      </c>
      <c r="AY245" s="120" t="str">
        <f>IFERROR(VLOOKUP(Table1[RespondentID],'All Data'!$A$3:$CO$999,90,FALSE),"unknown")</f>
        <v>Rocky Point, 11778</v>
      </c>
      <c r="AZ245" s="120" t="str">
        <f>IFERROR(VLOOKUP(Table1[RespondentID],'All Data'!$A$3:$CO$999,91,FALSE),"unknown")</f>
        <v>White</v>
      </c>
      <c r="BA245" s="120" t="str">
        <f>IFERROR(VLOOKUP(Table1[RespondentID],'All Data'!$A$3:$CO$999,92,FALSE),"unknown")</f>
        <v>Hispanic or Latino</v>
      </c>
      <c r="BB245" s="120" t="str">
        <f>IFERROR(VLOOKUP(Table1[RespondentID],'All Data'!$A$3:$CO$999,93,FALSE),"unknown")</f>
        <v>English</v>
      </c>
      <c r="BC245" s="120">
        <f>IFERROR(VLOOKUP(Table1[RespondentID],'All Data'!$A$3:$CW$999,94,FALSE),"unknown")</f>
        <v>0</v>
      </c>
      <c r="BD245" s="120" t="str">
        <f>IFERROR(VLOOKUP(Table1[RespondentID],'All Data'!$A$3:$CW$999,95,FALSE),"unknown")</f>
        <v>Graduate school</v>
      </c>
      <c r="BE245" s="120" t="str">
        <f>IFERROR(VLOOKUP(Table1[RespondentID],'All Data'!$A$3:$CW$999,96,FALSE),"unknown")</f>
        <v>Employed for wages</v>
      </c>
      <c r="BF245" s="120" t="str">
        <f>IFERROR(VLOOKUP(Table1[RespondentID],'All Data'!$A$3:$CW$999,97,FALSE),"unknown")</f>
        <v>Yes</v>
      </c>
      <c r="BG245" s="120">
        <f>IFERROR(VLOOKUP(Table1[RespondentID],'All Data'!$A$3:$CW$999,98,FALSE),"unknown")</f>
        <v>0</v>
      </c>
      <c r="BH245" s="120">
        <f>IFERROR(VLOOKUP(Table1[RespondentID],'All Data'!$A$3:$CW$999,99,FALSE),"unknown")</f>
        <v>0</v>
      </c>
    </row>
    <row r="246" spans="1:60">
      <c r="A246" s="5">
        <v>18019097745</v>
      </c>
      <c r="B246" s="5"/>
      <c r="C246" s="5"/>
      <c r="D246" s="5"/>
      <c r="E246" s="5"/>
      <c r="F246" s="5"/>
      <c r="G246" s="5" t="s">
        <v>53</v>
      </c>
      <c r="H246" s="5"/>
      <c r="I246" s="5" t="s">
        <v>55</v>
      </c>
      <c r="J246" s="5"/>
      <c r="K246" s="5"/>
      <c r="L246" s="5" t="s">
        <v>58</v>
      </c>
      <c r="M246" s="5"/>
      <c r="N246" s="5"/>
      <c r="O246" s="5"/>
      <c r="P246" s="5"/>
      <c r="Q246" s="5"/>
      <c r="R246" s="5"/>
      <c r="S246" s="5"/>
      <c r="T246" s="37"/>
      <c r="U246" s="37">
        <f t="shared" si="69"/>
        <v>3</v>
      </c>
      <c r="V246" s="37">
        <f t="shared" si="70"/>
        <v>1</v>
      </c>
      <c r="W246" s="37"/>
      <c r="X246" s="37">
        <f t="shared" si="71"/>
        <v>0</v>
      </c>
      <c r="Y246" s="37">
        <f t="shared" si="72"/>
        <v>0</v>
      </c>
      <c r="Z246" s="37">
        <f t="shared" si="73"/>
        <v>0</v>
      </c>
      <c r="AA246" s="37">
        <f t="shared" si="74"/>
        <v>0</v>
      </c>
      <c r="AB246" s="37">
        <f t="shared" si="75"/>
        <v>0</v>
      </c>
      <c r="AC246" s="37">
        <f t="shared" si="76"/>
        <v>1</v>
      </c>
      <c r="AD246" s="37">
        <f t="shared" si="77"/>
        <v>0</v>
      </c>
      <c r="AE246" s="37">
        <f t="shared" si="78"/>
        <v>1</v>
      </c>
      <c r="AF246" s="37">
        <f t="shared" si="79"/>
        <v>0</v>
      </c>
      <c r="AG246" s="37">
        <f t="shared" si="80"/>
        <v>0</v>
      </c>
      <c r="AH246" s="37">
        <f t="shared" si="81"/>
        <v>1</v>
      </c>
      <c r="AI246" s="37">
        <f t="shared" si="82"/>
        <v>0</v>
      </c>
      <c r="AJ246" s="37">
        <f t="shared" si="83"/>
        <v>0</v>
      </c>
      <c r="AK246" s="37">
        <f t="shared" si="84"/>
        <v>0</v>
      </c>
      <c r="AL246" s="37">
        <f t="shared" si="85"/>
        <v>0</v>
      </c>
      <c r="AM246" s="37">
        <f t="shared" si="86"/>
        <v>0</v>
      </c>
      <c r="AN246" s="37">
        <f t="shared" si="87"/>
        <v>0</v>
      </c>
      <c r="AO246" s="37">
        <f t="shared" si="88"/>
        <v>0</v>
      </c>
      <c r="AP246" s="37"/>
      <c r="AQ246" s="37"/>
      <c r="AR246" s="37">
        <f t="shared" si="89"/>
        <v>3</v>
      </c>
      <c r="AS246" s="37">
        <f t="shared" si="90"/>
        <v>3</v>
      </c>
      <c r="AT246" s="37" t="str">
        <f t="shared" si="91"/>
        <v>Correct</v>
      </c>
      <c r="AU246" s="37"/>
      <c r="AV246" s="120" t="str">
        <f>IFERROR(VLOOKUP(Table1[RespondentID],'All Data'!$A$3:$CO$999,87,FALSE),"unknown")</f>
        <v>Woman</v>
      </c>
      <c r="AW246" s="120">
        <f>IFERROR(VLOOKUP(Table1[RespondentID],'All Data'!$A$3:$CO$999,88,FALSE),"unknown")</f>
        <v>39</v>
      </c>
      <c r="AX246" s="120" t="str">
        <f>IFERROR(VLOOKUP(Table1[RespondentID],'All Data'!$A$3:$CO$999,89,FALSE),"unknown")</f>
        <v>Suffolk</v>
      </c>
      <c r="AY246" s="120" t="str">
        <f>IFERROR(VLOOKUP(Table1[RespondentID],'All Data'!$A$3:$CO$999,90,FALSE),"unknown")</f>
        <v>Smithtown, 11787</v>
      </c>
      <c r="AZ246" s="120" t="str">
        <f>IFERROR(VLOOKUP(Table1[RespondentID],'All Data'!$A$3:$CO$999,91,FALSE),"unknown")</f>
        <v>White</v>
      </c>
      <c r="BA246" s="120" t="str">
        <f>IFERROR(VLOOKUP(Table1[RespondentID],'All Data'!$A$3:$CO$999,92,FALSE),"unknown")</f>
        <v>Hispanic or Latino</v>
      </c>
      <c r="BB246" s="120" t="str">
        <f>IFERROR(VLOOKUP(Table1[RespondentID],'All Data'!$A$3:$CO$999,93,FALSE),"unknown")</f>
        <v>English</v>
      </c>
      <c r="BC246" s="120" t="str">
        <f>IFERROR(VLOOKUP(Table1[RespondentID],'All Data'!$A$3:$CW$999,94,FALSE),"unknown")</f>
        <v>Over $125,000</v>
      </c>
      <c r="BD246" s="120" t="str">
        <f>IFERROR(VLOOKUP(Table1[RespondentID],'All Data'!$A$3:$CW$999,95,FALSE),"unknown")</f>
        <v>Graduate school</v>
      </c>
      <c r="BE246" s="120" t="str">
        <f>IFERROR(VLOOKUP(Table1[RespondentID],'All Data'!$A$3:$CW$999,96,FALSE),"unknown")</f>
        <v>Employed for wages</v>
      </c>
      <c r="BF246" s="120" t="str">
        <f>IFERROR(VLOOKUP(Table1[RespondentID],'All Data'!$A$3:$CW$999,97,FALSE),"unknown")</f>
        <v>Yes</v>
      </c>
      <c r="BG246" s="120">
        <f>IFERROR(VLOOKUP(Table1[RespondentID],'All Data'!$A$3:$CW$999,98,FALSE),"unknown")</f>
        <v>0</v>
      </c>
      <c r="BH246" s="120">
        <f>IFERROR(VLOOKUP(Table1[RespondentID],'All Data'!$A$3:$CW$999,99,FALSE),"unknown")</f>
        <v>0</v>
      </c>
    </row>
    <row r="247" spans="1:60">
      <c r="A247" s="5">
        <v>18019097274</v>
      </c>
      <c r="B247" s="5"/>
      <c r="C247" s="5"/>
      <c r="D247" s="5"/>
      <c r="E247" s="5" t="s">
        <v>17</v>
      </c>
      <c r="F247" s="5"/>
      <c r="G247" s="5"/>
      <c r="H247" s="5" t="s">
        <v>54</v>
      </c>
      <c r="I247" s="5"/>
      <c r="J247" s="5"/>
      <c r="K247" s="5"/>
      <c r="L247" s="5"/>
      <c r="M247" s="5"/>
      <c r="N247" s="5" t="s">
        <v>24</v>
      </c>
      <c r="O247" s="5"/>
      <c r="P247" s="5"/>
      <c r="Q247" s="5"/>
      <c r="R247" s="5"/>
      <c r="S247" s="5"/>
      <c r="T247" s="37"/>
      <c r="U247" s="37">
        <f t="shared" si="69"/>
        <v>3</v>
      </c>
      <c r="V247" s="37">
        <f t="shared" si="70"/>
        <v>1</v>
      </c>
      <c r="W247" s="37"/>
      <c r="X247" s="37">
        <f t="shared" si="71"/>
        <v>0</v>
      </c>
      <c r="Y247" s="37">
        <f t="shared" si="72"/>
        <v>0</v>
      </c>
      <c r="Z247" s="37">
        <f t="shared" si="73"/>
        <v>0</v>
      </c>
      <c r="AA247" s="37">
        <f t="shared" si="74"/>
        <v>1</v>
      </c>
      <c r="AB247" s="37">
        <f t="shared" si="75"/>
        <v>0</v>
      </c>
      <c r="AC247" s="37">
        <f t="shared" si="76"/>
        <v>0</v>
      </c>
      <c r="AD247" s="37">
        <f t="shared" si="77"/>
        <v>1</v>
      </c>
      <c r="AE247" s="37">
        <f t="shared" si="78"/>
        <v>0</v>
      </c>
      <c r="AF247" s="37">
        <f t="shared" si="79"/>
        <v>0</v>
      </c>
      <c r="AG247" s="37">
        <f t="shared" si="80"/>
        <v>0</v>
      </c>
      <c r="AH247" s="37">
        <f t="shared" si="81"/>
        <v>0</v>
      </c>
      <c r="AI247" s="37">
        <f t="shared" si="82"/>
        <v>0</v>
      </c>
      <c r="AJ247" s="37">
        <f t="shared" si="83"/>
        <v>1</v>
      </c>
      <c r="AK247" s="37">
        <f t="shared" si="84"/>
        <v>0</v>
      </c>
      <c r="AL247" s="37">
        <f t="shared" si="85"/>
        <v>0</v>
      </c>
      <c r="AM247" s="37">
        <f t="shared" si="86"/>
        <v>0</v>
      </c>
      <c r="AN247" s="37">
        <f t="shared" si="87"/>
        <v>0</v>
      </c>
      <c r="AO247" s="37">
        <f t="shared" si="88"/>
        <v>0</v>
      </c>
      <c r="AP247" s="37"/>
      <c r="AQ247" s="37"/>
      <c r="AR247" s="37">
        <f t="shared" si="89"/>
        <v>3</v>
      </c>
      <c r="AS247" s="37">
        <f t="shared" si="90"/>
        <v>3</v>
      </c>
      <c r="AT247" s="37" t="str">
        <f t="shared" si="91"/>
        <v>Correct</v>
      </c>
      <c r="AU247" s="37"/>
      <c r="AV247" s="120" t="str">
        <f>IFERROR(VLOOKUP(Table1[RespondentID],'All Data'!$A$3:$CO$999,87,FALSE),"unknown")</f>
        <v>Man</v>
      </c>
      <c r="AW247" s="120">
        <f>IFERROR(VLOOKUP(Table1[RespondentID],'All Data'!$A$3:$CO$999,88,FALSE),"unknown")</f>
        <v>39</v>
      </c>
      <c r="AX247" s="120" t="str">
        <f>IFERROR(VLOOKUP(Table1[RespondentID],'All Data'!$A$3:$CO$999,89,FALSE),"unknown")</f>
        <v>Suffolk</v>
      </c>
      <c r="AY247" s="120" t="str">
        <f>IFERROR(VLOOKUP(Table1[RespondentID],'All Data'!$A$3:$CO$999,90,FALSE),"unknown")</f>
        <v>Coram, 11727</v>
      </c>
      <c r="AZ247" s="120" t="str">
        <f>IFERROR(VLOOKUP(Table1[RespondentID],'All Data'!$A$3:$CO$999,91,FALSE),"unknown")</f>
        <v>White</v>
      </c>
      <c r="BA247" s="120">
        <f>IFERROR(VLOOKUP(Table1[RespondentID],'All Data'!$A$3:$CO$999,92,FALSE),"unknown")</f>
        <v>0</v>
      </c>
      <c r="BB247" s="120" t="str">
        <f>IFERROR(VLOOKUP(Table1[RespondentID],'All Data'!$A$3:$CO$999,93,FALSE),"unknown")</f>
        <v>English</v>
      </c>
      <c r="BC247" s="120" t="str">
        <f>IFERROR(VLOOKUP(Table1[RespondentID],'All Data'!$A$3:$CW$999,94,FALSE),"unknown")</f>
        <v>Over $125,000</v>
      </c>
      <c r="BD247" s="120" t="str">
        <f>IFERROR(VLOOKUP(Table1[RespondentID],'All Data'!$A$3:$CW$999,95,FALSE),"unknown")</f>
        <v>College graduate</v>
      </c>
      <c r="BE247" s="120" t="str">
        <f>IFERROR(VLOOKUP(Table1[RespondentID],'All Data'!$A$3:$CW$999,96,FALSE),"unknown")</f>
        <v>Employed for wages</v>
      </c>
      <c r="BF247" s="120" t="str">
        <f>IFERROR(VLOOKUP(Table1[RespondentID],'All Data'!$A$3:$CW$999,97,FALSE),"unknown")</f>
        <v>Yes</v>
      </c>
      <c r="BG247" s="120">
        <f>IFERROR(VLOOKUP(Table1[RespondentID],'All Data'!$A$3:$CW$999,98,FALSE),"unknown")</f>
        <v>0</v>
      </c>
      <c r="BH247" s="120">
        <f>IFERROR(VLOOKUP(Table1[RespondentID],'All Data'!$A$3:$CW$999,99,FALSE),"unknown")</f>
        <v>0</v>
      </c>
    </row>
    <row r="248" spans="1:60">
      <c r="A248" s="5">
        <v>18019097132</v>
      </c>
      <c r="B248" s="5" t="s">
        <v>49</v>
      </c>
      <c r="C248" s="5"/>
      <c r="D248" s="5"/>
      <c r="E248" s="5" t="s">
        <v>17</v>
      </c>
      <c r="F248" s="5"/>
      <c r="G248" s="5"/>
      <c r="H248" s="5" t="s">
        <v>54</v>
      </c>
      <c r="I248" s="5"/>
      <c r="J248" s="5"/>
      <c r="K248" s="5"/>
      <c r="L248" s="5"/>
      <c r="M248" s="5"/>
      <c r="N248" s="5"/>
      <c r="O248" s="5"/>
      <c r="P248" s="5"/>
      <c r="Q248" s="5" t="s">
        <v>61</v>
      </c>
      <c r="R248" s="5"/>
      <c r="S248" s="5"/>
      <c r="T248" s="37"/>
      <c r="U248" s="37">
        <f t="shared" si="69"/>
        <v>4</v>
      </c>
      <c r="V248" s="37">
        <f t="shared" si="70"/>
        <v>0.75</v>
      </c>
      <c r="W248" s="37"/>
      <c r="X248" s="37">
        <f t="shared" si="71"/>
        <v>0.75</v>
      </c>
      <c r="Y248" s="37">
        <f t="shared" si="72"/>
        <v>0</v>
      </c>
      <c r="Z248" s="37">
        <f t="shared" si="73"/>
        <v>0</v>
      </c>
      <c r="AA248" s="37">
        <f t="shared" si="74"/>
        <v>0.75</v>
      </c>
      <c r="AB248" s="37">
        <f t="shared" si="75"/>
        <v>0</v>
      </c>
      <c r="AC248" s="37">
        <f t="shared" si="76"/>
        <v>0</v>
      </c>
      <c r="AD248" s="37">
        <f t="shared" si="77"/>
        <v>0.75</v>
      </c>
      <c r="AE248" s="37">
        <f t="shared" si="78"/>
        <v>0</v>
      </c>
      <c r="AF248" s="37">
        <f t="shared" si="79"/>
        <v>0</v>
      </c>
      <c r="AG248" s="37">
        <f t="shared" si="80"/>
        <v>0</v>
      </c>
      <c r="AH248" s="37">
        <f t="shared" si="81"/>
        <v>0</v>
      </c>
      <c r="AI248" s="37">
        <f t="shared" si="82"/>
        <v>0</v>
      </c>
      <c r="AJ248" s="37">
        <f t="shared" si="83"/>
        <v>0</v>
      </c>
      <c r="AK248" s="37">
        <f t="shared" si="84"/>
        <v>0</v>
      </c>
      <c r="AL248" s="37">
        <f t="shared" si="85"/>
        <v>0</v>
      </c>
      <c r="AM248" s="37">
        <f t="shared" si="86"/>
        <v>0.75</v>
      </c>
      <c r="AN248" s="37">
        <f t="shared" si="87"/>
        <v>0</v>
      </c>
      <c r="AO248" s="37">
        <f t="shared" si="88"/>
        <v>0</v>
      </c>
      <c r="AP248" s="37"/>
      <c r="AQ248" s="37"/>
      <c r="AR248" s="37">
        <f t="shared" si="89"/>
        <v>3</v>
      </c>
      <c r="AS248" s="37">
        <f t="shared" si="90"/>
        <v>4</v>
      </c>
      <c r="AT248" s="37" t="str">
        <f t="shared" si="91"/>
        <v>Correct</v>
      </c>
      <c r="AU248" s="37"/>
      <c r="AV248" s="120" t="str">
        <f>IFERROR(VLOOKUP(Table1[RespondentID],'All Data'!$A$3:$CO$999,87,FALSE),"unknown")</f>
        <v>Woman</v>
      </c>
      <c r="AW248" s="120">
        <f>IFERROR(VLOOKUP(Table1[RespondentID],'All Data'!$A$3:$CO$999,88,FALSE),"unknown")</f>
        <v>50</v>
      </c>
      <c r="AX248" s="120" t="str">
        <f>IFERROR(VLOOKUP(Table1[RespondentID],'All Data'!$A$3:$CO$999,89,FALSE),"unknown")</f>
        <v>Suffolk</v>
      </c>
      <c r="AY248" s="120" t="str">
        <f>IFERROR(VLOOKUP(Table1[RespondentID],'All Data'!$A$3:$CO$999,90,FALSE),"unknown")</f>
        <v>West Islip, 11795</v>
      </c>
      <c r="AZ248" s="120" t="str">
        <f>IFERROR(VLOOKUP(Table1[RespondentID],'All Data'!$A$3:$CO$999,91,FALSE),"unknown")</f>
        <v>White</v>
      </c>
      <c r="BA248" s="120">
        <f>IFERROR(VLOOKUP(Table1[RespondentID],'All Data'!$A$3:$CO$999,92,FALSE),"unknown")</f>
        <v>0</v>
      </c>
      <c r="BB248" s="120" t="str">
        <f>IFERROR(VLOOKUP(Table1[RespondentID],'All Data'!$A$3:$CO$999,93,FALSE),"unknown")</f>
        <v>English</v>
      </c>
      <c r="BC248" s="120" t="str">
        <f>IFERROR(VLOOKUP(Table1[RespondentID],'All Data'!$A$3:$CW$999,94,FALSE),"unknown")</f>
        <v>Over $125,000</v>
      </c>
      <c r="BD248" s="120" t="str">
        <f>IFERROR(VLOOKUP(Table1[RespondentID],'All Data'!$A$3:$CW$999,95,FALSE),"unknown")</f>
        <v>College graduate</v>
      </c>
      <c r="BE248" s="120" t="str">
        <f>IFERROR(VLOOKUP(Table1[RespondentID],'All Data'!$A$3:$CW$999,96,FALSE),"unknown")</f>
        <v>Employed for wages</v>
      </c>
      <c r="BF248" s="120" t="str">
        <f>IFERROR(VLOOKUP(Table1[RespondentID],'All Data'!$A$3:$CW$999,97,FALSE),"unknown")</f>
        <v>Yes</v>
      </c>
      <c r="BG248" s="120">
        <f>IFERROR(VLOOKUP(Table1[RespondentID],'All Data'!$A$3:$CW$999,98,FALSE),"unknown")</f>
        <v>0</v>
      </c>
      <c r="BH248" s="120">
        <f>IFERROR(VLOOKUP(Table1[RespondentID],'All Data'!$A$3:$CW$999,99,FALSE),"unknown")</f>
        <v>0</v>
      </c>
    </row>
    <row r="249" spans="1:60">
      <c r="A249" s="5">
        <v>18019096838</v>
      </c>
      <c r="B249" s="5" t="s">
        <v>49</v>
      </c>
      <c r="C249" s="5"/>
      <c r="D249" s="5"/>
      <c r="E249" s="5" t="s">
        <v>17</v>
      </c>
      <c r="F249" s="5"/>
      <c r="G249" s="5"/>
      <c r="H249" s="5" t="s">
        <v>54</v>
      </c>
      <c r="I249" s="5"/>
      <c r="J249" s="5"/>
      <c r="K249" s="5"/>
      <c r="L249" s="5"/>
      <c r="M249" s="5"/>
      <c r="N249" s="5" t="s">
        <v>24</v>
      </c>
      <c r="O249" s="5"/>
      <c r="P249" s="5"/>
      <c r="Q249" s="5"/>
      <c r="R249" s="5"/>
      <c r="S249" s="5"/>
      <c r="T249" s="37"/>
      <c r="U249" s="37">
        <f t="shared" si="69"/>
        <v>4</v>
      </c>
      <c r="V249" s="37">
        <f t="shared" si="70"/>
        <v>0.75</v>
      </c>
      <c r="W249" s="37"/>
      <c r="X249" s="37">
        <f t="shared" si="71"/>
        <v>0.75</v>
      </c>
      <c r="Y249" s="37">
        <f t="shared" si="72"/>
        <v>0</v>
      </c>
      <c r="Z249" s="37">
        <f t="shared" si="73"/>
        <v>0</v>
      </c>
      <c r="AA249" s="37">
        <f t="shared" si="74"/>
        <v>0.75</v>
      </c>
      <c r="AB249" s="37">
        <f t="shared" si="75"/>
        <v>0</v>
      </c>
      <c r="AC249" s="37">
        <f t="shared" si="76"/>
        <v>0</v>
      </c>
      <c r="AD249" s="37">
        <f t="shared" si="77"/>
        <v>0.75</v>
      </c>
      <c r="AE249" s="37">
        <f t="shared" si="78"/>
        <v>0</v>
      </c>
      <c r="AF249" s="37">
        <f t="shared" si="79"/>
        <v>0</v>
      </c>
      <c r="AG249" s="37">
        <f t="shared" si="80"/>
        <v>0</v>
      </c>
      <c r="AH249" s="37">
        <f t="shared" si="81"/>
        <v>0</v>
      </c>
      <c r="AI249" s="37">
        <f t="shared" si="82"/>
        <v>0</v>
      </c>
      <c r="AJ249" s="37">
        <f t="shared" si="83"/>
        <v>0.75</v>
      </c>
      <c r="AK249" s="37">
        <f t="shared" si="84"/>
        <v>0</v>
      </c>
      <c r="AL249" s="37">
        <f t="shared" si="85"/>
        <v>0</v>
      </c>
      <c r="AM249" s="37">
        <f t="shared" si="86"/>
        <v>0</v>
      </c>
      <c r="AN249" s="37">
        <f t="shared" si="87"/>
        <v>0</v>
      </c>
      <c r="AO249" s="37">
        <f t="shared" si="88"/>
        <v>0</v>
      </c>
      <c r="AP249" s="37"/>
      <c r="AQ249" s="37"/>
      <c r="AR249" s="37">
        <f t="shared" si="89"/>
        <v>3</v>
      </c>
      <c r="AS249" s="37">
        <f t="shared" si="90"/>
        <v>4</v>
      </c>
      <c r="AT249" s="37" t="str">
        <f t="shared" si="91"/>
        <v>Correct</v>
      </c>
      <c r="AU249" s="37"/>
      <c r="AV249" s="120" t="str">
        <f>IFERROR(VLOOKUP(Table1[RespondentID],'All Data'!$A$3:$CO$999,87,FALSE),"unknown")</f>
        <v>Man</v>
      </c>
      <c r="AW249" s="120">
        <f>IFERROR(VLOOKUP(Table1[RespondentID],'All Data'!$A$3:$CO$999,88,FALSE),"unknown")</f>
        <v>69</v>
      </c>
      <c r="AX249" s="120">
        <f>IFERROR(VLOOKUP(Table1[RespondentID],'All Data'!$A$3:$CO$999,89,FALSE),"unknown")</f>
        <v>0</v>
      </c>
      <c r="AY249" s="120">
        <f>IFERROR(VLOOKUP(Table1[RespondentID],'All Data'!$A$3:$CO$999,90,FALSE),"unknown")</f>
        <v>0</v>
      </c>
      <c r="AZ249" s="120">
        <f>IFERROR(VLOOKUP(Table1[RespondentID],'All Data'!$A$3:$CO$999,91,FALSE),"unknown")</f>
        <v>0</v>
      </c>
      <c r="BA249" s="120">
        <f>IFERROR(VLOOKUP(Table1[RespondentID],'All Data'!$A$3:$CO$999,92,FALSE),"unknown")</f>
        <v>0</v>
      </c>
      <c r="BB249" s="120">
        <f>IFERROR(VLOOKUP(Table1[RespondentID],'All Data'!$A$3:$CO$999,93,FALSE),"unknown")</f>
        <v>0</v>
      </c>
      <c r="BC249" s="120">
        <f>IFERROR(VLOOKUP(Table1[RespondentID],'All Data'!$A$3:$CW$999,94,FALSE),"unknown")</f>
        <v>0</v>
      </c>
      <c r="BD249" s="120">
        <f>IFERROR(VLOOKUP(Table1[RespondentID],'All Data'!$A$3:$CW$999,95,FALSE),"unknown")</f>
        <v>0</v>
      </c>
      <c r="BE249" s="120">
        <f>IFERROR(VLOOKUP(Table1[RespondentID],'All Data'!$A$3:$CW$999,96,FALSE),"unknown")</f>
        <v>0</v>
      </c>
      <c r="BF249" s="120">
        <f>IFERROR(VLOOKUP(Table1[RespondentID],'All Data'!$A$3:$CW$999,97,FALSE),"unknown")</f>
        <v>0</v>
      </c>
      <c r="BG249" s="120">
        <f>IFERROR(VLOOKUP(Table1[RespondentID],'All Data'!$A$3:$CW$999,98,FALSE),"unknown")</f>
        <v>0</v>
      </c>
      <c r="BH249" s="120">
        <f>IFERROR(VLOOKUP(Table1[RespondentID],'All Data'!$A$3:$CW$999,99,FALSE),"unknown")</f>
        <v>0</v>
      </c>
    </row>
    <row r="250" spans="1:60">
      <c r="A250" s="5">
        <v>18019096349</v>
      </c>
      <c r="B250" s="5" t="s">
        <v>49</v>
      </c>
      <c r="C250" s="5"/>
      <c r="D250" s="5" t="s">
        <v>51</v>
      </c>
      <c r="E250" s="5" t="s">
        <v>17</v>
      </c>
      <c r="F250" s="5"/>
      <c r="G250" s="5" t="s">
        <v>53</v>
      </c>
      <c r="H250" s="5" t="s">
        <v>54</v>
      </c>
      <c r="I250" s="5"/>
      <c r="J250" s="5"/>
      <c r="K250" s="5"/>
      <c r="L250" s="5" t="s">
        <v>58</v>
      </c>
      <c r="M250" s="5"/>
      <c r="N250" s="5" t="s">
        <v>24</v>
      </c>
      <c r="O250" s="5"/>
      <c r="P250" s="5" t="s">
        <v>60</v>
      </c>
      <c r="Q250" s="5"/>
      <c r="R250" s="5"/>
      <c r="S250" s="5"/>
      <c r="T250" s="37"/>
      <c r="U250" s="37">
        <f t="shared" si="69"/>
        <v>8</v>
      </c>
      <c r="V250" s="37">
        <f t="shared" si="70"/>
        <v>0.375</v>
      </c>
      <c r="W250" s="37"/>
      <c r="X250" s="37">
        <f t="shared" si="71"/>
        <v>0.375</v>
      </c>
      <c r="Y250" s="37">
        <f t="shared" si="72"/>
        <v>0</v>
      </c>
      <c r="Z250" s="37">
        <f t="shared" si="73"/>
        <v>0.375</v>
      </c>
      <c r="AA250" s="37">
        <f t="shared" si="74"/>
        <v>0.375</v>
      </c>
      <c r="AB250" s="37">
        <f t="shared" si="75"/>
        <v>0</v>
      </c>
      <c r="AC250" s="37">
        <f t="shared" si="76"/>
        <v>0.375</v>
      </c>
      <c r="AD250" s="37">
        <f t="shared" si="77"/>
        <v>0.375</v>
      </c>
      <c r="AE250" s="37">
        <f t="shared" si="78"/>
        <v>0</v>
      </c>
      <c r="AF250" s="37">
        <f t="shared" si="79"/>
        <v>0</v>
      </c>
      <c r="AG250" s="37">
        <f t="shared" si="80"/>
        <v>0</v>
      </c>
      <c r="AH250" s="37">
        <f t="shared" si="81"/>
        <v>0.375</v>
      </c>
      <c r="AI250" s="37">
        <f t="shared" si="82"/>
        <v>0</v>
      </c>
      <c r="AJ250" s="37">
        <f t="shared" si="83"/>
        <v>0.375</v>
      </c>
      <c r="AK250" s="37">
        <f t="shared" si="84"/>
        <v>0</v>
      </c>
      <c r="AL250" s="37">
        <f t="shared" si="85"/>
        <v>0.375</v>
      </c>
      <c r="AM250" s="37">
        <f t="shared" si="86"/>
        <v>0</v>
      </c>
      <c r="AN250" s="37">
        <f t="shared" si="87"/>
        <v>0</v>
      </c>
      <c r="AO250" s="37">
        <f t="shared" si="88"/>
        <v>0</v>
      </c>
      <c r="AP250" s="37"/>
      <c r="AQ250" s="37"/>
      <c r="AR250" s="37">
        <f t="shared" si="89"/>
        <v>3</v>
      </c>
      <c r="AS250" s="37">
        <f t="shared" si="90"/>
        <v>8</v>
      </c>
      <c r="AT250" s="37" t="str">
        <f t="shared" si="91"/>
        <v>Correct</v>
      </c>
      <c r="AU250" s="37"/>
      <c r="AV250" s="120" t="str">
        <f>IFERROR(VLOOKUP(Table1[RespondentID],'All Data'!$A$3:$CO$999,87,FALSE),"unknown")</f>
        <v>Woman</v>
      </c>
      <c r="AW250" s="120">
        <f>IFERROR(VLOOKUP(Table1[RespondentID],'All Data'!$A$3:$CO$999,88,FALSE),"unknown")</f>
        <v>58</v>
      </c>
      <c r="AX250" s="120" t="str">
        <f>IFERROR(VLOOKUP(Table1[RespondentID],'All Data'!$A$3:$CO$999,89,FALSE),"unknown")</f>
        <v>Suffolk</v>
      </c>
      <c r="AY250" s="120" t="str">
        <f>IFERROR(VLOOKUP(Table1[RespondentID],'All Data'!$A$3:$CO$999,90,FALSE),"unknown")</f>
        <v>West Babylon, 11704</v>
      </c>
      <c r="AZ250" s="120" t="str">
        <f>IFERROR(VLOOKUP(Table1[RespondentID],'All Data'!$A$3:$CO$999,91,FALSE),"unknown")</f>
        <v>White</v>
      </c>
      <c r="BA250" s="120">
        <f>IFERROR(VLOOKUP(Table1[RespondentID],'All Data'!$A$3:$CO$999,92,FALSE),"unknown")</f>
        <v>0</v>
      </c>
      <c r="BB250" s="120" t="str">
        <f>IFERROR(VLOOKUP(Table1[RespondentID],'All Data'!$A$3:$CO$999,93,FALSE),"unknown")</f>
        <v>English</v>
      </c>
      <c r="BC250" s="120" t="str">
        <f>IFERROR(VLOOKUP(Table1[RespondentID],'All Data'!$A$3:$CW$999,94,FALSE),"unknown")</f>
        <v>Over $125,000</v>
      </c>
      <c r="BD250" s="120" t="str">
        <f>IFERROR(VLOOKUP(Table1[RespondentID],'All Data'!$A$3:$CW$999,95,FALSE),"unknown")</f>
        <v>Some college</v>
      </c>
      <c r="BE250" s="120" t="str">
        <f>IFERROR(VLOOKUP(Table1[RespondentID],'All Data'!$A$3:$CW$999,96,FALSE),"unknown")</f>
        <v>Employed for wages</v>
      </c>
      <c r="BF250" s="120" t="str">
        <f>IFERROR(VLOOKUP(Table1[RespondentID],'All Data'!$A$3:$CW$999,97,FALSE),"unknown")</f>
        <v>Yes</v>
      </c>
      <c r="BG250" s="120">
        <f>IFERROR(VLOOKUP(Table1[RespondentID],'All Data'!$A$3:$CW$999,98,FALSE),"unknown")</f>
        <v>0</v>
      </c>
      <c r="BH250" s="120">
        <f>IFERROR(VLOOKUP(Table1[RespondentID],'All Data'!$A$3:$CW$999,99,FALSE),"unknown")</f>
        <v>0</v>
      </c>
    </row>
    <row r="251" spans="1:60">
      <c r="A251" s="5">
        <v>18019096113</v>
      </c>
      <c r="B251" s="5" t="s">
        <v>49</v>
      </c>
      <c r="C251" s="5"/>
      <c r="D251" s="5" t="s">
        <v>51</v>
      </c>
      <c r="E251" s="5" t="s">
        <v>17</v>
      </c>
      <c r="F251" s="5" t="s">
        <v>52</v>
      </c>
      <c r="G251" s="5"/>
      <c r="H251" s="5" t="s">
        <v>54</v>
      </c>
      <c r="I251" s="5"/>
      <c r="J251" s="5"/>
      <c r="K251" s="5"/>
      <c r="L251" s="5"/>
      <c r="M251" s="5"/>
      <c r="N251" s="5" t="s">
        <v>24</v>
      </c>
      <c r="O251" s="5"/>
      <c r="P251" s="5"/>
      <c r="Q251" s="5" t="s">
        <v>61</v>
      </c>
      <c r="R251" s="5" t="s">
        <v>62</v>
      </c>
      <c r="S251" s="5" t="s">
        <v>63</v>
      </c>
      <c r="T251" s="37"/>
      <c r="U251" s="37">
        <f t="shared" si="69"/>
        <v>9</v>
      </c>
      <c r="V251" s="37">
        <f t="shared" si="70"/>
        <v>0.33333333333333331</v>
      </c>
      <c r="W251" s="37"/>
      <c r="X251" s="37">
        <f t="shared" si="71"/>
        <v>0.33333333333333331</v>
      </c>
      <c r="Y251" s="37">
        <f t="shared" si="72"/>
        <v>0</v>
      </c>
      <c r="Z251" s="37">
        <f t="shared" si="73"/>
        <v>0.33333333333333331</v>
      </c>
      <c r="AA251" s="37">
        <f t="shared" si="74"/>
        <v>0.33333333333333331</v>
      </c>
      <c r="AB251" s="37">
        <f t="shared" si="75"/>
        <v>0.33333333333333331</v>
      </c>
      <c r="AC251" s="37">
        <f t="shared" si="76"/>
        <v>0</v>
      </c>
      <c r="AD251" s="37">
        <f t="shared" si="77"/>
        <v>0.33333333333333331</v>
      </c>
      <c r="AE251" s="37">
        <f t="shared" si="78"/>
        <v>0</v>
      </c>
      <c r="AF251" s="37">
        <f t="shared" si="79"/>
        <v>0</v>
      </c>
      <c r="AG251" s="37">
        <f t="shared" si="80"/>
        <v>0</v>
      </c>
      <c r="AH251" s="37">
        <f t="shared" si="81"/>
        <v>0</v>
      </c>
      <c r="AI251" s="37">
        <f t="shared" si="82"/>
        <v>0</v>
      </c>
      <c r="AJ251" s="37">
        <f t="shared" si="83"/>
        <v>0.33333333333333331</v>
      </c>
      <c r="AK251" s="37">
        <f t="shared" si="84"/>
        <v>0</v>
      </c>
      <c r="AL251" s="37">
        <f t="shared" si="85"/>
        <v>0</v>
      </c>
      <c r="AM251" s="37">
        <f t="shared" si="86"/>
        <v>0.33333333333333331</v>
      </c>
      <c r="AN251" s="37">
        <f t="shared" si="87"/>
        <v>0.33333333333333331</v>
      </c>
      <c r="AO251" s="37">
        <f t="shared" si="88"/>
        <v>0.33333333333333331</v>
      </c>
      <c r="AP251" s="37"/>
      <c r="AQ251" s="37"/>
      <c r="AR251" s="37">
        <f t="shared" si="89"/>
        <v>3</v>
      </c>
      <c r="AS251" s="37">
        <f t="shared" si="90"/>
        <v>9</v>
      </c>
      <c r="AT251" s="37" t="str">
        <f t="shared" si="91"/>
        <v>Correct</v>
      </c>
      <c r="AU251" s="37"/>
      <c r="AV251" s="120" t="str">
        <f>IFERROR(VLOOKUP(Table1[RespondentID],'All Data'!$A$3:$CO$999,87,FALSE),"unknown")</f>
        <v>Man</v>
      </c>
      <c r="AW251" s="120">
        <f>IFERROR(VLOOKUP(Table1[RespondentID],'All Data'!$A$3:$CO$999,88,FALSE),"unknown")</f>
        <v>56</v>
      </c>
      <c r="AX251" s="120" t="str">
        <f>IFERROR(VLOOKUP(Table1[RespondentID],'All Data'!$A$3:$CO$999,89,FALSE),"unknown")</f>
        <v>Suffolk</v>
      </c>
      <c r="AY251" s="120" t="str">
        <f>IFERROR(VLOOKUP(Table1[RespondentID],'All Data'!$A$3:$CO$999,90,FALSE),"unknown")</f>
        <v>West Babylon, 11704</v>
      </c>
      <c r="AZ251" s="120" t="str">
        <f>IFERROR(VLOOKUP(Table1[RespondentID],'All Data'!$A$3:$CO$999,91,FALSE),"unknown")</f>
        <v>White</v>
      </c>
      <c r="BA251" s="120" t="str">
        <f>IFERROR(VLOOKUP(Table1[RespondentID],'All Data'!$A$3:$CO$999,92,FALSE),"unknown")</f>
        <v>Hispanic or Latino</v>
      </c>
      <c r="BB251" s="120" t="str">
        <f>IFERROR(VLOOKUP(Table1[RespondentID],'All Data'!$A$3:$CO$999,93,FALSE),"unknown")</f>
        <v>English</v>
      </c>
      <c r="BC251" s="120" t="str">
        <f>IFERROR(VLOOKUP(Table1[RespondentID],'All Data'!$A$3:$CW$999,94,FALSE),"unknown")</f>
        <v>Over $125,000</v>
      </c>
      <c r="BD251" s="120" t="str">
        <f>IFERROR(VLOOKUP(Table1[RespondentID],'All Data'!$A$3:$CW$999,95,FALSE),"unknown")</f>
        <v>Some college</v>
      </c>
      <c r="BE251" s="120" t="str">
        <f>IFERROR(VLOOKUP(Table1[RespondentID],'All Data'!$A$3:$CW$999,96,FALSE),"unknown")</f>
        <v>Employed for wages</v>
      </c>
      <c r="BF251" s="120" t="str">
        <f>IFERROR(VLOOKUP(Table1[RespondentID],'All Data'!$A$3:$CW$999,97,FALSE),"unknown")</f>
        <v>Yes</v>
      </c>
      <c r="BG251" s="120">
        <f>IFERROR(VLOOKUP(Table1[RespondentID],'All Data'!$A$3:$CW$999,98,FALSE),"unknown")</f>
        <v>0</v>
      </c>
      <c r="BH251" s="120">
        <f>IFERROR(VLOOKUP(Table1[RespondentID],'All Data'!$A$3:$CW$999,99,FALSE),"unknown")</f>
        <v>0</v>
      </c>
    </row>
    <row r="252" spans="1:60">
      <c r="A252" s="5">
        <v>18019095931</v>
      </c>
      <c r="B252" s="5"/>
      <c r="C252" s="5"/>
      <c r="D252" s="5" t="s">
        <v>51</v>
      </c>
      <c r="E252" s="5" t="s">
        <v>17</v>
      </c>
      <c r="F252" s="5" t="s">
        <v>52</v>
      </c>
      <c r="G252" s="5"/>
      <c r="H252" s="5"/>
      <c r="I252" s="5"/>
      <c r="J252" s="5"/>
      <c r="K252" s="5"/>
      <c r="L252" s="5"/>
      <c r="M252" s="5"/>
      <c r="N252" s="5"/>
      <c r="O252" s="5"/>
      <c r="P252" s="5"/>
      <c r="Q252" s="5"/>
      <c r="R252" s="5"/>
      <c r="S252" s="5"/>
      <c r="T252" s="37"/>
      <c r="U252" s="37">
        <f t="shared" si="69"/>
        <v>3</v>
      </c>
      <c r="V252" s="37">
        <f t="shared" si="70"/>
        <v>1</v>
      </c>
      <c r="W252" s="37"/>
      <c r="X252" s="37">
        <f t="shared" si="71"/>
        <v>0</v>
      </c>
      <c r="Y252" s="37">
        <f t="shared" si="72"/>
        <v>0</v>
      </c>
      <c r="Z252" s="37">
        <f t="shared" si="73"/>
        <v>1</v>
      </c>
      <c r="AA252" s="37">
        <f t="shared" si="74"/>
        <v>1</v>
      </c>
      <c r="AB252" s="37">
        <f t="shared" si="75"/>
        <v>1</v>
      </c>
      <c r="AC252" s="37">
        <f t="shared" si="76"/>
        <v>0</v>
      </c>
      <c r="AD252" s="37">
        <f t="shared" si="77"/>
        <v>0</v>
      </c>
      <c r="AE252" s="37">
        <f t="shared" si="78"/>
        <v>0</v>
      </c>
      <c r="AF252" s="37">
        <f t="shared" si="79"/>
        <v>0</v>
      </c>
      <c r="AG252" s="37">
        <f t="shared" si="80"/>
        <v>0</v>
      </c>
      <c r="AH252" s="37">
        <f t="shared" si="81"/>
        <v>0</v>
      </c>
      <c r="AI252" s="37">
        <f t="shared" si="82"/>
        <v>0</v>
      </c>
      <c r="AJ252" s="37">
        <f t="shared" si="83"/>
        <v>0</v>
      </c>
      <c r="AK252" s="37">
        <f t="shared" si="84"/>
        <v>0</v>
      </c>
      <c r="AL252" s="37">
        <f t="shared" si="85"/>
        <v>0</v>
      </c>
      <c r="AM252" s="37">
        <f t="shared" si="86"/>
        <v>0</v>
      </c>
      <c r="AN252" s="37">
        <f t="shared" si="87"/>
        <v>0</v>
      </c>
      <c r="AO252" s="37">
        <f t="shared" si="88"/>
        <v>0</v>
      </c>
      <c r="AP252" s="37"/>
      <c r="AQ252" s="37"/>
      <c r="AR252" s="37">
        <f t="shared" si="89"/>
        <v>3</v>
      </c>
      <c r="AS252" s="37">
        <f t="shared" si="90"/>
        <v>3</v>
      </c>
      <c r="AT252" s="37" t="str">
        <f t="shared" si="91"/>
        <v>Correct</v>
      </c>
      <c r="AU252" s="37"/>
      <c r="AV252" s="120" t="str">
        <f>IFERROR(VLOOKUP(Table1[RespondentID],'All Data'!$A$3:$CO$999,87,FALSE),"unknown")</f>
        <v>Man</v>
      </c>
      <c r="AW252" s="120">
        <f>IFERROR(VLOOKUP(Table1[RespondentID],'All Data'!$A$3:$CO$999,88,FALSE),"unknown")</f>
        <v>43</v>
      </c>
      <c r="AX252" s="120" t="str">
        <f>IFERROR(VLOOKUP(Table1[RespondentID],'All Data'!$A$3:$CO$999,89,FALSE),"unknown")</f>
        <v>Suffolk</v>
      </c>
      <c r="AY252" s="120" t="str">
        <f>IFERROR(VLOOKUP(Table1[RespondentID],'All Data'!$A$3:$CO$999,90,FALSE),"unknown")</f>
        <v>Commack, 11725</v>
      </c>
      <c r="AZ252" s="120" t="str">
        <f>IFERROR(VLOOKUP(Table1[RespondentID],'All Data'!$A$3:$CO$999,91,FALSE),"unknown")</f>
        <v>White</v>
      </c>
      <c r="BA252" s="120" t="str">
        <f>IFERROR(VLOOKUP(Table1[RespondentID],'All Data'!$A$3:$CO$999,92,FALSE),"unknown")</f>
        <v>Hispanic or Latino</v>
      </c>
      <c r="BB252" s="120" t="str">
        <f>IFERROR(VLOOKUP(Table1[RespondentID],'All Data'!$A$3:$CO$999,93,FALSE),"unknown")</f>
        <v>English</v>
      </c>
      <c r="BC252" s="120" t="str">
        <f>IFERROR(VLOOKUP(Table1[RespondentID],'All Data'!$A$3:$CW$999,94,FALSE),"unknown")</f>
        <v>Over $125,000</v>
      </c>
      <c r="BD252" s="120" t="str">
        <f>IFERROR(VLOOKUP(Table1[RespondentID],'All Data'!$A$3:$CW$999,95,FALSE),"unknown")</f>
        <v>Graduate school</v>
      </c>
      <c r="BE252" s="120" t="str">
        <f>IFERROR(VLOOKUP(Table1[RespondentID],'All Data'!$A$3:$CW$999,96,FALSE),"unknown")</f>
        <v>Self-employed</v>
      </c>
      <c r="BF252" s="120" t="str">
        <f>IFERROR(VLOOKUP(Table1[RespondentID],'All Data'!$A$3:$CW$999,97,FALSE),"unknown")</f>
        <v>Yes</v>
      </c>
      <c r="BG252" s="120">
        <f>IFERROR(VLOOKUP(Table1[RespondentID],'All Data'!$A$3:$CW$999,98,FALSE),"unknown")</f>
        <v>0</v>
      </c>
      <c r="BH252" s="120">
        <f>IFERROR(VLOOKUP(Table1[RespondentID],'All Data'!$A$3:$CW$999,99,FALSE),"unknown")</f>
        <v>0</v>
      </c>
    </row>
    <row r="253" spans="1:60">
      <c r="A253" s="5">
        <v>18019095788</v>
      </c>
      <c r="B253" s="5"/>
      <c r="C253" s="5"/>
      <c r="D253" s="5" t="s">
        <v>51</v>
      </c>
      <c r="E253" s="5"/>
      <c r="F253" s="5"/>
      <c r="G253" s="5" t="s">
        <v>53</v>
      </c>
      <c r="H253" s="5" t="s">
        <v>54</v>
      </c>
      <c r="I253" s="5"/>
      <c r="J253" s="5"/>
      <c r="K253" s="5"/>
      <c r="L253" s="5"/>
      <c r="M253" s="5"/>
      <c r="N253" s="5"/>
      <c r="O253" s="5"/>
      <c r="P253" s="5"/>
      <c r="Q253" s="5"/>
      <c r="R253" s="5"/>
      <c r="S253" s="5"/>
      <c r="T253" s="37"/>
      <c r="U253" s="37">
        <f t="shared" si="69"/>
        <v>3</v>
      </c>
      <c r="V253" s="37">
        <f t="shared" si="70"/>
        <v>1</v>
      </c>
      <c r="W253" s="37"/>
      <c r="X253" s="37">
        <f t="shared" si="71"/>
        <v>0</v>
      </c>
      <c r="Y253" s="37">
        <f t="shared" si="72"/>
        <v>0</v>
      </c>
      <c r="Z253" s="37">
        <f t="shared" si="73"/>
        <v>1</v>
      </c>
      <c r="AA253" s="37">
        <f t="shared" si="74"/>
        <v>0</v>
      </c>
      <c r="AB253" s="37">
        <f t="shared" si="75"/>
        <v>0</v>
      </c>
      <c r="AC253" s="37">
        <f t="shared" si="76"/>
        <v>1</v>
      </c>
      <c r="AD253" s="37">
        <f t="shared" si="77"/>
        <v>1</v>
      </c>
      <c r="AE253" s="37">
        <f t="shared" si="78"/>
        <v>0</v>
      </c>
      <c r="AF253" s="37">
        <f t="shared" si="79"/>
        <v>0</v>
      </c>
      <c r="AG253" s="37">
        <f t="shared" si="80"/>
        <v>0</v>
      </c>
      <c r="AH253" s="37">
        <f t="shared" si="81"/>
        <v>0</v>
      </c>
      <c r="AI253" s="37">
        <f t="shared" si="82"/>
        <v>0</v>
      </c>
      <c r="AJ253" s="37">
        <f t="shared" si="83"/>
        <v>0</v>
      </c>
      <c r="AK253" s="37">
        <f t="shared" si="84"/>
        <v>0</v>
      </c>
      <c r="AL253" s="37">
        <f t="shared" si="85"/>
        <v>0</v>
      </c>
      <c r="AM253" s="37">
        <f t="shared" si="86"/>
        <v>0</v>
      </c>
      <c r="AN253" s="37">
        <f t="shared" si="87"/>
        <v>0</v>
      </c>
      <c r="AO253" s="37">
        <f t="shared" si="88"/>
        <v>0</v>
      </c>
      <c r="AP253" s="37"/>
      <c r="AQ253" s="37"/>
      <c r="AR253" s="37">
        <f t="shared" si="89"/>
        <v>3</v>
      </c>
      <c r="AS253" s="37">
        <f t="shared" si="90"/>
        <v>3</v>
      </c>
      <c r="AT253" s="37" t="str">
        <f t="shared" si="91"/>
        <v>Correct</v>
      </c>
      <c r="AU253" s="37"/>
      <c r="AV253" s="120" t="str">
        <f>IFERROR(VLOOKUP(Table1[RespondentID],'All Data'!$A$3:$CO$999,87,FALSE),"unknown")</f>
        <v>Woman</v>
      </c>
      <c r="AW253" s="120">
        <f>IFERROR(VLOOKUP(Table1[RespondentID],'All Data'!$A$3:$CO$999,88,FALSE),"unknown")</f>
        <v>48</v>
      </c>
      <c r="AX253" s="120" t="str">
        <f>IFERROR(VLOOKUP(Table1[RespondentID],'All Data'!$A$3:$CO$999,89,FALSE),"unknown")</f>
        <v>Suffolk</v>
      </c>
      <c r="AY253" s="120" t="str">
        <f>IFERROR(VLOOKUP(Table1[RespondentID],'All Data'!$A$3:$CO$999,90,FALSE),"unknown")</f>
        <v>Commack, 11725</v>
      </c>
      <c r="AZ253" s="120" t="str">
        <f>IFERROR(VLOOKUP(Table1[RespondentID],'All Data'!$A$3:$CO$999,91,FALSE),"unknown")</f>
        <v>White</v>
      </c>
      <c r="BA253" s="120" t="str">
        <f>IFERROR(VLOOKUP(Table1[RespondentID],'All Data'!$A$3:$CO$999,92,FALSE),"unknown")</f>
        <v>Hispanic or Latino</v>
      </c>
      <c r="BB253" s="120" t="str">
        <f>IFERROR(VLOOKUP(Table1[RespondentID],'All Data'!$A$3:$CO$999,93,FALSE),"unknown")</f>
        <v>English</v>
      </c>
      <c r="BC253" s="120" t="str">
        <f>IFERROR(VLOOKUP(Table1[RespondentID],'All Data'!$A$3:$CW$999,94,FALSE),"unknown")</f>
        <v>Over $125,000</v>
      </c>
      <c r="BD253" s="120" t="str">
        <f>IFERROR(VLOOKUP(Table1[RespondentID],'All Data'!$A$3:$CW$999,95,FALSE),"unknown")</f>
        <v>Some college</v>
      </c>
      <c r="BE253" s="120" t="str">
        <f>IFERROR(VLOOKUP(Table1[RespondentID],'All Data'!$A$3:$CW$999,96,FALSE),"unknown")</f>
        <v>Employed for wages</v>
      </c>
      <c r="BF253" s="120" t="str">
        <f>IFERROR(VLOOKUP(Table1[RespondentID],'All Data'!$A$3:$CW$999,97,FALSE),"unknown")</f>
        <v>Yes</v>
      </c>
      <c r="BG253" s="120">
        <f>IFERROR(VLOOKUP(Table1[RespondentID],'All Data'!$A$3:$CW$999,98,FALSE),"unknown")</f>
        <v>0</v>
      </c>
      <c r="BH253" s="120">
        <f>IFERROR(VLOOKUP(Table1[RespondentID],'All Data'!$A$3:$CW$999,99,FALSE),"unknown")</f>
        <v>0</v>
      </c>
    </row>
    <row r="254" spans="1:60">
      <c r="A254" s="5">
        <v>18019095658</v>
      </c>
      <c r="B254" s="5" t="s">
        <v>49</v>
      </c>
      <c r="C254" s="5"/>
      <c r="D254" s="5"/>
      <c r="E254" s="5" t="s">
        <v>17</v>
      </c>
      <c r="F254" s="5" t="s">
        <v>52</v>
      </c>
      <c r="G254" s="5"/>
      <c r="H254" s="5" t="s">
        <v>54</v>
      </c>
      <c r="I254" s="5"/>
      <c r="J254" s="5"/>
      <c r="K254" s="5"/>
      <c r="L254" s="5" t="s">
        <v>58</v>
      </c>
      <c r="M254" s="5"/>
      <c r="N254" s="5" t="s">
        <v>24</v>
      </c>
      <c r="O254" s="5"/>
      <c r="P254" s="5"/>
      <c r="Q254" s="5" t="s">
        <v>61</v>
      </c>
      <c r="R254" s="5"/>
      <c r="S254" s="5"/>
      <c r="T254" s="37"/>
      <c r="U254" s="37">
        <f t="shared" si="69"/>
        <v>7</v>
      </c>
      <c r="V254" s="37">
        <f t="shared" si="70"/>
        <v>0.42857142857142855</v>
      </c>
      <c r="W254" s="37"/>
      <c r="X254" s="37">
        <f t="shared" si="71"/>
        <v>0.42857142857142855</v>
      </c>
      <c r="Y254" s="37">
        <f t="shared" si="72"/>
        <v>0</v>
      </c>
      <c r="Z254" s="37">
        <f t="shared" si="73"/>
        <v>0</v>
      </c>
      <c r="AA254" s="37">
        <f t="shared" si="74"/>
        <v>0.42857142857142855</v>
      </c>
      <c r="AB254" s="37">
        <f t="shared" si="75"/>
        <v>0.42857142857142855</v>
      </c>
      <c r="AC254" s="37">
        <f t="shared" si="76"/>
        <v>0</v>
      </c>
      <c r="AD254" s="37">
        <f t="shared" si="77"/>
        <v>0.42857142857142855</v>
      </c>
      <c r="AE254" s="37">
        <f t="shared" si="78"/>
        <v>0</v>
      </c>
      <c r="AF254" s="37">
        <f t="shared" si="79"/>
        <v>0</v>
      </c>
      <c r="AG254" s="37">
        <f t="shared" si="80"/>
        <v>0</v>
      </c>
      <c r="AH254" s="37">
        <f t="shared" si="81"/>
        <v>0.42857142857142855</v>
      </c>
      <c r="AI254" s="37">
        <f t="shared" si="82"/>
        <v>0</v>
      </c>
      <c r="AJ254" s="37">
        <f t="shared" si="83"/>
        <v>0.42857142857142855</v>
      </c>
      <c r="AK254" s="37">
        <f t="shared" si="84"/>
        <v>0</v>
      </c>
      <c r="AL254" s="37">
        <f t="shared" si="85"/>
        <v>0</v>
      </c>
      <c r="AM254" s="37">
        <f t="shared" si="86"/>
        <v>0.42857142857142855</v>
      </c>
      <c r="AN254" s="37">
        <f t="shared" si="87"/>
        <v>0</v>
      </c>
      <c r="AO254" s="37">
        <f t="shared" si="88"/>
        <v>0</v>
      </c>
      <c r="AP254" s="37"/>
      <c r="AQ254" s="37"/>
      <c r="AR254" s="37">
        <f t="shared" si="89"/>
        <v>2.9999999999999996</v>
      </c>
      <c r="AS254" s="37">
        <f t="shared" si="90"/>
        <v>7</v>
      </c>
      <c r="AT254" s="37" t="str">
        <f t="shared" si="91"/>
        <v>Correct</v>
      </c>
      <c r="AU254" s="37"/>
      <c r="AV254" s="120" t="str">
        <f>IFERROR(VLOOKUP(Table1[RespondentID],'All Data'!$A$3:$CO$999,87,FALSE),"unknown")</f>
        <v>Man</v>
      </c>
      <c r="AW254" s="120">
        <f>IFERROR(VLOOKUP(Table1[RespondentID],'All Data'!$A$3:$CO$999,88,FALSE),"unknown")</f>
        <v>49</v>
      </c>
      <c r="AX254" s="120" t="str">
        <f>IFERROR(VLOOKUP(Table1[RespondentID],'All Data'!$A$3:$CO$999,89,FALSE),"unknown")</f>
        <v>Suffolk</v>
      </c>
      <c r="AY254" s="120" t="str">
        <f>IFERROR(VLOOKUP(Table1[RespondentID],'All Data'!$A$3:$CO$999,90,FALSE),"unknown")</f>
        <v>West Islip, 11795</v>
      </c>
      <c r="AZ254" s="120" t="str">
        <f>IFERROR(VLOOKUP(Table1[RespondentID],'All Data'!$A$3:$CO$999,91,FALSE),"unknown")</f>
        <v>White</v>
      </c>
      <c r="BA254" s="120" t="str">
        <f>IFERROR(VLOOKUP(Table1[RespondentID],'All Data'!$A$3:$CO$999,92,FALSE),"unknown")</f>
        <v>Hispanic or Latino</v>
      </c>
      <c r="BB254" s="120" t="str">
        <f>IFERROR(VLOOKUP(Table1[RespondentID],'All Data'!$A$3:$CO$999,93,FALSE),"unknown")</f>
        <v>English</v>
      </c>
      <c r="BC254" s="120" t="str">
        <f>IFERROR(VLOOKUP(Table1[RespondentID],'All Data'!$A$3:$CW$999,94,FALSE),"unknown")</f>
        <v>Over $125,000</v>
      </c>
      <c r="BD254" s="120" t="str">
        <f>IFERROR(VLOOKUP(Table1[RespondentID],'All Data'!$A$3:$CW$999,95,FALSE),"unknown")</f>
        <v>College graduate</v>
      </c>
      <c r="BE254" s="120" t="str">
        <f>IFERROR(VLOOKUP(Table1[RespondentID],'All Data'!$A$3:$CW$999,96,FALSE),"unknown")</f>
        <v>Employed for wages</v>
      </c>
      <c r="BF254" s="120" t="str">
        <f>IFERROR(VLOOKUP(Table1[RespondentID],'All Data'!$A$3:$CW$999,97,FALSE),"unknown")</f>
        <v>Yes</v>
      </c>
      <c r="BG254" s="120">
        <f>IFERROR(VLOOKUP(Table1[RespondentID],'All Data'!$A$3:$CW$999,98,FALSE),"unknown")</f>
        <v>0</v>
      </c>
      <c r="BH254" s="120">
        <f>IFERROR(VLOOKUP(Table1[RespondentID],'All Data'!$A$3:$CW$999,99,FALSE),"unknown")</f>
        <v>0</v>
      </c>
    </row>
    <row r="255" spans="1:60">
      <c r="A255" s="5">
        <v>18019095504</v>
      </c>
      <c r="B255" s="5" t="s">
        <v>49</v>
      </c>
      <c r="C255" s="5"/>
      <c r="D255" s="5"/>
      <c r="E255" s="5" t="s">
        <v>17</v>
      </c>
      <c r="F255" s="5" t="s">
        <v>52</v>
      </c>
      <c r="G255" s="5"/>
      <c r="H255" s="5" t="s">
        <v>54</v>
      </c>
      <c r="I255" s="5" t="s">
        <v>55</v>
      </c>
      <c r="J255" s="5"/>
      <c r="K255" s="5"/>
      <c r="L255" s="5"/>
      <c r="M255" s="5"/>
      <c r="N255" s="5"/>
      <c r="O255" s="5"/>
      <c r="P255" s="5"/>
      <c r="Q255" s="5"/>
      <c r="R255" s="5"/>
      <c r="S255" s="5"/>
      <c r="T255" s="37"/>
      <c r="U255" s="37">
        <f t="shared" si="69"/>
        <v>5</v>
      </c>
      <c r="V255" s="37">
        <f t="shared" si="70"/>
        <v>0.6</v>
      </c>
      <c r="W255" s="37"/>
      <c r="X255" s="37">
        <f t="shared" si="71"/>
        <v>0.6</v>
      </c>
      <c r="Y255" s="37">
        <f t="shared" si="72"/>
        <v>0</v>
      </c>
      <c r="Z255" s="37">
        <f t="shared" si="73"/>
        <v>0</v>
      </c>
      <c r="AA255" s="37">
        <f t="shared" si="74"/>
        <v>0.6</v>
      </c>
      <c r="AB255" s="37">
        <f t="shared" si="75"/>
        <v>0.6</v>
      </c>
      <c r="AC255" s="37">
        <f t="shared" si="76"/>
        <v>0</v>
      </c>
      <c r="AD255" s="37">
        <f t="shared" si="77"/>
        <v>0.6</v>
      </c>
      <c r="AE255" s="37">
        <f t="shared" si="78"/>
        <v>0.6</v>
      </c>
      <c r="AF255" s="37">
        <f t="shared" si="79"/>
        <v>0</v>
      </c>
      <c r="AG255" s="37">
        <f t="shared" si="80"/>
        <v>0</v>
      </c>
      <c r="AH255" s="37">
        <f t="shared" si="81"/>
        <v>0</v>
      </c>
      <c r="AI255" s="37">
        <f t="shared" si="82"/>
        <v>0</v>
      </c>
      <c r="AJ255" s="37">
        <f t="shared" si="83"/>
        <v>0</v>
      </c>
      <c r="AK255" s="37">
        <f t="shared" si="84"/>
        <v>0</v>
      </c>
      <c r="AL255" s="37">
        <f t="shared" si="85"/>
        <v>0</v>
      </c>
      <c r="AM255" s="37">
        <f t="shared" si="86"/>
        <v>0</v>
      </c>
      <c r="AN255" s="37">
        <f t="shared" si="87"/>
        <v>0</v>
      </c>
      <c r="AO255" s="37">
        <f t="shared" si="88"/>
        <v>0</v>
      </c>
      <c r="AP255" s="37"/>
      <c r="AQ255" s="37"/>
      <c r="AR255" s="37">
        <f t="shared" si="89"/>
        <v>3</v>
      </c>
      <c r="AS255" s="37">
        <f t="shared" si="90"/>
        <v>5</v>
      </c>
      <c r="AT255" s="37" t="str">
        <f t="shared" si="91"/>
        <v>Correct</v>
      </c>
      <c r="AU255" s="37"/>
      <c r="AV255" s="120" t="str">
        <f>IFERROR(VLOOKUP(Table1[RespondentID],'All Data'!$A$3:$CO$999,87,FALSE),"unknown")</f>
        <v>Woman</v>
      </c>
      <c r="AW255" s="120">
        <f>IFERROR(VLOOKUP(Table1[RespondentID],'All Data'!$A$3:$CO$999,88,FALSE),"unknown")</f>
        <v>49</v>
      </c>
      <c r="AX255" s="120" t="str">
        <f>IFERROR(VLOOKUP(Table1[RespondentID],'All Data'!$A$3:$CO$999,89,FALSE),"unknown")</f>
        <v>Suffolk</v>
      </c>
      <c r="AY255" s="120" t="str">
        <f>IFERROR(VLOOKUP(Table1[RespondentID],'All Data'!$A$3:$CO$999,90,FALSE),"unknown")</f>
        <v>Coram, 11727</v>
      </c>
      <c r="AZ255" s="120" t="str">
        <f>IFERROR(VLOOKUP(Table1[RespondentID],'All Data'!$A$3:$CO$999,91,FALSE),"unknown")</f>
        <v>White</v>
      </c>
      <c r="BA255" s="120">
        <f>IFERROR(VLOOKUP(Table1[RespondentID],'All Data'!$A$3:$CO$999,92,FALSE),"unknown")</f>
        <v>0</v>
      </c>
      <c r="BB255" s="120" t="str">
        <f>IFERROR(VLOOKUP(Table1[RespondentID],'All Data'!$A$3:$CO$999,93,FALSE),"unknown")</f>
        <v>English</v>
      </c>
      <c r="BC255" s="120" t="str">
        <f>IFERROR(VLOOKUP(Table1[RespondentID],'All Data'!$A$3:$CW$999,94,FALSE),"unknown")</f>
        <v>$75,000 to $125,000</v>
      </c>
      <c r="BD255" s="120" t="str">
        <f>IFERROR(VLOOKUP(Table1[RespondentID],'All Data'!$A$3:$CW$999,95,FALSE),"unknown")</f>
        <v>College graduate</v>
      </c>
      <c r="BE255" s="120" t="str">
        <f>IFERROR(VLOOKUP(Table1[RespondentID],'All Data'!$A$3:$CW$999,96,FALSE),"unknown")</f>
        <v>Employed for wages</v>
      </c>
      <c r="BF255" s="120" t="str">
        <f>IFERROR(VLOOKUP(Table1[RespondentID],'All Data'!$A$3:$CW$999,97,FALSE),"unknown")</f>
        <v>Yes</v>
      </c>
      <c r="BG255" s="120">
        <f>IFERROR(VLOOKUP(Table1[RespondentID],'All Data'!$A$3:$CW$999,98,FALSE),"unknown")</f>
        <v>0</v>
      </c>
      <c r="BH255" s="120">
        <f>IFERROR(VLOOKUP(Table1[RespondentID],'All Data'!$A$3:$CW$999,99,FALSE),"unknown")</f>
        <v>0</v>
      </c>
    </row>
    <row r="256" spans="1:60">
      <c r="A256" s="5">
        <v>18019095328</v>
      </c>
      <c r="B256" s="5"/>
      <c r="C256" s="5"/>
      <c r="D256" s="5"/>
      <c r="E256" s="5"/>
      <c r="F256" s="5" t="s">
        <v>52</v>
      </c>
      <c r="G256" s="5"/>
      <c r="H256" s="5"/>
      <c r="I256" s="5"/>
      <c r="J256" s="5"/>
      <c r="K256" s="5"/>
      <c r="L256" s="5" t="s">
        <v>58</v>
      </c>
      <c r="M256" s="5" t="s">
        <v>59</v>
      </c>
      <c r="N256" s="5"/>
      <c r="O256" s="5"/>
      <c r="P256" s="5"/>
      <c r="Q256" s="5"/>
      <c r="R256" s="5"/>
      <c r="S256" s="5"/>
      <c r="T256" s="37"/>
      <c r="U256" s="37">
        <f t="shared" si="69"/>
        <v>3</v>
      </c>
      <c r="V256" s="37">
        <f t="shared" si="70"/>
        <v>1</v>
      </c>
      <c r="W256" s="37"/>
      <c r="X256" s="37">
        <f t="shared" si="71"/>
        <v>0</v>
      </c>
      <c r="Y256" s="37">
        <f t="shared" si="72"/>
        <v>0</v>
      </c>
      <c r="Z256" s="37">
        <f t="shared" si="73"/>
        <v>0</v>
      </c>
      <c r="AA256" s="37">
        <f t="shared" si="74"/>
        <v>0</v>
      </c>
      <c r="AB256" s="37">
        <f t="shared" si="75"/>
        <v>1</v>
      </c>
      <c r="AC256" s="37">
        <f t="shared" si="76"/>
        <v>0</v>
      </c>
      <c r="AD256" s="37">
        <f t="shared" si="77"/>
        <v>0</v>
      </c>
      <c r="AE256" s="37">
        <f t="shared" si="78"/>
        <v>0</v>
      </c>
      <c r="AF256" s="37">
        <f t="shared" si="79"/>
        <v>0</v>
      </c>
      <c r="AG256" s="37">
        <f t="shared" si="80"/>
        <v>0</v>
      </c>
      <c r="AH256" s="37">
        <f t="shared" si="81"/>
        <v>1</v>
      </c>
      <c r="AI256" s="37">
        <f t="shared" si="82"/>
        <v>1</v>
      </c>
      <c r="AJ256" s="37">
        <f t="shared" si="83"/>
        <v>0</v>
      </c>
      <c r="AK256" s="37">
        <f t="shared" si="84"/>
        <v>0</v>
      </c>
      <c r="AL256" s="37">
        <f t="shared" si="85"/>
        <v>0</v>
      </c>
      <c r="AM256" s="37">
        <f t="shared" si="86"/>
        <v>0</v>
      </c>
      <c r="AN256" s="37">
        <f t="shared" si="87"/>
        <v>0</v>
      </c>
      <c r="AO256" s="37">
        <f t="shared" si="88"/>
        <v>0</v>
      </c>
      <c r="AP256" s="37"/>
      <c r="AQ256" s="37"/>
      <c r="AR256" s="37">
        <f t="shared" si="89"/>
        <v>3</v>
      </c>
      <c r="AS256" s="37">
        <f t="shared" si="90"/>
        <v>3</v>
      </c>
      <c r="AT256" s="37" t="str">
        <f t="shared" si="91"/>
        <v>Correct</v>
      </c>
      <c r="AU256" s="37"/>
      <c r="AV256" s="120" t="str">
        <f>IFERROR(VLOOKUP(Table1[RespondentID],'All Data'!$A$3:$CO$999,87,FALSE),"unknown")</f>
        <v>Man</v>
      </c>
      <c r="AW256" s="120">
        <f>IFERROR(VLOOKUP(Table1[RespondentID],'All Data'!$A$3:$CO$999,88,FALSE),"unknown")</f>
        <v>48</v>
      </c>
      <c r="AX256" s="120" t="str">
        <f>IFERROR(VLOOKUP(Table1[RespondentID],'All Data'!$A$3:$CO$999,89,FALSE),"unknown")</f>
        <v>Suffolk</v>
      </c>
      <c r="AY256" s="120" t="str">
        <f>IFERROR(VLOOKUP(Table1[RespondentID],'All Data'!$A$3:$CO$999,90,FALSE),"unknown")</f>
        <v>Commack, 11725</v>
      </c>
      <c r="AZ256" s="120" t="str">
        <f>IFERROR(VLOOKUP(Table1[RespondentID],'All Data'!$A$3:$CO$999,91,FALSE),"unknown")</f>
        <v>White</v>
      </c>
      <c r="BA256" s="120" t="str">
        <f>IFERROR(VLOOKUP(Table1[RespondentID],'All Data'!$A$3:$CO$999,92,FALSE),"unknown")</f>
        <v>Hispanic or Latino</v>
      </c>
      <c r="BB256" s="120" t="str">
        <f>IFERROR(VLOOKUP(Table1[RespondentID],'All Data'!$A$3:$CO$999,93,FALSE),"unknown")</f>
        <v>English</v>
      </c>
      <c r="BC256" s="120" t="str">
        <f>IFERROR(VLOOKUP(Table1[RespondentID],'All Data'!$A$3:$CW$999,94,FALSE),"unknown")</f>
        <v>Over $125,000</v>
      </c>
      <c r="BD256" s="120" t="str">
        <f>IFERROR(VLOOKUP(Table1[RespondentID],'All Data'!$A$3:$CW$999,95,FALSE),"unknown")</f>
        <v>College graduate</v>
      </c>
      <c r="BE256" s="120" t="str">
        <f>IFERROR(VLOOKUP(Table1[RespondentID],'All Data'!$A$3:$CW$999,96,FALSE),"unknown")</f>
        <v>Out of work, but not currently looking</v>
      </c>
      <c r="BF256" s="120" t="str">
        <f>IFERROR(VLOOKUP(Table1[RespondentID],'All Data'!$A$3:$CW$999,97,FALSE),"unknown")</f>
        <v>Yes</v>
      </c>
      <c r="BG256" s="120">
        <f>IFERROR(VLOOKUP(Table1[RespondentID],'All Data'!$A$3:$CW$999,98,FALSE),"unknown")</f>
        <v>0</v>
      </c>
      <c r="BH256" s="120">
        <f>IFERROR(VLOOKUP(Table1[RespondentID],'All Data'!$A$3:$CW$999,99,FALSE),"unknown")</f>
        <v>0</v>
      </c>
    </row>
    <row r="257" spans="1:60">
      <c r="A257" s="5">
        <v>18019095130</v>
      </c>
      <c r="B257" s="5"/>
      <c r="C257" s="5"/>
      <c r="D257" s="5"/>
      <c r="E257" s="5"/>
      <c r="F257" s="5" t="s">
        <v>52</v>
      </c>
      <c r="G257" s="5"/>
      <c r="H257" s="5"/>
      <c r="I257" s="5"/>
      <c r="J257" s="5"/>
      <c r="K257" s="5"/>
      <c r="L257" s="5"/>
      <c r="M257" s="5"/>
      <c r="N257" s="5"/>
      <c r="O257" s="5"/>
      <c r="P257" s="5"/>
      <c r="Q257" s="5"/>
      <c r="R257" s="5" t="s">
        <v>62</v>
      </c>
      <c r="S257" s="5"/>
      <c r="T257" s="37"/>
      <c r="U257" s="37">
        <f t="shared" si="69"/>
        <v>2</v>
      </c>
      <c r="V257" s="37">
        <f t="shared" si="70"/>
        <v>1.5</v>
      </c>
      <c r="W257" s="37"/>
      <c r="X257" s="37">
        <f t="shared" si="71"/>
        <v>0</v>
      </c>
      <c r="Y257" s="37">
        <f t="shared" si="72"/>
        <v>0</v>
      </c>
      <c r="Z257" s="37">
        <f t="shared" si="73"/>
        <v>0</v>
      </c>
      <c r="AA257" s="37">
        <f t="shared" si="74"/>
        <v>0</v>
      </c>
      <c r="AB257" s="37">
        <f t="shared" si="75"/>
        <v>1</v>
      </c>
      <c r="AC257" s="37">
        <f t="shared" si="76"/>
        <v>0</v>
      </c>
      <c r="AD257" s="37">
        <f t="shared" si="77"/>
        <v>0</v>
      </c>
      <c r="AE257" s="37">
        <f t="shared" si="78"/>
        <v>0</v>
      </c>
      <c r="AF257" s="37">
        <f t="shared" si="79"/>
        <v>0</v>
      </c>
      <c r="AG257" s="37">
        <f t="shared" si="80"/>
        <v>0</v>
      </c>
      <c r="AH257" s="37">
        <f t="shared" si="81"/>
        <v>0</v>
      </c>
      <c r="AI257" s="37">
        <f t="shared" si="82"/>
        <v>0</v>
      </c>
      <c r="AJ257" s="37">
        <f t="shared" si="83"/>
        <v>0</v>
      </c>
      <c r="AK257" s="37">
        <f t="shared" si="84"/>
        <v>0</v>
      </c>
      <c r="AL257" s="37">
        <f t="shared" si="85"/>
        <v>0</v>
      </c>
      <c r="AM257" s="37">
        <f t="shared" si="86"/>
        <v>0</v>
      </c>
      <c r="AN257" s="37">
        <f t="shared" si="87"/>
        <v>1</v>
      </c>
      <c r="AO257" s="37">
        <f t="shared" si="88"/>
        <v>0</v>
      </c>
      <c r="AP257" s="37"/>
      <c r="AQ257" s="37"/>
      <c r="AR257" s="37">
        <f t="shared" si="89"/>
        <v>2</v>
      </c>
      <c r="AS257" s="37">
        <f t="shared" si="90"/>
        <v>2</v>
      </c>
      <c r="AT257" s="37" t="str">
        <f t="shared" si="91"/>
        <v>Correct</v>
      </c>
      <c r="AU257" s="37"/>
      <c r="AV257" s="120" t="str">
        <f>IFERROR(VLOOKUP(Table1[RespondentID],'All Data'!$A$3:$CO$999,87,FALSE),"unknown")</f>
        <v>Woman</v>
      </c>
      <c r="AW257" s="120">
        <f>IFERROR(VLOOKUP(Table1[RespondentID],'All Data'!$A$3:$CO$999,88,FALSE),"unknown")</f>
        <v>50</v>
      </c>
      <c r="AX257" s="120" t="str">
        <f>IFERROR(VLOOKUP(Table1[RespondentID],'All Data'!$A$3:$CO$999,89,FALSE),"unknown")</f>
        <v>Suffolk</v>
      </c>
      <c r="AY257" s="120" t="str">
        <f>IFERROR(VLOOKUP(Table1[RespondentID],'All Data'!$A$3:$CO$999,90,FALSE),"unknown")</f>
        <v>Nesconset, 11767</v>
      </c>
      <c r="AZ257" s="120" t="str">
        <f>IFERROR(VLOOKUP(Table1[RespondentID],'All Data'!$A$3:$CO$999,91,FALSE),"unknown")</f>
        <v>White</v>
      </c>
      <c r="BA257" s="120" t="str">
        <f>IFERROR(VLOOKUP(Table1[RespondentID],'All Data'!$A$3:$CO$999,92,FALSE),"unknown")</f>
        <v>Hispanic or Latino</v>
      </c>
      <c r="BB257" s="120" t="str">
        <f>IFERROR(VLOOKUP(Table1[RespondentID],'All Data'!$A$3:$CO$999,93,FALSE),"unknown")</f>
        <v>English</v>
      </c>
      <c r="BC257" s="120" t="str">
        <f>IFERROR(VLOOKUP(Table1[RespondentID],'All Data'!$A$3:$CW$999,94,FALSE),"unknown")</f>
        <v>$75,000 to $125,000</v>
      </c>
      <c r="BD257" s="120" t="str">
        <f>IFERROR(VLOOKUP(Table1[RespondentID],'All Data'!$A$3:$CW$999,95,FALSE),"unknown")</f>
        <v>High school graduate</v>
      </c>
      <c r="BE257" s="120" t="str">
        <f>IFERROR(VLOOKUP(Table1[RespondentID],'All Data'!$A$3:$CW$999,96,FALSE),"unknown")</f>
        <v>Employed for wages</v>
      </c>
      <c r="BF257" s="120" t="str">
        <f>IFERROR(VLOOKUP(Table1[RespondentID],'All Data'!$A$3:$CW$999,97,FALSE),"unknown")</f>
        <v>Yes</v>
      </c>
      <c r="BG257" s="120">
        <f>IFERROR(VLOOKUP(Table1[RespondentID],'All Data'!$A$3:$CW$999,98,FALSE),"unknown")</f>
        <v>0</v>
      </c>
      <c r="BH257" s="120">
        <f>IFERROR(VLOOKUP(Table1[RespondentID],'All Data'!$A$3:$CW$999,99,FALSE),"unknown")</f>
        <v>0</v>
      </c>
    </row>
    <row r="258" spans="1:60">
      <c r="A258" s="5">
        <v>18019094934</v>
      </c>
      <c r="B258" s="5"/>
      <c r="C258" s="5"/>
      <c r="D258" s="5"/>
      <c r="E258" s="5"/>
      <c r="F258" s="5"/>
      <c r="G258" s="5"/>
      <c r="H258" s="5"/>
      <c r="I258" s="5"/>
      <c r="J258" s="5"/>
      <c r="K258" s="5"/>
      <c r="L258" s="5"/>
      <c r="M258" s="5"/>
      <c r="N258" s="5"/>
      <c r="O258" s="5"/>
      <c r="P258" s="5"/>
      <c r="Q258" s="5"/>
      <c r="R258" s="5"/>
      <c r="S258" s="5"/>
      <c r="T258" s="37"/>
      <c r="U258" s="37">
        <f t="shared" ref="U258:U321" si="92">COUNTA(B258:T258)</f>
        <v>0</v>
      </c>
      <c r="V258" s="37" t="e">
        <f t="shared" ref="V258:V321" si="93">3/U258</f>
        <v>#DIV/0!</v>
      </c>
      <c r="W258" s="37"/>
      <c r="X258" s="37">
        <f t="shared" ref="X258:X321" si="94">IF($U258&lt;3,IF($B258=$B$1,1,0),IF($B258=$B$1,$V258,0))</f>
        <v>0</v>
      </c>
      <c r="Y258" s="37">
        <f t="shared" ref="Y258:Y321" si="95">IF($U258&lt;3,IF($C258=$C$1,1,0),IF($C258=$C$1,$V258,0))</f>
        <v>0</v>
      </c>
      <c r="Z258" s="37">
        <f t="shared" ref="Z258:Z321" si="96">IF($U258&lt;3,IF($D258=$D$1,1,0),IF($D258=$D$1,$V258,0))</f>
        <v>0</v>
      </c>
      <c r="AA258" s="37">
        <f t="shared" ref="AA258:AA321" si="97">IF($U258&lt;3,IF($E258=$E$1,1,0),IF($E258=$E$1,$V258,0))</f>
        <v>0</v>
      </c>
      <c r="AB258" s="37">
        <f t="shared" ref="AB258:AB321" si="98">IF($U258&lt;3,IF($F258=$F$1,1,0),IF($F258=$F$1,$V258,0))</f>
        <v>0</v>
      </c>
      <c r="AC258" s="37">
        <f t="shared" ref="AC258:AC321" si="99">IF($U258&lt;3,IF($G258=$G$1,1,0),IF($G258=$G$1,$V258,0))</f>
        <v>0</v>
      </c>
      <c r="AD258" s="37">
        <f t="shared" ref="AD258:AD321" si="100">IF($U258&lt;3,IF($H258=$H$1,1,0),IF($H258=$H$1,$V258,0))</f>
        <v>0</v>
      </c>
      <c r="AE258" s="37">
        <f t="shared" ref="AE258:AE321" si="101">IF($U258&lt;3,IF($I258=$I$1,1,0),IF($I258=$I$1,$V258,0))</f>
        <v>0</v>
      </c>
      <c r="AF258" s="37">
        <f t="shared" ref="AF258:AF321" si="102">IF($U258&lt;3,IF($J258=$J$1,1,0),IF($J258=$J$1,$V258,0))</f>
        <v>0</v>
      </c>
      <c r="AG258" s="37">
        <f t="shared" ref="AG258:AG321" si="103">IF($U258&lt;3,IF($K258=$K$1,1,0),IF($K258=$K$1,$V258,0))</f>
        <v>0</v>
      </c>
      <c r="AH258" s="37">
        <f t="shared" ref="AH258:AH321" si="104">IF($U258&lt;3,IF($L258=$L$1,1,0),IF($L258=$L$1,$V258,0))</f>
        <v>0</v>
      </c>
      <c r="AI258" s="37">
        <f t="shared" ref="AI258:AI321" si="105">IF($U258&lt;3,IF($M258=$M$1,1,0),IF($M258=$M$1,$V258,0))</f>
        <v>0</v>
      </c>
      <c r="AJ258" s="37">
        <f t="shared" ref="AJ258:AJ321" si="106">IF($U258&lt;3,IF($N258=$N$1,1,0),IF($N258=$N$1,$V258,0))</f>
        <v>0</v>
      </c>
      <c r="AK258" s="37">
        <f t="shared" ref="AK258:AK321" si="107">IF($U258&lt;3,IF($O258=$O$1,1,0),IF($O258=$O$1,$V258,0))</f>
        <v>0</v>
      </c>
      <c r="AL258" s="37">
        <f t="shared" ref="AL258:AL321" si="108">IF($U258&lt;3,IF($P258=$P$1,1,0),IF($P258=$P$1,$V258,0))</f>
        <v>0</v>
      </c>
      <c r="AM258" s="37">
        <f t="shared" ref="AM258:AM321" si="109">IF($U258&lt;3,IF($Q258=$Q$1,1,0),IF($Q258=$Q$1,$V258,0))</f>
        <v>0</v>
      </c>
      <c r="AN258" s="37">
        <f t="shared" ref="AN258:AN321" si="110">IF($U258&lt;3,IF($R258=$R$1,1,0),IF($R258=$R$1,$V258,0))</f>
        <v>0</v>
      </c>
      <c r="AO258" s="37">
        <f t="shared" ref="AO258:AO321" si="111">IF($U258&lt;3,IF($S258=$S$1,1,0),IF($S258=$S$1,$V258,0))</f>
        <v>0</v>
      </c>
      <c r="AP258" s="37"/>
      <c r="AQ258" s="37"/>
      <c r="AR258" s="37">
        <f t="shared" ref="AR258:AR321" si="112">SUM(X258:AP258)</f>
        <v>0</v>
      </c>
      <c r="AS258" s="37">
        <f t="shared" ref="AS258:AS321" si="113">U258</f>
        <v>0</v>
      </c>
      <c r="AT258" s="37" t="str">
        <f t="shared" ref="AT258:AT321" si="114">IF(AR258=AS258,"Correct",IF(AR258=3,"Correct","Wrong"))</f>
        <v>Correct</v>
      </c>
      <c r="AU258" s="37"/>
      <c r="AV258" s="120" t="str">
        <f>IFERROR(VLOOKUP(Table1[RespondentID],'All Data'!$A$3:$CO$999,87,FALSE),"unknown")</f>
        <v>Man</v>
      </c>
      <c r="AW258" s="120">
        <f>IFERROR(VLOOKUP(Table1[RespondentID],'All Data'!$A$3:$CO$999,88,FALSE),"unknown")</f>
        <v>50</v>
      </c>
      <c r="AX258" s="120" t="str">
        <f>IFERROR(VLOOKUP(Table1[RespondentID],'All Data'!$A$3:$CO$999,89,FALSE),"unknown")</f>
        <v>Suffolk</v>
      </c>
      <c r="AY258" s="120" t="str">
        <f>IFERROR(VLOOKUP(Table1[RespondentID],'All Data'!$A$3:$CO$999,90,FALSE),"unknown")</f>
        <v>Greenlawn, 11740</v>
      </c>
      <c r="AZ258" s="120" t="str">
        <f>IFERROR(VLOOKUP(Table1[RespondentID],'All Data'!$A$3:$CO$999,91,FALSE),"unknown")</f>
        <v>White</v>
      </c>
      <c r="BA258" s="120" t="str">
        <f>IFERROR(VLOOKUP(Table1[RespondentID],'All Data'!$A$3:$CO$999,92,FALSE),"unknown")</f>
        <v>Hispanic or Latino</v>
      </c>
      <c r="BB258" s="120" t="str">
        <f>IFERROR(VLOOKUP(Table1[RespondentID],'All Data'!$A$3:$CO$999,93,FALSE),"unknown")</f>
        <v>English</v>
      </c>
      <c r="BC258" s="120" t="str">
        <f>IFERROR(VLOOKUP(Table1[RespondentID],'All Data'!$A$3:$CW$999,94,FALSE),"unknown")</f>
        <v>Over $125,000</v>
      </c>
      <c r="BD258" s="120" t="str">
        <f>IFERROR(VLOOKUP(Table1[RespondentID],'All Data'!$A$3:$CW$999,95,FALSE),"unknown")</f>
        <v>College graduate</v>
      </c>
      <c r="BE258" s="120" t="str">
        <f>IFERROR(VLOOKUP(Table1[RespondentID],'All Data'!$A$3:$CW$999,96,FALSE),"unknown")</f>
        <v>Employed for wages</v>
      </c>
      <c r="BF258" s="120" t="str">
        <f>IFERROR(VLOOKUP(Table1[RespondentID],'All Data'!$A$3:$CW$999,97,FALSE),"unknown")</f>
        <v>Yes</v>
      </c>
      <c r="BG258" s="120">
        <f>IFERROR(VLOOKUP(Table1[RespondentID],'All Data'!$A$3:$CW$999,98,FALSE),"unknown")</f>
        <v>0</v>
      </c>
      <c r="BH258" s="120">
        <f>IFERROR(VLOOKUP(Table1[RespondentID],'All Data'!$A$3:$CW$999,99,FALSE),"unknown")</f>
        <v>0</v>
      </c>
    </row>
    <row r="259" spans="1:60">
      <c r="A259" s="5">
        <v>18019094740</v>
      </c>
      <c r="B259" s="5"/>
      <c r="C259" s="5"/>
      <c r="D259" s="5" t="s">
        <v>51</v>
      </c>
      <c r="E259" s="5"/>
      <c r="F259" s="5"/>
      <c r="G259" s="5"/>
      <c r="H259" s="5"/>
      <c r="I259" s="5"/>
      <c r="J259" s="5"/>
      <c r="K259" s="5" t="s">
        <v>57</v>
      </c>
      <c r="L259" s="5"/>
      <c r="M259" s="5"/>
      <c r="N259" s="5"/>
      <c r="O259" s="5"/>
      <c r="P259" s="5"/>
      <c r="Q259" s="5"/>
      <c r="R259" s="5"/>
      <c r="S259" s="5"/>
      <c r="T259" s="37"/>
      <c r="U259" s="37">
        <f t="shared" si="92"/>
        <v>2</v>
      </c>
      <c r="V259" s="37">
        <f t="shared" si="93"/>
        <v>1.5</v>
      </c>
      <c r="W259" s="37"/>
      <c r="X259" s="37">
        <f t="shared" si="94"/>
        <v>0</v>
      </c>
      <c r="Y259" s="37">
        <f t="shared" si="95"/>
        <v>0</v>
      </c>
      <c r="Z259" s="37">
        <f t="shared" si="96"/>
        <v>1</v>
      </c>
      <c r="AA259" s="37">
        <f t="shared" si="97"/>
        <v>0</v>
      </c>
      <c r="AB259" s="37">
        <f t="shared" si="98"/>
        <v>0</v>
      </c>
      <c r="AC259" s="37">
        <f t="shared" si="99"/>
        <v>0</v>
      </c>
      <c r="AD259" s="37">
        <f t="shared" si="100"/>
        <v>0</v>
      </c>
      <c r="AE259" s="37">
        <f t="shared" si="101"/>
        <v>0</v>
      </c>
      <c r="AF259" s="37">
        <f t="shared" si="102"/>
        <v>0</v>
      </c>
      <c r="AG259" s="37">
        <f t="shared" si="103"/>
        <v>1</v>
      </c>
      <c r="AH259" s="37">
        <f t="shared" si="104"/>
        <v>0</v>
      </c>
      <c r="AI259" s="37">
        <f t="shared" si="105"/>
        <v>0</v>
      </c>
      <c r="AJ259" s="37">
        <f t="shared" si="106"/>
        <v>0</v>
      </c>
      <c r="AK259" s="37">
        <f t="shared" si="107"/>
        <v>0</v>
      </c>
      <c r="AL259" s="37">
        <f t="shared" si="108"/>
        <v>0</v>
      </c>
      <c r="AM259" s="37">
        <f t="shared" si="109"/>
        <v>0</v>
      </c>
      <c r="AN259" s="37">
        <f t="shared" si="110"/>
        <v>0</v>
      </c>
      <c r="AO259" s="37">
        <f t="shared" si="111"/>
        <v>0</v>
      </c>
      <c r="AP259" s="37"/>
      <c r="AQ259" s="37"/>
      <c r="AR259" s="37">
        <f t="shared" si="112"/>
        <v>2</v>
      </c>
      <c r="AS259" s="37">
        <f t="shared" si="113"/>
        <v>2</v>
      </c>
      <c r="AT259" s="37" t="str">
        <f t="shared" si="114"/>
        <v>Correct</v>
      </c>
      <c r="AU259" s="37"/>
      <c r="AV259" s="120" t="str">
        <f>IFERROR(VLOOKUP(Table1[RespondentID],'All Data'!$A$3:$CO$999,87,FALSE),"unknown")</f>
        <v>Man</v>
      </c>
      <c r="AW259" s="120">
        <f>IFERROR(VLOOKUP(Table1[RespondentID],'All Data'!$A$3:$CO$999,88,FALSE),"unknown")</f>
        <v>52</v>
      </c>
      <c r="AX259" s="120" t="str">
        <f>IFERROR(VLOOKUP(Table1[RespondentID],'All Data'!$A$3:$CO$999,89,FALSE),"unknown")</f>
        <v>Suffolk</v>
      </c>
      <c r="AY259" s="120" t="str">
        <f>IFERROR(VLOOKUP(Table1[RespondentID],'All Data'!$A$3:$CO$999,90,FALSE),"unknown")</f>
        <v>Centerport, 11721</v>
      </c>
      <c r="AZ259" s="120" t="str">
        <f>IFERROR(VLOOKUP(Table1[RespondentID],'All Data'!$A$3:$CO$999,91,FALSE),"unknown")</f>
        <v>White</v>
      </c>
      <c r="BA259" s="120" t="str">
        <f>IFERROR(VLOOKUP(Table1[RespondentID],'All Data'!$A$3:$CO$999,92,FALSE),"unknown")</f>
        <v>Hispanic or Latino</v>
      </c>
      <c r="BB259" s="120" t="str">
        <f>IFERROR(VLOOKUP(Table1[RespondentID],'All Data'!$A$3:$CO$999,93,FALSE),"unknown")</f>
        <v>English</v>
      </c>
      <c r="BC259" s="120" t="str">
        <f>IFERROR(VLOOKUP(Table1[RespondentID],'All Data'!$A$3:$CW$999,94,FALSE),"unknown")</f>
        <v>Over $125,000</v>
      </c>
      <c r="BD259" s="120" t="str">
        <f>IFERROR(VLOOKUP(Table1[RespondentID],'All Data'!$A$3:$CW$999,95,FALSE),"unknown")</f>
        <v>College graduate</v>
      </c>
      <c r="BE259" s="120" t="str">
        <f>IFERROR(VLOOKUP(Table1[RespondentID],'All Data'!$A$3:$CW$999,96,FALSE),"unknown")</f>
        <v>Self-employed</v>
      </c>
      <c r="BF259" s="120" t="str">
        <f>IFERROR(VLOOKUP(Table1[RespondentID],'All Data'!$A$3:$CW$999,97,FALSE),"unknown")</f>
        <v>Yes</v>
      </c>
      <c r="BG259" s="120">
        <f>IFERROR(VLOOKUP(Table1[RespondentID],'All Data'!$A$3:$CW$999,98,FALSE),"unknown")</f>
        <v>0</v>
      </c>
      <c r="BH259" s="120">
        <f>IFERROR(VLOOKUP(Table1[RespondentID],'All Data'!$A$3:$CW$999,99,FALSE),"unknown")</f>
        <v>0</v>
      </c>
    </row>
    <row r="260" spans="1:60">
      <c r="A260" s="5">
        <v>18018964801</v>
      </c>
      <c r="B260" s="5"/>
      <c r="C260" s="5"/>
      <c r="D260" s="5"/>
      <c r="E260" s="5" t="s">
        <v>17</v>
      </c>
      <c r="F260" s="5"/>
      <c r="G260" s="5"/>
      <c r="H260" s="5"/>
      <c r="I260" s="5"/>
      <c r="J260" s="5"/>
      <c r="K260" s="5"/>
      <c r="L260" s="5" t="s">
        <v>58</v>
      </c>
      <c r="M260" s="5"/>
      <c r="N260" s="5" t="s">
        <v>24</v>
      </c>
      <c r="O260" s="5"/>
      <c r="P260" s="5"/>
      <c r="Q260" s="5"/>
      <c r="R260" s="5"/>
      <c r="S260" s="5" t="s">
        <v>63</v>
      </c>
      <c r="T260" s="37"/>
      <c r="U260" s="37">
        <f t="shared" si="92"/>
        <v>4</v>
      </c>
      <c r="V260" s="37">
        <f t="shared" si="93"/>
        <v>0.75</v>
      </c>
      <c r="W260" s="37"/>
      <c r="X260" s="37">
        <f t="shared" si="94"/>
        <v>0</v>
      </c>
      <c r="Y260" s="37">
        <f t="shared" si="95"/>
        <v>0</v>
      </c>
      <c r="Z260" s="37">
        <f t="shared" si="96"/>
        <v>0</v>
      </c>
      <c r="AA260" s="37">
        <f t="shared" si="97"/>
        <v>0.75</v>
      </c>
      <c r="AB260" s="37">
        <f t="shared" si="98"/>
        <v>0</v>
      </c>
      <c r="AC260" s="37">
        <f t="shared" si="99"/>
        <v>0</v>
      </c>
      <c r="AD260" s="37">
        <f t="shared" si="100"/>
        <v>0</v>
      </c>
      <c r="AE260" s="37">
        <f t="shared" si="101"/>
        <v>0</v>
      </c>
      <c r="AF260" s="37">
        <f t="shared" si="102"/>
        <v>0</v>
      </c>
      <c r="AG260" s="37">
        <f t="shared" si="103"/>
        <v>0</v>
      </c>
      <c r="AH260" s="37">
        <f t="shared" si="104"/>
        <v>0.75</v>
      </c>
      <c r="AI260" s="37">
        <f t="shared" si="105"/>
        <v>0</v>
      </c>
      <c r="AJ260" s="37">
        <f t="shared" si="106"/>
        <v>0.75</v>
      </c>
      <c r="AK260" s="37">
        <f t="shared" si="107"/>
        <v>0</v>
      </c>
      <c r="AL260" s="37">
        <f t="shared" si="108"/>
        <v>0</v>
      </c>
      <c r="AM260" s="37">
        <f t="shared" si="109"/>
        <v>0</v>
      </c>
      <c r="AN260" s="37">
        <f t="shared" si="110"/>
        <v>0</v>
      </c>
      <c r="AO260" s="37">
        <f t="shared" si="111"/>
        <v>0.75</v>
      </c>
      <c r="AP260" s="37"/>
      <c r="AQ260" s="37"/>
      <c r="AR260" s="37">
        <f t="shared" si="112"/>
        <v>3</v>
      </c>
      <c r="AS260" s="37">
        <f t="shared" si="113"/>
        <v>4</v>
      </c>
      <c r="AT260" s="37" t="str">
        <f t="shared" si="114"/>
        <v>Correct</v>
      </c>
      <c r="AU260" s="37"/>
      <c r="AV260" s="120" t="str">
        <f>IFERROR(VLOOKUP(Table1[RespondentID],'All Data'!$A$3:$CO$999,87,FALSE),"unknown")</f>
        <v>Woman</v>
      </c>
      <c r="AW260" s="120">
        <f>IFERROR(VLOOKUP(Table1[RespondentID],'All Data'!$A$3:$CO$999,88,FALSE),"unknown")</f>
        <v>60</v>
      </c>
      <c r="AX260" s="120" t="str">
        <f>IFERROR(VLOOKUP(Table1[RespondentID],'All Data'!$A$3:$CO$999,89,FALSE),"unknown")</f>
        <v>Suffolk</v>
      </c>
      <c r="AY260" s="120" t="str">
        <f>IFERROR(VLOOKUP(Table1[RespondentID],'All Data'!$A$3:$CO$999,90,FALSE),"unknown")</f>
        <v>Yaphank, 11980</v>
      </c>
      <c r="AZ260" s="120" t="str">
        <f>IFERROR(VLOOKUP(Table1[RespondentID],'All Data'!$A$3:$CO$999,91,FALSE),"unknown")</f>
        <v>White</v>
      </c>
      <c r="BA260" s="120" t="str">
        <f>IFERROR(VLOOKUP(Table1[RespondentID],'All Data'!$A$3:$CO$999,92,FALSE),"unknown")</f>
        <v>Hispanic or Latino</v>
      </c>
      <c r="BB260" s="120" t="str">
        <f>IFERROR(VLOOKUP(Table1[RespondentID],'All Data'!$A$3:$CO$999,93,FALSE),"unknown")</f>
        <v>English</v>
      </c>
      <c r="BC260" s="120" t="str">
        <f>IFERROR(VLOOKUP(Table1[RespondentID],'All Data'!$A$3:$CW$999,94,FALSE),"unknown")</f>
        <v>Over $125,000</v>
      </c>
      <c r="BD260" s="120" t="str">
        <f>IFERROR(VLOOKUP(Table1[RespondentID],'All Data'!$A$3:$CW$999,95,FALSE),"unknown")</f>
        <v>Other (please specify)</v>
      </c>
      <c r="BE260" s="120" t="str">
        <f>IFERROR(VLOOKUP(Table1[RespondentID],'All Data'!$A$3:$CW$999,96,FALSE),"unknown")</f>
        <v>Employed for wages</v>
      </c>
      <c r="BF260" s="120" t="str">
        <f>IFERROR(VLOOKUP(Table1[RespondentID],'All Data'!$A$3:$CW$999,97,FALSE),"unknown")</f>
        <v>Yes</v>
      </c>
      <c r="BG260" s="120" t="str">
        <f>IFERROR(VLOOKUP(Table1[RespondentID],'All Data'!$A$3:$CW$999,98,FALSE),"unknown")</f>
        <v>Private/Commercial</v>
      </c>
      <c r="BH260" s="120" t="str">
        <f>IFERROR(VLOOKUP(Table1[RespondentID],'All Data'!$A$3:$CW$999,99,FALSE),"unknown")</f>
        <v>Yes</v>
      </c>
    </row>
    <row r="261" spans="1:60">
      <c r="A261" s="5">
        <v>18018757371</v>
      </c>
      <c r="B261" s="5" t="s">
        <v>49</v>
      </c>
      <c r="C261" s="5" t="s">
        <v>50</v>
      </c>
      <c r="D261" s="5" t="s">
        <v>51</v>
      </c>
      <c r="E261" s="5" t="s">
        <v>17</v>
      </c>
      <c r="F261" s="5" t="s">
        <v>52</v>
      </c>
      <c r="G261" s="5" t="s">
        <v>53</v>
      </c>
      <c r="H261" s="5" t="s">
        <v>54</v>
      </c>
      <c r="I261" s="5" t="s">
        <v>55</v>
      </c>
      <c r="J261" s="5" t="s">
        <v>56</v>
      </c>
      <c r="K261" s="5" t="s">
        <v>57</v>
      </c>
      <c r="L261" s="5" t="s">
        <v>58</v>
      </c>
      <c r="M261" s="5" t="s">
        <v>59</v>
      </c>
      <c r="N261" s="5" t="s">
        <v>24</v>
      </c>
      <c r="O261" s="5" t="s">
        <v>20</v>
      </c>
      <c r="P261" s="5" t="s">
        <v>60</v>
      </c>
      <c r="Q261" s="5" t="s">
        <v>61</v>
      </c>
      <c r="R261" s="5"/>
      <c r="S261" s="5" t="s">
        <v>63</v>
      </c>
      <c r="T261" s="37"/>
      <c r="U261" s="37">
        <f t="shared" si="92"/>
        <v>17</v>
      </c>
      <c r="V261" s="37">
        <f t="shared" si="93"/>
        <v>0.17647058823529413</v>
      </c>
      <c r="W261" s="37"/>
      <c r="X261" s="37">
        <f t="shared" si="94"/>
        <v>0.17647058823529413</v>
      </c>
      <c r="Y261" s="37">
        <f t="shared" si="95"/>
        <v>0.17647058823529413</v>
      </c>
      <c r="Z261" s="37">
        <f t="shared" si="96"/>
        <v>0.17647058823529413</v>
      </c>
      <c r="AA261" s="37">
        <f t="shared" si="97"/>
        <v>0.17647058823529413</v>
      </c>
      <c r="AB261" s="37">
        <f t="shared" si="98"/>
        <v>0.17647058823529413</v>
      </c>
      <c r="AC261" s="37">
        <f t="shared" si="99"/>
        <v>0.17647058823529413</v>
      </c>
      <c r="AD261" s="37">
        <f t="shared" si="100"/>
        <v>0.17647058823529413</v>
      </c>
      <c r="AE261" s="37">
        <f t="shared" si="101"/>
        <v>0.17647058823529413</v>
      </c>
      <c r="AF261" s="37">
        <f t="shared" si="102"/>
        <v>0.17647058823529413</v>
      </c>
      <c r="AG261" s="37">
        <f t="shared" si="103"/>
        <v>0.17647058823529413</v>
      </c>
      <c r="AH261" s="37">
        <f t="shared" si="104"/>
        <v>0.17647058823529413</v>
      </c>
      <c r="AI261" s="37">
        <f t="shared" si="105"/>
        <v>0.17647058823529413</v>
      </c>
      <c r="AJ261" s="37">
        <f t="shared" si="106"/>
        <v>0.17647058823529413</v>
      </c>
      <c r="AK261" s="37">
        <f t="shared" si="107"/>
        <v>0.17647058823529413</v>
      </c>
      <c r="AL261" s="37">
        <f t="shared" si="108"/>
        <v>0.17647058823529413</v>
      </c>
      <c r="AM261" s="37">
        <f t="shared" si="109"/>
        <v>0.17647058823529413</v>
      </c>
      <c r="AN261" s="37">
        <f t="shared" si="110"/>
        <v>0</v>
      </c>
      <c r="AO261" s="37">
        <f t="shared" si="111"/>
        <v>0.17647058823529413</v>
      </c>
      <c r="AP261" s="37"/>
      <c r="AQ261" s="37"/>
      <c r="AR261" s="37">
        <f t="shared" si="112"/>
        <v>2.9999999999999991</v>
      </c>
      <c r="AS261" s="37">
        <f t="shared" si="113"/>
        <v>17</v>
      </c>
      <c r="AT261" s="37" t="str">
        <f t="shared" si="114"/>
        <v>Correct</v>
      </c>
      <c r="AU261" s="37"/>
      <c r="AV261" s="120" t="str">
        <f>IFERROR(VLOOKUP(Table1[RespondentID],'All Data'!$A$3:$CO$999,87,FALSE),"unknown")</f>
        <v>Man</v>
      </c>
      <c r="AW261" s="120">
        <f>IFERROR(VLOOKUP(Table1[RespondentID],'All Data'!$A$3:$CO$999,88,FALSE),"unknown")</f>
        <v>40</v>
      </c>
      <c r="AX261" s="120" t="str">
        <f>IFERROR(VLOOKUP(Table1[RespondentID],'All Data'!$A$3:$CO$999,89,FALSE),"unknown")</f>
        <v>Suffolk</v>
      </c>
      <c r="AY261" s="120" t="str">
        <f>IFERROR(VLOOKUP(Table1[RespondentID],'All Data'!$A$3:$CO$999,90,FALSE),"unknown")</f>
        <v>Babylon, 11703</v>
      </c>
      <c r="AZ261" s="120" t="str">
        <f>IFERROR(VLOOKUP(Table1[RespondentID],'All Data'!$A$3:$CO$999,91,FALSE),"unknown")</f>
        <v>White</v>
      </c>
      <c r="BA261" s="120" t="str">
        <f>IFERROR(VLOOKUP(Table1[RespondentID],'All Data'!$A$3:$CO$999,92,FALSE),"unknown")</f>
        <v>Hispanic or Latino</v>
      </c>
      <c r="BB261" s="120" t="str">
        <f>IFERROR(VLOOKUP(Table1[RespondentID],'All Data'!$A$3:$CO$999,93,FALSE),"unknown")</f>
        <v>English</v>
      </c>
      <c r="BC261" s="120" t="str">
        <f>IFERROR(VLOOKUP(Table1[RespondentID],'All Data'!$A$3:$CW$999,94,FALSE),"unknown")</f>
        <v>$50,000 to $74,999</v>
      </c>
      <c r="BD261" s="120" t="str">
        <f>IFERROR(VLOOKUP(Table1[RespondentID],'All Data'!$A$3:$CW$999,95,FALSE),"unknown")</f>
        <v>Some college</v>
      </c>
      <c r="BE261" s="120" t="str">
        <f>IFERROR(VLOOKUP(Table1[RespondentID],'All Data'!$A$3:$CW$999,96,FALSE),"unknown")</f>
        <v>Out of work and looking for work</v>
      </c>
      <c r="BF261" s="120" t="str">
        <f>IFERROR(VLOOKUP(Table1[RespondentID],'All Data'!$A$3:$CW$999,97,FALSE),"unknown")</f>
        <v>Yes</v>
      </c>
      <c r="BG261" s="120" t="str">
        <f>IFERROR(VLOOKUP(Table1[RespondentID],'All Data'!$A$3:$CW$999,98,FALSE),"unknown")</f>
        <v>Medicaid</v>
      </c>
      <c r="BH261" s="120" t="str">
        <f>IFERROR(VLOOKUP(Table1[RespondentID],'All Data'!$A$3:$CW$999,99,FALSE),"unknown")</f>
        <v>No</v>
      </c>
    </row>
    <row r="262" spans="1:60">
      <c r="A262" s="5">
        <v>18018472615</v>
      </c>
      <c r="B262" s="5"/>
      <c r="C262" s="5" t="s">
        <v>50</v>
      </c>
      <c r="D262" s="5" t="s">
        <v>51</v>
      </c>
      <c r="E262" s="5"/>
      <c r="F262" s="5"/>
      <c r="G262" s="5" t="s">
        <v>53</v>
      </c>
      <c r="H262" s="5"/>
      <c r="I262" s="5" t="s">
        <v>55</v>
      </c>
      <c r="J262" s="5" t="s">
        <v>56</v>
      </c>
      <c r="K262" s="5" t="s">
        <v>57</v>
      </c>
      <c r="L262" s="5"/>
      <c r="M262" s="5" t="s">
        <v>59</v>
      </c>
      <c r="N262" s="5"/>
      <c r="O262" s="5"/>
      <c r="P262" s="5"/>
      <c r="Q262" s="5"/>
      <c r="R262" s="5" t="s">
        <v>62</v>
      </c>
      <c r="S262" s="5" t="s">
        <v>63</v>
      </c>
      <c r="T262" s="37"/>
      <c r="U262" s="37">
        <f t="shared" si="92"/>
        <v>9</v>
      </c>
      <c r="V262" s="37">
        <f t="shared" si="93"/>
        <v>0.33333333333333331</v>
      </c>
      <c r="W262" s="37"/>
      <c r="X262" s="37">
        <f t="shared" si="94"/>
        <v>0</v>
      </c>
      <c r="Y262" s="37">
        <f t="shared" si="95"/>
        <v>0.33333333333333331</v>
      </c>
      <c r="Z262" s="37">
        <f t="shared" si="96"/>
        <v>0.33333333333333331</v>
      </c>
      <c r="AA262" s="37">
        <f t="shared" si="97"/>
        <v>0</v>
      </c>
      <c r="AB262" s="37">
        <f t="shared" si="98"/>
        <v>0</v>
      </c>
      <c r="AC262" s="37">
        <f t="shared" si="99"/>
        <v>0.33333333333333331</v>
      </c>
      <c r="AD262" s="37">
        <f t="shared" si="100"/>
        <v>0</v>
      </c>
      <c r="AE262" s="37">
        <f t="shared" si="101"/>
        <v>0.33333333333333331</v>
      </c>
      <c r="AF262" s="37">
        <f t="shared" si="102"/>
        <v>0.33333333333333331</v>
      </c>
      <c r="AG262" s="37">
        <f t="shared" si="103"/>
        <v>0.33333333333333331</v>
      </c>
      <c r="AH262" s="37">
        <f t="shared" si="104"/>
        <v>0</v>
      </c>
      <c r="AI262" s="37">
        <f t="shared" si="105"/>
        <v>0.33333333333333331</v>
      </c>
      <c r="AJ262" s="37">
        <f t="shared" si="106"/>
        <v>0</v>
      </c>
      <c r="AK262" s="37">
        <f t="shared" si="107"/>
        <v>0</v>
      </c>
      <c r="AL262" s="37">
        <f t="shared" si="108"/>
        <v>0</v>
      </c>
      <c r="AM262" s="37">
        <f t="shared" si="109"/>
        <v>0</v>
      </c>
      <c r="AN262" s="37">
        <f t="shared" si="110"/>
        <v>0.33333333333333331</v>
      </c>
      <c r="AO262" s="37">
        <f t="shared" si="111"/>
        <v>0.33333333333333331</v>
      </c>
      <c r="AP262" s="37"/>
      <c r="AQ262" s="37"/>
      <c r="AR262" s="37">
        <f t="shared" si="112"/>
        <v>3</v>
      </c>
      <c r="AS262" s="37">
        <f t="shared" si="113"/>
        <v>9</v>
      </c>
      <c r="AT262" s="37" t="str">
        <f t="shared" si="114"/>
        <v>Correct</v>
      </c>
      <c r="AU262" s="37"/>
      <c r="AV262" s="120" t="str">
        <f>IFERROR(VLOOKUP(Table1[RespondentID],'All Data'!$A$3:$CO$999,87,FALSE),"unknown")</f>
        <v>Man</v>
      </c>
      <c r="AW262" s="120">
        <f>IFERROR(VLOOKUP(Table1[RespondentID],'All Data'!$A$3:$CO$999,88,FALSE),"unknown")</f>
        <v>41</v>
      </c>
      <c r="AX262" s="120" t="str">
        <f>IFERROR(VLOOKUP(Table1[RespondentID],'All Data'!$A$3:$CO$999,89,FALSE),"unknown")</f>
        <v>Suffolk</v>
      </c>
      <c r="AY262" s="120" t="str">
        <f>IFERROR(VLOOKUP(Table1[RespondentID],'All Data'!$A$3:$CO$999,90,FALSE),"unknown")</f>
        <v>Lindenhurst, 11757</v>
      </c>
      <c r="AZ262" s="120" t="str">
        <f>IFERROR(VLOOKUP(Table1[RespondentID],'All Data'!$A$3:$CO$999,91,FALSE),"unknown")</f>
        <v>Other (please specify)</v>
      </c>
      <c r="BA262" s="120">
        <f>IFERROR(VLOOKUP(Table1[RespondentID],'All Data'!$A$3:$CO$999,92,FALSE),"unknown")</f>
        <v>0</v>
      </c>
      <c r="BB262" s="120" t="str">
        <f>IFERROR(VLOOKUP(Table1[RespondentID],'All Data'!$A$3:$CO$999,93,FALSE),"unknown")</f>
        <v>English</v>
      </c>
      <c r="BC262" s="120" t="str">
        <f>IFERROR(VLOOKUP(Table1[RespondentID],'All Data'!$A$3:$CW$999,94,FALSE),"unknown")</f>
        <v>$75,000 to $125,000</v>
      </c>
      <c r="BD262" s="120" t="str">
        <f>IFERROR(VLOOKUP(Table1[RespondentID],'All Data'!$A$3:$CW$999,95,FALSE),"unknown")</f>
        <v>College graduate</v>
      </c>
      <c r="BE262" s="120" t="str">
        <f>IFERROR(VLOOKUP(Table1[RespondentID],'All Data'!$A$3:$CW$999,96,FALSE),"unknown")</f>
        <v>Employed for wages</v>
      </c>
      <c r="BF262" s="120" t="str">
        <f>IFERROR(VLOOKUP(Table1[RespondentID],'All Data'!$A$3:$CW$999,97,FALSE),"unknown")</f>
        <v>Yes</v>
      </c>
      <c r="BG262" s="120" t="str">
        <f>IFERROR(VLOOKUP(Table1[RespondentID],'All Data'!$A$3:$CW$999,98,FALSE),"unknown")</f>
        <v>Private/Commercial</v>
      </c>
      <c r="BH262" s="120" t="str">
        <f>IFERROR(VLOOKUP(Table1[RespondentID],'All Data'!$A$3:$CW$999,99,FALSE),"unknown")</f>
        <v>Yes</v>
      </c>
    </row>
    <row r="263" spans="1:60">
      <c r="A263" s="5">
        <v>18018191958</v>
      </c>
      <c r="B263" s="5"/>
      <c r="C263" s="5"/>
      <c r="D263" s="5"/>
      <c r="E263" s="5"/>
      <c r="F263" s="5"/>
      <c r="G263" s="5"/>
      <c r="H263" s="5"/>
      <c r="I263" s="5"/>
      <c r="J263" s="5"/>
      <c r="K263" s="5"/>
      <c r="L263" s="5"/>
      <c r="M263" s="5"/>
      <c r="N263" s="5"/>
      <c r="O263" s="5"/>
      <c r="P263" s="5"/>
      <c r="Q263" s="5"/>
      <c r="R263" s="5"/>
      <c r="S263" s="5"/>
      <c r="T263" s="37"/>
      <c r="U263" s="37">
        <f t="shared" si="92"/>
        <v>0</v>
      </c>
      <c r="V263" s="37" t="e">
        <f t="shared" si="93"/>
        <v>#DIV/0!</v>
      </c>
      <c r="W263" s="37"/>
      <c r="X263" s="37">
        <f t="shared" si="94"/>
        <v>0</v>
      </c>
      <c r="Y263" s="37">
        <f t="shared" si="95"/>
        <v>0</v>
      </c>
      <c r="Z263" s="37">
        <f t="shared" si="96"/>
        <v>0</v>
      </c>
      <c r="AA263" s="37">
        <f t="shared" si="97"/>
        <v>0</v>
      </c>
      <c r="AB263" s="37">
        <f t="shared" si="98"/>
        <v>0</v>
      </c>
      <c r="AC263" s="37">
        <f t="shared" si="99"/>
        <v>0</v>
      </c>
      <c r="AD263" s="37">
        <f t="shared" si="100"/>
        <v>0</v>
      </c>
      <c r="AE263" s="37">
        <f t="shared" si="101"/>
        <v>0</v>
      </c>
      <c r="AF263" s="37">
        <f t="shared" si="102"/>
        <v>0</v>
      </c>
      <c r="AG263" s="37">
        <f t="shared" si="103"/>
        <v>0</v>
      </c>
      <c r="AH263" s="37">
        <f t="shared" si="104"/>
        <v>0</v>
      </c>
      <c r="AI263" s="37">
        <f t="shared" si="105"/>
        <v>0</v>
      </c>
      <c r="AJ263" s="37">
        <f t="shared" si="106"/>
        <v>0</v>
      </c>
      <c r="AK263" s="37">
        <f t="shared" si="107"/>
        <v>0</v>
      </c>
      <c r="AL263" s="37">
        <f t="shared" si="108"/>
        <v>0</v>
      </c>
      <c r="AM263" s="37">
        <f t="shared" si="109"/>
        <v>0</v>
      </c>
      <c r="AN263" s="37">
        <f t="shared" si="110"/>
        <v>0</v>
      </c>
      <c r="AO263" s="37">
        <f t="shared" si="111"/>
        <v>0</v>
      </c>
      <c r="AP263" s="37"/>
      <c r="AQ263" s="37"/>
      <c r="AR263" s="37">
        <f t="shared" si="112"/>
        <v>0</v>
      </c>
      <c r="AS263" s="37">
        <f t="shared" si="113"/>
        <v>0</v>
      </c>
      <c r="AT263" s="37" t="str">
        <f t="shared" si="114"/>
        <v>Correct</v>
      </c>
      <c r="AU263" s="37"/>
      <c r="AV263" s="120">
        <f>IFERROR(VLOOKUP(Table1[RespondentID],'All Data'!$A$3:$CO$999,87,FALSE),"unknown")</f>
        <v>0</v>
      </c>
      <c r="AW263" s="120">
        <f>IFERROR(VLOOKUP(Table1[RespondentID],'All Data'!$A$3:$CO$999,88,FALSE),"unknown")</f>
        <v>0</v>
      </c>
      <c r="AX263" s="120">
        <f>IFERROR(VLOOKUP(Table1[RespondentID],'All Data'!$A$3:$CO$999,89,FALSE),"unknown")</f>
        <v>0</v>
      </c>
      <c r="AY263" s="120" t="str">
        <f>IFERROR(VLOOKUP(Table1[RespondentID],'All Data'!$A$3:$CO$999,90,FALSE),"unknown")</f>
        <v>Levittown, 11756</v>
      </c>
      <c r="AZ263" s="120">
        <f>IFERROR(VLOOKUP(Table1[RespondentID],'All Data'!$A$3:$CO$999,91,FALSE),"unknown")</f>
        <v>0</v>
      </c>
      <c r="BA263" s="120">
        <f>IFERROR(VLOOKUP(Table1[RespondentID],'All Data'!$A$3:$CO$999,92,FALSE),"unknown")</f>
        <v>0</v>
      </c>
      <c r="BB263" s="120">
        <f>IFERROR(VLOOKUP(Table1[RespondentID],'All Data'!$A$3:$CO$999,93,FALSE),"unknown")</f>
        <v>0</v>
      </c>
      <c r="BC263" s="120">
        <f>IFERROR(VLOOKUP(Table1[RespondentID],'All Data'!$A$3:$CW$999,94,FALSE),"unknown")</f>
        <v>0</v>
      </c>
      <c r="BD263" s="120">
        <f>IFERROR(VLOOKUP(Table1[RespondentID],'All Data'!$A$3:$CW$999,95,FALSE),"unknown")</f>
        <v>0</v>
      </c>
      <c r="BE263" s="120">
        <f>IFERROR(VLOOKUP(Table1[RespondentID],'All Data'!$A$3:$CW$999,96,FALSE),"unknown")</f>
        <v>0</v>
      </c>
      <c r="BF263" s="120">
        <f>IFERROR(VLOOKUP(Table1[RespondentID],'All Data'!$A$3:$CW$999,97,FALSE),"unknown")</f>
        <v>0</v>
      </c>
      <c r="BG263" s="120">
        <f>IFERROR(VLOOKUP(Table1[RespondentID],'All Data'!$A$3:$CW$999,98,FALSE),"unknown")</f>
        <v>0</v>
      </c>
      <c r="BH263" s="120">
        <f>IFERROR(VLOOKUP(Table1[RespondentID],'All Data'!$A$3:$CW$999,99,FALSE),"unknown")</f>
        <v>0</v>
      </c>
    </row>
    <row r="264" spans="1:60">
      <c r="A264" s="5">
        <v>18018187534</v>
      </c>
      <c r="B264" s="5"/>
      <c r="C264" s="5" t="s">
        <v>50</v>
      </c>
      <c r="D264" s="5" t="s">
        <v>51</v>
      </c>
      <c r="E264" s="5"/>
      <c r="F264" s="5"/>
      <c r="G264" s="5"/>
      <c r="H264" s="5"/>
      <c r="I264" s="5"/>
      <c r="J264" s="5"/>
      <c r="K264" s="5"/>
      <c r="L264" s="5"/>
      <c r="M264" s="5"/>
      <c r="N264" s="5"/>
      <c r="O264" s="5"/>
      <c r="P264" s="5"/>
      <c r="Q264" s="5"/>
      <c r="R264" s="5"/>
      <c r="S264" s="5" t="s">
        <v>63</v>
      </c>
      <c r="T264" s="37"/>
      <c r="U264" s="37">
        <f t="shared" si="92"/>
        <v>3</v>
      </c>
      <c r="V264" s="37">
        <f t="shared" si="93"/>
        <v>1</v>
      </c>
      <c r="W264" s="37"/>
      <c r="X264" s="37">
        <f t="shared" si="94"/>
        <v>0</v>
      </c>
      <c r="Y264" s="37">
        <f t="shared" si="95"/>
        <v>1</v>
      </c>
      <c r="Z264" s="37">
        <f t="shared" si="96"/>
        <v>1</v>
      </c>
      <c r="AA264" s="37">
        <f t="shared" si="97"/>
        <v>0</v>
      </c>
      <c r="AB264" s="37">
        <f t="shared" si="98"/>
        <v>0</v>
      </c>
      <c r="AC264" s="37">
        <f t="shared" si="99"/>
        <v>0</v>
      </c>
      <c r="AD264" s="37">
        <f t="shared" si="100"/>
        <v>0</v>
      </c>
      <c r="AE264" s="37">
        <f t="shared" si="101"/>
        <v>0</v>
      </c>
      <c r="AF264" s="37">
        <f t="shared" si="102"/>
        <v>0</v>
      </c>
      <c r="AG264" s="37">
        <f t="shared" si="103"/>
        <v>0</v>
      </c>
      <c r="AH264" s="37">
        <f t="shared" si="104"/>
        <v>0</v>
      </c>
      <c r="AI264" s="37">
        <f t="shared" si="105"/>
        <v>0</v>
      </c>
      <c r="AJ264" s="37">
        <f t="shared" si="106"/>
        <v>0</v>
      </c>
      <c r="AK264" s="37">
        <f t="shared" si="107"/>
        <v>0</v>
      </c>
      <c r="AL264" s="37">
        <f t="shared" si="108"/>
        <v>0</v>
      </c>
      <c r="AM264" s="37">
        <f t="shared" si="109"/>
        <v>0</v>
      </c>
      <c r="AN264" s="37">
        <f t="shared" si="110"/>
        <v>0</v>
      </c>
      <c r="AO264" s="37">
        <f t="shared" si="111"/>
        <v>1</v>
      </c>
      <c r="AP264" s="37"/>
      <c r="AQ264" s="37"/>
      <c r="AR264" s="37">
        <f t="shared" si="112"/>
        <v>3</v>
      </c>
      <c r="AS264" s="37">
        <f t="shared" si="113"/>
        <v>3</v>
      </c>
      <c r="AT264" s="37" t="str">
        <f t="shared" si="114"/>
        <v>Correct</v>
      </c>
      <c r="AU264" s="37"/>
      <c r="AV264" s="120" t="str">
        <f>IFERROR(VLOOKUP(Table1[RespondentID],'All Data'!$A$3:$CO$999,87,FALSE),"unknown")</f>
        <v>Man</v>
      </c>
      <c r="AW264" s="120">
        <f>IFERROR(VLOOKUP(Table1[RespondentID],'All Data'!$A$3:$CO$999,88,FALSE),"unknown")</f>
        <v>32</v>
      </c>
      <c r="AX264" s="120" t="str">
        <f>IFERROR(VLOOKUP(Table1[RespondentID],'All Data'!$A$3:$CO$999,89,FALSE),"unknown")</f>
        <v>Nassau</v>
      </c>
      <c r="AY264" s="120" t="str">
        <f>IFERROR(VLOOKUP(Table1[RespondentID],'All Data'!$A$3:$CO$999,90,FALSE),"unknown")</f>
        <v>Great Neck, 11026</v>
      </c>
      <c r="AZ264" s="120" t="str">
        <f>IFERROR(VLOOKUP(Table1[RespondentID],'All Data'!$A$3:$CO$999,91,FALSE),"unknown")</f>
        <v>White</v>
      </c>
      <c r="BA264" s="120" t="str">
        <f>IFERROR(VLOOKUP(Table1[RespondentID],'All Data'!$A$3:$CO$999,92,FALSE),"unknown")</f>
        <v>Hispanic or Latino</v>
      </c>
      <c r="BB264" s="120" t="str">
        <f>IFERROR(VLOOKUP(Table1[RespondentID],'All Data'!$A$3:$CO$999,93,FALSE),"unknown")</f>
        <v>English</v>
      </c>
      <c r="BC264" s="120" t="str">
        <f>IFERROR(VLOOKUP(Table1[RespondentID],'All Data'!$A$3:$CW$999,94,FALSE),"unknown")</f>
        <v>$75,000 to $125,000</v>
      </c>
      <c r="BD264" s="120" t="str">
        <f>IFERROR(VLOOKUP(Table1[RespondentID],'All Data'!$A$3:$CW$999,95,FALSE),"unknown")</f>
        <v>College graduate</v>
      </c>
      <c r="BE264" s="120" t="str">
        <f>IFERROR(VLOOKUP(Table1[RespondentID],'All Data'!$A$3:$CW$999,96,FALSE),"unknown")</f>
        <v>Employed for wages</v>
      </c>
      <c r="BF264" s="120" t="str">
        <f>IFERROR(VLOOKUP(Table1[RespondentID],'All Data'!$A$3:$CW$999,97,FALSE),"unknown")</f>
        <v>Yes</v>
      </c>
      <c r="BG264" s="120" t="str">
        <f>IFERROR(VLOOKUP(Table1[RespondentID],'All Data'!$A$3:$CW$999,98,FALSE),"unknown")</f>
        <v>Medicaid</v>
      </c>
      <c r="BH264" s="120" t="str">
        <f>IFERROR(VLOOKUP(Table1[RespondentID],'All Data'!$A$3:$CW$999,99,FALSE),"unknown")</f>
        <v>Yes</v>
      </c>
    </row>
    <row r="265" spans="1:60">
      <c r="A265" s="5">
        <v>18018187458</v>
      </c>
      <c r="B265" s="5"/>
      <c r="C265" s="5"/>
      <c r="D265" s="5"/>
      <c r="E265" s="5" t="s">
        <v>17</v>
      </c>
      <c r="F265" s="5"/>
      <c r="G265" s="5"/>
      <c r="H265" s="5"/>
      <c r="I265" s="5"/>
      <c r="J265" s="5"/>
      <c r="K265" s="5"/>
      <c r="L265" s="5"/>
      <c r="M265" s="5" t="s">
        <v>59</v>
      </c>
      <c r="N265" s="5"/>
      <c r="O265" s="5"/>
      <c r="P265" s="5"/>
      <c r="Q265" s="5"/>
      <c r="R265" s="5"/>
      <c r="S265" s="5" t="s">
        <v>63</v>
      </c>
      <c r="T265" s="37"/>
      <c r="U265" s="37">
        <f t="shared" si="92"/>
        <v>3</v>
      </c>
      <c r="V265" s="37">
        <f t="shared" si="93"/>
        <v>1</v>
      </c>
      <c r="W265" s="37"/>
      <c r="X265" s="37">
        <f t="shared" si="94"/>
        <v>0</v>
      </c>
      <c r="Y265" s="37">
        <f t="shared" si="95"/>
        <v>0</v>
      </c>
      <c r="Z265" s="37">
        <f t="shared" si="96"/>
        <v>0</v>
      </c>
      <c r="AA265" s="37">
        <f t="shared" si="97"/>
        <v>1</v>
      </c>
      <c r="AB265" s="37">
        <f t="shared" si="98"/>
        <v>0</v>
      </c>
      <c r="AC265" s="37">
        <f t="shared" si="99"/>
        <v>0</v>
      </c>
      <c r="AD265" s="37">
        <f t="shared" si="100"/>
        <v>0</v>
      </c>
      <c r="AE265" s="37">
        <f t="shared" si="101"/>
        <v>0</v>
      </c>
      <c r="AF265" s="37">
        <f t="shared" si="102"/>
        <v>0</v>
      </c>
      <c r="AG265" s="37">
        <f t="shared" si="103"/>
        <v>0</v>
      </c>
      <c r="AH265" s="37">
        <f t="shared" si="104"/>
        <v>0</v>
      </c>
      <c r="AI265" s="37">
        <f t="shared" si="105"/>
        <v>1</v>
      </c>
      <c r="AJ265" s="37">
        <f t="shared" si="106"/>
        <v>0</v>
      </c>
      <c r="AK265" s="37">
        <f t="shared" si="107"/>
        <v>0</v>
      </c>
      <c r="AL265" s="37">
        <f t="shared" si="108"/>
        <v>0</v>
      </c>
      <c r="AM265" s="37">
        <f t="shared" si="109"/>
        <v>0</v>
      </c>
      <c r="AN265" s="37">
        <f t="shared" si="110"/>
        <v>0</v>
      </c>
      <c r="AO265" s="37">
        <f t="shared" si="111"/>
        <v>1</v>
      </c>
      <c r="AP265" s="37"/>
      <c r="AQ265" s="37"/>
      <c r="AR265" s="37">
        <f t="shared" si="112"/>
        <v>3</v>
      </c>
      <c r="AS265" s="37">
        <f t="shared" si="113"/>
        <v>3</v>
      </c>
      <c r="AT265" s="37" t="str">
        <f t="shared" si="114"/>
        <v>Correct</v>
      </c>
      <c r="AU265" s="37"/>
      <c r="AV265" s="120" t="str">
        <f>IFERROR(VLOOKUP(Table1[RespondentID],'All Data'!$A$3:$CO$999,87,FALSE),"unknown")</f>
        <v>Man</v>
      </c>
      <c r="AW265" s="120">
        <f>IFERROR(VLOOKUP(Table1[RespondentID],'All Data'!$A$3:$CO$999,88,FALSE),"unknown")</f>
        <v>32</v>
      </c>
      <c r="AX265" s="120" t="str">
        <f>IFERROR(VLOOKUP(Table1[RespondentID],'All Data'!$A$3:$CO$999,89,FALSE),"unknown")</f>
        <v>Nassau</v>
      </c>
      <c r="AY265" s="120">
        <f>IFERROR(VLOOKUP(Table1[RespondentID],'All Data'!$A$3:$CO$999,90,FALSE),"unknown")</f>
        <v>0</v>
      </c>
      <c r="AZ265" s="120">
        <f>IFERROR(VLOOKUP(Table1[RespondentID],'All Data'!$A$3:$CO$999,91,FALSE),"unknown")</f>
        <v>0</v>
      </c>
      <c r="BA265" s="120">
        <f>IFERROR(VLOOKUP(Table1[RespondentID],'All Data'!$A$3:$CO$999,92,FALSE),"unknown")</f>
        <v>0</v>
      </c>
      <c r="BB265" s="120">
        <f>IFERROR(VLOOKUP(Table1[RespondentID],'All Data'!$A$3:$CO$999,93,FALSE),"unknown")</f>
        <v>0</v>
      </c>
      <c r="BC265" s="120">
        <f>IFERROR(VLOOKUP(Table1[RespondentID],'All Data'!$A$3:$CW$999,94,FALSE),"unknown")</f>
        <v>0</v>
      </c>
      <c r="BD265" s="120">
        <f>IFERROR(VLOOKUP(Table1[RespondentID],'All Data'!$A$3:$CW$999,95,FALSE),"unknown")</f>
        <v>0</v>
      </c>
      <c r="BE265" s="120">
        <f>IFERROR(VLOOKUP(Table1[RespondentID],'All Data'!$A$3:$CW$999,96,FALSE),"unknown")</f>
        <v>0</v>
      </c>
      <c r="BF265" s="120">
        <f>IFERROR(VLOOKUP(Table1[RespondentID],'All Data'!$A$3:$CW$999,97,FALSE),"unknown")</f>
        <v>0</v>
      </c>
      <c r="BG265" s="120">
        <f>IFERROR(VLOOKUP(Table1[RespondentID],'All Data'!$A$3:$CW$999,98,FALSE),"unknown")</f>
        <v>0</v>
      </c>
      <c r="BH265" s="120">
        <f>IFERROR(VLOOKUP(Table1[RespondentID],'All Data'!$A$3:$CW$999,99,FALSE),"unknown")</f>
        <v>0</v>
      </c>
    </row>
    <row r="266" spans="1:60">
      <c r="A266" s="5">
        <v>18017707683</v>
      </c>
      <c r="B266" s="5"/>
      <c r="C266" s="5"/>
      <c r="D266" s="5"/>
      <c r="E266" s="5"/>
      <c r="F266" s="5"/>
      <c r="G266" s="5"/>
      <c r="H266" s="5"/>
      <c r="I266" s="5"/>
      <c r="J266" s="5"/>
      <c r="K266" s="5" t="s">
        <v>57</v>
      </c>
      <c r="L266" s="5"/>
      <c r="M266" s="5"/>
      <c r="N266" s="5"/>
      <c r="O266" s="5" t="s">
        <v>20</v>
      </c>
      <c r="P266" s="5"/>
      <c r="Q266" s="5"/>
      <c r="R266" s="5"/>
      <c r="S266" s="5"/>
      <c r="T266" s="37"/>
      <c r="U266" s="37">
        <f t="shared" si="92"/>
        <v>2</v>
      </c>
      <c r="V266" s="37">
        <f t="shared" si="93"/>
        <v>1.5</v>
      </c>
      <c r="W266" s="37"/>
      <c r="X266" s="37">
        <f t="shared" si="94"/>
        <v>0</v>
      </c>
      <c r="Y266" s="37">
        <f t="shared" si="95"/>
        <v>0</v>
      </c>
      <c r="Z266" s="37">
        <f t="shared" si="96"/>
        <v>0</v>
      </c>
      <c r="AA266" s="37">
        <f t="shared" si="97"/>
        <v>0</v>
      </c>
      <c r="AB266" s="37">
        <f t="shared" si="98"/>
        <v>0</v>
      </c>
      <c r="AC266" s="37">
        <f t="shared" si="99"/>
        <v>0</v>
      </c>
      <c r="AD266" s="37">
        <f t="shared" si="100"/>
        <v>0</v>
      </c>
      <c r="AE266" s="37">
        <f t="shared" si="101"/>
        <v>0</v>
      </c>
      <c r="AF266" s="37">
        <f t="shared" si="102"/>
        <v>0</v>
      </c>
      <c r="AG266" s="37">
        <f t="shared" si="103"/>
        <v>1</v>
      </c>
      <c r="AH266" s="37">
        <f t="shared" si="104"/>
        <v>0</v>
      </c>
      <c r="AI266" s="37">
        <f t="shared" si="105"/>
        <v>0</v>
      </c>
      <c r="AJ266" s="37">
        <f t="shared" si="106"/>
        <v>0</v>
      </c>
      <c r="AK266" s="37">
        <f t="shared" si="107"/>
        <v>1</v>
      </c>
      <c r="AL266" s="37">
        <f t="shared" si="108"/>
        <v>0</v>
      </c>
      <c r="AM266" s="37">
        <f t="shared" si="109"/>
        <v>0</v>
      </c>
      <c r="AN266" s="37">
        <f t="shared" si="110"/>
        <v>0</v>
      </c>
      <c r="AO266" s="37">
        <f t="shared" si="111"/>
        <v>0</v>
      </c>
      <c r="AP266" s="37"/>
      <c r="AQ266" s="37"/>
      <c r="AR266" s="37">
        <f t="shared" si="112"/>
        <v>2</v>
      </c>
      <c r="AS266" s="37">
        <f t="shared" si="113"/>
        <v>2</v>
      </c>
      <c r="AT266" s="37" t="str">
        <f t="shared" si="114"/>
        <v>Correct</v>
      </c>
      <c r="AU266" s="37"/>
      <c r="AV266" s="120" t="str">
        <f>IFERROR(VLOOKUP(Table1[RespondentID],'All Data'!$A$3:$CO$999,87,FALSE),"unknown")</f>
        <v>Man</v>
      </c>
      <c r="AW266" s="120">
        <f>IFERROR(VLOOKUP(Table1[RespondentID],'All Data'!$A$3:$CO$999,88,FALSE),"unknown")</f>
        <v>43</v>
      </c>
      <c r="AX266" s="120" t="str">
        <f>IFERROR(VLOOKUP(Table1[RespondentID],'All Data'!$A$3:$CO$999,89,FALSE),"unknown")</f>
        <v>Suffolk</v>
      </c>
      <c r="AY266" s="120" t="str">
        <f>IFERROR(VLOOKUP(Table1[RespondentID],'All Data'!$A$3:$CO$999,90,FALSE),"unknown")</f>
        <v>Nesconset, 11767</v>
      </c>
      <c r="AZ266" s="120" t="str">
        <f>IFERROR(VLOOKUP(Table1[RespondentID],'All Data'!$A$3:$CO$999,91,FALSE),"unknown")</f>
        <v>White</v>
      </c>
      <c r="BA266" s="120" t="str">
        <f>IFERROR(VLOOKUP(Table1[RespondentID],'All Data'!$A$3:$CO$999,92,FALSE),"unknown")</f>
        <v>Not Hispanic or Latino</v>
      </c>
      <c r="BB266" s="120" t="str">
        <f>IFERROR(VLOOKUP(Table1[RespondentID],'All Data'!$A$3:$CO$999,93,FALSE),"unknown")</f>
        <v>English</v>
      </c>
      <c r="BC266" s="120" t="str">
        <f>IFERROR(VLOOKUP(Table1[RespondentID],'All Data'!$A$3:$CW$999,94,FALSE),"unknown")</f>
        <v>$0-$19,999</v>
      </c>
      <c r="BD266" s="120" t="str">
        <f>IFERROR(VLOOKUP(Table1[RespondentID],'All Data'!$A$3:$CW$999,95,FALSE),"unknown")</f>
        <v>Some college</v>
      </c>
      <c r="BE266" s="120" t="str">
        <f>IFERROR(VLOOKUP(Table1[RespondentID],'All Data'!$A$3:$CW$999,96,FALSE),"unknown")</f>
        <v>Employed for wages</v>
      </c>
      <c r="BF266" s="120" t="str">
        <f>IFERROR(VLOOKUP(Table1[RespondentID],'All Data'!$A$3:$CW$999,97,FALSE),"unknown")</f>
        <v>Yes</v>
      </c>
      <c r="BG266" s="120" t="str">
        <f>IFERROR(VLOOKUP(Table1[RespondentID],'All Data'!$A$3:$CW$999,98,FALSE),"unknown")</f>
        <v>Medicaid</v>
      </c>
      <c r="BH266" s="120" t="str">
        <f>IFERROR(VLOOKUP(Table1[RespondentID],'All Data'!$A$3:$CW$999,99,FALSE),"unknown")</f>
        <v>No</v>
      </c>
    </row>
    <row r="267" spans="1:60">
      <c r="A267" s="5">
        <v>18017611415</v>
      </c>
      <c r="B267" s="5"/>
      <c r="C267" s="5"/>
      <c r="D267" s="5" t="s">
        <v>51</v>
      </c>
      <c r="E267" s="5"/>
      <c r="F267" s="5"/>
      <c r="G267" s="5"/>
      <c r="H267" s="5"/>
      <c r="I267" s="5"/>
      <c r="J267" s="5"/>
      <c r="K267" s="5"/>
      <c r="L267" s="5"/>
      <c r="M267" s="5"/>
      <c r="N267" s="5"/>
      <c r="O267" s="5"/>
      <c r="P267" s="5"/>
      <c r="Q267" s="5"/>
      <c r="R267" s="5" t="s">
        <v>62</v>
      </c>
      <c r="S267" s="5" t="s">
        <v>63</v>
      </c>
      <c r="T267" s="37"/>
      <c r="U267" s="37">
        <f t="shared" si="92"/>
        <v>3</v>
      </c>
      <c r="V267" s="37">
        <f t="shared" si="93"/>
        <v>1</v>
      </c>
      <c r="W267" s="37"/>
      <c r="X267" s="37">
        <f t="shared" si="94"/>
        <v>0</v>
      </c>
      <c r="Y267" s="37">
        <f t="shared" si="95"/>
        <v>0</v>
      </c>
      <c r="Z267" s="37">
        <f t="shared" si="96"/>
        <v>1</v>
      </c>
      <c r="AA267" s="37">
        <f t="shared" si="97"/>
        <v>0</v>
      </c>
      <c r="AB267" s="37">
        <f t="shared" si="98"/>
        <v>0</v>
      </c>
      <c r="AC267" s="37">
        <f t="shared" si="99"/>
        <v>0</v>
      </c>
      <c r="AD267" s="37">
        <f t="shared" si="100"/>
        <v>0</v>
      </c>
      <c r="AE267" s="37">
        <f t="shared" si="101"/>
        <v>0</v>
      </c>
      <c r="AF267" s="37">
        <f t="shared" si="102"/>
        <v>0</v>
      </c>
      <c r="AG267" s="37">
        <f t="shared" si="103"/>
        <v>0</v>
      </c>
      <c r="AH267" s="37">
        <f t="shared" si="104"/>
        <v>0</v>
      </c>
      <c r="AI267" s="37">
        <f t="shared" si="105"/>
        <v>0</v>
      </c>
      <c r="AJ267" s="37">
        <f t="shared" si="106"/>
        <v>0</v>
      </c>
      <c r="AK267" s="37">
        <f t="shared" si="107"/>
        <v>0</v>
      </c>
      <c r="AL267" s="37">
        <f t="shared" si="108"/>
        <v>0</v>
      </c>
      <c r="AM267" s="37">
        <f t="shared" si="109"/>
        <v>0</v>
      </c>
      <c r="AN267" s="37">
        <f t="shared" si="110"/>
        <v>1</v>
      </c>
      <c r="AO267" s="37">
        <f t="shared" si="111"/>
        <v>1</v>
      </c>
      <c r="AP267" s="37"/>
      <c r="AQ267" s="37"/>
      <c r="AR267" s="37">
        <f t="shared" si="112"/>
        <v>3</v>
      </c>
      <c r="AS267" s="37">
        <f t="shared" si="113"/>
        <v>3</v>
      </c>
      <c r="AT267" s="37" t="str">
        <f t="shared" si="114"/>
        <v>Correct</v>
      </c>
      <c r="AU267" s="37"/>
      <c r="AV267" s="120" t="str">
        <f>IFERROR(VLOOKUP(Table1[RespondentID],'All Data'!$A$3:$CO$999,87,FALSE),"unknown")</f>
        <v>Man</v>
      </c>
      <c r="AW267" s="120">
        <f>IFERROR(VLOOKUP(Table1[RespondentID],'All Data'!$A$3:$CO$999,88,FALSE),"unknown")</f>
        <v>68</v>
      </c>
      <c r="AX267" s="120" t="str">
        <f>IFERROR(VLOOKUP(Table1[RespondentID],'All Data'!$A$3:$CO$999,89,FALSE),"unknown")</f>
        <v>Suffolk</v>
      </c>
      <c r="AY267" s="120" t="str">
        <f>IFERROR(VLOOKUP(Table1[RespondentID],'All Data'!$A$3:$CO$999,90,FALSE),"unknown")</f>
        <v>Sayville, 11782</v>
      </c>
      <c r="AZ267" s="120" t="str">
        <f>IFERROR(VLOOKUP(Table1[RespondentID],'All Data'!$A$3:$CO$999,91,FALSE),"unknown")</f>
        <v>White</v>
      </c>
      <c r="BA267" s="120" t="str">
        <f>IFERROR(VLOOKUP(Table1[RespondentID],'All Data'!$A$3:$CO$999,92,FALSE),"unknown")</f>
        <v>Hispanic or Latino</v>
      </c>
      <c r="BB267" s="120" t="str">
        <f>IFERROR(VLOOKUP(Table1[RespondentID],'All Data'!$A$3:$CO$999,93,FALSE),"unknown")</f>
        <v>English</v>
      </c>
      <c r="BC267" s="120" t="str">
        <f>IFERROR(VLOOKUP(Table1[RespondentID],'All Data'!$A$3:$CW$999,94,FALSE),"unknown")</f>
        <v>$75,000 to $125,000</v>
      </c>
      <c r="BD267" s="120" t="str">
        <f>IFERROR(VLOOKUP(Table1[RespondentID],'All Data'!$A$3:$CW$999,95,FALSE),"unknown")</f>
        <v>College graduate</v>
      </c>
      <c r="BE267" s="120" t="str">
        <f>IFERROR(VLOOKUP(Table1[RespondentID],'All Data'!$A$3:$CW$999,96,FALSE),"unknown")</f>
        <v>Retired</v>
      </c>
      <c r="BF267" s="120" t="str">
        <f>IFERROR(VLOOKUP(Table1[RespondentID],'All Data'!$A$3:$CW$999,97,FALSE),"unknown")</f>
        <v>Yes</v>
      </c>
      <c r="BG267" s="120" t="str">
        <f>IFERROR(VLOOKUP(Table1[RespondentID],'All Data'!$A$3:$CW$999,98,FALSE),"unknown")</f>
        <v>Medicaid, Private/Commercial</v>
      </c>
      <c r="BH267" s="120" t="str">
        <f>IFERROR(VLOOKUP(Table1[RespondentID],'All Data'!$A$3:$CW$999,99,FALSE),"unknown")</f>
        <v>Yes</v>
      </c>
    </row>
    <row r="268" spans="1:60">
      <c r="A268" s="5">
        <v>18017568152</v>
      </c>
      <c r="B268" s="5"/>
      <c r="C268" s="5" t="s">
        <v>50</v>
      </c>
      <c r="D268" s="5" t="s">
        <v>51</v>
      </c>
      <c r="E268" s="5"/>
      <c r="F268" s="5"/>
      <c r="G268" s="5" t="s">
        <v>53</v>
      </c>
      <c r="H268" s="5"/>
      <c r="I268" s="5"/>
      <c r="J268" s="5"/>
      <c r="K268" s="5"/>
      <c r="L268" s="5"/>
      <c r="M268" s="5"/>
      <c r="N268" s="5"/>
      <c r="O268" s="5"/>
      <c r="P268" s="5"/>
      <c r="Q268" s="5"/>
      <c r="R268" s="5"/>
      <c r="S268" s="5"/>
      <c r="T268" s="37"/>
      <c r="U268" s="37">
        <f t="shared" si="92"/>
        <v>3</v>
      </c>
      <c r="V268" s="37">
        <f t="shared" si="93"/>
        <v>1</v>
      </c>
      <c r="W268" s="37"/>
      <c r="X268" s="37">
        <f t="shared" si="94"/>
        <v>0</v>
      </c>
      <c r="Y268" s="37">
        <f t="shared" si="95"/>
        <v>1</v>
      </c>
      <c r="Z268" s="37">
        <f t="shared" si="96"/>
        <v>1</v>
      </c>
      <c r="AA268" s="37">
        <f t="shared" si="97"/>
        <v>0</v>
      </c>
      <c r="AB268" s="37">
        <f t="shared" si="98"/>
        <v>0</v>
      </c>
      <c r="AC268" s="37">
        <f t="shared" si="99"/>
        <v>1</v>
      </c>
      <c r="AD268" s="37">
        <f t="shared" si="100"/>
        <v>0</v>
      </c>
      <c r="AE268" s="37">
        <f t="shared" si="101"/>
        <v>0</v>
      </c>
      <c r="AF268" s="37">
        <f t="shared" si="102"/>
        <v>0</v>
      </c>
      <c r="AG268" s="37">
        <f t="shared" si="103"/>
        <v>0</v>
      </c>
      <c r="AH268" s="37">
        <f t="shared" si="104"/>
        <v>0</v>
      </c>
      <c r="AI268" s="37">
        <f t="shared" si="105"/>
        <v>0</v>
      </c>
      <c r="AJ268" s="37">
        <f t="shared" si="106"/>
        <v>0</v>
      </c>
      <c r="AK268" s="37">
        <f t="shared" si="107"/>
        <v>0</v>
      </c>
      <c r="AL268" s="37">
        <f t="shared" si="108"/>
        <v>0</v>
      </c>
      <c r="AM268" s="37">
        <f t="shared" si="109"/>
        <v>0</v>
      </c>
      <c r="AN268" s="37">
        <f t="shared" si="110"/>
        <v>0</v>
      </c>
      <c r="AO268" s="37">
        <f t="shared" si="111"/>
        <v>0</v>
      </c>
      <c r="AP268" s="37"/>
      <c r="AQ268" s="37"/>
      <c r="AR268" s="37">
        <f t="shared" si="112"/>
        <v>3</v>
      </c>
      <c r="AS268" s="37">
        <f t="shared" si="113"/>
        <v>3</v>
      </c>
      <c r="AT268" s="37" t="str">
        <f t="shared" si="114"/>
        <v>Correct</v>
      </c>
      <c r="AU268" s="37"/>
      <c r="AV268" s="120" t="str">
        <f>IFERROR(VLOOKUP(Table1[RespondentID],'All Data'!$A$3:$CO$999,87,FALSE),"unknown")</f>
        <v>Man</v>
      </c>
      <c r="AW268" s="120">
        <f>IFERROR(VLOOKUP(Table1[RespondentID],'All Data'!$A$3:$CO$999,88,FALSE),"unknown")</f>
        <v>52</v>
      </c>
      <c r="AX268" s="120" t="str">
        <f>IFERROR(VLOOKUP(Table1[RespondentID],'All Data'!$A$3:$CO$999,89,FALSE),"unknown")</f>
        <v>Nassau</v>
      </c>
      <c r="AY268" s="120" t="str">
        <f>IFERROR(VLOOKUP(Table1[RespondentID],'All Data'!$A$3:$CO$999,90,FALSE),"unknown")</f>
        <v>Manhasset, 11030</v>
      </c>
      <c r="AZ268" s="120" t="str">
        <f>IFERROR(VLOOKUP(Table1[RespondentID],'All Data'!$A$3:$CO$999,91,FALSE),"unknown")</f>
        <v>White</v>
      </c>
      <c r="BA268" s="120" t="str">
        <f>IFERROR(VLOOKUP(Table1[RespondentID],'All Data'!$A$3:$CO$999,92,FALSE),"unknown")</f>
        <v>Hispanic or Latino</v>
      </c>
      <c r="BB268" s="120" t="str">
        <f>IFERROR(VLOOKUP(Table1[RespondentID],'All Data'!$A$3:$CO$999,93,FALSE),"unknown")</f>
        <v>English</v>
      </c>
      <c r="BC268" s="120" t="str">
        <f>IFERROR(VLOOKUP(Table1[RespondentID],'All Data'!$A$3:$CW$999,94,FALSE),"unknown")</f>
        <v>Over $125,000</v>
      </c>
      <c r="BD268" s="120" t="str">
        <f>IFERROR(VLOOKUP(Table1[RespondentID],'All Data'!$A$3:$CW$999,95,FALSE),"unknown")</f>
        <v>Graduate school</v>
      </c>
      <c r="BE268" s="120" t="str">
        <f>IFERROR(VLOOKUP(Table1[RespondentID],'All Data'!$A$3:$CW$999,96,FALSE),"unknown")</f>
        <v>Employed for wages</v>
      </c>
      <c r="BF268" s="120" t="str">
        <f>IFERROR(VLOOKUP(Table1[RespondentID],'All Data'!$A$3:$CW$999,97,FALSE),"unknown")</f>
        <v>Yes</v>
      </c>
      <c r="BG268" s="120" t="str">
        <f>IFERROR(VLOOKUP(Table1[RespondentID],'All Data'!$A$3:$CW$999,98,FALSE),"unknown")</f>
        <v>Private/Commercial</v>
      </c>
      <c r="BH268" s="120" t="str">
        <f>IFERROR(VLOOKUP(Table1[RespondentID],'All Data'!$A$3:$CW$999,99,FALSE),"unknown")</f>
        <v>Yes</v>
      </c>
    </row>
    <row r="269" spans="1:60">
      <c r="A269" s="5">
        <v>18017061305</v>
      </c>
      <c r="B269" s="5"/>
      <c r="C269" s="5"/>
      <c r="D269" s="5" t="s">
        <v>51</v>
      </c>
      <c r="E269" s="5"/>
      <c r="F269" s="5"/>
      <c r="G269" s="5"/>
      <c r="H269" s="5"/>
      <c r="I269" s="5"/>
      <c r="J269" s="5"/>
      <c r="K269" s="5"/>
      <c r="L269" s="5"/>
      <c r="M269" s="5" t="s">
        <v>59</v>
      </c>
      <c r="N269" s="5"/>
      <c r="O269" s="5"/>
      <c r="P269" s="5"/>
      <c r="Q269" s="5"/>
      <c r="R269" s="5"/>
      <c r="S269" s="5"/>
      <c r="T269" s="37"/>
      <c r="U269" s="37">
        <f t="shared" si="92"/>
        <v>2</v>
      </c>
      <c r="V269" s="37">
        <f t="shared" si="93"/>
        <v>1.5</v>
      </c>
      <c r="W269" s="37"/>
      <c r="X269" s="37">
        <f t="shared" si="94"/>
        <v>0</v>
      </c>
      <c r="Y269" s="37">
        <f t="shared" si="95"/>
        <v>0</v>
      </c>
      <c r="Z269" s="37">
        <f t="shared" si="96"/>
        <v>1</v>
      </c>
      <c r="AA269" s="37">
        <f t="shared" si="97"/>
        <v>0</v>
      </c>
      <c r="AB269" s="37">
        <f t="shared" si="98"/>
        <v>0</v>
      </c>
      <c r="AC269" s="37">
        <f t="shared" si="99"/>
        <v>0</v>
      </c>
      <c r="AD269" s="37">
        <f t="shared" si="100"/>
        <v>0</v>
      </c>
      <c r="AE269" s="37">
        <f t="shared" si="101"/>
        <v>0</v>
      </c>
      <c r="AF269" s="37">
        <f t="shared" si="102"/>
        <v>0</v>
      </c>
      <c r="AG269" s="37">
        <f t="shared" si="103"/>
        <v>0</v>
      </c>
      <c r="AH269" s="37">
        <f t="shared" si="104"/>
        <v>0</v>
      </c>
      <c r="AI269" s="37">
        <f t="shared" si="105"/>
        <v>1</v>
      </c>
      <c r="AJ269" s="37">
        <f t="shared" si="106"/>
        <v>0</v>
      </c>
      <c r="AK269" s="37">
        <f t="shared" si="107"/>
        <v>0</v>
      </c>
      <c r="AL269" s="37">
        <f t="shared" si="108"/>
        <v>0</v>
      </c>
      <c r="AM269" s="37">
        <f t="shared" si="109"/>
        <v>0</v>
      </c>
      <c r="AN269" s="37">
        <f t="shared" si="110"/>
        <v>0</v>
      </c>
      <c r="AO269" s="37">
        <f t="shared" si="111"/>
        <v>0</v>
      </c>
      <c r="AP269" s="37"/>
      <c r="AQ269" s="37"/>
      <c r="AR269" s="37">
        <f t="shared" si="112"/>
        <v>2</v>
      </c>
      <c r="AS269" s="37">
        <f t="shared" si="113"/>
        <v>2</v>
      </c>
      <c r="AT269" s="37" t="str">
        <f t="shared" si="114"/>
        <v>Correct</v>
      </c>
      <c r="AU269" s="37"/>
      <c r="AV269" s="120" t="str">
        <f>IFERROR(VLOOKUP(Table1[RespondentID],'All Data'!$A$3:$CO$999,87,FALSE),"unknown")</f>
        <v>Man</v>
      </c>
      <c r="AW269" s="120">
        <f>IFERROR(VLOOKUP(Table1[RespondentID],'All Data'!$A$3:$CO$999,88,FALSE),"unknown")</f>
        <v>44</v>
      </c>
      <c r="AX269" s="120" t="str">
        <f>IFERROR(VLOOKUP(Table1[RespondentID],'All Data'!$A$3:$CO$999,89,FALSE),"unknown")</f>
        <v>Suffolk</v>
      </c>
      <c r="AY269" s="120" t="str">
        <f>IFERROR(VLOOKUP(Table1[RespondentID],'All Data'!$A$3:$CO$999,90,FALSE),"unknown")</f>
        <v>Selden, 11784</v>
      </c>
      <c r="AZ269" s="120" t="str">
        <f>IFERROR(VLOOKUP(Table1[RespondentID],'All Data'!$A$3:$CO$999,91,FALSE),"unknown")</f>
        <v>White</v>
      </c>
      <c r="BA269" s="120" t="str">
        <f>IFERROR(VLOOKUP(Table1[RespondentID],'All Data'!$A$3:$CO$999,92,FALSE),"unknown")</f>
        <v>Hispanic or Latino</v>
      </c>
      <c r="BB269" s="120" t="str">
        <f>IFERROR(VLOOKUP(Table1[RespondentID],'All Data'!$A$3:$CO$999,93,FALSE),"unknown")</f>
        <v>English</v>
      </c>
      <c r="BC269" s="120" t="str">
        <f>IFERROR(VLOOKUP(Table1[RespondentID],'All Data'!$A$3:$CW$999,94,FALSE),"unknown")</f>
        <v>$50,000 to $74,999</v>
      </c>
      <c r="BD269" s="120" t="str">
        <f>IFERROR(VLOOKUP(Table1[RespondentID],'All Data'!$A$3:$CW$999,95,FALSE),"unknown")</f>
        <v>College graduate</v>
      </c>
      <c r="BE269" s="120" t="str">
        <f>IFERROR(VLOOKUP(Table1[RespondentID],'All Data'!$A$3:$CW$999,96,FALSE),"unknown")</f>
        <v>Employed for wages</v>
      </c>
      <c r="BF269" s="120" t="str">
        <f>IFERROR(VLOOKUP(Table1[RespondentID],'All Data'!$A$3:$CW$999,97,FALSE),"unknown")</f>
        <v>Yes</v>
      </c>
      <c r="BG269" s="120" t="str">
        <f>IFERROR(VLOOKUP(Table1[RespondentID],'All Data'!$A$3:$CW$999,98,FALSE),"unknown")</f>
        <v>Private/Commercial</v>
      </c>
      <c r="BH269" s="120" t="str">
        <f>IFERROR(VLOOKUP(Table1[RespondentID],'All Data'!$A$3:$CW$999,99,FALSE),"unknown")</f>
        <v>Yes</v>
      </c>
    </row>
    <row r="270" spans="1:60">
      <c r="A270" s="5">
        <v>18016902456</v>
      </c>
      <c r="B270" s="5"/>
      <c r="C270" s="5"/>
      <c r="D270" s="5" t="s">
        <v>51</v>
      </c>
      <c r="E270" s="5"/>
      <c r="F270" s="5"/>
      <c r="G270" s="5"/>
      <c r="H270" s="5"/>
      <c r="I270" s="5"/>
      <c r="J270" s="5"/>
      <c r="K270" s="5" t="s">
        <v>57</v>
      </c>
      <c r="L270" s="5"/>
      <c r="M270" s="5"/>
      <c r="N270" s="5"/>
      <c r="O270" s="5"/>
      <c r="P270" s="5"/>
      <c r="Q270" s="5"/>
      <c r="R270" s="5" t="s">
        <v>62</v>
      </c>
      <c r="S270" s="5" t="s">
        <v>63</v>
      </c>
      <c r="T270" s="37"/>
      <c r="U270" s="37">
        <f t="shared" si="92"/>
        <v>4</v>
      </c>
      <c r="V270" s="37">
        <f t="shared" si="93"/>
        <v>0.75</v>
      </c>
      <c r="W270" s="37"/>
      <c r="X270" s="37">
        <f t="shared" si="94"/>
        <v>0</v>
      </c>
      <c r="Y270" s="37">
        <f t="shared" si="95"/>
        <v>0</v>
      </c>
      <c r="Z270" s="37">
        <f t="shared" si="96"/>
        <v>0.75</v>
      </c>
      <c r="AA270" s="37">
        <f t="shared" si="97"/>
        <v>0</v>
      </c>
      <c r="AB270" s="37">
        <f t="shared" si="98"/>
        <v>0</v>
      </c>
      <c r="AC270" s="37">
        <f t="shared" si="99"/>
        <v>0</v>
      </c>
      <c r="AD270" s="37">
        <f t="shared" si="100"/>
        <v>0</v>
      </c>
      <c r="AE270" s="37">
        <f t="shared" si="101"/>
        <v>0</v>
      </c>
      <c r="AF270" s="37">
        <f t="shared" si="102"/>
        <v>0</v>
      </c>
      <c r="AG270" s="37">
        <f t="shared" si="103"/>
        <v>0.75</v>
      </c>
      <c r="AH270" s="37">
        <f t="shared" si="104"/>
        <v>0</v>
      </c>
      <c r="AI270" s="37">
        <f t="shared" si="105"/>
        <v>0</v>
      </c>
      <c r="AJ270" s="37">
        <f t="shared" si="106"/>
        <v>0</v>
      </c>
      <c r="AK270" s="37">
        <f t="shared" si="107"/>
        <v>0</v>
      </c>
      <c r="AL270" s="37">
        <f t="shared" si="108"/>
        <v>0</v>
      </c>
      <c r="AM270" s="37">
        <f t="shared" si="109"/>
        <v>0</v>
      </c>
      <c r="AN270" s="37">
        <f t="shared" si="110"/>
        <v>0.75</v>
      </c>
      <c r="AO270" s="37">
        <f t="shared" si="111"/>
        <v>0.75</v>
      </c>
      <c r="AP270" s="37"/>
      <c r="AQ270" s="37"/>
      <c r="AR270" s="37">
        <f t="shared" si="112"/>
        <v>3</v>
      </c>
      <c r="AS270" s="37">
        <f t="shared" si="113"/>
        <v>4</v>
      </c>
      <c r="AT270" s="37" t="str">
        <f t="shared" si="114"/>
        <v>Correct</v>
      </c>
      <c r="AU270" s="37"/>
      <c r="AV270" s="120" t="str">
        <f>IFERROR(VLOOKUP(Table1[RespondentID],'All Data'!$A$3:$CO$999,87,FALSE),"unknown")</f>
        <v>Man</v>
      </c>
      <c r="AW270" s="120">
        <f>IFERROR(VLOOKUP(Table1[RespondentID],'All Data'!$A$3:$CO$999,88,FALSE),"unknown")</f>
        <v>45</v>
      </c>
      <c r="AX270" s="120" t="str">
        <f>IFERROR(VLOOKUP(Table1[RespondentID],'All Data'!$A$3:$CO$999,89,FALSE),"unknown")</f>
        <v>Suffolk</v>
      </c>
      <c r="AY270" s="120" t="str">
        <f>IFERROR(VLOOKUP(Table1[RespondentID],'All Data'!$A$3:$CO$999,90,FALSE),"unknown")</f>
        <v>Mastic, 11950</v>
      </c>
      <c r="AZ270" s="120" t="str">
        <f>IFERROR(VLOOKUP(Table1[RespondentID],'All Data'!$A$3:$CO$999,91,FALSE),"unknown")</f>
        <v>White</v>
      </c>
      <c r="BA270" s="120" t="str">
        <f>IFERROR(VLOOKUP(Table1[RespondentID],'All Data'!$A$3:$CO$999,92,FALSE),"unknown")</f>
        <v>Hispanic or Latino</v>
      </c>
      <c r="BB270" s="120" t="str">
        <f>IFERROR(VLOOKUP(Table1[RespondentID],'All Data'!$A$3:$CO$999,93,FALSE),"unknown")</f>
        <v>English</v>
      </c>
      <c r="BC270" s="120" t="str">
        <f>IFERROR(VLOOKUP(Table1[RespondentID],'All Data'!$A$3:$CW$999,94,FALSE),"unknown")</f>
        <v>Over $125,000</v>
      </c>
      <c r="BD270" s="120" t="str">
        <f>IFERROR(VLOOKUP(Table1[RespondentID],'All Data'!$A$3:$CW$999,95,FALSE),"unknown")</f>
        <v>College graduate</v>
      </c>
      <c r="BE270" s="120" t="str">
        <f>IFERROR(VLOOKUP(Table1[RespondentID],'All Data'!$A$3:$CW$999,96,FALSE),"unknown")</f>
        <v>Employed for wages</v>
      </c>
      <c r="BF270" s="120" t="str">
        <f>IFERROR(VLOOKUP(Table1[RespondentID],'All Data'!$A$3:$CW$999,97,FALSE),"unknown")</f>
        <v>Yes</v>
      </c>
      <c r="BG270" s="120" t="str">
        <f>IFERROR(VLOOKUP(Table1[RespondentID],'All Data'!$A$3:$CW$999,98,FALSE),"unknown")</f>
        <v>Private/Commercial</v>
      </c>
      <c r="BH270" s="120" t="str">
        <f>IFERROR(VLOOKUP(Table1[RespondentID],'All Data'!$A$3:$CW$999,99,FALSE),"unknown")</f>
        <v>Yes</v>
      </c>
    </row>
    <row r="271" spans="1:60">
      <c r="A271" s="5">
        <v>18016880706</v>
      </c>
      <c r="B271" s="5"/>
      <c r="C271" s="5" t="s">
        <v>50</v>
      </c>
      <c r="D271" s="5"/>
      <c r="E271" s="5" t="s">
        <v>17</v>
      </c>
      <c r="F271" s="5"/>
      <c r="G271" s="5"/>
      <c r="H271" s="5"/>
      <c r="I271" s="5"/>
      <c r="J271" s="5"/>
      <c r="K271" s="5"/>
      <c r="L271" s="5"/>
      <c r="M271" s="5"/>
      <c r="N271" s="5"/>
      <c r="O271" s="5"/>
      <c r="P271" s="5"/>
      <c r="Q271" s="5"/>
      <c r="R271" s="5"/>
      <c r="S271" s="5" t="s">
        <v>63</v>
      </c>
      <c r="T271" s="37"/>
      <c r="U271" s="37">
        <f t="shared" si="92"/>
        <v>3</v>
      </c>
      <c r="V271" s="37">
        <f t="shared" si="93"/>
        <v>1</v>
      </c>
      <c r="W271" s="37"/>
      <c r="X271" s="37">
        <f t="shared" si="94"/>
        <v>0</v>
      </c>
      <c r="Y271" s="37">
        <f t="shared" si="95"/>
        <v>1</v>
      </c>
      <c r="Z271" s="37">
        <f t="shared" si="96"/>
        <v>0</v>
      </c>
      <c r="AA271" s="37">
        <f t="shared" si="97"/>
        <v>1</v>
      </c>
      <c r="AB271" s="37">
        <f t="shared" si="98"/>
        <v>0</v>
      </c>
      <c r="AC271" s="37">
        <f t="shared" si="99"/>
        <v>0</v>
      </c>
      <c r="AD271" s="37">
        <f t="shared" si="100"/>
        <v>0</v>
      </c>
      <c r="AE271" s="37">
        <f t="shared" si="101"/>
        <v>0</v>
      </c>
      <c r="AF271" s="37">
        <f t="shared" si="102"/>
        <v>0</v>
      </c>
      <c r="AG271" s="37">
        <f t="shared" si="103"/>
        <v>0</v>
      </c>
      <c r="AH271" s="37">
        <f t="shared" si="104"/>
        <v>0</v>
      </c>
      <c r="AI271" s="37">
        <f t="shared" si="105"/>
        <v>0</v>
      </c>
      <c r="AJ271" s="37">
        <f t="shared" si="106"/>
        <v>0</v>
      </c>
      <c r="AK271" s="37">
        <f t="shared" si="107"/>
        <v>0</v>
      </c>
      <c r="AL271" s="37">
        <f t="shared" si="108"/>
        <v>0</v>
      </c>
      <c r="AM271" s="37">
        <f t="shared" si="109"/>
        <v>0</v>
      </c>
      <c r="AN271" s="37">
        <f t="shared" si="110"/>
        <v>0</v>
      </c>
      <c r="AO271" s="37">
        <f t="shared" si="111"/>
        <v>1</v>
      </c>
      <c r="AP271" s="37"/>
      <c r="AQ271" s="37"/>
      <c r="AR271" s="37">
        <f t="shared" si="112"/>
        <v>3</v>
      </c>
      <c r="AS271" s="37">
        <f t="shared" si="113"/>
        <v>3</v>
      </c>
      <c r="AT271" s="37" t="str">
        <f t="shared" si="114"/>
        <v>Correct</v>
      </c>
      <c r="AU271" s="37"/>
      <c r="AV271" s="120" t="str">
        <f>IFERROR(VLOOKUP(Table1[RespondentID],'All Data'!$A$3:$CO$999,87,FALSE),"unknown")</f>
        <v>Man</v>
      </c>
      <c r="AW271" s="120">
        <f>IFERROR(VLOOKUP(Table1[RespondentID],'All Data'!$A$3:$CO$999,88,FALSE),"unknown")</f>
        <v>16</v>
      </c>
      <c r="AX271" s="120" t="str">
        <f>IFERROR(VLOOKUP(Table1[RespondentID],'All Data'!$A$3:$CO$999,89,FALSE),"unknown")</f>
        <v>Suffolk</v>
      </c>
      <c r="AY271" s="120" t="str">
        <f>IFERROR(VLOOKUP(Table1[RespondentID],'All Data'!$A$3:$CO$999,90,FALSE),"unknown")</f>
        <v>Nesconset, 11767</v>
      </c>
      <c r="AZ271" s="120" t="str">
        <f>IFERROR(VLOOKUP(Table1[RespondentID],'All Data'!$A$3:$CO$999,91,FALSE),"unknown")</f>
        <v>White</v>
      </c>
      <c r="BA271" s="120" t="str">
        <f>IFERROR(VLOOKUP(Table1[RespondentID],'All Data'!$A$3:$CO$999,92,FALSE),"unknown")</f>
        <v>Hispanic or Latino</v>
      </c>
      <c r="BB271" s="120" t="str">
        <f>IFERROR(VLOOKUP(Table1[RespondentID],'All Data'!$A$3:$CO$999,93,FALSE),"unknown")</f>
        <v>English</v>
      </c>
      <c r="BC271" s="120" t="str">
        <f>IFERROR(VLOOKUP(Table1[RespondentID],'All Data'!$A$3:$CW$999,94,FALSE),"unknown")</f>
        <v>Over $125,000</v>
      </c>
      <c r="BD271" s="120" t="str">
        <f>IFERROR(VLOOKUP(Table1[RespondentID],'All Data'!$A$3:$CW$999,95,FALSE),"unknown")</f>
        <v>Some high school</v>
      </c>
      <c r="BE271" s="120" t="str">
        <f>IFERROR(VLOOKUP(Table1[RespondentID],'All Data'!$A$3:$CW$999,96,FALSE),"unknown")</f>
        <v>Student</v>
      </c>
      <c r="BF271" s="120" t="str">
        <f>IFERROR(VLOOKUP(Table1[RespondentID],'All Data'!$A$3:$CW$999,97,FALSE),"unknown")</f>
        <v>Yes</v>
      </c>
      <c r="BG271" s="120" t="str">
        <f>IFERROR(VLOOKUP(Table1[RespondentID],'All Data'!$A$3:$CW$999,98,FALSE),"unknown")</f>
        <v>Private/Commercial</v>
      </c>
      <c r="BH271" s="120" t="str">
        <f>IFERROR(VLOOKUP(Table1[RespondentID],'All Data'!$A$3:$CW$999,99,FALSE),"unknown")</f>
        <v>Yes</v>
      </c>
    </row>
    <row r="272" spans="1:60">
      <c r="A272" s="5">
        <v>18016880667</v>
      </c>
      <c r="B272" s="5"/>
      <c r="C272" s="5"/>
      <c r="D272" s="5" t="s">
        <v>51</v>
      </c>
      <c r="E272" s="5" t="s">
        <v>17</v>
      </c>
      <c r="F272" s="5"/>
      <c r="G272" s="5"/>
      <c r="H272" s="5"/>
      <c r="I272" s="5"/>
      <c r="J272" s="5"/>
      <c r="K272" s="5"/>
      <c r="L272" s="5"/>
      <c r="M272" s="5"/>
      <c r="N272" s="5"/>
      <c r="O272" s="5"/>
      <c r="P272" s="5"/>
      <c r="Q272" s="5"/>
      <c r="R272" s="5"/>
      <c r="S272" s="5" t="s">
        <v>63</v>
      </c>
      <c r="T272" s="37"/>
      <c r="U272" s="37">
        <f t="shared" si="92"/>
        <v>3</v>
      </c>
      <c r="V272" s="37">
        <f t="shared" si="93"/>
        <v>1</v>
      </c>
      <c r="W272" s="37"/>
      <c r="X272" s="37">
        <f t="shared" si="94"/>
        <v>0</v>
      </c>
      <c r="Y272" s="37">
        <f t="shared" si="95"/>
        <v>0</v>
      </c>
      <c r="Z272" s="37">
        <f t="shared" si="96"/>
        <v>1</v>
      </c>
      <c r="AA272" s="37">
        <f t="shared" si="97"/>
        <v>1</v>
      </c>
      <c r="AB272" s="37">
        <f t="shared" si="98"/>
        <v>0</v>
      </c>
      <c r="AC272" s="37">
        <f t="shared" si="99"/>
        <v>0</v>
      </c>
      <c r="AD272" s="37">
        <f t="shared" si="100"/>
        <v>0</v>
      </c>
      <c r="AE272" s="37">
        <f t="shared" si="101"/>
        <v>0</v>
      </c>
      <c r="AF272" s="37">
        <f t="shared" si="102"/>
        <v>0</v>
      </c>
      <c r="AG272" s="37">
        <f t="shared" si="103"/>
        <v>0</v>
      </c>
      <c r="AH272" s="37">
        <f t="shared" si="104"/>
        <v>0</v>
      </c>
      <c r="AI272" s="37">
        <f t="shared" si="105"/>
        <v>0</v>
      </c>
      <c r="AJ272" s="37">
        <f t="shared" si="106"/>
        <v>0</v>
      </c>
      <c r="AK272" s="37">
        <f t="shared" si="107"/>
        <v>0</v>
      </c>
      <c r="AL272" s="37">
        <f t="shared" si="108"/>
        <v>0</v>
      </c>
      <c r="AM272" s="37">
        <f t="shared" si="109"/>
        <v>0</v>
      </c>
      <c r="AN272" s="37">
        <f t="shared" si="110"/>
        <v>0</v>
      </c>
      <c r="AO272" s="37">
        <f t="shared" si="111"/>
        <v>1</v>
      </c>
      <c r="AP272" s="37"/>
      <c r="AQ272" s="37"/>
      <c r="AR272" s="37">
        <f t="shared" si="112"/>
        <v>3</v>
      </c>
      <c r="AS272" s="37">
        <f t="shared" si="113"/>
        <v>3</v>
      </c>
      <c r="AT272" s="37" t="str">
        <f t="shared" si="114"/>
        <v>Correct</v>
      </c>
      <c r="AU272" s="37"/>
      <c r="AV272" s="120" t="str">
        <f>IFERROR(VLOOKUP(Table1[RespondentID],'All Data'!$A$3:$CO$999,87,FALSE),"unknown")</f>
        <v>Man</v>
      </c>
      <c r="AW272" s="120">
        <f>IFERROR(VLOOKUP(Table1[RespondentID],'All Data'!$A$3:$CO$999,88,FALSE),"unknown")</f>
        <v>16</v>
      </c>
      <c r="AX272" s="120" t="str">
        <f>IFERROR(VLOOKUP(Table1[RespondentID],'All Data'!$A$3:$CO$999,89,FALSE),"unknown")</f>
        <v>Suffolk</v>
      </c>
      <c r="AY272" s="120" t="str">
        <f>IFERROR(VLOOKUP(Table1[RespondentID],'All Data'!$A$3:$CO$999,90,FALSE),"unknown")</f>
        <v>Nesconset, 11767</v>
      </c>
      <c r="AZ272" s="120" t="str">
        <f>IFERROR(VLOOKUP(Table1[RespondentID],'All Data'!$A$3:$CO$999,91,FALSE),"unknown")</f>
        <v>White</v>
      </c>
      <c r="BA272" s="120" t="str">
        <f>IFERROR(VLOOKUP(Table1[RespondentID],'All Data'!$A$3:$CO$999,92,FALSE),"unknown")</f>
        <v>Hispanic or Latino</v>
      </c>
      <c r="BB272" s="120" t="str">
        <f>IFERROR(VLOOKUP(Table1[RespondentID],'All Data'!$A$3:$CO$999,93,FALSE),"unknown")</f>
        <v>English</v>
      </c>
      <c r="BC272" s="120" t="str">
        <f>IFERROR(VLOOKUP(Table1[RespondentID],'All Data'!$A$3:$CW$999,94,FALSE),"unknown")</f>
        <v>Over $125,000</v>
      </c>
      <c r="BD272" s="120" t="str">
        <f>IFERROR(VLOOKUP(Table1[RespondentID],'All Data'!$A$3:$CW$999,95,FALSE),"unknown")</f>
        <v>Some high school</v>
      </c>
      <c r="BE272" s="120" t="str">
        <f>IFERROR(VLOOKUP(Table1[RespondentID],'All Data'!$A$3:$CW$999,96,FALSE),"unknown")</f>
        <v>Student</v>
      </c>
      <c r="BF272" s="120" t="str">
        <f>IFERROR(VLOOKUP(Table1[RespondentID],'All Data'!$A$3:$CW$999,97,FALSE),"unknown")</f>
        <v>Yes</v>
      </c>
      <c r="BG272" s="120" t="str">
        <f>IFERROR(VLOOKUP(Table1[RespondentID],'All Data'!$A$3:$CW$999,98,FALSE),"unknown")</f>
        <v>Private/Commercial</v>
      </c>
      <c r="BH272" s="120" t="str">
        <f>IFERROR(VLOOKUP(Table1[RespondentID],'All Data'!$A$3:$CW$999,99,FALSE),"unknown")</f>
        <v>Yes</v>
      </c>
    </row>
    <row r="273" spans="1:60">
      <c r="A273" s="5">
        <v>18016880611</v>
      </c>
      <c r="B273" s="5"/>
      <c r="C273" s="5"/>
      <c r="D273" s="5"/>
      <c r="E273" s="5"/>
      <c r="F273" s="5" t="s">
        <v>52</v>
      </c>
      <c r="G273" s="5"/>
      <c r="H273" s="5" t="s">
        <v>54</v>
      </c>
      <c r="I273" s="5" t="s">
        <v>55</v>
      </c>
      <c r="J273" s="5"/>
      <c r="K273" s="5"/>
      <c r="L273" s="5"/>
      <c r="M273" s="5"/>
      <c r="N273" s="5"/>
      <c r="O273" s="5"/>
      <c r="P273" s="5"/>
      <c r="Q273" s="5"/>
      <c r="R273" s="5"/>
      <c r="S273" s="5"/>
      <c r="T273" s="37"/>
      <c r="U273" s="37">
        <f t="shared" si="92"/>
        <v>3</v>
      </c>
      <c r="V273" s="37">
        <f t="shared" si="93"/>
        <v>1</v>
      </c>
      <c r="W273" s="37"/>
      <c r="X273" s="37">
        <f t="shared" si="94"/>
        <v>0</v>
      </c>
      <c r="Y273" s="37">
        <f t="shared" si="95"/>
        <v>0</v>
      </c>
      <c r="Z273" s="37">
        <f t="shared" si="96"/>
        <v>0</v>
      </c>
      <c r="AA273" s="37">
        <f t="shared" si="97"/>
        <v>0</v>
      </c>
      <c r="AB273" s="37">
        <f t="shared" si="98"/>
        <v>1</v>
      </c>
      <c r="AC273" s="37">
        <f t="shared" si="99"/>
        <v>0</v>
      </c>
      <c r="AD273" s="37">
        <f t="shared" si="100"/>
        <v>1</v>
      </c>
      <c r="AE273" s="37">
        <f t="shared" si="101"/>
        <v>1</v>
      </c>
      <c r="AF273" s="37">
        <f t="shared" si="102"/>
        <v>0</v>
      </c>
      <c r="AG273" s="37">
        <f t="shared" si="103"/>
        <v>0</v>
      </c>
      <c r="AH273" s="37">
        <f t="shared" si="104"/>
        <v>0</v>
      </c>
      <c r="AI273" s="37">
        <f t="shared" si="105"/>
        <v>0</v>
      </c>
      <c r="AJ273" s="37">
        <f t="shared" si="106"/>
        <v>0</v>
      </c>
      <c r="AK273" s="37">
        <f t="shared" si="107"/>
        <v>0</v>
      </c>
      <c r="AL273" s="37">
        <f t="shared" si="108"/>
        <v>0</v>
      </c>
      <c r="AM273" s="37">
        <f t="shared" si="109"/>
        <v>0</v>
      </c>
      <c r="AN273" s="37">
        <f t="shared" si="110"/>
        <v>0</v>
      </c>
      <c r="AO273" s="37">
        <f t="shared" si="111"/>
        <v>0</v>
      </c>
      <c r="AP273" s="37"/>
      <c r="AQ273" s="37"/>
      <c r="AR273" s="37">
        <f t="shared" si="112"/>
        <v>3</v>
      </c>
      <c r="AS273" s="37">
        <f t="shared" si="113"/>
        <v>3</v>
      </c>
      <c r="AT273" s="37" t="str">
        <f t="shared" si="114"/>
        <v>Correct</v>
      </c>
      <c r="AU273" s="37"/>
      <c r="AV273" s="120" t="str">
        <f>IFERROR(VLOOKUP(Table1[RespondentID],'All Data'!$A$3:$CO$999,87,FALSE),"unknown")</f>
        <v>Man</v>
      </c>
      <c r="AW273" s="120">
        <f>IFERROR(VLOOKUP(Table1[RespondentID],'All Data'!$A$3:$CO$999,88,FALSE),"unknown")</f>
        <v>16</v>
      </c>
      <c r="AX273" s="120" t="str">
        <f>IFERROR(VLOOKUP(Table1[RespondentID],'All Data'!$A$3:$CO$999,89,FALSE),"unknown")</f>
        <v>Suffolk</v>
      </c>
      <c r="AY273" s="120" t="str">
        <f>IFERROR(VLOOKUP(Table1[RespondentID],'All Data'!$A$3:$CO$999,90,FALSE),"unknown")</f>
        <v>Nesconset, 11767</v>
      </c>
      <c r="AZ273" s="120" t="str">
        <f>IFERROR(VLOOKUP(Table1[RespondentID],'All Data'!$A$3:$CO$999,91,FALSE),"unknown")</f>
        <v>White</v>
      </c>
      <c r="BA273" s="120" t="str">
        <f>IFERROR(VLOOKUP(Table1[RespondentID],'All Data'!$A$3:$CO$999,92,FALSE),"unknown")</f>
        <v>Hispanic or Latino</v>
      </c>
      <c r="BB273" s="120" t="str">
        <f>IFERROR(VLOOKUP(Table1[RespondentID],'All Data'!$A$3:$CO$999,93,FALSE),"unknown")</f>
        <v>English</v>
      </c>
      <c r="BC273" s="120" t="str">
        <f>IFERROR(VLOOKUP(Table1[RespondentID],'All Data'!$A$3:$CW$999,94,FALSE),"unknown")</f>
        <v>Over $125,000</v>
      </c>
      <c r="BD273" s="120" t="str">
        <f>IFERROR(VLOOKUP(Table1[RespondentID],'All Data'!$A$3:$CW$999,95,FALSE),"unknown")</f>
        <v>Some high school</v>
      </c>
      <c r="BE273" s="120" t="str">
        <f>IFERROR(VLOOKUP(Table1[RespondentID],'All Data'!$A$3:$CW$999,96,FALSE),"unknown")</f>
        <v>Student</v>
      </c>
      <c r="BF273" s="120" t="str">
        <f>IFERROR(VLOOKUP(Table1[RespondentID],'All Data'!$A$3:$CW$999,97,FALSE),"unknown")</f>
        <v>Yes</v>
      </c>
      <c r="BG273" s="120" t="str">
        <f>IFERROR(VLOOKUP(Table1[RespondentID],'All Data'!$A$3:$CW$999,98,FALSE),"unknown")</f>
        <v>Private/Commercial</v>
      </c>
      <c r="BH273" s="120" t="str">
        <f>IFERROR(VLOOKUP(Table1[RespondentID],'All Data'!$A$3:$CW$999,99,FALSE),"unknown")</f>
        <v>Yes</v>
      </c>
    </row>
    <row r="274" spans="1:60">
      <c r="A274" s="5">
        <v>18016880556</v>
      </c>
      <c r="B274" s="5"/>
      <c r="C274" s="5"/>
      <c r="D274" s="5"/>
      <c r="E274" s="5" t="s">
        <v>17</v>
      </c>
      <c r="F274" s="5"/>
      <c r="G274" s="5"/>
      <c r="H274" s="5"/>
      <c r="I274" s="5" t="s">
        <v>55</v>
      </c>
      <c r="J274" s="5"/>
      <c r="K274" s="5"/>
      <c r="L274" s="5" t="s">
        <v>58</v>
      </c>
      <c r="M274" s="5"/>
      <c r="N274" s="5"/>
      <c r="O274" s="5"/>
      <c r="P274" s="5"/>
      <c r="Q274" s="5"/>
      <c r="R274" s="5"/>
      <c r="S274" s="5"/>
      <c r="T274" s="37"/>
      <c r="U274" s="37">
        <f t="shared" si="92"/>
        <v>3</v>
      </c>
      <c r="V274" s="37">
        <f t="shared" si="93"/>
        <v>1</v>
      </c>
      <c r="W274" s="37"/>
      <c r="X274" s="37">
        <f t="shared" si="94"/>
        <v>0</v>
      </c>
      <c r="Y274" s="37">
        <f t="shared" si="95"/>
        <v>0</v>
      </c>
      <c r="Z274" s="37">
        <f t="shared" si="96"/>
        <v>0</v>
      </c>
      <c r="AA274" s="37">
        <f t="shared" si="97"/>
        <v>1</v>
      </c>
      <c r="AB274" s="37">
        <f t="shared" si="98"/>
        <v>0</v>
      </c>
      <c r="AC274" s="37">
        <f t="shared" si="99"/>
        <v>0</v>
      </c>
      <c r="AD274" s="37">
        <f t="shared" si="100"/>
        <v>0</v>
      </c>
      <c r="AE274" s="37">
        <f t="shared" si="101"/>
        <v>1</v>
      </c>
      <c r="AF274" s="37">
        <f t="shared" si="102"/>
        <v>0</v>
      </c>
      <c r="AG274" s="37">
        <f t="shared" si="103"/>
        <v>0</v>
      </c>
      <c r="AH274" s="37">
        <f t="shared" si="104"/>
        <v>1</v>
      </c>
      <c r="AI274" s="37">
        <f t="shared" si="105"/>
        <v>0</v>
      </c>
      <c r="AJ274" s="37">
        <f t="shared" si="106"/>
        <v>0</v>
      </c>
      <c r="AK274" s="37">
        <f t="shared" si="107"/>
        <v>0</v>
      </c>
      <c r="AL274" s="37">
        <f t="shared" si="108"/>
        <v>0</v>
      </c>
      <c r="AM274" s="37">
        <f t="shared" si="109"/>
        <v>0</v>
      </c>
      <c r="AN274" s="37">
        <f t="shared" si="110"/>
        <v>0</v>
      </c>
      <c r="AO274" s="37">
        <f t="shared" si="111"/>
        <v>0</v>
      </c>
      <c r="AP274" s="37"/>
      <c r="AQ274" s="37"/>
      <c r="AR274" s="37">
        <f t="shared" si="112"/>
        <v>3</v>
      </c>
      <c r="AS274" s="37">
        <f t="shared" si="113"/>
        <v>3</v>
      </c>
      <c r="AT274" s="37" t="str">
        <f t="shared" si="114"/>
        <v>Correct</v>
      </c>
      <c r="AU274" s="37"/>
      <c r="AV274" s="120" t="str">
        <f>IFERROR(VLOOKUP(Table1[RespondentID],'All Data'!$A$3:$CO$999,87,FALSE),"unknown")</f>
        <v>Man</v>
      </c>
      <c r="AW274" s="120">
        <f>IFERROR(VLOOKUP(Table1[RespondentID],'All Data'!$A$3:$CO$999,88,FALSE),"unknown")</f>
        <v>16</v>
      </c>
      <c r="AX274" s="120" t="str">
        <f>IFERROR(VLOOKUP(Table1[RespondentID],'All Data'!$A$3:$CO$999,89,FALSE),"unknown")</f>
        <v>Suffolk</v>
      </c>
      <c r="AY274" s="120" t="str">
        <f>IFERROR(VLOOKUP(Table1[RespondentID],'All Data'!$A$3:$CO$999,90,FALSE),"unknown")</f>
        <v>Nesconset, 11767</v>
      </c>
      <c r="AZ274" s="120" t="str">
        <f>IFERROR(VLOOKUP(Table1[RespondentID],'All Data'!$A$3:$CO$999,91,FALSE),"unknown")</f>
        <v>White</v>
      </c>
      <c r="BA274" s="120" t="str">
        <f>IFERROR(VLOOKUP(Table1[RespondentID],'All Data'!$A$3:$CO$999,92,FALSE),"unknown")</f>
        <v>Hispanic or Latino</v>
      </c>
      <c r="BB274" s="120" t="str">
        <f>IFERROR(VLOOKUP(Table1[RespondentID],'All Data'!$A$3:$CO$999,93,FALSE),"unknown")</f>
        <v>English</v>
      </c>
      <c r="BC274" s="120" t="str">
        <f>IFERROR(VLOOKUP(Table1[RespondentID],'All Data'!$A$3:$CW$999,94,FALSE),"unknown")</f>
        <v>Over $125,000</v>
      </c>
      <c r="BD274" s="120" t="str">
        <f>IFERROR(VLOOKUP(Table1[RespondentID],'All Data'!$A$3:$CW$999,95,FALSE),"unknown")</f>
        <v>Some high school</v>
      </c>
      <c r="BE274" s="120" t="str">
        <f>IFERROR(VLOOKUP(Table1[RespondentID],'All Data'!$A$3:$CW$999,96,FALSE),"unknown")</f>
        <v>Student</v>
      </c>
      <c r="BF274" s="120" t="str">
        <f>IFERROR(VLOOKUP(Table1[RespondentID],'All Data'!$A$3:$CW$999,97,FALSE),"unknown")</f>
        <v>Yes</v>
      </c>
      <c r="BG274" s="120" t="str">
        <f>IFERROR(VLOOKUP(Table1[RespondentID],'All Data'!$A$3:$CW$999,98,FALSE),"unknown")</f>
        <v>Private/Commercial</v>
      </c>
      <c r="BH274" s="120" t="str">
        <f>IFERROR(VLOOKUP(Table1[RespondentID],'All Data'!$A$3:$CW$999,99,FALSE),"unknown")</f>
        <v>Yes</v>
      </c>
    </row>
    <row r="275" spans="1:60">
      <c r="A275" s="5">
        <v>18016880499</v>
      </c>
      <c r="B275" s="5"/>
      <c r="C275" s="5"/>
      <c r="D275" s="5" t="s">
        <v>51</v>
      </c>
      <c r="E275" s="5" t="s">
        <v>17</v>
      </c>
      <c r="F275" s="5"/>
      <c r="G275" s="5"/>
      <c r="H275" s="5"/>
      <c r="I275" s="5"/>
      <c r="J275" s="5"/>
      <c r="K275" s="5"/>
      <c r="L275" s="5"/>
      <c r="M275" s="5"/>
      <c r="N275" s="5"/>
      <c r="O275" s="5"/>
      <c r="P275" s="5"/>
      <c r="Q275" s="5"/>
      <c r="R275" s="5"/>
      <c r="S275" s="5" t="s">
        <v>63</v>
      </c>
      <c r="T275" s="37"/>
      <c r="U275" s="37">
        <f t="shared" si="92"/>
        <v>3</v>
      </c>
      <c r="V275" s="37">
        <f t="shared" si="93"/>
        <v>1</v>
      </c>
      <c r="W275" s="37"/>
      <c r="X275" s="37">
        <f t="shared" si="94"/>
        <v>0</v>
      </c>
      <c r="Y275" s="37">
        <f t="shared" si="95"/>
        <v>0</v>
      </c>
      <c r="Z275" s="37">
        <f t="shared" si="96"/>
        <v>1</v>
      </c>
      <c r="AA275" s="37">
        <f t="shared" si="97"/>
        <v>1</v>
      </c>
      <c r="AB275" s="37">
        <f t="shared" si="98"/>
        <v>0</v>
      </c>
      <c r="AC275" s="37">
        <f t="shared" si="99"/>
        <v>0</v>
      </c>
      <c r="AD275" s="37">
        <f t="shared" si="100"/>
        <v>0</v>
      </c>
      <c r="AE275" s="37">
        <f t="shared" si="101"/>
        <v>0</v>
      </c>
      <c r="AF275" s="37">
        <f t="shared" si="102"/>
        <v>0</v>
      </c>
      <c r="AG275" s="37">
        <f t="shared" si="103"/>
        <v>0</v>
      </c>
      <c r="AH275" s="37">
        <f t="shared" si="104"/>
        <v>0</v>
      </c>
      <c r="AI275" s="37">
        <f t="shared" si="105"/>
        <v>0</v>
      </c>
      <c r="AJ275" s="37">
        <f t="shared" si="106"/>
        <v>0</v>
      </c>
      <c r="AK275" s="37">
        <f t="shared" si="107"/>
        <v>0</v>
      </c>
      <c r="AL275" s="37">
        <f t="shared" si="108"/>
        <v>0</v>
      </c>
      <c r="AM275" s="37">
        <f t="shared" si="109"/>
        <v>0</v>
      </c>
      <c r="AN275" s="37">
        <f t="shared" si="110"/>
        <v>0</v>
      </c>
      <c r="AO275" s="37">
        <f t="shared" si="111"/>
        <v>1</v>
      </c>
      <c r="AP275" s="37"/>
      <c r="AQ275" s="37"/>
      <c r="AR275" s="37">
        <f t="shared" si="112"/>
        <v>3</v>
      </c>
      <c r="AS275" s="37">
        <f t="shared" si="113"/>
        <v>3</v>
      </c>
      <c r="AT275" s="37" t="str">
        <f t="shared" si="114"/>
        <v>Correct</v>
      </c>
      <c r="AU275" s="37"/>
      <c r="AV275" s="120" t="str">
        <f>IFERROR(VLOOKUP(Table1[RespondentID],'All Data'!$A$3:$CO$999,87,FALSE),"unknown")</f>
        <v>Man</v>
      </c>
      <c r="AW275" s="120">
        <f>IFERROR(VLOOKUP(Table1[RespondentID],'All Data'!$A$3:$CO$999,88,FALSE),"unknown")</f>
        <v>16</v>
      </c>
      <c r="AX275" s="120" t="str">
        <f>IFERROR(VLOOKUP(Table1[RespondentID],'All Data'!$A$3:$CO$999,89,FALSE),"unknown")</f>
        <v>Suffolk</v>
      </c>
      <c r="AY275" s="120" t="str">
        <f>IFERROR(VLOOKUP(Table1[RespondentID],'All Data'!$A$3:$CO$999,90,FALSE),"unknown")</f>
        <v>Nesconset, 11767</v>
      </c>
      <c r="AZ275" s="120" t="str">
        <f>IFERROR(VLOOKUP(Table1[RespondentID],'All Data'!$A$3:$CO$999,91,FALSE),"unknown")</f>
        <v>White</v>
      </c>
      <c r="BA275" s="120" t="str">
        <f>IFERROR(VLOOKUP(Table1[RespondentID],'All Data'!$A$3:$CO$999,92,FALSE),"unknown")</f>
        <v>Hispanic or Latino</v>
      </c>
      <c r="BB275" s="120" t="str">
        <f>IFERROR(VLOOKUP(Table1[RespondentID],'All Data'!$A$3:$CO$999,93,FALSE),"unknown")</f>
        <v>English</v>
      </c>
      <c r="BC275" s="120" t="str">
        <f>IFERROR(VLOOKUP(Table1[RespondentID],'All Data'!$A$3:$CW$999,94,FALSE),"unknown")</f>
        <v>Over $125,000</v>
      </c>
      <c r="BD275" s="120" t="str">
        <f>IFERROR(VLOOKUP(Table1[RespondentID],'All Data'!$A$3:$CW$999,95,FALSE),"unknown")</f>
        <v>Some high school</v>
      </c>
      <c r="BE275" s="120" t="str">
        <f>IFERROR(VLOOKUP(Table1[RespondentID],'All Data'!$A$3:$CW$999,96,FALSE),"unknown")</f>
        <v>Student</v>
      </c>
      <c r="BF275" s="120" t="str">
        <f>IFERROR(VLOOKUP(Table1[RespondentID],'All Data'!$A$3:$CW$999,97,FALSE),"unknown")</f>
        <v>Yes</v>
      </c>
      <c r="BG275" s="120" t="str">
        <f>IFERROR(VLOOKUP(Table1[RespondentID],'All Data'!$A$3:$CW$999,98,FALSE),"unknown")</f>
        <v>Private/Commercial</v>
      </c>
      <c r="BH275" s="120" t="str">
        <f>IFERROR(VLOOKUP(Table1[RespondentID],'All Data'!$A$3:$CW$999,99,FALSE),"unknown")</f>
        <v>Yes</v>
      </c>
    </row>
    <row r="276" spans="1:60">
      <c r="A276" s="5">
        <v>18016880433</v>
      </c>
      <c r="B276" s="5"/>
      <c r="C276" s="5"/>
      <c r="D276" s="5"/>
      <c r="E276" s="5" t="s">
        <v>17</v>
      </c>
      <c r="F276" s="5"/>
      <c r="G276" s="5"/>
      <c r="H276" s="5"/>
      <c r="I276" s="5" t="s">
        <v>55</v>
      </c>
      <c r="J276" s="5"/>
      <c r="K276" s="5"/>
      <c r="L276" s="5"/>
      <c r="M276" s="5"/>
      <c r="N276" s="5"/>
      <c r="O276" s="5" t="s">
        <v>20</v>
      </c>
      <c r="P276" s="5"/>
      <c r="Q276" s="5"/>
      <c r="R276" s="5"/>
      <c r="S276" s="5"/>
      <c r="T276" s="37"/>
      <c r="U276" s="37">
        <f t="shared" si="92"/>
        <v>3</v>
      </c>
      <c r="V276" s="37">
        <f t="shared" si="93"/>
        <v>1</v>
      </c>
      <c r="W276" s="37"/>
      <c r="X276" s="37">
        <f t="shared" si="94"/>
        <v>0</v>
      </c>
      <c r="Y276" s="37">
        <f t="shared" si="95"/>
        <v>0</v>
      </c>
      <c r="Z276" s="37">
        <f t="shared" si="96"/>
        <v>0</v>
      </c>
      <c r="AA276" s="37">
        <f t="shared" si="97"/>
        <v>1</v>
      </c>
      <c r="AB276" s="37">
        <f t="shared" si="98"/>
        <v>0</v>
      </c>
      <c r="AC276" s="37">
        <f t="shared" si="99"/>
        <v>0</v>
      </c>
      <c r="AD276" s="37">
        <f t="shared" si="100"/>
        <v>0</v>
      </c>
      <c r="AE276" s="37">
        <f t="shared" si="101"/>
        <v>1</v>
      </c>
      <c r="AF276" s="37">
        <f t="shared" si="102"/>
        <v>0</v>
      </c>
      <c r="AG276" s="37">
        <f t="shared" si="103"/>
        <v>0</v>
      </c>
      <c r="AH276" s="37">
        <f t="shared" si="104"/>
        <v>0</v>
      </c>
      <c r="AI276" s="37">
        <f t="shared" si="105"/>
        <v>0</v>
      </c>
      <c r="AJ276" s="37">
        <f t="shared" si="106"/>
        <v>0</v>
      </c>
      <c r="AK276" s="37">
        <f t="shared" si="107"/>
        <v>1</v>
      </c>
      <c r="AL276" s="37">
        <f t="shared" si="108"/>
        <v>0</v>
      </c>
      <c r="AM276" s="37">
        <f t="shared" si="109"/>
        <v>0</v>
      </c>
      <c r="AN276" s="37">
        <f t="shared" si="110"/>
        <v>0</v>
      </c>
      <c r="AO276" s="37">
        <f t="shared" si="111"/>
        <v>0</v>
      </c>
      <c r="AP276" s="37"/>
      <c r="AQ276" s="37"/>
      <c r="AR276" s="37">
        <f t="shared" si="112"/>
        <v>3</v>
      </c>
      <c r="AS276" s="37">
        <f t="shared" si="113"/>
        <v>3</v>
      </c>
      <c r="AT276" s="37" t="str">
        <f t="shared" si="114"/>
        <v>Correct</v>
      </c>
      <c r="AU276" s="37"/>
      <c r="AV276" s="120" t="str">
        <f>IFERROR(VLOOKUP(Table1[RespondentID],'All Data'!$A$3:$CO$999,87,FALSE),"unknown")</f>
        <v>Man</v>
      </c>
      <c r="AW276" s="120">
        <f>IFERROR(VLOOKUP(Table1[RespondentID],'All Data'!$A$3:$CO$999,88,FALSE),"unknown")</f>
        <v>16</v>
      </c>
      <c r="AX276" s="120" t="str">
        <f>IFERROR(VLOOKUP(Table1[RespondentID],'All Data'!$A$3:$CO$999,89,FALSE),"unknown")</f>
        <v>Suffolk</v>
      </c>
      <c r="AY276" s="120" t="str">
        <f>IFERROR(VLOOKUP(Table1[RespondentID],'All Data'!$A$3:$CO$999,90,FALSE),"unknown")</f>
        <v>Nesconset, 11767</v>
      </c>
      <c r="AZ276" s="120" t="str">
        <f>IFERROR(VLOOKUP(Table1[RespondentID],'All Data'!$A$3:$CO$999,91,FALSE),"unknown")</f>
        <v>White</v>
      </c>
      <c r="BA276" s="120" t="str">
        <f>IFERROR(VLOOKUP(Table1[RespondentID],'All Data'!$A$3:$CO$999,92,FALSE),"unknown")</f>
        <v>Hispanic or Latino</v>
      </c>
      <c r="BB276" s="120" t="str">
        <f>IFERROR(VLOOKUP(Table1[RespondentID],'All Data'!$A$3:$CO$999,93,FALSE),"unknown")</f>
        <v>English</v>
      </c>
      <c r="BC276" s="120" t="str">
        <f>IFERROR(VLOOKUP(Table1[RespondentID],'All Data'!$A$3:$CW$999,94,FALSE),"unknown")</f>
        <v>Over $125,000</v>
      </c>
      <c r="BD276" s="120" t="str">
        <f>IFERROR(VLOOKUP(Table1[RespondentID],'All Data'!$A$3:$CW$999,95,FALSE),"unknown")</f>
        <v>Some high school</v>
      </c>
      <c r="BE276" s="120" t="str">
        <f>IFERROR(VLOOKUP(Table1[RespondentID],'All Data'!$A$3:$CW$999,96,FALSE),"unknown")</f>
        <v>Student</v>
      </c>
      <c r="BF276" s="120" t="str">
        <f>IFERROR(VLOOKUP(Table1[RespondentID],'All Data'!$A$3:$CW$999,97,FALSE),"unknown")</f>
        <v>Yes</v>
      </c>
      <c r="BG276" s="120" t="str">
        <f>IFERROR(VLOOKUP(Table1[RespondentID],'All Data'!$A$3:$CW$999,98,FALSE),"unknown")</f>
        <v>Private/Commercial</v>
      </c>
      <c r="BH276" s="120" t="str">
        <f>IFERROR(VLOOKUP(Table1[RespondentID],'All Data'!$A$3:$CW$999,99,FALSE),"unknown")</f>
        <v>Yes</v>
      </c>
    </row>
    <row r="277" spans="1:60">
      <c r="A277" s="5">
        <v>18016880374</v>
      </c>
      <c r="B277" s="5"/>
      <c r="C277" s="5"/>
      <c r="D277" s="5"/>
      <c r="E277" s="5" t="s">
        <v>17</v>
      </c>
      <c r="F277" s="5"/>
      <c r="G277" s="5"/>
      <c r="H277" s="5"/>
      <c r="I277" s="5"/>
      <c r="J277" s="5"/>
      <c r="K277" s="5"/>
      <c r="L277" s="5"/>
      <c r="M277" s="5" t="s">
        <v>59</v>
      </c>
      <c r="N277" s="5"/>
      <c r="O277" s="5"/>
      <c r="P277" s="5"/>
      <c r="Q277" s="5"/>
      <c r="R277" s="5"/>
      <c r="S277" s="5" t="s">
        <v>63</v>
      </c>
      <c r="T277" s="37"/>
      <c r="U277" s="37">
        <f t="shared" si="92"/>
        <v>3</v>
      </c>
      <c r="V277" s="37">
        <f t="shared" si="93"/>
        <v>1</v>
      </c>
      <c r="W277" s="37"/>
      <c r="X277" s="37">
        <f t="shared" si="94"/>
        <v>0</v>
      </c>
      <c r="Y277" s="37">
        <f t="shared" si="95"/>
        <v>0</v>
      </c>
      <c r="Z277" s="37">
        <f t="shared" si="96"/>
        <v>0</v>
      </c>
      <c r="AA277" s="37">
        <f t="shared" si="97"/>
        <v>1</v>
      </c>
      <c r="AB277" s="37">
        <f t="shared" si="98"/>
        <v>0</v>
      </c>
      <c r="AC277" s="37">
        <f t="shared" si="99"/>
        <v>0</v>
      </c>
      <c r="AD277" s="37">
        <f t="shared" si="100"/>
        <v>0</v>
      </c>
      <c r="AE277" s="37">
        <f t="shared" si="101"/>
        <v>0</v>
      </c>
      <c r="AF277" s="37">
        <f t="shared" si="102"/>
        <v>0</v>
      </c>
      <c r="AG277" s="37">
        <f t="shared" si="103"/>
        <v>0</v>
      </c>
      <c r="AH277" s="37">
        <f t="shared" si="104"/>
        <v>0</v>
      </c>
      <c r="AI277" s="37">
        <f t="shared" si="105"/>
        <v>1</v>
      </c>
      <c r="AJ277" s="37">
        <f t="shared" si="106"/>
        <v>0</v>
      </c>
      <c r="AK277" s="37">
        <f t="shared" si="107"/>
        <v>0</v>
      </c>
      <c r="AL277" s="37">
        <f t="shared" si="108"/>
        <v>0</v>
      </c>
      <c r="AM277" s="37">
        <f t="shared" si="109"/>
        <v>0</v>
      </c>
      <c r="AN277" s="37">
        <f t="shared" si="110"/>
        <v>0</v>
      </c>
      <c r="AO277" s="37">
        <f t="shared" si="111"/>
        <v>1</v>
      </c>
      <c r="AP277" s="37"/>
      <c r="AQ277" s="37"/>
      <c r="AR277" s="37">
        <f t="shared" si="112"/>
        <v>3</v>
      </c>
      <c r="AS277" s="37">
        <f t="shared" si="113"/>
        <v>3</v>
      </c>
      <c r="AT277" s="37" t="str">
        <f t="shared" si="114"/>
        <v>Correct</v>
      </c>
      <c r="AU277" s="37"/>
      <c r="AV277" s="120" t="str">
        <f>IFERROR(VLOOKUP(Table1[RespondentID],'All Data'!$A$3:$CO$999,87,FALSE),"unknown")</f>
        <v>Man</v>
      </c>
      <c r="AW277" s="120">
        <f>IFERROR(VLOOKUP(Table1[RespondentID],'All Data'!$A$3:$CO$999,88,FALSE),"unknown")</f>
        <v>16</v>
      </c>
      <c r="AX277" s="120" t="str">
        <f>IFERROR(VLOOKUP(Table1[RespondentID],'All Data'!$A$3:$CO$999,89,FALSE),"unknown")</f>
        <v>Suffolk</v>
      </c>
      <c r="AY277" s="120" t="str">
        <f>IFERROR(VLOOKUP(Table1[RespondentID],'All Data'!$A$3:$CO$999,90,FALSE),"unknown")</f>
        <v>Nesconset, 11767</v>
      </c>
      <c r="AZ277" s="120" t="str">
        <f>IFERROR(VLOOKUP(Table1[RespondentID],'All Data'!$A$3:$CO$999,91,FALSE),"unknown")</f>
        <v>White</v>
      </c>
      <c r="BA277" s="120" t="str">
        <f>IFERROR(VLOOKUP(Table1[RespondentID],'All Data'!$A$3:$CO$999,92,FALSE),"unknown")</f>
        <v>Hispanic or Latino</v>
      </c>
      <c r="BB277" s="120" t="str">
        <f>IFERROR(VLOOKUP(Table1[RespondentID],'All Data'!$A$3:$CO$999,93,FALSE),"unknown")</f>
        <v>English</v>
      </c>
      <c r="BC277" s="120" t="str">
        <f>IFERROR(VLOOKUP(Table1[RespondentID],'All Data'!$A$3:$CW$999,94,FALSE),"unknown")</f>
        <v>Over $125,000</v>
      </c>
      <c r="BD277" s="120" t="str">
        <f>IFERROR(VLOOKUP(Table1[RespondentID],'All Data'!$A$3:$CW$999,95,FALSE),"unknown")</f>
        <v>Some high school</v>
      </c>
      <c r="BE277" s="120" t="str">
        <f>IFERROR(VLOOKUP(Table1[RespondentID],'All Data'!$A$3:$CW$999,96,FALSE),"unknown")</f>
        <v>Student</v>
      </c>
      <c r="BF277" s="120" t="str">
        <f>IFERROR(VLOOKUP(Table1[RespondentID],'All Data'!$A$3:$CW$999,97,FALSE),"unknown")</f>
        <v>Yes</v>
      </c>
      <c r="BG277" s="120" t="str">
        <f>IFERROR(VLOOKUP(Table1[RespondentID],'All Data'!$A$3:$CW$999,98,FALSE),"unknown")</f>
        <v>Private/Commercial</v>
      </c>
      <c r="BH277" s="120" t="str">
        <f>IFERROR(VLOOKUP(Table1[RespondentID],'All Data'!$A$3:$CW$999,99,FALSE),"unknown")</f>
        <v>Yes</v>
      </c>
    </row>
    <row r="278" spans="1:60">
      <c r="A278" s="5">
        <v>18016880299</v>
      </c>
      <c r="B278" s="5"/>
      <c r="C278" s="5"/>
      <c r="D278" s="5" t="s">
        <v>51</v>
      </c>
      <c r="E278" s="5" t="s">
        <v>17</v>
      </c>
      <c r="F278" s="5"/>
      <c r="G278" s="5"/>
      <c r="H278" s="5"/>
      <c r="I278" s="5"/>
      <c r="J278" s="5"/>
      <c r="K278" s="5"/>
      <c r="L278" s="5"/>
      <c r="M278" s="5"/>
      <c r="N278" s="5"/>
      <c r="O278" s="5"/>
      <c r="P278" s="5"/>
      <c r="Q278" s="5"/>
      <c r="R278" s="5"/>
      <c r="S278" s="5" t="s">
        <v>63</v>
      </c>
      <c r="T278" s="37"/>
      <c r="U278" s="37">
        <f t="shared" si="92"/>
        <v>3</v>
      </c>
      <c r="V278" s="37">
        <f t="shared" si="93"/>
        <v>1</v>
      </c>
      <c r="W278" s="37"/>
      <c r="X278" s="37">
        <f t="shared" si="94"/>
        <v>0</v>
      </c>
      <c r="Y278" s="37">
        <f t="shared" si="95"/>
        <v>0</v>
      </c>
      <c r="Z278" s="37">
        <f t="shared" si="96"/>
        <v>1</v>
      </c>
      <c r="AA278" s="37">
        <f t="shared" si="97"/>
        <v>1</v>
      </c>
      <c r="AB278" s="37">
        <f t="shared" si="98"/>
        <v>0</v>
      </c>
      <c r="AC278" s="37">
        <f t="shared" si="99"/>
        <v>0</v>
      </c>
      <c r="AD278" s="37">
        <f t="shared" si="100"/>
        <v>0</v>
      </c>
      <c r="AE278" s="37">
        <f t="shared" si="101"/>
        <v>0</v>
      </c>
      <c r="AF278" s="37">
        <f t="shared" si="102"/>
        <v>0</v>
      </c>
      <c r="AG278" s="37">
        <f t="shared" si="103"/>
        <v>0</v>
      </c>
      <c r="AH278" s="37">
        <f t="shared" si="104"/>
        <v>0</v>
      </c>
      <c r="AI278" s="37">
        <f t="shared" si="105"/>
        <v>0</v>
      </c>
      <c r="AJ278" s="37">
        <f t="shared" si="106"/>
        <v>0</v>
      </c>
      <c r="AK278" s="37">
        <f t="shared" si="107"/>
        <v>0</v>
      </c>
      <c r="AL278" s="37">
        <f t="shared" si="108"/>
        <v>0</v>
      </c>
      <c r="AM278" s="37">
        <f t="shared" si="109"/>
        <v>0</v>
      </c>
      <c r="AN278" s="37">
        <f t="shared" si="110"/>
        <v>0</v>
      </c>
      <c r="AO278" s="37">
        <f t="shared" si="111"/>
        <v>1</v>
      </c>
      <c r="AP278" s="37"/>
      <c r="AQ278" s="37"/>
      <c r="AR278" s="37">
        <f t="shared" si="112"/>
        <v>3</v>
      </c>
      <c r="AS278" s="37">
        <f t="shared" si="113"/>
        <v>3</v>
      </c>
      <c r="AT278" s="37" t="str">
        <f t="shared" si="114"/>
        <v>Correct</v>
      </c>
      <c r="AU278" s="37"/>
      <c r="AV278" s="120" t="str">
        <f>IFERROR(VLOOKUP(Table1[RespondentID],'All Data'!$A$3:$CO$999,87,FALSE),"unknown")</f>
        <v>Man</v>
      </c>
      <c r="AW278" s="120">
        <f>IFERROR(VLOOKUP(Table1[RespondentID],'All Data'!$A$3:$CO$999,88,FALSE),"unknown")</f>
        <v>16</v>
      </c>
      <c r="AX278" s="120" t="str">
        <f>IFERROR(VLOOKUP(Table1[RespondentID],'All Data'!$A$3:$CO$999,89,FALSE),"unknown")</f>
        <v>Suffolk</v>
      </c>
      <c r="AY278" s="120" t="str">
        <f>IFERROR(VLOOKUP(Table1[RespondentID],'All Data'!$A$3:$CO$999,90,FALSE),"unknown")</f>
        <v>Nesconset, 11767</v>
      </c>
      <c r="AZ278" s="120" t="str">
        <f>IFERROR(VLOOKUP(Table1[RespondentID],'All Data'!$A$3:$CO$999,91,FALSE),"unknown")</f>
        <v>White</v>
      </c>
      <c r="BA278" s="120" t="str">
        <f>IFERROR(VLOOKUP(Table1[RespondentID],'All Data'!$A$3:$CO$999,92,FALSE),"unknown")</f>
        <v>Hispanic or Latino</v>
      </c>
      <c r="BB278" s="120" t="str">
        <f>IFERROR(VLOOKUP(Table1[RespondentID],'All Data'!$A$3:$CO$999,93,FALSE),"unknown")</f>
        <v>English</v>
      </c>
      <c r="BC278" s="120" t="str">
        <f>IFERROR(VLOOKUP(Table1[RespondentID],'All Data'!$A$3:$CW$999,94,FALSE),"unknown")</f>
        <v>Over $125,000</v>
      </c>
      <c r="BD278" s="120" t="str">
        <f>IFERROR(VLOOKUP(Table1[RespondentID],'All Data'!$A$3:$CW$999,95,FALSE),"unknown")</f>
        <v>High school graduate</v>
      </c>
      <c r="BE278" s="120" t="str">
        <f>IFERROR(VLOOKUP(Table1[RespondentID],'All Data'!$A$3:$CW$999,96,FALSE),"unknown")</f>
        <v>Student</v>
      </c>
      <c r="BF278" s="120" t="str">
        <f>IFERROR(VLOOKUP(Table1[RespondentID],'All Data'!$A$3:$CW$999,97,FALSE),"unknown")</f>
        <v>Yes</v>
      </c>
      <c r="BG278" s="120" t="str">
        <f>IFERROR(VLOOKUP(Table1[RespondentID],'All Data'!$A$3:$CW$999,98,FALSE),"unknown")</f>
        <v>Private/Commercial</v>
      </c>
      <c r="BH278" s="120" t="str">
        <f>IFERROR(VLOOKUP(Table1[RespondentID],'All Data'!$A$3:$CW$999,99,FALSE),"unknown")</f>
        <v>Yes</v>
      </c>
    </row>
    <row r="279" spans="1:60">
      <c r="A279" s="5">
        <v>18016880225</v>
      </c>
      <c r="B279" s="5"/>
      <c r="C279" s="5"/>
      <c r="D279" s="5" t="s">
        <v>51</v>
      </c>
      <c r="E279" s="5" t="s">
        <v>17</v>
      </c>
      <c r="F279" s="5"/>
      <c r="G279" s="5"/>
      <c r="H279" s="5"/>
      <c r="I279" s="5"/>
      <c r="J279" s="5"/>
      <c r="K279" s="5"/>
      <c r="L279" s="5"/>
      <c r="M279" s="5"/>
      <c r="N279" s="5"/>
      <c r="O279" s="5"/>
      <c r="P279" s="5"/>
      <c r="Q279" s="5"/>
      <c r="R279" s="5"/>
      <c r="S279" s="5" t="s">
        <v>63</v>
      </c>
      <c r="T279" s="37"/>
      <c r="U279" s="37">
        <f t="shared" si="92"/>
        <v>3</v>
      </c>
      <c r="V279" s="37">
        <f t="shared" si="93"/>
        <v>1</v>
      </c>
      <c r="W279" s="37"/>
      <c r="X279" s="37">
        <f t="shared" si="94"/>
        <v>0</v>
      </c>
      <c r="Y279" s="37">
        <f t="shared" si="95"/>
        <v>0</v>
      </c>
      <c r="Z279" s="37">
        <f t="shared" si="96"/>
        <v>1</v>
      </c>
      <c r="AA279" s="37">
        <f t="shared" si="97"/>
        <v>1</v>
      </c>
      <c r="AB279" s="37">
        <f t="shared" si="98"/>
        <v>0</v>
      </c>
      <c r="AC279" s="37">
        <f t="shared" si="99"/>
        <v>0</v>
      </c>
      <c r="AD279" s="37">
        <f t="shared" si="100"/>
        <v>0</v>
      </c>
      <c r="AE279" s="37">
        <f t="shared" si="101"/>
        <v>0</v>
      </c>
      <c r="AF279" s="37">
        <f t="shared" si="102"/>
        <v>0</v>
      </c>
      <c r="AG279" s="37">
        <f t="shared" si="103"/>
        <v>0</v>
      </c>
      <c r="AH279" s="37">
        <f t="shared" si="104"/>
        <v>0</v>
      </c>
      <c r="AI279" s="37">
        <f t="shared" si="105"/>
        <v>0</v>
      </c>
      <c r="AJ279" s="37">
        <f t="shared" si="106"/>
        <v>0</v>
      </c>
      <c r="AK279" s="37">
        <f t="shared" si="107"/>
        <v>0</v>
      </c>
      <c r="AL279" s="37">
        <f t="shared" si="108"/>
        <v>0</v>
      </c>
      <c r="AM279" s="37">
        <f t="shared" si="109"/>
        <v>0</v>
      </c>
      <c r="AN279" s="37">
        <f t="shared" si="110"/>
        <v>0</v>
      </c>
      <c r="AO279" s="37">
        <f t="shared" si="111"/>
        <v>1</v>
      </c>
      <c r="AP279" s="37"/>
      <c r="AQ279" s="37"/>
      <c r="AR279" s="37">
        <f t="shared" si="112"/>
        <v>3</v>
      </c>
      <c r="AS279" s="37">
        <f t="shared" si="113"/>
        <v>3</v>
      </c>
      <c r="AT279" s="37" t="str">
        <f t="shared" si="114"/>
        <v>Correct</v>
      </c>
      <c r="AU279" s="37"/>
      <c r="AV279" s="120" t="str">
        <f>IFERROR(VLOOKUP(Table1[RespondentID],'All Data'!$A$3:$CO$999,87,FALSE),"unknown")</f>
        <v>Man</v>
      </c>
      <c r="AW279" s="120">
        <f>IFERROR(VLOOKUP(Table1[RespondentID],'All Data'!$A$3:$CO$999,88,FALSE),"unknown")</f>
        <v>16</v>
      </c>
      <c r="AX279" s="120" t="str">
        <f>IFERROR(VLOOKUP(Table1[RespondentID],'All Data'!$A$3:$CO$999,89,FALSE),"unknown")</f>
        <v>Suffolk</v>
      </c>
      <c r="AY279" s="120" t="str">
        <f>IFERROR(VLOOKUP(Table1[RespondentID],'All Data'!$A$3:$CO$999,90,FALSE),"unknown")</f>
        <v>Nesconset, 11767</v>
      </c>
      <c r="AZ279" s="120" t="str">
        <f>IFERROR(VLOOKUP(Table1[RespondentID],'All Data'!$A$3:$CO$999,91,FALSE),"unknown")</f>
        <v>White</v>
      </c>
      <c r="BA279" s="120" t="str">
        <f>IFERROR(VLOOKUP(Table1[RespondentID],'All Data'!$A$3:$CO$999,92,FALSE),"unknown")</f>
        <v>Hispanic or Latino</v>
      </c>
      <c r="BB279" s="120" t="str">
        <f>IFERROR(VLOOKUP(Table1[RespondentID],'All Data'!$A$3:$CO$999,93,FALSE),"unknown")</f>
        <v>English</v>
      </c>
      <c r="BC279" s="120" t="str">
        <f>IFERROR(VLOOKUP(Table1[RespondentID],'All Data'!$A$3:$CW$999,94,FALSE),"unknown")</f>
        <v>Over $125,000</v>
      </c>
      <c r="BD279" s="120" t="str">
        <f>IFERROR(VLOOKUP(Table1[RespondentID],'All Data'!$A$3:$CW$999,95,FALSE),"unknown")</f>
        <v>Doctorate</v>
      </c>
      <c r="BE279" s="120" t="str">
        <f>IFERROR(VLOOKUP(Table1[RespondentID],'All Data'!$A$3:$CW$999,96,FALSE),"unknown")</f>
        <v>Student</v>
      </c>
      <c r="BF279" s="120" t="str">
        <f>IFERROR(VLOOKUP(Table1[RespondentID],'All Data'!$A$3:$CW$999,97,FALSE),"unknown")</f>
        <v>Yes</v>
      </c>
      <c r="BG279" s="120" t="str">
        <f>IFERROR(VLOOKUP(Table1[RespondentID],'All Data'!$A$3:$CW$999,98,FALSE),"unknown")</f>
        <v>Private/Commercial</v>
      </c>
      <c r="BH279" s="120" t="str">
        <f>IFERROR(VLOOKUP(Table1[RespondentID],'All Data'!$A$3:$CW$999,99,FALSE),"unknown")</f>
        <v>Yes</v>
      </c>
    </row>
    <row r="280" spans="1:60">
      <c r="A280" s="5">
        <v>18016880137</v>
      </c>
      <c r="B280" s="5"/>
      <c r="C280" s="5"/>
      <c r="D280" s="5"/>
      <c r="E280" s="5" t="s">
        <v>17</v>
      </c>
      <c r="F280" s="5"/>
      <c r="G280" s="5"/>
      <c r="H280" s="5" t="s">
        <v>54</v>
      </c>
      <c r="I280" s="5"/>
      <c r="J280" s="5"/>
      <c r="K280" s="5" t="s">
        <v>57</v>
      </c>
      <c r="L280" s="5"/>
      <c r="M280" s="5"/>
      <c r="N280" s="5"/>
      <c r="O280" s="5"/>
      <c r="P280" s="5"/>
      <c r="Q280" s="5"/>
      <c r="R280" s="5"/>
      <c r="S280" s="5"/>
      <c r="T280" s="37"/>
      <c r="U280" s="37">
        <f t="shared" si="92"/>
        <v>3</v>
      </c>
      <c r="V280" s="37">
        <f t="shared" si="93"/>
        <v>1</v>
      </c>
      <c r="W280" s="37"/>
      <c r="X280" s="37">
        <f t="shared" si="94"/>
        <v>0</v>
      </c>
      <c r="Y280" s="37">
        <f t="shared" si="95"/>
        <v>0</v>
      </c>
      <c r="Z280" s="37">
        <f t="shared" si="96"/>
        <v>0</v>
      </c>
      <c r="AA280" s="37">
        <f t="shared" si="97"/>
        <v>1</v>
      </c>
      <c r="AB280" s="37">
        <f t="shared" si="98"/>
        <v>0</v>
      </c>
      <c r="AC280" s="37">
        <f t="shared" si="99"/>
        <v>0</v>
      </c>
      <c r="AD280" s="37">
        <f t="shared" si="100"/>
        <v>1</v>
      </c>
      <c r="AE280" s="37">
        <f t="shared" si="101"/>
        <v>0</v>
      </c>
      <c r="AF280" s="37">
        <f t="shared" si="102"/>
        <v>0</v>
      </c>
      <c r="AG280" s="37">
        <f t="shared" si="103"/>
        <v>1</v>
      </c>
      <c r="AH280" s="37">
        <f t="shared" si="104"/>
        <v>0</v>
      </c>
      <c r="AI280" s="37">
        <f t="shared" si="105"/>
        <v>0</v>
      </c>
      <c r="AJ280" s="37">
        <f t="shared" si="106"/>
        <v>0</v>
      </c>
      <c r="AK280" s="37">
        <f t="shared" si="107"/>
        <v>0</v>
      </c>
      <c r="AL280" s="37">
        <f t="shared" si="108"/>
        <v>0</v>
      </c>
      <c r="AM280" s="37">
        <f t="shared" si="109"/>
        <v>0</v>
      </c>
      <c r="AN280" s="37">
        <f t="shared" si="110"/>
        <v>0</v>
      </c>
      <c r="AO280" s="37">
        <f t="shared" si="111"/>
        <v>0</v>
      </c>
      <c r="AP280" s="37"/>
      <c r="AQ280" s="37"/>
      <c r="AR280" s="37">
        <f t="shared" si="112"/>
        <v>3</v>
      </c>
      <c r="AS280" s="37">
        <f t="shared" si="113"/>
        <v>3</v>
      </c>
      <c r="AT280" s="37" t="str">
        <f t="shared" si="114"/>
        <v>Correct</v>
      </c>
      <c r="AU280" s="37"/>
      <c r="AV280" s="120" t="str">
        <f>IFERROR(VLOOKUP(Table1[RespondentID],'All Data'!$A$3:$CO$999,87,FALSE),"unknown")</f>
        <v>Man</v>
      </c>
      <c r="AW280" s="120">
        <f>IFERROR(VLOOKUP(Table1[RespondentID],'All Data'!$A$3:$CO$999,88,FALSE),"unknown")</f>
        <v>16</v>
      </c>
      <c r="AX280" s="120" t="str">
        <f>IFERROR(VLOOKUP(Table1[RespondentID],'All Data'!$A$3:$CO$999,89,FALSE),"unknown")</f>
        <v>Suffolk</v>
      </c>
      <c r="AY280" s="120" t="str">
        <f>IFERROR(VLOOKUP(Table1[RespondentID],'All Data'!$A$3:$CO$999,90,FALSE),"unknown")</f>
        <v>Nesconset, 11767</v>
      </c>
      <c r="AZ280" s="120" t="str">
        <f>IFERROR(VLOOKUP(Table1[RespondentID],'All Data'!$A$3:$CO$999,91,FALSE),"unknown")</f>
        <v>White</v>
      </c>
      <c r="BA280" s="120" t="str">
        <f>IFERROR(VLOOKUP(Table1[RespondentID],'All Data'!$A$3:$CO$999,92,FALSE),"unknown")</f>
        <v>Hispanic or Latino</v>
      </c>
      <c r="BB280" s="120" t="str">
        <f>IFERROR(VLOOKUP(Table1[RespondentID],'All Data'!$A$3:$CO$999,93,FALSE),"unknown")</f>
        <v>English</v>
      </c>
      <c r="BC280" s="120" t="str">
        <f>IFERROR(VLOOKUP(Table1[RespondentID],'All Data'!$A$3:$CW$999,94,FALSE),"unknown")</f>
        <v>Over $125,000</v>
      </c>
      <c r="BD280" s="120" t="str">
        <f>IFERROR(VLOOKUP(Table1[RespondentID],'All Data'!$A$3:$CW$999,95,FALSE),"unknown")</f>
        <v>Doctorate</v>
      </c>
      <c r="BE280" s="120" t="str">
        <f>IFERROR(VLOOKUP(Table1[RespondentID],'All Data'!$A$3:$CW$999,96,FALSE),"unknown")</f>
        <v>Student</v>
      </c>
      <c r="BF280" s="120" t="str">
        <f>IFERROR(VLOOKUP(Table1[RespondentID],'All Data'!$A$3:$CW$999,97,FALSE),"unknown")</f>
        <v>Yes</v>
      </c>
      <c r="BG280" s="120" t="str">
        <f>IFERROR(VLOOKUP(Table1[RespondentID],'All Data'!$A$3:$CW$999,98,FALSE),"unknown")</f>
        <v>Private/Commercial</v>
      </c>
      <c r="BH280" s="120" t="str">
        <f>IFERROR(VLOOKUP(Table1[RespondentID],'All Data'!$A$3:$CW$999,99,FALSE),"unknown")</f>
        <v>Yes</v>
      </c>
    </row>
    <row r="281" spans="1:60">
      <c r="A281" s="5">
        <v>18016878205</v>
      </c>
      <c r="B281" s="5"/>
      <c r="C281" s="5"/>
      <c r="D281" s="5"/>
      <c r="E281" s="5"/>
      <c r="F281" s="5"/>
      <c r="G281" s="5"/>
      <c r="H281" s="5"/>
      <c r="I281" s="5"/>
      <c r="J281" s="5"/>
      <c r="K281" s="5"/>
      <c r="L281" s="5"/>
      <c r="M281" s="5" t="s">
        <v>59</v>
      </c>
      <c r="N281" s="5" t="s">
        <v>24</v>
      </c>
      <c r="O281" s="5"/>
      <c r="P281" s="5" t="s">
        <v>60</v>
      </c>
      <c r="Q281" s="5"/>
      <c r="R281" s="5"/>
      <c r="S281" s="5" t="s">
        <v>63</v>
      </c>
      <c r="T281" s="37"/>
      <c r="U281" s="37">
        <f t="shared" si="92"/>
        <v>4</v>
      </c>
      <c r="V281" s="37">
        <f t="shared" si="93"/>
        <v>0.75</v>
      </c>
      <c r="W281" s="37"/>
      <c r="X281" s="37">
        <f t="shared" si="94"/>
        <v>0</v>
      </c>
      <c r="Y281" s="37">
        <f t="shared" si="95"/>
        <v>0</v>
      </c>
      <c r="Z281" s="37">
        <f t="shared" si="96"/>
        <v>0</v>
      </c>
      <c r="AA281" s="37">
        <f t="shared" si="97"/>
        <v>0</v>
      </c>
      <c r="AB281" s="37">
        <f t="shared" si="98"/>
        <v>0</v>
      </c>
      <c r="AC281" s="37">
        <f t="shared" si="99"/>
        <v>0</v>
      </c>
      <c r="AD281" s="37">
        <f t="shared" si="100"/>
        <v>0</v>
      </c>
      <c r="AE281" s="37">
        <f t="shared" si="101"/>
        <v>0</v>
      </c>
      <c r="AF281" s="37">
        <f t="shared" si="102"/>
        <v>0</v>
      </c>
      <c r="AG281" s="37">
        <f t="shared" si="103"/>
        <v>0</v>
      </c>
      <c r="AH281" s="37">
        <f t="shared" si="104"/>
        <v>0</v>
      </c>
      <c r="AI281" s="37">
        <f t="shared" si="105"/>
        <v>0.75</v>
      </c>
      <c r="AJ281" s="37">
        <f t="shared" si="106"/>
        <v>0.75</v>
      </c>
      <c r="AK281" s="37">
        <f t="shared" si="107"/>
        <v>0</v>
      </c>
      <c r="AL281" s="37">
        <f t="shared" si="108"/>
        <v>0.75</v>
      </c>
      <c r="AM281" s="37">
        <f t="shared" si="109"/>
        <v>0</v>
      </c>
      <c r="AN281" s="37">
        <f t="shared" si="110"/>
        <v>0</v>
      </c>
      <c r="AO281" s="37">
        <f t="shared" si="111"/>
        <v>0.75</v>
      </c>
      <c r="AP281" s="37"/>
      <c r="AQ281" s="37"/>
      <c r="AR281" s="37">
        <f t="shared" si="112"/>
        <v>3</v>
      </c>
      <c r="AS281" s="37">
        <f t="shared" si="113"/>
        <v>4</v>
      </c>
      <c r="AT281" s="37" t="str">
        <f t="shared" si="114"/>
        <v>Correct</v>
      </c>
      <c r="AU281" s="37"/>
      <c r="AV281" s="120" t="str">
        <f>IFERROR(VLOOKUP(Table1[RespondentID],'All Data'!$A$3:$CO$999,87,FALSE),"unknown")</f>
        <v>Man</v>
      </c>
      <c r="AW281" s="120">
        <f>IFERROR(VLOOKUP(Table1[RespondentID],'All Data'!$A$3:$CO$999,88,FALSE),"unknown")</f>
        <v>54</v>
      </c>
      <c r="AX281" s="120" t="str">
        <f>IFERROR(VLOOKUP(Table1[RespondentID],'All Data'!$A$3:$CO$999,89,FALSE),"unknown")</f>
        <v>Suffolk</v>
      </c>
      <c r="AY281" s="120" t="str">
        <f>IFERROR(VLOOKUP(Table1[RespondentID],'All Data'!$A$3:$CO$999,90,FALSE),"unknown")</f>
        <v>Commack, 11725</v>
      </c>
      <c r="AZ281" s="120" t="str">
        <f>IFERROR(VLOOKUP(Table1[RespondentID],'All Data'!$A$3:$CO$999,91,FALSE),"unknown")</f>
        <v>White</v>
      </c>
      <c r="BA281" s="120" t="str">
        <f>IFERROR(VLOOKUP(Table1[RespondentID],'All Data'!$A$3:$CO$999,92,FALSE),"unknown")</f>
        <v>Hispanic or Latino</v>
      </c>
      <c r="BB281" s="120" t="str">
        <f>IFERROR(VLOOKUP(Table1[RespondentID],'All Data'!$A$3:$CO$999,93,FALSE),"unknown")</f>
        <v>English</v>
      </c>
      <c r="BC281" s="120" t="str">
        <f>IFERROR(VLOOKUP(Table1[RespondentID],'All Data'!$A$3:$CW$999,94,FALSE),"unknown")</f>
        <v>Over $125,000</v>
      </c>
      <c r="BD281" s="120" t="str">
        <f>IFERROR(VLOOKUP(Table1[RespondentID],'All Data'!$A$3:$CW$999,95,FALSE),"unknown")</f>
        <v>College graduate</v>
      </c>
      <c r="BE281" s="120" t="str">
        <f>IFERROR(VLOOKUP(Table1[RespondentID],'All Data'!$A$3:$CW$999,96,FALSE),"unknown")</f>
        <v>Retired</v>
      </c>
      <c r="BF281" s="120" t="str">
        <f>IFERROR(VLOOKUP(Table1[RespondentID],'All Data'!$A$3:$CW$999,97,FALSE),"unknown")</f>
        <v>Yes</v>
      </c>
      <c r="BG281" s="120" t="str">
        <f>IFERROR(VLOOKUP(Table1[RespondentID],'All Data'!$A$3:$CW$999,98,FALSE),"unknown")</f>
        <v>Medicaid</v>
      </c>
      <c r="BH281" s="120" t="str">
        <f>IFERROR(VLOOKUP(Table1[RespondentID],'All Data'!$A$3:$CW$999,99,FALSE),"unknown")</f>
        <v>Yes</v>
      </c>
    </row>
    <row r="282" spans="1:60">
      <c r="A282" s="5">
        <v>18016878064</v>
      </c>
      <c r="B282" s="5" t="s">
        <v>49</v>
      </c>
      <c r="C282" s="5" t="s">
        <v>50</v>
      </c>
      <c r="D282" s="5"/>
      <c r="E282" s="5" t="s">
        <v>17</v>
      </c>
      <c r="F282" s="5"/>
      <c r="G282" s="5"/>
      <c r="H282" s="5"/>
      <c r="I282" s="5"/>
      <c r="J282" s="5"/>
      <c r="K282" s="5"/>
      <c r="L282" s="5"/>
      <c r="M282" s="5"/>
      <c r="N282" s="5" t="s">
        <v>24</v>
      </c>
      <c r="O282" s="5"/>
      <c r="P282" s="5"/>
      <c r="Q282" s="5"/>
      <c r="R282" s="5"/>
      <c r="S282" s="5" t="s">
        <v>63</v>
      </c>
      <c r="T282" s="37"/>
      <c r="U282" s="37">
        <f t="shared" si="92"/>
        <v>5</v>
      </c>
      <c r="V282" s="37">
        <f t="shared" si="93"/>
        <v>0.6</v>
      </c>
      <c r="W282" s="37"/>
      <c r="X282" s="37">
        <f t="shared" si="94"/>
        <v>0.6</v>
      </c>
      <c r="Y282" s="37">
        <f t="shared" si="95"/>
        <v>0.6</v>
      </c>
      <c r="Z282" s="37">
        <f t="shared" si="96"/>
        <v>0</v>
      </c>
      <c r="AA282" s="37">
        <f t="shared" si="97"/>
        <v>0.6</v>
      </c>
      <c r="AB282" s="37">
        <f t="shared" si="98"/>
        <v>0</v>
      </c>
      <c r="AC282" s="37">
        <f t="shared" si="99"/>
        <v>0</v>
      </c>
      <c r="AD282" s="37">
        <f t="shared" si="100"/>
        <v>0</v>
      </c>
      <c r="AE282" s="37">
        <f t="shared" si="101"/>
        <v>0</v>
      </c>
      <c r="AF282" s="37">
        <f t="shared" si="102"/>
        <v>0</v>
      </c>
      <c r="AG282" s="37">
        <f t="shared" si="103"/>
        <v>0</v>
      </c>
      <c r="AH282" s="37">
        <f t="shared" si="104"/>
        <v>0</v>
      </c>
      <c r="AI282" s="37">
        <f t="shared" si="105"/>
        <v>0</v>
      </c>
      <c r="AJ282" s="37">
        <f t="shared" si="106"/>
        <v>0.6</v>
      </c>
      <c r="AK282" s="37">
        <f t="shared" si="107"/>
        <v>0</v>
      </c>
      <c r="AL282" s="37">
        <f t="shared" si="108"/>
        <v>0</v>
      </c>
      <c r="AM282" s="37">
        <f t="shared" si="109"/>
        <v>0</v>
      </c>
      <c r="AN282" s="37">
        <f t="shared" si="110"/>
        <v>0</v>
      </c>
      <c r="AO282" s="37">
        <f t="shared" si="111"/>
        <v>0.6</v>
      </c>
      <c r="AP282" s="37"/>
      <c r="AQ282" s="37"/>
      <c r="AR282" s="37">
        <f t="shared" si="112"/>
        <v>3</v>
      </c>
      <c r="AS282" s="37">
        <f t="shared" si="113"/>
        <v>5</v>
      </c>
      <c r="AT282" s="37" t="str">
        <f t="shared" si="114"/>
        <v>Correct</v>
      </c>
      <c r="AU282" s="37"/>
      <c r="AV282" s="120" t="str">
        <f>IFERROR(VLOOKUP(Table1[RespondentID],'All Data'!$A$3:$CO$999,87,FALSE),"unknown")</f>
        <v>Woman</v>
      </c>
      <c r="AW282" s="120">
        <f>IFERROR(VLOOKUP(Table1[RespondentID],'All Data'!$A$3:$CO$999,88,FALSE),"unknown")</f>
        <v>55</v>
      </c>
      <c r="AX282" s="120" t="str">
        <f>IFERROR(VLOOKUP(Table1[RespondentID],'All Data'!$A$3:$CO$999,89,FALSE),"unknown")</f>
        <v>Suffolk</v>
      </c>
      <c r="AY282" s="120" t="str">
        <f>IFERROR(VLOOKUP(Table1[RespondentID],'All Data'!$A$3:$CO$999,90,FALSE),"unknown")</f>
        <v>Commack, 11725</v>
      </c>
      <c r="AZ282" s="120" t="str">
        <f>IFERROR(VLOOKUP(Table1[RespondentID],'All Data'!$A$3:$CO$999,91,FALSE),"unknown")</f>
        <v>White</v>
      </c>
      <c r="BA282" s="120" t="str">
        <f>IFERROR(VLOOKUP(Table1[RespondentID],'All Data'!$A$3:$CO$999,92,FALSE),"unknown")</f>
        <v>Hispanic or Latino</v>
      </c>
      <c r="BB282" s="120" t="str">
        <f>IFERROR(VLOOKUP(Table1[RespondentID],'All Data'!$A$3:$CO$999,93,FALSE),"unknown")</f>
        <v>English, Farsi</v>
      </c>
      <c r="BC282" s="120" t="str">
        <f>IFERROR(VLOOKUP(Table1[RespondentID],'All Data'!$A$3:$CW$999,94,FALSE),"unknown")</f>
        <v>Over $125,000</v>
      </c>
      <c r="BD282" s="120" t="str">
        <f>IFERROR(VLOOKUP(Table1[RespondentID],'All Data'!$A$3:$CW$999,95,FALSE),"unknown")</f>
        <v>College graduate</v>
      </c>
      <c r="BE282" s="120" t="str">
        <f>IFERROR(VLOOKUP(Table1[RespondentID],'All Data'!$A$3:$CW$999,96,FALSE),"unknown")</f>
        <v>Employed for wages</v>
      </c>
      <c r="BF282" s="120" t="str">
        <f>IFERROR(VLOOKUP(Table1[RespondentID],'All Data'!$A$3:$CW$999,97,FALSE),"unknown")</f>
        <v>Yes</v>
      </c>
      <c r="BG282" s="120" t="str">
        <f>IFERROR(VLOOKUP(Table1[RespondentID],'All Data'!$A$3:$CW$999,98,FALSE),"unknown")</f>
        <v>Medicare</v>
      </c>
      <c r="BH282" s="120" t="str">
        <f>IFERROR(VLOOKUP(Table1[RespondentID],'All Data'!$A$3:$CW$999,99,FALSE),"unknown")</f>
        <v>Yes</v>
      </c>
    </row>
    <row r="283" spans="1:60">
      <c r="A283" s="5">
        <v>18016877876</v>
      </c>
      <c r="B283" s="5"/>
      <c r="C283" s="5"/>
      <c r="D283" s="5"/>
      <c r="E283" s="5" t="s">
        <v>17</v>
      </c>
      <c r="F283" s="5"/>
      <c r="G283" s="5"/>
      <c r="H283" s="5"/>
      <c r="I283" s="5"/>
      <c r="J283" s="5"/>
      <c r="K283" s="5"/>
      <c r="L283" s="5"/>
      <c r="M283" s="5"/>
      <c r="N283" s="5"/>
      <c r="O283" s="5"/>
      <c r="P283" s="5"/>
      <c r="Q283" s="5"/>
      <c r="R283" s="5" t="s">
        <v>62</v>
      </c>
      <c r="S283" s="5" t="s">
        <v>63</v>
      </c>
      <c r="T283" s="37"/>
      <c r="U283" s="37">
        <f t="shared" si="92"/>
        <v>3</v>
      </c>
      <c r="V283" s="37">
        <f t="shared" si="93"/>
        <v>1</v>
      </c>
      <c r="W283" s="37"/>
      <c r="X283" s="37">
        <f t="shared" si="94"/>
        <v>0</v>
      </c>
      <c r="Y283" s="37">
        <f t="shared" si="95"/>
        <v>0</v>
      </c>
      <c r="Z283" s="37">
        <f t="shared" si="96"/>
        <v>0</v>
      </c>
      <c r="AA283" s="37">
        <f t="shared" si="97"/>
        <v>1</v>
      </c>
      <c r="AB283" s="37">
        <f t="shared" si="98"/>
        <v>0</v>
      </c>
      <c r="AC283" s="37">
        <f t="shared" si="99"/>
        <v>0</v>
      </c>
      <c r="AD283" s="37">
        <f t="shared" si="100"/>
        <v>0</v>
      </c>
      <c r="AE283" s="37">
        <f t="shared" si="101"/>
        <v>0</v>
      </c>
      <c r="AF283" s="37">
        <f t="shared" si="102"/>
        <v>0</v>
      </c>
      <c r="AG283" s="37">
        <f t="shared" si="103"/>
        <v>0</v>
      </c>
      <c r="AH283" s="37">
        <f t="shared" si="104"/>
        <v>0</v>
      </c>
      <c r="AI283" s="37">
        <f t="shared" si="105"/>
        <v>0</v>
      </c>
      <c r="AJ283" s="37">
        <f t="shared" si="106"/>
        <v>0</v>
      </c>
      <c r="AK283" s="37">
        <f t="shared" si="107"/>
        <v>0</v>
      </c>
      <c r="AL283" s="37">
        <f t="shared" si="108"/>
        <v>0</v>
      </c>
      <c r="AM283" s="37">
        <f t="shared" si="109"/>
        <v>0</v>
      </c>
      <c r="AN283" s="37">
        <f t="shared" si="110"/>
        <v>1</v>
      </c>
      <c r="AO283" s="37">
        <f t="shared" si="111"/>
        <v>1</v>
      </c>
      <c r="AP283" s="37"/>
      <c r="AQ283" s="37"/>
      <c r="AR283" s="37">
        <f t="shared" si="112"/>
        <v>3</v>
      </c>
      <c r="AS283" s="37">
        <f t="shared" si="113"/>
        <v>3</v>
      </c>
      <c r="AT283" s="37" t="str">
        <f t="shared" si="114"/>
        <v>Correct</v>
      </c>
      <c r="AU283" s="37"/>
      <c r="AV283" s="120" t="str">
        <f>IFERROR(VLOOKUP(Table1[RespondentID],'All Data'!$A$3:$CO$999,87,FALSE),"unknown")</f>
        <v>Woman</v>
      </c>
      <c r="AW283" s="120">
        <f>IFERROR(VLOOKUP(Table1[RespondentID],'All Data'!$A$3:$CO$999,88,FALSE),"unknown")</f>
        <v>50</v>
      </c>
      <c r="AX283" s="120" t="str">
        <f>IFERROR(VLOOKUP(Table1[RespondentID],'All Data'!$A$3:$CO$999,89,FALSE),"unknown")</f>
        <v>Suffolk</v>
      </c>
      <c r="AY283" s="120" t="str">
        <f>IFERROR(VLOOKUP(Table1[RespondentID],'All Data'!$A$3:$CO$999,90,FALSE),"unknown")</f>
        <v>Commack, 11725</v>
      </c>
      <c r="AZ283" s="120" t="str">
        <f>IFERROR(VLOOKUP(Table1[RespondentID],'All Data'!$A$3:$CO$999,91,FALSE),"unknown")</f>
        <v>White</v>
      </c>
      <c r="BA283" s="120" t="str">
        <f>IFERROR(VLOOKUP(Table1[RespondentID],'All Data'!$A$3:$CO$999,92,FALSE),"unknown")</f>
        <v>Hispanic or Latino</v>
      </c>
      <c r="BB283" s="120" t="str">
        <f>IFERROR(VLOOKUP(Table1[RespondentID],'All Data'!$A$3:$CO$999,93,FALSE),"unknown")</f>
        <v>English</v>
      </c>
      <c r="BC283" s="120" t="str">
        <f>IFERROR(VLOOKUP(Table1[RespondentID],'All Data'!$A$3:$CW$999,94,FALSE),"unknown")</f>
        <v>Over $125,000</v>
      </c>
      <c r="BD283" s="120" t="str">
        <f>IFERROR(VLOOKUP(Table1[RespondentID],'All Data'!$A$3:$CW$999,95,FALSE),"unknown")</f>
        <v>College graduate</v>
      </c>
      <c r="BE283" s="120" t="str">
        <f>IFERROR(VLOOKUP(Table1[RespondentID],'All Data'!$A$3:$CW$999,96,FALSE),"unknown")</f>
        <v>Employed for wages</v>
      </c>
      <c r="BF283" s="120" t="str">
        <f>IFERROR(VLOOKUP(Table1[RespondentID],'All Data'!$A$3:$CW$999,97,FALSE),"unknown")</f>
        <v>Yes</v>
      </c>
      <c r="BG283" s="120" t="str">
        <f>IFERROR(VLOOKUP(Table1[RespondentID],'All Data'!$A$3:$CW$999,98,FALSE),"unknown")</f>
        <v>Medicare</v>
      </c>
      <c r="BH283" s="120" t="str">
        <f>IFERROR(VLOOKUP(Table1[RespondentID],'All Data'!$A$3:$CW$999,99,FALSE),"unknown")</f>
        <v>Yes</v>
      </c>
    </row>
    <row r="284" spans="1:60">
      <c r="A284" s="5">
        <v>18016806771</v>
      </c>
      <c r="B284" s="5"/>
      <c r="C284" s="5" t="s">
        <v>50</v>
      </c>
      <c r="D284" s="5" t="s">
        <v>51</v>
      </c>
      <c r="E284" s="5"/>
      <c r="F284" s="5"/>
      <c r="G284" s="5"/>
      <c r="H284" s="5"/>
      <c r="I284" s="5"/>
      <c r="J284" s="5"/>
      <c r="K284" s="5"/>
      <c r="L284" s="5"/>
      <c r="M284" s="5" t="s">
        <v>59</v>
      </c>
      <c r="N284" s="5"/>
      <c r="O284" s="5" t="s">
        <v>20</v>
      </c>
      <c r="P284" s="5"/>
      <c r="Q284" s="5"/>
      <c r="R284" s="5"/>
      <c r="S284" s="5" t="s">
        <v>63</v>
      </c>
      <c r="T284" s="37"/>
      <c r="U284" s="37">
        <f t="shared" si="92"/>
        <v>5</v>
      </c>
      <c r="V284" s="37">
        <f t="shared" si="93"/>
        <v>0.6</v>
      </c>
      <c r="W284" s="37"/>
      <c r="X284" s="37">
        <f t="shared" si="94"/>
        <v>0</v>
      </c>
      <c r="Y284" s="37">
        <f t="shared" si="95"/>
        <v>0.6</v>
      </c>
      <c r="Z284" s="37">
        <f t="shared" si="96"/>
        <v>0.6</v>
      </c>
      <c r="AA284" s="37">
        <f t="shared" si="97"/>
        <v>0</v>
      </c>
      <c r="AB284" s="37">
        <f t="shared" si="98"/>
        <v>0</v>
      </c>
      <c r="AC284" s="37">
        <f t="shared" si="99"/>
        <v>0</v>
      </c>
      <c r="AD284" s="37">
        <f t="shared" si="100"/>
        <v>0</v>
      </c>
      <c r="AE284" s="37">
        <f t="shared" si="101"/>
        <v>0</v>
      </c>
      <c r="AF284" s="37">
        <f t="shared" si="102"/>
        <v>0</v>
      </c>
      <c r="AG284" s="37">
        <f t="shared" si="103"/>
        <v>0</v>
      </c>
      <c r="AH284" s="37">
        <f t="shared" si="104"/>
        <v>0</v>
      </c>
      <c r="AI284" s="37">
        <f t="shared" si="105"/>
        <v>0.6</v>
      </c>
      <c r="AJ284" s="37">
        <f t="shared" si="106"/>
        <v>0</v>
      </c>
      <c r="AK284" s="37">
        <f t="shared" si="107"/>
        <v>0.6</v>
      </c>
      <c r="AL284" s="37">
        <f t="shared" si="108"/>
        <v>0</v>
      </c>
      <c r="AM284" s="37">
        <f t="shared" si="109"/>
        <v>0</v>
      </c>
      <c r="AN284" s="37">
        <f t="shared" si="110"/>
        <v>0</v>
      </c>
      <c r="AO284" s="37">
        <f t="shared" si="111"/>
        <v>0.6</v>
      </c>
      <c r="AP284" s="37"/>
      <c r="AQ284" s="37"/>
      <c r="AR284" s="37">
        <f t="shared" si="112"/>
        <v>3</v>
      </c>
      <c r="AS284" s="37">
        <f t="shared" si="113"/>
        <v>5</v>
      </c>
      <c r="AT284" s="37" t="str">
        <f t="shared" si="114"/>
        <v>Correct</v>
      </c>
      <c r="AU284" s="37"/>
      <c r="AV284" s="120" t="str">
        <f>IFERROR(VLOOKUP(Table1[RespondentID],'All Data'!$A$3:$CO$999,87,FALSE),"unknown")</f>
        <v>Man</v>
      </c>
      <c r="AW284" s="120">
        <f>IFERROR(VLOOKUP(Table1[RespondentID],'All Data'!$A$3:$CO$999,88,FALSE),"unknown")</f>
        <v>18</v>
      </c>
      <c r="AX284" s="120" t="str">
        <f>IFERROR(VLOOKUP(Table1[RespondentID],'All Data'!$A$3:$CO$999,89,FALSE),"unknown")</f>
        <v>Suffolk</v>
      </c>
      <c r="AY284" s="120" t="str">
        <f>IFERROR(VLOOKUP(Table1[RespondentID],'All Data'!$A$3:$CO$999,90,FALSE),"unknown")</f>
        <v>Commack, 11725</v>
      </c>
      <c r="AZ284" s="120" t="str">
        <f>IFERROR(VLOOKUP(Table1[RespondentID],'All Data'!$A$3:$CO$999,91,FALSE),"unknown")</f>
        <v>White</v>
      </c>
      <c r="BA284" s="120" t="str">
        <f>IFERROR(VLOOKUP(Table1[RespondentID],'All Data'!$A$3:$CO$999,92,FALSE),"unknown")</f>
        <v>Hispanic or Latino</v>
      </c>
      <c r="BB284" s="120" t="str">
        <f>IFERROR(VLOOKUP(Table1[RespondentID],'All Data'!$A$3:$CO$999,93,FALSE),"unknown")</f>
        <v>English</v>
      </c>
      <c r="BC284" s="120" t="str">
        <f>IFERROR(VLOOKUP(Table1[RespondentID],'All Data'!$A$3:$CW$999,94,FALSE),"unknown")</f>
        <v>$75,000 to $125,000</v>
      </c>
      <c r="BD284" s="120" t="str">
        <f>IFERROR(VLOOKUP(Table1[RespondentID],'All Data'!$A$3:$CW$999,95,FALSE),"unknown")</f>
        <v>High school graduate</v>
      </c>
      <c r="BE284" s="120" t="str">
        <f>IFERROR(VLOOKUP(Table1[RespondentID],'All Data'!$A$3:$CW$999,96,FALSE),"unknown")</f>
        <v>Student</v>
      </c>
      <c r="BF284" s="120" t="str">
        <f>IFERROR(VLOOKUP(Table1[RespondentID],'All Data'!$A$3:$CW$999,97,FALSE),"unknown")</f>
        <v>No</v>
      </c>
      <c r="BG284" s="120" t="str">
        <f>IFERROR(VLOOKUP(Table1[RespondentID],'All Data'!$A$3:$CW$999,98,FALSE),"unknown")</f>
        <v>No Insurance</v>
      </c>
      <c r="BH284" s="120" t="str">
        <f>IFERROR(VLOOKUP(Table1[RespondentID],'All Data'!$A$3:$CW$999,99,FALSE),"unknown")</f>
        <v>Yes</v>
      </c>
    </row>
    <row r="285" spans="1:60">
      <c r="A285" s="5">
        <v>18016769736</v>
      </c>
      <c r="B285" s="5"/>
      <c r="C285" s="5"/>
      <c r="D285" s="5"/>
      <c r="E285" s="5" t="s">
        <v>17</v>
      </c>
      <c r="F285" s="5"/>
      <c r="G285" s="5"/>
      <c r="H285" s="5"/>
      <c r="I285" s="5" t="s">
        <v>55</v>
      </c>
      <c r="J285" s="5"/>
      <c r="K285" s="5"/>
      <c r="L285" s="5"/>
      <c r="M285" s="5" t="s">
        <v>59</v>
      </c>
      <c r="N285" s="5"/>
      <c r="O285" s="5"/>
      <c r="P285" s="5" t="s">
        <v>60</v>
      </c>
      <c r="Q285" s="5"/>
      <c r="R285" s="5"/>
      <c r="S285" s="5"/>
      <c r="T285" s="37"/>
      <c r="U285" s="37">
        <f t="shared" si="92"/>
        <v>4</v>
      </c>
      <c r="V285" s="37">
        <f t="shared" si="93"/>
        <v>0.75</v>
      </c>
      <c r="W285" s="37"/>
      <c r="X285" s="37">
        <f t="shared" si="94"/>
        <v>0</v>
      </c>
      <c r="Y285" s="37">
        <f t="shared" si="95"/>
        <v>0</v>
      </c>
      <c r="Z285" s="37">
        <f t="shared" si="96"/>
        <v>0</v>
      </c>
      <c r="AA285" s="37">
        <f t="shared" si="97"/>
        <v>0.75</v>
      </c>
      <c r="AB285" s="37">
        <f t="shared" si="98"/>
        <v>0</v>
      </c>
      <c r="AC285" s="37">
        <f t="shared" si="99"/>
        <v>0</v>
      </c>
      <c r="AD285" s="37">
        <f t="shared" si="100"/>
        <v>0</v>
      </c>
      <c r="AE285" s="37">
        <f t="shared" si="101"/>
        <v>0.75</v>
      </c>
      <c r="AF285" s="37">
        <f t="shared" si="102"/>
        <v>0</v>
      </c>
      <c r="AG285" s="37">
        <f t="shared" si="103"/>
        <v>0</v>
      </c>
      <c r="AH285" s="37">
        <f t="shared" si="104"/>
        <v>0</v>
      </c>
      <c r="AI285" s="37">
        <f t="shared" si="105"/>
        <v>0.75</v>
      </c>
      <c r="AJ285" s="37">
        <f t="shared" si="106"/>
        <v>0</v>
      </c>
      <c r="AK285" s="37">
        <f t="shared" si="107"/>
        <v>0</v>
      </c>
      <c r="AL285" s="37">
        <f t="shared" si="108"/>
        <v>0.75</v>
      </c>
      <c r="AM285" s="37">
        <f t="shared" si="109"/>
        <v>0</v>
      </c>
      <c r="AN285" s="37">
        <f t="shared" si="110"/>
        <v>0</v>
      </c>
      <c r="AO285" s="37">
        <f t="shared" si="111"/>
        <v>0</v>
      </c>
      <c r="AP285" s="37"/>
      <c r="AQ285" s="37"/>
      <c r="AR285" s="37">
        <f t="shared" si="112"/>
        <v>3</v>
      </c>
      <c r="AS285" s="37">
        <f t="shared" si="113"/>
        <v>4</v>
      </c>
      <c r="AT285" s="37" t="str">
        <f t="shared" si="114"/>
        <v>Correct</v>
      </c>
      <c r="AU285" s="37"/>
      <c r="AV285" s="120" t="str">
        <f>IFERROR(VLOOKUP(Table1[RespondentID],'All Data'!$A$3:$CO$999,87,FALSE),"unknown")</f>
        <v>Man</v>
      </c>
      <c r="AW285" s="120">
        <f>IFERROR(VLOOKUP(Table1[RespondentID],'All Data'!$A$3:$CO$999,88,FALSE),"unknown")</f>
        <v>17</v>
      </c>
      <c r="AX285" s="120" t="str">
        <f>IFERROR(VLOOKUP(Table1[RespondentID],'All Data'!$A$3:$CO$999,89,FALSE),"unknown")</f>
        <v>Suffolk</v>
      </c>
      <c r="AY285" s="120" t="str">
        <f>IFERROR(VLOOKUP(Table1[RespondentID],'All Data'!$A$3:$CO$999,90,FALSE),"unknown")</f>
        <v>Commack, 11725</v>
      </c>
      <c r="AZ285" s="120" t="str">
        <f>IFERROR(VLOOKUP(Table1[RespondentID],'All Data'!$A$3:$CO$999,91,FALSE),"unknown")</f>
        <v>White</v>
      </c>
      <c r="BA285" s="120" t="str">
        <f>IFERROR(VLOOKUP(Table1[RespondentID],'All Data'!$A$3:$CO$999,92,FALSE),"unknown")</f>
        <v>Hispanic or Latino</v>
      </c>
      <c r="BB285" s="120" t="str">
        <f>IFERROR(VLOOKUP(Table1[RespondentID],'All Data'!$A$3:$CO$999,93,FALSE),"unknown")</f>
        <v>English</v>
      </c>
      <c r="BC285" s="120" t="str">
        <f>IFERROR(VLOOKUP(Table1[RespondentID],'All Data'!$A$3:$CW$999,94,FALSE),"unknown")</f>
        <v>Over $125,000</v>
      </c>
      <c r="BD285" s="120" t="str">
        <f>IFERROR(VLOOKUP(Table1[RespondentID],'All Data'!$A$3:$CW$999,95,FALSE),"unknown")</f>
        <v>High school graduate</v>
      </c>
      <c r="BE285" s="120" t="str">
        <f>IFERROR(VLOOKUP(Table1[RespondentID],'All Data'!$A$3:$CW$999,96,FALSE),"unknown")</f>
        <v>Employed for wages</v>
      </c>
      <c r="BF285" s="120" t="str">
        <f>IFERROR(VLOOKUP(Table1[RespondentID],'All Data'!$A$3:$CW$999,97,FALSE),"unknown")</f>
        <v>Yes</v>
      </c>
      <c r="BG285" s="120" t="str">
        <f>IFERROR(VLOOKUP(Table1[RespondentID],'All Data'!$A$3:$CW$999,98,FALSE),"unknown")</f>
        <v>Medicare</v>
      </c>
      <c r="BH285" s="120" t="str">
        <f>IFERROR(VLOOKUP(Table1[RespondentID],'All Data'!$A$3:$CW$999,99,FALSE),"unknown")</f>
        <v>Yes</v>
      </c>
    </row>
    <row r="286" spans="1:60">
      <c r="A286" s="5">
        <v>18016765374</v>
      </c>
      <c r="B286" s="5"/>
      <c r="C286" s="5"/>
      <c r="D286" s="5" t="s">
        <v>51</v>
      </c>
      <c r="E286" s="5" t="s">
        <v>17</v>
      </c>
      <c r="F286" s="5"/>
      <c r="G286" s="5"/>
      <c r="H286" s="5" t="s">
        <v>54</v>
      </c>
      <c r="I286" s="5"/>
      <c r="J286" s="5"/>
      <c r="K286" s="5"/>
      <c r="L286" s="5"/>
      <c r="M286" s="5"/>
      <c r="N286" s="5"/>
      <c r="O286" s="5"/>
      <c r="P286" s="5"/>
      <c r="Q286" s="5"/>
      <c r="R286" s="5"/>
      <c r="S286" s="5"/>
      <c r="T286" s="37"/>
      <c r="U286" s="37">
        <f t="shared" si="92"/>
        <v>3</v>
      </c>
      <c r="V286" s="37">
        <f t="shared" si="93"/>
        <v>1</v>
      </c>
      <c r="W286" s="37"/>
      <c r="X286" s="37">
        <f t="shared" si="94"/>
        <v>0</v>
      </c>
      <c r="Y286" s="37">
        <f t="shared" si="95"/>
        <v>0</v>
      </c>
      <c r="Z286" s="37">
        <f t="shared" si="96"/>
        <v>1</v>
      </c>
      <c r="AA286" s="37">
        <f t="shared" si="97"/>
        <v>1</v>
      </c>
      <c r="AB286" s="37">
        <f t="shared" si="98"/>
        <v>0</v>
      </c>
      <c r="AC286" s="37">
        <f t="shared" si="99"/>
        <v>0</v>
      </c>
      <c r="AD286" s="37">
        <f t="shared" si="100"/>
        <v>1</v>
      </c>
      <c r="AE286" s="37">
        <f t="shared" si="101"/>
        <v>0</v>
      </c>
      <c r="AF286" s="37">
        <f t="shared" si="102"/>
        <v>0</v>
      </c>
      <c r="AG286" s="37">
        <f t="shared" si="103"/>
        <v>0</v>
      </c>
      <c r="AH286" s="37">
        <f t="shared" si="104"/>
        <v>0</v>
      </c>
      <c r="AI286" s="37">
        <f t="shared" si="105"/>
        <v>0</v>
      </c>
      <c r="AJ286" s="37">
        <f t="shared" si="106"/>
        <v>0</v>
      </c>
      <c r="AK286" s="37">
        <f t="shared" si="107"/>
        <v>0</v>
      </c>
      <c r="AL286" s="37">
        <f t="shared" si="108"/>
        <v>0</v>
      </c>
      <c r="AM286" s="37">
        <f t="shared" si="109"/>
        <v>0</v>
      </c>
      <c r="AN286" s="37">
        <f t="shared" si="110"/>
        <v>0</v>
      </c>
      <c r="AO286" s="37">
        <f t="shared" si="111"/>
        <v>0</v>
      </c>
      <c r="AP286" s="37"/>
      <c r="AQ286" s="37"/>
      <c r="AR286" s="37">
        <f t="shared" si="112"/>
        <v>3</v>
      </c>
      <c r="AS286" s="37">
        <f t="shared" si="113"/>
        <v>3</v>
      </c>
      <c r="AT286" s="37" t="str">
        <f t="shared" si="114"/>
        <v>Correct</v>
      </c>
      <c r="AU286" s="37"/>
      <c r="AV286" s="120" t="str">
        <f>IFERROR(VLOOKUP(Table1[RespondentID],'All Data'!$A$3:$CO$999,87,FALSE),"unknown")</f>
        <v>Man</v>
      </c>
      <c r="AW286" s="120">
        <f>IFERROR(VLOOKUP(Table1[RespondentID],'All Data'!$A$3:$CO$999,88,FALSE),"unknown")</f>
        <v>16</v>
      </c>
      <c r="AX286" s="120" t="str">
        <f>IFERROR(VLOOKUP(Table1[RespondentID],'All Data'!$A$3:$CO$999,89,FALSE),"unknown")</f>
        <v>Suffolk</v>
      </c>
      <c r="AY286" s="120" t="str">
        <f>IFERROR(VLOOKUP(Table1[RespondentID],'All Data'!$A$3:$CO$999,90,FALSE),"unknown")</f>
        <v>Nesconset, 11767</v>
      </c>
      <c r="AZ286" s="120" t="str">
        <f>IFERROR(VLOOKUP(Table1[RespondentID],'All Data'!$A$3:$CO$999,91,FALSE),"unknown")</f>
        <v>White</v>
      </c>
      <c r="BA286" s="120" t="str">
        <f>IFERROR(VLOOKUP(Table1[RespondentID],'All Data'!$A$3:$CO$999,92,FALSE),"unknown")</f>
        <v>Hispanic or Latino</v>
      </c>
      <c r="BB286" s="120" t="str">
        <f>IFERROR(VLOOKUP(Table1[RespondentID],'All Data'!$A$3:$CO$999,93,FALSE),"unknown")</f>
        <v>English</v>
      </c>
      <c r="BC286" s="120" t="str">
        <f>IFERROR(VLOOKUP(Table1[RespondentID],'All Data'!$A$3:$CW$999,94,FALSE),"unknown")</f>
        <v>Over $125,000</v>
      </c>
      <c r="BD286" s="120" t="str">
        <f>IFERROR(VLOOKUP(Table1[RespondentID],'All Data'!$A$3:$CW$999,95,FALSE),"unknown")</f>
        <v>Graduate school</v>
      </c>
      <c r="BE286" s="120" t="str">
        <f>IFERROR(VLOOKUP(Table1[RespondentID],'All Data'!$A$3:$CW$999,96,FALSE),"unknown")</f>
        <v>Student</v>
      </c>
      <c r="BF286" s="120" t="str">
        <f>IFERROR(VLOOKUP(Table1[RespondentID],'All Data'!$A$3:$CW$999,97,FALSE),"unknown")</f>
        <v>Yes</v>
      </c>
      <c r="BG286" s="120" t="str">
        <f>IFERROR(VLOOKUP(Table1[RespondentID],'All Data'!$A$3:$CW$999,98,FALSE),"unknown")</f>
        <v>Private/Commercial</v>
      </c>
      <c r="BH286" s="120" t="str">
        <f>IFERROR(VLOOKUP(Table1[RespondentID],'All Data'!$A$3:$CW$999,99,FALSE),"unknown")</f>
        <v>Yes</v>
      </c>
    </row>
    <row r="287" spans="1:60">
      <c r="A287" s="5">
        <v>18016764813</v>
      </c>
      <c r="B287" s="5"/>
      <c r="C287" s="5"/>
      <c r="D287" s="5" t="s">
        <v>51</v>
      </c>
      <c r="E287" s="5" t="s">
        <v>17</v>
      </c>
      <c r="F287" s="5"/>
      <c r="G287" s="5"/>
      <c r="H287" s="5"/>
      <c r="I287" s="5"/>
      <c r="J287" s="5"/>
      <c r="K287" s="5"/>
      <c r="L287" s="5"/>
      <c r="M287" s="5"/>
      <c r="N287" s="5" t="s">
        <v>24</v>
      </c>
      <c r="O287" s="5"/>
      <c r="P287" s="5"/>
      <c r="Q287" s="5"/>
      <c r="R287" s="5"/>
      <c r="S287" s="5"/>
      <c r="T287" s="37"/>
      <c r="U287" s="37">
        <f t="shared" si="92"/>
        <v>3</v>
      </c>
      <c r="V287" s="37">
        <f t="shared" si="93"/>
        <v>1</v>
      </c>
      <c r="W287" s="37"/>
      <c r="X287" s="37">
        <f t="shared" si="94"/>
        <v>0</v>
      </c>
      <c r="Y287" s="37">
        <f t="shared" si="95"/>
        <v>0</v>
      </c>
      <c r="Z287" s="37">
        <f t="shared" si="96"/>
        <v>1</v>
      </c>
      <c r="AA287" s="37">
        <f t="shared" si="97"/>
        <v>1</v>
      </c>
      <c r="AB287" s="37">
        <f t="shared" si="98"/>
        <v>0</v>
      </c>
      <c r="AC287" s="37">
        <f t="shared" si="99"/>
        <v>0</v>
      </c>
      <c r="AD287" s="37">
        <f t="shared" si="100"/>
        <v>0</v>
      </c>
      <c r="AE287" s="37">
        <f t="shared" si="101"/>
        <v>0</v>
      </c>
      <c r="AF287" s="37">
        <f t="shared" si="102"/>
        <v>0</v>
      </c>
      <c r="AG287" s="37">
        <f t="shared" si="103"/>
        <v>0</v>
      </c>
      <c r="AH287" s="37">
        <f t="shared" si="104"/>
        <v>0</v>
      </c>
      <c r="AI287" s="37">
        <f t="shared" si="105"/>
        <v>0</v>
      </c>
      <c r="AJ287" s="37">
        <f t="shared" si="106"/>
        <v>1</v>
      </c>
      <c r="AK287" s="37">
        <f t="shared" si="107"/>
        <v>0</v>
      </c>
      <c r="AL287" s="37">
        <f t="shared" si="108"/>
        <v>0</v>
      </c>
      <c r="AM287" s="37">
        <f t="shared" si="109"/>
        <v>0</v>
      </c>
      <c r="AN287" s="37">
        <f t="shared" si="110"/>
        <v>0</v>
      </c>
      <c r="AO287" s="37">
        <f t="shared" si="111"/>
        <v>0</v>
      </c>
      <c r="AP287" s="37"/>
      <c r="AQ287" s="37"/>
      <c r="AR287" s="37">
        <f t="shared" si="112"/>
        <v>3</v>
      </c>
      <c r="AS287" s="37">
        <f t="shared" si="113"/>
        <v>3</v>
      </c>
      <c r="AT287" s="37" t="str">
        <f t="shared" si="114"/>
        <v>Correct</v>
      </c>
      <c r="AU287" s="37"/>
      <c r="AV287" s="120" t="str">
        <f>IFERROR(VLOOKUP(Table1[RespondentID],'All Data'!$A$3:$CO$999,87,FALSE),"unknown")</f>
        <v>Man</v>
      </c>
      <c r="AW287" s="120">
        <f>IFERROR(VLOOKUP(Table1[RespondentID],'All Data'!$A$3:$CO$999,88,FALSE),"unknown")</f>
        <v>16</v>
      </c>
      <c r="AX287" s="120" t="str">
        <f>IFERROR(VLOOKUP(Table1[RespondentID],'All Data'!$A$3:$CO$999,89,FALSE),"unknown")</f>
        <v>Suffolk</v>
      </c>
      <c r="AY287" s="120" t="str">
        <f>IFERROR(VLOOKUP(Table1[RespondentID],'All Data'!$A$3:$CO$999,90,FALSE),"unknown")</f>
        <v>Nesconset, 11767</v>
      </c>
      <c r="AZ287" s="120" t="str">
        <f>IFERROR(VLOOKUP(Table1[RespondentID],'All Data'!$A$3:$CO$999,91,FALSE),"unknown")</f>
        <v>White</v>
      </c>
      <c r="BA287" s="120" t="str">
        <f>IFERROR(VLOOKUP(Table1[RespondentID],'All Data'!$A$3:$CO$999,92,FALSE),"unknown")</f>
        <v>Hispanic or Latino</v>
      </c>
      <c r="BB287" s="120" t="str">
        <f>IFERROR(VLOOKUP(Table1[RespondentID],'All Data'!$A$3:$CO$999,93,FALSE),"unknown")</f>
        <v>English</v>
      </c>
      <c r="BC287" s="120" t="str">
        <f>IFERROR(VLOOKUP(Table1[RespondentID],'All Data'!$A$3:$CW$999,94,FALSE),"unknown")</f>
        <v>Over $125,000</v>
      </c>
      <c r="BD287" s="120" t="str">
        <f>IFERROR(VLOOKUP(Table1[RespondentID],'All Data'!$A$3:$CW$999,95,FALSE),"unknown")</f>
        <v>College graduate</v>
      </c>
      <c r="BE287" s="120" t="str">
        <f>IFERROR(VLOOKUP(Table1[RespondentID],'All Data'!$A$3:$CW$999,96,FALSE),"unknown")</f>
        <v>Student</v>
      </c>
      <c r="BF287" s="120" t="str">
        <f>IFERROR(VLOOKUP(Table1[RespondentID],'All Data'!$A$3:$CW$999,97,FALSE),"unknown")</f>
        <v>Yes</v>
      </c>
      <c r="BG287" s="120" t="str">
        <f>IFERROR(VLOOKUP(Table1[RespondentID],'All Data'!$A$3:$CW$999,98,FALSE),"unknown")</f>
        <v>Private/Commercial</v>
      </c>
      <c r="BH287" s="120" t="str">
        <f>IFERROR(VLOOKUP(Table1[RespondentID],'All Data'!$A$3:$CW$999,99,FALSE),"unknown")</f>
        <v>Yes</v>
      </c>
    </row>
    <row r="288" spans="1:60">
      <c r="A288" s="5">
        <v>18016645165</v>
      </c>
      <c r="B288" s="5"/>
      <c r="C288" s="5"/>
      <c r="D288" s="5"/>
      <c r="E288" s="5" t="s">
        <v>17</v>
      </c>
      <c r="F288" s="5"/>
      <c r="G288" s="5"/>
      <c r="H288" s="5"/>
      <c r="I288" s="5" t="s">
        <v>55</v>
      </c>
      <c r="J288" s="5"/>
      <c r="K288" s="5"/>
      <c r="L288" s="5"/>
      <c r="M288" s="5"/>
      <c r="N288" s="5"/>
      <c r="O288" s="5"/>
      <c r="P288" s="5" t="s">
        <v>60</v>
      </c>
      <c r="Q288" s="5"/>
      <c r="R288" s="5"/>
      <c r="S288" s="5"/>
      <c r="T288" s="37"/>
      <c r="U288" s="37">
        <f t="shared" si="92"/>
        <v>3</v>
      </c>
      <c r="V288" s="37">
        <f t="shared" si="93"/>
        <v>1</v>
      </c>
      <c r="W288" s="37"/>
      <c r="X288" s="37">
        <f t="shared" si="94"/>
        <v>0</v>
      </c>
      <c r="Y288" s="37">
        <f t="shared" si="95"/>
        <v>0</v>
      </c>
      <c r="Z288" s="37">
        <f t="shared" si="96"/>
        <v>0</v>
      </c>
      <c r="AA288" s="37">
        <f t="shared" si="97"/>
        <v>1</v>
      </c>
      <c r="AB288" s="37">
        <f t="shared" si="98"/>
        <v>0</v>
      </c>
      <c r="AC288" s="37">
        <f t="shared" si="99"/>
        <v>0</v>
      </c>
      <c r="AD288" s="37">
        <f t="shared" si="100"/>
        <v>0</v>
      </c>
      <c r="AE288" s="37">
        <f t="shared" si="101"/>
        <v>1</v>
      </c>
      <c r="AF288" s="37">
        <f t="shared" si="102"/>
        <v>0</v>
      </c>
      <c r="AG288" s="37">
        <f t="shared" si="103"/>
        <v>0</v>
      </c>
      <c r="AH288" s="37">
        <f t="shared" si="104"/>
        <v>0</v>
      </c>
      <c r="AI288" s="37">
        <f t="shared" si="105"/>
        <v>0</v>
      </c>
      <c r="AJ288" s="37">
        <f t="shared" si="106"/>
        <v>0</v>
      </c>
      <c r="AK288" s="37">
        <f t="shared" si="107"/>
        <v>0</v>
      </c>
      <c r="AL288" s="37">
        <f t="shared" si="108"/>
        <v>1</v>
      </c>
      <c r="AM288" s="37">
        <f t="shared" si="109"/>
        <v>0</v>
      </c>
      <c r="AN288" s="37">
        <f t="shared" si="110"/>
        <v>0</v>
      </c>
      <c r="AO288" s="37">
        <f t="shared" si="111"/>
        <v>0</v>
      </c>
      <c r="AP288" s="37"/>
      <c r="AQ288" s="37"/>
      <c r="AR288" s="37">
        <f t="shared" si="112"/>
        <v>3</v>
      </c>
      <c r="AS288" s="37">
        <f t="shared" si="113"/>
        <v>3</v>
      </c>
      <c r="AT288" s="37" t="str">
        <f t="shared" si="114"/>
        <v>Correct</v>
      </c>
      <c r="AU288" s="37"/>
      <c r="AV288" s="120" t="str">
        <f>IFERROR(VLOOKUP(Table1[RespondentID],'All Data'!$A$3:$CO$999,87,FALSE),"unknown")</f>
        <v>Woman</v>
      </c>
      <c r="AW288" s="120">
        <f>IFERROR(VLOOKUP(Table1[RespondentID],'All Data'!$A$3:$CO$999,88,FALSE),"unknown")</f>
        <v>35</v>
      </c>
      <c r="AX288" s="120" t="str">
        <f>IFERROR(VLOOKUP(Table1[RespondentID],'All Data'!$A$3:$CO$999,89,FALSE),"unknown")</f>
        <v>Queens</v>
      </c>
      <c r="AY288" s="120">
        <f>IFERROR(VLOOKUP(Table1[RespondentID],'All Data'!$A$3:$CO$999,90,FALSE),"unknown")</f>
        <v>11375</v>
      </c>
      <c r="AZ288" s="120" t="str">
        <f>IFERROR(VLOOKUP(Table1[RespondentID],'All Data'!$A$3:$CO$999,91,FALSE),"unknown")</f>
        <v>American Indian and Alaska Native</v>
      </c>
      <c r="BA288" s="120" t="str">
        <f>IFERROR(VLOOKUP(Table1[RespondentID],'All Data'!$A$3:$CO$999,92,FALSE),"unknown")</f>
        <v>Hispanic or Latino</v>
      </c>
      <c r="BB288" s="120" t="str">
        <f>IFERROR(VLOOKUP(Table1[RespondentID],'All Data'!$A$3:$CO$999,93,FALSE),"unknown")</f>
        <v>English, Korean</v>
      </c>
      <c r="BC288" s="120" t="str">
        <f>IFERROR(VLOOKUP(Table1[RespondentID],'All Data'!$A$3:$CW$999,94,FALSE),"unknown")</f>
        <v>Over $125,000</v>
      </c>
      <c r="BD288" s="120" t="str">
        <f>IFERROR(VLOOKUP(Table1[RespondentID],'All Data'!$A$3:$CW$999,95,FALSE),"unknown")</f>
        <v>Doctorate</v>
      </c>
      <c r="BE288" s="120" t="str">
        <f>IFERROR(VLOOKUP(Table1[RespondentID],'All Data'!$A$3:$CW$999,96,FALSE),"unknown")</f>
        <v>Employed for wages</v>
      </c>
      <c r="BF288" s="120" t="str">
        <f>IFERROR(VLOOKUP(Table1[RespondentID],'All Data'!$A$3:$CW$999,97,FALSE),"unknown")</f>
        <v>Yes</v>
      </c>
      <c r="BG288" s="120" t="str">
        <f>IFERROR(VLOOKUP(Table1[RespondentID],'All Data'!$A$3:$CW$999,98,FALSE),"unknown")</f>
        <v>Private/Commercial</v>
      </c>
      <c r="BH288" s="120" t="str">
        <f>IFERROR(VLOOKUP(Table1[RespondentID],'All Data'!$A$3:$CW$999,99,FALSE),"unknown")</f>
        <v>Yes</v>
      </c>
    </row>
    <row r="289" spans="1:60">
      <c r="A289" s="5">
        <v>18016455302</v>
      </c>
      <c r="B289" s="5"/>
      <c r="C289" s="5"/>
      <c r="D289" s="5"/>
      <c r="E289" s="5"/>
      <c r="F289" s="5"/>
      <c r="G289" s="5" t="s">
        <v>53</v>
      </c>
      <c r="H289" s="5"/>
      <c r="I289" s="5" t="s">
        <v>55</v>
      </c>
      <c r="J289" s="5"/>
      <c r="K289" s="5"/>
      <c r="L289" s="5"/>
      <c r="M289" s="5"/>
      <c r="N289" s="5"/>
      <c r="O289" s="5"/>
      <c r="P289" s="5" t="s">
        <v>60</v>
      </c>
      <c r="Q289" s="5"/>
      <c r="R289" s="5"/>
      <c r="S289" s="5"/>
      <c r="T289" s="37"/>
      <c r="U289" s="37">
        <f t="shared" si="92"/>
        <v>3</v>
      </c>
      <c r="V289" s="37">
        <f t="shared" si="93"/>
        <v>1</v>
      </c>
      <c r="W289" s="37"/>
      <c r="X289" s="37">
        <f t="shared" si="94"/>
        <v>0</v>
      </c>
      <c r="Y289" s="37">
        <f t="shared" si="95"/>
        <v>0</v>
      </c>
      <c r="Z289" s="37">
        <f t="shared" si="96"/>
        <v>0</v>
      </c>
      <c r="AA289" s="37">
        <f t="shared" si="97"/>
        <v>0</v>
      </c>
      <c r="AB289" s="37">
        <f t="shared" si="98"/>
        <v>0</v>
      </c>
      <c r="AC289" s="37">
        <f t="shared" si="99"/>
        <v>1</v>
      </c>
      <c r="AD289" s="37">
        <f t="shared" si="100"/>
        <v>0</v>
      </c>
      <c r="AE289" s="37">
        <f t="shared" si="101"/>
        <v>1</v>
      </c>
      <c r="AF289" s="37">
        <f t="shared" si="102"/>
        <v>0</v>
      </c>
      <c r="AG289" s="37">
        <f t="shared" si="103"/>
        <v>0</v>
      </c>
      <c r="AH289" s="37">
        <f t="shared" si="104"/>
        <v>0</v>
      </c>
      <c r="AI289" s="37">
        <f t="shared" si="105"/>
        <v>0</v>
      </c>
      <c r="AJ289" s="37">
        <f t="shared" si="106"/>
        <v>0</v>
      </c>
      <c r="AK289" s="37">
        <f t="shared" si="107"/>
        <v>0</v>
      </c>
      <c r="AL289" s="37">
        <f t="shared" si="108"/>
        <v>1</v>
      </c>
      <c r="AM289" s="37">
        <f t="shared" si="109"/>
        <v>0</v>
      </c>
      <c r="AN289" s="37">
        <f t="shared" si="110"/>
        <v>0</v>
      </c>
      <c r="AO289" s="37">
        <f t="shared" si="111"/>
        <v>0</v>
      </c>
      <c r="AP289" s="37"/>
      <c r="AQ289" s="37"/>
      <c r="AR289" s="37">
        <f t="shared" si="112"/>
        <v>3</v>
      </c>
      <c r="AS289" s="37">
        <f t="shared" si="113"/>
        <v>3</v>
      </c>
      <c r="AT289" s="37" t="str">
        <f t="shared" si="114"/>
        <v>Correct</v>
      </c>
      <c r="AU289" s="37"/>
      <c r="AV289" s="120" t="str">
        <f>IFERROR(VLOOKUP(Table1[RespondentID],'All Data'!$A$3:$CO$999,87,FALSE),"unknown")</f>
        <v>Man</v>
      </c>
      <c r="AW289" s="120">
        <f>IFERROR(VLOOKUP(Table1[RespondentID],'All Data'!$A$3:$CO$999,88,FALSE),"unknown")</f>
        <v>21</v>
      </c>
      <c r="AX289" s="120" t="str">
        <f>IFERROR(VLOOKUP(Table1[RespondentID],'All Data'!$A$3:$CO$999,89,FALSE),"unknown")</f>
        <v>Suffolk</v>
      </c>
      <c r="AY289" s="120" t="str">
        <f>IFERROR(VLOOKUP(Table1[RespondentID],'All Data'!$A$3:$CO$999,90,FALSE),"unknown")</f>
        <v>Lindenhurst, 11757</v>
      </c>
      <c r="AZ289" s="120" t="str">
        <f>IFERROR(VLOOKUP(Table1[RespondentID],'All Data'!$A$3:$CO$999,91,FALSE),"unknown")</f>
        <v>White</v>
      </c>
      <c r="BA289" s="120" t="str">
        <f>IFERROR(VLOOKUP(Table1[RespondentID],'All Data'!$A$3:$CO$999,92,FALSE),"unknown")</f>
        <v>Not Hispanic or Latino</v>
      </c>
      <c r="BB289" s="120" t="str">
        <f>IFERROR(VLOOKUP(Table1[RespondentID],'All Data'!$A$3:$CO$999,93,FALSE),"unknown")</f>
        <v>Spanish</v>
      </c>
      <c r="BC289" s="120" t="str">
        <f>IFERROR(VLOOKUP(Table1[RespondentID],'All Data'!$A$3:$CW$999,94,FALSE),"unknown")</f>
        <v>$75,000 to $125,000</v>
      </c>
      <c r="BD289" s="120" t="str">
        <f>IFERROR(VLOOKUP(Table1[RespondentID],'All Data'!$A$3:$CW$999,95,FALSE),"unknown")</f>
        <v>Some college</v>
      </c>
      <c r="BE289" s="120" t="str">
        <f>IFERROR(VLOOKUP(Table1[RespondentID],'All Data'!$A$3:$CW$999,96,FALSE),"unknown")</f>
        <v>Student</v>
      </c>
      <c r="BF289" s="120" t="str">
        <f>IFERROR(VLOOKUP(Table1[RespondentID],'All Data'!$A$3:$CW$999,97,FALSE),"unknown")</f>
        <v>Yes</v>
      </c>
      <c r="BG289" s="120" t="str">
        <f>IFERROR(VLOOKUP(Table1[RespondentID],'All Data'!$A$3:$CW$999,98,FALSE),"unknown")</f>
        <v>Medicare</v>
      </c>
      <c r="BH289" s="120" t="str">
        <f>IFERROR(VLOOKUP(Table1[RespondentID],'All Data'!$A$3:$CW$999,99,FALSE),"unknown")</f>
        <v>Yes</v>
      </c>
    </row>
    <row r="290" spans="1:60">
      <c r="A290" s="5">
        <v>18016436237</v>
      </c>
      <c r="B290" s="5"/>
      <c r="C290" s="5"/>
      <c r="D290" s="5"/>
      <c r="E290" s="5" t="s">
        <v>17</v>
      </c>
      <c r="F290" s="5"/>
      <c r="G290" s="5"/>
      <c r="H290" s="5" t="s">
        <v>54</v>
      </c>
      <c r="I290" s="5"/>
      <c r="J290" s="5"/>
      <c r="K290" s="5" t="s">
        <v>57</v>
      </c>
      <c r="L290" s="5"/>
      <c r="M290" s="5"/>
      <c r="N290" s="5" t="s">
        <v>24</v>
      </c>
      <c r="O290" s="5"/>
      <c r="P290" s="5"/>
      <c r="Q290" s="5"/>
      <c r="R290" s="5"/>
      <c r="S290" s="5"/>
      <c r="T290" s="37"/>
      <c r="U290" s="37">
        <f t="shared" si="92"/>
        <v>4</v>
      </c>
      <c r="V290" s="37">
        <f t="shared" si="93"/>
        <v>0.75</v>
      </c>
      <c r="W290" s="37"/>
      <c r="X290" s="37">
        <f t="shared" si="94"/>
        <v>0</v>
      </c>
      <c r="Y290" s="37">
        <f t="shared" si="95"/>
        <v>0</v>
      </c>
      <c r="Z290" s="37">
        <f t="shared" si="96"/>
        <v>0</v>
      </c>
      <c r="AA290" s="37">
        <f t="shared" si="97"/>
        <v>0.75</v>
      </c>
      <c r="AB290" s="37">
        <f t="shared" si="98"/>
        <v>0</v>
      </c>
      <c r="AC290" s="37">
        <f t="shared" si="99"/>
        <v>0</v>
      </c>
      <c r="AD290" s="37">
        <f t="shared" si="100"/>
        <v>0.75</v>
      </c>
      <c r="AE290" s="37">
        <f t="shared" si="101"/>
        <v>0</v>
      </c>
      <c r="AF290" s="37">
        <f t="shared" si="102"/>
        <v>0</v>
      </c>
      <c r="AG290" s="37">
        <f t="shared" si="103"/>
        <v>0.75</v>
      </c>
      <c r="AH290" s="37">
        <f t="shared" si="104"/>
        <v>0</v>
      </c>
      <c r="AI290" s="37">
        <f t="shared" si="105"/>
        <v>0</v>
      </c>
      <c r="AJ290" s="37">
        <f t="shared" si="106"/>
        <v>0.75</v>
      </c>
      <c r="AK290" s="37">
        <f t="shared" si="107"/>
        <v>0</v>
      </c>
      <c r="AL290" s="37">
        <f t="shared" si="108"/>
        <v>0</v>
      </c>
      <c r="AM290" s="37">
        <f t="shared" si="109"/>
        <v>0</v>
      </c>
      <c r="AN290" s="37">
        <f t="shared" si="110"/>
        <v>0</v>
      </c>
      <c r="AO290" s="37">
        <f t="shared" si="111"/>
        <v>0</v>
      </c>
      <c r="AP290" s="37"/>
      <c r="AQ290" s="37"/>
      <c r="AR290" s="37">
        <f t="shared" si="112"/>
        <v>3</v>
      </c>
      <c r="AS290" s="37">
        <f t="shared" si="113"/>
        <v>4</v>
      </c>
      <c r="AT290" s="37" t="str">
        <f t="shared" si="114"/>
        <v>Correct</v>
      </c>
      <c r="AU290" s="37"/>
      <c r="AV290" s="120" t="str">
        <f>IFERROR(VLOOKUP(Table1[RespondentID],'All Data'!$A$3:$CO$999,87,FALSE),"unknown")</f>
        <v>Man</v>
      </c>
      <c r="AW290" s="120">
        <f>IFERROR(VLOOKUP(Table1[RespondentID],'All Data'!$A$3:$CO$999,88,FALSE),"unknown")</f>
        <v>18</v>
      </c>
      <c r="AX290" s="120" t="str">
        <f>IFERROR(VLOOKUP(Table1[RespondentID],'All Data'!$A$3:$CO$999,89,FALSE),"unknown")</f>
        <v>Queens</v>
      </c>
      <c r="AY290" s="120">
        <f>IFERROR(VLOOKUP(Table1[RespondentID],'All Data'!$A$3:$CO$999,90,FALSE),"unknown")</f>
        <v>11428</v>
      </c>
      <c r="AZ290" s="120" t="str">
        <f>IFERROR(VLOOKUP(Table1[RespondentID],'All Data'!$A$3:$CO$999,91,FALSE),"unknown")</f>
        <v>White</v>
      </c>
      <c r="BA290" s="120" t="str">
        <f>IFERROR(VLOOKUP(Table1[RespondentID],'All Data'!$A$3:$CO$999,92,FALSE),"unknown")</f>
        <v>Hispanic or Latino</v>
      </c>
      <c r="BB290" s="120" t="str">
        <f>IFERROR(VLOOKUP(Table1[RespondentID],'All Data'!$A$3:$CO$999,93,FALSE),"unknown")</f>
        <v>English</v>
      </c>
      <c r="BC290" s="120" t="str">
        <f>IFERROR(VLOOKUP(Table1[RespondentID],'All Data'!$A$3:$CW$999,94,FALSE),"unknown")</f>
        <v>$0-$19,999</v>
      </c>
      <c r="BD290" s="120" t="str">
        <f>IFERROR(VLOOKUP(Table1[RespondentID],'All Data'!$A$3:$CW$999,95,FALSE),"unknown")</f>
        <v>Some college</v>
      </c>
      <c r="BE290" s="120" t="str">
        <f>IFERROR(VLOOKUP(Table1[RespondentID],'All Data'!$A$3:$CW$999,96,FALSE),"unknown")</f>
        <v>Military</v>
      </c>
      <c r="BF290" s="120" t="str">
        <f>IFERROR(VLOOKUP(Table1[RespondentID],'All Data'!$A$3:$CW$999,97,FALSE),"unknown")</f>
        <v>No, but I did in the past</v>
      </c>
      <c r="BG290" s="120" t="str">
        <f>IFERROR(VLOOKUP(Table1[RespondentID],'All Data'!$A$3:$CW$999,98,FALSE),"unknown")</f>
        <v>Medicare</v>
      </c>
      <c r="BH290" s="120" t="str">
        <f>IFERROR(VLOOKUP(Table1[RespondentID],'All Data'!$A$3:$CW$999,99,FALSE),"unknown")</f>
        <v>No</v>
      </c>
    </row>
    <row r="291" spans="1:60">
      <c r="A291" s="5">
        <v>18016056284</v>
      </c>
      <c r="B291" s="5"/>
      <c r="C291" s="5"/>
      <c r="D291" s="5"/>
      <c r="E291" s="5"/>
      <c r="F291" s="5"/>
      <c r="G291" s="5" t="s">
        <v>53</v>
      </c>
      <c r="H291" s="5"/>
      <c r="I291" s="5" t="s">
        <v>55</v>
      </c>
      <c r="J291" s="5"/>
      <c r="K291" s="5"/>
      <c r="L291" s="5"/>
      <c r="M291" s="5"/>
      <c r="N291" s="5"/>
      <c r="O291" s="5"/>
      <c r="P291" s="5"/>
      <c r="Q291" s="5"/>
      <c r="R291" s="5"/>
      <c r="S291" s="5" t="s">
        <v>63</v>
      </c>
      <c r="T291" s="37"/>
      <c r="U291" s="37">
        <f t="shared" si="92"/>
        <v>3</v>
      </c>
      <c r="V291" s="37">
        <f t="shared" si="93"/>
        <v>1</v>
      </c>
      <c r="W291" s="37"/>
      <c r="X291" s="37">
        <f t="shared" si="94"/>
        <v>0</v>
      </c>
      <c r="Y291" s="37">
        <f t="shared" si="95"/>
        <v>0</v>
      </c>
      <c r="Z291" s="37">
        <f t="shared" si="96"/>
        <v>0</v>
      </c>
      <c r="AA291" s="37">
        <f t="shared" si="97"/>
        <v>0</v>
      </c>
      <c r="AB291" s="37">
        <f t="shared" si="98"/>
        <v>0</v>
      </c>
      <c r="AC291" s="37">
        <f t="shared" si="99"/>
        <v>1</v>
      </c>
      <c r="AD291" s="37">
        <f t="shared" si="100"/>
        <v>0</v>
      </c>
      <c r="AE291" s="37">
        <f t="shared" si="101"/>
        <v>1</v>
      </c>
      <c r="AF291" s="37">
        <f t="shared" si="102"/>
        <v>0</v>
      </c>
      <c r="AG291" s="37">
        <f t="shared" si="103"/>
        <v>0</v>
      </c>
      <c r="AH291" s="37">
        <f t="shared" si="104"/>
        <v>0</v>
      </c>
      <c r="AI291" s="37">
        <f t="shared" si="105"/>
        <v>0</v>
      </c>
      <c r="AJ291" s="37">
        <f t="shared" si="106"/>
        <v>0</v>
      </c>
      <c r="AK291" s="37">
        <f t="shared" si="107"/>
        <v>0</v>
      </c>
      <c r="AL291" s="37">
        <f t="shared" si="108"/>
        <v>0</v>
      </c>
      <c r="AM291" s="37">
        <f t="shared" si="109"/>
        <v>0</v>
      </c>
      <c r="AN291" s="37">
        <f t="shared" si="110"/>
        <v>0</v>
      </c>
      <c r="AO291" s="37">
        <f t="shared" si="111"/>
        <v>1</v>
      </c>
      <c r="AP291" s="37"/>
      <c r="AQ291" s="37"/>
      <c r="AR291" s="37">
        <f t="shared" si="112"/>
        <v>3</v>
      </c>
      <c r="AS291" s="37">
        <f t="shared" si="113"/>
        <v>3</v>
      </c>
      <c r="AT291" s="37" t="str">
        <f t="shared" si="114"/>
        <v>Correct</v>
      </c>
      <c r="AU291" s="37"/>
      <c r="AV291" s="120" t="str">
        <f>IFERROR(VLOOKUP(Table1[RespondentID],'All Data'!$A$3:$CO$999,87,FALSE),"unknown")</f>
        <v>Woman</v>
      </c>
      <c r="AW291" s="120">
        <f>IFERROR(VLOOKUP(Table1[RespondentID],'All Data'!$A$3:$CO$999,88,FALSE),"unknown")</f>
        <v>21</v>
      </c>
      <c r="AX291" s="120" t="str">
        <f>IFERROR(VLOOKUP(Table1[RespondentID],'All Data'!$A$3:$CO$999,89,FALSE),"unknown")</f>
        <v>Suffolk</v>
      </c>
      <c r="AY291" s="120" t="str">
        <f>IFERROR(VLOOKUP(Table1[RespondentID],'All Data'!$A$3:$CO$999,90,FALSE),"unknown")</f>
        <v>Farmingville, 11738</v>
      </c>
      <c r="AZ291" s="120" t="str">
        <f>IFERROR(VLOOKUP(Table1[RespondentID],'All Data'!$A$3:$CO$999,91,FALSE),"unknown")</f>
        <v>Asian</v>
      </c>
      <c r="BA291" s="120" t="str">
        <f>IFERROR(VLOOKUP(Table1[RespondentID],'All Data'!$A$3:$CO$999,92,FALSE),"unknown")</f>
        <v>Not Hispanic or Latino</v>
      </c>
      <c r="BB291" s="120" t="str">
        <f>IFERROR(VLOOKUP(Table1[RespondentID],'All Data'!$A$3:$CO$999,93,FALSE),"unknown")</f>
        <v>English</v>
      </c>
      <c r="BC291" s="120" t="str">
        <f>IFERROR(VLOOKUP(Table1[RespondentID],'All Data'!$A$3:$CW$999,94,FALSE),"unknown")</f>
        <v>$50,000 to $74,999</v>
      </c>
      <c r="BD291" s="120" t="str">
        <f>IFERROR(VLOOKUP(Table1[RespondentID],'All Data'!$A$3:$CW$999,95,FALSE),"unknown")</f>
        <v>Some college</v>
      </c>
      <c r="BE291" s="120" t="str">
        <f>IFERROR(VLOOKUP(Table1[RespondentID],'All Data'!$A$3:$CW$999,96,FALSE),"unknown")</f>
        <v>Student</v>
      </c>
      <c r="BF291" s="120" t="str">
        <f>IFERROR(VLOOKUP(Table1[RespondentID],'All Data'!$A$3:$CW$999,97,FALSE),"unknown")</f>
        <v>Yes</v>
      </c>
      <c r="BG291" s="120" t="str">
        <f>IFERROR(VLOOKUP(Table1[RespondentID],'All Data'!$A$3:$CW$999,98,FALSE),"unknown")</f>
        <v>Medicare</v>
      </c>
      <c r="BH291" s="120" t="str">
        <f>IFERROR(VLOOKUP(Table1[RespondentID],'All Data'!$A$3:$CW$999,99,FALSE),"unknown")</f>
        <v>Yes</v>
      </c>
    </row>
    <row r="292" spans="1:60">
      <c r="A292" s="5">
        <v>18016042262</v>
      </c>
      <c r="B292" s="5"/>
      <c r="C292" s="5"/>
      <c r="D292" s="5"/>
      <c r="E292" s="5"/>
      <c r="F292" s="5"/>
      <c r="G292" s="5"/>
      <c r="H292" s="5"/>
      <c r="I292" s="5"/>
      <c r="J292" s="5"/>
      <c r="K292" s="5"/>
      <c r="L292" s="5"/>
      <c r="M292" s="5"/>
      <c r="N292" s="5"/>
      <c r="O292" s="5" t="s">
        <v>20</v>
      </c>
      <c r="P292" s="5"/>
      <c r="Q292" s="5"/>
      <c r="R292" s="5"/>
      <c r="S292" s="5"/>
      <c r="T292" s="37"/>
      <c r="U292" s="37">
        <f t="shared" si="92"/>
        <v>1</v>
      </c>
      <c r="V292" s="37">
        <f t="shared" si="93"/>
        <v>3</v>
      </c>
      <c r="W292" s="37"/>
      <c r="X292" s="37">
        <f t="shared" si="94"/>
        <v>0</v>
      </c>
      <c r="Y292" s="37">
        <f t="shared" si="95"/>
        <v>0</v>
      </c>
      <c r="Z292" s="37">
        <f t="shared" si="96"/>
        <v>0</v>
      </c>
      <c r="AA292" s="37">
        <f t="shared" si="97"/>
        <v>0</v>
      </c>
      <c r="AB292" s="37">
        <f t="shared" si="98"/>
        <v>0</v>
      </c>
      <c r="AC292" s="37">
        <f t="shared" si="99"/>
        <v>0</v>
      </c>
      <c r="AD292" s="37">
        <f t="shared" si="100"/>
        <v>0</v>
      </c>
      <c r="AE292" s="37">
        <f t="shared" si="101"/>
        <v>0</v>
      </c>
      <c r="AF292" s="37">
        <f t="shared" si="102"/>
        <v>0</v>
      </c>
      <c r="AG292" s="37">
        <f t="shared" si="103"/>
        <v>0</v>
      </c>
      <c r="AH292" s="37">
        <f t="shared" si="104"/>
        <v>0</v>
      </c>
      <c r="AI292" s="37">
        <f t="shared" si="105"/>
        <v>0</v>
      </c>
      <c r="AJ292" s="37">
        <f t="shared" si="106"/>
        <v>0</v>
      </c>
      <c r="AK292" s="37">
        <f t="shared" si="107"/>
        <v>1</v>
      </c>
      <c r="AL292" s="37">
        <f t="shared" si="108"/>
        <v>0</v>
      </c>
      <c r="AM292" s="37">
        <f t="shared" si="109"/>
        <v>0</v>
      </c>
      <c r="AN292" s="37">
        <f t="shared" si="110"/>
        <v>0</v>
      </c>
      <c r="AO292" s="37">
        <f t="shared" si="111"/>
        <v>0</v>
      </c>
      <c r="AP292" s="37"/>
      <c r="AQ292" s="37"/>
      <c r="AR292" s="37">
        <f t="shared" si="112"/>
        <v>1</v>
      </c>
      <c r="AS292" s="37">
        <f t="shared" si="113"/>
        <v>1</v>
      </c>
      <c r="AT292" s="37" t="str">
        <f t="shared" si="114"/>
        <v>Correct</v>
      </c>
      <c r="AU292" s="37"/>
      <c r="AV292" s="120">
        <f>IFERROR(VLOOKUP(Table1[RespondentID],'All Data'!$A$3:$CO$999,87,FALSE),"unknown")</f>
        <v>0</v>
      </c>
      <c r="AW292" s="120">
        <f>IFERROR(VLOOKUP(Table1[RespondentID],'All Data'!$A$3:$CO$999,88,FALSE),"unknown")</f>
        <v>0</v>
      </c>
      <c r="AX292" s="120">
        <f>IFERROR(VLOOKUP(Table1[RespondentID],'All Data'!$A$3:$CO$999,89,FALSE),"unknown")</f>
        <v>0</v>
      </c>
      <c r="AY292" s="120">
        <f>IFERROR(VLOOKUP(Table1[RespondentID],'All Data'!$A$3:$CO$999,90,FALSE),"unknown")</f>
        <v>0</v>
      </c>
      <c r="AZ292" s="120">
        <f>IFERROR(VLOOKUP(Table1[RespondentID],'All Data'!$A$3:$CO$999,91,FALSE),"unknown")</f>
        <v>0</v>
      </c>
      <c r="BA292" s="120">
        <f>IFERROR(VLOOKUP(Table1[RespondentID],'All Data'!$A$3:$CO$999,92,FALSE),"unknown")</f>
        <v>0</v>
      </c>
      <c r="BB292" s="120">
        <f>IFERROR(VLOOKUP(Table1[RespondentID],'All Data'!$A$3:$CO$999,93,FALSE),"unknown")</f>
        <v>0</v>
      </c>
      <c r="BC292" s="120">
        <f>IFERROR(VLOOKUP(Table1[RespondentID],'All Data'!$A$3:$CW$999,94,FALSE),"unknown")</f>
        <v>0</v>
      </c>
      <c r="BD292" s="120">
        <f>IFERROR(VLOOKUP(Table1[RespondentID],'All Data'!$A$3:$CW$999,95,FALSE),"unknown")</f>
        <v>0</v>
      </c>
      <c r="BE292" s="120">
        <f>IFERROR(VLOOKUP(Table1[RespondentID],'All Data'!$A$3:$CW$999,96,FALSE),"unknown")</f>
        <v>0</v>
      </c>
      <c r="BF292" s="120">
        <f>IFERROR(VLOOKUP(Table1[RespondentID],'All Data'!$A$3:$CW$999,97,FALSE),"unknown")</f>
        <v>0</v>
      </c>
      <c r="BG292" s="120">
        <f>IFERROR(VLOOKUP(Table1[RespondentID],'All Data'!$A$3:$CW$999,98,FALSE),"unknown")</f>
        <v>0</v>
      </c>
      <c r="BH292" s="120">
        <f>IFERROR(VLOOKUP(Table1[RespondentID],'All Data'!$A$3:$CW$999,99,FALSE),"unknown")</f>
        <v>0</v>
      </c>
    </row>
    <row r="293" spans="1:60">
      <c r="A293" s="5">
        <v>18016041834</v>
      </c>
      <c r="B293" s="5"/>
      <c r="C293" s="5"/>
      <c r="D293" s="5"/>
      <c r="E293" s="5"/>
      <c r="F293" s="5"/>
      <c r="G293" s="5"/>
      <c r="H293" s="5"/>
      <c r="I293" s="5" t="s">
        <v>55</v>
      </c>
      <c r="J293" s="5"/>
      <c r="K293" s="5"/>
      <c r="L293" s="5"/>
      <c r="M293" s="5"/>
      <c r="N293" s="5"/>
      <c r="O293" s="5"/>
      <c r="P293" s="5" t="s">
        <v>60</v>
      </c>
      <c r="Q293" s="5" t="s">
        <v>61</v>
      </c>
      <c r="R293" s="5"/>
      <c r="S293" s="5"/>
      <c r="T293" s="37"/>
      <c r="U293" s="37">
        <f t="shared" si="92"/>
        <v>3</v>
      </c>
      <c r="V293" s="37">
        <f t="shared" si="93"/>
        <v>1</v>
      </c>
      <c r="W293" s="37"/>
      <c r="X293" s="37">
        <f t="shared" si="94"/>
        <v>0</v>
      </c>
      <c r="Y293" s="37">
        <f t="shared" si="95"/>
        <v>0</v>
      </c>
      <c r="Z293" s="37">
        <f t="shared" si="96"/>
        <v>0</v>
      </c>
      <c r="AA293" s="37">
        <f t="shared" si="97"/>
        <v>0</v>
      </c>
      <c r="AB293" s="37">
        <f t="shared" si="98"/>
        <v>0</v>
      </c>
      <c r="AC293" s="37">
        <f t="shared" si="99"/>
        <v>0</v>
      </c>
      <c r="AD293" s="37">
        <f t="shared" si="100"/>
        <v>0</v>
      </c>
      <c r="AE293" s="37">
        <f t="shared" si="101"/>
        <v>1</v>
      </c>
      <c r="AF293" s="37">
        <f t="shared" si="102"/>
        <v>0</v>
      </c>
      <c r="AG293" s="37">
        <f t="shared" si="103"/>
        <v>0</v>
      </c>
      <c r="AH293" s="37">
        <f t="shared" si="104"/>
        <v>0</v>
      </c>
      <c r="AI293" s="37">
        <f t="shared" si="105"/>
        <v>0</v>
      </c>
      <c r="AJ293" s="37">
        <f t="shared" si="106"/>
        <v>0</v>
      </c>
      <c r="AK293" s="37">
        <f t="shared" si="107"/>
        <v>0</v>
      </c>
      <c r="AL293" s="37">
        <f t="shared" si="108"/>
        <v>1</v>
      </c>
      <c r="AM293" s="37">
        <f t="shared" si="109"/>
        <v>1</v>
      </c>
      <c r="AN293" s="37">
        <f t="shared" si="110"/>
        <v>0</v>
      </c>
      <c r="AO293" s="37">
        <f t="shared" si="111"/>
        <v>0</v>
      </c>
      <c r="AP293" s="37"/>
      <c r="AQ293" s="37"/>
      <c r="AR293" s="37">
        <f t="shared" si="112"/>
        <v>3</v>
      </c>
      <c r="AS293" s="37">
        <f t="shared" si="113"/>
        <v>3</v>
      </c>
      <c r="AT293" s="37" t="str">
        <f t="shared" si="114"/>
        <v>Correct</v>
      </c>
      <c r="AU293" s="37"/>
      <c r="AV293" s="120" t="str">
        <f>IFERROR(VLOOKUP(Table1[RespondentID],'All Data'!$A$3:$CO$999,87,FALSE),"unknown")</f>
        <v>Man</v>
      </c>
      <c r="AW293" s="120">
        <f>IFERROR(VLOOKUP(Table1[RespondentID],'All Data'!$A$3:$CO$999,88,FALSE),"unknown")</f>
        <v>20</v>
      </c>
      <c r="AX293" s="120" t="str">
        <f>IFERROR(VLOOKUP(Table1[RespondentID],'All Data'!$A$3:$CO$999,89,FALSE),"unknown")</f>
        <v>Suffolk</v>
      </c>
      <c r="AY293" s="120" t="str">
        <f>IFERROR(VLOOKUP(Table1[RespondentID],'All Data'!$A$3:$CO$999,90,FALSE),"unknown")</f>
        <v>Melville, 11747</v>
      </c>
      <c r="AZ293" s="120" t="str">
        <f>IFERROR(VLOOKUP(Table1[RespondentID],'All Data'!$A$3:$CO$999,91,FALSE),"unknown")</f>
        <v>White</v>
      </c>
      <c r="BA293" s="120" t="str">
        <f>IFERROR(VLOOKUP(Table1[RespondentID],'All Data'!$A$3:$CO$999,92,FALSE),"unknown")</f>
        <v>Not Hispanic or Latino</v>
      </c>
      <c r="BB293" s="120" t="str">
        <f>IFERROR(VLOOKUP(Table1[RespondentID],'All Data'!$A$3:$CO$999,93,FALSE),"unknown")</f>
        <v>English, Spanish</v>
      </c>
      <c r="BC293" s="120" t="str">
        <f>IFERROR(VLOOKUP(Table1[RespondentID],'All Data'!$A$3:$CW$999,94,FALSE),"unknown")</f>
        <v>$75,000 to $125,000</v>
      </c>
      <c r="BD293" s="120" t="str">
        <f>IFERROR(VLOOKUP(Table1[RespondentID],'All Data'!$A$3:$CW$999,95,FALSE),"unknown")</f>
        <v>Some college</v>
      </c>
      <c r="BE293" s="120" t="str">
        <f>IFERROR(VLOOKUP(Table1[RespondentID],'All Data'!$A$3:$CW$999,96,FALSE),"unknown")</f>
        <v>Employed for wages</v>
      </c>
      <c r="BF293" s="120" t="str">
        <f>IFERROR(VLOOKUP(Table1[RespondentID],'All Data'!$A$3:$CW$999,97,FALSE),"unknown")</f>
        <v>Yes</v>
      </c>
      <c r="BG293" s="120" t="str">
        <f>IFERROR(VLOOKUP(Table1[RespondentID],'All Data'!$A$3:$CW$999,98,FALSE),"unknown")</f>
        <v>Private/Commercial</v>
      </c>
      <c r="BH293" s="120" t="str">
        <f>IFERROR(VLOOKUP(Table1[RespondentID],'All Data'!$A$3:$CW$999,99,FALSE),"unknown")</f>
        <v>Yes</v>
      </c>
    </row>
    <row r="294" spans="1:60">
      <c r="A294" s="5">
        <v>18016041235</v>
      </c>
      <c r="B294" s="5"/>
      <c r="C294" s="5"/>
      <c r="D294" s="5"/>
      <c r="E294" s="5"/>
      <c r="F294" s="5"/>
      <c r="G294" s="5"/>
      <c r="H294" s="5"/>
      <c r="I294" s="5"/>
      <c r="J294" s="5"/>
      <c r="K294" s="5"/>
      <c r="L294" s="5"/>
      <c r="M294" s="5"/>
      <c r="N294" s="5"/>
      <c r="O294" s="5"/>
      <c r="P294" s="5"/>
      <c r="Q294" s="5"/>
      <c r="R294" s="5"/>
      <c r="S294" s="5"/>
      <c r="T294" s="37"/>
      <c r="U294" s="37">
        <f t="shared" si="92"/>
        <v>0</v>
      </c>
      <c r="V294" s="37" t="e">
        <f t="shared" si="93"/>
        <v>#DIV/0!</v>
      </c>
      <c r="W294" s="37"/>
      <c r="X294" s="37">
        <f t="shared" si="94"/>
        <v>0</v>
      </c>
      <c r="Y294" s="37">
        <f t="shared" si="95"/>
        <v>0</v>
      </c>
      <c r="Z294" s="37">
        <f t="shared" si="96"/>
        <v>0</v>
      </c>
      <c r="AA294" s="37">
        <f t="shared" si="97"/>
        <v>0</v>
      </c>
      <c r="AB294" s="37">
        <f t="shared" si="98"/>
        <v>0</v>
      </c>
      <c r="AC294" s="37">
        <f t="shared" si="99"/>
        <v>0</v>
      </c>
      <c r="AD294" s="37">
        <f t="shared" si="100"/>
        <v>0</v>
      </c>
      <c r="AE294" s="37">
        <f t="shared" si="101"/>
        <v>0</v>
      </c>
      <c r="AF294" s="37">
        <f t="shared" si="102"/>
        <v>0</v>
      </c>
      <c r="AG294" s="37">
        <f t="shared" si="103"/>
        <v>0</v>
      </c>
      <c r="AH294" s="37">
        <f t="shared" si="104"/>
        <v>0</v>
      </c>
      <c r="AI294" s="37">
        <f t="shared" si="105"/>
        <v>0</v>
      </c>
      <c r="AJ294" s="37">
        <f t="shared" si="106"/>
        <v>0</v>
      </c>
      <c r="AK294" s="37">
        <f t="shared" si="107"/>
        <v>0</v>
      </c>
      <c r="AL294" s="37">
        <f t="shared" si="108"/>
        <v>0</v>
      </c>
      <c r="AM294" s="37">
        <f t="shared" si="109"/>
        <v>0</v>
      </c>
      <c r="AN294" s="37">
        <f t="shared" si="110"/>
        <v>0</v>
      </c>
      <c r="AO294" s="37">
        <f t="shared" si="111"/>
        <v>0</v>
      </c>
      <c r="AP294" s="37"/>
      <c r="AQ294" s="37"/>
      <c r="AR294" s="37">
        <f t="shared" si="112"/>
        <v>0</v>
      </c>
      <c r="AS294" s="37">
        <f t="shared" si="113"/>
        <v>0</v>
      </c>
      <c r="AT294" s="37" t="str">
        <f t="shared" si="114"/>
        <v>Correct</v>
      </c>
      <c r="AU294" s="37"/>
      <c r="AV294" s="120">
        <f>IFERROR(VLOOKUP(Table1[RespondentID],'All Data'!$A$3:$CO$999,87,FALSE),"unknown")</f>
        <v>0</v>
      </c>
      <c r="AW294" s="120">
        <f>IFERROR(VLOOKUP(Table1[RespondentID],'All Data'!$A$3:$CO$999,88,FALSE),"unknown")</f>
        <v>0</v>
      </c>
      <c r="AX294" s="120">
        <f>IFERROR(VLOOKUP(Table1[RespondentID],'All Data'!$A$3:$CO$999,89,FALSE),"unknown")</f>
        <v>0</v>
      </c>
      <c r="AY294" s="120" t="str">
        <f>IFERROR(VLOOKUP(Table1[RespondentID],'All Data'!$A$3:$CO$999,90,FALSE),"unknown")</f>
        <v>Garden City South, 11530</v>
      </c>
      <c r="AZ294" s="120">
        <f>IFERROR(VLOOKUP(Table1[RespondentID],'All Data'!$A$3:$CO$999,91,FALSE),"unknown")</f>
        <v>0</v>
      </c>
      <c r="BA294" s="120">
        <f>IFERROR(VLOOKUP(Table1[RespondentID],'All Data'!$A$3:$CO$999,92,FALSE),"unknown")</f>
        <v>0</v>
      </c>
      <c r="BB294" s="120">
        <f>IFERROR(VLOOKUP(Table1[RespondentID],'All Data'!$A$3:$CO$999,93,FALSE),"unknown")</f>
        <v>0</v>
      </c>
      <c r="BC294" s="120">
        <f>IFERROR(VLOOKUP(Table1[RespondentID],'All Data'!$A$3:$CW$999,94,FALSE),"unknown")</f>
        <v>0</v>
      </c>
      <c r="BD294" s="120">
        <f>IFERROR(VLOOKUP(Table1[RespondentID],'All Data'!$A$3:$CW$999,95,FALSE),"unknown")</f>
        <v>0</v>
      </c>
      <c r="BE294" s="120">
        <f>IFERROR(VLOOKUP(Table1[RespondentID],'All Data'!$A$3:$CW$999,96,FALSE),"unknown")</f>
        <v>0</v>
      </c>
      <c r="BF294" s="120">
        <f>IFERROR(VLOOKUP(Table1[RespondentID],'All Data'!$A$3:$CW$999,97,FALSE),"unknown")</f>
        <v>0</v>
      </c>
      <c r="BG294" s="120">
        <f>IFERROR(VLOOKUP(Table1[RespondentID],'All Data'!$A$3:$CW$999,98,FALSE),"unknown")</f>
        <v>0</v>
      </c>
      <c r="BH294" s="120">
        <f>IFERROR(VLOOKUP(Table1[RespondentID],'All Data'!$A$3:$CW$999,99,FALSE),"unknown")</f>
        <v>0</v>
      </c>
    </row>
    <row r="295" spans="1:60">
      <c r="A295" s="5">
        <v>18016030783</v>
      </c>
      <c r="B295" s="5"/>
      <c r="C295" s="5" t="s">
        <v>50</v>
      </c>
      <c r="D295" s="5"/>
      <c r="E295" s="5"/>
      <c r="F295" s="5"/>
      <c r="G295" s="5"/>
      <c r="H295" s="5"/>
      <c r="I295" s="5"/>
      <c r="J295" s="5"/>
      <c r="K295" s="5"/>
      <c r="L295" s="5"/>
      <c r="M295" s="5"/>
      <c r="N295" s="5" t="s">
        <v>24</v>
      </c>
      <c r="O295" s="5"/>
      <c r="P295" s="5" t="s">
        <v>60</v>
      </c>
      <c r="Q295" s="5" t="s">
        <v>61</v>
      </c>
      <c r="R295" s="5"/>
      <c r="S295" s="5" t="s">
        <v>63</v>
      </c>
      <c r="T295" s="37"/>
      <c r="U295" s="37">
        <f t="shared" si="92"/>
        <v>5</v>
      </c>
      <c r="V295" s="37">
        <f t="shared" si="93"/>
        <v>0.6</v>
      </c>
      <c r="W295" s="37"/>
      <c r="X295" s="37">
        <f t="shared" si="94"/>
        <v>0</v>
      </c>
      <c r="Y295" s="37">
        <f t="shared" si="95"/>
        <v>0.6</v>
      </c>
      <c r="Z295" s="37">
        <f t="shared" si="96"/>
        <v>0</v>
      </c>
      <c r="AA295" s="37">
        <f t="shared" si="97"/>
        <v>0</v>
      </c>
      <c r="AB295" s="37">
        <f t="shared" si="98"/>
        <v>0</v>
      </c>
      <c r="AC295" s="37">
        <f t="shared" si="99"/>
        <v>0</v>
      </c>
      <c r="AD295" s="37">
        <f t="shared" si="100"/>
        <v>0</v>
      </c>
      <c r="AE295" s="37">
        <f t="shared" si="101"/>
        <v>0</v>
      </c>
      <c r="AF295" s="37">
        <f t="shared" si="102"/>
        <v>0</v>
      </c>
      <c r="AG295" s="37">
        <f t="shared" si="103"/>
        <v>0</v>
      </c>
      <c r="AH295" s="37">
        <f t="shared" si="104"/>
        <v>0</v>
      </c>
      <c r="AI295" s="37">
        <f t="shared" si="105"/>
        <v>0</v>
      </c>
      <c r="AJ295" s="37">
        <f t="shared" si="106"/>
        <v>0.6</v>
      </c>
      <c r="AK295" s="37">
        <f t="shared" si="107"/>
        <v>0</v>
      </c>
      <c r="AL295" s="37">
        <f t="shared" si="108"/>
        <v>0.6</v>
      </c>
      <c r="AM295" s="37">
        <f t="shared" si="109"/>
        <v>0.6</v>
      </c>
      <c r="AN295" s="37">
        <f t="shared" si="110"/>
        <v>0</v>
      </c>
      <c r="AO295" s="37">
        <f t="shared" si="111"/>
        <v>0.6</v>
      </c>
      <c r="AP295" s="37"/>
      <c r="AQ295" s="37"/>
      <c r="AR295" s="37">
        <f t="shared" si="112"/>
        <v>3</v>
      </c>
      <c r="AS295" s="37">
        <f t="shared" si="113"/>
        <v>5</v>
      </c>
      <c r="AT295" s="37" t="str">
        <f t="shared" si="114"/>
        <v>Correct</v>
      </c>
      <c r="AU295" s="37"/>
      <c r="AV295" s="120" t="str">
        <f>IFERROR(VLOOKUP(Table1[RespondentID],'All Data'!$A$3:$CO$999,87,FALSE),"unknown")</f>
        <v>Woman</v>
      </c>
      <c r="AW295" s="120">
        <f>IFERROR(VLOOKUP(Table1[RespondentID],'All Data'!$A$3:$CO$999,88,FALSE),"unknown")</f>
        <v>57</v>
      </c>
      <c r="AX295" s="120" t="str">
        <f>IFERROR(VLOOKUP(Table1[RespondentID],'All Data'!$A$3:$CO$999,89,FALSE),"unknown")</f>
        <v>Queens</v>
      </c>
      <c r="AY295" s="120">
        <f>IFERROR(VLOOKUP(Table1[RespondentID],'All Data'!$A$3:$CO$999,90,FALSE),"unknown")</f>
        <v>10001</v>
      </c>
      <c r="AZ295" s="120" t="str">
        <f>IFERROR(VLOOKUP(Table1[RespondentID],'All Data'!$A$3:$CO$999,91,FALSE),"unknown")</f>
        <v>White</v>
      </c>
      <c r="BA295" s="120" t="str">
        <f>IFERROR(VLOOKUP(Table1[RespondentID],'All Data'!$A$3:$CO$999,92,FALSE),"unknown")</f>
        <v>Not Hispanic or Latino</v>
      </c>
      <c r="BB295" s="120" t="str">
        <f>IFERROR(VLOOKUP(Table1[RespondentID],'All Data'!$A$3:$CO$999,93,FALSE),"unknown")</f>
        <v>English, Haitian Creole</v>
      </c>
      <c r="BC295" s="120" t="str">
        <f>IFERROR(VLOOKUP(Table1[RespondentID],'All Data'!$A$3:$CW$999,94,FALSE),"unknown")</f>
        <v>$35,000 to $49,999</v>
      </c>
      <c r="BD295" s="120" t="str">
        <f>IFERROR(VLOOKUP(Table1[RespondentID],'All Data'!$A$3:$CW$999,95,FALSE),"unknown")</f>
        <v>College graduate</v>
      </c>
      <c r="BE295" s="120" t="str">
        <f>IFERROR(VLOOKUP(Table1[RespondentID],'All Data'!$A$3:$CW$999,96,FALSE),"unknown")</f>
        <v>Employed for wages</v>
      </c>
      <c r="BF295" s="120" t="str">
        <f>IFERROR(VLOOKUP(Table1[RespondentID],'All Data'!$A$3:$CW$999,97,FALSE),"unknown")</f>
        <v>Yes</v>
      </c>
      <c r="BG295" s="120" t="str">
        <f>IFERROR(VLOOKUP(Table1[RespondentID],'All Data'!$A$3:$CW$999,98,FALSE),"unknown")</f>
        <v>Medicaid, Medicare</v>
      </c>
      <c r="BH295" s="120" t="str">
        <f>IFERROR(VLOOKUP(Table1[RespondentID],'All Data'!$A$3:$CW$999,99,FALSE),"unknown")</f>
        <v>Yes</v>
      </c>
    </row>
    <row r="296" spans="1:60">
      <c r="A296" s="5">
        <v>18016029769</v>
      </c>
      <c r="B296" s="5"/>
      <c r="C296" s="5"/>
      <c r="D296" s="5"/>
      <c r="E296" s="5"/>
      <c r="F296" s="5"/>
      <c r="G296" s="5"/>
      <c r="H296" s="5"/>
      <c r="I296" s="5"/>
      <c r="J296" s="5"/>
      <c r="K296" s="5"/>
      <c r="L296" s="5"/>
      <c r="M296" s="5"/>
      <c r="N296" s="5"/>
      <c r="O296" s="5"/>
      <c r="P296" s="5" t="s">
        <v>60</v>
      </c>
      <c r="Q296" s="5"/>
      <c r="R296" s="5"/>
      <c r="S296" s="5"/>
      <c r="T296" s="37"/>
      <c r="U296" s="37">
        <f t="shared" si="92"/>
        <v>1</v>
      </c>
      <c r="V296" s="37">
        <f t="shared" si="93"/>
        <v>3</v>
      </c>
      <c r="W296" s="37"/>
      <c r="X296" s="37">
        <f t="shared" si="94"/>
        <v>0</v>
      </c>
      <c r="Y296" s="37">
        <f t="shared" si="95"/>
        <v>0</v>
      </c>
      <c r="Z296" s="37">
        <f t="shared" si="96"/>
        <v>0</v>
      </c>
      <c r="AA296" s="37">
        <f t="shared" si="97"/>
        <v>0</v>
      </c>
      <c r="AB296" s="37">
        <f t="shared" si="98"/>
        <v>0</v>
      </c>
      <c r="AC296" s="37">
        <f t="shared" si="99"/>
        <v>0</v>
      </c>
      <c r="AD296" s="37">
        <f t="shared" si="100"/>
        <v>0</v>
      </c>
      <c r="AE296" s="37">
        <f t="shared" si="101"/>
        <v>0</v>
      </c>
      <c r="AF296" s="37">
        <f t="shared" si="102"/>
        <v>0</v>
      </c>
      <c r="AG296" s="37">
        <f t="shared" si="103"/>
        <v>0</v>
      </c>
      <c r="AH296" s="37">
        <f t="shared" si="104"/>
        <v>0</v>
      </c>
      <c r="AI296" s="37">
        <f t="shared" si="105"/>
        <v>0</v>
      </c>
      <c r="AJ296" s="37">
        <f t="shared" si="106"/>
        <v>0</v>
      </c>
      <c r="AK296" s="37">
        <f t="shared" si="107"/>
        <v>0</v>
      </c>
      <c r="AL296" s="37">
        <f t="shared" si="108"/>
        <v>1</v>
      </c>
      <c r="AM296" s="37">
        <f t="shared" si="109"/>
        <v>0</v>
      </c>
      <c r="AN296" s="37">
        <f t="shared" si="110"/>
        <v>0</v>
      </c>
      <c r="AO296" s="37">
        <f t="shared" si="111"/>
        <v>0</v>
      </c>
      <c r="AP296" s="37"/>
      <c r="AQ296" s="37"/>
      <c r="AR296" s="37">
        <f t="shared" si="112"/>
        <v>1</v>
      </c>
      <c r="AS296" s="37">
        <f t="shared" si="113"/>
        <v>1</v>
      </c>
      <c r="AT296" s="37" t="str">
        <f t="shared" si="114"/>
        <v>Correct</v>
      </c>
      <c r="AU296" s="37"/>
      <c r="AV296" s="120" t="str">
        <f>IFERROR(VLOOKUP(Table1[RespondentID],'All Data'!$A$3:$CO$999,87,FALSE),"unknown")</f>
        <v>Woman</v>
      </c>
      <c r="AW296" s="120">
        <f>IFERROR(VLOOKUP(Table1[RespondentID],'All Data'!$A$3:$CO$999,88,FALSE),"unknown")</f>
        <v>25</v>
      </c>
      <c r="AX296" s="120" t="str">
        <f>IFERROR(VLOOKUP(Table1[RespondentID],'All Data'!$A$3:$CO$999,89,FALSE),"unknown")</f>
        <v>Queens</v>
      </c>
      <c r="AY296" s="120">
        <f>IFERROR(VLOOKUP(Table1[RespondentID],'All Data'!$A$3:$CO$999,90,FALSE),"unknown")</f>
        <v>10001</v>
      </c>
      <c r="AZ296" s="120" t="str">
        <f>IFERROR(VLOOKUP(Table1[RespondentID],'All Data'!$A$3:$CO$999,91,FALSE),"unknown")</f>
        <v>White</v>
      </c>
      <c r="BA296" s="120" t="str">
        <f>IFERROR(VLOOKUP(Table1[RespondentID],'All Data'!$A$3:$CO$999,92,FALSE),"unknown")</f>
        <v>Hispanic or Latino</v>
      </c>
      <c r="BB296" s="120" t="str">
        <f>IFERROR(VLOOKUP(Table1[RespondentID],'All Data'!$A$3:$CO$999,93,FALSE),"unknown")</f>
        <v>English</v>
      </c>
      <c r="BC296" s="120" t="str">
        <f>IFERROR(VLOOKUP(Table1[RespondentID],'All Data'!$A$3:$CW$999,94,FALSE),"unknown")</f>
        <v>$35,000 to $49,999</v>
      </c>
      <c r="BD296" s="120" t="str">
        <f>IFERROR(VLOOKUP(Table1[RespondentID],'All Data'!$A$3:$CW$999,95,FALSE),"unknown")</f>
        <v>Some high school</v>
      </c>
      <c r="BE296" s="120" t="str">
        <f>IFERROR(VLOOKUP(Table1[RespondentID],'All Data'!$A$3:$CW$999,96,FALSE),"unknown")</f>
        <v>Employed for wages</v>
      </c>
      <c r="BF296" s="120" t="str">
        <f>IFERROR(VLOOKUP(Table1[RespondentID],'All Data'!$A$3:$CW$999,97,FALSE),"unknown")</f>
        <v>Yes</v>
      </c>
      <c r="BG296" s="120" t="str">
        <f>IFERROR(VLOOKUP(Table1[RespondentID],'All Data'!$A$3:$CW$999,98,FALSE),"unknown")</f>
        <v>Medicaid</v>
      </c>
      <c r="BH296" s="120" t="str">
        <f>IFERROR(VLOOKUP(Table1[RespondentID],'All Data'!$A$3:$CW$999,99,FALSE),"unknown")</f>
        <v>Yes</v>
      </c>
    </row>
    <row r="297" spans="1:60">
      <c r="A297" s="5">
        <v>18016029289</v>
      </c>
      <c r="B297" s="5"/>
      <c r="C297" s="5"/>
      <c r="D297" s="5"/>
      <c r="E297" s="5"/>
      <c r="F297" s="5"/>
      <c r="G297" s="5"/>
      <c r="H297" s="5" t="s">
        <v>54</v>
      </c>
      <c r="I297" s="5"/>
      <c r="J297" s="5"/>
      <c r="K297" s="5"/>
      <c r="L297" s="5"/>
      <c r="M297" s="5"/>
      <c r="N297" s="5" t="s">
        <v>24</v>
      </c>
      <c r="O297" s="5"/>
      <c r="P297" s="5"/>
      <c r="Q297" s="5"/>
      <c r="R297" s="5"/>
      <c r="S297" s="5" t="s">
        <v>63</v>
      </c>
      <c r="T297" s="37"/>
      <c r="U297" s="37">
        <f t="shared" si="92"/>
        <v>3</v>
      </c>
      <c r="V297" s="37">
        <f t="shared" si="93"/>
        <v>1</v>
      </c>
      <c r="W297" s="37"/>
      <c r="X297" s="37">
        <f t="shared" si="94"/>
        <v>0</v>
      </c>
      <c r="Y297" s="37">
        <f t="shared" si="95"/>
        <v>0</v>
      </c>
      <c r="Z297" s="37">
        <f t="shared" si="96"/>
        <v>0</v>
      </c>
      <c r="AA297" s="37">
        <f t="shared" si="97"/>
        <v>0</v>
      </c>
      <c r="AB297" s="37">
        <f t="shared" si="98"/>
        <v>0</v>
      </c>
      <c r="AC297" s="37">
        <f t="shared" si="99"/>
        <v>0</v>
      </c>
      <c r="AD297" s="37">
        <f t="shared" si="100"/>
        <v>1</v>
      </c>
      <c r="AE297" s="37">
        <f t="shared" si="101"/>
        <v>0</v>
      </c>
      <c r="AF297" s="37">
        <f t="shared" si="102"/>
        <v>0</v>
      </c>
      <c r="AG297" s="37">
        <f t="shared" si="103"/>
        <v>0</v>
      </c>
      <c r="AH297" s="37">
        <f t="shared" si="104"/>
        <v>0</v>
      </c>
      <c r="AI297" s="37">
        <f t="shared" si="105"/>
        <v>0</v>
      </c>
      <c r="AJ297" s="37">
        <f t="shared" si="106"/>
        <v>1</v>
      </c>
      <c r="AK297" s="37">
        <f t="shared" si="107"/>
        <v>0</v>
      </c>
      <c r="AL297" s="37">
        <f t="shared" si="108"/>
        <v>0</v>
      </c>
      <c r="AM297" s="37">
        <f t="shared" si="109"/>
        <v>0</v>
      </c>
      <c r="AN297" s="37">
        <f t="shared" si="110"/>
        <v>0</v>
      </c>
      <c r="AO297" s="37">
        <f t="shared" si="111"/>
        <v>1</v>
      </c>
      <c r="AP297" s="37"/>
      <c r="AQ297" s="37"/>
      <c r="AR297" s="37">
        <f t="shared" si="112"/>
        <v>3</v>
      </c>
      <c r="AS297" s="37">
        <f t="shared" si="113"/>
        <v>3</v>
      </c>
      <c r="AT297" s="37" t="str">
        <f t="shared" si="114"/>
        <v>Correct</v>
      </c>
      <c r="AU297" s="37"/>
      <c r="AV297" s="120" t="str">
        <f>IFERROR(VLOOKUP(Table1[RespondentID],'All Data'!$A$3:$CO$999,87,FALSE),"unknown")</f>
        <v>Woman</v>
      </c>
      <c r="AW297" s="120">
        <f>IFERROR(VLOOKUP(Table1[RespondentID],'All Data'!$A$3:$CO$999,88,FALSE),"unknown")</f>
        <v>0</v>
      </c>
      <c r="AX297" s="120" t="str">
        <f>IFERROR(VLOOKUP(Table1[RespondentID],'All Data'!$A$3:$CO$999,89,FALSE),"unknown")</f>
        <v>Suffolk</v>
      </c>
      <c r="AY297" s="120" t="str">
        <f>IFERROR(VLOOKUP(Table1[RespondentID],'All Data'!$A$3:$CO$999,90,FALSE),"unknown")</f>
        <v>Amagansett, 11930</v>
      </c>
      <c r="AZ297" s="120" t="str">
        <f>IFERROR(VLOOKUP(Table1[RespondentID],'All Data'!$A$3:$CO$999,91,FALSE),"unknown")</f>
        <v>White</v>
      </c>
      <c r="BA297" s="120" t="str">
        <f>IFERROR(VLOOKUP(Table1[RespondentID],'All Data'!$A$3:$CO$999,92,FALSE),"unknown")</f>
        <v>Hispanic or Latino</v>
      </c>
      <c r="BB297" s="120" t="str">
        <f>IFERROR(VLOOKUP(Table1[RespondentID],'All Data'!$A$3:$CO$999,93,FALSE),"unknown")</f>
        <v>English</v>
      </c>
      <c r="BC297" s="120" t="str">
        <f>IFERROR(VLOOKUP(Table1[RespondentID],'All Data'!$A$3:$CW$999,94,FALSE),"unknown")</f>
        <v>$35,000 to $49,999</v>
      </c>
      <c r="BD297" s="120" t="str">
        <f>IFERROR(VLOOKUP(Table1[RespondentID],'All Data'!$A$3:$CW$999,95,FALSE),"unknown")</f>
        <v>Graduate school</v>
      </c>
      <c r="BE297" s="120" t="str">
        <f>IFERROR(VLOOKUP(Table1[RespondentID],'All Data'!$A$3:$CW$999,96,FALSE),"unknown")</f>
        <v>Employed for wages</v>
      </c>
      <c r="BF297" s="120" t="str">
        <f>IFERROR(VLOOKUP(Table1[RespondentID],'All Data'!$A$3:$CW$999,97,FALSE),"unknown")</f>
        <v>Yes</v>
      </c>
      <c r="BG297" s="120" t="str">
        <f>IFERROR(VLOOKUP(Table1[RespondentID],'All Data'!$A$3:$CW$999,98,FALSE),"unknown")</f>
        <v>Medicaid</v>
      </c>
      <c r="BH297" s="120" t="str">
        <f>IFERROR(VLOOKUP(Table1[RespondentID],'All Data'!$A$3:$CW$999,99,FALSE),"unknown")</f>
        <v>Yes</v>
      </c>
    </row>
    <row r="298" spans="1:60">
      <c r="A298" s="5">
        <v>18016028237</v>
      </c>
      <c r="B298" s="5"/>
      <c r="C298" s="5"/>
      <c r="D298" s="5" t="s">
        <v>51</v>
      </c>
      <c r="E298" s="5"/>
      <c r="F298" s="5"/>
      <c r="G298" s="5"/>
      <c r="H298" s="5" t="s">
        <v>54</v>
      </c>
      <c r="I298" s="5"/>
      <c r="J298" s="5"/>
      <c r="K298" s="5"/>
      <c r="L298" s="5" t="s">
        <v>58</v>
      </c>
      <c r="M298" s="5"/>
      <c r="N298" s="5"/>
      <c r="O298" s="5"/>
      <c r="P298" s="5"/>
      <c r="Q298" s="5"/>
      <c r="R298" s="5"/>
      <c r="S298" s="5"/>
      <c r="T298" s="37"/>
      <c r="U298" s="37">
        <f t="shared" si="92"/>
        <v>3</v>
      </c>
      <c r="V298" s="37">
        <f t="shared" si="93"/>
        <v>1</v>
      </c>
      <c r="W298" s="37"/>
      <c r="X298" s="37">
        <f t="shared" si="94"/>
        <v>0</v>
      </c>
      <c r="Y298" s="37">
        <f t="shared" si="95"/>
        <v>0</v>
      </c>
      <c r="Z298" s="37">
        <f t="shared" si="96"/>
        <v>1</v>
      </c>
      <c r="AA298" s="37">
        <f t="shared" si="97"/>
        <v>0</v>
      </c>
      <c r="AB298" s="37">
        <f t="shared" si="98"/>
        <v>0</v>
      </c>
      <c r="AC298" s="37">
        <f t="shared" si="99"/>
        <v>0</v>
      </c>
      <c r="AD298" s="37">
        <f t="shared" si="100"/>
        <v>1</v>
      </c>
      <c r="AE298" s="37">
        <f t="shared" si="101"/>
        <v>0</v>
      </c>
      <c r="AF298" s="37">
        <f t="shared" si="102"/>
        <v>0</v>
      </c>
      <c r="AG298" s="37">
        <f t="shared" si="103"/>
        <v>0</v>
      </c>
      <c r="AH298" s="37">
        <f t="shared" si="104"/>
        <v>1</v>
      </c>
      <c r="AI298" s="37">
        <f t="shared" si="105"/>
        <v>0</v>
      </c>
      <c r="AJ298" s="37">
        <f t="shared" si="106"/>
        <v>0</v>
      </c>
      <c r="AK298" s="37">
        <f t="shared" si="107"/>
        <v>0</v>
      </c>
      <c r="AL298" s="37">
        <f t="shared" si="108"/>
        <v>0</v>
      </c>
      <c r="AM298" s="37">
        <f t="shared" si="109"/>
        <v>0</v>
      </c>
      <c r="AN298" s="37">
        <f t="shared" si="110"/>
        <v>0</v>
      </c>
      <c r="AO298" s="37">
        <f t="shared" si="111"/>
        <v>0</v>
      </c>
      <c r="AP298" s="37"/>
      <c r="AQ298" s="37"/>
      <c r="AR298" s="37">
        <f t="shared" si="112"/>
        <v>3</v>
      </c>
      <c r="AS298" s="37">
        <f t="shared" si="113"/>
        <v>3</v>
      </c>
      <c r="AT298" s="37" t="str">
        <f t="shared" si="114"/>
        <v>Correct</v>
      </c>
      <c r="AU298" s="37"/>
      <c r="AV298" s="120" t="str">
        <f>IFERROR(VLOOKUP(Table1[RespondentID],'All Data'!$A$3:$CO$999,87,FALSE),"unknown")</f>
        <v>Woman</v>
      </c>
      <c r="AW298" s="120">
        <f>IFERROR(VLOOKUP(Table1[RespondentID],'All Data'!$A$3:$CO$999,88,FALSE),"unknown")</f>
        <v>29</v>
      </c>
      <c r="AX298" s="120" t="str">
        <f>IFERROR(VLOOKUP(Table1[RespondentID],'All Data'!$A$3:$CO$999,89,FALSE),"unknown")</f>
        <v>Nassau</v>
      </c>
      <c r="AY298" s="120" t="str">
        <f>IFERROR(VLOOKUP(Table1[RespondentID],'All Data'!$A$3:$CO$999,90,FALSE),"unknown")</f>
        <v>Baxter Estates, 11050</v>
      </c>
      <c r="AZ298" s="120" t="str">
        <f>IFERROR(VLOOKUP(Table1[RespondentID],'All Data'!$A$3:$CO$999,91,FALSE),"unknown")</f>
        <v>White</v>
      </c>
      <c r="BA298" s="120" t="str">
        <f>IFERROR(VLOOKUP(Table1[RespondentID],'All Data'!$A$3:$CO$999,92,FALSE),"unknown")</f>
        <v>Not Hispanic or Latino</v>
      </c>
      <c r="BB298" s="120" t="str">
        <f>IFERROR(VLOOKUP(Table1[RespondentID],'All Data'!$A$3:$CO$999,93,FALSE),"unknown")</f>
        <v>English</v>
      </c>
      <c r="BC298" s="120" t="str">
        <f>IFERROR(VLOOKUP(Table1[RespondentID],'All Data'!$A$3:$CW$999,94,FALSE),"unknown")</f>
        <v>$75,000 to $125,000</v>
      </c>
      <c r="BD298" s="120" t="str">
        <f>IFERROR(VLOOKUP(Table1[RespondentID],'All Data'!$A$3:$CW$999,95,FALSE),"unknown")</f>
        <v>Some college</v>
      </c>
      <c r="BE298" s="120" t="str">
        <f>IFERROR(VLOOKUP(Table1[RespondentID],'All Data'!$A$3:$CW$999,96,FALSE),"unknown")</f>
        <v>Employed for wages</v>
      </c>
      <c r="BF298" s="120" t="str">
        <f>IFERROR(VLOOKUP(Table1[RespondentID],'All Data'!$A$3:$CW$999,97,FALSE),"unknown")</f>
        <v>Yes</v>
      </c>
      <c r="BG298" s="120" t="str">
        <f>IFERROR(VLOOKUP(Table1[RespondentID],'All Data'!$A$3:$CW$999,98,FALSE),"unknown")</f>
        <v>Medicaid</v>
      </c>
      <c r="BH298" s="120" t="str">
        <f>IFERROR(VLOOKUP(Table1[RespondentID],'All Data'!$A$3:$CW$999,99,FALSE),"unknown")</f>
        <v>Yes</v>
      </c>
    </row>
    <row r="299" spans="1:60">
      <c r="A299" s="5">
        <v>18015976959</v>
      </c>
      <c r="B299" s="5"/>
      <c r="C299" s="5"/>
      <c r="D299" s="5"/>
      <c r="E299" s="5"/>
      <c r="F299" s="5"/>
      <c r="G299" s="5"/>
      <c r="H299" s="5"/>
      <c r="I299" s="5"/>
      <c r="J299" s="5"/>
      <c r="K299" s="5" t="s">
        <v>57</v>
      </c>
      <c r="L299" s="5"/>
      <c r="M299" s="5"/>
      <c r="N299" s="5"/>
      <c r="O299" s="5"/>
      <c r="P299" s="5"/>
      <c r="Q299" s="5" t="s">
        <v>61</v>
      </c>
      <c r="R299" s="5"/>
      <c r="S299" s="5" t="s">
        <v>63</v>
      </c>
      <c r="T299" s="37"/>
      <c r="U299" s="37">
        <f t="shared" si="92"/>
        <v>3</v>
      </c>
      <c r="V299" s="37">
        <f t="shared" si="93"/>
        <v>1</v>
      </c>
      <c r="W299" s="37"/>
      <c r="X299" s="37">
        <f t="shared" si="94"/>
        <v>0</v>
      </c>
      <c r="Y299" s="37">
        <f t="shared" si="95"/>
        <v>0</v>
      </c>
      <c r="Z299" s="37">
        <f t="shared" si="96"/>
        <v>0</v>
      </c>
      <c r="AA299" s="37">
        <f t="shared" si="97"/>
        <v>0</v>
      </c>
      <c r="AB299" s="37">
        <f t="shared" si="98"/>
        <v>0</v>
      </c>
      <c r="AC299" s="37">
        <f t="shared" si="99"/>
        <v>0</v>
      </c>
      <c r="AD299" s="37">
        <f t="shared" si="100"/>
        <v>0</v>
      </c>
      <c r="AE299" s="37">
        <f t="shared" si="101"/>
        <v>0</v>
      </c>
      <c r="AF299" s="37">
        <f t="shared" si="102"/>
        <v>0</v>
      </c>
      <c r="AG299" s="37">
        <f t="shared" si="103"/>
        <v>1</v>
      </c>
      <c r="AH299" s="37">
        <f t="shared" si="104"/>
        <v>0</v>
      </c>
      <c r="AI299" s="37">
        <f t="shared" si="105"/>
        <v>0</v>
      </c>
      <c r="AJ299" s="37">
        <f t="shared" si="106"/>
        <v>0</v>
      </c>
      <c r="AK299" s="37">
        <f t="shared" si="107"/>
        <v>0</v>
      </c>
      <c r="AL299" s="37">
        <f t="shared" si="108"/>
        <v>0</v>
      </c>
      <c r="AM299" s="37">
        <f t="shared" si="109"/>
        <v>1</v>
      </c>
      <c r="AN299" s="37">
        <f t="shared" si="110"/>
        <v>0</v>
      </c>
      <c r="AO299" s="37">
        <f t="shared" si="111"/>
        <v>1</v>
      </c>
      <c r="AP299" s="37"/>
      <c r="AQ299" s="37"/>
      <c r="AR299" s="37">
        <f t="shared" si="112"/>
        <v>3</v>
      </c>
      <c r="AS299" s="37">
        <f t="shared" si="113"/>
        <v>3</v>
      </c>
      <c r="AT299" s="37" t="str">
        <f t="shared" si="114"/>
        <v>Correct</v>
      </c>
      <c r="AU299" s="37"/>
      <c r="AV299" s="120" t="str">
        <f>IFERROR(VLOOKUP(Table1[RespondentID],'All Data'!$A$3:$CO$999,87,FALSE),"unknown")</f>
        <v>Woman</v>
      </c>
      <c r="AW299" s="120">
        <f>IFERROR(VLOOKUP(Table1[RespondentID],'All Data'!$A$3:$CO$999,88,FALSE),"unknown")</f>
        <v>23</v>
      </c>
      <c r="AX299" s="120" t="str">
        <f>IFERROR(VLOOKUP(Table1[RespondentID],'All Data'!$A$3:$CO$999,89,FALSE),"unknown")</f>
        <v>Queens</v>
      </c>
      <c r="AY299" s="120">
        <f>IFERROR(VLOOKUP(Table1[RespondentID],'All Data'!$A$3:$CO$999,90,FALSE),"unknown")</f>
        <v>11456</v>
      </c>
      <c r="AZ299" s="120" t="str">
        <f>IFERROR(VLOOKUP(Table1[RespondentID],'All Data'!$A$3:$CO$999,91,FALSE),"unknown")</f>
        <v>White</v>
      </c>
      <c r="BA299" s="120" t="str">
        <f>IFERROR(VLOOKUP(Table1[RespondentID],'All Data'!$A$3:$CO$999,92,FALSE),"unknown")</f>
        <v>Hispanic or Latino</v>
      </c>
      <c r="BB299" s="120" t="str">
        <f>IFERROR(VLOOKUP(Table1[RespondentID],'All Data'!$A$3:$CO$999,93,FALSE),"unknown")</f>
        <v>English</v>
      </c>
      <c r="BC299" s="120" t="str">
        <f>IFERROR(VLOOKUP(Table1[RespondentID],'All Data'!$A$3:$CW$999,94,FALSE),"unknown")</f>
        <v>$35,000 to $49,999</v>
      </c>
      <c r="BD299" s="120" t="str">
        <f>IFERROR(VLOOKUP(Table1[RespondentID],'All Data'!$A$3:$CW$999,95,FALSE),"unknown")</f>
        <v>College graduate</v>
      </c>
      <c r="BE299" s="120" t="str">
        <f>IFERROR(VLOOKUP(Table1[RespondentID],'All Data'!$A$3:$CW$999,96,FALSE),"unknown")</f>
        <v>Employed for wages</v>
      </c>
      <c r="BF299" s="120" t="str">
        <f>IFERROR(VLOOKUP(Table1[RespondentID],'All Data'!$A$3:$CW$999,97,FALSE),"unknown")</f>
        <v>Yes</v>
      </c>
      <c r="BG299" s="120" t="str">
        <f>IFERROR(VLOOKUP(Table1[RespondentID],'All Data'!$A$3:$CW$999,98,FALSE),"unknown")</f>
        <v>Medicare</v>
      </c>
      <c r="BH299" s="120" t="str">
        <f>IFERROR(VLOOKUP(Table1[RespondentID],'All Data'!$A$3:$CW$999,99,FALSE),"unknown")</f>
        <v>Yes</v>
      </c>
    </row>
    <row r="300" spans="1:60">
      <c r="A300" s="5">
        <v>18015976856</v>
      </c>
      <c r="B300" s="5"/>
      <c r="C300" s="5" t="s">
        <v>50</v>
      </c>
      <c r="D300" s="5"/>
      <c r="E300" s="5"/>
      <c r="F300" s="5"/>
      <c r="G300" s="5"/>
      <c r="H300" s="5"/>
      <c r="I300" s="5"/>
      <c r="J300" s="5"/>
      <c r="K300" s="5"/>
      <c r="L300" s="5"/>
      <c r="M300" s="5"/>
      <c r="N300" s="5" t="s">
        <v>24</v>
      </c>
      <c r="O300" s="5"/>
      <c r="P300" s="5"/>
      <c r="Q300" s="5"/>
      <c r="R300" s="5"/>
      <c r="S300" s="5" t="s">
        <v>63</v>
      </c>
      <c r="T300" s="37"/>
      <c r="U300" s="37">
        <f t="shared" si="92"/>
        <v>3</v>
      </c>
      <c r="V300" s="37">
        <f t="shared" si="93"/>
        <v>1</v>
      </c>
      <c r="W300" s="37"/>
      <c r="X300" s="37">
        <f t="shared" si="94"/>
        <v>0</v>
      </c>
      <c r="Y300" s="37">
        <f t="shared" si="95"/>
        <v>1</v>
      </c>
      <c r="Z300" s="37">
        <f t="shared" si="96"/>
        <v>0</v>
      </c>
      <c r="AA300" s="37">
        <f t="shared" si="97"/>
        <v>0</v>
      </c>
      <c r="AB300" s="37">
        <f t="shared" si="98"/>
        <v>0</v>
      </c>
      <c r="AC300" s="37">
        <f t="shared" si="99"/>
        <v>0</v>
      </c>
      <c r="AD300" s="37">
        <f t="shared" si="100"/>
        <v>0</v>
      </c>
      <c r="AE300" s="37">
        <f t="shared" si="101"/>
        <v>0</v>
      </c>
      <c r="AF300" s="37">
        <f t="shared" si="102"/>
        <v>0</v>
      </c>
      <c r="AG300" s="37">
        <f t="shared" si="103"/>
        <v>0</v>
      </c>
      <c r="AH300" s="37">
        <f t="shared" si="104"/>
        <v>0</v>
      </c>
      <c r="AI300" s="37">
        <f t="shared" si="105"/>
        <v>0</v>
      </c>
      <c r="AJ300" s="37">
        <f t="shared" si="106"/>
        <v>1</v>
      </c>
      <c r="AK300" s="37">
        <f t="shared" si="107"/>
        <v>0</v>
      </c>
      <c r="AL300" s="37">
        <f t="shared" si="108"/>
        <v>0</v>
      </c>
      <c r="AM300" s="37">
        <f t="shared" si="109"/>
        <v>0</v>
      </c>
      <c r="AN300" s="37">
        <f t="shared" si="110"/>
        <v>0</v>
      </c>
      <c r="AO300" s="37">
        <f t="shared" si="111"/>
        <v>1</v>
      </c>
      <c r="AP300" s="37"/>
      <c r="AQ300" s="37"/>
      <c r="AR300" s="37">
        <f t="shared" si="112"/>
        <v>3</v>
      </c>
      <c r="AS300" s="37">
        <f t="shared" si="113"/>
        <v>3</v>
      </c>
      <c r="AT300" s="37" t="str">
        <f t="shared" si="114"/>
        <v>Correct</v>
      </c>
      <c r="AU300" s="37"/>
      <c r="AV300" s="120" t="str">
        <f>IFERROR(VLOOKUP(Table1[RespondentID],'All Data'!$A$3:$CO$999,87,FALSE),"unknown")</f>
        <v>Man</v>
      </c>
      <c r="AW300" s="120">
        <f>IFERROR(VLOOKUP(Table1[RespondentID],'All Data'!$A$3:$CO$999,88,FALSE),"unknown")</f>
        <v>16</v>
      </c>
      <c r="AX300" s="120" t="str">
        <f>IFERROR(VLOOKUP(Table1[RespondentID],'All Data'!$A$3:$CO$999,89,FALSE),"unknown")</f>
        <v>Suffolk</v>
      </c>
      <c r="AY300" s="120" t="str">
        <f>IFERROR(VLOOKUP(Table1[RespondentID],'All Data'!$A$3:$CO$999,90,FALSE),"unknown")</f>
        <v>Head of the Harbor, 11780</v>
      </c>
      <c r="AZ300" s="120" t="str">
        <f>IFERROR(VLOOKUP(Table1[RespondentID],'All Data'!$A$3:$CO$999,91,FALSE),"unknown")</f>
        <v>White</v>
      </c>
      <c r="BA300" s="120" t="str">
        <f>IFERROR(VLOOKUP(Table1[RespondentID],'All Data'!$A$3:$CO$999,92,FALSE),"unknown")</f>
        <v>Hispanic or Latino</v>
      </c>
      <c r="BB300" s="120" t="str">
        <f>IFERROR(VLOOKUP(Table1[RespondentID],'All Data'!$A$3:$CO$999,93,FALSE),"unknown")</f>
        <v>English</v>
      </c>
      <c r="BC300" s="120" t="str">
        <f>IFERROR(VLOOKUP(Table1[RespondentID],'All Data'!$A$3:$CW$999,94,FALSE),"unknown")</f>
        <v>Over $125,000</v>
      </c>
      <c r="BD300" s="120" t="str">
        <f>IFERROR(VLOOKUP(Table1[RespondentID],'All Data'!$A$3:$CW$999,95,FALSE),"unknown")</f>
        <v>Some high school</v>
      </c>
      <c r="BE300" s="120" t="str">
        <f>IFERROR(VLOOKUP(Table1[RespondentID],'All Data'!$A$3:$CW$999,96,FALSE),"unknown")</f>
        <v>Employed for wages</v>
      </c>
      <c r="BF300" s="120" t="str">
        <f>IFERROR(VLOOKUP(Table1[RespondentID],'All Data'!$A$3:$CW$999,97,FALSE),"unknown")</f>
        <v>Yes</v>
      </c>
      <c r="BG300" s="120" t="str">
        <f>IFERROR(VLOOKUP(Table1[RespondentID],'All Data'!$A$3:$CW$999,98,FALSE),"unknown")</f>
        <v>Private/Commercial</v>
      </c>
      <c r="BH300" s="120" t="str">
        <f>IFERROR(VLOOKUP(Table1[RespondentID],'All Data'!$A$3:$CW$999,99,FALSE),"unknown")</f>
        <v>Yes</v>
      </c>
    </row>
    <row r="301" spans="1:60">
      <c r="A301" s="5">
        <v>18015956572</v>
      </c>
      <c r="B301" s="5"/>
      <c r="C301" s="5"/>
      <c r="D301" s="5"/>
      <c r="E301" s="5"/>
      <c r="F301" s="5"/>
      <c r="G301" s="5"/>
      <c r="H301" s="5"/>
      <c r="I301" s="5"/>
      <c r="J301" s="5"/>
      <c r="K301" s="5"/>
      <c r="L301" s="5"/>
      <c r="M301" s="5"/>
      <c r="N301" s="5"/>
      <c r="O301" s="5"/>
      <c r="P301" s="5"/>
      <c r="Q301" s="5"/>
      <c r="R301" s="5"/>
      <c r="S301" s="5" t="s">
        <v>63</v>
      </c>
      <c r="T301" s="37"/>
      <c r="U301" s="37">
        <f t="shared" si="92"/>
        <v>1</v>
      </c>
      <c r="V301" s="37">
        <f t="shared" si="93"/>
        <v>3</v>
      </c>
      <c r="W301" s="37"/>
      <c r="X301" s="37">
        <f t="shared" si="94"/>
        <v>0</v>
      </c>
      <c r="Y301" s="37">
        <f t="shared" si="95"/>
        <v>0</v>
      </c>
      <c r="Z301" s="37">
        <f t="shared" si="96"/>
        <v>0</v>
      </c>
      <c r="AA301" s="37">
        <f t="shared" si="97"/>
        <v>0</v>
      </c>
      <c r="AB301" s="37">
        <f t="shared" si="98"/>
        <v>0</v>
      </c>
      <c r="AC301" s="37">
        <f t="shared" si="99"/>
        <v>0</v>
      </c>
      <c r="AD301" s="37">
        <f t="shared" si="100"/>
        <v>0</v>
      </c>
      <c r="AE301" s="37">
        <f t="shared" si="101"/>
        <v>0</v>
      </c>
      <c r="AF301" s="37">
        <f t="shared" si="102"/>
        <v>0</v>
      </c>
      <c r="AG301" s="37">
        <f t="shared" si="103"/>
        <v>0</v>
      </c>
      <c r="AH301" s="37">
        <f t="shared" si="104"/>
        <v>0</v>
      </c>
      <c r="AI301" s="37">
        <f t="shared" si="105"/>
        <v>0</v>
      </c>
      <c r="AJ301" s="37">
        <f t="shared" si="106"/>
        <v>0</v>
      </c>
      <c r="AK301" s="37">
        <f t="shared" si="107"/>
        <v>0</v>
      </c>
      <c r="AL301" s="37">
        <f t="shared" si="108"/>
        <v>0</v>
      </c>
      <c r="AM301" s="37">
        <f t="shared" si="109"/>
        <v>0</v>
      </c>
      <c r="AN301" s="37">
        <f t="shared" si="110"/>
        <v>0</v>
      </c>
      <c r="AO301" s="37">
        <f t="shared" si="111"/>
        <v>1</v>
      </c>
      <c r="AP301" s="37"/>
      <c r="AQ301" s="37"/>
      <c r="AR301" s="37">
        <f t="shared" si="112"/>
        <v>1</v>
      </c>
      <c r="AS301" s="37">
        <f t="shared" si="113"/>
        <v>1</v>
      </c>
      <c r="AT301" s="37" t="str">
        <f t="shared" si="114"/>
        <v>Correct</v>
      </c>
      <c r="AU301" s="37"/>
      <c r="AV301" s="120" t="str">
        <f>IFERROR(VLOOKUP(Table1[RespondentID],'All Data'!$A$3:$CO$999,87,FALSE),"unknown")</f>
        <v>Man</v>
      </c>
      <c r="AW301" s="120">
        <f>IFERROR(VLOOKUP(Table1[RespondentID],'All Data'!$A$3:$CO$999,88,FALSE),"unknown")</f>
        <v>20</v>
      </c>
      <c r="AX301" s="120" t="str">
        <f>IFERROR(VLOOKUP(Table1[RespondentID],'All Data'!$A$3:$CO$999,89,FALSE),"unknown")</f>
        <v>Nassau</v>
      </c>
      <c r="AY301" s="120" t="str">
        <f>IFERROR(VLOOKUP(Table1[RespondentID],'All Data'!$A$3:$CO$999,90,FALSE),"unknown")</f>
        <v>Hempstead, 11550</v>
      </c>
      <c r="AZ301" s="120" t="str">
        <f>IFERROR(VLOOKUP(Table1[RespondentID],'All Data'!$A$3:$CO$999,91,FALSE),"unknown")</f>
        <v>White</v>
      </c>
      <c r="BA301" s="120" t="str">
        <f>IFERROR(VLOOKUP(Table1[RespondentID],'All Data'!$A$3:$CO$999,92,FALSE),"unknown")</f>
        <v>Not Hispanic or Latino</v>
      </c>
      <c r="BB301" s="120" t="str">
        <f>IFERROR(VLOOKUP(Table1[RespondentID],'All Data'!$A$3:$CO$999,93,FALSE),"unknown")</f>
        <v>Spanish</v>
      </c>
      <c r="BC301" s="120" t="str">
        <f>IFERROR(VLOOKUP(Table1[RespondentID],'All Data'!$A$3:$CW$999,94,FALSE),"unknown")</f>
        <v>$20,000 to $34,999</v>
      </c>
      <c r="BD301" s="120" t="str">
        <f>IFERROR(VLOOKUP(Table1[RespondentID],'All Data'!$A$3:$CW$999,95,FALSE),"unknown")</f>
        <v>Some college</v>
      </c>
      <c r="BE301" s="120" t="str">
        <f>IFERROR(VLOOKUP(Table1[RespondentID],'All Data'!$A$3:$CW$999,96,FALSE),"unknown")</f>
        <v>Student</v>
      </c>
      <c r="BF301" s="120" t="str">
        <f>IFERROR(VLOOKUP(Table1[RespondentID],'All Data'!$A$3:$CW$999,97,FALSE),"unknown")</f>
        <v>Yes</v>
      </c>
      <c r="BG301" s="120" t="str">
        <f>IFERROR(VLOOKUP(Table1[RespondentID],'All Data'!$A$3:$CW$999,98,FALSE),"unknown")</f>
        <v>Medicaid</v>
      </c>
      <c r="BH301" s="120" t="str">
        <f>IFERROR(VLOOKUP(Table1[RespondentID],'All Data'!$A$3:$CW$999,99,FALSE),"unknown")</f>
        <v>Yes</v>
      </c>
    </row>
    <row r="302" spans="1:60">
      <c r="A302" s="5">
        <v>18015878869</v>
      </c>
      <c r="B302" s="5" t="s">
        <v>49</v>
      </c>
      <c r="C302" s="5"/>
      <c r="D302" s="5" t="s">
        <v>51</v>
      </c>
      <c r="E302" s="5"/>
      <c r="F302" s="5"/>
      <c r="G302" s="5" t="s">
        <v>53</v>
      </c>
      <c r="H302" s="5"/>
      <c r="I302" s="5" t="s">
        <v>55</v>
      </c>
      <c r="J302" s="5"/>
      <c r="K302" s="5" t="s">
        <v>57</v>
      </c>
      <c r="L302" s="5"/>
      <c r="M302" s="5" t="s">
        <v>59</v>
      </c>
      <c r="N302" s="5" t="s">
        <v>24</v>
      </c>
      <c r="O302" s="5"/>
      <c r="P302" s="5"/>
      <c r="Q302" s="5"/>
      <c r="R302" s="5" t="s">
        <v>62</v>
      </c>
      <c r="S302" s="5" t="s">
        <v>63</v>
      </c>
      <c r="T302" s="37"/>
      <c r="U302" s="37">
        <f t="shared" si="92"/>
        <v>9</v>
      </c>
      <c r="V302" s="37">
        <f t="shared" si="93"/>
        <v>0.33333333333333331</v>
      </c>
      <c r="W302" s="37"/>
      <c r="X302" s="37">
        <f t="shared" si="94"/>
        <v>0.33333333333333331</v>
      </c>
      <c r="Y302" s="37">
        <f t="shared" si="95"/>
        <v>0</v>
      </c>
      <c r="Z302" s="37">
        <f t="shared" si="96"/>
        <v>0.33333333333333331</v>
      </c>
      <c r="AA302" s="37">
        <f t="shared" si="97"/>
        <v>0</v>
      </c>
      <c r="AB302" s="37">
        <f t="shared" si="98"/>
        <v>0</v>
      </c>
      <c r="AC302" s="37">
        <f t="shared" si="99"/>
        <v>0.33333333333333331</v>
      </c>
      <c r="AD302" s="37">
        <f t="shared" si="100"/>
        <v>0</v>
      </c>
      <c r="AE302" s="37">
        <f t="shared" si="101"/>
        <v>0.33333333333333331</v>
      </c>
      <c r="AF302" s="37">
        <f t="shared" si="102"/>
        <v>0</v>
      </c>
      <c r="AG302" s="37">
        <f t="shared" si="103"/>
        <v>0.33333333333333331</v>
      </c>
      <c r="AH302" s="37">
        <f t="shared" si="104"/>
        <v>0</v>
      </c>
      <c r="AI302" s="37">
        <f t="shared" si="105"/>
        <v>0.33333333333333331</v>
      </c>
      <c r="AJ302" s="37">
        <f t="shared" si="106"/>
        <v>0.33333333333333331</v>
      </c>
      <c r="AK302" s="37">
        <f t="shared" si="107"/>
        <v>0</v>
      </c>
      <c r="AL302" s="37">
        <f t="shared" si="108"/>
        <v>0</v>
      </c>
      <c r="AM302" s="37">
        <f t="shared" si="109"/>
        <v>0</v>
      </c>
      <c r="AN302" s="37">
        <f t="shared" si="110"/>
        <v>0.33333333333333331</v>
      </c>
      <c r="AO302" s="37">
        <f t="shared" si="111"/>
        <v>0.33333333333333331</v>
      </c>
      <c r="AP302" s="37"/>
      <c r="AQ302" s="37"/>
      <c r="AR302" s="37">
        <f t="shared" si="112"/>
        <v>3</v>
      </c>
      <c r="AS302" s="37">
        <f t="shared" si="113"/>
        <v>9</v>
      </c>
      <c r="AT302" s="37" t="str">
        <f t="shared" si="114"/>
        <v>Correct</v>
      </c>
      <c r="AU302" s="37"/>
      <c r="AV302" s="120" t="str">
        <f>IFERROR(VLOOKUP(Table1[RespondentID],'All Data'!$A$3:$CO$999,87,FALSE),"unknown")</f>
        <v>Woman</v>
      </c>
      <c r="AW302" s="120">
        <f>IFERROR(VLOOKUP(Table1[RespondentID],'All Data'!$A$3:$CO$999,88,FALSE),"unknown")</f>
        <v>20</v>
      </c>
      <c r="AX302" s="120" t="str">
        <f>IFERROR(VLOOKUP(Table1[RespondentID],'All Data'!$A$3:$CO$999,89,FALSE),"unknown")</f>
        <v>Nassau</v>
      </c>
      <c r="AY302" s="120" t="str">
        <f>IFERROR(VLOOKUP(Table1[RespondentID],'All Data'!$A$3:$CO$999,90,FALSE),"unknown")</f>
        <v>Freeport, 11520</v>
      </c>
      <c r="AZ302" s="120" t="str">
        <f>IFERROR(VLOOKUP(Table1[RespondentID],'All Data'!$A$3:$CO$999,91,FALSE),"unknown")</f>
        <v>Other (please specify)</v>
      </c>
      <c r="BA302" s="120" t="str">
        <f>IFERROR(VLOOKUP(Table1[RespondentID],'All Data'!$A$3:$CO$999,92,FALSE),"unknown")</f>
        <v>Not Hispanic or Latino</v>
      </c>
      <c r="BB302" s="120" t="str">
        <f>IFERROR(VLOOKUP(Table1[RespondentID],'All Data'!$A$3:$CO$999,93,FALSE),"unknown")</f>
        <v>English, Spanish</v>
      </c>
      <c r="BC302" s="120" t="str">
        <f>IFERROR(VLOOKUP(Table1[RespondentID],'All Data'!$A$3:$CW$999,94,FALSE),"unknown")</f>
        <v>$0-$19,999</v>
      </c>
      <c r="BD302" s="120" t="str">
        <f>IFERROR(VLOOKUP(Table1[RespondentID],'All Data'!$A$3:$CW$999,95,FALSE),"unknown")</f>
        <v>Some college</v>
      </c>
      <c r="BE302" s="120" t="str">
        <f>IFERROR(VLOOKUP(Table1[RespondentID],'All Data'!$A$3:$CW$999,96,FALSE),"unknown")</f>
        <v>Employed for wages</v>
      </c>
      <c r="BF302" s="120">
        <f>IFERROR(VLOOKUP(Table1[RespondentID],'All Data'!$A$3:$CW$999,97,FALSE),"unknown")</f>
        <v>0</v>
      </c>
      <c r="BG302" s="120" t="str">
        <f>IFERROR(VLOOKUP(Table1[RespondentID],'All Data'!$A$3:$CW$999,98,FALSE),"unknown")</f>
        <v>No Insurance</v>
      </c>
      <c r="BH302" s="120" t="str">
        <f>IFERROR(VLOOKUP(Table1[RespondentID],'All Data'!$A$3:$CW$999,99,FALSE),"unknown")</f>
        <v>Yes</v>
      </c>
    </row>
    <row r="303" spans="1:60">
      <c r="A303" s="5">
        <v>18015822327</v>
      </c>
      <c r="B303" s="5"/>
      <c r="C303" s="5"/>
      <c r="D303" s="5" t="s">
        <v>51</v>
      </c>
      <c r="E303" s="5"/>
      <c r="F303" s="5"/>
      <c r="G303" s="5"/>
      <c r="H303" s="5"/>
      <c r="I303" s="5"/>
      <c r="J303" s="5"/>
      <c r="K303" s="5"/>
      <c r="L303" s="5"/>
      <c r="M303" s="5"/>
      <c r="N303" s="5"/>
      <c r="O303" s="5"/>
      <c r="P303" s="5"/>
      <c r="Q303" s="5"/>
      <c r="R303" s="5"/>
      <c r="S303" s="5"/>
      <c r="T303" s="37"/>
      <c r="U303" s="37">
        <f t="shared" si="92"/>
        <v>1</v>
      </c>
      <c r="V303" s="37">
        <f t="shared" si="93"/>
        <v>3</v>
      </c>
      <c r="W303" s="37"/>
      <c r="X303" s="37">
        <f t="shared" si="94"/>
        <v>0</v>
      </c>
      <c r="Y303" s="37">
        <f t="shared" si="95"/>
        <v>0</v>
      </c>
      <c r="Z303" s="37">
        <f t="shared" si="96"/>
        <v>1</v>
      </c>
      <c r="AA303" s="37">
        <f t="shared" si="97"/>
        <v>0</v>
      </c>
      <c r="AB303" s="37">
        <f t="shared" si="98"/>
        <v>0</v>
      </c>
      <c r="AC303" s="37">
        <f t="shared" si="99"/>
        <v>0</v>
      </c>
      <c r="AD303" s="37">
        <f t="shared" si="100"/>
        <v>0</v>
      </c>
      <c r="AE303" s="37">
        <f t="shared" si="101"/>
        <v>0</v>
      </c>
      <c r="AF303" s="37">
        <f t="shared" si="102"/>
        <v>0</v>
      </c>
      <c r="AG303" s="37">
        <f t="shared" si="103"/>
        <v>0</v>
      </c>
      <c r="AH303" s="37">
        <f t="shared" si="104"/>
        <v>0</v>
      </c>
      <c r="AI303" s="37">
        <f t="shared" si="105"/>
        <v>0</v>
      </c>
      <c r="AJ303" s="37">
        <f t="shared" si="106"/>
        <v>0</v>
      </c>
      <c r="AK303" s="37">
        <f t="shared" si="107"/>
        <v>0</v>
      </c>
      <c r="AL303" s="37">
        <f t="shared" si="108"/>
        <v>0</v>
      </c>
      <c r="AM303" s="37">
        <f t="shared" si="109"/>
        <v>0</v>
      </c>
      <c r="AN303" s="37">
        <f t="shared" si="110"/>
        <v>0</v>
      </c>
      <c r="AO303" s="37">
        <f t="shared" si="111"/>
        <v>0</v>
      </c>
      <c r="AP303" s="37"/>
      <c r="AQ303" s="37"/>
      <c r="AR303" s="37">
        <f t="shared" si="112"/>
        <v>1</v>
      </c>
      <c r="AS303" s="37">
        <f t="shared" si="113"/>
        <v>1</v>
      </c>
      <c r="AT303" s="37" t="str">
        <f t="shared" si="114"/>
        <v>Correct</v>
      </c>
      <c r="AU303" s="37"/>
      <c r="AV303" s="120" t="str">
        <f>IFERROR(VLOOKUP(Table1[RespondentID],'All Data'!$A$3:$CO$999,87,FALSE),"unknown")</f>
        <v>Man</v>
      </c>
      <c r="AW303" s="120">
        <f>IFERROR(VLOOKUP(Table1[RespondentID],'All Data'!$A$3:$CO$999,88,FALSE),"unknown")</f>
        <v>21</v>
      </c>
      <c r="AX303" s="120" t="str">
        <f>IFERROR(VLOOKUP(Table1[RespondentID],'All Data'!$A$3:$CO$999,89,FALSE),"unknown")</f>
        <v>Nassau</v>
      </c>
      <c r="AY303" s="120" t="str">
        <f>IFERROR(VLOOKUP(Table1[RespondentID],'All Data'!$A$3:$CO$999,90,FALSE),"unknown")</f>
        <v>Uniondale, 11553</v>
      </c>
      <c r="AZ303" s="120">
        <f>IFERROR(VLOOKUP(Table1[RespondentID],'All Data'!$A$3:$CO$999,91,FALSE),"unknown")</f>
        <v>0</v>
      </c>
      <c r="BA303" s="120" t="str">
        <f>IFERROR(VLOOKUP(Table1[RespondentID],'All Data'!$A$3:$CO$999,92,FALSE),"unknown")</f>
        <v>Not Hispanic or Latino</v>
      </c>
      <c r="BB303" s="120" t="str">
        <f>IFERROR(VLOOKUP(Table1[RespondentID],'All Data'!$A$3:$CO$999,93,FALSE),"unknown")</f>
        <v>English, Spanish</v>
      </c>
      <c r="BC303" s="120">
        <f>IFERROR(VLOOKUP(Table1[RespondentID],'All Data'!$A$3:$CW$999,94,FALSE),"unknown")</f>
        <v>0</v>
      </c>
      <c r="BD303" s="120" t="str">
        <f>IFERROR(VLOOKUP(Table1[RespondentID],'All Data'!$A$3:$CW$999,95,FALSE),"unknown")</f>
        <v>High school graduate</v>
      </c>
      <c r="BE303" s="120" t="str">
        <f>IFERROR(VLOOKUP(Table1[RespondentID],'All Data'!$A$3:$CW$999,96,FALSE),"unknown")</f>
        <v>Out of work and looking for work</v>
      </c>
      <c r="BF303" s="120" t="str">
        <f>IFERROR(VLOOKUP(Table1[RespondentID],'All Data'!$A$3:$CW$999,97,FALSE),"unknown")</f>
        <v>Yes</v>
      </c>
      <c r="BG303" s="120" t="str">
        <f>IFERROR(VLOOKUP(Table1[RespondentID],'All Data'!$A$3:$CW$999,98,FALSE),"unknown")</f>
        <v>Medicaid</v>
      </c>
      <c r="BH303" s="120" t="str">
        <f>IFERROR(VLOOKUP(Table1[RespondentID],'All Data'!$A$3:$CW$999,99,FALSE),"unknown")</f>
        <v>Yes</v>
      </c>
    </row>
    <row r="304" spans="1:60">
      <c r="A304" s="5">
        <v>18015503169</v>
      </c>
      <c r="B304" s="5"/>
      <c r="C304" s="5" t="s">
        <v>50</v>
      </c>
      <c r="D304" s="5"/>
      <c r="E304" s="5"/>
      <c r="F304" s="5"/>
      <c r="G304" s="5"/>
      <c r="H304" s="5" t="s">
        <v>54</v>
      </c>
      <c r="I304" s="5"/>
      <c r="J304" s="5"/>
      <c r="K304" s="5"/>
      <c r="L304" s="5"/>
      <c r="M304" s="5"/>
      <c r="N304" s="5" t="s">
        <v>24</v>
      </c>
      <c r="O304" s="5"/>
      <c r="P304" s="5"/>
      <c r="Q304" s="5"/>
      <c r="R304" s="5"/>
      <c r="S304" s="5"/>
      <c r="T304" s="37"/>
      <c r="U304" s="37">
        <f t="shared" si="92"/>
        <v>3</v>
      </c>
      <c r="V304" s="37">
        <f t="shared" si="93"/>
        <v>1</v>
      </c>
      <c r="W304" s="37"/>
      <c r="X304" s="37">
        <f t="shared" si="94"/>
        <v>0</v>
      </c>
      <c r="Y304" s="37">
        <f t="shared" si="95"/>
        <v>1</v>
      </c>
      <c r="Z304" s="37">
        <f t="shared" si="96"/>
        <v>0</v>
      </c>
      <c r="AA304" s="37">
        <f t="shared" si="97"/>
        <v>0</v>
      </c>
      <c r="AB304" s="37">
        <f t="shared" si="98"/>
        <v>0</v>
      </c>
      <c r="AC304" s="37">
        <f t="shared" si="99"/>
        <v>0</v>
      </c>
      <c r="AD304" s="37">
        <f t="shared" si="100"/>
        <v>1</v>
      </c>
      <c r="AE304" s="37">
        <f t="shared" si="101"/>
        <v>0</v>
      </c>
      <c r="AF304" s="37">
        <f t="shared" si="102"/>
        <v>0</v>
      </c>
      <c r="AG304" s="37">
        <f t="shared" si="103"/>
        <v>0</v>
      </c>
      <c r="AH304" s="37">
        <f t="shared" si="104"/>
        <v>0</v>
      </c>
      <c r="AI304" s="37">
        <f t="shared" si="105"/>
        <v>0</v>
      </c>
      <c r="AJ304" s="37">
        <f t="shared" si="106"/>
        <v>1</v>
      </c>
      <c r="AK304" s="37">
        <f t="shared" si="107"/>
        <v>0</v>
      </c>
      <c r="AL304" s="37">
        <f t="shared" si="108"/>
        <v>0</v>
      </c>
      <c r="AM304" s="37">
        <f t="shared" si="109"/>
        <v>0</v>
      </c>
      <c r="AN304" s="37">
        <f t="shared" si="110"/>
        <v>0</v>
      </c>
      <c r="AO304" s="37">
        <f t="shared" si="111"/>
        <v>0</v>
      </c>
      <c r="AP304" s="37"/>
      <c r="AQ304" s="37"/>
      <c r="AR304" s="37">
        <f t="shared" si="112"/>
        <v>3</v>
      </c>
      <c r="AS304" s="37">
        <f t="shared" si="113"/>
        <v>3</v>
      </c>
      <c r="AT304" s="37" t="str">
        <f t="shared" si="114"/>
        <v>Correct</v>
      </c>
      <c r="AU304" s="37"/>
      <c r="AV304" s="120" t="str">
        <f>IFERROR(VLOOKUP(Table1[RespondentID],'All Data'!$A$3:$CO$999,87,FALSE),"unknown")</f>
        <v>Man</v>
      </c>
      <c r="AW304" s="120">
        <f>IFERROR(VLOOKUP(Table1[RespondentID],'All Data'!$A$3:$CO$999,88,FALSE),"unknown")</f>
        <v>18</v>
      </c>
      <c r="AX304" s="120" t="str">
        <f>IFERROR(VLOOKUP(Table1[RespondentID],'All Data'!$A$3:$CO$999,89,FALSE),"unknown")</f>
        <v>Nassau</v>
      </c>
      <c r="AY304" s="120" t="str">
        <f>IFERROR(VLOOKUP(Table1[RespondentID],'All Data'!$A$3:$CO$999,90,FALSE),"unknown")</f>
        <v>Lake Success, 11020</v>
      </c>
      <c r="AZ304" s="120" t="str">
        <f>IFERROR(VLOOKUP(Table1[RespondentID],'All Data'!$A$3:$CO$999,91,FALSE),"unknown")</f>
        <v>White</v>
      </c>
      <c r="BA304" s="120" t="str">
        <f>IFERROR(VLOOKUP(Table1[RespondentID],'All Data'!$A$3:$CO$999,92,FALSE),"unknown")</f>
        <v>Not Hispanic or Latino</v>
      </c>
      <c r="BB304" s="120" t="str">
        <f>IFERROR(VLOOKUP(Table1[RespondentID],'All Data'!$A$3:$CO$999,93,FALSE),"unknown")</f>
        <v>English</v>
      </c>
      <c r="BC304" s="120" t="str">
        <f>IFERROR(VLOOKUP(Table1[RespondentID],'All Data'!$A$3:$CW$999,94,FALSE),"unknown")</f>
        <v>$0-$19,999</v>
      </c>
      <c r="BD304" s="120" t="str">
        <f>IFERROR(VLOOKUP(Table1[RespondentID],'All Data'!$A$3:$CW$999,95,FALSE),"unknown")</f>
        <v>College graduate</v>
      </c>
      <c r="BE304" s="120" t="str">
        <f>IFERROR(VLOOKUP(Table1[RespondentID],'All Data'!$A$3:$CW$999,96,FALSE),"unknown")</f>
        <v>Employed for wages</v>
      </c>
      <c r="BF304" s="120" t="str">
        <f>IFERROR(VLOOKUP(Table1[RespondentID],'All Data'!$A$3:$CW$999,97,FALSE),"unknown")</f>
        <v>Yes</v>
      </c>
      <c r="BG304" s="120" t="str">
        <f>IFERROR(VLOOKUP(Table1[RespondentID],'All Data'!$A$3:$CW$999,98,FALSE),"unknown")</f>
        <v>Medicare</v>
      </c>
      <c r="BH304" s="120" t="str">
        <f>IFERROR(VLOOKUP(Table1[RespondentID],'All Data'!$A$3:$CW$999,99,FALSE),"unknown")</f>
        <v>Yes</v>
      </c>
    </row>
    <row r="305" spans="1:60">
      <c r="A305" s="5">
        <v>18015489362</v>
      </c>
      <c r="B305" s="5"/>
      <c r="C305" s="5"/>
      <c r="D305" s="5" t="s">
        <v>51</v>
      </c>
      <c r="E305" s="5"/>
      <c r="F305" s="5"/>
      <c r="G305" s="5" t="s">
        <v>53</v>
      </c>
      <c r="H305" s="5" t="s">
        <v>54</v>
      </c>
      <c r="I305" s="5" t="s">
        <v>55</v>
      </c>
      <c r="J305" s="5"/>
      <c r="K305" s="5"/>
      <c r="L305" s="5" t="s">
        <v>58</v>
      </c>
      <c r="M305" s="5" t="s">
        <v>59</v>
      </c>
      <c r="N305" s="5"/>
      <c r="O305" s="5"/>
      <c r="P305" s="5" t="s">
        <v>60</v>
      </c>
      <c r="Q305" s="5" t="s">
        <v>61</v>
      </c>
      <c r="R305" s="5" t="s">
        <v>62</v>
      </c>
      <c r="S305" s="5"/>
      <c r="T305" s="37"/>
      <c r="U305" s="37">
        <f t="shared" si="92"/>
        <v>9</v>
      </c>
      <c r="V305" s="37">
        <f t="shared" si="93"/>
        <v>0.33333333333333331</v>
      </c>
      <c r="W305" s="37"/>
      <c r="X305" s="37">
        <f t="shared" si="94"/>
        <v>0</v>
      </c>
      <c r="Y305" s="37">
        <f t="shared" si="95"/>
        <v>0</v>
      </c>
      <c r="Z305" s="37">
        <f t="shared" si="96"/>
        <v>0.33333333333333331</v>
      </c>
      <c r="AA305" s="37">
        <f t="shared" si="97"/>
        <v>0</v>
      </c>
      <c r="AB305" s="37">
        <f t="shared" si="98"/>
        <v>0</v>
      </c>
      <c r="AC305" s="37">
        <f t="shared" si="99"/>
        <v>0.33333333333333331</v>
      </c>
      <c r="AD305" s="37">
        <f t="shared" si="100"/>
        <v>0.33333333333333331</v>
      </c>
      <c r="AE305" s="37">
        <f t="shared" si="101"/>
        <v>0.33333333333333331</v>
      </c>
      <c r="AF305" s="37">
        <f t="shared" si="102"/>
        <v>0</v>
      </c>
      <c r="AG305" s="37">
        <f t="shared" si="103"/>
        <v>0</v>
      </c>
      <c r="AH305" s="37">
        <f t="shared" si="104"/>
        <v>0.33333333333333331</v>
      </c>
      <c r="AI305" s="37">
        <f t="shared" si="105"/>
        <v>0.33333333333333331</v>
      </c>
      <c r="AJ305" s="37">
        <f t="shared" si="106"/>
        <v>0</v>
      </c>
      <c r="AK305" s="37">
        <f t="shared" si="107"/>
        <v>0</v>
      </c>
      <c r="AL305" s="37">
        <f t="shared" si="108"/>
        <v>0.33333333333333331</v>
      </c>
      <c r="AM305" s="37">
        <f t="shared" si="109"/>
        <v>0.33333333333333331</v>
      </c>
      <c r="AN305" s="37">
        <f t="shared" si="110"/>
        <v>0.33333333333333331</v>
      </c>
      <c r="AO305" s="37">
        <f t="shared" si="111"/>
        <v>0</v>
      </c>
      <c r="AP305" s="37"/>
      <c r="AQ305" s="37"/>
      <c r="AR305" s="37">
        <f t="shared" si="112"/>
        <v>3</v>
      </c>
      <c r="AS305" s="37">
        <f t="shared" si="113"/>
        <v>9</v>
      </c>
      <c r="AT305" s="37" t="str">
        <f t="shared" si="114"/>
        <v>Correct</v>
      </c>
      <c r="AU305" s="37"/>
      <c r="AV305" s="120" t="str">
        <f>IFERROR(VLOOKUP(Table1[RespondentID],'All Data'!$A$3:$CO$999,87,FALSE),"unknown")</f>
        <v>Man</v>
      </c>
      <c r="AW305" s="120">
        <f>IFERROR(VLOOKUP(Table1[RespondentID],'All Data'!$A$3:$CO$999,88,FALSE),"unknown")</f>
        <v>18</v>
      </c>
      <c r="AX305" s="120" t="str">
        <f>IFERROR(VLOOKUP(Table1[RespondentID],'All Data'!$A$3:$CO$999,89,FALSE),"unknown")</f>
        <v>Suffolk</v>
      </c>
      <c r="AY305" s="120" t="str">
        <f>IFERROR(VLOOKUP(Table1[RespondentID],'All Data'!$A$3:$CO$999,90,FALSE),"unknown")</f>
        <v>Smithtown, 11745</v>
      </c>
      <c r="AZ305" s="120" t="str">
        <f>IFERROR(VLOOKUP(Table1[RespondentID],'All Data'!$A$3:$CO$999,91,FALSE),"unknown")</f>
        <v>White</v>
      </c>
      <c r="BA305" s="120" t="str">
        <f>IFERROR(VLOOKUP(Table1[RespondentID],'All Data'!$A$3:$CO$999,92,FALSE),"unknown")</f>
        <v>Hispanic or Latino</v>
      </c>
      <c r="BB305" s="120" t="str">
        <f>IFERROR(VLOOKUP(Table1[RespondentID],'All Data'!$A$3:$CO$999,93,FALSE),"unknown")</f>
        <v>English</v>
      </c>
      <c r="BC305" s="120" t="str">
        <f>IFERROR(VLOOKUP(Table1[RespondentID],'All Data'!$A$3:$CW$999,94,FALSE),"unknown")</f>
        <v>Over $125,000</v>
      </c>
      <c r="BD305" s="120" t="str">
        <f>IFERROR(VLOOKUP(Table1[RespondentID],'All Data'!$A$3:$CW$999,95,FALSE),"unknown")</f>
        <v>College graduate</v>
      </c>
      <c r="BE305" s="120" t="str">
        <f>IFERROR(VLOOKUP(Table1[RespondentID],'All Data'!$A$3:$CW$999,96,FALSE),"unknown")</f>
        <v>Employed for wages</v>
      </c>
      <c r="BF305" s="120" t="str">
        <f>IFERROR(VLOOKUP(Table1[RespondentID],'All Data'!$A$3:$CW$999,97,FALSE),"unknown")</f>
        <v>Yes</v>
      </c>
      <c r="BG305" s="120" t="str">
        <f>IFERROR(VLOOKUP(Table1[RespondentID],'All Data'!$A$3:$CW$999,98,FALSE),"unknown")</f>
        <v>Private/Commercial</v>
      </c>
      <c r="BH305" s="120" t="str">
        <f>IFERROR(VLOOKUP(Table1[RespondentID],'All Data'!$A$3:$CW$999,99,FALSE),"unknown")</f>
        <v>Yes</v>
      </c>
    </row>
    <row r="306" spans="1:60">
      <c r="A306" s="5">
        <v>18015152631</v>
      </c>
      <c r="B306" s="5"/>
      <c r="C306" s="5"/>
      <c r="D306" s="5"/>
      <c r="E306" s="5" t="s">
        <v>17</v>
      </c>
      <c r="F306" s="5"/>
      <c r="G306" s="5"/>
      <c r="H306" s="5"/>
      <c r="I306" s="5"/>
      <c r="J306" s="5"/>
      <c r="K306" s="5"/>
      <c r="L306" s="5"/>
      <c r="M306" s="5"/>
      <c r="N306" s="5"/>
      <c r="O306" s="5"/>
      <c r="P306" s="5"/>
      <c r="Q306" s="5"/>
      <c r="R306" s="5"/>
      <c r="S306" s="5"/>
      <c r="T306" s="37"/>
      <c r="U306" s="37">
        <f t="shared" si="92"/>
        <v>1</v>
      </c>
      <c r="V306" s="37">
        <f t="shared" si="93"/>
        <v>3</v>
      </c>
      <c r="W306" s="37"/>
      <c r="X306" s="37">
        <f t="shared" si="94"/>
        <v>0</v>
      </c>
      <c r="Y306" s="37">
        <f t="shared" si="95"/>
        <v>0</v>
      </c>
      <c r="Z306" s="37">
        <f t="shared" si="96"/>
        <v>0</v>
      </c>
      <c r="AA306" s="37">
        <f t="shared" si="97"/>
        <v>1</v>
      </c>
      <c r="AB306" s="37">
        <f t="shared" si="98"/>
        <v>0</v>
      </c>
      <c r="AC306" s="37">
        <f t="shared" si="99"/>
        <v>0</v>
      </c>
      <c r="AD306" s="37">
        <f t="shared" si="100"/>
        <v>0</v>
      </c>
      <c r="AE306" s="37">
        <f t="shared" si="101"/>
        <v>0</v>
      </c>
      <c r="AF306" s="37">
        <f t="shared" si="102"/>
        <v>0</v>
      </c>
      <c r="AG306" s="37">
        <f t="shared" si="103"/>
        <v>0</v>
      </c>
      <c r="AH306" s="37">
        <f t="shared" si="104"/>
        <v>0</v>
      </c>
      <c r="AI306" s="37">
        <f t="shared" si="105"/>
        <v>0</v>
      </c>
      <c r="AJ306" s="37">
        <f t="shared" si="106"/>
        <v>0</v>
      </c>
      <c r="AK306" s="37">
        <f t="shared" si="107"/>
        <v>0</v>
      </c>
      <c r="AL306" s="37">
        <f t="shared" si="108"/>
        <v>0</v>
      </c>
      <c r="AM306" s="37">
        <f t="shared" si="109"/>
        <v>0</v>
      </c>
      <c r="AN306" s="37">
        <f t="shared" si="110"/>
        <v>0</v>
      </c>
      <c r="AO306" s="37">
        <f t="shared" si="111"/>
        <v>0</v>
      </c>
      <c r="AP306" s="37"/>
      <c r="AQ306" s="37"/>
      <c r="AR306" s="37">
        <f t="shared" si="112"/>
        <v>1</v>
      </c>
      <c r="AS306" s="37">
        <f t="shared" si="113"/>
        <v>1</v>
      </c>
      <c r="AT306" s="37" t="str">
        <f t="shared" si="114"/>
        <v>Correct</v>
      </c>
      <c r="AU306" s="37"/>
      <c r="AV306" s="120" t="str">
        <f>IFERROR(VLOOKUP(Table1[RespondentID],'All Data'!$A$3:$CO$999,87,FALSE),"unknown")</f>
        <v>Woman</v>
      </c>
      <c r="AW306" s="120">
        <f>IFERROR(VLOOKUP(Table1[RespondentID],'All Data'!$A$3:$CO$999,88,FALSE),"unknown")</f>
        <v>31</v>
      </c>
      <c r="AX306" s="120" t="str">
        <f>IFERROR(VLOOKUP(Table1[RespondentID],'All Data'!$A$3:$CO$999,89,FALSE),"unknown")</f>
        <v>Queens</v>
      </c>
      <c r="AY306" s="120">
        <f>IFERROR(VLOOKUP(Table1[RespondentID],'All Data'!$A$3:$CO$999,90,FALSE),"unknown")</f>
        <v>0</v>
      </c>
      <c r="AZ306" s="120">
        <f>IFERROR(VLOOKUP(Table1[RespondentID],'All Data'!$A$3:$CO$999,91,FALSE),"unknown")</f>
        <v>0</v>
      </c>
      <c r="BA306" s="120">
        <f>IFERROR(VLOOKUP(Table1[RespondentID],'All Data'!$A$3:$CO$999,92,FALSE),"unknown")</f>
        <v>0</v>
      </c>
      <c r="BB306" s="120">
        <f>IFERROR(VLOOKUP(Table1[RespondentID],'All Data'!$A$3:$CO$999,93,FALSE),"unknown")</f>
        <v>0</v>
      </c>
      <c r="BC306" s="120">
        <f>IFERROR(VLOOKUP(Table1[RespondentID],'All Data'!$A$3:$CW$999,94,FALSE),"unknown")</f>
        <v>0</v>
      </c>
      <c r="BD306" s="120">
        <f>IFERROR(VLOOKUP(Table1[RespondentID],'All Data'!$A$3:$CW$999,95,FALSE),"unknown")</f>
        <v>0</v>
      </c>
      <c r="BE306" s="120">
        <f>IFERROR(VLOOKUP(Table1[RespondentID],'All Data'!$A$3:$CW$999,96,FALSE),"unknown")</f>
        <v>0</v>
      </c>
      <c r="BF306" s="120">
        <f>IFERROR(VLOOKUP(Table1[RespondentID],'All Data'!$A$3:$CW$999,97,FALSE),"unknown")</f>
        <v>0</v>
      </c>
      <c r="BG306" s="120">
        <f>IFERROR(VLOOKUP(Table1[RespondentID],'All Data'!$A$3:$CW$999,98,FALSE),"unknown")</f>
        <v>0</v>
      </c>
      <c r="BH306" s="120">
        <f>IFERROR(VLOOKUP(Table1[RespondentID],'All Data'!$A$3:$CW$999,99,FALSE),"unknown")</f>
        <v>0</v>
      </c>
    </row>
    <row r="307" spans="1:60">
      <c r="A307" s="5">
        <v>18014932720</v>
      </c>
      <c r="B307" s="5"/>
      <c r="C307" s="5"/>
      <c r="D307" s="5" t="s">
        <v>51</v>
      </c>
      <c r="E307" s="5" t="s">
        <v>17</v>
      </c>
      <c r="F307" s="5"/>
      <c r="G307" s="5"/>
      <c r="H307" s="5"/>
      <c r="I307" s="5"/>
      <c r="J307" s="5"/>
      <c r="K307" s="5"/>
      <c r="L307" s="5"/>
      <c r="M307" s="5"/>
      <c r="N307" s="5"/>
      <c r="O307" s="5"/>
      <c r="P307" s="5"/>
      <c r="Q307" s="5"/>
      <c r="R307" s="5"/>
      <c r="S307" s="5" t="s">
        <v>63</v>
      </c>
      <c r="T307" s="37"/>
      <c r="U307" s="37">
        <f t="shared" si="92"/>
        <v>3</v>
      </c>
      <c r="V307" s="37">
        <f t="shared" si="93"/>
        <v>1</v>
      </c>
      <c r="W307" s="37"/>
      <c r="X307" s="37">
        <f t="shared" si="94"/>
        <v>0</v>
      </c>
      <c r="Y307" s="37">
        <f t="shared" si="95"/>
        <v>0</v>
      </c>
      <c r="Z307" s="37">
        <f t="shared" si="96"/>
        <v>1</v>
      </c>
      <c r="AA307" s="37">
        <f t="shared" si="97"/>
        <v>1</v>
      </c>
      <c r="AB307" s="37">
        <f t="shared" si="98"/>
        <v>0</v>
      </c>
      <c r="AC307" s="37">
        <f t="shared" si="99"/>
        <v>0</v>
      </c>
      <c r="AD307" s="37">
        <f t="shared" si="100"/>
        <v>0</v>
      </c>
      <c r="AE307" s="37">
        <f t="shared" si="101"/>
        <v>0</v>
      </c>
      <c r="AF307" s="37">
        <f t="shared" si="102"/>
        <v>0</v>
      </c>
      <c r="AG307" s="37">
        <f t="shared" si="103"/>
        <v>0</v>
      </c>
      <c r="AH307" s="37">
        <f t="shared" si="104"/>
        <v>0</v>
      </c>
      <c r="AI307" s="37">
        <f t="shared" si="105"/>
        <v>0</v>
      </c>
      <c r="AJ307" s="37">
        <f t="shared" si="106"/>
        <v>0</v>
      </c>
      <c r="AK307" s="37">
        <f t="shared" si="107"/>
        <v>0</v>
      </c>
      <c r="AL307" s="37">
        <f t="shared" si="108"/>
        <v>0</v>
      </c>
      <c r="AM307" s="37">
        <f t="shared" si="109"/>
        <v>0</v>
      </c>
      <c r="AN307" s="37">
        <f t="shared" si="110"/>
        <v>0</v>
      </c>
      <c r="AO307" s="37">
        <f t="shared" si="111"/>
        <v>1</v>
      </c>
      <c r="AP307" s="37"/>
      <c r="AQ307" s="37"/>
      <c r="AR307" s="37">
        <f t="shared" si="112"/>
        <v>3</v>
      </c>
      <c r="AS307" s="37">
        <f t="shared" si="113"/>
        <v>3</v>
      </c>
      <c r="AT307" s="37" t="str">
        <f t="shared" si="114"/>
        <v>Correct</v>
      </c>
      <c r="AU307" s="37"/>
      <c r="AV307" s="120" t="str">
        <f>IFERROR(VLOOKUP(Table1[RespondentID],'All Data'!$A$3:$CO$999,87,FALSE),"unknown")</f>
        <v>Man</v>
      </c>
      <c r="AW307" s="120">
        <f>IFERROR(VLOOKUP(Table1[RespondentID],'All Data'!$A$3:$CO$999,88,FALSE),"unknown")</f>
        <v>45</v>
      </c>
      <c r="AX307" s="120" t="str">
        <f>IFERROR(VLOOKUP(Table1[RespondentID],'All Data'!$A$3:$CO$999,89,FALSE),"unknown")</f>
        <v>Suffolk</v>
      </c>
      <c r="AY307" s="120" t="str">
        <f>IFERROR(VLOOKUP(Table1[RespondentID],'All Data'!$A$3:$CO$999,90,FALSE),"unknown")</f>
        <v>Smithtown, 11787</v>
      </c>
      <c r="AZ307" s="120" t="str">
        <f>IFERROR(VLOOKUP(Table1[RespondentID],'All Data'!$A$3:$CO$999,91,FALSE),"unknown")</f>
        <v>American Indian and Alaska Native</v>
      </c>
      <c r="BA307" s="120" t="str">
        <f>IFERROR(VLOOKUP(Table1[RespondentID],'All Data'!$A$3:$CO$999,92,FALSE),"unknown")</f>
        <v>Hispanic or Latino</v>
      </c>
      <c r="BB307" s="120" t="str">
        <f>IFERROR(VLOOKUP(Table1[RespondentID],'All Data'!$A$3:$CO$999,93,FALSE),"unknown")</f>
        <v>English</v>
      </c>
      <c r="BC307" s="120" t="str">
        <f>IFERROR(VLOOKUP(Table1[RespondentID],'All Data'!$A$3:$CW$999,94,FALSE),"unknown")</f>
        <v>Over $125,000</v>
      </c>
      <c r="BD307" s="120" t="str">
        <f>IFERROR(VLOOKUP(Table1[RespondentID],'All Data'!$A$3:$CW$999,95,FALSE),"unknown")</f>
        <v>Doctorate</v>
      </c>
      <c r="BE307" s="120" t="str">
        <f>IFERROR(VLOOKUP(Table1[RespondentID],'All Data'!$A$3:$CW$999,96,FALSE),"unknown")</f>
        <v>Self-employed</v>
      </c>
      <c r="BF307" s="120" t="str">
        <f>IFERROR(VLOOKUP(Table1[RespondentID],'All Data'!$A$3:$CW$999,97,FALSE),"unknown")</f>
        <v>Yes</v>
      </c>
      <c r="BG307" s="120" t="str">
        <f>IFERROR(VLOOKUP(Table1[RespondentID],'All Data'!$A$3:$CW$999,98,FALSE),"unknown")</f>
        <v>Private/Commercial</v>
      </c>
      <c r="BH307" s="120" t="str">
        <f>IFERROR(VLOOKUP(Table1[RespondentID],'All Data'!$A$3:$CW$999,99,FALSE),"unknown")</f>
        <v>Yes</v>
      </c>
    </row>
    <row r="308" spans="1:60">
      <c r="A308" s="5">
        <v>18014930527</v>
      </c>
      <c r="B308" s="5"/>
      <c r="C308" s="5"/>
      <c r="D308" s="5"/>
      <c r="E308" s="5" t="s">
        <v>17</v>
      </c>
      <c r="F308" s="5"/>
      <c r="G308" s="5"/>
      <c r="H308" s="5" t="s">
        <v>54</v>
      </c>
      <c r="I308" s="5"/>
      <c r="J308" s="5"/>
      <c r="K308" s="5"/>
      <c r="L308" s="5"/>
      <c r="M308" s="5"/>
      <c r="N308" s="5"/>
      <c r="O308" s="5"/>
      <c r="P308" s="5"/>
      <c r="Q308" s="5"/>
      <c r="R308" s="5"/>
      <c r="S308" s="5" t="s">
        <v>63</v>
      </c>
      <c r="T308" s="37"/>
      <c r="U308" s="37">
        <f t="shared" si="92"/>
        <v>3</v>
      </c>
      <c r="V308" s="37">
        <f t="shared" si="93"/>
        <v>1</v>
      </c>
      <c r="W308" s="37"/>
      <c r="X308" s="37">
        <f t="shared" si="94"/>
        <v>0</v>
      </c>
      <c r="Y308" s="37">
        <f t="shared" si="95"/>
        <v>0</v>
      </c>
      <c r="Z308" s="37">
        <f t="shared" si="96"/>
        <v>0</v>
      </c>
      <c r="AA308" s="37">
        <f t="shared" si="97"/>
        <v>1</v>
      </c>
      <c r="AB308" s="37">
        <f t="shared" si="98"/>
        <v>0</v>
      </c>
      <c r="AC308" s="37">
        <f t="shared" si="99"/>
        <v>0</v>
      </c>
      <c r="AD308" s="37">
        <f t="shared" si="100"/>
        <v>1</v>
      </c>
      <c r="AE308" s="37">
        <f t="shared" si="101"/>
        <v>0</v>
      </c>
      <c r="AF308" s="37">
        <f t="shared" si="102"/>
        <v>0</v>
      </c>
      <c r="AG308" s="37">
        <f t="shared" si="103"/>
        <v>0</v>
      </c>
      <c r="AH308" s="37">
        <f t="shared" si="104"/>
        <v>0</v>
      </c>
      <c r="AI308" s="37">
        <f t="shared" si="105"/>
        <v>0</v>
      </c>
      <c r="AJ308" s="37">
        <f t="shared" si="106"/>
        <v>0</v>
      </c>
      <c r="AK308" s="37">
        <f t="shared" si="107"/>
        <v>0</v>
      </c>
      <c r="AL308" s="37">
        <f t="shared" si="108"/>
        <v>0</v>
      </c>
      <c r="AM308" s="37">
        <f t="shared" si="109"/>
        <v>0</v>
      </c>
      <c r="AN308" s="37">
        <f t="shared" si="110"/>
        <v>0</v>
      </c>
      <c r="AO308" s="37">
        <f t="shared" si="111"/>
        <v>1</v>
      </c>
      <c r="AP308" s="37"/>
      <c r="AQ308" s="37"/>
      <c r="AR308" s="37">
        <f t="shared" si="112"/>
        <v>3</v>
      </c>
      <c r="AS308" s="37">
        <f t="shared" si="113"/>
        <v>3</v>
      </c>
      <c r="AT308" s="37" t="str">
        <f t="shared" si="114"/>
        <v>Correct</v>
      </c>
      <c r="AU308" s="37"/>
      <c r="AV308" s="120" t="str">
        <f>IFERROR(VLOOKUP(Table1[RespondentID],'All Data'!$A$3:$CO$999,87,FALSE),"unknown")</f>
        <v>Woman</v>
      </c>
      <c r="AW308" s="120">
        <f>IFERROR(VLOOKUP(Table1[RespondentID],'All Data'!$A$3:$CO$999,88,FALSE),"unknown")</f>
        <v>44</v>
      </c>
      <c r="AX308" s="120" t="str">
        <f>IFERROR(VLOOKUP(Table1[RespondentID],'All Data'!$A$3:$CO$999,89,FALSE),"unknown")</f>
        <v>Suffolk</v>
      </c>
      <c r="AY308" s="120" t="str">
        <f>IFERROR(VLOOKUP(Table1[RespondentID],'All Data'!$A$3:$CO$999,90,FALSE),"unknown")</f>
        <v>Smithtown, 11787</v>
      </c>
      <c r="AZ308" s="120" t="str">
        <f>IFERROR(VLOOKUP(Table1[RespondentID],'All Data'!$A$3:$CO$999,91,FALSE),"unknown")</f>
        <v>American Indian and Alaska Native</v>
      </c>
      <c r="BA308" s="120" t="str">
        <f>IFERROR(VLOOKUP(Table1[RespondentID],'All Data'!$A$3:$CO$999,92,FALSE),"unknown")</f>
        <v>Hispanic or Latino</v>
      </c>
      <c r="BB308" s="120" t="str">
        <f>IFERROR(VLOOKUP(Table1[RespondentID],'All Data'!$A$3:$CO$999,93,FALSE),"unknown")</f>
        <v>English</v>
      </c>
      <c r="BC308" s="120" t="str">
        <f>IFERROR(VLOOKUP(Table1[RespondentID],'All Data'!$A$3:$CW$999,94,FALSE),"unknown")</f>
        <v>Over $125,000</v>
      </c>
      <c r="BD308" s="120" t="str">
        <f>IFERROR(VLOOKUP(Table1[RespondentID],'All Data'!$A$3:$CW$999,95,FALSE),"unknown")</f>
        <v>Doctorate</v>
      </c>
      <c r="BE308" s="120" t="str">
        <f>IFERROR(VLOOKUP(Table1[RespondentID],'All Data'!$A$3:$CW$999,96,FALSE),"unknown")</f>
        <v>Self-employed</v>
      </c>
      <c r="BF308" s="120" t="str">
        <f>IFERROR(VLOOKUP(Table1[RespondentID],'All Data'!$A$3:$CW$999,97,FALSE),"unknown")</f>
        <v>Yes</v>
      </c>
      <c r="BG308" s="120" t="str">
        <f>IFERROR(VLOOKUP(Table1[RespondentID],'All Data'!$A$3:$CW$999,98,FALSE),"unknown")</f>
        <v>Private/Commercial</v>
      </c>
      <c r="BH308" s="120" t="str">
        <f>IFERROR(VLOOKUP(Table1[RespondentID],'All Data'!$A$3:$CW$999,99,FALSE),"unknown")</f>
        <v>Yes</v>
      </c>
    </row>
    <row r="309" spans="1:60">
      <c r="A309" s="5">
        <v>18014783155</v>
      </c>
      <c r="B309" s="5" t="s">
        <v>49</v>
      </c>
      <c r="C309" s="5"/>
      <c r="D309" s="5"/>
      <c r="E309" s="5"/>
      <c r="F309" s="5"/>
      <c r="G309" s="5"/>
      <c r="H309" s="5"/>
      <c r="I309" s="5"/>
      <c r="J309" s="5"/>
      <c r="K309" s="5"/>
      <c r="L309" s="5"/>
      <c r="M309" s="5"/>
      <c r="N309" s="5"/>
      <c r="O309" s="5"/>
      <c r="P309" s="5"/>
      <c r="Q309" s="5"/>
      <c r="R309" s="5"/>
      <c r="S309" s="5"/>
      <c r="T309" s="37"/>
      <c r="U309" s="37">
        <f t="shared" si="92"/>
        <v>1</v>
      </c>
      <c r="V309" s="37">
        <f t="shared" si="93"/>
        <v>3</v>
      </c>
      <c r="W309" s="37"/>
      <c r="X309" s="37">
        <f t="shared" si="94"/>
        <v>1</v>
      </c>
      <c r="Y309" s="37">
        <f t="shared" si="95"/>
        <v>0</v>
      </c>
      <c r="Z309" s="37">
        <f t="shared" si="96"/>
        <v>0</v>
      </c>
      <c r="AA309" s="37">
        <f t="shared" si="97"/>
        <v>0</v>
      </c>
      <c r="AB309" s="37">
        <f t="shared" si="98"/>
        <v>0</v>
      </c>
      <c r="AC309" s="37">
        <f t="shared" si="99"/>
        <v>0</v>
      </c>
      <c r="AD309" s="37">
        <f t="shared" si="100"/>
        <v>0</v>
      </c>
      <c r="AE309" s="37">
        <f t="shared" si="101"/>
        <v>0</v>
      </c>
      <c r="AF309" s="37">
        <f t="shared" si="102"/>
        <v>0</v>
      </c>
      <c r="AG309" s="37">
        <f t="shared" si="103"/>
        <v>0</v>
      </c>
      <c r="AH309" s="37">
        <f t="shared" si="104"/>
        <v>0</v>
      </c>
      <c r="AI309" s="37">
        <f t="shared" si="105"/>
        <v>0</v>
      </c>
      <c r="AJ309" s="37">
        <f t="shared" si="106"/>
        <v>0</v>
      </c>
      <c r="AK309" s="37">
        <f t="shared" si="107"/>
        <v>0</v>
      </c>
      <c r="AL309" s="37">
        <f t="shared" si="108"/>
        <v>0</v>
      </c>
      <c r="AM309" s="37">
        <f t="shared" si="109"/>
        <v>0</v>
      </c>
      <c r="AN309" s="37">
        <f t="shared" si="110"/>
        <v>0</v>
      </c>
      <c r="AO309" s="37">
        <f t="shared" si="111"/>
        <v>0</v>
      </c>
      <c r="AP309" s="37"/>
      <c r="AQ309" s="37"/>
      <c r="AR309" s="37">
        <f t="shared" si="112"/>
        <v>1</v>
      </c>
      <c r="AS309" s="37">
        <f t="shared" si="113"/>
        <v>1</v>
      </c>
      <c r="AT309" s="37" t="str">
        <f t="shared" si="114"/>
        <v>Correct</v>
      </c>
      <c r="AU309" s="37"/>
      <c r="AV309" s="120">
        <f>IFERROR(VLOOKUP(Table1[RespondentID],'All Data'!$A$3:$CO$999,87,FALSE),"unknown")</f>
        <v>0</v>
      </c>
      <c r="AW309" s="120">
        <f>IFERROR(VLOOKUP(Table1[RespondentID],'All Data'!$A$3:$CO$999,88,FALSE),"unknown")</f>
        <v>0</v>
      </c>
      <c r="AX309" s="120">
        <f>IFERROR(VLOOKUP(Table1[RespondentID],'All Data'!$A$3:$CO$999,89,FALSE),"unknown")</f>
        <v>0</v>
      </c>
      <c r="AY309" s="120">
        <f>IFERROR(VLOOKUP(Table1[RespondentID],'All Data'!$A$3:$CO$999,90,FALSE),"unknown")</f>
        <v>0</v>
      </c>
      <c r="AZ309" s="120">
        <f>IFERROR(VLOOKUP(Table1[RespondentID],'All Data'!$A$3:$CO$999,91,FALSE),"unknown")</f>
        <v>0</v>
      </c>
      <c r="BA309" s="120">
        <f>IFERROR(VLOOKUP(Table1[RespondentID],'All Data'!$A$3:$CO$999,92,FALSE),"unknown")</f>
        <v>0</v>
      </c>
      <c r="BB309" s="120">
        <f>IFERROR(VLOOKUP(Table1[RespondentID],'All Data'!$A$3:$CO$999,93,FALSE),"unknown")</f>
        <v>0</v>
      </c>
      <c r="BC309" s="120">
        <f>IFERROR(VLOOKUP(Table1[RespondentID],'All Data'!$A$3:$CW$999,94,FALSE),"unknown")</f>
        <v>0</v>
      </c>
      <c r="BD309" s="120">
        <f>IFERROR(VLOOKUP(Table1[RespondentID],'All Data'!$A$3:$CW$999,95,FALSE),"unknown")</f>
        <v>0</v>
      </c>
      <c r="BE309" s="120">
        <f>IFERROR(VLOOKUP(Table1[RespondentID],'All Data'!$A$3:$CW$999,96,FALSE),"unknown")</f>
        <v>0</v>
      </c>
      <c r="BF309" s="120">
        <f>IFERROR(VLOOKUP(Table1[RespondentID],'All Data'!$A$3:$CW$999,97,FALSE),"unknown")</f>
        <v>0</v>
      </c>
      <c r="BG309" s="120">
        <f>IFERROR(VLOOKUP(Table1[RespondentID],'All Data'!$A$3:$CW$999,98,FALSE),"unknown")</f>
        <v>0</v>
      </c>
      <c r="BH309" s="120">
        <f>IFERROR(VLOOKUP(Table1[RespondentID],'All Data'!$A$3:$CW$999,99,FALSE),"unknown")</f>
        <v>0</v>
      </c>
    </row>
    <row r="310" spans="1:60">
      <c r="A310" s="5">
        <v>18014743256</v>
      </c>
      <c r="B310" s="5" t="s">
        <v>49</v>
      </c>
      <c r="C310" s="5"/>
      <c r="D310" s="5"/>
      <c r="E310" s="5"/>
      <c r="F310" s="5"/>
      <c r="G310" s="5" t="s">
        <v>53</v>
      </c>
      <c r="H310" s="5"/>
      <c r="I310" s="5" t="s">
        <v>55</v>
      </c>
      <c r="J310" s="5"/>
      <c r="K310" s="5"/>
      <c r="L310" s="5"/>
      <c r="M310" s="5"/>
      <c r="N310" s="5"/>
      <c r="O310" s="5"/>
      <c r="P310" s="5"/>
      <c r="Q310" s="5"/>
      <c r="R310" s="5"/>
      <c r="S310" s="5"/>
      <c r="T310" s="37"/>
      <c r="U310" s="37">
        <f t="shared" si="92"/>
        <v>3</v>
      </c>
      <c r="V310" s="37">
        <f t="shared" si="93"/>
        <v>1</v>
      </c>
      <c r="W310" s="37"/>
      <c r="X310" s="37">
        <f t="shared" si="94"/>
        <v>1</v>
      </c>
      <c r="Y310" s="37">
        <f t="shared" si="95"/>
        <v>0</v>
      </c>
      <c r="Z310" s="37">
        <f t="shared" si="96"/>
        <v>0</v>
      </c>
      <c r="AA310" s="37">
        <f t="shared" si="97"/>
        <v>0</v>
      </c>
      <c r="AB310" s="37">
        <f t="shared" si="98"/>
        <v>0</v>
      </c>
      <c r="AC310" s="37">
        <f t="shared" si="99"/>
        <v>1</v>
      </c>
      <c r="AD310" s="37">
        <f t="shared" si="100"/>
        <v>0</v>
      </c>
      <c r="AE310" s="37">
        <f t="shared" si="101"/>
        <v>1</v>
      </c>
      <c r="AF310" s="37">
        <f t="shared" si="102"/>
        <v>0</v>
      </c>
      <c r="AG310" s="37">
        <f t="shared" si="103"/>
        <v>0</v>
      </c>
      <c r="AH310" s="37">
        <f t="shared" si="104"/>
        <v>0</v>
      </c>
      <c r="AI310" s="37">
        <f t="shared" si="105"/>
        <v>0</v>
      </c>
      <c r="AJ310" s="37">
        <f t="shared" si="106"/>
        <v>0</v>
      </c>
      <c r="AK310" s="37">
        <f t="shared" si="107"/>
        <v>0</v>
      </c>
      <c r="AL310" s="37">
        <f t="shared" si="108"/>
        <v>0</v>
      </c>
      <c r="AM310" s="37">
        <f t="shared" si="109"/>
        <v>0</v>
      </c>
      <c r="AN310" s="37">
        <f t="shared" si="110"/>
        <v>0</v>
      </c>
      <c r="AO310" s="37">
        <f t="shared" si="111"/>
        <v>0</v>
      </c>
      <c r="AP310" s="37"/>
      <c r="AQ310" s="37"/>
      <c r="AR310" s="37">
        <f t="shared" si="112"/>
        <v>3</v>
      </c>
      <c r="AS310" s="37">
        <f t="shared" si="113"/>
        <v>3</v>
      </c>
      <c r="AT310" s="37" t="str">
        <f t="shared" si="114"/>
        <v>Correct</v>
      </c>
      <c r="AU310" s="37"/>
      <c r="AV310" s="120" t="str">
        <f>IFERROR(VLOOKUP(Table1[RespondentID],'All Data'!$A$3:$CO$999,87,FALSE),"unknown")</f>
        <v>Woman</v>
      </c>
      <c r="AW310" s="120">
        <f>IFERROR(VLOOKUP(Table1[RespondentID],'All Data'!$A$3:$CO$999,88,FALSE),"unknown")</f>
        <v>54</v>
      </c>
      <c r="AX310" s="120" t="str">
        <f>IFERROR(VLOOKUP(Table1[RespondentID],'All Data'!$A$3:$CO$999,89,FALSE),"unknown")</f>
        <v>Suffolk</v>
      </c>
      <c r="AY310" s="120" t="str">
        <f>IFERROR(VLOOKUP(Table1[RespondentID],'All Data'!$A$3:$CO$999,90,FALSE),"unknown")</f>
        <v>Centereach, 11720</v>
      </c>
      <c r="AZ310" s="120" t="str">
        <f>IFERROR(VLOOKUP(Table1[RespondentID],'All Data'!$A$3:$CO$999,91,FALSE),"unknown")</f>
        <v>White</v>
      </c>
      <c r="BA310" s="120" t="str">
        <f>IFERROR(VLOOKUP(Table1[RespondentID],'All Data'!$A$3:$CO$999,92,FALSE),"unknown")</f>
        <v>Hispanic or Latino</v>
      </c>
      <c r="BB310" s="120" t="str">
        <f>IFERROR(VLOOKUP(Table1[RespondentID],'All Data'!$A$3:$CO$999,93,FALSE),"unknown")</f>
        <v>English</v>
      </c>
      <c r="BC310" s="120" t="str">
        <f>IFERROR(VLOOKUP(Table1[RespondentID],'All Data'!$A$3:$CW$999,94,FALSE),"unknown")</f>
        <v>Over $125,000</v>
      </c>
      <c r="BD310" s="120" t="str">
        <f>IFERROR(VLOOKUP(Table1[RespondentID],'All Data'!$A$3:$CW$999,95,FALSE),"unknown")</f>
        <v>Graduate school</v>
      </c>
      <c r="BE310" s="120" t="str">
        <f>IFERROR(VLOOKUP(Table1[RespondentID],'All Data'!$A$3:$CW$999,96,FALSE),"unknown")</f>
        <v>Employed for wages</v>
      </c>
      <c r="BF310" s="120" t="str">
        <f>IFERROR(VLOOKUP(Table1[RespondentID],'All Data'!$A$3:$CW$999,97,FALSE),"unknown")</f>
        <v>Yes</v>
      </c>
      <c r="BG310" s="120" t="str">
        <f>IFERROR(VLOOKUP(Table1[RespondentID],'All Data'!$A$3:$CW$999,98,FALSE),"unknown")</f>
        <v>Private/Commercial</v>
      </c>
      <c r="BH310" s="120" t="str">
        <f>IFERROR(VLOOKUP(Table1[RespondentID],'All Data'!$A$3:$CW$999,99,FALSE),"unknown")</f>
        <v>Yes</v>
      </c>
    </row>
    <row r="311" spans="1:60">
      <c r="A311" s="5">
        <v>18014731066</v>
      </c>
      <c r="B311" s="5" t="s">
        <v>49</v>
      </c>
      <c r="C311" s="5"/>
      <c r="D311" s="5"/>
      <c r="E311" s="5"/>
      <c r="F311" s="5"/>
      <c r="G311" s="5"/>
      <c r="H311" s="5"/>
      <c r="I311" s="5"/>
      <c r="J311" s="5"/>
      <c r="K311" s="5"/>
      <c r="L311" s="5"/>
      <c r="M311" s="5"/>
      <c r="N311" s="5"/>
      <c r="O311" s="5"/>
      <c r="P311" s="5" t="s">
        <v>60</v>
      </c>
      <c r="Q311" s="5"/>
      <c r="R311" s="5" t="s">
        <v>62</v>
      </c>
      <c r="S311" s="5"/>
      <c r="T311" s="37"/>
      <c r="U311" s="37">
        <f t="shared" si="92"/>
        <v>3</v>
      </c>
      <c r="V311" s="37">
        <f t="shared" si="93"/>
        <v>1</v>
      </c>
      <c r="W311" s="37"/>
      <c r="X311" s="37">
        <f t="shared" si="94"/>
        <v>1</v>
      </c>
      <c r="Y311" s="37">
        <f t="shared" si="95"/>
        <v>0</v>
      </c>
      <c r="Z311" s="37">
        <f t="shared" si="96"/>
        <v>0</v>
      </c>
      <c r="AA311" s="37">
        <f t="shared" si="97"/>
        <v>0</v>
      </c>
      <c r="AB311" s="37">
        <f t="shared" si="98"/>
        <v>0</v>
      </c>
      <c r="AC311" s="37">
        <f t="shared" si="99"/>
        <v>0</v>
      </c>
      <c r="AD311" s="37">
        <f t="shared" si="100"/>
        <v>0</v>
      </c>
      <c r="AE311" s="37">
        <f t="shared" si="101"/>
        <v>0</v>
      </c>
      <c r="AF311" s="37">
        <f t="shared" si="102"/>
        <v>0</v>
      </c>
      <c r="AG311" s="37">
        <f t="shared" si="103"/>
        <v>0</v>
      </c>
      <c r="AH311" s="37">
        <f t="shared" si="104"/>
        <v>0</v>
      </c>
      <c r="AI311" s="37">
        <f t="shared" si="105"/>
        <v>0</v>
      </c>
      <c r="AJ311" s="37">
        <f t="shared" si="106"/>
        <v>0</v>
      </c>
      <c r="AK311" s="37">
        <f t="shared" si="107"/>
        <v>0</v>
      </c>
      <c r="AL311" s="37">
        <f t="shared" si="108"/>
        <v>1</v>
      </c>
      <c r="AM311" s="37">
        <f t="shared" si="109"/>
        <v>0</v>
      </c>
      <c r="AN311" s="37">
        <f t="shared" si="110"/>
        <v>1</v>
      </c>
      <c r="AO311" s="37">
        <f t="shared" si="111"/>
        <v>0</v>
      </c>
      <c r="AP311" s="37"/>
      <c r="AQ311" s="37"/>
      <c r="AR311" s="37">
        <f t="shared" si="112"/>
        <v>3</v>
      </c>
      <c r="AS311" s="37">
        <f t="shared" si="113"/>
        <v>3</v>
      </c>
      <c r="AT311" s="37" t="str">
        <f t="shared" si="114"/>
        <v>Correct</v>
      </c>
      <c r="AU311" s="37"/>
      <c r="AV311" s="120" t="str">
        <f>IFERROR(VLOOKUP(Table1[RespondentID],'All Data'!$A$3:$CO$999,87,FALSE),"unknown")</f>
        <v>Man</v>
      </c>
      <c r="AW311" s="120">
        <f>IFERROR(VLOOKUP(Table1[RespondentID],'All Data'!$A$3:$CO$999,88,FALSE),"unknown")</f>
        <v>40</v>
      </c>
      <c r="AX311" s="120" t="str">
        <f>IFERROR(VLOOKUP(Table1[RespondentID],'All Data'!$A$3:$CO$999,89,FALSE),"unknown")</f>
        <v>Suffolk</v>
      </c>
      <c r="AY311" s="120" t="str">
        <f>IFERROR(VLOOKUP(Table1[RespondentID],'All Data'!$A$3:$CO$999,90,FALSE),"unknown")</f>
        <v>Nesconset, 11767</v>
      </c>
      <c r="AZ311" s="120" t="str">
        <f>IFERROR(VLOOKUP(Table1[RespondentID],'All Data'!$A$3:$CO$999,91,FALSE),"unknown")</f>
        <v>White</v>
      </c>
      <c r="BA311" s="120" t="str">
        <f>IFERROR(VLOOKUP(Table1[RespondentID],'All Data'!$A$3:$CO$999,92,FALSE),"unknown")</f>
        <v>Hispanic or Latino</v>
      </c>
      <c r="BB311" s="120" t="str">
        <f>IFERROR(VLOOKUP(Table1[RespondentID],'All Data'!$A$3:$CO$999,93,FALSE),"unknown")</f>
        <v>English</v>
      </c>
      <c r="BC311" s="120" t="str">
        <f>IFERROR(VLOOKUP(Table1[RespondentID],'All Data'!$A$3:$CW$999,94,FALSE),"unknown")</f>
        <v>Over $125,000</v>
      </c>
      <c r="BD311" s="120" t="str">
        <f>IFERROR(VLOOKUP(Table1[RespondentID],'All Data'!$A$3:$CW$999,95,FALSE),"unknown")</f>
        <v>Graduate school</v>
      </c>
      <c r="BE311" s="120" t="str">
        <f>IFERROR(VLOOKUP(Table1[RespondentID],'All Data'!$A$3:$CW$999,96,FALSE),"unknown")</f>
        <v>Employed for wages</v>
      </c>
      <c r="BF311" s="120" t="str">
        <f>IFERROR(VLOOKUP(Table1[RespondentID],'All Data'!$A$3:$CW$999,97,FALSE),"unknown")</f>
        <v>Yes</v>
      </c>
      <c r="BG311" s="120" t="str">
        <f>IFERROR(VLOOKUP(Table1[RespondentID],'All Data'!$A$3:$CW$999,98,FALSE),"unknown")</f>
        <v>Private/Commercial</v>
      </c>
      <c r="BH311" s="120" t="str">
        <f>IFERROR(VLOOKUP(Table1[RespondentID],'All Data'!$A$3:$CW$999,99,FALSE),"unknown")</f>
        <v>Yes</v>
      </c>
    </row>
    <row r="312" spans="1:60">
      <c r="A312" s="5">
        <v>18014717463</v>
      </c>
      <c r="B312" s="5"/>
      <c r="C312" s="5"/>
      <c r="D312" s="5" t="s">
        <v>51</v>
      </c>
      <c r="E312" s="5"/>
      <c r="F312" s="5" t="s">
        <v>52</v>
      </c>
      <c r="G312" s="5"/>
      <c r="H312" s="5"/>
      <c r="I312" s="5"/>
      <c r="J312" s="5"/>
      <c r="K312" s="5"/>
      <c r="L312" s="5"/>
      <c r="M312" s="5"/>
      <c r="N312" s="5"/>
      <c r="O312" s="5"/>
      <c r="P312" s="5"/>
      <c r="Q312" s="5"/>
      <c r="R312" s="5" t="s">
        <v>62</v>
      </c>
      <c r="S312" s="5"/>
      <c r="T312" s="37"/>
      <c r="U312" s="37">
        <f t="shared" si="92"/>
        <v>3</v>
      </c>
      <c r="V312" s="37">
        <f t="shared" si="93"/>
        <v>1</v>
      </c>
      <c r="W312" s="37"/>
      <c r="X312" s="37">
        <f t="shared" si="94"/>
        <v>0</v>
      </c>
      <c r="Y312" s="37">
        <f t="shared" si="95"/>
        <v>0</v>
      </c>
      <c r="Z312" s="37">
        <f t="shared" si="96"/>
        <v>1</v>
      </c>
      <c r="AA312" s="37">
        <f t="shared" si="97"/>
        <v>0</v>
      </c>
      <c r="AB312" s="37">
        <f t="shared" si="98"/>
        <v>1</v>
      </c>
      <c r="AC312" s="37">
        <f t="shared" si="99"/>
        <v>0</v>
      </c>
      <c r="AD312" s="37">
        <f t="shared" si="100"/>
        <v>0</v>
      </c>
      <c r="AE312" s="37">
        <f t="shared" si="101"/>
        <v>0</v>
      </c>
      <c r="AF312" s="37">
        <f t="shared" si="102"/>
        <v>0</v>
      </c>
      <c r="AG312" s="37">
        <f t="shared" si="103"/>
        <v>0</v>
      </c>
      <c r="AH312" s="37">
        <f t="shared" si="104"/>
        <v>0</v>
      </c>
      <c r="AI312" s="37">
        <f t="shared" si="105"/>
        <v>0</v>
      </c>
      <c r="AJ312" s="37">
        <f t="shared" si="106"/>
        <v>0</v>
      </c>
      <c r="AK312" s="37">
        <f t="shared" si="107"/>
        <v>0</v>
      </c>
      <c r="AL312" s="37">
        <f t="shared" si="108"/>
        <v>0</v>
      </c>
      <c r="AM312" s="37">
        <f t="shared" si="109"/>
        <v>0</v>
      </c>
      <c r="AN312" s="37">
        <f t="shared" si="110"/>
        <v>1</v>
      </c>
      <c r="AO312" s="37">
        <f t="shared" si="111"/>
        <v>0</v>
      </c>
      <c r="AP312" s="37"/>
      <c r="AQ312" s="37"/>
      <c r="AR312" s="37">
        <f t="shared" si="112"/>
        <v>3</v>
      </c>
      <c r="AS312" s="37">
        <f t="shared" si="113"/>
        <v>3</v>
      </c>
      <c r="AT312" s="37" t="str">
        <f t="shared" si="114"/>
        <v>Correct</v>
      </c>
      <c r="AU312" s="37"/>
      <c r="AV312" s="120" t="str">
        <f>IFERROR(VLOOKUP(Table1[RespondentID],'All Data'!$A$3:$CO$999,87,FALSE),"unknown")</f>
        <v>Man</v>
      </c>
      <c r="AW312" s="120">
        <f>IFERROR(VLOOKUP(Table1[RespondentID],'All Data'!$A$3:$CO$999,88,FALSE),"unknown")</f>
        <v>36</v>
      </c>
      <c r="AX312" s="120" t="str">
        <f>IFERROR(VLOOKUP(Table1[RespondentID],'All Data'!$A$3:$CO$999,89,FALSE),"unknown")</f>
        <v>Nassau</v>
      </c>
      <c r="AY312" s="120" t="str">
        <f>IFERROR(VLOOKUP(Table1[RespondentID],'All Data'!$A$3:$CO$999,90,FALSE),"unknown")</f>
        <v>Alden Manor, 11003</v>
      </c>
      <c r="AZ312" s="120" t="str">
        <f>IFERROR(VLOOKUP(Table1[RespondentID],'All Data'!$A$3:$CO$999,91,FALSE),"unknown")</f>
        <v>American Indian and Alaska Native</v>
      </c>
      <c r="BA312" s="120" t="str">
        <f>IFERROR(VLOOKUP(Table1[RespondentID],'All Data'!$A$3:$CO$999,92,FALSE),"unknown")</f>
        <v>Not Hispanic or Latino</v>
      </c>
      <c r="BB312" s="120" t="str">
        <f>IFERROR(VLOOKUP(Table1[RespondentID],'All Data'!$A$3:$CO$999,93,FALSE),"unknown")</f>
        <v>English</v>
      </c>
      <c r="BC312" s="120" t="str">
        <f>IFERROR(VLOOKUP(Table1[RespondentID],'All Data'!$A$3:$CW$999,94,FALSE),"unknown")</f>
        <v>$50,000 to $74,999</v>
      </c>
      <c r="BD312" s="120" t="str">
        <f>IFERROR(VLOOKUP(Table1[RespondentID],'All Data'!$A$3:$CW$999,95,FALSE),"unknown")</f>
        <v>College graduate</v>
      </c>
      <c r="BE312" s="120" t="str">
        <f>IFERROR(VLOOKUP(Table1[RespondentID],'All Data'!$A$3:$CW$999,96,FALSE),"unknown")</f>
        <v>Employed for wages</v>
      </c>
      <c r="BF312" s="120" t="str">
        <f>IFERROR(VLOOKUP(Table1[RespondentID],'All Data'!$A$3:$CW$999,97,FALSE),"unknown")</f>
        <v>Yes</v>
      </c>
      <c r="BG312" s="120" t="str">
        <f>IFERROR(VLOOKUP(Table1[RespondentID],'All Data'!$A$3:$CW$999,98,FALSE),"unknown")</f>
        <v>Private/Commercial</v>
      </c>
      <c r="BH312" s="120" t="str">
        <f>IFERROR(VLOOKUP(Table1[RespondentID],'All Data'!$A$3:$CW$999,99,FALSE),"unknown")</f>
        <v>Yes</v>
      </c>
    </row>
    <row r="313" spans="1:60">
      <c r="A313" s="5">
        <v>18014645318</v>
      </c>
      <c r="B313" s="5"/>
      <c r="C313" s="5"/>
      <c r="D313" s="5"/>
      <c r="E313" s="5"/>
      <c r="F313" s="5" t="s">
        <v>52</v>
      </c>
      <c r="G313" s="5"/>
      <c r="H313" s="5"/>
      <c r="I313" s="5"/>
      <c r="J313" s="5"/>
      <c r="K313" s="5" t="s">
        <v>57</v>
      </c>
      <c r="L313" s="5"/>
      <c r="M313" s="5"/>
      <c r="N313" s="5"/>
      <c r="O313" s="5"/>
      <c r="P313" s="5"/>
      <c r="Q313" s="5"/>
      <c r="R313" s="5" t="s">
        <v>62</v>
      </c>
      <c r="S313" s="5"/>
      <c r="T313" s="37"/>
      <c r="U313" s="37">
        <f t="shared" si="92"/>
        <v>3</v>
      </c>
      <c r="V313" s="37">
        <f t="shared" si="93"/>
        <v>1</v>
      </c>
      <c r="W313" s="37"/>
      <c r="X313" s="37">
        <f t="shared" si="94"/>
        <v>0</v>
      </c>
      <c r="Y313" s="37">
        <f t="shared" si="95"/>
        <v>0</v>
      </c>
      <c r="Z313" s="37">
        <f t="shared" si="96"/>
        <v>0</v>
      </c>
      <c r="AA313" s="37">
        <f t="shared" si="97"/>
        <v>0</v>
      </c>
      <c r="AB313" s="37">
        <f t="shared" si="98"/>
        <v>1</v>
      </c>
      <c r="AC313" s="37">
        <f t="shared" si="99"/>
        <v>0</v>
      </c>
      <c r="AD313" s="37">
        <f t="shared" si="100"/>
        <v>0</v>
      </c>
      <c r="AE313" s="37">
        <f t="shared" si="101"/>
        <v>0</v>
      </c>
      <c r="AF313" s="37">
        <f t="shared" si="102"/>
        <v>0</v>
      </c>
      <c r="AG313" s="37">
        <f t="shared" si="103"/>
        <v>1</v>
      </c>
      <c r="AH313" s="37">
        <f t="shared" si="104"/>
        <v>0</v>
      </c>
      <c r="AI313" s="37">
        <f t="shared" si="105"/>
        <v>0</v>
      </c>
      <c r="AJ313" s="37">
        <f t="shared" si="106"/>
        <v>0</v>
      </c>
      <c r="AK313" s="37">
        <f t="shared" si="107"/>
        <v>0</v>
      </c>
      <c r="AL313" s="37">
        <f t="shared" si="108"/>
        <v>0</v>
      </c>
      <c r="AM313" s="37">
        <f t="shared" si="109"/>
        <v>0</v>
      </c>
      <c r="AN313" s="37">
        <f t="shared" si="110"/>
        <v>1</v>
      </c>
      <c r="AO313" s="37">
        <f t="shared" si="111"/>
        <v>0</v>
      </c>
      <c r="AP313" s="37"/>
      <c r="AQ313" s="37"/>
      <c r="AR313" s="37">
        <f t="shared" si="112"/>
        <v>3</v>
      </c>
      <c r="AS313" s="37">
        <f t="shared" si="113"/>
        <v>3</v>
      </c>
      <c r="AT313" s="37" t="str">
        <f t="shared" si="114"/>
        <v>Correct</v>
      </c>
      <c r="AU313" s="37"/>
      <c r="AV313" s="120" t="str">
        <f>IFERROR(VLOOKUP(Table1[RespondentID],'All Data'!$A$3:$CO$999,87,FALSE),"unknown")</f>
        <v>Man</v>
      </c>
      <c r="AW313" s="120">
        <f>IFERROR(VLOOKUP(Table1[RespondentID],'All Data'!$A$3:$CO$999,88,FALSE),"unknown")</f>
        <v>55</v>
      </c>
      <c r="AX313" s="120" t="str">
        <f>IFERROR(VLOOKUP(Table1[RespondentID],'All Data'!$A$3:$CO$999,89,FALSE),"unknown")</f>
        <v>Suffolk</v>
      </c>
      <c r="AY313" s="120" t="str">
        <f>IFERROR(VLOOKUP(Table1[RespondentID],'All Data'!$A$3:$CO$999,90,FALSE),"unknown")</f>
        <v>Babylon, 11702</v>
      </c>
      <c r="AZ313" s="120" t="str">
        <f>IFERROR(VLOOKUP(Table1[RespondentID],'All Data'!$A$3:$CO$999,91,FALSE),"unknown")</f>
        <v>White</v>
      </c>
      <c r="BA313" s="120" t="str">
        <f>IFERROR(VLOOKUP(Table1[RespondentID],'All Data'!$A$3:$CO$999,92,FALSE),"unknown")</f>
        <v>Hispanic or Latino</v>
      </c>
      <c r="BB313" s="120" t="str">
        <f>IFERROR(VLOOKUP(Table1[RespondentID],'All Data'!$A$3:$CO$999,93,FALSE),"unknown")</f>
        <v>English</v>
      </c>
      <c r="BC313" s="120" t="str">
        <f>IFERROR(VLOOKUP(Table1[RespondentID],'All Data'!$A$3:$CW$999,94,FALSE),"unknown")</f>
        <v>$20,000 to $34,999</v>
      </c>
      <c r="BD313" s="120" t="str">
        <f>IFERROR(VLOOKUP(Table1[RespondentID],'All Data'!$A$3:$CW$999,95,FALSE),"unknown")</f>
        <v>Some college</v>
      </c>
      <c r="BE313" s="120" t="str">
        <f>IFERROR(VLOOKUP(Table1[RespondentID],'All Data'!$A$3:$CW$999,96,FALSE),"unknown")</f>
        <v>Employed for wages</v>
      </c>
      <c r="BF313" s="120" t="str">
        <f>IFERROR(VLOOKUP(Table1[RespondentID],'All Data'!$A$3:$CW$999,97,FALSE),"unknown")</f>
        <v>Yes</v>
      </c>
      <c r="BG313" s="120" t="str">
        <f>IFERROR(VLOOKUP(Table1[RespondentID],'All Data'!$A$3:$CW$999,98,FALSE),"unknown")</f>
        <v>Private/Commercial</v>
      </c>
      <c r="BH313" s="120" t="str">
        <f>IFERROR(VLOOKUP(Table1[RespondentID],'All Data'!$A$3:$CW$999,99,FALSE),"unknown")</f>
        <v>Yes</v>
      </c>
    </row>
    <row r="314" spans="1:60">
      <c r="A314" s="5">
        <v>18014644097</v>
      </c>
      <c r="B314" s="5"/>
      <c r="C314" s="5"/>
      <c r="D314" s="5" t="s">
        <v>51</v>
      </c>
      <c r="E314" s="5"/>
      <c r="F314" s="5"/>
      <c r="G314" s="5"/>
      <c r="H314" s="5"/>
      <c r="I314" s="5"/>
      <c r="J314" s="5"/>
      <c r="K314" s="5"/>
      <c r="L314" s="5"/>
      <c r="M314" s="5" t="s">
        <v>59</v>
      </c>
      <c r="N314" s="5"/>
      <c r="O314" s="5"/>
      <c r="P314" s="5"/>
      <c r="Q314" s="5" t="s">
        <v>61</v>
      </c>
      <c r="R314" s="5"/>
      <c r="S314" s="5"/>
      <c r="T314" s="37"/>
      <c r="U314" s="37">
        <f t="shared" si="92"/>
        <v>3</v>
      </c>
      <c r="V314" s="37">
        <f t="shared" si="93"/>
        <v>1</v>
      </c>
      <c r="W314" s="37"/>
      <c r="X314" s="37">
        <f t="shared" si="94"/>
        <v>0</v>
      </c>
      <c r="Y314" s="37">
        <f t="shared" si="95"/>
        <v>0</v>
      </c>
      <c r="Z314" s="37">
        <f t="shared" si="96"/>
        <v>1</v>
      </c>
      <c r="AA314" s="37">
        <f t="shared" si="97"/>
        <v>0</v>
      </c>
      <c r="AB314" s="37">
        <f t="shared" si="98"/>
        <v>0</v>
      </c>
      <c r="AC314" s="37">
        <f t="shared" si="99"/>
        <v>0</v>
      </c>
      <c r="AD314" s="37">
        <f t="shared" si="100"/>
        <v>0</v>
      </c>
      <c r="AE314" s="37">
        <f t="shared" si="101"/>
        <v>0</v>
      </c>
      <c r="AF314" s="37">
        <f t="shared" si="102"/>
        <v>0</v>
      </c>
      <c r="AG314" s="37">
        <f t="shared" si="103"/>
        <v>0</v>
      </c>
      <c r="AH314" s="37">
        <f t="shared" si="104"/>
        <v>0</v>
      </c>
      <c r="AI314" s="37">
        <f t="shared" si="105"/>
        <v>1</v>
      </c>
      <c r="AJ314" s="37">
        <f t="shared" si="106"/>
        <v>0</v>
      </c>
      <c r="AK314" s="37">
        <f t="shared" si="107"/>
        <v>0</v>
      </c>
      <c r="AL314" s="37">
        <f t="shared" si="108"/>
        <v>0</v>
      </c>
      <c r="AM314" s="37">
        <f t="shared" si="109"/>
        <v>1</v>
      </c>
      <c r="AN314" s="37">
        <f t="shared" si="110"/>
        <v>0</v>
      </c>
      <c r="AO314" s="37">
        <f t="shared" si="111"/>
        <v>0</v>
      </c>
      <c r="AP314" s="37"/>
      <c r="AQ314" s="37"/>
      <c r="AR314" s="37">
        <f t="shared" si="112"/>
        <v>3</v>
      </c>
      <c r="AS314" s="37">
        <f t="shared" si="113"/>
        <v>3</v>
      </c>
      <c r="AT314" s="37" t="str">
        <f t="shared" si="114"/>
        <v>Correct</v>
      </c>
      <c r="AU314" s="37"/>
      <c r="AV314" s="120" t="str">
        <f>IFERROR(VLOOKUP(Table1[RespondentID],'All Data'!$A$3:$CO$999,87,FALSE),"unknown")</f>
        <v>Man</v>
      </c>
      <c r="AW314" s="120">
        <f>IFERROR(VLOOKUP(Table1[RespondentID],'All Data'!$A$3:$CO$999,88,FALSE),"unknown")</f>
        <v>73</v>
      </c>
      <c r="AX314" s="120" t="str">
        <f>IFERROR(VLOOKUP(Table1[RespondentID],'All Data'!$A$3:$CO$999,89,FALSE),"unknown")</f>
        <v>Suffolk</v>
      </c>
      <c r="AY314" s="120" t="str">
        <f>IFERROR(VLOOKUP(Table1[RespondentID],'All Data'!$A$3:$CO$999,90,FALSE),"unknown")</f>
        <v>Port Jefferson Station, 11776</v>
      </c>
      <c r="AZ314" s="120" t="str">
        <f>IFERROR(VLOOKUP(Table1[RespondentID],'All Data'!$A$3:$CO$999,91,FALSE),"unknown")</f>
        <v>White</v>
      </c>
      <c r="BA314" s="120" t="str">
        <f>IFERROR(VLOOKUP(Table1[RespondentID],'All Data'!$A$3:$CO$999,92,FALSE),"unknown")</f>
        <v>Hispanic or Latino</v>
      </c>
      <c r="BB314" s="120" t="str">
        <f>IFERROR(VLOOKUP(Table1[RespondentID],'All Data'!$A$3:$CO$999,93,FALSE),"unknown")</f>
        <v>English</v>
      </c>
      <c r="BC314" s="120" t="str">
        <f>IFERROR(VLOOKUP(Table1[RespondentID],'All Data'!$A$3:$CW$999,94,FALSE),"unknown")</f>
        <v>$75,000 to $125,000</v>
      </c>
      <c r="BD314" s="120" t="str">
        <f>IFERROR(VLOOKUP(Table1[RespondentID],'All Data'!$A$3:$CW$999,95,FALSE),"unknown")</f>
        <v>College graduate</v>
      </c>
      <c r="BE314" s="120" t="str">
        <f>IFERROR(VLOOKUP(Table1[RespondentID],'All Data'!$A$3:$CW$999,96,FALSE),"unknown")</f>
        <v>Employed for wages</v>
      </c>
      <c r="BF314" s="120" t="str">
        <f>IFERROR(VLOOKUP(Table1[RespondentID],'All Data'!$A$3:$CW$999,97,FALSE),"unknown")</f>
        <v>Yes</v>
      </c>
      <c r="BG314" s="120" t="str">
        <f>IFERROR(VLOOKUP(Table1[RespondentID],'All Data'!$A$3:$CW$999,98,FALSE),"unknown")</f>
        <v>Private/Commercial</v>
      </c>
      <c r="BH314" s="120" t="str">
        <f>IFERROR(VLOOKUP(Table1[RespondentID],'All Data'!$A$3:$CW$999,99,FALSE),"unknown")</f>
        <v>Yes</v>
      </c>
    </row>
    <row r="315" spans="1:60">
      <c r="A315" s="5">
        <v>18014642721</v>
      </c>
      <c r="B315" s="5"/>
      <c r="C315" s="5" t="s">
        <v>50</v>
      </c>
      <c r="D315" s="5" t="s">
        <v>51</v>
      </c>
      <c r="E315" s="5" t="s">
        <v>17</v>
      </c>
      <c r="F315" s="5"/>
      <c r="G315" s="5"/>
      <c r="H315" s="5"/>
      <c r="I315" s="5" t="s">
        <v>55</v>
      </c>
      <c r="J315" s="5"/>
      <c r="K315" s="5"/>
      <c r="L315" s="5"/>
      <c r="M315" s="5"/>
      <c r="N315" s="5" t="s">
        <v>24</v>
      </c>
      <c r="O315" s="5"/>
      <c r="P315" s="5"/>
      <c r="Q315" s="5"/>
      <c r="R315" s="5"/>
      <c r="S315" s="5"/>
      <c r="T315" s="37"/>
      <c r="U315" s="37">
        <f t="shared" si="92"/>
        <v>5</v>
      </c>
      <c r="V315" s="37">
        <f t="shared" si="93"/>
        <v>0.6</v>
      </c>
      <c r="W315" s="37"/>
      <c r="X315" s="37">
        <f t="shared" si="94"/>
        <v>0</v>
      </c>
      <c r="Y315" s="37">
        <f t="shared" si="95"/>
        <v>0.6</v>
      </c>
      <c r="Z315" s="37">
        <f t="shared" si="96"/>
        <v>0.6</v>
      </c>
      <c r="AA315" s="37">
        <f t="shared" si="97"/>
        <v>0.6</v>
      </c>
      <c r="AB315" s="37">
        <f t="shared" si="98"/>
        <v>0</v>
      </c>
      <c r="AC315" s="37">
        <f t="shared" si="99"/>
        <v>0</v>
      </c>
      <c r="AD315" s="37">
        <f t="shared" si="100"/>
        <v>0</v>
      </c>
      <c r="AE315" s="37">
        <f t="shared" si="101"/>
        <v>0.6</v>
      </c>
      <c r="AF315" s="37">
        <f t="shared" si="102"/>
        <v>0</v>
      </c>
      <c r="AG315" s="37">
        <f t="shared" si="103"/>
        <v>0</v>
      </c>
      <c r="AH315" s="37">
        <f t="shared" si="104"/>
        <v>0</v>
      </c>
      <c r="AI315" s="37">
        <f t="shared" si="105"/>
        <v>0</v>
      </c>
      <c r="AJ315" s="37">
        <f t="shared" si="106"/>
        <v>0.6</v>
      </c>
      <c r="AK315" s="37">
        <f t="shared" si="107"/>
        <v>0</v>
      </c>
      <c r="AL315" s="37">
        <f t="shared" si="108"/>
        <v>0</v>
      </c>
      <c r="AM315" s="37">
        <f t="shared" si="109"/>
        <v>0</v>
      </c>
      <c r="AN315" s="37">
        <f t="shared" si="110"/>
        <v>0</v>
      </c>
      <c r="AO315" s="37">
        <f t="shared" si="111"/>
        <v>0</v>
      </c>
      <c r="AP315" s="37"/>
      <c r="AQ315" s="37"/>
      <c r="AR315" s="37">
        <f t="shared" si="112"/>
        <v>3</v>
      </c>
      <c r="AS315" s="37">
        <f t="shared" si="113"/>
        <v>5</v>
      </c>
      <c r="AT315" s="37" t="str">
        <f t="shared" si="114"/>
        <v>Correct</v>
      </c>
      <c r="AU315" s="37"/>
      <c r="AV315" s="120" t="str">
        <f>IFERROR(VLOOKUP(Table1[RespondentID],'All Data'!$A$3:$CO$999,87,FALSE),"unknown")</f>
        <v>Woman</v>
      </c>
      <c r="AW315" s="120">
        <f>IFERROR(VLOOKUP(Table1[RespondentID],'All Data'!$A$3:$CO$999,88,FALSE),"unknown")</f>
        <v>57</v>
      </c>
      <c r="AX315" s="120" t="str">
        <f>IFERROR(VLOOKUP(Table1[RespondentID],'All Data'!$A$3:$CO$999,89,FALSE),"unknown")</f>
        <v>Suffolk</v>
      </c>
      <c r="AY315" s="120" t="str">
        <f>IFERROR(VLOOKUP(Table1[RespondentID],'All Data'!$A$3:$CO$999,90,FALSE),"unknown")</f>
        <v>Port Jefferson Station, 11776</v>
      </c>
      <c r="AZ315" s="120" t="str">
        <f>IFERROR(VLOOKUP(Table1[RespondentID],'All Data'!$A$3:$CO$999,91,FALSE),"unknown")</f>
        <v>White</v>
      </c>
      <c r="BA315" s="120" t="str">
        <f>IFERROR(VLOOKUP(Table1[RespondentID],'All Data'!$A$3:$CO$999,92,FALSE),"unknown")</f>
        <v>Hispanic or Latino</v>
      </c>
      <c r="BB315" s="120" t="str">
        <f>IFERROR(VLOOKUP(Table1[RespondentID],'All Data'!$A$3:$CO$999,93,FALSE),"unknown")</f>
        <v>English</v>
      </c>
      <c r="BC315" s="120" t="str">
        <f>IFERROR(VLOOKUP(Table1[RespondentID],'All Data'!$A$3:$CW$999,94,FALSE),"unknown")</f>
        <v>$75,000 to $125,000</v>
      </c>
      <c r="BD315" s="120" t="str">
        <f>IFERROR(VLOOKUP(Table1[RespondentID],'All Data'!$A$3:$CW$999,95,FALSE),"unknown")</f>
        <v>Some college</v>
      </c>
      <c r="BE315" s="120" t="str">
        <f>IFERROR(VLOOKUP(Table1[RespondentID],'All Data'!$A$3:$CW$999,96,FALSE),"unknown")</f>
        <v>Retired</v>
      </c>
      <c r="BF315" s="120" t="str">
        <f>IFERROR(VLOOKUP(Table1[RespondentID],'All Data'!$A$3:$CW$999,97,FALSE),"unknown")</f>
        <v>Yes</v>
      </c>
      <c r="BG315" s="120" t="str">
        <f>IFERROR(VLOOKUP(Table1[RespondentID],'All Data'!$A$3:$CW$999,98,FALSE),"unknown")</f>
        <v>Private/Commercial</v>
      </c>
      <c r="BH315" s="120" t="str">
        <f>IFERROR(VLOOKUP(Table1[RespondentID],'All Data'!$A$3:$CW$999,99,FALSE),"unknown")</f>
        <v>Yes</v>
      </c>
    </row>
    <row r="316" spans="1:60">
      <c r="A316" s="5">
        <v>18014642355</v>
      </c>
      <c r="B316" s="5"/>
      <c r="C316" s="5" t="s">
        <v>50</v>
      </c>
      <c r="D316" s="5" t="s">
        <v>51</v>
      </c>
      <c r="E316" s="5"/>
      <c r="F316" s="5"/>
      <c r="G316" s="5" t="s">
        <v>53</v>
      </c>
      <c r="H316" s="5"/>
      <c r="I316" s="5" t="s">
        <v>55</v>
      </c>
      <c r="J316" s="5"/>
      <c r="K316" s="5"/>
      <c r="L316" s="5"/>
      <c r="M316" s="5"/>
      <c r="N316" s="5"/>
      <c r="O316" s="5"/>
      <c r="P316" s="5"/>
      <c r="Q316" s="5"/>
      <c r="R316" s="5"/>
      <c r="S316" s="5" t="s">
        <v>63</v>
      </c>
      <c r="T316" s="37"/>
      <c r="U316" s="37">
        <f t="shared" si="92"/>
        <v>5</v>
      </c>
      <c r="V316" s="37">
        <f t="shared" si="93"/>
        <v>0.6</v>
      </c>
      <c r="W316" s="37"/>
      <c r="X316" s="37">
        <f t="shared" si="94"/>
        <v>0</v>
      </c>
      <c r="Y316" s="37">
        <f t="shared" si="95"/>
        <v>0.6</v>
      </c>
      <c r="Z316" s="37">
        <f t="shared" si="96"/>
        <v>0.6</v>
      </c>
      <c r="AA316" s="37">
        <f t="shared" si="97"/>
        <v>0</v>
      </c>
      <c r="AB316" s="37">
        <f t="shared" si="98"/>
        <v>0</v>
      </c>
      <c r="AC316" s="37">
        <f t="shared" si="99"/>
        <v>0.6</v>
      </c>
      <c r="AD316" s="37">
        <f t="shared" si="100"/>
        <v>0</v>
      </c>
      <c r="AE316" s="37">
        <f t="shared" si="101"/>
        <v>0.6</v>
      </c>
      <c r="AF316" s="37">
        <f t="shared" si="102"/>
        <v>0</v>
      </c>
      <c r="AG316" s="37">
        <f t="shared" si="103"/>
        <v>0</v>
      </c>
      <c r="AH316" s="37">
        <f t="shared" si="104"/>
        <v>0</v>
      </c>
      <c r="AI316" s="37">
        <f t="shared" si="105"/>
        <v>0</v>
      </c>
      <c r="AJ316" s="37">
        <f t="shared" si="106"/>
        <v>0</v>
      </c>
      <c r="AK316" s="37">
        <f t="shared" si="107"/>
        <v>0</v>
      </c>
      <c r="AL316" s="37">
        <f t="shared" si="108"/>
        <v>0</v>
      </c>
      <c r="AM316" s="37">
        <f t="shared" si="109"/>
        <v>0</v>
      </c>
      <c r="AN316" s="37">
        <f t="shared" si="110"/>
        <v>0</v>
      </c>
      <c r="AO316" s="37">
        <f t="shared" si="111"/>
        <v>0.6</v>
      </c>
      <c r="AP316" s="37"/>
      <c r="AQ316" s="37"/>
      <c r="AR316" s="37">
        <f t="shared" si="112"/>
        <v>3</v>
      </c>
      <c r="AS316" s="37">
        <f t="shared" si="113"/>
        <v>5</v>
      </c>
      <c r="AT316" s="37" t="str">
        <f t="shared" si="114"/>
        <v>Correct</v>
      </c>
      <c r="AU316" s="37"/>
      <c r="AV316" s="120" t="str">
        <f>IFERROR(VLOOKUP(Table1[RespondentID],'All Data'!$A$3:$CO$999,87,FALSE),"unknown")</f>
        <v>Man</v>
      </c>
      <c r="AW316" s="120">
        <f>IFERROR(VLOOKUP(Table1[RespondentID],'All Data'!$A$3:$CO$999,88,FALSE),"unknown")</f>
        <v>31</v>
      </c>
      <c r="AX316" s="120" t="str">
        <f>IFERROR(VLOOKUP(Table1[RespondentID],'All Data'!$A$3:$CO$999,89,FALSE),"unknown")</f>
        <v>Suffolk</v>
      </c>
      <c r="AY316" s="120" t="str">
        <f>IFERROR(VLOOKUP(Table1[RespondentID],'All Data'!$A$3:$CO$999,90,FALSE),"unknown")</f>
        <v>Port Jefferson Station, 11776</v>
      </c>
      <c r="AZ316" s="120" t="str">
        <f>IFERROR(VLOOKUP(Table1[RespondentID],'All Data'!$A$3:$CO$999,91,FALSE),"unknown")</f>
        <v>White</v>
      </c>
      <c r="BA316" s="120" t="str">
        <f>IFERROR(VLOOKUP(Table1[RespondentID],'All Data'!$A$3:$CO$999,92,FALSE),"unknown")</f>
        <v>Hispanic or Latino</v>
      </c>
      <c r="BB316" s="120" t="str">
        <f>IFERROR(VLOOKUP(Table1[RespondentID],'All Data'!$A$3:$CO$999,93,FALSE),"unknown")</f>
        <v>English</v>
      </c>
      <c r="BC316" s="120" t="str">
        <f>IFERROR(VLOOKUP(Table1[RespondentID],'All Data'!$A$3:$CW$999,94,FALSE),"unknown")</f>
        <v>Over $125,000</v>
      </c>
      <c r="BD316" s="120" t="str">
        <f>IFERROR(VLOOKUP(Table1[RespondentID],'All Data'!$A$3:$CW$999,95,FALSE),"unknown")</f>
        <v>College graduate</v>
      </c>
      <c r="BE316" s="120" t="str">
        <f>IFERROR(VLOOKUP(Table1[RespondentID],'All Data'!$A$3:$CW$999,96,FALSE),"unknown")</f>
        <v>Employed for wages</v>
      </c>
      <c r="BF316" s="120" t="str">
        <f>IFERROR(VLOOKUP(Table1[RespondentID],'All Data'!$A$3:$CW$999,97,FALSE),"unknown")</f>
        <v>Yes</v>
      </c>
      <c r="BG316" s="120" t="str">
        <f>IFERROR(VLOOKUP(Table1[RespondentID],'All Data'!$A$3:$CW$999,98,FALSE),"unknown")</f>
        <v>Private/Commercial</v>
      </c>
      <c r="BH316" s="120" t="str">
        <f>IFERROR(VLOOKUP(Table1[RespondentID],'All Data'!$A$3:$CW$999,99,FALSE),"unknown")</f>
        <v>Yes</v>
      </c>
    </row>
    <row r="317" spans="1:60">
      <c r="A317" s="5">
        <v>18014635603</v>
      </c>
      <c r="B317" s="5"/>
      <c r="C317" s="5"/>
      <c r="D317" s="5" t="s">
        <v>51</v>
      </c>
      <c r="E317" s="5"/>
      <c r="F317" s="5"/>
      <c r="G317" s="5"/>
      <c r="H317" s="5"/>
      <c r="I317" s="5"/>
      <c r="J317" s="5"/>
      <c r="K317" s="5"/>
      <c r="L317" s="5"/>
      <c r="M317" s="5" t="s">
        <v>59</v>
      </c>
      <c r="N317" s="5"/>
      <c r="O317" s="5"/>
      <c r="P317" s="5"/>
      <c r="Q317" s="5"/>
      <c r="R317" s="5" t="s">
        <v>62</v>
      </c>
      <c r="S317" s="5"/>
      <c r="T317" s="37"/>
      <c r="U317" s="37">
        <f t="shared" si="92"/>
        <v>3</v>
      </c>
      <c r="V317" s="37">
        <f t="shared" si="93"/>
        <v>1</v>
      </c>
      <c r="W317" s="37"/>
      <c r="X317" s="37">
        <f t="shared" si="94"/>
        <v>0</v>
      </c>
      <c r="Y317" s="37">
        <f t="shared" si="95"/>
        <v>0</v>
      </c>
      <c r="Z317" s="37">
        <f t="shared" si="96"/>
        <v>1</v>
      </c>
      <c r="AA317" s="37">
        <f t="shared" si="97"/>
        <v>0</v>
      </c>
      <c r="AB317" s="37">
        <f t="shared" si="98"/>
        <v>0</v>
      </c>
      <c r="AC317" s="37">
        <f t="shared" si="99"/>
        <v>0</v>
      </c>
      <c r="AD317" s="37">
        <f t="shared" si="100"/>
        <v>0</v>
      </c>
      <c r="AE317" s="37">
        <f t="shared" si="101"/>
        <v>0</v>
      </c>
      <c r="AF317" s="37">
        <f t="shared" si="102"/>
        <v>0</v>
      </c>
      <c r="AG317" s="37">
        <f t="shared" si="103"/>
        <v>0</v>
      </c>
      <c r="AH317" s="37">
        <f t="shared" si="104"/>
        <v>0</v>
      </c>
      <c r="AI317" s="37">
        <f t="shared" si="105"/>
        <v>1</v>
      </c>
      <c r="AJ317" s="37">
        <f t="shared" si="106"/>
        <v>0</v>
      </c>
      <c r="AK317" s="37">
        <f t="shared" si="107"/>
        <v>0</v>
      </c>
      <c r="AL317" s="37">
        <f t="shared" si="108"/>
        <v>0</v>
      </c>
      <c r="AM317" s="37">
        <f t="shared" si="109"/>
        <v>0</v>
      </c>
      <c r="AN317" s="37">
        <f t="shared" si="110"/>
        <v>1</v>
      </c>
      <c r="AO317" s="37">
        <f t="shared" si="111"/>
        <v>0</v>
      </c>
      <c r="AP317" s="37"/>
      <c r="AQ317" s="37"/>
      <c r="AR317" s="37">
        <f t="shared" si="112"/>
        <v>3</v>
      </c>
      <c r="AS317" s="37">
        <f t="shared" si="113"/>
        <v>3</v>
      </c>
      <c r="AT317" s="37" t="str">
        <f t="shared" si="114"/>
        <v>Correct</v>
      </c>
      <c r="AU317" s="37"/>
      <c r="AV317" s="120" t="str">
        <f>IFERROR(VLOOKUP(Table1[RespondentID],'All Data'!$A$3:$CO$999,87,FALSE),"unknown")</f>
        <v>Man</v>
      </c>
      <c r="AW317" s="120">
        <f>IFERROR(VLOOKUP(Table1[RespondentID],'All Data'!$A$3:$CO$999,88,FALSE),"unknown")</f>
        <v>18</v>
      </c>
      <c r="AX317" s="120" t="str">
        <f>IFERROR(VLOOKUP(Table1[RespondentID],'All Data'!$A$3:$CO$999,89,FALSE),"unknown")</f>
        <v>Nassau</v>
      </c>
      <c r="AY317" s="120" t="str">
        <f>IFERROR(VLOOKUP(Table1[RespondentID],'All Data'!$A$3:$CO$999,90,FALSE),"unknown")</f>
        <v>Malverne, 11565</v>
      </c>
      <c r="AZ317" s="120" t="str">
        <f>IFERROR(VLOOKUP(Table1[RespondentID],'All Data'!$A$3:$CO$999,91,FALSE),"unknown")</f>
        <v>White</v>
      </c>
      <c r="BA317" s="120" t="str">
        <f>IFERROR(VLOOKUP(Table1[RespondentID],'All Data'!$A$3:$CO$999,92,FALSE),"unknown")</f>
        <v>Not Hispanic or Latino</v>
      </c>
      <c r="BB317" s="120" t="str">
        <f>IFERROR(VLOOKUP(Table1[RespondentID],'All Data'!$A$3:$CO$999,93,FALSE),"unknown")</f>
        <v>English, Spanish</v>
      </c>
      <c r="BC317" s="120" t="str">
        <f>IFERROR(VLOOKUP(Table1[RespondentID],'All Data'!$A$3:$CW$999,94,FALSE),"unknown")</f>
        <v>$35,000 to $49,999</v>
      </c>
      <c r="BD317" s="120" t="str">
        <f>IFERROR(VLOOKUP(Table1[RespondentID],'All Data'!$A$3:$CW$999,95,FALSE),"unknown")</f>
        <v>Some college</v>
      </c>
      <c r="BE317" s="120" t="str">
        <f>IFERROR(VLOOKUP(Table1[RespondentID],'All Data'!$A$3:$CW$999,96,FALSE),"unknown")</f>
        <v>Student</v>
      </c>
      <c r="BF317" s="120" t="str">
        <f>IFERROR(VLOOKUP(Table1[RespondentID],'All Data'!$A$3:$CW$999,97,FALSE),"unknown")</f>
        <v>Yes</v>
      </c>
      <c r="BG317" s="120" t="str">
        <f>IFERROR(VLOOKUP(Table1[RespondentID],'All Data'!$A$3:$CW$999,98,FALSE),"unknown")</f>
        <v>Private/Commercial</v>
      </c>
      <c r="BH317" s="120" t="str">
        <f>IFERROR(VLOOKUP(Table1[RespondentID],'All Data'!$A$3:$CW$999,99,FALSE),"unknown")</f>
        <v>Yes</v>
      </c>
    </row>
    <row r="318" spans="1:60">
      <c r="A318" s="5">
        <v>18014599240</v>
      </c>
      <c r="B318" s="5" t="s">
        <v>49</v>
      </c>
      <c r="C318" s="5" t="s">
        <v>50</v>
      </c>
      <c r="D318" s="5"/>
      <c r="E318" s="5" t="s">
        <v>17</v>
      </c>
      <c r="F318" s="5"/>
      <c r="G318" s="5"/>
      <c r="H318" s="5"/>
      <c r="I318" s="5"/>
      <c r="J318" s="5"/>
      <c r="K318" s="5"/>
      <c r="L318" s="5"/>
      <c r="M318" s="5"/>
      <c r="N318" s="5"/>
      <c r="O318" s="5"/>
      <c r="P318" s="5"/>
      <c r="Q318" s="5"/>
      <c r="R318" s="5"/>
      <c r="S318" s="5"/>
      <c r="T318" s="37"/>
      <c r="U318" s="37">
        <f t="shared" si="92"/>
        <v>3</v>
      </c>
      <c r="V318" s="37">
        <f t="shared" si="93"/>
        <v>1</v>
      </c>
      <c r="W318" s="37"/>
      <c r="X318" s="37">
        <f t="shared" si="94"/>
        <v>1</v>
      </c>
      <c r="Y318" s="37">
        <f t="shared" si="95"/>
        <v>1</v>
      </c>
      <c r="Z318" s="37">
        <f t="shared" si="96"/>
        <v>0</v>
      </c>
      <c r="AA318" s="37">
        <f t="shared" si="97"/>
        <v>1</v>
      </c>
      <c r="AB318" s="37">
        <f t="shared" si="98"/>
        <v>0</v>
      </c>
      <c r="AC318" s="37">
        <f t="shared" si="99"/>
        <v>0</v>
      </c>
      <c r="AD318" s="37">
        <f t="shared" si="100"/>
        <v>0</v>
      </c>
      <c r="AE318" s="37">
        <f t="shared" si="101"/>
        <v>0</v>
      </c>
      <c r="AF318" s="37">
        <f t="shared" si="102"/>
        <v>0</v>
      </c>
      <c r="AG318" s="37">
        <f t="shared" si="103"/>
        <v>0</v>
      </c>
      <c r="AH318" s="37">
        <f t="shared" si="104"/>
        <v>0</v>
      </c>
      <c r="AI318" s="37">
        <f t="shared" si="105"/>
        <v>0</v>
      </c>
      <c r="AJ318" s="37">
        <f t="shared" si="106"/>
        <v>0</v>
      </c>
      <c r="AK318" s="37">
        <f t="shared" si="107"/>
        <v>0</v>
      </c>
      <c r="AL318" s="37">
        <f t="shared" si="108"/>
        <v>0</v>
      </c>
      <c r="AM318" s="37">
        <f t="shared" si="109"/>
        <v>0</v>
      </c>
      <c r="AN318" s="37">
        <f t="shared" si="110"/>
        <v>0</v>
      </c>
      <c r="AO318" s="37">
        <f t="shared" si="111"/>
        <v>0</v>
      </c>
      <c r="AP318" s="37"/>
      <c r="AQ318" s="37"/>
      <c r="AR318" s="37">
        <f t="shared" si="112"/>
        <v>3</v>
      </c>
      <c r="AS318" s="37">
        <f t="shared" si="113"/>
        <v>3</v>
      </c>
      <c r="AT318" s="37" t="str">
        <f t="shared" si="114"/>
        <v>Correct</v>
      </c>
      <c r="AU318" s="37"/>
      <c r="AV318" s="120" t="str">
        <f>IFERROR(VLOOKUP(Table1[RespondentID],'All Data'!$A$3:$CO$999,87,FALSE),"unknown")</f>
        <v>Man</v>
      </c>
      <c r="AW318" s="120">
        <f>IFERROR(VLOOKUP(Table1[RespondentID],'All Data'!$A$3:$CO$999,88,FALSE),"unknown")</f>
        <v>17</v>
      </c>
      <c r="AX318" s="120" t="str">
        <f>IFERROR(VLOOKUP(Table1[RespondentID],'All Data'!$A$3:$CO$999,89,FALSE),"unknown")</f>
        <v>Suffolk</v>
      </c>
      <c r="AY318" s="120" t="str">
        <f>IFERROR(VLOOKUP(Table1[RespondentID],'All Data'!$A$3:$CO$999,90,FALSE),"unknown")</f>
        <v>Commack, 11725</v>
      </c>
      <c r="AZ318" s="120" t="str">
        <f>IFERROR(VLOOKUP(Table1[RespondentID],'All Data'!$A$3:$CO$999,91,FALSE),"unknown")</f>
        <v>White</v>
      </c>
      <c r="BA318" s="120" t="str">
        <f>IFERROR(VLOOKUP(Table1[RespondentID],'All Data'!$A$3:$CO$999,92,FALSE),"unknown")</f>
        <v>Hispanic or Latino</v>
      </c>
      <c r="BB318" s="120" t="str">
        <f>IFERROR(VLOOKUP(Table1[RespondentID],'All Data'!$A$3:$CO$999,93,FALSE),"unknown")</f>
        <v>English</v>
      </c>
      <c r="BC318" s="120" t="str">
        <f>IFERROR(VLOOKUP(Table1[RespondentID],'All Data'!$A$3:$CW$999,94,FALSE),"unknown")</f>
        <v>Over $125,000</v>
      </c>
      <c r="BD318" s="120" t="str">
        <f>IFERROR(VLOOKUP(Table1[RespondentID],'All Data'!$A$3:$CW$999,95,FALSE),"unknown")</f>
        <v>High school graduate</v>
      </c>
      <c r="BE318" s="120" t="str">
        <f>IFERROR(VLOOKUP(Table1[RespondentID],'All Data'!$A$3:$CW$999,96,FALSE),"unknown")</f>
        <v>Employed for wages</v>
      </c>
      <c r="BF318" s="120" t="str">
        <f>IFERROR(VLOOKUP(Table1[RespondentID],'All Data'!$A$3:$CW$999,97,FALSE),"unknown")</f>
        <v>Yes</v>
      </c>
      <c r="BG318" s="120" t="str">
        <f>IFERROR(VLOOKUP(Table1[RespondentID],'All Data'!$A$3:$CW$999,98,FALSE),"unknown")</f>
        <v>Medicare</v>
      </c>
      <c r="BH318" s="120" t="str">
        <f>IFERROR(VLOOKUP(Table1[RespondentID],'All Data'!$A$3:$CW$999,99,FALSE),"unknown")</f>
        <v>Yes</v>
      </c>
    </row>
    <row r="319" spans="1:60">
      <c r="A319" s="5">
        <v>18014578066</v>
      </c>
      <c r="B319" s="5"/>
      <c r="C319" s="5" t="s">
        <v>50</v>
      </c>
      <c r="D319" s="5"/>
      <c r="E319" s="5"/>
      <c r="F319" s="5"/>
      <c r="G319" s="5"/>
      <c r="H319" s="5"/>
      <c r="I319" s="5"/>
      <c r="J319" s="5"/>
      <c r="K319" s="5" t="s">
        <v>57</v>
      </c>
      <c r="L319" s="5"/>
      <c r="M319" s="5"/>
      <c r="N319" s="5"/>
      <c r="O319" s="5"/>
      <c r="P319" s="5"/>
      <c r="Q319" s="5"/>
      <c r="R319" s="5"/>
      <c r="S319" s="5" t="s">
        <v>63</v>
      </c>
      <c r="T319" s="37"/>
      <c r="U319" s="37">
        <f t="shared" si="92"/>
        <v>3</v>
      </c>
      <c r="V319" s="37">
        <f t="shared" si="93"/>
        <v>1</v>
      </c>
      <c r="W319" s="37"/>
      <c r="X319" s="37">
        <f t="shared" si="94"/>
        <v>0</v>
      </c>
      <c r="Y319" s="37">
        <f t="shared" si="95"/>
        <v>1</v>
      </c>
      <c r="Z319" s="37">
        <f t="shared" si="96"/>
        <v>0</v>
      </c>
      <c r="AA319" s="37">
        <f t="shared" si="97"/>
        <v>0</v>
      </c>
      <c r="AB319" s="37">
        <f t="shared" si="98"/>
        <v>0</v>
      </c>
      <c r="AC319" s="37">
        <f t="shared" si="99"/>
        <v>0</v>
      </c>
      <c r="AD319" s="37">
        <f t="shared" si="100"/>
        <v>0</v>
      </c>
      <c r="AE319" s="37">
        <f t="shared" si="101"/>
        <v>0</v>
      </c>
      <c r="AF319" s="37">
        <f t="shared" si="102"/>
        <v>0</v>
      </c>
      <c r="AG319" s="37">
        <f t="shared" si="103"/>
        <v>1</v>
      </c>
      <c r="AH319" s="37">
        <f t="shared" si="104"/>
        <v>0</v>
      </c>
      <c r="AI319" s="37">
        <f t="shared" si="105"/>
        <v>0</v>
      </c>
      <c r="AJ319" s="37">
        <f t="shared" si="106"/>
        <v>0</v>
      </c>
      <c r="AK319" s="37">
        <f t="shared" si="107"/>
        <v>0</v>
      </c>
      <c r="AL319" s="37">
        <f t="shared" si="108"/>
        <v>0</v>
      </c>
      <c r="AM319" s="37">
        <f t="shared" si="109"/>
        <v>0</v>
      </c>
      <c r="AN319" s="37">
        <f t="shared" si="110"/>
        <v>0</v>
      </c>
      <c r="AO319" s="37">
        <f t="shared" si="111"/>
        <v>1</v>
      </c>
      <c r="AP319" s="37"/>
      <c r="AQ319" s="37"/>
      <c r="AR319" s="37">
        <f t="shared" si="112"/>
        <v>3</v>
      </c>
      <c r="AS319" s="37">
        <f t="shared" si="113"/>
        <v>3</v>
      </c>
      <c r="AT319" s="37" t="str">
        <f t="shared" si="114"/>
        <v>Correct</v>
      </c>
      <c r="AU319" s="37"/>
      <c r="AV319" s="120" t="str">
        <f>IFERROR(VLOOKUP(Table1[RespondentID],'All Data'!$A$3:$CO$999,87,FALSE),"unknown")</f>
        <v>Transgender</v>
      </c>
      <c r="AW319" s="120">
        <f>IFERROR(VLOOKUP(Table1[RespondentID],'All Data'!$A$3:$CO$999,88,FALSE),"unknown")</f>
        <v>24</v>
      </c>
      <c r="AX319" s="120" t="str">
        <f>IFERROR(VLOOKUP(Table1[RespondentID],'All Data'!$A$3:$CO$999,89,FALSE),"unknown")</f>
        <v>Queens</v>
      </c>
      <c r="AY319" s="120">
        <f>IFERROR(VLOOKUP(Table1[RespondentID],'All Data'!$A$3:$CO$999,90,FALSE),"unknown")</f>
        <v>11429</v>
      </c>
      <c r="AZ319" s="120" t="str">
        <f>IFERROR(VLOOKUP(Table1[RespondentID],'All Data'!$A$3:$CO$999,91,FALSE),"unknown")</f>
        <v>Native Hawaiian and Other Pacific Islander</v>
      </c>
      <c r="BA319" s="120">
        <f>IFERROR(VLOOKUP(Table1[RespondentID],'All Data'!$A$3:$CO$999,92,FALSE),"unknown")</f>
        <v>0</v>
      </c>
      <c r="BB319" s="120">
        <f>IFERROR(VLOOKUP(Table1[RespondentID],'All Data'!$A$3:$CO$999,93,FALSE),"unknown")</f>
        <v>0</v>
      </c>
      <c r="BC319" s="120" t="str">
        <f>IFERROR(VLOOKUP(Table1[RespondentID],'All Data'!$A$3:$CW$999,94,FALSE),"unknown")</f>
        <v>Over $125,000</v>
      </c>
      <c r="BD319" s="120" t="str">
        <f>IFERROR(VLOOKUP(Table1[RespondentID],'All Data'!$A$3:$CW$999,95,FALSE),"unknown")</f>
        <v>College graduate</v>
      </c>
      <c r="BE319" s="120" t="str">
        <f>IFERROR(VLOOKUP(Table1[RespondentID],'All Data'!$A$3:$CW$999,96,FALSE),"unknown")</f>
        <v>Employed for wages</v>
      </c>
      <c r="BF319" s="120" t="str">
        <f>IFERROR(VLOOKUP(Table1[RespondentID],'All Data'!$A$3:$CW$999,97,FALSE),"unknown")</f>
        <v>Yes</v>
      </c>
      <c r="BG319" s="120" t="str">
        <f>IFERROR(VLOOKUP(Table1[RespondentID],'All Data'!$A$3:$CW$999,98,FALSE),"unknown")</f>
        <v>Private/Commercial</v>
      </c>
      <c r="BH319" s="120" t="str">
        <f>IFERROR(VLOOKUP(Table1[RespondentID],'All Data'!$A$3:$CW$999,99,FALSE),"unknown")</f>
        <v>Yes</v>
      </c>
    </row>
    <row r="320" spans="1:60">
      <c r="A320" s="5">
        <v>18014577716</v>
      </c>
      <c r="B320" s="5"/>
      <c r="C320" s="5"/>
      <c r="D320" s="5" t="s">
        <v>51</v>
      </c>
      <c r="E320" s="5"/>
      <c r="F320" s="5"/>
      <c r="G320" s="5"/>
      <c r="H320" s="5"/>
      <c r="I320" s="5"/>
      <c r="J320" s="5"/>
      <c r="K320" s="5" t="s">
        <v>57</v>
      </c>
      <c r="L320" s="5"/>
      <c r="M320" s="5"/>
      <c r="N320" s="5" t="s">
        <v>24</v>
      </c>
      <c r="O320" s="5"/>
      <c r="P320" s="5"/>
      <c r="Q320" s="5"/>
      <c r="R320" s="5"/>
      <c r="S320" s="5"/>
      <c r="T320" s="37"/>
      <c r="U320" s="37">
        <f t="shared" si="92"/>
        <v>3</v>
      </c>
      <c r="V320" s="37">
        <f t="shared" si="93"/>
        <v>1</v>
      </c>
      <c r="W320" s="37"/>
      <c r="X320" s="37">
        <f t="shared" si="94"/>
        <v>0</v>
      </c>
      <c r="Y320" s="37">
        <f t="shared" si="95"/>
        <v>0</v>
      </c>
      <c r="Z320" s="37">
        <f t="shared" si="96"/>
        <v>1</v>
      </c>
      <c r="AA320" s="37">
        <f t="shared" si="97"/>
        <v>0</v>
      </c>
      <c r="AB320" s="37">
        <f t="shared" si="98"/>
        <v>0</v>
      </c>
      <c r="AC320" s="37">
        <f t="shared" si="99"/>
        <v>0</v>
      </c>
      <c r="AD320" s="37">
        <f t="shared" si="100"/>
        <v>0</v>
      </c>
      <c r="AE320" s="37">
        <f t="shared" si="101"/>
        <v>0</v>
      </c>
      <c r="AF320" s="37">
        <f t="shared" si="102"/>
        <v>0</v>
      </c>
      <c r="AG320" s="37">
        <f t="shared" si="103"/>
        <v>1</v>
      </c>
      <c r="AH320" s="37">
        <f t="shared" si="104"/>
        <v>0</v>
      </c>
      <c r="AI320" s="37">
        <f t="shared" si="105"/>
        <v>0</v>
      </c>
      <c r="AJ320" s="37">
        <f t="shared" si="106"/>
        <v>1</v>
      </c>
      <c r="AK320" s="37">
        <f t="shared" si="107"/>
        <v>0</v>
      </c>
      <c r="AL320" s="37">
        <f t="shared" si="108"/>
        <v>0</v>
      </c>
      <c r="AM320" s="37">
        <f t="shared" si="109"/>
        <v>0</v>
      </c>
      <c r="AN320" s="37">
        <f t="shared" si="110"/>
        <v>0</v>
      </c>
      <c r="AO320" s="37">
        <f t="shared" si="111"/>
        <v>0</v>
      </c>
      <c r="AP320" s="37"/>
      <c r="AQ320" s="37"/>
      <c r="AR320" s="37">
        <f t="shared" si="112"/>
        <v>3</v>
      </c>
      <c r="AS320" s="37">
        <f t="shared" si="113"/>
        <v>3</v>
      </c>
      <c r="AT320" s="37" t="str">
        <f t="shared" si="114"/>
        <v>Correct</v>
      </c>
      <c r="AU320" s="37"/>
      <c r="AV320" s="120" t="str">
        <f>IFERROR(VLOOKUP(Table1[RespondentID],'All Data'!$A$3:$CO$999,87,FALSE),"unknown")</f>
        <v>Man</v>
      </c>
      <c r="AW320" s="120">
        <f>IFERROR(VLOOKUP(Table1[RespondentID],'All Data'!$A$3:$CO$999,88,FALSE),"unknown")</f>
        <v>67</v>
      </c>
      <c r="AX320" s="120" t="str">
        <f>IFERROR(VLOOKUP(Table1[RespondentID],'All Data'!$A$3:$CO$999,89,FALSE),"unknown")</f>
        <v>Suffolk</v>
      </c>
      <c r="AY320" s="120" t="str">
        <f>IFERROR(VLOOKUP(Table1[RespondentID],'All Data'!$A$3:$CO$999,90,FALSE),"unknown")</f>
        <v>Huntington Station, 11747</v>
      </c>
      <c r="AZ320" s="120" t="str">
        <f>IFERROR(VLOOKUP(Table1[RespondentID],'All Data'!$A$3:$CO$999,91,FALSE),"unknown")</f>
        <v>American Indian and Alaska Native</v>
      </c>
      <c r="BA320" s="120" t="str">
        <f>IFERROR(VLOOKUP(Table1[RespondentID],'All Data'!$A$3:$CO$999,92,FALSE),"unknown")</f>
        <v>Hispanic or Latino</v>
      </c>
      <c r="BB320" s="120" t="str">
        <f>IFERROR(VLOOKUP(Table1[RespondentID],'All Data'!$A$3:$CO$999,93,FALSE),"unknown")</f>
        <v>English</v>
      </c>
      <c r="BC320" s="120" t="str">
        <f>IFERROR(VLOOKUP(Table1[RespondentID],'All Data'!$A$3:$CW$999,94,FALSE),"unknown")</f>
        <v>$75,000 to $125,000</v>
      </c>
      <c r="BD320" s="120" t="str">
        <f>IFERROR(VLOOKUP(Table1[RespondentID],'All Data'!$A$3:$CW$999,95,FALSE),"unknown")</f>
        <v>College graduate</v>
      </c>
      <c r="BE320" s="120" t="str">
        <f>IFERROR(VLOOKUP(Table1[RespondentID],'All Data'!$A$3:$CW$999,96,FALSE),"unknown")</f>
        <v>Retired</v>
      </c>
      <c r="BF320" s="120" t="str">
        <f>IFERROR(VLOOKUP(Table1[RespondentID],'All Data'!$A$3:$CW$999,97,FALSE),"unknown")</f>
        <v>Yes</v>
      </c>
      <c r="BG320" s="120" t="str">
        <f>IFERROR(VLOOKUP(Table1[RespondentID],'All Data'!$A$3:$CW$999,98,FALSE),"unknown")</f>
        <v>Medicare, Private/Commercial</v>
      </c>
      <c r="BH320" s="120" t="str">
        <f>IFERROR(VLOOKUP(Table1[RespondentID],'All Data'!$A$3:$CW$999,99,FALSE),"unknown")</f>
        <v>Yes</v>
      </c>
    </row>
    <row r="321" spans="1:60">
      <c r="A321" s="5">
        <v>18014577265</v>
      </c>
      <c r="B321" s="5" t="s">
        <v>49</v>
      </c>
      <c r="C321" s="5" t="s">
        <v>50</v>
      </c>
      <c r="D321" s="5" t="s">
        <v>51</v>
      </c>
      <c r="E321" s="5" t="s">
        <v>17</v>
      </c>
      <c r="F321" s="5" t="s">
        <v>52</v>
      </c>
      <c r="G321" s="5" t="s">
        <v>53</v>
      </c>
      <c r="H321" s="5" t="s">
        <v>54</v>
      </c>
      <c r="I321" s="5" t="s">
        <v>55</v>
      </c>
      <c r="J321" s="5"/>
      <c r="K321" s="5" t="s">
        <v>57</v>
      </c>
      <c r="L321" s="5"/>
      <c r="M321" s="5" t="s">
        <v>59</v>
      </c>
      <c r="N321" s="5" t="s">
        <v>24</v>
      </c>
      <c r="O321" s="5" t="s">
        <v>20</v>
      </c>
      <c r="P321" s="5" t="s">
        <v>60</v>
      </c>
      <c r="Q321" s="5"/>
      <c r="R321" s="5" t="s">
        <v>62</v>
      </c>
      <c r="S321" s="5" t="s">
        <v>63</v>
      </c>
      <c r="T321" s="37"/>
      <c r="U321" s="37">
        <f t="shared" si="92"/>
        <v>15</v>
      </c>
      <c r="V321" s="37">
        <f t="shared" si="93"/>
        <v>0.2</v>
      </c>
      <c r="W321" s="37"/>
      <c r="X321" s="37">
        <f t="shared" si="94"/>
        <v>0.2</v>
      </c>
      <c r="Y321" s="37">
        <f t="shared" si="95"/>
        <v>0.2</v>
      </c>
      <c r="Z321" s="37">
        <f t="shared" si="96"/>
        <v>0.2</v>
      </c>
      <c r="AA321" s="37">
        <f t="shared" si="97"/>
        <v>0.2</v>
      </c>
      <c r="AB321" s="37">
        <f t="shared" si="98"/>
        <v>0.2</v>
      </c>
      <c r="AC321" s="37">
        <f t="shared" si="99"/>
        <v>0.2</v>
      </c>
      <c r="AD321" s="37">
        <f t="shared" si="100"/>
        <v>0.2</v>
      </c>
      <c r="AE321" s="37">
        <f t="shared" si="101"/>
        <v>0.2</v>
      </c>
      <c r="AF321" s="37">
        <f t="shared" si="102"/>
        <v>0</v>
      </c>
      <c r="AG321" s="37">
        <f t="shared" si="103"/>
        <v>0.2</v>
      </c>
      <c r="AH321" s="37">
        <f t="shared" si="104"/>
        <v>0</v>
      </c>
      <c r="AI321" s="37">
        <f t="shared" si="105"/>
        <v>0.2</v>
      </c>
      <c r="AJ321" s="37">
        <f t="shared" si="106"/>
        <v>0.2</v>
      </c>
      <c r="AK321" s="37">
        <f t="shared" si="107"/>
        <v>0.2</v>
      </c>
      <c r="AL321" s="37">
        <f t="shared" si="108"/>
        <v>0.2</v>
      </c>
      <c r="AM321" s="37">
        <f t="shared" si="109"/>
        <v>0</v>
      </c>
      <c r="AN321" s="37">
        <f t="shared" si="110"/>
        <v>0.2</v>
      </c>
      <c r="AO321" s="37">
        <f t="shared" si="111"/>
        <v>0.2</v>
      </c>
      <c r="AP321" s="37"/>
      <c r="AQ321" s="37"/>
      <c r="AR321" s="37">
        <f t="shared" si="112"/>
        <v>3.0000000000000004</v>
      </c>
      <c r="AS321" s="37">
        <f t="shared" si="113"/>
        <v>15</v>
      </c>
      <c r="AT321" s="37" t="str">
        <f t="shared" si="114"/>
        <v>Correct</v>
      </c>
      <c r="AU321" s="37"/>
      <c r="AV321" s="120" t="str">
        <f>IFERROR(VLOOKUP(Table1[RespondentID],'All Data'!$A$3:$CO$999,87,FALSE),"unknown")</f>
        <v>Man</v>
      </c>
      <c r="AW321" s="120">
        <f>IFERROR(VLOOKUP(Table1[RespondentID],'All Data'!$A$3:$CO$999,88,FALSE),"unknown")</f>
        <v>19</v>
      </c>
      <c r="AX321" s="120" t="str">
        <f>IFERROR(VLOOKUP(Table1[RespondentID],'All Data'!$A$3:$CO$999,89,FALSE),"unknown")</f>
        <v>Nassau</v>
      </c>
      <c r="AY321" s="120" t="str">
        <f>IFERROR(VLOOKUP(Table1[RespondentID],'All Data'!$A$3:$CO$999,90,FALSE),"unknown")</f>
        <v>Farmingdale, 11735</v>
      </c>
      <c r="AZ321" s="120" t="str">
        <f>IFERROR(VLOOKUP(Table1[RespondentID],'All Data'!$A$3:$CO$999,91,FALSE),"unknown")</f>
        <v>American Indian and Alaska Native</v>
      </c>
      <c r="BA321" s="120" t="str">
        <f>IFERROR(VLOOKUP(Table1[RespondentID],'All Data'!$A$3:$CO$999,92,FALSE),"unknown")</f>
        <v>Hispanic or Latino</v>
      </c>
      <c r="BB321" s="120" t="str">
        <f>IFERROR(VLOOKUP(Table1[RespondentID],'All Data'!$A$3:$CO$999,93,FALSE),"unknown")</f>
        <v>English</v>
      </c>
      <c r="BC321" s="120" t="str">
        <f>IFERROR(VLOOKUP(Table1[RespondentID],'All Data'!$A$3:$CW$999,94,FALSE),"unknown")</f>
        <v>$50,000 to $74,999</v>
      </c>
      <c r="BD321" s="120" t="str">
        <f>IFERROR(VLOOKUP(Table1[RespondentID],'All Data'!$A$3:$CW$999,95,FALSE),"unknown")</f>
        <v>Some college</v>
      </c>
      <c r="BE321" s="120" t="str">
        <f>IFERROR(VLOOKUP(Table1[RespondentID],'All Data'!$A$3:$CW$999,96,FALSE),"unknown")</f>
        <v>Student</v>
      </c>
      <c r="BF321" s="120" t="str">
        <f>IFERROR(VLOOKUP(Table1[RespondentID],'All Data'!$A$3:$CW$999,97,FALSE),"unknown")</f>
        <v>Yes</v>
      </c>
      <c r="BG321" s="120" t="str">
        <f>IFERROR(VLOOKUP(Table1[RespondentID],'All Data'!$A$3:$CW$999,98,FALSE),"unknown")</f>
        <v>Medicare</v>
      </c>
      <c r="BH321" s="120" t="str">
        <f>IFERROR(VLOOKUP(Table1[RespondentID],'All Data'!$A$3:$CW$999,99,FALSE),"unknown")</f>
        <v>Yes</v>
      </c>
    </row>
    <row r="322" spans="1:60">
      <c r="A322" s="5">
        <v>18014577228</v>
      </c>
      <c r="B322" s="5" t="s">
        <v>49</v>
      </c>
      <c r="C322" s="5" t="s">
        <v>50</v>
      </c>
      <c r="D322" s="5"/>
      <c r="E322" s="5"/>
      <c r="F322" s="5"/>
      <c r="G322" s="5"/>
      <c r="H322" s="5"/>
      <c r="I322" s="5" t="s">
        <v>55</v>
      </c>
      <c r="J322" s="5"/>
      <c r="K322" s="5"/>
      <c r="L322" s="5"/>
      <c r="M322" s="5"/>
      <c r="N322" s="5"/>
      <c r="O322" s="5"/>
      <c r="P322" s="5"/>
      <c r="Q322" s="5"/>
      <c r="R322" s="5"/>
      <c r="S322" s="5" t="s">
        <v>63</v>
      </c>
      <c r="T322" s="37"/>
      <c r="U322" s="37">
        <f t="shared" ref="U322:U385" si="115">COUNTA(B322:T322)</f>
        <v>4</v>
      </c>
      <c r="V322" s="37">
        <f t="shared" ref="V322:V385" si="116">3/U322</f>
        <v>0.75</v>
      </c>
      <c r="W322" s="37"/>
      <c r="X322" s="37">
        <f t="shared" ref="X322:X385" si="117">IF($U322&lt;3,IF($B322=$B$1,1,0),IF($B322=$B$1,$V322,0))</f>
        <v>0.75</v>
      </c>
      <c r="Y322" s="37">
        <f t="shared" ref="Y322:Y385" si="118">IF($U322&lt;3,IF($C322=$C$1,1,0),IF($C322=$C$1,$V322,0))</f>
        <v>0.75</v>
      </c>
      <c r="Z322" s="37">
        <f t="shared" ref="Z322:Z385" si="119">IF($U322&lt;3,IF($D322=$D$1,1,0),IF($D322=$D$1,$V322,0))</f>
        <v>0</v>
      </c>
      <c r="AA322" s="37">
        <f t="shared" ref="AA322:AA385" si="120">IF($U322&lt;3,IF($E322=$E$1,1,0),IF($E322=$E$1,$V322,0))</f>
        <v>0</v>
      </c>
      <c r="AB322" s="37">
        <f t="shared" ref="AB322:AB385" si="121">IF($U322&lt;3,IF($F322=$F$1,1,0),IF($F322=$F$1,$V322,0))</f>
        <v>0</v>
      </c>
      <c r="AC322" s="37">
        <f t="shared" ref="AC322:AC385" si="122">IF($U322&lt;3,IF($G322=$G$1,1,0),IF($G322=$G$1,$V322,0))</f>
        <v>0</v>
      </c>
      <c r="AD322" s="37">
        <f t="shared" ref="AD322:AD385" si="123">IF($U322&lt;3,IF($H322=$H$1,1,0),IF($H322=$H$1,$V322,0))</f>
        <v>0</v>
      </c>
      <c r="AE322" s="37">
        <f t="shared" ref="AE322:AE385" si="124">IF($U322&lt;3,IF($I322=$I$1,1,0),IF($I322=$I$1,$V322,0))</f>
        <v>0.75</v>
      </c>
      <c r="AF322" s="37">
        <f t="shared" ref="AF322:AF385" si="125">IF($U322&lt;3,IF($J322=$J$1,1,0),IF($J322=$J$1,$V322,0))</f>
        <v>0</v>
      </c>
      <c r="AG322" s="37">
        <f t="shared" ref="AG322:AG385" si="126">IF($U322&lt;3,IF($K322=$K$1,1,0),IF($K322=$K$1,$V322,0))</f>
        <v>0</v>
      </c>
      <c r="AH322" s="37">
        <f t="shared" ref="AH322:AH385" si="127">IF($U322&lt;3,IF($L322=$L$1,1,0),IF($L322=$L$1,$V322,0))</f>
        <v>0</v>
      </c>
      <c r="AI322" s="37">
        <f t="shared" ref="AI322:AI385" si="128">IF($U322&lt;3,IF($M322=$M$1,1,0),IF($M322=$M$1,$V322,0))</f>
        <v>0</v>
      </c>
      <c r="AJ322" s="37">
        <f t="shared" ref="AJ322:AJ385" si="129">IF($U322&lt;3,IF($N322=$N$1,1,0),IF($N322=$N$1,$V322,0))</f>
        <v>0</v>
      </c>
      <c r="AK322" s="37">
        <f t="shared" ref="AK322:AK385" si="130">IF($U322&lt;3,IF($O322=$O$1,1,0),IF($O322=$O$1,$V322,0))</f>
        <v>0</v>
      </c>
      <c r="AL322" s="37">
        <f t="shared" ref="AL322:AL385" si="131">IF($U322&lt;3,IF($P322=$P$1,1,0),IF($P322=$P$1,$V322,0))</f>
        <v>0</v>
      </c>
      <c r="AM322" s="37">
        <f t="shared" ref="AM322:AM385" si="132">IF($U322&lt;3,IF($Q322=$Q$1,1,0),IF($Q322=$Q$1,$V322,0))</f>
        <v>0</v>
      </c>
      <c r="AN322" s="37">
        <f t="shared" ref="AN322:AN385" si="133">IF($U322&lt;3,IF($R322=$R$1,1,0),IF($R322=$R$1,$V322,0))</f>
        <v>0</v>
      </c>
      <c r="AO322" s="37">
        <f t="shared" ref="AO322:AO385" si="134">IF($U322&lt;3,IF($S322=$S$1,1,0),IF($S322=$S$1,$V322,0))</f>
        <v>0.75</v>
      </c>
      <c r="AP322" s="37"/>
      <c r="AQ322" s="37"/>
      <c r="AR322" s="37">
        <f t="shared" ref="AR322:AR385" si="135">SUM(X322:AP322)</f>
        <v>3</v>
      </c>
      <c r="AS322" s="37">
        <f t="shared" ref="AS322:AS385" si="136">U322</f>
        <v>4</v>
      </c>
      <c r="AT322" s="37" t="str">
        <f t="shared" ref="AT322:AT385" si="137">IF(AR322=AS322,"Correct",IF(AR322=3,"Correct","Wrong"))</f>
        <v>Correct</v>
      </c>
      <c r="AU322" s="37"/>
      <c r="AV322" s="120" t="str">
        <f>IFERROR(VLOOKUP(Table1[RespondentID],'All Data'!$A$3:$CO$999,87,FALSE),"unknown")</f>
        <v>Man</v>
      </c>
      <c r="AW322" s="120">
        <f>IFERROR(VLOOKUP(Table1[RespondentID],'All Data'!$A$3:$CO$999,88,FALSE),"unknown")</f>
        <v>54</v>
      </c>
      <c r="AX322" s="120" t="str">
        <f>IFERROR(VLOOKUP(Table1[RespondentID],'All Data'!$A$3:$CO$999,89,FALSE),"unknown")</f>
        <v>Nassau</v>
      </c>
      <c r="AY322" s="120" t="str">
        <f>IFERROR(VLOOKUP(Table1[RespondentID],'All Data'!$A$3:$CO$999,90,FALSE),"unknown")</f>
        <v>Farmingdale, 11735</v>
      </c>
      <c r="AZ322" s="120" t="str">
        <f>IFERROR(VLOOKUP(Table1[RespondentID],'All Data'!$A$3:$CO$999,91,FALSE),"unknown")</f>
        <v>American Indian and Alaska Native</v>
      </c>
      <c r="BA322" s="120" t="str">
        <f>IFERROR(VLOOKUP(Table1[RespondentID],'All Data'!$A$3:$CO$999,92,FALSE),"unknown")</f>
        <v>Hispanic or Latino</v>
      </c>
      <c r="BB322" s="120">
        <f>IFERROR(VLOOKUP(Table1[RespondentID],'All Data'!$A$3:$CO$999,93,FALSE),"unknown")</f>
        <v>0</v>
      </c>
      <c r="BC322" s="120">
        <f>IFERROR(VLOOKUP(Table1[RespondentID],'All Data'!$A$3:$CW$999,94,FALSE),"unknown")</f>
        <v>0</v>
      </c>
      <c r="BD322" s="120" t="str">
        <f>IFERROR(VLOOKUP(Table1[RespondentID],'All Data'!$A$3:$CW$999,95,FALSE),"unknown")</f>
        <v>College graduate</v>
      </c>
      <c r="BE322" s="120" t="str">
        <f>IFERROR(VLOOKUP(Table1[RespondentID],'All Data'!$A$3:$CW$999,96,FALSE),"unknown")</f>
        <v>Employed for wages</v>
      </c>
      <c r="BF322" s="120" t="str">
        <f>IFERROR(VLOOKUP(Table1[RespondentID],'All Data'!$A$3:$CW$999,97,FALSE),"unknown")</f>
        <v>Yes</v>
      </c>
      <c r="BG322" s="120" t="str">
        <f>IFERROR(VLOOKUP(Table1[RespondentID],'All Data'!$A$3:$CW$999,98,FALSE),"unknown")</f>
        <v>Medicaid</v>
      </c>
      <c r="BH322" s="120" t="str">
        <f>IFERROR(VLOOKUP(Table1[RespondentID],'All Data'!$A$3:$CW$999,99,FALSE),"unknown")</f>
        <v>Yes</v>
      </c>
    </row>
    <row r="323" spans="1:60">
      <c r="A323" s="5">
        <v>18014577099</v>
      </c>
      <c r="B323" s="5"/>
      <c r="C323" s="5"/>
      <c r="D323" s="5" t="s">
        <v>51</v>
      </c>
      <c r="E323" s="5"/>
      <c r="F323" s="5"/>
      <c r="G323" s="5"/>
      <c r="H323" s="5"/>
      <c r="I323" s="5" t="s">
        <v>55</v>
      </c>
      <c r="J323" s="5"/>
      <c r="K323" s="5"/>
      <c r="L323" s="5"/>
      <c r="M323" s="5"/>
      <c r="N323" s="5"/>
      <c r="O323" s="5"/>
      <c r="P323" s="5"/>
      <c r="Q323" s="5"/>
      <c r="R323" s="5" t="s">
        <v>62</v>
      </c>
      <c r="S323" s="5"/>
      <c r="T323" s="37"/>
      <c r="U323" s="37">
        <f t="shared" si="115"/>
        <v>3</v>
      </c>
      <c r="V323" s="37">
        <f t="shared" si="116"/>
        <v>1</v>
      </c>
      <c r="W323" s="37"/>
      <c r="X323" s="37">
        <f t="shared" si="117"/>
        <v>0</v>
      </c>
      <c r="Y323" s="37">
        <f t="shared" si="118"/>
        <v>0</v>
      </c>
      <c r="Z323" s="37">
        <f t="shared" si="119"/>
        <v>1</v>
      </c>
      <c r="AA323" s="37">
        <f t="shared" si="120"/>
        <v>0</v>
      </c>
      <c r="AB323" s="37">
        <f t="shared" si="121"/>
        <v>0</v>
      </c>
      <c r="AC323" s="37">
        <f t="shared" si="122"/>
        <v>0</v>
      </c>
      <c r="AD323" s="37">
        <f t="shared" si="123"/>
        <v>0</v>
      </c>
      <c r="AE323" s="37">
        <f t="shared" si="124"/>
        <v>1</v>
      </c>
      <c r="AF323" s="37">
        <f t="shared" si="125"/>
        <v>0</v>
      </c>
      <c r="AG323" s="37">
        <f t="shared" si="126"/>
        <v>0</v>
      </c>
      <c r="AH323" s="37">
        <f t="shared" si="127"/>
        <v>0</v>
      </c>
      <c r="AI323" s="37">
        <f t="shared" si="128"/>
        <v>0</v>
      </c>
      <c r="AJ323" s="37">
        <f t="shared" si="129"/>
        <v>0</v>
      </c>
      <c r="AK323" s="37">
        <f t="shared" si="130"/>
        <v>0</v>
      </c>
      <c r="AL323" s="37">
        <f t="shared" si="131"/>
        <v>0</v>
      </c>
      <c r="AM323" s="37">
        <f t="shared" si="132"/>
        <v>0</v>
      </c>
      <c r="AN323" s="37">
        <f t="shared" si="133"/>
        <v>1</v>
      </c>
      <c r="AO323" s="37">
        <f t="shared" si="134"/>
        <v>0</v>
      </c>
      <c r="AP323" s="37"/>
      <c r="AQ323" s="37"/>
      <c r="AR323" s="37">
        <f t="shared" si="135"/>
        <v>3</v>
      </c>
      <c r="AS323" s="37">
        <f t="shared" si="136"/>
        <v>3</v>
      </c>
      <c r="AT323" s="37" t="str">
        <f t="shared" si="137"/>
        <v>Correct</v>
      </c>
      <c r="AU323" s="37"/>
      <c r="AV323" s="120" t="str">
        <f>IFERROR(VLOOKUP(Table1[RespondentID],'All Data'!$A$3:$CO$999,87,FALSE),"unknown")</f>
        <v>Woman</v>
      </c>
      <c r="AW323" s="120">
        <f>IFERROR(VLOOKUP(Table1[RespondentID],'All Data'!$A$3:$CO$999,88,FALSE),"unknown")</f>
        <v>16</v>
      </c>
      <c r="AX323" s="120" t="str">
        <f>IFERROR(VLOOKUP(Table1[RespondentID],'All Data'!$A$3:$CO$999,89,FALSE),"unknown")</f>
        <v>Suffolk</v>
      </c>
      <c r="AY323" s="120" t="str">
        <f>IFERROR(VLOOKUP(Table1[RespondentID],'All Data'!$A$3:$CO$999,90,FALSE),"unknown")</f>
        <v>Smithtown, 11787</v>
      </c>
      <c r="AZ323" s="120">
        <f>IFERROR(VLOOKUP(Table1[RespondentID],'All Data'!$A$3:$CO$999,91,FALSE),"unknown")</f>
        <v>0</v>
      </c>
      <c r="BA323" s="120">
        <f>IFERROR(VLOOKUP(Table1[RespondentID],'All Data'!$A$3:$CO$999,92,FALSE),"unknown")</f>
        <v>0</v>
      </c>
      <c r="BB323" s="120">
        <f>IFERROR(VLOOKUP(Table1[RespondentID],'All Data'!$A$3:$CO$999,93,FALSE),"unknown")</f>
        <v>0</v>
      </c>
      <c r="BC323" s="120">
        <f>IFERROR(VLOOKUP(Table1[RespondentID],'All Data'!$A$3:$CW$999,94,FALSE),"unknown")</f>
        <v>0</v>
      </c>
      <c r="BD323" s="120">
        <f>IFERROR(VLOOKUP(Table1[RespondentID],'All Data'!$A$3:$CW$999,95,FALSE),"unknown")</f>
        <v>0</v>
      </c>
      <c r="BE323" s="120">
        <f>IFERROR(VLOOKUP(Table1[RespondentID],'All Data'!$A$3:$CW$999,96,FALSE),"unknown")</f>
        <v>0</v>
      </c>
      <c r="BF323" s="120">
        <f>IFERROR(VLOOKUP(Table1[RespondentID],'All Data'!$A$3:$CW$999,97,FALSE),"unknown")</f>
        <v>0</v>
      </c>
      <c r="BG323" s="120">
        <f>IFERROR(VLOOKUP(Table1[RespondentID],'All Data'!$A$3:$CW$999,98,FALSE),"unknown")</f>
        <v>0</v>
      </c>
      <c r="BH323" s="120">
        <f>IFERROR(VLOOKUP(Table1[RespondentID],'All Data'!$A$3:$CW$999,99,FALSE),"unknown")</f>
        <v>0</v>
      </c>
    </row>
    <row r="324" spans="1:60">
      <c r="A324" s="5">
        <v>18014577029</v>
      </c>
      <c r="B324" s="5"/>
      <c r="C324" s="5"/>
      <c r="D324" s="5" t="s">
        <v>51</v>
      </c>
      <c r="E324" s="5"/>
      <c r="F324" s="5"/>
      <c r="G324" s="5"/>
      <c r="H324" s="5"/>
      <c r="I324" s="5"/>
      <c r="J324" s="5"/>
      <c r="K324" s="5"/>
      <c r="L324" s="5"/>
      <c r="M324" s="5"/>
      <c r="N324" s="5"/>
      <c r="O324" s="5"/>
      <c r="P324" s="5"/>
      <c r="Q324" s="5"/>
      <c r="R324" s="5" t="s">
        <v>62</v>
      </c>
      <c r="S324" s="5" t="s">
        <v>63</v>
      </c>
      <c r="T324" s="37"/>
      <c r="U324" s="37">
        <f t="shared" si="115"/>
        <v>3</v>
      </c>
      <c r="V324" s="37">
        <f t="shared" si="116"/>
        <v>1</v>
      </c>
      <c r="W324" s="37"/>
      <c r="X324" s="37">
        <f t="shared" si="117"/>
        <v>0</v>
      </c>
      <c r="Y324" s="37">
        <f t="shared" si="118"/>
        <v>0</v>
      </c>
      <c r="Z324" s="37">
        <f t="shared" si="119"/>
        <v>1</v>
      </c>
      <c r="AA324" s="37">
        <f t="shared" si="120"/>
        <v>0</v>
      </c>
      <c r="AB324" s="37">
        <f t="shared" si="121"/>
        <v>0</v>
      </c>
      <c r="AC324" s="37">
        <f t="shared" si="122"/>
        <v>0</v>
      </c>
      <c r="AD324" s="37">
        <f t="shared" si="123"/>
        <v>0</v>
      </c>
      <c r="AE324" s="37">
        <f t="shared" si="124"/>
        <v>0</v>
      </c>
      <c r="AF324" s="37">
        <f t="shared" si="125"/>
        <v>0</v>
      </c>
      <c r="AG324" s="37">
        <f t="shared" si="126"/>
        <v>0</v>
      </c>
      <c r="AH324" s="37">
        <f t="shared" si="127"/>
        <v>0</v>
      </c>
      <c r="AI324" s="37">
        <f t="shared" si="128"/>
        <v>0</v>
      </c>
      <c r="AJ324" s="37">
        <f t="shared" si="129"/>
        <v>0</v>
      </c>
      <c r="AK324" s="37">
        <f t="shared" si="130"/>
        <v>0</v>
      </c>
      <c r="AL324" s="37">
        <f t="shared" si="131"/>
        <v>0</v>
      </c>
      <c r="AM324" s="37">
        <f t="shared" si="132"/>
        <v>0</v>
      </c>
      <c r="AN324" s="37">
        <f t="shared" si="133"/>
        <v>1</v>
      </c>
      <c r="AO324" s="37">
        <f t="shared" si="134"/>
        <v>1</v>
      </c>
      <c r="AP324" s="37"/>
      <c r="AQ324" s="37"/>
      <c r="AR324" s="37">
        <f t="shared" si="135"/>
        <v>3</v>
      </c>
      <c r="AS324" s="37">
        <f t="shared" si="136"/>
        <v>3</v>
      </c>
      <c r="AT324" s="37" t="str">
        <f t="shared" si="137"/>
        <v>Correct</v>
      </c>
      <c r="AU324" s="37"/>
      <c r="AV324" s="120" t="str">
        <f>IFERROR(VLOOKUP(Table1[RespondentID],'All Data'!$A$3:$CO$999,87,FALSE),"unknown")</f>
        <v>Woman</v>
      </c>
      <c r="AW324" s="120">
        <f>IFERROR(VLOOKUP(Table1[RespondentID],'All Data'!$A$3:$CO$999,88,FALSE),"unknown")</f>
        <v>0</v>
      </c>
      <c r="AX324" s="120" t="str">
        <f>IFERROR(VLOOKUP(Table1[RespondentID],'All Data'!$A$3:$CO$999,89,FALSE),"unknown")</f>
        <v>Suffolk</v>
      </c>
      <c r="AY324" s="120" t="str">
        <f>IFERROR(VLOOKUP(Table1[RespondentID],'All Data'!$A$3:$CO$999,90,FALSE),"unknown")</f>
        <v>Melville, 11747</v>
      </c>
      <c r="AZ324" s="120" t="str">
        <f>IFERROR(VLOOKUP(Table1[RespondentID],'All Data'!$A$3:$CO$999,91,FALSE),"unknown")</f>
        <v>American Indian and Alaska Native</v>
      </c>
      <c r="BA324" s="120" t="str">
        <f>IFERROR(VLOOKUP(Table1[RespondentID],'All Data'!$A$3:$CO$999,92,FALSE),"unknown")</f>
        <v>Hispanic or Latino</v>
      </c>
      <c r="BB324" s="120" t="str">
        <f>IFERROR(VLOOKUP(Table1[RespondentID],'All Data'!$A$3:$CO$999,93,FALSE),"unknown")</f>
        <v>English</v>
      </c>
      <c r="BC324" s="120" t="str">
        <f>IFERROR(VLOOKUP(Table1[RespondentID],'All Data'!$A$3:$CW$999,94,FALSE),"unknown")</f>
        <v>Over $125,000</v>
      </c>
      <c r="BD324" s="120" t="str">
        <f>IFERROR(VLOOKUP(Table1[RespondentID],'All Data'!$A$3:$CW$999,95,FALSE),"unknown")</f>
        <v>Graduate school</v>
      </c>
      <c r="BE324" s="120" t="str">
        <f>IFERROR(VLOOKUP(Table1[RespondentID],'All Data'!$A$3:$CW$999,96,FALSE),"unknown")</f>
        <v>Employed for wages</v>
      </c>
      <c r="BF324" s="120" t="str">
        <f>IFERROR(VLOOKUP(Table1[RespondentID],'All Data'!$A$3:$CW$999,97,FALSE),"unknown")</f>
        <v>Yes</v>
      </c>
      <c r="BG324" s="120" t="str">
        <f>IFERROR(VLOOKUP(Table1[RespondentID],'All Data'!$A$3:$CW$999,98,FALSE),"unknown")</f>
        <v>Private/Commercial</v>
      </c>
      <c r="BH324" s="120" t="str">
        <f>IFERROR(VLOOKUP(Table1[RespondentID],'All Data'!$A$3:$CW$999,99,FALSE),"unknown")</f>
        <v>Yes</v>
      </c>
    </row>
    <row r="325" spans="1:60">
      <c r="A325" s="5">
        <v>18014574170</v>
      </c>
      <c r="B325" s="5"/>
      <c r="C325" s="5"/>
      <c r="D325" s="5" t="s">
        <v>51</v>
      </c>
      <c r="E325" s="5"/>
      <c r="F325" s="5"/>
      <c r="G325" s="5"/>
      <c r="H325" s="5"/>
      <c r="I325" s="5" t="s">
        <v>55</v>
      </c>
      <c r="J325" s="5"/>
      <c r="K325" s="5" t="s">
        <v>57</v>
      </c>
      <c r="L325" s="5"/>
      <c r="M325" s="5"/>
      <c r="N325" s="5"/>
      <c r="O325" s="5"/>
      <c r="P325" s="5"/>
      <c r="Q325" s="5"/>
      <c r="R325" s="5"/>
      <c r="S325" s="5"/>
      <c r="T325" s="37"/>
      <c r="U325" s="37">
        <f t="shared" si="115"/>
        <v>3</v>
      </c>
      <c r="V325" s="37">
        <f t="shared" si="116"/>
        <v>1</v>
      </c>
      <c r="W325" s="37"/>
      <c r="X325" s="37">
        <f t="shared" si="117"/>
        <v>0</v>
      </c>
      <c r="Y325" s="37">
        <f t="shared" si="118"/>
        <v>0</v>
      </c>
      <c r="Z325" s="37">
        <f t="shared" si="119"/>
        <v>1</v>
      </c>
      <c r="AA325" s="37">
        <f t="shared" si="120"/>
        <v>0</v>
      </c>
      <c r="AB325" s="37">
        <f t="shared" si="121"/>
        <v>0</v>
      </c>
      <c r="AC325" s="37">
        <f t="shared" si="122"/>
        <v>0</v>
      </c>
      <c r="AD325" s="37">
        <f t="shared" si="123"/>
        <v>0</v>
      </c>
      <c r="AE325" s="37">
        <f t="shared" si="124"/>
        <v>1</v>
      </c>
      <c r="AF325" s="37">
        <f t="shared" si="125"/>
        <v>0</v>
      </c>
      <c r="AG325" s="37">
        <f t="shared" si="126"/>
        <v>1</v>
      </c>
      <c r="AH325" s="37">
        <f t="shared" si="127"/>
        <v>0</v>
      </c>
      <c r="AI325" s="37">
        <f t="shared" si="128"/>
        <v>0</v>
      </c>
      <c r="AJ325" s="37">
        <f t="shared" si="129"/>
        <v>0</v>
      </c>
      <c r="AK325" s="37">
        <f t="shared" si="130"/>
        <v>0</v>
      </c>
      <c r="AL325" s="37">
        <f t="shared" si="131"/>
        <v>0</v>
      </c>
      <c r="AM325" s="37">
        <f t="shared" si="132"/>
        <v>0</v>
      </c>
      <c r="AN325" s="37">
        <f t="shared" si="133"/>
        <v>0</v>
      </c>
      <c r="AO325" s="37">
        <f t="shared" si="134"/>
        <v>0</v>
      </c>
      <c r="AP325" s="37"/>
      <c r="AQ325" s="37"/>
      <c r="AR325" s="37">
        <f t="shared" si="135"/>
        <v>3</v>
      </c>
      <c r="AS325" s="37">
        <f t="shared" si="136"/>
        <v>3</v>
      </c>
      <c r="AT325" s="37" t="str">
        <f t="shared" si="137"/>
        <v>Correct</v>
      </c>
      <c r="AU325" s="37"/>
      <c r="AV325" s="120" t="str">
        <f>IFERROR(VLOOKUP(Table1[RespondentID],'All Data'!$A$3:$CO$999,87,FALSE),"unknown")</f>
        <v>Woman</v>
      </c>
      <c r="AW325" s="120">
        <f>IFERROR(VLOOKUP(Table1[RespondentID],'All Data'!$A$3:$CO$999,88,FALSE),"unknown")</f>
        <v>56</v>
      </c>
      <c r="AX325" s="120" t="str">
        <f>IFERROR(VLOOKUP(Table1[RespondentID],'All Data'!$A$3:$CO$999,89,FALSE),"unknown")</f>
        <v>Suffolk</v>
      </c>
      <c r="AY325" s="120" t="str">
        <f>IFERROR(VLOOKUP(Table1[RespondentID],'All Data'!$A$3:$CO$999,90,FALSE),"unknown")</f>
        <v>Smithtown, 11787</v>
      </c>
      <c r="AZ325" s="120" t="str">
        <f>IFERROR(VLOOKUP(Table1[RespondentID],'All Data'!$A$3:$CO$999,91,FALSE),"unknown")</f>
        <v>Native Hawaiian and Other Pacific Islander</v>
      </c>
      <c r="BA325" s="120" t="str">
        <f>IFERROR(VLOOKUP(Table1[RespondentID],'All Data'!$A$3:$CO$999,92,FALSE),"unknown")</f>
        <v>Hispanic or Latino</v>
      </c>
      <c r="BB325" s="120" t="str">
        <f>IFERROR(VLOOKUP(Table1[RespondentID],'All Data'!$A$3:$CO$999,93,FALSE),"unknown")</f>
        <v>English, Haitian Creole, French Creole</v>
      </c>
      <c r="BC325" s="120" t="str">
        <f>IFERROR(VLOOKUP(Table1[RespondentID],'All Data'!$A$3:$CW$999,94,FALSE),"unknown")</f>
        <v>$50,000 to $74,999</v>
      </c>
      <c r="BD325" s="120" t="str">
        <f>IFERROR(VLOOKUP(Table1[RespondentID],'All Data'!$A$3:$CW$999,95,FALSE),"unknown")</f>
        <v>Some college</v>
      </c>
      <c r="BE325" s="120" t="str">
        <f>IFERROR(VLOOKUP(Table1[RespondentID],'All Data'!$A$3:$CW$999,96,FALSE),"unknown")</f>
        <v>Employed for wages</v>
      </c>
      <c r="BF325" s="120" t="str">
        <f>IFERROR(VLOOKUP(Table1[RespondentID],'All Data'!$A$3:$CW$999,97,FALSE),"unknown")</f>
        <v>Yes</v>
      </c>
      <c r="BG325" s="120" t="str">
        <f>IFERROR(VLOOKUP(Table1[RespondentID],'All Data'!$A$3:$CW$999,98,FALSE),"unknown")</f>
        <v>Private/Commercial</v>
      </c>
      <c r="BH325" s="120" t="str">
        <f>IFERROR(VLOOKUP(Table1[RespondentID],'All Data'!$A$3:$CW$999,99,FALSE),"unknown")</f>
        <v>No</v>
      </c>
    </row>
    <row r="326" spans="1:60">
      <c r="A326" s="5">
        <v>18014573176</v>
      </c>
      <c r="B326" s="5"/>
      <c r="C326" s="5"/>
      <c r="D326" s="5"/>
      <c r="E326" s="5"/>
      <c r="F326" s="5"/>
      <c r="G326" s="5"/>
      <c r="H326" s="5"/>
      <c r="I326" s="5" t="s">
        <v>55</v>
      </c>
      <c r="J326" s="5"/>
      <c r="K326" s="5"/>
      <c r="L326" s="5" t="s">
        <v>58</v>
      </c>
      <c r="M326" s="5"/>
      <c r="N326" s="5"/>
      <c r="O326" s="5"/>
      <c r="P326" s="5"/>
      <c r="Q326" s="5"/>
      <c r="R326" s="5"/>
      <c r="S326" s="5" t="s">
        <v>63</v>
      </c>
      <c r="T326" s="37"/>
      <c r="U326" s="37">
        <f t="shared" si="115"/>
        <v>3</v>
      </c>
      <c r="V326" s="37">
        <f t="shared" si="116"/>
        <v>1</v>
      </c>
      <c r="W326" s="37"/>
      <c r="X326" s="37">
        <f t="shared" si="117"/>
        <v>0</v>
      </c>
      <c r="Y326" s="37">
        <f t="shared" si="118"/>
        <v>0</v>
      </c>
      <c r="Z326" s="37">
        <f t="shared" si="119"/>
        <v>0</v>
      </c>
      <c r="AA326" s="37">
        <f t="shared" si="120"/>
        <v>0</v>
      </c>
      <c r="AB326" s="37">
        <f t="shared" si="121"/>
        <v>0</v>
      </c>
      <c r="AC326" s="37">
        <f t="shared" si="122"/>
        <v>0</v>
      </c>
      <c r="AD326" s="37">
        <f t="shared" si="123"/>
        <v>0</v>
      </c>
      <c r="AE326" s="37">
        <f t="shared" si="124"/>
        <v>1</v>
      </c>
      <c r="AF326" s="37">
        <f t="shared" si="125"/>
        <v>0</v>
      </c>
      <c r="AG326" s="37">
        <f t="shared" si="126"/>
        <v>0</v>
      </c>
      <c r="AH326" s="37">
        <f t="shared" si="127"/>
        <v>1</v>
      </c>
      <c r="AI326" s="37">
        <f t="shared" si="128"/>
        <v>0</v>
      </c>
      <c r="AJ326" s="37">
        <f t="shared" si="129"/>
        <v>0</v>
      </c>
      <c r="AK326" s="37">
        <f t="shared" si="130"/>
        <v>0</v>
      </c>
      <c r="AL326" s="37">
        <f t="shared" si="131"/>
        <v>0</v>
      </c>
      <c r="AM326" s="37">
        <f t="shared" si="132"/>
        <v>0</v>
      </c>
      <c r="AN326" s="37">
        <f t="shared" si="133"/>
        <v>0</v>
      </c>
      <c r="AO326" s="37">
        <f t="shared" si="134"/>
        <v>1</v>
      </c>
      <c r="AP326" s="37"/>
      <c r="AQ326" s="37"/>
      <c r="AR326" s="37">
        <f t="shared" si="135"/>
        <v>3</v>
      </c>
      <c r="AS326" s="37">
        <f t="shared" si="136"/>
        <v>3</v>
      </c>
      <c r="AT326" s="37" t="str">
        <f t="shared" si="137"/>
        <v>Correct</v>
      </c>
      <c r="AU326" s="37"/>
      <c r="AV326" s="120" t="str">
        <f>IFERROR(VLOOKUP(Table1[RespondentID],'All Data'!$A$3:$CO$999,87,FALSE),"unknown")</f>
        <v>Woman</v>
      </c>
      <c r="AW326" s="120">
        <f>IFERROR(VLOOKUP(Table1[RespondentID],'All Data'!$A$3:$CO$999,88,FALSE),"unknown")</f>
        <v>49</v>
      </c>
      <c r="AX326" s="120" t="str">
        <f>IFERROR(VLOOKUP(Table1[RespondentID],'All Data'!$A$3:$CO$999,89,FALSE),"unknown")</f>
        <v>Suffolk</v>
      </c>
      <c r="AY326" s="120" t="str">
        <f>IFERROR(VLOOKUP(Table1[RespondentID],'All Data'!$A$3:$CO$999,90,FALSE),"unknown")</f>
        <v>Setauket, 11733</v>
      </c>
      <c r="AZ326" s="120" t="str">
        <f>IFERROR(VLOOKUP(Table1[RespondentID],'All Data'!$A$3:$CO$999,91,FALSE),"unknown")</f>
        <v>White</v>
      </c>
      <c r="BA326" s="120" t="str">
        <f>IFERROR(VLOOKUP(Table1[RespondentID],'All Data'!$A$3:$CO$999,92,FALSE),"unknown")</f>
        <v>Hispanic or Latino</v>
      </c>
      <c r="BB326" s="120" t="str">
        <f>IFERROR(VLOOKUP(Table1[RespondentID],'All Data'!$A$3:$CO$999,93,FALSE),"unknown")</f>
        <v>English</v>
      </c>
      <c r="BC326" s="120" t="str">
        <f>IFERROR(VLOOKUP(Table1[RespondentID],'All Data'!$A$3:$CW$999,94,FALSE),"unknown")</f>
        <v>Over $125,000</v>
      </c>
      <c r="BD326" s="120" t="str">
        <f>IFERROR(VLOOKUP(Table1[RespondentID],'All Data'!$A$3:$CW$999,95,FALSE),"unknown")</f>
        <v>Graduate school</v>
      </c>
      <c r="BE326" s="120" t="str">
        <f>IFERROR(VLOOKUP(Table1[RespondentID],'All Data'!$A$3:$CW$999,96,FALSE),"unknown")</f>
        <v>Employed for wages</v>
      </c>
      <c r="BF326" s="120" t="str">
        <f>IFERROR(VLOOKUP(Table1[RespondentID],'All Data'!$A$3:$CW$999,97,FALSE),"unknown")</f>
        <v>Yes</v>
      </c>
      <c r="BG326" s="120" t="str">
        <f>IFERROR(VLOOKUP(Table1[RespondentID],'All Data'!$A$3:$CW$999,98,FALSE),"unknown")</f>
        <v>Private/Commercial</v>
      </c>
      <c r="BH326" s="120" t="str">
        <f>IFERROR(VLOOKUP(Table1[RespondentID],'All Data'!$A$3:$CW$999,99,FALSE),"unknown")</f>
        <v>Yes</v>
      </c>
    </row>
    <row r="327" spans="1:60">
      <c r="A327" s="5">
        <v>18014553236</v>
      </c>
      <c r="B327" s="5"/>
      <c r="C327" s="5"/>
      <c r="D327" s="5"/>
      <c r="E327" s="5"/>
      <c r="F327" s="5"/>
      <c r="G327" s="5"/>
      <c r="H327" s="5" t="s">
        <v>54</v>
      </c>
      <c r="I327" s="5"/>
      <c r="J327" s="5"/>
      <c r="K327" s="5"/>
      <c r="L327" s="5" t="s">
        <v>58</v>
      </c>
      <c r="M327" s="5"/>
      <c r="N327" s="5"/>
      <c r="O327" s="5"/>
      <c r="P327" s="5"/>
      <c r="Q327" s="5" t="s">
        <v>61</v>
      </c>
      <c r="R327" s="5"/>
      <c r="S327" s="5"/>
      <c r="T327" s="37"/>
      <c r="U327" s="37">
        <f t="shared" si="115"/>
        <v>3</v>
      </c>
      <c r="V327" s="37">
        <f t="shared" si="116"/>
        <v>1</v>
      </c>
      <c r="W327" s="37"/>
      <c r="X327" s="37">
        <f t="shared" si="117"/>
        <v>0</v>
      </c>
      <c r="Y327" s="37">
        <f t="shared" si="118"/>
        <v>0</v>
      </c>
      <c r="Z327" s="37">
        <f t="shared" si="119"/>
        <v>0</v>
      </c>
      <c r="AA327" s="37">
        <f t="shared" si="120"/>
        <v>0</v>
      </c>
      <c r="AB327" s="37">
        <f t="shared" si="121"/>
        <v>0</v>
      </c>
      <c r="AC327" s="37">
        <f t="shared" si="122"/>
        <v>0</v>
      </c>
      <c r="AD327" s="37">
        <f t="shared" si="123"/>
        <v>1</v>
      </c>
      <c r="AE327" s="37">
        <f t="shared" si="124"/>
        <v>0</v>
      </c>
      <c r="AF327" s="37">
        <f t="shared" si="125"/>
        <v>0</v>
      </c>
      <c r="AG327" s="37">
        <f t="shared" si="126"/>
        <v>0</v>
      </c>
      <c r="AH327" s="37">
        <f t="shared" si="127"/>
        <v>1</v>
      </c>
      <c r="AI327" s="37">
        <f t="shared" si="128"/>
        <v>0</v>
      </c>
      <c r="AJ327" s="37">
        <f t="shared" si="129"/>
        <v>0</v>
      </c>
      <c r="AK327" s="37">
        <f t="shared" si="130"/>
        <v>0</v>
      </c>
      <c r="AL327" s="37">
        <f t="shared" si="131"/>
        <v>0</v>
      </c>
      <c r="AM327" s="37">
        <f t="shared" si="132"/>
        <v>1</v>
      </c>
      <c r="AN327" s="37">
        <f t="shared" si="133"/>
        <v>0</v>
      </c>
      <c r="AO327" s="37">
        <f t="shared" si="134"/>
        <v>0</v>
      </c>
      <c r="AP327" s="37"/>
      <c r="AQ327" s="37"/>
      <c r="AR327" s="37">
        <f t="shared" si="135"/>
        <v>3</v>
      </c>
      <c r="AS327" s="37">
        <f t="shared" si="136"/>
        <v>3</v>
      </c>
      <c r="AT327" s="37" t="str">
        <f t="shared" si="137"/>
        <v>Correct</v>
      </c>
      <c r="AU327" s="37"/>
      <c r="AV327" s="120" t="str">
        <f>IFERROR(VLOOKUP(Table1[RespondentID],'All Data'!$A$3:$CO$999,87,FALSE),"unknown")</f>
        <v>Man</v>
      </c>
      <c r="AW327" s="120">
        <f>IFERROR(VLOOKUP(Table1[RespondentID],'All Data'!$A$3:$CO$999,88,FALSE),"unknown")</f>
        <v>18</v>
      </c>
      <c r="AX327" s="120" t="str">
        <f>IFERROR(VLOOKUP(Table1[RespondentID],'All Data'!$A$3:$CO$999,89,FALSE),"unknown")</f>
        <v>Suffolk</v>
      </c>
      <c r="AY327" s="120" t="str">
        <f>IFERROR(VLOOKUP(Table1[RespondentID],'All Data'!$A$3:$CO$999,90,FALSE),"unknown")</f>
        <v>Smithtown, 11787</v>
      </c>
      <c r="AZ327" s="120" t="str">
        <f>IFERROR(VLOOKUP(Table1[RespondentID],'All Data'!$A$3:$CO$999,91,FALSE),"unknown")</f>
        <v>White</v>
      </c>
      <c r="BA327" s="120" t="str">
        <f>IFERROR(VLOOKUP(Table1[RespondentID],'All Data'!$A$3:$CO$999,92,FALSE),"unknown")</f>
        <v>Not Hispanic or Latino</v>
      </c>
      <c r="BB327" s="120" t="str">
        <f>IFERROR(VLOOKUP(Table1[RespondentID],'All Data'!$A$3:$CO$999,93,FALSE),"unknown")</f>
        <v>English, Spanish</v>
      </c>
      <c r="BC327" s="120" t="str">
        <f>IFERROR(VLOOKUP(Table1[RespondentID],'All Data'!$A$3:$CW$999,94,FALSE),"unknown")</f>
        <v>$50,000 to $74,999</v>
      </c>
      <c r="BD327" s="120" t="str">
        <f>IFERROR(VLOOKUP(Table1[RespondentID],'All Data'!$A$3:$CW$999,95,FALSE),"unknown")</f>
        <v>High school graduate</v>
      </c>
      <c r="BE327" s="120" t="str">
        <f>IFERROR(VLOOKUP(Table1[RespondentID],'All Data'!$A$3:$CW$999,96,FALSE),"unknown")</f>
        <v>Student</v>
      </c>
      <c r="BF327" s="120" t="str">
        <f>IFERROR(VLOOKUP(Table1[RespondentID],'All Data'!$A$3:$CW$999,97,FALSE),"unknown")</f>
        <v>Yes</v>
      </c>
      <c r="BG327" s="120" t="str">
        <f>IFERROR(VLOOKUP(Table1[RespondentID],'All Data'!$A$3:$CW$999,98,FALSE),"unknown")</f>
        <v>Medicaid</v>
      </c>
      <c r="BH327" s="120" t="str">
        <f>IFERROR(VLOOKUP(Table1[RespondentID],'All Data'!$A$3:$CW$999,99,FALSE),"unknown")</f>
        <v>Yes</v>
      </c>
    </row>
    <row r="328" spans="1:60">
      <c r="A328" s="5">
        <v>18014545263</v>
      </c>
      <c r="B328" s="5"/>
      <c r="C328" s="5"/>
      <c r="D328" s="5"/>
      <c r="E328" s="5"/>
      <c r="F328" s="5"/>
      <c r="G328" s="5" t="s">
        <v>53</v>
      </c>
      <c r="H328" s="5" t="s">
        <v>54</v>
      </c>
      <c r="I328" s="5"/>
      <c r="J328" s="5"/>
      <c r="K328" s="5"/>
      <c r="L328" s="5"/>
      <c r="M328" s="5" t="s">
        <v>59</v>
      </c>
      <c r="N328" s="5" t="s">
        <v>24</v>
      </c>
      <c r="O328" s="5"/>
      <c r="P328" s="5"/>
      <c r="Q328" s="5"/>
      <c r="R328" s="5"/>
      <c r="S328" s="5"/>
      <c r="T328" s="37"/>
      <c r="U328" s="37">
        <f t="shared" si="115"/>
        <v>4</v>
      </c>
      <c r="V328" s="37">
        <f t="shared" si="116"/>
        <v>0.75</v>
      </c>
      <c r="W328" s="37"/>
      <c r="X328" s="37">
        <f t="shared" si="117"/>
        <v>0</v>
      </c>
      <c r="Y328" s="37">
        <f t="shared" si="118"/>
        <v>0</v>
      </c>
      <c r="Z328" s="37">
        <f t="shared" si="119"/>
        <v>0</v>
      </c>
      <c r="AA328" s="37">
        <f t="shared" si="120"/>
        <v>0</v>
      </c>
      <c r="AB328" s="37">
        <f t="shared" si="121"/>
        <v>0</v>
      </c>
      <c r="AC328" s="37">
        <f t="shared" si="122"/>
        <v>0.75</v>
      </c>
      <c r="AD328" s="37">
        <f t="shared" si="123"/>
        <v>0.75</v>
      </c>
      <c r="AE328" s="37">
        <f t="shared" si="124"/>
        <v>0</v>
      </c>
      <c r="AF328" s="37">
        <f t="shared" si="125"/>
        <v>0</v>
      </c>
      <c r="AG328" s="37">
        <f t="shared" si="126"/>
        <v>0</v>
      </c>
      <c r="AH328" s="37">
        <f t="shared" si="127"/>
        <v>0</v>
      </c>
      <c r="AI328" s="37">
        <f t="shared" si="128"/>
        <v>0.75</v>
      </c>
      <c r="AJ328" s="37">
        <f t="shared" si="129"/>
        <v>0.75</v>
      </c>
      <c r="AK328" s="37">
        <f t="shared" si="130"/>
        <v>0</v>
      </c>
      <c r="AL328" s="37">
        <f t="shared" si="131"/>
        <v>0</v>
      </c>
      <c r="AM328" s="37">
        <f t="shared" si="132"/>
        <v>0</v>
      </c>
      <c r="AN328" s="37">
        <f t="shared" si="133"/>
        <v>0</v>
      </c>
      <c r="AO328" s="37">
        <f t="shared" si="134"/>
        <v>0</v>
      </c>
      <c r="AP328" s="37"/>
      <c r="AQ328" s="37"/>
      <c r="AR328" s="37">
        <f t="shared" si="135"/>
        <v>3</v>
      </c>
      <c r="AS328" s="37">
        <f t="shared" si="136"/>
        <v>4</v>
      </c>
      <c r="AT328" s="37" t="str">
        <f t="shared" si="137"/>
        <v>Correct</v>
      </c>
      <c r="AU328" s="37"/>
      <c r="AV328" s="120" t="str">
        <f>IFERROR(VLOOKUP(Table1[RespondentID],'All Data'!$A$3:$CO$999,87,FALSE),"unknown")</f>
        <v>Man</v>
      </c>
      <c r="AW328" s="120">
        <f>IFERROR(VLOOKUP(Table1[RespondentID],'All Data'!$A$3:$CO$999,88,FALSE),"unknown")</f>
        <v>18</v>
      </c>
      <c r="AX328" s="120" t="str">
        <f>IFERROR(VLOOKUP(Table1[RespondentID],'All Data'!$A$3:$CO$999,89,FALSE),"unknown")</f>
        <v>Suffolk</v>
      </c>
      <c r="AY328" s="120" t="str">
        <f>IFERROR(VLOOKUP(Table1[RespondentID],'All Data'!$A$3:$CO$999,90,FALSE),"unknown")</f>
        <v>Smithtown, 11787</v>
      </c>
      <c r="AZ328" s="120" t="str">
        <f>IFERROR(VLOOKUP(Table1[RespondentID],'All Data'!$A$3:$CO$999,91,FALSE),"unknown")</f>
        <v>Native Hawaiian and Other Pacific Islander</v>
      </c>
      <c r="BA328" s="120" t="str">
        <f>IFERROR(VLOOKUP(Table1[RespondentID],'All Data'!$A$3:$CO$999,92,FALSE),"unknown")</f>
        <v>Hispanic or Latino</v>
      </c>
      <c r="BB328" s="120" t="str">
        <f>IFERROR(VLOOKUP(Table1[RespondentID],'All Data'!$A$3:$CO$999,93,FALSE),"unknown")</f>
        <v>English</v>
      </c>
      <c r="BC328" s="120" t="str">
        <f>IFERROR(VLOOKUP(Table1[RespondentID],'All Data'!$A$3:$CW$999,94,FALSE),"unknown")</f>
        <v>$35,000 to $49,999</v>
      </c>
      <c r="BD328" s="120" t="str">
        <f>IFERROR(VLOOKUP(Table1[RespondentID],'All Data'!$A$3:$CW$999,95,FALSE),"unknown")</f>
        <v>High school graduate</v>
      </c>
      <c r="BE328" s="120" t="str">
        <f>IFERROR(VLOOKUP(Table1[RespondentID],'All Data'!$A$3:$CW$999,96,FALSE),"unknown")</f>
        <v>Student</v>
      </c>
      <c r="BF328" s="120" t="str">
        <f>IFERROR(VLOOKUP(Table1[RespondentID],'All Data'!$A$3:$CW$999,97,FALSE),"unknown")</f>
        <v>No</v>
      </c>
      <c r="BG328" s="120" t="str">
        <f>IFERROR(VLOOKUP(Table1[RespondentID],'All Data'!$A$3:$CW$999,98,FALSE),"unknown")</f>
        <v>No Insurance</v>
      </c>
      <c r="BH328" s="120" t="str">
        <f>IFERROR(VLOOKUP(Table1[RespondentID],'All Data'!$A$3:$CW$999,99,FALSE),"unknown")</f>
        <v>Yes</v>
      </c>
    </row>
    <row r="329" spans="1:60">
      <c r="A329" s="5">
        <v>18014444882</v>
      </c>
      <c r="B329" s="5" t="s">
        <v>49</v>
      </c>
      <c r="C329" s="5"/>
      <c r="D329" s="5"/>
      <c r="E329" s="5"/>
      <c r="F329" s="5"/>
      <c r="G329" s="5"/>
      <c r="H329" s="5" t="s">
        <v>54</v>
      </c>
      <c r="I329" s="5"/>
      <c r="J329" s="5"/>
      <c r="K329" s="5" t="s">
        <v>57</v>
      </c>
      <c r="L329" s="5"/>
      <c r="M329" s="5"/>
      <c r="N329" s="5"/>
      <c r="O329" s="5"/>
      <c r="P329" s="5"/>
      <c r="Q329" s="5"/>
      <c r="R329" s="5"/>
      <c r="S329" s="5"/>
      <c r="T329" s="37"/>
      <c r="U329" s="37">
        <f t="shared" si="115"/>
        <v>3</v>
      </c>
      <c r="V329" s="37">
        <f t="shared" si="116"/>
        <v>1</v>
      </c>
      <c r="W329" s="37"/>
      <c r="X329" s="37">
        <f t="shared" si="117"/>
        <v>1</v>
      </c>
      <c r="Y329" s="37">
        <f t="shared" si="118"/>
        <v>0</v>
      </c>
      <c r="Z329" s="37">
        <f t="shared" si="119"/>
        <v>0</v>
      </c>
      <c r="AA329" s="37">
        <f t="shared" si="120"/>
        <v>0</v>
      </c>
      <c r="AB329" s="37">
        <f t="shared" si="121"/>
        <v>0</v>
      </c>
      <c r="AC329" s="37">
        <f t="shared" si="122"/>
        <v>0</v>
      </c>
      <c r="AD329" s="37">
        <f t="shared" si="123"/>
        <v>1</v>
      </c>
      <c r="AE329" s="37">
        <f t="shared" si="124"/>
        <v>0</v>
      </c>
      <c r="AF329" s="37">
        <f t="shared" si="125"/>
        <v>0</v>
      </c>
      <c r="AG329" s="37">
        <f t="shared" si="126"/>
        <v>1</v>
      </c>
      <c r="AH329" s="37">
        <f t="shared" si="127"/>
        <v>0</v>
      </c>
      <c r="AI329" s="37">
        <f t="shared" si="128"/>
        <v>0</v>
      </c>
      <c r="AJ329" s="37">
        <f t="shared" si="129"/>
        <v>0</v>
      </c>
      <c r="AK329" s="37">
        <f t="shared" si="130"/>
        <v>0</v>
      </c>
      <c r="AL329" s="37">
        <f t="shared" si="131"/>
        <v>0</v>
      </c>
      <c r="AM329" s="37">
        <f t="shared" si="132"/>
        <v>0</v>
      </c>
      <c r="AN329" s="37">
        <f t="shared" si="133"/>
        <v>0</v>
      </c>
      <c r="AO329" s="37">
        <f t="shared" si="134"/>
        <v>0</v>
      </c>
      <c r="AP329" s="37"/>
      <c r="AQ329" s="37"/>
      <c r="AR329" s="37">
        <f t="shared" si="135"/>
        <v>3</v>
      </c>
      <c r="AS329" s="37">
        <f t="shared" si="136"/>
        <v>3</v>
      </c>
      <c r="AT329" s="37" t="str">
        <f t="shared" si="137"/>
        <v>Correct</v>
      </c>
      <c r="AU329" s="37"/>
      <c r="AV329" s="120" t="str">
        <f>IFERROR(VLOOKUP(Table1[RespondentID],'All Data'!$A$3:$CO$999,87,FALSE),"unknown")</f>
        <v>Woman</v>
      </c>
      <c r="AW329" s="120">
        <f>IFERROR(VLOOKUP(Table1[RespondentID],'All Data'!$A$3:$CO$999,88,FALSE),"unknown")</f>
        <v>54</v>
      </c>
      <c r="AX329" s="120" t="str">
        <f>IFERROR(VLOOKUP(Table1[RespondentID],'All Data'!$A$3:$CO$999,89,FALSE),"unknown")</f>
        <v>Nassau</v>
      </c>
      <c r="AY329" s="120" t="str">
        <f>IFERROR(VLOOKUP(Table1[RespondentID],'All Data'!$A$3:$CO$999,90,FALSE),"unknown")</f>
        <v>Syosset, 11791</v>
      </c>
      <c r="AZ329" s="120" t="str">
        <f>IFERROR(VLOOKUP(Table1[RespondentID],'All Data'!$A$3:$CO$999,91,FALSE),"unknown")</f>
        <v>American Indian and Alaska Native</v>
      </c>
      <c r="BA329" s="120" t="str">
        <f>IFERROR(VLOOKUP(Table1[RespondentID],'All Data'!$A$3:$CO$999,92,FALSE),"unknown")</f>
        <v>Hispanic or Latino</v>
      </c>
      <c r="BB329" s="120" t="str">
        <f>IFERROR(VLOOKUP(Table1[RespondentID],'All Data'!$A$3:$CO$999,93,FALSE),"unknown")</f>
        <v>English, Korean</v>
      </c>
      <c r="BC329" s="120" t="str">
        <f>IFERROR(VLOOKUP(Table1[RespondentID],'All Data'!$A$3:$CW$999,94,FALSE),"unknown")</f>
        <v>$20,000 to $34,999</v>
      </c>
      <c r="BD329" s="120" t="str">
        <f>IFERROR(VLOOKUP(Table1[RespondentID],'All Data'!$A$3:$CW$999,95,FALSE),"unknown")</f>
        <v>Doctorate</v>
      </c>
      <c r="BE329" s="120" t="str">
        <f>IFERROR(VLOOKUP(Table1[RespondentID],'All Data'!$A$3:$CW$999,96,FALSE),"unknown")</f>
        <v>Out of work and looking for work</v>
      </c>
      <c r="BF329" s="120" t="str">
        <f>IFERROR(VLOOKUP(Table1[RespondentID],'All Data'!$A$3:$CW$999,97,FALSE),"unknown")</f>
        <v>Yes</v>
      </c>
      <c r="BG329" s="120" t="str">
        <f>IFERROR(VLOOKUP(Table1[RespondentID],'All Data'!$A$3:$CW$999,98,FALSE),"unknown")</f>
        <v>Medicaid</v>
      </c>
      <c r="BH329" s="120" t="str">
        <f>IFERROR(VLOOKUP(Table1[RespondentID],'All Data'!$A$3:$CW$999,99,FALSE),"unknown")</f>
        <v>Yes</v>
      </c>
    </row>
    <row r="330" spans="1:60">
      <c r="A330" s="5">
        <v>18014407639</v>
      </c>
      <c r="B330" s="5"/>
      <c r="C330" s="5"/>
      <c r="D330" s="5"/>
      <c r="E330" s="5"/>
      <c r="F330" s="5"/>
      <c r="G330" s="5"/>
      <c r="H330" s="5"/>
      <c r="I330" s="5" t="s">
        <v>55</v>
      </c>
      <c r="J330" s="5"/>
      <c r="K330" s="5" t="s">
        <v>57</v>
      </c>
      <c r="L330" s="5"/>
      <c r="M330" s="5"/>
      <c r="N330" s="5"/>
      <c r="O330" s="5"/>
      <c r="P330" s="5"/>
      <c r="Q330" s="5"/>
      <c r="R330" s="5"/>
      <c r="S330" s="5" t="s">
        <v>63</v>
      </c>
      <c r="T330" s="37"/>
      <c r="U330" s="37">
        <f t="shared" si="115"/>
        <v>3</v>
      </c>
      <c r="V330" s="37">
        <f t="shared" si="116"/>
        <v>1</v>
      </c>
      <c r="W330" s="37"/>
      <c r="X330" s="37">
        <f t="shared" si="117"/>
        <v>0</v>
      </c>
      <c r="Y330" s="37">
        <f t="shared" si="118"/>
        <v>0</v>
      </c>
      <c r="Z330" s="37">
        <f t="shared" si="119"/>
        <v>0</v>
      </c>
      <c r="AA330" s="37">
        <f t="shared" si="120"/>
        <v>0</v>
      </c>
      <c r="AB330" s="37">
        <f t="shared" si="121"/>
        <v>0</v>
      </c>
      <c r="AC330" s="37">
        <f t="shared" si="122"/>
        <v>0</v>
      </c>
      <c r="AD330" s="37">
        <f t="shared" si="123"/>
        <v>0</v>
      </c>
      <c r="AE330" s="37">
        <f t="shared" si="124"/>
        <v>1</v>
      </c>
      <c r="AF330" s="37">
        <f t="shared" si="125"/>
        <v>0</v>
      </c>
      <c r="AG330" s="37">
        <f t="shared" si="126"/>
        <v>1</v>
      </c>
      <c r="AH330" s="37">
        <f t="shared" si="127"/>
        <v>0</v>
      </c>
      <c r="AI330" s="37">
        <f t="shared" si="128"/>
        <v>0</v>
      </c>
      <c r="AJ330" s="37">
        <f t="shared" si="129"/>
        <v>0</v>
      </c>
      <c r="AK330" s="37">
        <f t="shared" si="130"/>
        <v>0</v>
      </c>
      <c r="AL330" s="37">
        <f t="shared" si="131"/>
        <v>0</v>
      </c>
      <c r="AM330" s="37">
        <f t="shared" si="132"/>
        <v>0</v>
      </c>
      <c r="AN330" s="37">
        <f t="shared" si="133"/>
        <v>0</v>
      </c>
      <c r="AO330" s="37">
        <f t="shared" si="134"/>
        <v>1</v>
      </c>
      <c r="AP330" s="37"/>
      <c r="AQ330" s="37"/>
      <c r="AR330" s="37">
        <f t="shared" si="135"/>
        <v>3</v>
      </c>
      <c r="AS330" s="37">
        <f t="shared" si="136"/>
        <v>3</v>
      </c>
      <c r="AT330" s="37" t="str">
        <f t="shared" si="137"/>
        <v>Correct</v>
      </c>
      <c r="AU330" s="37"/>
      <c r="AV330" s="120" t="str">
        <f>IFERROR(VLOOKUP(Table1[RespondentID],'All Data'!$A$3:$CO$999,87,FALSE),"unknown")</f>
        <v>Man</v>
      </c>
      <c r="AW330" s="120">
        <f>IFERROR(VLOOKUP(Table1[RespondentID],'All Data'!$A$3:$CO$999,88,FALSE),"unknown")</f>
        <v>49</v>
      </c>
      <c r="AX330" s="120" t="str">
        <f>IFERROR(VLOOKUP(Table1[RespondentID],'All Data'!$A$3:$CO$999,89,FALSE),"unknown")</f>
        <v>Queens</v>
      </c>
      <c r="AY330" s="120">
        <f>IFERROR(VLOOKUP(Table1[RespondentID],'All Data'!$A$3:$CO$999,90,FALSE),"unknown")</f>
        <v>11003</v>
      </c>
      <c r="AZ330" s="120" t="str">
        <f>IFERROR(VLOOKUP(Table1[RespondentID],'All Data'!$A$3:$CO$999,91,FALSE),"unknown")</f>
        <v>Native Hawaiian and Other Pacific Islander</v>
      </c>
      <c r="BA330" s="120" t="str">
        <f>IFERROR(VLOOKUP(Table1[RespondentID],'All Data'!$A$3:$CO$999,92,FALSE),"unknown")</f>
        <v>Hispanic or Latino</v>
      </c>
      <c r="BB330" s="120" t="str">
        <f>IFERROR(VLOOKUP(Table1[RespondentID],'All Data'!$A$3:$CO$999,93,FALSE),"unknown")</f>
        <v>Haitian Creole, French Creole</v>
      </c>
      <c r="BC330" s="120" t="str">
        <f>IFERROR(VLOOKUP(Table1[RespondentID],'All Data'!$A$3:$CW$999,94,FALSE),"unknown")</f>
        <v>$20,000 to $34,999</v>
      </c>
      <c r="BD330" s="120" t="str">
        <f>IFERROR(VLOOKUP(Table1[RespondentID],'All Data'!$A$3:$CW$999,95,FALSE),"unknown")</f>
        <v>Graduate school</v>
      </c>
      <c r="BE330" s="120" t="str">
        <f>IFERROR(VLOOKUP(Table1[RespondentID],'All Data'!$A$3:$CW$999,96,FALSE),"unknown")</f>
        <v>Employed for wages</v>
      </c>
      <c r="BF330" s="120" t="str">
        <f>IFERROR(VLOOKUP(Table1[RespondentID],'All Data'!$A$3:$CW$999,97,FALSE),"unknown")</f>
        <v>Yes</v>
      </c>
      <c r="BG330" s="120" t="str">
        <f>IFERROR(VLOOKUP(Table1[RespondentID],'All Data'!$A$3:$CW$999,98,FALSE),"unknown")</f>
        <v>Medicaid</v>
      </c>
      <c r="BH330" s="120" t="str">
        <f>IFERROR(VLOOKUP(Table1[RespondentID],'All Data'!$A$3:$CW$999,99,FALSE),"unknown")</f>
        <v>Yes</v>
      </c>
    </row>
    <row r="331" spans="1:60">
      <c r="A331" s="5">
        <v>18014391810</v>
      </c>
      <c r="B331" s="5" t="s">
        <v>49</v>
      </c>
      <c r="C331" s="5"/>
      <c r="D331" s="5"/>
      <c r="E331" s="5"/>
      <c r="F331" s="5" t="s">
        <v>52</v>
      </c>
      <c r="G331" s="5" t="s">
        <v>53</v>
      </c>
      <c r="H331" s="5" t="s">
        <v>54</v>
      </c>
      <c r="I331" s="5"/>
      <c r="J331" s="5"/>
      <c r="K331" s="5"/>
      <c r="L331" s="5" t="s">
        <v>58</v>
      </c>
      <c r="M331" s="5"/>
      <c r="N331" s="5" t="s">
        <v>24</v>
      </c>
      <c r="O331" s="5"/>
      <c r="P331" s="5"/>
      <c r="Q331" s="5"/>
      <c r="R331" s="5" t="s">
        <v>62</v>
      </c>
      <c r="S331" s="5" t="s">
        <v>63</v>
      </c>
      <c r="T331" s="37"/>
      <c r="U331" s="37">
        <f t="shared" si="115"/>
        <v>8</v>
      </c>
      <c r="V331" s="37">
        <f t="shared" si="116"/>
        <v>0.375</v>
      </c>
      <c r="W331" s="37"/>
      <c r="X331" s="37">
        <f t="shared" si="117"/>
        <v>0.375</v>
      </c>
      <c r="Y331" s="37">
        <f t="shared" si="118"/>
        <v>0</v>
      </c>
      <c r="Z331" s="37">
        <f t="shared" si="119"/>
        <v>0</v>
      </c>
      <c r="AA331" s="37">
        <f t="shared" si="120"/>
        <v>0</v>
      </c>
      <c r="AB331" s="37">
        <f t="shared" si="121"/>
        <v>0.375</v>
      </c>
      <c r="AC331" s="37">
        <f t="shared" si="122"/>
        <v>0.375</v>
      </c>
      <c r="AD331" s="37">
        <f t="shared" si="123"/>
        <v>0.375</v>
      </c>
      <c r="AE331" s="37">
        <f t="shared" si="124"/>
        <v>0</v>
      </c>
      <c r="AF331" s="37">
        <f t="shared" si="125"/>
        <v>0</v>
      </c>
      <c r="AG331" s="37">
        <f t="shared" si="126"/>
        <v>0</v>
      </c>
      <c r="AH331" s="37">
        <f t="shared" si="127"/>
        <v>0.375</v>
      </c>
      <c r="AI331" s="37">
        <f t="shared" si="128"/>
        <v>0</v>
      </c>
      <c r="AJ331" s="37">
        <f t="shared" si="129"/>
        <v>0.375</v>
      </c>
      <c r="AK331" s="37">
        <f t="shared" si="130"/>
        <v>0</v>
      </c>
      <c r="AL331" s="37">
        <f t="shared" si="131"/>
        <v>0</v>
      </c>
      <c r="AM331" s="37">
        <f t="shared" si="132"/>
        <v>0</v>
      </c>
      <c r="AN331" s="37">
        <f t="shared" si="133"/>
        <v>0.375</v>
      </c>
      <c r="AO331" s="37">
        <f t="shared" si="134"/>
        <v>0.375</v>
      </c>
      <c r="AP331" s="37"/>
      <c r="AQ331" s="37"/>
      <c r="AR331" s="37">
        <f t="shared" si="135"/>
        <v>3</v>
      </c>
      <c r="AS331" s="37">
        <f t="shared" si="136"/>
        <v>8</v>
      </c>
      <c r="AT331" s="37" t="str">
        <f t="shared" si="137"/>
        <v>Correct</v>
      </c>
      <c r="AU331" s="37"/>
      <c r="AV331" s="120" t="str">
        <f>IFERROR(VLOOKUP(Table1[RespondentID],'All Data'!$A$3:$CO$999,87,FALSE),"unknown")</f>
        <v>Man</v>
      </c>
      <c r="AW331" s="120">
        <f>IFERROR(VLOOKUP(Table1[RespondentID],'All Data'!$A$3:$CO$999,88,FALSE),"unknown")</f>
        <v>50</v>
      </c>
      <c r="AX331" s="120" t="str">
        <f>IFERROR(VLOOKUP(Table1[RespondentID],'All Data'!$A$3:$CO$999,89,FALSE),"unknown")</f>
        <v>Suffolk</v>
      </c>
      <c r="AY331" s="120" t="str">
        <f>IFERROR(VLOOKUP(Table1[RespondentID],'All Data'!$A$3:$CO$999,90,FALSE),"unknown")</f>
        <v>Smithtown, 11787</v>
      </c>
      <c r="AZ331" s="120" t="str">
        <f>IFERROR(VLOOKUP(Table1[RespondentID],'All Data'!$A$3:$CO$999,91,FALSE),"unknown")</f>
        <v>Native Hawaiian and Other Pacific Islander</v>
      </c>
      <c r="BA331" s="120" t="str">
        <f>IFERROR(VLOOKUP(Table1[RespondentID],'All Data'!$A$3:$CO$999,92,FALSE),"unknown")</f>
        <v>Hispanic or Latino</v>
      </c>
      <c r="BB331" s="120" t="str">
        <f>IFERROR(VLOOKUP(Table1[RespondentID],'All Data'!$A$3:$CO$999,93,FALSE),"unknown")</f>
        <v>English, Haitian Creole, French Creole</v>
      </c>
      <c r="BC331" s="120" t="str">
        <f>IFERROR(VLOOKUP(Table1[RespondentID],'All Data'!$A$3:$CW$999,94,FALSE),"unknown")</f>
        <v>Over $125,000</v>
      </c>
      <c r="BD331" s="120" t="str">
        <f>IFERROR(VLOOKUP(Table1[RespondentID],'All Data'!$A$3:$CW$999,95,FALSE),"unknown")</f>
        <v>Other (please specify)</v>
      </c>
      <c r="BE331" s="120" t="str">
        <f>IFERROR(VLOOKUP(Table1[RespondentID],'All Data'!$A$3:$CW$999,96,FALSE),"unknown")</f>
        <v>Employed for wages</v>
      </c>
      <c r="BF331" s="120" t="str">
        <f>IFERROR(VLOOKUP(Table1[RespondentID],'All Data'!$A$3:$CW$999,97,FALSE),"unknown")</f>
        <v>Yes</v>
      </c>
      <c r="BG331" s="120" t="str">
        <f>IFERROR(VLOOKUP(Table1[RespondentID],'All Data'!$A$3:$CW$999,98,FALSE),"unknown")</f>
        <v>Private/Commercial</v>
      </c>
      <c r="BH331" s="120" t="str">
        <f>IFERROR(VLOOKUP(Table1[RespondentID],'All Data'!$A$3:$CW$999,99,FALSE),"unknown")</f>
        <v>Yes</v>
      </c>
    </row>
    <row r="332" spans="1:60">
      <c r="A332" s="5">
        <v>18014391895</v>
      </c>
      <c r="B332" s="5" t="s">
        <v>49</v>
      </c>
      <c r="C332" s="5" t="s">
        <v>50</v>
      </c>
      <c r="D332" s="5" t="s">
        <v>51</v>
      </c>
      <c r="E332" s="5" t="s">
        <v>17</v>
      </c>
      <c r="F332" s="5" t="s">
        <v>52</v>
      </c>
      <c r="G332" s="5" t="s">
        <v>53</v>
      </c>
      <c r="H332" s="5" t="s">
        <v>54</v>
      </c>
      <c r="I332" s="5" t="s">
        <v>55</v>
      </c>
      <c r="J332" s="5" t="s">
        <v>56</v>
      </c>
      <c r="K332" s="5" t="s">
        <v>57</v>
      </c>
      <c r="L332" s="5" t="s">
        <v>58</v>
      </c>
      <c r="M332" s="5" t="s">
        <v>59</v>
      </c>
      <c r="N332" s="5" t="s">
        <v>24</v>
      </c>
      <c r="O332" s="5" t="s">
        <v>20</v>
      </c>
      <c r="P332" s="5" t="s">
        <v>60</v>
      </c>
      <c r="Q332" s="5" t="s">
        <v>61</v>
      </c>
      <c r="R332" s="5" t="s">
        <v>62</v>
      </c>
      <c r="S332" s="5" t="s">
        <v>63</v>
      </c>
      <c r="T332" s="37"/>
      <c r="U332" s="37">
        <f t="shared" si="115"/>
        <v>18</v>
      </c>
      <c r="V332" s="37">
        <f t="shared" si="116"/>
        <v>0.16666666666666666</v>
      </c>
      <c r="W332" s="37"/>
      <c r="X332" s="37">
        <f t="shared" si="117"/>
        <v>0.16666666666666666</v>
      </c>
      <c r="Y332" s="37">
        <f t="shared" si="118"/>
        <v>0.16666666666666666</v>
      </c>
      <c r="Z332" s="37">
        <f t="shared" si="119"/>
        <v>0.16666666666666666</v>
      </c>
      <c r="AA332" s="37">
        <f t="shared" si="120"/>
        <v>0.16666666666666666</v>
      </c>
      <c r="AB332" s="37">
        <f t="shared" si="121"/>
        <v>0.16666666666666666</v>
      </c>
      <c r="AC332" s="37">
        <f t="shared" si="122"/>
        <v>0.16666666666666666</v>
      </c>
      <c r="AD332" s="37">
        <f t="shared" si="123"/>
        <v>0.16666666666666666</v>
      </c>
      <c r="AE332" s="37">
        <f t="shared" si="124"/>
        <v>0.16666666666666666</v>
      </c>
      <c r="AF332" s="37">
        <f t="shared" si="125"/>
        <v>0.16666666666666666</v>
      </c>
      <c r="AG332" s="37">
        <f t="shared" si="126"/>
        <v>0.16666666666666666</v>
      </c>
      <c r="AH332" s="37">
        <f t="shared" si="127"/>
        <v>0.16666666666666666</v>
      </c>
      <c r="AI332" s="37">
        <f t="shared" si="128"/>
        <v>0.16666666666666666</v>
      </c>
      <c r="AJ332" s="37">
        <f t="shared" si="129"/>
        <v>0.16666666666666666</v>
      </c>
      <c r="AK332" s="37">
        <f t="shared" si="130"/>
        <v>0.16666666666666666</v>
      </c>
      <c r="AL332" s="37">
        <f t="shared" si="131"/>
        <v>0.16666666666666666</v>
      </c>
      <c r="AM332" s="37">
        <f t="shared" si="132"/>
        <v>0.16666666666666666</v>
      </c>
      <c r="AN332" s="37">
        <f t="shared" si="133"/>
        <v>0.16666666666666666</v>
      </c>
      <c r="AO332" s="37">
        <f t="shared" si="134"/>
        <v>0.16666666666666666</v>
      </c>
      <c r="AP332" s="37"/>
      <c r="AQ332" s="37"/>
      <c r="AR332" s="37">
        <f t="shared" si="135"/>
        <v>2.9999999999999991</v>
      </c>
      <c r="AS332" s="37">
        <f t="shared" si="136"/>
        <v>18</v>
      </c>
      <c r="AT332" s="37" t="str">
        <f t="shared" si="137"/>
        <v>Correct</v>
      </c>
      <c r="AU332" s="37"/>
      <c r="AV332" s="120" t="str">
        <f>IFERROR(VLOOKUP(Table1[RespondentID],'All Data'!$A$3:$CO$999,87,FALSE),"unknown")</f>
        <v>Man</v>
      </c>
      <c r="AW332" s="120">
        <f>IFERROR(VLOOKUP(Table1[RespondentID],'All Data'!$A$3:$CO$999,88,FALSE),"unknown")</f>
        <v>65</v>
      </c>
      <c r="AX332" s="120" t="str">
        <f>IFERROR(VLOOKUP(Table1[RespondentID],'All Data'!$A$3:$CO$999,89,FALSE),"unknown")</f>
        <v>Queens</v>
      </c>
      <c r="AY332" s="120">
        <f>IFERROR(VLOOKUP(Table1[RespondentID],'All Data'!$A$3:$CO$999,90,FALSE),"unknown")</f>
        <v>11692</v>
      </c>
      <c r="AZ332" s="120" t="str">
        <f>IFERROR(VLOOKUP(Table1[RespondentID],'All Data'!$A$3:$CO$999,91,FALSE),"unknown")</f>
        <v>Native Hawaiian and Other Pacific Islander</v>
      </c>
      <c r="BA332" s="120" t="str">
        <f>IFERROR(VLOOKUP(Table1[RespondentID],'All Data'!$A$3:$CO$999,92,FALSE),"unknown")</f>
        <v>Hispanic or Latino</v>
      </c>
      <c r="BB332" s="120" t="str">
        <f>IFERROR(VLOOKUP(Table1[RespondentID],'All Data'!$A$3:$CO$999,93,FALSE),"unknown")</f>
        <v>English</v>
      </c>
      <c r="BC332" s="120" t="str">
        <f>IFERROR(VLOOKUP(Table1[RespondentID],'All Data'!$A$3:$CW$999,94,FALSE),"unknown")</f>
        <v>$35,000 to $49,999</v>
      </c>
      <c r="BD332" s="120" t="str">
        <f>IFERROR(VLOOKUP(Table1[RespondentID],'All Data'!$A$3:$CW$999,95,FALSE),"unknown")</f>
        <v>College graduate</v>
      </c>
      <c r="BE332" s="120" t="str">
        <f>IFERROR(VLOOKUP(Table1[RespondentID],'All Data'!$A$3:$CW$999,96,FALSE),"unknown")</f>
        <v>Employed for wages</v>
      </c>
      <c r="BF332" s="120" t="str">
        <f>IFERROR(VLOOKUP(Table1[RespondentID],'All Data'!$A$3:$CW$999,97,FALSE),"unknown")</f>
        <v>Yes</v>
      </c>
      <c r="BG332" s="120" t="str">
        <f>IFERROR(VLOOKUP(Table1[RespondentID],'All Data'!$A$3:$CW$999,98,FALSE),"unknown")</f>
        <v>Private/Commercial</v>
      </c>
      <c r="BH332" s="120" t="str">
        <f>IFERROR(VLOOKUP(Table1[RespondentID],'All Data'!$A$3:$CW$999,99,FALSE),"unknown")</f>
        <v>Yes</v>
      </c>
    </row>
    <row r="333" spans="1:60">
      <c r="A333" s="5">
        <v>18014390822</v>
      </c>
      <c r="B333" s="5" t="s">
        <v>49</v>
      </c>
      <c r="C333" s="5"/>
      <c r="D333" s="5"/>
      <c r="E333" s="5"/>
      <c r="F333" s="5"/>
      <c r="G333" s="5"/>
      <c r="H333" s="5"/>
      <c r="I333" s="5"/>
      <c r="J333" s="5"/>
      <c r="K333" s="5"/>
      <c r="L333" s="5"/>
      <c r="M333" s="5"/>
      <c r="N333" s="5" t="s">
        <v>24</v>
      </c>
      <c r="O333" s="5"/>
      <c r="P333" s="5"/>
      <c r="Q333" s="5"/>
      <c r="R333" s="5" t="s">
        <v>62</v>
      </c>
      <c r="S333" s="5"/>
      <c r="T333" s="37"/>
      <c r="U333" s="37">
        <f t="shared" si="115"/>
        <v>3</v>
      </c>
      <c r="V333" s="37">
        <f t="shared" si="116"/>
        <v>1</v>
      </c>
      <c r="W333" s="37"/>
      <c r="X333" s="37">
        <f t="shared" si="117"/>
        <v>1</v>
      </c>
      <c r="Y333" s="37">
        <f t="shared" si="118"/>
        <v>0</v>
      </c>
      <c r="Z333" s="37">
        <f t="shared" si="119"/>
        <v>0</v>
      </c>
      <c r="AA333" s="37">
        <f t="shared" si="120"/>
        <v>0</v>
      </c>
      <c r="AB333" s="37">
        <f t="shared" si="121"/>
        <v>0</v>
      </c>
      <c r="AC333" s="37">
        <f t="shared" si="122"/>
        <v>0</v>
      </c>
      <c r="AD333" s="37">
        <f t="shared" si="123"/>
        <v>0</v>
      </c>
      <c r="AE333" s="37">
        <f t="shared" si="124"/>
        <v>0</v>
      </c>
      <c r="AF333" s="37">
        <f t="shared" si="125"/>
        <v>0</v>
      </c>
      <c r="AG333" s="37">
        <f t="shared" si="126"/>
        <v>0</v>
      </c>
      <c r="AH333" s="37">
        <f t="shared" si="127"/>
        <v>0</v>
      </c>
      <c r="AI333" s="37">
        <f t="shared" si="128"/>
        <v>0</v>
      </c>
      <c r="AJ333" s="37">
        <f t="shared" si="129"/>
        <v>1</v>
      </c>
      <c r="AK333" s="37">
        <f t="shared" si="130"/>
        <v>0</v>
      </c>
      <c r="AL333" s="37">
        <f t="shared" si="131"/>
        <v>0</v>
      </c>
      <c r="AM333" s="37">
        <f t="shared" si="132"/>
        <v>0</v>
      </c>
      <c r="AN333" s="37">
        <f t="shared" si="133"/>
        <v>1</v>
      </c>
      <c r="AO333" s="37">
        <f t="shared" si="134"/>
        <v>0</v>
      </c>
      <c r="AP333" s="37"/>
      <c r="AQ333" s="37"/>
      <c r="AR333" s="37">
        <f t="shared" si="135"/>
        <v>3</v>
      </c>
      <c r="AS333" s="37">
        <f t="shared" si="136"/>
        <v>3</v>
      </c>
      <c r="AT333" s="37" t="str">
        <f t="shared" si="137"/>
        <v>Correct</v>
      </c>
      <c r="AU333" s="37"/>
      <c r="AV333" s="120" t="str">
        <f>IFERROR(VLOOKUP(Table1[RespondentID],'All Data'!$A$3:$CO$999,87,FALSE),"unknown")</f>
        <v>Man</v>
      </c>
      <c r="AW333" s="120">
        <f>IFERROR(VLOOKUP(Table1[RespondentID],'All Data'!$A$3:$CO$999,88,FALSE),"unknown")</f>
        <v>45</v>
      </c>
      <c r="AX333" s="120" t="str">
        <f>IFERROR(VLOOKUP(Table1[RespondentID],'All Data'!$A$3:$CO$999,89,FALSE),"unknown")</f>
        <v>Queens</v>
      </c>
      <c r="AY333" s="120">
        <f>IFERROR(VLOOKUP(Table1[RespondentID],'All Data'!$A$3:$CO$999,90,FALSE),"unknown")</f>
        <v>11355</v>
      </c>
      <c r="AZ333" s="120" t="str">
        <f>IFERROR(VLOOKUP(Table1[RespondentID],'All Data'!$A$3:$CO$999,91,FALSE),"unknown")</f>
        <v>Asian</v>
      </c>
      <c r="BA333" s="120" t="str">
        <f>IFERROR(VLOOKUP(Table1[RespondentID],'All Data'!$A$3:$CO$999,92,FALSE),"unknown")</f>
        <v>Hispanic or Latino</v>
      </c>
      <c r="BB333" s="120" t="str">
        <f>IFERROR(VLOOKUP(Table1[RespondentID],'All Data'!$A$3:$CO$999,93,FALSE),"unknown")</f>
        <v>English</v>
      </c>
      <c r="BC333" s="120" t="str">
        <f>IFERROR(VLOOKUP(Table1[RespondentID],'All Data'!$A$3:$CW$999,94,FALSE),"unknown")</f>
        <v>$35,000 to $49,999</v>
      </c>
      <c r="BD333" s="120" t="str">
        <f>IFERROR(VLOOKUP(Table1[RespondentID],'All Data'!$A$3:$CW$999,95,FALSE),"unknown")</f>
        <v>Some high school</v>
      </c>
      <c r="BE333" s="120" t="str">
        <f>IFERROR(VLOOKUP(Table1[RespondentID],'All Data'!$A$3:$CW$999,96,FALSE),"unknown")</f>
        <v>Employed for wages</v>
      </c>
      <c r="BF333" s="120" t="str">
        <f>IFERROR(VLOOKUP(Table1[RespondentID],'All Data'!$A$3:$CW$999,97,FALSE),"unknown")</f>
        <v>Yes</v>
      </c>
      <c r="BG333" s="120" t="str">
        <f>IFERROR(VLOOKUP(Table1[RespondentID],'All Data'!$A$3:$CW$999,98,FALSE),"unknown")</f>
        <v>Private/Commercial</v>
      </c>
      <c r="BH333" s="120" t="str">
        <f>IFERROR(VLOOKUP(Table1[RespondentID],'All Data'!$A$3:$CW$999,99,FALSE),"unknown")</f>
        <v>Yes</v>
      </c>
    </row>
    <row r="334" spans="1:60">
      <c r="A334" s="5">
        <v>18014390460</v>
      </c>
      <c r="B334" s="5" t="s">
        <v>49</v>
      </c>
      <c r="C334" s="5"/>
      <c r="D334" s="5"/>
      <c r="E334" s="5"/>
      <c r="F334" s="5" t="s">
        <v>52</v>
      </c>
      <c r="G334" s="5"/>
      <c r="H334" s="5" t="s">
        <v>54</v>
      </c>
      <c r="I334" s="5"/>
      <c r="J334" s="5"/>
      <c r="K334" s="5"/>
      <c r="L334" s="5"/>
      <c r="M334" s="5"/>
      <c r="N334" s="5" t="s">
        <v>24</v>
      </c>
      <c r="O334" s="5"/>
      <c r="P334" s="5"/>
      <c r="Q334" s="5" t="s">
        <v>61</v>
      </c>
      <c r="R334" s="5"/>
      <c r="S334" s="5"/>
      <c r="T334" s="37"/>
      <c r="U334" s="37">
        <f t="shared" si="115"/>
        <v>5</v>
      </c>
      <c r="V334" s="37">
        <f t="shared" si="116"/>
        <v>0.6</v>
      </c>
      <c r="W334" s="37"/>
      <c r="X334" s="37">
        <f t="shared" si="117"/>
        <v>0.6</v>
      </c>
      <c r="Y334" s="37">
        <f t="shared" si="118"/>
        <v>0</v>
      </c>
      <c r="Z334" s="37">
        <f t="shared" si="119"/>
        <v>0</v>
      </c>
      <c r="AA334" s="37">
        <f t="shared" si="120"/>
        <v>0</v>
      </c>
      <c r="AB334" s="37">
        <f t="shared" si="121"/>
        <v>0.6</v>
      </c>
      <c r="AC334" s="37">
        <f t="shared" si="122"/>
        <v>0</v>
      </c>
      <c r="AD334" s="37">
        <f t="shared" si="123"/>
        <v>0.6</v>
      </c>
      <c r="AE334" s="37">
        <f t="shared" si="124"/>
        <v>0</v>
      </c>
      <c r="AF334" s="37">
        <f t="shared" si="125"/>
        <v>0</v>
      </c>
      <c r="AG334" s="37">
        <f t="shared" si="126"/>
        <v>0</v>
      </c>
      <c r="AH334" s="37">
        <f t="shared" si="127"/>
        <v>0</v>
      </c>
      <c r="AI334" s="37">
        <f t="shared" si="128"/>
        <v>0</v>
      </c>
      <c r="AJ334" s="37">
        <f t="shared" si="129"/>
        <v>0.6</v>
      </c>
      <c r="AK334" s="37">
        <f t="shared" si="130"/>
        <v>0</v>
      </c>
      <c r="AL334" s="37">
        <f t="shared" si="131"/>
        <v>0</v>
      </c>
      <c r="AM334" s="37">
        <f t="shared" si="132"/>
        <v>0.6</v>
      </c>
      <c r="AN334" s="37">
        <f t="shared" si="133"/>
        <v>0</v>
      </c>
      <c r="AO334" s="37">
        <f t="shared" si="134"/>
        <v>0</v>
      </c>
      <c r="AP334" s="37"/>
      <c r="AQ334" s="37"/>
      <c r="AR334" s="37">
        <f t="shared" si="135"/>
        <v>3</v>
      </c>
      <c r="AS334" s="37">
        <f t="shared" si="136"/>
        <v>5</v>
      </c>
      <c r="AT334" s="37" t="str">
        <f t="shared" si="137"/>
        <v>Correct</v>
      </c>
      <c r="AU334" s="37"/>
      <c r="AV334" s="120" t="str">
        <f>IFERROR(VLOOKUP(Table1[RespondentID],'All Data'!$A$3:$CO$999,87,FALSE),"unknown")</f>
        <v>Woman</v>
      </c>
      <c r="AW334" s="120">
        <f>IFERROR(VLOOKUP(Table1[RespondentID],'All Data'!$A$3:$CO$999,88,FALSE),"unknown")</f>
        <v>38</v>
      </c>
      <c r="AX334" s="120" t="str">
        <f>IFERROR(VLOOKUP(Table1[RespondentID],'All Data'!$A$3:$CO$999,89,FALSE),"unknown")</f>
        <v>Queens</v>
      </c>
      <c r="AY334" s="120">
        <f>IFERROR(VLOOKUP(Table1[RespondentID],'All Data'!$A$3:$CO$999,90,FALSE),"unknown")</f>
        <v>11236</v>
      </c>
      <c r="AZ334" s="120" t="str">
        <f>IFERROR(VLOOKUP(Table1[RespondentID],'All Data'!$A$3:$CO$999,91,FALSE),"unknown")</f>
        <v>Asian</v>
      </c>
      <c r="BA334" s="120" t="str">
        <f>IFERROR(VLOOKUP(Table1[RespondentID],'All Data'!$A$3:$CO$999,92,FALSE),"unknown")</f>
        <v>Not Hispanic or Latino</v>
      </c>
      <c r="BB334" s="120" t="str">
        <f>IFERROR(VLOOKUP(Table1[RespondentID],'All Data'!$A$3:$CO$999,93,FALSE),"unknown")</f>
        <v>English, Haitian Creole</v>
      </c>
      <c r="BC334" s="120" t="str">
        <f>IFERROR(VLOOKUP(Table1[RespondentID],'All Data'!$A$3:$CW$999,94,FALSE),"unknown")</f>
        <v>$75,000 to $125,000</v>
      </c>
      <c r="BD334" s="120" t="str">
        <f>IFERROR(VLOOKUP(Table1[RespondentID],'All Data'!$A$3:$CW$999,95,FALSE),"unknown")</f>
        <v>College graduate</v>
      </c>
      <c r="BE334" s="120" t="str">
        <f>IFERROR(VLOOKUP(Table1[RespondentID],'All Data'!$A$3:$CW$999,96,FALSE),"unknown")</f>
        <v>Employed for wages</v>
      </c>
      <c r="BF334" s="120" t="str">
        <f>IFERROR(VLOOKUP(Table1[RespondentID],'All Data'!$A$3:$CW$999,97,FALSE),"unknown")</f>
        <v>No</v>
      </c>
      <c r="BG334" s="120" t="str">
        <f>IFERROR(VLOOKUP(Table1[RespondentID],'All Data'!$A$3:$CW$999,98,FALSE),"unknown")</f>
        <v>Medicaid, Medicare</v>
      </c>
      <c r="BH334" s="120" t="str">
        <f>IFERROR(VLOOKUP(Table1[RespondentID],'All Data'!$A$3:$CW$999,99,FALSE),"unknown")</f>
        <v>Yes</v>
      </c>
    </row>
    <row r="335" spans="1:60">
      <c r="A335" s="5">
        <v>18014363228</v>
      </c>
      <c r="B335" s="5"/>
      <c r="C335" s="5"/>
      <c r="D335" s="5"/>
      <c r="E335" s="5"/>
      <c r="F335" s="5"/>
      <c r="G335" s="5"/>
      <c r="H335" s="5"/>
      <c r="I335" s="5"/>
      <c r="J335" s="5"/>
      <c r="K335" s="5"/>
      <c r="L335" s="5"/>
      <c r="M335" s="5"/>
      <c r="N335" s="5"/>
      <c r="O335" s="5"/>
      <c r="P335" s="5"/>
      <c r="Q335" s="5"/>
      <c r="R335" s="5"/>
      <c r="S335" s="5"/>
      <c r="T335" s="37"/>
      <c r="U335" s="37">
        <f t="shared" si="115"/>
        <v>0</v>
      </c>
      <c r="V335" s="37" t="e">
        <f t="shared" si="116"/>
        <v>#DIV/0!</v>
      </c>
      <c r="W335" s="37"/>
      <c r="X335" s="37">
        <f t="shared" si="117"/>
        <v>0</v>
      </c>
      <c r="Y335" s="37">
        <f t="shared" si="118"/>
        <v>0</v>
      </c>
      <c r="Z335" s="37">
        <f t="shared" si="119"/>
        <v>0</v>
      </c>
      <c r="AA335" s="37">
        <f t="shared" si="120"/>
        <v>0</v>
      </c>
      <c r="AB335" s="37">
        <f t="shared" si="121"/>
        <v>0</v>
      </c>
      <c r="AC335" s="37">
        <f t="shared" si="122"/>
        <v>0</v>
      </c>
      <c r="AD335" s="37">
        <f t="shared" si="123"/>
        <v>0</v>
      </c>
      <c r="AE335" s="37">
        <f t="shared" si="124"/>
        <v>0</v>
      </c>
      <c r="AF335" s="37">
        <f t="shared" si="125"/>
        <v>0</v>
      </c>
      <c r="AG335" s="37">
        <f t="shared" si="126"/>
        <v>0</v>
      </c>
      <c r="AH335" s="37">
        <f t="shared" si="127"/>
        <v>0</v>
      </c>
      <c r="AI335" s="37">
        <f t="shared" si="128"/>
        <v>0</v>
      </c>
      <c r="AJ335" s="37">
        <f t="shared" si="129"/>
        <v>0</v>
      </c>
      <c r="AK335" s="37">
        <f t="shared" si="130"/>
        <v>0</v>
      </c>
      <c r="AL335" s="37">
        <f t="shared" si="131"/>
        <v>0</v>
      </c>
      <c r="AM335" s="37">
        <f t="shared" si="132"/>
        <v>0</v>
      </c>
      <c r="AN335" s="37">
        <f t="shared" si="133"/>
        <v>0</v>
      </c>
      <c r="AO335" s="37">
        <f t="shared" si="134"/>
        <v>0</v>
      </c>
      <c r="AP335" s="37"/>
      <c r="AQ335" s="37"/>
      <c r="AR335" s="37">
        <f t="shared" si="135"/>
        <v>0</v>
      </c>
      <c r="AS335" s="37">
        <f t="shared" si="136"/>
        <v>0</v>
      </c>
      <c r="AT335" s="37" t="str">
        <f t="shared" si="137"/>
        <v>Correct</v>
      </c>
      <c r="AU335" s="37"/>
      <c r="AV335" s="120">
        <f>IFERROR(VLOOKUP(Table1[RespondentID],'All Data'!$A$3:$CO$999,87,FALSE),"unknown")</f>
        <v>0</v>
      </c>
      <c r="AW335" s="120">
        <f>IFERROR(VLOOKUP(Table1[RespondentID],'All Data'!$A$3:$CO$999,88,FALSE),"unknown")</f>
        <v>0</v>
      </c>
      <c r="AX335" s="120">
        <f>IFERROR(VLOOKUP(Table1[RespondentID],'All Data'!$A$3:$CO$999,89,FALSE),"unknown")</f>
        <v>0</v>
      </c>
      <c r="AY335" s="120" t="str">
        <f>IFERROR(VLOOKUP(Table1[RespondentID],'All Data'!$A$3:$CO$999,90,FALSE),"unknown")</f>
        <v>Alden Manor, 11003</v>
      </c>
      <c r="AZ335" s="120">
        <f>IFERROR(VLOOKUP(Table1[RespondentID],'All Data'!$A$3:$CO$999,91,FALSE),"unknown")</f>
        <v>0</v>
      </c>
      <c r="BA335" s="120">
        <f>IFERROR(VLOOKUP(Table1[RespondentID],'All Data'!$A$3:$CO$999,92,FALSE),"unknown")</f>
        <v>0</v>
      </c>
      <c r="BB335" s="120">
        <f>IFERROR(VLOOKUP(Table1[RespondentID],'All Data'!$A$3:$CO$999,93,FALSE),"unknown")</f>
        <v>0</v>
      </c>
      <c r="BC335" s="120">
        <f>IFERROR(VLOOKUP(Table1[RespondentID],'All Data'!$A$3:$CW$999,94,FALSE),"unknown")</f>
        <v>0</v>
      </c>
      <c r="BD335" s="120">
        <f>IFERROR(VLOOKUP(Table1[RespondentID],'All Data'!$A$3:$CW$999,95,FALSE),"unknown")</f>
        <v>0</v>
      </c>
      <c r="BE335" s="120">
        <f>IFERROR(VLOOKUP(Table1[RespondentID],'All Data'!$A$3:$CW$999,96,FALSE),"unknown")</f>
        <v>0</v>
      </c>
      <c r="BF335" s="120">
        <f>IFERROR(VLOOKUP(Table1[RespondentID],'All Data'!$A$3:$CW$999,97,FALSE),"unknown")</f>
        <v>0</v>
      </c>
      <c r="BG335" s="120">
        <f>IFERROR(VLOOKUP(Table1[RespondentID],'All Data'!$A$3:$CW$999,98,FALSE),"unknown")</f>
        <v>0</v>
      </c>
      <c r="BH335" s="120">
        <f>IFERROR(VLOOKUP(Table1[RespondentID],'All Data'!$A$3:$CW$999,99,FALSE),"unknown")</f>
        <v>0</v>
      </c>
    </row>
    <row r="336" spans="1:60">
      <c r="A336" s="5">
        <v>18014090175</v>
      </c>
      <c r="B336" s="5"/>
      <c r="C336" s="5"/>
      <c r="D336" s="5" t="s">
        <v>51</v>
      </c>
      <c r="E336" s="5" t="s">
        <v>17</v>
      </c>
      <c r="F336" s="5"/>
      <c r="G336" s="5"/>
      <c r="H336" s="5"/>
      <c r="I336" s="5"/>
      <c r="J336" s="5"/>
      <c r="K336" s="5"/>
      <c r="L336" s="5"/>
      <c r="M336" s="5"/>
      <c r="N336" s="5"/>
      <c r="O336" s="5" t="s">
        <v>20</v>
      </c>
      <c r="P336" s="5"/>
      <c r="Q336" s="5"/>
      <c r="R336" s="5"/>
      <c r="S336" s="5"/>
      <c r="T336" s="37"/>
      <c r="U336" s="37">
        <f t="shared" si="115"/>
        <v>3</v>
      </c>
      <c r="V336" s="37">
        <f t="shared" si="116"/>
        <v>1</v>
      </c>
      <c r="W336" s="37"/>
      <c r="X336" s="37">
        <f t="shared" si="117"/>
        <v>0</v>
      </c>
      <c r="Y336" s="37">
        <f t="shared" si="118"/>
        <v>0</v>
      </c>
      <c r="Z336" s="37">
        <f t="shared" si="119"/>
        <v>1</v>
      </c>
      <c r="AA336" s="37">
        <f t="shared" si="120"/>
        <v>1</v>
      </c>
      <c r="AB336" s="37">
        <f t="shared" si="121"/>
        <v>0</v>
      </c>
      <c r="AC336" s="37">
        <f t="shared" si="122"/>
        <v>0</v>
      </c>
      <c r="AD336" s="37">
        <f t="shared" si="123"/>
        <v>0</v>
      </c>
      <c r="AE336" s="37">
        <f t="shared" si="124"/>
        <v>0</v>
      </c>
      <c r="AF336" s="37">
        <f t="shared" si="125"/>
        <v>0</v>
      </c>
      <c r="AG336" s="37">
        <f t="shared" si="126"/>
        <v>0</v>
      </c>
      <c r="AH336" s="37">
        <f t="shared" si="127"/>
        <v>0</v>
      </c>
      <c r="AI336" s="37">
        <f t="shared" si="128"/>
        <v>0</v>
      </c>
      <c r="AJ336" s="37">
        <f t="shared" si="129"/>
        <v>0</v>
      </c>
      <c r="AK336" s="37">
        <f t="shared" si="130"/>
        <v>1</v>
      </c>
      <c r="AL336" s="37">
        <f t="shared" si="131"/>
        <v>0</v>
      </c>
      <c r="AM336" s="37">
        <f t="shared" si="132"/>
        <v>0</v>
      </c>
      <c r="AN336" s="37">
        <f t="shared" si="133"/>
        <v>0</v>
      </c>
      <c r="AO336" s="37">
        <f t="shared" si="134"/>
        <v>0</v>
      </c>
      <c r="AP336" s="37"/>
      <c r="AQ336" s="37"/>
      <c r="AR336" s="37">
        <f t="shared" si="135"/>
        <v>3</v>
      </c>
      <c r="AS336" s="37">
        <f t="shared" si="136"/>
        <v>3</v>
      </c>
      <c r="AT336" s="37" t="str">
        <f t="shared" si="137"/>
        <v>Correct</v>
      </c>
      <c r="AU336" s="37"/>
      <c r="AV336" s="120" t="str">
        <f>IFERROR(VLOOKUP(Table1[RespondentID],'All Data'!$A$3:$CO$999,87,FALSE),"unknown")</f>
        <v>Man</v>
      </c>
      <c r="AW336" s="120">
        <f>IFERROR(VLOOKUP(Table1[RespondentID],'All Data'!$A$3:$CO$999,88,FALSE),"unknown")</f>
        <v>17</v>
      </c>
      <c r="AX336" s="120" t="str">
        <f>IFERROR(VLOOKUP(Table1[RespondentID],'All Data'!$A$3:$CO$999,89,FALSE),"unknown")</f>
        <v>Suffolk</v>
      </c>
      <c r="AY336" s="120" t="str">
        <f>IFERROR(VLOOKUP(Table1[RespondentID],'All Data'!$A$3:$CO$999,90,FALSE),"unknown")</f>
        <v>Kings Park, 11754</v>
      </c>
      <c r="AZ336" s="120" t="str">
        <f>IFERROR(VLOOKUP(Table1[RespondentID],'All Data'!$A$3:$CO$999,91,FALSE),"unknown")</f>
        <v>White</v>
      </c>
      <c r="BA336" s="120" t="str">
        <f>IFERROR(VLOOKUP(Table1[RespondentID],'All Data'!$A$3:$CO$999,92,FALSE),"unknown")</f>
        <v>Hispanic or Latino</v>
      </c>
      <c r="BB336" s="120" t="str">
        <f>IFERROR(VLOOKUP(Table1[RespondentID],'All Data'!$A$3:$CO$999,93,FALSE),"unknown")</f>
        <v>English</v>
      </c>
      <c r="BC336" s="120" t="str">
        <f>IFERROR(VLOOKUP(Table1[RespondentID],'All Data'!$A$3:$CW$999,94,FALSE),"unknown")</f>
        <v>Over $125,000</v>
      </c>
      <c r="BD336" s="120" t="str">
        <f>IFERROR(VLOOKUP(Table1[RespondentID],'All Data'!$A$3:$CW$999,95,FALSE),"unknown")</f>
        <v>High school graduate</v>
      </c>
      <c r="BE336" s="120" t="str">
        <f>IFERROR(VLOOKUP(Table1[RespondentID],'All Data'!$A$3:$CW$999,96,FALSE),"unknown")</f>
        <v>Student</v>
      </c>
      <c r="BF336" s="120" t="str">
        <f>IFERROR(VLOOKUP(Table1[RespondentID],'All Data'!$A$3:$CW$999,97,FALSE),"unknown")</f>
        <v>Yes</v>
      </c>
      <c r="BG336" s="120" t="str">
        <f>IFERROR(VLOOKUP(Table1[RespondentID],'All Data'!$A$3:$CW$999,98,FALSE),"unknown")</f>
        <v>Medicare</v>
      </c>
      <c r="BH336" s="120" t="str">
        <f>IFERROR(VLOOKUP(Table1[RespondentID],'All Data'!$A$3:$CW$999,99,FALSE),"unknown")</f>
        <v>Yes</v>
      </c>
    </row>
    <row r="337" spans="1:60">
      <c r="A337" s="5">
        <v>18013870170</v>
      </c>
      <c r="B337" s="5"/>
      <c r="C337" s="5"/>
      <c r="D337" s="5" t="s">
        <v>51</v>
      </c>
      <c r="E337" s="5" t="s">
        <v>17</v>
      </c>
      <c r="F337" s="5"/>
      <c r="G337" s="5"/>
      <c r="H337" s="5"/>
      <c r="I337" s="5" t="s">
        <v>55</v>
      </c>
      <c r="J337" s="5"/>
      <c r="K337" s="5"/>
      <c r="L337" s="5"/>
      <c r="M337" s="5"/>
      <c r="N337" s="5"/>
      <c r="O337" s="5"/>
      <c r="P337" s="5"/>
      <c r="Q337" s="5"/>
      <c r="R337" s="5"/>
      <c r="S337" s="5"/>
      <c r="T337" s="37"/>
      <c r="U337" s="37">
        <f t="shared" si="115"/>
        <v>3</v>
      </c>
      <c r="V337" s="37">
        <f t="shared" si="116"/>
        <v>1</v>
      </c>
      <c r="W337" s="37"/>
      <c r="X337" s="37">
        <f t="shared" si="117"/>
        <v>0</v>
      </c>
      <c r="Y337" s="37">
        <f t="shared" si="118"/>
        <v>0</v>
      </c>
      <c r="Z337" s="37">
        <f t="shared" si="119"/>
        <v>1</v>
      </c>
      <c r="AA337" s="37">
        <f t="shared" si="120"/>
        <v>1</v>
      </c>
      <c r="AB337" s="37">
        <f t="shared" si="121"/>
        <v>0</v>
      </c>
      <c r="AC337" s="37">
        <f t="shared" si="122"/>
        <v>0</v>
      </c>
      <c r="AD337" s="37">
        <f t="shared" si="123"/>
        <v>0</v>
      </c>
      <c r="AE337" s="37">
        <f t="shared" si="124"/>
        <v>1</v>
      </c>
      <c r="AF337" s="37">
        <f t="shared" si="125"/>
        <v>0</v>
      </c>
      <c r="AG337" s="37">
        <f t="shared" si="126"/>
        <v>0</v>
      </c>
      <c r="AH337" s="37">
        <f t="shared" si="127"/>
        <v>0</v>
      </c>
      <c r="AI337" s="37">
        <f t="shared" si="128"/>
        <v>0</v>
      </c>
      <c r="AJ337" s="37">
        <f t="shared" si="129"/>
        <v>0</v>
      </c>
      <c r="AK337" s="37">
        <f t="shared" si="130"/>
        <v>0</v>
      </c>
      <c r="AL337" s="37">
        <f t="shared" si="131"/>
        <v>0</v>
      </c>
      <c r="AM337" s="37">
        <f t="shared" si="132"/>
        <v>0</v>
      </c>
      <c r="AN337" s="37">
        <f t="shared" si="133"/>
        <v>0</v>
      </c>
      <c r="AO337" s="37">
        <f t="shared" si="134"/>
        <v>0</v>
      </c>
      <c r="AP337" s="37"/>
      <c r="AQ337" s="37"/>
      <c r="AR337" s="37">
        <f t="shared" si="135"/>
        <v>3</v>
      </c>
      <c r="AS337" s="37">
        <f t="shared" si="136"/>
        <v>3</v>
      </c>
      <c r="AT337" s="37" t="str">
        <f t="shared" si="137"/>
        <v>Correct</v>
      </c>
      <c r="AU337" s="37"/>
      <c r="AV337" s="120" t="str">
        <f>IFERROR(VLOOKUP(Table1[RespondentID],'All Data'!$A$3:$CO$999,87,FALSE),"unknown")</f>
        <v>Man</v>
      </c>
      <c r="AW337" s="120">
        <f>IFERROR(VLOOKUP(Table1[RespondentID],'All Data'!$A$3:$CO$999,88,FALSE),"unknown")</f>
        <v>53</v>
      </c>
      <c r="AX337" s="120" t="str">
        <f>IFERROR(VLOOKUP(Table1[RespondentID],'All Data'!$A$3:$CO$999,89,FALSE),"unknown")</f>
        <v>Suffolk</v>
      </c>
      <c r="AY337" s="120" t="str">
        <f>IFERROR(VLOOKUP(Table1[RespondentID],'All Data'!$A$3:$CO$999,90,FALSE),"unknown")</f>
        <v>Manorville, 11949</v>
      </c>
      <c r="AZ337" s="120" t="str">
        <f>IFERROR(VLOOKUP(Table1[RespondentID],'All Data'!$A$3:$CO$999,91,FALSE),"unknown")</f>
        <v>White</v>
      </c>
      <c r="BA337" s="120" t="str">
        <f>IFERROR(VLOOKUP(Table1[RespondentID],'All Data'!$A$3:$CO$999,92,FALSE),"unknown")</f>
        <v>Hispanic or Latino</v>
      </c>
      <c r="BB337" s="120" t="str">
        <f>IFERROR(VLOOKUP(Table1[RespondentID],'All Data'!$A$3:$CO$999,93,FALSE),"unknown")</f>
        <v>English</v>
      </c>
      <c r="BC337" s="120" t="str">
        <f>IFERROR(VLOOKUP(Table1[RespondentID],'All Data'!$A$3:$CW$999,94,FALSE),"unknown")</f>
        <v>$75,000 to $125,000</v>
      </c>
      <c r="BD337" s="120" t="str">
        <f>IFERROR(VLOOKUP(Table1[RespondentID],'All Data'!$A$3:$CW$999,95,FALSE),"unknown")</f>
        <v>College graduate</v>
      </c>
      <c r="BE337" s="120" t="str">
        <f>IFERROR(VLOOKUP(Table1[RespondentID],'All Data'!$A$3:$CW$999,96,FALSE),"unknown")</f>
        <v>Employed for wages</v>
      </c>
      <c r="BF337" s="120" t="str">
        <f>IFERROR(VLOOKUP(Table1[RespondentID],'All Data'!$A$3:$CW$999,97,FALSE),"unknown")</f>
        <v>Yes</v>
      </c>
      <c r="BG337" s="120" t="str">
        <f>IFERROR(VLOOKUP(Table1[RespondentID],'All Data'!$A$3:$CW$999,98,FALSE),"unknown")</f>
        <v>Private/Commercial</v>
      </c>
      <c r="BH337" s="120" t="str">
        <f>IFERROR(VLOOKUP(Table1[RespondentID],'All Data'!$A$3:$CW$999,99,FALSE),"unknown")</f>
        <v>Yes</v>
      </c>
    </row>
    <row r="338" spans="1:60">
      <c r="A338" s="5">
        <v>18013484831</v>
      </c>
      <c r="B338" s="5"/>
      <c r="C338" s="5"/>
      <c r="D338" s="5"/>
      <c r="E338" s="5" t="s">
        <v>17</v>
      </c>
      <c r="F338" s="5"/>
      <c r="G338" s="5" t="s">
        <v>53</v>
      </c>
      <c r="H338" s="5"/>
      <c r="I338" s="5"/>
      <c r="J338" s="5"/>
      <c r="K338" s="5"/>
      <c r="L338" s="5"/>
      <c r="M338" s="5"/>
      <c r="N338" s="5" t="s">
        <v>24</v>
      </c>
      <c r="O338" s="5"/>
      <c r="P338" s="5"/>
      <c r="Q338" s="5"/>
      <c r="R338" s="5"/>
      <c r="S338" s="5"/>
      <c r="T338" s="37"/>
      <c r="U338" s="37">
        <f t="shared" si="115"/>
        <v>3</v>
      </c>
      <c r="V338" s="37">
        <f t="shared" si="116"/>
        <v>1</v>
      </c>
      <c r="W338" s="37"/>
      <c r="X338" s="37">
        <f t="shared" si="117"/>
        <v>0</v>
      </c>
      <c r="Y338" s="37">
        <f t="shared" si="118"/>
        <v>0</v>
      </c>
      <c r="Z338" s="37">
        <f t="shared" si="119"/>
        <v>0</v>
      </c>
      <c r="AA338" s="37">
        <f t="shared" si="120"/>
        <v>1</v>
      </c>
      <c r="AB338" s="37">
        <f t="shared" si="121"/>
        <v>0</v>
      </c>
      <c r="AC338" s="37">
        <f t="shared" si="122"/>
        <v>1</v>
      </c>
      <c r="AD338" s="37">
        <f t="shared" si="123"/>
        <v>0</v>
      </c>
      <c r="AE338" s="37">
        <f t="shared" si="124"/>
        <v>0</v>
      </c>
      <c r="AF338" s="37">
        <f t="shared" si="125"/>
        <v>0</v>
      </c>
      <c r="AG338" s="37">
        <f t="shared" si="126"/>
        <v>0</v>
      </c>
      <c r="AH338" s="37">
        <f t="shared" si="127"/>
        <v>0</v>
      </c>
      <c r="AI338" s="37">
        <f t="shared" si="128"/>
        <v>0</v>
      </c>
      <c r="AJ338" s="37">
        <f t="shared" si="129"/>
        <v>1</v>
      </c>
      <c r="AK338" s="37">
        <f t="shared" si="130"/>
        <v>0</v>
      </c>
      <c r="AL338" s="37">
        <f t="shared" si="131"/>
        <v>0</v>
      </c>
      <c r="AM338" s="37">
        <f t="shared" si="132"/>
        <v>0</v>
      </c>
      <c r="AN338" s="37">
        <f t="shared" si="133"/>
        <v>0</v>
      </c>
      <c r="AO338" s="37">
        <f t="shared" si="134"/>
        <v>0</v>
      </c>
      <c r="AP338" s="37"/>
      <c r="AQ338" s="37"/>
      <c r="AR338" s="37">
        <f t="shared" si="135"/>
        <v>3</v>
      </c>
      <c r="AS338" s="37">
        <f t="shared" si="136"/>
        <v>3</v>
      </c>
      <c r="AT338" s="37" t="str">
        <f t="shared" si="137"/>
        <v>Correct</v>
      </c>
      <c r="AU338" s="37"/>
      <c r="AV338" s="120" t="str">
        <f>IFERROR(VLOOKUP(Table1[RespondentID],'All Data'!$A$3:$CO$999,87,FALSE),"unknown")</f>
        <v>Man</v>
      </c>
      <c r="AW338" s="120">
        <f>IFERROR(VLOOKUP(Table1[RespondentID],'All Data'!$A$3:$CO$999,88,FALSE),"unknown")</f>
        <v>83</v>
      </c>
      <c r="AX338" s="120" t="str">
        <f>IFERROR(VLOOKUP(Table1[RespondentID],'All Data'!$A$3:$CO$999,89,FALSE),"unknown")</f>
        <v>Nassau</v>
      </c>
      <c r="AY338" s="120" t="str">
        <f>IFERROR(VLOOKUP(Table1[RespondentID],'All Data'!$A$3:$CO$999,90,FALSE),"unknown")</f>
        <v>Syosset, 11791</v>
      </c>
      <c r="AZ338" s="120" t="str">
        <f>IFERROR(VLOOKUP(Table1[RespondentID],'All Data'!$A$3:$CO$999,91,FALSE),"unknown")</f>
        <v>White</v>
      </c>
      <c r="BA338" s="120" t="str">
        <f>IFERROR(VLOOKUP(Table1[RespondentID],'All Data'!$A$3:$CO$999,92,FALSE),"unknown")</f>
        <v>Hispanic or Latino</v>
      </c>
      <c r="BB338" s="120" t="str">
        <f>IFERROR(VLOOKUP(Table1[RespondentID],'All Data'!$A$3:$CO$999,93,FALSE),"unknown")</f>
        <v>English</v>
      </c>
      <c r="BC338" s="120" t="str">
        <f>IFERROR(VLOOKUP(Table1[RespondentID],'All Data'!$A$3:$CW$999,94,FALSE),"unknown")</f>
        <v>Over $125,000</v>
      </c>
      <c r="BD338" s="120" t="str">
        <f>IFERROR(VLOOKUP(Table1[RespondentID],'All Data'!$A$3:$CW$999,95,FALSE),"unknown")</f>
        <v>College graduate</v>
      </c>
      <c r="BE338" s="120" t="str">
        <f>IFERROR(VLOOKUP(Table1[RespondentID],'All Data'!$A$3:$CW$999,96,FALSE),"unknown")</f>
        <v>Retired</v>
      </c>
      <c r="BF338" s="120" t="str">
        <f>IFERROR(VLOOKUP(Table1[RespondentID],'All Data'!$A$3:$CW$999,97,FALSE),"unknown")</f>
        <v>Yes</v>
      </c>
      <c r="BG338" s="120" t="str">
        <f>IFERROR(VLOOKUP(Table1[RespondentID],'All Data'!$A$3:$CW$999,98,FALSE),"unknown")</f>
        <v>Medicare</v>
      </c>
      <c r="BH338" s="120" t="str">
        <f>IFERROR(VLOOKUP(Table1[RespondentID],'All Data'!$A$3:$CW$999,99,FALSE),"unknown")</f>
        <v>Yes</v>
      </c>
    </row>
    <row r="339" spans="1:60">
      <c r="A339" s="5">
        <v>18013472458</v>
      </c>
      <c r="B339" s="5"/>
      <c r="C339" s="5"/>
      <c r="D339" s="5"/>
      <c r="E339" s="5"/>
      <c r="F339" s="5"/>
      <c r="G339" s="5"/>
      <c r="H339" s="5"/>
      <c r="I339" s="5"/>
      <c r="J339" s="5"/>
      <c r="K339" s="5"/>
      <c r="L339" s="5"/>
      <c r="M339" s="5"/>
      <c r="N339" s="5"/>
      <c r="O339" s="5"/>
      <c r="P339" s="5"/>
      <c r="Q339" s="5"/>
      <c r="R339" s="5"/>
      <c r="S339" s="5"/>
      <c r="T339" s="37"/>
      <c r="U339" s="37">
        <f t="shared" si="115"/>
        <v>0</v>
      </c>
      <c r="V339" s="37" t="e">
        <f t="shared" si="116"/>
        <v>#DIV/0!</v>
      </c>
      <c r="W339" s="37"/>
      <c r="X339" s="37">
        <f t="shared" si="117"/>
        <v>0</v>
      </c>
      <c r="Y339" s="37">
        <f t="shared" si="118"/>
        <v>0</v>
      </c>
      <c r="Z339" s="37">
        <f t="shared" si="119"/>
        <v>0</v>
      </c>
      <c r="AA339" s="37">
        <f t="shared" si="120"/>
        <v>0</v>
      </c>
      <c r="AB339" s="37">
        <f t="shared" si="121"/>
        <v>0</v>
      </c>
      <c r="AC339" s="37">
        <f t="shared" si="122"/>
        <v>0</v>
      </c>
      <c r="AD339" s="37">
        <f t="shared" si="123"/>
        <v>0</v>
      </c>
      <c r="AE339" s="37">
        <f t="shared" si="124"/>
        <v>0</v>
      </c>
      <c r="AF339" s="37">
        <f t="shared" si="125"/>
        <v>0</v>
      </c>
      <c r="AG339" s="37">
        <f t="shared" si="126"/>
        <v>0</v>
      </c>
      <c r="AH339" s="37">
        <f t="shared" si="127"/>
        <v>0</v>
      </c>
      <c r="AI339" s="37">
        <f t="shared" si="128"/>
        <v>0</v>
      </c>
      <c r="AJ339" s="37">
        <f t="shared" si="129"/>
        <v>0</v>
      </c>
      <c r="AK339" s="37">
        <f t="shared" si="130"/>
        <v>0</v>
      </c>
      <c r="AL339" s="37">
        <f t="shared" si="131"/>
        <v>0</v>
      </c>
      <c r="AM339" s="37">
        <f t="shared" si="132"/>
        <v>0</v>
      </c>
      <c r="AN339" s="37">
        <f t="shared" si="133"/>
        <v>0</v>
      </c>
      <c r="AO339" s="37">
        <f t="shared" si="134"/>
        <v>0</v>
      </c>
      <c r="AP339" s="37"/>
      <c r="AQ339" s="37"/>
      <c r="AR339" s="37">
        <f t="shared" si="135"/>
        <v>0</v>
      </c>
      <c r="AS339" s="37">
        <f t="shared" si="136"/>
        <v>0</v>
      </c>
      <c r="AT339" s="37" t="str">
        <f t="shared" si="137"/>
        <v>Correct</v>
      </c>
      <c r="AU339" s="37"/>
      <c r="AV339" s="120">
        <f>IFERROR(VLOOKUP(Table1[RespondentID],'All Data'!$A$3:$CO$999,87,FALSE),"unknown")</f>
        <v>0</v>
      </c>
      <c r="AW339" s="120">
        <f>IFERROR(VLOOKUP(Table1[RespondentID],'All Data'!$A$3:$CO$999,88,FALSE),"unknown")</f>
        <v>0</v>
      </c>
      <c r="AX339" s="120">
        <f>IFERROR(VLOOKUP(Table1[RespondentID],'All Data'!$A$3:$CO$999,89,FALSE),"unknown")</f>
        <v>0</v>
      </c>
      <c r="AY339" s="120" t="str">
        <f>IFERROR(VLOOKUP(Table1[RespondentID],'All Data'!$A$3:$CO$999,90,FALSE),"unknown")</f>
        <v>East Hills, 11576</v>
      </c>
      <c r="AZ339" s="120">
        <f>IFERROR(VLOOKUP(Table1[RespondentID],'All Data'!$A$3:$CO$999,91,FALSE),"unknown")</f>
        <v>0</v>
      </c>
      <c r="BA339" s="120">
        <f>IFERROR(VLOOKUP(Table1[RespondentID],'All Data'!$A$3:$CO$999,92,FALSE),"unknown")</f>
        <v>0</v>
      </c>
      <c r="BB339" s="120">
        <f>IFERROR(VLOOKUP(Table1[RespondentID],'All Data'!$A$3:$CO$999,93,FALSE),"unknown")</f>
        <v>0</v>
      </c>
      <c r="BC339" s="120">
        <f>IFERROR(VLOOKUP(Table1[RespondentID],'All Data'!$A$3:$CW$999,94,FALSE),"unknown")</f>
        <v>0</v>
      </c>
      <c r="BD339" s="120">
        <f>IFERROR(VLOOKUP(Table1[RespondentID],'All Data'!$A$3:$CW$999,95,FALSE),"unknown")</f>
        <v>0</v>
      </c>
      <c r="BE339" s="120">
        <f>IFERROR(VLOOKUP(Table1[RespondentID],'All Data'!$A$3:$CW$999,96,FALSE),"unknown")</f>
        <v>0</v>
      </c>
      <c r="BF339" s="120">
        <f>IFERROR(VLOOKUP(Table1[RespondentID],'All Data'!$A$3:$CW$999,97,FALSE),"unknown")</f>
        <v>0</v>
      </c>
      <c r="BG339" s="120">
        <f>IFERROR(VLOOKUP(Table1[RespondentID],'All Data'!$A$3:$CW$999,98,FALSE),"unknown")</f>
        <v>0</v>
      </c>
      <c r="BH339" s="120">
        <f>IFERROR(VLOOKUP(Table1[RespondentID],'All Data'!$A$3:$CW$999,99,FALSE),"unknown")</f>
        <v>0</v>
      </c>
    </row>
    <row r="340" spans="1:60">
      <c r="A340" s="5">
        <v>18013326061</v>
      </c>
      <c r="B340" s="5"/>
      <c r="C340" s="5"/>
      <c r="D340" s="5"/>
      <c r="E340" s="5"/>
      <c r="F340" s="5"/>
      <c r="G340" s="5"/>
      <c r="H340" s="5"/>
      <c r="I340" s="5"/>
      <c r="J340" s="5"/>
      <c r="K340" s="5"/>
      <c r="L340" s="5"/>
      <c r="M340" s="5"/>
      <c r="N340" s="5"/>
      <c r="O340" s="5"/>
      <c r="P340" s="5"/>
      <c r="Q340" s="5"/>
      <c r="R340" s="5"/>
      <c r="S340" s="5"/>
      <c r="T340" s="37"/>
      <c r="U340" s="37">
        <f t="shared" si="115"/>
        <v>0</v>
      </c>
      <c r="V340" s="37" t="e">
        <f t="shared" si="116"/>
        <v>#DIV/0!</v>
      </c>
      <c r="W340" s="37"/>
      <c r="X340" s="37">
        <f t="shared" si="117"/>
        <v>0</v>
      </c>
      <c r="Y340" s="37">
        <f t="shared" si="118"/>
        <v>0</v>
      </c>
      <c r="Z340" s="37">
        <f t="shared" si="119"/>
        <v>0</v>
      </c>
      <c r="AA340" s="37">
        <f t="shared" si="120"/>
        <v>0</v>
      </c>
      <c r="AB340" s="37">
        <f t="shared" si="121"/>
        <v>0</v>
      </c>
      <c r="AC340" s="37">
        <f t="shared" si="122"/>
        <v>0</v>
      </c>
      <c r="AD340" s="37">
        <f t="shared" si="123"/>
        <v>0</v>
      </c>
      <c r="AE340" s="37">
        <f t="shared" si="124"/>
        <v>0</v>
      </c>
      <c r="AF340" s="37">
        <f t="shared" si="125"/>
        <v>0</v>
      </c>
      <c r="AG340" s="37">
        <f t="shared" si="126"/>
        <v>0</v>
      </c>
      <c r="AH340" s="37">
        <f t="shared" si="127"/>
        <v>0</v>
      </c>
      <c r="AI340" s="37">
        <f t="shared" si="128"/>
        <v>0</v>
      </c>
      <c r="AJ340" s="37">
        <f t="shared" si="129"/>
        <v>0</v>
      </c>
      <c r="AK340" s="37">
        <f t="shared" si="130"/>
        <v>0</v>
      </c>
      <c r="AL340" s="37">
        <f t="shared" si="131"/>
        <v>0</v>
      </c>
      <c r="AM340" s="37">
        <f t="shared" si="132"/>
        <v>0</v>
      </c>
      <c r="AN340" s="37">
        <f t="shared" si="133"/>
        <v>0</v>
      </c>
      <c r="AO340" s="37">
        <f t="shared" si="134"/>
        <v>0</v>
      </c>
      <c r="AP340" s="37"/>
      <c r="AQ340" s="37"/>
      <c r="AR340" s="37">
        <f t="shared" si="135"/>
        <v>0</v>
      </c>
      <c r="AS340" s="37">
        <f t="shared" si="136"/>
        <v>0</v>
      </c>
      <c r="AT340" s="37" t="str">
        <f t="shared" si="137"/>
        <v>Correct</v>
      </c>
      <c r="AU340" s="37"/>
      <c r="AV340" s="120" t="str">
        <f>IFERROR(VLOOKUP(Table1[RespondentID],'All Data'!$A$3:$CO$999,87,FALSE),"unknown")</f>
        <v>Man</v>
      </c>
      <c r="AW340" s="120">
        <f>IFERROR(VLOOKUP(Table1[RespondentID],'All Data'!$A$3:$CO$999,88,FALSE),"unknown")</f>
        <v>58</v>
      </c>
      <c r="AX340" s="120" t="str">
        <f>IFERROR(VLOOKUP(Table1[RespondentID],'All Data'!$A$3:$CO$999,89,FALSE),"unknown")</f>
        <v>Suffolk</v>
      </c>
      <c r="AY340" s="120" t="str">
        <f>IFERROR(VLOOKUP(Table1[RespondentID],'All Data'!$A$3:$CO$999,90,FALSE),"unknown")</f>
        <v>Aquebogue, 11931</v>
      </c>
      <c r="AZ340" s="120" t="str">
        <f>IFERROR(VLOOKUP(Table1[RespondentID],'All Data'!$A$3:$CO$999,91,FALSE),"unknown")</f>
        <v>Other (please specify)</v>
      </c>
      <c r="BA340" s="120">
        <f>IFERROR(VLOOKUP(Table1[RespondentID],'All Data'!$A$3:$CO$999,92,FALSE),"unknown")</f>
        <v>0</v>
      </c>
      <c r="BB340" s="120" t="str">
        <f>IFERROR(VLOOKUP(Table1[RespondentID],'All Data'!$A$3:$CO$999,93,FALSE),"unknown")</f>
        <v>English</v>
      </c>
      <c r="BC340" s="120" t="str">
        <f>IFERROR(VLOOKUP(Table1[RespondentID],'All Data'!$A$3:$CW$999,94,FALSE),"unknown")</f>
        <v>$50,000 to $74,999</v>
      </c>
      <c r="BD340" s="120" t="str">
        <f>IFERROR(VLOOKUP(Table1[RespondentID],'All Data'!$A$3:$CW$999,95,FALSE),"unknown")</f>
        <v>College graduate</v>
      </c>
      <c r="BE340" s="120" t="str">
        <f>IFERROR(VLOOKUP(Table1[RespondentID],'All Data'!$A$3:$CW$999,96,FALSE),"unknown")</f>
        <v>Employed for wages</v>
      </c>
      <c r="BF340" s="120" t="str">
        <f>IFERROR(VLOOKUP(Table1[RespondentID],'All Data'!$A$3:$CW$999,97,FALSE),"unknown")</f>
        <v>Yes</v>
      </c>
      <c r="BG340" s="120" t="str">
        <f>IFERROR(VLOOKUP(Table1[RespondentID],'All Data'!$A$3:$CW$999,98,FALSE),"unknown")</f>
        <v>Private/Commercial</v>
      </c>
      <c r="BH340" s="120" t="str">
        <f>IFERROR(VLOOKUP(Table1[RespondentID],'All Data'!$A$3:$CW$999,99,FALSE),"unknown")</f>
        <v>Yes</v>
      </c>
    </row>
    <row r="341" spans="1:60">
      <c r="A341" s="5">
        <v>18013301185</v>
      </c>
      <c r="B341" s="5"/>
      <c r="C341" s="5"/>
      <c r="D341" s="5" t="s">
        <v>51</v>
      </c>
      <c r="E341" s="5"/>
      <c r="F341" s="5"/>
      <c r="G341" s="5"/>
      <c r="H341" s="5"/>
      <c r="I341" s="5"/>
      <c r="J341" s="5"/>
      <c r="K341" s="5"/>
      <c r="L341" s="5"/>
      <c r="M341" s="5" t="s">
        <v>59</v>
      </c>
      <c r="N341" s="5"/>
      <c r="O341" s="5"/>
      <c r="P341" s="5"/>
      <c r="Q341" s="5"/>
      <c r="R341" s="5" t="s">
        <v>62</v>
      </c>
      <c r="S341" s="5"/>
      <c r="T341" s="37"/>
      <c r="U341" s="37">
        <f t="shared" si="115"/>
        <v>3</v>
      </c>
      <c r="V341" s="37">
        <f t="shared" si="116"/>
        <v>1</v>
      </c>
      <c r="W341" s="37"/>
      <c r="X341" s="37">
        <f t="shared" si="117"/>
        <v>0</v>
      </c>
      <c r="Y341" s="37">
        <f t="shared" si="118"/>
        <v>0</v>
      </c>
      <c r="Z341" s="37">
        <f t="shared" si="119"/>
        <v>1</v>
      </c>
      <c r="AA341" s="37">
        <f t="shared" si="120"/>
        <v>0</v>
      </c>
      <c r="AB341" s="37">
        <f t="shared" si="121"/>
        <v>0</v>
      </c>
      <c r="AC341" s="37">
        <f t="shared" si="122"/>
        <v>0</v>
      </c>
      <c r="AD341" s="37">
        <f t="shared" si="123"/>
        <v>0</v>
      </c>
      <c r="AE341" s="37">
        <f t="shared" si="124"/>
        <v>0</v>
      </c>
      <c r="AF341" s="37">
        <f t="shared" si="125"/>
        <v>0</v>
      </c>
      <c r="AG341" s="37">
        <f t="shared" si="126"/>
        <v>0</v>
      </c>
      <c r="AH341" s="37">
        <f t="shared" si="127"/>
        <v>0</v>
      </c>
      <c r="AI341" s="37">
        <f t="shared" si="128"/>
        <v>1</v>
      </c>
      <c r="AJ341" s="37">
        <f t="shared" si="129"/>
        <v>0</v>
      </c>
      <c r="AK341" s="37">
        <f t="shared" si="130"/>
        <v>0</v>
      </c>
      <c r="AL341" s="37">
        <f t="shared" si="131"/>
        <v>0</v>
      </c>
      <c r="AM341" s="37">
        <f t="shared" si="132"/>
        <v>0</v>
      </c>
      <c r="AN341" s="37">
        <f t="shared" si="133"/>
        <v>1</v>
      </c>
      <c r="AO341" s="37">
        <f t="shared" si="134"/>
        <v>0</v>
      </c>
      <c r="AP341" s="37"/>
      <c r="AQ341" s="37"/>
      <c r="AR341" s="37">
        <f t="shared" si="135"/>
        <v>3</v>
      </c>
      <c r="AS341" s="37">
        <f t="shared" si="136"/>
        <v>3</v>
      </c>
      <c r="AT341" s="37" t="str">
        <f t="shared" si="137"/>
        <v>Correct</v>
      </c>
      <c r="AU341" s="37"/>
      <c r="AV341" s="120" t="str">
        <f>IFERROR(VLOOKUP(Table1[RespondentID],'All Data'!$A$3:$CO$999,87,FALSE),"unknown")</f>
        <v>Man</v>
      </c>
      <c r="AW341" s="120">
        <f>IFERROR(VLOOKUP(Table1[RespondentID],'All Data'!$A$3:$CO$999,88,FALSE),"unknown")</f>
        <v>26</v>
      </c>
      <c r="AX341" s="120" t="str">
        <f>IFERROR(VLOOKUP(Table1[RespondentID],'All Data'!$A$3:$CO$999,89,FALSE),"unknown")</f>
        <v>Nassau</v>
      </c>
      <c r="AY341" s="120" t="str">
        <f>IFERROR(VLOOKUP(Table1[RespondentID],'All Data'!$A$3:$CO$999,90,FALSE),"unknown")</f>
        <v>Jericho, 11753</v>
      </c>
      <c r="AZ341" s="120" t="str">
        <f>IFERROR(VLOOKUP(Table1[RespondentID],'All Data'!$A$3:$CO$999,91,FALSE),"unknown")</f>
        <v>White</v>
      </c>
      <c r="BA341" s="120" t="str">
        <f>IFERROR(VLOOKUP(Table1[RespondentID],'All Data'!$A$3:$CO$999,92,FALSE),"unknown")</f>
        <v>Hispanic or Latino</v>
      </c>
      <c r="BB341" s="120" t="str">
        <f>IFERROR(VLOOKUP(Table1[RespondentID],'All Data'!$A$3:$CO$999,93,FALSE),"unknown")</f>
        <v>English</v>
      </c>
      <c r="BC341" s="120" t="str">
        <f>IFERROR(VLOOKUP(Table1[RespondentID],'All Data'!$A$3:$CW$999,94,FALSE),"unknown")</f>
        <v>Over $125,000</v>
      </c>
      <c r="BD341" s="120" t="str">
        <f>IFERROR(VLOOKUP(Table1[RespondentID],'All Data'!$A$3:$CW$999,95,FALSE),"unknown")</f>
        <v>Graduate school</v>
      </c>
      <c r="BE341" s="120" t="str">
        <f>IFERROR(VLOOKUP(Table1[RespondentID],'All Data'!$A$3:$CW$999,96,FALSE),"unknown")</f>
        <v>Employed for wages</v>
      </c>
      <c r="BF341" s="120" t="str">
        <f>IFERROR(VLOOKUP(Table1[RespondentID],'All Data'!$A$3:$CW$999,97,FALSE),"unknown")</f>
        <v>Yes</v>
      </c>
      <c r="BG341" s="120" t="str">
        <f>IFERROR(VLOOKUP(Table1[RespondentID],'All Data'!$A$3:$CW$999,98,FALSE),"unknown")</f>
        <v>Private/Commercial</v>
      </c>
      <c r="BH341" s="120" t="str">
        <f>IFERROR(VLOOKUP(Table1[RespondentID],'All Data'!$A$3:$CW$999,99,FALSE),"unknown")</f>
        <v>Yes</v>
      </c>
    </row>
    <row r="342" spans="1:60">
      <c r="A342" s="5">
        <v>18013187377</v>
      </c>
      <c r="B342" s="5" t="s">
        <v>49</v>
      </c>
      <c r="C342" s="5"/>
      <c r="D342" s="5"/>
      <c r="E342" s="5"/>
      <c r="F342" s="5"/>
      <c r="G342" s="5" t="s">
        <v>53</v>
      </c>
      <c r="H342" s="5"/>
      <c r="I342" s="5" t="s">
        <v>55</v>
      </c>
      <c r="J342" s="5"/>
      <c r="K342" s="5"/>
      <c r="L342" s="5"/>
      <c r="M342" s="5"/>
      <c r="N342" s="5"/>
      <c r="O342" s="5"/>
      <c r="P342" s="5"/>
      <c r="Q342" s="5" t="s">
        <v>61</v>
      </c>
      <c r="R342" s="5"/>
      <c r="S342" s="5"/>
      <c r="T342" s="37"/>
      <c r="U342" s="37">
        <f t="shared" si="115"/>
        <v>4</v>
      </c>
      <c r="V342" s="37">
        <f t="shared" si="116"/>
        <v>0.75</v>
      </c>
      <c r="W342" s="37"/>
      <c r="X342" s="37">
        <f t="shared" si="117"/>
        <v>0.75</v>
      </c>
      <c r="Y342" s="37">
        <f t="shared" si="118"/>
        <v>0</v>
      </c>
      <c r="Z342" s="37">
        <f t="shared" si="119"/>
        <v>0</v>
      </c>
      <c r="AA342" s="37">
        <f t="shared" si="120"/>
        <v>0</v>
      </c>
      <c r="AB342" s="37">
        <f t="shared" si="121"/>
        <v>0</v>
      </c>
      <c r="AC342" s="37">
        <f t="shared" si="122"/>
        <v>0.75</v>
      </c>
      <c r="AD342" s="37">
        <f t="shared" si="123"/>
        <v>0</v>
      </c>
      <c r="AE342" s="37">
        <f t="shared" si="124"/>
        <v>0.75</v>
      </c>
      <c r="AF342" s="37">
        <f t="shared" si="125"/>
        <v>0</v>
      </c>
      <c r="AG342" s="37">
        <f t="shared" si="126"/>
        <v>0</v>
      </c>
      <c r="AH342" s="37">
        <f t="shared" si="127"/>
        <v>0</v>
      </c>
      <c r="AI342" s="37">
        <f t="shared" si="128"/>
        <v>0</v>
      </c>
      <c r="AJ342" s="37">
        <f t="shared" si="129"/>
        <v>0</v>
      </c>
      <c r="AK342" s="37">
        <f t="shared" si="130"/>
        <v>0</v>
      </c>
      <c r="AL342" s="37">
        <f t="shared" si="131"/>
        <v>0</v>
      </c>
      <c r="AM342" s="37">
        <f t="shared" si="132"/>
        <v>0.75</v>
      </c>
      <c r="AN342" s="37">
        <f t="shared" si="133"/>
        <v>0</v>
      </c>
      <c r="AO342" s="37">
        <f t="shared" si="134"/>
        <v>0</v>
      </c>
      <c r="AP342" s="37"/>
      <c r="AQ342" s="37"/>
      <c r="AR342" s="37">
        <f t="shared" si="135"/>
        <v>3</v>
      </c>
      <c r="AS342" s="37">
        <f t="shared" si="136"/>
        <v>4</v>
      </c>
      <c r="AT342" s="37" t="str">
        <f t="shared" si="137"/>
        <v>Correct</v>
      </c>
      <c r="AU342" s="37"/>
      <c r="AV342" s="120" t="str">
        <f>IFERROR(VLOOKUP(Table1[RespondentID],'All Data'!$A$3:$CO$999,87,FALSE),"unknown")</f>
        <v>Man</v>
      </c>
      <c r="AW342" s="120">
        <f>IFERROR(VLOOKUP(Table1[RespondentID],'All Data'!$A$3:$CO$999,88,FALSE),"unknown")</f>
        <v>45</v>
      </c>
      <c r="AX342" s="120" t="str">
        <f>IFERROR(VLOOKUP(Table1[RespondentID],'All Data'!$A$3:$CO$999,89,FALSE),"unknown")</f>
        <v>Suffolk</v>
      </c>
      <c r="AY342" s="120" t="str">
        <f>IFERROR(VLOOKUP(Table1[RespondentID],'All Data'!$A$3:$CO$999,90,FALSE),"unknown")</f>
        <v>Riverhead, 11901</v>
      </c>
      <c r="AZ342" s="120" t="str">
        <f>IFERROR(VLOOKUP(Table1[RespondentID],'All Data'!$A$3:$CO$999,91,FALSE),"unknown")</f>
        <v>White</v>
      </c>
      <c r="BA342" s="120" t="str">
        <f>IFERROR(VLOOKUP(Table1[RespondentID],'All Data'!$A$3:$CO$999,92,FALSE),"unknown")</f>
        <v>Hispanic or Latino</v>
      </c>
      <c r="BB342" s="120" t="str">
        <f>IFERROR(VLOOKUP(Table1[RespondentID],'All Data'!$A$3:$CO$999,93,FALSE),"unknown")</f>
        <v>English</v>
      </c>
      <c r="BC342" s="120" t="str">
        <f>IFERROR(VLOOKUP(Table1[RespondentID],'All Data'!$A$3:$CW$999,94,FALSE),"unknown")</f>
        <v>Over $125,000</v>
      </c>
      <c r="BD342" s="120" t="str">
        <f>IFERROR(VLOOKUP(Table1[RespondentID],'All Data'!$A$3:$CW$999,95,FALSE),"unknown")</f>
        <v>Some college</v>
      </c>
      <c r="BE342" s="120" t="str">
        <f>IFERROR(VLOOKUP(Table1[RespondentID],'All Data'!$A$3:$CW$999,96,FALSE),"unknown")</f>
        <v>Employed for wages</v>
      </c>
      <c r="BF342" s="120" t="str">
        <f>IFERROR(VLOOKUP(Table1[RespondentID],'All Data'!$A$3:$CW$999,97,FALSE),"unknown")</f>
        <v>Yes</v>
      </c>
      <c r="BG342" s="120" t="str">
        <f>IFERROR(VLOOKUP(Table1[RespondentID],'All Data'!$A$3:$CW$999,98,FALSE),"unknown")</f>
        <v>Private/Commercial</v>
      </c>
      <c r="BH342" s="120" t="str">
        <f>IFERROR(VLOOKUP(Table1[RespondentID],'All Data'!$A$3:$CW$999,99,FALSE),"unknown")</f>
        <v>Yes</v>
      </c>
    </row>
    <row r="343" spans="1:60">
      <c r="A343" s="5">
        <v>18012940725</v>
      </c>
      <c r="B343" s="5"/>
      <c r="C343" s="5"/>
      <c r="D343" s="5" t="s">
        <v>51</v>
      </c>
      <c r="E343" s="5"/>
      <c r="F343" s="5"/>
      <c r="G343" s="5"/>
      <c r="H343" s="5"/>
      <c r="I343" s="5"/>
      <c r="J343" s="5"/>
      <c r="K343" s="5"/>
      <c r="L343" s="5"/>
      <c r="M343" s="5" t="s">
        <v>59</v>
      </c>
      <c r="N343" s="5"/>
      <c r="O343" s="5"/>
      <c r="P343" s="5" t="s">
        <v>60</v>
      </c>
      <c r="Q343" s="5"/>
      <c r="R343" s="5"/>
      <c r="S343" s="5"/>
      <c r="T343" s="37"/>
      <c r="U343" s="37">
        <f t="shared" si="115"/>
        <v>3</v>
      </c>
      <c r="V343" s="37">
        <f t="shared" si="116"/>
        <v>1</v>
      </c>
      <c r="W343" s="37"/>
      <c r="X343" s="37">
        <f t="shared" si="117"/>
        <v>0</v>
      </c>
      <c r="Y343" s="37">
        <f t="shared" si="118"/>
        <v>0</v>
      </c>
      <c r="Z343" s="37">
        <f t="shared" si="119"/>
        <v>1</v>
      </c>
      <c r="AA343" s="37">
        <f t="shared" si="120"/>
        <v>0</v>
      </c>
      <c r="AB343" s="37">
        <f t="shared" si="121"/>
        <v>0</v>
      </c>
      <c r="AC343" s="37">
        <f t="shared" si="122"/>
        <v>0</v>
      </c>
      <c r="AD343" s="37">
        <f t="shared" si="123"/>
        <v>0</v>
      </c>
      <c r="AE343" s="37">
        <f t="shared" si="124"/>
        <v>0</v>
      </c>
      <c r="AF343" s="37">
        <f t="shared" si="125"/>
        <v>0</v>
      </c>
      <c r="AG343" s="37">
        <f t="shared" si="126"/>
        <v>0</v>
      </c>
      <c r="AH343" s="37">
        <f t="shared" si="127"/>
        <v>0</v>
      </c>
      <c r="AI343" s="37">
        <f t="shared" si="128"/>
        <v>1</v>
      </c>
      <c r="AJ343" s="37">
        <f t="shared" si="129"/>
        <v>0</v>
      </c>
      <c r="AK343" s="37">
        <f t="shared" si="130"/>
        <v>0</v>
      </c>
      <c r="AL343" s="37">
        <f t="shared" si="131"/>
        <v>1</v>
      </c>
      <c r="AM343" s="37">
        <f t="shared" si="132"/>
        <v>0</v>
      </c>
      <c r="AN343" s="37">
        <f t="shared" si="133"/>
        <v>0</v>
      </c>
      <c r="AO343" s="37">
        <f t="shared" si="134"/>
        <v>0</v>
      </c>
      <c r="AP343" s="37"/>
      <c r="AQ343" s="37"/>
      <c r="AR343" s="37">
        <f t="shared" si="135"/>
        <v>3</v>
      </c>
      <c r="AS343" s="37">
        <f t="shared" si="136"/>
        <v>3</v>
      </c>
      <c r="AT343" s="37" t="str">
        <f t="shared" si="137"/>
        <v>Correct</v>
      </c>
      <c r="AU343" s="37"/>
      <c r="AV343" s="120" t="str">
        <f>IFERROR(VLOOKUP(Table1[RespondentID],'All Data'!$A$3:$CO$999,87,FALSE),"unknown")</f>
        <v>Man</v>
      </c>
      <c r="AW343" s="120">
        <f>IFERROR(VLOOKUP(Table1[RespondentID],'All Data'!$A$3:$CO$999,88,FALSE),"unknown")</f>
        <v>47</v>
      </c>
      <c r="AX343" s="120" t="str">
        <f>IFERROR(VLOOKUP(Table1[RespondentID],'All Data'!$A$3:$CO$999,89,FALSE),"unknown")</f>
        <v>Suffolk</v>
      </c>
      <c r="AY343" s="120" t="str">
        <f>IFERROR(VLOOKUP(Table1[RespondentID],'All Data'!$A$3:$CO$999,90,FALSE),"unknown")</f>
        <v>Setauket, 11733</v>
      </c>
      <c r="AZ343" s="120" t="str">
        <f>IFERROR(VLOOKUP(Table1[RespondentID],'All Data'!$A$3:$CO$999,91,FALSE),"unknown")</f>
        <v>White</v>
      </c>
      <c r="BA343" s="120" t="str">
        <f>IFERROR(VLOOKUP(Table1[RespondentID],'All Data'!$A$3:$CO$999,92,FALSE),"unknown")</f>
        <v>Hispanic or Latino</v>
      </c>
      <c r="BB343" s="120" t="str">
        <f>IFERROR(VLOOKUP(Table1[RespondentID],'All Data'!$A$3:$CO$999,93,FALSE),"unknown")</f>
        <v>English</v>
      </c>
      <c r="BC343" s="120" t="str">
        <f>IFERROR(VLOOKUP(Table1[RespondentID],'All Data'!$A$3:$CW$999,94,FALSE),"unknown")</f>
        <v>Over $125,000</v>
      </c>
      <c r="BD343" s="120" t="str">
        <f>IFERROR(VLOOKUP(Table1[RespondentID],'All Data'!$A$3:$CW$999,95,FALSE),"unknown")</f>
        <v>College graduate</v>
      </c>
      <c r="BE343" s="120" t="str">
        <f>IFERROR(VLOOKUP(Table1[RespondentID],'All Data'!$A$3:$CW$999,96,FALSE),"unknown")</f>
        <v>Employed for wages</v>
      </c>
      <c r="BF343" s="120" t="str">
        <f>IFERROR(VLOOKUP(Table1[RespondentID],'All Data'!$A$3:$CW$999,97,FALSE),"unknown")</f>
        <v>Yes</v>
      </c>
      <c r="BG343" s="120">
        <f>IFERROR(VLOOKUP(Table1[RespondentID],'All Data'!$A$3:$CW$999,98,FALSE),"unknown")</f>
        <v>0</v>
      </c>
      <c r="BH343" s="120" t="str">
        <f>IFERROR(VLOOKUP(Table1[RespondentID],'All Data'!$A$3:$CW$999,99,FALSE),"unknown")</f>
        <v>Yes</v>
      </c>
    </row>
    <row r="344" spans="1:60">
      <c r="A344" s="5">
        <v>18012862597</v>
      </c>
      <c r="B344" s="5" t="s">
        <v>49</v>
      </c>
      <c r="C344" s="5"/>
      <c r="D344" s="5" t="s">
        <v>51</v>
      </c>
      <c r="E344" s="5" t="s">
        <v>17</v>
      </c>
      <c r="F344" s="5" t="s">
        <v>52</v>
      </c>
      <c r="G344" s="5"/>
      <c r="H344" s="5" t="s">
        <v>54</v>
      </c>
      <c r="I344" s="5" t="s">
        <v>55</v>
      </c>
      <c r="J344" s="5"/>
      <c r="K344" s="5" t="s">
        <v>57</v>
      </c>
      <c r="L344" s="5" t="s">
        <v>58</v>
      </c>
      <c r="M344" s="5"/>
      <c r="N344" s="5" t="s">
        <v>24</v>
      </c>
      <c r="O344" s="5"/>
      <c r="P344" s="5" t="s">
        <v>60</v>
      </c>
      <c r="Q344" s="5" t="s">
        <v>61</v>
      </c>
      <c r="R344" s="5" t="s">
        <v>62</v>
      </c>
      <c r="S344" s="5" t="s">
        <v>63</v>
      </c>
      <c r="T344" s="37"/>
      <c r="U344" s="37">
        <f t="shared" si="115"/>
        <v>13</v>
      </c>
      <c r="V344" s="37">
        <f t="shared" si="116"/>
        <v>0.23076923076923078</v>
      </c>
      <c r="W344" s="37"/>
      <c r="X344" s="37">
        <f t="shared" si="117"/>
        <v>0.23076923076923078</v>
      </c>
      <c r="Y344" s="37">
        <f t="shared" si="118"/>
        <v>0</v>
      </c>
      <c r="Z344" s="37">
        <f t="shared" si="119"/>
        <v>0.23076923076923078</v>
      </c>
      <c r="AA344" s="37">
        <f t="shared" si="120"/>
        <v>0.23076923076923078</v>
      </c>
      <c r="AB344" s="37">
        <f t="shared" si="121"/>
        <v>0.23076923076923078</v>
      </c>
      <c r="AC344" s="37">
        <f t="shared" si="122"/>
        <v>0</v>
      </c>
      <c r="AD344" s="37">
        <f t="shared" si="123"/>
        <v>0.23076923076923078</v>
      </c>
      <c r="AE344" s="37">
        <f t="shared" si="124"/>
        <v>0.23076923076923078</v>
      </c>
      <c r="AF344" s="37">
        <f t="shared" si="125"/>
        <v>0</v>
      </c>
      <c r="AG344" s="37">
        <f t="shared" si="126"/>
        <v>0.23076923076923078</v>
      </c>
      <c r="AH344" s="37">
        <f t="shared" si="127"/>
        <v>0.23076923076923078</v>
      </c>
      <c r="AI344" s="37">
        <f t="shared" si="128"/>
        <v>0</v>
      </c>
      <c r="AJ344" s="37">
        <f t="shared" si="129"/>
        <v>0.23076923076923078</v>
      </c>
      <c r="AK344" s="37">
        <f t="shared" si="130"/>
        <v>0</v>
      </c>
      <c r="AL344" s="37">
        <f t="shared" si="131"/>
        <v>0.23076923076923078</v>
      </c>
      <c r="AM344" s="37">
        <f t="shared" si="132"/>
        <v>0.23076923076923078</v>
      </c>
      <c r="AN344" s="37">
        <f t="shared" si="133"/>
        <v>0.23076923076923078</v>
      </c>
      <c r="AO344" s="37">
        <f t="shared" si="134"/>
        <v>0.23076923076923078</v>
      </c>
      <c r="AP344" s="37"/>
      <c r="AQ344" s="37"/>
      <c r="AR344" s="37">
        <f t="shared" si="135"/>
        <v>3.0000000000000004</v>
      </c>
      <c r="AS344" s="37">
        <f t="shared" si="136"/>
        <v>13</v>
      </c>
      <c r="AT344" s="37" t="str">
        <f t="shared" si="137"/>
        <v>Correct</v>
      </c>
      <c r="AU344" s="37"/>
      <c r="AV344" s="120" t="str">
        <f>IFERROR(VLOOKUP(Table1[RespondentID],'All Data'!$A$3:$CO$999,87,FALSE),"unknown")</f>
        <v>Man</v>
      </c>
      <c r="AW344" s="120">
        <f>IFERROR(VLOOKUP(Table1[RespondentID],'All Data'!$A$3:$CO$999,88,FALSE),"unknown")</f>
        <v>69</v>
      </c>
      <c r="AX344" s="120" t="str">
        <f>IFERROR(VLOOKUP(Table1[RespondentID],'All Data'!$A$3:$CO$999,89,FALSE),"unknown")</f>
        <v>Nassau</v>
      </c>
      <c r="AY344" s="120" t="str">
        <f>IFERROR(VLOOKUP(Table1[RespondentID],'All Data'!$A$3:$CO$999,90,FALSE),"unknown")</f>
        <v>Farmingdale, 11735</v>
      </c>
      <c r="AZ344" s="120" t="str">
        <f>IFERROR(VLOOKUP(Table1[RespondentID],'All Data'!$A$3:$CO$999,91,FALSE),"unknown")</f>
        <v>White</v>
      </c>
      <c r="BA344" s="120" t="str">
        <f>IFERROR(VLOOKUP(Table1[RespondentID],'All Data'!$A$3:$CO$999,92,FALSE),"unknown")</f>
        <v>Hispanic or Latino</v>
      </c>
      <c r="BB344" s="120" t="str">
        <f>IFERROR(VLOOKUP(Table1[RespondentID],'All Data'!$A$3:$CO$999,93,FALSE),"unknown")</f>
        <v>English</v>
      </c>
      <c r="BC344" s="120" t="str">
        <f>IFERROR(VLOOKUP(Table1[RespondentID],'All Data'!$A$3:$CW$999,94,FALSE),"unknown")</f>
        <v>$50,000 to $74,999</v>
      </c>
      <c r="BD344" s="120" t="str">
        <f>IFERROR(VLOOKUP(Table1[RespondentID],'All Data'!$A$3:$CW$999,95,FALSE),"unknown")</f>
        <v>Some college</v>
      </c>
      <c r="BE344" s="120" t="str">
        <f>IFERROR(VLOOKUP(Table1[RespondentID],'All Data'!$A$3:$CW$999,96,FALSE),"unknown")</f>
        <v>Employed for wages</v>
      </c>
      <c r="BF344" s="120" t="str">
        <f>IFERROR(VLOOKUP(Table1[RespondentID],'All Data'!$A$3:$CW$999,97,FALSE),"unknown")</f>
        <v>Yes</v>
      </c>
      <c r="BG344" s="120" t="str">
        <f>IFERROR(VLOOKUP(Table1[RespondentID],'All Data'!$A$3:$CW$999,98,FALSE),"unknown")</f>
        <v>Private/Commercial</v>
      </c>
      <c r="BH344" s="120" t="str">
        <f>IFERROR(VLOOKUP(Table1[RespondentID],'All Data'!$A$3:$CW$999,99,FALSE),"unknown")</f>
        <v>Yes</v>
      </c>
    </row>
    <row r="345" spans="1:60">
      <c r="A345" s="5">
        <v>18012790929</v>
      </c>
      <c r="B345" s="5"/>
      <c r="C345" s="5"/>
      <c r="D345" s="5" t="s">
        <v>51</v>
      </c>
      <c r="E345" s="5" t="s">
        <v>17</v>
      </c>
      <c r="F345" s="5"/>
      <c r="G345" s="5"/>
      <c r="H345" s="5"/>
      <c r="I345" s="5"/>
      <c r="J345" s="5"/>
      <c r="K345" s="5" t="s">
        <v>57</v>
      </c>
      <c r="L345" s="5" t="s">
        <v>58</v>
      </c>
      <c r="M345" s="5"/>
      <c r="N345" s="5" t="s">
        <v>24</v>
      </c>
      <c r="O345" s="5"/>
      <c r="P345" s="5"/>
      <c r="Q345" s="5"/>
      <c r="R345" s="5" t="s">
        <v>62</v>
      </c>
      <c r="S345" s="5"/>
      <c r="T345" s="37"/>
      <c r="U345" s="37">
        <f t="shared" si="115"/>
        <v>6</v>
      </c>
      <c r="V345" s="37">
        <f t="shared" si="116"/>
        <v>0.5</v>
      </c>
      <c r="W345" s="37"/>
      <c r="X345" s="37">
        <f t="shared" si="117"/>
        <v>0</v>
      </c>
      <c r="Y345" s="37">
        <f t="shared" si="118"/>
        <v>0</v>
      </c>
      <c r="Z345" s="37">
        <f t="shared" si="119"/>
        <v>0.5</v>
      </c>
      <c r="AA345" s="37">
        <f t="shared" si="120"/>
        <v>0.5</v>
      </c>
      <c r="AB345" s="37">
        <f t="shared" si="121"/>
        <v>0</v>
      </c>
      <c r="AC345" s="37">
        <f t="shared" si="122"/>
        <v>0</v>
      </c>
      <c r="AD345" s="37">
        <f t="shared" si="123"/>
        <v>0</v>
      </c>
      <c r="AE345" s="37">
        <f t="shared" si="124"/>
        <v>0</v>
      </c>
      <c r="AF345" s="37">
        <f t="shared" si="125"/>
        <v>0</v>
      </c>
      <c r="AG345" s="37">
        <f t="shared" si="126"/>
        <v>0.5</v>
      </c>
      <c r="AH345" s="37">
        <f t="shared" si="127"/>
        <v>0.5</v>
      </c>
      <c r="AI345" s="37">
        <f t="shared" si="128"/>
        <v>0</v>
      </c>
      <c r="AJ345" s="37">
        <f t="shared" si="129"/>
        <v>0.5</v>
      </c>
      <c r="AK345" s="37">
        <f t="shared" si="130"/>
        <v>0</v>
      </c>
      <c r="AL345" s="37">
        <f t="shared" si="131"/>
        <v>0</v>
      </c>
      <c r="AM345" s="37">
        <f t="shared" si="132"/>
        <v>0</v>
      </c>
      <c r="AN345" s="37">
        <f t="shared" si="133"/>
        <v>0.5</v>
      </c>
      <c r="AO345" s="37">
        <f t="shared" si="134"/>
        <v>0</v>
      </c>
      <c r="AP345" s="37"/>
      <c r="AQ345" s="37"/>
      <c r="AR345" s="37">
        <f t="shared" si="135"/>
        <v>3</v>
      </c>
      <c r="AS345" s="37">
        <f t="shared" si="136"/>
        <v>6</v>
      </c>
      <c r="AT345" s="37" t="str">
        <f t="shared" si="137"/>
        <v>Correct</v>
      </c>
      <c r="AU345" s="37"/>
      <c r="AV345" s="120" t="str">
        <f>IFERROR(VLOOKUP(Table1[RespondentID],'All Data'!$A$3:$CO$999,87,FALSE),"unknown")</f>
        <v>Man</v>
      </c>
      <c r="AW345" s="120">
        <f>IFERROR(VLOOKUP(Table1[RespondentID],'All Data'!$A$3:$CO$999,88,FALSE),"unknown")</f>
        <v>42</v>
      </c>
      <c r="AX345" s="120" t="str">
        <f>IFERROR(VLOOKUP(Table1[RespondentID],'All Data'!$A$3:$CO$999,89,FALSE),"unknown")</f>
        <v>Suffolk</v>
      </c>
      <c r="AY345" s="120" t="str">
        <f>IFERROR(VLOOKUP(Table1[RespondentID],'All Data'!$A$3:$CO$999,90,FALSE),"unknown")</f>
        <v>Nesconset, 11767</v>
      </c>
      <c r="AZ345" s="120" t="str">
        <f>IFERROR(VLOOKUP(Table1[RespondentID],'All Data'!$A$3:$CO$999,91,FALSE),"unknown")</f>
        <v>White</v>
      </c>
      <c r="BA345" s="120" t="str">
        <f>IFERROR(VLOOKUP(Table1[RespondentID],'All Data'!$A$3:$CO$999,92,FALSE),"unknown")</f>
        <v>Hispanic or Latino</v>
      </c>
      <c r="BB345" s="120" t="str">
        <f>IFERROR(VLOOKUP(Table1[RespondentID],'All Data'!$A$3:$CO$999,93,FALSE),"unknown")</f>
        <v>English</v>
      </c>
      <c r="BC345" s="120" t="str">
        <f>IFERROR(VLOOKUP(Table1[RespondentID],'All Data'!$A$3:$CW$999,94,FALSE),"unknown")</f>
        <v>$0-$19,999</v>
      </c>
      <c r="BD345" s="120" t="str">
        <f>IFERROR(VLOOKUP(Table1[RespondentID],'All Data'!$A$3:$CW$999,95,FALSE),"unknown")</f>
        <v>Some college</v>
      </c>
      <c r="BE345" s="120" t="str">
        <f>IFERROR(VLOOKUP(Table1[RespondentID],'All Data'!$A$3:$CW$999,96,FALSE),"unknown")</f>
        <v>Out of work and looking for work</v>
      </c>
      <c r="BF345" s="120" t="str">
        <f>IFERROR(VLOOKUP(Table1[RespondentID],'All Data'!$A$3:$CW$999,97,FALSE),"unknown")</f>
        <v>Yes</v>
      </c>
      <c r="BG345" s="120" t="str">
        <f>IFERROR(VLOOKUP(Table1[RespondentID],'All Data'!$A$3:$CW$999,98,FALSE),"unknown")</f>
        <v>Medicaid</v>
      </c>
      <c r="BH345" s="120" t="str">
        <f>IFERROR(VLOOKUP(Table1[RespondentID],'All Data'!$A$3:$CW$999,99,FALSE),"unknown")</f>
        <v>Yes</v>
      </c>
    </row>
    <row r="346" spans="1:60">
      <c r="A346" s="5">
        <v>18012747258</v>
      </c>
      <c r="B346" s="5"/>
      <c r="C346" s="5"/>
      <c r="D346" s="5"/>
      <c r="E346" s="5" t="s">
        <v>17</v>
      </c>
      <c r="F346" s="5"/>
      <c r="G346" s="5"/>
      <c r="H346" s="5"/>
      <c r="I346" s="5"/>
      <c r="J346" s="5"/>
      <c r="K346" s="5" t="s">
        <v>57</v>
      </c>
      <c r="L346" s="5"/>
      <c r="M346" s="5"/>
      <c r="N346" s="5"/>
      <c r="O346" s="5"/>
      <c r="P346" s="5"/>
      <c r="Q346" s="5" t="s">
        <v>61</v>
      </c>
      <c r="R346" s="5"/>
      <c r="S346" s="5"/>
      <c r="T346" s="37"/>
      <c r="U346" s="37">
        <f t="shared" si="115"/>
        <v>3</v>
      </c>
      <c r="V346" s="37">
        <f t="shared" si="116"/>
        <v>1</v>
      </c>
      <c r="W346" s="37"/>
      <c r="X346" s="37">
        <f t="shared" si="117"/>
        <v>0</v>
      </c>
      <c r="Y346" s="37">
        <f t="shared" si="118"/>
        <v>0</v>
      </c>
      <c r="Z346" s="37">
        <f t="shared" si="119"/>
        <v>0</v>
      </c>
      <c r="AA346" s="37">
        <f t="shared" si="120"/>
        <v>1</v>
      </c>
      <c r="AB346" s="37">
        <f t="shared" si="121"/>
        <v>0</v>
      </c>
      <c r="AC346" s="37">
        <f t="shared" si="122"/>
        <v>0</v>
      </c>
      <c r="AD346" s="37">
        <f t="shared" si="123"/>
        <v>0</v>
      </c>
      <c r="AE346" s="37">
        <f t="shared" si="124"/>
        <v>0</v>
      </c>
      <c r="AF346" s="37">
        <f t="shared" si="125"/>
        <v>0</v>
      </c>
      <c r="AG346" s="37">
        <f t="shared" si="126"/>
        <v>1</v>
      </c>
      <c r="AH346" s="37">
        <f t="shared" si="127"/>
        <v>0</v>
      </c>
      <c r="AI346" s="37">
        <f t="shared" si="128"/>
        <v>0</v>
      </c>
      <c r="AJ346" s="37">
        <f t="shared" si="129"/>
        <v>0</v>
      </c>
      <c r="AK346" s="37">
        <f t="shared" si="130"/>
        <v>0</v>
      </c>
      <c r="AL346" s="37">
        <f t="shared" si="131"/>
        <v>0</v>
      </c>
      <c r="AM346" s="37">
        <f t="shared" si="132"/>
        <v>1</v>
      </c>
      <c r="AN346" s="37">
        <f t="shared" si="133"/>
        <v>0</v>
      </c>
      <c r="AO346" s="37">
        <f t="shared" si="134"/>
        <v>0</v>
      </c>
      <c r="AP346" s="37"/>
      <c r="AQ346" s="37"/>
      <c r="AR346" s="37">
        <f t="shared" si="135"/>
        <v>3</v>
      </c>
      <c r="AS346" s="37">
        <f t="shared" si="136"/>
        <v>3</v>
      </c>
      <c r="AT346" s="37" t="str">
        <f t="shared" si="137"/>
        <v>Correct</v>
      </c>
      <c r="AU346" s="37"/>
      <c r="AV346" s="120" t="str">
        <f>IFERROR(VLOOKUP(Table1[RespondentID],'All Data'!$A$3:$CO$999,87,FALSE),"unknown")</f>
        <v>Man</v>
      </c>
      <c r="AW346" s="120">
        <f>IFERROR(VLOOKUP(Table1[RespondentID],'All Data'!$A$3:$CO$999,88,FALSE),"unknown")</f>
        <v>40</v>
      </c>
      <c r="AX346" s="120" t="str">
        <f>IFERROR(VLOOKUP(Table1[RespondentID],'All Data'!$A$3:$CO$999,89,FALSE),"unknown")</f>
        <v>Suffolk</v>
      </c>
      <c r="AY346" s="120" t="str">
        <f>IFERROR(VLOOKUP(Table1[RespondentID],'All Data'!$A$3:$CO$999,90,FALSE),"unknown")</f>
        <v>Bay Shore, 11706</v>
      </c>
      <c r="AZ346" s="120" t="str">
        <f>IFERROR(VLOOKUP(Table1[RespondentID],'All Data'!$A$3:$CO$999,91,FALSE),"unknown")</f>
        <v>White</v>
      </c>
      <c r="BA346" s="120" t="str">
        <f>IFERROR(VLOOKUP(Table1[RespondentID],'All Data'!$A$3:$CO$999,92,FALSE),"unknown")</f>
        <v>Hispanic or Latino</v>
      </c>
      <c r="BB346" s="120" t="str">
        <f>IFERROR(VLOOKUP(Table1[RespondentID],'All Data'!$A$3:$CO$999,93,FALSE),"unknown")</f>
        <v>English</v>
      </c>
      <c r="BC346" s="120" t="str">
        <f>IFERROR(VLOOKUP(Table1[RespondentID],'All Data'!$A$3:$CW$999,94,FALSE),"unknown")</f>
        <v>$0-$19,999</v>
      </c>
      <c r="BD346" s="120" t="str">
        <f>IFERROR(VLOOKUP(Table1[RespondentID],'All Data'!$A$3:$CW$999,95,FALSE),"unknown")</f>
        <v>High school graduate</v>
      </c>
      <c r="BE346" s="120" t="str">
        <f>IFERROR(VLOOKUP(Table1[RespondentID],'All Data'!$A$3:$CW$999,96,FALSE),"unknown")</f>
        <v>Out of work and looking for work</v>
      </c>
      <c r="BF346" s="120" t="str">
        <f>IFERROR(VLOOKUP(Table1[RespondentID],'All Data'!$A$3:$CW$999,97,FALSE),"unknown")</f>
        <v>Yes</v>
      </c>
      <c r="BG346" s="120" t="str">
        <f>IFERROR(VLOOKUP(Table1[RespondentID],'All Data'!$A$3:$CW$999,98,FALSE),"unknown")</f>
        <v>Medicaid</v>
      </c>
      <c r="BH346" s="120" t="str">
        <f>IFERROR(VLOOKUP(Table1[RespondentID],'All Data'!$A$3:$CW$999,99,FALSE),"unknown")</f>
        <v>Yes</v>
      </c>
    </row>
    <row r="347" spans="1:60">
      <c r="A347" s="141">
        <v>18022877008</v>
      </c>
      <c r="B347" s="137"/>
      <c r="C347" s="138"/>
      <c r="D347" s="138"/>
      <c r="E347" s="138" t="s">
        <v>17</v>
      </c>
      <c r="F347" s="138" t="s">
        <v>52</v>
      </c>
      <c r="G347" s="138"/>
      <c r="H347" s="138"/>
      <c r="I347" s="138"/>
      <c r="J347" s="138"/>
      <c r="K347" s="138"/>
      <c r="L347" s="138"/>
      <c r="M347" s="138"/>
      <c r="N347" s="138"/>
      <c r="O347" s="138"/>
      <c r="P347" s="138"/>
      <c r="Q347" s="138"/>
      <c r="R347" s="138"/>
      <c r="S347" s="138"/>
      <c r="T347" s="142"/>
      <c r="U347" s="143">
        <f t="shared" si="115"/>
        <v>2</v>
      </c>
      <c r="V347" s="143">
        <f t="shared" si="116"/>
        <v>1.5</v>
      </c>
      <c r="W347" s="142"/>
      <c r="X347" s="143">
        <f t="shared" si="117"/>
        <v>0</v>
      </c>
      <c r="Y347" s="143">
        <f t="shared" si="118"/>
        <v>0</v>
      </c>
      <c r="Z347" s="143">
        <f t="shared" si="119"/>
        <v>0</v>
      </c>
      <c r="AA347" s="143">
        <f t="shared" si="120"/>
        <v>1</v>
      </c>
      <c r="AB347" s="143">
        <f t="shared" si="121"/>
        <v>1</v>
      </c>
      <c r="AC347" s="143">
        <f t="shared" si="122"/>
        <v>0</v>
      </c>
      <c r="AD347" s="143">
        <f t="shared" si="123"/>
        <v>0</v>
      </c>
      <c r="AE347" s="143">
        <f t="shared" si="124"/>
        <v>0</v>
      </c>
      <c r="AF347" s="143">
        <f t="shared" si="125"/>
        <v>0</v>
      </c>
      <c r="AG347" s="143">
        <f t="shared" si="126"/>
        <v>0</v>
      </c>
      <c r="AH347" s="143">
        <f t="shared" si="127"/>
        <v>0</v>
      </c>
      <c r="AI347" s="143">
        <f t="shared" si="128"/>
        <v>0</v>
      </c>
      <c r="AJ347" s="143">
        <f t="shared" si="129"/>
        <v>0</v>
      </c>
      <c r="AK347" s="143">
        <f t="shared" si="130"/>
        <v>0</v>
      </c>
      <c r="AL347" s="143">
        <f t="shared" si="131"/>
        <v>0</v>
      </c>
      <c r="AM347" s="143">
        <f t="shared" si="132"/>
        <v>0</v>
      </c>
      <c r="AN347" s="143">
        <f t="shared" si="133"/>
        <v>0</v>
      </c>
      <c r="AO347" s="143">
        <f t="shared" si="134"/>
        <v>0</v>
      </c>
      <c r="AP347" s="142"/>
      <c r="AQ347" s="142"/>
      <c r="AR347" s="143">
        <f t="shared" si="135"/>
        <v>2</v>
      </c>
      <c r="AS347" s="143">
        <f t="shared" si="136"/>
        <v>2</v>
      </c>
      <c r="AT347" s="143" t="str">
        <f t="shared" si="137"/>
        <v>Correct</v>
      </c>
      <c r="AU347" s="142"/>
      <c r="AV347" s="120" t="str">
        <f>IFERROR(VLOOKUP(Table1[RespondentID],'All Data'!$A$3:$CO$999,87,FALSE),"unknown")</f>
        <v>Man</v>
      </c>
      <c r="AW347" s="120">
        <f>IFERROR(VLOOKUP(Table1[RespondentID],'All Data'!$A$3:$CO$999,88,FALSE),"unknown")</f>
        <v>54</v>
      </c>
      <c r="AX347" s="120" t="str">
        <f>IFERROR(VLOOKUP(Table1[RespondentID],'All Data'!$A$3:$CO$999,89,FALSE),"unknown")</f>
        <v>Suffolk</v>
      </c>
      <c r="AY347" s="120" t="str">
        <f>IFERROR(VLOOKUP(Table1[RespondentID],'All Data'!$A$3:$CO$999,90,FALSE),"unknown")</f>
        <v>Halesite, 11743</v>
      </c>
      <c r="AZ347" s="120" t="str">
        <f>IFERROR(VLOOKUP(Table1[RespondentID],'All Data'!$A$3:$CO$999,91,FALSE),"unknown")</f>
        <v>White</v>
      </c>
      <c r="BA347" s="120" t="str">
        <f>IFERROR(VLOOKUP(Table1[RespondentID],'All Data'!$A$3:$CO$999,92,FALSE),"unknown")</f>
        <v>Hispanic or Latino</v>
      </c>
      <c r="BB347" s="120" t="str">
        <f>IFERROR(VLOOKUP(Table1[RespondentID],'All Data'!$A$3:$CO$999,93,FALSE),"unknown")</f>
        <v>English</v>
      </c>
      <c r="BC347" s="120" t="str">
        <f>IFERROR(VLOOKUP(Table1[RespondentID],'All Data'!$A$3:$CW$999,94,FALSE),"unknown")</f>
        <v>Over $125,000</v>
      </c>
      <c r="BD347" s="120" t="str">
        <f>IFERROR(VLOOKUP(Table1[RespondentID],'All Data'!$A$3:$CW$999,95,FALSE),"unknown")</f>
        <v>Some college</v>
      </c>
      <c r="BE347" s="120">
        <f>IFERROR(VLOOKUP(Table1[RespondentID],'All Data'!$A$3:$CW$999,96,FALSE),"unknown")</f>
        <v>0</v>
      </c>
      <c r="BF347" s="120" t="str">
        <f>IFERROR(VLOOKUP(Table1[RespondentID],'All Data'!$A$3:$CW$999,97,FALSE),"unknown")</f>
        <v>Employed for wages</v>
      </c>
      <c r="BG347" s="120">
        <f>IFERROR(VLOOKUP(Table1[RespondentID],'All Data'!$A$3:$CW$999,98,FALSE),"unknown")</f>
        <v>0</v>
      </c>
      <c r="BH347" s="120">
        <f>IFERROR(VLOOKUP(Table1[RespondentID],'All Data'!$A$3:$CW$999,99,FALSE),"unknown")</f>
        <v>0</v>
      </c>
    </row>
    <row r="348" spans="1:60">
      <c r="A348" s="141">
        <v>18019100304</v>
      </c>
      <c r="B348" s="137"/>
      <c r="C348" s="138"/>
      <c r="D348" s="138"/>
      <c r="E348" s="138" t="s">
        <v>17</v>
      </c>
      <c r="F348" s="138"/>
      <c r="G348" s="138"/>
      <c r="H348" s="138" t="s">
        <v>54</v>
      </c>
      <c r="I348" s="138"/>
      <c r="J348" s="138"/>
      <c r="K348" s="138"/>
      <c r="L348" s="138"/>
      <c r="M348" s="138"/>
      <c r="N348" s="138"/>
      <c r="O348" s="138"/>
      <c r="P348" s="138"/>
      <c r="Q348" s="138" t="s">
        <v>61</v>
      </c>
      <c r="R348" s="138"/>
      <c r="S348" s="138"/>
      <c r="T348" s="142"/>
      <c r="U348" s="143">
        <f t="shared" si="115"/>
        <v>3</v>
      </c>
      <c r="V348" s="143">
        <f t="shared" si="116"/>
        <v>1</v>
      </c>
      <c r="W348" s="142"/>
      <c r="X348" s="143">
        <f t="shared" si="117"/>
        <v>0</v>
      </c>
      <c r="Y348" s="143">
        <f t="shared" si="118"/>
        <v>0</v>
      </c>
      <c r="Z348" s="143">
        <f t="shared" si="119"/>
        <v>0</v>
      </c>
      <c r="AA348" s="143">
        <f t="shared" si="120"/>
        <v>1</v>
      </c>
      <c r="AB348" s="143">
        <f t="shared" si="121"/>
        <v>0</v>
      </c>
      <c r="AC348" s="143">
        <f t="shared" si="122"/>
        <v>0</v>
      </c>
      <c r="AD348" s="143">
        <f t="shared" si="123"/>
        <v>1</v>
      </c>
      <c r="AE348" s="143">
        <f t="shared" si="124"/>
        <v>0</v>
      </c>
      <c r="AF348" s="143">
        <f t="shared" si="125"/>
        <v>0</v>
      </c>
      <c r="AG348" s="143">
        <f t="shared" si="126"/>
        <v>0</v>
      </c>
      <c r="AH348" s="143">
        <f t="shared" si="127"/>
        <v>0</v>
      </c>
      <c r="AI348" s="143">
        <f t="shared" si="128"/>
        <v>0</v>
      </c>
      <c r="AJ348" s="143">
        <f t="shared" si="129"/>
        <v>0</v>
      </c>
      <c r="AK348" s="143">
        <f t="shared" si="130"/>
        <v>0</v>
      </c>
      <c r="AL348" s="143">
        <f t="shared" si="131"/>
        <v>0</v>
      </c>
      <c r="AM348" s="143">
        <f t="shared" si="132"/>
        <v>1</v>
      </c>
      <c r="AN348" s="143">
        <f t="shared" si="133"/>
        <v>0</v>
      </c>
      <c r="AO348" s="143">
        <f t="shared" si="134"/>
        <v>0</v>
      </c>
      <c r="AP348" s="142"/>
      <c r="AQ348" s="142"/>
      <c r="AR348" s="143">
        <f t="shared" si="135"/>
        <v>3</v>
      </c>
      <c r="AS348" s="143">
        <f t="shared" si="136"/>
        <v>3</v>
      </c>
      <c r="AT348" s="143" t="str">
        <f t="shared" si="137"/>
        <v>Correct</v>
      </c>
      <c r="AU348" s="142"/>
      <c r="AV348" s="120" t="str">
        <f>IFERROR(VLOOKUP(Table1[RespondentID],'All Data'!$A$3:$CO$999,87,FALSE),"unknown")</f>
        <v>Woman</v>
      </c>
      <c r="AW348" s="120">
        <f>IFERROR(VLOOKUP(Table1[RespondentID],'All Data'!$A$3:$CO$999,88,FALSE),"unknown")</f>
        <v>16</v>
      </c>
      <c r="AX348" s="120" t="str">
        <f>IFERROR(VLOOKUP(Table1[RespondentID],'All Data'!$A$3:$CO$999,89,FALSE),"unknown")</f>
        <v>Suffolk</v>
      </c>
      <c r="AY348" s="120" t="str">
        <f>IFERROR(VLOOKUP(Table1[RespondentID],'All Data'!$A$3:$CO$999,90,FALSE),"unknown")</f>
        <v>Commack, 11725</v>
      </c>
      <c r="AZ348" s="120" t="str">
        <f>IFERROR(VLOOKUP(Table1[RespondentID],'All Data'!$A$3:$CO$999,91,FALSE),"unknown")</f>
        <v>White</v>
      </c>
      <c r="BA348" s="120" t="str">
        <f>IFERROR(VLOOKUP(Table1[RespondentID],'All Data'!$A$3:$CO$999,92,FALSE),"unknown")</f>
        <v>Hispanic or Latino</v>
      </c>
      <c r="BB348" s="120" t="str">
        <f>IFERROR(VLOOKUP(Table1[RespondentID],'All Data'!$A$3:$CO$999,93,FALSE),"unknown")</f>
        <v>English</v>
      </c>
      <c r="BC348" s="120" t="str">
        <f>IFERROR(VLOOKUP(Table1[RespondentID],'All Data'!$A$3:$CW$999,94,FALSE),"unknown")</f>
        <v>$50,000 to $74,999</v>
      </c>
      <c r="BD348" s="120" t="str">
        <f>IFERROR(VLOOKUP(Table1[RespondentID],'All Data'!$A$3:$CW$999,95,FALSE),"unknown")</f>
        <v>Some high school</v>
      </c>
      <c r="BE348" s="120">
        <f>IFERROR(VLOOKUP(Table1[RespondentID],'All Data'!$A$3:$CW$999,96,FALSE),"unknown")</f>
        <v>0</v>
      </c>
      <c r="BF348" s="120" t="str">
        <f>IFERROR(VLOOKUP(Table1[RespondentID],'All Data'!$A$3:$CW$999,97,FALSE),"unknown")</f>
        <v>Employed for wages</v>
      </c>
      <c r="BG348" s="120">
        <f>IFERROR(VLOOKUP(Table1[RespondentID],'All Data'!$A$3:$CW$999,98,FALSE),"unknown")</f>
        <v>0</v>
      </c>
      <c r="BH348" s="120">
        <f>IFERROR(VLOOKUP(Table1[RespondentID],'All Data'!$A$3:$CW$999,99,FALSE),"unknown")</f>
        <v>0</v>
      </c>
    </row>
    <row r="349" spans="1:60">
      <c r="A349" s="141">
        <v>18019100026</v>
      </c>
      <c r="B349" s="137"/>
      <c r="C349" s="138"/>
      <c r="D349" s="138"/>
      <c r="E349" s="138"/>
      <c r="F349" s="138"/>
      <c r="G349" s="138" t="s">
        <v>53</v>
      </c>
      <c r="H349" s="138"/>
      <c r="I349" s="138" t="s">
        <v>55</v>
      </c>
      <c r="J349" s="138" t="s">
        <v>56</v>
      </c>
      <c r="K349" s="138"/>
      <c r="L349" s="138"/>
      <c r="M349" s="138"/>
      <c r="N349" s="138"/>
      <c r="O349" s="138"/>
      <c r="P349" s="138"/>
      <c r="Q349" s="138"/>
      <c r="R349" s="138"/>
      <c r="S349" s="138"/>
      <c r="T349" s="142"/>
      <c r="U349" s="143">
        <f t="shared" si="115"/>
        <v>3</v>
      </c>
      <c r="V349" s="143">
        <f t="shared" si="116"/>
        <v>1</v>
      </c>
      <c r="W349" s="142"/>
      <c r="X349" s="143">
        <f t="shared" si="117"/>
        <v>0</v>
      </c>
      <c r="Y349" s="143">
        <f t="shared" si="118"/>
        <v>0</v>
      </c>
      <c r="Z349" s="143">
        <f t="shared" si="119"/>
        <v>0</v>
      </c>
      <c r="AA349" s="143">
        <f t="shared" si="120"/>
        <v>0</v>
      </c>
      <c r="AB349" s="143">
        <f t="shared" si="121"/>
        <v>0</v>
      </c>
      <c r="AC349" s="143">
        <f t="shared" si="122"/>
        <v>1</v>
      </c>
      <c r="AD349" s="143">
        <f t="shared" si="123"/>
        <v>0</v>
      </c>
      <c r="AE349" s="143">
        <f t="shared" si="124"/>
        <v>1</v>
      </c>
      <c r="AF349" s="143">
        <f t="shared" si="125"/>
        <v>1</v>
      </c>
      <c r="AG349" s="143">
        <f t="shared" si="126"/>
        <v>0</v>
      </c>
      <c r="AH349" s="143">
        <f t="shared" si="127"/>
        <v>0</v>
      </c>
      <c r="AI349" s="143">
        <f t="shared" si="128"/>
        <v>0</v>
      </c>
      <c r="AJ349" s="143">
        <f t="shared" si="129"/>
        <v>0</v>
      </c>
      <c r="AK349" s="143">
        <f t="shared" si="130"/>
        <v>0</v>
      </c>
      <c r="AL349" s="143">
        <f t="shared" si="131"/>
        <v>0</v>
      </c>
      <c r="AM349" s="143">
        <f t="shared" si="132"/>
        <v>0</v>
      </c>
      <c r="AN349" s="143">
        <f t="shared" si="133"/>
        <v>0</v>
      </c>
      <c r="AO349" s="143">
        <f t="shared" si="134"/>
        <v>0</v>
      </c>
      <c r="AP349" s="142"/>
      <c r="AQ349" s="142"/>
      <c r="AR349" s="143">
        <f t="shared" si="135"/>
        <v>3</v>
      </c>
      <c r="AS349" s="143">
        <f t="shared" si="136"/>
        <v>3</v>
      </c>
      <c r="AT349" s="143" t="str">
        <f t="shared" si="137"/>
        <v>Correct</v>
      </c>
      <c r="AU349" s="142"/>
      <c r="AV349" s="120" t="str">
        <f>IFERROR(VLOOKUP(Table1[RespondentID],'All Data'!$A$3:$CO$999,87,FALSE),"unknown")</f>
        <v>Woman</v>
      </c>
      <c r="AW349" s="120">
        <f>IFERROR(VLOOKUP(Table1[RespondentID],'All Data'!$A$3:$CO$999,88,FALSE),"unknown")</f>
        <v>73</v>
      </c>
      <c r="AX349" s="120" t="str">
        <f>IFERROR(VLOOKUP(Table1[RespondentID],'All Data'!$A$3:$CO$999,89,FALSE),"unknown")</f>
        <v>Suffolk</v>
      </c>
      <c r="AY349" s="120" t="str">
        <f>IFERROR(VLOOKUP(Table1[RespondentID],'All Data'!$A$3:$CO$999,90,FALSE),"unknown")</f>
        <v>Commack, 11725</v>
      </c>
      <c r="AZ349" s="120" t="str">
        <f>IFERROR(VLOOKUP(Table1[RespondentID],'All Data'!$A$3:$CO$999,91,FALSE),"unknown")</f>
        <v>Asian</v>
      </c>
      <c r="BA349" s="120" t="str">
        <f>IFERROR(VLOOKUP(Table1[RespondentID],'All Data'!$A$3:$CO$999,92,FALSE),"unknown")</f>
        <v>Not Hispanic or Latino</v>
      </c>
      <c r="BB349" s="120" t="str">
        <f>IFERROR(VLOOKUP(Table1[RespondentID],'All Data'!$A$3:$CO$999,93,FALSE),"unknown")</f>
        <v>English,Spanish,Italian,</v>
      </c>
      <c r="BC349" s="120" t="str">
        <f>IFERROR(VLOOKUP(Table1[RespondentID],'All Data'!$A$3:$CW$999,94,FALSE),"unknown")</f>
        <v>$75,000 to $125,000</v>
      </c>
      <c r="BD349" s="120" t="str">
        <f>IFERROR(VLOOKUP(Table1[RespondentID],'All Data'!$A$3:$CW$999,95,FALSE),"unknown")</f>
        <v>College graduate</v>
      </c>
      <c r="BE349" s="120">
        <f>IFERROR(VLOOKUP(Table1[RespondentID],'All Data'!$A$3:$CW$999,96,FALSE),"unknown")</f>
        <v>0</v>
      </c>
      <c r="BF349" s="120" t="str">
        <f>IFERROR(VLOOKUP(Table1[RespondentID],'All Data'!$A$3:$CW$999,97,FALSE),"unknown")</f>
        <v>Employed for wages</v>
      </c>
      <c r="BG349" s="120">
        <f>IFERROR(VLOOKUP(Table1[RespondentID],'All Data'!$A$3:$CW$999,98,FALSE),"unknown")</f>
        <v>0</v>
      </c>
      <c r="BH349" s="120">
        <f>IFERROR(VLOOKUP(Table1[RespondentID],'All Data'!$A$3:$CW$999,99,FALSE),"unknown")</f>
        <v>0</v>
      </c>
    </row>
    <row r="350" spans="1:60">
      <c r="A350" s="141">
        <v>18019099617</v>
      </c>
      <c r="B350" s="137"/>
      <c r="C350" s="138"/>
      <c r="D350" s="138"/>
      <c r="E350" s="138"/>
      <c r="F350" s="138" t="s">
        <v>52</v>
      </c>
      <c r="G350" s="138"/>
      <c r="H350" s="138"/>
      <c r="I350" s="138"/>
      <c r="J350" s="138"/>
      <c r="K350" s="138"/>
      <c r="L350" s="138"/>
      <c r="M350" s="138"/>
      <c r="N350" s="138"/>
      <c r="O350" s="138" t="s">
        <v>20</v>
      </c>
      <c r="P350" s="138"/>
      <c r="Q350" s="138"/>
      <c r="R350" s="138" t="s">
        <v>62</v>
      </c>
      <c r="S350" s="138"/>
      <c r="T350" s="142"/>
      <c r="U350" s="143">
        <f t="shared" si="115"/>
        <v>3</v>
      </c>
      <c r="V350" s="143">
        <f t="shared" si="116"/>
        <v>1</v>
      </c>
      <c r="W350" s="142"/>
      <c r="X350" s="143">
        <f t="shared" si="117"/>
        <v>0</v>
      </c>
      <c r="Y350" s="143">
        <f t="shared" si="118"/>
        <v>0</v>
      </c>
      <c r="Z350" s="143">
        <f t="shared" si="119"/>
        <v>0</v>
      </c>
      <c r="AA350" s="143">
        <f t="shared" si="120"/>
        <v>0</v>
      </c>
      <c r="AB350" s="143">
        <f t="shared" si="121"/>
        <v>1</v>
      </c>
      <c r="AC350" s="143">
        <f t="shared" si="122"/>
        <v>0</v>
      </c>
      <c r="AD350" s="143">
        <f t="shared" si="123"/>
        <v>0</v>
      </c>
      <c r="AE350" s="143">
        <f t="shared" si="124"/>
        <v>0</v>
      </c>
      <c r="AF350" s="143">
        <f t="shared" si="125"/>
        <v>0</v>
      </c>
      <c r="AG350" s="143">
        <f t="shared" si="126"/>
        <v>0</v>
      </c>
      <c r="AH350" s="143">
        <f t="shared" si="127"/>
        <v>0</v>
      </c>
      <c r="AI350" s="143">
        <f t="shared" si="128"/>
        <v>0</v>
      </c>
      <c r="AJ350" s="143">
        <f t="shared" si="129"/>
        <v>0</v>
      </c>
      <c r="AK350" s="143">
        <f t="shared" si="130"/>
        <v>1</v>
      </c>
      <c r="AL350" s="143">
        <f t="shared" si="131"/>
        <v>0</v>
      </c>
      <c r="AM350" s="143">
        <f t="shared" si="132"/>
        <v>0</v>
      </c>
      <c r="AN350" s="143">
        <f t="shared" si="133"/>
        <v>1</v>
      </c>
      <c r="AO350" s="143">
        <f t="shared" si="134"/>
        <v>0</v>
      </c>
      <c r="AP350" s="142"/>
      <c r="AQ350" s="142"/>
      <c r="AR350" s="143">
        <f t="shared" si="135"/>
        <v>3</v>
      </c>
      <c r="AS350" s="143">
        <f t="shared" si="136"/>
        <v>3</v>
      </c>
      <c r="AT350" s="143" t="str">
        <f t="shared" si="137"/>
        <v>Correct</v>
      </c>
      <c r="AU350" s="142"/>
      <c r="AV350" s="120" t="str">
        <f>IFERROR(VLOOKUP(Table1[RespondentID],'All Data'!$A$3:$CO$999,87,FALSE),"unknown")</f>
        <v>Man</v>
      </c>
      <c r="AW350" s="120">
        <f>IFERROR(VLOOKUP(Table1[RespondentID],'All Data'!$A$3:$CO$999,88,FALSE),"unknown")</f>
        <v>87</v>
      </c>
      <c r="AX350" s="120" t="str">
        <f>IFERROR(VLOOKUP(Table1[RespondentID],'All Data'!$A$3:$CO$999,89,FALSE),"unknown")</f>
        <v>Suffolk</v>
      </c>
      <c r="AY350" s="120" t="str">
        <f>IFERROR(VLOOKUP(Table1[RespondentID],'All Data'!$A$3:$CO$999,90,FALSE),"unknown")</f>
        <v>Smithtown, 11787</v>
      </c>
      <c r="AZ350" s="120" t="str">
        <f>IFERROR(VLOOKUP(Table1[RespondentID],'All Data'!$A$3:$CO$999,91,FALSE),"unknown")</f>
        <v>White</v>
      </c>
      <c r="BA350" s="120">
        <f>IFERROR(VLOOKUP(Table1[RespondentID],'All Data'!$A$3:$CO$999,92,FALSE),"unknown")</f>
        <v>0</v>
      </c>
      <c r="BB350" s="120" t="str">
        <f>IFERROR(VLOOKUP(Table1[RespondentID],'All Data'!$A$3:$CO$999,93,FALSE),"unknown")</f>
        <v>English,Spanish</v>
      </c>
      <c r="BC350" s="120" t="str">
        <f>IFERROR(VLOOKUP(Table1[RespondentID],'All Data'!$A$3:$CW$999,94,FALSE),"unknown")</f>
        <v>$75,000 to $125,000</v>
      </c>
      <c r="BD350" s="120" t="str">
        <f>IFERROR(VLOOKUP(Table1[RespondentID],'All Data'!$A$3:$CW$999,95,FALSE),"unknown")</f>
        <v>College graduate</v>
      </c>
      <c r="BE350" s="120">
        <f>IFERROR(VLOOKUP(Table1[RespondentID],'All Data'!$A$3:$CW$999,96,FALSE),"unknown")</f>
        <v>0</v>
      </c>
      <c r="BF350" s="120" t="str">
        <f>IFERROR(VLOOKUP(Table1[RespondentID],'All Data'!$A$3:$CW$999,97,FALSE),"unknown")</f>
        <v>Retired</v>
      </c>
      <c r="BG350" s="120">
        <f>IFERROR(VLOOKUP(Table1[RespondentID],'All Data'!$A$3:$CW$999,98,FALSE),"unknown")</f>
        <v>0</v>
      </c>
      <c r="BH350" s="120">
        <f>IFERROR(VLOOKUP(Table1[RespondentID],'All Data'!$A$3:$CW$999,99,FALSE),"unknown")</f>
        <v>0</v>
      </c>
    </row>
    <row r="351" spans="1:60">
      <c r="A351" s="141">
        <v>18019099122</v>
      </c>
      <c r="B351" s="137"/>
      <c r="C351" s="138"/>
      <c r="D351" s="138"/>
      <c r="E351" s="138"/>
      <c r="F351" s="138" t="s">
        <v>52</v>
      </c>
      <c r="G351" s="138" t="s">
        <v>53</v>
      </c>
      <c r="H351" s="138"/>
      <c r="I351" s="138"/>
      <c r="J351" s="138"/>
      <c r="K351" s="138"/>
      <c r="L351" s="138"/>
      <c r="M351" s="138"/>
      <c r="N351" s="138"/>
      <c r="O351" s="138"/>
      <c r="P351" s="138"/>
      <c r="Q351" s="138"/>
      <c r="R351" s="138" t="s">
        <v>62</v>
      </c>
      <c r="S351" s="138"/>
      <c r="T351" s="142"/>
      <c r="U351" s="143">
        <f t="shared" si="115"/>
        <v>3</v>
      </c>
      <c r="V351" s="143">
        <f t="shared" si="116"/>
        <v>1</v>
      </c>
      <c r="W351" s="142"/>
      <c r="X351" s="143">
        <f t="shared" si="117"/>
        <v>0</v>
      </c>
      <c r="Y351" s="143">
        <f t="shared" si="118"/>
        <v>0</v>
      </c>
      <c r="Z351" s="143">
        <f t="shared" si="119"/>
        <v>0</v>
      </c>
      <c r="AA351" s="143">
        <f t="shared" si="120"/>
        <v>0</v>
      </c>
      <c r="AB351" s="143">
        <f t="shared" si="121"/>
        <v>1</v>
      </c>
      <c r="AC351" s="143">
        <f t="shared" si="122"/>
        <v>1</v>
      </c>
      <c r="AD351" s="143">
        <f t="shared" si="123"/>
        <v>0</v>
      </c>
      <c r="AE351" s="143">
        <f t="shared" si="124"/>
        <v>0</v>
      </c>
      <c r="AF351" s="143">
        <f t="shared" si="125"/>
        <v>0</v>
      </c>
      <c r="AG351" s="143">
        <f t="shared" si="126"/>
        <v>0</v>
      </c>
      <c r="AH351" s="143">
        <f t="shared" si="127"/>
        <v>0</v>
      </c>
      <c r="AI351" s="143">
        <f t="shared" si="128"/>
        <v>0</v>
      </c>
      <c r="AJ351" s="143">
        <f t="shared" si="129"/>
        <v>0</v>
      </c>
      <c r="AK351" s="143">
        <f t="shared" si="130"/>
        <v>0</v>
      </c>
      <c r="AL351" s="143">
        <f t="shared" si="131"/>
        <v>0</v>
      </c>
      <c r="AM351" s="143">
        <f t="shared" si="132"/>
        <v>0</v>
      </c>
      <c r="AN351" s="143">
        <f t="shared" si="133"/>
        <v>1</v>
      </c>
      <c r="AO351" s="143">
        <f t="shared" si="134"/>
        <v>0</v>
      </c>
      <c r="AP351" s="142"/>
      <c r="AQ351" s="142"/>
      <c r="AR351" s="143">
        <f t="shared" si="135"/>
        <v>3</v>
      </c>
      <c r="AS351" s="143">
        <f t="shared" si="136"/>
        <v>3</v>
      </c>
      <c r="AT351" s="143" t="str">
        <f t="shared" si="137"/>
        <v>Correct</v>
      </c>
      <c r="AU351" s="142"/>
      <c r="AV351" s="120" t="str">
        <f>IFERROR(VLOOKUP(Table1[RespondentID],'All Data'!$A$3:$CO$999,87,FALSE),"unknown")</f>
        <v>Woman</v>
      </c>
      <c r="AW351" s="120">
        <f>IFERROR(VLOOKUP(Table1[RespondentID],'All Data'!$A$3:$CO$999,88,FALSE),"unknown")</f>
        <v>47</v>
      </c>
      <c r="AX351" s="120" t="str">
        <f>IFERROR(VLOOKUP(Table1[RespondentID],'All Data'!$A$3:$CO$999,89,FALSE),"unknown")</f>
        <v>Suffolk</v>
      </c>
      <c r="AY351" s="120" t="str">
        <f>IFERROR(VLOOKUP(Table1[RespondentID],'All Data'!$A$3:$CO$999,90,FALSE),"unknown")</f>
        <v>Smithtown, 11787</v>
      </c>
      <c r="AZ351" s="120" t="str">
        <f>IFERROR(VLOOKUP(Table1[RespondentID],'All Data'!$A$3:$CO$999,91,FALSE),"unknown")</f>
        <v>Asian</v>
      </c>
      <c r="BA351" s="120" t="str">
        <f>IFERROR(VLOOKUP(Table1[RespondentID],'All Data'!$A$3:$CO$999,92,FALSE),"unknown")</f>
        <v>Not Hispanic or Latino</v>
      </c>
      <c r="BB351" s="120" t="str">
        <f>IFERROR(VLOOKUP(Table1[RespondentID],'All Data'!$A$3:$CO$999,93,FALSE),"unknown")</f>
        <v>English,Spanish</v>
      </c>
      <c r="BC351" s="120" t="str">
        <f>IFERROR(VLOOKUP(Table1[RespondentID],'All Data'!$A$3:$CW$999,94,FALSE),"unknown")</f>
        <v>$75,000 to $125,000</v>
      </c>
      <c r="BD351" s="120" t="str">
        <f>IFERROR(VLOOKUP(Table1[RespondentID],'All Data'!$A$3:$CW$999,95,FALSE),"unknown")</f>
        <v>College graduate</v>
      </c>
      <c r="BE351" s="120">
        <f>IFERROR(VLOOKUP(Table1[RespondentID],'All Data'!$A$3:$CW$999,96,FALSE),"unknown")</f>
        <v>0</v>
      </c>
      <c r="BF351" s="120" t="str">
        <f>IFERROR(VLOOKUP(Table1[RespondentID],'All Data'!$A$3:$CW$999,97,FALSE),"unknown")</f>
        <v>Employed for wages</v>
      </c>
      <c r="BG351" s="120">
        <f>IFERROR(VLOOKUP(Table1[RespondentID],'All Data'!$A$3:$CW$999,98,FALSE),"unknown")</f>
        <v>0</v>
      </c>
      <c r="BH351" s="120">
        <f>IFERROR(VLOOKUP(Table1[RespondentID],'All Data'!$A$3:$CW$999,99,FALSE),"unknown")</f>
        <v>0</v>
      </c>
    </row>
    <row r="352" spans="1:60">
      <c r="A352" s="141">
        <v>18019098909</v>
      </c>
      <c r="B352" s="137"/>
      <c r="C352" s="138"/>
      <c r="D352" s="138"/>
      <c r="E352" s="138"/>
      <c r="F352" s="138"/>
      <c r="G352" s="138"/>
      <c r="H352" s="138"/>
      <c r="I352" s="138" t="s">
        <v>55</v>
      </c>
      <c r="J352" s="138"/>
      <c r="K352" s="138"/>
      <c r="L352" s="138" t="s">
        <v>58</v>
      </c>
      <c r="M352" s="138"/>
      <c r="N352" s="138" t="s">
        <v>24</v>
      </c>
      <c r="O352" s="138"/>
      <c r="P352" s="138"/>
      <c r="Q352" s="138"/>
      <c r="R352" s="138"/>
      <c r="S352" s="138"/>
      <c r="T352" s="142"/>
      <c r="U352" s="143">
        <f t="shared" si="115"/>
        <v>3</v>
      </c>
      <c r="V352" s="143">
        <f t="shared" si="116"/>
        <v>1</v>
      </c>
      <c r="W352" s="142"/>
      <c r="X352" s="143">
        <f t="shared" si="117"/>
        <v>0</v>
      </c>
      <c r="Y352" s="143">
        <f t="shared" si="118"/>
        <v>0</v>
      </c>
      <c r="Z352" s="143">
        <f t="shared" si="119"/>
        <v>0</v>
      </c>
      <c r="AA352" s="143">
        <f t="shared" si="120"/>
        <v>0</v>
      </c>
      <c r="AB352" s="143">
        <f t="shared" si="121"/>
        <v>0</v>
      </c>
      <c r="AC352" s="143">
        <f t="shared" si="122"/>
        <v>0</v>
      </c>
      <c r="AD352" s="143">
        <f t="shared" si="123"/>
        <v>0</v>
      </c>
      <c r="AE352" s="143">
        <f t="shared" si="124"/>
        <v>1</v>
      </c>
      <c r="AF352" s="143">
        <f t="shared" si="125"/>
        <v>0</v>
      </c>
      <c r="AG352" s="143">
        <f t="shared" si="126"/>
        <v>0</v>
      </c>
      <c r="AH352" s="143">
        <f t="shared" si="127"/>
        <v>1</v>
      </c>
      <c r="AI352" s="143">
        <f t="shared" si="128"/>
        <v>0</v>
      </c>
      <c r="AJ352" s="143">
        <f t="shared" si="129"/>
        <v>1</v>
      </c>
      <c r="AK352" s="143">
        <f t="shared" si="130"/>
        <v>0</v>
      </c>
      <c r="AL352" s="143">
        <f t="shared" si="131"/>
        <v>0</v>
      </c>
      <c r="AM352" s="143">
        <f t="shared" si="132"/>
        <v>0</v>
      </c>
      <c r="AN352" s="143">
        <f t="shared" si="133"/>
        <v>0</v>
      </c>
      <c r="AO352" s="143">
        <f t="shared" si="134"/>
        <v>0</v>
      </c>
      <c r="AP352" s="142"/>
      <c r="AQ352" s="142"/>
      <c r="AR352" s="143">
        <f t="shared" si="135"/>
        <v>3</v>
      </c>
      <c r="AS352" s="143">
        <f t="shared" si="136"/>
        <v>3</v>
      </c>
      <c r="AT352" s="143" t="str">
        <f t="shared" si="137"/>
        <v>Correct</v>
      </c>
      <c r="AU352" s="142"/>
      <c r="AV352" s="120" t="str">
        <f>IFERROR(VLOOKUP(Table1[RespondentID],'All Data'!$A$3:$CO$999,87,FALSE),"unknown")</f>
        <v>Man</v>
      </c>
      <c r="AW352" s="120">
        <f>IFERROR(VLOOKUP(Table1[RespondentID],'All Data'!$A$3:$CO$999,88,FALSE),"unknown")</f>
        <v>35</v>
      </c>
      <c r="AX352" s="120" t="str">
        <f>IFERROR(VLOOKUP(Table1[RespondentID],'All Data'!$A$3:$CO$999,89,FALSE),"unknown")</f>
        <v>Suffolk</v>
      </c>
      <c r="AY352" s="120" t="str">
        <f>IFERROR(VLOOKUP(Table1[RespondentID],'All Data'!$A$3:$CO$999,90,FALSE),"unknown")</f>
        <v>Middle Island, 11953</v>
      </c>
      <c r="AZ352" s="120" t="str">
        <f>IFERROR(VLOOKUP(Table1[RespondentID],'All Data'!$A$3:$CO$999,91,FALSE),"unknown")</f>
        <v>White</v>
      </c>
      <c r="BA352" s="120" t="str">
        <f>IFERROR(VLOOKUP(Table1[RespondentID],'All Data'!$A$3:$CO$999,92,FALSE),"unknown")</f>
        <v>Hispanic or Latino</v>
      </c>
      <c r="BB352" s="120" t="str">
        <f>IFERROR(VLOOKUP(Table1[RespondentID],'All Data'!$A$3:$CO$999,93,FALSE),"unknown")</f>
        <v>English,Spanish</v>
      </c>
      <c r="BC352" s="120" t="str">
        <f>IFERROR(VLOOKUP(Table1[RespondentID],'All Data'!$A$3:$CW$999,94,FALSE),"unknown")</f>
        <v>Over $125,000</v>
      </c>
      <c r="BD352" s="120" t="str">
        <f>IFERROR(VLOOKUP(Table1[RespondentID],'All Data'!$A$3:$CW$999,95,FALSE),"unknown")</f>
        <v>Doctorate</v>
      </c>
      <c r="BE352" s="120">
        <f>IFERROR(VLOOKUP(Table1[RespondentID],'All Data'!$A$3:$CW$999,96,FALSE),"unknown")</f>
        <v>0</v>
      </c>
      <c r="BF352" s="120" t="str">
        <f>IFERROR(VLOOKUP(Table1[RespondentID],'All Data'!$A$3:$CW$999,97,FALSE),"unknown")</f>
        <v>Employed for wages</v>
      </c>
      <c r="BG352" s="120">
        <f>IFERROR(VLOOKUP(Table1[RespondentID],'All Data'!$A$3:$CW$999,98,FALSE),"unknown")</f>
        <v>0</v>
      </c>
      <c r="BH352" s="120">
        <f>IFERROR(VLOOKUP(Table1[RespondentID],'All Data'!$A$3:$CW$999,99,FALSE),"unknown")</f>
        <v>0</v>
      </c>
    </row>
    <row r="353" spans="1:60">
      <c r="A353" s="141">
        <v>18018901331</v>
      </c>
      <c r="B353" s="137"/>
      <c r="C353" s="138"/>
      <c r="D353" s="138"/>
      <c r="E353" s="138"/>
      <c r="F353" s="138"/>
      <c r="G353" s="138"/>
      <c r="H353" s="138" t="s">
        <v>54</v>
      </c>
      <c r="I353" s="138"/>
      <c r="J353" s="138"/>
      <c r="K353" s="138"/>
      <c r="L353" s="138"/>
      <c r="M353" s="138"/>
      <c r="N353" s="138" t="s">
        <v>24</v>
      </c>
      <c r="O353" s="138"/>
      <c r="P353" s="138"/>
      <c r="Q353" s="138"/>
      <c r="R353" s="138" t="s">
        <v>62</v>
      </c>
      <c r="S353" s="138"/>
      <c r="T353" s="142"/>
      <c r="U353" s="143">
        <f t="shared" si="115"/>
        <v>3</v>
      </c>
      <c r="V353" s="143">
        <f t="shared" si="116"/>
        <v>1</v>
      </c>
      <c r="W353" s="142"/>
      <c r="X353" s="143">
        <f t="shared" si="117"/>
        <v>0</v>
      </c>
      <c r="Y353" s="143">
        <f t="shared" si="118"/>
        <v>0</v>
      </c>
      <c r="Z353" s="143">
        <f t="shared" si="119"/>
        <v>0</v>
      </c>
      <c r="AA353" s="143">
        <f t="shared" si="120"/>
        <v>0</v>
      </c>
      <c r="AB353" s="143">
        <f t="shared" si="121"/>
        <v>0</v>
      </c>
      <c r="AC353" s="143">
        <f t="shared" si="122"/>
        <v>0</v>
      </c>
      <c r="AD353" s="143">
        <f t="shared" si="123"/>
        <v>1</v>
      </c>
      <c r="AE353" s="143">
        <f t="shared" si="124"/>
        <v>0</v>
      </c>
      <c r="AF353" s="143">
        <f t="shared" si="125"/>
        <v>0</v>
      </c>
      <c r="AG353" s="143">
        <f t="shared" si="126"/>
        <v>0</v>
      </c>
      <c r="AH353" s="143">
        <f t="shared" si="127"/>
        <v>0</v>
      </c>
      <c r="AI353" s="143">
        <f t="shared" si="128"/>
        <v>0</v>
      </c>
      <c r="AJ353" s="143">
        <f t="shared" si="129"/>
        <v>1</v>
      </c>
      <c r="AK353" s="143">
        <f t="shared" si="130"/>
        <v>0</v>
      </c>
      <c r="AL353" s="143">
        <f t="shared" si="131"/>
        <v>0</v>
      </c>
      <c r="AM353" s="143">
        <f t="shared" si="132"/>
        <v>0</v>
      </c>
      <c r="AN353" s="143">
        <f t="shared" si="133"/>
        <v>1</v>
      </c>
      <c r="AO353" s="143">
        <f t="shared" si="134"/>
        <v>0</v>
      </c>
      <c r="AP353" s="142"/>
      <c r="AQ353" s="142"/>
      <c r="AR353" s="143">
        <f t="shared" si="135"/>
        <v>3</v>
      </c>
      <c r="AS353" s="143">
        <f t="shared" si="136"/>
        <v>3</v>
      </c>
      <c r="AT353" s="143" t="str">
        <f t="shared" si="137"/>
        <v>Correct</v>
      </c>
      <c r="AU353" s="142"/>
      <c r="AV353" s="120" t="str">
        <f>IFERROR(VLOOKUP(Table1[RespondentID],'All Data'!$A$3:$CO$999,87,FALSE),"unknown")</f>
        <v>Woman</v>
      </c>
      <c r="AW353" s="120">
        <f>IFERROR(VLOOKUP(Table1[RespondentID],'All Data'!$A$3:$CO$999,88,FALSE),"unknown")</f>
        <v>31</v>
      </c>
      <c r="AX353" s="120">
        <f>IFERROR(VLOOKUP(Table1[RespondentID],'All Data'!$A$3:$CO$999,89,FALSE),"unknown")</f>
        <v>0</v>
      </c>
      <c r="AY353" s="120" t="str">
        <f>IFERROR(VLOOKUP(Table1[RespondentID],'All Data'!$A$3:$CO$999,90,FALSE),"unknown")</f>
        <v>Garden City, 11536</v>
      </c>
      <c r="AZ353" s="120" t="str">
        <f>IFERROR(VLOOKUP(Table1[RespondentID],'All Data'!$A$3:$CO$999,91,FALSE),"unknown")</f>
        <v>White</v>
      </c>
      <c r="BA353" s="120" t="str">
        <f>IFERROR(VLOOKUP(Table1[RespondentID],'All Data'!$A$3:$CO$999,92,FALSE),"unknown")</f>
        <v>Not Hispanic or Latino</v>
      </c>
      <c r="BB353" s="120" t="str">
        <f>IFERROR(VLOOKUP(Table1[RespondentID],'All Data'!$A$3:$CO$999,93,FALSE),"unknown")</f>
        <v>Italian</v>
      </c>
      <c r="BC353" s="120" t="str">
        <f>IFERROR(VLOOKUP(Table1[RespondentID],'All Data'!$A$3:$CW$999,94,FALSE),"unknown")</f>
        <v>$20,000 to $34,999</v>
      </c>
      <c r="BD353" s="120" t="str">
        <f>IFERROR(VLOOKUP(Table1[RespondentID],'All Data'!$A$3:$CW$999,95,FALSE),"unknown")</f>
        <v>Some high school</v>
      </c>
      <c r="BE353" s="120">
        <f>IFERROR(VLOOKUP(Table1[RespondentID],'All Data'!$A$3:$CW$999,96,FALSE),"unknown")</f>
        <v>0</v>
      </c>
      <c r="BF353" s="120" t="str">
        <f>IFERROR(VLOOKUP(Table1[RespondentID],'All Data'!$A$3:$CW$999,97,FALSE),"unknown")</f>
        <v>Out of work and looking for work</v>
      </c>
      <c r="BG353" s="120">
        <f>IFERROR(VLOOKUP(Table1[RespondentID],'All Data'!$A$3:$CW$999,98,FALSE),"unknown")</f>
        <v>0</v>
      </c>
      <c r="BH353" s="120" t="str">
        <f>IFERROR(VLOOKUP(Table1[RespondentID],'All Data'!$A$3:$CW$999,99,FALSE),"unknown")</f>
        <v>No</v>
      </c>
    </row>
    <row r="354" spans="1:60">
      <c r="A354" s="141">
        <v>18018148216</v>
      </c>
      <c r="B354" s="137"/>
      <c r="C354" s="138"/>
      <c r="D354" s="138" t="s">
        <v>51</v>
      </c>
      <c r="E354" s="138"/>
      <c r="F354" s="138"/>
      <c r="G354" s="138"/>
      <c r="H354" s="138"/>
      <c r="I354" s="138"/>
      <c r="J354" s="138"/>
      <c r="K354" s="138"/>
      <c r="L354" s="138"/>
      <c r="M354" s="138"/>
      <c r="N354" s="138"/>
      <c r="O354" s="138"/>
      <c r="P354" s="138"/>
      <c r="Q354" s="138" t="s">
        <v>61</v>
      </c>
      <c r="R354" s="138"/>
      <c r="S354" s="138"/>
      <c r="T354" s="142"/>
      <c r="U354" s="143">
        <f t="shared" si="115"/>
        <v>2</v>
      </c>
      <c r="V354" s="143">
        <f t="shared" si="116"/>
        <v>1.5</v>
      </c>
      <c r="W354" s="142"/>
      <c r="X354" s="143">
        <f t="shared" si="117"/>
        <v>0</v>
      </c>
      <c r="Y354" s="143">
        <f t="shared" si="118"/>
        <v>0</v>
      </c>
      <c r="Z354" s="143">
        <f t="shared" si="119"/>
        <v>1</v>
      </c>
      <c r="AA354" s="143">
        <f t="shared" si="120"/>
        <v>0</v>
      </c>
      <c r="AB354" s="143">
        <f t="shared" si="121"/>
        <v>0</v>
      </c>
      <c r="AC354" s="143">
        <f t="shared" si="122"/>
        <v>0</v>
      </c>
      <c r="AD354" s="143">
        <f t="shared" si="123"/>
        <v>0</v>
      </c>
      <c r="AE354" s="143">
        <f t="shared" si="124"/>
        <v>0</v>
      </c>
      <c r="AF354" s="143">
        <f t="shared" si="125"/>
        <v>0</v>
      </c>
      <c r="AG354" s="143">
        <f t="shared" si="126"/>
        <v>0</v>
      </c>
      <c r="AH354" s="143">
        <f t="shared" si="127"/>
        <v>0</v>
      </c>
      <c r="AI354" s="143">
        <f t="shared" si="128"/>
        <v>0</v>
      </c>
      <c r="AJ354" s="143">
        <f t="shared" si="129"/>
        <v>0</v>
      </c>
      <c r="AK354" s="143">
        <f t="shared" si="130"/>
        <v>0</v>
      </c>
      <c r="AL354" s="143">
        <f t="shared" si="131"/>
        <v>0</v>
      </c>
      <c r="AM354" s="143">
        <f t="shared" si="132"/>
        <v>1</v>
      </c>
      <c r="AN354" s="143">
        <f t="shared" si="133"/>
        <v>0</v>
      </c>
      <c r="AO354" s="143">
        <f t="shared" si="134"/>
        <v>0</v>
      </c>
      <c r="AP354" s="142"/>
      <c r="AQ354" s="142"/>
      <c r="AR354" s="143">
        <f t="shared" si="135"/>
        <v>2</v>
      </c>
      <c r="AS354" s="143">
        <f t="shared" si="136"/>
        <v>2</v>
      </c>
      <c r="AT354" s="143" t="str">
        <f t="shared" si="137"/>
        <v>Correct</v>
      </c>
      <c r="AU354" s="142"/>
      <c r="AV354" s="120" t="str">
        <f>IFERROR(VLOOKUP(Table1[RespondentID],'All Data'!$A$3:$CO$999,87,FALSE),"unknown")</f>
        <v>Woman</v>
      </c>
      <c r="AW354" s="120">
        <f>IFERROR(VLOOKUP(Table1[RespondentID],'All Data'!$A$3:$CO$999,88,FALSE),"unknown")</f>
        <v>68</v>
      </c>
      <c r="AX354" s="120">
        <f>IFERROR(VLOOKUP(Table1[RespondentID],'All Data'!$A$3:$CO$999,89,FALSE),"unknown")</f>
        <v>0</v>
      </c>
      <c r="AY354" s="120">
        <f>IFERROR(VLOOKUP(Table1[RespondentID],'All Data'!$A$3:$CO$999,90,FALSE),"unknown")</f>
        <v>0</v>
      </c>
      <c r="AZ354" s="120">
        <f>IFERROR(VLOOKUP(Table1[RespondentID],'All Data'!$A$3:$CO$999,91,FALSE),"unknown")</f>
        <v>0</v>
      </c>
      <c r="BA354" s="120">
        <f>IFERROR(VLOOKUP(Table1[RespondentID],'All Data'!$A$3:$CO$999,92,FALSE),"unknown")</f>
        <v>0</v>
      </c>
      <c r="BB354" s="120">
        <f>IFERROR(VLOOKUP(Table1[RespondentID],'All Data'!$A$3:$CO$999,93,FALSE),"unknown")</f>
        <v>0</v>
      </c>
      <c r="BC354" s="120">
        <f>IFERROR(VLOOKUP(Table1[RespondentID],'All Data'!$A$3:$CW$999,94,FALSE),"unknown")</f>
        <v>0</v>
      </c>
      <c r="BD354" s="120">
        <f>IFERROR(VLOOKUP(Table1[RespondentID],'All Data'!$A$3:$CW$999,95,FALSE),"unknown")</f>
        <v>0</v>
      </c>
      <c r="BE354" s="120">
        <f>IFERROR(VLOOKUP(Table1[RespondentID],'All Data'!$A$3:$CW$999,96,FALSE),"unknown")</f>
        <v>0</v>
      </c>
      <c r="BF354" s="120">
        <f>IFERROR(VLOOKUP(Table1[RespondentID],'All Data'!$A$3:$CW$999,97,FALSE),"unknown")</f>
        <v>0</v>
      </c>
      <c r="BG354" s="120">
        <f>IFERROR(VLOOKUP(Table1[RespondentID],'All Data'!$A$3:$CW$999,98,FALSE),"unknown")</f>
        <v>0</v>
      </c>
      <c r="BH354" s="120">
        <f>IFERROR(VLOOKUP(Table1[RespondentID],'All Data'!$A$3:$CW$999,99,FALSE),"unknown")</f>
        <v>0</v>
      </c>
    </row>
    <row r="355" spans="1:60">
      <c r="A355" s="141">
        <v>18014643757</v>
      </c>
      <c r="B355" s="137"/>
      <c r="C355" s="138"/>
      <c r="D355" s="138"/>
      <c r="E355" s="138"/>
      <c r="F355" s="138"/>
      <c r="G355" s="138"/>
      <c r="H355" s="138"/>
      <c r="I355" s="138"/>
      <c r="J355" s="138" t="s">
        <v>56</v>
      </c>
      <c r="K355" s="138"/>
      <c r="L355" s="138"/>
      <c r="M355" s="138"/>
      <c r="N355" s="138"/>
      <c r="O355" s="138"/>
      <c r="P355" s="138"/>
      <c r="Q355" s="138"/>
      <c r="R355" s="138"/>
      <c r="S355" s="138"/>
      <c r="T355" s="142"/>
      <c r="U355" s="143">
        <f t="shared" si="115"/>
        <v>1</v>
      </c>
      <c r="V355" s="143">
        <f t="shared" si="116"/>
        <v>3</v>
      </c>
      <c r="W355" s="142"/>
      <c r="X355" s="143">
        <f t="shared" si="117"/>
        <v>0</v>
      </c>
      <c r="Y355" s="143">
        <f t="shared" si="118"/>
        <v>0</v>
      </c>
      <c r="Z355" s="143">
        <f t="shared" si="119"/>
        <v>0</v>
      </c>
      <c r="AA355" s="143">
        <f t="shared" si="120"/>
        <v>0</v>
      </c>
      <c r="AB355" s="143">
        <f t="shared" si="121"/>
        <v>0</v>
      </c>
      <c r="AC355" s="143">
        <f t="shared" si="122"/>
        <v>0</v>
      </c>
      <c r="AD355" s="143">
        <f t="shared" si="123"/>
        <v>0</v>
      </c>
      <c r="AE355" s="143">
        <f t="shared" si="124"/>
        <v>0</v>
      </c>
      <c r="AF355" s="143">
        <f t="shared" si="125"/>
        <v>1</v>
      </c>
      <c r="AG355" s="143">
        <f t="shared" si="126"/>
        <v>0</v>
      </c>
      <c r="AH355" s="143">
        <f t="shared" si="127"/>
        <v>0</v>
      </c>
      <c r="AI355" s="143">
        <f t="shared" si="128"/>
        <v>0</v>
      </c>
      <c r="AJ355" s="143">
        <f t="shared" si="129"/>
        <v>0</v>
      </c>
      <c r="AK355" s="143">
        <f t="shared" si="130"/>
        <v>0</v>
      </c>
      <c r="AL355" s="143">
        <f t="shared" si="131"/>
        <v>0</v>
      </c>
      <c r="AM355" s="143">
        <f t="shared" si="132"/>
        <v>0</v>
      </c>
      <c r="AN355" s="143">
        <f t="shared" si="133"/>
        <v>0</v>
      </c>
      <c r="AO355" s="143">
        <f t="shared" si="134"/>
        <v>0</v>
      </c>
      <c r="AP355" s="142"/>
      <c r="AQ355" s="142"/>
      <c r="AR355" s="143">
        <f t="shared" si="135"/>
        <v>1</v>
      </c>
      <c r="AS355" s="143">
        <f t="shared" si="136"/>
        <v>1</v>
      </c>
      <c r="AT355" s="143" t="str">
        <f t="shared" si="137"/>
        <v>Correct</v>
      </c>
      <c r="AU355" s="142"/>
      <c r="AV355" s="120">
        <f>IFERROR(VLOOKUP(Table1[RespondentID],'All Data'!$A$3:$CO$999,87,FALSE),"unknown")</f>
        <v>0</v>
      </c>
      <c r="AW355" s="120">
        <f>IFERROR(VLOOKUP(Table1[RespondentID],'All Data'!$A$3:$CO$999,88,FALSE),"unknown")</f>
        <v>0</v>
      </c>
      <c r="AX355" s="120">
        <f>IFERROR(VLOOKUP(Table1[RespondentID],'All Data'!$A$3:$CO$999,89,FALSE),"unknown")</f>
        <v>0</v>
      </c>
      <c r="AY355" s="120">
        <f>IFERROR(VLOOKUP(Table1[RespondentID],'All Data'!$A$3:$CO$999,90,FALSE),"unknown")</f>
        <v>0</v>
      </c>
      <c r="AZ355" s="120">
        <f>IFERROR(VLOOKUP(Table1[RespondentID],'All Data'!$A$3:$CO$999,91,FALSE),"unknown")</f>
        <v>0</v>
      </c>
      <c r="BA355" s="120">
        <f>IFERROR(VLOOKUP(Table1[RespondentID],'All Data'!$A$3:$CO$999,92,FALSE),"unknown")</f>
        <v>0</v>
      </c>
      <c r="BB355" s="120">
        <f>IFERROR(VLOOKUP(Table1[RespondentID],'All Data'!$A$3:$CO$999,93,FALSE),"unknown")</f>
        <v>0</v>
      </c>
      <c r="BC355" s="120">
        <f>IFERROR(VLOOKUP(Table1[RespondentID],'All Data'!$A$3:$CW$999,94,FALSE),"unknown")</f>
        <v>0</v>
      </c>
      <c r="BD355" s="120">
        <f>IFERROR(VLOOKUP(Table1[RespondentID],'All Data'!$A$3:$CW$999,95,FALSE),"unknown")</f>
        <v>0</v>
      </c>
      <c r="BE355" s="120">
        <f>IFERROR(VLOOKUP(Table1[RespondentID],'All Data'!$A$3:$CW$999,96,FALSE),"unknown")</f>
        <v>0</v>
      </c>
      <c r="BF355" s="120">
        <f>IFERROR(VLOOKUP(Table1[RespondentID],'All Data'!$A$3:$CW$999,97,FALSE),"unknown")</f>
        <v>0</v>
      </c>
      <c r="BG355" s="120">
        <f>IFERROR(VLOOKUP(Table1[RespondentID],'All Data'!$A$3:$CW$999,98,FALSE),"unknown")</f>
        <v>0</v>
      </c>
      <c r="BH355" s="120">
        <f>IFERROR(VLOOKUP(Table1[RespondentID],'All Data'!$A$3:$CW$999,99,FALSE),"unknown")</f>
        <v>0</v>
      </c>
    </row>
    <row r="356" spans="1:60">
      <c r="A356" s="141">
        <v>114107008144</v>
      </c>
      <c r="B356" s="137" t="s">
        <v>49</v>
      </c>
      <c r="C356" s="138"/>
      <c r="D356" s="138" t="s">
        <v>51</v>
      </c>
      <c r="E356" s="138" t="s">
        <v>17</v>
      </c>
      <c r="F356" s="138"/>
      <c r="G356" s="138" t="s">
        <v>53</v>
      </c>
      <c r="H356" s="138"/>
      <c r="I356" s="138"/>
      <c r="J356" s="138"/>
      <c r="K356" s="138"/>
      <c r="L356" s="138" t="s">
        <v>58</v>
      </c>
      <c r="M356" s="138" t="s">
        <v>59</v>
      </c>
      <c r="N356" s="138" t="s">
        <v>24</v>
      </c>
      <c r="O356" s="138"/>
      <c r="P356" s="138"/>
      <c r="Q356" s="138"/>
      <c r="R356" s="138"/>
      <c r="S356" s="138" t="s">
        <v>63</v>
      </c>
      <c r="T356" s="142"/>
      <c r="U356" s="143">
        <f t="shared" si="115"/>
        <v>8</v>
      </c>
      <c r="V356" s="143">
        <f t="shared" si="116"/>
        <v>0.375</v>
      </c>
      <c r="W356" s="142"/>
      <c r="X356" s="143">
        <f t="shared" si="117"/>
        <v>0.375</v>
      </c>
      <c r="Y356" s="143">
        <f t="shared" si="118"/>
        <v>0</v>
      </c>
      <c r="Z356" s="143">
        <f t="shared" si="119"/>
        <v>0.375</v>
      </c>
      <c r="AA356" s="143">
        <f t="shared" si="120"/>
        <v>0.375</v>
      </c>
      <c r="AB356" s="143">
        <f t="shared" si="121"/>
        <v>0</v>
      </c>
      <c r="AC356" s="143">
        <f t="shared" si="122"/>
        <v>0.375</v>
      </c>
      <c r="AD356" s="143">
        <f t="shared" si="123"/>
        <v>0</v>
      </c>
      <c r="AE356" s="143">
        <f t="shared" si="124"/>
        <v>0</v>
      </c>
      <c r="AF356" s="143">
        <f t="shared" si="125"/>
        <v>0</v>
      </c>
      <c r="AG356" s="143">
        <f t="shared" si="126"/>
        <v>0</v>
      </c>
      <c r="AH356" s="143">
        <f t="shared" si="127"/>
        <v>0.375</v>
      </c>
      <c r="AI356" s="143">
        <f t="shared" si="128"/>
        <v>0.375</v>
      </c>
      <c r="AJ356" s="143">
        <f t="shared" si="129"/>
        <v>0.375</v>
      </c>
      <c r="AK356" s="143">
        <f t="shared" si="130"/>
        <v>0</v>
      </c>
      <c r="AL356" s="143">
        <f t="shared" si="131"/>
        <v>0</v>
      </c>
      <c r="AM356" s="143">
        <f t="shared" si="132"/>
        <v>0</v>
      </c>
      <c r="AN356" s="143">
        <f t="shared" si="133"/>
        <v>0</v>
      </c>
      <c r="AO356" s="143">
        <f t="shared" si="134"/>
        <v>0.375</v>
      </c>
      <c r="AP356" s="142"/>
      <c r="AQ356" s="142"/>
      <c r="AR356" s="143">
        <f t="shared" si="135"/>
        <v>3</v>
      </c>
      <c r="AS356" s="143">
        <f t="shared" si="136"/>
        <v>8</v>
      </c>
      <c r="AT356" s="143" t="str">
        <f t="shared" si="137"/>
        <v>Correct</v>
      </c>
      <c r="AU356" s="142"/>
      <c r="AV356" s="120" t="str">
        <f>IFERROR(VLOOKUP(Table1[RespondentID],'All Data'!$A$3:$CO$999,87,FALSE),"unknown")</f>
        <v>Man</v>
      </c>
      <c r="AW356" s="120">
        <f>IFERROR(VLOOKUP(Table1[RespondentID],'All Data'!$A$3:$CO$999,88,FALSE),"unknown")</f>
        <v>0</v>
      </c>
      <c r="AX356" s="120" t="str">
        <f>IFERROR(VLOOKUP(Table1[RespondentID],'All Data'!$A$3:$CO$999,89,FALSE),"unknown")</f>
        <v>Queens</v>
      </c>
      <c r="AY356" s="120">
        <f>IFERROR(VLOOKUP(Table1[RespondentID],'All Data'!$A$3:$CO$999,90,FALSE),"unknown")</f>
        <v>22407</v>
      </c>
      <c r="AZ356" s="120" t="str">
        <f>IFERROR(VLOOKUP(Table1[RespondentID],'All Data'!$A$3:$CO$999,91,FALSE),"unknown")</f>
        <v>White</v>
      </c>
      <c r="BA356" s="120" t="str">
        <f>IFERROR(VLOOKUP(Table1[RespondentID],'All Data'!$A$3:$CO$999,92,FALSE),"unknown")</f>
        <v>Not Hispanic or Latino</v>
      </c>
      <c r="BB356" s="120" t="str">
        <f>IFERROR(VLOOKUP(Table1[RespondentID],'All Data'!$A$3:$CO$999,93,FALSE),"unknown")</f>
        <v>English</v>
      </c>
      <c r="BC356" s="120" t="str">
        <f>IFERROR(VLOOKUP(Table1[RespondentID],'All Data'!$A$3:$CW$999,94,FALSE),"unknown")</f>
        <v>Over $125,000</v>
      </c>
      <c r="BD356" s="120" t="str">
        <f>IFERROR(VLOOKUP(Table1[RespondentID],'All Data'!$A$3:$CW$999,95,FALSE),"unknown")</f>
        <v>College graduate</v>
      </c>
      <c r="BE356" s="120" t="str">
        <f>IFERROR(VLOOKUP(Table1[RespondentID],'All Data'!$A$3:$CW$999,96,FALSE),"unknown")</f>
        <v>Employed for wages</v>
      </c>
      <c r="BF356" s="120" t="str">
        <f>IFERROR(VLOOKUP(Table1[RespondentID],'All Data'!$A$3:$CW$999,97,FALSE),"unknown")</f>
        <v>Yes</v>
      </c>
      <c r="BG356" s="120" t="str">
        <f>IFERROR(VLOOKUP(Table1[RespondentID],'All Data'!$A$3:$CW$999,98,FALSE),"unknown")</f>
        <v>Medicaid,Medicare</v>
      </c>
      <c r="BH356" s="120" t="str">
        <f>IFERROR(VLOOKUP(Table1[RespondentID],'All Data'!$A$3:$CW$999,99,FALSE),"unknown")</f>
        <v>Yes</v>
      </c>
    </row>
    <row r="357" spans="1:60">
      <c r="A357" s="141">
        <v>114106902413</v>
      </c>
      <c r="B357" s="137"/>
      <c r="C357" s="138"/>
      <c r="D357" s="138"/>
      <c r="E357" s="138"/>
      <c r="F357" s="138"/>
      <c r="G357" s="138"/>
      <c r="H357" s="138"/>
      <c r="I357" s="138"/>
      <c r="J357" s="138"/>
      <c r="K357" s="138" t="s">
        <v>57</v>
      </c>
      <c r="L357" s="138"/>
      <c r="M357" s="138"/>
      <c r="N357" s="138"/>
      <c r="O357" s="138"/>
      <c r="P357" s="138"/>
      <c r="Q357" s="138"/>
      <c r="R357" s="138"/>
      <c r="S357" s="138"/>
      <c r="T357" s="142"/>
      <c r="U357" s="143">
        <f t="shared" si="115"/>
        <v>1</v>
      </c>
      <c r="V357" s="143">
        <f t="shared" si="116"/>
        <v>3</v>
      </c>
      <c r="W357" s="142"/>
      <c r="X357" s="143">
        <f t="shared" si="117"/>
        <v>0</v>
      </c>
      <c r="Y357" s="143">
        <f t="shared" si="118"/>
        <v>0</v>
      </c>
      <c r="Z357" s="143">
        <f t="shared" si="119"/>
        <v>0</v>
      </c>
      <c r="AA357" s="143">
        <f t="shared" si="120"/>
        <v>0</v>
      </c>
      <c r="AB357" s="143">
        <f t="shared" si="121"/>
        <v>0</v>
      </c>
      <c r="AC357" s="143">
        <f t="shared" si="122"/>
        <v>0</v>
      </c>
      <c r="AD357" s="143">
        <f t="shared" si="123"/>
        <v>0</v>
      </c>
      <c r="AE357" s="143">
        <f t="shared" si="124"/>
        <v>0</v>
      </c>
      <c r="AF357" s="143">
        <f t="shared" si="125"/>
        <v>0</v>
      </c>
      <c r="AG357" s="143">
        <f t="shared" si="126"/>
        <v>1</v>
      </c>
      <c r="AH357" s="143">
        <f t="shared" si="127"/>
        <v>0</v>
      </c>
      <c r="AI357" s="143">
        <f t="shared" si="128"/>
        <v>0</v>
      </c>
      <c r="AJ357" s="143">
        <f t="shared" si="129"/>
        <v>0</v>
      </c>
      <c r="AK357" s="143">
        <f t="shared" si="130"/>
        <v>0</v>
      </c>
      <c r="AL357" s="143">
        <f t="shared" si="131"/>
        <v>0</v>
      </c>
      <c r="AM357" s="143">
        <f t="shared" si="132"/>
        <v>0</v>
      </c>
      <c r="AN357" s="143">
        <f t="shared" si="133"/>
        <v>0</v>
      </c>
      <c r="AO357" s="143">
        <f t="shared" si="134"/>
        <v>0</v>
      </c>
      <c r="AP357" s="142"/>
      <c r="AQ357" s="142"/>
      <c r="AR357" s="143">
        <f t="shared" si="135"/>
        <v>1</v>
      </c>
      <c r="AS357" s="143">
        <f t="shared" si="136"/>
        <v>1</v>
      </c>
      <c r="AT357" s="143" t="str">
        <f t="shared" si="137"/>
        <v>Correct</v>
      </c>
      <c r="AU357" s="142"/>
      <c r="AV357" s="120" t="str">
        <f>IFERROR(VLOOKUP(Table1[RespondentID],'All Data'!$A$3:$CO$999,87,FALSE),"unknown")</f>
        <v>Man</v>
      </c>
      <c r="AW357" s="120">
        <f>IFERROR(VLOOKUP(Table1[RespondentID],'All Data'!$A$3:$CO$999,88,FALSE),"unknown")</f>
        <v>0</v>
      </c>
      <c r="AX357" s="120" t="str">
        <f>IFERROR(VLOOKUP(Table1[RespondentID],'All Data'!$A$3:$CO$999,89,FALSE),"unknown")</f>
        <v>Suffolk</v>
      </c>
      <c r="AY357" s="120" t="str">
        <f>IFERROR(VLOOKUP(Table1[RespondentID],'All Data'!$A$3:$CO$999,90,FALSE),"unknown")</f>
        <v>Babylon, 11702</v>
      </c>
      <c r="AZ357" s="120" t="str">
        <f>IFERROR(VLOOKUP(Table1[RespondentID],'All Data'!$A$3:$CO$999,91,FALSE),"unknown")</f>
        <v>White</v>
      </c>
      <c r="BA357" s="120" t="str">
        <f>IFERROR(VLOOKUP(Table1[RespondentID],'All Data'!$A$3:$CO$999,92,FALSE),"unknown")</f>
        <v>Not Hispanic or Latino</v>
      </c>
      <c r="BB357" s="120" t="str">
        <f>IFERROR(VLOOKUP(Table1[RespondentID],'All Data'!$A$3:$CO$999,93,FALSE),"unknown")</f>
        <v>English</v>
      </c>
      <c r="BC357" s="120" t="str">
        <f>IFERROR(VLOOKUP(Table1[RespondentID],'All Data'!$A$3:$CW$999,94,FALSE),"unknown")</f>
        <v>$35,000 to $49,999</v>
      </c>
      <c r="BD357" s="120" t="str">
        <f>IFERROR(VLOOKUP(Table1[RespondentID],'All Data'!$A$3:$CW$999,95,FALSE),"unknown")</f>
        <v>Some college</v>
      </c>
      <c r="BE357" s="120" t="str">
        <f>IFERROR(VLOOKUP(Table1[RespondentID],'All Data'!$A$3:$CW$999,96,FALSE),"unknown")</f>
        <v>Retired</v>
      </c>
      <c r="BF357" s="120" t="str">
        <f>IFERROR(VLOOKUP(Table1[RespondentID],'All Data'!$A$3:$CW$999,97,FALSE),"unknown")</f>
        <v>No</v>
      </c>
      <c r="BG357" s="120" t="str">
        <f>IFERROR(VLOOKUP(Table1[RespondentID],'All Data'!$A$3:$CW$999,98,FALSE),"unknown")</f>
        <v>No Insurance</v>
      </c>
      <c r="BH357" s="120" t="str">
        <f>IFERROR(VLOOKUP(Table1[RespondentID],'All Data'!$A$3:$CW$999,99,FALSE),"unknown")</f>
        <v>Yes</v>
      </c>
    </row>
    <row r="358" spans="1:60">
      <c r="A358" s="141">
        <v>114106901021</v>
      </c>
      <c r="B358" s="137"/>
      <c r="C358" s="138"/>
      <c r="D358" s="138"/>
      <c r="E358" s="138" t="s">
        <v>17</v>
      </c>
      <c r="F358" s="138"/>
      <c r="G358" s="138" t="s">
        <v>53</v>
      </c>
      <c r="H358" s="138"/>
      <c r="I358" s="138"/>
      <c r="J358" s="138"/>
      <c r="K358" s="138"/>
      <c r="L358" s="138"/>
      <c r="M358" s="138"/>
      <c r="N358" s="138" t="s">
        <v>24</v>
      </c>
      <c r="O358" s="138"/>
      <c r="P358" s="138"/>
      <c r="Q358" s="138"/>
      <c r="R358" s="138"/>
      <c r="S358" s="138"/>
      <c r="T358" s="142"/>
      <c r="U358" s="143">
        <f t="shared" si="115"/>
        <v>3</v>
      </c>
      <c r="V358" s="143">
        <f t="shared" si="116"/>
        <v>1</v>
      </c>
      <c r="W358" s="142"/>
      <c r="X358" s="143">
        <f t="shared" si="117"/>
        <v>0</v>
      </c>
      <c r="Y358" s="143">
        <f t="shared" si="118"/>
        <v>0</v>
      </c>
      <c r="Z358" s="143">
        <f t="shared" si="119"/>
        <v>0</v>
      </c>
      <c r="AA358" s="143">
        <f t="shared" si="120"/>
        <v>1</v>
      </c>
      <c r="AB358" s="143">
        <f t="shared" si="121"/>
        <v>0</v>
      </c>
      <c r="AC358" s="143">
        <f t="shared" si="122"/>
        <v>1</v>
      </c>
      <c r="AD358" s="143">
        <f t="shared" si="123"/>
        <v>0</v>
      </c>
      <c r="AE358" s="143">
        <f t="shared" si="124"/>
        <v>0</v>
      </c>
      <c r="AF358" s="143">
        <f t="shared" si="125"/>
        <v>0</v>
      </c>
      <c r="AG358" s="143">
        <f t="shared" si="126"/>
        <v>0</v>
      </c>
      <c r="AH358" s="143">
        <f t="shared" si="127"/>
        <v>0</v>
      </c>
      <c r="AI358" s="143">
        <f t="shared" si="128"/>
        <v>0</v>
      </c>
      <c r="AJ358" s="143">
        <f t="shared" si="129"/>
        <v>1</v>
      </c>
      <c r="AK358" s="143">
        <f t="shared" si="130"/>
        <v>0</v>
      </c>
      <c r="AL358" s="143">
        <f t="shared" si="131"/>
        <v>0</v>
      </c>
      <c r="AM358" s="143">
        <f t="shared" si="132"/>
        <v>0</v>
      </c>
      <c r="AN358" s="143">
        <f t="shared" si="133"/>
        <v>0</v>
      </c>
      <c r="AO358" s="143">
        <f t="shared" si="134"/>
        <v>0</v>
      </c>
      <c r="AP358" s="142"/>
      <c r="AQ358" s="142"/>
      <c r="AR358" s="143">
        <f t="shared" si="135"/>
        <v>3</v>
      </c>
      <c r="AS358" s="143">
        <f t="shared" si="136"/>
        <v>3</v>
      </c>
      <c r="AT358" s="143" t="str">
        <f t="shared" si="137"/>
        <v>Correct</v>
      </c>
      <c r="AU358" s="142"/>
      <c r="AV358" s="120" t="str">
        <f>IFERROR(VLOOKUP(Table1[RespondentID],'All Data'!$A$3:$CO$999,87,FALSE),"unknown")</f>
        <v>Man</v>
      </c>
      <c r="AW358" s="120">
        <f>IFERROR(VLOOKUP(Table1[RespondentID],'All Data'!$A$3:$CO$999,88,FALSE),"unknown")</f>
        <v>0</v>
      </c>
      <c r="AX358" s="120" t="str">
        <f>IFERROR(VLOOKUP(Table1[RespondentID],'All Data'!$A$3:$CO$999,89,FALSE),"unknown")</f>
        <v>Suffolk</v>
      </c>
      <c r="AY358" s="120" t="str">
        <f>IFERROR(VLOOKUP(Table1[RespondentID],'All Data'!$A$3:$CO$999,90,FALSE),"unknown")</f>
        <v>Huntington, 11743</v>
      </c>
      <c r="AZ358" s="120" t="str">
        <f>IFERROR(VLOOKUP(Table1[RespondentID],'All Data'!$A$3:$CO$999,91,FALSE),"unknown")</f>
        <v>White</v>
      </c>
      <c r="BA358" s="120">
        <f>IFERROR(VLOOKUP(Table1[RespondentID],'All Data'!$A$3:$CO$999,92,FALSE),"unknown")</f>
        <v>0</v>
      </c>
      <c r="BB358" s="120" t="str">
        <f>IFERROR(VLOOKUP(Table1[RespondentID],'All Data'!$A$3:$CO$999,93,FALSE),"unknown")</f>
        <v>English</v>
      </c>
      <c r="BC358" s="120" t="str">
        <f>IFERROR(VLOOKUP(Table1[RespondentID],'All Data'!$A$3:$CW$999,94,FALSE),"unknown")</f>
        <v>$75,000 to $125,000</v>
      </c>
      <c r="BD358" s="120" t="str">
        <f>IFERROR(VLOOKUP(Table1[RespondentID],'All Data'!$A$3:$CW$999,95,FALSE),"unknown")</f>
        <v>Some college</v>
      </c>
      <c r="BE358" s="120" t="str">
        <f>IFERROR(VLOOKUP(Table1[RespondentID],'All Data'!$A$3:$CW$999,96,FALSE),"unknown")</f>
        <v>Employed for wages</v>
      </c>
      <c r="BF358" s="120" t="str">
        <f>IFERROR(VLOOKUP(Table1[RespondentID],'All Data'!$A$3:$CW$999,97,FALSE),"unknown")</f>
        <v>Yes</v>
      </c>
      <c r="BG358" s="120">
        <f>IFERROR(VLOOKUP(Table1[RespondentID],'All Data'!$A$3:$CW$999,98,FALSE),"unknown")</f>
        <v>0</v>
      </c>
      <c r="BH358" s="120" t="str">
        <f>IFERROR(VLOOKUP(Table1[RespondentID],'All Data'!$A$3:$CW$999,99,FALSE),"unknown")</f>
        <v>Yes</v>
      </c>
    </row>
    <row r="359" spans="1:60">
      <c r="A359" s="141">
        <v>114106899755</v>
      </c>
      <c r="B359" s="137" t="s">
        <v>49</v>
      </c>
      <c r="C359" s="138"/>
      <c r="D359" s="138" t="s">
        <v>51</v>
      </c>
      <c r="E359" s="138"/>
      <c r="F359" s="138"/>
      <c r="G359" s="138"/>
      <c r="H359" s="138"/>
      <c r="I359" s="138"/>
      <c r="J359" s="138"/>
      <c r="K359" s="138"/>
      <c r="L359" s="138"/>
      <c r="M359" s="138"/>
      <c r="N359" s="138" t="s">
        <v>24</v>
      </c>
      <c r="O359" s="138"/>
      <c r="P359" s="138"/>
      <c r="Q359" s="138"/>
      <c r="R359" s="138"/>
      <c r="S359" s="138" t="s">
        <v>63</v>
      </c>
      <c r="T359" s="142"/>
      <c r="U359" s="143">
        <f t="shared" si="115"/>
        <v>4</v>
      </c>
      <c r="V359" s="143">
        <f t="shared" si="116"/>
        <v>0.75</v>
      </c>
      <c r="W359" s="142"/>
      <c r="X359" s="143">
        <f t="shared" si="117"/>
        <v>0.75</v>
      </c>
      <c r="Y359" s="143">
        <f t="shared" si="118"/>
        <v>0</v>
      </c>
      <c r="Z359" s="143">
        <f t="shared" si="119"/>
        <v>0.75</v>
      </c>
      <c r="AA359" s="143">
        <f t="shared" si="120"/>
        <v>0</v>
      </c>
      <c r="AB359" s="143">
        <f t="shared" si="121"/>
        <v>0</v>
      </c>
      <c r="AC359" s="143">
        <f t="shared" si="122"/>
        <v>0</v>
      </c>
      <c r="AD359" s="143">
        <f t="shared" si="123"/>
        <v>0</v>
      </c>
      <c r="AE359" s="143">
        <f t="shared" si="124"/>
        <v>0</v>
      </c>
      <c r="AF359" s="143">
        <f t="shared" si="125"/>
        <v>0</v>
      </c>
      <c r="AG359" s="143">
        <f t="shared" si="126"/>
        <v>0</v>
      </c>
      <c r="AH359" s="143">
        <f t="shared" si="127"/>
        <v>0</v>
      </c>
      <c r="AI359" s="143">
        <f t="shared" si="128"/>
        <v>0</v>
      </c>
      <c r="AJ359" s="143">
        <f t="shared" si="129"/>
        <v>0.75</v>
      </c>
      <c r="AK359" s="143">
        <f t="shared" si="130"/>
        <v>0</v>
      </c>
      <c r="AL359" s="143">
        <f t="shared" si="131"/>
        <v>0</v>
      </c>
      <c r="AM359" s="143">
        <f t="shared" si="132"/>
        <v>0</v>
      </c>
      <c r="AN359" s="143">
        <f t="shared" si="133"/>
        <v>0</v>
      </c>
      <c r="AO359" s="143">
        <f t="shared" si="134"/>
        <v>0.75</v>
      </c>
      <c r="AP359" s="142"/>
      <c r="AQ359" s="142"/>
      <c r="AR359" s="143">
        <f t="shared" si="135"/>
        <v>3</v>
      </c>
      <c r="AS359" s="143">
        <f t="shared" si="136"/>
        <v>4</v>
      </c>
      <c r="AT359" s="143" t="str">
        <f t="shared" si="137"/>
        <v>Correct</v>
      </c>
      <c r="AU359" s="142"/>
      <c r="AV359" s="120" t="str">
        <f>IFERROR(VLOOKUP(Table1[RespondentID],'All Data'!$A$3:$CO$999,87,FALSE),"unknown")</f>
        <v>Woman</v>
      </c>
      <c r="AW359" s="120">
        <f>IFERROR(VLOOKUP(Table1[RespondentID],'All Data'!$A$3:$CO$999,88,FALSE),"unknown")</f>
        <v>0</v>
      </c>
      <c r="AX359" s="120" t="str">
        <f>IFERROR(VLOOKUP(Table1[RespondentID],'All Data'!$A$3:$CO$999,89,FALSE),"unknown")</f>
        <v>Suffolk</v>
      </c>
      <c r="AY359" s="120" t="str">
        <f>IFERROR(VLOOKUP(Table1[RespondentID],'All Data'!$A$3:$CO$999,90,FALSE),"unknown")</f>
        <v>Babylon, 11703</v>
      </c>
      <c r="AZ359" s="120" t="str">
        <f>IFERROR(VLOOKUP(Table1[RespondentID],'All Data'!$A$3:$CO$999,91,FALSE),"unknown")</f>
        <v>White</v>
      </c>
      <c r="BA359" s="120" t="str">
        <f>IFERROR(VLOOKUP(Table1[RespondentID],'All Data'!$A$3:$CO$999,92,FALSE),"unknown")</f>
        <v>Not Hispanic or Latino</v>
      </c>
      <c r="BB359" s="120" t="str">
        <f>IFERROR(VLOOKUP(Table1[RespondentID],'All Data'!$A$3:$CO$999,93,FALSE),"unknown")</f>
        <v>English</v>
      </c>
      <c r="BC359" s="120" t="str">
        <f>IFERROR(VLOOKUP(Table1[RespondentID],'All Data'!$A$3:$CW$999,94,FALSE),"unknown")</f>
        <v>$50,000 to $74,999</v>
      </c>
      <c r="BD359" s="120" t="str">
        <f>IFERROR(VLOOKUP(Table1[RespondentID],'All Data'!$A$3:$CW$999,95,FALSE),"unknown")</f>
        <v>College graduate</v>
      </c>
      <c r="BE359" s="120" t="str">
        <f>IFERROR(VLOOKUP(Table1[RespondentID],'All Data'!$A$3:$CW$999,96,FALSE),"unknown")</f>
        <v>Employed for wages</v>
      </c>
      <c r="BF359" s="120" t="str">
        <f>IFERROR(VLOOKUP(Table1[RespondentID],'All Data'!$A$3:$CW$999,97,FALSE),"unknown")</f>
        <v>Yes</v>
      </c>
      <c r="BG359" s="120" t="str">
        <f>IFERROR(VLOOKUP(Table1[RespondentID],'All Data'!$A$3:$CW$999,98,FALSE),"unknown")</f>
        <v>Private/Commercial</v>
      </c>
      <c r="BH359" s="120" t="str">
        <f>IFERROR(VLOOKUP(Table1[RespondentID],'All Data'!$A$3:$CW$999,99,FALSE),"unknown")</f>
        <v>Yes</v>
      </c>
    </row>
    <row r="360" spans="1:60">
      <c r="A360" s="141">
        <v>114106893781</v>
      </c>
      <c r="B360" s="137"/>
      <c r="C360" s="138"/>
      <c r="D360" s="138"/>
      <c r="E360" s="138"/>
      <c r="F360" s="138"/>
      <c r="G360" s="138" t="s">
        <v>53</v>
      </c>
      <c r="H360" s="138" t="s">
        <v>54</v>
      </c>
      <c r="I360" s="138"/>
      <c r="J360" s="138"/>
      <c r="K360" s="138"/>
      <c r="L360" s="138"/>
      <c r="M360" s="138"/>
      <c r="N360" s="138"/>
      <c r="O360" s="138"/>
      <c r="P360" s="138"/>
      <c r="Q360" s="138"/>
      <c r="R360" s="138"/>
      <c r="S360" s="138"/>
      <c r="T360" s="142"/>
      <c r="U360" s="143">
        <f t="shared" si="115"/>
        <v>2</v>
      </c>
      <c r="V360" s="143">
        <f t="shared" si="116"/>
        <v>1.5</v>
      </c>
      <c r="W360" s="142"/>
      <c r="X360" s="143">
        <f t="shared" si="117"/>
        <v>0</v>
      </c>
      <c r="Y360" s="143">
        <f t="shared" si="118"/>
        <v>0</v>
      </c>
      <c r="Z360" s="143">
        <f t="shared" si="119"/>
        <v>0</v>
      </c>
      <c r="AA360" s="143">
        <f t="shared" si="120"/>
        <v>0</v>
      </c>
      <c r="AB360" s="143">
        <f t="shared" si="121"/>
        <v>0</v>
      </c>
      <c r="AC360" s="143">
        <f t="shared" si="122"/>
        <v>1</v>
      </c>
      <c r="AD360" s="143">
        <f t="shared" si="123"/>
        <v>1</v>
      </c>
      <c r="AE360" s="143">
        <f t="shared" si="124"/>
        <v>0</v>
      </c>
      <c r="AF360" s="143">
        <f t="shared" si="125"/>
        <v>0</v>
      </c>
      <c r="AG360" s="143">
        <f t="shared" si="126"/>
        <v>0</v>
      </c>
      <c r="AH360" s="143">
        <f t="shared" si="127"/>
        <v>0</v>
      </c>
      <c r="AI360" s="143">
        <f t="shared" si="128"/>
        <v>0</v>
      </c>
      <c r="AJ360" s="143">
        <f t="shared" si="129"/>
        <v>0</v>
      </c>
      <c r="AK360" s="143">
        <f t="shared" si="130"/>
        <v>0</v>
      </c>
      <c r="AL360" s="143">
        <f t="shared" si="131"/>
        <v>0</v>
      </c>
      <c r="AM360" s="143">
        <f t="shared" si="132"/>
        <v>0</v>
      </c>
      <c r="AN360" s="143">
        <f t="shared" si="133"/>
        <v>0</v>
      </c>
      <c r="AO360" s="143">
        <f t="shared" si="134"/>
        <v>0</v>
      </c>
      <c r="AP360" s="142"/>
      <c r="AQ360" s="142"/>
      <c r="AR360" s="143">
        <f t="shared" si="135"/>
        <v>2</v>
      </c>
      <c r="AS360" s="143">
        <f t="shared" si="136"/>
        <v>2</v>
      </c>
      <c r="AT360" s="143" t="str">
        <f t="shared" si="137"/>
        <v>Correct</v>
      </c>
      <c r="AU360" s="142"/>
      <c r="AV360" s="120" t="str">
        <f>IFERROR(VLOOKUP(Table1[RespondentID],'All Data'!$A$3:$CO$999,87,FALSE),"unknown")</f>
        <v>Man</v>
      </c>
      <c r="AW360" s="120">
        <f>IFERROR(VLOOKUP(Table1[RespondentID],'All Data'!$A$3:$CO$999,88,FALSE),"unknown")</f>
        <v>0</v>
      </c>
      <c r="AX360" s="120" t="str">
        <f>IFERROR(VLOOKUP(Table1[RespondentID],'All Data'!$A$3:$CO$999,89,FALSE),"unknown")</f>
        <v>Suffolk</v>
      </c>
      <c r="AY360" s="120" t="str">
        <f>IFERROR(VLOOKUP(Table1[RespondentID],'All Data'!$A$3:$CO$999,90,FALSE),"unknown")</f>
        <v>Babylon, 11703</v>
      </c>
      <c r="AZ360" s="120" t="str">
        <f>IFERROR(VLOOKUP(Table1[RespondentID],'All Data'!$A$3:$CO$999,91,FALSE),"unknown")</f>
        <v>White</v>
      </c>
      <c r="BA360" s="120" t="str">
        <f>IFERROR(VLOOKUP(Table1[RespondentID],'All Data'!$A$3:$CO$999,92,FALSE),"unknown")</f>
        <v>Not Hispanic or Latino</v>
      </c>
      <c r="BB360" s="120" t="str">
        <f>IFERROR(VLOOKUP(Table1[RespondentID],'All Data'!$A$3:$CO$999,93,FALSE),"unknown")</f>
        <v>English</v>
      </c>
      <c r="BC360" s="120" t="str">
        <f>IFERROR(VLOOKUP(Table1[RespondentID],'All Data'!$A$3:$CW$999,94,FALSE),"unknown")</f>
        <v>$50,000 to $74,999</v>
      </c>
      <c r="BD360" s="120" t="str">
        <f>IFERROR(VLOOKUP(Table1[RespondentID],'All Data'!$A$3:$CW$999,95,FALSE),"unknown")</f>
        <v>Some college</v>
      </c>
      <c r="BE360" s="120" t="str">
        <f>IFERROR(VLOOKUP(Table1[RespondentID],'All Data'!$A$3:$CW$999,96,FALSE),"unknown")</f>
        <v>Employed for wages</v>
      </c>
      <c r="BF360" s="120" t="str">
        <f>IFERROR(VLOOKUP(Table1[RespondentID],'All Data'!$A$3:$CW$999,97,FALSE),"unknown")</f>
        <v>Yes</v>
      </c>
      <c r="BG360" s="120" t="str">
        <f>IFERROR(VLOOKUP(Table1[RespondentID],'All Data'!$A$3:$CW$999,98,FALSE),"unknown")</f>
        <v>Private/Commercial</v>
      </c>
      <c r="BH360" s="120" t="str">
        <f>IFERROR(VLOOKUP(Table1[RespondentID],'All Data'!$A$3:$CW$999,99,FALSE),"unknown")</f>
        <v>Yes</v>
      </c>
    </row>
    <row r="361" spans="1:60">
      <c r="A361" s="141">
        <v>114098493520</v>
      </c>
      <c r="B361" s="137"/>
      <c r="C361" s="138"/>
      <c r="D361" s="138"/>
      <c r="E361" s="138" t="s">
        <v>17</v>
      </c>
      <c r="F361" s="138"/>
      <c r="G361" s="138" t="s">
        <v>53</v>
      </c>
      <c r="H361" s="138"/>
      <c r="I361" s="138"/>
      <c r="J361" s="138"/>
      <c r="K361" s="138"/>
      <c r="L361" s="138"/>
      <c r="M361" s="138"/>
      <c r="N361" s="138"/>
      <c r="O361" s="138"/>
      <c r="P361" s="138"/>
      <c r="Q361" s="138"/>
      <c r="R361" s="138"/>
      <c r="S361" s="138"/>
      <c r="T361" s="142"/>
      <c r="U361" s="143">
        <f t="shared" si="115"/>
        <v>2</v>
      </c>
      <c r="V361" s="143">
        <f t="shared" si="116"/>
        <v>1.5</v>
      </c>
      <c r="W361" s="142"/>
      <c r="X361" s="143">
        <f t="shared" si="117"/>
        <v>0</v>
      </c>
      <c r="Y361" s="143">
        <f t="shared" si="118"/>
        <v>0</v>
      </c>
      <c r="Z361" s="143">
        <f t="shared" si="119"/>
        <v>0</v>
      </c>
      <c r="AA361" s="143">
        <f t="shared" si="120"/>
        <v>1</v>
      </c>
      <c r="AB361" s="143">
        <f t="shared" si="121"/>
        <v>0</v>
      </c>
      <c r="AC361" s="143">
        <f t="shared" si="122"/>
        <v>1</v>
      </c>
      <c r="AD361" s="143">
        <f t="shared" si="123"/>
        <v>0</v>
      </c>
      <c r="AE361" s="143">
        <f t="shared" si="124"/>
        <v>0</v>
      </c>
      <c r="AF361" s="143">
        <f t="shared" si="125"/>
        <v>0</v>
      </c>
      <c r="AG361" s="143">
        <f t="shared" si="126"/>
        <v>0</v>
      </c>
      <c r="AH361" s="143">
        <f t="shared" si="127"/>
        <v>0</v>
      </c>
      <c r="AI361" s="143">
        <f t="shared" si="128"/>
        <v>0</v>
      </c>
      <c r="AJ361" s="143">
        <f t="shared" si="129"/>
        <v>0</v>
      </c>
      <c r="AK361" s="143">
        <f t="shared" si="130"/>
        <v>0</v>
      </c>
      <c r="AL361" s="143">
        <f t="shared" si="131"/>
        <v>0</v>
      </c>
      <c r="AM361" s="143">
        <f t="shared" si="132"/>
        <v>0</v>
      </c>
      <c r="AN361" s="143">
        <f t="shared" si="133"/>
        <v>0</v>
      </c>
      <c r="AO361" s="143">
        <f t="shared" si="134"/>
        <v>0</v>
      </c>
      <c r="AP361" s="142"/>
      <c r="AQ361" s="142"/>
      <c r="AR361" s="143">
        <f t="shared" si="135"/>
        <v>2</v>
      </c>
      <c r="AS361" s="143">
        <f t="shared" si="136"/>
        <v>2</v>
      </c>
      <c r="AT361" s="143" t="str">
        <f t="shared" si="137"/>
        <v>Correct</v>
      </c>
      <c r="AU361" s="142"/>
      <c r="AV361" s="120" t="str">
        <f>IFERROR(VLOOKUP(Table1[RespondentID],'All Data'!$A$3:$CO$999,87,FALSE),"unknown")</f>
        <v>Woman</v>
      </c>
      <c r="AW361" s="120">
        <f>IFERROR(VLOOKUP(Table1[RespondentID],'All Data'!$A$3:$CO$999,88,FALSE),"unknown")</f>
        <v>0</v>
      </c>
      <c r="AX361" s="120" t="str">
        <f>IFERROR(VLOOKUP(Table1[RespondentID],'All Data'!$A$3:$CO$999,89,FALSE),"unknown")</f>
        <v>Suffolk</v>
      </c>
      <c r="AY361" s="120" t="str">
        <f>IFERROR(VLOOKUP(Table1[RespondentID],'All Data'!$A$3:$CO$999,90,FALSE),"unknown")</f>
        <v>East Islip, 11730</v>
      </c>
      <c r="AZ361" s="120" t="str">
        <f>IFERROR(VLOOKUP(Table1[RespondentID],'All Data'!$A$3:$CO$999,91,FALSE),"unknown")</f>
        <v>White</v>
      </c>
      <c r="BA361" s="120" t="str">
        <f>IFERROR(VLOOKUP(Table1[RespondentID],'All Data'!$A$3:$CO$999,92,FALSE),"unknown")</f>
        <v>Not Hispanic or Latino</v>
      </c>
      <c r="BB361" s="120" t="str">
        <f>IFERROR(VLOOKUP(Table1[RespondentID],'All Data'!$A$3:$CO$999,93,FALSE),"unknown")</f>
        <v>English</v>
      </c>
      <c r="BC361" s="120" t="str">
        <f>IFERROR(VLOOKUP(Table1[RespondentID],'All Data'!$A$3:$CW$999,94,FALSE),"unknown")</f>
        <v>$75,000 to $125,000</v>
      </c>
      <c r="BD361" s="120" t="str">
        <f>IFERROR(VLOOKUP(Table1[RespondentID],'All Data'!$A$3:$CW$999,95,FALSE),"unknown")</f>
        <v>College graduate</v>
      </c>
      <c r="BE361" s="120" t="str">
        <f>IFERROR(VLOOKUP(Table1[RespondentID],'All Data'!$A$3:$CW$999,96,FALSE),"unknown")</f>
        <v>Retired</v>
      </c>
      <c r="BF361" s="120" t="str">
        <f>IFERROR(VLOOKUP(Table1[RespondentID],'All Data'!$A$3:$CW$999,97,FALSE),"unknown")</f>
        <v>Yes</v>
      </c>
      <c r="BG361" s="120" t="str">
        <f>IFERROR(VLOOKUP(Table1[RespondentID],'All Data'!$A$3:$CW$999,98,FALSE),"unknown")</f>
        <v>Medicare,Private/Commercial</v>
      </c>
      <c r="BH361" s="120" t="str">
        <f>IFERROR(VLOOKUP(Table1[RespondentID],'All Data'!$A$3:$CW$999,99,FALSE),"unknown")</f>
        <v>Yes</v>
      </c>
    </row>
    <row r="362" spans="1:60">
      <c r="A362" s="141">
        <v>114098444126</v>
      </c>
      <c r="B362" s="137"/>
      <c r="C362" s="138"/>
      <c r="D362" s="138" t="s">
        <v>51</v>
      </c>
      <c r="E362" s="138"/>
      <c r="F362" s="138"/>
      <c r="G362" s="138"/>
      <c r="H362" s="138"/>
      <c r="I362" s="138"/>
      <c r="J362" s="138"/>
      <c r="K362" s="138"/>
      <c r="L362" s="138"/>
      <c r="M362" s="138"/>
      <c r="N362" s="138" t="s">
        <v>24</v>
      </c>
      <c r="O362" s="138"/>
      <c r="P362" s="138" t="s">
        <v>60</v>
      </c>
      <c r="Q362" s="138"/>
      <c r="R362" s="138"/>
      <c r="S362" s="138"/>
      <c r="T362" s="142"/>
      <c r="U362" s="143">
        <f t="shared" si="115"/>
        <v>3</v>
      </c>
      <c r="V362" s="143">
        <f t="shared" si="116"/>
        <v>1</v>
      </c>
      <c r="W362" s="142"/>
      <c r="X362" s="143">
        <f t="shared" si="117"/>
        <v>0</v>
      </c>
      <c r="Y362" s="143">
        <f t="shared" si="118"/>
        <v>0</v>
      </c>
      <c r="Z362" s="143">
        <f t="shared" si="119"/>
        <v>1</v>
      </c>
      <c r="AA362" s="143">
        <f t="shared" si="120"/>
        <v>0</v>
      </c>
      <c r="AB362" s="143">
        <f t="shared" si="121"/>
        <v>0</v>
      </c>
      <c r="AC362" s="143">
        <f t="shared" si="122"/>
        <v>0</v>
      </c>
      <c r="AD362" s="143">
        <f t="shared" si="123"/>
        <v>0</v>
      </c>
      <c r="AE362" s="143">
        <f t="shared" si="124"/>
        <v>0</v>
      </c>
      <c r="AF362" s="143">
        <f t="shared" si="125"/>
        <v>0</v>
      </c>
      <c r="AG362" s="143">
        <f t="shared" si="126"/>
        <v>0</v>
      </c>
      <c r="AH362" s="143">
        <f t="shared" si="127"/>
        <v>0</v>
      </c>
      <c r="AI362" s="143">
        <f t="shared" si="128"/>
        <v>0</v>
      </c>
      <c r="AJ362" s="143">
        <f t="shared" si="129"/>
        <v>1</v>
      </c>
      <c r="AK362" s="143">
        <f t="shared" si="130"/>
        <v>0</v>
      </c>
      <c r="AL362" s="143">
        <f t="shared" si="131"/>
        <v>1</v>
      </c>
      <c r="AM362" s="143">
        <f t="shared" si="132"/>
        <v>0</v>
      </c>
      <c r="AN362" s="143">
        <f t="shared" si="133"/>
        <v>0</v>
      </c>
      <c r="AO362" s="143">
        <f t="shared" si="134"/>
        <v>0</v>
      </c>
      <c r="AP362" s="142"/>
      <c r="AQ362" s="142"/>
      <c r="AR362" s="143">
        <f t="shared" si="135"/>
        <v>3</v>
      </c>
      <c r="AS362" s="143">
        <f t="shared" si="136"/>
        <v>3</v>
      </c>
      <c r="AT362" s="143" t="str">
        <f t="shared" si="137"/>
        <v>Correct</v>
      </c>
      <c r="AU362" s="142"/>
      <c r="AV362" s="120" t="str">
        <f>IFERROR(VLOOKUP(Table1[RespondentID],'All Data'!$A$3:$CO$999,87,FALSE),"unknown")</f>
        <v>Woman</v>
      </c>
      <c r="AW362" s="120">
        <f>IFERROR(VLOOKUP(Table1[RespondentID],'All Data'!$A$3:$CO$999,88,FALSE),"unknown")</f>
        <v>0</v>
      </c>
      <c r="AX362" s="120" t="str">
        <f>IFERROR(VLOOKUP(Table1[RespondentID],'All Data'!$A$3:$CO$999,89,FALSE),"unknown")</f>
        <v>Nassau</v>
      </c>
      <c r="AY362" s="120" t="str">
        <f>IFERROR(VLOOKUP(Table1[RespondentID],'All Data'!$A$3:$CO$999,90,FALSE),"unknown")</f>
        <v>Massapequa, 11758</v>
      </c>
      <c r="AZ362" s="120" t="str">
        <f>IFERROR(VLOOKUP(Table1[RespondentID],'All Data'!$A$3:$CO$999,91,FALSE),"unknown")</f>
        <v>White</v>
      </c>
      <c r="BA362" s="120" t="str">
        <f>IFERROR(VLOOKUP(Table1[RespondentID],'All Data'!$A$3:$CO$999,92,FALSE),"unknown")</f>
        <v>Not Hispanic or Latino</v>
      </c>
      <c r="BB362" s="120" t="str">
        <f>IFERROR(VLOOKUP(Table1[RespondentID],'All Data'!$A$3:$CO$999,93,FALSE),"unknown")</f>
        <v>English</v>
      </c>
      <c r="BC362" s="120" t="str">
        <f>IFERROR(VLOOKUP(Table1[RespondentID],'All Data'!$A$3:$CW$999,94,FALSE),"unknown")</f>
        <v>Over $125,000</v>
      </c>
      <c r="BD362" s="120" t="str">
        <f>IFERROR(VLOOKUP(Table1[RespondentID],'All Data'!$A$3:$CW$999,95,FALSE),"unknown")</f>
        <v>College graduate</v>
      </c>
      <c r="BE362" s="120" t="str">
        <f>IFERROR(VLOOKUP(Table1[RespondentID],'All Data'!$A$3:$CW$999,96,FALSE),"unknown")</f>
        <v>Employed for wages</v>
      </c>
      <c r="BF362" s="120" t="str">
        <f>IFERROR(VLOOKUP(Table1[RespondentID],'All Data'!$A$3:$CW$999,97,FALSE),"unknown")</f>
        <v>Yes</v>
      </c>
      <c r="BG362" s="120" t="str">
        <f>IFERROR(VLOOKUP(Table1[RespondentID],'All Data'!$A$3:$CW$999,98,FALSE),"unknown")</f>
        <v>Private/Commercial</v>
      </c>
      <c r="BH362" s="120" t="str">
        <f>IFERROR(VLOOKUP(Table1[RespondentID],'All Data'!$A$3:$CW$999,99,FALSE),"unknown")</f>
        <v>Yes</v>
      </c>
    </row>
    <row r="363" spans="1:60">
      <c r="A363" s="141">
        <v>114097859158</v>
      </c>
      <c r="B363" s="137"/>
      <c r="C363" s="138"/>
      <c r="D363" s="138"/>
      <c r="E363" s="138"/>
      <c r="F363" s="138"/>
      <c r="G363" s="138" t="s">
        <v>53</v>
      </c>
      <c r="H363" s="138"/>
      <c r="I363" s="138" t="s">
        <v>55</v>
      </c>
      <c r="J363" s="138"/>
      <c r="K363" s="138"/>
      <c r="L363" s="138"/>
      <c r="M363" s="138"/>
      <c r="N363" s="138"/>
      <c r="O363" s="138"/>
      <c r="P363" s="138"/>
      <c r="Q363" s="138"/>
      <c r="R363" s="138"/>
      <c r="S363" s="138"/>
      <c r="T363" s="142"/>
      <c r="U363" s="143">
        <f t="shared" si="115"/>
        <v>2</v>
      </c>
      <c r="V363" s="143">
        <f t="shared" si="116"/>
        <v>1.5</v>
      </c>
      <c r="W363" s="142"/>
      <c r="X363" s="143">
        <f t="shared" si="117"/>
        <v>0</v>
      </c>
      <c r="Y363" s="143">
        <f t="shared" si="118"/>
        <v>0</v>
      </c>
      <c r="Z363" s="143">
        <f t="shared" si="119"/>
        <v>0</v>
      </c>
      <c r="AA363" s="143">
        <f t="shared" si="120"/>
        <v>0</v>
      </c>
      <c r="AB363" s="143">
        <f t="shared" si="121"/>
        <v>0</v>
      </c>
      <c r="AC363" s="143">
        <f t="shared" si="122"/>
        <v>1</v>
      </c>
      <c r="AD363" s="143">
        <f t="shared" si="123"/>
        <v>0</v>
      </c>
      <c r="AE363" s="143">
        <f t="shared" si="124"/>
        <v>1</v>
      </c>
      <c r="AF363" s="143">
        <f t="shared" si="125"/>
        <v>0</v>
      </c>
      <c r="AG363" s="143">
        <f t="shared" si="126"/>
        <v>0</v>
      </c>
      <c r="AH363" s="143">
        <f t="shared" si="127"/>
        <v>0</v>
      </c>
      <c r="AI363" s="143">
        <f t="shared" si="128"/>
        <v>0</v>
      </c>
      <c r="AJ363" s="143">
        <f t="shared" si="129"/>
        <v>0</v>
      </c>
      <c r="AK363" s="143">
        <f t="shared" si="130"/>
        <v>0</v>
      </c>
      <c r="AL363" s="143">
        <f t="shared" si="131"/>
        <v>0</v>
      </c>
      <c r="AM363" s="143">
        <f t="shared" si="132"/>
        <v>0</v>
      </c>
      <c r="AN363" s="143">
        <f t="shared" si="133"/>
        <v>0</v>
      </c>
      <c r="AO363" s="143">
        <f t="shared" si="134"/>
        <v>0</v>
      </c>
      <c r="AP363" s="142"/>
      <c r="AQ363" s="142"/>
      <c r="AR363" s="143">
        <f t="shared" si="135"/>
        <v>2</v>
      </c>
      <c r="AS363" s="143">
        <f t="shared" si="136"/>
        <v>2</v>
      </c>
      <c r="AT363" s="143" t="str">
        <f t="shared" si="137"/>
        <v>Correct</v>
      </c>
      <c r="AU363" s="142"/>
      <c r="AV363" s="120" t="str">
        <f>IFERROR(VLOOKUP(Table1[RespondentID],'All Data'!$A$3:$CO$999,87,FALSE),"unknown")</f>
        <v>Woman</v>
      </c>
      <c r="AW363" s="120">
        <f>IFERROR(VLOOKUP(Table1[RespondentID],'All Data'!$A$3:$CO$999,88,FALSE),"unknown")</f>
        <v>0</v>
      </c>
      <c r="AX363" s="120" t="str">
        <f>IFERROR(VLOOKUP(Table1[RespondentID],'All Data'!$A$3:$CO$999,89,FALSE),"unknown")</f>
        <v>Suffolk</v>
      </c>
      <c r="AY363" s="120" t="str">
        <f>IFERROR(VLOOKUP(Table1[RespondentID],'All Data'!$A$3:$CO$999,90,FALSE),"unknown")</f>
        <v>Lindenhurst, 11757</v>
      </c>
      <c r="AZ363" s="120" t="str">
        <f>IFERROR(VLOOKUP(Table1[RespondentID],'All Data'!$A$3:$CO$999,91,FALSE),"unknown")</f>
        <v>White</v>
      </c>
      <c r="BA363" s="120" t="str">
        <f>IFERROR(VLOOKUP(Table1[RespondentID],'All Data'!$A$3:$CO$999,92,FALSE),"unknown")</f>
        <v>Not Hispanic or Latino</v>
      </c>
      <c r="BB363" s="120" t="str">
        <f>IFERROR(VLOOKUP(Table1[RespondentID],'All Data'!$A$3:$CO$999,93,FALSE),"unknown")</f>
        <v>English</v>
      </c>
      <c r="BC363" s="120">
        <f>IFERROR(VLOOKUP(Table1[RespondentID],'All Data'!$A$3:$CW$999,94,FALSE),"unknown")</f>
        <v>0</v>
      </c>
      <c r="BD363" s="120" t="str">
        <f>IFERROR(VLOOKUP(Table1[RespondentID],'All Data'!$A$3:$CW$999,95,FALSE),"unknown")</f>
        <v>High school graduate</v>
      </c>
      <c r="BE363" s="120" t="str">
        <f>IFERROR(VLOOKUP(Table1[RespondentID],'All Data'!$A$3:$CW$999,96,FALSE),"unknown")</f>
        <v>Retired</v>
      </c>
      <c r="BF363" s="120" t="str">
        <f>IFERROR(VLOOKUP(Table1[RespondentID],'All Data'!$A$3:$CW$999,97,FALSE),"unknown")</f>
        <v>Yes</v>
      </c>
      <c r="BG363" s="120" t="str">
        <f>IFERROR(VLOOKUP(Table1[RespondentID],'All Data'!$A$3:$CW$999,98,FALSE),"unknown")</f>
        <v>Medicare</v>
      </c>
      <c r="BH363" s="120" t="str">
        <f>IFERROR(VLOOKUP(Table1[RespondentID],'All Data'!$A$3:$CW$999,99,FALSE),"unknown")</f>
        <v>Yes</v>
      </c>
    </row>
    <row r="364" spans="1:60">
      <c r="A364" s="141">
        <v>114097590747</v>
      </c>
      <c r="B364" s="137"/>
      <c r="C364" s="138"/>
      <c r="D364" s="138" t="s">
        <v>51</v>
      </c>
      <c r="E364" s="138"/>
      <c r="F364" s="138"/>
      <c r="G364" s="138"/>
      <c r="H364" s="138"/>
      <c r="I364" s="138"/>
      <c r="J364" s="138"/>
      <c r="K364" s="138"/>
      <c r="L364" s="138"/>
      <c r="M364" s="138"/>
      <c r="N364" s="138"/>
      <c r="O364" s="138"/>
      <c r="P364" s="138"/>
      <c r="Q364" s="138"/>
      <c r="R364" s="138"/>
      <c r="S364" s="138" t="s">
        <v>63</v>
      </c>
      <c r="T364" s="142"/>
      <c r="U364" s="143">
        <f t="shared" si="115"/>
        <v>2</v>
      </c>
      <c r="V364" s="143">
        <f t="shared" si="116"/>
        <v>1.5</v>
      </c>
      <c r="W364" s="142"/>
      <c r="X364" s="143">
        <f t="shared" si="117"/>
        <v>0</v>
      </c>
      <c r="Y364" s="143">
        <f t="shared" si="118"/>
        <v>0</v>
      </c>
      <c r="Z364" s="143">
        <f t="shared" si="119"/>
        <v>1</v>
      </c>
      <c r="AA364" s="143">
        <f t="shared" si="120"/>
        <v>0</v>
      </c>
      <c r="AB364" s="143">
        <f t="shared" si="121"/>
        <v>0</v>
      </c>
      <c r="AC364" s="143">
        <f t="shared" si="122"/>
        <v>0</v>
      </c>
      <c r="AD364" s="143">
        <f t="shared" si="123"/>
        <v>0</v>
      </c>
      <c r="AE364" s="143">
        <f t="shared" si="124"/>
        <v>0</v>
      </c>
      <c r="AF364" s="143">
        <f t="shared" si="125"/>
        <v>0</v>
      </c>
      <c r="AG364" s="143">
        <f t="shared" si="126"/>
        <v>0</v>
      </c>
      <c r="AH364" s="143">
        <f t="shared" si="127"/>
        <v>0</v>
      </c>
      <c r="AI364" s="143">
        <f t="shared" si="128"/>
        <v>0</v>
      </c>
      <c r="AJ364" s="143">
        <f t="shared" si="129"/>
        <v>0</v>
      </c>
      <c r="AK364" s="143">
        <f t="shared" si="130"/>
        <v>0</v>
      </c>
      <c r="AL364" s="143">
        <f t="shared" si="131"/>
        <v>0</v>
      </c>
      <c r="AM364" s="143">
        <f t="shared" si="132"/>
        <v>0</v>
      </c>
      <c r="AN364" s="143">
        <f t="shared" si="133"/>
        <v>0</v>
      </c>
      <c r="AO364" s="143">
        <f t="shared" si="134"/>
        <v>1</v>
      </c>
      <c r="AP364" s="142"/>
      <c r="AQ364" s="142"/>
      <c r="AR364" s="143">
        <f t="shared" si="135"/>
        <v>2</v>
      </c>
      <c r="AS364" s="143">
        <f t="shared" si="136"/>
        <v>2</v>
      </c>
      <c r="AT364" s="143" t="str">
        <f t="shared" si="137"/>
        <v>Correct</v>
      </c>
      <c r="AU364" s="142"/>
      <c r="AV364" s="120" t="str">
        <f>IFERROR(VLOOKUP(Table1[RespondentID],'All Data'!$A$3:$CO$999,87,FALSE),"unknown")</f>
        <v>Woman</v>
      </c>
      <c r="AW364" s="120">
        <f>IFERROR(VLOOKUP(Table1[RespondentID],'All Data'!$A$3:$CO$999,88,FALSE),"unknown")</f>
        <v>0</v>
      </c>
      <c r="AX364" s="120" t="str">
        <f>IFERROR(VLOOKUP(Table1[RespondentID],'All Data'!$A$3:$CO$999,89,FALSE),"unknown")</f>
        <v>Suffolk</v>
      </c>
      <c r="AY364" s="120" t="str">
        <f>IFERROR(VLOOKUP(Table1[RespondentID],'All Data'!$A$3:$CO$999,90,FALSE),"unknown")</f>
        <v>Bay Shore, 11706</v>
      </c>
      <c r="AZ364" s="120" t="str">
        <f>IFERROR(VLOOKUP(Table1[RespondentID],'All Data'!$A$3:$CO$999,91,FALSE),"unknown")</f>
        <v>White</v>
      </c>
      <c r="BA364" s="120" t="str">
        <f>IFERROR(VLOOKUP(Table1[RespondentID],'All Data'!$A$3:$CO$999,92,FALSE),"unknown")</f>
        <v>Not Hispanic or Latino</v>
      </c>
      <c r="BB364" s="120" t="str">
        <f>IFERROR(VLOOKUP(Table1[RespondentID],'All Data'!$A$3:$CO$999,93,FALSE),"unknown")</f>
        <v>English</v>
      </c>
      <c r="BC364" s="120" t="str">
        <f>IFERROR(VLOOKUP(Table1[RespondentID],'All Data'!$A$3:$CW$999,94,FALSE),"unknown")</f>
        <v>Over $125,000</v>
      </c>
      <c r="BD364" s="120" t="str">
        <f>IFERROR(VLOOKUP(Table1[RespondentID],'All Data'!$A$3:$CW$999,95,FALSE),"unknown")</f>
        <v>College graduate</v>
      </c>
      <c r="BE364" s="120" t="str">
        <f>IFERROR(VLOOKUP(Table1[RespondentID],'All Data'!$A$3:$CW$999,96,FALSE),"unknown")</f>
        <v>Employed for wages</v>
      </c>
      <c r="BF364" s="120" t="str">
        <f>IFERROR(VLOOKUP(Table1[RespondentID],'All Data'!$A$3:$CW$999,97,FALSE),"unknown")</f>
        <v>Yes</v>
      </c>
      <c r="BG364" s="120" t="str">
        <f>IFERROR(VLOOKUP(Table1[RespondentID],'All Data'!$A$3:$CW$999,98,FALSE),"unknown")</f>
        <v>Private/Commercial</v>
      </c>
      <c r="BH364" s="120" t="str">
        <f>IFERROR(VLOOKUP(Table1[RespondentID],'All Data'!$A$3:$CW$999,99,FALSE),"unknown")</f>
        <v>Yes</v>
      </c>
    </row>
    <row r="365" spans="1:60">
      <c r="A365" s="141">
        <v>114097326158</v>
      </c>
      <c r="B365" s="137"/>
      <c r="C365" s="138"/>
      <c r="D365" s="138"/>
      <c r="E365" s="138"/>
      <c r="F365" s="138"/>
      <c r="G365" s="138" t="s">
        <v>53</v>
      </c>
      <c r="H365" s="138" t="s">
        <v>54</v>
      </c>
      <c r="I365" s="138"/>
      <c r="J365" s="138"/>
      <c r="K365" s="138"/>
      <c r="L365" s="138"/>
      <c r="M365" s="138"/>
      <c r="N365" s="138"/>
      <c r="O365" s="138"/>
      <c r="P365" s="138"/>
      <c r="Q365" s="138"/>
      <c r="R365" s="138"/>
      <c r="S365" s="138"/>
      <c r="T365" s="142"/>
      <c r="U365" s="143">
        <f t="shared" si="115"/>
        <v>2</v>
      </c>
      <c r="V365" s="143">
        <f t="shared" si="116"/>
        <v>1.5</v>
      </c>
      <c r="W365" s="142"/>
      <c r="X365" s="143">
        <f t="shared" si="117"/>
        <v>0</v>
      </c>
      <c r="Y365" s="143">
        <f t="shared" si="118"/>
        <v>0</v>
      </c>
      <c r="Z365" s="143">
        <f t="shared" si="119"/>
        <v>0</v>
      </c>
      <c r="AA365" s="143">
        <f t="shared" si="120"/>
        <v>0</v>
      </c>
      <c r="AB365" s="143">
        <f t="shared" si="121"/>
        <v>0</v>
      </c>
      <c r="AC365" s="143">
        <f t="shared" si="122"/>
        <v>1</v>
      </c>
      <c r="AD365" s="143">
        <f t="shared" si="123"/>
        <v>1</v>
      </c>
      <c r="AE365" s="143">
        <f t="shared" si="124"/>
        <v>0</v>
      </c>
      <c r="AF365" s="143">
        <f t="shared" si="125"/>
        <v>0</v>
      </c>
      <c r="AG365" s="143">
        <f t="shared" si="126"/>
        <v>0</v>
      </c>
      <c r="AH365" s="143">
        <f t="shared" si="127"/>
        <v>0</v>
      </c>
      <c r="AI365" s="143">
        <f t="shared" si="128"/>
        <v>0</v>
      </c>
      <c r="AJ365" s="143">
        <f t="shared" si="129"/>
        <v>0</v>
      </c>
      <c r="AK365" s="143">
        <f t="shared" si="130"/>
        <v>0</v>
      </c>
      <c r="AL365" s="143">
        <f t="shared" si="131"/>
        <v>0</v>
      </c>
      <c r="AM365" s="143">
        <f t="shared" si="132"/>
        <v>0</v>
      </c>
      <c r="AN365" s="143">
        <f t="shared" si="133"/>
        <v>0</v>
      </c>
      <c r="AO365" s="143">
        <f t="shared" si="134"/>
        <v>0</v>
      </c>
      <c r="AP365" s="142"/>
      <c r="AQ365" s="142"/>
      <c r="AR365" s="143">
        <f t="shared" si="135"/>
        <v>2</v>
      </c>
      <c r="AS365" s="143">
        <f t="shared" si="136"/>
        <v>2</v>
      </c>
      <c r="AT365" s="143" t="str">
        <f t="shared" si="137"/>
        <v>Correct</v>
      </c>
      <c r="AU365" s="142"/>
      <c r="AV365" s="120" t="str">
        <f>IFERROR(VLOOKUP(Table1[RespondentID],'All Data'!$A$3:$CO$999,87,FALSE),"unknown")</f>
        <v>Woman</v>
      </c>
      <c r="AW365" s="120">
        <f>IFERROR(VLOOKUP(Table1[RespondentID],'All Data'!$A$3:$CO$999,88,FALSE),"unknown")</f>
        <v>0</v>
      </c>
      <c r="AX365" s="120" t="str">
        <f>IFERROR(VLOOKUP(Table1[RespondentID],'All Data'!$A$3:$CO$999,89,FALSE),"unknown")</f>
        <v>Nassau</v>
      </c>
      <c r="AY365" s="120" t="str">
        <f>IFERROR(VLOOKUP(Table1[RespondentID],'All Data'!$A$3:$CO$999,90,FALSE),"unknown")</f>
        <v>Alden Manor, 11003</v>
      </c>
      <c r="AZ365" s="120" t="str">
        <f>IFERROR(VLOOKUP(Table1[RespondentID],'All Data'!$A$3:$CO$999,91,FALSE),"unknown")</f>
        <v>American Indian and Alaska Native</v>
      </c>
      <c r="BA365" s="120" t="str">
        <f>IFERROR(VLOOKUP(Table1[RespondentID],'All Data'!$A$3:$CO$999,92,FALSE),"unknown")</f>
        <v>Not Hispanic or Latino</v>
      </c>
      <c r="BB365" s="120" t="str">
        <f>IFERROR(VLOOKUP(Table1[RespondentID],'All Data'!$A$3:$CO$999,93,FALSE),"unknown")</f>
        <v>English</v>
      </c>
      <c r="BC365" s="120" t="str">
        <f>IFERROR(VLOOKUP(Table1[RespondentID],'All Data'!$A$3:$CW$999,94,FALSE),"unknown")</f>
        <v>$75,000 to $125,000</v>
      </c>
      <c r="BD365" s="120" t="str">
        <f>IFERROR(VLOOKUP(Table1[RespondentID],'All Data'!$A$3:$CW$999,95,FALSE),"unknown")</f>
        <v>Technical school</v>
      </c>
      <c r="BE365" s="120" t="str">
        <f>IFERROR(VLOOKUP(Table1[RespondentID],'All Data'!$A$3:$CW$999,96,FALSE),"unknown")</f>
        <v>Employed for wages</v>
      </c>
      <c r="BF365" s="120">
        <f>IFERROR(VLOOKUP(Table1[RespondentID],'All Data'!$A$3:$CW$999,97,FALSE),"unknown")</f>
        <v>0</v>
      </c>
      <c r="BG365" s="120" t="str">
        <f>IFERROR(VLOOKUP(Table1[RespondentID],'All Data'!$A$3:$CW$999,98,FALSE),"unknown")</f>
        <v>Medicaid</v>
      </c>
      <c r="BH365" s="120" t="str">
        <f>IFERROR(VLOOKUP(Table1[RespondentID],'All Data'!$A$3:$CW$999,99,FALSE),"unknown")</f>
        <v>Yes</v>
      </c>
    </row>
    <row r="366" spans="1:60">
      <c r="A366" s="141">
        <v>114097224144</v>
      </c>
      <c r="B366" s="137"/>
      <c r="C366" s="138"/>
      <c r="D366" s="138"/>
      <c r="E366" s="138" t="s">
        <v>17</v>
      </c>
      <c r="F366" s="138"/>
      <c r="G366" s="138"/>
      <c r="H366" s="138"/>
      <c r="I366" s="138" t="s">
        <v>55</v>
      </c>
      <c r="J366" s="138"/>
      <c r="K366" s="138"/>
      <c r="L366" s="138" t="s">
        <v>58</v>
      </c>
      <c r="M366" s="138"/>
      <c r="N366" s="138"/>
      <c r="O366" s="138"/>
      <c r="P366" s="138"/>
      <c r="Q366" s="138"/>
      <c r="R366" s="138"/>
      <c r="S366" s="138"/>
      <c r="T366" s="142"/>
      <c r="U366" s="143">
        <f t="shared" si="115"/>
        <v>3</v>
      </c>
      <c r="V366" s="143">
        <f t="shared" si="116"/>
        <v>1</v>
      </c>
      <c r="W366" s="142"/>
      <c r="X366" s="143">
        <f t="shared" si="117"/>
        <v>0</v>
      </c>
      <c r="Y366" s="143">
        <f t="shared" si="118"/>
        <v>0</v>
      </c>
      <c r="Z366" s="143">
        <f t="shared" si="119"/>
        <v>0</v>
      </c>
      <c r="AA366" s="143">
        <f t="shared" si="120"/>
        <v>1</v>
      </c>
      <c r="AB366" s="143">
        <f t="shared" si="121"/>
        <v>0</v>
      </c>
      <c r="AC366" s="143">
        <f t="shared" si="122"/>
        <v>0</v>
      </c>
      <c r="AD366" s="143">
        <f t="shared" si="123"/>
        <v>0</v>
      </c>
      <c r="AE366" s="143">
        <f t="shared" si="124"/>
        <v>1</v>
      </c>
      <c r="AF366" s="143">
        <f t="shared" si="125"/>
        <v>0</v>
      </c>
      <c r="AG366" s="143">
        <f t="shared" si="126"/>
        <v>0</v>
      </c>
      <c r="AH366" s="143">
        <f t="shared" si="127"/>
        <v>1</v>
      </c>
      <c r="AI366" s="143">
        <f t="shared" si="128"/>
        <v>0</v>
      </c>
      <c r="AJ366" s="143">
        <f t="shared" si="129"/>
        <v>0</v>
      </c>
      <c r="AK366" s="143">
        <f t="shared" si="130"/>
        <v>0</v>
      </c>
      <c r="AL366" s="143">
        <f t="shared" si="131"/>
        <v>0</v>
      </c>
      <c r="AM366" s="143">
        <f t="shared" si="132"/>
        <v>0</v>
      </c>
      <c r="AN366" s="143">
        <f t="shared" si="133"/>
        <v>0</v>
      </c>
      <c r="AO366" s="143">
        <f t="shared" si="134"/>
        <v>0</v>
      </c>
      <c r="AP366" s="142"/>
      <c r="AQ366" s="142"/>
      <c r="AR366" s="143">
        <f t="shared" si="135"/>
        <v>3</v>
      </c>
      <c r="AS366" s="143">
        <f t="shared" si="136"/>
        <v>3</v>
      </c>
      <c r="AT366" s="143" t="str">
        <f t="shared" si="137"/>
        <v>Correct</v>
      </c>
      <c r="AU366" s="142"/>
      <c r="AV366" s="120" t="str">
        <f>IFERROR(VLOOKUP(Table1[RespondentID],'All Data'!$A$3:$CO$999,87,FALSE),"unknown")</f>
        <v>Woman</v>
      </c>
      <c r="AW366" s="120">
        <f>IFERROR(VLOOKUP(Table1[RespondentID],'All Data'!$A$3:$CO$999,88,FALSE),"unknown")</f>
        <v>0</v>
      </c>
      <c r="AX366" s="120" t="str">
        <f>IFERROR(VLOOKUP(Table1[RespondentID],'All Data'!$A$3:$CO$999,89,FALSE),"unknown")</f>
        <v>Suffolk</v>
      </c>
      <c r="AY366" s="120" t="str">
        <f>IFERROR(VLOOKUP(Table1[RespondentID],'All Data'!$A$3:$CO$999,90,FALSE),"unknown")</f>
        <v>West Islip, 11795</v>
      </c>
      <c r="AZ366" s="120" t="str">
        <f>IFERROR(VLOOKUP(Table1[RespondentID],'All Data'!$A$3:$CO$999,91,FALSE),"unknown")</f>
        <v>White</v>
      </c>
      <c r="BA366" s="120" t="str">
        <f>IFERROR(VLOOKUP(Table1[RespondentID],'All Data'!$A$3:$CO$999,92,FALSE),"unknown")</f>
        <v>Not Hispanic or Latino</v>
      </c>
      <c r="BB366" s="120" t="str">
        <f>IFERROR(VLOOKUP(Table1[RespondentID],'All Data'!$A$3:$CO$999,93,FALSE),"unknown")</f>
        <v>English</v>
      </c>
      <c r="BC366" s="120" t="str">
        <f>IFERROR(VLOOKUP(Table1[RespondentID],'All Data'!$A$3:$CW$999,94,FALSE),"unknown")</f>
        <v>$75,000 to $125,000</v>
      </c>
      <c r="BD366" s="120" t="str">
        <f>IFERROR(VLOOKUP(Table1[RespondentID],'All Data'!$A$3:$CW$999,95,FALSE),"unknown")</f>
        <v>High school graduate</v>
      </c>
      <c r="BE366" s="120" t="str">
        <f>IFERROR(VLOOKUP(Table1[RespondentID],'All Data'!$A$3:$CW$999,96,FALSE),"unknown")</f>
        <v>Retired</v>
      </c>
      <c r="BF366" s="120" t="str">
        <f>IFERROR(VLOOKUP(Table1[RespondentID],'All Data'!$A$3:$CW$999,97,FALSE),"unknown")</f>
        <v>Yes</v>
      </c>
      <c r="BG366" s="120" t="str">
        <f>IFERROR(VLOOKUP(Table1[RespondentID],'All Data'!$A$3:$CW$999,98,FALSE),"unknown")</f>
        <v>Medicare,Private/Commercial</v>
      </c>
      <c r="BH366" s="120" t="str">
        <f>IFERROR(VLOOKUP(Table1[RespondentID],'All Data'!$A$3:$CW$999,99,FALSE),"unknown")</f>
        <v>Yes</v>
      </c>
    </row>
    <row r="367" spans="1:60">
      <c r="A367" s="141">
        <v>114097096005</v>
      </c>
      <c r="B367" s="137"/>
      <c r="C367" s="138"/>
      <c r="D367" s="138"/>
      <c r="E367" s="138" t="s">
        <v>17</v>
      </c>
      <c r="F367" s="138" t="s">
        <v>52</v>
      </c>
      <c r="G367" s="138"/>
      <c r="H367" s="138"/>
      <c r="I367" s="138"/>
      <c r="J367" s="138"/>
      <c r="K367" s="138"/>
      <c r="L367" s="138" t="s">
        <v>58</v>
      </c>
      <c r="M367" s="138"/>
      <c r="N367" s="138"/>
      <c r="O367" s="138"/>
      <c r="P367" s="138" t="s">
        <v>60</v>
      </c>
      <c r="Q367" s="138"/>
      <c r="R367" s="138"/>
      <c r="S367" s="138"/>
      <c r="T367" s="142"/>
      <c r="U367" s="143">
        <f t="shared" si="115"/>
        <v>4</v>
      </c>
      <c r="V367" s="143">
        <f t="shared" si="116"/>
        <v>0.75</v>
      </c>
      <c r="W367" s="142"/>
      <c r="X367" s="143">
        <f t="shared" si="117"/>
        <v>0</v>
      </c>
      <c r="Y367" s="143">
        <f t="shared" si="118"/>
        <v>0</v>
      </c>
      <c r="Z367" s="143">
        <f t="shared" si="119"/>
        <v>0</v>
      </c>
      <c r="AA367" s="143">
        <f t="shared" si="120"/>
        <v>0.75</v>
      </c>
      <c r="AB367" s="143">
        <f t="shared" si="121"/>
        <v>0.75</v>
      </c>
      <c r="AC367" s="143">
        <f t="shared" si="122"/>
        <v>0</v>
      </c>
      <c r="AD367" s="143">
        <f t="shared" si="123"/>
        <v>0</v>
      </c>
      <c r="AE367" s="143">
        <f t="shared" si="124"/>
        <v>0</v>
      </c>
      <c r="AF367" s="143">
        <f t="shared" si="125"/>
        <v>0</v>
      </c>
      <c r="AG367" s="143">
        <f t="shared" si="126"/>
        <v>0</v>
      </c>
      <c r="AH367" s="143">
        <f t="shared" si="127"/>
        <v>0.75</v>
      </c>
      <c r="AI367" s="143">
        <f t="shared" si="128"/>
        <v>0</v>
      </c>
      <c r="AJ367" s="143">
        <f t="shared" si="129"/>
        <v>0</v>
      </c>
      <c r="AK367" s="143">
        <f t="shared" si="130"/>
        <v>0</v>
      </c>
      <c r="AL367" s="143">
        <f t="shared" si="131"/>
        <v>0.75</v>
      </c>
      <c r="AM367" s="143">
        <f t="shared" si="132"/>
        <v>0</v>
      </c>
      <c r="AN367" s="143">
        <f t="shared" si="133"/>
        <v>0</v>
      </c>
      <c r="AO367" s="143">
        <f t="shared" si="134"/>
        <v>0</v>
      </c>
      <c r="AP367" s="142"/>
      <c r="AQ367" s="142"/>
      <c r="AR367" s="143">
        <f t="shared" si="135"/>
        <v>3</v>
      </c>
      <c r="AS367" s="143">
        <f t="shared" si="136"/>
        <v>4</v>
      </c>
      <c r="AT367" s="143" t="str">
        <f t="shared" si="137"/>
        <v>Correct</v>
      </c>
      <c r="AU367" s="142"/>
      <c r="AV367" s="120" t="str">
        <f>IFERROR(VLOOKUP(Table1[RespondentID],'All Data'!$A$3:$CO$999,87,FALSE),"unknown")</f>
        <v>Man</v>
      </c>
      <c r="AW367" s="120">
        <f>IFERROR(VLOOKUP(Table1[RespondentID],'All Data'!$A$3:$CO$999,88,FALSE),"unknown")</f>
        <v>0</v>
      </c>
      <c r="AX367" s="120" t="str">
        <f>IFERROR(VLOOKUP(Table1[RespondentID],'All Data'!$A$3:$CO$999,89,FALSE),"unknown")</f>
        <v>Suffolk</v>
      </c>
      <c r="AY367" s="120" t="str">
        <f>IFERROR(VLOOKUP(Table1[RespondentID],'All Data'!$A$3:$CO$999,90,FALSE),"unknown")</f>
        <v>Lindenhurst, 11757</v>
      </c>
      <c r="AZ367" s="120" t="str">
        <f>IFERROR(VLOOKUP(Table1[RespondentID],'All Data'!$A$3:$CO$999,91,FALSE),"unknown")</f>
        <v>White</v>
      </c>
      <c r="BA367" s="120" t="str">
        <f>IFERROR(VLOOKUP(Table1[RespondentID],'All Data'!$A$3:$CO$999,92,FALSE),"unknown")</f>
        <v>Not Hispanic or Latino</v>
      </c>
      <c r="BB367" s="120" t="str">
        <f>IFERROR(VLOOKUP(Table1[RespondentID],'All Data'!$A$3:$CO$999,93,FALSE),"unknown")</f>
        <v>English</v>
      </c>
      <c r="BC367" s="120" t="str">
        <f>IFERROR(VLOOKUP(Table1[RespondentID],'All Data'!$A$3:$CW$999,94,FALSE),"unknown")</f>
        <v>Over $125,000</v>
      </c>
      <c r="BD367" s="120" t="str">
        <f>IFERROR(VLOOKUP(Table1[RespondentID],'All Data'!$A$3:$CW$999,95,FALSE),"unknown")</f>
        <v>College graduate</v>
      </c>
      <c r="BE367" s="120" t="str">
        <f>IFERROR(VLOOKUP(Table1[RespondentID],'All Data'!$A$3:$CW$999,96,FALSE),"unknown")</f>
        <v>Retired</v>
      </c>
      <c r="BF367" s="120" t="str">
        <f>IFERROR(VLOOKUP(Table1[RespondentID],'All Data'!$A$3:$CW$999,97,FALSE),"unknown")</f>
        <v>Yes</v>
      </c>
      <c r="BG367" s="120" t="str">
        <f>IFERROR(VLOOKUP(Table1[RespondentID],'All Data'!$A$3:$CW$999,98,FALSE),"unknown")</f>
        <v>Medicare,Private/Commercial</v>
      </c>
      <c r="BH367" s="120" t="str">
        <f>IFERROR(VLOOKUP(Table1[RespondentID],'All Data'!$A$3:$CW$999,99,FALSE),"unknown")</f>
        <v>Yes</v>
      </c>
    </row>
    <row r="368" spans="1:60">
      <c r="A368" s="141">
        <v>114097086259</v>
      </c>
      <c r="B368" s="137"/>
      <c r="C368" s="138"/>
      <c r="D368" s="138"/>
      <c r="E368" s="138"/>
      <c r="F368" s="138"/>
      <c r="G368" s="138"/>
      <c r="H368" s="138"/>
      <c r="I368" s="138"/>
      <c r="J368" s="138"/>
      <c r="K368" s="138"/>
      <c r="L368" s="138"/>
      <c r="M368" s="138"/>
      <c r="N368" s="138"/>
      <c r="O368" s="138"/>
      <c r="P368" s="138"/>
      <c r="Q368" s="138"/>
      <c r="R368" s="138"/>
      <c r="S368" s="138"/>
      <c r="T368" s="142"/>
      <c r="U368" s="143">
        <f t="shared" si="115"/>
        <v>0</v>
      </c>
      <c r="V368" s="143" t="e">
        <f t="shared" si="116"/>
        <v>#DIV/0!</v>
      </c>
      <c r="W368" s="142"/>
      <c r="X368" s="143">
        <f t="shared" si="117"/>
        <v>0</v>
      </c>
      <c r="Y368" s="143">
        <f t="shared" si="118"/>
        <v>0</v>
      </c>
      <c r="Z368" s="143">
        <f t="shared" si="119"/>
        <v>0</v>
      </c>
      <c r="AA368" s="143">
        <f t="shared" si="120"/>
        <v>0</v>
      </c>
      <c r="AB368" s="143">
        <f t="shared" si="121"/>
        <v>0</v>
      </c>
      <c r="AC368" s="143">
        <f t="shared" si="122"/>
        <v>0</v>
      </c>
      <c r="AD368" s="143">
        <f t="shared" si="123"/>
        <v>0</v>
      </c>
      <c r="AE368" s="143">
        <f t="shared" si="124"/>
        <v>0</v>
      </c>
      <c r="AF368" s="143">
        <f t="shared" si="125"/>
        <v>0</v>
      </c>
      <c r="AG368" s="143">
        <f t="shared" si="126"/>
        <v>0</v>
      </c>
      <c r="AH368" s="143">
        <f t="shared" si="127"/>
        <v>0</v>
      </c>
      <c r="AI368" s="143">
        <f t="shared" si="128"/>
        <v>0</v>
      </c>
      <c r="AJ368" s="143">
        <f t="shared" si="129"/>
        <v>0</v>
      </c>
      <c r="AK368" s="143">
        <f t="shared" si="130"/>
        <v>0</v>
      </c>
      <c r="AL368" s="143">
        <f t="shared" si="131"/>
        <v>0</v>
      </c>
      <c r="AM368" s="143">
        <f t="shared" si="132"/>
        <v>0</v>
      </c>
      <c r="AN368" s="143">
        <f t="shared" si="133"/>
        <v>0</v>
      </c>
      <c r="AO368" s="143">
        <f t="shared" si="134"/>
        <v>0</v>
      </c>
      <c r="AP368" s="142"/>
      <c r="AQ368" s="142"/>
      <c r="AR368" s="143">
        <f t="shared" si="135"/>
        <v>0</v>
      </c>
      <c r="AS368" s="143">
        <f t="shared" si="136"/>
        <v>0</v>
      </c>
      <c r="AT368" s="143" t="str">
        <f t="shared" si="137"/>
        <v>Correct</v>
      </c>
      <c r="AU368" s="142"/>
      <c r="AV368" s="120" t="str">
        <f>IFERROR(VLOOKUP(Table1[RespondentID],'All Data'!$A$3:$CO$999,87,FALSE),"unknown")</f>
        <v>Woman</v>
      </c>
      <c r="AW368" s="120">
        <f>IFERROR(VLOOKUP(Table1[RespondentID],'All Data'!$A$3:$CO$999,88,FALSE),"unknown")</f>
        <v>0</v>
      </c>
      <c r="AX368" s="120" t="str">
        <f>IFERROR(VLOOKUP(Table1[RespondentID],'All Data'!$A$3:$CO$999,89,FALSE),"unknown")</f>
        <v>Nassau</v>
      </c>
      <c r="AY368" s="120" t="str">
        <f>IFERROR(VLOOKUP(Table1[RespondentID],'All Data'!$A$3:$CO$999,90,FALSE),"unknown")</f>
        <v>Farmingdale, 11735</v>
      </c>
      <c r="AZ368" s="120" t="str">
        <f>IFERROR(VLOOKUP(Table1[RespondentID],'All Data'!$A$3:$CO$999,91,FALSE),"unknown")</f>
        <v>White</v>
      </c>
      <c r="BA368" s="120" t="str">
        <f>IFERROR(VLOOKUP(Table1[RespondentID],'All Data'!$A$3:$CO$999,92,FALSE),"unknown")</f>
        <v>Not Hispanic or Latino</v>
      </c>
      <c r="BB368" s="120" t="str">
        <f>IFERROR(VLOOKUP(Table1[RespondentID],'All Data'!$A$3:$CO$999,93,FALSE),"unknown")</f>
        <v>English</v>
      </c>
      <c r="BC368" s="120" t="str">
        <f>IFERROR(VLOOKUP(Table1[RespondentID],'All Data'!$A$3:$CW$999,94,FALSE),"unknown")</f>
        <v>$50,000 to $74,999</v>
      </c>
      <c r="BD368" s="120" t="str">
        <f>IFERROR(VLOOKUP(Table1[RespondentID],'All Data'!$A$3:$CW$999,95,FALSE),"unknown")</f>
        <v>Some college</v>
      </c>
      <c r="BE368" s="120" t="str">
        <f>IFERROR(VLOOKUP(Table1[RespondentID],'All Data'!$A$3:$CW$999,96,FALSE),"unknown")</f>
        <v>Employed for wages</v>
      </c>
      <c r="BF368" s="120" t="str">
        <f>IFERROR(VLOOKUP(Table1[RespondentID],'All Data'!$A$3:$CW$999,97,FALSE),"unknown")</f>
        <v>Yes</v>
      </c>
      <c r="BG368" s="120" t="str">
        <f>IFERROR(VLOOKUP(Table1[RespondentID],'All Data'!$A$3:$CW$999,98,FALSE),"unknown")</f>
        <v>Medicare,Private/Commercial</v>
      </c>
      <c r="BH368" s="120" t="str">
        <f>IFERROR(VLOOKUP(Table1[RespondentID],'All Data'!$A$3:$CW$999,99,FALSE),"unknown")</f>
        <v>Yes</v>
      </c>
    </row>
    <row r="369" spans="1:60">
      <c r="A369" s="141">
        <v>114096895942</v>
      </c>
      <c r="B369" s="137" t="s">
        <v>49</v>
      </c>
      <c r="C369" s="138"/>
      <c r="D369" s="138" t="s">
        <v>51</v>
      </c>
      <c r="E369" s="138"/>
      <c r="F369" s="138"/>
      <c r="G369" s="138" t="s">
        <v>53</v>
      </c>
      <c r="H369" s="138"/>
      <c r="I369" s="138" t="s">
        <v>55</v>
      </c>
      <c r="J369" s="138" t="s">
        <v>56</v>
      </c>
      <c r="K369" s="138" t="s">
        <v>57</v>
      </c>
      <c r="L369" s="138"/>
      <c r="M369" s="138" t="s">
        <v>59</v>
      </c>
      <c r="N369" s="138"/>
      <c r="O369" s="138"/>
      <c r="P369" s="138"/>
      <c r="Q369" s="138"/>
      <c r="R369" s="138" t="s">
        <v>62</v>
      </c>
      <c r="S369" s="138" t="s">
        <v>63</v>
      </c>
      <c r="T369" s="142"/>
      <c r="U369" s="143">
        <f t="shared" si="115"/>
        <v>9</v>
      </c>
      <c r="V369" s="143">
        <f t="shared" si="116"/>
        <v>0.33333333333333331</v>
      </c>
      <c r="W369" s="142"/>
      <c r="X369" s="143">
        <f t="shared" si="117"/>
        <v>0.33333333333333331</v>
      </c>
      <c r="Y369" s="143">
        <f t="shared" si="118"/>
        <v>0</v>
      </c>
      <c r="Z369" s="143">
        <f t="shared" si="119"/>
        <v>0.33333333333333331</v>
      </c>
      <c r="AA369" s="143">
        <f t="shared" si="120"/>
        <v>0</v>
      </c>
      <c r="AB369" s="143">
        <f t="shared" si="121"/>
        <v>0</v>
      </c>
      <c r="AC369" s="143">
        <f t="shared" si="122"/>
        <v>0.33333333333333331</v>
      </c>
      <c r="AD369" s="143">
        <f t="shared" si="123"/>
        <v>0</v>
      </c>
      <c r="AE369" s="143">
        <f t="shared" si="124"/>
        <v>0.33333333333333331</v>
      </c>
      <c r="AF369" s="143">
        <f t="shared" si="125"/>
        <v>0.33333333333333331</v>
      </c>
      <c r="AG369" s="143">
        <f t="shared" si="126"/>
        <v>0.33333333333333331</v>
      </c>
      <c r="AH369" s="143">
        <f t="shared" si="127"/>
        <v>0</v>
      </c>
      <c r="AI369" s="143">
        <f t="shared" si="128"/>
        <v>0.33333333333333331</v>
      </c>
      <c r="AJ369" s="143">
        <f t="shared" si="129"/>
        <v>0</v>
      </c>
      <c r="AK369" s="143">
        <f t="shared" si="130"/>
        <v>0</v>
      </c>
      <c r="AL369" s="143">
        <f t="shared" si="131"/>
        <v>0</v>
      </c>
      <c r="AM369" s="143">
        <f t="shared" si="132"/>
        <v>0</v>
      </c>
      <c r="AN369" s="143">
        <f t="shared" si="133"/>
        <v>0.33333333333333331</v>
      </c>
      <c r="AO369" s="143">
        <f t="shared" si="134"/>
        <v>0.33333333333333331</v>
      </c>
      <c r="AP369" s="142"/>
      <c r="AQ369" s="142"/>
      <c r="AR369" s="143">
        <f t="shared" si="135"/>
        <v>3</v>
      </c>
      <c r="AS369" s="143">
        <f t="shared" si="136"/>
        <v>9</v>
      </c>
      <c r="AT369" s="143" t="str">
        <f t="shared" si="137"/>
        <v>Correct</v>
      </c>
      <c r="AU369" s="142"/>
      <c r="AV369" s="120" t="str">
        <f>IFERROR(VLOOKUP(Table1[RespondentID],'All Data'!$A$3:$CO$999,87,FALSE),"unknown")</f>
        <v>Woman</v>
      </c>
      <c r="AW369" s="120">
        <f>IFERROR(VLOOKUP(Table1[RespondentID],'All Data'!$A$3:$CO$999,88,FALSE),"unknown")</f>
        <v>0</v>
      </c>
      <c r="AX369" s="120" t="str">
        <f>IFERROR(VLOOKUP(Table1[RespondentID],'All Data'!$A$3:$CO$999,89,FALSE),"unknown")</f>
        <v>Suffolk</v>
      </c>
      <c r="AY369" s="120" t="str">
        <f>IFERROR(VLOOKUP(Table1[RespondentID],'All Data'!$A$3:$CO$999,90,FALSE),"unknown")</f>
        <v>North Babylon, 11703</v>
      </c>
      <c r="AZ369" s="120" t="str">
        <f>IFERROR(VLOOKUP(Table1[RespondentID],'All Data'!$A$3:$CO$999,91,FALSE),"unknown")</f>
        <v>White</v>
      </c>
      <c r="BA369" s="120" t="str">
        <f>IFERROR(VLOOKUP(Table1[RespondentID],'All Data'!$A$3:$CO$999,92,FALSE),"unknown")</f>
        <v>Not Hispanic or Latino</v>
      </c>
      <c r="BB369" s="120" t="str">
        <f>IFERROR(VLOOKUP(Table1[RespondentID],'All Data'!$A$3:$CO$999,93,FALSE),"unknown")</f>
        <v>English</v>
      </c>
      <c r="BC369" s="120" t="str">
        <f>IFERROR(VLOOKUP(Table1[RespondentID],'All Data'!$A$3:$CW$999,94,FALSE),"unknown")</f>
        <v>$35,000 to $49,999</v>
      </c>
      <c r="BD369" s="120" t="str">
        <f>IFERROR(VLOOKUP(Table1[RespondentID],'All Data'!$A$3:$CW$999,95,FALSE),"unknown")</f>
        <v>Some college</v>
      </c>
      <c r="BE369" s="120" t="str">
        <f>IFERROR(VLOOKUP(Table1[RespondentID],'All Data'!$A$3:$CW$999,96,FALSE),"unknown")</f>
        <v>Employed for wages</v>
      </c>
      <c r="BF369" s="120" t="str">
        <f>IFERROR(VLOOKUP(Table1[RespondentID],'All Data'!$A$3:$CW$999,97,FALSE),"unknown")</f>
        <v>Yes</v>
      </c>
      <c r="BG369" s="120" t="str">
        <f>IFERROR(VLOOKUP(Table1[RespondentID],'All Data'!$A$3:$CW$999,98,FALSE),"unknown")</f>
        <v>Private/Commercial</v>
      </c>
      <c r="BH369" s="120" t="str">
        <f>IFERROR(VLOOKUP(Table1[RespondentID],'All Data'!$A$3:$CW$999,99,FALSE),"unknown")</f>
        <v>Yes</v>
      </c>
    </row>
    <row r="370" spans="1:60">
      <c r="A370" s="141">
        <v>114096869874</v>
      </c>
      <c r="B370" s="137" t="s">
        <v>49</v>
      </c>
      <c r="C370" s="138"/>
      <c r="D370" s="138"/>
      <c r="E370" s="138"/>
      <c r="F370" s="138"/>
      <c r="G370" s="138"/>
      <c r="H370" s="138"/>
      <c r="I370" s="138"/>
      <c r="J370" s="138"/>
      <c r="K370" s="138"/>
      <c r="L370" s="138"/>
      <c r="M370" s="138"/>
      <c r="N370" s="138" t="s">
        <v>24</v>
      </c>
      <c r="O370" s="138"/>
      <c r="P370" s="138"/>
      <c r="Q370" s="138"/>
      <c r="R370" s="138"/>
      <c r="S370" s="138" t="s">
        <v>63</v>
      </c>
      <c r="T370" s="142"/>
      <c r="U370" s="143">
        <f t="shared" si="115"/>
        <v>3</v>
      </c>
      <c r="V370" s="143">
        <f t="shared" si="116"/>
        <v>1</v>
      </c>
      <c r="W370" s="142"/>
      <c r="X370" s="143">
        <f t="shared" si="117"/>
        <v>1</v>
      </c>
      <c r="Y370" s="143">
        <f t="shared" si="118"/>
        <v>0</v>
      </c>
      <c r="Z370" s="143">
        <f t="shared" si="119"/>
        <v>0</v>
      </c>
      <c r="AA370" s="143">
        <f t="shared" si="120"/>
        <v>0</v>
      </c>
      <c r="AB370" s="143">
        <f t="shared" si="121"/>
        <v>0</v>
      </c>
      <c r="AC370" s="143">
        <f t="shared" si="122"/>
        <v>0</v>
      </c>
      <c r="AD370" s="143">
        <f t="shared" si="123"/>
        <v>0</v>
      </c>
      <c r="AE370" s="143">
        <f t="shared" si="124"/>
        <v>0</v>
      </c>
      <c r="AF370" s="143">
        <f t="shared" si="125"/>
        <v>0</v>
      </c>
      <c r="AG370" s="143">
        <f t="shared" si="126"/>
        <v>0</v>
      </c>
      <c r="AH370" s="143">
        <f t="shared" si="127"/>
        <v>0</v>
      </c>
      <c r="AI370" s="143">
        <f t="shared" si="128"/>
        <v>0</v>
      </c>
      <c r="AJ370" s="143">
        <f t="shared" si="129"/>
        <v>1</v>
      </c>
      <c r="AK370" s="143">
        <f t="shared" si="130"/>
        <v>0</v>
      </c>
      <c r="AL370" s="143">
        <f t="shared" si="131"/>
        <v>0</v>
      </c>
      <c r="AM370" s="143">
        <f t="shared" si="132"/>
        <v>0</v>
      </c>
      <c r="AN370" s="143">
        <f t="shared" si="133"/>
        <v>0</v>
      </c>
      <c r="AO370" s="143">
        <f t="shared" si="134"/>
        <v>1</v>
      </c>
      <c r="AP370" s="142"/>
      <c r="AQ370" s="142"/>
      <c r="AR370" s="143">
        <f t="shared" si="135"/>
        <v>3</v>
      </c>
      <c r="AS370" s="143">
        <f t="shared" si="136"/>
        <v>3</v>
      </c>
      <c r="AT370" s="143" t="str">
        <f t="shared" si="137"/>
        <v>Correct</v>
      </c>
      <c r="AU370" s="142"/>
      <c r="AV370" s="120" t="str">
        <f>IFERROR(VLOOKUP(Table1[RespondentID],'All Data'!$A$3:$CO$999,87,FALSE),"unknown")</f>
        <v>Woman</v>
      </c>
      <c r="AW370" s="120">
        <f>IFERROR(VLOOKUP(Table1[RespondentID],'All Data'!$A$3:$CO$999,88,FALSE),"unknown")</f>
        <v>0</v>
      </c>
      <c r="AX370" s="120" t="str">
        <f>IFERROR(VLOOKUP(Table1[RespondentID],'All Data'!$A$3:$CO$999,89,FALSE),"unknown")</f>
        <v>Nassau</v>
      </c>
      <c r="AY370" s="120" t="str">
        <f>IFERROR(VLOOKUP(Table1[RespondentID],'All Data'!$A$3:$CO$999,90,FALSE),"unknown")</f>
        <v>Bellmore, 11710</v>
      </c>
      <c r="AZ370" s="120" t="str">
        <f>IFERROR(VLOOKUP(Table1[RespondentID],'All Data'!$A$3:$CO$999,91,FALSE),"unknown")</f>
        <v>White</v>
      </c>
      <c r="BA370" s="120" t="str">
        <f>IFERROR(VLOOKUP(Table1[RespondentID],'All Data'!$A$3:$CO$999,92,FALSE),"unknown")</f>
        <v>Not Hispanic or Latino</v>
      </c>
      <c r="BB370" s="120" t="str">
        <f>IFERROR(VLOOKUP(Table1[RespondentID],'All Data'!$A$3:$CO$999,93,FALSE),"unknown")</f>
        <v>English</v>
      </c>
      <c r="BC370" s="120" t="str">
        <f>IFERROR(VLOOKUP(Table1[RespondentID],'All Data'!$A$3:$CW$999,94,FALSE),"unknown")</f>
        <v>Over $125,000</v>
      </c>
      <c r="BD370" s="120" t="str">
        <f>IFERROR(VLOOKUP(Table1[RespondentID],'All Data'!$A$3:$CW$999,95,FALSE),"unknown")</f>
        <v>College graduate</v>
      </c>
      <c r="BE370" s="120" t="str">
        <f>IFERROR(VLOOKUP(Table1[RespondentID],'All Data'!$A$3:$CW$999,96,FALSE),"unknown")</f>
        <v>Employed for wages</v>
      </c>
      <c r="BF370" s="120" t="str">
        <f>IFERROR(VLOOKUP(Table1[RespondentID],'All Data'!$A$3:$CW$999,97,FALSE),"unknown")</f>
        <v>Yes</v>
      </c>
      <c r="BG370" s="120" t="str">
        <f>IFERROR(VLOOKUP(Table1[RespondentID],'All Data'!$A$3:$CW$999,98,FALSE),"unknown")</f>
        <v>Private/Commercial</v>
      </c>
      <c r="BH370" s="120" t="str">
        <f>IFERROR(VLOOKUP(Table1[RespondentID],'All Data'!$A$3:$CW$999,99,FALSE),"unknown")</f>
        <v>Yes</v>
      </c>
    </row>
    <row r="371" spans="1:60">
      <c r="A371" s="141">
        <v>114096853684</v>
      </c>
      <c r="B371" s="137"/>
      <c r="C371" s="138"/>
      <c r="D371" s="138" t="s">
        <v>51</v>
      </c>
      <c r="E371" s="138"/>
      <c r="F371" s="138"/>
      <c r="G371" s="138"/>
      <c r="H371" s="138"/>
      <c r="I371" s="138"/>
      <c r="J371" s="138"/>
      <c r="K371" s="138" t="s">
        <v>57</v>
      </c>
      <c r="L371" s="138"/>
      <c r="M371" s="138"/>
      <c r="N371" s="138"/>
      <c r="O371" s="138"/>
      <c r="P371" s="138"/>
      <c r="Q371" s="138"/>
      <c r="R371" s="138"/>
      <c r="S371" s="138"/>
      <c r="T371" s="142"/>
      <c r="U371" s="143">
        <f t="shared" si="115"/>
        <v>2</v>
      </c>
      <c r="V371" s="143">
        <f t="shared" si="116"/>
        <v>1.5</v>
      </c>
      <c r="W371" s="142"/>
      <c r="X371" s="143">
        <f t="shared" si="117"/>
        <v>0</v>
      </c>
      <c r="Y371" s="143">
        <f t="shared" si="118"/>
        <v>0</v>
      </c>
      <c r="Z371" s="143">
        <f t="shared" si="119"/>
        <v>1</v>
      </c>
      <c r="AA371" s="143">
        <f t="shared" si="120"/>
        <v>0</v>
      </c>
      <c r="AB371" s="143">
        <f t="shared" si="121"/>
        <v>0</v>
      </c>
      <c r="AC371" s="143">
        <f t="shared" si="122"/>
        <v>0</v>
      </c>
      <c r="AD371" s="143">
        <f t="shared" si="123"/>
        <v>0</v>
      </c>
      <c r="AE371" s="143">
        <f t="shared" si="124"/>
        <v>0</v>
      </c>
      <c r="AF371" s="143">
        <f t="shared" si="125"/>
        <v>0</v>
      </c>
      <c r="AG371" s="143">
        <f t="shared" si="126"/>
        <v>1</v>
      </c>
      <c r="AH371" s="143">
        <f t="shared" si="127"/>
        <v>0</v>
      </c>
      <c r="AI371" s="143">
        <f t="shared" si="128"/>
        <v>0</v>
      </c>
      <c r="AJ371" s="143">
        <f t="shared" si="129"/>
        <v>0</v>
      </c>
      <c r="AK371" s="143">
        <f t="shared" si="130"/>
        <v>0</v>
      </c>
      <c r="AL371" s="143">
        <f t="shared" si="131"/>
        <v>0</v>
      </c>
      <c r="AM371" s="143">
        <f t="shared" si="132"/>
        <v>0</v>
      </c>
      <c r="AN371" s="143">
        <f t="shared" si="133"/>
        <v>0</v>
      </c>
      <c r="AO371" s="143">
        <f t="shared" si="134"/>
        <v>0</v>
      </c>
      <c r="AP371" s="142"/>
      <c r="AQ371" s="142"/>
      <c r="AR371" s="143">
        <f t="shared" si="135"/>
        <v>2</v>
      </c>
      <c r="AS371" s="143">
        <f t="shared" si="136"/>
        <v>2</v>
      </c>
      <c r="AT371" s="143" t="str">
        <f t="shared" si="137"/>
        <v>Correct</v>
      </c>
      <c r="AU371" s="142"/>
      <c r="AV371" s="120" t="str">
        <f>IFERROR(VLOOKUP(Table1[RespondentID],'All Data'!$A$3:$CO$999,87,FALSE),"unknown")</f>
        <v>Woman</v>
      </c>
      <c r="AW371" s="120">
        <f>IFERROR(VLOOKUP(Table1[RespondentID],'All Data'!$A$3:$CO$999,88,FALSE),"unknown")</f>
        <v>0</v>
      </c>
      <c r="AX371" s="120" t="str">
        <f>IFERROR(VLOOKUP(Table1[RespondentID],'All Data'!$A$3:$CO$999,89,FALSE),"unknown")</f>
        <v>Suffolk</v>
      </c>
      <c r="AY371" s="120" t="str">
        <f>IFERROR(VLOOKUP(Table1[RespondentID],'All Data'!$A$3:$CO$999,90,FALSE),"unknown")</f>
        <v>West Islip, 11795</v>
      </c>
      <c r="AZ371" s="120" t="str">
        <f>IFERROR(VLOOKUP(Table1[RespondentID],'All Data'!$A$3:$CO$999,91,FALSE),"unknown")</f>
        <v>White</v>
      </c>
      <c r="BA371" s="120" t="str">
        <f>IFERROR(VLOOKUP(Table1[RespondentID],'All Data'!$A$3:$CO$999,92,FALSE),"unknown")</f>
        <v>Not Hispanic or Latino</v>
      </c>
      <c r="BB371" s="120" t="str">
        <f>IFERROR(VLOOKUP(Table1[RespondentID],'All Data'!$A$3:$CO$999,93,FALSE),"unknown")</f>
        <v>English</v>
      </c>
      <c r="BC371" s="120" t="str">
        <f>IFERROR(VLOOKUP(Table1[RespondentID],'All Data'!$A$3:$CW$999,94,FALSE),"unknown")</f>
        <v>$75,000 to $125,000</v>
      </c>
      <c r="BD371" s="120" t="str">
        <f>IFERROR(VLOOKUP(Table1[RespondentID],'All Data'!$A$3:$CW$999,95,FALSE),"unknown")</f>
        <v>Some college</v>
      </c>
      <c r="BE371" s="120" t="str">
        <f>IFERROR(VLOOKUP(Table1[RespondentID],'All Data'!$A$3:$CW$999,96,FALSE),"unknown")</f>
        <v>Employed for wages</v>
      </c>
      <c r="BF371" s="120" t="str">
        <f>IFERROR(VLOOKUP(Table1[RespondentID],'All Data'!$A$3:$CW$999,97,FALSE),"unknown")</f>
        <v>Yes</v>
      </c>
      <c r="BG371" s="120" t="str">
        <f>IFERROR(VLOOKUP(Table1[RespondentID],'All Data'!$A$3:$CW$999,98,FALSE),"unknown")</f>
        <v>Private/Commercial</v>
      </c>
      <c r="BH371" s="120" t="str">
        <f>IFERROR(VLOOKUP(Table1[RespondentID],'All Data'!$A$3:$CW$999,99,FALSE),"unknown")</f>
        <v>Yes</v>
      </c>
    </row>
    <row r="372" spans="1:60">
      <c r="A372" s="141">
        <v>114096829794</v>
      </c>
      <c r="B372" s="137"/>
      <c r="C372" s="138"/>
      <c r="D372" s="138" t="s">
        <v>51</v>
      </c>
      <c r="E372" s="138"/>
      <c r="F372" s="138"/>
      <c r="G372" s="138"/>
      <c r="H372" s="138"/>
      <c r="I372" s="138"/>
      <c r="J372" s="138"/>
      <c r="K372" s="138"/>
      <c r="L372" s="138"/>
      <c r="M372" s="138" t="s">
        <v>59</v>
      </c>
      <c r="N372" s="138"/>
      <c r="O372" s="138"/>
      <c r="P372" s="138" t="s">
        <v>60</v>
      </c>
      <c r="Q372" s="138"/>
      <c r="R372" s="138"/>
      <c r="S372" s="138"/>
      <c r="T372" s="142"/>
      <c r="U372" s="143">
        <f t="shared" si="115"/>
        <v>3</v>
      </c>
      <c r="V372" s="143">
        <f t="shared" si="116"/>
        <v>1</v>
      </c>
      <c r="W372" s="142"/>
      <c r="X372" s="143">
        <f t="shared" si="117"/>
        <v>0</v>
      </c>
      <c r="Y372" s="143">
        <f t="shared" si="118"/>
        <v>0</v>
      </c>
      <c r="Z372" s="143">
        <f t="shared" si="119"/>
        <v>1</v>
      </c>
      <c r="AA372" s="143">
        <f t="shared" si="120"/>
        <v>0</v>
      </c>
      <c r="AB372" s="143">
        <f t="shared" si="121"/>
        <v>0</v>
      </c>
      <c r="AC372" s="143">
        <f t="shared" si="122"/>
        <v>0</v>
      </c>
      <c r="AD372" s="143">
        <f t="shared" si="123"/>
        <v>0</v>
      </c>
      <c r="AE372" s="143">
        <f t="shared" si="124"/>
        <v>0</v>
      </c>
      <c r="AF372" s="143">
        <f t="shared" si="125"/>
        <v>0</v>
      </c>
      <c r="AG372" s="143">
        <f t="shared" si="126"/>
        <v>0</v>
      </c>
      <c r="AH372" s="143">
        <f t="shared" si="127"/>
        <v>0</v>
      </c>
      <c r="AI372" s="143">
        <f t="shared" si="128"/>
        <v>1</v>
      </c>
      <c r="AJ372" s="143">
        <f t="shared" si="129"/>
        <v>0</v>
      </c>
      <c r="AK372" s="143">
        <f t="shared" si="130"/>
        <v>0</v>
      </c>
      <c r="AL372" s="143">
        <f t="shared" si="131"/>
        <v>1</v>
      </c>
      <c r="AM372" s="143">
        <f t="shared" si="132"/>
        <v>0</v>
      </c>
      <c r="AN372" s="143">
        <f t="shared" si="133"/>
        <v>0</v>
      </c>
      <c r="AO372" s="143">
        <f t="shared" si="134"/>
        <v>0</v>
      </c>
      <c r="AP372" s="142"/>
      <c r="AQ372" s="142"/>
      <c r="AR372" s="143">
        <f t="shared" si="135"/>
        <v>3</v>
      </c>
      <c r="AS372" s="143">
        <f t="shared" si="136"/>
        <v>3</v>
      </c>
      <c r="AT372" s="143" t="str">
        <f t="shared" si="137"/>
        <v>Correct</v>
      </c>
      <c r="AU372" s="142"/>
      <c r="AV372" s="120" t="str">
        <f>IFERROR(VLOOKUP(Table1[RespondentID],'All Data'!$A$3:$CO$999,87,FALSE),"unknown")</f>
        <v>Woman</v>
      </c>
      <c r="AW372" s="120">
        <f>IFERROR(VLOOKUP(Table1[RespondentID],'All Data'!$A$3:$CO$999,88,FALSE),"unknown")</f>
        <v>0</v>
      </c>
      <c r="AX372" s="120" t="str">
        <f>IFERROR(VLOOKUP(Table1[RespondentID],'All Data'!$A$3:$CO$999,89,FALSE),"unknown")</f>
        <v>Suffolk</v>
      </c>
      <c r="AY372" s="120" t="str">
        <f>IFERROR(VLOOKUP(Table1[RespondentID],'All Data'!$A$3:$CO$999,90,FALSE),"unknown")</f>
        <v>Sayville, 11782</v>
      </c>
      <c r="AZ372" s="120" t="str">
        <f>IFERROR(VLOOKUP(Table1[RespondentID],'All Data'!$A$3:$CO$999,91,FALSE),"unknown")</f>
        <v>White</v>
      </c>
      <c r="BA372" s="120" t="str">
        <f>IFERROR(VLOOKUP(Table1[RespondentID],'All Data'!$A$3:$CO$999,92,FALSE),"unknown")</f>
        <v>Not Hispanic or Latino</v>
      </c>
      <c r="BB372" s="120" t="str">
        <f>IFERROR(VLOOKUP(Table1[RespondentID],'All Data'!$A$3:$CO$999,93,FALSE),"unknown")</f>
        <v>English</v>
      </c>
      <c r="BC372" s="120" t="str">
        <f>IFERROR(VLOOKUP(Table1[RespondentID],'All Data'!$A$3:$CW$999,94,FALSE),"unknown")</f>
        <v>$50,000 to $74,999</v>
      </c>
      <c r="BD372" s="120" t="str">
        <f>IFERROR(VLOOKUP(Table1[RespondentID],'All Data'!$A$3:$CW$999,95,FALSE),"unknown")</f>
        <v>Some college</v>
      </c>
      <c r="BE372" s="120" t="str">
        <f>IFERROR(VLOOKUP(Table1[RespondentID],'All Data'!$A$3:$CW$999,96,FALSE),"unknown")</f>
        <v>Retired</v>
      </c>
      <c r="BF372" s="120" t="str">
        <f>IFERROR(VLOOKUP(Table1[RespondentID],'All Data'!$A$3:$CW$999,97,FALSE),"unknown")</f>
        <v>Yes</v>
      </c>
      <c r="BG372" s="120" t="str">
        <f>IFERROR(VLOOKUP(Table1[RespondentID],'All Data'!$A$3:$CW$999,98,FALSE),"unknown")</f>
        <v>Medicare,Private/Commercial</v>
      </c>
      <c r="BH372" s="120" t="str">
        <f>IFERROR(VLOOKUP(Table1[RespondentID],'All Data'!$A$3:$CW$999,99,FALSE),"unknown")</f>
        <v>Yes</v>
      </c>
    </row>
    <row r="373" spans="1:60">
      <c r="A373" s="141">
        <v>114096746832</v>
      </c>
      <c r="B373" s="137"/>
      <c r="C373" s="138"/>
      <c r="D373" s="138" t="s">
        <v>51</v>
      </c>
      <c r="E373" s="138"/>
      <c r="F373" s="138" t="s">
        <v>52</v>
      </c>
      <c r="G373" s="138"/>
      <c r="H373" s="138"/>
      <c r="I373" s="138"/>
      <c r="J373" s="138"/>
      <c r="K373" s="138"/>
      <c r="L373" s="138"/>
      <c r="M373" s="138"/>
      <c r="N373" s="138"/>
      <c r="O373" s="138"/>
      <c r="P373" s="138"/>
      <c r="Q373" s="138"/>
      <c r="R373" s="138" t="s">
        <v>62</v>
      </c>
      <c r="S373" s="138"/>
      <c r="T373" s="142"/>
      <c r="U373" s="143">
        <f t="shared" si="115"/>
        <v>3</v>
      </c>
      <c r="V373" s="143">
        <f t="shared" si="116"/>
        <v>1</v>
      </c>
      <c r="W373" s="142"/>
      <c r="X373" s="143">
        <f t="shared" si="117"/>
        <v>0</v>
      </c>
      <c r="Y373" s="143">
        <f t="shared" si="118"/>
        <v>0</v>
      </c>
      <c r="Z373" s="143">
        <f t="shared" si="119"/>
        <v>1</v>
      </c>
      <c r="AA373" s="143">
        <f t="shared" si="120"/>
        <v>0</v>
      </c>
      <c r="AB373" s="143">
        <f t="shared" si="121"/>
        <v>1</v>
      </c>
      <c r="AC373" s="143">
        <f t="shared" si="122"/>
        <v>0</v>
      </c>
      <c r="AD373" s="143">
        <f t="shared" si="123"/>
        <v>0</v>
      </c>
      <c r="AE373" s="143">
        <f t="shared" si="124"/>
        <v>0</v>
      </c>
      <c r="AF373" s="143">
        <f t="shared" si="125"/>
        <v>0</v>
      </c>
      <c r="AG373" s="143">
        <f t="shared" si="126"/>
        <v>0</v>
      </c>
      <c r="AH373" s="143">
        <f t="shared" si="127"/>
        <v>0</v>
      </c>
      <c r="AI373" s="143">
        <f t="shared" si="128"/>
        <v>0</v>
      </c>
      <c r="AJ373" s="143">
        <f t="shared" si="129"/>
        <v>0</v>
      </c>
      <c r="AK373" s="143">
        <f t="shared" si="130"/>
        <v>0</v>
      </c>
      <c r="AL373" s="143">
        <f t="shared" si="131"/>
        <v>0</v>
      </c>
      <c r="AM373" s="143">
        <f t="shared" si="132"/>
        <v>0</v>
      </c>
      <c r="AN373" s="143">
        <f t="shared" si="133"/>
        <v>1</v>
      </c>
      <c r="AO373" s="143">
        <f t="shared" si="134"/>
        <v>0</v>
      </c>
      <c r="AP373" s="142"/>
      <c r="AQ373" s="142"/>
      <c r="AR373" s="143">
        <f t="shared" si="135"/>
        <v>3</v>
      </c>
      <c r="AS373" s="143">
        <f t="shared" si="136"/>
        <v>3</v>
      </c>
      <c r="AT373" s="143" t="str">
        <f t="shared" si="137"/>
        <v>Correct</v>
      </c>
      <c r="AU373" s="142"/>
      <c r="AV373" s="120" t="str">
        <f>IFERROR(VLOOKUP(Table1[RespondentID],'All Data'!$A$3:$CO$999,87,FALSE),"unknown")</f>
        <v>Woman</v>
      </c>
      <c r="AW373" s="120">
        <f>IFERROR(VLOOKUP(Table1[RespondentID],'All Data'!$A$3:$CO$999,88,FALSE),"unknown")</f>
        <v>0</v>
      </c>
      <c r="AX373" s="120" t="str">
        <f>IFERROR(VLOOKUP(Table1[RespondentID],'All Data'!$A$3:$CO$999,89,FALSE),"unknown")</f>
        <v>Suffolk</v>
      </c>
      <c r="AY373" s="120" t="str">
        <f>IFERROR(VLOOKUP(Table1[RespondentID],'All Data'!$A$3:$CO$999,90,FALSE),"unknown")</f>
        <v>Babylon, 11704</v>
      </c>
      <c r="AZ373" s="120" t="str">
        <f>IFERROR(VLOOKUP(Table1[RespondentID],'All Data'!$A$3:$CO$999,91,FALSE),"unknown")</f>
        <v>White</v>
      </c>
      <c r="BA373" s="120" t="str">
        <f>IFERROR(VLOOKUP(Table1[RespondentID],'All Data'!$A$3:$CO$999,92,FALSE),"unknown")</f>
        <v>Not Hispanic or Latino</v>
      </c>
      <c r="BB373" s="120" t="str">
        <f>IFERROR(VLOOKUP(Table1[RespondentID],'All Data'!$A$3:$CO$999,93,FALSE),"unknown")</f>
        <v>English</v>
      </c>
      <c r="BC373" s="120" t="str">
        <f>IFERROR(VLOOKUP(Table1[RespondentID],'All Data'!$A$3:$CW$999,94,FALSE),"unknown")</f>
        <v>$50,000 to $74,999</v>
      </c>
      <c r="BD373" s="120" t="str">
        <f>IFERROR(VLOOKUP(Table1[RespondentID],'All Data'!$A$3:$CW$999,95,FALSE),"unknown")</f>
        <v>College graduate</v>
      </c>
      <c r="BE373" s="120" t="str">
        <f>IFERROR(VLOOKUP(Table1[RespondentID],'All Data'!$A$3:$CW$999,96,FALSE),"unknown")</f>
        <v>Employed for wages</v>
      </c>
      <c r="BF373" s="120" t="str">
        <f>IFERROR(VLOOKUP(Table1[RespondentID],'All Data'!$A$3:$CW$999,97,FALSE),"unknown")</f>
        <v>Yes</v>
      </c>
      <c r="BG373" s="120" t="str">
        <f>IFERROR(VLOOKUP(Table1[RespondentID],'All Data'!$A$3:$CW$999,98,FALSE),"unknown")</f>
        <v>Private/Commercial</v>
      </c>
      <c r="BH373" s="120" t="str">
        <f>IFERROR(VLOOKUP(Table1[RespondentID],'All Data'!$A$3:$CW$999,99,FALSE),"unknown")</f>
        <v>Yes</v>
      </c>
    </row>
    <row r="374" spans="1:60">
      <c r="A374" s="141">
        <v>114096742817</v>
      </c>
      <c r="B374" s="137"/>
      <c r="C374" s="138"/>
      <c r="D374" s="138"/>
      <c r="E374" s="138" t="s">
        <v>17</v>
      </c>
      <c r="F374" s="138"/>
      <c r="G374" s="138"/>
      <c r="H374" s="138"/>
      <c r="I374" s="138"/>
      <c r="J374" s="138"/>
      <c r="K374" s="138" t="s">
        <v>57</v>
      </c>
      <c r="L374" s="138" t="s">
        <v>58</v>
      </c>
      <c r="M374" s="138"/>
      <c r="N374" s="138"/>
      <c r="O374" s="138"/>
      <c r="P374" s="138"/>
      <c r="Q374" s="138"/>
      <c r="R374" s="138"/>
      <c r="S374" s="138"/>
      <c r="T374" s="142"/>
      <c r="U374" s="143">
        <f t="shared" si="115"/>
        <v>3</v>
      </c>
      <c r="V374" s="143">
        <f t="shared" si="116"/>
        <v>1</v>
      </c>
      <c r="W374" s="142"/>
      <c r="X374" s="143">
        <f t="shared" si="117"/>
        <v>0</v>
      </c>
      <c r="Y374" s="143">
        <f t="shared" si="118"/>
        <v>0</v>
      </c>
      <c r="Z374" s="143">
        <f t="shared" si="119"/>
        <v>0</v>
      </c>
      <c r="AA374" s="143">
        <f t="shared" si="120"/>
        <v>1</v>
      </c>
      <c r="AB374" s="143">
        <f t="shared" si="121"/>
        <v>0</v>
      </c>
      <c r="AC374" s="143">
        <f t="shared" si="122"/>
        <v>0</v>
      </c>
      <c r="AD374" s="143">
        <f t="shared" si="123"/>
        <v>0</v>
      </c>
      <c r="AE374" s="143">
        <f t="shared" si="124"/>
        <v>0</v>
      </c>
      <c r="AF374" s="143">
        <f t="shared" si="125"/>
        <v>0</v>
      </c>
      <c r="AG374" s="143">
        <f t="shared" si="126"/>
        <v>1</v>
      </c>
      <c r="AH374" s="143">
        <f t="shared" si="127"/>
        <v>1</v>
      </c>
      <c r="AI374" s="143">
        <f t="shared" si="128"/>
        <v>0</v>
      </c>
      <c r="AJ374" s="143">
        <f t="shared" si="129"/>
        <v>0</v>
      </c>
      <c r="AK374" s="143">
        <f t="shared" si="130"/>
        <v>0</v>
      </c>
      <c r="AL374" s="143">
        <f t="shared" si="131"/>
        <v>0</v>
      </c>
      <c r="AM374" s="143">
        <f t="shared" si="132"/>
        <v>0</v>
      </c>
      <c r="AN374" s="143">
        <f t="shared" si="133"/>
        <v>0</v>
      </c>
      <c r="AO374" s="143">
        <f t="shared" si="134"/>
        <v>0</v>
      </c>
      <c r="AP374" s="142"/>
      <c r="AQ374" s="142"/>
      <c r="AR374" s="143">
        <f t="shared" si="135"/>
        <v>3</v>
      </c>
      <c r="AS374" s="143">
        <f t="shared" si="136"/>
        <v>3</v>
      </c>
      <c r="AT374" s="143" t="str">
        <f t="shared" si="137"/>
        <v>Correct</v>
      </c>
      <c r="AU374" s="142"/>
      <c r="AV374" s="120" t="str">
        <f>IFERROR(VLOOKUP(Table1[RespondentID],'All Data'!$A$3:$CO$999,87,FALSE),"unknown")</f>
        <v>Woman</v>
      </c>
      <c r="AW374" s="120">
        <f>IFERROR(VLOOKUP(Table1[RespondentID],'All Data'!$A$3:$CO$999,88,FALSE),"unknown")</f>
        <v>0</v>
      </c>
      <c r="AX374" s="120" t="str">
        <f>IFERROR(VLOOKUP(Table1[RespondentID],'All Data'!$A$3:$CO$999,89,FALSE),"unknown")</f>
        <v>Suffolk</v>
      </c>
      <c r="AY374" s="120" t="str">
        <f>IFERROR(VLOOKUP(Table1[RespondentID],'All Data'!$A$3:$CO$999,90,FALSE),"unknown")</f>
        <v>Islip, 11751</v>
      </c>
      <c r="AZ374" s="120" t="str">
        <f>IFERROR(VLOOKUP(Table1[RespondentID],'All Data'!$A$3:$CO$999,91,FALSE),"unknown")</f>
        <v>White</v>
      </c>
      <c r="BA374" s="120" t="str">
        <f>IFERROR(VLOOKUP(Table1[RespondentID],'All Data'!$A$3:$CO$999,92,FALSE),"unknown")</f>
        <v>Not Hispanic or Latino</v>
      </c>
      <c r="BB374" s="120" t="str">
        <f>IFERROR(VLOOKUP(Table1[RespondentID],'All Data'!$A$3:$CO$999,93,FALSE),"unknown")</f>
        <v>English</v>
      </c>
      <c r="BC374" s="120" t="str">
        <f>IFERROR(VLOOKUP(Table1[RespondentID],'All Data'!$A$3:$CW$999,94,FALSE),"unknown")</f>
        <v>Over $125,000</v>
      </c>
      <c r="BD374" s="120" t="str">
        <f>IFERROR(VLOOKUP(Table1[RespondentID],'All Data'!$A$3:$CW$999,95,FALSE),"unknown")</f>
        <v>Graduate school</v>
      </c>
      <c r="BE374" s="120" t="str">
        <f>IFERROR(VLOOKUP(Table1[RespondentID],'All Data'!$A$3:$CW$999,96,FALSE),"unknown")</f>
        <v>Employed for wages</v>
      </c>
      <c r="BF374" s="120" t="str">
        <f>IFERROR(VLOOKUP(Table1[RespondentID],'All Data'!$A$3:$CW$999,97,FALSE),"unknown")</f>
        <v>Yes</v>
      </c>
      <c r="BG374" s="120" t="str">
        <f>IFERROR(VLOOKUP(Table1[RespondentID],'All Data'!$A$3:$CW$999,98,FALSE),"unknown")</f>
        <v>Private/Commercial</v>
      </c>
      <c r="BH374" s="120" t="str">
        <f>IFERROR(VLOOKUP(Table1[RespondentID],'All Data'!$A$3:$CW$999,99,FALSE),"unknown")</f>
        <v>Yes</v>
      </c>
    </row>
    <row r="375" spans="1:60">
      <c r="A375" s="141">
        <v>114096674095</v>
      </c>
      <c r="B375" s="137"/>
      <c r="C375" s="138"/>
      <c r="D375" s="138" t="s">
        <v>51</v>
      </c>
      <c r="E375" s="138"/>
      <c r="F375" s="138"/>
      <c r="G375" s="138"/>
      <c r="H375" s="138"/>
      <c r="I375" s="138"/>
      <c r="J375" s="138"/>
      <c r="K375" s="138"/>
      <c r="L375" s="138"/>
      <c r="M375" s="138" t="s">
        <v>59</v>
      </c>
      <c r="N375" s="138"/>
      <c r="O375" s="138"/>
      <c r="P375" s="138"/>
      <c r="Q375" s="138" t="s">
        <v>61</v>
      </c>
      <c r="R375" s="138" t="s">
        <v>62</v>
      </c>
      <c r="S375" s="138"/>
      <c r="T375" s="142"/>
      <c r="U375" s="143">
        <f t="shared" si="115"/>
        <v>4</v>
      </c>
      <c r="V375" s="143">
        <f t="shared" si="116"/>
        <v>0.75</v>
      </c>
      <c r="W375" s="142"/>
      <c r="X375" s="143">
        <f t="shared" si="117"/>
        <v>0</v>
      </c>
      <c r="Y375" s="143">
        <f t="shared" si="118"/>
        <v>0</v>
      </c>
      <c r="Z375" s="143">
        <f t="shared" si="119"/>
        <v>0.75</v>
      </c>
      <c r="AA375" s="143">
        <f t="shared" si="120"/>
        <v>0</v>
      </c>
      <c r="AB375" s="143">
        <f t="shared" si="121"/>
        <v>0</v>
      </c>
      <c r="AC375" s="143">
        <f t="shared" si="122"/>
        <v>0</v>
      </c>
      <c r="AD375" s="143">
        <f t="shared" si="123"/>
        <v>0</v>
      </c>
      <c r="AE375" s="143">
        <f t="shared" si="124"/>
        <v>0</v>
      </c>
      <c r="AF375" s="143">
        <f t="shared" si="125"/>
        <v>0</v>
      </c>
      <c r="AG375" s="143">
        <f t="shared" si="126"/>
        <v>0</v>
      </c>
      <c r="AH375" s="143">
        <f t="shared" si="127"/>
        <v>0</v>
      </c>
      <c r="AI375" s="143">
        <f t="shared" si="128"/>
        <v>0.75</v>
      </c>
      <c r="AJ375" s="143">
        <f t="shared" si="129"/>
        <v>0</v>
      </c>
      <c r="AK375" s="143">
        <f t="shared" si="130"/>
        <v>0</v>
      </c>
      <c r="AL375" s="143">
        <f t="shared" si="131"/>
        <v>0</v>
      </c>
      <c r="AM375" s="143">
        <f t="shared" si="132"/>
        <v>0.75</v>
      </c>
      <c r="AN375" s="143">
        <f t="shared" si="133"/>
        <v>0.75</v>
      </c>
      <c r="AO375" s="143">
        <f t="shared" si="134"/>
        <v>0</v>
      </c>
      <c r="AP375" s="142"/>
      <c r="AQ375" s="142"/>
      <c r="AR375" s="143">
        <f t="shared" si="135"/>
        <v>3</v>
      </c>
      <c r="AS375" s="143">
        <f t="shared" si="136"/>
        <v>4</v>
      </c>
      <c r="AT375" s="143" t="str">
        <f t="shared" si="137"/>
        <v>Correct</v>
      </c>
      <c r="AU375" s="142"/>
      <c r="AV375" s="120" t="str">
        <f>IFERROR(VLOOKUP(Table1[RespondentID],'All Data'!$A$3:$CO$999,87,FALSE),"unknown")</f>
        <v>Woman</v>
      </c>
      <c r="AW375" s="120">
        <f>IFERROR(VLOOKUP(Table1[RespondentID],'All Data'!$A$3:$CO$999,88,FALSE),"unknown")</f>
        <v>0</v>
      </c>
      <c r="AX375" s="120" t="str">
        <f>IFERROR(VLOOKUP(Table1[RespondentID],'All Data'!$A$3:$CO$999,89,FALSE),"unknown")</f>
        <v>Suffolk</v>
      </c>
      <c r="AY375" s="120" t="str">
        <f>IFERROR(VLOOKUP(Table1[RespondentID],'All Data'!$A$3:$CO$999,90,FALSE),"unknown")</f>
        <v>Babylon, 11702</v>
      </c>
      <c r="AZ375" s="120" t="str">
        <f>IFERROR(VLOOKUP(Table1[RespondentID],'All Data'!$A$3:$CO$999,91,FALSE),"unknown")</f>
        <v>White</v>
      </c>
      <c r="BA375" s="120" t="str">
        <f>IFERROR(VLOOKUP(Table1[RespondentID],'All Data'!$A$3:$CO$999,92,FALSE),"unknown")</f>
        <v>Not Hispanic or Latino</v>
      </c>
      <c r="BB375" s="120" t="str">
        <f>IFERROR(VLOOKUP(Table1[RespondentID],'All Data'!$A$3:$CO$999,93,FALSE),"unknown")</f>
        <v>English</v>
      </c>
      <c r="BC375" s="120" t="str">
        <f>IFERROR(VLOOKUP(Table1[RespondentID],'All Data'!$A$3:$CW$999,94,FALSE),"unknown")</f>
        <v>$75,000 to $125,000</v>
      </c>
      <c r="BD375" s="120" t="str">
        <f>IFERROR(VLOOKUP(Table1[RespondentID],'All Data'!$A$3:$CW$999,95,FALSE),"unknown")</f>
        <v>Some college</v>
      </c>
      <c r="BE375" s="120" t="str">
        <f>IFERROR(VLOOKUP(Table1[RespondentID],'All Data'!$A$3:$CW$999,96,FALSE),"unknown")</f>
        <v>Retired</v>
      </c>
      <c r="BF375" s="120" t="str">
        <f>IFERROR(VLOOKUP(Table1[RespondentID],'All Data'!$A$3:$CW$999,97,FALSE),"unknown")</f>
        <v>Yes</v>
      </c>
      <c r="BG375" s="120" t="str">
        <f>IFERROR(VLOOKUP(Table1[RespondentID],'All Data'!$A$3:$CW$999,98,FALSE),"unknown")</f>
        <v>Medicare</v>
      </c>
      <c r="BH375" s="120" t="str">
        <f>IFERROR(VLOOKUP(Table1[RespondentID],'All Data'!$A$3:$CW$999,99,FALSE),"unknown")</f>
        <v>Yes</v>
      </c>
    </row>
    <row r="376" spans="1:60">
      <c r="A376" s="141">
        <v>114096668073</v>
      </c>
      <c r="B376" s="137"/>
      <c r="C376" s="138"/>
      <c r="D376" s="138"/>
      <c r="E376" s="138"/>
      <c r="F376" s="138"/>
      <c r="G376" s="138"/>
      <c r="H376" s="138" t="s">
        <v>54</v>
      </c>
      <c r="I376" s="138"/>
      <c r="J376" s="138"/>
      <c r="K376" s="138"/>
      <c r="L376" s="138" t="s">
        <v>58</v>
      </c>
      <c r="M376" s="138"/>
      <c r="N376" s="138" t="s">
        <v>24</v>
      </c>
      <c r="O376" s="138"/>
      <c r="P376" s="138"/>
      <c r="Q376" s="138"/>
      <c r="R376" s="138"/>
      <c r="S376" s="138"/>
      <c r="T376" s="142"/>
      <c r="U376" s="143">
        <f t="shared" si="115"/>
        <v>3</v>
      </c>
      <c r="V376" s="143">
        <f t="shared" si="116"/>
        <v>1</v>
      </c>
      <c r="W376" s="142"/>
      <c r="X376" s="143">
        <f t="shared" si="117"/>
        <v>0</v>
      </c>
      <c r="Y376" s="143">
        <f t="shared" si="118"/>
        <v>0</v>
      </c>
      <c r="Z376" s="143">
        <f t="shared" si="119"/>
        <v>0</v>
      </c>
      <c r="AA376" s="143">
        <f t="shared" si="120"/>
        <v>0</v>
      </c>
      <c r="AB376" s="143">
        <f t="shared" si="121"/>
        <v>0</v>
      </c>
      <c r="AC376" s="143">
        <f t="shared" si="122"/>
        <v>0</v>
      </c>
      <c r="AD376" s="143">
        <f t="shared" si="123"/>
        <v>1</v>
      </c>
      <c r="AE376" s="143">
        <f t="shared" si="124"/>
        <v>0</v>
      </c>
      <c r="AF376" s="143">
        <f t="shared" si="125"/>
        <v>0</v>
      </c>
      <c r="AG376" s="143">
        <f t="shared" si="126"/>
        <v>0</v>
      </c>
      <c r="AH376" s="143">
        <f t="shared" si="127"/>
        <v>1</v>
      </c>
      <c r="AI376" s="143">
        <f t="shared" si="128"/>
        <v>0</v>
      </c>
      <c r="AJ376" s="143">
        <f t="shared" si="129"/>
        <v>1</v>
      </c>
      <c r="AK376" s="143">
        <f t="shared" si="130"/>
        <v>0</v>
      </c>
      <c r="AL376" s="143">
        <f t="shared" si="131"/>
        <v>0</v>
      </c>
      <c r="AM376" s="143">
        <f t="shared" si="132"/>
        <v>0</v>
      </c>
      <c r="AN376" s="143">
        <f t="shared" si="133"/>
        <v>0</v>
      </c>
      <c r="AO376" s="143">
        <f t="shared" si="134"/>
        <v>0</v>
      </c>
      <c r="AP376" s="142"/>
      <c r="AQ376" s="142"/>
      <c r="AR376" s="143">
        <f t="shared" si="135"/>
        <v>3</v>
      </c>
      <c r="AS376" s="143">
        <f t="shared" si="136"/>
        <v>3</v>
      </c>
      <c r="AT376" s="143" t="str">
        <f t="shared" si="137"/>
        <v>Correct</v>
      </c>
      <c r="AU376" s="142"/>
      <c r="AV376" s="120" t="str">
        <f>IFERROR(VLOOKUP(Table1[RespondentID],'All Data'!$A$3:$CO$999,87,FALSE),"unknown")</f>
        <v>Man</v>
      </c>
      <c r="AW376" s="120">
        <f>IFERROR(VLOOKUP(Table1[RespondentID],'All Data'!$A$3:$CO$999,88,FALSE),"unknown")</f>
        <v>0</v>
      </c>
      <c r="AX376" s="120" t="str">
        <f>IFERROR(VLOOKUP(Table1[RespondentID],'All Data'!$A$3:$CO$999,89,FALSE),"unknown")</f>
        <v>Suffolk</v>
      </c>
      <c r="AY376" s="120" t="str">
        <f>IFERROR(VLOOKUP(Table1[RespondentID],'All Data'!$A$3:$CO$999,90,FALSE),"unknown")</f>
        <v>Kings Park, 11754</v>
      </c>
      <c r="AZ376" s="120" t="str">
        <f>IFERROR(VLOOKUP(Table1[RespondentID],'All Data'!$A$3:$CO$999,91,FALSE),"unknown")</f>
        <v>White</v>
      </c>
      <c r="BA376" s="120" t="str">
        <f>IFERROR(VLOOKUP(Table1[RespondentID],'All Data'!$A$3:$CO$999,92,FALSE),"unknown")</f>
        <v>Not Hispanic or Latino</v>
      </c>
      <c r="BB376" s="120" t="str">
        <f>IFERROR(VLOOKUP(Table1[RespondentID],'All Data'!$A$3:$CO$999,93,FALSE),"unknown")</f>
        <v>English</v>
      </c>
      <c r="BC376" s="120" t="str">
        <f>IFERROR(VLOOKUP(Table1[RespondentID],'All Data'!$A$3:$CW$999,94,FALSE),"unknown")</f>
        <v>$75,000 to $125,000</v>
      </c>
      <c r="BD376" s="120" t="str">
        <f>IFERROR(VLOOKUP(Table1[RespondentID],'All Data'!$A$3:$CW$999,95,FALSE),"unknown")</f>
        <v>College graduate</v>
      </c>
      <c r="BE376" s="120" t="str">
        <f>IFERROR(VLOOKUP(Table1[RespondentID],'All Data'!$A$3:$CW$999,96,FALSE),"unknown")</f>
        <v>Retired</v>
      </c>
      <c r="BF376" s="120" t="str">
        <f>IFERROR(VLOOKUP(Table1[RespondentID],'All Data'!$A$3:$CW$999,97,FALSE),"unknown")</f>
        <v>Yes</v>
      </c>
      <c r="BG376" s="120" t="str">
        <f>IFERROR(VLOOKUP(Table1[RespondentID],'All Data'!$A$3:$CW$999,98,FALSE),"unknown")</f>
        <v>Medicare,Private/Commercial</v>
      </c>
      <c r="BH376" s="120" t="str">
        <f>IFERROR(VLOOKUP(Table1[RespondentID],'All Data'!$A$3:$CW$999,99,FALSE),"unknown")</f>
        <v>Yes</v>
      </c>
    </row>
    <row r="377" spans="1:60">
      <c r="A377" s="141">
        <v>114096661817</v>
      </c>
      <c r="B377" s="137"/>
      <c r="C377" s="138"/>
      <c r="D377" s="138"/>
      <c r="E377" s="138" t="s">
        <v>17</v>
      </c>
      <c r="F377" s="138"/>
      <c r="G377" s="138"/>
      <c r="H377" s="138"/>
      <c r="I377" s="138"/>
      <c r="J377" s="138"/>
      <c r="K377" s="138"/>
      <c r="L377" s="138"/>
      <c r="M377" s="138"/>
      <c r="N377" s="138"/>
      <c r="O377" s="138"/>
      <c r="P377" s="138" t="s">
        <v>60</v>
      </c>
      <c r="Q377" s="138"/>
      <c r="R377" s="138" t="s">
        <v>62</v>
      </c>
      <c r="S377" s="138"/>
      <c r="T377" s="142"/>
      <c r="U377" s="143">
        <f t="shared" si="115"/>
        <v>3</v>
      </c>
      <c r="V377" s="143">
        <f t="shared" si="116"/>
        <v>1</v>
      </c>
      <c r="W377" s="142"/>
      <c r="X377" s="143">
        <f t="shared" si="117"/>
        <v>0</v>
      </c>
      <c r="Y377" s="143">
        <f t="shared" si="118"/>
        <v>0</v>
      </c>
      <c r="Z377" s="143">
        <f t="shared" si="119"/>
        <v>0</v>
      </c>
      <c r="AA377" s="143">
        <f t="shared" si="120"/>
        <v>1</v>
      </c>
      <c r="AB377" s="143">
        <f t="shared" si="121"/>
        <v>0</v>
      </c>
      <c r="AC377" s="143">
        <f t="shared" si="122"/>
        <v>0</v>
      </c>
      <c r="AD377" s="143">
        <f t="shared" si="123"/>
        <v>0</v>
      </c>
      <c r="AE377" s="143">
        <f t="shared" si="124"/>
        <v>0</v>
      </c>
      <c r="AF377" s="143">
        <f t="shared" si="125"/>
        <v>0</v>
      </c>
      <c r="AG377" s="143">
        <f t="shared" si="126"/>
        <v>0</v>
      </c>
      <c r="AH377" s="143">
        <f t="shared" si="127"/>
        <v>0</v>
      </c>
      <c r="AI377" s="143">
        <f t="shared" si="128"/>
        <v>0</v>
      </c>
      <c r="AJ377" s="143">
        <f t="shared" si="129"/>
        <v>0</v>
      </c>
      <c r="AK377" s="143">
        <f t="shared" si="130"/>
        <v>0</v>
      </c>
      <c r="AL377" s="143">
        <f t="shared" si="131"/>
        <v>1</v>
      </c>
      <c r="AM377" s="143">
        <f t="shared" si="132"/>
        <v>0</v>
      </c>
      <c r="AN377" s="143">
        <f t="shared" si="133"/>
        <v>1</v>
      </c>
      <c r="AO377" s="143">
        <f t="shared" si="134"/>
        <v>0</v>
      </c>
      <c r="AP377" s="142"/>
      <c r="AQ377" s="142"/>
      <c r="AR377" s="143">
        <f t="shared" si="135"/>
        <v>3</v>
      </c>
      <c r="AS377" s="143">
        <f t="shared" si="136"/>
        <v>3</v>
      </c>
      <c r="AT377" s="143" t="str">
        <f t="shared" si="137"/>
        <v>Correct</v>
      </c>
      <c r="AU377" s="142"/>
      <c r="AV377" s="120" t="str">
        <f>IFERROR(VLOOKUP(Table1[RespondentID],'All Data'!$A$3:$CO$999,87,FALSE),"unknown")</f>
        <v>Woman</v>
      </c>
      <c r="AW377" s="120">
        <f>IFERROR(VLOOKUP(Table1[RespondentID],'All Data'!$A$3:$CO$999,88,FALSE),"unknown")</f>
        <v>0</v>
      </c>
      <c r="AX377" s="120" t="str">
        <f>IFERROR(VLOOKUP(Table1[RespondentID],'All Data'!$A$3:$CO$999,89,FALSE),"unknown")</f>
        <v>Suffolk</v>
      </c>
      <c r="AY377" s="120" t="str">
        <f>IFERROR(VLOOKUP(Table1[RespondentID],'All Data'!$A$3:$CO$999,90,FALSE),"unknown")</f>
        <v>West Islip, 11795</v>
      </c>
      <c r="AZ377" s="120" t="str">
        <f>IFERROR(VLOOKUP(Table1[RespondentID],'All Data'!$A$3:$CO$999,91,FALSE),"unknown")</f>
        <v>White</v>
      </c>
      <c r="BA377" s="120" t="str">
        <f>IFERROR(VLOOKUP(Table1[RespondentID],'All Data'!$A$3:$CO$999,92,FALSE),"unknown")</f>
        <v>Not Hispanic or Latino</v>
      </c>
      <c r="BB377" s="120" t="str">
        <f>IFERROR(VLOOKUP(Table1[RespondentID],'All Data'!$A$3:$CO$999,93,FALSE),"unknown")</f>
        <v>English</v>
      </c>
      <c r="BC377" s="120" t="str">
        <f>IFERROR(VLOOKUP(Table1[RespondentID],'All Data'!$A$3:$CW$999,94,FALSE),"unknown")</f>
        <v>$35,000 to $49,999</v>
      </c>
      <c r="BD377" s="120" t="str">
        <f>IFERROR(VLOOKUP(Table1[RespondentID],'All Data'!$A$3:$CW$999,95,FALSE),"unknown")</f>
        <v>High school graduate</v>
      </c>
      <c r="BE377" s="120" t="str">
        <f>IFERROR(VLOOKUP(Table1[RespondentID],'All Data'!$A$3:$CW$999,96,FALSE),"unknown")</f>
        <v>Retired</v>
      </c>
      <c r="BF377" s="120" t="str">
        <f>IFERROR(VLOOKUP(Table1[RespondentID],'All Data'!$A$3:$CW$999,97,FALSE),"unknown")</f>
        <v>Yes</v>
      </c>
      <c r="BG377" s="120" t="str">
        <f>IFERROR(VLOOKUP(Table1[RespondentID],'All Data'!$A$3:$CW$999,98,FALSE),"unknown")</f>
        <v>Medicare</v>
      </c>
      <c r="BH377" s="120" t="str">
        <f>IFERROR(VLOOKUP(Table1[RespondentID],'All Data'!$A$3:$CW$999,99,FALSE),"unknown")</f>
        <v>Yes</v>
      </c>
    </row>
    <row r="378" spans="1:60">
      <c r="A378" s="141">
        <v>114096658219</v>
      </c>
      <c r="B378" s="137"/>
      <c r="C378" s="138"/>
      <c r="D378" s="138"/>
      <c r="E378" s="138"/>
      <c r="F378" s="138"/>
      <c r="G378" s="138" t="s">
        <v>53</v>
      </c>
      <c r="H378" s="138"/>
      <c r="I378" s="138" t="s">
        <v>55</v>
      </c>
      <c r="J378" s="138"/>
      <c r="K378" s="138"/>
      <c r="L378" s="138"/>
      <c r="M378" s="138" t="s">
        <v>59</v>
      </c>
      <c r="N378" s="138"/>
      <c r="O378" s="138"/>
      <c r="P378" s="138"/>
      <c r="Q378" s="138" t="s">
        <v>61</v>
      </c>
      <c r="R378" s="138"/>
      <c r="S378" s="138"/>
      <c r="T378" s="142"/>
      <c r="U378" s="143">
        <f t="shared" si="115"/>
        <v>4</v>
      </c>
      <c r="V378" s="143">
        <f t="shared" si="116"/>
        <v>0.75</v>
      </c>
      <c r="W378" s="142"/>
      <c r="X378" s="143">
        <f t="shared" si="117"/>
        <v>0</v>
      </c>
      <c r="Y378" s="143">
        <f t="shared" si="118"/>
        <v>0</v>
      </c>
      <c r="Z378" s="143">
        <f t="shared" si="119"/>
        <v>0</v>
      </c>
      <c r="AA378" s="143">
        <f t="shared" si="120"/>
        <v>0</v>
      </c>
      <c r="AB378" s="143">
        <f t="shared" si="121"/>
        <v>0</v>
      </c>
      <c r="AC378" s="143">
        <f t="shared" si="122"/>
        <v>0.75</v>
      </c>
      <c r="AD378" s="143">
        <f t="shared" si="123"/>
        <v>0</v>
      </c>
      <c r="AE378" s="143">
        <f t="shared" si="124"/>
        <v>0.75</v>
      </c>
      <c r="AF378" s="143">
        <f t="shared" si="125"/>
        <v>0</v>
      </c>
      <c r="AG378" s="143">
        <f t="shared" si="126"/>
        <v>0</v>
      </c>
      <c r="AH378" s="143">
        <f t="shared" si="127"/>
        <v>0</v>
      </c>
      <c r="AI378" s="143">
        <f t="shared" si="128"/>
        <v>0.75</v>
      </c>
      <c r="AJ378" s="143">
        <f t="shared" si="129"/>
        <v>0</v>
      </c>
      <c r="AK378" s="143">
        <f t="shared" si="130"/>
        <v>0</v>
      </c>
      <c r="AL378" s="143">
        <f t="shared" si="131"/>
        <v>0</v>
      </c>
      <c r="AM378" s="143">
        <f t="shared" si="132"/>
        <v>0.75</v>
      </c>
      <c r="AN378" s="143">
        <f t="shared" si="133"/>
        <v>0</v>
      </c>
      <c r="AO378" s="143">
        <f t="shared" si="134"/>
        <v>0</v>
      </c>
      <c r="AP378" s="142"/>
      <c r="AQ378" s="142"/>
      <c r="AR378" s="143">
        <f t="shared" si="135"/>
        <v>3</v>
      </c>
      <c r="AS378" s="143">
        <f t="shared" si="136"/>
        <v>4</v>
      </c>
      <c r="AT378" s="143" t="str">
        <f t="shared" si="137"/>
        <v>Correct</v>
      </c>
      <c r="AU378" s="142"/>
      <c r="AV378" s="120" t="str">
        <f>IFERROR(VLOOKUP(Table1[RespondentID],'All Data'!$A$3:$CO$999,87,FALSE),"unknown")</f>
        <v>Woman</v>
      </c>
      <c r="AW378" s="120">
        <f>IFERROR(VLOOKUP(Table1[RespondentID],'All Data'!$A$3:$CO$999,88,FALSE),"unknown")</f>
        <v>0</v>
      </c>
      <c r="AX378" s="120" t="str">
        <f>IFERROR(VLOOKUP(Table1[RespondentID],'All Data'!$A$3:$CO$999,89,FALSE),"unknown")</f>
        <v>Suffolk</v>
      </c>
      <c r="AY378" s="120" t="str">
        <f>IFERROR(VLOOKUP(Table1[RespondentID],'All Data'!$A$3:$CO$999,90,FALSE),"unknown")</f>
        <v>Babylon, 11702</v>
      </c>
      <c r="AZ378" s="120" t="str">
        <f>IFERROR(VLOOKUP(Table1[RespondentID],'All Data'!$A$3:$CO$999,91,FALSE),"unknown")</f>
        <v>White</v>
      </c>
      <c r="BA378" s="120" t="str">
        <f>IFERROR(VLOOKUP(Table1[RespondentID],'All Data'!$A$3:$CO$999,92,FALSE),"unknown")</f>
        <v>Not Hispanic or Latino</v>
      </c>
      <c r="BB378" s="120" t="str">
        <f>IFERROR(VLOOKUP(Table1[RespondentID],'All Data'!$A$3:$CO$999,93,FALSE),"unknown")</f>
        <v>English</v>
      </c>
      <c r="BC378" s="120" t="str">
        <f>IFERROR(VLOOKUP(Table1[RespondentID],'All Data'!$A$3:$CW$999,94,FALSE),"unknown")</f>
        <v>$50,000 to $74,999</v>
      </c>
      <c r="BD378" s="120" t="str">
        <f>IFERROR(VLOOKUP(Table1[RespondentID],'All Data'!$A$3:$CW$999,95,FALSE),"unknown")</f>
        <v>College graduate</v>
      </c>
      <c r="BE378" s="120" t="str">
        <f>IFERROR(VLOOKUP(Table1[RespondentID],'All Data'!$A$3:$CW$999,96,FALSE),"unknown")</f>
        <v>Retired</v>
      </c>
      <c r="BF378" s="120" t="str">
        <f>IFERROR(VLOOKUP(Table1[RespondentID],'All Data'!$A$3:$CW$999,97,FALSE),"unknown")</f>
        <v>Yes</v>
      </c>
      <c r="BG378" s="120" t="str">
        <f>IFERROR(VLOOKUP(Table1[RespondentID],'All Data'!$A$3:$CW$999,98,FALSE),"unknown")</f>
        <v>Medicare,Private/Commercial</v>
      </c>
      <c r="BH378" s="120" t="str">
        <f>IFERROR(VLOOKUP(Table1[RespondentID],'All Data'!$A$3:$CW$999,99,FALSE),"unknown")</f>
        <v>Yes</v>
      </c>
    </row>
    <row r="379" spans="1:60">
      <c r="A379" s="141">
        <v>114089866335</v>
      </c>
      <c r="B379" s="137" t="s">
        <v>49</v>
      </c>
      <c r="C379" s="138"/>
      <c r="D379" s="138"/>
      <c r="E379" s="138"/>
      <c r="F379" s="138"/>
      <c r="G379" s="138"/>
      <c r="H379" s="138"/>
      <c r="I379" s="138"/>
      <c r="J379" s="138"/>
      <c r="K379" s="138" t="s">
        <v>57</v>
      </c>
      <c r="L379" s="138"/>
      <c r="M379" s="138"/>
      <c r="N379" s="138" t="s">
        <v>24</v>
      </c>
      <c r="O379" s="138"/>
      <c r="P379" s="138"/>
      <c r="Q379" s="138"/>
      <c r="R379" s="138"/>
      <c r="S379" s="138"/>
      <c r="T379" s="142"/>
      <c r="U379" s="143">
        <f t="shared" si="115"/>
        <v>3</v>
      </c>
      <c r="V379" s="143">
        <f t="shared" si="116"/>
        <v>1</v>
      </c>
      <c r="W379" s="142"/>
      <c r="X379" s="143">
        <f t="shared" si="117"/>
        <v>1</v>
      </c>
      <c r="Y379" s="143">
        <f t="shared" si="118"/>
        <v>0</v>
      </c>
      <c r="Z379" s="143">
        <f t="shared" si="119"/>
        <v>0</v>
      </c>
      <c r="AA379" s="143">
        <f t="shared" si="120"/>
        <v>0</v>
      </c>
      <c r="AB379" s="143">
        <f t="shared" si="121"/>
        <v>0</v>
      </c>
      <c r="AC379" s="143">
        <f t="shared" si="122"/>
        <v>0</v>
      </c>
      <c r="AD379" s="143">
        <f t="shared" si="123"/>
        <v>0</v>
      </c>
      <c r="AE379" s="143">
        <f t="shared" si="124"/>
        <v>0</v>
      </c>
      <c r="AF379" s="143">
        <f t="shared" si="125"/>
        <v>0</v>
      </c>
      <c r="AG379" s="143">
        <f t="shared" si="126"/>
        <v>1</v>
      </c>
      <c r="AH379" s="143">
        <f t="shared" si="127"/>
        <v>0</v>
      </c>
      <c r="AI379" s="143">
        <f t="shared" si="128"/>
        <v>0</v>
      </c>
      <c r="AJ379" s="143">
        <f t="shared" si="129"/>
        <v>1</v>
      </c>
      <c r="AK379" s="143">
        <f t="shared" si="130"/>
        <v>0</v>
      </c>
      <c r="AL379" s="143">
        <f t="shared" si="131"/>
        <v>0</v>
      </c>
      <c r="AM379" s="143">
        <f t="shared" si="132"/>
        <v>0</v>
      </c>
      <c r="AN379" s="143">
        <f t="shared" si="133"/>
        <v>0</v>
      </c>
      <c r="AO379" s="143">
        <f t="shared" si="134"/>
        <v>0</v>
      </c>
      <c r="AP379" s="142"/>
      <c r="AQ379" s="142"/>
      <c r="AR379" s="143">
        <f t="shared" si="135"/>
        <v>3</v>
      </c>
      <c r="AS379" s="143">
        <f t="shared" si="136"/>
        <v>3</v>
      </c>
      <c r="AT379" s="143" t="str">
        <f t="shared" si="137"/>
        <v>Correct</v>
      </c>
      <c r="AU379" s="142"/>
      <c r="AV379" s="120" t="str">
        <f>IFERROR(VLOOKUP(Table1[RespondentID],'All Data'!$A$3:$CO$999,87,FALSE),"unknown")</f>
        <v>Woman</v>
      </c>
      <c r="AW379" s="120">
        <f>IFERROR(VLOOKUP(Table1[RespondentID],'All Data'!$A$3:$CO$999,88,FALSE),"unknown")</f>
        <v>0</v>
      </c>
      <c r="AX379" s="120" t="str">
        <f>IFERROR(VLOOKUP(Table1[RespondentID],'All Data'!$A$3:$CO$999,89,FALSE),"unknown")</f>
        <v>Nassau</v>
      </c>
      <c r="AY379" s="120" t="str">
        <f>IFERROR(VLOOKUP(Table1[RespondentID],'All Data'!$A$3:$CO$999,90,FALSE),"unknown")</f>
        <v>East Meadow, 11554</v>
      </c>
      <c r="AZ379" s="120" t="str">
        <f>IFERROR(VLOOKUP(Table1[RespondentID],'All Data'!$A$3:$CO$999,91,FALSE),"unknown")</f>
        <v>Other (please specify)</v>
      </c>
      <c r="BA379" s="120" t="str">
        <f>IFERROR(VLOOKUP(Table1[RespondentID],'All Data'!$A$3:$CO$999,92,FALSE),"unknown")</f>
        <v>Not Hispanic or Latino</v>
      </c>
      <c r="BB379" s="120" t="str">
        <f>IFERROR(VLOOKUP(Table1[RespondentID],'All Data'!$A$3:$CO$999,93,FALSE),"unknown")</f>
        <v>English</v>
      </c>
      <c r="BC379" s="120">
        <f>IFERROR(VLOOKUP(Table1[RespondentID],'All Data'!$A$3:$CW$999,94,FALSE),"unknown")</f>
        <v>0</v>
      </c>
      <c r="BD379" s="120" t="str">
        <f>IFERROR(VLOOKUP(Table1[RespondentID],'All Data'!$A$3:$CW$999,95,FALSE),"unknown")</f>
        <v>College graduate</v>
      </c>
      <c r="BE379" s="120" t="str">
        <f>IFERROR(VLOOKUP(Table1[RespondentID],'All Data'!$A$3:$CW$999,96,FALSE),"unknown")</f>
        <v>Employed for wages</v>
      </c>
      <c r="BF379" s="120" t="str">
        <f>IFERROR(VLOOKUP(Table1[RespondentID],'All Data'!$A$3:$CW$999,97,FALSE),"unknown")</f>
        <v>Yes</v>
      </c>
      <c r="BG379" s="120" t="str">
        <f>IFERROR(VLOOKUP(Table1[RespondentID],'All Data'!$A$3:$CW$999,98,FALSE),"unknown")</f>
        <v>Private/Commercial</v>
      </c>
      <c r="BH379" s="120" t="str">
        <f>IFERROR(VLOOKUP(Table1[RespondentID],'All Data'!$A$3:$CW$999,99,FALSE),"unknown")</f>
        <v>Yes</v>
      </c>
    </row>
    <row r="380" spans="1:60">
      <c r="A380" s="141">
        <v>114089496497</v>
      </c>
      <c r="B380" s="137"/>
      <c r="C380" s="138"/>
      <c r="D380" s="138"/>
      <c r="E380" s="138" t="s">
        <v>17</v>
      </c>
      <c r="F380" s="138" t="s">
        <v>52</v>
      </c>
      <c r="G380" s="138"/>
      <c r="H380" s="138"/>
      <c r="I380" s="138"/>
      <c r="J380" s="138"/>
      <c r="K380" s="138"/>
      <c r="L380" s="138"/>
      <c r="M380" s="138"/>
      <c r="N380" s="138"/>
      <c r="O380" s="138"/>
      <c r="P380" s="138"/>
      <c r="Q380" s="138"/>
      <c r="R380" s="138" t="s">
        <v>62</v>
      </c>
      <c r="S380" s="138"/>
      <c r="T380" s="142"/>
      <c r="U380" s="143">
        <f t="shared" si="115"/>
        <v>3</v>
      </c>
      <c r="V380" s="143">
        <f t="shared" si="116"/>
        <v>1</v>
      </c>
      <c r="W380" s="142"/>
      <c r="X380" s="143">
        <f t="shared" si="117"/>
        <v>0</v>
      </c>
      <c r="Y380" s="143">
        <f t="shared" si="118"/>
        <v>0</v>
      </c>
      <c r="Z380" s="143">
        <f t="shared" si="119"/>
        <v>0</v>
      </c>
      <c r="AA380" s="143">
        <f t="shared" si="120"/>
        <v>1</v>
      </c>
      <c r="AB380" s="143">
        <f t="shared" si="121"/>
        <v>1</v>
      </c>
      <c r="AC380" s="143">
        <f t="shared" si="122"/>
        <v>0</v>
      </c>
      <c r="AD380" s="143">
        <f t="shared" si="123"/>
        <v>0</v>
      </c>
      <c r="AE380" s="143">
        <f t="shared" si="124"/>
        <v>0</v>
      </c>
      <c r="AF380" s="143">
        <f t="shared" si="125"/>
        <v>0</v>
      </c>
      <c r="AG380" s="143">
        <f t="shared" si="126"/>
        <v>0</v>
      </c>
      <c r="AH380" s="143">
        <f t="shared" si="127"/>
        <v>0</v>
      </c>
      <c r="AI380" s="143">
        <f t="shared" si="128"/>
        <v>0</v>
      </c>
      <c r="AJ380" s="143">
        <f t="shared" si="129"/>
        <v>0</v>
      </c>
      <c r="AK380" s="143">
        <f t="shared" si="130"/>
        <v>0</v>
      </c>
      <c r="AL380" s="143">
        <f t="shared" si="131"/>
        <v>0</v>
      </c>
      <c r="AM380" s="143">
        <f t="shared" si="132"/>
        <v>0</v>
      </c>
      <c r="AN380" s="143">
        <f t="shared" si="133"/>
        <v>1</v>
      </c>
      <c r="AO380" s="143">
        <f t="shared" si="134"/>
        <v>0</v>
      </c>
      <c r="AP380" s="142"/>
      <c r="AQ380" s="142"/>
      <c r="AR380" s="143">
        <f t="shared" si="135"/>
        <v>3</v>
      </c>
      <c r="AS380" s="143">
        <f t="shared" si="136"/>
        <v>3</v>
      </c>
      <c r="AT380" s="143" t="str">
        <f t="shared" si="137"/>
        <v>Correct</v>
      </c>
      <c r="AU380" s="142"/>
      <c r="AV380" s="120" t="str">
        <f>IFERROR(VLOOKUP(Table1[RespondentID],'All Data'!$A$3:$CO$999,87,FALSE),"unknown")</f>
        <v>Woman</v>
      </c>
      <c r="AW380" s="120">
        <f>IFERROR(VLOOKUP(Table1[RespondentID],'All Data'!$A$3:$CO$999,88,FALSE),"unknown")</f>
        <v>0</v>
      </c>
      <c r="AX380" s="120" t="str">
        <f>IFERROR(VLOOKUP(Table1[RespondentID],'All Data'!$A$3:$CO$999,89,FALSE),"unknown")</f>
        <v>Suffolk</v>
      </c>
      <c r="AY380" s="120" t="str">
        <f>IFERROR(VLOOKUP(Table1[RespondentID],'All Data'!$A$3:$CO$999,90,FALSE),"unknown")</f>
        <v>Lindenhurst, 11757</v>
      </c>
      <c r="AZ380" s="120" t="str">
        <f>IFERROR(VLOOKUP(Table1[RespondentID],'All Data'!$A$3:$CO$999,91,FALSE),"unknown")</f>
        <v>White</v>
      </c>
      <c r="BA380" s="120" t="str">
        <f>IFERROR(VLOOKUP(Table1[RespondentID],'All Data'!$A$3:$CO$999,92,FALSE),"unknown")</f>
        <v>Not Hispanic or Latino</v>
      </c>
      <c r="BB380" s="120" t="str">
        <f>IFERROR(VLOOKUP(Table1[RespondentID],'All Data'!$A$3:$CO$999,93,FALSE),"unknown")</f>
        <v>English</v>
      </c>
      <c r="BC380" s="120" t="str">
        <f>IFERROR(VLOOKUP(Table1[RespondentID],'All Data'!$A$3:$CW$999,94,FALSE),"unknown")</f>
        <v>$50,000 to $74,999</v>
      </c>
      <c r="BD380" s="120" t="str">
        <f>IFERROR(VLOOKUP(Table1[RespondentID],'All Data'!$A$3:$CW$999,95,FALSE),"unknown")</f>
        <v>Some college</v>
      </c>
      <c r="BE380" s="120" t="str">
        <f>IFERROR(VLOOKUP(Table1[RespondentID],'All Data'!$A$3:$CW$999,96,FALSE),"unknown")</f>
        <v>Employed for wages</v>
      </c>
      <c r="BF380" s="120" t="str">
        <f>IFERROR(VLOOKUP(Table1[RespondentID],'All Data'!$A$3:$CW$999,97,FALSE),"unknown")</f>
        <v>Yes</v>
      </c>
      <c r="BG380" s="120" t="str">
        <f>IFERROR(VLOOKUP(Table1[RespondentID],'All Data'!$A$3:$CW$999,98,FALSE),"unknown")</f>
        <v>Private/Commercial</v>
      </c>
      <c r="BH380" s="120" t="str">
        <f>IFERROR(VLOOKUP(Table1[RespondentID],'All Data'!$A$3:$CW$999,99,FALSE),"unknown")</f>
        <v>Yes</v>
      </c>
    </row>
    <row r="381" spans="1:60">
      <c r="A381" s="141">
        <v>114089303117</v>
      </c>
      <c r="B381" s="137"/>
      <c r="C381" s="138"/>
      <c r="D381" s="138"/>
      <c r="E381" s="138"/>
      <c r="F381" s="138"/>
      <c r="G381" s="138" t="s">
        <v>53</v>
      </c>
      <c r="H381" s="138"/>
      <c r="I381" s="138"/>
      <c r="J381" s="138"/>
      <c r="K381" s="138"/>
      <c r="L381" s="138"/>
      <c r="M381" s="138"/>
      <c r="N381" s="138"/>
      <c r="O381" s="138"/>
      <c r="P381" s="138" t="s">
        <v>60</v>
      </c>
      <c r="Q381" s="138" t="s">
        <v>61</v>
      </c>
      <c r="R381" s="138"/>
      <c r="S381" s="138"/>
      <c r="T381" s="142"/>
      <c r="U381" s="143">
        <f t="shared" si="115"/>
        <v>3</v>
      </c>
      <c r="V381" s="143">
        <f t="shared" si="116"/>
        <v>1</v>
      </c>
      <c r="W381" s="142"/>
      <c r="X381" s="143">
        <f t="shared" si="117"/>
        <v>0</v>
      </c>
      <c r="Y381" s="143">
        <f t="shared" si="118"/>
        <v>0</v>
      </c>
      <c r="Z381" s="143">
        <f t="shared" si="119"/>
        <v>0</v>
      </c>
      <c r="AA381" s="143">
        <f t="shared" si="120"/>
        <v>0</v>
      </c>
      <c r="AB381" s="143">
        <f t="shared" si="121"/>
        <v>0</v>
      </c>
      <c r="AC381" s="143">
        <f t="shared" si="122"/>
        <v>1</v>
      </c>
      <c r="AD381" s="143">
        <f t="shared" si="123"/>
        <v>0</v>
      </c>
      <c r="AE381" s="143">
        <f t="shared" si="124"/>
        <v>0</v>
      </c>
      <c r="AF381" s="143">
        <f t="shared" si="125"/>
        <v>0</v>
      </c>
      <c r="AG381" s="143">
        <f t="shared" si="126"/>
        <v>0</v>
      </c>
      <c r="AH381" s="143">
        <f t="shared" si="127"/>
        <v>0</v>
      </c>
      <c r="AI381" s="143">
        <f t="shared" si="128"/>
        <v>0</v>
      </c>
      <c r="AJ381" s="143">
        <f t="shared" si="129"/>
        <v>0</v>
      </c>
      <c r="AK381" s="143">
        <f t="shared" si="130"/>
        <v>0</v>
      </c>
      <c r="AL381" s="143">
        <f t="shared" si="131"/>
        <v>1</v>
      </c>
      <c r="AM381" s="143">
        <f t="shared" si="132"/>
        <v>1</v>
      </c>
      <c r="AN381" s="143">
        <f t="shared" si="133"/>
        <v>0</v>
      </c>
      <c r="AO381" s="143">
        <f t="shared" si="134"/>
        <v>0</v>
      </c>
      <c r="AP381" s="142"/>
      <c r="AQ381" s="142"/>
      <c r="AR381" s="143">
        <f t="shared" si="135"/>
        <v>3</v>
      </c>
      <c r="AS381" s="143">
        <f t="shared" si="136"/>
        <v>3</v>
      </c>
      <c r="AT381" s="143" t="str">
        <f t="shared" si="137"/>
        <v>Correct</v>
      </c>
      <c r="AU381" s="142"/>
      <c r="AV381" s="120" t="str">
        <f>IFERROR(VLOOKUP(Table1[RespondentID],'All Data'!$A$3:$CO$999,87,FALSE),"unknown")</f>
        <v>Woman</v>
      </c>
      <c r="AW381" s="120">
        <f>IFERROR(VLOOKUP(Table1[RespondentID],'All Data'!$A$3:$CO$999,88,FALSE),"unknown")</f>
        <v>0</v>
      </c>
      <c r="AX381" s="120" t="str">
        <f>IFERROR(VLOOKUP(Table1[RespondentID],'All Data'!$A$3:$CO$999,89,FALSE),"unknown")</f>
        <v>Suffolk</v>
      </c>
      <c r="AY381" s="120" t="str">
        <f>IFERROR(VLOOKUP(Table1[RespondentID],'All Data'!$A$3:$CO$999,90,FALSE),"unknown")</f>
        <v>Lindenhurst, 11757</v>
      </c>
      <c r="AZ381" s="120" t="str">
        <f>IFERROR(VLOOKUP(Table1[RespondentID],'All Data'!$A$3:$CO$999,91,FALSE),"unknown")</f>
        <v>White</v>
      </c>
      <c r="BA381" s="120" t="str">
        <f>IFERROR(VLOOKUP(Table1[RespondentID],'All Data'!$A$3:$CO$999,92,FALSE),"unknown")</f>
        <v>Not Hispanic or Latino</v>
      </c>
      <c r="BB381" s="120" t="str">
        <f>IFERROR(VLOOKUP(Table1[RespondentID],'All Data'!$A$3:$CO$999,93,FALSE),"unknown")</f>
        <v>English</v>
      </c>
      <c r="BC381" s="120" t="str">
        <f>IFERROR(VLOOKUP(Table1[RespondentID],'All Data'!$A$3:$CW$999,94,FALSE),"unknown")</f>
        <v>$35,000 to $49,999</v>
      </c>
      <c r="BD381" s="120" t="str">
        <f>IFERROR(VLOOKUP(Table1[RespondentID],'All Data'!$A$3:$CW$999,95,FALSE),"unknown")</f>
        <v>Some college</v>
      </c>
      <c r="BE381" s="120" t="str">
        <f>IFERROR(VLOOKUP(Table1[RespondentID],'All Data'!$A$3:$CW$999,96,FALSE),"unknown")</f>
        <v>Out of work, but not currently looking</v>
      </c>
      <c r="BF381" s="120" t="str">
        <f>IFERROR(VLOOKUP(Table1[RespondentID],'All Data'!$A$3:$CW$999,97,FALSE),"unknown")</f>
        <v>Yes</v>
      </c>
      <c r="BG381" s="120" t="str">
        <f>IFERROR(VLOOKUP(Table1[RespondentID],'All Data'!$A$3:$CW$999,98,FALSE),"unknown")</f>
        <v>Medicaid,</v>
      </c>
      <c r="BH381" s="120" t="str">
        <f>IFERROR(VLOOKUP(Table1[RespondentID],'All Data'!$A$3:$CW$999,99,FALSE),"unknown")</f>
        <v>Yes</v>
      </c>
    </row>
    <row r="382" spans="1:60">
      <c r="A382" s="141">
        <v>114088122122</v>
      </c>
      <c r="B382" s="137"/>
      <c r="C382" s="138"/>
      <c r="D382" s="138"/>
      <c r="E382" s="138"/>
      <c r="F382" s="138"/>
      <c r="G382" s="138"/>
      <c r="H382" s="138"/>
      <c r="I382" s="138"/>
      <c r="J382" s="138"/>
      <c r="K382" s="138"/>
      <c r="L382" s="138"/>
      <c r="M382" s="138"/>
      <c r="N382" s="138"/>
      <c r="O382" s="138"/>
      <c r="P382" s="138"/>
      <c r="Q382" s="138"/>
      <c r="R382" s="138"/>
      <c r="S382" s="138"/>
      <c r="T382" s="142"/>
      <c r="U382" s="143">
        <f t="shared" si="115"/>
        <v>0</v>
      </c>
      <c r="V382" s="143" t="e">
        <f t="shared" si="116"/>
        <v>#DIV/0!</v>
      </c>
      <c r="W382" s="142"/>
      <c r="X382" s="143">
        <f t="shared" si="117"/>
        <v>0</v>
      </c>
      <c r="Y382" s="143">
        <f t="shared" si="118"/>
        <v>0</v>
      </c>
      <c r="Z382" s="143">
        <f t="shared" si="119"/>
        <v>0</v>
      </c>
      <c r="AA382" s="143">
        <f t="shared" si="120"/>
        <v>0</v>
      </c>
      <c r="AB382" s="143">
        <f t="shared" si="121"/>
        <v>0</v>
      </c>
      <c r="AC382" s="143">
        <f t="shared" si="122"/>
        <v>0</v>
      </c>
      <c r="AD382" s="143">
        <f t="shared" si="123"/>
        <v>0</v>
      </c>
      <c r="AE382" s="143">
        <f t="shared" si="124"/>
        <v>0</v>
      </c>
      <c r="AF382" s="143">
        <f t="shared" si="125"/>
        <v>0</v>
      </c>
      <c r="AG382" s="143">
        <f t="shared" si="126"/>
        <v>0</v>
      </c>
      <c r="AH382" s="143">
        <f t="shared" si="127"/>
        <v>0</v>
      </c>
      <c r="AI382" s="143">
        <f t="shared" si="128"/>
        <v>0</v>
      </c>
      <c r="AJ382" s="143">
        <f t="shared" si="129"/>
        <v>0</v>
      </c>
      <c r="AK382" s="143">
        <f t="shared" si="130"/>
        <v>0</v>
      </c>
      <c r="AL382" s="143">
        <f t="shared" si="131"/>
        <v>0</v>
      </c>
      <c r="AM382" s="143">
        <f t="shared" si="132"/>
        <v>0</v>
      </c>
      <c r="AN382" s="143">
        <f t="shared" si="133"/>
        <v>0</v>
      </c>
      <c r="AO382" s="143">
        <f t="shared" si="134"/>
        <v>0</v>
      </c>
      <c r="AP382" s="142"/>
      <c r="AQ382" s="142"/>
      <c r="AR382" s="143">
        <f t="shared" si="135"/>
        <v>0</v>
      </c>
      <c r="AS382" s="143">
        <f t="shared" si="136"/>
        <v>0</v>
      </c>
      <c r="AT382" s="143" t="str">
        <f t="shared" si="137"/>
        <v>Correct</v>
      </c>
      <c r="AU382" s="142"/>
      <c r="AV382" s="120" t="str">
        <f>IFERROR(VLOOKUP(Table1[RespondentID],'All Data'!$A$3:$CO$999,87,FALSE),"unknown")</f>
        <v>Woman</v>
      </c>
      <c r="AW382" s="120">
        <f>IFERROR(VLOOKUP(Table1[RespondentID],'All Data'!$A$3:$CO$999,88,FALSE),"unknown")</f>
        <v>0</v>
      </c>
      <c r="AX382" s="120" t="str">
        <f>IFERROR(VLOOKUP(Table1[RespondentID],'All Data'!$A$3:$CO$999,89,FALSE),"unknown")</f>
        <v>Suffolk</v>
      </c>
      <c r="AY382" s="120" t="str">
        <f>IFERROR(VLOOKUP(Table1[RespondentID],'All Data'!$A$3:$CO$999,90,FALSE),"unknown")</f>
        <v>Bohemia, 11716</v>
      </c>
      <c r="AZ382" s="120" t="str">
        <f>IFERROR(VLOOKUP(Table1[RespondentID],'All Data'!$A$3:$CO$999,91,FALSE),"unknown")</f>
        <v>White</v>
      </c>
      <c r="BA382" s="120" t="str">
        <f>IFERROR(VLOOKUP(Table1[RespondentID],'All Data'!$A$3:$CO$999,92,FALSE),"unknown")</f>
        <v>Not Hispanic or Latino</v>
      </c>
      <c r="BB382" s="120" t="str">
        <f>IFERROR(VLOOKUP(Table1[RespondentID],'All Data'!$A$3:$CO$999,93,FALSE),"unknown")</f>
        <v>English</v>
      </c>
      <c r="BC382" s="120" t="str">
        <f>IFERROR(VLOOKUP(Table1[RespondentID],'All Data'!$A$3:$CW$999,94,FALSE),"unknown")</f>
        <v>$75,000 to $125,000</v>
      </c>
      <c r="BD382" s="120" t="str">
        <f>IFERROR(VLOOKUP(Table1[RespondentID],'All Data'!$A$3:$CW$999,95,FALSE),"unknown")</f>
        <v>High school graduate</v>
      </c>
      <c r="BE382" s="120" t="str">
        <f>IFERROR(VLOOKUP(Table1[RespondentID],'All Data'!$A$3:$CW$999,96,FALSE),"unknown")</f>
        <v>Employed for wages</v>
      </c>
      <c r="BF382" s="120" t="str">
        <f>IFERROR(VLOOKUP(Table1[RespondentID],'All Data'!$A$3:$CW$999,97,FALSE),"unknown")</f>
        <v>No, but I did in the past</v>
      </c>
      <c r="BG382" s="120" t="str">
        <f>IFERROR(VLOOKUP(Table1[RespondentID],'All Data'!$A$3:$CW$999,98,FALSE),"unknown")</f>
        <v>Private/Commercial</v>
      </c>
      <c r="BH382" s="120" t="str">
        <f>IFERROR(VLOOKUP(Table1[RespondentID],'All Data'!$A$3:$CW$999,99,FALSE),"unknown")</f>
        <v>Yes</v>
      </c>
    </row>
    <row r="383" spans="1:60">
      <c r="A383" s="141">
        <v>114087722061</v>
      </c>
      <c r="B383" s="137"/>
      <c r="C383" s="138"/>
      <c r="D383" s="138"/>
      <c r="E383" s="138"/>
      <c r="F383" s="138"/>
      <c r="G383" s="138"/>
      <c r="H383" s="138"/>
      <c r="I383" s="138"/>
      <c r="J383" s="138"/>
      <c r="K383" s="138"/>
      <c r="L383" s="138"/>
      <c r="M383" s="138"/>
      <c r="N383" s="138"/>
      <c r="O383" s="138"/>
      <c r="P383" s="138"/>
      <c r="Q383" s="138"/>
      <c r="R383" s="138"/>
      <c r="S383" s="138"/>
      <c r="T383" s="142"/>
      <c r="U383" s="143">
        <f t="shared" si="115"/>
        <v>0</v>
      </c>
      <c r="V383" s="143" t="e">
        <f t="shared" si="116"/>
        <v>#DIV/0!</v>
      </c>
      <c r="W383" s="142"/>
      <c r="X383" s="143">
        <f t="shared" si="117"/>
        <v>0</v>
      </c>
      <c r="Y383" s="143">
        <f t="shared" si="118"/>
        <v>0</v>
      </c>
      <c r="Z383" s="143">
        <f t="shared" si="119"/>
        <v>0</v>
      </c>
      <c r="AA383" s="143">
        <f t="shared" si="120"/>
        <v>0</v>
      </c>
      <c r="AB383" s="143">
        <f t="shared" si="121"/>
        <v>0</v>
      </c>
      <c r="AC383" s="143">
        <f t="shared" si="122"/>
        <v>0</v>
      </c>
      <c r="AD383" s="143">
        <f t="shared" si="123"/>
        <v>0</v>
      </c>
      <c r="AE383" s="143">
        <f t="shared" si="124"/>
        <v>0</v>
      </c>
      <c r="AF383" s="143">
        <f t="shared" si="125"/>
        <v>0</v>
      </c>
      <c r="AG383" s="143">
        <f t="shared" si="126"/>
        <v>0</v>
      </c>
      <c r="AH383" s="143">
        <f t="shared" si="127"/>
        <v>0</v>
      </c>
      <c r="AI383" s="143">
        <f t="shared" si="128"/>
        <v>0</v>
      </c>
      <c r="AJ383" s="143">
        <f t="shared" si="129"/>
        <v>0</v>
      </c>
      <c r="AK383" s="143">
        <f t="shared" si="130"/>
        <v>0</v>
      </c>
      <c r="AL383" s="143">
        <f t="shared" si="131"/>
        <v>0</v>
      </c>
      <c r="AM383" s="143">
        <f t="shared" si="132"/>
        <v>0</v>
      </c>
      <c r="AN383" s="143">
        <f t="shared" si="133"/>
        <v>0</v>
      </c>
      <c r="AO383" s="143">
        <f t="shared" si="134"/>
        <v>0</v>
      </c>
      <c r="AP383" s="142"/>
      <c r="AQ383" s="142"/>
      <c r="AR383" s="143">
        <f t="shared" si="135"/>
        <v>0</v>
      </c>
      <c r="AS383" s="143">
        <f t="shared" si="136"/>
        <v>0</v>
      </c>
      <c r="AT383" s="143" t="str">
        <f t="shared" si="137"/>
        <v>Correct</v>
      </c>
      <c r="AU383" s="142"/>
      <c r="AV383" s="120" t="str">
        <f>IFERROR(VLOOKUP(Table1[RespondentID],'All Data'!$A$3:$CO$999,87,FALSE),"unknown")</f>
        <v>Woman</v>
      </c>
      <c r="AW383" s="120">
        <f>IFERROR(VLOOKUP(Table1[RespondentID],'All Data'!$A$3:$CO$999,88,FALSE),"unknown")</f>
        <v>0</v>
      </c>
      <c r="AX383" s="120" t="str">
        <f>IFERROR(VLOOKUP(Table1[RespondentID],'All Data'!$A$3:$CO$999,89,FALSE),"unknown")</f>
        <v>Nassau</v>
      </c>
      <c r="AY383" s="120" t="str">
        <f>IFERROR(VLOOKUP(Table1[RespondentID],'All Data'!$A$3:$CO$999,90,FALSE),"unknown")</f>
        <v>Valley Stream, 11580</v>
      </c>
      <c r="AZ383" s="120" t="str">
        <f>IFERROR(VLOOKUP(Table1[RespondentID],'All Data'!$A$3:$CO$999,91,FALSE),"unknown")</f>
        <v>Other (please specify)</v>
      </c>
      <c r="BA383" s="120" t="str">
        <f>IFERROR(VLOOKUP(Table1[RespondentID],'All Data'!$A$3:$CO$999,92,FALSE),"unknown")</f>
        <v>Unknown</v>
      </c>
      <c r="BB383" s="120" t="str">
        <f>IFERROR(VLOOKUP(Table1[RespondentID],'All Data'!$A$3:$CO$999,93,FALSE),"unknown")</f>
        <v>English</v>
      </c>
      <c r="BC383" s="120" t="str">
        <f>IFERROR(VLOOKUP(Table1[RespondentID],'All Data'!$A$3:$CW$999,94,FALSE),"unknown")</f>
        <v>$35,000 to $49,999</v>
      </c>
      <c r="BD383" s="120" t="str">
        <f>IFERROR(VLOOKUP(Table1[RespondentID],'All Data'!$A$3:$CW$999,95,FALSE),"unknown")</f>
        <v>Some college</v>
      </c>
      <c r="BE383" s="120" t="str">
        <f>IFERROR(VLOOKUP(Table1[RespondentID],'All Data'!$A$3:$CW$999,96,FALSE),"unknown")</f>
        <v>Employed for wages</v>
      </c>
      <c r="BF383" s="120" t="str">
        <f>IFERROR(VLOOKUP(Table1[RespondentID],'All Data'!$A$3:$CW$999,97,FALSE),"unknown")</f>
        <v>Yes</v>
      </c>
      <c r="BG383" s="120" t="str">
        <f>IFERROR(VLOOKUP(Table1[RespondentID],'All Data'!$A$3:$CW$999,98,FALSE),"unknown")</f>
        <v>Private/Commercial</v>
      </c>
      <c r="BH383" s="120" t="str">
        <f>IFERROR(VLOOKUP(Table1[RespondentID],'All Data'!$A$3:$CW$999,99,FALSE),"unknown")</f>
        <v>Yes</v>
      </c>
    </row>
    <row r="384" spans="1:60">
      <c r="A384" s="141">
        <v>114087334117</v>
      </c>
      <c r="B384" s="137"/>
      <c r="C384" s="138"/>
      <c r="D384" s="138" t="s">
        <v>51</v>
      </c>
      <c r="E384" s="138"/>
      <c r="F384" s="138" t="s">
        <v>52</v>
      </c>
      <c r="G384" s="138"/>
      <c r="H384" s="138"/>
      <c r="I384" s="138"/>
      <c r="J384" s="138"/>
      <c r="K384" s="138"/>
      <c r="L384" s="138"/>
      <c r="M384" s="138"/>
      <c r="N384" s="138"/>
      <c r="O384" s="138"/>
      <c r="P384" s="138"/>
      <c r="Q384" s="138"/>
      <c r="R384" s="138"/>
      <c r="S384" s="138" t="s">
        <v>63</v>
      </c>
      <c r="T384" s="142"/>
      <c r="U384" s="143">
        <f t="shared" si="115"/>
        <v>3</v>
      </c>
      <c r="V384" s="143">
        <f t="shared" si="116"/>
        <v>1</v>
      </c>
      <c r="W384" s="142"/>
      <c r="X384" s="143">
        <f t="shared" si="117"/>
        <v>0</v>
      </c>
      <c r="Y384" s="143">
        <f t="shared" si="118"/>
        <v>0</v>
      </c>
      <c r="Z384" s="143">
        <f t="shared" si="119"/>
        <v>1</v>
      </c>
      <c r="AA384" s="143">
        <f t="shared" si="120"/>
        <v>0</v>
      </c>
      <c r="AB384" s="143">
        <f t="shared" si="121"/>
        <v>1</v>
      </c>
      <c r="AC384" s="143">
        <f t="shared" si="122"/>
        <v>0</v>
      </c>
      <c r="AD384" s="143">
        <f t="shared" si="123"/>
        <v>0</v>
      </c>
      <c r="AE384" s="143">
        <f t="shared" si="124"/>
        <v>0</v>
      </c>
      <c r="AF384" s="143">
        <f t="shared" si="125"/>
        <v>0</v>
      </c>
      <c r="AG384" s="143">
        <f t="shared" si="126"/>
        <v>0</v>
      </c>
      <c r="AH384" s="143">
        <f t="shared" si="127"/>
        <v>0</v>
      </c>
      <c r="AI384" s="143">
        <f t="shared" si="128"/>
        <v>0</v>
      </c>
      <c r="AJ384" s="143">
        <f t="shared" si="129"/>
        <v>0</v>
      </c>
      <c r="AK384" s="143">
        <f t="shared" si="130"/>
        <v>0</v>
      </c>
      <c r="AL384" s="143">
        <f t="shared" si="131"/>
        <v>0</v>
      </c>
      <c r="AM384" s="143">
        <f t="shared" si="132"/>
        <v>0</v>
      </c>
      <c r="AN384" s="143">
        <f t="shared" si="133"/>
        <v>0</v>
      </c>
      <c r="AO384" s="143">
        <f t="shared" si="134"/>
        <v>1</v>
      </c>
      <c r="AP384" s="142"/>
      <c r="AQ384" s="142"/>
      <c r="AR384" s="143">
        <f t="shared" si="135"/>
        <v>3</v>
      </c>
      <c r="AS384" s="143">
        <f t="shared" si="136"/>
        <v>3</v>
      </c>
      <c r="AT384" s="143" t="str">
        <f t="shared" si="137"/>
        <v>Correct</v>
      </c>
      <c r="AU384" s="142"/>
      <c r="AV384" s="120" t="str">
        <f>IFERROR(VLOOKUP(Table1[RespondentID],'All Data'!$A$3:$CO$999,87,FALSE),"unknown")</f>
        <v>Woman</v>
      </c>
      <c r="AW384" s="120">
        <f>IFERROR(VLOOKUP(Table1[RespondentID],'All Data'!$A$3:$CO$999,88,FALSE),"unknown")</f>
        <v>0</v>
      </c>
      <c r="AX384" s="120" t="str">
        <f>IFERROR(VLOOKUP(Table1[RespondentID],'All Data'!$A$3:$CO$999,89,FALSE),"unknown")</f>
        <v>Nassau</v>
      </c>
      <c r="AY384" s="120" t="str">
        <f>IFERROR(VLOOKUP(Table1[RespondentID],'All Data'!$A$3:$CO$999,90,FALSE),"unknown")</f>
        <v>Freeport, 11520</v>
      </c>
      <c r="AZ384" s="120" t="str">
        <f>IFERROR(VLOOKUP(Table1[RespondentID],'All Data'!$A$3:$CO$999,91,FALSE),"unknown")</f>
        <v>White</v>
      </c>
      <c r="BA384" s="120" t="str">
        <f>IFERROR(VLOOKUP(Table1[RespondentID],'All Data'!$A$3:$CO$999,92,FALSE),"unknown")</f>
        <v>Not Hispanic or Latino</v>
      </c>
      <c r="BB384" s="120" t="str">
        <f>IFERROR(VLOOKUP(Table1[RespondentID],'All Data'!$A$3:$CO$999,93,FALSE),"unknown")</f>
        <v>English</v>
      </c>
      <c r="BC384" s="120" t="str">
        <f>IFERROR(VLOOKUP(Table1[RespondentID],'All Data'!$A$3:$CW$999,94,FALSE),"unknown")</f>
        <v>$75,000 to $125,000</v>
      </c>
      <c r="BD384" s="120" t="str">
        <f>IFERROR(VLOOKUP(Table1[RespondentID],'All Data'!$A$3:$CW$999,95,FALSE),"unknown")</f>
        <v>Graduate school</v>
      </c>
      <c r="BE384" s="120" t="str">
        <f>IFERROR(VLOOKUP(Table1[RespondentID],'All Data'!$A$3:$CW$999,96,FALSE),"unknown")</f>
        <v>Employed for wages</v>
      </c>
      <c r="BF384" s="120" t="str">
        <f>IFERROR(VLOOKUP(Table1[RespondentID],'All Data'!$A$3:$CW$999,97,FALSE),"unknown")</f>
        <v>Yes</v>
      </c>
      <c r="BG384" s="120" t="str">
        <f>IFERROR(VLOOKUP(Table1[RespondentID],'All Data'!$A$3:$CW$999,98,FALSE),"unknown")</f>
        <v>Private/Commercial</v>
      </c>
      <c r="BH384" s="120" t="str">
        <f>IFERROR(VLOOKUP(Table1[RespondentID],'All Data'!$A$3:$CW$999,99,FALSE),"unknown")</f>
        <v>Yes</v>
      </c>
    </row>
    <row r="385" spans="1:60">
      <c r="A385" s="141">
        <v>114087289322</v>
      </c>
      <c r="B385" s="137"/>
      <c r="C385" s="138"/>
      <c r="D385" s="138" t="s">
        <v>51</v>
      </c>
      <c r="E385" s="138"/>
      <c r="F385" s="138"/>
      <c r="G385" s="138"/>
      <c r="H385" s="138"/>
      <c r="I385" s="138"/>
      <c r="J385" s="138"/>
      <c r="K385" s="138"/>
      <c r="L385" s="138"/>
      <c r="M385" s="138" t="s">
        <v>59</v>
      </c>
      <c r="N385" s="138"/>
      <c r="O385" s="138"/>
      <c r="P385" s="138"/>
      <c r="Q385" s="138"/>
      <c r="R385" s="138"/>
      <c r="S385" s="138" t="s">
        <v>63</v>
      </c>
      <c r="T385" s="142"/>
      <c r="U385" s="143">
        <f t="shared" si="115"/>
        <v>3</v>
      </c>
      <c r="V385" s="143">
        <f t="shared" si="116"/>
        <v>1</v>
      </c>
      <c r="W385" s="142"/>
      <c r="X385" s="143">
        <f t="shared" si="117"/>
        <v>0</v>
      </c>
      <c r="Y385" s="143">
        <f t="shared" si="118"/>
        <v>0</v>
      </c>
      <c r="Z385" s="143">
        <f t="shared" si="119"/>
        <v>1</v>
      </c>
      <c r="AA385" s="143">
        <f t="shared" si="120"/>
        <v>0</v>
      </c>
      <c r="AB385" s="143">
        <f t="shared" si="121"/>
        <v>0</v>
      </c>
      <c r="AC385" s="143">
        <f t="shared" si="122"/>
        <v>0</v>
      </c>
      <c r="AD385" s="143">
        <f t="shared" si="123"/>
        <v>0</v>
      </c>
      <c r="AE385" s="143">
        <f t="shared" si="124"/>
        <v>0</v>
      </c>
      <c r="AF385" s="143">
        <f t="shared" si="125"/>
        <v>0</v>
      </c>
      <c r="AG385" s="143">
        <f t="shared" si="126"/>
        <v>0</v>
      </c>
      <c r="AH385" s="143">
        <f t="shared" si="127"/>
        <v>0</v>
      </c>
      <c r="AI385" s="143">
        <f t="shared" si="128"/>
        <v>1</v>
      </c>
      <c r="AJ385" s="143">
        <f t="shared" si="129"/>
        <v>0</v>
      </c>
      <c r="AK385" s="143">
        <f t="shared" si="130"/>
        <v>0</v>
      </c>
      <c r="AL385" s="143">
        <f t="shared" si="131"/>
        <v>0</v>
      </c>
      <c r="AM385" s="143">
        <f t="shared" si="132"/>
        <v>0</v>
      </c>
      <c r="AN385" s="143">
        <f t="shared" si="133"/>
        <v>0</v>
      </c>
      <c r="AO385" s="143">
        <f t="shared" si="134"/>
        <v>1</v>
      </c>
      <c r="AP385" s="142"/>
      <c r="AQ385" s="142"/>
      <c r="AR385" s="143">
        <f t="shared" si="135"/>
        <v>3</v>
      </c>
      <c r="AS385" s="143">
        <f t="shared" si="136"/>
        <v>3</v>
      </c>
      <c r="AT385" s="143" t="str">
        <f t="shared" si="137"/>
        <v>Correct</v>
      </c>
      <c r="AU385" s="142"/>
      <c r="AV385" s="120" t="str">
        <f>IFERROR(VLOOKUP(Table1[RespondentID],'All Data'!$A$3:$CO$999,87,FALSE),"unknown")</f>
        <v>Woman</v>
      </c>
      <c r="AW385" s="120">
        <f>IFERROR(VLOOKUP(Table1[RespondentID],'All Data'!$A$3:$CO$999,88,FALSE),"unknown")</f>
        <v>0</v>
      </c>
      <c r="AX385" s="120" t="str">
        <f>IFERROR(VLOOKUP(Table1[RespondentID],'All Data'!$A$3:$CO$999,89,FALSE),"unknown")</f>
        <v>Nassau</v>
      </c>
      <c r="AY385" s="120" t="str">
        <f>IFERROR(VLOOKUP(Table1[RespondentID],'All Data'!$A$3:$CO$999,90,FALSE),"unknown")</f>
        <v>Franklin Square, 11010</v>
      </c>
      <c r="AZ385" s="120" t="str">
        <f>IFERROR(VLOOKUP(Table1[RespondentID],'All Data'!$A$3:$CO$999,91,FALSE),"unknown")</f>
        <v>White</v>
      </c>
      <c r="BA385" s="120" t="str">
        <f>IFERROR(VLOOKUP(Table1[RespondentID],'All Data'!$A$3:$CO$999,92,FALSE),"unknown")</f>
        <v>Not Hispanic or Latino</v>
      </c>
      <c r="BB385" s="120" t="str">
        <f>IFERROR(VLOOKUP(Table1[RespondentID],'All Data'!$A$3:$CO$999,93,FALSE),"unknown")</f>
        <v>English</v>
      </c>
      <c r="BC385" s="120" t="str">
        <f>IFERROR(VLOOKUP(Table1[RespondentID],'All Data'!$A$3:$CW$999,94,FALSE),"unknown")</f>
        <v>Over $125,000</v>
      </c>
      <c r="BD385" s="120" t="str">
        <f>IFERROR(VLOOKUP(Table1[RespondentID],'All Data'!$A$3:$CW$999,95,FALSE),"unknown")</f>
        <v>College graduate</v>
      </c>
      <c r="BE385" s="120" t="str">
        <f>IFERROR(VLOOKUP(Table1[RespondentID],'All Data'!$A$3:$CW$999,96,FALSE),"unknown")</f>
        <v>Employed for wages</v>
      </c>
      <c r="BF385" s="120" t="str">
        <f>IFERROR(VLOOKUP(Table1[RespondentID],'All Data'!$A$3:$CW$999,97,FALSE),"unknown")</f>
        <v>Yes</v>
      </c>
      <c r="BG385" s="120" t="str">
        <f>IFERROR(VLOOKUP(Table1[RespondentID],'All Data'!$A$3:$CW$999,98,FALSE),"unknown")</f>
        <v>Private/Commercial</v>
      </c>
      <c r="BH385" s="120" t="str">
        <f>IFERROR(VLOOKUP(Table1[RespondentID],'All Data'!$A$3:$CW$999,99,FALSE),"unknown")</f>
        <v>Yes</v>
      </c>
    </row>
    <row r="386" spans="1:60">
      <c r="A386" s="141">
        <v>114087207731</v>
      </c>
      <c r="B386" s="137"/>
      <c r="C386" s="138"/>
      <c r="D386" s="138"/>
      <c r="E386" s="138"/>
      <c r="F386" s="138"/>
      <c r="G386" s="138"/>
      <c r="H386" s="138"/>
      <c r="I386" s="138" t="s">
        <v>55</v>
      </c>
      <c r="J386" s="138"/>
      <c r="K386" s="138"/>
      <c r="L386" s="138"/>
      <c r="M386" s="138"/>
      <c r="N386" s="138"/>
      <c r="O386" s="138"/>
      <c r="P386" s="138"/>
      <c r="Q386" s="138" t="s">
        <v>61</v>
      </c>
      <c r="R386" s="138" t="s">
        <v>62</v>
      </c>
      <c r="S386" s="138"/>
      <c r="T386" s="142"/>
      <c r="U386" s="143">
        <f t="shared" ref="U386:U429" si="138">COUNTA(B386:T386)</f>
        <v>3</v>
      </c>
      <c r="V386" s="143">
        <f t="shared" ref="V386:V429" si="139">3/U386</f>
        <v>1</v>
      </c>
      <c r="W386" s="142"/>
      <c r="X386" s="143">
        <f t="shared" ref="X386:X429" si="140">IF($U386&lt;3,IF($B386=$B$1,1,0),IF($B386=$B$1,$V386,0))</f>
        <v>0</v>
      </c>
      <c r="Y386" s="143">
        <f t="shared" ref="Y386:Y429" si="141">IF($U386&lt;3,IF($C386=$C$1,1,0),IF($C386=$C$1,$V386,0))</f>
        <v>0</v>
      </c>
      <c r="Z386" s="143">
        <f t="shared" ref="Z386:Z429" si="142">IF($U386&lt;3,IF($D386=$D$1,1,0),IF($D386=$D$1,$V386,0))</f>
        <v>0</v>
      </c>
      <c r="AA386" s="143">
        <f t="shared" ref="AA386:AA429" si="143">IF($U386&lt;3,IF($E386=$E$1,1,0),IF($E386=$E$1,$V386,0))</f>
        <v>0</v>
      </c>
      <c r="AB386" s="143">
        <f t="shared" ref="AB386:AB429" si="144">IF($U386&lt;3,IF($F386=$F$1,1,0),IF($F386=$F$1,$V386,0))</f>
        <v>0</v>
      </c>
      <c r="AC386" s="143">
        <f t="shared" ref="AC386:AC429" si="145">IF($U386&lt;3,IF($G386=$G$1,1,0),IF($G386=$G$1,$V386,0))</f>
        <v>0</v>
      </c>
      <c r="AD386" s="143">
        <f t="shared" ref="AD386:AD429" si="146">IF($U386&lt;3,IF($H386=$H$1,1,0),IF($H386=$H$1,$V386,0))</f>
        <v>0</v>
      </c>
      <c r="AE386" s="143">
        <f t="shared" ref="AE386:AE429" si="147">IF($U386&lt;3,IF($I386=$I$1,1,0),IF($I386=$I$1,$V386,0))</f>
        <v>1</v>
      </c>
      <c r="AF386" s="143">
        <f t="shared" ref="AF386:AF429" si="148">IF($U386&lt;3,IF($J386=$J$1,1,0),IF($J386=$J$1,$V386,0))</f>
        <v>0</v>
      </c>
      <c r="AG386" s="143">
        <f t="shared" ref="AG386:AG429" si="149">IF($U386&lt;3,IF($K386=$K$1,1,0),IF($K386=$K$1,$V386,0))</f>
        <v>0</v>
      </c>
      <c r="AH386" s="143">
        <f t="shared" ref="AH386:AH429" si="150">IF($U386&lt;3,IF($L386=$L$1,1,0),IF($L386=$L$1,$V386,0))</f>
        <v>0</v>
      </c>
      <c r="AI386" s="143">
        <f t="shared" ref="AI386:AI429" si="151">IF($U386&lt;3,IF($M386=$M$1,1,0),IF($M386=$M$1,$V386,0))</f>
        <v>0</v>
      </c>
      <c r="AJ386" s="143">
        <f t="shared" ref="AJ386:AJ429" si="152">IF($U386&lt;3,IF($N386=$N$1,1,0),IF($N386=$N$1,$V386,0))</f>
        <v>0</v>
      </c>
      <c r="AK386" s="143">
        <f t="shared" ref="AK386:AK429" si="153">IF($U386&lt;3,IF($O386=$O$1,1,0),IF($O386=$O$1,$V386,0))</f>
        <v>0</v>
      </c>
      <c r="AL386" s="143">
        <f t="shared" ref="AL386:AL429" si="154">IF($U386&lt;3,IF($P386=$P$1,1,0),IF($P386=$P$1,$V386,0))</f>
        <v>0</v>
      </c>
      <c r="AM386" s="143">
        <f t="shared" ref="AM386:AM429" si="155">IF($U386&lt;3,IF($Q386=$Q$1,1,0),IF($Q386=$Q$1,$V386,0))</f>
        <v>1</v>
      </c>
      <c r="AN386" s="143">
        <f t="shared" ref="AN386:AN429" si="156">IF($U386&lt;3,IF($R386=$R$1,1,0),IF($R386=$R$1,$V386,0))</f>
        <v>1</v>
      </c>
      <c r="AO386" s="143">
        <f t="shared" ref="AO386:AO429" si="157">IF($U386&lt;3,IF($S386=$S$1,1,0),IF($S386=$S$1,$V386,0))</f>
        <v>0</v>
      </c>
      <c r="AP386" s="142"/>
      <c r="AQ386" s="142"/>
      <c r="AR386" s="143">
        <f t="shared" ref="AR386:AR429" si="158">SUM(X386:AP386)</f>
        <v>3</v>
      </c>
      <c r="AS386" s="143">
        <f t="shared" ref="AS386:AS429" si="159">U386</f>
        <v>3</v>
      </c>
      <c r="AT386" s="143" t="str">
        <f t="shared" ref="AT386:AT429" si="160">IF(AR386=AS386,"Correct",IF(AR386=3,"Correct","Wrong"))</f>
        <v>Correct</v>
      </c>
      <c r="AU386" s="142"/>
      <c r="AV386" s="120" t="str">
        <f>IFERROR(VLOOKUP(Table1[RespondentID],'All Data'!$A$3:$CO$999,87,FALSE),"unknown")</f>
        <v>Woman</v>
      </c>
      <c r="AW386" s="120">
        <f>IFERROR(VLOOKUP(Table1[RespondentID],'All Data'!$A$3:$CO$999,88,FALSE),"unknown")</f>
        <v>0</v>
      </c>
      <c r="AX386" s="120" t="str">
        <f>IFERROR(VLOOKUP(Table1[RespondentID],'All Data'!$A$3:$CO$999,89,FALSE),"unknown")</f>
        <v>Nassau</v>
      </c>
      <c r="AY386" s="120" t="str">
        <f>IFERROR(VLOOKUP(Table1[RespondentID],'All Data'!$A$3:$CO$999,90,FALSE),"unknown")</f>
        <v>Wantagh, 11793</v>
      </c>
      <c r="AZ386" s="120" t="str">
        <f>IFERROR(VLOOKUP(Table1[RespondentID],'All Data'!$A$3:$CO$999,91,FALSE),"unknown")</f>
        <v>White</v>
      </c>
      <c r="BA386" s="120" t="str">
        <f>IFERROR(VLOOKUP(Table1[RespondentID],'All Data'!$A$3:$CO$999,92,FALSE),"unknown")</f>
        <v>Not Hispanic or Latino</v>
      </c>
      <c r="BB386" s="120" t="str">
        <f>IFERROR(VLOOKUP(Table1[RespondentID],'All Data'!$A$3:$CO$999,93,FALSE),"unknown")</f>
        <v>English</v>
      </c>
      <c r="BC386" s="120" t="str">
        <f>IFERROR(VLOOKUP(Table1[RespondentID],'All Data'!$A$3:$CW$999,94,FALSE),"unknown")</f>
        <v>$75,000 to $125,000</v>
      </c>
      <c r="BD386" s="120" t="str">
        <f>IFERROR(VLOOKUP(Table1[RespondentID],'All Data'!$A$3:$CW$999,95,FALSE),"unknown")</f>
        <v>College graduate</v>
      </c>
      <c r="BE386" s="120" t="str">
        <f>IFERROR(VLOOKUP(Table1[RespondentID],'All Data'!$A$3:$CW$999,96,FALSE),"unknown")</f>
        <v>Employed for wages</v>
      </c>
      <c r="BF386" s="120" t="str">
        <f>IFERROR(VLOOKUP(Table1[RespondentID],'All Data'!$A$3:$CW$999,97,FALSE),"unknown")</f>
        <v>Yes</v>
      </c>
      <c r="BG386" s="120" t="str">
        <f>IFERROR(VLOOKUP(Table1[RespondentID],'All Data'!$A$3:$CW$999,98,FALSE),"unknown")</f>
        <v>Private/Commercial</v>
      </c>
      <c r="BH386" s="120" t="str">
        <f>IFERROR(VLOOKUP(Table1[RespondentID],'All Data'!$A$3:$CW$999,99,FALSE),"unknown")</f>
        <v>Yes</v>
      </c>
    </row>
    <row r="387" spans="1:60">
      <c r="A387" s="141">
        <v>114086765018</v>
      </c>
      <c r="B387" s="137" t="s">
        <v>49</v>
      </c>
      <c r="C387" s="138"/>
      <c r="D387" s="138"/>
      <c r="E387" s="138" t="s">
        <v>17</v>
      </c>
      <c r="F387" s="138"/>
      <c r="G387" s="138"/>
      <c r="H387" s="138" t="s">
        <v>54</v>
      </c>
      <c r="I387" s="138"/>
      <c r="J387" s="138"/>
      <c r="K387" s="138"/>
      <c r="L387" s="138"/>
      <c r="M387" s="138"/>
      <c r="N387" s="138"/>
      <c r="O387" s="138"/>
      <c r="P387" s="138"/>
      <c r="Q387" s="138"/>
      <c r="R387" s="138"/>
      <c r="S387" s="138"/>
      <c r="T387" s="142"/>
      <c r="U387" s="143">
        <f t="shared" si="138"/>
        <v>3</v>
      </c>
      <c r="V387" s="143">
        <f t="shared" si="139"/>
        <v>1</v>
      </c>
      <c r="W387" s="142"/>
      <c r="X387" s="143">
        <f t="shared" si="140"/>
        <v>1</v>
      </c>
      <c r="Y387" s="143">
        <f t="shared" si="141"/>
        <v>0</v>
      </c>
      <c r="Z387" s="143">
        <f t="shared" si="142"/>
        <v>0</v>
      </c>
      <c r="AA387" s="143">
        <f t="shared" si="143"/>
        <v>1</v>
      </c>
      <c r="AB387" s="143">
        <f t="shared" si="144"/>
        <v>0</v>
      </c>
      <c r="AC387" s="143">
        <f t="shared" si="145"/>
        <v>0</v>
      </c>
      <c r="AD387" s="143">
        <f t="shared" si="146"/>
        <v>1</v>
      </c>
      <c r="AE387" s="143">
        <f t="shared" si="147"/>
        <v>0</v>
      </c>
      <c r="AF387" s="143">
        <f t="shared" si="148"/>
        <v>0</v>
      </c>
      <c r="AG387" s="143">
        <f t="shared" si="149"/>
        <v>0</v>
      </c>
      <c r="AH387" s="143">
        <f t="shared" si="150"/>
        <v>0</v>
      </c>
      <c r="AI387" s="143">
        <f t="shared" si="151"/>
        <v>0</v>
      </c>
      <c r="AJ387" s="143">
        <f t="shared" si="152"/>
        <v>0</v>
      </c>
      <c r="AK387" s="143">
        <f t="shared" si="153"/>
        <v>0</v>
      </c>
      <c r="AL387" s="143">
        <f t="shared" si="154"/>
        <v>0</v>
      </c>
      <c r="AM387" s="143">
        <f t="shared" si="155"/>
        <v>0</v>
      </c>
      <c r="AN387" s="143">
        <f t="shared" si="156"/>
        <v>0</v>
      </c>
      <c r="AO387" s="143">
        <f t="shared" si="157"/>
        <v>0</v>
      </c>
      <c r="AP387" s="142"/>
      <c r="AQ387" s="142"/>
      <c r="AR387" s="143">
        <f t="shared" si="158"/>
        <v>3</v>
      </c>
      <c r="AS387" s="143">
        <f t="shared" si="159"/>
        <v>3</v>
      </c>
      <c r="AT387" s="143" t="str">
        <f t="shared" si="160"/>
        <v>Correct</v>
      </c>
      <c r="AU387" s="142"/>
      <c r="AV387" s="120" t="str">
        <f>IFERROR(VLOOKUP(Table1[RespondentID],'All Data'!$A$3:$CO$999,87,FALSE),"unknown")</f>
        <v>Man</v>
      </c>
      <c r="AW387" s="120">
        <f>IFERROR(VLOOKUP(Table1[RespondentID],'All Data'!$A$3:$CO$999,88,FALSE),"unknown")</f>
        <v>0</v>
      </c>
      <c r="AX387" s="120" t="str">
        <f>IFERROR(VLOOKUP(Table1[RespondentID],'All Data'!$A$3:$CO$999,89,FALSE),"unknown")</f>
        <v>Suffolk</v>
      </c>
      <c r="AY387" s="120" t="str">
        <f>IFERROR(VLOOKUP(Table1[RespondentID],'All Data'!$A$3:$CO$999,90,FALSE),"unknown")</f>
        <v>West Islip, 11795</v>
      </c>
      <c r="AZ387" s="120" t="str">
        <f>IFERROR(VLOOKUP(Table1[RespondentID],'All Data'!$A$3:$CO$999,91,FALSE),"unknown")</f>
        <v>White</v>
      </c>
      <c r="BA387" s="120" t="str">
        <f>IFERROR(VLOOKUP(Table1[RespondentID],'All Data'!$A$3:$CO$999,92,FALSE),"unknown")</f>
        <v>Not Hispanic or Latino</v>
      </c>
      <c r="BB387" s="120" t="str">
        <f>IFERROR(VLOOKUP(Table1[RespondentID],'All Data'!$A$3:$CO$999,93,FALSE),"unknown")</f>
        <v>English</v>
      </c>
      <c r="BC387" s="120" t="str">
        <f>IFERROR(VLOOKUP(Table1[RespondentID],'All Data'!$A$3:$CW$999,94,FALSE),"unknown")</f>
        <v>Over $125,000</v>
      </c>
      <c r="BD387" s="120" t="str">
        <f>IFERROR(VLOOKUP(Table1[RespondentID],'All Data'!$A$3:$CW$999,95,FALSE),"unknown")</f>
        <v>College graduate</v>
      </c>
      <c r="BE387" s="120" t="str">
        <f>IFERROR(VLOOKUP(Table1[RespondentID],'All Data'!$A$3:$CW$999,96,FALSE),"unknown")</f>
        <v>Employed for wages</v>
      </c>
      <c r="BF387" s="120" t="str">
        <f>IFERROR(VLOOKUP(Table1[RespondentID],'All Data'!$A$3:$CW$999,97,FALSE),"unknown")</f>
        <v>Yes</v>
      </c>
      <c r="BG387" s="120" t="str">
        <f>IFERROR(VLOOKUP(Table1[RespondentID],'All Data'!$A$3:$CW$999,98,FALSE),"unknown")</f>
        <v>Private/Commercial</v>
      </c>
      <c r="BH387" s="120" t="str">
        <f>IFERROR(VLOOKUP(Table1[RespondentID],'All Data'!$A$3:$CW$999,99,FALSE),"unknown")</f>
        <v>Yes</v>
      </c>
    </row>
    <row r="388" spans="1:60">
      <c r="A388" s="141">
        <v>114086729438</v>
      </c>
      <c r="B388" s="137"/>
      <c r="C388" s="138"/>
      <c r="D388" s="138"/>
      <c r="E388" s="138" t="s">
        <v>17</v>
      </c>
      <c r="F388" s="138"/>
      <c r="G388" s="138"/>
      <c r="H388" s="138" t="s">
        <v>54</v>
      </c>
      <c r="I388" s="138"/>
      <c r="J388" s="138"/>
      <c r="K388" s="138"/>
      <c r="L388" s="138"/>
      <c r="M388" s="138"/>
      <c r="N388" s="138" t="s">
        <v>24</v>
      </c>
      <c r="O388" s="138"/>
      <c r="P388" s="138"/>
      <c r="Q388" s="138"/>
      <c r="R388" s="138"/>
      <c r="S388" s="138"/>
      <c r="T388" s="142"/>
      <c r="U388" s="143">
        <f t="shared" si="138"/>
        <v>3</v>
      </c>
      <c r="V388" s="143">
        <f t="shared" si="139"/>
        <v>1</v>
      </c>
      <c r="W388" s="142"/>
      <c r="X388" s="143">
        <f t="shared" si="140"/>
        <v>0</v>
      </c>
      <c r="Y388" s="143">
        <f t="shared" si="141"/>
        <v>0</v>
      </c>
      <c r="Z388" s="143">
        <f t="shared" si="142"/>
        <v>0</v>
      </c>
      <c r="AA388" s="143">
        <f t="shared" si="143"/>
        <v>1</v>
      </c>
      <c r="AB388" s="143">
        <f t="shared" si="144"/>
        <v>0</v>
      </c>
      <c r="AC388" s="143">
        <f t="shared" si="145"/>
        <v>0</v>
      </c>
      <c r="AD388" s="143">
        <f t="shared" si="146"/>
        <v>1</v>
      </c>
      <c r="AE388" s="143">
        <f t="shared" si="147"/>
        <v>0</v>
      </c>
      <c r="AF388" s="143">
        <f t="shared" si="148"/>
        <v>0</v>
      </c>
      <c r="AG388" s="143">
        <f t="shared" si="149"/>
        <v>0</v>
      </c>
      <c r="AH388" s="143">
        <f t="shared" si="150"/>
        <v>0</v>
      </c>
      <c r="AI388" s="143">
        <f t="shared" si="151"/>
        <v>0</v>
      </c>
      <c r="AJ388" s="143">
        <f t="shared" si="152"/>
        <v>1</v>
      </c>
      <c r="AK388" s="143">
        <f t="shared" si="153"/>
        <v>0</v>
      </c>
      <c r="AL388" s="143">
        <f t="shared" si="154"/>
        <v>0</v>
      </c>
      <c r="AM388" s="143">
        <f t="shared" si="155"/>
        <v>0</v>
      </c>
      <c r="AN388" s="143">
        <f t="shared" si="156"/>
        <v>0</v>
      </c>
      <c r="AO388" s="143">
        <f t="shared" si="157"/>
        <v>0</v>
      </c>
      <c r="AP388" s="142"/>
      <c r="AQ388" s="142"/>
      <c r="AR388" s="143">
        <f t="shared" si="158"/>
        <v>3</v>
      </c>
      <c r="AS388" s="143">
        <f t="shared" si="159"/>
        <v>3</v>
      </c>
      <c r="AT388" s="143" t="str">
        <f t="shared" si="160"/>
        <v>Correct</v>
      </c>
      <c r="AU388" s="142"/>
      <c r="AV388" s="120" t="str">
        <f>IFERROR(VLOOKUP(Table1[RespondentID],'All Data'!$A$3:$CO$999,87,FALSE),"unknown")</f>
        <v>Woman</v>
      </c>
      <c r="AW388" s="120">
        <f>IFERROR(VLOOKUP(Table1[RespondentID],'All Data'!$A$3:$CO$999,88,FALSE),"unknown")</f>
        <v>0</v>
      </c>
      <c r="AX388" s="120" t="str">
        <f>IFERROR(VLOOKUP(Table1[RespondentID],'All Data'!$A$3:$CO$999,89,FALSE),"unknown")</f>
        <v>Nassau</v>
      </c>
      <c r="AY388" s="120" t="str">
        <f>IFERROR(VLOOKUP(Table1[RespondentID],'All Data'!$A$3:$CO$999,90,FALSE),"unknown")</f>
        <v>Roslyn, 11576</v>
      </c>
      <c r="AZ388" s="120" t="str">
        <f>IFERROR(VLOOKUP(Table1[RespondentID],'All Data'!$A$3:$CO$999,91,FALSE),"unknown")</f>
        <v>White</v>
      </c>
      <c r="BA388" s="120" t="str">
        <f>IFERROR(VLOOKUP(Table1[RespondentID],'All Data'!$A$3:$CO$999,92,FALSE),"unknown")</f>
        <v>Not Hispanic or Latino</v>
      </c>
      <c r="BB388" s="120">
        <f>IFERROR(VLOOKUP(Table1[RespondentID],'All Data'!$A$3:$CO$999,93,FALSE),"unknown")</f>
        <v>0</v>
      </c>
      <c r="BC388" s="120" t="str">
        <f>IFERROR(VLOOKUP(Table1[RespondentID],'All Data'!$A$3:$CW$999,94,FALSE),"unknown")</f>
        <v>$75,000 to $125,000</v>
      </c>
      <c r="BD388" s="120" t="str">
        <f>IFERROR(VLOOKUP(Table1[RespondentID],'All Data'!$A$3:$CW$999,95,FALSE),"unknown")</f>
        <v>College graduate</v>
      </c>
      <c r="BE388" s="120" t="str">
        <f>IFERROR(VLOOKUP(Table1[RespondentID],'All Data'!$A$3:$CW$999,96,FALSE),"unknown")</f>
        <v>Employed for wages</v>
      </c>
      <c r="BF388" s="120" t="str">
        <f>IFERROR(VLOOKUP(Table1[RespondentID],'All Data'!$A$3:$CW$999,97,FALSE),"unknown")</f>
        <v>Yes</v>
      </c>
      <c r="BG388" s="120" t="str">
        <f>IFERROR(VLOOKUP(Table1[RespondentID],'All Data'!$A$3:$CW$999,98,FALSE),"unknown")</f>
        <v>Private/Commercial</v>
      </c>
      <c r="BH388" s="120" t="str">
        <f>IFERROR(VLOOKUP(Table1[RespondentID],'All Data'!$A$3:$CW$999,99,FALSE),"unknown")</f>
        <v>Yes</v>
      </c>
    </row>
    <row r="389" spans="1:60">
      <c r="A389" s="141">
        <v>114086716435</v>
      </c>
      <c r="B389" s="137"/>
      <c r="C389" s="138"/>
      <c r="D389" s="138"/>
      <c r="E389" s="138" t="s">
        <v>17</v>
      </c>
      <c r="F389" s="138"/>
      <c r="G389" s="138"/>
      <c r="H389" s="138" t="s">
        <v>54</v>
      </c>
      <c r="I389" s="138"/>
      <c r="J389" s="138"/>
      <c r="K389" s="138" t="s">
        <v>57</v>
      </c>
      <c r="L389" s="138"/>
      <c r="M389" s="138"/>
      <c r="N389" s="138" t="s">
        <v>24</v>
      </c>
      <c r="O389" s="138"/>
      <c r="P389" s="138"/>
      <c r="Q389" s="138"/>
      <c r="R389" s="138"/>
      <c r="S389" s="138"/>
      <c r="T389" s="142"/>
      <c r="U389" s="143">
        <f t="shared" si="138"/>
        <v>4</v>
      </c>
      <c r="V389" s="143">
        <f t="shared" si="139"/>
        <v>0.75</v>
      </c>
      <c r="W389" s="142"/>
      <c r="X389" s="143">
        <f t="shared" si="140"/>
        <v>0</v>
      </c>
      <c r="Y389" s="143">
        <f t="shared" si="141"/>
        <v>0</v>
      </c>
      <c r="Z389" s="143">
        <f t="shared" si="142"/>
        <v>0</v>
      </c>
      <c r="AA389" s="143">
        <f t="shared" si="143"/>
        <v>0.75</v>
      </c>
      <c r="AB389" s="143">
        <f t="shared" si="144"/>
        <v>0</v>
      </c>
      <c r="AC389" s="143">
        <f t="shared" si="145"/>
        <v>0</v>
      </c>
      <c r="AD389" s="143">
        <f t="shared" si="146"/>
        <v>0.75</v>
      </c>
      <c r="AE389" s="143">
        <f t="shared" si="147"/>
        <v>0</v>
      </c>
      <c r="AF389" s="143">
        <f t="shared" si="148"/>
        <v>0</v>
      </c>
      <c r="AG389" s="143">
        <f t="shared" si="149"/>
        <v>0.75</v>
      </c>
      <c r="AH389" s="143">
        <f t="shared" si="150"/>
        <v>0</v>
      </c>
      <c r="AI389" s="143">
        <f t="shared" si="151"/>
        <v>0</v>
      </c>
      <c r="AJ389" s="143">
        <f t="shared" si="152"/>
        <v>0.75</v>
      </c>
      <c r="AK389" s="143">
        <f t="shared" si="153"/>
        <v>0</v>
      </c>
      <c r="AL389" s="143">
        <f t="shared" si="154"/>
        <v>0</v>
      </c>
      <c r="AM389" s="143">
        <f t="shared" si="155"/>
        <v>0</v>
      </c>
      <c r="AN389" s="143">
        <f t="shared" si="156"/>
        <v>0</v>
      </c>
      <c r="AO389" s="143">
        <f t="shared" si="157"/>
        <v>0</v>
      </c>
      <c r="AP389" s="142"/>
      <c r="AQ389" s="142"/>
      <c r="AR389" s="143">
        <f t="shared" si="158"/>
        <v>3</v>
      </c>
      <c r="AS389" s="143">
        <f t="shared" si="159"/>
        <v>4</v>
      </c>
      <c r="AT389" s="143" t="str">
        <f t="shared" si="160"/>
        <v>Correct</v>
      </c>
      <c r="AU389" s="142"/>
      <c r="AV389" s="120" t="str">
        <f>IFERROR(VLOOKUP(Table1[RespondentID],'All Data'!$A$3:$CO$999,87,FALSE),"unknown")</f>
        <v>Woman</v>
      </c>
      <c r="AW389" s="120">
        <f>IFERROR(VLOOKUP(Table1[RespondentID],'All Data'!$A$3:$CO$999,88,FALSE),"unknown")</f>
        <v>0</v>
      </c>
      <c r="AX389" s="120" t="str">
        <f>IFERROR(VLOOKUP(Table1[RespondentID],'All Data'!$A$3:$CO$999,89,FALSE),"unknown")</f>
        <v>Nassau</v>
      </c>
      <c r="AY389" s="120" t="str">
        <f>IFERROR(VLOOKUP(Table1[RespondentID],'All Data'!$A$3:$CO$999,90,FALSE),"unknown")</f>
        <v>North New Hyde Park, 11040</v>
      </c>
      <c r="AZ389" s="120" t="str">
        <f>IFERROR(VLOOKUP(Table1[RespondentID],'All Data'!$A$3:$CO$999,91,FALSE),"unknown")</f>
        <v>Asian</v>
      </c>
      <c r="BA389" s="120" t="str">
        <f>IFERROR(VLOOKUP(Table1[RespondentID],'All Data'!$A$3:$CO$999,92,FALSE),"unknown")</f>
        <v>Not Hispanic or Latino</v>
      </c>
      <c r="BB389" s="120" t="str">
        <f>IFERROR(VLOOKUP(Table1[RespondentID],'All Data'!$A$3:$CO$999,93,FALSE),"unknown")</f>
        <v>English</v>
      </c>
      <c r="BC389" s="120" t="str">
        <f>IFERROR(VLOOKUP(Table1[RespondentID],'All Data'!$A$3:$CW$999,94,FALSE),"unknown")</f>
        <v>$50,000 to $74,999</v>
      </c>
      <c r="BD389" s="120" t="str">
        <f>IFERROR(VLOOKUP(Table1[RespondentID],'All Data'!$A$3:$CW$999,95,FALSE),"unknown")</f>
        <v>College graduate</v>
      </c>
      <c r="BE389" s="120" t="str">
        <f>IFERROR(VLOOKUP(Table1[RespondentID],'All Data'!$A$3:$CW$999,96,FALSE),"unknown")</f>
        <v>Employed for wages</v>
      </c>
      <c r="BF389" s="120" t="str">
        <f>IFERROR(VLOOKUP(Table1[RespondentID],'All Data'!$A$3:$CW$999,97,FALSE),"unknown")</f>
        <v>Yes</v>
      </c>
      <c r="BG389" s="120" t="str">
        <f>IFERROR(VLOOKUP(Table1[RespondentID],'All Data'!$A$3:$CW$999,98,FALSE),"unknown")</f>
        <v>Private/Commercial</v>
      </c>
      <c r="BH389" s="120" t="str">
        <f>IFERROR(VLOOKUP(Table1[RespondentID],'All Data'!$A$3:$CW$999,99,FALSE),"unknown")</f>
        <v>Yes</v>
      </c>
    </row>
    <row r="390" spans="1:60">
      <c r="A390" s="141">
        <v>114086712665</v>
      </c>
      <c r="B390" s="137"/>
      <c r="C390" s="138"/>
      <c r="D390" s="138" t="s">
        <v>51</v>
      </c>
      <c r="E390" s="138"/>
      <c r="F390" s="138"/>
      <c r="G390" s="138"/>
      <c r="H390" s="138"/>
      <c r="I390" s="138"/>
      <c r="J390" s="138"/>
      <c r="K390" s="138"/>
      <c r="L390" s="138"/>
      <c r="M390" s="138"/>
      <c r="N390" s="138"/>
      <c r="O390" s="138"/>
      <c r="P390" s="138"/>
      <c r="Q390" s="138" t="s">
        <v>61</v>
      </c>
      <c r="R390" s="138"/>
      <c r="S390" s="138" t="s">
        <v>63</v>
      </c>
      <c r="T390" s="142"/>
      <c r="U390" s="143">
        <f t="shared" si="138"/>
        <v>3</v>
      </c>
      <c r="V390" s="143">
        <f t="shared" si="139"/>
        <v>1</v>
      </c>
      <c r="W390" s="142"/>
      <c r="X390" s="143">
        <f t="shared" si="140"/>
        <v>0</v>
      </c>
      <c r="Y390" s="143">
        <f t="shared" si="141"/>
        <v>0</v>
      </c>
      <c r="Z390" s="143">
        <f t="shared" si="142"/>
        <v>1</v>
      </c>
      <c r="AA390" s="143">
        <f t="shared" si="143"/>
        <v>0</v>
      </c>
      <c r="AB390" s="143">
        <f t="shared" si="144"/>
        <v>0</v>
      </c>
      <c r="AC390" s="143">
        <f t="shared" si="145"/>
        <v>0</v>
      </c>
      <c r="AD390" s="143">
        <f t="shared" si="146"/>
        <v>0</v>
      </c>
      <c r="AE390" s="143">
        <f t="shared" si="147"/>
        <v>0</v>
      </c>
      <c r="AF390" s="143">
        <f t="shared" si="148"/>
        <v>0</v>
      </c>
      <c r="AG390" s="143">
        <f t="shared" si="149"/>
        <v>0</v>
      </c>
      <c r="AH390" s="143">
        <f t="shared" si="150"/>
        <v>0</v>
      </c>
      <c r="AI390" s="143">
        <f t="shared" si="151"/>
        <v>0</v>
      </c>
      <c r="AJ390" s="143">
        <f t="shared" si="152"/>
        <v>0</v>
      </c>
      <c r="AK390" s="143">
        <f t="shared" si="153"/>
        <v>0</v>
      </c>
      <c r="AL390" s="143">
        <f t="shared" si="154"/>
        <v>0</v>
      </c>
      <c r="AM390" s="143">
        <f t="shared" si="155"/>
        <v>1</v>
      </c>
      <c r="AN390" s="143">
        <f t="shared" si="156"/>
        <v>0</v>
      </c>
      <c r="AO390" s="143">
        <f t="shared" si="157"/>
        <v>1</v>
      </c>
      <c r="AP390" s="142"/>
      <c r="AQ390" s="142"/>
      <c r="AR390" s="143">
        <f t="shared" si="158"/>
        <v>3</v>
      </c>
      <c r="AS390" s="143">
        <f t="shared" si="159"/>
        <v>3</v>
      </c>
      <c r="AT390" s="143" t="str">
        <f t="shared" si="160"/>
        <v>Correct</v>
      </c>
      <c r="AU390" s="142"/>
      <c r="AV390" s="120" t="str">
        <f>IFERROR(VLOOKUP(Table1[RespondentID],'All Data'!$A$3:$CO$999,87,FALSE),"unknown")</f>
        <v>Woman</v>
      </c>
      <c r="AW390" s="120">
        <f>IFERROR(VLOOKUP(Table1[RespondentID],'All Data'!$A$3:$CO$999,88,FALSE),"unknown")</f>
        <v>0</v>
      </c>
      <c r="AX390" s="120">
        <f>IFERROR(VLOOKUP(Table1[RespondentID],'All Data'!$A$3:$CO$999,89,FALSE),"unknown")</f>
        <v>0</v>
      </c>
      <c r="AY390" s="120" t="str">
        <f>IFERROR(VLOOKUP(Table1[RespondentID],'All Data'!$A$3:$CO$999,90,FALSE),"unknown")</f>
        <v>Levittown, 11756</v>
      </c>
      <c r="AZ390" s="120" t="str">
        <f>IFERROR(VLOOKUP(Table1[RespondentID],'All Data'!$A$3:$CO$999,91,FALSE),"unknown")</f>
        <v>Two or more races</v>
      </c>
      <c r="BA390" s="120" t="str">
        <f>IFERROR(VLOOKUP(Table1[RespondentID],'All Data'!$A$3:$CO$999,92,FALSE),"unknown")</f>
        <v>Not Hispanic or Latino</v>
      </c>
      <c r="BB390" s="120">
        <f>IFERROR(VLOOKUP(Table1[RespondentID],'All Data'!$A$3:$CO$999,93,FALSE),"unknown")</f>
        <v>0</v>
      </c>
      <c r="BC390" s="120" t="str">
        <f>IFERROR(VLOOKUP(Table1[RespondentID],'All Data'!$A$3:$CW$999,94,FALSE),"unknown")</f>
        <v>$75,000 to $125,000</v>
      </c>
      <c r="BD390" s="120" t="str">
        <f>IFERROR(VLOOKUP(Table1[RespondentID],'All Data'!$A$3:$CW$999,95,FALSE),"unknown")</f>
        <v>College graduate</v>
      </c>
      <c r="BE390" s="120" t="str">
        <f>IFERROR(VLOOKUP(Table1[RespondentID],'All Data'!$A$3:$CW$999,96,FALSE),"unknown")</f>
        <v>Employed for wages</v>
      </c>
      <c r="BF390" s="120" t="str">
        <f>IFERROR(VLOOKUP(Table1[RespondentID],'All Data'!$A$3:$CW$999,97,FALSE),"unknown")</f>
        <v>Yes</v>
      </c>
      <c r="BG390" s="120" t="str">
        <f>IFERROR(VLOOKUP(Table1[RespondentID],'All Data'!$A$3:$CW$999,98,FALSE),"unknown")</f>
        <v>Private/Commercial</v>
      </c>
      <c r="BH390" s="120" t="str">
        <f>IFERROR(VLOOKUP(Table1[RespondentID],'All Data'!$A$3:$CW$999,99,FALSE),"unknown")</f>
        <v>Yes</v>
      </c>
    </row>
    <row r="391" spans="1:60">
      <c r="A391" s="141">
        <v>114086703421</v>
      </c>
      <c r="B391" s="137" t="s">
        <v>49</v>
      </c>
      <c r="C391" s="138"/>
      <c r="D391" s="138" t="s">
        <v>51</v>
      </c>
      <c r="E391" s="138" t="s">
        <v>17</v>
      </c>
      <c r="F391" s="138"/>
      <c r="G391" s="138" t="s">
        <v>53</v>
      </c>
      <c r="H391" s="138"/>
      <c r="I391" s="138" t="s">
        <v>55</v>
      </c>
      <c r="J391" s="138"/>
      <c r="K391" s="138"/>
      <c r="L391" s="138" t="s">
        <v>58</v>
      </c>
      <c r="M391" s="138"/>
      <c r="N391" s="138" t="s">
        <v>24</v>
      </c>
      <c r="O391" s="138"/>
      <c r="P391" s="138" t="s">
        <v>60</v>
      </c>
      <c r="Q391" s="138" t="s">
        <v>61</v>
      </c>
      <c r="R391" s="138" t="s">
        <v>62</v>
      </c>
      <c r="S391" s="138"/>
      <c r="T391" s="142"/>
      <c r="U391" s="143">
        <f t="shared" si="138"/>
        <v>10</v>
      </c>
      <c r="V391" s="143">
        <f t="shared" si="139"/>
        <v>0.3</v>
      </c>
      <c r="W391" s="142"/>
      <c r="X391" s="143">
        <f t="shared" si="140"/>
        <v>0.3</v>
      </c>
      <c r="Y391" s="143">
        <f t="shared" si="141"/>
        <v>0</v>
      </c>
      <c r="Z391" s="143">
        <f t="shared" si="142"/>
        <v>0.3</v>
      </c>
      <c r="AA391" s="143">
        <f t="shared" si="143"/>
        <v>0.3</v>
      </c>
      <c r="AB391" s="143">
        <f t="shared" si="144"/>
        <v>0</v>
      </c>
      <c r="AC391" s="143">
        <f t="shared" si="145"/>
        <v>0.3</v>
      </c>
      <c r="AD391" s="143">
        <f t="shared" si="146"/>
        <v>0</v>
      </c>
      <c r="AE391" s="143">
        <f t="shared" si="147"/>
        <v>0.3</v>
      </c>
      <c r="AF391" s="143">
        <f t="shared" si="148"/>
        <v>0</v>
      </c>
      <c r="AG391" s="143">
        <f t="shared" si="149"/>
        <v>0</v>
      </c>
      <c r="AH391" s="143">
        <f t="shared" si="150"/>
        <v>0.3</v>
      </c>
      <c r="AI391" s="143">
        <f t="shared" si="151"/>
        <v>0</v>
      </c>
      <c r="AJ391" s="143">
        <f t="shared" si="152"/>
        <v>0.3</v>
      </c>
      <c r="AK391" s="143">
        <f t="shared" si="153"/>
        <v>0</v>
      </c>
      <c r="AL391" s="143">
        <f t="shared" si="154"/>
        <v>0.3</v>
      </c>
      <c r="AM391" s="143">
        <f t="shared" si="155"/>
        <v>0.3</v>
      </c>
      <c r="AN391" s="143">
        <f t="shared" si="156"/>
        <v>0.3</v>
      </c>
      <c r="AO391" s="143">
        <f t="shared" si="157"/>
        <v>0</v>
      </c>
      <c r="AP391" s="142"/>
      <c r="AQ391" s="142"/>
      <c r="AR391" s="143">
        <f t="shared" si="158"/>
        <v>2.9999999999999996</v>
      </c>
      <c r="AS391" s="143">
        <f t="shared" si="159"/>
        <v>10</v>
      </c>
      <c r="AT391" s="143" t="str">
        <f t="shared" si="160"/>
        <v>Correct</v>
      </c>
      <c r="AU391" s="142"/>
      <c r="AV391" s="120" t="str">
        <f>IFERROR(VLOOKUP(Table1[RespondentID],'All Data'!$A$3:$CO$999,87,FALSE),"unknown")</f>
        <v>Woman</v>
      </c>
      <c r="AW391" s="120">
        <f>IFERROR(VLOOKUP(Table1[RespondentID],'All Data'!$A$3:$CO$999,88,FALSE),"unknown")</f>
        <v>0</v>
      </c>
      <c r="AX391" s="120" t="str">
        <f>IFERROR(VLOOKUP(Table1[RespondentID],'All Data'!$A$3:$CO$999,89,FALSE),"unknown")</f>
        <v>Queens</v>
      </c>
      <c r="AY391" s="120">
        <f>IFERROR(VLOOKUP(Table1[RespondentID],'All Data'!$A$3:$CO$999,90,FALSE),"unknown")</f>
        <v>11367</v>
      </c>
      <c r="AZ391" s="120" t="str">
        <f>IFERROR(VLOOKUP(Table1[RespondentID],'All Data'!$A$3:$CO$999,91,FALSE),"unknown")</f>
        <v>White</v>
      </c>
      <c r="BA391" s="120" t="str">
        <f>IFERROR(VLOOKUP(Table1[RespondentID],'All Data'!$A$3:$CO$999,92,FALSE),"unknown")</f>
        <v>Hispanic or Latino</v>
      </c>
      <c r="BB391" s="120" t="str">
        <f>IFERROR(VLOOKUP(Table1[RespondentID],'All Data'!$A$3:$CO$999,93,FALSE),"unknown")</f>
        <v>English</v>
      </c>
      <c r="BC391" s="120" t="str">
        <f>IFERROR(VLOOKUP(Table1[RespondentID],'All Data'!$A$3:$CW$999,94,FALSE),"unknown")</f>
        <v>Over $125,000</v>
      </c>
      <c r="BD391" s="120" t="str">
        <f>IFERROR(VLOOKUP(Table1[RespondentID],'All Data'!$A$3:$CW$999,95,FALSE),"unknown")</f>
        <v>College graduate</v>
      </c>
      <c r="BE391" s="120" t="str">
        <f>IFERROR(VLOOKUP(Table1[RespondentID],'All Data'!$A$3:$CW$999,96,FALSE),"unknown")</f>
        <v>Employed for wages</v>
      </c>
      <c r="BF391" s="120" t="str">
        <f>IFERROR(VLOOKUP(Table1[RespondentID],'All Data'!$A$3:$CW$999,97,FALSE),"unknown")</f>
        <v>Yes</v>
      </c>
      <c r="BG391" s="120" t="str">
        <f>IFERROR(VLOOKUP(Table1[RespondentID],'All Data'!$A$3:$CW$999,98,FALSE),"unknown")</f>
        <v>Private/Commercial</v>
      </c>
      <c r="BH391" s="120" t="str">
        <f>IFERROR(VLOOKUP(Table1[RespondentID],'All Data'!$A$3:$CW$999,99,FALSE),"unknown")</f>
        <v>Yes</v>
      </c>
    </row>
    <row r="392" spans="1:60">
      <c r="A392" s="141">
        <v>114086547834</v>
      </c>
      <c r="B392" s="137"/>
      <c r="C392" s="138"/>
      <c r="D392" s="138"/>
      <c r="E392" s="138"/>
      <c r="F392" s="138"/>
      <c r="G392" s="138"/>
      <c r="H392" s="138"/>
      <c r="I392" s="138" t="s">
        <v>55</v>
      </c>
      <c r="J392" s="138"/>
      <c r="K392" s="138"/>
      <c r="L392" s="138"/>
      <c r="M392" s="138" t="s">
        <v>59</v>
      </c>
      <c r="N392" s="138"/>
      <c r="O392" s="138"/>
      <c r="P392" s="138"/>
      <c r="Q392" s="138"/>
      <c r="R392" s="138" t="s">
        <v>62</v>
      </c>
      <c r="S392" s="138" t="s">
        <v>63</v>
      </c>
      <c r="T392" s="142"/>
      <c r="U392" s="143">
        <f t="shared" si="138"/>
        <v>4</v>
      </c>
      <c r="V392" s="143">
        <f t="shared" si="139"/>
        <v>0.75</v>
      </c>
      <c r="W392" s="142"/>
      <c r="X392" s="143">
        <f t="shared" si="140"/>
        <v>0</v>
      </c>
      <c r="Y392" s="143">
        <f t="shared" si="141"/>
        <v>0</v>
      </c>
      <c r="Z392" s="143">
        <f t="shared" si="142"/>
        <v>0</v>
      </c>
      <c r="AA392" s="143">
        <f t="shared" si="143"/>
        <v>0</v>
      </c>
      <c r="AB392" s="143">
        <f t="shared" si="144"/>
        <v>0</v>
      </c>
      <c r="AC392" s="143">
        <f t="shared" si="145"/>
        <v>0</v>
      </c>
      <c r="AD392" s="143">
        <f t="shared" si="146"/>
        <v>0</v>
      </c>
      <c r="AE392" s="143">
        <f t="shared" si="147"/>
        <v>0.75</v>
      </c>
      <c r="AF392" s="143">
        <f t="shared" si="148"/>
        <v>0</v>
      </c>
      <c r="AG392" s="143">
        <f t="shared" si="149"/>
        <v>0</v>
      </c>
      <c r="AH392" s="143">
        <f t="shared" si="150"/>
        <v>0</v>
      </c>
      <c r="AI392" s="143">
        <f t="shared" si="151"/>
        <v>0.75</v>
      </c>
      <c r="AJ392" s="143">
        <f t="shared" si="152"/>
        <v>0</v>
      </c>
      <c r="AK392" s="143">
        <f t="shared" si="153"/>
        <v>0</v>
      </c>
      <c r="AL392" s="143">
        <f t="shared" si="154"/>
        <v>0</v>
      </c>
      <c r="AM392" s="143">
        <f t="shared" si="155"/>
        <v>0</v>
      </c>
      <c r="AN392" s="143">
        <f t="shared" si="156"/>
        <v>0.75</v>
      </c>
      <c r="AO392" s="143">
        <f t="shared" si="157"/>
        <v>0.75</v>
      </c>
      <c r="AP392" s="142"/>
      <c r="AQ392" s="142"/>
      <c r="AR392" s="143">
        <f t="shared" si="158"/>
        <v>3</v>
      </c>
      <c r="AS392" s="143">
        <f t="shared" si="159"/>
        <v>4</v>
      </c>
      <c r="AT392" s="143" t="str">
        <f t="shared" si="160"/>
        <v>Correct</v>
      </c>
      <c r="AU392" s="142"/>
      <c r="AV392" s="120" t="str">
        <f>IFERROR(VLOOKUP(Table1[RespondentID],'All Data'!$A$3:$CO$999,87,FALSE),"unknown")</f>
        <v>Woman</v>
      </c>
      <c r="AW392" s="120">
        <f>IFERROR(VLOOKUP(Table1[RespondentID],'All Data'!$A$3:$CO$999,88,FALSE),"unknown")</f>
        <v>0</v>
      </c>
      <c r="AX392" s="120" t="str">
        <f>IFERROR(VLOOKUP(Table1[RespondentID],'All Data'!$A$3:$CO$999,89,FALSE),"unknown")</f>
        <v>Suffolk</v>
      </c>
      <c r="AY392" s="120" t="str">
        <f>IFERROR(VLOOKUP(Table1[RespondentID],'All Data'!$A$3:$CO$999,90,FALSE),"unknown")</f>
        <v>North Babylon, 11703</v>
      </c>
      <c r="AZ392" s="120" t="str">
        <f>IFERROR(VLOOKUP(Table1[RespondentID],'All Data'!$A$3:$CO$999,91,FALSE),"unknown")</f>
        <v>Other (please specify)</v>
      </c>
      <c r="BA392" s="120" t="str">
        <f>IFERROR(VLOOKUP(Table1[RespondentID],'All Data'!$A$3:$CO$999,92,FALSE),"unknown")</f>
        <v>Hispanic or Latino</v>
      </c>
      <c r="BB392" s="120" t="str">
        <f>IFERROR(VLOOKUP(Table1[RespondentID],'All Data'!$A$3:$CO$999,93,FALSE),"unknown")</f>
        <v>English</v>
      </c>
      <c r="BC392" s="120" t="str">
        <f>IFERROR(VLOOKUP(Table1[RespondentID],'All Data'!$A$3:$CW$999,94,FALSE),"unknown")</f>
        <v>Over $125,000</v>
      </c>
      <c r="BD392" s="120" t="str">
        <f>IFERROR(VLOOKUP(Table1[RespondentID],'All Data'!$A$3:$CW$999,95,FALSE),"unknown")</f>
        <v>Graduate school</v>
      </c>
      <c r="BE392" s="120" t="str">
        <f>IFERROR(VLOOKUP(Table1[RespondentID],'All Data'!$A$3:$CW$999,96,FALSE),"unknown")</f>
        <v>Employed for wages</v>
      </c>
      <c r="BF392" s="120" t="str">
        <f>IFERROR(VLOOKUP(Table1[RespondentID],'All Data'!$A$3:$CW$999,97,FALSE),"unknown")</f>
        <v>Yes</v>
      </c>
      <c r="BG392" s="120" t="str">
        <f>IFERROR(VLOOKUP(Table1[RespondentID],'All Data'!$A$3:$CW$999,98,FALSE),"unknown")</f>
        <v>Private/Commercial</v>
      </c>
      <c r="BH392" s="120" t="str">
        <f>IFERROR(VLOOKUP(Table1[RespondentID],'All Data'!$A$3:$CW$999,99,FALSE),"unknown")</f>
        <v>Yes</v>
      </c>
    </row>
    <row r="393" spans="1:60">
      <c r="A393" s="141">
        <v>114086512910</v>
      </c>
      <c r="B393" s="137"/>
      <c r="C393" s="138" t="s">
        <v>50</v>
      </c>
      <c r="D393" s="138" t="s">
        <v>51</v>
      </c>
      <c r="E393" s="138" t="s">
        <v>17</v>
      </c>
      <c r="F393" s="138"/>
      <c r="G393" s="138"/>
      <c r="H393" s="138"/>
      <c r="I393" s="138"/>
      <c r="J393" s="138"/>
      <c r="K393" s="138"/>
      <c r="L393" s="138"/>
      <c r="M393" s="138"/>
      <c r="N393" s="138"/>
      <c r="O393" s="138"/>
      <c r="P393" s="138"/>
      <c r="Q393" s="138"/>
      <c r="R393" s="138"/>
      <c r="S393" s="138"/>
      <c r="T393" s="142"/>
      <c r="U393" s="143">
        <f t="shared" si="138"/>
        <v>3</v>
      </c>
      <c r="V393" s="143">
        <f t="shared" si="139"/>
        <v>1</v>
      </c>
      <c r="W393" s="142"/>
      <c r="X393" s="143">
        <f t="shared" si="140"/>
        <v>0</v>
      </c>
      <c r="Y393" s="143">
        <f t="shared" si="141"/>
        <v>1</v>
      </c>
      <c r="Z393" s="143">
        <f t="shared" si="142"/>
        <v>1</v>
      </c>
      <c r="AA393" s="143">
        <f t="shared" si="143"/>
        <v>1</v>
      </c>
      <c r="AB393" s="143">
        <f t="shared" si="144"/>
        <v>0</v>
      </c>
      <c r="AC393" s="143">
        <f t="shared" si="145"/>
        <v>0</v>
      </c>
      <c r="AD393" s="143">
        <f t="shared" si="146"/>
        <v>0</v>
      </c>
      <c r="AE393" s="143">
        <f t="shared" si="147"/>
        <v>0</v>
      </c>
      <c r="AF393" s="143">
        <f t="shared" si="148"/>
        <v>0</v>
      </c>
      <c r="AG393" s="143">
        <f t="shared" si="149"/>
        <v>0</v>
      </c>
      <c r="AH393" s="143">
        <f t="shared" si="150"/>
        <v>0</v>
      </c>
      <c r="AI393" s="143">
        <f t="shared" si="151"/>
        <v>0</v>
      </c>
      <c r="AJ393" s="143">
        <f t="shared" si="152"/>
        <v>0</v>
      </c>
      <c r="AK393" s="143">
        <f t="shared" si="153"/>
        <v>0</v>
      </c>
      <c r="AL393" s="143">
        <f t="shared" si="154"/>
        <v>0</v>
      </c>
      <c r="AM393" s="143">
        <f t="shared" si="155"/>
        <v>0</v>
      </c>
      <c r="AN393" s="143">
        <f t="shared" si="156"/>
        <v>0</v>
      </c>
      <c r="AO393" s="143">
        <f t="shared" si="157"/>
        <v>0</v>
      </c>
      <c r="AP393" s="142"/>
      <c r="AQ393" s="142"/>
      <c r="AR393" s="143">
        <f t="shared" si="158"/>
        <v>3</v>
      </c>
      <c r="AS393" s="143">
        <f t="shared" si="159"/>
        <v>3</v>
      </c>
      <c r="AT393" s="143" t="str">
        <f t="shared" si="160"/>
        <v>Correct</v>
      </c>
      <c r="AU393" s="142"/>
      <c r="AV393" s="120" t="str">
        <f>IFERROR(VLOOKUP(Table1[RespondentID],'All Data'!$A$3:$CO$999,87,FALSE),"unknown")</f>
        <v>Woman</v>
      </c>
      <c r="AW393" s="120">
        <f>IFERROR(VLOOKUP(Table1[RespondentID],'All Data'!$A$3:$CO$999,88,FALSE),"unknown")</f>
        <v>0</v>
      </c>
      <c r="AX393" s="120" t="str">
        <f>IFERROR(VLOOKUP(Table1[RespondentID],'All Data'!$A$3:$CO$999,89,FALSE),"unknown")</f>
        <v>Suffolk</v>
      </c>
      <c r="AY393" s="120" t="str">
        <f>IFERROR(VLOOKUP(Table1[RespondentID],'All Data'!$A$3:$CO$999,90,FALSE),"unknown")</f>
        <v>West Islip, 11795</v>
      </c>
      <c r="AZ393" s="120" t="str">
        <f>IFERROR(VLOOKUP(Table1[RespondentID],'All Data'!$A$3:$CO$999,91,FALSE),"unknown")</f>
        <v>White</v>
      </c>
      <c r="BA393" s="120" t="str">
        <f>IFERROR(VLOOKUP(Table1[RespondentID],'All Data'!$A$3:$CO$999,92,FALSE),"unknown")</f>
        <v>Not Hispanic or Latino</v>
      </c>
      <c r="BB393" s="120" t="str">
        <f>IFERROR(VLOOKUP(Table1[RespondentID],'All Data'!$A$3:$CO$999,93,FALSE),"unknown")</f>
        <v>English</v>
      </c>
      <c r="BC393" s="120">
        <f>IFERROR(VLOOKUP(Table1[RespondentID],'All Data'!$A$3:$CW$999,94,FALSE),"unknown")</f>
        <v>0</v>
      </c>
      <c r="BD393" s="120" t="str">
        <f>IFERROR(VLOOKUP(Table1[RespondentID],'All Data'!$A$3:$CW$999,95,FALSE),"unknown")</f>
        <v>Some college</v>
      </c>
      <c r="BE393" s="120" t="str">
        <f>IFERROR(VLOOKUP(Table1[RespondentID],'All Data'!$A$3:$CW$999,96,FALSE),"unknown")</f>
        <v>Employed for wages</v>
      </c>
      <c r="BF393" s="120" t="str">
        <f>IFERROR(VLOOKUP(Table1[RespondentID],'All Data'!$A$3:$CW$999,97,FALSE),"unknown")</f>
        <v>Yes</v>
      </c>
      <c r="BG393" s="120" t="str">
        <f>IFERROR(VLOOKUP(Table1[RespondentID],'All Data'!$A$3:$CW$999,98,FALSE),"unknown")</f>
        <v>Private/Commercial</v>
      </c>
      <c r="BH393" s="120" t="str">
        <f>IFERROR(VLOOKUP(Table1[RespondentID],'All Data'!$A$3:$CW$999,99,FALSE),"unknown")</f>
        <v>Yes</v>
      </c>
    </row>
    <row r="394" spans="1:60">
      <c r="A394" s="141">
        <v>114086485509</v>
      </c>
      <c r="B394" s="137"/>
      <c r="C394" s="138"/>
      <c r="D394" s="138" t="s">
        <v>51</v>
      </c>
      <c r="E394" s="138"/>
      <c r="F394" s="138" t="s">
        <v>52</v>
      </c>
      <c r="G394" s="138"/>
      <c r="H394" s="138"/>
      <c r="I394" s="138" t="s">
        <v>55</v>
      </c>
      <c r="J394" s="138"/>
      <c r="K394" s="138"/>
      <c r="L394" s="138"/>
      <c r="M394" s="138"/>
      <c r="N394" s="138"/>
      <c r="O394" s="138"/>
      <c r="P394" s="138"/>
      <c r="Q394" s="138"/>
      <c r="R394" s="138" t="s">
        <v>62</v>
      </c>
      <c r="S394" s="138" t="s">
        <v>63</v>
      </c>
      <c r="T394" s="142"/>
      <c r="U394" s="143">
        <f t="shared" si="138"/>
        <v>5</v>
      </c>
      <c r="V394" s="143">
        <f t="shared" si="139"/>
        <v>0.6</v>
      </c>
      <c r="W394" s="142"/>
      <c r="X394" s="143">
        <f t="shared" si="140"/>
        <v>0</v>
      </c>
      <c r="Y394" s="143">
        <f t="shared" si="141"/>
        <v>0</v>
      </c>
      <c r="Z394" s="143">
        <f t="shared" si="142"/>
        <v>0.6</v>
      </c>
      <c r="AA394" s="143">
        <f t="shared" si="143"/>
        <v>0</v>
      </c>
      <c r="AB394" s="143">
        <f t="shared" si="144"/>
        <v>0.6</v>
      </c>
      <c r="AC394" s="143">
        <f t="shared" si="145"/>
        <v>0</v>
      </c>
      <c r="AD394" s="143">
        <f t="shared" si="146"/>
        <v>0</v>
      </c>
      <c r="AE394" s="143">
        <f t="shared" si="147"/>
        <v>0.6</v>
      </c>
      <c r="AF394" s="143">
        <f t="shared" si="148"/>
        <v>0</v>
      </c>
      <c r="AG394" s="143">
        <f t="shared" si="149"/>
        <v>0</v>
      </c>
      <c r="AH394" s="143">
        <f t="shared" si="150"/>
        <v>0</v>
      </c>
      <c r="AI394" s="143">
        <f t="shared" si="151"/>
        <v>0</v>
      </c>
      <c r="AJ394" s="143">
        <f t="shared" si="152"/>
        <v>0</v>
      </c>
      <c r="AK394" s="143">
        <f t="shared" si="153"/>
        <v>0</v>
      </c>
      <c r="AL394" s="143">
        <f t="shared" si="154"/>
        <v>0</v>
      </c>
      <c r="AM394" s="143">
        <f t="shared" si="155"/>
        <v>0</v>
      </c>
      <c r="AN394" s="143">
        <f t="shared" si="156"/>
        <v>0.6</v>
      </c>
      <c r="AO394" s="143">
        <f t="shared" si="157"/>
        <v>0.6</v>
      </c>
      <c r="AP394" s="142"/>
      <c r="AQ394" s="142"/>
      <c r="AR394" s="143">
        <f t="shared" si="158"/>
        <v>3</v>
      </c>
      <c r="AS394" s="143">
        <f t="shared" si="159"/>
        <v>5</v>
      </c>
      <c r="AT394" s="143" t="str">
        <f t="shared" si="160"/>
        <v>Correct</v>
      </c>
      <c r="AU394" s="142"/>
      <c r="AV394" s="120" t="str">
        <f>IFERROR(VLOOKUP(Table1[RespondentID],'All Data'!$A$3:$CO$999,87,FALSE),"unknown")</f>
        <v>Woman</v>
      </c>
      <c r="AW394" s="120">
        <f>IFERROR(VLOOKUP(Table1[RespondentID],'All Data'!$A$3:$CO$999,88,FALSE),"unknown")</f>
        <v>0</v>
      </c>
      <c r="AX394" s="120" t="str">
        <f>IFERROR(VLOOKUP(Table1[RespondentID],'All Data'!$A$3:$CO$999,89,FALSE),"unknown")</f>
        <v>Nassau</v>
      </c>
      <c r="AY394" s="120" t="str">
        <f>IFERROR(VLOOKUP(Table1[RespondentID],'All Data'!$A$3:$CO$999,90,FALSE),"unknown")</f>
        <v>Massapequa, 11758</v>
      </c>
      <c r="AZ394" s="120" t="str">
        <f>IFERROR(VLOOKUP(Table1[RespondentID],'All Data'!$A$3:$CO$999,91,FALSE),"unknown")</f>
        <v>White</v>
      </c>
      <c r="BA394" s="120" t="str">
        <f>IFERROR(VLOOKUP(Table1[RespondentID],'All Data'!$A$3:$CO$999,92,FALSE),"unknown")</f>
        <v>Not Hispanic or Latino</v>
      </c>
      <c r="BB394" s="120" t="str">
        <f>IFERROR(VLOOKUP(Table1[RespondentID],'All Data'!$A$3:$CO$999,93,FALSE),"unknown")</f>
        <v>English</v>
      </c>
      <c r="BC394" s="120" t="str">
        <f>IFERROR(VLOOKUP(Table1[RespondentID],'All Data'!$A$3:$CW$999,94,FALSE),"unknown")</f>
        <v>Over $125,000</v>
      </c>
      <c r="BD394" s="120" t="str">
        <f>IFERROR(VLOOKUP(Table1[RespondentID],'All Data'!$A$3:$CW$999,95,FALSE),"unknown")</f>
        <v>College graduate</v>
      </c>
      <c r="BE394" s="120" t="str">
        <f>IFERROR(VLOOKUP(Table1[RespondentID],'All Data'!$A$3:$CW$999,96,FALSE),"unknown")</f>
        <v>Employed for wages</v>
      </c>
      <c r="BF394" s="120" t="str">
        <f>IFERROR(VLOOKUP(Table1[RespondentID],'All Data'!$A$3:$CW$999,97,FALSE),"unknown")</f>
        <v>Yes</v>
      </c>
      <c r="BG394" s="120" t="str">
        <f>IFERROR(VLOOKUP(Table1[RespondentID],'All Data'!$A$3:$CW$999,98,FALSE),"unknown")</f>
        <v>Private/Commercial</v>
      </c>
      <c r="BH394" s="120" t="str">
        <f>IFERROR(VLOOKUP(Table1[RespondentID],'All Data'!$A$3:$CW$999,99,FALSE),"unknown")</f>
        <v>Yes</v>
      </c>
    </row>
    <row r="395" spans="1:60">
      <c r="A395" s="141">
        <v>114086434376</v>
      </c>
      <c r="B395" s="137" t="s">
        <v>49</v>
      </c>
      <c r="C395" s="138"/>
      <c r="D395" s="138" t="s">
        <v>51</v>
      </c>
      <c r="E395" s="138"/>
      <c r="F395" s="138" t="s">
        <v>52</v>
      </c>
      <c r="G395" s="138"/>
      <c r="H395" s="138"/>
      <c r="I395" s="138"/>
      <c r="J395" s="138"/>
      <c r="K395" s="138" t="s">
        <v>57</v>
      </c>
      <c r="L395" s="138" t="s">
        <v>58</v>
      </c>
      <c r="M395" s="138"/>
      <c r="N395" s="138" t="s">
        <v>24</v>
      </c>
      <c r="O395" s="138"/>
      <c r="P395" s="138" t="s">
        <v>60</v>
      </c>
      <c r="Q395" s="138" t="s">
        <v>61</v>
      </c>
      <c r="R395" s="138"/>
      <c r="S395" s="138" t="s">
        <v>63</v>
      </c>
      <c r="T395" s="142"/>
      <c r="U395" s="143">
        <f t="shared" si="138"/>
        <v>9</v>
      </c>
      <c r="V395" s="143">
        <f t="shared" si="139"/>
        <v>0.33333333333333331</v>
      </c>
      <c r="W395" s="142"/>
      <c r="X395" s="143">
        <f t="shared" si="140"/>
        <v>0.33333333333333331</v>
      </c>
      <c r="Y395" s="143">
        <f t="shared" si="141"/>
        <v>0</v>
      </c>
      <c r="Z395" s="143">
        <f t="shared" si="142"/>
        <v>0.33333333333333331</v>
      </c>
      <c r="AA395" s="143">
        <f t="shared" si="143"/>
        <v>0</v>
      </c>
      <c r="AB395" s="143">
        <f t="shared" si="144"/>
        <v>0.33333333333333331</v>
      </c>
      <c r="AC395" s="143">
        <f t="shared" si="145"/>
        <v>0</v>
      </c>
      <c r="AD395" s="143">
        <f t="shared" si="146"/>
        <v>0</v>
      </c>
      <c r="AE395" s="143">
        <f t="shared" si="147"/>
        <v>0</v>
      </c>
      <c r="AF395" s="143">
        <f t="shared" si="148"/>
        <v>0</v>
      </c>
      <c r="AG395" s="143">
        <f t="shared" si="149"/>
        <v>0.33333333333333331</v>
      </c>
      <c r="AH395" s="143">
        <f t="shared" si="150"/>
        <v>0.33333333333333331</v>
      </c>
      <c r="AI395" s="143">
        <f t="shared" si="151"/>
        <v>0</v>
      </c>
      <c r="AJ395" s="143">
        <f t="shared" si="152"/>
        <v>0.33333333333333331</v>
      </c>
      <c r="AK395" s="143">
        <f t="shared" si="153"/>
        <v>0</v>
      </c>
      <c r="AL395" s="143">
        <f t="shared" si="154"/>
        <v>0.33333333333333331</v>
      </c>
      <c r="AM395" s="143">
        <f t="shared" si="155"/>
        <v>0.33333333333333331</v>
      </c>
      <c r="AN395" s="143">
        <f t="shared" si="156"/>
        <v>0</v>
      </c>
      <c r="AO395" s="143">
        <f t="shared" si="157"/>
        <v>0.33333333333333331</v>
      </c>
      <c r="AP395" s="142"/>
      <c r="AQ395" s="142"/>
      <c r="AR395" s="143">
        <f t="shared" si="158"/>
        <v>3</v>
      </c>
      <c r="AS395" s="143">
        <f t="shared" si="159"/>
        <v>9</v>
      </c>
      <c r="AT395" s="143" t="str">
        <f t="shared" si="160"/>
        <v>Correct</v>
      </c>
      <c r="AU395" s="142"/>
      <c r="AV395" s="120" t="str">
        <f>IFERROR(VLOOKUP(Table1[RespondentID],'All Data'!$A$3:$CO$999,87,FALSE),"unknown")</f>
        <v>Woman</v>
      </c>
      <c r="AW395" s="120">
        <f>IFERROR(VLOOKUP(Table1[RespondentID],'All Data'!$A$3:$CO$999,88,FALSE),"unknown")</f>
        <v>0</v>
      </c>
      <c r="AX395" s="120" t="str">
        <f>IFERROR(VLOOKUP(Table1[RespondentID],'All Data'!$A$3:$CO$999,89,FALSE),"unknown")</f>
        <v>Nassau</v>
      </c>
      <c r="AY395" s="120" t="str">
        <f>IFERROR(VLOOKUP(Table1[RespondentID],'All Data'!$A$3:$CO$999,90,FALSE),"unknown")</f>
        <v>Long Beach, 11561</v>
      </c>
      <c r="AZ395" s="120" t="str">
        <f>IFERROR(VLOOKUP(Table1[RespondentID],'All Data'!$A$3:$CO$999,91,FALSE),"unknown")</f>
        <v>Two or more races</v>
      </c>
      <c r="BA395" s="120" t="str">
        <f>IFERROR(VLOOKUP(Table1[RespondentID],'All Data'!$A$3:$CO$999,92,FALSE),"unknown")</f>
        <v>Hispanic or Latino</v>
      </c>
      <c r="BB395" s="120" t="str">
        <f>IFERROR(VLOOKUP(Table1[RespondentID],'All Data'!$A$3:$CO$999,93,FALSE),"unknown")</f>
        <v>English</v>
      </c>
      <c r="BC395" s="120" t="str">
        <f>IFERROR(VLOOKUP(Table1[RespondentID],'All Data'!$A$3:$CW$999,94,FALSE),"unknown")</f>
        <v>$35,000 to $49,999</v>
      </c>
      <c r="BD395" s="120" t="str">
        <f>IFERROR(VLOOKUP(Table1[RespondentID],'All Data'!$A$3:$CW$999,95,FALSE),"unknown")</f>
        <v>Other (please specify)</v>
      </c>
      <c r="BE395" s="120" t="str">
        <f>IFERROR(VLOOKUP(Table1[RespondentID],'All Data'!$A$3:$CW$999,96,FALSE),"unknown")</f>
        <v>Employed for wages</v>
      </c>
      <c r="BF395" s="120" t="str">
        <f>IFERROR(VLOOKUP(Table1[RespondentID],'All Data'!$A$3:$CW$999,97,FALSE),"unknown")</f>
        <v>Yes</v>
      </c>
      <c r="BG395" s="120" t="str">
        <f>IFERROR(VLOOKUP(Table1[RespondentID],'All Data'!$A$3:$CW$999,98,FALSE),"unknown")</f>
        <v>Private/Commercial</v>
      </c>
      <c r="BH395" s="120" t="str">
        <f>IFERROR(VLOOKUP(Table1[RespondentID],'All Data'!$A$3:$CW$999,99,FALSE),"unknown")</f>
        <v>Yes</v>
      </c>
    </row>
    <row r="396" spans="1:60">
      <c r="A396" s="141">
        <v>114086430098</v>
      </c>
      <c r="B396" s="137"/>
      <c r="C396" s="138"/>
      <c r="D396" s="138" t="s">
        <v>51</v>
      </c>
      <c r="E396" s="138"/>
      <c r="F396" s="138"/>
      <c r="G396" s="138"/>
      <c r="H396" s="138"/>
      <c r="I396" s="138" t="s">
        <v>55</v>
      </c>
      <c r="J396" s="138"/>
      <c r="K396" s="138"/>
      <c r="L396" s="138"/>
      <c r="M396" s="138"/>
      <c r="N396" s="138"/>
      <c r="O396" s="138"/>
      <c r="P396" s="138"/>
      <c r="Q396" s="138"/>
      <c r="R396" s="138"/>
      <c r="S396" s="138"/>
      <c r="T396" s="142"/>
      <c r="U396" s="143">
        <f t="shared" si="138"/>
        <v>2</v>
      </c>
      <c r="V396" s="143">
        <f t="shared" si="139"/>
        <v>1.5</v>
      </c>
      <c r="W396" s="142"/>
      <c r="X396" s="143">
        <f t="shared" si="140"/>
        <v>0</v>
      </c>
      <c r="Y396" s="143">
        <f t="shared" si="141"/>
        <v>0</v>
      </c>
      <c r="Z396" s="143">
        <f t="shared" si="142"/>
        <v>1</v>
      </c>
      <c r="AA396" s="143">
        <f t="shared" si="143"/>
        <v>0</v>
      </c>
      <c r="AB396" s="143">
        <f t="shared" si="144"/>
        <v>0</v>
      </c>
      <c r="AC396" s="143">
        <f t="shared" si="145"/>
        <v>0</v>
      </c>
      <c r="AD396" s="143">
        <f t="shared" si="146"/>
        <v>0</v>
      </c>
      <c r="AE396" s="143">
        <f t="shared" si="147"/>
        <v>1</v>
      </c>
      <c r="AF396" s="143">
        <f t="shared" si="148"/>
        <v>0</v>
      </c>
      <c r="AG396" s="143">
        <f t="shared" si="149"/>
        <v>0</v>
      </c>
      <c r="AH396" s="143">
        <f t="shared" si="150"/>
        <v>0</v>
      </c>
      <c r="AI396" s="143">
        <f t="shared" si="151"/>
        <v>0</v>
      </c>
      <c r="AJ396" s="143">
        <f t="shared" si="152"/>
        <v>0</v>
      </c>
      <c r="AK396" s="143">
        <f t="shared" si="153"/>
        <v>0</v>
      </c>
      <c r="AL396" s="143">
        <f t="shared" si="154"/>
        <v>0</v>
      </c>
      <c r="AM396" s="143">
        <f t="shared" si="155"/>
        <v>0</v>
      </c>
      <c r="AN396" s="143">
        <f t="shared" si="156"/>
        <v>0</v>
      </c>
      <c r="AO396" s="143">
        <f t="shared" si="157"/>
        <v>0</v>
      </c>
      <c r="AP396" s="142"/>
      <c r="AQ396" s="142"/>
      <c r="AR396" s="143">
        <f t="shared" si="158"/>
        <v>2</v>
      </c>
      <c r="AS396" s="143">
        <f t="shared" si="159"/>
        <v>2</v>
      </c>
      <c r="AT396" s="143" t="str">
        <f t="shared" si="160"/>
        <v>Correct</v>
      </c>
      <c r="AU396" s="142"/>
      <c r="AV396" s="120" t="str">
        <f>IFERROR(VLOOKUP(Table1[RespondentID],'All Data'!$A$3:$CO$999,87,FALSE),"unknown")</f>
        <v>Woman</v>
      </c>
      <c r="AW396" s="120">
        <f>IFERROR(VLOOKUP(Table1[RespondentID],'All Data'!$A$3:$CO$999,88,FALSE),"unknown")</f>
        <v>0</v>
      </c>
      <c r="AX396" s="120" t="str">
        <f>IFERROR(VLOOKUP(Table1[RespondentID],'All Data'!$A$3:$CO$999,89,FALSE),"unknown")</f>
        <v>Nassau</v>
      </c>
      <c r="AY396" s="120" t="str">
        <f>IFERROR(VLOOKUP(Table1[RespondentID],'All Data'!$A$3:$CO$999,90,FALSE),"unknown")</f>
        <v>Rockville Centre, 11570</v>
      </c>
      <c r="AZ396" s="120" t="str">
        <f>IFERROR(VLOOKUP(Table1[RespondentID],'All Data'!$A$3:$CO$999,91,FALSE),"unknown")</f>
        <v>Asian</v>
      </c>
      <c r="BA396" s="120" t="str">
        <f>IFERROR(VLOOKUP(Table1[RespondentID],'All Data'!$A$3:$CO$999,92,FALSE),"unknown")</f>
        <v>Not Hispanic or Latino</v>
      </c>
      <c r="BB396" s="120" t="str">
        <f>IFERROR(VLOOKUP(Table1[RespondentID],'All Data'!$A$3:$CO$999,93,FALSE),"unknown")</f>
        <v>English</v>
      </c>
      <c r="BC396" s="120" t="str">
        <f>IFERROR(VLOOKUP(Table1[RespondentID],'All Data'!$A$3:$CW$999,94,FALSE),"unknown")</f>
        <v>$75,000 to $125,000</v>
      </c>
      <c r="BD396" s="120" t="str">
        <f>IFERROR(VLOOKUP(Table1[RespondentID],'All Data'!$A$3:$CW$999,95,FALSE),"unknown")</f>
        <v>Graduate school</v>
      </c>
      <c r="BE396" s="120" t="str">
        <f>IFERROR(VLOOKUP(Table1[RespondentID],'All Data'!$A$3:$CW$999,96,FALSE),"unknown")</f>
        <v>Employed for wages</v>
      </c>
      <c r="BF396" s="120" t="str">
        <f>IFERROR(VLOOKUP(Table1[RespondentID],'All Data'!$A$3:$CW$999,97,FALSE),"unknown")</f>
        <v>Yes</v>
      </c>
      <c r="BG396" s="120" t="str">
        <f>IFERROR(VLOOKUP(Table1[RespondentID],'All Data'!$A$3:$CW$999,98,FALSE),"unknown")</f>
        <v>Private/Commercial</v>
      </c>
      <c r="BH396" s="120" t="str">
        <f>IFERROR(VLOOKUP(Table1[RespondentID],'All Data'!$A$3:$CW$999,99,FALSE),"unknown")</f>
        <v>Yes</v>
      </c>
    </row>
    <row r="397" spans="1:60">
      <c r="A397" s="141">
        <v>114086397914</v>
      </c>
      <c r="B397" s="137"/>
      <c r="C397" s="138"/>
      <c r="D397" s="138" t="s">
        <v>51</v>
      </c>
      <c r="E397" s="138"/>
      <c r="F397" s="138"/>
      <c r="G397" s="138"/>
      <c r="H397" s="138"/>
      <c r="I397" s="138"/>
      <c r="J397" s="138"/>
      <c r="K397" s="138"/>
      <c r="L397" s="138"/>
      <c r="M397" s="138"/>
      <c r="N397" s="138"/>
      <c r="O397" s="138"/>
      <c r="P397" s="138"/>
      <c r="Q397" s="138"/>
      <c r="R397" s="138" t="s">
        <v>62</v>
      </c>
      <c r="S397" s="138" t="s">
        <v>63</v>
      </c>
      <c r="T397" s="142"/>
      <c r="U397" s="143">
        <f t="shared" si="138"/>
        <v>3</v>
      </c>
      <c r="V397" s="143">
        <f t="shared" si="139"/>
        <v>1</v>
      </c>
      <c r="W397" s="142"/>
      <c r="X397" s="143">
        <f t="shared" si="140"/>
        <v>0</v>
      </c>
      <c r="Y397" s="143">
        <f t="shared" si="141"/>
        <v>0</v>
      </c>
      <c r="Z397" s="143">
        <f t="shared" si="142"/>
        <v>1</v>
      </c>
      <c r="AA397" s="143">
        <f t="shared" si="143"/>
        <v>0</v>
      </c>
      <c r="AB397" s="143">
        <f t="shared" si="144"/>
        <v>0</v>
      </c>
      <c r="AC397" s="143">
        <f t="shared" si="145"/>
        <v>0</v>
      </c>
      <c r="AD397" s="143">
        <f t="shared" si="146"/>
        <v>0</v>
      </c>
      <c r="AE397" s="143">
        <f t="shared" si="147"/>
        <v>0</v>
      </c>
      <c r="AF397" s="143">
        <f t="shared" si="148"/>
        <v>0</v>
      </c>
      <c r="AG397" s="143">
        <f t="shared" si="149"/>
        <v>0</v>
      </c>
      <c r="AH397" s="143">
        <f t="shared" si="150"/>
        <v>0</v>
      </c>
      <c r="AI397" s="143">
        <f t="shared" si="151"/>
        <v>0</v>
      </c>
      <c r="AJ397" s="143">
        <f t="shared" si="152"/>
        <v>0</v>
      </c>
      <c r="AK397" s="143">
        <f t="shared" si="153"/>
        <v>0</v>
      </c>
      <c r="AL397" s="143">
        <f t="shared" si="154"/>
        <v>0</v>
      </c>
      <c r="AM397" s="143">
        <f t="shared" si="155"/>
        <v>0</v>
      </c>
      <c r="AN397" s="143">
        <f t="shared" si="156"/>
        <v>1</v>
      </c>
      <c r="AO397" s="143">
        <f t="shared" si="157"/>
        <v>1</v>
      </c>
      <c r="AP397" s="142"/>
      <c r="AQ397" s="142"/>
      <c r="AR397" s="143">
        <f t="shared" si="158"/>
        <v>3</v>
      </c>
      <c r="AS397" s="143">
        <f t="shared" si="159"/>
        <v>3</v>
      </c>
      <c r="AT397" s="143" t="str">
        <f t="shared" si="160"/>
        <v>Correct</v>
      </c>
      <c r="AU397" s="142"/>
      <c r="AV397" s="120" t="str">
        <f>IFERROR(VLOOKUP(Table1[RespondentID],'All Data'!$A$3:$CO$999,87,FALSE),"unknown")</f>
        <v>Woman</v>
      </c>
      <c r="AW397" s="120">
        <f>IFERROR(VLOOKUP(Table1[RespondentID],'All Data'!$A$3:$CO$999,88,FALSE),"unknown")</f>
        <v>0</v>
      </c>
      <c r="AX397" s="120" t="str">
        <f>IFERROR(VLOOKUP(Table1[RespondentID],'All Data'!$A$3:$CO$999,89,FALSE),"unknown")</f>
        <v>Suffolk</v>
      </c>
      <c r="AY397" s="120" t="str">
        <f>IFERROR(VLOOKUP(Table1[RespondentID],'All Data'!$A$3:$CO$999,90,FALSE),"unknown")</f>
        <v>Deer Park, 11729</v>
      </c>
      <c r="AZ397" s="120" t="str">
        <f>IFERROR(VLOOKUP(Table1[RespondentID],'All Data'!$A$3:$CO$999,91,FALSE),"unknown")</f>
        <v>White</v>
      </c>
      <c r="BA397" s="120" t="str">
        <f>IFERROR(VLOOKUP(Table1[RespondentID],'All Data'!$A$3:$CO$999,92,FALSE),"unknown")</f>
        <v>Unknown</v>
      </c>
      <c r="BB397" s="120" t="str">
        <f>IFERROR(VLOOKUP(Table1[RespondentID],'All Data'!$A$3:$CO$999,93,FALSE),"unknown")</f>
        <v>English</v>
      </c>
      <c r="BC397" s="120" t="str">
        <f>IFERROR(VLOOKUP(Table1[RespondentID],'All Data'!$A$3:$CW$999,94,FALSE),"unknown")</f>
        <v>$50,000 to $74,999</v>
      </c>
      <c r="BD397" s="120" t="str">
        <f>IFERROR(VLOOKUP(Table1[RespondentID],'All Data'!$A$3:$CW$999,95,FALSE),"unknown")</f>
        <v>Technical school</v>
      </c>
      <c r="BE397" s="120" t="str">
        <f>IFERROR(VLOOKUP(Table1[RespondentID],'All Data'!$A$3:$CW$999,96,FALSE),"unknown")</f>
        <v>Employed for wages</v>
      </c>
      <c r="BF397" s="120" t="str">
        <f>IFERROR(VLOOKUP(Table1[RespondentID],'All Data'!$A$3:$CW$999,97,FALSE),"unknown")</f>
        <v>Yes</v>
      </c>
      <c r="BG397" s="120" t="str">
        <f>IFERROR(VLOOKUP(Table1[RespondentID],'All Data'!$A$3:$CW$999,98,FALSE),"unknown")</f>
        <v>Private/Commercial</v>
      </c>
      <c r="BH397" s="120" t="str">
        <f>IFERROR(VLOOKUP(Table1[RespondentID],'All Data'!$A$3:$CW$999,99,FALSE),"unknown")</f>
        <v>Yes</v>
      </c>
    </row>
    <row r="398" spans="1:60">
      <c r="A398" s="141">
        <v>114086383426</v>
      </c>
      <c r="B398" s="137" t="s">
        <v>49</v>
      </c>
      <c r="C398" s="138" t="s">
        <v>50</v>
      </c>
      <c r="D398" s="138" t="s">
        <v>51</v>
      </c>
      <c r="E398" s="138" t="s">
        <v>17</v>
      </c>
      <c r="F398" s="138" t="s">
        <v>52</v>
      </c>
      <c r="G398" s="138" t="s">
        <v>53</v>
      </c>
      <c r="H398" s="138" t="s">
        <v>54</v>
      </c>
      <c r="I398" s="138" t="s">
        <v>55</v>
      </c>
      <c r="J398" s="138" t="s">
        <v>56</v>
      </c>
      <c r="K398" s="138" t="s">
        <v>57</v>
      </c>
      <c r="L398" s="138" t="s">
        <v>58</v>
      </c>
      <c r="M398" s="138" t="s">
        <v>59</v>
      </c>
      <c r="N398" s="138" t="s">
        <v>24</v>
      </c>
      <c r="O398" s="138" t="s">
        <v>20</v>
      </c>
      <c r="P398" s="138" t="s">
        <v>60</v>
      </c>
      <c r="Q398" s="138" t="s">
        <v>61</v>
      </c>
      <c r="R398" s="138" t="s">
        <v>62</v>
      </c>
      <c r="S398" s="138" t="s">
        <v>63</v>
      </c>
      <c r="T398" s="142"/>
      <c r="U398" s="143">
        <f t="shared" si="138"/>
        <v>18</v>
      </c>
      <c r="V398" s="143">
        <f t="shared" si="139"/>
        <v>0.16666666666666666</v>
      </c>
      <c r="W398" s="142"/>
      <c r="X398" s="143">
        <f t="shared" si="140"/>
        <v>0.16666666666666666</v>
      </c>
      <c r="Y398" s="143">
        <f t="shared" si="141"/>
        <v>0.16666666666666666</v>
      </c>
      <c r="Z398" s="143">
        <f t="shared" si="142"/>
        <v>0.16666666666666666</v>
      </c>
      <c r="AA398" s="143">
        <f t="shared" si="143"/>
        <v>0.16666666666666666</v>
      </c>
      <c r="AB398" s="143">
        <f t="shared" si="144"/>
        <v>0.16666666666666666</v>
      </c>
      <c r="AC398" s="143">
        <f t="shared" si="145"/>
        <v>0.16666666666666666</v>
      </c>
      <c r="AD398" s="143">
        <f t="shared" si="146"/>
        <v>0.16666666666666666</v>
      </c>
      <c r="AE398" s="143">
        <f t="shared" si="147"/>
        <v>0.16666666666666666</v>
      </c>
      <c r="AF398" s="143">
        <f t="shared" si="148"/>
        <v>0.16666666666666666</v>
      </c>
      <c r="AG398" s="143">
        <f t="shared" si="149"/>
        <v>0.16666666666666666</v>
      </c>
      <c r="AH398" s="143">
        <f t="shared" si="150"/>
        <v>0.16666666666666666</v>
      </c>
      <c r="AI398" s="143">
        <f t="shared" si="151"/>
        <v>0.16666666666666666</v>
      </c>
      <c r="AJ398" s="143">
        <f t="shared" si="152"/>
        <v>0.16666666666666666</v>
      </c>
      <c r="AK398" s="143">
        <f t="shared" si="153"/>
        <v>0.16666666666666666</v>
      </c>
      <c r="AL398" s="143">
        <f t="shared" si="154"/>
        <v>0.16666666666666666</v>
      </c>
      <c r="AM398" s="143">
        <f t="shared" si="155"/>
        <v>0.16666666666666666</v>
      </c>
      <c r="AN398" s="143">
        <f t="shared" si="156"/>
        <v>0.16666666666666666</v>
      </c>
      <c r="AO398" s="143">
        <f t="shared" si="157"/>
        <v>0.16666666666666666</v>
      </c>
      <c r="AP398" s="142"/>
      <c r="AQ398" s="142"/>
      <c r="AR398" s="143">
        <f t="shared" si="158"/>
        <v>2.9999999999999991</v>
      </c>
      <c r="AS398" s="143">
        <f t="shared" si="159"/>
        <v>18</v>
      </c>
      <c r="AT398" s="143" t="str">
        <f t="shared" si="160"/>
        <v>Correct</v>
      </c>
      <c r="AU398" s="142"/>
      <c r="AV398" s="120" t="str">
        <f>IFERROR(VLOOKUP(Table1[RespondentID],'All Data'!$A$3:$CO$999,87,FALSE),"unknown")</f>
        <v>Woman</v>
      </c>
      <c r="AW398" s="120">
        <f>IFERROR(VLOOKUP(Table1[RespondentID],'All Data'!$A$3:$CO$999,88,FALSE),"unknown")</f>
        <v>0</v>
      </c>
      <c r="AX398" s="120" t="str">
        <f>IFERROR(VLOOKUP(Table1[RespondentID],'All Data'!$A$3:$CO$999,89,FALSE),"unknown")</f>
        <v>Nassau</v>
      </c>
      <c r="AY398" s="120" t="str">
        <f>IFERROR(VLOOKUP(Table1[RespondentID],'All Data'!$A$3:$CO$999,90,FALSE),"unknown")</f>
        <v>Lynbrook, 11563</v>
      </c>
      <c r="AZ398" s="120">
        <f>IFERROR(VLOOKUP(Table1[RespondentID],'All Data'!$A$3:$CO$999,91,FALSE),"unknown")</f>
        <v>0</v>
      </c>
      <c r="BA398" s="120" t="str">
        <f>IFERROR(VLOOKUP(Table1[RespondentID],'All Data'!$A$3:$CO$999,92,FALSE),"unknown")</f>
        <v>Hispanic or Latino</v>
      </c>
      <c r="BB398" s="120" t="str">
        <f>IFERROR(VLOOKUP(Table1[RespondentID],'All Data'!$A$3:$CO$999,93,FALSE),"unknown")</f>
        <v>English,Spanish</v>
      </c>
      <c r="BC398" s="120" t="str">
        <f>IFERROR(VLOOKUP(Table1[RespondentID],'All Data'!$A$3:$CW$999,94,FALSE),"unknown")</f>
        <v>$35,000 to $49,999</v>
      </c>
      <c r="BD398" s="120" t="str">
        <f>IFERROR(VLOOKUP(Table1[RespondentID],'All Data'!$A$3:$CW$999,95,FALSE),"unknown")</f>
        <v>Some college</v>
      </c>
      <c r="BE398" s="120" t="str">
        <f>IFERROR(VLOOKUP(Table1[RespondentID],'All Data'!$A$3:$CW$999,96,FALSE),"unknown")</f>
        <v>Employed for wages</v>
      </c>
      <c r="BF398" s="120" t="str">
        <f>IFERROR(VLOOKUP(Table1[RespondentID],'All Data'!$A$3:$CW$999,97,FALSE),"unknown")</f>
        <v>Yes</v>
      </c>
      <c r="BG398" s="120" t="str">
        <f>IFERROR(VLOOKUP(Table1[RespondentID],'All Data'!$A$3:$CW$999,98,FALSE),"unknown")</f>
        <v>Private/Commercial</v>
      </c>
      <c r="BH398" s="120" t="str">
        <f>IFERROR(VLOOKUP(Table1[RespondentID],'All Data'!$A$3:$CW$999,99,FALSE),"unknown")</f>
        <v>Yes</v>
      </c>
    </row>
    <row r="399" spans="1:60">
      <c r="A399" s="141">
        <v>114086379762</v>
      </c>
      <c r="B399" s="137"/>
      <c r="C399" s="138"/>
      <c r="D399" s="138" t="s">
        <v>51</v>
      </c>
      <c r="E399" s="138"/>
      <c r="F399" s="138"/>
      <c r="G399" s="138"/>
      <c r="H399" s="138"/>
      <c r="I399" s="138"/>
      <c r="J399" s="138"/>
      <c r="K399" s="138"/>
      <c r="L399" s="138"/>
      <c r="M399" s="138" t="s">
        <v>59</v>
      </c>
      <c r="N399" s="138"/>
      <c r="O399" s="138"/>
      <c r="P399" s="138"/>
      <c r="Q399" s="138"/>
      <c r="R399" s="138"/>
      <c r="S399" s="138" t="s">
        <v>63</v>
      </c>
      <c r="T399" s="142"/>
      <c r="U399" s="143">
        <f t="shared" si="138"/>
        <v>3</v>
      </c>
      <c r="V399" s="143">
        <f t="shared" si="139"/>
        <v>1</v>
      </c>
      <c r="W399" s="142"/>
      <c r="X399" s="143">
        <f t="shared" si="140"/>
        <v>0</v>
      </c>
      <c r="Y399" s="143">
        <f t="shared" si="141"/>
        <v>0</v>
      </c>
      <c r="Z399" s="143">
        <f t="shared" si="142"/>
        <v>1</v>
      </c>
      <c r="AA399" s="143">
        <f t="shared" si="143"/>
        <v>0</v>
      </c>
      <c r="AB399" s="143">
        <f t="shared" si="144"/>
        <v>0</v>
      </c>
      <c r="AC399" s="143">
        <f t="shared" si="145"/>
        <v>0</v>
      </c>
      <c r="AD399" s="143">
        <f t="shared" si="146"/>
        <v>0</v>
      </c>
      <c r="AE399" s="143">
        <f t="shared" si="147"/>
        <v>0</v>
      </c>
      <c r="AF399" s="143">
        <f t="shared" si="148"/>
        <v>0</v>
      </c>
      <c r="AG399" s="143">
        <f t="shared" si="149"/>
        <v>0</v>
      </c>
      <c r="AH399" s="143">
        <f t="shared" si="150"/>
        <v>0</v>
      </c>
      <c r="AI399" s="143">
        <f t="shared" si="151"/>
        <v>1</v>
      </c>
      <c r="AJ399" s="143">
        <f t="shared" si="152"/>
        <v>0</v>
      </c>
      <c r="AK399" s="143">
        <f t="shared" si="153"/>
        <v>0</v>
      </c>
      <c r="AL399" s="143">
        <f t="shared" si="154"/>
        <v>0</v>
      </c>
      <c r="AM399" s="143">
        <f t="shared" si="155"/>
        <v>0</v>
      </c>
      <c r="AN399" s="143">
        <f t="shared" si="156"/>
        <v>0</v>
      </c>
      <c r="AO399" s="143">
        <f t="shared" si="157"/>
        <v>1</v>
      </c>
      <c r="AP399" s="142"/>
      <c r="AQ399" s="142"/>
      <c r="AR399" s="143">
        <f t="shared" si="158"/>
        <v>3</v>
      </c>
      <c r="AS399" s="143">
        <f t="shared" si="159"/>
        <v>3</v>
      </c>
      <c r="AT399" s="143" t="str">
        <f t="shared" si="160"/>
        <v>Correct</v>
      </c>
      <c r="AU399" s="142"/>
      <c r="AV399" s="120" t="str">
        <f>IFERROR(VLOOKUP(Table1[RespondentID],'All Data'!$A$3:$CO$999,87,FALSE),"unknown")</f>
        <v>Woman</v>
      </c>
      <c r="AW399" s="120">
        <f>IFERROR(VLOOKUP(Table1[RespondentID],'All Data'!$A$3:$CO$999,88,FALSE),"unknown")</f>
        <v>0</v>
      </c>
      <c r="AX399" s="120" t="str">
        <f>IFERROR(VLOOKUP(Table1[RespondentID],'All Data'!$A$3:$CO$999,89,FALSE),"unknown")</f>
        <v>Nassau</v>
      </c>
      <c r="AY399" s="120" t="str">
        <f>IFERROR(VLOOKUP(Table1[RespondentID],'All Data'!$A$3:$CO$999,90,FALSE),"unknown")</f>
        <v>Massapequa, 11758</v>
      </c>
      <c r="AZ399" s="120">
        <f>IFERROR(VLOOKUP(Table1[RespondentID],'All Data'!$A$3:$CO$999,91,FALSE),"unknown")</f>
        <v>0</v>
      </c>
      <c r="BA399" s="120" t="str">
        <f>IFERROR(VLOOKUP(Table1[RespondentID],'All Data'!$A$3:$CO$999,92,FALSE),"unknown")</f>
        <v>Not Hispanic or Latino</v>
      </c>
      <c r="BB399" s="120" t="str">
        <f>IFERROR(VLOOKUP(Table1[RespondentID],'All Data'!$A$3:$CO$999,93,FALSE),"unknown")</f>
        <v>English</v>
      </c>
      <c r="BC399" s="120" t="str">
        <f>IFERROR(VLOOKUP(Table1[RespondentID],'All Data'!$A$3:$CW$999,94,FALSE),"unknown")</f>
        <v>Over $125,000</v>
      </c>
      <c r="BD399" s="120" t="str">
        <f>IFERROR(VLOOKUP(Table1[RespondentID],'All Data'!$A$3:$CW$999,95,FALSE),"unknown")</f>
        <v>Graduate school</v>
      </c>
      <c r="BE399" s="120" t="str">
        <f>IFERROR(VLOOKUP(Table1[RespondentID],'All Data'!$A$3:$CW$999,96,FALSE),"unknown")</f>
        <v>Employed for wages</v>
      </c>
      <c r="BF399" s="120" t="str">
        <f>IFERROR(VLOOKUP(Table1[RespondentID],'All Data'!$A$3:$CW$999,97,FALSE),"unknown")</f>
        <v>Yes</v>
      </c>
      <c r="BG399" s="120" t="str">
        <f>IFERROR(VLOOKUP(Table1[RespondentID],'All Data'!$A$3:$CW$999,98,FALSE),"unknown")</f>
        <v>Private/Commercial</v>
      </c>
      <c r="BH399" s="120" t="str">
        <f>IFERROR(VLOOKUP(Table1[RespondentID],'All Data'!$A$3:$CW$999,99,FALSE),"unknown")</f>
        <v>Yes</v>
      </c>
    </row>
    <row r="400" spans="1:60">
      <c r="A400" s="141">
        <v>114086370794</v>
      </c>
      <c r="B400" s="137"/>
      <c r="C400" s="138"/>
      <c r="D400" s="138" t="s">
        <v>51</v>
      </c>
      <c r="E400" s="138"/>
      <c r="F400" s="138"/>
      <c r="G400" s="138" t="s">
        <v>53</v>
      </c>
      <c r="H400" s="138"/>
      <c r="I400" s="138" t="s">
        <v>55</v>
      </c>
      <c r="J400" s="138"/>
      <c r="K400" s="138"/>
      <c r="L400" s="138"/>
      <c r="M400" s="138"/>
      <c r="N400" s="138"/>
      <c r="O400" s="138"/>
      <c r="P400" s="138"/>
      <c r="Q400" s="138"/>
      <c r="R400" s="138"/>
      <c r="S400" s="138"/>
      <c r="T400" s="142"/>
      <c r="U400" s="143">
        <f t="shared" si="138"/>
        <v>3</v>
      </c>
      <c r="V400" s="143">
        <f t="shared" si="139"/>
        <v>1</v>
      </c>
      <c r="W400" s="142"/>
      <c r="X400" s="143">
        <f t="shared" si="140"/>
        <v>0</v>
      </c>
      <c r="Y400" s="143">
        <f t="shared" si="141"/>
        <v>0</v>
      </c>
      <c r="Z400" s="143">
        <f t="shared" si="142"/>
        <v>1</v>
      </c>
      <c r="AA400" s="143">
        <f t="shared" si="143"/>
        <v>0</v>
      </c>
      <c r="AB400" s="143">
        <f t="shared" si="144"/>
        <v>0</v>
      </c>
      <c r="AC400" s="143">
        <f t="shared" si="145"/>
        <v>1</v>
      </c>
      <c r="AD400" s="143">
        <f t="shared" si="146"/>
        <v>0</v>
      </c>
      <c r="AE400" s="143">
        <f t="shared" si="147"/>
        <v>1</v>
      </c>
      <c r="AF400" s="143">
        <f t="shared" si="148"/>
        <v>0</v>
      </c>
      <c r="AG400" s="143">
        <f t="shared" si="149"/>
        <v>0</v>
      </c>
      <c r="AH400" s="143">
        <f t="shared" si="150"/>
        <v>0</v>
      </c>
      <c r="AI400" s="143">
        <f t="shared" si="151"/>
        <v>0</v>
      </c>
      <c r="AJ400" s="143">
        <f t="shared" si="152"/>
        <v>0</v>
      </c>
      <c r="AK400" s="143">
        <f t="shared" si="153"/>
        <v>0</v>
      </c>
      <c r="AL400" s="143">
        <f t="shared" si="154"/>
        <v>0</v>
      </c>
      <c r="AM400" s="143">
        <f t="shared" si="155"/>
        <v>0</v>
      </c>
      <c r="AN400" s="143">
        <f t="shared" si="156"/>
        <v>0</v>
      </c>
      <c r="AO400" s="143">
        <f t="shared" si="157"/>
        <v>0</v>
      </c>
      <c r="AP400" s="142"/>
      <c r="AQ400" s="142"/>
      <c r="AR400" s="143">
        <f t="shared" si="158"/>
        <v>3</v>
      </c>
      <c r="AS400" s="143">
        <f t="shared" si="159"/>
        <v>3</v>
      </c>
      <c r="AT400" s="143" t="str">
        <f t="shared" si="160"/>
        <v>Correct</v>
      </c>
      <c r="AU400" s="142"/>
      <c r="AV400" s="120" t="str">
        <f>IFERROR(VLOOKUP(Table1[RespondentID],'All Data'!$A$3:$CO$999,87,FALSE),"unknown")</f>
        <v>Woman</v>
      </c>
      <c r="AW400" s="120">
        <f>IFERROR(VLOOKUP(Table1[RespondentID],'All Data'!$A$3:$CO$999,88,FALSE),"unknown")</f>
        <v>0</v>
      </c>
      <c r="AX400" s="120" t="str">
        <f>IFERROR(VLOOKUP(Table1[RespondentID],'All Data'!$A$3:$CO$999,89,FALSE),"unknown")</f>
        <v>Queens</v>
      </c>
      <c r="AY400" s="120">
        <f>IFERROR(VLOOKUP(Table1[RespondentID],'All Data'!$A$3:$CO$999,90,FALSE),"unknown")</f>
        <v>11414</v>
      </c>
      <c r="AZ400" s="120">
        <f>IFERROR(VLOOKUP(Table1[RespondentID],'All Data'!$A$3:$CO$999,91,FALSE),"unknown")</f>
        <v>0</v>
      </c>
      <c r="BA400" s="120" t="str">
        <f>IFERROR(VLOOKUP(Table1[RespondentID],'All Data'!$A$3:$CO$999,92,FALSE),"unknown")</f>
        <v>Hispanic or Latino</v>
      </c>
      <c r="BB400" s="120" t="str">
        <f>IFERROR(VLOOKUP(Table1[RespondentID],'All Data'!$A$3:$CO$999,93,FALSE),"unknown")</f>
        <v>English,Spanish,Italian</v>
      </c>
      <c r="BC400" s="120" t="str">
        <f>IFERROR(VLOOKUP(Table1[RespondentID],'All Data'!$A$3:$CW$999,94,FALSE),"unknown")</f>
        <v>$50,000 to $74,999</v>
      </c>
      <c r="BD400" s="120" t="str">
        <f>IFERROR(VLOOKUP(Table1[RespondentID],'All Data'!$A$3:$CW$999,95,FALSE),"unknown")</f>
        <v>Some college</v>
      </c>
      <c r="BE400" s="120" t="str">
        <f>IFERROR(VLOOKUP(Table1[RespondentID],'All Data'!$A$3:$CW$999,96,FALSE),"unknown")</f>
        <v>Employed for wages</v>
      </c>
      <c r="BF400" s="120" t="str">
        <f>IFERROR(VLOOKUP(Table1[RespondentID],'All Data'!$A$3:$CW$999,97,FALSE),"unknown")</f>
        <v>No, but I did in the past</v>
      </c>
      <c r="BG400" s="120" t="str">
        <f>IFERROR(VLOOKUP(Table1[RespondentID],'All Data'!$A$3:$CW$999,98,FALSE),"unknown")</f>
        <v>No Insurance</v>
      </c>
      <c r="BH400" s="120" t="str">
        <f>IFERROR(VLOOKUP(Table1[RespondentID],'All Data'!$A$3:$CW$999,99,FALSE),"unknown")</f>
        <v>Yes</v>
      </c>
    </row>
    <row r="401" spans="1:60">
      <c r="A401" s="141">
        <v>114086141494</v>
      </c>
      <c r="B401" s="137"/>
      <c r="C401" s="138"/>
      <c r="D401" s="138" t="s">
        <v>51</v>
      </c>
      <c r="E401" s="138"/>
      <c r="F401" s="138"/>
      <c r="G401" s="138"/>
      <c r="H401" s="138"/>
      <c r="I401" s="138" t="s">
        <v>55</v>
      </c>
      <c r="J401" s="138"/>
      <c r="K401" s="138"/>
      <c r="L401" s="138"/>
      <c r="M401" s="138"/>
      <c r="N401" s="138"/>
      <c r="O401" s="138"/>
      <c r="P401" s="138"/>
      <c r="Q401" s="138"/>
      <c r="R401" s="138"/>
      <c r="S401" s="138"/>
      <c r="T401" s="142"/>
      <c r="U401" s="143">
        <f t="shared" si="138"/>
        <v>2</v>
      </c>
      <c r="V401" s="143">
        <f t="shared" si="139"/>
        <v>1.5</v>
      </c>
      <c r="W401" s="142"/>
      <c r="X401" s="143">
        <f t="shared" si="140"/>
        <v>0</v>
      </c>
      <c r="Y401" s="143">
        <f t="shared" si="141"/>
        <v>0</v>
      </c>
      <c r="Z401" s="143">
        <f t="shared" si="142"/>
        <v>1</v>
      </c>
      <c r="AA401" s="143">
        <f t="shared" si="143"/>
        <v>0</v>
      </c>
      <c r="AB401" s="143">
        <f t="shared" si="144"/>
        <v>0</v>
      </c>
      <c r="AC401" s="143">
        <f t="shared" si="145"/>
        <v>0</v>
      </c>
      <c r="AD401" s="143">
        <f t="shared" si="146"/>
        <v>0</v>
      </c>
      <c r="AE401" s="143">
        <f t="shared" si="147"/>
        <v>1</v>
      </c>
      <c r="AF401" s="143">
        <f t="shared" si="148"/>
        <v>0</v>
      </c>
      <c r="AG401" s="143">
        <f t="shared" si="149"/>
        <v>0</v>
      </c>
      <c r="AH401" s="143">
        <f t="shared" si="150"/>
        <v>0</v>
      </c>
      <c r="AI401" s="143">
        <f t="shared" si="151"/>
        <v>0</v>
      </c>
      <c r="AJ401" s="143">
        <f t="shared" si="152"/>
        <v>0</v>
      </c>
      <c r="AK401" s="143">
        <f t="shared" si="153"/>
        <v>0</v>
      </c>
      <c r="AL401" s="143">
        <f t="shared" si="154"/>
        <v>0</v>
      </c>
      <c r="AM401" s="143">
        <f t="shared" si="155"/>
        <v>0</v>
      </c>
      <c r="AN401" s="143">
        <f t="shared" si="156"/>
        <v>0</v>
      </c>
      <c r="AO401" s="143">
        <f t="shared" si="157"/>
        <v>0</v>
      </c>
      <c r="AP401" s="142"/>
      <c r="AQ401" s="142"/>
      <c r="AR401" s="143">
        <f t="shared" si="158"/>
        <v>2</v>
      </c>
      <c r="AS401" s="143">
        <f t="shared" si="159"/>
        <v>2</v>
      </c>
      <c r="AT401" s="143" t="str">
        <f t="shared" si="160"/>
        <v>Correct</v>
      </c>
      <c r="AU401" s="142"/>
      <c r="AV401" s="120" t="str">
        <f>IFERROR(VLOOKUP(Table1[RespondentID],'All Data'!$A$3:$CO$999,87,FALSE),"unknown")</f>
        <v>Man</v>
      </c>
      <c r="AW401" s="120">
        <f>IFERROR(VLOOKUP(Table1[RespondentID],'All Data'!$A$3:$CO$999,88,FALSE),"unknown")</f>
        <v>0</v>
      </c>
      <c r="AX401" s="120" t="str">
        <f>IFERROR(VLOOKUP(Table1[RespondentID],'All Data'!$A$3:$CO$999,89,FALSE),"unknown")</f>
        <v>Suffolk</v>
      </c>
      <c r="AY401" s="120" t="str">
        <f>IFERROR(VLOOKUP(Table1[RespondentID],'All Data'!$A$3:$CO$999,90,FALSE),"unknown")</f>
        <v>Islip, 11751</v>
      </c>
      <c r="AZ401" s="120">
        <f>IFERROR(VLOOKUP(Table1[RespondentID],'All Data'!$A$3:$CO$999,91,FALSE),"unknown")</f>
        <v>0</v>
      </c>
      <c r="BA401" s="120" t="str">
        <f>IFERROR(VLOOKUP(Table1[RespondentID],'All Data'!$A$3:$CO$999,92,FALSE),"unknown")</f>
        <v>Not Hispanic or Latino</v>
      </c>
      <c r="BB401" s="120" t="str">
        <f>IFERROR(VLOOKUP(Table1[RespondentID],'All Data'!$A$3:$CO$999,93,FALSE),"unknown")</f>
        <v>English</v>
      </c>
      <c r="BC401" s="120" t="str">
        <f>IFERROR(VLOOKUP(Table1[RespondentID],'All Data'!$A$3:$CW$999,94,FALSE),"unknown")</f>
        <v>$35,000 to $49,999</v>
      </c>
      <c r="BD401" s="120" t="str">
        <f>IFERROR(VLOOKUP(Table1[RespondentID],'All Data'!$A$3:$CW$999,95,FALSE),"unknown")</f>
        <v>Doctorate</v>
      </c>
      <c r="BE401" s="120" t="str">
        <f>IFERROR(VLOOKUP(Table1[RespondentID],'All Data'!$A$3:$CW$999,96,FALSE),"unknown")</f>
        <v>Employed for wages</v>
      </c>
      <c r="BF401" s="120" t="str">
        <f>IFERROR(VLOOKUP(Table1[RespondentID],'All Data'!$A$3:$CW$999,97,FALSE),"unknown")</f>
        <v>Yes</v>
      </c>
      <c r="BG401" s="120" t="str">
        <f>IFERROR(VLOOKUP(Table1[RespondentID],'All Data'!$A$3:$CW$999,98,FALSE),"unknown")</f>
        <v>Private/Commercial</v>
      </c>
      <c r="BH401" s="120" t="str">
        <f>IFERROR(VLOOKUP(Table1[RespondentID],'All Data'!$A$3:$CW$999,99,FALSE),"unknown")</f>
        <v>Yes</v>
      </c>
    </row>
    <row r="402" spans="1:60">
      <c r="A402" s="141">
        <v>114086076324</v>
      </c>
      <c r="B402" s="137"/>
      <c r="C402" s="138"/>
      <c r="D402" s="138"/>
      <c r="E402" s="138" t="s">
        <v>17</v>
      </c>
      <c r="F402" s="138"/>
      <c r="G402" s="138"/>
      <c r="H402" s="138"/>
      <c r="I402" s="138"/>
      <c r="J402" s="138"/>
      <c r="K402" s="138"/>
      <c r="L402" s="138"/>
      <c r="M402" s="138"/>
      <c r="N402" s="138"/>
      <c r="O402" s="138"/>
      <c r="P402" s="138"/>
      <c r="Q402" s="138"/>
      <c r="R402" s="138"/>
      <c r="S402" s="138"/>
      <c r="T402" s="142"/>
      <c r="U402" s="143">
        <f t="shared" si="138"/>
        <v>1</v>
      </c>
      <c r="V402" s="143">
        <f t="shared" si="139"/>
        <v>3</v>
      </c>
      <c r="W402" s="142"/>
      <c r="X402" s="143">
        <f t="shared" si="140"/>
        <v>0</v>
      </c>
      <c r="Y402" s="143">
        <f t="shared" si="141"/>
        <v>0</v>
      </c>
      <c r="Z402" s="143">
        <f t="shared" si="142"/>
        <v>0</v>
      </c>
      <c r="AA402" s="143">
        <f t="shared" si="143"/>
        <v>1</v>
      </c>
      <c r="AB402" s="143">
        <f t="shared" si="144"/>
        <v>0</v>
      </c>
      <c r="AC402" s="143">
        <f t="shared" si="145"/>
        <v>0</v>
      </c>
      <c r="AD402" s="143">
        <f t="shared" si="146"/>
        <v>0</v>
      </c>
      <c r="AE402" s="143">
        <f t="shared" si="147"/>
        <v>0</v>
      </c>
      <c r="AF402" s="143">
        <f t="shared" si="148"/>
        <v>0</v>
      </c>
      <c r="AG402" s="143">
        <f t="shared" si="149"/>
        <v>0</v>
      </c>
      <c r="AH402" s="143">
        <f t="shared" si="150"/>
        <v>0</v>
      </c>
      <c r="AI402" s="143">
        <f t="shared" si="151"/>
        <v>0</v>
      </c>
      <c r="AJ402" s="143">
        <f t="shared" si="152"/>
        <v>0</v>
      </c>
      <c r="AK402" s="143">
        <f t="shared" si="153"/>
        <v>0</v>
      </c>
      <c r="AL402" s="143">
        <f t="shared" si="154"/>
        <v>0</v>
      </c>
      <c r="AM402" s="143">
        <f t="shared" si="155"/>
        <v>0</v>
      </c>
      <c r="AN402" s="143">
        <f t="shared" si="156"/>
        <v>0</v>
      </c>
      <c r="AO402" s="143">
        <f t="shared" si="157"/>
        <v>0</v>
      </c>
      <c r="AP402" s="142"/>
      <c r="AQ402" s="142"/>
      <c r="AR402" s="143">
        <f t="shared" si="158"/>
        <v>1</v>
      </c>
      <c r="AS402" s="143">
        <f t="shared" si="159"/>
        <v>1</v>
      </c>
      <c r="AT402" s="143" t="str">
        <f t="shared" si="160"/>
        <v>Correct</v>
      </c>
      <c r="AU402" s="142"/>
      <c r="AV402" s="120" t="str">
        <f>IFERROR(VLOOKUP(Table1[RespondentID],'All Data'!$A$3:$CO$999,87,FALSE),"unknown")</f>
        <v>Woman</v>
      </c>
      <c r="AW402" s="120">
        <f>IFERROR(VLOOKUP(Table1[RespondentID],'All Data'!$A$3:$CO$999,88,FALSE),"unknown")</f>
        <v>0</v>
      </c>
      <c r="AX402" s="120" t="str">
        <f>IFERROR(VLOOKUP(Table1[RespondentID],'All Data'!$A$3:$CO$999,89,FALSE),"unknown")</f>
        <v>Nassau</v>
      </c>
      <c r="AY402" s="120" t="str">
        <f>IFERROR(VLOOKUP(Table1[RespondentID],'All Data'!$A$3:$CO$999,90,FALSE),"unknown")</f>
        <v>Seaford, 11783</v>
      </c>
      <c r="AZ402" s="120">
        <f>IFERROR(VLOOKUP(Table1[RespondentID],'All Data'!$A$3:$CO$999,91,FALSE),"unknown")</f>
        <v>0</v>
      </c>
      <c r="BA402" s="120" t="str">
        <f>IFERROR(VLOOKUP(Table1[RespondentID],'All Data'!$A$3:$CO$999,92,FALSE),"unknown")</f>
        <v>Not Hispanic or Latino</v>
      </c>
      <c r="BB402" s="120" t="str">
        <f>IFERROR(VLOOKUP(Table1[RespondentID],'All Data'!$A$3:$CO$999,93,FALSE),"unknown")</f>
        <v>English</v>
      </c>
      <c r="BC402" s="120" t="str">
        <f>IFERROR(VLOOKUP(Table1[RespondentID],'All Data'!$A$3:$CW$999,94,FALSE),"unknown")</f>
        <v>Over $125,000</v>
      </c>
      <c r="BD402" s="120" t="str">
        <f>IFERROR(VLOOKUP(Table1[RespondentID],'All Data'!$A$3:$CW$999,95,FALSE),"unknown")</f>
        <v>College graduate</v>
      </c>
      <c r="BE402" s="120" t="str">
        <f>IFERROR(VLOOKUP(Table1[RespondentID],'All Data'!$A$3:$CW$999,96,FALSE),"unknown")</f>
        <v>Employed for wages</v>
      </c>
      <c r="BF402" s="120" t="str">
        <f>IFERROR(VLOOKUP(Table1[RespondentID],'All Data'!$A$3:$CW$999,97,FALSE),"unknown")</f>
        <v>Yes</v>
      </c>
      <c r="BG402" s="120" t="str">
        <f>IFERROR(VLOOKUP(Table1[RespondentID],'All Data'!$A$3:$CW$999,98,FALSE),"unknown")</f>
        <v>Private/Commercial</v>
      </c>
      <c r="BH402" s="120" t="str">
        <f>IFERROR(VLOOKUP(Table1[RespondentID],'All Data'!$A$3:$CW$999,99,FALSE),"unknown")</f>
        <v>Yes</v>
      </c>
    </row>
    <row r="403" spans="1:60">
      <c r="A403" s="141">
        <v>114086069086</v>
      </c>
      <c r="B403" s="137" t="s">
        <v>49</v>
      </c>
      <c r="C403" s="138"/>
      <c r="D403" s="138"/>
      <c r="E403" s="138"/>
      <c r="F403" s="138"/>
      <c r="G403" s="138"/>
      <c r="H403" s="138"/>
      <c r="I403" s="138"/>
      <c r="J403" s="138"/>
      <c r="K403" s="138" t="s">
        <v>57</v>
      </c>
      <c r="L403" s="138" t="s">
        <v>58</v>
      </c>
      <c r="M403" s="138"/>
      <c r="N403" s="138"/>
      <c r="O403" s="138"/>
      <c r="P403" s="138"/>
      <c r="Q403" s="138"/>
      <c r="R403" s="138"/>
      <c r="S403" s="138"/>
      <c r="T403" s="142"/>
      <c r="U403" s="143">
        <f t="shared" si="138"/>
        <v>3</v>
      </c>
      <c r="V403" s="143">
        <f t="shared" si="139"/>
        <v>1</v>
      </c>
      <c r="W403" s="142"/>
      <c r="X403" s="143">
        <f t="shared" si="140"/>
        <v>1</v>
      </c>
      <c r="Y403" s="143">
        <f t="shared" si="141"/>
        <v>0</v>
      </c>
      <c r="Z403" s="143">
        <f t="shared" si="142"/>
        <v>0</v>
      </c>
      <c r="AA403" s="143">
        <f t="shared" si="143"/>
        <v>0</v>
      </c>
      <c r="AB403" s="143">
        <f t="shared" si="144"/>
        <v>0</v>
      </c>
      <c r="AC403" s="143">
        <f t="shared" si="145"/>
        <v>0</v>
      </c>
      <c r="AD403" s="143">
        <f t="shared" si="146"/>
        <v>0</v>
      </c>
      <c r="AE403" s="143">
        <f t="shared" si="147"/>
        <v>0</v>
      </c>
      <c r="AF403" s="143">
        <f t="shared" si="148"/>
        <v>0</v>
      </c>
      <c r="AG403" s="143">
        <f t="shared" si="149"/>
        <v>1</v>
      </c>
      <c r="AH403" s="143">
        <f t="shared" si="150"/>
        <v>1</v>
      </c>
      <c r="AI403" s="143">
        <f t="shared" si="151"/>
        <v>0</v>
      </c>
      <c r="AJ403" s="143">
        <f t="shared" si="152"/>
        <v>0</v>
      </c>
      <c r="AK403" s="143">
        <f t="shared" si="153"/>
        <v>0</v>
      </c>
      <c r="AL403" s="143">
        <f t="shared" si="154"/>
        <v>0</v>
      </c>
      <c r="AM403" s="143">
        <f t="shared" si="155"/>
        <v>0</v>
      </c>
      <c r="AN403" s="143">
        <f t="shared" si="156"/>
        <v>0</v>
      </c>
      <c r="AO403" s="143">
        <f t="shared" si="157"/>
        <v>0</v>
      </c>
      <c r="AP403" s="142"/>
      <c r="AQ403" s="142"/>
      <c r="AR403" s="143">
        <f t="shared" si="158"/>
        <v>3</v>
      </c>
      <c r="AS403" s="143">
        <f t="shared" si="159"/>
        <v>3</v>
      </c>
      <c r="AT403" s="143" t="str">
        <f t="shared" si="160"/>
        <v>Correct</v>
      </c>
      <c r="AU403" s="142"/>
      <c r="AV403" s="120" t="str">
        <f>IFERROR(VLOOKUP(Table1[RespondentID],'All Data'!$A$3:$CO$999,87,FALSE),"unknown")</f>
        <v>Woman</v>
      </c>
      <c r="AW403" s="120">
        <f>IFERROR(VLOOKUP(Table1[RespondentID],'All Data'!$A$3:$CO$999,88,FALSE),"unknown")</f>
        <v>0</v>
      </c>
      <c r="AX403" s="120" t="str">
        <f>IFERROR(VLOOKUP(Table1[RespondentID],'All Data'!$A$3:$CO$999,89,FALSE),"unknown")</f>
        <v>Nassau</v>
      </c>
      <c r="AY403" s="120" t="str">
        <f>IFERROR(VLOOKUP(Table1[RespondentID],'All Data'!$A$3:$CO$999,90,FALSE),"unknown")</f>
        <v>Garden City, 11530</v>
      </c>
      <c r="AZ403" s="120">
        <f>IFERROR(VLOOKUP(Table1[RespondentID],'All Data'!$A$3:$CO$999,91,FALSE),"unknown")</f>
        <v>0</v>
      </c>
      <c r="BA403" s="120" t="str">
        <f>IFERROR(VLOOKUP(Table1[RespondentID],'All Data'!$A$3:$CO$999,92,FALSE),"unknown")</f>
        <v>Not Hispanic or Latino</v>
      </c>
      <c r="BB403" s="120" t="str">
        <f>IFERROR(VLOOKUP(Table1[RespondentID],'All Data'!$A$3:$CO$999,93,FALSE),"unknown")</f>
        <v>English</v>
      </c>
      <c r="BC403" s="120" t="str">
        <f>IFERROR(VLOOKUP(Table1[RespondentID],'All Data'!$A$3:$CW$999,94,FALSE),"unknown")</f>
        <v>Over $125,000</v>
      </c>
      <c r="BD403" s="120" t="str">
        <f>IFERROR(VLOOKUP(Table1[RespondentID],'All Data'!$A$3:$CW$999,95,FALSE),"unknown")</f>
        <v>Graduate school</v>
      </c>
      <c r="BE403" s="120" t="str">
        <f>IFERROR(VLOOKUP(Table1[RespondentID],'All Data'!$A$3:$CW$999,96,FALSE),"unknown")</f>
        <v>Employed for wages</v>
      </c>
      <c r="BF403" s="120" t="str">
        <f>IFERROR(VLOOKUP(Table1[RespondentID],'All Data'!$A$3:$CW$999,97,FALSE),"unknown")</f>
        <v>Yes</v>
      </c>
      <c r="BG403" s="120" t="str">
        <f>IFERROR(VLOOKUP(Table1[RespondentID],'All Data'!$A$3:$CW$999,98,FALSE),"unknown")</f>
        <v>Private/Commercial</v>
      </c>
      <c r="BH403" s="120" t="str">
        <f>IFERROR(VLOOKUP(Table1[RespondentID],'All Data'!$A$3:$CW$999,99,FALSE),"unknown")</f>
        <v>Yes</v>
      </c>
    </row>
    <row r="404" spans="1:60">
      <c r="A404" s="141">
        <v>114086062451</v>
      </c>
      <c r="B404" s="137"/>
      <c r="C404" s="138"/>
      <c r="D404" s="138" t="s">
        <v>51</v>
      </c>
      <c r="E404" s="138"/>
      <c r="F404" s="138"/>
      <c r="G404" s="138" t="s">
        <v>53</v>
      </c>
      <c r="H404" s="138"/>
      <c r="I404" s="138" t="s">
        <v>55</v>
      </c>
      <c r="J404" s="138"/>
      <c r="K404" s="138"/>
      <c r="L404" s="138"/>
      <c r="M404" s="138"/>
      <c r="N404" s="138"/>
      <c r="O404" s="138"/>
      <c r="P404" s="138"/>
      <c r="Q404" s="138"/>
      <c r="R404" s="138"/>
      <c r="S404" s="138"/>
      <c r="T404" s="142"/>
      <c r="U404" s="143">
        <f t="shared" si="138"/>
        <v>3</v>
      </c>
      <c r="V404" s="143">
        <f t="shared" si="139"/>
        <v>1</v>
      </c>
      <c r="W404" s="142"/>
      <c r="X404" s="143">
        <f t="shared" si="140"/>
        <v>0</v>
      </c>
      <c r="Y404" s="143">
        <f t="shared" si="141"/>
        <v>0</v>
      </c>
      <c r="Z404" s="143">
        <f t="shared" si="142"/>
        <v>1</v>
      </c>
      <c r="AA404" s="143">
        <f t="shared" si="143"/>
        <v>0</v>
      </c>
      <c r="AB404" s="143">
        <f t="shared" si="144"/>
        <v>0</v>
      </c>
      <c r="AC404" s="143">
        <f t="shared" si="145"/>
        <v>1</v>
      </c>
      <c r="AD404" s="143">
        <f t="shared" si="146"/>
        <v>0</v>
      </c>
      <c r="AE404" s="143">
        <f t="shared" si="147"/>
        <v>1</v>
      </c>
      <c r="AF404" s="143">
        <f t="shared" si="148"/>
        <v>0</v>
      </c>
      <c r="AG404" s="143">
        <f t="shared" si="149"/>
        <v>0</v>
      </c>
      <c r="AH404" s="143">
        <f t="shared" si="150"/>
        <v>0</v>
      </c>
      <c r="AI404" s="143">
        <f t="shared" si="151"/>
        <v>0</v>
      </c>
      <c r="AJ404" s="143">
        <f t="shared" si="152"/>
        <v>0</v>
      </c>
      <c r="AK404" s="143">
        <f t="shared" si="153"/>
        <v>0</v>
      </c>
      <c r="AL404" s="143">
        <f t="shared" si="154"/>
        <v>0</v>
      </c>
      <c r="AM404" s="143">
        <f t="shared" si="155"/>
        <v>0</v>
      </c>
      <c r="AN404" s="143">
        <f t="shared" si="156"/>
        <v>0</v>
      </c>
      <c r="AO404" s="143">
        <f t="shared" si="157"/>
        <v>0</v>
      </c>
      <c r="AP404" s="142"/>
      <c r="AQ404" s="142"/>
      <c r="AR404" s="143">
        <f t="shared" si="158"/>
        <v>3</v>
      </c>
      <c r="AS404" s="143">
        <f t="shared" si="159"/>
        <v>3</v>
      </c>
      <c r="AT404" s="143" t="str">
        <f t="shared" si="160"/>
        <v>Correct</v>
      </c>
      <c r="AU404" s="142"/>
      <c r="AV404" s="120" t="str">
        <f>IFERROR(VLOOKUP(Table1[RespondentID],'All Data'!$A$3:$CO$999,87,FALSE),"unknown")</f>
        <v>Woman</v>
      </c>
      <c r="AW404" s="120">
        <f>IFERROR(VLOOKUP(Table1[RespondentID],'All Data'!$A$3:$CO$999,88,FALSE),"unknown")</f>
        <v>0</v>
      </c>
      <c r="AX404" s="120" t="str">
        <f>IFERROR(VLOOKUP(Table1[RespondentID],'All Data'!$A$3:$CO$999,89,FALSE),"unknown")</f>
        <v>Nassau</v>
      </c>
      <c r="AY404" s="120" t="str">
        <f>IFERROR(VLOOKUP(Table1[RespondentID],'All Data'!$A$3:$CO$999,90,FALSE),"unknown")</f>
        <v>Freeport, 11520</v>
      </c>
      <c r="AZ404" s="120">
        <f>IFERROR(VLOOKUP(Table1[RespondentID],'All Data'!$A$3:$CO$999,91,FALSE),"unknown")</f>
        <v>0</v>
      </c>
      <c r="BA404" s="120" t="str">
        <f>IFERROR(VLOOKUP(Table1[RespondentID],'All Data'!$A$3:$CO$999,92,FALSE),"unknown")</f>
        <v>Not Hispanic or Latino</v>
      </c>
      <c r="BB404" s="120" t="str">
        <f>IFERROR(VLOOKUP(Table1[RespondentID],'All Data'!$A$3:$CO$999,93,FALSE),"unknown")</f>
        <v>English,Haitian Creole,French Creole</v>
      </c>
      <c r="BC404" s="120" t="str">
        <f>IFERROR(VLOOKUP(Table1[RespondentID],'All Data'!$A$3:$CW$999,94,FALSE),"unknown")</f>
        <v>Over $125,000</v>
      </c>
      <c r="BD404" s="120" t="str">
        <f>IFERROR(VLOOKUP(Table1[RespondentID],'All Data'!$A$3:$CW$999,95,FALSE),"unknown")</f>
        <v>Doctorate</v>
      </c>
      <c r="BE404" s="120" t="str">
        <f>IFERROR(VLOOKUP(Table1[RespondentID],'All Data'!$A$3:$CW$999,96,FALSE),"unknown")</f>
        <v>Employed for wages</v>
      </c>
      <c r="BF404" s="120" t="str">
        <f>IFERROR(VLOOKUP(Table1[RespondentID],'All Data'!$A$3:$CW$999,97,FALSE),"unknown")</f>
        <v>Yes</v>
      </c>
      <c r="BG404" s="120" t="str">
        <f>IFERROR(VLOOKUP(Table1[RespondentID],'All Data'!$A$3:$CW$999,98,FALSE),"unknown")</f>
        <v>Private/Commercial</v>
      </c>
      <c r="BH404" s="120" t="str">
        <f>IFERROR(VLOOKUP(Table1[RespondentID],'All Data'!$A$3:$CW$999,99,FALSE),"unknown")</f>
        <v>Yes</v>
      </c>
    </row>
    <row r="405" spans="1:60">
      <c r="A405" s="141">
        <v>114085969464</v>
      </c>
      <c r="B405" s="137"/>
      <c r="C405" s="138"/>
      <c r="D405" s="138" t="s">
        <v>51</v>
      </c>
      <c r="E405" s="138" t="s">
        <v>17</v>
      </c>
      <c r="F405" s="138"/>
      <c r="G405" s="138"/>
      <c r="H405" s="138"/>
      <c r="I405" s="138"/>
      <c r="J405" s="138"/>
      <c r="K405" s="138"/>
      <c r="L405" s="138"/>
      <c r="M405" s="138"/>
      <c r="N405" s="138" t="s">
        <v>24</v>
      </c>
      <c r="O405" s="138"/>
      <c r="P405" s="138"/>
      <c r="Q405" s="138"/>
      <c r="R405" s="138"/>
      <c r="S405" s="138"/>
      <c r="T405" s="142"/>
      <c r="U405" s="143">
        <f t="shared" si="138"/>
        <v>3</v>
      </c>
      <c r="V405" s="143">
        <f t="shared" si="139"/>
        <v>1</v>
      </c>
      <c r="W405" s="142"/>
      <c r="X405" s="143">
        <f t="shared" si="140"/>
        <v>0</v>
      </c>
      <c r="Y405" s="143">
        <f t="shared" si="141"/>
        <v>0</v>
      </c>
      <c r="Z405" s="143">
        <f t="shared" si="142"/>
        <v>1</v>
      </c>
      <c r="AA405" s="143">
        <f t="shared" si="143"/>
        <v>1</v>
      </c>
      <c r="AB405" s="143">
        <f t="shared" si="144"/>
        <v>0</v>
      </c>
      <c r="AC405" s="143">
        <f t="shared" si="145"/>
        <v>0</v>
      </c>
      <c r="AD405" s="143">
        <f t="shared" si="146"/>
        <v>0</v>
      </c>
      <c r="AE405" s="143">
        <f t="shared" si="147"/>
        <v>0</v>
      </c>
      <c r="AF405" s="143">
        <f t="shared" si="148"/>
        <v>0</v>
      </c>
      <c r="AG405" s="143">
        <f t="shared" si="149"/>
        <v>0</v>
      </c>
      <c r="AH405" s="143">
        <f t="shared" si="150"/>
        <v>0</v>
      </c>
      <c r="AI405" s="143">
        <f t="shared" si="151"/>
        <v>0</v>
      </c>
      <c r="AJ405" s="143">
        <f t="shared" si="152"/>
        <v>1</v>
      </c>
      <c r="AK405" s="143">
        <f t="shared" si="153"/>
        <v>0</v>
      </c>
      <c r="AL405" s="143">
        <f t="shared" si="154"/>
        <v>0</v>
      </c>
      <c r="AM405" s="143">
        <f t="shared" si="155"/>
        <v>0</v>
      </c>
      <c r="AN405" s="143">
        <f t="shared" si="156"/>
        <v>0</v>
      </c>
      <c r="AO405" s="143">
        <f t="shared" si="157"/>
        <v>0</v>
      </c>
      <c r="AP405" s="142"/>
      <c r="AQ405" s="142"/>
      <c r="AR405" s="143">
        <f t="shared" si="158"/>
        <v>3</v>
      </c>
      <c r="AS405" s="143">
        <f t="shared" si="159"/>
        <v>3</v>
      </c>
      <c r="AT405" s="143" t="str">
        <f t="shared" si="160"/>
        <v>Correct</v>
      </c>
      <c r="AU405" s="142"/>
      <c r="AV405" s="120" t="str">
        <f>IFERROR(VLOOKUP(Table1[RespondentID],'All Data'!$A$3:$CO$999,87,FALSE),"unknown")</f>
        <v>Man</v>
      </c>
      <c r="AW405" s="120">
        <f>IFERROR(VLOOKUP(Table1[RespondentID],'All Data'!$A$3:$CO$999,88,FALSE),"unknown")</f>
        <v>0</v>
      </c>
      <c r="AX405" s="120" t="str">
        <f>IFERROR(VLOOKUP(Table1[RespondentID],'All Data'!$A$3:$CO$999,89,FALSE),"unknown")</f>
        <v>Suffolk</v>
      </c>
      <c r="AY405" s="120" t="str">
        <f>IFERROR(VLOOKUP(Table1[RespondentID],'All Data'!$A$3:$CO$999,90,FALSE),"unknown")</f>
        <v>Babylon, 11704</v>
      </c>
      <c r="AZ405" s="120">
        <f>IFERROR(VLOOKUP(Table1[RespondentID],'All Data'!$A$3:$CO$999,91,FALSE),"unknown")</f>
        <v>0</v>
      </c>
      <c r="BA405" s="120">
        <f>IFERROR(VLOOKUP(Table1[RespondentID],'All Data'!$A$3:$CO$999,92,FALSE),"unknown")</f>
        <v>0</v>
      </c>
      <c r="BB405" s="120" t="str">
        <f>IFERROR(VLOOKUP(Table1[RespondentID],'All Data'!$A$3:$CO$999,93,FALSE),"unknown")</f>
        <v>English</v>
      </c>
      <c r="BC405" s="120" t="str">
        <f>IFERROR(VLOOKUP(Table1[RespondentID],'All Data'!$A$3:$CW$999,94,FALSE),"unknown")</f>
        <v>Over $125,000</v>
      </c>
      <c r="BD405" s="120" t="str">
        <f>IFERROR(VLOOKUP(Table1[RespondentID],'All Data'!$A$3:$CW$999,95,FALSE),"unknown")</f>
        <v>College graduate</v>
      </c>
      <c r="BE405" s="120" t="str">
        <f>IFERROR(VLOOKUP(Table1[RespondentID],'All Data'!$A$3:$CW$999,96,FALSE),"unknown")</f>
        <v>Employed for wages</v>
      </c>
      <c r="BF405" s="120" t="str">
        <f>IFERROR(VLOOKUP(Table1[RespondentID],'All Data'!$A$3:$CW$999,97,FALSE),"unknown")</f>
        <v>Yes</v>
      </c>
      <c r="BG405" s="120" t="str">
        <f>IFERROR(VLOOKUP(Table1[RespondentID],'All Data'!$A$3:$CW$999,98,FALSE),"unknown")</f>
        <v>Private/Commercial</v>
      </c>
      <c r="BH405" s="120" t="str">
        <f>IFERROR(VLOOKUP(Table1[RespondentID],'All Data'!$A$3:$CW$999,99,FALSE),"unknown")</f>
        <v>Yes</v>
      </c>
    </row>
    <row r="406" spans="1:60">
      <c r="A406" s="141">
        <v>114085966921</v>
      </c>
      <c r="B406" s="137"/>
      <c r="C406" s="138" t="s">
        <v>50</v>
      </c>
      <c r="D406" s="138"/>
      <c r="E406" s="138" t="s">
        <v>17</v>
      </c>
      <c r="F406" s="138"/>
      <c r="G406" s="138"/>
      <c r="H406" s="138"/>
      <c r="I406" s="138"/>
      <c r="J406" s="138"/>
      <c r="K406" s="138"/>
      <c r="L406" s="138"/>
      <c r="M406" s="138"/>
      <c r="N406" s="138"/>
      <c r="O406" s="138"/>
      <c r="P406" s="138"/>
      <c r="Q406" s="138"/>
      <c r="R406" s="138"/>
      <c r="S406" s="138" t="s">
        <v>63</v>
      </c>
      <c r="T406" s="142"/>
      <c r="U406" s="143">
        <f t="shared" si="138"/>
        <v>3</v>
      </c>
      <c r="V406" s="143">
        <f t="shared" si="139"/>
        <v>1</v>
      </c>
      <c r="W406" s="142"/>
      <c r="X406" s="143">
        <f t="shared" si="140"/>
        <v>0</v>
      </c>
      <c r="Y406" s="143">
        <f t="shared" si="141"/>
        <v>1</v>
      </c>
      <c r="Z406" s="143">
        <f t="shared" si="142"/>
        <v>0</v>
      </c>
      <c r="AA406" s="143">
        <f t="shared" si="143"/>
        <v>1</v>
      </c>
      <c r="AB406" s="143">
        <f t="shared" si="144"/>
        <v>0</v>
      </c>
      <c r="AC406" s="143">
        <f t="shared" si="145"/>
        <v>0</v>
      </c>
      <c r="AD406" s="143">
        <f t="shared" si="146"/>
        <v>0</v>
      </c>
      <c r="AE406" s="143">
        <f t="shared" si="147"/>
        <v>0</v>
      </c>
      <c r="AF406" s="143">
        <f t="shared" si="148"/>
        <v>0</v>
      </c>
      <c r="AG406" s="143">
        <f t="shared" si="149"/>
        <v>0</v>
      </c>
      <c r="AH406" s="143">
        <f t="shared" si="150"/>
        <v>0</v>
      </c>
      <c r="AI406" s="143">
        <f t="shared" si="151"/>
        <v>0</v>
      </c>
      <c r="AJ406" s="143">
        <f t="shared" si="152"/>
        <v>0</v>
      </c>
      <c r="AK406" s="143">
        <f t="shared" si="153"/>
        <v>0</v>
      </c>
      <c r="AL406" s="143">
        <f t="shared" si="154"/>
        <v>0</v>
      </c>
      <c r="AM406" s="143">
        <f t="shared" si="155"/>
        <v>0</v>
      </c>
      <c r="AN406" s="143">
        <f t="shared" si="156"/>
        <v>0</v>
      </c>
      <c r="AO406" s="143">
        <f t="shared" si="157"/>
        <v>1</v>
      </c>
      <c r="AP406" s="142"/>
      <c r="AQ406" s="142"/>
      <c r="AR406" s="143">
        <f t="shared" si="158"/>
        <v>3</v>
      </c>
      <c r="AS406" s="143">
        <f t="shared" si="159"/>
        <v>3</v>
      </c>
      <c r="AT406" s="143" t="str">
        <f t="shared" si="160"/>
        <v>Correct</v>
      </c>
      <c r="AU406" s="142"/>
      <c r="AV406" s="120" t="str">
        <f>IFERROR(VLOOKUP(Table1[RespondentID],'All Data'!$A$3:$CO$999,87,FALSE),"unknown")</f>
        <v>Woman</v>
      </c>
      <c r="AW406" s="120">
        <f>IFERROR(VLOOKUP(Table1[RespondentID],'All Data'!$A$3:$CO$999,88,FALSE),"unknown")</f>
        <v>0</v>
      </c>
      <c r="AX406" s="120" t="str">
        <f>IFERROR(VLOOKUP(Table1[RespondentID],'All Data'!$A$3:$CO$999,89,FALSE),"unknown")</f>
        <v>Nassau</v>
      </c>
      <c r="AY406" s="120" t="str">
        <f>IFERROR(VLOOKUP(Table1[RespondentID],'All Data'!$A$3:$CO$999,90,FALSE),"unknown")</f>
        <v>Massapequa, 11758</v>
      </c>
      <c r="AZ406" s="120">
        <f>IFERROR(VLOOKUP(Table1[RespondentID],'All Data'!$A$3:$CO$999,91,FALSE),"unknown")</f>
        <v>0</v>
      </c>
      <c r="BA406" s="120" t="str">
        <f>IFERROR(VLOOKUP(Table1[RespondentID],'All Data'!$A$3:$CO$999,92,FALSE),"unknown")</f>
        <v>Not Hispanic or Latino</v>
      </c>
      <c r="BB406" s="120" t="str">
        <f>IFERROR(VLOOKUP(Table1[RespondentID],'All Data'!$A$3:$CO$999,93,FALSE),"unknown")</f>
        <v>English</v>
      </c>
      <c r="BC406" s="120" t="str">
        <f>IFERROR(VLOOKUP(Table1[RespondentID],'All Data'!$A$3:$CW$999,94,FALSE),"unknown")</f>
        <v>Over $125,000</v>
      </c>
      <c r="BD406" s="120" t="str">
        <f>IFERROR(VLOOKUP(Table1[RespondentID],'All Data'!$A$3:$CW$999,95,FALSE),"unknown")</f>
        <v>College graduate</v>
      </c>
      <c r="BE406" s="120" t="str">
        <f>IFERROR(VLOOKUP(Table1[RespondentID],'All Data'!$A$3:$CW$999,96,FALSE),"unknown")</f>
        <v>Employed for wages</v>
      </c>
      <c r="BF406" s="120" t="str">
        <f>IFERROR(VLOOKUP(Table1[RespondentID],'All Data'!$A$3:$CW$999,97,FALSE),"unknown")</f>
        <v>Yes</v>
      </c>
      <c r="BG406" s="120" t="str">
        <f>IFERROR(VLOOKUP(Table1[RespondentID],'All Data'!$A$3:$CW$999,98,FALSE),"unknown")</f>
        <v>Private/Commercial</v>
      </c>
      <c r="BH406" s="120" t="str">
        <f>IFERROR(VLOOKUP(Table1[RespondentID],'All Data'!$A$3:$CW$999,99,FALSE),"unknown")</f>
        <v>Yes</v>
      </c>
    </row>
    <row r="407" spans="1:60">
      <c r="A407" s="141">
        <v>114085904332</v>
      </c>
      <c r="B407" s="137"/>
      <c r="C407" s="138" t="s">
        <v>50</v>
      </c>
      <c r="D407" s="138"/>
      <c r="E407" s="138"/>
      <c r="F407" s="138"/>
      <c r="G407" s="138" t="s">
        <v>53</v>
      </c>
      <c r="H407" s="138"/>
      <c r="I407" s="138" t="s">
        <v>55</v>
      </c>
      <c r="J407" s="138"/>
      <c r="K407" s="138" t="s">
        <v>57</v>
      </c>
      <c r="L407" s="138"/>
      <c r="M407" s="138"/>
      <c r="N407" s="138"/>
      <c r="O407" s="138"/>
      <c r="P407" s="138"/>
      <c r="Q407" s="138"/>
      <c r="R407" s="138"/>
      <c r="S407" s="138"/>
      <c r="T407" s="142"/>
      <c r="U407" s="143">
        <f t="shared" si="138"/>
        <v>4</v>
      </c>
      <c r="V407" s="143">
        <f t="shared" si="139"/>
        <v>0.75</v>
      </c>
      <c r="W407" s="142"/>
      <c r="X407" s="143">
        <f t="shared" si="140"/>
        <v>0</v>
      </c>
      <c r="Y407" s="143">
        <f t="shared" si="141"/>
        <v>0.75</v>
      </c>
      <c r="Z407" s="143">
        <f t="shared" si="142"/>
        <v>0</v>
      </c>
      <c r="AA407" s="143">
        <f t="shared" si="143"/>
        <v>0</v>
      </c>
      <c r="AB407" s="143">
        <f t="shared" si="144"/>
        <v>0</v>
      </c>
      <c r="AC407" s="143">
        <f t="shared" si="145"/>
        <v>0.75</v>
      </c>
      <c r="AD407" s="143">
        <f t="shared" si="146"/>
        <v>0</v>
      </c>
      <c r="AE407" s="143">
        <f t="shared" si="147"/>
        <v>0.75</v>
      </c>
      <c r="AF407" s="143">
        <f t="shared" si="148"/>
        <v>0</v>
      </c>
      <c r="AG407" s="143">
        <f t="shared" si="149"/>
        <v>0.75</v>
      </c>
      <c r="AH407" s="143">
        <f t="shared" si="150"/>
        <v>0</v>
      </c>
      <c r="AI407" s="143">
        <f t="shared" si="151"/>
        <v>0</v>
      </c>
      <c r="AJ407" s="143">
        <f t="shared" si="152"/>
        <v>0</v>
      </c>
      <c r="AK407" s="143">
        <f t="shared" si="153"/>
        <v>0</v>
      </c>
      <c r="AL407" s="143">
        <f t="shared" si="154"/>
        <v>0</v>
      </c>
      <c r="AM407" s="143">
        <f t="shared" si="155"/>
        <v>0</v>
      </c>
      <c r="AN407" s="143">
        <f t="shared" si="156"/>
        <v>0</v>
      </c>
      <c r="AO407" s="143">
        <f t="shared" si="157"/>
        <v>0</v>
      </c>
      <c r="AP407" s="142"/>
      <c r="AQ407" s="142"/>
      <c r="AR407" s="143">
        <f t="shared" si="158"/>
        <v>3</v>
      </c>
      <c r="AS407" s="143">
        <f t="shared" si="159"/>
        <v>4</v>
      </c>
      <c r="AT407" s="143" t="str">
        <f t="shared" si="160"/>
        <v>Correct</v>
      </c>
      <c r="AU407" s="142"/>
      <c r="AV407" s="120" t="str">
        <f>IFERROR(VLOOKUP(Table1[RespondentID],'All Data'!$A$3:$CO$999,87,FALSE),"unknown")</f>
        <v>Woman</v>
      </c>
      <c r="AW407" s="120">
        <f>IFERROR(VLOOKUP(Table1[RespondentID],'All Data'!$A$3:$CO$999,88,FALSE),"unknown")</f>
        <v>0</v>
      </c>
      <c r="AX407" s="120" t="str">
        <f>IFERROR(VLOOKUP(Table1[RespondentID],'All Data'!$A$3:$CO$999,89,FALSE),"unknown")</f>
        <v>Nassau</v>
      </c>
      <c r="AY407" s="120" t="str">
        <f>IFERROR(VLOOKUP(Table1[RespondentID],'All Data'!$A$3:$CO$999,90,FALSE),"unknown")</f>
        <v>Hempstead, 11550</v>
      </c>
      <c r="AZ407" s="120">
        <f>IFERROR(VLOOKUP(Table1[RespondentID],'All Data'!$A$3:$CO$999,91,FALSE),"unknown")</f>
        <v>0</v>
      </c>
      <c r="BA407" s="120">
        <f>IFERROR(VLOOKUP(Table1[RespondentID],'All Data'!$A$3:$CO$999,92,FALSE),"unknown")</f>
        <v>0</v>
      </c>
      <c r="BB407" s="120">
        <f>IFERROR(VLOOKUP(Table1[RespondentID],'All Data'!$A$3:$CO$999,93,FALSE),"unknown")</f>
        <v>0</v>
      </c>
      <c r="BC407" s="120">
        <f>IFERROR(VLOOKUP(Table1[RespondentID],'All Data'!$A$3:$CW$999,94,FALSE),"unknown")</f>
        <v>0</v>
      </c>
      <c r="BD407" s="120">
        <f>IFERROR(VLOOKUP(Table1[RespondentID],'All Data'!$A$3:$CW$999,95,FALSE),"unknown")</f>
        <v>0</v>
      </c>
      <c r="BE407" s="120">
        <f>IFERROR(VLOOKUP(Table1[RespondentID],'All Data'!$A$3:$CW$999,96,FALSE),"unknown")</f>
        <v>0</v>
      </c>
      <c r="BF407" s="120">
        <f>IFERROR(VLOOKUP(Table1[RespondentID],'All Data'!$A$3:$CW$999,97,FALSE),"unknown")</f>
        <v>0</v>
      </c>
      <c r="BG407" s="120">
        <f>IFERROR(VLOOKUP(Table1[RespondentID],'All Data'!$A$3:$CW$999,98,FALSE),"unknown")</f>
        <v>0</v>
      </c>
      <c r="BH407" s="120">
        <f>IFERROR(VLOOKUP(Table1[RespondentID],'All Data'!$A$3:$CW$999,99,FALSE),"unknown")</f>
        <v>0</v>
      </c>
    </row>
    <row r="408" spans="1:60">
      <c r="A408" s="141">
        <v>114085903127</v>
      </c>
      <c r="B408" s="137"/>
      <c r="C408" s="138"/>
      <c r="D408" s="138" t="s">
        <v>51</v>
      </c>
      <c r="E408" s="138"/>
      <c r="F408" s="138"/>
      <c r="G408" s="138" t="s">
        <v>53</v>
      </c>
      <c r="H408" s="138"/>
      <c r="I408" s="138" t="s">
        <v>55</v>
      </c>
      <c r="J408" s="138"/>
      <c r="K408" s="138"/>
      <c r="L408" s="138"/>
      <c r="M408" s="138"/>
      <c r="N408" s="138" t="s">
        <v>24</v>
      </c>
      <c r="O408" s="138"/>
      <c r="P408" s="138" t="s">
        <v>60</v>
      </c>
      <c r="Q408" s="138"/>
      <c r="R408" s="138"/>
      <c r="S408" s="138"/>
      <c r="T408" s="142"/>
      <c r="U408" s="143">
        <f t="shared" si="138"/>
        <v>5</v>
      </c>
      <c r="V408" s="143">
        <f t="shared" si="139"/>
        <v>0.6</v>
      </c>
      <c r="W408" s="142"/>
      <c r="X408" s="143">
        <f t="shared" si="140"/>
        <v>0</v>
      </c>
      <c r="Y408" s="143">
        <f t="shared" si="141"/>
        <v>0</v>
      </c>
      <c r="Z408" s="143">
        <f t="shared" si="142"/>
        <v>0.6</v>
      </c>
      <c r="AA408" s="143">
        <f t="shared" si="143"/>
        <v>0</v>
      </c>
      <c r="AB408" s="143">
        <f t="shared" si="144"/>
        <v>0</v>
      </c>
      <c r="AC408" s="143">
        <f t="shared" si="145"/>
        <v>0.6</v>
      </c>
      <c r="AD408" s="143">
        <f t="shared" si="146"/>
        <v>0</v>
      </c>
      <c r="AE408" s="143">
        <f t="shared" si="147"/>
        <v>0.6</v>
      </c>
      <c r="AF408" s="143">
        <f t="shared" si="148"/>
        <v>0</v>
      </c>
      <c r="AG408" s="143">
        <f t="shared" si="149"/>
        <v>0</v>
      </c>
      <c r="AH408" s="143">
        <f t="shared" si="150"/>
        <v>0</v>
      </c>
      <c r="AI408" s="143">
        <f t="shared" si="151"/>
        <v>0</v>
      </c>
      <c r="AJ408" s="143">
        <f t="shared" si="152"/>
        <v>0.6</v>
      </c>
      <c r="AK408" s="143">
        <f t="shared" si="153"/>
        <v>0</v>
      </c>
      <c r="AL408" s="143">
        <f t="shared" si="154"/>
        <v>0.6</v>
      </c>
      <c r="AM408" s="143">
        <f t="shared" si="155"/>
        <v>0</v>
      </c>
      <c r="AN408" s="143">
        <f t="shared" si="156"/>
        <v>0</v>
      </c>
      <c r="AO408" s="143">
        <f t="shared" si="157"/>
        <v>0</v>
      </c>
      <c r="AP408" s="142"/>
      <c r="AQ408" s="142"/>
      <c r="AR408" s="143">
        <f t="shared" si="158"/>
        <v>3</v>
      </c>
      <c r="AS408" s="143">
        <f t="shared" si="159"/>
        <v>5</v>
      </c>
      <c r="AT408" s="143" t="str">
        <f t="shared" si="160"/>
        <v>Correct</v>
      </c>
      <c r="AU408" s="142"/>
      <c r="AV408" s="120" t="str">
        <f>IFERROR(VLOOKUP(Table1[RespondentID],'All Data'!$A$3:$CO$999,87,FALSE),"unknown")</f>
        <v>Woman</v>
      </c>
      <c r="AW408" s="120">
        <f>IFERROR(VLOOKUP(Table1[RespondentID],'All Data'!$A$3:$CO$999,88,FALSE),"unknown")</f>
        <v>0</v>
      </c>
      <c r="AX408" s="120" t="str">
        <f>IFERROR(VLOOKUP(Table1[RespondentID],'All Data'!$A$3:$CO$999,89,FALSE),"unknown")</f>
        <v>Nassau</v>
      </c>
      <c r="AY408" s="120" t="str">
        <f>IFERROR(VLOOKUP(Table1[RespondentID],'All Data'!$A$3:$CO$999,90,FALSE),"unknown")</f>
        <v>Hewlett Neck, 11598</v>
      </c>
      <c r="AZ408" s="120">
        <f>IFERROR(VLOOKUP(Table1[RespondentID],'All Data'!$A$3:$CO$999,91,FALSE),"unknown")</f>
        <v>0</v>
      </c>
      <c r="BA408" s="120" t="str">
        <f>IFERROR(VLOOKUP(Table1[RespondentID],'All Data'!$A$3:$CO$999,92,FALSE),"unknown")</f>
        <v>Not Hispanic or Latino</v>
      </c>
      <c r="BB408" s="120">
        <f>IFERROR(VLOOKUP(Table1[RespondentID],'All Data'!$A$3:$CO$999,93,FALSE),"unknown")</f>
        <v>0</v>
      </c>
      <c r="BC408" s="120" t="str">
        <f>IFERROR(VLOOKUP(Table1[RespondentID],'All Data'!$A$3:$CW$999,94,FALSE),"unknown")</f>
        <v>$50,000 to $74,999</v>
      </c>
      <c r="BD408" s="120" t="str">
        <f>IFERROR(VLOOKUP(Table1[RespondentID],'All Data'!$A$3:$CW$999,95,FALSE),"unknown")</f>
        <v>Graduate school</v>
      </c>
      <c r="BE408" s="120">
        <f>IFERROR(VLOOKUP(Table1[RespondentID],'All Data'!$A$3:$CW$999,96,FALSE),"unknown")</f>
        <v>0</v>
      </c>
      <c r="BF408" s="120">
        <f>IFERROR(VLOOKUP(Table1[RespondentID],'All Data'!$A$3:$CW$999,97,FALSE),"unknown")</f>
        <v>0</v>
      </c>
      <c r="BG408" s="120" t="str">
        <f>IFERROR(VLOOKUP(Table1[RespondentID],'All Data'!$A$3:$CW$999,98,FALSE),"unknown")</f>
        <v>Private/Commercial</v>
      </c>
      <c r="BH408" s="120" t="str">
        <f>IFERROR(VLOOKUP(Table1[RespondentID],'All Data'!$A$3:$CW$999,99,FALSE),"unknown")</f>
        <v>Yes</v>
      </c>
    </row>
    <row r="409" spans="1:60">
      <c r="A409" s="141">
        <v>114085875144</v>
      </c>
      <c r="B409" s="137"/>
      <c r="C409" s="138"/>
      <c r="D409" s="138"/>
      <c r="E409" s="138" t="s">
        <v>17</v>
      </c>
      <c r="F409" s="138" t="s">
        <v>52</v>
      </c>
      <c r="G409" s="138"/>
      <c r="H409" s="138"/>
      <c r="I409" s="138" t="s">
        <v>55</v>
      </c>
      <c r="J409" s="138"/>
      <c r="K409" s="138"/>
      <c r="L409" s="138"/>
      <c r="M409" s="138"/>
      <c r="N409" s="138"/>
      <c r="O409" s="138"/>
      <c r="P409" s="138"/>
      <c r="Q409" s="138"/>
      <c r="R409" s="138"/>
      <c r="S409" s="138"/>
      <c r="T409" s="142"/>
      <c r="U409" s="143">
        <f t="shared" si="138"/>
        <v>3</v>
      </c>
      <c r="V409" s="143">
        <f t="shared" si="139"/>
        <v>1</v>
      </c>
      <c r="W409" s="142"/>
      <c r="X409" s="143">
        <f t="shared" si="140"/>
        <v>0</v>
      </c>
      <c r="Y409" s="143">
        <f t="shared" si="141"/>
        <v>0</v>
      </c>
      <c r="Z409" s="143">
        <f t="shared" si="142"/>
        <v>0</v>
      </c>
      <c r="AA409" s="143">
        <f t="shared" si="143"/>
        <v>1</v>
      </c>
      <c r="AB409" s="143">
        <f t="shared" si="144"/>
        <v>1</v>
      </c>
      <c r="AC409" s="143">
        <f t="shared" si="145"/>
        <v>0</v>
      </c>
      <c r="AD409" s="143">
        <f t="shared" si="146"/>
        <v>0</v>
      </c>
      <c r="AE409" s="143">
        <f t="shared" si="147"/>
        <v>1</v>
      </c>
      <c r="AF409" s="143">
        <f t="shared" si="148"/>
        <v>0</v>
      </c>
      <c r="AG409" s="143">
        <f t="shared" si="149"/>
        <v>0</v>
      </c>
      <c r="AH409" s="143">
        <f t="shared" si="150"/>
        <v>0</v>
      </c>
      <c r="AI409" s="143">
        <f t="shared" si="151"/>
        <v>0</v>
      </c>
      <c r="AJ409" s="143">
        <f t="shared" si="152"/>
        <v>0</v>
      </c>
      <c r="AK409" s="143">
        <f t="shared" si="153"/>
        <v>0</v>
      </c>
      <c r="AL409" s="143">
        <f t="shared" si="154"/>
        <v>0</v>
      </c>
      <c r="AM409" s="143">
        <f t="shared" si="155"/>
        <v>0</v>
      </c>
      <c r="AN409" s="143">
        <f t="shared" si="156"/>
        <v>0</v>
      </c>
      <c r="AO409" s="143">
        <f t="shared" si="157"/>
        <v>0</v>
      </c>
      <c r="AP409" s="142"/>
      <c r="AQ409" s="142"/>
      <c r="AR409" s="143">
        <f t="shared" si="158"/>
        <v>3</v>
      </c>
      <c r="AS409" s="143">
        <f t="shared" si="159"/>
        <v>3</v>
      </c>
      <c r="AT409" s="143" t="str">
        <f t="shared" si="160"/>
        <v>Correct</v>
      </c>
      <c r="AU409" s="142"/>
      <c r="AV409" s="120" t="str">
        <f>IFERROR(VLOOKUP(Table1[RespondentID],'All Data'!$A$3:$CO$999,87,FALSE),"unknown")</f>
        <v>Woman</v>
      </c>
      <c r="AW409" s="120">
        <f>IFERROR(VLOOKUP(Table1[RespondentID],'All Data'!$A$3:$CO$999,88,FALSE),"unknown")</f>
        <v>0</v>
      </c>
      <c r="AX409" s="120" t="str">
        <f>IFERROR(VLOOKUP(Table1[RespondentID],'All Data'!$A$3:$CO$999,89,FALSE),"unknown")</f>
        <v>Nassau</v>
      </c>
      <c r="AY409" s="120" t="str">
        <f>IFERROR(VLOOKUP(Table1[RespondentID],'All Data'!$A$3:$CO$999,90,FALSE),"unknown")</f>
        <v>Lakeview, 11552</v>
      </c>
      <c r="AZ409" s="120">
        <f>IFERROR(VLOOKUP(Table1[RespondentID],'All Data'!$A$3:$CO$999,91,FALSE),"unknown")</f>
        <v>0</v>
      </c>
      <c r="BA409" s="120" t="str">
        <f>IFERROR(VLOOKUP(Table1[RespondentID],'All Data'!$A$3:$CO$999,92,FALSE),"unknown")</f>
        <v>Not Hispanic or Latino</v>
      </c>
      <c r="BB409" s="120" t="str">
        <f>IFERROR(VLOOKUP(Table1[RespondentID],'All Data'!$A$3:$CO$999,93,FALSE),"unknown")</f>
        <v>English</v>
      </c>
      <c r="BC409" s="120" t="str">
        <f>IFERROR(VLOOKUP(Table1[RespondentID],'All Data'!$A$3:$CW$999,94,FALSE),"unknown")</f>
        <v>$50,000 to $74,999</v>
      </c>
      <c r="BD409" s="120" t="str">
        <f>IFERROR(VLOOKUP(Table1[RespondentID],'All Data'!$A$3:$CW$999,95,FALSE),"unknown")</f>
        <v>College graduate</v>
      </c>
      <c r="BE409" s="120">
        <f>IFERROR(VLOOKUP(Table1[RespondentID],'All Data'!$A$3:$CW$999,96,FALSE),"unknown")</f>
        <v>0</v>
      </c>
      <c r="BF409" s="120">
        <f>IFERROR(VLOOKUP(Table1[RespondentID],'All Data'!$A$3:$CW$999,97,FALSE),"unknown")</f>
        <v>0</v>
      </c>
      <c r="BG409" s="120" t="str">
        <f>IFERROR(VLOOKUP(Table1[RespondentID],'All Data'!$A$3:$CW$999,98,FALSE),"unknown")</f>
        <v>Private/Commercial</v>
      </c>
      <c r="BH409" s="120" t="str">
        <f>IFERROR(VLOOKUP(Table1[RespondentID],'All Data'!$A$3:$CW$999,99,FALSE),"unknown")</f>
        <v>Yes</v>
      </c>
    </row>
    <row r="410" spans="1:60">
      <c r="A410" s="141">
        <v>114085855650</v>
      </c>
      <c r="B410" s="137"/>
      <c r="C410" s="138"/>
      <c r="D410" s="138"/>
      <c r="E410" s="138"/>
      <c r="F410" s="138" t="s">
        <v>52</v>
      </c>
      <c r="G410" s="138"/>
      <c r="H410" s="138"/>
      <c r="I410" s="138"/>
      <c r="J410" s="138"/>
      <c r="K410" s="138" t="s">
        <v>57</v>
      </c>
      <c r="L410" s="138"/>
      <c r="M410" s="138"/>
      <c r="N410" s="138"/>
      <c r="O410" s="138"/>
      <c r="P410" s="138"/>
      <c r="Q410" s="138"/>
      <c r="R410" s="138"/>
      <c r="S410" s="138"/>
      <c r="T410" s="142"/>
      <c r="U410" s="143">
        <f t="shared" si="138"/>
        <v>2</v>
      </c>
      <c r="V410" s="143">
        <f t="shared" si="139"/>
        <v>1.5</v>
      </c>
      <c r="W410" s="142"/>
      <c r="X410" s="143">
        <f t="shared" si="140"/>
        <v>0</v>
      </c>
      <c r="Y410" s="143">
        <f t="shared" si="141"/>
        <v>0</v>
      </c>
      <c r="Z410" s="143">
        <f t="shared" si="142"/>
        <v>0</v>
      </c>
      <c r="AA410" s="143">
        <f t="shared" si="143"/>
        <v>0</v>
      </c>
      <c r="AB410" s="143">
        <f t="shared" si="144"/>
        <v>1</v>
      </c>
      <c r="AC410" s="143">
        <f t="shared" si="145"/>
        <v>0</v>
      </c>
      <c r="AD410" s="143">
        <f t="shared" si="146"/>
        <v>0</v>
      </c>
      <c r="AE410" s="143">
        <f t="shared" si="147"/>
        <v>0</v>
      </c>
      <c r="AF410" s="143">
        <f t="shared" si="148"/>
        <v>0</v>
      </c>
      <c r="AG410" s="143">
        <f t="shared" si="149"/>
        <v>1</v>
      </c>
      <c r="AH410" s="143">
        <f t="shared" si="150"/>
        <v>0</v>
      </c>
      <c r="AI410" s="143">
        <f t="shared" si="151"/>
        <v>0</v>
      </c>
      <c r="AJ410" s="143">
        <f t="shared" si="152"/>
        <v>0</v>
      </c>
      <c r="AK410" s="143">
        <f t="shared" si="153"/>
        <v>0</v>
      </c>
      <c r="AL410" s="143">
        <f t="shared" si="154"/>
        <v>0</v>
      </c>
      <c r="AM410" s="143">
        <f t="shared" si="155"/>
        <v>0</v>
      </c>
      <c r="AN410" s="143">
        <f t="shared" si="156"/>
        <v>0</v>
      </c>
      <c r="AO410" s="143">
        <f t="shared" si="157"/>
        <v>0</v>
      </c>
      <c r="AP410" s="142"/>
      <c r="AQ410" s="142"/>
      <c r="AR410" s="143">
        <f t="shared" si="158"/>
        <v>2</v>
      </c>
      <c r="AS410" s="143">
        <f t="shared" si="159"/>
        <v>2</v>
      </c>
      <c r="AT410" s="143" t="str">
        <f t="shared" si="160"/>
        <v>Correct</v>
      </c>
      <c r="AU410" s="142"/>
      <c r="AV410" s="120" t="str">
        <f>IFERROR(VLOOKUP(Table1[RespondentID],'All Data'!$A$3:$CO$999,87,FALSE),"unknown")</f>
        <v>Man</v>
      </c>
      <c r="AW410" s="120">
        <f>IFERROR(VLOOKUP(Table1[RespondentID],'All Data'!$A$3:$CO$999,88,FALSE),"unknown")</f>
        <v>0</v>
      </c>
      <c r="AX410" s="120" t="str">
        <f>IFERROR(VLOOKUP(Table1[RespondentID],'All Data'!$A$3:$CO$999,89,FALSE),"unknown")</f>
        <v>Nassau</v>
      </c>
      <c r="AY410" s="120" t="str">
        <f>IFERROR(VLOOKUP(Table1[RespondentID],'All Data'!$A$3:$CO$999,90,FALSE),"unknown")</f>
        <v>Levittown, 11756</v>
      </c>
      <c r="AZ410" s="120">
        <f>IFERROR(VLOOKUP(Table1[RespondentID],'All Data'!$A$3:$CO$999,91,FALSE),"unknown")</f>
        <v>0</v>
      </c>
      <c r="BA410" s="120" t="str">
        <f>IFERROR(VLOOKUP(Table1[RespondentID],'All Data'!$A$3:$CO$999,92,FALSE),"unknown")</f>
        <v>Not Hispanic or Latino</v>
      </c>
      <c r="BB410" s="120" t="str">
        <f>IFERROR(VLOOKUP(Table1[RespondentID],'All Data'!$A$3:$CO$999,93,FALSE),"unknown")</f>
        <v>English</v>
      </c>
      <c r="BC410" s="120">
        <f>IFERROR(VLOOKUP(Table1[RespondentID],'All Data'!$A$3:$CW$999,94,FALSE),"unknown")</f>
        <v>0</v>
      </c>
      <c r="BD410" s="120" t="str">
        <f>IFERROR(VLOOKUP(Table1[RespondentID],'All Data'!$A$3:$CW$999,95,FALSE),"unknown")</f>
        <v>Some college</v>
      </c>
      <c r="BE410" s="120">
        <f>IFERROR(VLOOKUP(Table1[RespondentID],'All Data'!$A$3:$CW$999,96,FALSE),"unknown")</f>
        <v>0</v>
      </c>
      <c r="BF410" s="120">
        <f>IFERROR(VLOOKUP(Table1[RespondentID],'All Data'!$A$3:$CW$999,97,FALSE),"unknown")</f>
        <v>0</v>
      </c>
      <c r="BG410" s="120" t="str">
        <f>IFERROR(VLOOKUP(Table1[RespondentID],'All Data'!$A$3:$CW$999,98,FALSE),"unknown")</f>
        <v>Medicare</v>
      </c>
      <c r="BH410" s="120" t="str">
        <f>IFERROR(VLOOKUP(Table1[RespondentID],'All Data'!$A$3:$CW$999,99,FALSE),"unknown")</f>
        <v>Yes</v>
      </c>
    </row>
    <row r="411" spans="1:60">
      <c r="A411" s="141">
        <v>114085847217</v>
      </c>
      <c r="B411" s="137" t="s">
        <v>49</v>
      </c>
      <c r="C411" s="138"/>
      <c r="D411" s="138"/>
      <c r="E411" s="138"/>
      <c r="F411" s="138" t="s">
        <v>52</v>
      </c>
      <c r="G411" s="138"/>
      <c r="H411" s="138"/>
      <c r="I411" s="138"/>
      <c r="J411" s="138"/>
      <c r="K411" s="138" t="s">
        <v>57</v>
      </c>
      <c r="L411" s="138"/>
      <c r="M411" s="138" t="s">
        <v>59</v>
      </c>
      <c r="N411" s="138"/>
      <c r="O411" s="138"/>
      <c r="P411" s="138"/>
      <c r="Q411" s="138"/>
      <c r="R411" s="138"/>
      <c r="S411" s="138"/>
      <c r="T411" s="142"/>
      <c r="U411" s="143">
        <f t="shared" si="138"/>
        <v>4</v>
      </c>
      <c r="V411" s="143">
        <f t="shared" si="139"/>
        <v>0.75</v>
      </c>
      <c r="W411" s="142"/>
      <c r="X411" s="143">
        <f t="shared" si="140"/>
        <v>0.75</v>
      </c>
      <c r="Y411" s="143">
        <f t="shared" si="141"/>
        <v>0</v>
      </c>
      <c r="Z411" s="143">
        <f t="shared" si="142"/>
        <v>0</v>
      </c>
      <c r="AA411" s="143">
        <f t="shared" si="143"/>
        <v>0</v>
      </c>
      <c r="AB411" s="143">
        <f t="shared" si="144"/>
        <v>0.75</v>
      </c>
      <c r="AC411" s="143">
        <f t="shared" si="145"/>
        <v>0</v>
      </c>
      <c r="AD411" s="143">
        <f t="shared" si="146"/>
        <v>0</v>
      </c>
      <c r="AE411" s="143">
        <f t="shared" si="147"/>
        <v>0</v>
      </c>
      <c r="AF411" s="143">
        <f t="shared" si="148"/>
        <v>0</v>
      </c>
      <c r="AG411" s="143">
        <f t="shared" si="149"/>
        <v>0.75</v>
      </c>
      <c r="AH411" s="143">
        <f t="shared" si="150"/>
        <v>0</v>
      </c>
      <c r="AI411" s="143">
        <f t="shared" si="151"/>
        <v>0.75</v>
      </c>
      <c r="AJ411" s="143">
        <f t="shared" si="152"/>
        <v>0</v>
      </c>
      <c r="AK411" s="143">
        <f t="shared" si="153"/>
        <v>0</v>
      </c>
      <c r="AL411" s="143">
        <f t="shared" si="154"/>
        <v>0</v>
      </c>
      <c r="AM411" s="143">
        <f t="shared" si="155"/>
        <v>0</v>
      </c>
      <c r="AN411" s="143">
        <f t="shared" si="156"/>
        <v>0</v>
      </c>
      <c r="AO411" s="143">
        <f t="shared" si="157"/>
        <v>0</v>
      </c>
      <c r="AP411" s="142"/>
      <c r="AQ411" s="142"/>
      <c r="AR411" s="143">
        <f t="shared" si="158"/>
        <v>3</v>
      </c>
      <c r="AS411" s="143">
        <f t="shared" si="159"/>
        <v>4</v>
      </c>
      <c r="AT411" s="143" t="str">
        <f t="shared" si="160"/>
        <v>Correct</v>
      </c>
      <c r="AU411" s="142"/>
      <c r="AV411" s="120" t="str">
        <f>IFERROR(VLOOKUP(Table1[RespondentID],'All Data'!$A$3:$CO$999,87,FALSE),"unknown")</f>
        <v>Woman</v>
      </c>
      <c r="AW411" s="120">
        <f>IFERROR(VLOOKUP(Table1[RespondentID],'All Data'!$A$3:$CO$999,88,FALSE),"unknown")</f>
        <v>0</v>
      </c>
      <c r="AX411" s="120" t="str">
        <f>IFERROR(VLOOKUP(Table1[RespondentID],'All Data'!$A$3:$CO$999,89,FALSE),"unknown")</f>
        <v>Nassau</v>
      </c>
      <c r="AY411" s="120" t="str">
        <f>IFERROR(VLOOKUP(Table1[RespondentID],'All Data'!$A$3:$CO$999,90,FALSE),"unknown")</f>
        <v>Massapequa Park, 11762</v>
      </c>
      <c r="AZ411" s="120">
        <f>IFERROR(VLOOKUP(Table1[RespondentID],'All Data'!$A$3:$CO$999,91,FALSE),"unknown")</f>
        <v>0</v>
      </c>
      <c r="BA411" s="120" t="str">
        <f>IFERROR(VLOOKUP(Table1[RespondentID],'All Data'!$A$3:$CO$999,92,FALSE),"unknown")</f>
        <v>Not Hispanic or Latino</v>
      </c>
      <c r="BB411" s="120" t="str">
        <f>IFERROR(VLOOKUP(Table1[RespondentID],'All Data'!$A$3:$CO$999,93,FALSE),"unknown")</f>
        <v>English</v>
      </c>
      <c r="BC411" s="120" t="str">
        <f>IFERROR(VLOOKUP(Table1[RespondentID],'All Data'!$A$3:$CW$999,94,FALSE),"unknown")</f>
        <v>$50,000 to $74,999</v>
      </c>
      <c r="BD411" s="120" t="str">
        <f>IFERROR(VLOOKUP(Table1[RespondentID],'All Data'!$A$3:$CW$999,95,FALSE),"unknown")</f>
        <v>Graduate school</v>
      </c>
      <c r="BE411" s="120">
        <f>IFERROR(VLOOKUP(Table1[RespondentID],'All Data'!$A$3:$CW$999,96,FALSE),"unknown")</f>
        <v>0</v>
      </c>
      <c r="BF411" s="120">
        <f>IFERROR(VLOOKUP(Table1[RespondentID],'All Data'!$A$3:$CW$999,97,FALSE),"unknown")</f>
        <v>0</v>
      </c>
      <c r="BG411" s="120" t="str">
        <f>IFERROR(VLOOKUP(Table1[RespondentID],'All Data'!$A$3:$CW$999,98,FALSE),"unknown")</f>
        <v>Private/Commercial</v>
      </c>
      <c r="BH411" s="120" t="str">
        <f>IFERROR(VLOOKUP(Table1[RespondentID],'All Data'!$A$3:$CW$999,99,FALSE),"unknown")</f>
        <v>Yes</v>
      </c>
    </row>
    <row r="412" spans="1:60">
      <c r="A412" s="141">
        <v>114085845695</v>
      </c>
      <c r="B412" s="137"/>
      <c r="C412" s="138"/>
      <c r="D412" s="138" t="s">
        <v>51</v>
      </c>
      <c r="E412" s="138" t="s">
        <v>17</v>
      </c>
      <c r="F412" s="138" t="s">
        <v>52</v>
      </c>
      <c r="G412" s="138"/>
      <c r="H412" s="138"/>
      <c r="I412" s="138"/>
      <c r="J412" s="138"/>
      <c r="K412" s="138"/>
      <c r="L412" s="138"/>
      <c r="M412" s="138"/>
      <c r="N412" s="138"/>
      <c r="O412" s="138"/>
      <c r="P412" s="138"/>
      <c r="Q412" s="138"/>
      <c r="R412" s="138"/>
      <c r="S412" s="138"/>
      <c r="T412" s="142"/>
      <c r="U412" s="143">
        <f t="shared" si="138"/>
        <v>3</v>
      </c>
      <c r="V412" s="143">
        <f t="shared" si="139"/>
        <v>1</v>
      </c>
      <c r="W412" s="142"/>
      <c r="X412" s="143">
        <f t="shared" si="140"/>
        <v>0</v>
      </c>
      <c r="Y412" s="143">
        <f t="shared" si="141"/>
        <v>0</v>
      </c>
      <c r="Z412" s="143">
        <f t="shared" si="142"/>
        <v>1</v>
      </c>
      <c r="AA412" s="143">
        <f t="shared" si="143"/>
        <v>1</v>
      </c>
      <c r="AB412" s="143">
        <f t="shared" si="144"/>
        <v>1</v>
      </c>
      <c r="AC412" s="143">
        <f t="shared" si="145"/>
        <v>0</v>
      </c>
      <c r="AD412" s="143">
        <f t="shared" si="146"/>
        <v>0</v>
      </c>
      <c r="AE412" s="143">
        <f t="shared" si="147"/>
        <v>0</v>
      </c>
      <c r="AF412" s="143">
        <f t="shared" si="148"/>
        <v>0</v>
      </c>
      <c r="AG412" s="143">
        <f t="shared" si="149"/>
        <v>0</v>
      </c>
      <c r="AH412" s="143">
        <f t="shared" si="150"/>
        <v>0</v>
      </c>
      <c r="AI412" s="143">
        <f t="shared" si="151"/>
        <v>0</v>
      </c>
      <c r="AJ412" s="143">
        <f t="shared" si="152"/>
        <v>0</v>
      </c>
      <c r="AK412" s="143">
        <f t="shared" si="153"/>
        <v>0</v>
      </c>
      <c r="AL412" s="143">
        <f t="shared" si="154"/>
        <v>0</v>
      </c>
      <c r="AM412" s="143">
        <f t="shared" si="155"/>
        <v>0</v>
      </c>
      <c r="AN412" s="143">
        <f t="shared" si="156"/>
        <v>0</v>
      </c>
      <c r="AO412" s="143">
        <f t="shared" si="157"/>
        <v>0</v>
      </c>
      <c r="AP412" s="142"/>
      <c r="AQ412" s="142"/>
      <c r="AR412" s="143">
        <f t="shared" si="158"/>
        <v>3</v>
      </c>
      <c r="AS412" s="143">
        <f t="shared" si="159"/>
        <v>3</v>
      </c>
      <c r="AT412" s="143" t="str">
        <f t="shared" si="160"/>
        <v>Correct</v>
      </c>
      <c r="AU412" s="142"/>
      <c r="AV412" s="120" t="str">
        <f>IFERROR(VLOOKUP(Table1[RespondentID],'All Data'!$A$3:$CO$999,87,FALSE),"unknown")</f>
        <v>Woman</v>
      </c>
      <c r="AW412" s="120">
        <f>IFERROR(VLOOKUP(Table1[RespondentID],'All Data'!$A$3:$CO$999,88,FALSE),"unknown")</f>
        <v>0</v>
      </c>
      <c r="AX412" s="120" t="str">
        <f>IFERROR(VLOOKUP(Table1[RespondentID],'All Data'!$A$3:$CO$999,89,FALSE),"unknown")</f>
        <v>Nassau</v>
      </c>
      <c r="AY412" s="120" t="str">
        <f>IFERROR(VLOOKUP(Table1[RespondentID],'All Data'!$A$3:$CO$999,90,FALSE),"unknown")</f>
        <v>West Hempstead, 11552</v>
      </c>
      <c r="AZ412" s="120">
        <f>IFERROR(VLOOKUP(Table1[RespondentID],'All Data'!$A$3:$CO$999,91,FALSE),"unknown")</f>
        <v>0</v>
      </c>
      <c r="BA412" s="120" t="str">
        <f>IFERROR(VLOOKUP(Table1[RespondentID],'All Data'!$A$3:$CO$999,92,FALSE),"unknown")</f>
        <v>Not Hispanic or Latino</v>
      </c>
      <c r="BB412" s="120" t="str">
        <f>IFERROR(VLOOKUP(Table1[RespondentID],'All Data'!$A$3:$CO$999,93,FALSE),"unknown")</f>
        <v>English</v>
      </c>
      <c r="BC412" s="120" t="str">
        <f>IFERROR(VLOOKUP(Table1[RespondentID],'All Data'!$A$3:$CW$999,94,FALSE),"unknown")</f>
        <v>$75,000 to $125,000</v>
      </c>
      <c r="BD412" s="120" t="str">
        <f>IFERROR(VLOOKUP(Table1[RespondentID],'All Data'!$A$3:$CW$999,95,FALSE),"unknown")</f>
        <v>Graduate school</v>
      </c>
      <c r="BE412" s="120">
        <f>IFERROR(VLOOKUP(Table1[RespondentID],'All Data'!$A$3:$CW$999,96,FALSE),"unknown")</f>
        <v>0</v>
      </c>
      <c r="BF412" s="120">
        <f>IFERROR(VLOOKUP(Table1[RespondentID],'All Data'!$A$3:$CW$999,97,FALSE),"unknown")</f>
        <v>0</v>
      </c>
      <c r="BG412" s="120" t="str">
        <f>IFERROR(VLOOKUP(Table1[RespondentID],'All Data'!$A$3:$CW$999,98,FALSE),"unknown")</f>
        <v>Private/Commercial</v>
      </c>
      <c r="BH412" s="120" t="str">
        <f>IFERROR(VLOOKUP(Table1[RespondentID],'All Data'!$A$3:$CW$999,99,FALSE),"unknown")</f>
        <v>Yes</v>
      </c>
    </row>
    <row r="413" spans="1:60">
      <c r="A413" s="141">
        <v>114085842785</v>
      </c>
      <c r="B413" s="137" t="s">
        <v>49</v>
      </c>
      <c r="C413" s="138" t="s">
        <v>50</v>
      </c>
      <c r="D413" s="138"/>
      <c r="E413" s="138" t="s">
        <v>17</v>
      </c>
      <c r="F413" s="138" t="s">
        <v>52</v>
      </c>
      <c r="G413" s="138"/>
      <c r="H413" s="138" t="s">
        <v>54</v>
      </c>
      <c r="I413" s="138"/>
      <c r="J413" s="138"/>
      <c r="K413" s="138"/>
      <c r="L413" s="138" t="s">
        <v>58</v>
      </c>
      <c r="M413" s="138"/>
      <c r="N413" s="138" t="s">
        <v>24</v>
      </c>
      <c r="O413" s="138"/>
      <c r="P413" s="138"/>
      <c r="Q413" s="138"/>
      <c r="R413" s="138" t="s">
        <v>62</v>
      </c>
      <c r="S413" s="138" t="s">
        <v>63</v>
      </c>
      <c r="T413" s="142"/>
      <c r="U413" s="143">
        <f t="shared" si="138"/>
        <v>9</v>
      </c>
      <c r="V413" s="143">
        <f t="shared" si="139"/>
        <v>0.33333333333333331</v>
      </c>
      <c r="W413" s="142"/>
      <c r="X413" s="143">
        <f t="shared" si="140"/>
        <v>0.33333333333333331</v>
      </c>
      <c r="Y413" s="143">
        <f t="shared" si="141"/>
        <v>0.33333333333333331</v>
      </c>
      <c r="Z413" s="143">
        <f t="shared" si="142"/>
        <v>0</v>
      </c>
      <c r="AA413" s="143">
        <f t="shared" si="143"/>
        <v>0.33333333333333331</v>
      </c>
      <c r="AB413" s="143">
        <f t="shared" si="144"/>
        <v>0.33333333333333331</v>
      </c>
      <c r="AC413" s="143">
        <f t="shared" si="145"/>
        <v>0</v>
      </c>
      <c r="AD413" s="143">
        <f t="shared" si="146"/>
        <v>0.33333333333333331</v>
      </c>
      <c r="AE413" s="143">
        <f t="shared" si="147"/>
        <v>0</v>
      </c>
      <c r="AF413" s="143">
        <f t="shared" si="148"/>
        <v>0</v>
      </c>
      <c r="AG413" s="143">
        <f t="shared" si="149"/>
        <v>0</v>
      </c>
      <c r="AH413" s="143">
        <f t="shared" si="150"/>
        <v>0.33333333333333331</v>
      </c>
      <c r="AI413" s="143">
        <f t="shared" si="151"/>
        <v>0</v>
      </c>
      <c r="AJ413" s="143">
        <f t="shared" si="152"/>
        <v>0.33333333333333331</v>
      </c>
      <c r="AK413" s="143">
        <f t="shared" si="153"/>
        <v>0</v>
      </c>
      <c r="AL413" s="143">
        <f t="shared" si="154"/>
        <v>0</v>
      </c>
      <c r="AM413" s="143">
        <f t="shared" si="155"/>
        <v>0</v>
      </c>
      <c r="AN413" s="143">
        <f t="shared" si="156"/>
        <v>0.33333333333333331</v>
      </c>
      <c r="AO413" s="143">
        <f t="shared" si="157"/>
        <v>0.33333333333333331</v>
      </c>
      <c r="AP413" s="142"/>
      <c r="AQ413" s="142"/>
      <c r="AR413" s="143">
        <f t="shared" si="158"/>
        <v>3</v>
      </c>
      <c r="AS413" s="143">
        <f t="shared" si="159"/>
        <v>9</v>
      </c>
      <c r="AT413" s="143" t="str">
        <f t="shared" si="160"/>
        <v>Correct</v>
      </c>
      <c r="AU413" s="142"/>
      <c r="AV413" s="120" t="str">
        <f>IFERROR(VLOOKUP(Table1[RespondentID],'All Data'!$A$3:$CO$999,87,FALSE),"unknown")</f>
        <v>Woman</v>
      </c>
      <c r="AW413" s="120">
        <f>IFERROR(VLOOKUP(Table1[RespondentID],'All Data'!$A$3:$CO$999,88,FALSE),"unknown")</f>
        <v>0</v>
      </c>
      <c r="AX413" s="120" t="str">
        <f>IFERROR(VLOOKUP(Table1[RespondentID],'All Data'!$A$3:$CO$999,89,FALSE),"unknown")</f>
        <v>Nassau</v>
      </c>
      <c r="AY413" s="120" t="str">
        <f>IFERROR(VLOOKUP(Table1[RespondentID],'All Data'!$A$3:$CO$999,90,FALSE),"unknown")</f>
        <v>Bellmore, 11710</v>
      </c>
      <c r="AZ413" s="120">
        <f>IFERROR(VLOOKUP(Table1[RespondentID],'All Data'!$A$3:$CO$999,91,FALSE),"unknown")</f>
        <v>0</v>
      </c>
      <c r="BA413" s="120" t="str">
        <f>IFERROR(VLOOKUP(Table1[RespondentID],'All Data'!$A$3:$CO$999,92,FALSE),"unknown")</f>
        <v>Not Hispanic or Latino</v>
      </c>
      <c r="BB413" s="120" t="str">
        <f>IFERROR(VLOOKUP(Table1[RespondentID],'All Data'!$A$3:$CO$999,93,FALSE),"unknown")</f>
        <v>English</v>
      </c>
      <c r="BC413" s="120" t="str">
        <f>IFERROR(VLOOKUP(Table1[RespondentID],'All Data'!$A$3:$CW$999,94,FALSE),"unknown")</f>
        <v>$75,000 to $125,000</v>
      </c>
      <c r="BD413" s="120" t="str">
        <f>IFERROR(VLOOKUP(Table1[RespondentID],'All Data'!$A$3:$CW$999,95,FALSE),"unknown")</f>
        <v>High school graduate</v>
      </c>
      <c r="BE413" s="120">
        <f>IFERROR(VLOOKUP(Table1[RespondentID],'All Data'!$A$3:$CW$999,96,FALSE),"unknown")</f>
        <v>0</v>
      </c>
      <c r="BF413" s="120">
        <f>IFERROR(VLOOKUP(Table1[RespondentID],'All Data'!$A$3:$CW$999,97,FALSE),"unknown")</f>
        <v>0</v>
      </c>
      <c r="BG413" s="120" t="str">
        <f>IFERROR(VLOOKUP(Table1[RespondentID],'All Data'!$A$3:$CW$999,98,FALSE),"unknown")</f>
        <v>Private/Commercial</v>
      </c>
      <c r="BH413" s="120" t="str">
        <f>IFERROR(VLOOKUP(Table1[RespondentID],'All Data'!$A$3:$CW$999,99,FALSE),"unknown")</f>
        <v>Yes</v>
      </c>
    </row>
    <row r="414" spans="1:60">
      <c r="A414" s="141">
        <v>114085835907</v>
      </c>
      <c r="B414" s="137" t="s">
        <v>49</v>
      </c>
      <c r="C414" s="138"/>
      <c r="D414" s="138" t="s">
        <v>51</v>
      </c>
      <c r="E414" s="138"/>
      <c r="F414" s="138"/>
      <c r="G414" s="138" t="s">
        <v>53</v>
      </c>
      <c r="H414" s="138" t="s">
        <v>54</v>
      </c>
      <c r="I414" s="138" t="s">
        <v>55</v>
      </c>
      <c r="J414" s="138"/>
      <c r="K414" s="138"/>
      <c r="L414" s="138"/>
      <c r="M414" s="138"/>
      <c r="N414" s="138" t="s">
        <v>24</v>
      </c>
      <c r="O414" s="138"/>
      <c r="P414" s="138" t="s">
        <v>60</v>
      </c>
      <c r="Q414" s="138"/>
      <c r="R414" s="138"/>
      <c r="S414" s="138" t="s">
        <v>63</v>
      </c>
      <c r="T414" s="142"/>
      <c r="U414" s="143">
        <f t="shared" si="138"/>
        <v>8</v>
      </c>
      <c r="V414" s="143">
        <f t="shared" si="139"/>
        <v>0.375</v>
      </c>
      <c r="W414" s="142"/>
      <c r="X414" s="143">
        <f t="shared" si="140"/>
        <v>0.375</v>
      </c>
      <c r="Y414" s="143">
        <f t="shared" si="141"/>
        <v>0</v>
      </c>
      <c r="Z414" s="143">
        <f t="shared" si="142"/>
        <v>0.375</v>
      </c>
      <c r="AA414" s="143">
        <f t="shared" si="143"/>
        <v>0</v>
      </c>
      <c r="AB414" s="143">
        <f t="shared" si="144"/>
        <v>0</v>
      </c>
      <c r="AC414" s="143">
        <f t="shared" si="145"/>
        <v>0.375</v>
      </c>
      <c r="AD414" s="143">
        <f t="shared" si="146"/>
        <v>0.375</v>
      </c>
      <c r="AE414" s="143">
        <f t="shared" si="147"/>
        <v>0.375</v>
      </c>
      <c r="AF414" s="143">
        <f t="shared" si="148"/>
        <v>0</v>
      </c>
      <c r="AG414" s="143">
        <f t="shared" si="149"/>
        <v>0</v>
      </c>
      <c r="AH414" s="143">
        <f t="shared" si="150"/>
        <v>0</v>
      </c>
      <c r="AI414" s="143">
        <f t="shared" si="151"/>
        <v>0</v>
      </c>
      <c r="AJ414" s="143">
        <f t="shared" si="152"/>
        <v>0.375</v>
      </c>
      <c r="AK414" s="143">
        <f t="shared" si="153"/>
        <v>0</v>
      </c>
      <c r="AL414" s="143">
        <f t="shared" si="154"/>
        <v>0.375</v>
      </c>
      <c r="AM414" s="143">
        <f t="shared" si="155"/>
        <v>0</v>
      </c>
      <c r="AN414" s="143">
        <f t="shared" si="156"/>
        <v>0</v>
      </c>
      <c r="AO414" s="143">
        <f t="shared" si="157"/>
        <v>0.375</v>
      </c>
      <c r="AP414" s="142"/>
      <c r="AQ414" s="142"/>
      <c r="AR414" s="143">
        <f t="shared" si="158"/>
        <v>3</v>
      </c>
      <c r="AS414" s="143">
        <f t="shared" si="159"/>
        <v>8</v>
      </c>
      <c r="AT414" s="143" t="str">
        <f t="shared" si="160"/>
        <v>Correct</v>
      </c>
      <c r="AU414" s="142"/>
      <c r="AV414" s="120" t="str">
        <f>IFERROR(VLOOKUP(Table1[RespondentID],'All Data'!$A$3:$CO$999,87,FALSE),"unknown")</f>
        <v>Woman</v>
      </c>
      <c r="AW414" s="120">
        <f>IFERROR(VLOOKUP(Table1[RespondentID],'All Data'!$A$3:$CO$999,88,FALSE),"unknown")</f>
        <v>0</v>
      </c>
      <c r="AX414" s="120" t="str">
        <f>IFERROR(VLOOKUP(Table1[RespondentID],'All Data'!$A$3:$CO$999,89,FALSE),"unknown")</f>
        <v>Nassau</v>
      </c>
      <c r="AY414" s="120" t="str">
        <f>IFERROR(VLOOKUP(Table1[RespondentID],'All Data'!$A$3:$CO$999,90,FALSE),"unknown")</f>
        <v>Westbury, 11590</v>
      </c>
      <c r="AZ414" s="120">
        <f>IFERROR(VLOOKUP(Table1[RespondentID],'All Data'!$A$3:$CO$999,91,FALSE),"unknown")</f>
        <v>0</v>
      </c>
      <c r="BA414" s="120" t="str">
        <f>IFERROR(VLOOKUP(Table1[RespondentID],'All Data'!$A$3:$CO$999,92,FALSE),"unknown")</f>
        <v>Not Hispanic or Latino</v>
      </c>
      <c r="BB414" s="120" t="str">
        <f>IFERROR(VLOOKUP(Table1[RespondentID],'All Data'!$A$3:$CO$999,93,FALSE),"unknown")</f>
        <v>English</v>
      </c>
      <c r="BC414" s="120" t="str">
        <f>IFERROR(VLOOKUP(Table1[RespondentID],'All Data'!$A$3:$CW$999,94,FALSE),"unknown")</f>
        <v>$50,000 to $74,999</v>
      </c>
      <c r="BD414" s="120">
        <f>IFERROR(VLOOKUP(Table1[RespondentID],'All Data'!$A$3:$CW$999,95,FALSE),"unknown")</f>
        <v>0</v>
      </c>
      <c r="BE414" s="120">
        <f>IFERROR(VLOOKUP(Table1[RespondentID],'All Data'!$A$3:$CW$999,96,FALSE),"unknown")</f>
        <v>0</v>
      </c>
      <c r="BF414" s="120">
        <f>IFERROR(VLOOKUP(Table1[RespondentID],'All Data'!$A$3:$CW$999,97,FALSE),"unknown")</f>
        <v>0</v>
      </c>
      <c r="BG414" s="120" t="str">
        <f>IFERROR(VLOOKUP(Table1[RespondentID],'All Data'!$A$3:$CW$999,98,FALSE),"unknown")</f>
        <v>Private/Commercial</v>
      </c>
      <c r="BH414" s="120" t="str">
        <f>IFERROR(VLOOKUP(Table1[RespondentID],'All Data'!$A$3:$CW$999,99,FALSE),"unknown")</f>
        <v>Yes</v>
      </c>
    </row>
    <row r="415" spans="1:60">
      <c r="A415" s="141">
        <v>114085832464</v>
      </c>
      <c r="B415" s="137" t="s">
        <v>49</v>
      </c>
      <c r="C415" s="138"/>
      <c r="D415" s="138" t="s">
        <v>51</v>
      </c>
      <c r="E415" s="138" t="s">
        <v>17</v>
      </c>
      <c r="F415" s="138" t="s">
        <v>52</v>
      </c>
      <c r="G415" s="138"/>
      <c r="H415" s="138"/>
      <c r="I415" s="138"/>
      <c r="J415" s="138"/>
      <c r="K415" s="138"/>
      <c r="L415" s="138" t="s">
        <v>58</v>
      </c>
      <c r="M415" s="138" t="s">
        <v>59</v>
      </c>
      <c r="N415" s="138"/>
      <c r="O415" s="138"/>
      <c r="P415" s="138"/>
      <c r="Q415" s="138" t="s">
        <v>61</v>
      </c>
      <c r="R415" s="138" t="s">
        <v>62</v>
      </c>
      <c r="S415" s="138" t="s">
        <v>63</v>
      </c>
      <c r="T415" s="142"/>
      <c r="U415" s="143">
        <f t="shared" si="138"/>
        <v>9</v>
      </c>
      <c r="V415" s="143">
        <f t="shared" si="139"/>
        <v>0.33333333333333331</v>
      </c>
      <c r="W415" s="142"/>
      <c r="X415" s="143">
        <f t="shared" si="140"/>
        <v>0.33333333333333331</v>
      </c>
      <c r="Y415" s="143">
        <f t="shared" si="141"/>
        <v>0</v>
      </c>
      <c r="Z415" s="143">
        <f t="shared" si="142"/>
        <v>0.33333333333333331</v>
      </c>
      <c r="AA415" s="143">
        <f t="shared" si="143"/>
        <v>0.33333333333333331</v>
      </c>
      <c r="AB415" s="143">
        <f t="shared" si="144"/>
        <v>0.33333333333333331</v>
      </c>
      <c r="AC415" s="143">
        <f t="shared" si="145"/>
        <v>0</v>
      </c>
      <c r="AD415" s="143">
        <f t="shared" si="146"/>
        <v>0</v>
      </c>
      <c r="AE415" s="143">
        <f t="shared" si="147"/>
        <v>0</v>
      </c>
      <c r="AF415" s="143">
        <f t="shared" si="148"/>
        <v>0</v>
      </c>
      <c r="AG415" s="143">
        <f t="shared" si="149"/>
        <v>0</v>
      </c>
      <c r="AH415" s="143">
        <f t="shared" si="150"/>
        <v>0.33333333333333331</v>
      </c>
      <c r="AI415" s="143">
        <f t="shared" si="151"/>
        <v>0.33333333333333331</v>
      </c>
      <c r="AJ415" s="143">
        <f t="shared" si="152"/>
        <v>0</v>
      </c>
      <c r="AK415" s="143">
        <f t="shared" si="153"/>
        <v>0</v>
      </c>
      <c r="AL415" s="143">
        <f t="shared" si="154"/>
        <v>0</v>
      </c>
      <c r="AM415" s="143">
        <f t="shared" si="155"/>
        <v>0.33333333333333331</v>
      </c>
      <c r="AN415" s="143">
        <f t="shared" si="156"/>
        <v>0.33333333333333331</v>
      </c>
      <c r="AO415" s="143">
        <f t="shared" si="157"/>
        <v>0.33333333333333331</v>
      </c>
      <c r="AP415" s="142"/>
      <c r="AQ415" s="142"/>
      <c r="AR415" s="143">
        <f t="shared" si="158"/>
        <v>3</v>
      </c>
      <c r="AS415" s="143">
        <f t="shared" si="159"/>
        <v>9</v>
      </c>
      <c r="AT415" s="143" t="str">
        <f t="shared" si="160"/>
        <v>Correct</v>
      </c>
      <c r="AU415" s="142"/>
      <c r="AV415" s="120" t="str">
        <f>IFERROR(VLOOKUP(Table1[RespondentID],'All Data'!$A$3:$CO$999,87,FALSE),"unknown")</f>
        <v>Man</v>
      </c>
      <c r="AW415" s="120">
        <f>IFERROR(VLOOKUP(Table1[RespondentID],'All Data'!$A$3:$CO$999,88,FALSE),"unknown")</f>
        <v>0</v>
      </c>
      <c r="AX415" s="120" t="str">
        <f>IFERROR(VLOOKUP(Table1[RespondentID],'All Data'!$A$3:$CO$999,89,FALSE),"unknown")</f>
        <v>Nassau</v>
      </c>
      <c r="AY415" s="120" t="str">
        <f>IFERROR(VLOOKUP(Table1[RespondentID],'All Data'!$A$3:$CO$999,90,FALSE),"unknown")</f>
        <v>East Meadow, 11554</v>
      </c>
      <c r="AZ415" s="120">
        <f>IFERROR(VLOOKUP(Table1[RespondentID],'All Data'!$A$3:$CO$999,91,FALSE),"unknown")</f>
        <v>0</v>
      </c>
      <c r="BA415" s="120" t="str">
        <f>IFERROR(VLOOKUP(Table1[RespondentID],'All Data'!$A$3:$CO$999,92,FALSE),"unknown")</f>
        <v>Not Hispanic or Latino</v>
      </c>
      <c r="BB415" s="120" t="str">
        <f>IFERROR(VLOOKUP(Table1[RespondentID],'All Data'!$A$3:$CO$999,93,FALSE),"unknown")</f>
        <v>English</v>
      </c>
      <c r="BC415" s="120" t="str">
        <f>IFERROR(VLOOKUP(Table1[RespondentID],'All Data'!$A$3:$CW$999,94,FALSE),"unknown")</f>
        <v>Over $125,000</v>
      </c>
      <c r="BD415" s="120" t="str">
        <f>IFERROR(VLOOKUP(Table1[RespondentID],'All Data'!$A$3:$CW$999,95,FALSE),"unknown")</f>
        <v>Doctorate</v>
      </c>
      <c r="BE415" s="120">
        <f>IFERROR(VLOOKUP(Table1[RespondentID],'All Data'!$A$3:$CW$999,96,FALSE),"unknown")</f>
        <v>0</v>
      </c>
      <c r="BF415" s="120">
        <f>IFERROR(VLOOKUP(Table1[RespondentID],'All Data'!$A$3:$CW$999,97,FALSE),"unknown")</f>
        <v>0</v>
      </c>
      <c r="BG415" s="120" t="str">
        <f>IFERROR(VLOOKUP(Table1[RespondentID],'All Data'!$A$3:$CW$999,98,FALSE),"unknown")</f>
        <v>Medicare,Private/Commercial</v>
      </c>
      <c r="BH415" s="120" t="str">
        <f>IFERROR(VLOOKUP(Table1[RespondentID],'All Data'!$A$3:$CW$999,99,FALSE),"unknown")</f>
        <v>Yes</v>
      </c>
    </row>
    <row r="416" spans="1:60">
      <c r="A416" s="141">
        <v>114085828973</v>
      </c>
      <c r="B416" s="137"/>
      <c r="C416" s="138"/>
      <c r="D416" s="138"/>
      <c r="E416" s="138"/>
      <c r="F416" s="138"/>
      <c r="G416" s="138"/>
      <c r="H416" s="138"/>
      <c r="I416" s="138"/>
      <c r="J416" s="138"/>
      <c r="K416" s="138"/>
      <c r="L416" s="138"/>
      <c r="M416" s="138"/>
      <c r="N416" s="138" t="s">
        <v>24</v>
      </c>
      <c r="O416" s="138"/>
      <c r="P416" s="138"/>
      <c r="Q416" s="138"/>
      <c r="R416" s="138"/>
      <c r="S416" s="138"/>
      <c r="T416" s="142"/>
      <c r="U416" s="143">
        <f t="shared" si="138"/>
        <v>1</v>
      </c>
      <c r="V416" s="143">
        <f t="shared" si="139"/>
        <v>3</v>
      </c>
      <c r="W416" s="142"/>
      <c r="X416" s="143">
        <f t="shared" si="140"/>
        <v>0</v>
      </c>
      <c r="Y416" s="143">
        <f t="shared" si="141"/>
        <v>0</v>
      </c>
      <c r="Z416" s="143">
        <f t="shared" si="142"/>
        <v>0</v>
      </c>
      <c r="AA416" s="143">
        <f t="shared" si="143"/>
        <v>0</v>
      </c>
      <c r="AB416" s="143">
        <f t="shared" si="144"/>
        <v>0</v>
      </c>
      <c r="AC416" s="143">
        <f t="shared" si="145"/>
        <v>0</v>
      </c>
      <c r="AD416" s="143">
        <f t="shared" si="146"/>
        <v>0</v>
      </c>
      <c r="AE416" s="143">
        <f t="shared" si="147"/>
        <v>0</v>
      </c>
      <c r="AF416" s="143">
        <f t="shared" si="148"/>
        <v>0</v>
      </c>
      <c r="AG416" s="143">
        <f t="shared" si="149"/>
        <v>0</v>
      </c>
      <c r="AH416" s="143">
        <f t="shared" si="150"/>
        <v>0</v>
      </c>
      <c r="AI416" s="143">
        <f t="shared" si="151"/>
        <v>0</v>
      </c>
      <c r="AJ416" s="143">
        <f t="shared" si="152"/>
        <v>1</v>
      </c>
      <c r="AK416" s="143">
        <f t="shared" si="153"/>
        <v>0</v>
      </c>
      <c r="AL416" s="143">
        <f t="shared" si="154"/>
        <v>0</v>
      </c>
      <c r="AM416" s="143">
        <f t="shared" si="155"/>
        <v>0</v>
      </c>
      <c r="AN416" s="143">
        <f t="shared" si="156"/>
        <v>0</v>
      </c>
      <c r="AO416" s="143">
        <f t="shared" si="157"/>
        <v>0</v>
      </c>
      <c r="AP416" s="142"/>
      <c r="AQ416" s="142"/>
      <c r="AR416" s="143">
        <f t="shared" si="158"/>
        <v>1</v>
      </c>
      <c r="AS416" s="143">
        <f t="shared" si="159"/>
        <v>1</v>
      </c>
      <c r="AT416" s="143" t="str">
        <f t="shared" si="160"/>
        <v>Correct</v>
      </c>
      <c r="AU416" s="142"/>
      <c r="AV416" s="120" t="str">
        <f>IFERROR(VLOOKUP(Table1[RespondentID],'All Data'!$A$3:$CO$999,87,FALSE),"unknown")</f>
        <v>Woman</v>
      </c>
      <c r="AW416" s="120">
        <f>IFERROR(VLOOKUP(Table1[RespondentID],'All Data'!$A$3:$CO$999,88,FALSE),"unknown")</f>
        <v>0</v>
      </c>
      <c r="AX416" s="120" t="str">
        <f>IFERROR(VLOOKUP(Table1[RespondentID],'All Data'!$A$3:$CO$999,89,FALSE),"unknown")</f>
        <v>Suffolk</v>
      </c>
      <c r="AY416" s="120" t="str">
        <f>IFERROR(VLOOKUP(Table1[RespondentID],'All Data'!$A$3:$CO$999,90,FALSE),"unknown")</f>
        <v>Deer Park, 11729</v>
      </c>
      <c r="AZ416" s="120">
        <f>IFERROR(VLOOKUP(Table1[RespondentID],'All Data'!$A$3:$CO$999,91,FALSE),"unknown")</f>
        <v>0</v>
      </c>
      <c r="BA416" s="120" t="str">
        <f>IFERROR(VLOOKUP(Table1[RespondentID],'All Data'!$A$3:$CO$999,92,FALSE),"unknown")</f>
        <v>Not Hispanic or Latino</v>
      </c>
      <c r="BB416" s="120" t="str">
        <f>IFERROR(VLOOKUP(Table1[RespondentID],'All Data'!$A$3:$CO$999,93,FALSE),"unknown")</f>
        <v>English</v>
      </c>
      <c r="BC416" s="120" t="str">
        <f>IFERROR(VLOOKUP(Table1[RespondentID],'All Data'!$A$3:$CW$999,94,FALSE),"unknown")</f>
        <v>$75,000 to $125,000</v>
      </c>
      <c r="BD416" s="120" t="str">
        <f>IFERROR(VLOOKUP(Table1[RespondentID],'All Data'!$A$3:$CW$999,95,FALSE),"unknown")</f>
        <v>Graduate school</v>
      </c>
      <c r="BE416" s="120">
        <f>IFERROR(VLOOKUP(Table1[RespondentID],'All Data'!$A$3:$CW$999,96,FALSE),"unknown")</f>
        <v>0</v>
      </c>
      <c r="BF416" s="120">
        <f>IFERROR(VLOOKUP(Table1[RespondentID],'All Data'!$A$3:$CW$999,97,FALSE),"unknown")</f>
        <v>0</v>
      </c>
      <c r="BG416" s="120" t="str">
        <f>IFERROR(VLOOKUP(Table1[RespondentID],'All Data'!$A$3:$CW$999,98,FALSE),"unknown")</f>
        <v>Private/Commercial</v>
      </c>
      <c r="BH416" s="120" t="str">
        <f>IFERROR(VLOOKUP(Table1[RespondentID],'All Data'!$A$3:$CW$999,99,FALSE),"unknown")</f>
        <v>Yes</v>
      </c>
    </row>
    <row r="417" spans="1:60">
      <c r="A417" s="141">
        <v>114085827353</v>
      </c>
      <c r="B417" s="137" t="s">
        <v>49</v>
      </c>
      <c r="C417" s="138"/>
      <c r="D417" s="138"/>
      <c r="E417" s="138" t="s">
        <v>17</v>
      </c>
      <c r="F417" s="138"/>
      <c r="G417" s="138"/>
      <c r="H417" s="138" t="s">
        <v>54</v>
      </c>
      <c r="I417" s="138"/>
      <c r="J417" s="138"/>
      <c r="K417" s="138"/>
      <c r="L417" s="138"/>
      <c r="M417" s="138"/>
      <c r="N417" s="138"/>
      <c r="O417" s="138"/>
      <c r="P417" s="138" t="s">
        <v>60</v>
      </c>
      <c r="Q417" s="138"/>
      <c r="R417" s="138"/>
      <c r="S417" s="138"/>
      <c r="T417" s="142"/>
      <c r="U417" s="143">
        <f t="shared" si="138"/>
        <v>4</v>
      </c>
      <c r="V417" s="143">
        <f t="shared" si="139"/>
        <v>0.75</v>
      </c>
      <c r="W417" s="142"/>
      <c r="X417" s="143">
        <f t="shared" si="140"/>
        <v>0.75</v>
      </c>
      <c r="Y417" s="143">
        <f t="shared" si="141"/>
        <v>0</v>
      </c>
      <c r="Z417" s="143">
        <f t="shared" si="142"/>
        <v>0</v>
      </c>
      <c r="AA417" s="143">
        <f t="shared" si="143"/>
        <v>0.75</v>
      </c>
      <c r="AB417" s="143">
        <f t="shared" si="144"/>
        <v>0</v>
      </c>
      <c r="AC417" s="143">
        <f t="shared" si="145"/>
        <v>0</v>
      </c>
      <c r="AD417" s="143">
        <f t="shared" si="146"/>
        <v>0.75</v>
      </c>
      <c r="AE417" s="143">
        <f t="shared" si="147"/>
        <v>0</v>
      </c>
      <c r="AF417" s="143">
        <f t="shared" si="148"/>
        <v>0</v>
      </c>
      <c r="AG417" s="143">
        <f t="shared" si="149"/>
        <v>0</v>
      </c>
      <c r="AH417" s="143">
        <f t="shared" si="150"/>
        <v>0</v>
      </c>
      <c r="AI417" s="143">
        <f t="shared" si="151"/>
        <v>0</v>
      </c>
      <c r="AJ417" s="143">
        <f t="shared" si="152"/>
        <v>0</v>
      </c>
      <c r="AK417" s="143">
        <f t="shared" si="153"/>
        <v>0</v>
      </c>
      <c r="AL417" s="143">
        <f t="shared" si="154"/>
        <v>0.75</v>
      </c>
      <c r="AM417" s="143">
        <f t="shared" si="155"/>
        <v>0</v>
      </c>
      <c r="AN417" s="143">
        <f t="shared" si="156"/>
        <v>0</v>
      </c>
      <c r="AO417" s="143">
        <f t="shared" si="157"/>
        <v>0</v>
      </c>
      <c r="AP417" s="142"/>
      <c r="AQ417" s="142"/>
      <c r="AR417" s="143">
        <f t="shared" si="158"/>
        <v>3</v>
      </c>
      <c r="AS417" s="143">
        <f t="shared" si="159"/>
        <v>4</v>
      </c>
      <c r="AT417" s="143" t="str">
        <f t="shared" si="160"/>
        <v>Correct</v>
      </c>
      <c r="AU417" s="142"/>
      <c r="AV417" s="120" t="str">
        <f>IFERROR(VLOOKUP(Table1[RespondentID],'All Data'!$A$3:$CO$999,87,FALSE),"unknown")</f>
        <v>Man</v>
      </c>
      <c r="AW417" s="120">
        <f>IFERROR(VLOOKUP(Table1[RespondentID],'All Data'!$A$3:$CO$999,88,FALSE),"unknown")</f>
        <v>0</v>
      </c>
      <c r="AX417" s="120" t="str">
        <f>IFERROR(VLOOKUP(Table1[RespondentID],'All Data'!$A$3:$CO$999,89,FALSE),"unknown")</f>
        <v>Nassau</v>
      </c>
      <c r="AY417" s="120" t="str">
        <f>IFERROR(VLOOKUP(Table1[RespondentID],'All Data'!$A$3:$CO$999,90,FALSE),"unknown")</f>
        <v>Massapequa, 11758</v>
      </c>
      <c r="AZ417" s="120">
        <f>IFERROR(VLOOKUP(Table1[RespondentID],'All Data'!$A$3:$CO$999,91,FALSE),"unknown")</f>
        <v>0</v>
      </c>
      <c r="BA417" s="120" t="str">
        <f>IFERROR(VLOOKUP(Table1[RespondentID],'All Data'!$A$3:$CO$999,92,FALSE),"unknown")</f>
        <v>Not Hispanic or Latino</v>
      </c>
      <c r="BB417" s="120" t="str">
        <f>IFERROR(VLOOKUP(Table1[RespondentID],'All Data'!$A$3:$CO$999,93,FALSE),"unknown")</f>
        <v>English</v>
      </c>
      <c r="BC417" s="120" t="str">
        <f>IFERROR(VLOOKUP(Table1[RespondentID],'All Data'!$A$3:$CW$999,94,FALSE),"unknown")</f>
        <v>Over $125,000</v>
      </c>
      <c r="BD417" s="120" t="str">
        <f>IFERROR(VLOOKUP(Table1[RespondentID],'All Data'!$A$3:$CW$999,95,FALSE),"unknown")</f>
        <v>Doctorate</v>
      </c>
      <c r="BE417" s="120">
        <f>IFERROR(VLOOKUP(Table1[RespondentID],'All Data'!$A$3:$CW$999,96,FALSE),"unknown")</f>
        <v>0</v>
      </c>
      <c r="BF417" s="120">
        <f>IFERROR(VLOOKUP(Table1[RespondentID],'All Data'!$A$3:$CW$999,97,FALSE),"unknown")</f>
        <v>0</v>
      </c>
      <c r="BG417" s="120" t="str">
        <f>IFERROR(VLOOKUP(Table1[RespondentID],'All Data'!$A$3:$CW$999,98,FALSE),"unknown")</f>
        <v>Private/Commercial</v>
      </c>
      <c r="BH417" s="120" t="str">
        <f>IFERROR(VLOOKUP(Table1[RespondentID],'All Data'!$A$3:$CW$999,99,FALSE),"unknown")</f>
        <v>Yes</v>
      </c>
    </row>
    <row r="418" spans="1:60">
      <c r="A418" s="141">
        <v>114085823569</v>
      </c>
      <c r="B418" s="137"/>
      <c r="C418" s="138"/>
      <c r="D418" s="138" t="s">
        <v>51</v>
      </c>
      <c r="E418" s="138"/>
      <c r="F418" s="138"/>
      <c r="G418" s="138"/>
      <c r="H418" s="138"/>
      <c r="I418" s="138"/>
      <c r="J418" s="138"/>
      <c r="K418" s="138"/>
      <c r="L418" s="138" t="s">
        <v>58</v>
      </c>
      <c r="M418" s="138"/>
      <c r="N418" s="138" t="s">
        <v>24</v>
      </c>
      <c r="O418" s="138"/>
      <c r="P418" s="138"/>
      <c r="Q418" s="138"/>
      <c r="R418" s="138"/>
      <c r="S418" s="138"/>
      <c r="T418" s="142"/>
      <c r="U418" s="143">
        <f t="shared" si="138"/>
        <v>3</v>
      </c>
      <c r="V418" s="143">
        <f t="shared" si="139"/>
        <v>1</v>
      </c>
      <c r="W418" s="142"/>
      <c r="X418" s="143">
        <f t="shared" si="140"/>
        <v>0</v>
      </c>
      <c r="Y418" s="143">
        <f t="shared" si="141"/>
        <v>0</v>
      </c>
      <c r="Z418" s="143">
        <f t="shared" si="142"/>
        <v>1</v>
      </c>
      <c r="AA418" s="143">
        <f t="shared" si="143"/>
        <v>0</v>
      </c>
      <c r="AB418" s="143">
        <f t="shared" si="144"/>
        <v>0</v>
      </c>
      <c r="AC418" s="143">
        <f t="shared" si="145"/>
        <v>0</v>
      </c>
      <c r="AD418" s="143">
        <f t="shared" si="146"/>
        <v>0</v>
      </c>
      <c r="AE418" s="143">
        <f t="shared" si="147"/>
        <v>0</v>
      </c>
      <c r="AF418" s="143">
        <f t="shared" si="148"/>
        <v>0</v>
      </c>
      <c r="AG418" s="143">
        <f t="shared" si="149"/>
        <v>0</v>
      </c>
      <c r="AH418" s="143">
        <f t="shared" si="150"/>
        <v>1</v>
      </c>
      <c r="AI418" s="143">
        <f t="shared" si="151"/>
        <v>0</v>
      </c>
      <c r="AJ418" s="143">
        <f t="shared" si="152"/>
        <v>1</v>
      </c>
      <c r="AK418" s="143">
        <f t="shared" si="153"/>
        <v>0</v>
      </c>
      <c r="AL418" s="143">
        <f t="shared" si="154"/>
        <v>0</v>
      </c>
      <c r="AM418" s="143">
        <f t="shared" si="155"/>
        <v>0</v>
      </c>
      <c r="AN418" s="143">
        <f t="shared" si="156"/>
        <v>0</v>
      </c>
      <c r="AO418" s="143">
        <f t="shared" si="157"/>
        <v>0</v>
      </c>
      <c r="AP418" s="142"/>
      <c r="AQ418" s="142"/>
      <c r="AR418" s="143">
        <f t="shared" si="158"/>
        <v>3</v>
      </c>
      <c r="AS418" s="143">
        <f t="shared" si="159"/>
        <v>3</v>
      </c>
      <c r="AT418" s="143" t="str">
        <f t="shared" si="160"/>
        <v>Correct</v>
      </c>
      <c r="AU418" s="142"/>
      <c r="AV418" s="120" t="str">
        <f>IFERROR(VLOOKUP(Table1[RespondentID],'All Data'!$A$3:$CO$999,87,FALSE),"unknown")</f>
        <v>Woman</v>
      </c>
      <c r="AW418" s="120">
        <f>IFERROR(VLOOKUP(Table1[RespondentID],'All Data'!$A$3:$CO$999,88,FALSE),"unknown")</f>
        <v>0</v>
      </c>
      <c r="AX418" s="120" t="str">
        <f>IFERROR(VLOOKUP(Table1[RespondentID],'All Data'!$A$3:$CO$999,89,FALSE),"unknown")</f>
        <v>Suffolk</v>
      </c>
      <c r="AY418" s="120" t="str">
        <f>IFERROR(VLOOKUP(Table1[RespondentID],'All Data'!$A$3:$CO$999,90,FALSE),"unknown")</f>
        <v>Deer Park, 11729</v>
      </c>
      <c r="AZ418" s="120">
        <f>IFERROR(VLOOKUP(Table1[RespondentID],'All Data'!$A$3:$CO$999,91,FALSE),"unknown")</f>
        <v>0</v>
      </c>
      <c r="BA418" s="120" t="str">
        <f>IFERROR(VLOOKUP(Table1[RespondentID],'All Data'!$A$3:$CO$999,92,FALSE),"unknown")</f>
        <v>Not Hispanic or Latino</v>
      </c>
      <c r="BB418" s="120" t="str">
        <f>IFERROR(VLOOKUP(Table1[RespondentID],'All Data'!$A$3:$CO$999,93,FALSE),"unknown")</f>
        <v>English</v>
      </c>
      <c r="BC418" s="120" t="str">
        <f>IFERROR(VLOOKUP(Table1[RespondentID],'All Data'!$A$3:$CW$999,94,FALSE),"unknown")</f>
        <v>Over $125,000</v>
      </c>
      <c r="BD418" s="120" t="str">
        <f>IFERROR(VLOOKUP(Table1[RespondentID],'All Data'!$A$3:$CW$999,95,FALSE),"unknown")</f>
        <v>College graduate</v>
      </c>
      <c r="BE418" s="120">
        <f>IFERROR(VLOOKUP(Table1[RespondentID],'All Data'!$A$3:$CW$999,96,FALSE),"unknown")</f>
        <v>0</v>
      </c>
      <c r="BF418" s="120">
        <f>IFERROR(VLOOKUP(Table1[RespondentID],'All Data'!$A$3:$CW$999,97,FALSE),"unknown")</f>
        <v>0</v>
      </c>
      <c r="BG418" s="120" t="str">
        <f>IFERROR(VLOOKUP(Table1[RespondentID],'All Data'!$A$3:$CW$999,98,FALSE),"unknown")</f>
        <v>Private/Commercial</v>
      </c>
      <c r="BH418" s="120" t="str">
        <f>IFERROR(VLOOKUP(Table1[RespondentID],'All Data'!$A$3:$CW$999,99,FALSE),"unknown")</f>
        <v>Yes</v>
      </c>
    </row>
    <row r="419" spans="1:60">
      <c r="A419" s="141">
        <v>114085822022</v>
      </c>
      <c r="B419" s="137"/>
      <c r="C419" s="138"/>
      <c r="D419" s="138" t="s">
        <v>51</v>
      </c>
      <c r="E419" s="138" t="s">
        <v>17</v>
      </c>
      <c r="F419" s="138"/>
      <c r="G419" s="138" t="s">
        <v>53</v>
      </c>
      <c r="H419" s="138"/>
      <c r="I419" s="138"/>
      <c r="J419" s="138"/>
      <c r="K419" s="138"/>
      <c r="L419" s="138"/>
      <c r="M419" s="138"/>
      <c r="N419" s="138"/>
      <c r="O419" s="138"/>
      <c r="P419" s="138"/>
      <c r="Q419" s="138"/>
      <c r="R419" s="138"/>
      <c r="S419" s="138"/>
      <c r="T419" s="142"/>
      <c r="U419" s="143">
        <f t="shared" si="138"/>
        <v>3</v>
      </c>
      <c r="V419" s="143">
        <f t="shared" si="139"/>
        <v>1</v>
      </c>
      <c r="W419" s="142"/>
      <c r="X419" s="143">
        <f t="shared" si="140"/>
        <v>0</v>
      </c>
      <c r="Y419" s="143">
        <f t="shared" si="141"/>
        <v>0</v>
      </c>
      <c r="Z419" s="143">
        <f t="shared" si="142"/>
        <v>1</v>
      </c>
      <c r="AA419" s="143">
        <f t="shared" si="143"/>
        <v>1</v>
      </c>
      <c r="AB419" s="143">
        <f t="shared" si="144"/>
        <v>0</v>
      </c>
      <c r="AC419" s="143">
        <f t="shared" si="145"/>
        <v>1</v>
      </c>
      <c r="AD419" s="143">
        <f t="shared" si="146"/>
        <v>0</v>
      </c>
      <c r="AE419" s="143">
        <f t="shared" si="147"/>
        <v>0</v>
      </c>
      <c r="AF419" s="143">
        <f t="shared" si="148"/>
        <v>0</v>
      </c>
      <c r="AG419" s="143">
        <f t="shared" si="149"/>
        <v>0</v>
      </c>
      <c r="AH419" s="143">
        <f t="shared" si="150"/>
        <v>0</v>
      </c>
      <c r="AI419" s="143">
        <f t="shared" si="151"/>
        <v>0</v>
      </c>
      <c r="AJ419" s="143">
        <f t="shared" si="152"/>
        <v>0</v>
      </c>
      <c r="AK419" s="143">
        <f t="shared" si="153"/>
        <v>0</v>
      </c>
      <c r="AL419" s="143">
        <f t="shared" si="154"/>
        <v>0</v>
      </c>
      <c r="AM419" s="143">
        <f t="shared" si="155"/>
        <v>0</v>
      </c>
      <c r="AN419" s="143">
        <f t="shared" si="156"/>
        <v>0</v>
      </c>
      <c r="AO419" s="143">
        <f t="shared" si="157"/>
        <v>0</v>
      </c>
      <c r="AP419" s="142"/>
      <c r="AQ419" s="142"/>
      <c r="AR419" s="143">
        <f t="shared" si="158"/>
        <v>3</v>
      </c>
      <c r="AS419" s="143">
        <f t="shared" si="159"/>
        <v>3</v>
      </c>
      <c r="AT419" s="143" t="str">
        <f t="shared" si="160"/>
        <v>Correct</v>
      </c>
      <c r="AU419" s="142"/>
      <c r="AV419" s="120" t="str">
        <f>IFERROR(VLOOKUP(Table1[RespondentID],'All Data'!$A$3:$CO$999,87,FALSE),"unknown")</f>
        <v>Woman</v>
      </c>
      <c r="AW419" s="120">
        <f>IFERROR(VLOOKUP(Table1[RespondentID],'All Data'!$A$3:$CO$999,88,FALSE),"unknown")</f>
        <v>0</v>
      </c>
      <c r="AX419" s="120" t="str">
        <f>IFERROR(VLOOKUP(Table1[RespondentID],'All Data'!$A$3:$CO$999,89,FALSE),"unknown")</f>
        <v>Nassau</v>
      </c>
      <c r="AY419" s="120" t="str">
        <f>IFERROR(VLOOKUP(Table1[RespondentID],'All Data'!$A$3:$CO$999,90,FALSE),"unknown")</f>
        <v>Bethpage, 11714</v>
      </c>
      <c r="AZ419" s="120">
        <f>IFERROR(VLOOKUP(Table1[RespondentID],'All Data'!$A$3:$CO$999,91,FALSE),"unknown")</f>
        <v>0</v>
      </c>
      <c r="BA419" s="120" t="str">
        <f>IFERROR(VLOOKUP(Table1[RespondentID],'All Data'!$A$3:$CO$999,92,FALSE),"unknown")</f>
        <v>Not Hispanic or Latino</v>
      </c>
      <c r="BB419" s="120" t="str">
        <f>IFERROR(VLOOKUP(Table1[RespondentID],'All Data'!$A$3:$CO$999,93,FALSE),"unknown")</f>
        <v>English</v>
      </c>
      <c r="BC419" s="120" t="str">
        <f>IFERROR(VLOOKUP(Table1[RespondentID],'All Data'!$A$3:$CW$999,94,FALSE),"unknown")</f>
        <v>$75,000 to $125,000</v>
      </c>
      <c r="BD419" s="120" t="str">
        <f>IFERROR(VLOOKUP(Table1[RespondentID],'All Data'!$A$3:$CW$999,95,FALSE),"unknown")</f>
        <v>College graduate</v>
      </c>
      <c r="BE419" s="120">
        <f>IFERROR(VLOOKUP(Table1[RespondentID],'All Data'!$A$3:$CW$999,96,FALSE),"unknown")</f>
        <v>0</v>
      </c>
      <c r="BF419" s="120">
        <f>IFERROR(VLOOKUP(Table1[RespondentID],'All Data'!$A$3:$CW$999,97,FALSE),"unknown")</f>
        <v>0</v>
      </c>
      <c r="BG419" s="120" t="str">
        <f>IFERROR(VLOOKUP(Table1[RespondentID],'All Data'!$A$3:$CW$999,98,FALSE),"unknown")</f>
        <v>Private/Commercial</v>
      </c>
      <c r="BH419" s="120" t="str">
        <f>IFERROR(VLOOKUP(Table1[RespondentID],'All Data'!$A$3:$CW$999,99,FALSE),"unknown")</f>
        <v>Yes</v>
      </c>
    </row>
    <row r="420" spans="1:60">
      <c r="A420" s="141">
        <v>114085818088</v>
      </c>
      <c r="B420" s="137" t="s">
        <v>49</v>
      </c>
      <c r="C420" s="138"/>
      <c r="D420" s="138"/>
      <c r="E420" s="138"/>
      <c r="F420" s="138"/>
      <c r="G420" s="138"/>
      <c r="H420" s="138" t="s">
        <v>54</v>
      </c>
      <c r="I420" s="138"/>
      <c r="J420" s="138"/>
      <c r="K420" s="138"/>
      <c r="L420" s="138"/>
      <c r="M420" s="138"/>
      <c r="N420" s="138" t="s">
        <v>24</v>
      </c>
      <c r="O420" s="138"/>
      <c r="P420" s="138"/>
      <c r="Q420" s="138"/>
      <c r="R420" s="138"/>
      <c r="S420" s="138"/>
      <c r="T420" s="142"/>
      <c r="U420" s="143">
        <f t="shared" si="138"/>
        <v>3</v>
      </c>
      <c r="V420" s="143">
        <f t="shared" si="139"/>
        <v>1</v>
      </c>
      <c r="W420" s="142"/>
      <c r="X420" s="143">
        <f t="shared" si="140"/>
        <v>1</v>
      </c>
      <c r="Y420" s="143">
        <f t="shared" si="141"/>
        <v>0</v>
      </c>
      <c r="Z420" s="143">
        <f t="shared" si="142"/>
        <v>0</v>
      </c>
      <c r="AA420" s="143">
        <f t="shared" si="143"/>
        <v>0</v>
      </c>
      <c r="AB420" s="143">
        <f t="shared" si="144"/>
        <v>0</v>
      </c>
      <c r="AC420" s="143">
        <f t="shared" si="145"/>
        <v>0</v>
      </c>
      <c r="AD420" s="143">
        <f t="shared" si="146"/>
        <v>1</v>
      </c>
      <c r="AE420" s="143">
        <f t="shared" si="147"/>
        <v>0</v>
      </c>
      <c r="AF420" s="143">
        <f t="shared" si="148"/>
        <v>0</v>
      </c>
      <c r="AG420" s="143">
        <f t="shared" si="149"/>
        <v>0</v>
      </c>
      <c r="AH420" s="143">
        <f t="shared" si="150"/>
        <v>0</v>
      </c>
      <c r="AI420" s="143">
        <f t="shared" si="151"/>
        <v>0</v>
      </c>
      <c r="AJ420" s="143">
        <f t="shared" si="152"/>
        <v>1</v>
      </c>
      <c r="AK420" s="143">
        <f t="shared" si="153"/>
        <v>0</v>
      </c>
      <c r="AL420" s="143">
        <f t="shared" si="154"/>
        <v>0</v>
      </c>
      <c r="AM420" s="143">
        <f t="shared" si="155"/>
        <v>0</v>
      </c>
      <c r="AN420" s="143">
        <f t="shared" si="156"/>
        <v>0</v>
      </c>
      <c r="AO420" s="143">
        <f t="shared" si="157"/>
        <v>0</v>
      </c>
      <c r="AP420" s="142"/>
      <c r="AQ420" s="142"/>
      <c r="AR420" s="143">
        <f t="shared" si="158"/>
        <v>3</v>
      </c>
      <c r="AS420" s="143">
        <f t="shared" si="159"/>
        <v>3</v>
      </c>
      <c r="AT420" s="143" t="str">
        <f t="shared" si="160"/>
        <v>Correct</v>
      </c>
      <c r="AU420" s="142"/>
      <c r="AV420" s="120" t="str">
        <f>IFERROR(VLOOKUP(Table1[RespondentID],'All Data'!$A$3:$CO$999,87,FALSE),"unknown")</f>
        <v>Woman</v>
      </c>
      <c r="AW420" s="120">
        <f>IFERROR(VLOOKUP(Table1[RespondentID],'All Data'!$A$3:$CO$999,88,FALSE),"unknown")</f>
        <v>0</v>
      </c>
      <c r="AX420" s="120" t="str">
        <f>IFERROR(VLOOKUP(Table1[RespondentID],'All Data'!$A$3:$CO$999,89,FALSE),"unknown")</f>
        <v>Nassau</v>
      </c>
      <c r="AY420" s="120" t="str">
        <f>IFERROR(VLOOKUP(Table1[RespondentID],'All Data'!$A$3:$CO$999,90,FALSE),"unknown")</f>
        <v>New Hyde Park, 11040</v>
      </c>
      <c r="AZ420" s="120">
        <f>IFERROR(VLOOKUP(Table1[RespondentID],'All Data'!$A$3:$CO$999,91,FALSE),"unknown")</f>
        <v>0</v>
      </c>
      <c r="BA420" s="120" t="str">
        <f>IFERROR(VLOOKUP(Table1[RespondentID],'All Data'!$A$3:$CO$999,92,FALSE),"unknown")</f>
        <v>Not Hispanic or Latino</v>
      </c>
      <c r="BB420" s="120" t="str">
        <f>IFERROR(VLOOKUP(Table1[RespondentID],'All Data'!$A$3:$CO$999,93,FALSE),"unknown")</f>
        <v>English</v>
      </c>
      <c r="BC420" s="120" t="str">
        <f>IFERROR(VLOOKUP(Table1[RespondentID],'All Data'!$A$3:$CW$999,94,FALSE),"unknown")</f>
        <v>Over $125,000</v>
      </c>
      <c r="BD420" s="120" t="str">
        <f>IFERROR(VLOOKUP(Table1[RespondentID],'All Data'!$A$3:$CW$999,95,FALSE),"unknown")</f>
        <v>Graduate school</v>
      </c>
      <c r="BE420" s="120">
        <f>IFERROR(VLOOKUP(Table1[RespondentID],'All Data'!$A$3:$CW$999,96,FALSE),"unknown")</f>
        <v>0</v>
      </c>
      <c r="BF420" s="120">
        <f>IFERROR(VLOOKUP(Table1[RespondentID],'All Data'!$A$3:$CW$999,97,FALSE),"unknown")</f>
        <v>0</v>
      </c>
      <c r="BG420" s="120" t="str">
        <f>IFERROR(VLOOKUP(Table1[RespondentID],'All Data'!$A$3:$CW$999,98,FALSE),"unknown")</f>
        <v>Medicare,Private/Commercial</v>
      </c>
      <c r="BH420" s="120" t="str">
        <f>IFERROR(VLOOKUP(Table1[RespondentID],'All Data'!$A$3:$CW$999,99,FALSE),"unknown")</f>
        <v>Yes</v>
      </c>
    </row>
    <row r="421" spans="1:60">
      <c r="A421" s="141">
        <v>114085818365</v>
      </c>
      <c r="B421" s="137"/>
      <c r="C421" s="138"/>
      <c r="D421" s="138" t="s">
        <v>51</v>
      </c>
      <c r="E421" s="138"/>
      <c r="F421" s="138"/>
      <c r="G421" s="138"/>
      <c r="H421" s="138"/>
      <c r="I421" s="138"/>
      <c r="J421" s="138"/>
      <c r="K421" s="138"/>
      <c r="L421" s="138"/>
      <c r="M421" s="138" t="s">
        <v>59</v>
      </c>
      <c r="N421" s="138"/>
      <c r="O421" s="138"/>
      <c r="P421" s="138"/>
      <c r="Q421" s="138" t="s">
        <v>61</v>
      </c>
      <c r="R421" s="138"/>
      <c r="S421" s="138" t="s">
        <v>63</v>
      </c>
      <c r="T421" s="142"/>
      <c r="U421" s="143">
        <f t="shared" si="138"/>
        <v>4</v>
      </c>
      <c r="V421" s="143">
        <f t="shared" si="139"/>
        <v>0.75</v>
      </c>
      <c r="W421" s="142"/>
      <c r="X421" s="143">
        <f t="shared" si="140"/>
        <v>0</v>
      </c>
      <c r="Y421" s="143">
        <f t="shared" si="141"/>
        <v>0</v>
      </c>
      <c r="Z421" s="143">
        <f t="shared" si="142"/>
        <v>0.75</v>
      </c>
      <c r="AA421" s="143">
        <f t="shared" si="143"/>
        <v>0</v>
      </c>
      <c r="AB421" s="143">
        <f t="shared" si="144"/>
        <v>0</v>
      </c>
      <c r="AC421" s="143">
        <f t="shared" si="145"/>
        <v>0</v>
      </c>
      <c r="AD421" s="143">
        <f t="shared" si="146"/>
        <v>0</v>
      </c>
      <c r="AE421" s="143">
        <f t="shared" si="147"/>
        <v>0</v>
      </c>
      <c r="AF421" s="143">
        <f t="shared" si="148"/>
        <v>0</v>
      </c>
      <c r="AG421" s="143">
        <f t="shared" si="149"/>
        <v>0</v>
      </c>
      <c r="AH421" s="143">
        <f t="shared" si="150"/>
        <v>0</v>
      </c>
      <c r="AI421" s="143">
        <f t="shared" si="151"/>
        <v>0.75</v>
      </c>
      <c r="AJ421" s="143">
        <f t="shared" si="152"/>
        <v>0</v>
      </c>
      <c r="AK421" s="143">
        <f t="shared" si="153"/>
        <v>0</v>
      </c>
      <c r="AL421" s="143">
        <f t="shared" si="154"/>
        <v>0</v>
      </c>
      <c r="AM421" s="143">
        <f t="shared" si="155"/>
        <v>0.75</v>
      </c>
      <c r="AN421" s="143">
        <f t="shared" si="156"/>
        <v>0</v>
      </c>
      <c r="AO421" s="143">
        <f t="shared" si="157"/>
        <v>0.75</v>
      </c>
      <c r="AP421" s="142"/>
      <c r="AQ421" s="142"/>
      <c r="AR421" s="143">
        <f t="shared" si="158"/>
        <v>3</v>
      </c>
      <c r="AS421" s="143">
        <f t="shared" si="159"/>
        <v>4</v>
      </c>
      <c r="AT421" s="143" t="str">
        <f t="shared" si="160"/>
        <v>Correct</v>
      </c>
      <c r="AU421" s="142"/>
      <c r="AV421" s="120" t="str">
        <f>IFERROR(VLOOKUP(Table1[RespondentID],'All Data'!$A$3:$CO$999,87,FALSE),"unknown")</f>
        <v>Woman</v>
      </c>
      <c r="AW421" s="120">
        <f>IFERROR(VLOOKUP(Table1[RespondentID],'All Data'!$A$3:$CO$999,88,FALSE),"unknown")</f>
        <v>0</v>
      </c>
      <c r="AX421" s="120" t="str">
        <f>IFERROR(VLOOKUP(Table1[RespondentID],'All Data'!$A$3:$CO$999,89,FALSE),"unknown")</f>
        <v>Suffolk</v>
      </c>
      <c r="AY421" s="120" t="str">
        <f>IFERROR(VLOOKUP(Table1[RespondentID],'All Data'!$A$3:$CO$999,90,FALSE),"unknown")</f>
        <v>Lake Grove, 11755</v>
      </c>
      <c r="AZ421" s="120">
        <f>IFERROR(VLOOKUP(Table1[RespondentID],'All Data'!$A$3:$CO$999,91,FALSE),"unknown")</f>
        <v>0</v>
      </c>
      <c r="BA421" s="120" t="str">
        <f>IFERROR(VLOOKUP(Table1[RespondentID],'All Data'!$A$3:$CO$999,92,FALSE),"unknown")</f>
        <v>Not Hispanic or Latino</v>
      </c>
      <c r="BB421" s="120" t="str">
        <f>IFERROR(VLOOKUP(Table1[RespondentID],'All Data'!$A$3:$CO$999,93,FALSE),"unknown")</f>
        <v>English</v>
      </c>
      <c r="BC421" s="120" t="str">
        <f>IFERROR(VLOOKUP(Table1[RespondentID],'All Data'!$A$3:$CW$999,94,FALSE),"unknown")</f>
        <v>Over $125,000</v>
      </c>
      <c r="BD421" s="120" t="str">
        <f>IFERROR(VLOOKUP(Table1[RespondentID],'All Data'!$A$3:$CW$999,95,FALSE),"unknown")</f>
        <v>College graduate</v>
      </c>
      <c r="BE421" s="120">
        <f>IFERROR(VLOOKUP(Table1[RespondentID],'All Data'!$A$3:$CW$999,96,FALSE),"unknown")</f>
        <v>0</v>
      </c>
      <c r="BF421" s="120">
        <f>IFERROR(VLOOKUP(Table1[RespondentID],'All Data'!$A$3:$CW$999,97,FALSE),"unknown")</f>
        <v>0</v>
      </c>
      <c r="BG421" s="120" t="str">
        <f>IFERROR(VLOOKUP(Table1[RespondentID],'All Data'!$A$3:$CW$999,98,FALSE),"unknown")</f>
        <v>Private/Commercial</v>
      </c>
      <c r="BH421" s="120" t="str">
        <f>IFERROR(VLOOKUP(Table1[RespondentID],'All Data'!$A$3:$CW$999,99,FALSE),"unknown")</f>
        <v>Yes</v>
      </c>
    </row>
    <row r="422" spans="1:60">
      <c r="A422" s="141">
        <v>114085818190</v>
      </c>
      <c r="B422" s="137"/>
      <c r="C422" s="138"/>
      <c r="D422" s="138"/>
      <c r="E422" s="138" t="s">
        <v>17</v>
      </c>
      <c r="F422" s="138"/>
      <c r="G422" s="138"/>
      <c r="H422" s="138"/>
      <c r="I422" s="138"/>
      <c r="J422" s="138"/>
      <c r="K422" s="138"/>
      <c r="L422" s="138" t="s">
        <v>58</v>
      </c>
      <c r="M422" s="138"/>
      <c r="N422" s="138" t="s">
        <v>24</v>
      </c>
      <c r="O422" s="138"/>
      <c r="P422" s="138"/>
      <c r="Q422" s="138"/>
      <c r="R422" s="138"/>
      <c r="S422" s="138"/>
      <c r="T422" s="142"/>
      <c r="U422" s="143">
        <f t="shared" si="138"/>
        <v>3</v>
      </c>
      <c r="V422" s="143">
        <f t="shared" si="139"/>
        <v>1</v>
      </c>
      <c r="W422" s="142"/>
      <c r="X422" s="143">
        <f t="shared" si="140"/>
        <v>0</v>
      </c>
      <c r="Y422" s="143">
        <f t="shared" si="141"/>
        <v>0</v>
      </c>
      <c r="Z422" s="143">
        <f t="shared" si="142"/>
        <v>0</v>
      </c>
      <c r="AA422" s="143">
        <f t="shared" si="143"/>
        <v>1</v>
      </c>
      <c r="AB422" s="143">
        <f t="shared" si="144"/>
        <v>0</v>
      </c>
      <c r="AC422" s="143">
        <f t="shared" si="145"/>
        <v>0</v>
      </c>
      <c r="AD422" s="143">
        <f t="shared" si="146"/>
        <v>0</v>
      </c>
      <c r="AE422" s="143">
        <f t="shared" si="147"/>
        <v>0</v>
      </c>
      <c r="AF422" s="143">
        <f t="shared" si="148"/>
        <v>0</v>
      </c>
      <c r="AG422" s="143">
        <f t="shared" si="149"/>
        <v>0</v>
      </c>
      <c r="AH422" s="143">
        <f t="shared" si="150"/>
        <v>1</v>
      </c>
      <c r="AI422" s="143">
        <f t="shared" si="151"/>
        <v>0</v>
      </c>
      <c r="AJ422" s="143">
        <f t="shared" si="152"/>
        <v>1</v>
      </c>
      <c r="AK422" s="143">
        <f t="shared" si="153"/>
        <v>0</v>
      </c>
      <c r="AL422" s="143">
        <f t="shared" si="154"/>
        <v>0</v>
      </c>
      <c r="AM422" s="143">
        <f t="shared" si="155"/>
        <v>0</v>
      </c>
      <c r="AN422" s="143">
        <f t="shared" si="156"/>
        <v>0</v>
      </c>
      <c r="AO422" s="143">
        <f t="shared" si="157"/>
        <v>0</v>
      </c>
      <c r="AP422" s="142"/>
      <c r="AQ422" s="142"/>
      <c r="AR422" s="143">
        <f t="shared" si="158"/>
        <v>3</v>
      </c>
      <c r="AS422" s="143">
        <f t="shared" si="159"/>
        <v>3</v>
      </c>
      <c r="AT422" s="143" t="str">
        <f t="shared" si="160"/>
        <v>Correct</v>
      </c>
      <c r="AU422" s="142"/>
      <c r="AV422" s="120" t="str">
        <f>IFERROR(VLOOKUP(Table1[RespondentID],'All Data'!$A$3:$CO$999,87,FALSE),"unknown")</f>
        <v>Man</v>
      </c>
      <c r="AW422" s="120">
        <f>IFERROR(VLOOKUP(Table1[RespondentID],'All Data'!$A$3:$CO$999,88,FALSE),"unknown")</f>
        <v>0</v>
      </c>
      <c r="AX422" s="120" t="str">
        <f>IFERROR(VLOOKUP(Table1[RespondentID],'All Data'!$A$3:$CO$999,89,FALSE),"unknown")</f>
        <v>Nassau</v>
      </c>
      <c r="AY422" s="120" t="str">
        <f>IFERROR(VLOOKUP(Table1[RespondentID],'All Data'!$A$3:$CO$999,90,FALSE),"unknown")</f>
        <v>Jericho, 11753</v>
      </c>
      <c r="AZ422" s="120">
        <f>IFERROR(VLOOKUP(Table1[RespondentID],'All Data'!$A$3:$CO$999,91,FALSE),"unknown")</f>
        <v>0</v>
      </c>
      <c r="BA422" s="120" t="str">
        <f>IFERROR(VLOOKUP(Table1[RespondentID],'All Data'!$A$3:$CO$999,92,FALSE),"unknown")</f>
        <v>Not Hispanic or Latino</v>
      </c>
      <c r="BB422" s="120" t="str">
        <f>IFERROR(VLOOKUP(Table1[RespondentID],'All Data'!$A$3:$CO$999,93,FALSE),"unknown")</f>
        <v>English</v>
      </c>
      <c r="BC422" s="120" t="str">
        <f>IFERROR(VLOOKUP(Table1[RespondentID],'All Data'!$A$3:$CW$999,94,FALSE),"unknown")</f>
        <v>Over $125,000</v>
      </c>
      <c r="BD422" s="120" t="str">
        <f>IFERROR(VLOOKUP(Table1[RespondentID],'All Data'!$A$3:$CW$999,95,FALSE),"unknown")</f>
        <v>Doctorate</v>
      </c>
      <c r="BE422" s="120">
        <f>IFERROR(VLOOKUP(Table1[RespondentID],'All Data'!$A$3:$CW$999,96,FALSE),"unknown")</f>
        <v>0</v>
      </c>
      <c r="BF422" s="120">
        <f>IFERROR(VLOOKUP(Table1[RespondentID],'All Data'!$A$3:$CW$999,97,FALSE),"unknown")</f>
        <v>0</v>
      </c>
      <c r="BG422" s="120" t="str">
        <f>IFERROR(VLOOKUP(Table1[RespondentID],'All Data'!$A$3:$CW$999,98,FALSE),"unknown")</f>
        <v>Private/Commercial</v>
      </c>
      <c r="BH422" s="120" t="str">
        <f>IFERROR(VLOOKUP(Table1[RespondentID],'All Data'!$A$3:$CW$999,99,FALSE),"unknown")</f>
        <v>Yes</v>
      </c>
    </row>
    <row r="423" spans="1:60">
      <c r="A423" s="141">
        <v>114085817474</v>
      </c>
      <c r="B423" s="137"/>
      <c r="C423" s="138"/>
      <c r="D423" s="138" t="s">
        <v>51</v>
      </c>
      <c r="E423" s="138"/>
      <c r="F423" s="138"/>
      <c r="G423" s="138"/>
      <c r="H423" s="138"/>
      <c r="I423" s="138"/>
      <c r="J423" s="138"/>
      <c r="K423" s="138"/>
      <c r="L423" s="138"/>
      <c r="M423" s="138"/>
      <c r="N423" s="138"/>
      <c r="O423" s="138"/>
      <c r="P423" s="138"/>
      <c r="Q423" s="138"/>
      <c r="R423" s="138"/>
      <c r="S423" s="138" t="s">
        <v>63</v>
      </c>
      <c r="T423" s="142"/>
      <c r="U423" s="143">
        <f t="shared" si="138"/>
        <v>2</v>
      </c>
      <c r="V423" s="143">
        <f t="shared" si="139"/>
        <v>1.5</v>
      </c>
      <c r="W423" s="142"/>
      <c r="X423" s="143">
        <f t="shared" si="140"/>
        <v>0</v>
      </c>
      <c r="Y423" s="143">
        <f t="shared" si="141"/>
        <v>0</v>
      </c>
      <c r="Z423" s="143">
        <f t="shared" si="142"/>
        <v>1</v>
      </c>
      <c r="AA423" s="143">
        <f t="shared" si="143"/>
        <v>0</v>
      </c>
      <c r="AB423" s="143">
        <f t="shared" si="144"/>
        <v>0</v>
      </c>
      <c r="AC423" s="143">
        <f t="shared" si="145"/>
        <v>0</v>
      </c>
      <c r="AD423" s="143">
        <f t="shared" si="146"/>
        <v>0</v>
      </c>
      <c r="AE423" s="143">
        <f t="shared" si="147"/>
        <v>0</v>
      </c>
      <c r="AF423" s="143">
        <f t="shared" si="148"/>
        <v>0</v>
      </c>
      <c r="AG423" s="143">
        <f t="shared" si="149"/>
        <v>0</v>
      </c>
      <c r="AH423" s="143">
        <f t="shared" si="150"/>
        <v>0</v>
      </c>
      <c r="AI423" s="143">
        <f t="shared" si="151"/>
        <v>0</v>
      </c>
      <c r="AJ423" s="143">
        <f t="shared" si="152"/>
        <v>0</v>
      </c>
      <c r="AK423" s="143">
        <f t="shared" si="153"/>
        <v>0</v>
      </c>
      <c r="AL423" s="143">
        <f t="shared" si="154"/>
        <v>0</v>
      </c>
      <c r="AM423" s="143">
        <f t="shared" si="155"/>
        <v>0</v>
      </c>
      <c r="AN423" s="143">
        <f t="shared" si="156"/>
        <v>0</v>
      </c>
      <c r="AO423" s="143">
        <f t="shared" si="157"/>
        <v>1</v>
      </c>
      <c r="AP423" s="142"/>
      <c r="AQ423" s="142"/>
      <c r="AR423" s="143">
        <f t="shared" si="158"/>
        <v>2</v>
      </c>
      <c r="AS423" s="143">
        <f t="shared" si="159"/>
        <v>2</v>
      </c>
      <c r="AT423" s="143" t="str">
        <f t="shared" si="160"/>
        <v>Correct</v>
      </c>
      <c r="AU423" s="142"/>
      <c r="AV423" s="120" t="str">
        <f>IFERROR(VLOOKUP(Table1[RespondentID],'All Data'!$A$3:$CO$999,87,FALSE),"unknown")</f>
        <v>Woman</v>
      </c>
      <c r="AW423" s="120">
        <f>IFERROR(VLOOKUP(Table1[RespondentID],'All Data'!$A$3:$CO$999,88,FALSE),"unknown")</f>
        <v>0</v>
      </c>
      <c r="AX423" s="120" t="str">
        <f>IFERROR(VLOOKUP(Table1[RespondentID],'All Data'!$A$3:$CO$999,89,FALSE),"unknown")</f>
        <v>Nassau</v>
      </c>
      <c r="AY423" s="120" t="str">
        <f>IFERROR(VLOOKUP(Table1[RespondentID],'All Data'!$A$3:$CO$999,90,FALSE),"unknown")</f>
        <v>Long Beach, 11561</v>
      </c>
      <c r="AZ423" s="120">
        <f>IFERROR(VLOOKUP(Table1[RespondentID],'All Data'!$A$3:$CO$999,91,FALSE),"unknown")</f>
        <v>0</v>
      </c>
      <c r="BA423" s="120" t="str">
        <f>IFERROR(VLOOKUP(Table1[RespondentID],'All Data'!$A$3:$CO$999,92,FALSE),"unknown")</f>
        <v>Hispanic or Latino</v>
      </c>
      <c r="BB423" s="120" t="str">
        <f>IFERROR(VLOOKUP(Table1[RespondentID],'All Data'!$A$3:$CO$999,93,FALSE),"unknown")</f>
        <v>English</v>
      </c>
      <c r="BC423" s="120" t="str">
        <f>IFERROR(VLOOKUP(Table1[RespondentID],'All Data'!$A$3:$CW$999,94,FALSE),"unknown")</f>
        <v>$50,000 to $74,999</v>
      </c>
      <c r="BD423" s="120" t="str">
        <f>IFERROR(VLOOKUP(Table1[RespondentID],'All Data'!$A$3:$CW$999,95,FALSE),"unknown")</f>
        <v>College graduate</v>
      </c>
      <c r="BE423" s="120">
        <f>IFERROR(VLOOKUP(Table1[RespondentID],'All Data'!$A$3:$CW$999,96,FALSE),"unknown")</f>
        <v>0</v>
      </c>
      <c r="BF423" s="120">
        <f>IFERROR(VLOOKUP(Table1[RespondentID],'All Data'!$A$3:$CW$999,97,FALSE),"unknown")</f>
        <v>0</v>
      </c>
      <c r="BG423" s="120" t="str">
        <f>IFERROR(VLOOKUP(Table1[RespondentID],'All Data'!$A$3:$CW$999,98,FALSE),"unknown")</f>
        <v>Private/Commercial</v>
      </c>
      <c r="BH423" s="120" t="str">
        <f>IFERROR(VLOOKUP(Table1[RespondentID],'All Data'!$A$3:$CW$999,99,FALSE),"unknown")</f>
        <v>Yes</v>
      </c>
    </row>
    <row r="424" spans="1:60">
      <c r="A424" s="141">
        <v>114085817457</v>
      </c>
      <c r="B424" s="137" t="s">
        <v>49</v>
      </c>
      <c r="C424" s="138"/>
      <c r="D424" s="138" t="s">
        <v>51</v>
      </c>
      <c r="E424" s="138"/>
      <c r="F424" s="138"/>
      <c r="G424" s="138"/>
      <c r="H424" s="138"/>
      <c r="I424" s="138" t="s">
        <v>55</v>
      </c>
      <c r="J424" s="138"/>
      <c r="K424" s="138"/>
      <c r="L424" s="138"/>
      <c r="M424" s="138" t="s">
        <v>59</v>
      </c>
      <c r="N424" s="138"/>
      <c r="O424" s="138"/>
      <c r="P424" s="138"/>
      <c r="Q424" s="138"/>
      <c r="R424" s="138"/>
      <c r="S424" s="138"/>
      <c r="T424" s="142"/>
      <c r="U424" s="143">
        <f t="shared" si="138"/>
        <v>4</v>
      </c>
      <c r="V424" s="143">
        <f t="shared" si="139"/>
        <v>0.75</v>
      </c>
      <c r="W424" s="142"/>
      <c r="X424" s="143">
        <f t="shared" si="140"/>
        <v>0.75</v>
      </c>
      <c r="Y424" s="143">
        <f t="shared" si="141"/>
        <v>0</v>
      </c>
      <c r="Z424" s="143">
        <f t="shared" si="142"/>
        <v>0.75</v>
      </c>
      <c r="AA424" s="143">
        <f t="shared" si="143"/>
        <v>0</v>
      </c>
      <c r="AB424" s="143">
        <f t="shared" si="144"/>
        <v>0</v>
      </c>
      <c r="AC424" s="143">
        <f t="shared" si="145"/>
        <v>0</v>
      </c>
      <c r="AD424" s="143">
        <f t="shared" si="146"/>
        <v>0</v>
      </c>
      <c r="AE424" s="143">
        <f t="shared" si="147"/>
        <v>0.75</v>
      </c>
      <c r="AF424" s="143">
        <f t="shared" si="148"/>
        <v>0</v>
      </c>
      <c r="AG424" s="143">
        <f t="shared" si="149"/>
        <v>0</v>
      </c>
      <c r="AH424" s="143">
        <f t="shared" si="150"/>
        <v>0</v>
      </c>
      <c r="AI424" s="143">
        <f t="shared" si="151"/>
        <v>0.75</v>
      </c>
      <c r="AJ424" s="143">
        <f t="shared" si="152"/>
        <v>0</v>
      </c>
      <c r="AK424" s="143">
        <f t="shared" si="153"/>
        <v>0</v>
      </c>
      <c r="AL424" s="143">
        <f t="shared" si="154"/>
        <v>0</v>
      </c>
      <c r="AM424" s="143">
        <f t="shared" si="155"/>
        <v>0</v>
      </c>
      <c r="AN424" s="143">
        <f t="shared" si="156"/>
        <v>0</v>
      </c>
      <c r="AO424" s="143">
        <f t="shared" si="157"/>
        <v>0</v>
      </c>
      <c r="AP424" s="142"/>
      <c r="AQ424" s="142"/>
      <c r="AR424" s="143">
        <f t="shared" si="158"/>
        <v>3</v>
      </c>
      <c r="AS424" s="143">
        <f t="shared" si="159"/>
        <v>4</v>
      </c>
      <c r="AT424" s="143" t="str">
        <f t="shared" si="160"/>
        <v>Correct</v>
      </c>
      <c r="AU424" s="142"/>
      <c r="AV424" s="120" t="str">
        <f>IFERROR(VLOOKUP(Table1[RespondentID],'All Data'!$A$3:$CO$999,87,FALSE),"unknown")</f>
        <v>Woman</v>
      </c>
      <c r="AW424" s="120">
        <f>IFERROR(VLOOKUP(Table1[RespondentID],'All Data'!$A$3:$CO$999,88,FALSE),"unknown")</f>
        <v>0</v>
      </c>
      <c r="AX424" s="120" t="str">
        <f>IFERROR(VLOOKUP(Table1[RespondentID],'All Data'!$A$3:$CO$999,89,FALSE),"unknown")</f>
        <v>Nassau</v>
      </c>
      <c r="AY424" s="120" t="str">
        <f>IFERROR(VLOOKUP(Table1[RespondentID],'All Data'!$A$3:$CO$999,90,FALSE),"unknown")</f>
        <v>Uniondale, 11553</v>
      </c>
      <c r="AZ424" s="120">
        <f>IFERROR(VLOOKUP(Table1[RespondentID],'All Data'!$A$3:$CO$999,91,FALSE),"unknown")</f>
        <v>0</v>
      </c>
      <c r="BA424" s="120" t="str">
        <f>IFERROR(VLOOKUP(Table1[RespondentID],'All Data'!$A$3:$CO$999,92,FALSE),"unknown")</f>
        <v>Not Hispanic or Latino</v>
      </c>
      <c r="BB424" s="120" t="str">
        <f>IFERROR(VLOOKUP(Table1[RespondentID],'All Data'!$A$3:$CO$999,93,FALSE),"unknown")</f>
        <v>English</v>
      </c>
      <c r="BC424" s="120" t="str">
        <f>IFERROR(VLOOKUP(Table1[RespondentID],'All Data'!$A$3:$CW$999,94,FALSE),"unknown")</f>
        <v>$35,000 to $49,999</v>
      </c>
      <c r="BD424" s="120" t="str">
        <f>IFERROR(VLOOKUP(Table1[RespondentID],'All Data'!$A$3:$CW$999,95,FALSE),"unknown")</f>
        <v>Some college</v>
      </c>
      <c r="BE424" s="120">
        <f>IFERROR(VLOOKUP(Table1[RespondentID],'All Data'!$A$3:$CW$999,96,FALSE),"unknown")</f>
        <v>0</v>
      </c>
      <c r="BF424" s="120">
        <f>IFERROR(VLOOKUP(Table1[RespondentID],'All Data'!$A$3:$CW$999,97,FALSE),"unknown")</f>
        <v>0</v>
      </c>
      <c r="BG424" s="120" t="str">
        <f>IFERROR(VLOOKUP(Table1[RespondentID],'All Data'!$A$3:$CW$999,98,FALSE),"unknown")</f>
        <v>Private/Commercial</v>
      </c>
      <c r="BH424" s="120" t="str">
        <f>IFERROR(VLOOKUP(Table1[RespondentID],'All Data'!$A$3:$CW$999,99,FALSE),"unknown")</f>
        <v>Yes</v>
      </c>
    </row>
    <row r="425" spans="1:60">
      <c r="A425" s="141">
        <v>114085817331</v>
      </c>
      <c r="B425" s="137"/>
      <c r="C425" s="138" t="s">
        <v>50</v>
      </c>
      <c r="D425" s="138"/>
      <c r="E425" s="138"/>
      <c r="F425" s="138"/>
      <c r="G425" s="138" t="s">
        <v>53</v>
      </c>
      <c r="H425" s="138"/>
      <c r="I425" s="138"/>
      <c r="J425" s="138" t="s">
        <v>56</v>
      </c>
      <c r="K425" s="138"/>
      <c r="L425" s="138"/>
      <c r="M425" s="138" t="s">
        <v>59</v>
      </c>
      <c r="N425" s="138"/>
      <c r="O425" s="138"/>
      <c r="P425" s="138"/>
      <c r="Q425" s="138"/>
      <c r="R425" s="138" t="s">
        <v>62</v>
      </c>
      <c r="S425" s="138" t="s">
        <v>63</v>
      </c>
      <c r="T425" s="142"/>
      <c r="U425" s="143">
        <f t="shared" si="138"/>
        <v>6</v>
      </c>
      <c r="V425" s="143">
        <f t="shared" si="139"/>
        <v>0.5</v>
      </c>
      <c r="W425" s="142"/>
      <c r="X425" s="143">
        <f t="shared" si="140"/>
        <v>0</v>
      </c>
      <c r="Y425" s="143">
        <f t="shared" si="141"/>
        <v>0.5</v>
      </c>
      <c r="Z425" s="143">
        <f t="shared" si="142"/>
        <v>0</v>
      </c>
      <c r="AA425" s="143">
        <f t="shared" si="143"/>
        <v>0</v>
      </c>
      <c r="AB425" s="143">
        <f t="shared" si="144"/>
        <v>0</v>
      </c>
      <c r="AC425" s="143">
        <f t="shared" si="145"/>
        <v>0.5</v>
      </c>
      <c r="AD425" s="143">
        <f t="shared" si="146"/>
        <v>0</v>
      </c>
      <c r="AE425" s="143">
        <f t="shared" si="147"/>
        <v>0</v>
      </c>
      <c r="AF425" s="143">
        <f t="shared" si="148"/>
        <v>0.5</v>
      </c>
      <c r="AG425" s="143">
        <f t="shared" si="149"/>
        <v>0</v>
      </c>
      <c r="AH425" s="143">
        <f t="shared" si="150"/>
        <v>0</v>
      </c>
      <c r="AI425" s="143">
        <f t="shared" si="151"/>
        <v>0.5</v>
      </c>
      <c r="AJ425" s="143">
        <f t="shared" si="152"/>
        <v>0</v>
      </c>
      <c r="AK425" s="143">
        <f t="shared" si="153"/>
        <v>0</v>
      </c>
      <c r="AL425" s="143">
        <f t="shared" si="154"/>
        <v>0</v>
      </c>
      <c r="AM425" s="143">
        <f t="shared" si="155"/>
        <v>0</v>
      </c>
      <c r="AN425" s="143">
        <f t="shared" si="156"/>
        <v>0.5</v>
      </c>
      <c r="AO425" s="143">
        <f t="shared" si="157"/>
        <v>0.5</v>
      </c>
      <c r="AP425" s="142"/>
      <c r="AQ425" s="142"/>
      <c r="AR425" s="143">
        <f t="shared" si="158"/>
        <v>3</v>
      </c>
      <c r="AS425" s="143">
        <f t="shared" si="159"/>
        <v>6</v>
      </c>
      <c r="AT425" s="143" t="str">
        <f t="shared" si="160"/>
        <v>Correct</v>
      </c>
      <c r="AU425" s="142"/>
      <c r="AV425" s="120" t="str">
        <f>IFERROR(VLOOKUP(Table1[RespondentID],'All Data'!$A$3:$CO$999,87,FALSE),"unknown")</f>
        <v>Woman</v>
      </c>
      <c r="AW425" s="120">
        <f>IFERROR(VLOOKUP(Table1[RespondentID],'All Data'!$A$3:$CO$999,88,FALSE),"unknown")</f>
        <v>0</v>
      </c>
      <c r="AX425" s="120" t="str">
        <f>IFERROR(VLOOKUP(Table1[RespondentID],'All Data'!$A$3:$CO$999,89,FALSE),"unknown")</f>
        <v>Nassau</v>
      </c>
      <c r="AY425" s="120" t="str">
        <f>IFERROR(VLOOKUP(Table1[RespondentID],'All Data'!$A$3:$CO$999,90,FALSE),"unknown")</f>
        <v>Plainview, 11803</v>
      </c>
      <c r="AZ425" s="120">
        <f>IFERROR(VLOOKUP(Table1[RespondentID],'All Data'!$A$3:$CO$999,91,FALSE),"unknown")</f>
        <v>0</v>
      </c>
      <c r="BA425" s="120" t="str">
        <f>IFERROR(VLOOKUP(Table1[RespondentID],'All Data'!$A$3:$CO$999,92,FALSE),"unknown")</f>
        <v>Not Hispanic or Latino</v>
      </c>
      <c r="BB425" s="120" t="str">
        <f>IFERROR(VLOOKUP(Table1[RespondentID],'All Data'!$A$3:$CO$999,93,FALSE),"unknown")</f>
        <v>English</v>
      </c>
      <c r="BC425" s="120" t="str">
        <f>IFERROR(VLOOKUP(Table1[RespondentID],'All Data'!$A$3:$CW$999,94,FALSE),"unknown")</f>
        <v>Over $125,000</v>
      </c>
      <c r="BD425" s="120" t="str">
        <f>IFERROR(VLOOKUP(Table1[RespondentID],'All Data'!$A$3:$CW$999,95,FALSE),"unknown")</f>
        <v>Graduate school</v>
      </c>
      <c r="BE425" s="120">
        <f>IFERROR(VLOOKUP(Table1[RespondentID],'All Data'!$A$3:$CW$999,96,FALSE),"unknown")</f>
        <v>0</v>
      </c>
      <c r="BF425" s="120">
        <f>IFERROR(VLOOKUP(Table1[RespondentID],'All Data'!$A$3:$CW$999,97,FALSE),"unknown")</f>
        <v>0</v>
      </c>
      <c r="BG425" s="120" t="str">
        <f>IFERROR(VLOOKUP(Table1[RespondentID],'All Data'!$A$3:$CW$999,98,FALSE),"unknown")</f>
        <v>Private/Commercial</v>
      </c>
      <c r="BH425" s="120" t="str">
        <f>IFERROR(VLOOKUP(Table1[RespondentID],'All Data'!$A$3:$CW$999,99,FALSE),"unknown")</f>
        <v>Yes</v>
      </c>
    </row>
    <row r="426" spans="1:60">
      <c r="A426" s="141">
        <v>114085816678</v>
      </c>
      <c r="B426" s="137"/>
      <c r="C426" s="138"/>
      <c r="D426" s="138" t="s">
        <v>51</v>
      </c>
      <c r="E426" s="138"/>
      <c r="F426" s="138"/>
      <c r="G426" s="138" t="s">
        <v>53</v>
      </c>
      <c r="H426" s="138"/>
      <c r="I426" s="138"/>
      <c r="J426" s="138"/>
      <c r="K426" s="138"/>
      <c r="L426" s="138" t="s">
        <v>58</v>
      </c>
      <c r="M426" s="138"/>
      <c r="N426" s="138"/>
      <c r="O426" s="138"/>
      <c r="P426" s="138"/>
      <c r="Q426" s="138"/>
      <c r="R426" s="138"/>
      <c r="S426" s="138"/>
      <c r="T426" s="142"/>
      <c r="U426" s="143">
        <f t="shared" si="138"/>
        <v>3</v>
      </c>
      <c r="V426" s="143">
        <f t="shared" si="139"/>
        <v>1</v>
      </c>
      <c r="W426" s="142"/>
      <c r="X426" s="143">
        <f t="shared" si="140"/>
        <v>0</v>
      </c>
      <c r="Y426" s="143">
        <f t="shared" si="141"/>
        <v>0</v>
      </c>
      <c r="Z426" s="143">
        <f t="shared" si="142"/>
        <v>1</v>
      </c>
      <c r="AA426" s="143">
        <f t="shared" si="143"/>
        <v>0</v>
      </c>
      <c r="AB426" s="143">
        <f t="shared" si="144"/>
        <v>0</v>
      </c>
      <c r="AC426" s="143">
        <f t="shared" si="145"/>
        <v>1</v>
      </c>
      <c r="AD426" s="143">
        <f t="shared" si="146"/>
        <v>0</v>
      </c>
      <c r="AE426" s="143">
        <f t="shared" si="147"/>
        <v>0</v>
      </c>
      <c r="AF426" s="143">
        <f t="shared" si="148"/>
        <v>0</v>
      </c>
      <c r="AG426" s="143">
        <f t="shared" si="149"/>
        <v>0</v>
      </c>
      <c r="AH426" s="143">
        <f t="shared" si="150"/>
        <v>1</v>
      </c>
      <c r="AI426" s="143">
        <f t="shared" si="151"/>
        <v>0</v>
      </c>
      <c r="AJ426" s="143">
        <f t="shared" si="152"/>
        <v>0</v>
      </c>
      <c r="AK426" s="143">
        <f t="shared" si="153"/>
        <v>0</v>
      </c>
      <c r="AL426" s="143">
        <f t="shared" si="154"/>
        <v>0</v>
      </c>
      <c r="AM426" s="143">
        <f t="shared" si="155"/>
        <v>0</v>
      </c>
      <c r="AN426" s="143">
        <f t="shared" si="156"/>
        <v>0</v>
      </c>
      <c r="AO426" s="143">
        <f t="shared" si="157"/>
        <v>0</v>
      </c>
      <c r="AP426" s="142"/>
      <c r="AQ426" s="142"/>
      <c r="AR426" s="143">
        <f t="shared" si="158"/>
        <v>3</v>
      </c>
      <c r="AS426" s="143">
        <f t="shared" si="159"/>
        <v>3</v>
      </c>
      <c r="AT426" s="143" t="str">
        <f t="shared" si="160"/>
        <v>Correct</v>
      </c>
      <c r="AU426" s="142"/>
      <c r="AV426" s="120" t="str">
        <f>IFERROR(VLOOKUP(Table1[RespondentID],'All Data'!$A$3:$CO$999,87,FALSE),"unknown")</f>
        <v>Woman</v>
      </c>
      <c r="AW426" s="120">
        <f>IFERROR(VLOOKUP(Table1[RespondentID],'All Data'!$A$3:$CO$999,88,FALSE),"unknown")</f>
        <v>0</v>
      </c>
      <c r="AX426" s="120" t="str">
        <f>IFERROR(VLOOKUP(Table1[RespondentID],'All Data'!$A$3:$CO$999,89,FALSE),"unknown")</f>
        <v>Nassau</v>
      </c>
      <c r="AY426" s="120" t="str">
        <f>IFERROR(VLOOKUP(Table1[RespondentID],'All Data'!$A$3:$CO$999,90,FALSE),"unknown")</f>
        <v>Malverne, 11565</v>
      </c>
      <c r="AZ426" s="120">
        <f>IFERROR(VLOOKUP(Table1[RespondentID],'All Data'!$A$3:$CO$999,91,FALSE),"unknown")</f>
        <v>0</v>
      </c>
      <c r="BA426" s="120" t="str">
        <f>IFERROR(VLOOKUP(Table1[RespondentID],'All Data'!$A$3:$CO$999,92,FALSE),"unknown")</f>
        <v>Not Hispanic or Latino</v>
      </c>
      <c r="BB426" s="120" t="str">
        <f>IFERROR(VLOOKUP(Table1[RespondentID],'All Data'!$A$3:$CO$999,93,FALSE),"unknown")</f>
        <v>English</v>
      </c>
      <c r="BC426" s="120" t="str">
        <f>IFERROR(VLOOKUP(Table1[RespondentID],'All Data'!$A$3:$CW$999,94,FALSE),"unknown")</f>
        <v>Over $125,000</v>
      </c>
      <c r="BD426" s="120" t="str">
        <f>IFERROR(VLOOKUP(Table1[RespondentID],'All Data'!$A$3:$CW$999,95,FALSE),"unknown")</f>
        <v>College graduate</v>
      </c>
      <c r="BE426" s="120">
        <f>IFERROR(VLOOKUP(Table1[RespondentID],'All Data'!$A$3:$CW$999,96,FALSE),"unknown")</f>
        <v>0</v>
      </c>
      <c r="BF426" s="120">
        <f>IFERROR(VLOOKUP(Table1[RespondentID],'All Data'!$A$3:$CW$999,97,FALSE),"unknown")</f>
        <v>0</v>
      </c>
      <c r="BG426" s="120" t="str">
        <f>IFERROR(VLOOKUP(Table1[RespondentID],'All Data'!$A$3:$CW$999,98,FALSE),"unknown")</f>
        <v>Private/Commercial</v>
      </c>
      <c r="BH426" s="120" t="str">
        <f>IFERROR(VLOOKUP(Table1[RespondentID],'All Data'!$A$3:$CW$999,99,FALSE),"unknown")</f>
        <v>Yes</v>
      </c>
    </row>
    <row r="427" spans="1:60">
      <c r="A427" s="141">
        <v>114083656423</v>
      </c>
      <c r="B427" s="137"/>
      <c r="C427" s="138"/>
      <c r="D427" s="138" t="s">
        <v>51</v>
      </c>
      <c r="E427" s="138" t="s">
        <v>17</v>
      </c>
      <c r="F427" s="138"/>
      <c r="G427" s="138"/>
      <c r="H427" s="138"/>
      <c r="I427" s="138"/>
      <c r="J427" s="138"/>
      <c r="K427" s="138"/>
      <c r="L427" s="138"/>
      <c r="M427" s="138"/>
      <c r="N427" s="138"/>
      <c r="O427" s="138"/>
      <c r="P427" s="138"/>
      <c r="Q427" s="138"/>
      <c r="R427" s="138"/>
      <c r="S427" s="138" t="s">
        <v>63</v>
      </c>
      <c r="T427" s="142"/>
      <c r="U427" s="143">
        <f t="shared" si="138"/>
        <v>3</v>
      </c>
      <c r="V427" s="143">
        <f t="shared" si="139"/>
        <v>1</v>
      </c>
      <c r="W427" s="142"/>
      <c r="X427" s="143">
        <f t="shared" si="140"/>
        <v>0</v>
      </c>
      <c r="Y427" s="143">
        <f t="shared" si="141"/>
        <v>0</v>
      </c>
      <c r="Z427" s="143">
        <f t="shared" si="142"/>
        <v>1</v>
      </c>
      <c r="AA427" s="143">
        <f t="shared" si="143"/>
        <v>1</v>
      </c>
      <c r="AB427" s="143">
        <f t="shared" si="144"/>
        <v>0</v>
      </c>
      <c r="AC427" s="143">
        <f t="shared" si="145"/>
        <v>0</v>
      </c>
      <c r="AD427" s="143">
        <f t="shared" si="146"/>
        <v>0</v>
      </c>
      <c r="AE427" s="143">
        <f t="shared" si="147"/>
        <v>0</v>
      </c>
      <c r="AF427" s="143">
        <f t="shared" si="148"/>
        <v>0</v>
      </c>
      <c r="AG427" s="143">
        <f t="shared" si="149"/>
        <v>0</v>
      </c>
      <c r="AH427" s="143">
        <f t="shared" si="150"/>
        <v>0</v>
      </c>
      <c r="AI427" s="143">
        <f t="shared" si="151"/>
        <v>0</v>
      </c>
      <c r="AJ427" s="143">
        <f t="shared" si="152"/>
        <v>0</v>
      </c>
      <c r="AK427" s="143">
        <f t="shared" si="153"/>
        <v>0</v>
      </c>
      <c r="AL427" s="143">
        <f t="shared" si="154"/>
        <v>0</v>
      </c>
      <c r="AM427" s="143">
        <f t="shared" si="155"/>
        <v>0</v>
      </c>
      <c r="AN427" s="143">
        <f t="shared" si="156"/>
        <v>0</v>
      </c>
      <c r="AO427" s="143">
        <f t="shared" si="157"/>
        <v>1</v>
      </c>
      <c r="AP427" s="142"/>
      <c r="AQ427" s="142"/>
      <c r="AR427" s="143">
        <f t="shared" si="158"/>
        <v>3</v>
      </c>
      <c r="AS427" s="143">
        <f t="shared" si="159"/>
        <v>3</v>
      </c>
      <c r="AT427" s="143" t="str">
        <f t="shared" si="160"/>
        <v>Correct</v>
      </c>
      <c r="AU427" s="142"/>
      <c r="AV427" s="120" t="str">
        <f>IFERROR(VLOOKUP(Table1[RespondentID],'All Data'!$A$3:$CO$999,87,FALSE),"unknown")</f>
        <v>Woman</v>
      </c>
      <c r="AW427" s="120">
        <f>IFERROR(VLOOKUP(Table1[RespondentID],'All Data'!$A$3:$CO$999,88,FALSE),"unknown")</f>
        <v>0</v>
      </c>
      <c r="AX427" s="120" t="str">
        <f>IFERROR(VLOOKUP(Table1[RespondentID],'All Data'!$A$3:$CO$999,89,FALSE),"unknown")</f>
        <v>Suffolk</v>
      </c>
      <c r="AY427" s="120" t="str">
        <f>IFERROR(VLOOKUP(Table1[RespondentID],'All Data'!$A$3:$CO$999,90,FALSE),"unknown")</f>
        <v>West Islip, 11795</v>
      </c>
      <c r="AZ427" s="120">
        <f>IFERROR(VLOOKUP(Table1[RespondentID],'All Data'!$A$3:$CO$999,91,FALSE),"unknown")</f>
        <v>0</v>
      </c>
      <c r="BA427" s="120" t="str">
        <f>IFERROR(VLOOKUP(Table1[RespondentID],'All Data'!$A$3:$CO$999,92,FALSE),"unknown")</f>
        <v>Hispanic or Latino</v>
      </c>
      <c r="BB427" s="120" t="str">
        <f>IFERROR(VLOOKUP(Table1[RespondentID],'All Data'!$A$3:$CO$999,93,FALSE),"unknown")</f>
        <v>English</v>
      </c>
      <c r="BC427" s="120" t="str">
        <f>IFERROR(VLOOKUP(Table1[RespondentID],'All Data'!$A$3:$CW$999,94,FALSE),"unknown")</f>
        <v>Over $125,000</v>
      </c>
      <c r="BD427" s="120" t="str">
        <f>IFERROR(VLOOKUP(Table1[RespondentID],'All Data'!$A$3:$CW$999,95,FALSE),"unknown")</f>
        <v>Graduate school</v>
      </c>
      <c r="BE427" s="120">
        <f>IFERROR(VLOOKUP(Table1[RespondentID],'All Data'!$A$3:$CW$999,96,FALSE),"unknown")</f>
        <v>0</v>
      </c>
      <c r="BF427" s="120">
        <f>IFERROR(VLOOKUP(Table1[RespondentID],'All Data'!$A$3:$CW$999,97,FALSE),"unknown")</f>
        <v>0</v>
      </c>
      <c r="BG427" s="120" t="str">
        <f>IFERROR(VLOOKUP(Table1[RespondentID],'All Data'!$A$3:$CW$999,98,FALSE),"unknown")</f>
        <v>Private/Commercial</v>
      </c>
      <c r="BH427" s="120" t="str">
        <f>IFERROR(VLOOKUP(Table1[RespondentID],'All Data'!$A$3:$CW$999,99,FALSE),"unknown")</f>
        <v>Yes</v>
      </c>
    </row>
    <row r="428" spans="1:60">
      <c r="A428" s="141">
        <v>114082818594</v>
      </c>
      <c r="B428" s="137"/>
      <c r="C428" s="138"/>
      <c r="D428" s="138" t="s">
        <v>51</v>
      </c>
      <c r="E428" s="138"/>
      <c r="F428" s="138" t="s">
        <v>52</v>
      </c>
      <c r="G428" s="138"/>
      <c r="H428" s="138"/>
      <c r="I428" s="138"/>
      <c r="J428" s="138"/>
      <c r="K428" s="138"/>
      <c r="L428" s="138"/>
      <c r="M428" s="138"/>
      <c r="N428" s="138"/>
      <c r="O428" s="138"/>
      <c r="P428" s="138"/>
      <c r="Q428" s="138"/>
      <c r="R428" s="138" t="s">
        <v>62</v>
      </c>
      <c r="S428" s="138" t="s">
        <v>63</v>
      </c>
      <c r="T428" s="142"/>
      <c r="U428" s="143">
        <f t="shared" si="138"/>
        <v>4</v>
      </c>
      <c r="V428" s="143">
        <f t="shared" si="139"/>
        <v>0.75</v>
      </c>
      <c r="W428" s="142"/>
      <c r="X428" s="143">
        <f t="shared" si="140"/>
        <v>0</v>
      </c>
      <c r="Y428" s="143">
        <f t="shared" si="141"/>
        <v>0</v>
      </c>
      <c r="Z428" s="143">
        <f t="shared" si="142"/>
        <v>0.75</v>
      </c>
      <c r="AA428" s="143">
        <f t="shared" si="143"/>
        <v>0</v>
      </c>
      <c r="AB428" s="143">
        <f t="shared" si="144"/>
        <v>0.75</v>
      </c>
      <c r="AC428" s="143">
        <f t="shared" si="145"/>
        <v>0</v>
      </c>
      <c r="AD428" s="143">
        <f t="shared" si="146"/>
        <v>0</v>
      </c>
      <c r="AE428" s="143">
        <f t="shared" si="147"/>
        <v>0</v>
      </c>
      <c r="AF428" s="143">
        <f t="shared" si="148"/>
        <v>0</v>
      </c>
      <c r="AG428" s="143">
        <f t="shared" si="149"/>
        <v>0</v>
      </c>
      <c r="AH428" s="143">
        <f t="shared" si="150"/>
        <v>0</v>
      </c>
      <c r="AI428" s="143">
        <f t="shared" si="151"/>
        <v>0</v>
      </c>
      <c r="AJ428" s="143">
        <f t="shared" si="152"/>
        <v>0</v>
      </c>
      <c r="AK428" s="143">
        <f t="shared" si="153"/>
        <v>0</v>
      </c>
      <c r="AL428" s="143">
        <f t="shared" si="154"/>
        <v>0</v>
      </c>
      <c r="AM428" s="143">
        <f t="shared" si="155"/>
        <v>0</v>
      </c>
      <c r="AN428" s="143">
        <f t="shared" si="156"/>
        <v>0.75</v>
      </c>
      <c r="AO428" s="143">
        <f t="shared" si="157"/>
        <v>0.75</v>
      </c>
      <c r="AP428" s="142"/>
      <c r="AQ428" s="142"/>
      <c r="AR428" s="143">
        <f t="shared" si="158"/>
        <v>3</v>
      </c>
      <c r="AS428" s="143">
        <f t="shared" si="159"/>
        <v>4</v>
      </c>
      <c r="AT428" s="143" t="str">
        <f t="shared" si="160"/>
        <v>Correct</v>
      </c>
      <c r="AU428" s="142"/>
      <c r="AV428" s="120" t="str">
        <f>IFERROR(VLOOKUP(Table1[RespondentID],'All Data'!$A$3:$CO$999,87,FALSE),"unknown")</f>
        <v>Man</v>
      </c>
      <c r="AW428" s="120">
        <f>IFERROR(VLOOKUP(Table1[RespondentID],'All Data'!$A$3:$CO$999,88,FALSE),"unknown")</f>
        <v>0</v>
      </c>
      <c r="AX428" s="120" t="str">
        <f>IFERROR(VLOOKUP(Table1[RespondentID],'All Data'!$A$3:$CO$999,89,FALSE),"unknown")</f>
        <v>Nassau</v>
      </c>
      <c r="AY428" s="120" t="str">
        <f>IFERROR(VLOOKUP(Table1[RespondentID],'All Data'!$A$3:$CO$999,90,FALSE),"unknown")</f>
        <v>Merrick, 11566</v>
      </c>
      <c r="AZ428" s="120">
        <f>IFERROR(VLOOKUP(Table1[RespondentID],'All Data'!$A$3:$CO$999,91,FALSE),"unknown")</f>
        <v>0</v>
      </c>
      <c r="BA428" s="120" t="str">
        <f>IFERROR(VLOOKUP(Table1[RespondentID],'All Data'!$A$3:$CO$999,92,FALSE),"unknown")</f>
        <v>Not Hispanic or Latino</v>
      </c>
      <c r="BB428" s="120" t="str">
        <f>IFERROR(VLOOKUP(Table1[RespondentID],'All Data'!$A$3:$CO$999,93,FALSE),"unknown")</f>
        <v>English</v>
      </c>
      <c r="BC428" s="120" t="str">
        <f>IFERROR(VLOOKUP(Table1[RespondentID],'All Data'!$A$3:$CW$999,94,FALSE),"unknown")</f>
        <v>Over $125,000</v>
      </c>
      <c r="BD428" s="120" t="str">
        <f>IFERROR(VLOOKUP(Table1[RespondentID],'All Data'!$A$3:$CW$999,95,FALSE),"unknown")</f>
        <v>Doctorate</v>
      </c>
      <c r="BE428" s="120">
        <f>IFERROR(VLOOKUP(Table1[RespondentID],'All Data'!$A$3:$CW$999,96,FALSE),"unknown")</f>
        <v>0</v>
      </c>
      <c r="BF428" s="120">
        <f>IFERROR(VLOOKUP(Table1[RespondentID],'All Data'!$A$3:$CW$999,97,FALSE),"unknown")</f>
        <v>0</v>
      </c>
      <c r="BG428" s="120" t="str">
        <f>IFERROR(VLOOKUP(Table1[RespondentID],'All Data'!$A$3:$CW$999,98,FALSE),"unknown")</f>
        <v>Private/Commercial</v>
      </c>
      <c r="BH428" s="120" t="str">
        <f>IFERROR(VLOOKUP(Table1[RespondentID],'All Data'!$A$3:$CW$999,99,FALSE),"unknown")</f>
        <v>Yes</v>
      </c>
    </row>
    <row r="429" spans="1:60">
      <c r="A429" s="141">
        <v>114087300174</v>
      </c>
      <c r="B429" s="137"/>
      <c r="C429" s="138"/>
      <c r="D429" s="138"/>
      <c r="E429" s="138"/>
      <c r="F429" s="138" t="s">
        <v>52</v>
      </c>
      <c r="G429" s="138"/>
      <c r="H429" s="138"/>
      <c r="I429" s="138"/>
      <c r="J429" s="138"/>
      <c r="K429" s="138"/>
      <c r="L429" s="138"/>
      <c r="M429" s="138"/>
      <c r="N429" s="138"/>
      <c r="O429" s="138"/>
      <c r="P429" s="138" t="s">
        <v>60</v>
      </c>
      <c r="Q429" s="138" t="s">
        <v>61</v>
      </c>
      <c r="R429" s="138"/>
      <c r="S429" s="138"/>
      <c r="T429" s="142"/>
      <c r="U429" s="144">
        <f t="shared" si="138"/>
        <v>3</v>
      </c>
      <c r="V429" s="144">
        <f t="shared" si="139"/>
        <v>1</v>
      </c>
      <c r="W429" s="142"/>
      <c r="X429" s="144">
        <f t="shared" si="140"/>
        <v>0</v>
      </c>
      <c r="Y429" s="144">
        <f t="shared" si="141"/>
        <v>0</v>
      </c>
      <c r="Z429" s="144">
        <f t="shared" si="142"/>
        <v>0</v>
      </c>
      <c r="AA429" s="144">
        <f t="shared" si="143"/>
        <v>0</v>
      </c>
      <c r="AB429" s="144">
        <f t="shared" si="144"/>
        <v>1</v>
      </c>
      <c r="AC429" s="144">
        <f t="shared" si="145"/>
        <v>0</v>
      </c>
      <c r="AD429" s="144">
        <f t="shared" si="146"/>
        <v>0</v>
      </c>
      <c r="AE429" s="144">
        <f t="shared" si="147"/>
        <v>0</v>
      </c>
      <c r="AF429" s="144">
        <f t="shared" si="148"/>
        <v>0</v>
      </c>
      <c r="AG429" s="144">
        <f t="shared" si="149"/>
        <v>0</v>
      </c>
      <c r="AH429" s="144">
        <f t="shared" si="150"/>
        <v>0</v>
      </c>
      <c r="AI429" s="144">
        <f t="shared" si="151"/>
        <v>0</v>
      </c>
      <c r="AJ429" s="144">
        <f t="shared" si="152"/>
        <v>0</v>
      </c>
      <c r="AK429" s="144">
        <f t="shared" si="153"/>
        <v>0</v>
      </c>
      <c r="AL429" s="144">
        <f t="shared" si="154"/>
        <v>1</v>
      </c>
      <c r="AM429" s="144">
        <f t="shared" si="155"/>
        <v>1</v>
      </c>
      <c r="AN429" s="144">
        <f t="shared" si="156"/>
        <v>0</v>
      </c>
      <c r="AO429" s="144">
        <f t="shared" si="157"/>
        <v>0</v>
      </c>
      <c r="AP429" s="142"/>
      <c r="AQ429" s="142"/>
      <c r="AR429" s="144">
        <f t="shared" si="158"/>
        <v>3</v>
      </c>
      <c r="AS429" s="144">
        <f t="shared" si="159"/>
        <v>3</v>
      </c>
      <c r="AT429" s="144" t="str">
        <f t="shared" si="160"/>
        <v>Correct</v>
      </c>
      <c r="AU429" s="142"/>
      <c r="AV429" s="120" t="str">
        <f>IFERROR(VLOOKUP(Table1[RespondentID],'All Data'!$A$3:$CO$999,87,FALSE),"unknown")</f>
        <v>Woman</v>
      </c>
      <c r="AW429" s="120">
        <f>IFERROR(VLOOKUP(Table1[RespondentID],'All Data'!$A$3:$CO$999,88,FALSE),"unknown")</f>
        <v>0</v>
      </c>
      <c r="AX429" s="120" t="str">
        <f>IFERROR(VLOOKUP(Table1[RespondentID],'All Data'!$A$3:$CO$999,89,FALSE),"unknown")</f>
        <v>Suffolk</v>
      </c>
      <c r="AY429" s="120" t="str">
        <f>IFERROR(VLOOKUP(Table1[RespondentID],'All Data'!$A$3:$CO$999,90,FALSE),"unknown")</f>
        <v>Bay Shore, 11706</v>
      </c>
      <c r="AZ429" s="120">
        <f>IFERROR(VLOOKUP(Table1[RespondentID],'All Data'!$A$3:$CO$999,91,FALSE),"unknown")</f>
        <v>0</v>
      </c>
      <c r="BA429" s="120" t="str">
        <f>IFERROR(VLOOKUP(Table1[RespondentID],'All Data'!$A$3:$CO$999,92,FALSE),"unknown")</f>
        <v>Hispanic or Latino</v>
      </c>
      <c r="BB429" s="120" t="str">
        <f>IFERROR(VLOOKUP(Table1[RespondentID],'All Data'!$A$3:$CO$999,93,FALSE),"unknown")</f>
        <v>English,Spanish</v>
      </c>
      <c r="BC429" s="120" t="str">
        <f>IFERROR(VLOOKUP(Table1[RespondentID],'All Data'!$A$3:$CW$999,94,FALSE),"unknown")</f>
        <v>$50,000 to $74,999</v>
      </c>
      <c r="BD429" s="120" t="str">
        <f>IFERROR(VLOOKUP(Table1[RespondentID],'All Data'!$A$3:$CW$999,95,FALSE),"unknown")</f>
        <v>College graduate</v>
      </c>
      <c r="BE429" s="120">
        <f>IFERROR(VLOOKUP(Table1[RespondentID],'All Data'!$A$3:$CW$999,96,FALSE),"unknown")</f>
        <v>0</v>
      </c>
      <c r="BF429" s="120" t="str">
        <f>IFERROR(VLOOKUP(Table1[RespondentID],'All Data'!$A$3:$CW$999,97,FALSE),"unknown")</f>
        <v>Yes</v>
      </c>
      <c r="BG429" s="120">
        <f>IFERROR(VLOOKUP(Table1[RespondentID],'All Data'!$A$3:$CW$999,98,FALSE),"unknown")</f>
        <v>0</v>
      </c>
      <c r="BH429" s="120" t="str">
        <f>IFERROR(VLOOKUP(Table1[RespondentID],'All Data'!$A$3:$CW$999,99,FALSE),"unknown")</f>
        <v>Yes</v>
      </c>
    </row>
    <row r="430" spans="1:60">
      <c r="A430" s="141">
        <v>114201599852</v>
      </c>
      <c r="B430" s="180"/>
      <c r="C430" s="181"/>
      <c r="D430" s="181" t="s">
        <v>51</v>
      </c>
      <c r="E430" s="181"/>
      <c r="F430" s="181"/>
      <c r="G430" s="181"/>
      <c r="H430" s="181"/>
      <c r="I430" s="181" t="s">
        <v>55</v>
      </c>
      <c r="J430" s="181"/>
      <c r="K430" s="181" t="s">
        <v>57</v>
      </c>
      <c r="L430" s="181"/>
      <c r="M430" s="181"/>
      <c r="N430" s="181"/>
      <c r="O430" s="181"/>
      <c r="P430" s="181"/>
      <c r="Q430" s="181"/>
      <c r="R430" s="181"/>
      <c r="S430" s="181"/>
      <c r="T430" s="184"/>
      <c r="U430" s="182">
        <f t="shared" ref="U430:U461" si="161">COUNTA(B430:T430)</f>
        <v>3</v>
      </c>
      <c r="V430" s="182">
        <f t="shared" ref="V430:V461" si="162">3/U430</f>
        <v>1</v>
      </c>
      <c r="W430" s="110"/>
      <c r="X430" s="182">
        <f t="shared" ref="X430:X461" si="163">IF($U430&lt;3,IF($B430=$B$1,1,0),IF($B430=$B$1,$V430,0))</f>
        <v>0</v>
      </c>
      <c r="Y430" s="182">
        <f t="shared" ref="Y430:Y461" si="164">IF($U430&lt;3,IF($C430=$C$1,1,0),IF($C430=$C$1,$V430,0))</f>
        <v>0</v>
      </c>
      <c r="Z430" s="182">
        <f t="shared" ref="Z430:Z461" si="165">IF($U430&lt;3,IF($D430=$D$1,1,0),IF($D430=$D$1,$V430,0))</f>
        <v>1</v>
      </c>
      <c r="AA430" s="182">
        <f t="shared" ref="AA430:AA461" si="166">IF($U430&lt;3,IF($E430=$E$1,1,0),IF($E430=$E$1,$V430,0))</f>
        <v>0</v>
      </c>
      <c r="AB430" s="182">
        <f t="shared" ref="AB430:AB461" si="167">IF($U430&lt;3,IF($F430=$F$1,1,0),IF($F430=$F$1,$V430,0))</f>
        <v>0</v>
      </c>
      <c r="AC430" s="182">
        <f t="shared" ref="AC430:AC461" si="168">IF($U430&lt;3,IF($G430=$G$1,1,0),IF($G430=$G$1,$V430,0))</f>
        <v>0</v>
      </c>
      <c r="AD430" s="182">
        <f t="shared" ref="AD430:AD461" si="169">IF($U430&lt;3,IF($H430=$H$1,1,0),IF($H430=$H$1,$V430,0))</f>
        <v>0</v>
      </c>
      <c r="AE430" s="182">
        <f t="shared" ref="AE430:AE461" si="170">IF($U430&lt;3,IF($I430=$I$1,1,0),IF($I430=$I$1,$V430,0))</f>
        <v>1</v>
      </c>
      <c r="AF430" s="182">
        <f t="shared" ref="AF430:AF461" si="171">IF($U430&lt;3,IF($J430=$J$1,1,0),IF($J430=$J$1,$V430,0))</f>
        <v>0</v>
      </c>
      <c r="AG430" s="182">
        <f t="shared" ref="AG430:AG461" si="172">IF($U430&lt;3,IF($K430=$K$1,1,0),IF($K430=$K$1,$V430,0))</f>
        <v>1</v>
      </c>
      <c r="AH430" s="182">
        <f t="shared" ref="AH430:AH461" si="173">IF($U430&lt;3,IF($L430=$L$1,1,0),IF($L430=$L$1,$V430,0))</f>
        <v>0</v>
      </c>
      <c r="AI430" s="182">
        <f t="shared" ref="AI430:AI461" si="174">IF($U430&lt;3,IF($M430=$M$1,1,0),IF($M430=$M$1,$V430,0))</f>
        <v>0</v>
      </c>
      <c r="AJ430" s="182">
        <f t="shared" ref="AJ430:AJ461" si="175">IF($U430&lt;3,IF($N430=$N$1,1,0),IF($N430=$N$1,$V430,0))</f>
        <v>0</v>
      </c>
      <c r="AK430" s="182">
        <f t="shared" ref="AK430:AK461" si="176">IF($U430&lt;3,IF($O430=$O$1,1,0),IF($O430=$O$1,$V430,0))</f>
        <v>0</v>
      </c>
      <c r="AL430" s="182">
        <f t="shared" ref="AL430:AL461" si="177">IF($U430&lt;3,IF($P430=$P$1,1,0),IF($P430=$P$1,$V430,0))</f>
        <v>0</v>
      </c>
      <c r="AM430" s="182">
        <f t="shared" ref="AM430:AM461" si="178">IF($U430&lt;3,IF($Q430=$Q$1,1,0),IF($Q430=$Q$1,$V430,0))</f>
        <v>0</v>
      </c>
      <c r="AN430" s="182">
        <f t="shared" ref="AN430:AN461" si="179">IF($U430&lt;3,IF($R430=$R$1,1,0),IF($R430=$R$1,$V430,0))</f>
        <v>0</v>
      </c>
      <c r="AO430" s="182">
        <f t="shared" ref="AO430:AO461" si="180">IF($U430&lt;3,IF($S430=$S$1,1,0),IF($S430=$S$1,$V430,0))</f>
        <v>0</v>
      </c>
      <c r="AP430" s="110"/>
      <c r="AQ430" s="110"/>
      <c r="AR430" s="182">
        <f t="shared" ref="AR430:AR461" si="181">SUM(X430:AP430)</f>
        <v>3</v>
      </c>
      <c r="AS430" s="182">
        <f t="shared" ref="AS430:AS461" si="182">U430</f>
        <v>3</v>
      </c>
      <c r="AT430" s="182" t="str">
        <f t="shared" ref="AT430:AT461" si="183">IF(AR430=AS430,"Correct",IF(AR430=3,"Correct","Wrong"))</f>
        <v>Correct</v>
      </c>
      <c r="AU430" s="142"/>
      <c r="AV430" s="120" t="str">
        <f>IFERROR(VLOOKUP(Table1[RespondentID],'All Data'!$A$3:$CO$999,87,FALSE),"unknown")</f>
        <v>Woman</v>
      </c>
      <c r="AW430" s="120">
        <f>IFERROR(VLOOKUP(Table1[RespondentID],'All Data'!$A$3:$CO$999,88,FALSE),"unknown")</f>
        <v>66</v>
      </c>
      <c r="AX430" s="120" t="str">
        <f>IFERROR(VLOOKUP(Table1[RespondentID],'All Data'!$A$3:$CO$999,89,FALSE),"unknown")</f>
        <v>Suffolk</v>
      </c>
      <c r="AY430" s="120" t="str">
        <f>IFERROR(VLOOKUP(Table1[RespondentID],'All Data'!$A$3:$CO$999,90,FALSE),"unknown")</f>
        <v>Centerport, 11721</v>
      </c>
      <c r="AZ430" s="120" t="str">
        <f>IFERROR(VLOOKUP(Table1[RespondentID],'All Data'!$A$3:$CO$999,91,FALSE),"unknown")</f>
        <v>White</v>
      </c>
      <c r="BA430" s="120" t="str">
        <f>IFERROR(VLOOKUP(Table1[RespondentID],'All Data'!$A$3:$CO$999,92,FALSE),"unknown")</f>
        <v>Not Hispanic or Latino</v>
      </c>
      <c r="BB430" s="120" t="str">
        <f>IFERROR(VLOOKUP(Table1[RespondentID],'All Data'!$A$3:$CO$999,93,FALSE),"unknown")</f>
        <v>English</v>
      </c>
      <c r="BC430" s="120" t="str">
        <f>IFERROR(VLOOKUP(Table1[RespondentID],'All Data'!$A$3:$CW$999,94,FALSE),"unknown")</f>
        <v>Over $125,000</v>
      </c>
      <c r="BD430" s="120" t="str">
        <f>IFERROR(VLOOKUP(Table1[RespondentID],'All Data'!$A$3:$CW$999,95,FALSE),"unknown")</f>
        <v>Graduate school</v>
      </c>
      <c r="BE430" s="120" t="str">
        <f>IFERROR(VLOOKUP(Table1[RespondentID],'All Data'!$A$3:$CW$999,96,FALSE),"unknown")</f>
        <v>Employed for wages</v>
      </c>
      <c r="BF430" s="120" t="str">
        <f>IFERROR(VLOOKUP(Table1[RespondentID],'All Data'!$A$3:$CW$999,97,FALSE),"unknown")</f>
        <v>Yes</v>
      </c>
      <c r="BG430" s="120" t="str">
        <f>IFERROR(VLOOKUP(Table1[RespondentID],'All Data'!$A$3:$CW$999,98,FALSE),"unknown")</f>
        <v>Private/Commercial</v>
      </c>
      <c r="BH430" s="120" t="str">
        <f>IFERROR(VLOOKUP(Table1[RespondentID],'All Data'!$A$3:$CW$999,99,FALSE),"unknown")</f>
        <v>Yes</v>
      </c>
    </row>
    <row r="431" spans="1:60">
      <c r="A431" s="141">
        <v>114187605562</v>
      </c>
      <c r="B431" s="180"/>
      <c r="C431" s="181"/>
      <c r="D431" s="181"/>
      <c r="E431" s="181"/>
      <c r="F431" s="181" t="s">
        <v>52</v>
      </c>
      <c r="G431" s="181"/>
      <c r="H431" s="181"/>
      <c r="I431" s="181"/>
      <c r="J431" s="181"/>
      <c r="K431" s="181"/>
      <c r="L431" s="181"/>
      <c r="M431" s="181"/>
      <c r="N431" s="181"/>
      <c r="O431" s="181"/>
      <c r="P431" s="181"/>
      <c r="Q431" s="181" t="s">
        <v>61</v>
      </c>
      <c r="R431" s="181"/>
      <c r="S431" s="181" t="s">
        <v>63</v>
      </c>
      <c r="T431" s="184"/>
      <c r="U431" s="182">
        <f t="shared" si="161"/>
        <v>3</v>
      </c>
      <c r="V431" s="182">
        <f t="shared" si="162"/>
        <v>1</v>
      </c>
      <c r="W431" s="110"/>
      <c r="X431" s="182">
        <f t="shared" si="163"/>
        <v>0</v>
      </c>
      <c r="Y431" s="182">
        <f t="shared" si="164"/>
        <v>0</v>
      </c>
      <c r="Z431" s="182">
        <f t="shared" si="165"/>
        <v>0</v>
      </c>
      <c r="AA431" s="182">
        <f t="shared" si="166"/>
        <v>0</v>
      </c>
      <c r="AB431" s="182">
        <f t="shared" si="167"/>
        <v>1</v>
      </c>
      <c r="AC431" s="182">
        <f t="shared" si="168"/>
        <v>0</v>
      </c>
      <c r="AD431" s="182">
        <f t="shared" si="169"/>
        <v>0</v>
      </c>
      <c r="AE431" s="182">
        <f t="shared" si="170"/>
        <v>0</v>
      </c>
      <c r="AF431" s="182">
        <f t="shared" si="171"/>
        <v>0</v>
      </c>
      <c r="AG431" s="182">
        <f t="shared" si="172"/>
        <v>0</v>
      </c>
      <c r="AH431" s="182">
        <f t="shared" si="173"/>
        <v>0</v>
      </c>
      <c r="AI431" s="182">
        <f t="shared" si="174"/>
        <v>0</v>
      </c>
      <c r="AJ431" s="182">
        <f t="shared" si="175"/>
        <v>0</v>
      </c>
      <c r="AK431" s="182">
        <f t="shared" si="176"/>
        <v>0</v>
      </c>
      <c r="AL431" s="182">
        <f t="shared" si="177"/>
        <v>0</v>
      </c>
      <c r="AM431" s="182">
        <f t="shared" si="178"/>
        <v>1</v>
      </c>
      <c r="AN431" s="182">
        <f t="shared" si="179"/>
        <v>0</v>
      </c>
      <c r="AO431" s="182">
        <f t="shared" si="180"/>
        <v>1</v>
      </c>
      <c r="AP431" s="110"/>
      <c r="AQ431" s="110"/>
      <c r="AR431" s="182">
        <f t="shared" si="181"/>
        <v>3</v>
      </c>
      <c r="AS431" s="182">
        <f t="shared" si="182"/>
        <v>3</v>
      </c>
      <c r="AT431" s="182" t="str">
        <f t="shared" si="183"/>
        <v>Correct</v>
      </c>
      <c r="AU431" s="142"/>
      <c r="AV431" s="120" t="str">
        <f>IFERROR(VLOOKUP(Table1[RespondentID],'All Data'!$A$3:$CO$999,87,FALSE),"unknown")</f>
        <v>Man</v>
      </c>
      <c r="AW431" s="120">
        <f>IFERROR(VLOOKUP(Table1[RespondentID],'All Data'!$A$3:$CO$999,88,FALSE),"unknown")</f>
        <v>53</v>
      </c>
      <c r="AX431" s="120" t="str">
        <f>IFERROR(VLOOKUP(Table1[RespondentID],'All Data'!$A$3:$CO$999,89,FALSE),"unknown")</f>
        <v>Nassau</v>
      </c>
      <c r="AY431" s="120" t="str">
        <f>IFERROR(VLOOKUP(Table1[RespondentID],'All Data'!$A$3:$CO$999,90,FALSE),"unknown")</f>
        <v>Merrick, 11566</v>
      </c>
      <c r="AZ431" s="120" t="str">
        <f>IFERROR(VLOOKUP(Table1[RespondentID],'All Data'!$A$3:$CO$999,91,FALSE),"unknown")</f>
        <v>White</v>
      </c>
      <c r="BA431" s="120" t="str">
        <f>IFERROR(VLOOKUP(Table1[RespondentID],'All Data'!$A$3:$CO$999,92,FALSE),"unknown")</f>
        <v>Not Hispanic or Latino</v>
      </c>
      <c r="BB431" s="120" t="str">
        <f>IFERROR(VLOOKUP(Table1[RespondentID],'All Data'!$A$3:$CO$999,93,FALSE),"unknown")</f>
        <v>English</v>
      </c>
      <c r="BC431" s="120" t="str">
        <f>IFERROR(VLOOKUP(Table1[RespondentID],'All Data'!$A$3:$CW$999,94,FALSE),"unknown")</f>
        <v>Over $125,000</v>
      </c>
      <c r="BD431" s="120" t="str">
        <f>IFERROR(VLOOKUP(Table1[RespondentID],'All Data'!$A$3:$CW$999,95,FALSE),"unknown")</f>
        <v>Doctorate</v>
      </c>
      <c r="BE431" s="120" t="str">
        <f>IFERROR(VLOOKUP(Table1[RespondentID],'All Data'!$A$3:$CW$999,96,FALSE),"unknown")</f>
        <v>Employed for wages</v>
      </c>
      <c r="BF431" s="120" t="str">
        <f>IFERROR(VLOOKUP(Table1[RespondentID],'All Data'!$A$3:$CW$999,97,FALSE),"unknown")</f>
        <v>Yes</v>
      </c>
      <c r="BG431" s="120" t="str">
        <f>IFERROR(VLOOKUP(Table1[RespondentID],'All Data'!$A$3:$CW$999,98,FALSE),"unknown")</f>
        <v>Private/Commercial</v>
      </c>
      <c r="BH431" s="120" t="str">
        <f>IFERROR(VLOOKUP(Table1[RespondentID],'All Data'!$A$3:$CW$999,99,FALSE),"unknown")</f>
        <v>Yes</v>
      </c>
    </row>
    <row r="432" spans="1:60">
      <c r="A432" s="141">
        <v>114178252865</v>
      </c>
      <c r="B432" s="180"/>
      <c r="C432" s="181"/>
      <c r="D432" s="181"/>
      <c r="E432" s="181"/>
      <c r="F432" s="181"/>
      <c r="G432" s="181"/>
      <c r="H432" s="181"/>
      <c r="I432" s="181"/>
      <c r="J432" s="181"/>
      <c r="K432" s="181"/>
      <c r="L432" s="181"/>
      <c r="M432" s="181"/>
      <c r="N432" s="181"/>
      <c r="O432" s="181"/>
      <c r="P432" s="181"/>
      <c r="Q432" s="181"/>
      <c r="R432" s="181"/>
      <c r="S432" s="181"/>
      <c r="T432" s="184"/>
      <c r="U432" s="182">
        <f t="shared" si="161"/>
        <v>0</v>
      </c>
      <c r="V432" s="182" t="e">
        <f t="shared" si="162"/>
        <v>#DIV/0!</v>
      </c>
      <c r="W432" s="110"/>
      <c r="X432" s="182">
        <f t="shared" si="163"/>
        <v>0</v>
      </c>
      <c r="Y432" s="182">
        <f t="shared" si="164"/>
        <v>0</v>
      </c>
      <c r="Z432" s="182">
        <f t="shared" si="165"/>
        <v>0</v>
      </c>
      <c r="AA432" s="182">
        <f t="shared" si="166"/>
        <v>0</v>
      </c>
      <c r="AB432" s="182">
        <f t="shared" si="167"/>
        <v>0</v>
      </c>
      <c r="AC432" s="182">
        <f t="shared" si="168"/>
        <v>0</v>
      </c>
      <c r="AD432" s="182">
        <f t="shared" si="169"/>
        <v>0</v>
      </c>
      <c r="AE432" s="182">
        <f t="shared" si="170"/>
        <v>0</v>
      </c>
      <c r="AF432" s="182">
        <f t="shared" si="171"/>
        <v>0</v>
      </c>
      <c r="AG432" s="182">
        <f t="shared" si="172"/>
        <v>0</v>
      </c>
      <c r="AH432" s="182">
        <f t="shared" si="173"/>
        <v>0</v>
      </c>
      <c r="AI432" s="182">
        <f t="shared" si="174"/>
        <v>0</v>
      </c>
      <c r="AJ432" s="182">
        <f t="shared" si="175"/>
        <v>0</v>
      </c>
      <c r="AK432" s="182">
        <f t="shared" si="176"/>
        <v>0</v>
      </c>
      <c r="AL432" s="182">
        <f t="shared" si="177"/>
        <v>0</v>
      </c>
      <c r="AM432" s="182">
        <f t="shared" si="178"/>
        <v>0</v>
      </c>
      <c r="AN432" s="182">
        <f t="shared" si="179"/>
        <v>0</v>
      </c>
      <c r="AO432" s="182">
        <f t="shared" si="180"/>
        <v>0</v>
      </c>
      <c r="AP432" s="110"/>
      <c r="AQ432" s="110"/>
      <c r="AR432" s="182">
        <f t="shared" si="181"/>
        <v>0</v>
      </c>
      <c r="AS432" s="182">
        <f t="shared" si="182"/>
        <v>0</v>
      </c>
      <c r="AT432" s="182" t="str">
        <f t="shared" si="183"/>
        <v>Correct</v>
      </c>
      <c r="AU432" s="142"/>
      <c r="AV432" s="120">
        <f>IFERROR(VLOOKUP(Table1[RespondentID],'All Data'!$A$3:$CO$999,87,FALSE),"unknown")</f>
        <v>0</v>
      </c>
      <c r="AW432" s="120">
        <f>IFERROR(VLOOKUP(Table1[RespondentID],'All Data'!$A$3:$CO$999,88,FALSE),"unknown")</f>
        <v>15</v>
      </c>
      <c r="AX432" s="120">
        <f>IFERROR(VLOOKUP(Table1[RespondentID],'All Data'!$A$3:$CO$999,89,FALSE),"unknown")</f>
        <v>0</v>
      </c>
      <c r="AY432" s="120">
        <f>IFERROR(VLOOKUP(Table1[RespondentID],'All Data'!$A$3:$CO$999,90,FALSE),"unknown")</f>
        <v>0</v>
      </c>
      <c r="AZ432" s="120">
        <f>IFERROR(VLOOKUP(Table1[RespondentID],'All Data'!$A$3:$CO$999,91,FALSE),"unknown")</f>
        <v>0</v>
      </c>
      <c r="BA432" s="120">
        <f>IFERROR(VLOOKUP(Table1[RespondentID],'All Data'!$A$3:$CO$999,92,FALSE),"unknown")</f>
        <v>0</v>
      </c>
      <c r="BB432" s="120">
        <f>IFERROR(VLOOKUP(Table1[RespondentID],'All Data'!$A$3:$CO$999,93,FALSE),"unknown")</f>
        <v>0</v>
      </c>
      <c r="BC432" s="120">
        <f>IFERROR(VLOOKUP(Table1[RespondentID],'All Data'!$A$3:$CW$999,94,FALSE),"unknown")</f>
        <v>0</v>
      </c>
      <c r="BD432" s="120">
        <f>IFERROR(VLOOKUP(Table1[RespondentID],'All Data'!$A$3:$CW$999,95,FALSE),"unknown")</f>
        <v>0</v>
      </c>
      <c r="BE432" s="120">
        <f>IFERROR(VLOOKUP(Table1[RespondentID],'All Data'!$A$3:$CW$999,96,FALSE),"unknown")</f>
        <v>0</v>
      </c>
      <c r="BF432" s="120">
        <f>IFERROR(VLOOKUP(Table1[RespondentID],'All Data'!$A$3:$CW$999,97,FALSE),"unknown")</f>
        <v>0</v>
      </c>
      <c r="BG432" s="120">
        <f>IFERROR(VLOOKUP(Table1[RespondentID],'All Data'!$A$3:$CW$999,98,FALSE),"unknown")</f>
        <v>0</v>
      </c>
      <c r="BH432" s="120">
        <f>IFERROR(VLOOKUP(Table1[RespondentID],'All Data'!$A$3:$CW$999,99,FALSE),"unknown")</f>
        <v>0</v>
      </c>
    </row>
    <row r="433" spans="1:60">
      <c r="A433" s="141">
        <v>114155044650</v>
      </c>
      <c r="B433" s="180" t="s">
        <v>49</v>
      </c>
      <c r="C433" s="181"/>
      <c r="D433" s="181" t="s">
        <v>51</v>
      </c>
      <c r="E433" s="181" t="s">
        <v>17</v>
      </c>
      <c r="F433" s="181"/>
      <c r="G433" s="181" t="s">
        <v>53</v>
      </c>
      <c r="H433" s="181"/>
      <c r="I433" s="181"/>
      <c r="J433" s="181" t="s">
        <v>56</v>
      </c>
      <c r="K433" s="181" t="s">
        <v>57</v>
      </c>
      <c r="L433" s="181" t="s">
        <v>58</v>
      </c>
      <c r="M433" s="181"/>
      <c r="N433" s="181" t="s">
        <v>24</v>
      </c>
      <c r="O433" s="181"/>
      <c r="P433" s="181" t="s">
        <v>60</v>
      </c>
      <c r="Q433" s="181"/>
      <c r="R433" s="181" t="s">
        <v>62</v>
      </c>
      <c r="S433" s="181" t="s">
        <v>63</v>
      </c>
      <c r="T433" s="184"/>
      <c r="U433" s="182">
        <f t="shared" si="161"/>
        <v>11</v>
      </c>
      <c r="V433" s="182">
        <f t="shared" si="162"/>
        <v>0.27272727272727271</v>
      </c>
      <c r="W433" s="110"/>
      <c r="X433" s="182">
        <f t="shared" si="163"/>
        <v>0.27272727272727271</v>
      </c>
      <c r="Y433" s="182">
        <f t="shared" si="164"/>
        <v>0</v>
      </c>
      <c r="Z433" s="182">
        <f t="shared" si="165"/>
        <v>0.27272727272727271</v>
      </c>
      <c r="AA433" s="182">
        <f t="shared" si="166"/>
        <v>0.27272727272727271</v>
      </c>
      <c r="AB433" s="182">
        <f t="shared" si="167"/>
        <v>0</v>
      </c>
      <c r="AC433" s="182">
        <f t="shared" si="168"/>
        <v>0.27272727272727271</v>
      </c>
      <c r="AD433" s="182">
        <f t="shared" si="169"/>
        <v>0</v>
      </c>
      <c r="AE433" s="182">
        <f t="shared" si="170"/>
        <v>0</v>
      </c>
      <c r="AF433" s="182">
        <f t="shared" si="171"/>
        <v>0.27272727272727271</v>
      </c>
      <c r="AG433" s="182">
        <f t="shared" si="172"/>
        <v>0.27272727272727271</v>
      </c>
      <c r="AH433" s="182">
        <f t="shared" si="173"/>
        <v>0.27272727272727271</v>
      </c>
      <c r="AI433" s="182">
        <f t="shared" si="174"/>
        <v>0</v>
      </c>
      <c r="AJ433" s="182">
        <f t="shared" si="175"/>
        <v>0.27272727272727271</v>
      </c>
      <c r="AK433" s="182">
        <f t="shared" si="176"/>
        <v>0</v>
      </c>
      <c r="AL433" s="182">
        <f t="shared" si="177"/>
        <v>0.27272727272727271</v>
      </c>
      <c r="AM433" s="182">
        <f t="shared" si="178"/>
        <v>0</v>
      </c>
      <c r="AN433" s="182">
        <f t="shared" si="179"/>
        <v>0.27272727272727271</v>
      </c>
      <c r="AO433" s="182">
        <f t="shared" si="180"/>
        <v>0.27272727272727271</v>
      </c>
      <c r="AP433" s="110"/>
      <c r="AQ433" s="110"/>
      <c r="AR433" s="182">
        <f t="shared" si="181"/>
        <v>2.9999999999999991</v>
      </c>
      <c r="AS433" s="182">
        <f t="shared" si="182"/>
        <v>11</v>
      </c>
      <c r="AT433" s="182" t="str">
        <f t="shared" si="183"/>
        <v>Correct</v>
      </c>
      <c r="AU433" s="142"/>
      <c r="AV433" s="120" t="str">
        <f>IFERROR(VLOOKUP(Table1[RespondentID],'All Data'!$A$3:$CO$999,87,FALSE),"unknown")</f>
        <v>Woman</v>
      </c>
      <c r="AW433" s="120">
        <f>IFERROR(VLOOKUP(Table1[RespondentID],'All Data'!$A$3:$CO$999,88,FALSE),"unknown")</f>
        <v>66</v>
      </c>
      <c r="AX433" s="120" t="str">
        <f>IFERROR(VLOOKUP(Table1[RespondentID],'All Data'!$A$3:$CO$999,89,FALSE),"unknown")</f>
        <v>Nassau</v>
      </c>
      <c r="AY433" s="120" t="str">
        <f>IFERROR(VLOOKUP(Table1[RespondentID],'All Data'!$A$3:$CO$999,90,FALSE),"unknown")</f>
        <v>Hempstead, 11550</v>
      </c>
      <c r="AZ433" s="120">
        <f>IFERROR(VLOOKUP(Table1[RespondentID],'All Data'!$A$3:$CO$999,91,FALSE),"unknown")</f>
        <v>0</v>
      </c>
      <c r="BA433" s="120" t="str">
        <f>IFERROR(VLOOKUP(Table1[RespondentID],'All Data'!$A$3:$CO$999,92,FALSE),"unknown")</f>
        <v>Hispanic or Latino</v>
      </c>
      <c r="BB433" s="120" t="str">
        <f>IFERROR(VLOOKUP(Table1[RespondentID],'All Data'!$A$3:$CO$999,93,FALSE),"unknown")</f>
        <v>Spanish</v>
      </c>
      <c r="BC433" s="120" t="str">
        <f>IFERROR(VLOOKUP(Table1[RespondentID],'All Data'!$A$3:$CW$999,94,FALSE),"unknown")</f>
        <v>$20,000 to $34,999</v>
      </c>
      <c r="BD433" s="120" t="str">
        <f>IFERROR(VLOOKUP(Table1[RespondentID],'All Data'!$A$3:$CW$999,95,FALSE),"unknown")</f>
        <v>K-8 grade</v>
      </c>
      <c r="BE433" s="120" t="str">
        <f>IFERROR(VLOOKUP(Table1[RespondentID],'All Data'!$A$3:$CW$999,96,FALSE),"unknown")</f>
        <v>Out of work and looking for work</v>
      </c>
      <c r="BF433" s="120" t="str">
        <f>IFERROR(VLOOKUP(Table1[RespondentID],'All Data'!$A$3:$CW$999,97,FALSE),"unknown")</f>
        <v>No</v>
      </c>
      <c r="BG433" s="120">
        <f>IFERROR(VLOOKUP(Table1[RespondentID],'All Data'!$A$3:$CW$999,98,FALSE),"unknown")</f>
        <v>0</v>
      </c>
      <c r="BH433" s="120" t="str">
        <f>IFERROR(VLOOKUP(Table1[RespondentID],'All Data'!$A$3:$CW$999,99,FALSE),"unknown")</f>
        <v>No</v>
      </c>
    </row>
    <row r="434" spans="1:60">
      <c r="A434" s="141">
        <v>114138224772</v>
      </c>
      <c r="B434" s="180"/>
      <c r="C434" s="181"/>
      <c r="D434" s="181"/>
      <c r="E434" s="181"/>
      <c r="F434" s="181"/>
      <c r="G434" s="181"/>
      <c r="H434" s="181"/>
      <c r="I434" s="181" t="s">
        <v>55</v>
      </c>
      <c r="J434" s="181"/>
      <c r="K434" s="181"/>
      <c r="L434" s="181"/>
      <c r="M434" s="181"/>
      <c r="N434" s="181"/>
      <c r="O434" s="181"/>
      <c r="P434" s="181"/>
      <c r="Q434" s="181"/>
      <c r="R434" s="181"/>
      <c r="S434" s="181"/>
      <c r="T434" s="184"/>
      <c r="U434" s="182">
        <f t="shared" si="161"/>
        <v>1</v>
      </c>
      <c r="V434" s="182">
        <f t="shared" si="162"/>
        <v>3</v>
      </c>
      <c r="W434" s="110"/>
      <c r="X434" s="182">
        <f t="shared" si="163"/>
        <v>0</v>
      </c>
      <c r="Y434" s="182">
        <f t="shared" si="164"/>
        <v>0</v>
      </c>
      <c r="Z434" s="182">
        <f t="shared" si="165"/>
        <v>0</v>
      </c>
      <c r="AA434" s="182">
        <f t="shared" si="166"/>
        <v>0</v>
      </c>
      <c r="AB434" s="182">
        <f t="shared" si="167"/>
        <v>0</v>
      </c>
      <c r="AC434" s="182">
        <f t="shared" si="168"/>
        <v>0</v>
      </c>
      <c r="AD434" s="182">
        <f t="shared" si="169"/>
        <v>0</v>
      </c>
      <c r="AE434" s="182">
        <f t="shared" si="170"/>
        <v>1</v>
      </c>
      <c r="AF434" s="182">
        <f t="shared" si="171"/>
        <v>0</v>
      </c>
      <c r="AG434" s="182">
        <f t="shared" si="172"/>
        <v>0</v>
      </c>
      <c r="AH434" s="182">
        <f t="shared" si="173"/>
        <v>0</v>
      </c>
      <c r="AI434" s="182">
        <f t="shared" si="174"/>
        <v>0</v>
      </c>
      <c r="AJ434" s="182">
        <f t="shared" si="175"/>
        <v>0</v>
      </c>
      <c r="AK434" s="182">
        <f t="shared" si="176"/>
        <v>0</v>
      </c>
      <c r="AL434" s="182">
        <f t="shared" si="177"/>
        <v>0</v>
      </c>
      <c r="AM434" s="182">
        <f t="shared" si="178"/>
        <v>0</v>
      </c>
      <c r="AN434" s="182">
        <f t="shared" si="179"/>
        <v>0</v>
      </c>
      <c r="AO434" s="182">
        <f t="shared" si="180"/>
        <v>0</v>
      </c>
      <c r="AP434" s="110"/>
      <c r="AQ434" s="110"/>
      <c r="AR434" s="182">
        <f t="shared" si="181"/>
        <v>1</v>
      </c>
      <c r="AS434" s="182">
        <f t="shared" si="182"/>
        <v>1</v>
      </c>
      <c r="AT434" s="182" t="str">
        <f t="shared" si="183"/>
        <v>Correct</v>
      </c>
      <c r="AU434" s="142"/>
      <c r="AV434" s="120" t="str">
        <f>IFERROR(VLOOKUP(Table1[RespondentID],'All Data'!$A$3:$CO$999,87,FALSE),"unknown")</f>
        <v>Man</v>
      </c>
      <c r="AW434" s="120">
        <f>IFERROR(VLOOKUP(Table1[RespondentID],'All Data'!$A$3:$CO$999,88,FALSE),"unknown")</f>
        <v>19</v>
      </c>
      <c r="AX434" s="120" t="str">
        <f>IFERROR(VLOOKUP(Table1[RespondentID],'All Data'!$A$3:$CO$999,89,FALSE),"unknown")</f>
        <v>Nassau</v>
      </c>
      <c r="AY434" s="120" t="str">
        <f>IFERROR(VLOOKUP(Table1[RespondentID],'All Data'!$A$3:$CO$999,90,FALSE),"unknown")</f>
        <v>Plainview, 11803</v>
      </c>
      <c r="AZ434" s="120">
        <f>IFERROR(VLOOKUP(Table1[RespondentID],'All Data'!$A$3:$CO$999,91,FALSE),"unknown")</f>
        <v>0</v>
      </c>
      <c r="BA434" s="120" t="str">
        <f>IFERROR(VLOOKUP(Table1[RespondentID],'All Data'!$A$3:$CO$999,92,FALSE),"unknown")</f>
        <v>Hispanic or Latino</v>
      </c>
      <c r="BB434" s="120" t="str">
        <f>IFERROR(VLOOKUP(Table1[RespondentID],'All Data'!$A$3:$CO$999,93,FALSE),"unknown")</f>
        <v>English</v>
      </c>
      <c r="BC434" s="120" t="str">
        <f>IFERROR(VLOOKUP(Table1[RespondentID],'All Data'!$A$3:$CW$999,94,FALSE),"unknown")</f>
        <v>$20,000 to $34,999</v>
      </c>
      <c r="BD434" s="120" t="str">
        <f>IFERROR(VLOOKUP(Table1[RespondentID],'All Data'!$A$3:$CW$999,95,FALSE),"unknown")</f>
        <v>Some college</v>
      </c>
      <c r="BE434" s="120" t="str">
        <f>IFERROR(VLOOKUP(Table1[RespondentID],'All Data'!$A$3:$CW$999,96,FALSE),"unknown")</f>
        <v>Employed for wages</v>
      </c>
      <c r="BF434" s="120" t="str">
        <f>IFERROR(VLOOKUP(Table1[RespondentID],'All Data'!$A$3:$CW$999,97,FALSE),"unknown")</f>
        <v>Yes</v>
      </c>
      <c r="BG434" s="120" t="str">
        <f>IFERROR(VLOOKUP(Table1[RespondentID],'All Data'!$A$3:$CW$999,98,FALSE),"unknown")</f>
        <v>Private/Commercial</v>
      </c>
      <c r="BH434" s="120" t="str">
        <f>IFERROR(VLOOKUP(Table1[RespondentID],'All Data'!$A$3:$CW$999,99,FALSE),"unknown")</f>
        <v>Yes</v>
      </c>
    </row>
    <row r="435" spans="1:60">
      <c r="A435" s="141">
        <v>114137567525</v>
      </c>
      <c r="B435" s="180"/>
      <c r="C435" s="181"/>
      <c r="D435" s="181"/>
      <c r="E435" s="181"/>
      <c r="F435" s="181"/>
      <c r="G435" s="181"/>
      <c r="H435" s="181"/>
      <c r="I435" s="181"/>
      <c r="J435" s="181"/>
      <c r="K435" s="181"/>
      <c r="L435" s="181"/>
      <c r="M435" s="181"/>
      <c r="N435" s="181"/>
      <c r="O435" s="181"/>
      <c r="P435" s="181"/>
      <c r="Q435" s="181"/>
      <c r="R435" s="181"/>
      <c r="S435" s="181"/>
      <c r="T435" s="184"/>
      <c r="U435" s="182">
        <f t="shared" si="161"/>
        <v>0</v>
      </c>
      <c r="V435" s="182" t="e">
        <f t="shared" si="162"/>
        <v>#DIV/0!</v>
      </c>
      <c r="W435" s="110"/>
      <c r="X435" s="182">
        <f t="shared" si="163"/>
        <v>0</v>
      </c>
      <c r="Y435" s="182">
        <f t="shared" si="164"/>
        <v>0</v>
      </c>
      <c r="Z435" s="182">
        <f t="shared" si="165"/>
        <v>0</v>
      </c>
      <c r="AA435" s="182">
        <f t="shared" si="166"/>
        <v>0</v>
      </c>
      <c r="AB435" s="182">
        <f t="shared" si="167"/>
        <v>0</v>
      </c>
      <c r="AC435" s="182">
        <f t="shared" si="168"/>
        <v>0</v>
      </c>
      <c r="AD435" s="182">
        <f t="shared" si="169"/>
        <v>0</v>
      </c>
      <c r="AE435" s="182">
        <f t="shared" si="170"/>
        <v>0</v>
      </c>
      <c r="AF435" s="182">
        <f t="shared" si="171"/>
        <v>0</v>
      </c>
      <c r="AG435" s="182">
        <f t="shared" si="172"/>
        <v>0</v>
      </c>
      <c r="AH435" s="182">
        <f t="shared" si="173"/>
        <v>0</v>
      </c>
      <c r="AI435" s="182">
        <f t="shared" si="174"/>
        <v>0</v>
      </c>
      <c r="AJ435" s="182">
        <f t="shared" si="175"/>
        <v>0</v>
      </c>
      <c r="AK435" s="182">
        <f t="shared" si="176"/>
        <v>0</v>
      </c>
      <c r="AL435" s="182">
        <f t="shared" si="177"/>
        <v>0</v>
      </c>
      <c r="AM435" s="182">
        <f t="shared" si="178"/>
        <v>0</v>
      </c>
      <c r="AN435" s="182">
        <f t="shared" si="179"/>
        <v>0</v>
      </c>
      <c r="AO435" s="182">
        <f t="shared" si="180"/>
        <v>0</v>
      </c>
      <c r="AP435" s="110"/>
      <c r="AQ435" s="110"/>
      <c r="AR435" s="182">
        <f t="shared" si="181"/>
        <v>0</v>
      </c>
      <c r="AS435" s="182">
        <f t="shared" si="182"/>
        <v>0</v>
      </c>
      <c r="AT435" s="182" t="str">
        <f t="shared" si="183"/>
        <v>Correct</v>
      </c>
      <c r="AU435" s="142"/>
      <c r="AV435" s="120">
        <f>IFERROR(VLOOKUP(Table1[RespondentID],'All Data'!$A$3:$CO$999,87,FALSE),"unknown")</f>
        <v>0</v>
      </c>
      <c r="AW435" s="120">
        <f>IFERROR(VLOOKUP(Table1[RespondentID],'All Data'!$A$3:$CO$999,88,FALSE),"unknown")</f>
        <v>0</v>
      </c>
      <c r="AX435" s="120">
        <f>IFERROR(VLOOKUP(Table1[RespondentID],'All Data'!$A$3:$CO$999,89,FALSE),"unknown")</f>
        <v>0</v>
      </c>
      <c r="AY435" s="120" t="str">
        <f>IFERROR(VLOOKUP(Table1[RespondentID],'All Data'!$A$3:$CO$999,90,FALSE),"unknown")</f>
        <v>Atlantic Beach, 11509</v>
      </c>
      <c r="AZ435" s="120">
        <f>IFERROR(VLOOKUP(Table1[RespondentID],'All Data'!$A$3:$CO$999,91,FALSE),"unknown")</f>
        <v>0</v>
      </c>
      <c r="BA435" s="120">
        <f>IFERROR(VLOOKUP(Table1[RespondentID],'All Data'!$A$3:$CO$999,92,FALSE),"unknown")</f>
        <v>0</v>
      </c>
      <c r="BB435" s="120">
        <f>IFERROR(VLOOKUP(Table1[RespondentID],'All Data'!$A$3:$CO$999,93,FALSE),"unknown")</f>
        <v>0</v>
      </c>
      <c r="BC435" s="120">
        <f>IFERROR(VLOOKUP(Table1[RespondentID],'All Data'!$A$3:$CW$999,94,FALSE),"unknown")</f>
        <v>0</v>
      </c>
      <c r="BD435" s="120">
        <f>IFERROR(VLOOKUP(Table1[RespondentID],'All Data'!$A$3:$CW$999,95,FALSE),"unknown")</f>
        <v>0</v>
      </c>
      <c r="BE435" s="120">
        <f>IFERROR(VLOOKUP(Table1[RespondentID],'All Data'!$A$3:$CW$999,96,FALSE),"unknown")</f>
        <v>0</v>
      </c>
      <c r="BF435" s="120">
        <f>IFERROR(VLOOKUP(Table1[RespondentID],'All Data'!$A$3:$CW$999,97,FALSE),"unknown")</f>
        <v>0</v>
      </c>
      <c r="BG435" s="120">
        <f>IFERROR(VLOOKUP(Table1[RespondentID],'All Data'!$A$3:$CW$999,98,FALSE),"unknown")</f>
        <v>0</v>
      </c>
      <c r="BH435" s="120">
        <f>IFERROR(VLOOKUP(Table1[RespondentID],'All Data'!$A$3:$CW$999,99,FALSE),"unknown")</f>
        <v>0</v>
      </c>
    </row>
    <row r="436" spans="1:60">
      <c r="A436" s="141">
        <v>114131712001</v>
      </c>
      <c r="B436" s="180"/>
      <c r="C436" s="181"/>
      <c r="D436" s="181" t="s">
        <v>51</v>
      </c>
      <c r="E436" s="181"/>
      <c r="F436" s="181" t="s">
        <v>52</v>
      </c>
      <c r="G436" s="181"/>
      <c r="H436" s="181"/>
      <c r="I436" s="181" t="s">
        <v>55</v>
      </c>
      <c r="J436" s="181"/>
      <c r="K436" s="181"/>
      <c r="L436" s="181" t="s">
        <v>58</v>
      </c>
      <c r="M436" s="181"/>
      <c r="N436" s="181"/>
      <c r="O436" s="181"/>
      <c r="P436" s="181"/>
      <c r="Q436" s="181" t="s">
        <v>61</v>
      </c>
      <c r="R436" s="181"/>
      <c r="S436" s="181" t="s">
        <v>63</v>
      </c>
      <c r="T436" s="184"/>
      <c r="U436" s="182">
        <f t="shared" si="161"/>
        <v>6</v>
      </c>
      <c r="V436" s="182">
        <f t="shared" si="162"/>
        <v>0.5</v>
      </c>
      <c r="W436" s="110"/>
      <c r="X436" s="182">
        <f t="shared" si="163"/>
        <v>0</v>
      </c>
      <c r="Y436" s="182">
        <f t="shared" si="164"/>
        <v>0</v>
      </c>
      <c r="Z436" s="182">
        <f t="shared" si="165"/>
        <v>0.5</v>
      </c>
      <c r="AA436" s="182">
        <f t="shared" si="166"/>
        <v>0</v>
      </c>
      <c r="AB436" s="182">
        <f t="shared" si="167"/>
        <v>0.5</v>
      </c>
      <c r="AC436" s="182">
        <f t="shared" si="168"/>
        <v>0</v>
      </c>
      <c r="AD436" s="182">
        <f t="shared" si="169"/>
        <v>0</v>
      </c>
      <c r="AE436" s="182">
        <f t="shared" si="170"/>
        <v>0.5</v>
      </c>
      <c r="AF436" s="182">
        <f t="shared" si="171"/>
        <v>0</v>
      </c>
      <c r="AG436" s="182">
        <f t="shared" si="172"/>
        <v>0</v>
      </c>
      <c r="AH436" s="182">
        <f t="shared" si="173"/>
        <v>0.5</v>
      </c>
      <c r="AI436" s="182">
        <f t="shared" si="174"/>
        <v>0</v>
      </c>
      <c r="AJ436" s="182">
        <f t="shared" si="175"/>
        <v>0</v>
      </c>
      <c r="AK436" s="182">
        <f t="shared" si="176"/>
        <v>0</v>
      </c>
      <c r="AL436" s="182">
        <f t="shared" si="177"/>
        <v>0</v>
      </c>
      <c r="AM436" s="182">
        <f t="shared" si="178"/>
        <v>0.5</v>
      </c>
      <c r="AN436" s="182">
        <f t="shared" si="179"/>
        <v>0</v>
      </c>
      <c r="AO436" s="182">
        <f t="shared" si="180"/>
        <v>0.5</v>
      </c>
      <c r="AP436" s="110"/>
      <c r="AQ436" s="110"/>
      <c r="AR436" s="182">
        <f t="shared" si="181"/>
        <v>3</v>
      </c>
      <c r="AS436" s="182">
        <f t="shared" si="182"/>
        <v>6</v>
      </c>
      <c r="AT436" s="182" t="str">
        <f t="shared" si="183"/>
        <v>Correct</v>
      </c>
      <c r="AU436" s="142"/>
      <c r="AV436" s="120" t="str">
        <f>IFERROR(VLOOKUP(Table1[RespondentID],'All Data'!$A$3:$CO$999,87,FALSE),"unknown")</f>
        <v>Woman</v>
      </c>
      <c r="AW436" s="120">
        <f>IFERROR(VLOOKUP(Table1[RespondentID],'All Data'!$A$3:$CO$999,88,FALSE),"unknown")</f>
        <v>23</v>
      </c>
      <c r="AX436" s="120" t="str">
        <f>IFERROR(VLOOKUP(Table1[RespondentID],'All Data'!$A$3:$CO$999,89,FALSE),"unknown")</f>
        <v>Nassau</v>
      </c>
      <c r="AY436" s="120" t="str">
        <f>IFERROR(VLOOKUP(Table1[RespondentID],'All Data'!$A$3:$CO$999,90,FALSE),"unknown")</f>
        <v>Valley Stream, 11580</v>
      </c>
      <c r="AZ436" s="120">
        <f>IFERROR(VLOOKUP(Table1[RespondentID],'All Data'!$A$3:$CO$999,91,FALSE),"unknown")</f>
        <v>0</v>
      </c>
      <c r="BA436" s="120">
        <f>IFERROR(VLOOKUP(Table1[RespondentID],'All Data'!$A$3:$CO$999,92,FALSE),"unknown")</f>
        <v>0</v>
      </c>
      <c r="BB436" s="120">
        <f>IFERROR(VLOOKUP(Table1[RespondentID],'All Data'!$A$3:$CO$999,93,FALSE),"unknown")</f>
        <v>0</v>
      </c>
      <c r="BC436" s="120">
        <f>IFERROR(VLOOKUP(Table1[RespondentID],'All Data'!$A$3:$CW$999,94,FALSE),"unknown")</f>
        <v>0</v>
      </c>
      <c r="BD436" s="120">
        <f>IFERROR(VLOOKUP(Table1[RespondentID],'All Data'!$A$3:$CW$999,95,FALSE),"unknown")</f>
        <v>0</v>
      </c>
      <c r="BE436" s="120">
        <f>IFERROR(VLOOKUP(Table1[RespondentID],'All Data'!$A$3:$CW$999,96,FALSE),"unknown")</f>
        <v>0</v>
      </c>
      <c r="BF436" s="120">
        <f>IFERROR(VLOOKUP(Table1[RespondentID],'All Data'!$A$3:$CW$999,97,FALSE),"unknown")</f>
        <v>0</v>
      </c>
      <c r="BG436" s="120">
        <f>IFERROR(VLOOKUP(Table1[RespondentID],'All Data'!$A$3:$CW$999,98,FALSE),"unknown")</f>
        <v>0</v>
      </c>
      <c r="BH436" s="120">
        <f>IFERROR(VLOOKUP(Table1[RespondentID],'All Data'!$A$3:$CW$999,99,FALSE),"unknown")</f>
        <v>0</v>
      </c>
    </row>
    <row r="437" spans="1:60">
      <c r="A437" s="141">
        <v>114119758093</v>
      </c>
      <c r="B437" s="180"/>
      <c r="C437" s="181"/>
      <c r="D437" s="181"/>
      <c r="E437" s="181"/>
      <c r="F437" s="181"/>
      <c r="G437" s="181"/>
      <c r="H437" s="181"/>
      <c r="I437" s="181"/>
      <c r="J437" s="181"/>
      <c r="K437" s="181"/>
      <c r="L437" s="181"/>
      <c r="M437" s="181"/>
      <c r="N437" s="181"/>
      <c r="O437" s="181"/>
      <c r="P437" s="181"/>
      <c r="Q437" s="181"/>
      <c r="R437" s="181"/>
      <c r="S437" s="181"/>
      <c r="T437" s="184"/>
      <c r="U437" s="182">
        <f t="shared" si="161"/>
        <v>0</v>
      </c>
      <c r="V437" s="182" t="e">
        <f t="shared" si="162"/>
        <v>#DIV/0!</v>
      </c>
      <c r="W437" s="110"/>
      <c r="X437" s="182">
        <f t="shared" si="163"/>
        <v>0</v>
      </c>
      <c r="Y437" s="182">
        <f t="shared" si="164"/>
        <v>0</v>
      </c>
      <c r="Z437" s="182">
        <f t="shared" si="165"/>
        <v>0</v>
      </c>
      <c r="AA437" s="182">
        <f t="shared" si="166"/>
        <v>0</v>
      </c>
      <c r="AB437" s="182">
        <f t="shared" si="167"/>
        <v>0</v>
      </c>
      <c r="AC437" s="182">
        <f t="shared" si="168"/>
        <v>0</v>
      </c>
      <c r="AD437" s="182">
        <f t="shared" si="169"/>
        <v>0</v>
      </c>
      <c r="AE437" s="182">
        <f t="shared" si="170"/>
        <v>0</v>
      </c>
      <c r="AF437" s="182">
        <f t="shared" si="171"/>
        <v>0</v>
      </c>
      <c r="AG437" s="182">
        <f t="shared" si="172"/>
        <v>0</v>
      </c>
      <c r="AH437" s="182">
        <f t="shared" si="173"/>
        <v>0</v>
      </c>
      <c r="AI437" s="182">
        <f t="shared" si="174"/>
        <v>0</v>
      </c>
      <c r="AJ437" s="182">
        <f t="shared" si="175"/>
        <v>0</v>
      </c>
      <c r="AK437" s="182">
        <f t="shared" si="176"/>
        <v>0</v>
      </c>
      <c r="AL437" s="182">
        <f t="shared" si="177"/>
        <v>0</v>
      </c>
      <c r="AM437" s="182">
        <f t="shared" si="178"/>
        <v>0</v>
      </c>
      <c r="AN437" s="182">
        <f t="shared" si="179"/>
        <v>0</v>
      </c>
      <c r="AO437" s="182">
        <f t="shared" si="180"/>
        <v>0</v>
      </c>
      <c r="AP437" s="110"/>
      <c r="AQ437" s="110"/>
      <c r="AR437" s="182">
        <f t="shared" si="181"/>
        <v>0</v>
      </c>
      <c r="AS437" s="182">
        <f t="shared" si="182"/>
        <v>0</v>
      </c>
      <c r="AT437" s="182" t="str">
        <f t="shared" si="183"/>
        <v>Correct</v>
      </c>
      <c r="AU437" s="142"/>
      <c r="AV437" s="120" t="str">
        <f>IFERROR(VLOOKUP(Table1[RespondentID],'All Data'!$A$3:$CO$999,87,FALSE),"unknown")</f>
        <v>Woman</v>
      </c>
      <c r="AW437" s="120">
        <f>IFERROR(VLOOKUP(Table1[RespondentID],'All Data'!$A$3:$CO$999,88,FALSE),"unknown")</f>
        <v>56</v>
      </c>
      <c r="AX437" s="120" t="str">
        <f>IFERROR(VLOOKUP(Table1[RespondentID],'All Data'!$A$3:$CO$999,89,FALSE),"unknown")</f>
        <v>Suffolk</v>
      </c>
      <c r="AY437" s="120" t="str">
        <f>IFERROR(VLOOKUP(Table1[RespondentID],'All Data'!$A$3:$CO$999,90,FALSE),"unknown")</f>
        <v>West Islip, 11795</v>
      </c>
      <c r="AZ437" s="120" t="str">
        <f>IFERROR(VLOOKUP(Table1[RespondentID],'All Data'!$A$3:$CO$999,91,FALSE),"unknown")</f>
        <v>White</v>
      </c>
      <c r="BA437" s="120" t="str">
        <f>IFERROR(VLOOKUP(Table1[RespondentID],'All Data'!$A$3:$CO$999,92,FALSE),"unknown")</f>
        <v>Not Hispanic or Latino</v>
      </c>
      <c r="BB437" s="120" t="str">
        <f>IFERROR(VLOOKUP(Table1[RespondentID],'All Data'!$A$3:$CO$999,93,FALSE),"unknown")</f>
        <v>English</v>
      </c>
      <c r="BC437" s="120">
        <f>IFERROR(VLOOKUP(Table1[RespondentID],'All Data'!$A$3:$CW$999,94,FALSE),"unknown")</f>
        <v>0</v>
      </c>
      <c r="BD437" s="120" t="str">
        <f>IFERROR(VLOOKUP(Table1[RespondentID],'All Data'!$A$3:$CW$999,95,FALSE),"unknown")</f>
        <v>Some college</v>
      </c>
      <c r="BE437" s="120" t="str">
        <f>IFERROR(VLOOKUP(Table1[RespondentID],'All Data'!$A$3:$CW$999,96,FALSE),"unknown")</f>
        <v>Employed for wages</v>
      </c>
      <c r="BF437" s="120" t="str">
        <f>IFERROR(VLOOKUP(Table1[RespondentID],'All Data'!$A$3:$CW$999,97,FALSE),"unknown")</f>
        <v>Yes</v>
      </c>
      <c r="BG437" s="120" t="str">
        <f>IFERROR(VLOOKUP(Table1[RespondentID],'All Data'!$A$3:$CW$999,98,FALSE),"unknown")</f>
        <v>Private/Commercial</v>
      </c>
      <c r="BH437" s="120" t="str">
        <f>IFERROR(VLOOKUP(Table1[RespondentID],'All Data'!$A$3:$CW$999,99,FALSE),"unknown")</f>
        <v>Yes</v>
      </c>
    </row>
    <row r="438" spans="1:60">
      <c r="A438" s="141">
        <v>114117609524</v>
      </c>
      <c r="B438" s="180"/>
      <c r="C438" s="181"/>
      <c r="D438" s="181"/>
      <c r="E438" s="181"/>
      <c r="F438" s="181"/>
      <c r="G438" s="181"/>
      <c r="H438" s="181"/>
      <c r="I438" s="181"/>
      <c r="J438" s="181"/>
      <c r="K438" s="181" t="s">
        <v>57</v>
      </c>
      <c r="L438" s="181"/>
      <c r="M438" s="181"/>
      <c r="N438" s="181"/>
      <c r="O438" s="181"/>
      <c r="P438" s="181"/>
      <c r="Q438" s="181"/>
      <c r="R438" s="181" t="s">
        <v>62</v>
      </c>
      <c r="S438" s="181" t="s">
        <v>63</v>
      </c>
      <c r="T438" s="184"/>
      <c r="U438" s="182">
        <f t="shared" si="161"/>
        <v>3</v>
      </c>
      <c r="V438" s="182">
        <f t="shared" si="162"/>
        <v>1</v>
      </c>
      <c r="W438" s="110"/>
      <c r="X438" s="182">
        <f t="shared" si="163"/>
        <v>0</v>
      </c>
      <c r="Y438" s="182">
        <f t="shared" si="164"/>
        <v>0</v>
      </c>
      <c r="Z438" s="182">
        <f t="shared" si="165"/>
        <v>0</v>
      </c>
      <c r="AA438" s="182">
        <f t="shared" si="166"/>
        <v>0</v>
      </c>
      <c r="AB438" s="182">
        <f t="shared" si="167"/>
        <v>0</v>
      </c>
      <c r="AC438" s="182">
        <f t="shared" si="168"/>
        <v>0</v>
      </c>
      <c r="AD438" s="182">
        <f t="shared" si="169"/>
        <v>0</v>
      </c>
      <c r="AE438" s="182">
        <f t="shared" si="170"/>
        <v>0</v>
      </c>
      <c r="AF438" s="182">
        <f t="shared" si="171"/>
        <v>0</v>
      </c>
      <c r="AG438" s="182">
        <f t="shared" si="172"/>
        <v>1</v>
      </c>
      <c r="AH438" s="182">
        <f t="shared" si="173"/>
        <v>0</v>
      </c>
      <c r="AI438" s="182">
        <f t="shared" si="174"/>
        <v>0</v>
      </c>
      <c r="AJ438" s="182">
        <f t="shared" si="175"/>
        <v>0</v>
      </c>
      <c r="AK438" s="182">
        <f t="shared" si="176"/>
        <v>0</v>
      </c>
      <c r="AL438" s="182">
        <f t="shared" si="177"/>
        <v>0</v>
      </c>
      <c r="AM438" s="182">
        <f t="shared" si="178"/>
        <v>0</v>
      </c>
      <c r="AN438" s="182">
        <f t="shared" si="179"/>
        <v>1</v>
      </c>
      <c r="AO438" s="182">
        <f t="shared" si="180"/>
        <v>1</v>
      </c>
      <c r="AP438" s="110"/>
      <c r="AQ438" s="110"/>
      <c r="AR438" s="182">
        <f t="shared" si="181"/>
        <v>3</v>
      </c>
      <c r="AS438" s="182">
        <f t="shared" si="182"/>
        <v>3</v>
      </c>
      <c r="AT438" s="182" t="str">
        <f t="shared" si="183"/>
        <v>Correct</v>
      </c>
      <c r="AU438" s="142"/>
      <c r="AV438" s="120" t="str">
        <f>IFERROR(VLOOKUP(Table1[RespondentID],'All Data'!$A$3:$CO$999,87,FALSE),"unknown")</f>
        <v>Man</v>
      </c>
      <c r="AW438" s="120">
        <f>IFERROR(VLOOKUP(Table1[RespondentID],'All Data'!$A$3:$CO$999,88,FALSE),"unknown")</f>
        <v>66</v>
      </c>
      <c r="AX438" s="120" t="str">
        <f>IFERROR(VLOOKUP(Table1[RespondentID],'All Data'!$A$3:$CO$999,89,FALSE),"unknown")</f>
        <v>Suffolk</v>
      </c>
      <c r="AY438" s="120" t="str">
        <f>IFERROR(VLOOKUP(Table1[RespondentID],'All Data'!$A$3:$CO$999,90,FALSE),"unknown")</f>
        <v>Babylon, 11704</v>
      </c>
      <c r="AZ438" s="120" t="str">
        <f>IFERROR(VLOOKUP(Table1[RespondentID],'All Data'!$A$3:$CO$999,91,FALSE),"unknown")</f>
        <v>White</v>
      </c>
      <c r="BA438" s="120" t="str">
        <f>IFERROR(VLOOKUP(Table1[RespondentID],'All Data'!$A$3:$CO$999,92,FALSE),"unknown")</f>
        <v>Hispanic or Latino</v>
      </c>
      <c r="BB438" s="120" t="str">
        <f>IFERROR(VLOOKUP(Table1[RespondentID],'All Data'!$A$3:$CO$999,93,FALSE),"unknown")</f>
        <v>English,Spanish</v>
      </c>
      <c r="BC438" s="120" t="str">
        <f>IFERROR(VLOOKUP(Table1[RespondentID],'All Data'!$A$3:$CW$999,94,FALSE),"unknown")</f>
        <v>$20,000 to $34,999</v>
      </c>
      <c r="BD438" s="120" t="str">
        <f>IFERROR(VLOOKUP(Table1[RespondentID],'All Data'!$A$3:$CW$999,95,FALSE),"unknown")</f>
        <v>Some college</v>
      </c>
      <c r="BE438" s="120" t="str">
        <f>IFERROR(VLOOKUP(Table1[RespondentID],'All Data'!$A$3:$CW$999,96,FALSE),"unknown")</f>
        <v>Retired</v>
      </c>
      <c r="BF438" s="120" t="str">
        <f>IFERROR(VLOOKUP(Table1[RespondentID],'All Data'!$A$3:$CW$999,97,FALSE),"unknown")</f>
        <v>Yes</v>
      </c>
      <c r="BG438" s="120" t="str">
        <f>IFERROR(VLOOKUP(Table1[RespondentID],'All Data'!$A$3:$CW$999,98,FALSE),"unknown")</f>
        <v>Medicare</v>
      </c>
      <c r="BH438" s="120" t="str">
        <f>IFERROR(VLOOKUP(Table1[RespondentID],'All Data'!$A$3:$CW$999,99,FALSE),"unknown")</f>
        <v>Yes</v>
      </c>
    </row>
    <row r="439" spans="1:60">
      <c r="A439" s="141">
        <v>114117487074</v>
      </c>
      <c r="B439" s="180"/>
      <c r="C439" s="181"/>
      <c r="D439" s="181" t="s">
        <v>51</v>
      </c>
      <c r="E439" s="181"/>
      <c r="F439" s="181" t="s">
        <v>52</v>
      </c>
      <c r="G439" s="181"/>
      <c r="H439" s="181"/>
      <c r="I439" s="181"/>
      <c r="J439" s="181"/>
      <c r="K439" s="181"/>
      <c r="L439" s="181"/>
      <c r="M439" s="181"/>
      <c r="N439" s="181"/>
      <c r="O439" s="181"/>
      <c r="P439" s="181"/>
      <c r="Q439" s="181"/>
      <c r="R439" s="181" t="s">
        <v>62</v>
      </c>
      <c r="S439" s="181"/>
      <c r="T439" s="184"/>
      <c r="U439" s="182">
        <f t="shared" si="161"/>
        <v>3</v>
      </c>
      <c r="V439" s="182">
        <f t="shared" si="162"/>
        <v>1</v>
      </c>
      <c r="W439" s="110"/>
      <c r="X439" s="182">
        <f t="shared" si="163"/>
        <v>0</v>
      </c>
      <c r="Y439" s="182">
        <f t="shared" si="164"/>
        <v>0</v>
      </c>
      <c r="Z439" s="182">
        <f t="shared" si="165"/>
        <v>1</v>
      </c>
      <c r="AA439" s="182">
        <f t="shared" si="166"/>
        <v>0</v>
      </c>
      <c r="AB439" s="182">
        <f t="shared" si="167"/>
        <v>1</v>
      </c>
      <c r="AC439" s="182">
        <f t="shared" si="168"/>
        <v>0</v>
      </c>
      <c r="AD439" s="182">
        <f t="shared" si="169"/>
        <v>0</v>
      </c>
      <c r="AE439" s="182">
        <f t="shared" si="170"/>
        <v>0</v>
      </c>
      <c r="AF439" s="182">
        <f t="shared" si="171"/>
        <v>0</v>
      </c>
      <c r="AG439" s="182">
        <f t="shared" si="172"/>
        <v>0</v>
      </c>
      <c r="AH439" s="182">
        <f t="shared" si="173"/>
        <v>0</v>
      </c>
      <c r="AI439" s="182">
        <f t="shared" si="174"/>
        <v>0</v>
      </c>
      <c r="AJ439" s="182">
        <f t="shared" si="175"/>
        <v>0</v>
      </c>
      <c r="AK439" s="182">
        <f t="shared" si="176"/>
        <v>0</v>
      </c>
      <c r="AL439" s="182">
        <f t="shared" si="177"/>
        <v>0</v>
      </c>
      <c r="AM439" s="182">
        <f t="shared" si="178"/>
        <v>0</v>
      </c>
      <c r="AN439" s="182">
        <f t="shared" si="179"/>
        <v>1</v>
      </c>
      <c r="AO439" s="182">
        <f t="shared" si="180"/>
        <v>0</v>
      </c>
      <c r="AP439" s="110"/>
      <c r="AQ439" s="110"/>
      <c r="AR439" s="182">
        <f t="shared" si="181"/>
        <v>3</v>
      </c>
      <c r="AS439" s="182">
        <f t="shared" si="182"/>
        <v>3</v>
      </c>
      <c r="AT439" s="182" t="str">
        <f t="shared" si="183"/>
        <v>Correct</v>
      </c>
      <c r="AU439" s="142"/>
      <c r="AV439" s="120" t="str">
        <f>IFERROR(VLOOKUP(Table1[RespondentID],'All Data'!$A$3:$CO$999,87,FALSE),"unknown")</f>
        <v>Man</v>
      </c>
      <c r="AW439" s="120">
        <f>IFERROR(VLOOKUP(Table1[RespondentID],'All Data'!$A$3:$CO$999,88,FALSE),"unknown")</f>
        <v>66</v>
      </c>
      <c r="AX439" s="120" t="str">
        <f>IFERROR(VLOOKUP(Table1[RespondentID],'All Data'!$A$3:$CO$999,89,FALSE),"unknown")</f>
        <v>Suffolk</v>
      </c>
      <c r="AY439" s="120" t="str">
        <f>IFERROR(VLOOKUP(Table1[RespondentID],'All Data'!$A$3:$CO$999,90,FALSE),"unknown")</f>
        <v>North Babylon, 11703</v>
      </c>
      <c r="AZ439" s="120" t="str">
        <f>IFERROR(VLOOKUP(Table1[RespondentID],'All Data'!$A$3:$CO$999,91,FALSE),"unknown")</f>
        <v>White</v>
      </c>
      <c r="BA439" s="120" t="str">
        <f>IFERROR(VLOOKUP(Table1[RespondentID],'All Data'!$A$3:$CO$999,92,FALSE),"unknown")</f>
        <v>Not Hispanic or Latino</v>
      </c>
      <c r="BB439" s="120" t="str">
        <f>IFERROR(VLOOKUP(Table1[RespondentID],'All Data'!$A$3:$CO$999,93,FALSE),"unknown")</f>
        <v>English</v>
      </c>
      <c r="BC439" s="120" t="str">
        <f>IFERROR(VLOOKUP(Table1[RespondentID],'All Data'!$A$3:$CW$999,94,FALSE),"unknown")</f>
        <v>$50,000 to $74,999</v>
      </c>
      <c r="BD439" s="120" t="str">
        <f>IFERROR(VLOOKUP(Table1[RespondentID],'All Data'!$A$3:$CW$999,95,FALSE),"unknown")</f>
        <v>Some college</v>
      </c>
      <c r="BE439" s="120" t="str">
        <f>IFERROR(VLOOKUP(Table1[RespondentID],'All Data'!$A$3:$CW$999,96,FALSE),"unknown")</f>
        <v>Retired</v>
      </c>
      <c r="BF439" s="120" t="str">
        <f>IFERROR(VLOOKUP(Table1[RespondentID],'All Data'!$A$3:$CW$999,97,FALSE),"unknown")</f>
        <v>Yes</v>
      </c>
      <c r="BG439" s="120" t="str">
        <f>IFERROR(VLOOKUP(Table1[RespondentID],'All Data'!$A$3:$CW$999,98,FALSE),"unknown")</f>
        <v>Medicare,Private/Commercial</v>
      </c>
      <c r="BH439" s="120" t="str">
        <f>IFERROR(VLOOKUP(Table1[RespondentID],'All Data'!$A$3:$CW$999,99,FALSE),"unknown")</f>
        <v>Yes</v>
      </c>
    </row>
    <row r="440" spans="1:60">
      <c r="A440" s="141">
        <v>114112557543</v>
      </c>
      <c r="B440" s="180"/>
      <c r="C440" s="181"/>
      <c r="D440" s="181" t="s">
        <v>51</v>
      </c>
      <c r="E440" s="181"/>
      <c r="F440" s="181"/>
      <c r="G440" s="181"/>
      <c r="H440" s="181"/>
      <c r="I440" s="181"/>
      <c r="J440" s="181"/>
      <c r="K440" s="181"/>
      <c r="L440" s="181"/>
      <c r="M440" s="181"/>
      <c r="N440" s="181"/>
      <c r="O440" s="181"/>
      <c r="P440" s="181"/>
      <c r="Q440" s="181" t="s">
        <v>61</v>
      </c>
      <c r="R440" s="181" t="s">
        <v>62</v>
      </c>
      <c r="S440" s="181"/>
      <c r="T440" s="184"/>
      <c r="U440" s="182">
        <f t="shared" si="161"/>
        <v>3</v>
      </c>
      <c r="V440" s="182">
        <f t="shared" si="162"/>
        <v>1</v>
      </c>
      <c r="W440" s="110"/>
      <c r="X440" s="182">
        <f t="shared" si="163"/>
        <v>0</v>
      </c>
      <c r="Y440" s="182">
        <f t="shared" si="164"/>
        <v>0</v>
      </c>
      <c r="Z440" s="182">
        <f t="shared" si="165"/>
        <v>1</v>
      </c>
      <c r="AA440" s="182">
        <f t="shared" si="166"/>
        <v>0</v>
      </c>
      <c r="AB440" s="182">
        <f t="shared" si="167"/>
        <v>0</v>
      </c>
      <c r="AC440" s="182">
        <f t="shared" si="168"/>
        <v>0</v>
      </c>
      <c r="AD440" s="182">
        <f t="shared" si="169"/>
        <v>0</v>
      </c>
      <c r="AE440" s="182">
        <f t="shared" si="170"/>
        <v>0</v>
      </c>
      <c r="AF440" s="182">
        <f t="shared" si="171"/>
        <v>0</v>
      </c>
      <c r="AG440" s="182">
        <f t="shared" si="172"/>
        <v>0</v>
      </c>
      <c r="AH440" s="182">
        <f t="shared" si="173"/>
        <v>0</v>
      </c>
      <c r="AI440" s="182">
        <f t="shared" si="174"/>
        <v>0</v>
      </c>
      <c r="AJ440" s="182">
        <f t="shared" si="175"/>
        <v>0</v>
      </c>
      <c r="AK440" s="182">
        <f t="shared" si="176"/>
        <v>0</v>
      </c>
      <c r="AL440" s="182">
        <f t="shared" si="177"/>
        <v>0</v>
      </c>
      <c r="AM440" s="182">
        <f t="shared" si="178"/>
        <v>1</v>
      </c>
      <c r="AN440" s="182">
        <f t="shared" si="179"/>
        <v>1</v>
      </c>
      <c r="AO440" s="182">
        <f t="shared" si="180"/>
        <v>0</v>
      </c>
      <c r="AP440" s="110"/>
      <c r="AQ440" s="110"/>
      <c r="AR440" s="182">
        <f t="shared" si="181"/>
        <v>3</v>
      </c>
      <c r="AS440" s="182">
        <f t="shared" si="182"/>
        <v>3</v>
      </c>
      <c r="AT440" s="182" t="str">
        <f t="shared" si="183"/>
        <v>Correct</v>
      </c>
      <c r="AU440" s="142"/>
      <c r="AV440" s="120" t="str">
        <f>IFERROR(VLOOKUP(Table1[RespondentID],'All Data'!$A$3:$CO$999,87,FALSE),"unknown")</f>
        <v>Woman</v>
      </c>
      <c r="AW440" s="120">
        <f>IFERROR(VLOOKUP(Table1[RespondentID],'All Data'!$A$3:$CO$999,88,FALSE),"unknown")</f>
        <v>63</v>
      </c>
      <c r="AX440" s="120" t="str">
        <f>IFERROR(VLOOKUP(Table1[RespondentID],'All Data'!$A$3:$CO$999,89,FALSE),"unknown")</f>
        <v>Suffolk</v>
      </c>
      <c r="AY440" s="120" t="str">
        <f>IFERROR(VLOOKUP(Table1[RespondentID],'All Data'!$A$3:$CO$999,90,FALSE),"unknown")</f>
        <v>West Islip, 11795</v>
      </c>
      <c r="AZ440" s="120" t="str">
        <f>IFERROR(VLOOKUP(Table1[RespondentID],'All Data'!$A$3:$CO$999,91,FALSE),"unknown")</f>
        <v>White</v>
      </c>
      <c r="BA440" s="120" t="str">
        <f>IFERROR(VLOOKUP(Table1[RespondentID],'All Data'!$A$3:$CO$999,92,FALSE),"unknown")</f>
        <v>Not Hispanic or Latino</v>
      </c>
      <c r="BB440" s="120" t="str">
        <f>IFERROR(VLOOKUP(Table1[RespondentID],'All Data'!$A$3:$CO$999,93,FALSE),"unknown")</f>
        <v>English</v>
      </c>
      <c r="BC440" s="120" t="str">
        <f>IFERROR(VLOOKUP(Table1[RespondentID],'All Data'!$A$3:$CW$999,94,FALSE),"unknown")</f>
        <v>Over $125,000</v>
      </c>
      <c r="BD440" s="120" t="str">
        <f>IFERROR(VLOOKUP(Table1[RespondentID],'All Data'!$A$3:$CW$999,95,FALSE),"unknown")</f>
        <v>College graduate</v>
      </c>
      <c r="BE440" s="120" t="str">
        <f>IFERROR(VLOOKUP(Table1[RespondentID],'All Data'!$A$3:$CW$999,96,FALSE),"unknown")</f>
        <v>Employed for wages</v>
      </c>
      <c r="BF440" s="120" t="str">
        <f>IFERROR(VLOOKUP(Table1[RespondentID],'All Data'!$A$3:$CW$999,97,FALSE),"unknown")</f>
        <v>Yes</v>
      </c>
      <c r="BG440" s="120" t="str">
        <f>IFERROR(VLOOKUP(Table1[RespondentID],'All Data'!$A$3:$CW$999,98,FALSE),"unknown")</f>
        <v>Private/Commercial</v>
      </c>
      <c r="BH440" s="120" t="str">
        <f>IFERROR(VLOOKUP(Table1[RespondentID],'All Data'!$A$3:$CW$999,99,FALSE),"unknown")</f>
        <v>Yes</v>
      </c>
    </row>
    <row r="441" spans="1:60">
      <c r="A441" s="141">
        <v>114112353426</v>
      </c>
      <c r="B441" s="180"/>
      <c r="C441" s="181"/>
      <c r="D441" s="181"/>
      <c r="E441" s="181" t="s">
        <v>17</v>
      </c>
      <c r="F441" s="181"/>
      <c r="G441" s="181"/>
      <c r="H441" s="181"/>
      <c r="I441" s="181"/>
      <c r="J441" s="181"/>
      <c r="K441" s="181"/>
      <c r="L441" s="181"/>
      <c r="M441" s="181"/>
      <c r="N441" s="181"/>
      <c r="O441" s="181"/>
      <c r="P441" s="181"/>
      <c r="Q441" s="181"/>
      <c r="R441" s="181"/>
      <c r="S441" s="181" t="s">
        <v>63</v>
      </c>
      <c r="T441" s="184"/>
      <c r="U441" s="182">
        <f t="shared" si="161"/>
        <v>2</v>
      </c>
      <c r="V441" s="182">
        <f t="shared" si="162"/>
        <v>1.5</v>
      </c>
      <c r="W441" s="110"/>
      <c r="X441" s="182">
        <f t="shared" si="163"/>
        <v>0</v>
      </c>
      <c r="Y441" s="182">
        <f t="shared" si="164"/>
        <v>0</v>
      </c>
      <c r="Z441" s="182">
        <f t="shared" si="165"/>
        <v>0</v>
      </c>
      <c r="AA441" s="182">
        <f t="shared" si="166"/>
        <v>1</v>
      </c>
      <c r="AB441" s="182">
        <f t="shared" si="167"/>
        <v>0</v>
      </c>
      <c r="AC441" s="182">
        <f t="shared" si="168"/>
        <v>0</v>
      </c>
      <c r="AD441" s="182">
        <f t="shared" si="169"/>
        <v>0</v>
      </c>
      <c r="AE441" s="182">
        <f t="shared" si="170"/>
        <v>0</v>
      </c>
      <c r="AF441" s="182">
        <f t="shared" si="171"/>
        <v>0</v>
      </c>
      <c r="AG441" s="182">
        <f t="shared" si="172"/>
        <v>0</v>
      </c>
      <c r="AH441" s="182">
        <f t="shared" si="173"/>
        <v>0</v>
      </c>
      <c r="AI441" s="182">
        <f t="shared" si="174"/>
        <v>0</v>
      </c>
      <c r="AJ441" s="182">
        <f t="shared" si="175"/>
        <v>0</v>
      </c>
      <c r="AK441" s="182">
        <f t="shared" si="176"/>
        <v>0</v>
      </c>
      <c r="AL441" s="182">
        <f t="shared" si="177"/>
        <v>0</v>
      </c>
      <c r="AM441" s="182">
        <f t="shared" si="178"/>
        <v>0</v>
      </c>
      <c r="AN441" s="182">
        <f t="shared" si="179"/>
        <v>0</v>
      </c>
      <c r="AO441" s="182">
        <f t="shared" si="180"/>
        <v>1</v>
      </c>
      <c r="AP441" s="110"/>
      <c r="AQ441" s="110"/>
      <c r="AR441" s="182">
        <f t="shared" si="181"/>
        <v>2</v>
      </c>
      <c r="AS441" s="182">
        <f t="shared" si="182"/>
        <v>2</v>
      </c>
      <c r="AT441" s="182" t="str">
        <f t="shared" si="183"/>
        <v>Correct</v>
      </c>
      <c r="AU441" s="142"/>
      <c r="AV441" s="120" t="str">
        <f>IFERROR(VLOOKUP(Table1[RespondentID],'All Data'!$A$3:$CO$999,87,FALSE),"unknown")</f>
        <v>Woman</v>
      </c>
      <c r="AW441" s="120">
        <f>IFERROR(VLOOKUP(Table1[RespondentID],'All Data'!$A$3:$CO$999,88,FALSE),"unknown")</f>
        <v>66</v>
      </c>
      <c r="AX441" s="120" t="str">
        <f>IFERROR(VLOOKUP(Table1[RespondentID],'All Data'!$A$3:$CO$999,89,FALSE),"unknown")</f>
        <v>Suffolk</v>
      </c>
      <c r="AY441" s="120" t="str">
        <f>IFERROR(VLOOKUP(Table1[RespondentID],'All Data'!$A$3:$CO$999,90,FALSE),"unknown")</f>
        <v>Lindenhurst, 11757</v>
      </c>
      <c r="AZ441" s="120" t="str">
        <f>IFERROR(VLOOKUP(Table1[RespondentID],'All Data'!$A$3:$CO$999,91,FALSE),"unknown")</f>
        <v>White</v>
      </c>
      <c r="BA441" s="120" t="str">
        <f>IFERROR(VLOOKUP(Table1[RespondentID],'All Data'!$A$3:$CO$999,92,FALSE),"unknown")</f>
        <v>Not Hispanic or Latino</v>
      </c>
      <c r="BB441" s="120" t="str">
        <f>IFERROR(VLOOKUP(Table1[RespondentID],'All Data'!$A$3:$CO$999,93,FALSE),"unknown")</f>
        <v>English</v>
      </c>
      <c r="BC441" s="120">
        <f>IFERROR(VLOOKUP(Table1[RespondentID],'All Data'!$A$3:$CW$999,94,FALSE),"unknown")</f>
        <v>0</v>
      </c>
      <c r="BD441" s="120" t="str">
        <f>IFERROR(VLOOKUP(Table1[RespondentID],'All Data'!$A$3:$CW$999,95,FALSE),"unknown")</f>
        <v>College graduate</v>
      </c>
      <c r="BE441" s="120" t="str">
        <f>IFERROR(VLOOKUP(Table1[RespondentID],'All Data'!$A$3:$CW$999,96,FALSE),"unknown")</f>
        <v>Retired</v>
      </c>
      <c r="BF441" s="120">
        <f>IFERROR(VLOOKUP(Table1[RespondentID],'All Data'!$A$3:$CW$999,97,FALSE),"unknown")</f>
        <v>0</v>
      </c>
      <c r="BG441" s="120" t="str">
        <f>IFERROR(VLOOKUP(Table1[RespondentID],'All Data'!$A$3:$CW$999,98,FALSE),"unknown")</f>
        <v>Medicare</v>
      </c>
      <c r="BH441" s="120" t="str">
        <f>IFERROR(VLOOKUP(Table1[RespondentID],'All Data'!$A$3:$CW$999,99,FALSE),"unknown")</f>
        <v>Yes</v>
      </c>
    </row>
    <row r="442" spans="1:60">
      <c r="A442" s="141">
        <v>114112316241</v>
      </c>
      <c r="B442" s="180"/>
      <c r="C442" s="181"/>
      <c r="D442" s="181"/>
      <c r="E442" s="181" t="s">
        <v>17</v>
      </c>
      <c r="F442" s="181"/>
      <c r="G442" s="181"/>
      <c r="H442" s="181"/>
      <c r="I442" s="181"/>
      <c r="J442" s="181"/>
      <c r="K442" s="181"/>
      <c r="L442" s="181" t="s">
        <v>58</v>
      </c>
      <c r="M442" s="181"/>
      <c r="N442" s="181" t="s">
        <v>24</v>
      </c>
      <c r="O442" s="181"/>
      <c r="P442" s="181"/>
      <c r="Q442" s="181"/>
      <c r="R442" s="181"/>
      <c r="S442" s="181"/>
      <c r="T442" s="184"/>
      <c r="U442" s="182">
        <f t="shared" si="161"/>
        <v>3</v>
      </c>
      <c r="V442" s="182">
        <f t="shared" si="162"/>
        <v>1</v>
      </c>
      <c r="W442" s="110"/>
      <c r="X442" s="182">
        <f t="shared" si="163"/>
        <v>0</v>
      </c>
      <c r="Y442" s="182">
        <f t="shared" si="164"/>
        <v>0</v>
      </c>
      <c r="Z442" s="182">
        <f t="shared" si="165"/>
        <v>0</v>
      </c>
      <c r="AA442" s="182">
        <f t="shared" si="166"/>
        <v>1</v>
      </c>
      <c r="AB442" s="182">
        <f t="shared" si="167"/>
        <v>0</v>
      </c>
      <c r="AC442" s="182">
        <f t="shared" si="168"/>
        <v>0</v>
      </c>
      <c r="AD442" s="182">
        <f t="shared" si="169"/>
        <v>0</v>
      </c>
      <c r="AE442" s="182">
        <f t="shared" si="170"/>
        <v>0</v>
      </c>
      <c r="AF442" s="182">
        <f t="shared" si="171"/>
        <v>0</v>
      </c>
      <c r="AG442" s="182">
        <f t="shared" si="172"/>
        <v>0</v>
      </c>
      <c r="AH442" s="182">
        <f t="shared" si="173"/>
        <v>1</v>
      </c>
      <c r="AI442" s="182">
        <f t="shared" si="174"/>
        <v>0</v>
      </c>
      <c r="AJ442" s="182">
        <f t="shared" si="175"/>
        <v>1</v>
      </c>
      <c r="AK442" s="182">
        <f t="shared" si="176"/>
        <v>0</v>
      </c>
      <c r="AL442" s="182">
        <f t="shared" si="177"/>
        <v>0</v>
      </c>
      <c r="AM442" s="182">
        <f t="shared" si="178"/>
        <v>0</v>
      </c>
      <c r="AN442" s="182">
        <f t="shared" si="179"/>
        <v>0</v>
      </c>
      <c r="AO442" s="182">
        <f t="shared" si="180"/>
        <v>0</v>
      </c>
      <c r="AP442" s="110"/>
      <c r="AQ442" s="110"/>
      <c r="AR442" s="182">
        <f t="shared" si="181"/>
        <v>3</v>
      </c>
      <c r="AS442" s="182">
        <f t="shared" si="182"/>
        <v>3</v>
      </c>
      <c r="AT442" s="182" t="str">
        <f t="shared" si="183"/>
        <v>Correct</v>
      </c>
      <c r="AU442" s="142"/>
      <c r="AV442" s="120" t="str">
        <f>IFERROR(VLOOKUP(Table1[RespondentID],'All Data'!$A$3:$CO$999,87,FALSE),"unknown")</f>
        <v>Woman</v>
      </c>
      <c r="AW442" s="120">
        <f>IFERROR(VLOOKUP(Table1[RespondentID],'All Data'!$A$3:$CO$999,88,FALSE),"unknown")</f>
        <v>66</v>
      </c>
      <c r="AX442" s="120" t="str">
        <f>IFERROR(VLOOKUP(Table1[RespondentID],'All Data'!$A$3:$CO$999,89,FALSE),"unknown")</f>
        <v>Suffolk</v>
      </c>
      <c r="AY442" s="120" t="str">
        <f>IFERROR(VLOOKUP(Table1[RespondentID],'All Data'!$A$3:$CO$999,90,FALSE),"unknown")</f>
        <v>Oakdale, 11769</v>
      </c>
      <c r="AZ442" s="120" t="str">
        <f>IFERROR(VLOOKUP(Table1[RespondentID],'All Data'!$A$3:$CO$999,91,FALSE),"unknown")</f>
        <v>White</v>
      </c>
      <c r="BA442" s="120" t="str">
        <f>IFERROR(VLOOKUP(Table1[RespondentID],'All Data'!$A$3:$CO$999,92,FALSE),"unknown")</f>
        <v>Not Hispanic or Latino</v>
      </c>
      <c r="BB442" s="120" t="str">
        <f>IFERROR(VLOOKUP(Table1[RespondentID],'All Data'!$A$3:$CO$999,93,FALSE),"unknown")</f>
        <v>English</v>
      </c>
      <c r="BC442" s="120" t="str">
        <f>IFERROR(VLOOKUP(Table1[RespondentID],'All Data'!$A$3:$CW$999,94,FALSE),"unknown")</f>
        <v>$20,000 to $34,999</v>
      </c>
      <c r="BD442" s="120" t="str">
        <f>IFERROR(VLOOKUP(Table1[RespondentID],'All Data'!$A$3:$CW$999,95,FALSE),"unknown")</f>
        <v>High school graduate</v>
      </c>
      <c r="BE442" s="120" t="str">
        <f>IFERROR(VLOOKUP(Table1[RespondentID],'All Data'!$A$3:$CW$999,96,FALSE),"unknown")</f>
        <v>Retired</v>
      </c>
      <c r="BF442" s="120" t="str">
        <f>IFERROR(VLOOKUP(Table1[RespondentID],'All Data'!$A$3:$CW$999,97,FALSE),"unknown")</f>
        <v>Yes</v>
      </c>
      <c r="BG442" s="120" t="str">
        <f>IFERROR(VLOOKUP(Table1[RespondentID],'All Data'!$A$3:$CW$999,98,FALSE),"unknown")</f>
        <v>Medicare,Private/Commercial</v>
      </c>
      <c r="BH442" s="120" t="str">
        <f>IFERROR(VLOOKUP(Table1[RespondentID],'All Data'!$A$3:$CW$999,99,FALSE),"unknown")</f>
        <v>Yes</v>
      </c>
    </row>
    <row r="443" spans="1:60">
      <c r="A443" s="141">
        <v>114112302057</v>
      </c>
      <c r="B443" s="180"/>
      <c r="C443" s="181"/>
      <c r="D443" s="181"/>
      <c r="E443" s="181"/>
      <c r="F443" s="181" t="s">
        <v>52</v>
      </c>
      <c r="G443" s="181"/>
      <c r="H443" s="181"/>
      <c r="I443" s="181"/>
      <c r="J443" s="181"/>
      <c r="K443" s="181"/>
      <c r="L443" s="181"/>
      <c r="M443" s="181"/>
      <c r="N443" s="181"/>
      <c r="O443" s="181"/>
      <c r="P443" s="181" t="s">
        <v>60</v>
      </c>
      <c r="Q443" s="181" t="s">
        <v>61</v>
      </c>
      <c r="R443" s="181"/>
      <c r="S443" s="181"/>
      <c r="T443" s="184"/>
      <c r="U443" s="182">
        <f t="shared" si="161"/>
        <v>3</v>
      </c>
      <c r="V443" s="182">
        <f t="shared" si="162"/>
        <v>1</v>
      </c>
      <c r="W443" s="110"/>
      <c r="X443" s="182">
        <f t="shared" si="163"/>
        <v>0</v>
      </c>
      <c r="Y443" s="182">
        <f t="shared" si="164"/>
        <v>0</v>
      </c>
      <c r="Z443" s="182">
        <f t="shared" si="165"/>
        <v>0</v>
      </c>
      <c r="AA443" s="182">
        <f t="shared" si="166"/>
        <v>0</v>
      </c>
      <c r="AB443" s="182">
        <f t="shared" si="167"/>
        <v>1</v>
      </c>
      <c r="AC443" s="182">
        <f t="shared" si="168"/>
        <v>0</v>
      </c>
      <c r="AD443" s="182">
        <f t="shared" si="169"/>
        <v>0</v>
      </c>
      <c r="AE443" s="182">
        <f t="shared" si="170"/>
        <v>0</v>
      </c>
      <c r="AF443" s="182">
        <f t="shared" si="171"/>
        <v>0</v>
      </c>
      <c r="AG443" s="182">
        <f t="shared" si="172"/>
        <v>0</v>
      </c>
      <c r="AH443" s="182">
        <f t="shared" si="173"/>
        <v>0</v>
      </c>
      <c r="AI443" s="182">
        <f t="shared" si="174"/>
        <v>0</v>
      </c>
      <c r="AJ443" s="182">
        <f t="shared" si="175"/>
        <v>0</v>
      </c>
      <c r="AK443" s="182">
        <f t="shared" si="176"/>
        <v>0</v>
      </c>
      <c r="AL443" s="182">
        <f t="shared" si="177"/>
        <v>1</v>
      </c>
      <c r="AM443" s="182">
        <f t="shared" si="178"/>
        <v>1</v>
      </c>
      <c r="AN443" s="182">
        <f t="shared" si="179"/>
        <v>0</v>
      </c>
      <c r="AO443" s="182">
        <f t="shared" si="180"/>
        <v>0</v>
      </c>
      <c r="AP443" s="110"/>
      <c r="AQ443" s="110"/>
      <c r="AR443" s="182">
        <f t="shared" si="181"/>
        <v>3</v>
      </c>
      <c r="AS443" s="182">
        <f t="shared" si="182"/>
        <v>3</v>
      </c>
      <c r="AT443" s="182" t="str">
        <f t="shared" si="183"/>
        <v>Correct</v>
      </c>
      <c r="AU443" s="142"/>
      <c r="AV443" s="120" t="str">
        <f>IFERROR(VLOOKUP(Table1[RespondentID],'All Data'!$A$3:$CO$999,87,FALSE),"unknown")</f>
        <v>Woman</v>
      </c>
      <c r="AW443" s="120">
        <f>IFERROR(VLOOKUP(Table1[RespondentID],'All Data'!$A$3:$CO$999,88,FALSE),"unknown")</f>
        <v>66</v>
      </c>
      <c r="AX443" s="120" t="str">
        <f>IFERROR(VLOOKUP(Table1[RespondentID],'All Data'!$A$3:$CO$999,89,FALSE),"unknown")</f>
        <v>Suffolk</v>
      </c>
      <c r="AY443" s="120" t="str">
        <f>IFERROR(VLOOKUP(Table1[RespondentID],'All Data'!$A$3:$CO$999,90,FALSE),"unknown")</f>
        <v>Babylon, 11702</v>
      </c>
      <c r="AZ443" s="120" t="str">
        <f>IFERROR(VLOOKUP(Table1[RespondentID],'All Data'!$A$3:$CO$999,91,FALSE),"unknown")</f>
        <v>White</v>
      </c>
      <c r="BA443" s="120" t="str">
        <f>IFERROR(VLOOKUP(Table1[RespondentID],'All Data'!$A$3:$CO$999,92,FALSE),"unknown")</f>
        <v>Not Hispanic or Latino</v>
      </c>
      <c r="BB443" s="120" t="str">
        <f>IFERROR(VLOOKUP(Table1[RespondentID],'All Data'!$A$3:$CO$999,93,FALSE),"unknown")</f>
        <v>English</v>
      </c>
      <c r="BC443" s="120" t="str">
        <f>IFERROR(VLOOKUP(Table1[RespondentID],'All Data'!$A$3:$CW$999,94,FALSE),"unknown")</f>
        <v>$35,000 to $49,999</v>
      </c>
      <c r="BD443" s="120" t="str">
        <f>IFERROR(VLOOKUP(Table1[RespondentID],'All Data'!$A$3:$CW$999,95,FALSE),"unknown")</f>
        <v>Some college</v>
      </c>
      <c r="BE443" s="120" t="str">
        <f>IFERROR(VLOOKUP(Table1[RespondentID],'All Data'!$A$3:$CW$999,96,FALSE),"unknown")</f>
        <v>Retired</v>
      </c>
      <c r="BF443" s="120" t="str">
        <f>IFERROR(VLOOKUP(Table1[RespondentID],'All Data'!$A$3:$CW$999,97,FALSE),"unknown")</f>
        <v>Yes</v>
      </c>
      <c r="BG443" s="120" t="str">
        <f>IFERROR(VLOOKUP(Table1[RespondentID],'All Data'!$A$3:$CW$999,98,FALSE),"unknown")</f>
        <v>Medicare</v>
      </c>
      <c r="BH443" s="120" t="str">
        <f>IFERROR(VLOOKUP(Table1[RespondentID],'All Data'!$A$3:$CW$999,99,FALSE),"unknown")</f>
        <v>Yes</v>
      </c>
    </row>
    <row r="444" spans="1:60">
      <c r="A444" s="141">
        <v>114112230825</v>
      </c>
      <c r="B444" s="180" t="s">
        <v>49</v>
      </c>
      <c r="C444" s="181"/>
      <c r="D444" s="181"/>
      <c r="E444" s="181"/>
      <c r="F444" s="181" t="s">
        <v>52</v>
      </c>
      <c r="G444" s="181"/>
      <c r="H444" s="181"/>
      <c r="I444" s="181"/>
      <c r="J444" s="181" t="s">
        <v>56</v>
      </c>
      <c r="K444" s="181"/>
      <c r="L444" s="181"/>
      <c r="M444" s="181"/>
      <c r="N444" s="181"/>
      <c r="O444" s="181"/>
      <c r="P444" s="181"/>
      <c r="Q444" s="181"/>
      <c r="R444" s="181"/>
      <c r="S444" s="181"/>
      <c r="T444" s="184"/>
      <c r="U444" s="182">
        <f t="shared" si="161"/>
        <v>3</v>
      </c>
      <c r="V444" s="182">
        <f t="shared" si="162"/>
        <v>1</v>
      </c>
      <c r="W444" s="110"/>
      <c r="X444" s="182">
        <f t="shared" si="163"/>
        <v>1</v>
      </c>
      <c r="Y444" s="182">
        <f t="shared" si="164"/>
        <v>0</v>
      </c>
      <c r="Z444" s="182">
        <f t="shared" si="165"/>
        <v>0</v>
      </c>
      <c r="AA444" s="182">
        <f t="shared" si="166"/>
        <v>0</v>
      </c>
      <c r="AB444" s="182">
        <f t="shared" si="167"/>
        <v>1</v>
      </c>
      <c r="AC444" s="182">
        <f t="shared" si="168"/>
        <v>0</v>
      </c>
      <c r="AD444" s="182">
        <f t="shared" si="169"/>
        <v>0</v>
      </c>
      <c r="AE444" s="182">
        <f t="shared" si="170"/>
        <v>0</v>
      </c>
      <c r="AF444" s="182">
        <f t="shared" si="171"/>
        <v>1</v>
      </c>
      <c r="AG444" s="182">
        <f t="shared" si="172"/>
        <v>0</v>
      </c>
      <c r="AH444" s="182">
        <f t="shared" si="173"/>
        <v>0</v>
      </c>
      <c r="AI444" s="182">
        <f t="shared" si="174"/>
        <v>0</v>
      </c>
      <c r="AJ444" s="182">
        <f t="shared" si="175"/>
        <v>0</v>
      </c>
      <c r="AK444" s="182">
        <f t="shared" si="176"/>
        <v>0</v>
      </c>
      <c r="AL444" s="182">
        <f t="shared" si="177"/>
        <v>0</v>
      </c>
      <c r="AM444" s="182">
        <f t="shared" si="178"/>
        <v>0</v>
      </c>
      <c r="AN444" s="182">
        <f t="shared" si="179"/>
        <v>0</v>
      </c>
      <c r="AO444" s="182">
        <f t="shared" si="180"/>
        <v>0</v>
      </c>
      <c r="AP444" s="110"/>
      <c r="AQ444" s="110"/>
      <c r="AR444" s="182">
        <f t="shared" si="181"/>
        <v>3</v>
      </c>
      <c r="AS444" s="182">
        <f t="shared" si="182"/>
        <v>3</v>
      </c>
      <c r="AT444" s="182" t="str">
        <f t="shared" si="183"/>
        <v>Correct</v>
      </c>
      <c r="AU444" s="142"/>
      <c r="AV444" s="120" t="str">
        <f>IFERROR(VLOOKUP(Table1[RespondentID],'All Data'!$A$3:$CO$999,87,FALSE),"unknown")</f>
        <v>Woman</v>
      </c>
      <c r="AW444" s="120">
        <f>IFERROR(VLOOKUP(Table1[RespondentID],'All Data'!$A$3:$CO$999,88,FALSE),"unknown")</f>
        <v>36</v>
      </c>
      <c r="AX444" s="120" t="str">
        <f>IFERROR(VLOOKUP(Table1[RespondentID],'All Data'!$A$3:$CO$999,89,FALSE),"unknown")</f>
        <v>Suffolk</v>
      </c>
      <c r="AY444" s="120" t="str">
        <f>IFERROR(VLOOKUP(Table1[RespondentID],'All Data'!$A$3:$CO$999,90,FALSE),"unknown")</f>
        <v>Babylon, 11702</v>
      </c>
      <c r="AZ444" s="120" t="str">
        <f>IFERROR(VLOOKUP(Table1[RespondentID],'All Data'!$A$3:$CO$999,91,FALSE),"unknown")</f>
        <v>White</v>
      </c>
      <c r="BA444" s="120" t="str">
        <f>IFERROR(VLOOKUP(Table1[RespondentID],'All Data'!$A$3:$CO$999,92,FALSE),"unknown")</f>
        <v>Not Hispanic or Latino</v>
      </c>
      <c r="BB444" s="120" t="str">
        <f>IFERROR(VLOOKUP(Table1[RespondentID],'All Data'!$A$3:$CO$999,93,FALSE),"unknown")</f>
        <v>English</v>
      </c>
      <c r="BC444" s="120" t="str">
        <f>IFERROR(VLOOKUP(Table1[RespondentID],'All Data'!$A$3:$CW$999,94,FALSE),"unknown")</f>
        <v>$75,000 to $125,000</v>
      </c>
      <c r="BD444" s="120" t="str">
        <f>IFERROR(VLOOKUP(Table1[RespondentID],'All Data'!$A$3:$CW$999,95,FALSE),"unknown")</f>
        <v>College graduate</v>
      </c>
      <c r="BE444" s="120" t="str">
        <f>IFERROR(VLOOKUP(Table1[RespondentID],'All Data'!$A$3:$CW$999,96,FALSE),"unknown")</f>
        <v>Employed for wages</v>
      </c>
      <c r="BF444" s="120" t="str">
        <f>IFERROR(VLOOKUP(Table1[RespondentID],'All Data'!$A$3:$CW$999,97,FALSE),"unknown")</f>
        <v>Yes</v>
      </c>
      <c r="BG444" s="120" t="str">
        <f>IFERROR(VLOOKUP(Table1[RespondentID],'All Data'!$A$3:$CW$999,98,FALSE),"unknown")</f>
        <v>Private/Commercial</v>
      </c>
      <c r="BH444" s="120" t="str">
        <f>IFERROR(VLOOKUP(Table1[RespondentID],'All Data'!$A$3:$CW$999,99,FALSE),"unknown")</f>
        <v>Yes</v>
      </c>
    </row>
    <row r="445" spans="1:60">
      <c r="A445" s="141">
        <v>114112163696</v>
      </c>
      <c r="B445" s="180"/>
      <c r="C445" s="181"/>
      <c r="D445" s="181"/>
      <c r="E445" s="181"/>
      <c r="F445" s="181"/>
      <c r="G445" s="181" t="s">
        <v>53</v>
      </c>
      <c r="H445" s="181"/>
      <c r="I445" s="181" t="s">
        <v>55</v>
      </c>
      <c r="J445" s="181"/>
      <c r="K445" s="181"/>
      <c r="L445" s="181"/>
      <c r="M445" s="181"/>
      <c r="N445" s="181"/>
      <c r="O445" s="181"/>
      <c r="P445" s="181"/>
      <c r="Q445" s="181"/>
      <c r="R445" s="181" t="s">
        <v>62</v>
      </c>
      <c r="S445" s="181"/>
      <c r="T445" s="184"/>
      <c r="U445" s="182">
        <f t="shared" si="161"/>
        <v>3</v>
      </c>
      <c r="V445" s="182">
        <f t="shared" si="162"/>
        <v>1</v>
      </c>
      <c r="W445" s="110"/>
      <c r="X445" s="182">
        <f t="shared" si="163"/>
        <v>0</v>
      </c>
      <c r="Y445" s="182">
        <f t="shared" si="164"/>
        <v>0</v>
      </c>
      <c r="Z445" s="182">
        <f t="shared" si="165"/>
        <v>0</v>
      </c>
      <c r="AA445" s="182">
        <f t="shared" si="166"/>
        <v>0</v>
      </c>
      <c r="AB445" s="182">
        <f t="shared" si="167"/>
        <v>0</v>
      </c>
      <c r="AC445" s="182">
        <f t="shared" si="168"/>
        <v>1</v>
      </c>
      <c r="AD445" s="182">
        <f t="shared" si="169"/>
        <v>0</v>
      </c>
      <c r="AE445" s="182">
        <f t="shared" si="170"/>
        <v>1</v>
      </c>
      <c r="AF445" s="182">
        <f t="shared" si="171"/>
        <v>0</v>
      </c>
      <c r="AG445" s="182">
        <f t="shared" si="172"/>
        <v>0</v>
      </c>
      <c r="AH445" s="182">
        <f t="shared" si="173"/>
        <v>0</v>
      </c>
      <c r="AI445" s="182">
        <f t="shared" si="174"/>
        <v>0</v>
      </c>
      <c r="AJ445" s="182">
        <f t="shared" si="175"/>
        <v>0</v>
      </c>
      <c r="AK445" s="182">
        <f t="shared" si="176"/>
        <v>0</v>
      </c>
      <c r="AL445" s="182">
        <f t="shared" si="177"/>
        <v>0</v>
      </c>
      <c r="AM445" s="182">
        <f t="shared" si="178"/>
        <v>0</v>
      </c>
      <c r="AN445" s="182">
        <f t="shared" si="179"/>
        <v>1</v>
      </c>
      <c r="AO445" s="182">
        <f t="shared" si="180"/>
        <v>0</v>
      </c>
      <c r="AP445" s="110"/>
      <c r="AQ445" s="110"/>
      <c r="AR445" s="182">
        <f t="shared" si="181"/>
        <v>3</v>
      </c>
      <c r="AS445" s="182">
        <f t="shared" si="182"/>
        <v>3</v>
      </c>
      <c r="AT445" s="182" t="str">
        <f t="shared" si="183"/>
        <v>Correct</v>
      </c>
      <c r="AU445" s="142"/>
      <c r="AV445" s="120" t="str">
        <f>IFERROR(VLOOKUP(Table1[RespondentID],'All Data'!$A$3:$CO$999,87,FALSE),"unknown")</f>
        <v>Woman</v>
      </c>
      <c r="AW445" s="120">
        <f>IFERROR(VLOOKUP(Table1[RespondentID],'All Data'!$A$3:$CO$999,88,FALSE),"unknown")</f>
        <v>66</v>
      </c>
      <c r="AX445" s="120" t="str">
        <f>IFERROR(VLOOKUP(Table1[RespondentID],'All Data'!$A$3:$CO$999,89,FALSE),"unknown")</f>
        <v>Suffolk</v>
      </c>
      <c r="AY445" s="120" t="str">
        <f>IFERROR(VLOOKUP(Table1[RespondentID],'All Data'!$A$3:$CO$999,90,FALSE),"unknown")</f>
        <v>Babylon, 11702</v>
      </c>
      <c r="AZ445" s="120" t="str">
        <f>IFERROR(VLOOKUP(Table1[RespondentID],'All Data'!$A$3:$CO$999,91,FALSE),"unknown")</f>
        <v>White</v>
      </c>
      <c r="BA445" s="120" t="str">
        <f>IFERROR(VLOOKUP(Table1[RespondentID],'All Data'!$A$3:$CO$999,92,FALSE),"unknown")</f>
        <v>Not Hispanic or Latino</v>
      </c>
      <c r="BB445" s="120" t="str">
        <f>IFERROR(VLOOKUP(Table1[RespondentID],'All Data'!$A$3:$CO$999,93,FALSE),"unknown")</f>
        <v>English</v>
      </c>
      <c r="BC445" s="120" t="str">
        <f>IFERROR(VLOOKUP(Table1[RespondentID],'All Data'!$A$3:$CW$999,94,FALSE),"unknown")</f>
        <v>Over $125,000</v>
      </c>
      <c r="BD445" s="120" t="str">
        <f>IFERROR(VLOOKUP(Table1[RespondentID],'All Data'!$A$3:$CW$999,95,FALSE),"unknown")</f>
        <v>College graduate</v>
      </c>
      <c r="BE445" s="120" t="str">
        <f>IFERROR(VLOOKUP(Table1[RespondentID],'All Data'!$A$3:$CW$999,96,FALSE),"unknown")</f>
        <v>Retired</v>
      </c>
      <c r="BF445" s="120" t="str">
        <f>IFERROR(VLOOKUP(Table1[RespondentID],'All Data'!$A$3:$CW$999,97,FALSE),"unknown")</f>
        <v>Yes</v>
      </c>
      <c r="BG445" s="120" t="str">
        <f>IFERROR(VLOOKUP(Table1[RespondentID],'All Data'!$A$3:$CW$999,98,FALSE),"unknown")</f>
        <v>Medicare</v>
      </c>
      <c r="BH445" s="120" t="str">
        <f>IFERROR(VLOOKUP(Table1[RespondentID],'All Data'!$A$3:$CW$999,99,FALSE),"unknown")</f>
        <v>Yes</v>
      </c>
    </row>
    <row r="446" spans="1:60">
      <c r="A446" s="141">
        <v>114112120887</v>
      </c>
      <c r="B446" s="180"/>
      <c r="C446" s="181"/>
      <c r="D446" s="181"/>
      <c r="E446" s="181"/>
      <c r="F446" s="181" t="s">
        <v>52</v>
      </c>
      <c r="G446" s="181" t="s">
        <v>53</v>
      </c>
      <c r="H446" s="181"/>
      <c r="I446" s="181" t="s">
        <v>55</v>
      </c>
      <c r="J446" s="181"/>
      <c r="K446" s="181"/>
      <c r="L446" s="181"/>
      <c r="M446" s="181"/>
      <c r="N446" s="181"/>
      <c r="O446" s="181"/>
      <c r="P446" s="181"/>
      <c r="Q446" s="181" t="s">
        <v>61</v>
      </c>
      <c r="R446" s="181" t="s">
        <v>62</v>
      </c>
      <c r="S446" s="181"/>
      <c r="T446" s="184"/>
      <c r="U446" s="182">
        <f t="shared" si="161"/>
        <v>5</v>
      </c>
      <c r="V446" s="182">
        <f t="shared" si="162"/>
        <v>0.6</v>
      </c>
      <c r="W446" s="110"/>
      <c r="X446" s="182">
        <f t="shared" si="163"/>
        <v>0</v>
      </c>
      <c r="Y446" s="182">
        <f t="shared" si="164"/>
        <v>0</v>
      </c>
      <c r="Z446" s="182">
        <f t="shared" si="165"/>
        <v>0</v>
      </c>
      <c r="AA446" s="182">
        <f t="shared" si="166"/>
        <v>0</v>
      </c>
      <c r="AB446" s="182">
        <f t="shared" si="167"/>
        <v>0.6</v>
      </c>
      <c r="AC446" s="182">
        <f t="shared" si="168"/>
        <v>0.6</v>
      </c>
      <c r="AD446" s="182">
        <f t="shared" si="169"/>
        <v>0</v>
      </c>
      <c r="AE446" s="182">
        <f t="shared" si="170"/>
        <v>0.6</v>
      </c>
      <c r="AF446" s="182">
        <f t="shared" si="171"/>
        <v>0</v>
      </c>
      <c r="AG446" s="182">
        <f t="shared" si="172"/>
        <v>0</v>
      </c>
      <c r="AH446" s="182">
        <f t="shared" si="173"/>
        <v>0</v>
      </c>
      <c r="AI446" s="182">
        <f t="shared" si="174"/>
        <v>0</v>
      </c>
      <c r="AJ446" s="182">
        <f t="shared" si="175"/>
        <v>0</v>
      </c>
      <c r="AK446" s="182">
        <f t="shared" si="176"/>
        <v>0</v>
      </c>
      <c r="AL446" s="182">
        <f t="shared" si="177"/>
        <v>0</v>
      </c>
      <c r="AM446" s="182">
        <f t="shared" si="178"/>
        <v>0.6</v>
      </c>
      <c r="AN446" s="182">
        <f t="shared" si="179"/>
        <v>0.6</v>
      </c>
      <c r="AO446" s="182">
        <f t="shared" si="180"/>
        <v>0</v>
      </c>
      <c r="AP446" s="110"/>
      <c r="AQ446" s="110"/>
      <c r="AR446" s="182">
        <f t="shared" si="181"/>
        <v>3</v>
      </c>
      <c r="AS446" s="182">
        <f t="shared" si="182"/>
        <v>5</v>
      </c>
      <c r="AT446" s="182" t="str">
        <f t="shared" si="183"/>
        <v>Correct</v>
      </c>
      <c r="AU446" s="142"/>
      <c r="AV446" s="120" t="str">
        <f>IFERROR(VLOOKUP(Table1[RespondentID],'All Data'!$A$3:$CO$999,87,FALSE),"unknown")</f>
        <v>Woman</v>
      </c>
      <c r="AW446" s="120">
        <f>IFERROR(VLOOKUP(Table1[RespondentID],'All Data'!$A$3:$CO$999,88,FALSE),"unknown")</f>
        <v>63</v>
      </c>
      <c r="AX446" s="120" t="str">
        <f>IFERROR(VLOOKUP(Table1[RespondentID],'All Data'!$A$3:$CO$999,89,FALSE),"unknown")</f>
        <v>Suffolk</v>
      </c>
      <c r="AY446" s="120" t="str">
        <f>IFERROR(VLOOKUP(Table1[RespondentID],'All Data'!$A$3:$CO$999,90,FALSE),"unknown")</f>
        <v>Patchogue, 11772</v>
      </c>
      <c r="AZ446" s="120" t="str">
        <f>IFERROR(VLOOKUP(Table1[RespondentID],'All Data'!$A$3:$CO$999,91,FALSE),"unknown")</f>
        <v>White</v>
      </c>
      <c r="BA446" s="120" t="str">
        <f>IFERROR(VLOOKUP(Table1[RespondentID],'All Data'!$A$3:$CO$999,92,FALSE),"unknown")</f>
        <v>Not Hispanic or Latino</v>
      </c>
      <c r="BB446" s="120" t="str">
        <f>IFERROR(VLOOKUP(Table1[RespondentID],'All Data'!$A$3:$CO$999,93,FALSE),"unknown")</f>
        <v>English</v>
      </c>
      <c r="BC446" s="120" t="str">
        <f>IFERROR(VLOOKUP(Table1[RespondentID],'All Data'!$A$3:$CW$999,94,FALSE),"unknown")</f>
        <v>$50,000 to $74,999</v>
      </c>
      <c r="BD446" s="120" t="str">
        <f>IFERROR(VLOOKUP(Table1[RespondentID],'All Data'!$A$3:$CW$999,95,FALSE),"unknown")</f>
        <v>Technical school</v>
      </c>
      <c r="BE446" s="120" t="str">
        <f>IFERROR(VLOOKUP(Table1[RespondentID],'All Data'!$A$3:$CW$999,96,FALSE),"unknown")</f>
        <v>Employed for wages</v>
      </c>
      <c r="BF446" s="120" t="str">
        <f>IFERROR(VLOOKUP(Table1[RespondentID],'All Data'!$A$3:$CW$999,97,FALSE),"unknown")</f>
        <v>Yes</v>
      </c>
      <c r="BG446" s="120" t="str">
        <f>IFERROR(VLOOKUP(Table1[RespondentID],'All Data'!$A$3:$CW$999,98,FALSE),"unknown")</f>
        <v>Private/Commercial</v>
      </c>
      <c r="BH446" s="120" t="str">
        <f>IFERROR(VLOOKUP(Table1[RespondentID],'All Data'!$A$3:$CW$999,99,FALSE),"unknown")</f>
        <v>Yes</v>
      </c>
    </row>
    <row r="447" spans="1:60">
      <c r="A447" s="141">
        <v>114112097119</v>
      </c>
      <c r="B447" s="180"/>
      <c r="C447" s="181"/>
      <c r="D447" s="181" t="s">
        <v>51</v>
      </c>
      <c r="E447" s="181"/>
      <c r="F447" s="181"/>
      <c r="G447" s="181"/>
      <c r="H447" s="181"/>
      <c r="I447" s="181"/>
      <c r="J447" s="181"/>
      <c r="K447" s="181"/>
      <c r="L447" s="181"/>
      <c r="M447" s="181" t="s">
        <v>59</v>
      </c>
      <c r="N447" s="181"/>
      <c r="O447" s="181"/>
      <c r="P447" s="181"/>
      <c r="Q447" s="181" t="s">
        <v>61</v>
      </c>
      <c r="R447" s="181"/>
      <c r="S447" s="181"/>
      <c r="T447" s="184"/>
      <c r="U447" s="182">
        <f t="shared" si="161"/>
        <v>3</v>
      </c>
      <c r="V447" s="182">
        <f t="shared" si="162"/>
        <v>1</v>
      </c>
      <c r="W447" s="110"/>
      <c r="X447" s="182">
        <f t="shared" si="163"/>
        <v>0</v>
      </c>
      <c r="Y447" s="182">
        <f t="shared" si="164"/>
        <v>0</v>
      </c>
      <c r="Z447" s="182">
        <f t="shared" si="165"/>
        <v>1</v>
      </c>
      <c r="AA447" s="182">
        <f t="shared" si="166"/>
        <v>0</v>
      </c>
      <c r="AB447" s="182">
        <f t="shared" si="167"/>
        <v>0</v>
      </c>
      <c r="AC447" s="182">
        <f t="shared" si="168"/>
        <v>0</v>
      </c>
      <c r="AD447" s="182">
        <f t="shared" si="169"/>
        <v>0</v>
      </c>
      <c r="AE447" s="182">
        <f t="shared" si="170"/>
        <v>0</v>
      </c>
      <c r="AF447" s="182">
        <f t="shared" si="171"/>
        <v>0</v>
      </c>
      <c r="AG447" s="182">
        <f t="shared" si="172"/>
        <v>0</v>
      </c>
      <c r="AH447" s="182">
        <f t="shared" si="173"/>
        <v>0</v>
      </c>
      <c r="AI447" s="182">
        <f t="shared" si="174"/>
        <v>1</v>
      </c>
      <c r="AJ447" s="182">
        <f t="shared" si="175"/>
        <v>0</v>
      </c>
      <c r="AK447" s="182">
        <f t="shared" si="176"/>
        <v>0</v>
      </c>
      <c r="AL447" s="182">
        <f t="shared" si="177"/>
        <v>0</v>
      </c>
      <c r="AM447" s="182">
        <f t="shared" si="178"/>
        <v>1</v>
      </c>
      <c r="AN447" s="182">
        <f t="shared" si="179"/>
        <v>0</v>
      </c>
      <c r="AO447" s="182">
        <f t="shared" si="180"/>
        <v>0</v>
      </c>
      <c r="AP447" s="110"/>
      <c r="AQ447" s="110"/>
      <c r="AR447" s="182">
        <f t="shared" si="181"/>
        <v>3</v>
      </c>
      <c r="AS447" s="182">
        <f t="shared" si="182"/>
        <v>3</v>
      </c>
      <c r="AT447" s="182" t="str">
        <f t="shared" si="183"/>
        <v>Correct</v>
      </c>
      <c r="AU447" s="142"/>
      <c r="AV447" s="120" t="str">
        <f>IFERROR(VLOOKUP(Table1[RespondentID],'All Data'!$A$3:$CO$999,87,FALSE),"unknown")</f>
        <v>Woman</v>
      </c>
      <c r="AW447" s="120">
        <f>IFERROR(VLOOKUP(Table1[RespondentID],'All Data'!$A$3:$CO$999,88,FALSE),"unknown")</f>
        <v>66</v>
      </c>
      <c r="AX447" s="120" t="str">
        <f>IFERROR(VLOOKUP(Table1[RespondentID],'All Data'!$A$3:$CO$999,89,FALSE),"unknown")</f>
        <v>Suffolk</v>
      </c>
      <c r="AY447" s="120" t="str">
        <f>IFERROR(VLOOKUP(Table1[RespondentID],'All Data'!$A$3:$CO$999,90,FALSE),"unknown")</f>
        <v>West Islip, 11795</v>
      </c>
      <c r="AZ447" s="120" t="str">
        <f>IFERROR(VLOOKUP(Table1[RespondentID],'All Data'!$A$3:$CO$999,91,FALSE),"unknown")</f>
        <v>White</v>
      </c>
      <c r="BA447" s="120" t="str">
        <f>IFERROR(VLOOKUP(Table1[RespondentID],'All Data'!$A$3:$CO$999,92,FALSE),"unknown")</f>
        <v>Not Hispanic or Latino</v>
      </c>
      <c r="BB447" s="120" t="str">
        <f>IFERROR(VLOOKUP(Table1[RespondentID],'All Data'!$A$3:$CO$999,93,FALSE),"unknown")</f>
        <v>English</v>
      </c>
      <c r="BC447" s="120" t="str">
        <f>IFERROR(VLOOKUP(Table1[RespondentID],'All Data'!$A$3:$CW$999,94,FALSE),"unknown")</f>
        <v>$35,000 to $49,999</v>
      </c>
      <c r="BD447" s="120" t="str">
        <f>IFERROR(VLOOKUP(Table1[RespondentID],'All Data'!$A$3:$CW$999,95,FALSE),"unknown")</f>
        <v>High school graduate</v>
      </c>
      <c r="BE447" s="120" t="str">
        <f>IFERROR(VLOOKUP(Table1[RespondentID],'All Data'!$A$3:$CW$999,96,FALSE),"unknown")</f>
        <v>Retired</v>
      </c>
      <c r="BF447" s="120" t="str">
        <f>IFERROR(VLOOKUP(Table1[RespondentID],'All Data'!$A$3:$CW$999,97,FALSE),"unknown")</f>
        <v>Yes</v>
      </c>
      <c r="BG447" s="120" t="str">
        <f>IFERROR(VLOOKUP(Table1[RespondentID],'All Data'!$A$3:$CW$999,98,FALSE),"unknown")</f>
        <v>Private/Commercial</v>
      </c>
      <c r="BH447" s="120" t="str">
        <f>IFERROR(VLOOKUP(Table1[RespondentID],'All Data'!$A$3:$CW$999,99,FALSE),"unknown")</f>
        <v>Yes</v>
      </c>
    </row>
    <row r="448" spans="1:60">
      <c r="A448" s="141">
        <v>114112093865</v>
      </c>
      <c r="B448" s="180"/>
      <c r="C448" s="181" t="s">
        <v>50</v>
      </c>
      <c r="D448" s="181" t="s">
        <v>51</v>
      </c>
      <c r="E448" s="181"/>
      <c r="F448" s="181"/>
      <c r="G448" s="181"/>
      <c r="H448" s="181"/>
      <c r="I448" s="181"/>
      <c r="J448" s="181"/>
      <c r="K448" s="181"/>
      <c r="L448" s="181"/>
      <c r="M448" s="181"/>
      <c r="N448" s="181"/>
      <c r="O448" s="181"/>
      <c r="P448" s="181"/>
      <c r="Q448" s="181"/>
      <c r="R448" s="181"/>
      <c r="S448" s="181" t="s">
        <v>63</v>
      </c>
      <c r="T448" s="184"/>
      <c r="U448" s="182">
        <f t="shared" si="161"/>
        <v>3</v>
      </c>
      <c r="V448" s="182">
        <f t="shared" si="162"/>
        <v>1</v>
      </c>
      <c r="W448" s="110"/>
      <c r="X448" s="182">
        <f t="shared" si="163"/>
        <v>0</v>
      </c>
      <c r="Y448" s="182">
        <f t="shared" si="164"/>
        <v>1</v>
      </c>
      <c r="Z448" s="182">
        <f t="shared" si="165"/>
        <v>1</v>
      </c>
      <c r="AA448" s="182">
        <f t="shared" si="166"/>
        <v>0</v>
      </c>
      <c r="AB448" s="182">
        <f t="shared" si="167"/>
        <v>0</v>
      </c>
      <c r="AC448" s="182">
        <f t="shared" si="168"/>
        <v>0</v>
      </c>
      <c r="AD448" s="182">
        <f t="shared" si="169"/>
        <v>0</v>
      </c>
      <c r="AE448" s="182">
        <f t="shared" si="170"/>
        <v>0</v>
      </c>
      <c r="AF448" s="182">
        <f t="shared" si="171"/>
        <v>0</v>
      </c>
      <c r="AG448" s="182">
        <f t="shared" si="172"/>
        <v>0</v>
      </c>
      <c r="AH448" s="182">
        <f t="shared" si="173"/>
        <v>0</v>
      </c>
      <c r="AI448" s="182">
        <f t="shared" si="174"/>
        <v>0</v>
      </c>
      <c r="AJ448" s="182">
        <f t="shared" si="175"/>
        <v>0</v>
      </c>
      <c r="AK448" s="182">
        <f t="shared" si="176"/>
        <v>0</v>
      </c>
      <c r="AL448" s="182">
        <f t="shared" si="177"/>
        <v>0</v>
      </c>
      <c r="AM448" s="182">
        <f t="shared" si="178"/>
        <v>0</v>
      </c>
      <c r="AN448" s="182">
        <f t="shared" si="179"/>
        <v>0</v>
      </c>
      <c r="AO448" s="182">
        <f t="shared" si="180"/>
        <v>1</v>
      </c>
      <c r="AP448" s="110"/>
      <c r="AQ448" s="110"/>
      <c r="AR448" s="182">
        <f t="shared" si="181"/>
        <v>3</v>
      </c>
      <c r="AS448" s="182">
        <f t="shared" si="182"/>
        <v>3</v>
      </c>
      <c r="AT448" s="182" t="str">
        <f t="shared" si="183"/>
        <v>Correct</v>
      </c>
      <c r="AU448" s="142"/>
      <c r="AV448" s="120" t="str">
        <f>IFERROR(VLOOKUP(Table1[RespondentID],'All Data'!$A$3:$CO$999,87,FALSE),"unknown")</f>
        <v>Woman</v>
      </c>
      <c r="AW448" s="120">
        <f>IFERROR(VLOOKUP(Table1[RespondentID],'All Data'!$A$3:$CO$999,88,FALSE),"unknown")</f>
        <v>63</v>
      </c>
      <c r="AX448" s="120" t="str">
        <f>IFERROR(VLOOKUP(Table1[RespondentID],'All Data'!$A$3:$CO$999,89,FALSE),"unknown")</f>
        <v>Suffolk</v>
      </c>
      <c r="AY448" s="120" t="str">
        <f>IFERROR(VLOOKUP(Table1[RespondentID],'All Data'!$A$3:$CO$999,90,FALSE),"unknown")</f>
        <v>Lindenhurst, 11757</v>
      </c>
      <c r="AZ448" s="120" t="str">
        <f>IFERROR(VLOOKUP(Table1[RespondentID],'All Data'!$A$3:$CO$999,91,FALSE),"unknown")</f>
        <v>White</v>
      </c>
      <c r="BA448" s="120" t="str">
        <f>IFERROR(VLOOKUP(Table1[RespondentID],'All Data'!$A$3:$CO$999,92,FALSE),"unknown")</f>
        <v>Not Hispanic or Latino</v>
      </c>
      <c r="BB448" s="120" t="str">
        <f>IFERROR(VLOOKUP(Table1[RespondentID],'All Data'!$A$3:$CO$999,93,FALSE),"unknown")</f>
        <v>English</v>
      </c>
      <c r="BC448" s="120" t="str">
        <f>IFERROR(VLOOKUP(Table1[RespondentID],'All Data'!$A$3:$CW$999,94,FALSE),"unknown")</f>
        <v>$50,000 to $74,999</v>
      </c>
      <c r="BD448" s="120" t="str">
        <f>IFERROR(VLOOKUP(Table1[RespondentID],'All Data'!$A$3:$CW$999,95,FALSE),"unknown")</f>
        <v>Some college</v>
      </c>
      <c r="BE448" s="120" t="str">
        <f>IFERROR(VLOOKUP(Table1[RespondentID],'All Data'!$A$3:$CW$999,96,FALSE),"unknown")</f>
        <v>Employed for wages</v>
      </c>
      <c r="BF448" s="120" t="str">
        <f>IFERROR(VLOOKUP(Table1[RespondentID],'All Data'!$A$3:$CW$999,97,FALSE),"unknown")</f>
        <v>No, but I did in the past</v>
      </c>
      <c r="BG448" s="120" t="str">
        <f>IFERROR(VLOOKUP(Table1[RespondentID],'All Data'!$A$3:$CW$999,98,FALSE),"unknown")</f>
        <v>No Insurance</v>
      </c>
      <c r="BH448" s="120" t="str">
        <f>IFERROR(VLOOKUP(Table1[RespondentID],'All Data'!$A$3:$CW$999,99,FALSE),"unknown")</f>
        <v>Yes</v>
      </c>
    </row>
    <row r="449" spans="1:60">
      <c r="A449" s="141">
        <v>114108705734</v>
      </c>
      <c r="B449" s="180" t="s">
        <v>49</v>
      </c>
      <c r="C449" s="181"/>
      <c r="D449" s="181" t="s">
        <v>51</v>
      </c>
      <c r="E449" s="181"/>
      <c r="F449" s="181"/>
      <c r="G449" s="181"/>
      <c r="H449" s="181"/>
      <c r="I449" s="181" t="s">
        <v>55</v>
      </c>
      <c r="J449" s="181"/>
      <c r="K449" s="181" t="s">
        <v>57</v>
      </c>
      <c r="L449" s="181" t="s">
        <v>58</v>
      </c>
      <c r="M449" s="181"/>
      <c r="N449" s="181" t="s">
        <v>24</v>
      </c>
      <c r="O449" s="181"/>
      <c r="P449" s="181"/>
      <c r="Q449" s="181"/>
      <c r="R449" s="181"/>
      <c r="S449" s="181" t="s">
        <v>63</v>
      </c>
      <c r="T449" s="184"/>
      <c r="U449" s="182">
        <f t="shared" si="161"/>
        <v>7</v>
      </c>
      <c r="V449" s="182">
        <f t="shared" si="162"/>
        <v>0.42857142857142855</v>
      </c>
      <c r="W449" s="110"/>
      <c r="X449" s="182">
        <f t="shared" si="163"/>
        <v>0.42857142857142855</v>
      </c>
      <c r="Y449" s="182">
        <f t="shared" si="164"/>
        <v>0</v>
      </c>
      <c r="Z449" s="182">
        <f t="shared" si="165"/>
        <v>0.42857142857142855</v>
      </c>
      <c r="AA449" s="182">
        <f t="shared" si="166"/>
        <v>0</v>
      </c>
      <c r="AB449" s="182">
        <f t="shared" si="167"/>
        <v>0</v>
      </c>
      <c r="AC449" s="182">
        <f t="shared" si="168"/>
        <v>0</v>
      </c>
      <c r="AD449" s="182">
        <f t="shared" si="169"/>
        <v>0</v>
      </c>
      <c r="AE449" s="182">
        <f t="shared" si="170"/>
        <v>0.42857142857142855</v>
      </c>
      <c r="AF449" s="182">
        <f t="shared" si="171"/>
        <v>0</v>
      </c>
      <c r="AG449" s="182">
        <f t="shared" si="172"/>
        <v>0.42857142857142855</v>
      </c>
      <c r="AH449" s="182">
        <f t="shared" si="173"/>
        <v>0.42857142857142855</v>
      </c>
      <c r="AI449" s="182">
        <f t="shared" si="174"/>
        <v>0</v>
      </c>
      <c r="AJ449" s="182">
        <f t="shared" si="175"/>
        <v>0.42857142857142855</v>
      </c>
      <c r="AK449" s="182">
        <f t="shared" si="176"/>
        <v>0</v>
      </c>
      <c r="AL449" s="182">
        <f t="shared" si="177"/>
        <v>0</v>
      </c>
      <c r="AM449" s="182">
        <f t="shared" si="178"/>
        <v>0</v>
      </c>
      <c r="AN449" s="182">
        <f t="shared" si="179"/>
        <v>0</v>
      </c>
      <c r="AO449" s="182">
        <f t="shared" si="180"/>
        <v>0.42857142857142855</v>
      </c>
      <c r="AP449" s="110"/>
      <c r="AQ449" s="110"/>
      <c r="AR449" s="182">
        <f t="shared" si="181"/>
        <v>2.9999999999999996</v>
      </c>
      <c r="AS449" s="182">
        <f t="shared" si="182"/>
        <v>7</v>
      </c>
      <c r="AT449" s="182" t="str">
        <f t="shared" si="183"/>
        <v>Correct</v>
      </c>
      <c r="AU449" s="142"/>
      <c r="AV449" s="120">
        <f>IFERROR(VLOOKUP(Table1[RespondentID],'All Data'!$A$3:$CO$999,87,FALSE),"unknown")</f>
        <v>0</v>
      </c>
      <c r="AW449" s="120">
        <f>IFERROR(VLOOKUP(Table1[RespondentID],'All Data'!$A$3:$CO$999,88,FALSE),"unknown")</f>
        <v>0</v>
      </c>
      <c r="AX449" s="120">
        <f>IFERROR(VLOOKUP(Table1[RespondentID],'All Data'!$A$3:$CO$999,89,FALSE),"unknown")</f>
        <v>0</v>
      </c>
      <c r="AY449" s="120">
        <f>IFERROR(VLOOKUP(Table1[RespondentID],'All Data'!$A$3:$CO$999,90,FALSE),"unknown")</f>
        <v>0</v>
      </c>
      <c r="AZ449" s="120">
        <f>IFERROR(VLOOKUP(Table1[RespondentID],'All Data'!$A$3:$CO$999,91,FALSE),"unknown")</f>
        <v>0</v>
      </c>
      <c r="BA449" s="120">
        <f>IFERROR(VLOOKUP(Table1[RespondentID],'All Data'!$A$3:$CO$999,92,FALSE),"unknown")</f>
        <v>0</v>
      </c>
      <c r="BB449" s="120">
        <f>IFERROR(VLOOKUP(Table1[RespondentID],'All Data'!$A$3:$CO$999,93,FALSE),"unknown")</f>
        <v>0</v>
      </c>
      <c r="BC449" s="120">
        <f>IFERROR(VLOOKUP(Table1[RespondentID],'All Data'!$A$3:$CW$999,94,FALSE),"unknown")</f>
        <v>0</v>
      </c>
      <c r="BD449" s="120">
        <f>IFERROR(VLOOKUP(Table1[RespondentID],'All Data'!$A$3:$CW$999,95,FALSE),"unknown")</f>
        <v>0</v>
      </c>
      <c r="BE449" s="120">
        <f>IFERROR(VLOOKUP(Table1[RespondentID],'All Data'!$A$3:$CW$999,96,FALSE),"unknown")</f>
        <v>0</v>
      </c>
      <c r="BF449" s="120">
        <f>IFERROR(VLOOKUP(Table1[RespondentID],'All Data'!$A$3:$CW$999,97,FALSE),"unknown")</f>
        <v>0</v>
      </c>
      <c r="BG449" s="120">
        <f>IFERROR(VLOOKUP(Table1[RespondentID],'All Data'!$A$3:$CW$999,98,FALSE),"unknown")</f>
        <v>0</v>
      </c>
      <c r="BH449" s="120">
        <f>IFERROR(VLOOKUP(Table1[RespondentID],'All Data'!$A$3:$CW$999,99,FALSE),"unknown")</f>
        <v>0</v>
      </c>
    </row>
    <row r="450" spans="1:60">
      <c r="A450" s="141">
        <v>18032059967</v>
      </c>
      <c r="B450" s="180"/>
      <c r="C450" s="181"/>
      <c r="D450" s="181"/>
      <c r="E450" s="181"/>
      <c r="F450" s="181"/>
      <c r="G450" s="181" t="s">
        <v>53</v>
      </c>
      <c r="H450" s="181"/>
      <c r="I450" s="181"/>
      <c r="J450" s="181"/>
      <c r="K450" s="181"/>
      <c r="L450" s="181"/>
      <c r="M450" s="181"/>
      <c r="N450" s="181" t="s">
        <v>24</v>
      </c>
      <c r="O450" s="181"/>
      <c r="P450" s="181" t="s">
        <v>60</v>
      </c>
      <c r="Q450" s="181"/>
      <c r="R450" s="181"/>
      <c r="S450" s="181" t="s">
        <v>63</v>
      </c>
      <c r="T450" s="184" t="s">
        <v>489</v>
      </c>
      <c r="U450" s="182">
        <f t="shared" si="161"/>
        <v>5</v>
      </c>
      <c r="V450" s="182">
        <f t="shared" si="162"/>
        <v>0.6</v>
      </c>
      <c r="W450" s="110"/>
      <c r="X450" s="182">
        <f t="shared" si="163"/>
        <v>0</v>
      </c>
      <c r="Y450" s="182">
        <f t="shared" si="164"/>
        <v>0</v>
      </c>
      <c r="Z450" s="182">
        <f t="shared" si="165"/>
        <v>0</v>
      </c>
      <c r="AA450" s="182">
        <f t="shared" si="166"/>
        <v>0</v>
      </c>
      <c r="AB450" s="182">
        <f t="shared" si="167"/>
        <v>0</v>
      </c>
      <c r="AC450" s="182">
        <f t="shared" si="168"/>
        <v>0.6</v>
      </c>
      <c r="AD450" s="182">
        <f t="shared" si="169"/>
        <v>0</v>
      </c>
      <c r="AE450" s="182">
        <f t="shared" si="170"/>
        <v>0</v>
      </c>
      <c r="AF450" s="182">
        <f t="shared" si="171"/>
        <v>0</v>
      </c>
      <c r="AG450" s="182">
        <f t="shared" si="172"/>
        <v>0</v>
      </c>
      <c r="AH450" s="182">
        <f t="shared" si="173"/>
        <v>0</v>
      </c>
      <c r="AI450" s="182">
        <f t="shared" si="174"/>
        <v>0</v>
      </c>
      <c r="AJ450" s="182">
        <f t="shared" si="175"/>
        <v>0.6</v>
      </c>
      <c r="AK450" s="182">
        <f t="shared" si="176"/>
        <v>0</v>
      </c>
      <c r="AL450" s="182">
        <f t="shared" si="177"/>
        <v>0.6</v>
      </c>
      <c r="AM450" s="182">
        <f t="shared" si="178"/>
        <v>0</v>
      </c>
      <c r="AN450" s="182">
        <f t="shared" si="179"/>
        <v>0</v>
      </c>
      <c r="AO450" s="182">
        <f t="shared" si="180"/>
        <v>0.6</v>
      </c>
      <c r="AP450" s="110"/>
      <c r="AQ450" s="110"/>
      <c r="AR450" s="182">
        <f t="shared" si="181"/>
        <v>2.4</v>
      </c>
      <c r="AS450" s="182">
        <f t="shared" si="182"/>
        <v>5</v>
      </c>
      <c r="AT450" s="182" t="str">
        <f t="shared" si="183"/>
        <v>Wrong</v>
      </c>
      <c r="AU450" s="142"/>
      <c r="AV450" s="120" t="str">
        <f>IFERROR(VLOOKUP(Table1[RespondentID],'All Data'!$A$3:$CO$999,87,FALSE),"unknown")</f>
        <v>Man</v>
      </c>
      <c r="AW450" s="120">
        <f>IFERROR(VLOOKUP(Table1[RespondentID],'All Data'!$A$3:$CO$999,88,FALSE),"unknown")</f>
        <v>67</v>
      </c>
      <c r="AX450" s="120" t="str">
        <f>IFERROR(VLOOKUP(Table1[RespondentID],'All Data'!$A$3:$CO$999,89,FALSE),"unknown")</f>
        <v>Nassau</v>
      </c>
      <c r="AY450" s="120" t="str">
        <f>IFERROR(VLOOKUP(Table1[RespondentID],'All Data'!$A$3:$CO$999,90,FALSE),"unknown")</f>
        <v>Hicksville, 11801</v>
      </c>
      <c r="AZ450" s="120" t="str">
        <f>IFERROR(VLOOKUP(Table1[RespondentID],'All Data'!$A$3:$CO$999,91,FALSE),"unknown")</f>
        <v>White</v>
      </c>
      <c r="BA450" s="120" t="str">
        <f>IFERROR(VLOOKUP(Table1[RespondentID],'All Data'!$A$3:$CO$999,92,FALSE),"unknown")</f>
        <v>Not Hispanic or Latino</v>
      </c>
      <c r="BB450" s="120" t="str">
        <f>IFERROR(VLOOKUP(Table1[RespondentID],'All Data'!$A$3:$CO$999,93,FALSE),"unknown")</f>
        <v>English</v>
      </c>
      <c r="BC450" s="120" t="str">
        <f>IFERROR(VLOOKUP(Table1[RespondentID],'All Data'!$A$3:$CW$999,94,FALSE),"unknown")</f>
        <v>$75,000 to $125,000</v>
      </c>
      <c r="BD450" s="120" t="str">
        <f>IFERROR(VLOOKUP(Table1[RespondentID],'All Data'!$A$3:$CW$999,95,FALSE),"unknown")</f>
        <v>Some college</v>
      </c>
      <c r="BE450" s="120" t="str">
        <f>IFERROR(VLOOKUP(Table1[RespondentID],'All Data'!$A$3:$CW$999,96,FALSE),"unknown")</f>
        <v>Retired</v>
      </c>
      <c r="BF450" s="120" t="str">
        <f>IFERROR(VLOOKUP(Table1[RespondentID],'All Data'!$A$3:$CW$999,97,FALSE),"unknown")</f>
        <v>Yes</v>
      </c>
      <c r="BG450" s="120" t="str">
        <f>IFERROR(VLOOKUP(Table1[RespondentID],'All Data'!$A$3:$CW$999,98,FALSE),"unknown")</f>
        <v>Medicare</v>
      </c>
      <c r="BH450" s="120" t="str">
        <f>IFERROR(VLOOKUP(Table1[RespondentID],'All Data'!$A$3:$CW$999,99,FALSE),"unknown")</f>
        <v>Yes</v>
      </c>
    </row>
    <row r="451" spans="1:60">
      <c r="A451" s="141">
        <v>18032014754</v>
      </c>
      <c r="B451" s="180"/>
      <c r="C451" s="181"/>
      <c r="D451" s="181" t="s">
        <v>51</v>
      </c>
      <c r="E451" s="181"/>
      <c r="F451" s="181"/>
      <c r="G451" s="181"/>
      <c r="H451" s="181"/>
      <c r="I451" s="181"/>
      <c r="J451" s="181"/>
      <c r="K451" s="181"/>
      <c r="L451" s="181"/>
      <c r="M451" s="181"/>
      <c r="N451" s="181"/>
      <c r="O451" s="181"/>
      <c r="P451" s="181"/>
      <c r="Q451" s="181"/>
      <c r="R451" s="181" t="s">
        <v>62</v>
      </c>
      <c r="S451" s="181" t="s">
        <v>63</v>
      </c>
      <c r="T451" s="184"/>
      <c r="U451" s="182">
        <f t="shared" si="161"/>
        <v>3</v>
      </c>
      <c r="V451" s="182">
        <f t="shared" si="162"/>
        <v>1</v>
      </c>
      <c r="W451" s="110"/>
      <c r="X451" s="182">
        <f t="shared" si="163"/>
        <v>0</v>
      </c>
      <c r="Y451" s="182">
        <f t="shared" si="164"/>
        <v>0</v>
      </c>
      <c r="Z451" s="182">
        <f t="shared" si="165"/>
        <v>1</v>
      </c>
      <c r="AA451" s="182">
        <f t="shared" si="166"/>
        <v>0</v>
      </c>
      <c r="AB451" s="182">
        <f t="shared" si="167"/>
        <v>0</v>
      </c>
      <c r="AC451" s="182">
        <f t="shared" si="168"/>
        <v>0</v>
      </c>
      <c r="AD451" s="182">
        <f t="shared" si="169"/>
        <v>0</v>
      </c>
      <c r="AE451" s="182">
        <f t="shared" si="170"/>
        <v>0</v>
      </c>
      <c r="AF451" s="182">
        <f t="shared" si="171"/>
        <v>0</v>
      </c>
      <c r="AG451" s="182">
        <f t="shared" si="172"/>
        <v>0</v>
      </c>
      <c r="AH451" s="182">
        <f t="shared" si="173"/>
        <v>0</v>
      </c>
      <c r="AI451" s="182">
        <f t="shared" si="174"/>
        <v>0</v>
      </c>
      <c r="AJ451" s="182">
        <f t="shared" si="175"/>
        <v>0</v>
      </c>
      <c r="AK451" s="182">
        <f t="shared" si="176"/>
        <v>0</v>
      </c>
      <c r="AL451" s="182">
        <f t="shared" si="177"/>
        <v>0</v>
      </c>
      <c r="AM451" s="182">
        <f t="shared" si="178"/>
        <v>0</v>
      </c>
      <c r="AN451" s="182">
        <f t="shared" si="179"/>
        <v>1</v>
      </c>
      <c r="AO451" s="182">
        <f t="shared" si="180"/>
        <v>1</v>
      </c>
      <c r="AP451" s="110"/>
      <c r="AQ451" s="110"/>
      <c r="AR451" s="182">
        <f t="shared" si="181"/>
        <v>3</v>
      </c>
      <c r="AS451" s="182">
        <f t="shared" si="182"/>
        <v>3</v>
      </c>
      <c r="AT451" s="182" t="str">
        <f t="shared" si="183"/>
        <v>Correct</v>
      </c>
      <c r="AU451" s="142"/>
      <c r="AV451" s="120" t="str">
        <f>IFERROR(VLOOKUP(Table1[RespondentID],'All Data'!$A$3:$CO$999,87,FALSE),"unknown")</f>
        <v>Woman</v>
      </c>
      <c r="AW451" s="120">
        <f>IFERROR(VLOOKUP(Table1[RespondentID],'All Data'!$A$3:$CO$999,88,FALSE),"unknown")</f>
        <v>16</v>
      </c>
      <c r="AX451" s="120" t="str">
        <f>IFERROR(VLOOKUP(Table1[RespondentID],'All Data'!$A$3:$CO$999,89,FALSE),"unknown")</f>
        <v>Suffolk</v>
      </c>
      <c r="AY451" s="120" t="str">
        <f>IFERROR(VLOOKUP(Table1[RespondentID],'All Data'!$A$3:$CO$999,90,FALSE),"unknown")</f>
        <v>Melville, 11747</v>
      </c>
      <c r="AZ451" s="120" t="str">
        <f>IFERROR(VLOOKUP(Table1[RespondentID],'All Data'!$A$3:$CO$999,91,FALSE),"unknown")</f>
        <v>White</v>
      </c>
      <c r="BA451" s="120" t="str">
        <f>IFERROR(VLOOKUP(Table1[RespondentID],'All Data'!$A$3:$CO$999,92,FALSE),"unknown")</f>
        <v>Not Hispanic or Latino</v>
      </c>
      <c r="BB451" s="120" t="str">
        <f>IFERROR(VLOOKUP(Table1[RespondentID],'All Data'!$A$3:$CO$999,93,FALSE),"unknown")</f>
        <v>English</v>
      </c>
      <c r="BC451" s="120" t="str">
        <f>IFERROR(VLOOKUP(Table1[RespondentID],'All Data'!$A$3:$CW$999,94,FALSE),"unknown")</f>
        <v>$50,000 to $74,999</v>
      </c>
      <c r="BD451" s="120" t="str">
        <f>IFERROR(VLOOKUP(Table1[RespondentID],'All Data'!$A$3:$CW$999,95,FALSE),"unknown")</f>
        <v>Some high school</v>
      </c>
      <c r="BE451" s="120" t="str">
        <f>IFERROR(VLOOKUP(Table1[RespondentID],'All Data'!$A$3:$CW$999,96,FALSE),"unknown")</f>
        <v>Student</v>
      </c>
      <c r="BF451" s="120" t="str">
        <f>IFERROR(VLOOKUP(Table1[RespondentID],'All Data'!$A$3:$CW$999,97,FALSE),"unknown")</f>
        <v>Yes</v>
      </c>
      <c r="BG451" s="120" t="str">
        <f>IFERROR(VLOOKUP(Table1[RespondentID],'All Data'!$A$3:$CW$999,98,FALSE),"unknown")</f>
        <v>Private/Commercial</v>
      </c>
      <c r="BH451" s="120" t="str">
        <f>IFERROR(VLOOKUP(Table1[RespondentID],'All Data'!$A$3:$CW$999,99,FALSE),"unknown")</f>
        <v>Yes</v>
      </c>
    </row>
    <row r="452" spans="1:60">
      <c r="A452" s="141">
        <v>18031752968</v>
      </c>
      <c r="B452" s="180"/>
      <c r="C452" s="181"/>
      <c r="D452" s="181"/>
      <c r="E452" s="181" t="s">
        <v>17</v>
      </c>
      <c r="F452" s="181"/>
      <c r="G452" s="181"/>
      <c r="H452" s="181" t="s">
        <v>54</v>
      </c>
      <c r="I452" s="181"/>
      <c r="J452" s="181"/>
      <c r="K452" s="181"/>
      <c r="L452" s="181"/>
      <c r="M452" s="181"/>
      <c r="N452" s="181" t="s">
        <v>24</v>
      </c>
      <c r="O452" s="181"/>
      <c r="P452" s="181"/>
      <c r="Q452" s="181"/>
      <c r="R452" s="181"/>
      <c r="S452" s="181"/>
      <c r="T452" s="184"/>
      <c r="U452" s="182">
        <f t="shared" si="161"/>
        <v>3</v>
      </c>
      <c r="V452" s="182">
        <f t="shared" si="162"/>
        <v>1</v>
      </c>
      <c r="W452" s="110"/>
      <c r="X452" s="182">
        <f t="shared" si="163"/>
        <v>0</v>
      </c>
      <c r="Y452" s="182">
        <f t="shared" si="164"/>
        <v>0</v>
      </c>
      <c r="Z452" s="182">
        <f t="shared" si="165"/>
        <v>0</v>
      </c>
      <c r="AA452" s="182">
        <f t="shared" si="166"/>
        <v>1</v>
      </c>
      <c r="AB452" s="182">
        <f t="shared" si="167"/>
        <v>0</v>
      </c>
      <c r="AC452" s="182">
        <f t="shared" si="168"/>
        <v>0</v>
      </c>
      <c r="AD452" s="182">
        <f t="shared" si="169"/>
        <v>1</v>
      </c>
      <c r="AE452" s="182">
        <f t="shared" si="170"/>
        <v>0</v>
      </c>
      <c r="AF452" s="182">
        <f t="shared" si="171"/>
        <v>0</v>
      </c>
      <c r="AG452" s="182">
        <f t="shared" si="172"/>
        <v>0</v>
      </c>
      <c r="AH452" s="182">
        <f t="shared" si="173"/>
        <v>0</v>
      </c>
      <c r="AI452" s="182">
        <f t="shared" si="174"/>
        <v>0</v>
      </c>
      <c r="AJ452" s="182">
        <f t="shared" si="175"/>
        <v>1</v>
      </c>
      <c r="AK452" s="182">
        <f t="shared" si="176"/>
        <v>0</v>
      </c>
      <c r="AL452" s="182">
        <f t="shared" si="177"/>
        <v>0</v>
      </c>
      <c r="AM452" s="182">
        <f t="shared" si="178"/>
        <v>0</v>
      </c>
      <c r="AN452" s="182">
        <f t="shared" si="179"/>
        <v>0</v>
      </c>
      <c r="AO452" s="182">
        <f t="shared" si="180"/>
        <v>0</v>
      </c>
      <c r="AP452" s="110"/>
      <c r="AQ452" s="110"/>
      <c r="AR452" s="182">
        <f t="shared" si="181"/>
        <v>3</v>
      </c>
      <c r="AS452" s="182">
        <f t="shared" si="182"/>
        <v>3</v>
      </c>
      <c r="AT452" s="182" t="str">
        <f t="shared" si="183"/>
        <v>Correct</v>
      </c>
      <c r="AU452" s="142"/>
      <c r="AV452" s="120" t="str">
        <f>IFERROR(VLOOKUP(Table1[RespondentID],'All Data'!$A$3:$CO$999,87,FALSE),"unknown")</f>
        <v>Man</v>
      </c>
      <c r="AW452" s="120">
        <f>IFERROR(VLOOKUP(Table1[RespondentID],'All Data'!$A$3:$CO$999,88,FALSE),"unknown")</f>
        <v>0</v>
      </c>
      <c r="AX452" s="120" t="str">
        <f>IFERROR(VLOOKUP(Table1[RespondentID],'All Data'!$A$3:$CO$999,89,FALSE),"unknown")</f>
        <v>Nassau</v>
      </c>
      <c r="AY452" s="120" t="str">
        <f>IFERROR(VLOOKUP(Table1[RespondentID],'All Data'!$A$3:$CO$999,90,FALSE),"unknown")</f>
        <v>Farmingdale, 11735</v>
      </c>
      <c r="AZ452" s="120" t="str">
        <f>IFERROR(VLOOKUP(Table1[RespondentID],'All Data'!$A$3:$CO$999,91,FALSE),"unknown")</f>
        <v>White</v>
      </c>
      <c r="BA452" s="120" t="str">
        <f>IFERROR(VLOOKUP(Table1[RespondentID],'All Data'!$A$3:$CO$999,92,FALSE),"unknown")</f>
        <v>Not Hispanic or Latino</v>
      </c>
      <c r="BB452" s="120" t="str">
        <f>IFERROR(VLOOKUP(Table1[RespondentID],'All Data'!$A$3:$CO$999,93,FALSE),"unknown")</f>
        <v>English</v>
      </c>
      <c r="BC452" s="120">
        <f>IFERROR(VLOOKUP(Table1[RespondentID],'All Data'!$A$3:$CW$999,94,FALSE),"unknown")</f>
        <v>0</v>
      </c>
      <c r="BD452" s="120" t="str">
        <f>IFERROR(VLOOKUP(Table1[RespondentID],'All Data'!$A$3:$CW$999,95,FALSE),"unknown")</f>
        <v>Graduate school</v>
      </c>
      <c r="BE452" s="120">
        <f>IFERROR(VLOOKUP(Table1[RespondentID],'All Data'!$A$3:$CW$999,96,FALSE),"unknown")</f>
        <v>0</v>
      </c>
      <c r="BF452" s="120">
        <f>IFERROR(VLOOKUP(Table1[RespondentID],'All Data'!$A$3:$CW$999,97,FALSE),"unknown")</f>
        <v>0</v>
      </c>
      <c r="BG452" s="120">
        <f>IFERROR(VLOOKUP(Table1[RespondentID],'All Data'!$A$3:$CW$999,98,FALSE),"unknown")</f>
        <v>0</v>
      </c>
      <c r="BH452" s="120">
        <f>IFERROR(VLOOKUP(Table1[RespondentID],'All Data'!$A$3:$CW$999,99,FALSE),"unknown")</f>
        <v>0</v>
      </c>
    </row>
    <row r="453" spans="1:60">
      <c r="A453" s="141">
        <v>18031752783</v>
      </c>
      <c r="B453" s="180"/>
      <c r="C453" s="181"/>
      <c r="D453" s="181"/>
      <c r="E453" s="181" t="s">
        <v>17</v>
      </c>
      <c r="F453" s="181"/>
      <c r="G453" s="181" t="s">
        <v>53</v>
      </c>
      <c r="H453" s="181"/>
      <c r="I453" s="181"/>
      <c r="J453" s="181"/>
      <c r="K453" s="181"/>
      <c r="L453" s="181" t="s">
        <v>58</v>
      </c>
      <c r="M453" s="181"/>
      <c r="N453" s="181"/>
      <c r="O453" s="181"/>
      <c r="P453" s="181"/>
      <c r="Q453" s="181"/>
      <c r="R453" s="181"/>
      <c r="S453" s="181"/>
      <c r="T453" s="184"/>
      <c r="U453" s="182">
        <f t="shared" si="161"/>
        <v>3</v>
      </c>
      <c r="V453" s="182">
        <f t="shared" si="162"/>
        <v>1</v>
      </c>
      <c r="W453" s="110"/>
      <c r="X453" s="182">
        <f t="shared" si="163"/>
        <v>0</v>
      </c>
      <c r="Y453" s="182">
        <f t="shared" si="164"/>
        <v>0</v>
      </c>
      <c r="Z453" s="182">
        <f t="shared" si="165"/>
        <v>0</v>
      </c>
      <c r="AA453" s="182">
        <f t="shared" si="166"/>
        <v>1</v>
      </c>
      <c r="AB453" s="182">
        <f t="shared" si="167"/>
        <v>0</v>
      </c>
      <c r="AC453" s="182">
        <f t="shared" si="168"/>
        <v>1</v>
      </c>
      <c r="AD453" s="182">
        <f t="shared" si="169"/>
        <v>0</v>
      </c>
      <c r="AE453" s="182">
        <f t="shared" si="170"/>
        <v>0</v>
      </c>
      <c r="AF453" s="182">
        <f t="shared" si="171"/>
        <v>0</v>
      </c>
      <c r="AG453" s="182">
        <f t="shared" si="172"/>
        <v>0</v>
      </c>
      <c r="AH453" s="182">
        <f t="shared" si="173"/>
        <v>1</v>
      </c>
      <c r="AI453" s="182">
        <f t="shared" si="174"/>
        <v>0</v>
      </c>
      <c r="AJ453" s="182">
        <f t="shared" si="175"/>
        <v>0</v>
      </c>
      <c r="AK453" s="182">
        <f t="shared" si="176"/>
        <v>0</v>
      </c>
      <c r="AL453" s="182">
        <f t="shared" si="177"/>
        <v>0</v>
      </c>
      <c r="AM453" s="182">
        <f t="shared" si="178"/>
        <v>0</v>
      </c>
      <c r="AN453" s="182">
        <f t="shared" si="179"/>
        <v>0</v>
      </c>
      <c r="AO453" s="182">
        <f t="shared" si="180"/>
        <v>0</v>
      </c>
      <c r="AP453" s="110"/>
      <c r="AQ453" s="110"/>
      <c r="AR453" s="182">
        <f t="shared" si="181"/>
        <v>3</v>
      </c>
      <c r="AS453" s="182">
        <f t="shared" si="182"/>
        <v>3</v>
      </c>
      <c r="AT453" s="182" t="str">
        <f t="shared" si="183"/>
        <v>Correct</v>
      </c>
      <c r="AU453" s="142"/>
      <c r="AV453" s="120" t="str">
        <f>IFERROR(VLOOKUP(Table1[RespondentID],'All Data'!$A$3:$CO$999,87,FALSE),"unknown")</f>
        <v>Man</v>
      </c>
      <c r="AW453" s="120">
        <f>IFERROR(VLOOKUP(Table1[RespondentID],'All Data'!$A$3:$CO$999,88,FALSE),"unknown")</f>
        <v>58</v>
      </c>
      <c r="AX453" s="120" t="str">
        <f>IFERROR(VLOOKUP(Table1[RespondentID],'All Data'!$A$3:$CO$999,89,FALSE),"unknown")</f>
        <v>Nassau</v>
      </c>
      <c r="AY453" s="120" t="str">
        <f>IFERROR(VLOOKUP(Table1[RespondentID],'All Data'!$A$3:$CO$999,90,FALSE),"unknown")</f>
        <v>Farmingdale, 11735</v>
      </c>
      <c r="AZ453" s="120" t="str">
        <f>IFERROR(VLOOKUP(Table1[RespondentID],'All Data'!$A$3:$CO$999,91,FALSE),"unknown")</f>
        <v>White</v>
      </c>
      <c r="BA453" s="120">
        <f>IFERROR(VLOOKUP(Table1[RespondentID],'All Data'!$A$3:$CO$999,92,FALSE),"unknown")</f>
        <v>0</v>
      </c>
      <c r="BB453" s="120" t="str">
        <f>IFERROR(VLOOKUP(Table1[RespondentID],'All Data'!$A$3:$CO$999,93,FALSE),"unknown")</f>
        <v>English</v>
      </c>
      <c r="BC453" s="120" t="str">
        <f>IFERROR(VLOOKUP(Table1[RespondentID],'All Data'!$A$3:$CW$999,94,FALSE),"unknown")</f>
        <v>$20,000 to $34,999</v>
      </c>
      <c r="BD453" s="120" t="str">
        <f>IFERROR(VLOOKUP(Table1[RespondentID],'All Data'!$A$3:$CW$999,95,FALSE),"unknown")</f>
        <v>Graduate school</v>
      </c>
      <c r="BE453" s="120" t="str">
        <f>IFERROR(VLOOKUP(Table1[RespondentID],'All Data'!$A$3:$CW$999,96,FALSE),"unknown")</f>
        <v>Self-employed</v>
      </c>
      <c r="BF453" s="120" t="str">
        <f>IFERROR(VLOOKUP(Table1[RespondentID],'All Data'!$A$3:$CW$999,97,FALSE),"unknown")</f>
        <v>No</v>
      </c>
      <c r="BG453" s="120" t="str">
        <f>IFERROR(VLOOKUP(Table1[RespondentID],'All Data'!$A$3:$CW$999,98,FALSE),"unknown")</f>
        <v>No Insurance</v>
      </c>
      <c r="BH453" s="120" t="str">
        <f>IFERROR(VLOOKUP(Table1[RespondentID],'All Data'!$A$3:$CW$999,99,FALSE),"unknown")</f>
        <v>No</v>
      </c>
    </row>
    <row r="454" spans="1:60">
      <c r="A454" s="141">
        <v>18031752813</v>
      </c>
      <c r="B454" s="180"/>
      <c r="C454" s="181"/>
      <c r="D454" s="181" t="s">
        <v>51</v>
      </c>
      <c r="E454" s="181"/>
      <c r="F454" s="181"/>
      <c r="G454" s="181" t="s">
        <v>53</v>
      </c>
      <c r="H454" s="181"/>
      <c r="I454" s="181"/>
      <c r="J454" s="181"/>
      <c r="K454" s="181"/>
      <c r="L454" s="181"/>
      <c r="M454" s="181"/>
      <c r="N454" s="181"/>
      <c r="O454" s="181"/>
      <c r="P454" s="181"/>
      <c r="Q454" s="181"/>
      <c r="R454" s="181" t="s">
        <v>62</v>
      </c>
      <c r="S454" s="181"/>
      <c r="T454" s="184"/>
      <c r="U454" s="182">
        <f t="shared" si="161"/>
        <v>3</v>
      </c>
      <c r="V454" s="182">
        <f t="shared" si="162"/>
        <v>1</v>
      </c>
      <c r="W454" s="110"/>
      <c r="X454" s="182">
        <f t="shared" si="163"/>
        <v>0</v>
      </c>
      <c r="Y454" s="182">
        <f t="shared" si="164"/>
        <v>0</v>
      </c>
      <c r="Z454" s="182">
        <f t="shared" si="165"/>
        <v>1</v>
      </c>
      <c r="AA454" s="182">
        <f t="shared" si="166"/>
        <v>0</v>
      </c>
      <c r="AB454" s="182">
        <f t="shared" si="167"/>
        <v>0</v>
      </c>
      <c r="AC454" s="182">
        <f t="shared" si="168"/>
        <v>1</v>
      </c>
      <c r="AD454" s="182">
        <f t="shared" si="169"/>
        <v>0</v>
      </c>
      <c r="AE454" s="182">
        <f t="shared" si="170"/>
        <v>0</v>
      </c>
      <c r="AF454" s="182">
        <f t="shared" si="171"/>
        <v>0</v>
      </c>
      <c r="AG454" s="182">
        <f t="shared" si="172"/>
        <v>0</v>
      </c>
      <c r="AH454" s="182">
        <f t="shared" si="173"/>
        <v>0</v>
      </c>
      <c r="AI454" s="182">
        <f t="shared" si="174"/>
        <v>0</v>
      </c>
      <c r="AJ454" s="182">
        <f t="shared" si="175"/>
        <v>0</v>
      </c>
      <c r="AK454" s="182">
        <f t="shared" si="176"/>
        <v>0</v>
      </c>
      <c r="AL454" s="182">
        <f t="shared" si="177"/>
        <v>0</v>
      </c>
      <c r="AM454" s="182">
        <f t="shared" si="178"/>
        <v>0</v>
      </c>
      <c r="AN454" s="182">
        <f t="shared" si="179"/>
        <v>1</v>
      </c>
      <c r="AO454" s="182">
        <f t="shared" si="180"/>
        <v>0</v>
      </c>
      <c r="AP454" s="110"/>
      <c r="AQ454" s="110"/>
      <c r="AR454" s="182">
        <f t="shared" si="181"/>
        <v>3</v>
      </c>
      <c r="AS454" s="182">
        <f t="shared" si="182"/>
        <v>3</v>
      </c>
      <c r="AT454" s="182" t="str">
        <f t="shared" si="183"/>
        <v>Correct</v>
      </c>
      <c r="AU454" s="142"/>
      <c r="AV454" s="120" t="str">
        <f>IFERROR(VLOOKUP(Table1[RespondentID],'All Data'!$A$3:$CO$999,87,FALSE),"unknown")</f>
        <v>Man</v>
      </c>
      <c r="AW454" s="120">
        <f>IFERROR(VLOOKUP(Table1[RespondentID],'All Data'!$A$3:$CO$999,88,FALSE),"unknown")</f>
        <v>28</v>
      </c>
      <c r="AX454" s="120" t="str">
        <f>IFERROR(VLOOKUP(Table1[RespondentID],'All Data'!$A$3:$CO$999,89,FALSE),"unknown")</f>
        <v>Suffolk</v>
      </c>
      <c r="AY454" s="120" t="str">
        <f>IFERROR(VLOOKUP(Table1[RespondentID],'All Data'!$A$3:$CO$999,90,FALSE),"unknown")</f>
        <v>Port Jefferson Station, 11776</v>
      </c>
      <c r="AZ454" s="120" t="str">
        <f>IFERROR(VLOOKUP(Table1[RespondentID],'All Data'!$A$3:$CO$999,91,FALSE),"unknown")</f>
        <v>White</v>
      </c>
      <c r="BA454" s="120" t="str">
        <f>IFERROR(VLOOKUP(Table1[RespondentID],'All Data'!$A$3:$CO$999,92,FALSE),"unknown")</f>
        <v>Not Hispanic or Latino</v>
      </c>
      <c r="BB454" s="120" t="str">
        <f>IFERROR(VLOOKUP(Table1[RespondentID],'All Data'!$A$3:$CO$999,93,FALSE),"unknown")</f>
        <v>English</v>
      </c>
      <c r="BC454" s="120" t="str">
        <f>IFERROR(VLOOKUP(Table1[RespondentID],'All Data'!$A$3:$CW$999,94,FALSE),"unknown")</f>
        <v>$75,000 to $125,000</v>
      </c>
      <c r="BD454" s="120" t="str">
        <f>IFERROR(VLOOKUP(Table1[RespondentID],'All Data'!$A$3:$CW$999,95,FALSE),"unknown")</f>
        <v>Graduate school</v>
      </c>
      <c r="BE454" s="120" t="str">
        <f>IFERROR(VLOOKUP(Table1[RespondentID],'All Data'!$A$3:$CW$999,96,FALSE),"unknown")</f>
        <v>Employed for wages</v>
      </c>
      <c r="BF454" s="120" t="str">
        <f>IFERROR(VLOOKUP(Table1[RespondentID],'All Data'!$A$3:$CW$999,97,FALSE),"unknown")</f>
        <v>Yes</v>
      </c>
      <c r="BG454" s="120" t="str">
        <f>IFERROR(VLOOKUP(Table1[RespondentID],'All Data'!$A$3:$CW$999,98,FALSE),"unknown")</f>
        <v>Private/Commercial</v>
      </c>
      <c r="BH454" s="120" t="str">
        <f>IFERROR(VLOOKUP(Table1[RespondentID],'All Data'!$A$3:$CW$999,99,FALSE),"unknown")</f>
        <v>Yes</v>
      </c>
    </row>
    <row r="455" spans="1:60">
      <c r="A455" s="141">
        <v>18031752705</v>
      </c>
      <c r="B455" s="180"/>
      <c r="C455" s="181"/>
      <c r="D455" s="181"/>
      <c r="E455" s="181"/>
      <c r="F455" s="181"/>
      <c r="G455" s="181" t="s">
        <v>53</v>
      </c>
      <c r="H455" s="181"/>
      <c r="I455" s="181" t="s">
        <v>55</v>
      </c>
      <c r="J455" s="181"/>
      <c r="K455" s="181"/>
      <c r="L455" s="181"/>
      <c r="M455" s="181"/>
      <c r="N455" s="181"/>
      <c r="O455" s="181"/>
      <c r="P455" s="181"/>
      <c r="Q455" s="181"/>
      <c r="R455" s="181" t="s">
        <v>62</v>
      </c>
      <c r="S455" s="181"/>
      <c r="T455" s="184"/>
      <c r="U455" s="182">
        <f t="shared" si="161"/>
        <v>3</v>
      </c>
      <c r="V455" s="182">
        <f t="shared" si="162"/>
        <v>1</v>
      </c>
      <c r="W455" s="110"/>
      <c r="X455" s="182">
        <f t="shared" si="163"/>
        <v>0</v>
      </c>
      <c r="Y455" s="182">
        <f t="shared" si="164"/>
        <v>0</v>
      </c>
      <c r="Z455" s="182">
        <f t="shared" si="165"/>
        <v>0</v>
      </c>
      <c r="AA455" s="182">
        <f t="shared" si="166"/>
        <v>0</v>
      </c>
      <c r="AB455" s="182">
        <f t="shared" si="167"/>
        <v>0</v>
      </c>
      <c r="AC455" s="182">
        <f t="shared" si="168"/>
        <v>1</v>
      </c>
      <c r="AD455" s="182">
        <f t="shared" si="169"/>
        <v>0</v>
      </c>
      <c r="AE455" s="182">
        <f t="shared" si="170"/>
        <v>1</v>
      </c>
      <c r="AF455" s="182">
        <f t="shared" si="171"/>
        <v>0</v>
      </c>
      <c r="AG455" s="182">
        <f t="shared" si="172"/>
        <v>0</v>
      </c>
      <c r="AH455" s="182">
        <f t="shared" si="173"/>
        <v>0</v>
      </c>
      <c r="AI455" s="182">
        <f t="shared" si="174"/>
        <v>0</v>
      </c>
      <c r="AJ455" s="182">
        <f t="shared" si="175"/>
        <v>0</v>
      </c>
      <c r="AK455" s="182">
        <f t="shared" si="176"/>
        <v>0</v>
      </c>
      <c r="AL455" s="182">
        <f t="shared" si="177"/>
        <v>0</v>
      </c>
      <c r="AM455" s="182">
        <f t="shared" si="178"/>
        <v>0</v>
      </c>
      <c r="AN455" s="182">
        <f t="shared" si="179"/>
        <v>1</v>
      </c>
      <c r="AO455" s="182">
        <f t="shared" si="180"/>
        <v>0</v>
      </c>
      <c r="AP455" s="110"/>
      <c r="AQ455" s="110"/>
      <c r="AR455" s="182">
        <f t="shared" si="181"/>
        <v>3</v>
      </c>
      <c r="AS455" s="182">
        <f t="shared" si="182"/>
        <v>3</v>
      </c>
      <c r="AT455" s="182" t="str">
        <f t="shared" si="183"/>
        <v>Correct</v>
      </c>
      <c r="AU455" s="142"/>
      <c r="AV455" s="120" t="str">
        <f>IFERROR(VLOOKUP(Table1[RespondentID],'All Data'!$A$3:$CO$999,87,FALSE),"unknown")</f>
        <v>Man</v>
      </c>
      <c r="AW455" s="120">
        <f>IFERROR(VLOOKUP(Table1[RespondentID],'All Data'!$A$3:$CO$999,88,FALSE),"unknown")</f>
        <v>91</v>
      </c>
      <c r="AX455" s="120" t="str">
        <f>IFERROR(VLOOKUP(Table1[RespondentID],'All Data'!$A$3:$CO$999,89,FALSE),"unknown")</f>
        <v>Nassau</v>
      </c>
      <c r="AY455" s="120" t="str">
        <f>IFERROR(VLOOKUP(Table1[RespondentID],'All Data'!$A$3:$CO$999,90,FALSE),"unknown")</f>
        <v>Farmingdale, 11735</v>
      </c>
      <c r="AZ455" s="120" t="str">
        <f>IFERROR(VLOOKUP(Table1[RespondentID],'All Data'!$A$3:$CO$999,91,FALSE),"unknown")</f>
        <v>White</v>
      </c>
      <c r="BA455" s="120" t="str">
        <f>IFERROR(VLOOKUP(Table1[RespondentID],'All Data'!$A$3:$CO$999,92,FALSE),"unknown")</f>
        <v>Not Hispanic or Latino</v>
      </c>
      <c r="BB455" s="120" t="str">
        <f>IFERROR(VLOOKUP(Table1[RespondentID],'All Data'!$A$3:$CO$999,93,FALSE),"unknown")</f>
        <v>English</v>
      </c>
      <c r="BC455" s="120" t="str">
        <f>IFERROR(VLOOKUP(Table1[RespondentID],'All Data'!$A$3:$CW$999,94,FALSE),"unknown")</f>
        <v>$35,000 to $49,999</v>
      </c>
      <c r="BD455" s="120" t="str">
        <f>IFERROR(VLOOKUP(Table1[RespondentID],'All Data'!$A$3:$CW$999,95,FALSE),"unknown")</f>
        <v>Some college</v>
      </c>
      <c r="BE455" s="120" t="str">
        <f>IFERROR(VLOOKUP(Table1[RespondentID],'All Data'!$A$3:$CW$999,96,FALSE),"unknown")</f>
        <v>Retired</v>
      </c>
      <c r="BF455" s="120" t="str">
        <f>IFERROR(VLOOKUP(Table1[RespondentID],'All Data'!$A$3:$CW$999,97,FALSE),"unknown")</f>
        <v>Yes</v>
      </c>
      <c r="BG455" s="120" t="str">
        <f>IFERROR(VLOOKUP(Table1[RespondentID],'All Data'!$A$3:$CW$999,98,FALSE),"unknown")</f>
        <v>Medicare</v>
      </c>
      <c r="BH455" s="120" t="str">
        <f>IFERROR(VLOOKUP(Table1[RespondentID],'All Data'!$A$3:$CW$999,99,FALSE),"unknown")</f>
        <v>Yes</v>
      </c>
    </row>
    <row r="456" spans="1:60">
      <c r="A456" s="141">
        <v>18031752630</v>
      </c>
      <c r="B456" s="180"/>
      <c r="C456" s="181"/>
      <c r="D456" s="181"/>
      <c r="E456" s="181" t="s">
        <v>17</v>
      </c>
      <c r="F456" s="181"/>
      <c r="G456" s="181" t="s">
        <v>53</v>
      </c>
      <c r="H456" s="181"/>
      <c r="I456" s="181"/>
      <c r="J456" s="181"/>
      <c r="K456" s="181"/>
      <c r="L456" s="181"/>
      <c r="M456" s="181"/>
      <c r="N456" s="181"/>
      <c r="O456" s="181"/>
      <c r="P456" s="181"/>
      <c r="Q456" s="181"/>
      <c r="R456" s="181"/>
      <c r="S456" s="181"/>
      <c r="T456" s="184"/>
      <c r="U456" s="182">
        <f t="shared" si="161"/>
        <v>2</v>
      </c>
      <c r="V456" s="182">
        <f t="shared" si="162"/>
        <v>1.5</v>
      </c>
      <c r="W456" s="110"/>
      <c r="X456" s="182">
        <f t="shared" si="163"/>
        <v>0</v>
      </c>
      <c r="Y456" s="182">
        <f t="shared" si="164"/>
        <v>0</v>
      </c>
      <c r="Z456" s="182">
        <f t="shared" si="165"/>
        <v>0</v>
      </c>
      <c r="AA456" s="182">
        <f t="shared" si="166"/>
        <v>1</v>
      </c>
      <c r="AB456" s="182">
        <f t="shared" si="167"/>
        <v>0</v>
      </c>
      <c r="AC456" s="182">
        <f t="shared" si="168"/>
        <v>1</v>
      </c>
      <c r="AD456" s="182">
        <f t="shared" si="169"/>
        <v>0</v>
      </c>
      <c r="AE456" s="182">
        <f t="shared" si="170"/>
        <v>0</v>
      </c>
      <c r="AF456" s="182">
        <f t="shared" si="171"/>
        <v>0</v>
      </c>
      <c r="AG456" s="182">
        <f t="shared" si="172"/>
        <v>0</v>
      </c>
      <c r="AH456" s="182">
        <f t="shared" si="173"/>
        <v>0</v>
      </c>
      <c r="AI456" s="182">
        <f t="shared" si="174"/>
        <v>0</v>
      </c>
      <c r="AJ456" s="182">
        <f t="shared" si="175"/>
        <v>0</v>
      </c>
      <c r="AK456" s="182">
        <f t="shared" si="176"/>
        <v>0</v>
      </c>
      <c r="AL456" s="182">
        <f t="shared" si="177"/>
        <v>0</v>
      </c>
      <c r="AM456" s="182">
        <f t="shared" si="178"/>
        <v>0</v>
      </c>
      <c r="AN456" s="182">
        <f t="shared" si="179"/>
        <v>0</v>
      </c>
      <c r="AO456" s="182">
        <f t="shared" si="180"/>
        <v>0</v>
      </c>
      <c r="AP456" s="110"/>
      <c r="AQ456" s="110"/>
      <c r="AR456" s="182">
        <f t="shared" si="181"/>
        <v>2</v>
      </c>
      <c r="AS456" s="182">
        <f t="shared" si="182"/>
        <v>2</v>
      </c>
      <c r="AT456" s="182" t="str">
        <f t="shared" si="183"/>
        <v>Correct</v>
      </c>
      <c r="AU456" s="142"/>
      <c r="AV456" s="120" t="str">
        <f>IFERROR(VLOOKUP(Table1[RespondentID],'All Data'!$A$3:$CO$999,87,FALSE),"unknown")</f>
        <v>Man</v>
      </c>
      <c r="AW456" s="120">
        <f>IFERROR(VLOOKUP(Table1[RespondentID],'All Data'!$A$3:$CO$999,88,FALSE),"unknown")</f>
        <v>68</v>
      </c>
      <c r="AX456" s="120" t="str">
        <f>IFERROR(VLOOKUP(Table1[RespondentID],'All Data'!$A$3:$CO$999,89,FALSE),"unknown")</f>
        <v>Nassau</v>
      </c>
      <c r="AY456" s="120" t="str">
        <f>IFERROR(VLOOKUP(Table1[RespondentID],'All Data'!$A$3:$CO$999,90,FALSE),"unknown")</f>
        <v>Farmingdale, 11735</v>
      </c>
      <c r="AZ456" s="120" t="str">
        <f>IFERROR(VLOOKUP(Table1[RespondentID],'All Data'!$A$3:$CO$999,91,FALSE),"unknown")</f>
        <v>White</v>
      </c>
      <c r="BA456" s="120" t="str">
        <f>IFERROR(VLOOKUP(Table1[RespondentID],'All Data'!$A$3:$CO$999,92,FALSE),"unknown")</f>
        <v>Not Hispanic or Latino</v>
      </c>
      <c r="BB456" s="120" t="str">
        <f>IFERROR(VLOOKUP(Table1[RespondentID],'All Data'!$A$3:$CO$999,93,FALSE),"unknown")</f>
        <v>English</v>
      </c>
      <c r="BC456" s="120" t="str">
        <f>IFERROR(VLOOKUP(Table1[RespondentID],'All Data'!$A$3:$CW$999,94,FALSE),"unknown")</f>
        <v>$50,000 to $74,999</v>
      </c>
      <c r="BD456" s="120" t="str">
        <f>IFERROR(VLOOKUP(Table1[RespondentID],'All Data'!$A$3:$CW$999,95,FALSE),"unknown")</f>
        <v>Some college</v>
      </c>
      <c r="BE456" s="120" t="str">
        <f>IFERROR(VLOOKUP(Table1[RespondentID],'All Data'!$A$3:$CW$999,96,FALSE),"unknown")</f>
        <v>Retired</v>
      </c>
      <c r="BF456" s="120" t="str">
        <f>IFERROR(VLOOKUP(Table1[RespondentID],'All Data'!$A$3:$CW$999,97,FALSE),"unknown")</f>
        <v>Yes</v>
      </c>
      <c r="BG456" s="120" t="str">
        <f>IFERROR(VLOOKUP(Table1[RespondentID],'All Data'!$A$3:$CW$999,98,FALSE),"unknown")</f>
        <v>Medicare</v>
      </c>
      <c r="BH456" s="120" t="str">
        <f>IFERROR(VLOOKUP(Table1[RespondentID],'All Data'!$A$3:$CW$999,99,FALSE),"unknown")</f>
        <v>Yes</v>
      </c>
    </row>
    <row r="457" spans="1:60">
      <c r="A457" s="141">
        <v>18031752588</v>
      </c>
      <c r="B457" s="180"/>
      <c r="C457" s="181"/>
      <c r="D457" s="181"/>
      <c r="E457" s="181"/>
      <c r="F457" s="181"/>
      <c r="G457" s="181"/>
      <c r="H457" s="181"/>
      <c r="I457" s="181" t="s">
        <v>55</v>
      </c>
      <c r="J457" s="181"/>
      <c r="K457" s="181"/>
      <c r="L457" s="181" t="s">
        <v>58</v>
      </c>
      <c r="M457" s="181" t="s">
        <v>59</v>
      </c>
      <c r="N457" s="181"/>
      <c r="O457" s="181"/>
      <c r="P457" s="181"/>
      <c r="Q457" s="181"/>
      <c r="R457" s="181"/>
      <c r="S457" s="181"/>
      <c r="T457" s="184"/>
      <c r="U457" s="182">
        <f t="shared" si="161"/>
        <v>3</v>
      </c>
      <c r="V457" s="182">
        <f t="shared" si="162"/>
        <v>1</v>
      </c>
      <c r="W457" s="110"/>
      <c r="X457" s="182">
        <f t="shared" si="163"/>
        <v>0</v>
      </c>
      <c r="Y457" s="182">
        <f t="shared" si="164"/>
        <v>0</v>
      </c>
      <c r="Z457" s="182">
        <f t="shared" si="165"/>
        <v>0</v>
      </c>
      <c r="AA457" s="182">
        <f t="shared" si="166"/>
        <v>0</v>
      </c>
      <c r="AB457" s="182">
        <f t="shared" si="167"/>
        <v>0</v>
      </c>
      <c r="AC457" s="182">
        <f t="shared" si="168"/>
        <v>0</v>
      </c>
      <c r="AD457" s="182">
        <f t="shared" si="169"/>
        <v>0</v>
      </c>
      <c r="AE457" s="182">
        <f t="shared" si="170"/>
        <v>1</v>
      </c>
      <c r="AF457" s="182">
        <f t="shared" si="171"/>
        <v>0</v>
      </c>
      <c r="AG457" s="182">
        <f t="shared" si="172"/>
        <v>0</v>
      </c>
      <c r="AH457" s="182">
        <f t="shared" si="173"/>
        <v>1</v>
      </c>
      <c r="AI457" s="182">
        <f t="shared" si="174"/>
        <v>1</v>
      </c>
      <c r="AJ457" s="182">
        <f t="shared" si="175"/>
        <v>0</v>
      </c>
      <c r="AK457" s="182">
        <f t="shared" si="176"/>
        <v>0</v>
      </c>
      <c r="AL457" s="182">
        <f t="shared" si="177"/>
        <v>0</v>
      </c>
      <c r="AM457" s="182">
        <f t="shared" si="178"/>
        <v>0</v>
      </c>
      <c r="AN457" s="182">
        <f t="shared" si="179"/>
        <v>0</v>
      </c>
      <c r="AO457" s="182">
        <f t="shared" si="180"/>
        <v>0</v>
      </c>
      <c r="AP457" s="110"/>
      <c r="AQ457" s="110"/>
      <c r="AR457" s="182">
        <f t="shared" si="181"/>
        <v>3</v>
      </c>
      <c r="AS457" s="182">
        <f t="shared" si="182"/>
        <v>3</v>
      </c>
      <c r="AT457" s="182" t="str">
        <f t="shared" si="183"/>
        <v>Correct</v>
      </c>
      <c r="AU457" s="142"/>
      <c r="AV457" s="120">
        <f>IFERROR(VLOOKUP(Table1[RespondentID],'All Data'!$A$3:$CO$999,87,FALSE),"unknown")</f>
        <v>0</v>
      </c>
      <c r="AW457" s="120">
        <f>IFERROR(VLOOKUP(Table1[RespondentID],'All Data'!$A$3:$CO$999,88,FALSE),"unknown")</f>
        <v>0</v>
      </c>
      <c r="AX457" s="120">
        <f>IFERROR(VLOOKUP(Table1[RespondentID],'All Data'!$A$3:$CO$999,89,FALSE),"unknown")</f>
        <v>0</v>
      </c>
      <c r="AY457" s="120">
        <f>IFERROR(VLOOKUP(Table1[RespondentID],'All Data'!$A$3:$CO$999,90,FALSE),"unknown")</f>
        <v>0</v>
      </c>
      <c r="AZ457" s="120">
        <f>IFERROR(VLOOKUP(Table1[RespondentID],'All Data'!$A$3:$CO$999,91,FALSE),"unknown")</f>
        <v>0</v>
      </c>
      <c r="BA457" s="120">
        <f>IFERROR(VLOOKUP(Table1[RespondentID],'All Data'!$A$3:$CO$999,92,FALSE),"unknown")</f>
        <v>0</v>
      </c>
      <c r="BB457" s="120">
        <f>IFERROR(VLOOKUP(Table1[RespondentID],'All Data'!$A$3:$CO$999,93,FALSE),"unknown")</f>
        <v>0</v>
      </c>
      <c r="BC457" s="120">
        <f>IFERROR(VLOOKUP(Table1[RespondentID],'All Data'!$A$3:$CW$999,94,FALSE),"unknown")</f>
        <v>0</v>
      </c>
      <c r="BD457" s="120">
        <f>IFERROR(VLOOKUP(Table1[RespondentID],'All Data'!$A$3:$CW$999,95,FALSE),"unknown")</f>
        <v>0</v>
      </c>
      <c r="BE457" s="120">
        <f>IFERROR(VLOOKUP(Table1[RespondentID],'All Data'!$A$3:$CW$999,96,FALSE),"unknown")</f>
        <v>0</v>
      </c>
      <c r="BF457" s="120">
        <f>IFERROR(VLOOKUP(Table1[RespondentID],'All Data'!$A$3:$CW$999,97,FALSE),"unknown")</f>
        <v>0</v>
      </c>
      <c r="BG457" s="120">
        <f>IFERROR(VLOOKUP(Table1[RespondentID],'All Data'!$A$3:$CW$999,98,FALSE),"unknown")</f>
        <v>0</v>
      </c>
      <c r="BH457" s="120">
        <f>IFERROR(VLOOKUP(Table1[RespondentID],'All Data'!$A$3:$CW$999,99,FALSE),"unknown")</f>
        <v>0</v>
      </c>
    </row>
    <row r="458" spans="1:60">
      <c r="A458" s="141">
        <v>18031752510</v>
      </c>
      <c r="B458" s="180" t="s">
        <v>49</v>
      </c>
      <c r="C458" s="181"/>
      <c r="D458" s="181" t="s">
        <v>51</v>
      </c>
      <c r="E458" s="181"/>
      <c r="F458" s="181"/>
      <c r="G458" s="181"/>
      <c r="H458" s="181"/>
      <c r="I458" s="181" t="s">
        <v>55</v>
      </c>
      <c r="J458" s="181"/>
      <c r="K458" s="181"/>
      <c r="L458" s="181"/>
      <c r="M458" s="181"/>
      <c r="N458" s="181"/>
      <c r="O458" s="181"/>
      <c r="P458" s="181"/>
      <c r="Q458" s="181"/>
      <c r="R458" s="181"/>
      <c r="S458" s="181"/>
      <c r="T458" s="184"/>
      <c r="U458" s="182">
        <f t="shared" si="161"/>
        <v>3</v>
      </c>
      <c r="V458" s="182">
        <f t="shared" si="162"/>
        <v>1</v>
      </c>
      <c r="W458" s="110"/>
      <c r="X458" s="182">
        <f t="shared" si="163"/>
        <v>1</v>
      </c>
      <c r="Y458" s="182">
        <f t="shared" si="164"/>
        <v>0</v>
      </c>
      <c r="Z458" s="182">
        <f t="shared" si="165"/>
        <v>1</v>
      </c>
      <c r="AA458" s="182">
        <f t="shared" si="166"/>
        <v>0</v>
      </c>
      <c r="AB458" s="182">
        <f t="shared" si="167"/>
        <v>0</v>
      </c>
      <c r="AC458" s="182">
        <f t="shared" si="168"/>
        <v>0</v>
      </c>
      <c r="AD458" s="182">
        <f t="shared" si="169"/>
        <v>0</v>
      </c>
      <c r="AE458" s="182">
        <f t="shared" si="170"/>
        <v>1</v>
      </c>
      <c r="AF458" s="182">
        <f t="shared" si="171"/>
        <v>0</v>
      </c>
      <c r="AG458" s="182">
        <f t="shared" si="172"/>
        <v>0</v>
      </c>
      <c r="AH458" s="182">
        <f t="shared" si="173"/>
        <v>0</v>
      </c>
      <c r="AI458" s="182">
        <f t="shared" si="174"/>
        <v>0</v>
      </c>
      <c r="AJ458" s="182">
        <f t="shared" si="175"/>
        <v>0</v>
      </c>
      <c r="AK458" s="182">
        <f t="shared" si="176"/>
        <v>0</v>
      </c>
      <c r="AL458" s="182">
        <f t="shared" si="177"/>
        <v>0</v>
      </c>
      <c r="AM458" s="182">
        <f t="shared" si="178"/>
        <v>0</v>
      </c>
      <c r="AN458" s="182">
        <f t="shared" si="179"/>
        <v>0</v>
      </c>
      <c r="AO458" s="182">
        <f t="shared" si="180"/>
        <v>0</v>
      </c>
      <c r="AP458" s="110"/>
      <c r="AQ458" s="110"/>
      <c r="AR458" s="182">
        <f t="shared" si="181"/>
        <v>3</v>
      </c>
      <c r="AS458" s="182">
        <f t="shared" si="182"/>
        <v>3</v>
      </c>
      <c r="AT458" s="182" t="str">
        <f t="shared" si="183"/>
        <v>Correct</v>
      </c>
      <c r="AU458" s="142"/>
      <c r="AV458" s="120" t="str">
        <f>IFERROR(VLOOKUP(Table1[RespondentID],'All Data'!$A$3:$CO$999,87,FALSE),"unknown")</f>
        <v>Man</v>
      </c>
      <c r="AW458" s="120">
        <f>IFERROR(VLOOKUP(Table1[RespondentID],'All Data'!$A$3:$CO$999,88,FALSE),"unknown")</f>
        <v>19</v>
      </c>
      <c r="AX458" s="120" t="str">
        <f>IFERROR(VLOOKUP(Table1[RespondentID],'All Data'!$A$3:$CO$999,89,FALSE),"unknown")</f>
        <v>Nassau</v>
      </c>
      <c r="AY458" s="120" t="str">
        <f>IFERROR(VLOOKUP(Table1[RespondentID],'All Data'!$A$3:$CO$999,90,FALSE),"unknown")</f>
        <v>Uniondale, 11553</v>
      </c>
      <c r="AZ458" s="120">
        <f>IFERROR(VLOOKUP(Table1[RespondentID],'All Data'!$A$3:$CO$999,91,FALSE),"unknown")</f>
        <v>0</v>
      </c>
      <c r="BA458" s="120" t="str">
        <f>IFERROR(VLOOKUP(Table1[RespondentID],'All Data'!$A$3:$CO$999,92,FALSE),"unknown")</f>
        <v>Hispanic or Latino</v>
      </c>
      <c r="BB458" s="120" t="str">
        <f>IFERROR(VLOOKUP(Table1[RespondentID],'All Data'!$A$3:$CO$999,93,FALSE),"unknown")</f>
        <v>English,Spanish</v>
      </c>
      <c r="BC458" s="120">
        <f>IFERROR(VLOOKUP(Table1[RespondentID],'All Data'!$A$3:$CW$999,94,FALSE),"unknown")</f>
        <v>0</v>
      </c>
      <c r="BD458" s="120" t="str">
        <f>IFERROR(VLOOKUP(Table1[RespondentID],'All Data'!$A$3:$CW$999,95,FALSE),"unknown")</f>
        <v>High school graduate</v>
      </c>
      <c r="BE458" s="120" t="str">
        <f>IFERROR(VLOOKUP(Table1[RespondentID],'All Data'!$A$3:$CW$999,96,FALSE),"unknown")</f>
        <v>Employed for wages</v>
      </c>
      <c r="BF458" s="120" t="str">
        <f>IFERROR(VLOOKUP(Table1[RespondentID],'All Data'!$A$3:$CW$999,97,FALSE),"unknown")</f>
        <v>Yes</v>
      </c>
      <c r="BG458" s="120">
        <f>IFERROR(VLOOKUP(Table1[RespondentID],'All Data'!$A$3:$CW$999,98,FALSE),"unknown")</f>
        <v>0</v>
      </c>
      <c r="BH458" s="120" t="str">
        <f>IFERROR(VLOOKUP(Table1[RespondentID],'All Data'!$A$3:$CW$999,99,FALSE),"unknown")</f>
        <v>Yes</v>
      </c>
    </row>
    <row r="459" spans="1:60">
      <c r="A459" s="141">
        <v>18031752417</v>
      </c>
      <c r="B459" s="180"/>
      <c r="C459" s="181"/>
      <c r="D459" s="181"/>
      <c r="E459" s="181"/>
      <c r="F459" s="181"/>
      <c r="G459" s="181"/>
      <c r="H459" s="181"/>
      <c r="I459" s="181"/>
      <c r="J459" s="181"/>
      <c r="K459" s="181"/>
      <c r="L459" s="181"/>
      <c r="M459" s="181" t="s">
        <v>59</v>
      </c>
      <c r="N459" s="181"/>
      <c r="O459" s="181"/>
      <c r="P459" s="181"/>
      <c r="Q459" s="181"/>
      <c r="R459" s="181"/>
      <c r="S459" s="181"/>
      <c r="T459" s="184"/>
      <c r="U459" s="182">
        <f t="shared" si="161"/>
        <v>1</v>
      </c>
      <c r="V459" s="182">
        <f t="shared" si="162"/>
        <v>3</v>
      </c>
      <c r="W459" s="110"/>
      <c r="X459" s="182">
        <f t="shared" si="163"/>
        <v>0</v>
      </c>
      <c r="Y459" s="182">
        <f t="shared" si="164"/>
        <v>0</v>
      </c>
      <c r="Z459" s="182">
        <f t="shared" si="165"/>
        <v>0</v>
      </c>
      <c r="AA459" s="182">
        <f t="shared" si="166"/>
        <v>0</v>
      </c>
      <c r="AB459" s="182">
        <f t="shared" si="167"/>
        <v>0</v>
      </c>
      <c r="AC459" s="182">
        <f t="shared" si="168"/>
        <v>0</v>
      </c>
      <c r="AD459" s="182">
        <f t="shared" si="169"/>
        <v>0</v>
      </c>
      <c r="AE459" s="182">
        <f t="shared" si="170"/>
        <v>0</v>
      </c>
      <c r="AF459" s="182">
        <f t="shared" si="171"/>
        <v>0</v>
      </c>
      <c r="AG459" s="182">
        <f t="shared" si="172"/>
        <v>0</v>
      </c>
      <c r="AH459" s="182">
        <f t="shared" si="173"/>
        <v>0</v>
      </c>
      <c r="AI459" s="182">
        <f t="shared" si="174"/>
        <v>1</v>
      </c>
      <c r="AJ459" s="182">
        <f t="shared" si="175"/>
        <v>0</v>
      </c>
      <c r="AK459" s="182">
        <f t="shared" si="176"/>
        <v>0</v>
      </c>
      <c r="AL459" s="182">
        <f t="shared" si="177"/>
        <v>0</v>
      </c>
      <c r="AM459" s="182">
        <f t="shared" si="178"/>
        <v>0</v>
      </c>
      <c r="AN459" s="182">
        <f t="shared" si="179"/>
        <v>0</v>
      </c>
      <c r="AO459" s="182">
        <f t="shared" si="180"/>
        <v>0</v>
      </c>
      <c r="AP459" s="110"/>
      <c r="AQ459" s="110"/>
      <c r="AR459" s="182">
        <f t="shared" si="181"/>
        <v>1</v>
      </c>
      <c r="AS459" s="182">
        <f t="shared" si="182"/>
        <v>1</v>
      </c>
      <c r="AT459" s="182" t="str">
        <f t="shared" si="183"/>
        <v>Correct</v>
      </c>
      <c r="AU459" s="142"/>
      <c r="AV459" s="120" t="str">
        <f>IFERROR(VLOOKUP(Table1[RespondentID],'All Data'!$A$3:$CO$999,87,FALSE),"unknown")</f>
        <v>Woman</v>
      </c>
      <c r="AW459" s="120">
        <f>IFERROR(VLOOKUP(Table1[RespondentID],'All Data'!$A$3:$CO$999,88,FALSE),"unknown")</f>
        <v>0</v>
      </c>
      <c r="AX459" s="120">
        <f>IFERROR(VLOOKUP(Table1[RespondentID],'All Data'!$A$3:$CO$999,89,FALSE),"unknown")</f>
        <v>0</v>
      </c>
      <c r="AY459" s="120">
        <f>IFERROR(VLOOKUP(Table1[RespondentID],'All Data'!$A$3:$CO$999,90,FALSE),"unknown")</f>
        <v>0</v>
      </c>
      <c r="AZ459" s="120">
        <f>IFERROR(VLOOKUP(Table1[RespondentID],'All Data'!$A$3:$CO$999,91,FALSE),"unknown")</f>
        <v>0</v>
      </c>
      <c r="BA459" s="120">
        <f>IFERROR(VLOOKUP(Table1[RespondentID],'All Data'!$A$3:$CO$999,92,FALSE),"unknown")</f>
        <v>0</v>
      </c>
      <c r="BB459" s="120" t="str">
        <f>IFERROR(VLOOKUP(Table1[RespondentID],'All Data'!$A$3:$CO$999,93,FALSE),"unknown")</f>
        <v>Chinese</v>
      </c>
      <c r="BC459" s="120" t="str">
        <f>IFERROR(VLOOKUP(Table1[RespondentID],'All Data'!$A$3:$CW$999,94,FALSE),"unknown")</f>
        <v>$75,000 to $125,000</v>
      </c>
      <c r="BD459" s="120" t="str">
        <f>IFERROR(VLOOKUP(Table1[RespondentID],'All Data'!$A$3:$CW$999,95,FALSE),"unknown")</f>
        <v>College graduate</v>
      </c>
      <c r="BE459" s="120" t="str">
        <f>IFERROR(VLOOKUP(Table1[RespondentID],'All Data'!$A$3:$CW$999,96,FALSE),"unknown")</f>
        <v>Retired</v>
      </c>
      <c r="BF459" s="120" t="str">
        <f>IFERROR(VLOOKUP(Table1[RespondentID],'All Data'!$A$3:$CW$999,97,FALSE),"unknown")</f>
        <v>Yes</v>
      </c>
      <c r="BG459" s="120" t="str">
        <f>IFERROR(VLOOKUP(Table1[RespondentID],'All Data'!$A$3:$CW$999,98,FALSE),"unknown")</f>
        <v>Medicaid</v>
      </c>
      <c r="BH459" s="120" t="str">
        <f>IFERROR(VLOOKUP(Table1[RespondentID],'All Data'!$A$3:$CW$999,99,FALSE),"unknown")</f>
        <v>Yes</v>
      </c>
    </row>
    <row r="460" spans="1:60">
      <c r="A460" s="141">
        <v>18031752360</v>
      </c>
      <c r="B460" s="180" t="s">
        <v>49</v>
      </c>
      <c r="C460" s="181"/>
      <c r="D460" s="181"/>
      <c r="E460" s="181"/>
      <c r="F460" s="181"/>
      <c r="G460" s="181"/>
      <c r="H460" s="181" t="s">
        <v>54</v>
      </c>
      <c r="I460" s="181"/>
      <c r="J460" s="181"/>
      <c r="K460" s="181" t="s">
        <v>57</v>
      </c>
      <c r="L460" s="181" t="s">
        <v>58</v>
      </c>
      <c r="M460" s="181"/>
      <c r="N460" s="181"/>
      <c r="O460" s="181"/>
      <c r="P460" s="181"/>
      <c r="Q460" s="181"/>
      <c r="R460" s="181"/>
      <c r="S460" s="181"/>
      <c r="T460" s="184"/>
      <c r="U460" s="182">
        <f t="shared" si="161"/>
        <v>4</v>
      </c>
      <c r="V460" s="182">
        <f t="shared" si="162"/>
        <v>0.75</v>
      </c>
      <c r="W460" s="110"/>
      <c r="X460" s="182">
        <f t="shared" si="163"/>
        <v>0.75</v>
      </c>
      <c r="Y460" s="182">
        <f t="shared" si="164"/>
        <v>0</v>
      </c>
      <c r="Z460" s="182">
        <f t="shared" si="165"/>
        <v>0</v>
      </c>
      <c r="AA460" s="182">
        <f t="shared" si="166"/>
        <v>0</v>
      </c>
      <c r="AB460" s="182">
        <f t="shared" si="167"/>
        <v>0</v>
      </c>
      <c r="AC460" s="182">
        <f t="shared" si="168"/>
        <v>0</v>
      </c>
      <c r="AD460" s="182">
        <f t="shared" si="169"/>
        <v>0.75</v>
      </c>
      <c r="AE460" s="182">
        <f t="shared" si="170"/>
        <v>0</v>
      </c>
      <c r="AF460" s="182">
        <f t="shared" si="171"/>
        <v>0</v>
      </c>
      <c r="AG460" s="182">
        <f t="shared" si="172"/>
        <v>0.75</v>
      </c>
      <c r="AH460" s="182">
        <f t="shared" si="173"/>
        <v>0.75</v>
      </c>
      <c r="AI460" s="182">
        <f t="shared" si="174"/>
        <v>0</v>
      </c>
      <c r="AJ460" s="182">
        <f t="shared" si="175"/>
        <v>0</v>
      </c>
      <c r="AK460" s="182">
        <f t="shared" si="176"/>
        <v>0</v>
      </c>
      <c r="AL460" s="182">
        <f t="shared" si="177"/>
        <v>0</v>
      </c>
      <c r="AM460" s="182">
        <f t="shared" si="178"/>
        <v>0</v>
      </c>
      <c r="AN460" s="182">
        <f t="shared" si="179"/>
        <v>0</v>
      </c>
      <c r="AO460" s="182">
        <f t="shared" si="180"/>
        <v>0</v>
      </c>
      <c r="AP460" s="110"/>
      <c r="AQ460" s="110"/>
      <c r="AR460" s="182">
        <f t="shared" si="181"/>
        <v>3</v>
      </c>
      <c r="AS460" s="182">
        <f t="shared" si="182"/>
        <v>4</v>
      </c>
      <c r="AT460" s="182" t="str">
        <f t="shared" si="183"/>
        <v>Correct</v>
      </c>
      <c r="AU460" s="142"/>
      <c r="AV460" s="120" t="str">
        <f>IFERROR(VLOOKUP(Table1[RespondentID],'All Data'!$A$3:$CO$999,87,FALSE),"unknown")</f>
        <v>Man</v>
      </c>
      <c r="AW460" s="120">
        <f>IFERROR(VLOOKUP(Table1[RespondentID],'All Data'!$A$3:$CO$999,88,FALSE),"unknown")</f>
        <v>89</v>
      </c>
      <c r="AX460" s="120" t="str">
        <f>IFERROR(VLOOKUP(Table1[RespondentID],'All Data'!$A$3:$CO$999,89,FALSE),"unknown")</f>
        <v>Nassau</v>
      </c>
      <c r="AY460" s="120" t="str">
        <f>IFERROR(VLOOKUP(Table1[RespondentID],'All Data'!$A$3:$CO$999,90,FALSE),"unknown")</f>
        <v>New Hyde Park, 11040</v>
      </c>
      <c r="AZ460" s="120" t="str">
        <f>IFERROR(VLOOKUP(Table1[RespondentID],'All Data'!$A$3:$CO$999,91,FALSE),"unknown")</f>
        <v>White</v>
      </c>
      <c r="BA460" s="120">
        <f>IFERROR(VLOOKUP(Table1[RespondentID],'All Data'!$A$3:$CO$999,92,FALSE),"unknown")</f>
        <v>0</v>
      </c>
      <c r="BB460" s="120" t="str">
        <f>IFERROR(VLOOKUP(Table1[RespondentID],'All Data'!$A$3:$CO$999,93,FALSE),"unknown")</f>
        <v>English</v>
      </c>
      <c r="BC460" s="120">
        <f>IFERROR(VLOOKUP(Table1[RespondentID],'All Data'!$A$3:$CW$999,94,FALSE),"unknown")</f>
        <v>0</v>
      </c>
      <c r="BD460" s="120" t="str">
        <f>IFERROR(VLOOKUP(Table1[RespondentID],'All Data'!$A$3:$CW$999,95,FALSE),"unknown")</f>
        <v>Some high school</v>
      </c>
      <c r="BE460" s="120" t="str">
        <f>IFERROR(VLOOKUP(Table1[RespondentID],'All Data'!$A$3:$CW$999,96,FALSE),"unknown")</f>
        <v>Retired</v>
      </c>
      <c r="BF460" s="120" t="str">
        <f>IFERROR(VLOOKUP(Table1[RespondentID],'All Data'!$A$3:$CW$999,97,FALSE),"unknown")</f>
        <v>Yes</v>
      </c>
      <c r="BG460" s="120" t="str">
        <f>IFERROR(VLOOKUP(Table1[RespondentID],'All Data'!$A$3:$CW$999,98,FALSE),"unknown")</f>
        <v>Medicare</v>
      </c>
      <c r="BH460" s="120" t="str">
        <f>IFERROR(VLOOKUP(Table1[RespondentID],'All Data'!$A$3:$CW$999,99,FALSE),"unknown")</f>
        <v>No</v>
      </c>
    </row>
    <row r="461" spans="1:60">
      <c r="A461" s="141">
        <v>18031752309</v>
      </c>
      <c r="B461" s="180"/>
      <c r="C461" s="181"/>
      <c r="D461" s="181" t="s">
        <v>51</v>
      </c>
      <c r="E461" s="181" t="s">
        <v>17</v>
      </c>
      <c r="F461" s="181"/>
      <c r="G461" s="181"/>
      <c r="H461" s="181"/>
      <c r="I461" s="181"/>
      <c r="J461" s="181"/>
      <c r="K461" s="181" t="s">
        <v>57</v>
      </c>
      <c r="L461" s="181"/>
      <c r="M461" s="181"/>
      <c r="N461" s="181"/>
      <c r="O461" s="181"/>
      <c r="P461" s="181"/>
      <c r="Q461" s="181"/>
      <c r="R461" s="181"/>
      <c r="S461" s="181"/>
      <c r="T461" s="184"/>
      <c r="U461" s="182">
        <f t="shared" si="161"/>
        <v>3</v>
      </c>
      <c r="V461" s="182">
        <f t="shared" si="162"/>
        <v>1</v>
      </c>
      <c r="W461" s="110"/>
      <c r="X461" s="182">
        <f t="shared" si="163"/>
        <v>0</v>
      </c>
      <c r="Y461" s="182">
        <f t="shared" si="164"/>
        <v>0</v>
      </c>
      <c r="Z461" s="182">
        <f t="shared" si="165"/>
        <v>1</v>
      </c>
      <c r="AA461" s="182">
        <f t="shared" si="166"/>
        <v>1</v>
      </c>
      <c r="AB461" s="182">
        <f t="shared" si="167"/>
        <v>0</v>
      </c>
      <c r="AC461" s="182">
        <f t="shared" si="168"/>
        <v>0</v>
      </c>
      <c r="AD461" s="182">
        <f t="shared" si="169"/>
        <v>0</v>
      </c>
      <c r="AE461" s="182">
        <f t="shared" si="170"/>
        <v>0</v>
      </c>
      <c r="AF461" s="182">
        <f t="shared" si="171"/>
        <v>0</v>
      </c>
      <c r="AG461" s="182">
        <f t="shared" si="172"/>
        <v>1</v>
      </c>
      <c r="AH461" s="182">
        <f t="shared" si="173"/>
        <v>0</v>
      </c>
      <c r="AI461" s="182">
        <f t="shared" si="174"/>
        <v>0</v>
      </c>
      <c r="AJ461" s="182">
        <f t="shared" si="175"/>
        <v>0</v>
      </c>
      <c r="AK461" s="182">
        <f t="shared" si="176"/>
        <v>0</v>
      </c>
      <c r="AL461" s="182">
        <f t="shared" si="177"/>
        <v>0</v>
      </c>
      <c r="AM461" s="182">
        <f t="shared" si="178"/>
        <v>0</v>
      </c>
      <c r="AN461" s="182">
        <f t="shared" si="179"/>
        <v>0</v>
      </c>
      <c r="AO461" s="182">
        <f t="shared" si="180"/>
        <v>0</v>
      </c>
      <c r="AP461" s="110"/>
      <c r="AQ461" s="110"/>
      <c r="AR461" s="182">
        <f t="shared" si="181"/>
        <v>3</v>
      </c>
      <c r="AS461" s="182">
        <f t="shared" si="182"/>
        <v>3</v>
      </c>
      <c r="AT461" s="182" t="str">
        <f t="shared" si="183"/>
        <v>Correct</v>
      </c>
      <c r="AU461" s="142"/>
      <c r="AV461" s="120" t="str">
        <f>IFERROR(VLOOKUP(Table1[RespondentID],'All Data'!$A$3:$CO$999,87,FALSE),"unknown")</f>
        <v>Woman</v>
      </c>
      <c r="AW461" s="120">
        <f>IFERROR(VLOOKUP(Table1[RespondentID],'All Data'!$A$3:$CO$999,88,FALSE),"unknown")</f>
        <v>0</v>
      </c>
      <c r="AX461" s="120">
        <f>IFERROR(VLOOKUP(Table1[RespondentID],'All Data'!$A$3:$CO$999,89,FALSE),"unknown")</f>
        <v>0</v>
      </c>
      <c r="AY461" s="120">
        <f>IFERROR(VLOOKUP(Table1[RespondentID],'All Data'!$A$3:$CO$999,90,FALSE),"unknown")</f>
        <v>0</v>
      </c>
      <c r="AZ461" s="120" t="str">
        <f>IFERROR(VLOOKUP(Table1[RespondentID],'All Data'!$A$3:$CO$999,91,FALSE),"unknown")</f>
        <v>White</v>
      </c>
      <c r="BA461" s="120" t="str">
        <f>IFERROR(VLOOKUP(Table1[RespondentID],'All Data'!$A$3:$CO$999,92,FALSE),"unknown")</f>
        <v>Not Hispanic or Latino</v>
      </c>
      <c r="BB461" s="120" t="str">
        <f>IFERROR(VLOOKUP(Table1[RespondentID],'All Data'!$A$3:$CO$999,93,FALSE),"unknown")</f>
        <v>English</v>
      </c>
      <c r="BC461" s="120">
        <f>IFERROR(VLOOKUP(Table1[RespondentID],'All Data'!$A$3:$CW$999,94,FALSE),"unknown")</f>
        <v>0</v>
      </c>
      <c r="BD461" s="120" t="str">
        <f>IFERROR(VLOOKUP(Table1[RespondentID],'All Data'!$A$3:$CW$999,95,FALSE),"unknown")</f>
        <v>High school graduate</v>
      </c>
      <c r="BE461" s="120" t="str">
        <f>IFERROR(VLOOKUP(Table1[RespondentID],'All Data'!$A$3:$CW$999,96,FALSE),"unknown")</f>
        <v>Retired</v>
      </c>
      <c r="BF461" s="120" t="str">
        <f>IFERROR(VLOOKUP(Table1[RespondentID],'All Data'!$A$3:$CW$999,97,FALSE),"unknown")</f>
        <v>Yes</v>
      </c>
      <c r="BG461" s="120" t="str">
        <f>IFERROR(VLOOKUP(Table1[RespondentID],'All Data'!$A$3:$CW$999,98,FALSE),"unknown")</f>
        <v>Medicare</v>
      </c>
      <c r="BH461" s="120">
        <f>IFERROR(VLOOKUP(Table1[RespondentID],'All Data'!$A$3:$CW$999,99,FALSE),"unknown")</f>
        <v>0</v>
      </c>
    </row>
    <row r="462" spans="1:60">
      <c r="A462" s="141">
        <v>18031752239</v>
      </c>
      <c r="B462" s="180"/>
      <c r="C462" s="181"/>
      <c r="D462" s="181"/>
      <c r="E462" s="181"/>
      <c r="F462" s="181" t="s">
        <v>52</v>
      </c>
      <c r="G462" s="181"/>
      <c r="H462" s="181" t="s">
        <v>54</v>
      </c>
      <c r="I462" s="181" t="s">
        <v>55</v>
      </c>
      <c r="J462" s="181"/>
      <c r="K462" s="181"/>
      <c r="L462" s="181"/>
      <c r="M462" s="181"/>
      <c r="N462" s="181"/>
      <c r="O462" s="181"/>
      <c r="P462" s="181"/>
      <c r="Q462" s="181"/>
      <c r="R462" s="181"/>
      <c r="S462" s="181"/>
      <c r="T462" s="184"/>
      <c r="U462" s="182">
        <f t="shared" ref="U462:U493" si="184">COUNTA(B462:T462)</f>
        <v>3</v>
      </c>
      <c r="V462" s="182">
        <f t="shared" ref="V462:V493" si="185">3/U462</f>
        <v>1</v>
      </c>
      <c r="W462" s="110"/>
      <c r="X462" s="182">
        <f t="shared" ref="X462:X493" si="186">IF($U462&lt;3,IF($B462=$B$1,1,0),IF($B462=$B$1,$V462,0))</f>
        <v>0</v>
      </c>
      <c r="Y462" s="182">
        <f t="shared" ref="Y462:Y493" si="187">IF($U462&lt;3,IF($C462=$C$1,1,0),IF($C462=$C$1,$V462,0))</f>
        <v>0</v>
      </c>
      <c r="Z462" s="182">
        <f t="shared" ref="Z462:Z493" si="188">IF($U462&lt;3,IF($D462=$D$1,1,0),IF($D462=$D$1,$V462,0))</f>
        <v>0</v>
      </c>
      <c r="AA462" s="182">
        <f t="shared" ref="AA462:AA493" si="189">IF($U462&lt;3,IF($E462=$E$1,1,0),IF($E462=$E$1,$V462,0))</f>
        <v>0</v>
      </c>
      <c r="AB462" s="182">
        <f t="shared" ref="AB462:AB493" si="190">IF($U462&lt;3,IF($F462=$F$1,1,0),IF($F462=$F$1,$V462,0))</f>
        <v>1</v>
      </c>
      <c r="AC462" s="182">
        <f t="shared" ref="AC462:AC493" si="191">IF($U462&lt;3,IF($G462=$G$1,1,0),IF($G462=$G$1,$V462,0))</f>
        <v>0</v>
      </c>
      <c r="AD462" s="182">
        <f t="shared" ref="AD462:AD493" si="192">IF($U462&lt;3,IF($H462=$H$1,1,0),IF($H462=$H$1,$V462,0))</f>
        <v>1</v>
      </c>
      <c r="AE462" s="182">
        <f t="shared" ref="AE462:AE493" si="193">IF($U462&lt;3,IF($I462=$I$1,1,0),IF($I462=$I$1,$V462,0))</f>
        <v>1</v>
      </c>
      <c r="AF462" s="182">
        <f t="shared" ref="AF462:AF493" si="194">IF($U462&lt;3,IF($J462=$J$1,1,0),IF($J462=$J$1,$V462,0))</f>
        <v>0</v>
      </c>
      <c r="AG462" s="182">
        <f t="shared" ref="AG462:AG493" si="195">IF($U462&lt;3,IF($K462=$K$1,1,0),IF($K462=$K$1,$V462,0))</f>
        <v>0</v>
      </c>
      <c r="AH462" s="182">
        <f t="shared" ref="AH462:AH493" si="196">IF($U462&lt;3,IF($L462=$L$1,1,0),IF($L462=$L$1,$V462,0))</f>
        <v>0</v>
      </c>
      <c r="AI462" s="182">
        <f t="shared" ref="AI462:AI493" si="197">IF($U462&lt;3,IF($M462=$M$1,1,0),IF($M462=$M$1,$V462,0))</f>
        <v>0</v>
      </c>
      <c r="AJ462" s="182">
        <f t="shared" ref="AJ462:AJ493" si="198">IF($U462&lt;3,IF($N462=$N$1,1,0),IF($N462=$N$1,$V462,0))</f>
        <v>0</v>
      </c>
      <c r="AK462" s="182">
        <f t="shared" ref="AK462:AK493" si="199">IF($U462&lt;3,IF($O462=$O$1,1,0),IF($O462=$O$1,$V462,0))</f>
        <v>0</v>
      </c>
      <c r="AL462" s="182">
        <f t="shared" ref="AL462:AL493" si="200">IF($U462&lt;3,IF($P462=$P$1,1,0),IF($P462=$P$1,$V462,0))</f>
        <v>0</v>
      </c>
      <c r="AM462" s="182">
        <f t="shared" ref="AM462:AM493" si="201">IF($U462&lt;3,IF($Q462=$Q$1,1,0),IF($Q462=$Q$1,$V462,0))</f>
        <v>0</v>
      </c>
      <c r="AN462" s="182">
        <f t="shared" ref="AN462:AN493" si="202">IF($U462&lt;3,IF($R462=$R$1,1,0),IF($R462=$R$1,$V462,0))</f>
        <v>0</v>
      </c>
      <c r="AO462" s="182">
        <f t="shared" ref="AO462:AO493" si="203">IF($U462&lt;3,IF($S462=$S$1,1,0),IF($S462=$S$1,$V462,0))</f>
        <v>0</v>
      </c>
      <c r="AP462" s="110"/>
      <c r="AQ462" s="110"/>
      <c r="AR462" s="182">
        <f t="shared" ref="AR462:AR493" si="204">SUM(X462:AP462)</f>
        <v>3</v>
      </c>
      <c r="AS462" s="182">
        <f t="shared" ref="AS462:AS493" si="205">U462</f>
        <v>3</v>
      </c>
      <c r="AT462" s="182" t="str">
        <f t="shared" ref="AT462:AT493" si="206">IF(AR462=AS462,"Correct",IF(AR462=3,"Correct","Wrong"))</f>
        <v>Correct</v>
      </c>
      <c r="AU462" s="142"/>
      <c r="AV462" s="120" t="str">
        <f>IFERROR(VLOOKUP(Table1[RespondentID],'All Data'!$A$3:$CO$999,87,FALSE),"unknown")</f>
        <v>Woman</v>
      </c>
      <c r="AW462" s="120">
        <f>IFERROR(VLOOKUP(Table1[RespondentID],'All Data'!$A$3:$CO$999,88,FALSE),"unknown")</f>
        <v>77</v>
      </c>
      <c r="AX462" s="120" t="str">
        <f>IFERROR(VLOOKUP(Table1[RespondentID],'All Data'!$A$3:$CO$999,89,FALSE),"unknown")</f>
        <v>Nassau</v>
      </c>
      <c r="AY462" s="120" t="str">
        <f>IFERROR(VLOOKUP(Table1[RespondentID],'All Data'!$A$3:$CO$999,90,FALSE),"unknown")</f>
        <v>Carle Place, 11514</v>
      </c>
      <c r="AZ462" s="120" t="str">
        <f>IFERROR(VLOOKUP(Table1[RespondentID],'All Data'!$A$3:$CO$999,91,FALSE),"unknown")</f>
        <v>White</v>
      </c>
      <c r="BA462" s="120" t="str">
        <f>IFERROR(VLOOKUP(Table1[RespondentID],'All Data'!$A$3:$CO$999,92,FALSE),"unknown")</f>
        <v>Not Hispanic or Latino</v>
      </c>
      <c r="BB462" s="120" t="str">
        <f>IFERROR(VLOOKUP(Table1[RespondentID],'All Data'!$A$3:$CO$999,93,FALSE),"unknown")</f>
        <v>English</v>
      </c>
      <c r="BC462" s="120">
        <f>IFERROR(VLOOKUP(Table1[RespondentID],'All Data'!$A$3:$CW$999,94,FALSE),"unknown")</f>
        <v>0</v>
      </c>
      <c r="BD462" s="120">
        <f>IFERROR(VLOOKUP(Table1[RespondentID],'All Data'!$A$3:$CW$999,95,FALSE),"unknown")</f>
        <v>0</v>
      </c>
      <c r="BE462" s="120" t="str">
        <f>IFERROR(VLOOKUP(Table1[RespondentID],'All Data'!$A$3:$CW$999,96,FALSE),"unknown")</f>
        <v>Retired</v>
      </c>
      <c r="BF462" s="120" t="str">
        <f>IFERROR(VLOOKUP(Table1[RespondentID],'All Data'!$A$3:$CW$999,97,FALSE),"unknown")</f>
        <v>Yes</v>
      </c>
      <c r="BG462" s="120" t="str">
        <f>IFERROR(VLOOKUP(Table1[RespondentID],'All Data'!$A$3:$CW$999,98,FALSE),"unknown")</f>
        <v>Medicare,Private/Commercial</v>
      </c>
      <c r="BH462" s="120" t="str">
        <f>IFERROR(VLOOKUP(Table1[RespondentID],'All Data'!$A$3:$CW$999,99,FALSE),"unknown")</f>
        <v>Yes</v>
      </c>
    </row>
    <row r="463" spans="1:60">
      <c r="A463" s="141">
        <v>18031752178</v>
      </c>
      <c r="B463" s="180"/>
      <c r="C463" s="181"/>
      <c r="D463" s="181"/>
      <c r="E463" s="181"/>
      <c r="F463" s="181"/>
      <c r="G463" s="181"/>
      <c r="H463" s="181"/>
      <c r="I463" s="181" t="s">
        <v>55</v>
      </c>
      <c r="J463" s="181"/>
      <c r="K463" s="181"/>
      <c r="L463" s="181" t="s">
        <v>58</v>
      </c>
      <c r="M463" s="181"/>
      <c r="N463" s="181"/>
      <c r="O463" s="181"/>
      <c r="P463" s="181"/>
      <c r="Q463" s="181"/>
      <c r="R463" s="181" t="s">
        <v>62</v>
      </c>
      <c r="S463" s="181"/>
      <c r="T463" s="184"/>
      <c r="U463" s="182">
        <f t="shared" si="184"/>
        <v>3</v>
      </c>
      <c r="V463" s="182">
        <f t="shared" si="185"/>
        <v>1</v>
      </c>
      <c r="W463" s="110"/>
      <c r="X463" s="182">
        <f t="shared" si="186"/>
        <v>0</v>
      </c>
      <c r="Y463" s="182">
        <f t="shared" si="187"/>
        <v>0</v>
      </c>
      <c r="Z463" s="182">
        <f t="shared" si="188"/>
        <v>0</v>
      </c>
      <c r="AA463" s="182">
        <f t="shared" si="189"/>
        <v>0</v>
      </c>
      <c r="AB463" s="182">
        <f t="shared" si="190"/>
        <v>0</v>
      </c>
      <c r="AC463" s="182">
        <f t="shared" si="191"/>
        <v>0</v>
      </c>
      <c r="AD463" s="182">
        <f t="shared" si="192"/>
        <v>0</v>
      </c>
      <c r="AE463" s="182">
        <f t="shared" si="193"/>
        <v>1</v>
      </c>
      <c r="AF463" s="182">
        <f t="shared" si="194"/>
        <v>0</v>
      </c>
      <c r="AG463" s="182">
        <f t="shared" si="195"/>
        <v>0</v>
      </c>
      <c r="AH463" s="182">
        <f t="shared" si="196"/>
        <v>1</v>
      </c>
      <c r="AI463" s="182">
        <f t="shared" si="197"/>
        <v>0</v>
      </c>
      <c r="AJ463" s="182">
        <f t="shared" si="198"/>
        <v>0</v>
      </c>
      <c r="AK463" s="182">
        <f t="shared" si="199"/>
        <v>0</v>
      </c>
      <c r="AL463" s="182">
        <f t="shared" si="200"/>
        <v>0</v>
      </c>
      <c r="AM463" s="182">
        <f t="shared" si="201"/>
        <v>0</v>
      </c>
      <c r="AN463" s="182">
        <f t="shared" si="202"/>
        <v>1</v>
      </c>
      <c r="AO463" s="182">
        <f t="shared" si="203"/>
        <v>0</v>
      </c>
      <c r="AP463" s="110"/>
      <c r="AQ463" s="110"/>
      <c r="AR463" s="182">
        <f t="shared" si="204"/>
        <v>3</v>
      </c>
      <c r="AS463" s="182">
        <f t="shared" si="205"/>
        <v>3</v>
      </c>
      <c r="AT463" s="182" t="str">
        <f t="shared" si="206"/>
        <v>Correct</v>
      </c>
      <c r="AU463" s="142"/>
      <c r="AV463" s="120" t="str">
        <f>IFERROR(VLOOKUP(Table1[RespondentID],'All Data'!$A$3:$CO$999,87,FALSE),"unknown")</f>
        <v>Woman</v>
      </c>
      <c r="AW463" s="120">
        <f>IFERROR(VLOOKUP(Table1[RespondentID],'All Data'!$A$3:$CO$999,88,FALSE),"unknown")</f>
        <v>73</v>
      </c>
      <c r="AX463" s="120" t="str">
        <f>IFERROR(VLOOKUP(Table1[RespondentID],'All Data'!$A$3:$CO$999,89,FALSE),"unknown")</f>
        <v>Nassau</v>
      </c>
      <c r="AY463" s="120" t="str">
        <f>IFERROR(VLOOKUP(Table1[RespondentID],'All Data'!$A$3:$CO$999,90,FALSE),"unknown")</f>
        <v>New Cassel, 11590</v>
      </c>
      <c r="AZ463" s="120" t="str">
        <f>IFERROR(VLOOKUP(Table1[RespondentID],'All Data'!$A$3:$CO$999,91,FALSE),"unknown")</f>
        <v>White</v>
      </c>
      <c r="BA463" s="120" t="str">
        <f>IFERROR(VLOOKUP(Table1[RespondentID],'All Data'!$A$3:$CO$999,92,FALSE),"unknown")</f>
        <v>Not Hispanic or Latino</v>
      </c>
      <c r="BB463" s="120" t="str">
        <f>IFERROR(VLOOKUP(Table1[RespondentID],'All Data'!$A$3:$CO$999,93,FALSE),"unknown")</f>
        <v>English</v>
      </c>
      <c r="BC463" s="120" t="str">
        <f>IFERROR(VLOOKUP(Table1[RespondentID],'All Data'!$A$3:$CW$999,94,FALSE),"unknown")</f>
        <v>$75,000 to $125,000</v>
      </c>
      <c r="BD463" s="120" t="str">
        <f>IFERROR(VLOOKUP(Table1[RespondentID],'All Data'!$A$3:$CW$999,95,FALSE),"unknown")</f>
        <v>College graduate</v>
      </c>
      <c r="BE463" s="120" t="str">
        <f>IFERROR(VLOOKUP(Table1[RespondentID],'All Data'!$A$3:$CW$999,96,FALSE),"unknown")</f>
        <v>Retired</v>
      </c>
      <c r="BF463" s="120" t="str">
        <f>IFERROR(VLOOKUP(Table1[RespondentID],'All Data'!$A$3:$CW$999,97,FALSE),"unknown")</f>
        <v>Yes</v>
      </c>
      <c r="BG463" s="120" t="str">
        <f>IFERROR(VLOOKUP(Table1[RespondentID],'All Data'!$A$3:$CW$999,98,FALSE),"unknown")</f>
        <v>Medicare</v>
      </c>
      <c r="BH463" s="120" t="str">
        <f>IFERROR(VLOOKUP(Table1[RespondentID],'All Data'!$A$3:$CW$999,99,FALSE),"unknown")</f>
        <v>Yes</v>
      </c>
    </row>
    <row r="464" spans="1:60">
      <c r="A464" s="141">
        <v>18031752106</v>
      </c>
      <c r="B464" s="180" t="s">
        <v>49</v>
      </c>
      <c r="C464" s="181"/>
      <c r="D464" s="181"/>
      <c r="E464" s="181" t="s">
        <v>17</v>
      </c>
      <c r="F464" s="181"/>
      <c r="G464" s="181"/>
      <c r="H464" s="181"/>
      <c r="I464" s="181" t="s">
        <v>55</v>
      </c>
      <c r="J464" s="181"/>
      <c r="K464" s="181"/>
      <c r="L464" s="181"/>
      <c r="M464" s="181"/>
      <c r="N464" s="181"/>
      <c r="O464" s="181"/>
      <c r="P464" s="181"/>
      <c r="Q464" s="181"/>
      <c r="R464" s="181"/>
      <c r="S464" s="181"/>
      <c r="T464" s="184"/>
      <c r="U464" s="182">
        <f t="shared" si="184"/>
        <v>3</v>
      </c>
      <c r="V464" s="182">
        <f t="shared" si="185"/>
        <v>1</v>
      </c>
      <c r="W464" s="110"/>
      <c r="X464" s="182">
        <f t="shared" si="186"/>
        <v>1</v>
      </c>
      <c r="Y464" s="182">
        <f t="shared" si="187"/>
        <v>0</v>
      </c>
      <c r="Z464" s="182">
        <f t="shared" si="188"/>
        <v>0</v>
      </c>
      <c r="AA464" s="182">
        <f t="shared" si="189"/>
        <v>1</v>
      </c>
      <c r="AB464" s="182">
        <f t="shared" si="190"/>
        <v>0</v>
      </c>
      <c r="AC464" s="182">
        <f t="shared" si="191"/>
        <v>0</v>
      </c>
      <c r="AD464" s="182">
        <f t="shared" si="192"/>
        <v>0</v>
      </c>
      <c r="AE464" s="182">
        <f t="shared" si="193"/>
        <v>1</v>
      </c>
      <c r="AF464" s="182">
        <f t="shared" si="194"/>
        <v>0</v>
      </c>
      <c r="AG464" s="182">
        <f t="shared" si="195"/>
        <v>0</v>
      </c>
      <c r="AH464" s="182">
        <f t="shared" si="196"/>
        <v>0</v>
      </c>
      <c r="AI464" s="182">
        <f t="shared" si="197"/>
        <v>0</v>
      </c>
      <c r="AJ464" s="182">
        <f t="shared" si="198"/>
        <v>0</v>
      </c>
      <c r="AK464" s="182">
        <f t="shared" si="199"/>
        <v>0</v>
      </c>
      <c r="AL464" s="182">
        <f t="shared" si="200"/>
        <v>0</v>
      </c>
      <c r="AM464" s="182">
        <f t="shared" si="201"/>
        <v>0</v>
      </c>
      <c r="AN464" s="182">
        <f t="shared" si="202"/>
        <v>0</v>
      </c>
      <c r="AO464" s="182">
        <f t="shared" si="203"/>
        <v>0</v>
      </c>
      <c r="AP464" s="110"/>
      <c r="AQ464" s="110"/>
      <c r="AR464" s="182">
        <f t="shared" si="204"/>
        <v>3</v>
      </c>
      <c r="AS464" s="182">
        <f t="shared" si="205"/>
        <v>3</v>
      </c>
      <c r="AT464" s="182" t="str">
        <f t="shared" si="206"/>
        <v>Correct</v>
      </c>
      <c r="AU464" s="142"/>
      <c r="AV464" s="120" t="str">
        <f>IFERROR(VLOOKUP(Table1[RespondentID],'All Data'!$A$3:$CO$999,87,FALSE),"unknown")</f>
        <v>Man</v>
      </c>
      <c r="AW464" s="120">
        <f>IFERROR(VLOOKUP(Table1[RespondentID],'All Data'!$A$3:$CO$999,88,FALSE),"unknown")</f>
        <v>74</v>
      </c>
      <c r="AX464" s="120" t="str">
        <f>IFERROR(VLOOKUP(Table1[RespondentID],'All Data'!$A$3:$CO$999,89,FALSE),"unknown")</f>
        <v>Nassau</v>
      </c>
      <c r="AY464" s="120" t="str">
        <f>IFERROR(VLOOKUP(Table1[RespondentID],'All Data'!$A$3:$CO$999,90,FALSE),"unknown")</f>
        <v>Westbury, 11590</v>
      </c>
      <c r="AZ464" s="120" t="str">
        <f>IFERROR(VLOOKUP(Table1[RespondentID],'All Data'!$A$3:$CO$999,91,FALSE),"unknown")</f>
        <v>White</v>
      </c>
      <c r="BA464" s="120">
        <f>IFERROR(VLOOKUP(Table1[RespondentID],'All Data'!$A$3:$CO$999,92,FALSE),"unknown")</f>
        <v>0</v>
      </c>
      <c r="BB464" s="120" t="str">
        <f>IFERROR(VLOOKUP(Table1[RespondentID],'All Data'!$A$3:$CO$999,93,FALSE),"unknown")</f>
        <v>English</v>
      </c>
      <c r="BC464" s="120" t="str">
        <f>IFERROR(VLOOKUP(Table1[RespondentID],'All Data'!$A$3:$CW$999,94,FALSE),"unknown")</f>
        <v>Over $125,000</v>
      </c>
      <c r="BD464" s="120" t="str">
        <f>IFERROR(VLOOKUP(Table1[RespondentID],'All Data'!$A$3:$CW$999,95,FALSE),"unknown")</f>
        <v>Graduate school</v>
      </c>
      <c r="BE464" s="120" t="str">
        <f>IFERROR(VLOOKUP(Table1[RespondentID],'All Data'!$A$3:$CW$999,96,FALSE),"unknown")</f>
        <v>Retired</v>
      </c>
      <c r="BF464" s="120" t="str">
        <f>IFERROR(VLOOKUP(Table1[RespondentID],'All Data'!$A$3:$CW$999,97,FALSE),"unknown")</f>
        <v>Yes</v>
      </c>
      <c r="BG464" s="120" t="str">
        <f>IFERROR(VLOOKUP(Table1[RespondentID],'All Data'!$A$3:$CW$999,98,FALSE),"unknown")</f>
        <v>Medicare,Private/Commercial</v>
      </c>
      <c r="BH464" s="120" t="str">
        <f>IFERROR(VLOOKUP(Table1[RespondentID],'All Data'!$A$3:$CW$999,99,FALSE),"unknown")</f>
        <v>Yes</v>
      </c>
    </row>
    <row r="465" spans="1:60">
      <c r="A465" s="141">
        <v>18031752041</v>
      </c>
      <c r="B465" s="180"/>
      <c r="C465" s="181"/>
      <c r="D465" s="181"/>
      <c r="E465" s="181"/>
      <c r="F465" s="181"/>
      <c r="G465" s="181"/>
      <c r="H465" s="181" t="s">
        <v>54</v>
      </c>
      <c r="I465" s="181" t="s">
        <v>55</v>
      </c>
      <c r="J465" s="181"/>
      <c r="K465" s="181"/>
      <c r="L465" s="181" t="s">
        <v>58</v>
      </c>
      <c r="M465" s="181"/>
      <c r="N465" s="181"/>
      <c r="O465" s="181"/>
      <c r="P465" s="181"/>
      <c r="Q465" s="181"/>
      <c r="R465" s="181"/>
      <c r="S465" s="181"/>
      <c r="T465" s="184"/>
      <c r="U465" s="182">
        <f t="shared" si="184"/>
        <v>3</v>
      </c>
      <c r="V465" s="182">
        <f t="shared" si="185"/>
        <v>1</v>
      </c>
      <c r="W465" s="110"/>
      <c r="X465" s="182">
        <f t="shared" si="186"/>
        <v>0</v>
      </c>
      <c r="Y465" s="182">
        <f t="shared" si="187"/>
        <v>0</v>
      </c>
      <c r="Z465" s="182">
        <f t="shared" si="188"/>
        <v>0</v>
      </c>
      <c r="AA465" s="182">
        <f t="shared" si="189"/>
        <v>0</v>
      </c>
      <c r="AB465" s="182">
        <f t="shared" si="190"/>
        <v>0</v>
      </c>
      <c r="AC465" s="182">
        <f t="shared" si="191"/>
        <v>0</v>
      </c>
      <c r="AD465" s="182">
        <f t="shared" si="192"/>
        <v>1</v>
      </c>
      <c r="AE465" s="182">
        <f t="shared" si="193"/>
        <v>1</v>
      </c>
      <c r="AF465" s="182">
        <f t="shared" si="194"/>
        <v>0</v>
      </c>
      <c r="AG465" s="182">
        <f t="shared" si="195"/>
        <v>0</v>
      </c>
      <c r="AH465" s="182">
        <f t="shared" si="196"/>
        <v>1</v>
      </c>
      <c r="AI465" s="182">
        <f t="shared" si="197"/>
        <v>0</v>
      </c>
      <c r="AJ465" s="182">
        <f t="shared" si="198"/>
        <v>0</v>
      </c>
      <c r="AK465" s="182">
        <f t="shared" si="199"/>
        <v>0</v>
      </c>
      <c r="AL465" s="182">
        <f t="shared" si="200"/>
        <v>0</v>
      </c>
      <c r="AM465" s="182">
        <f t="shared" si="201"/>
        <v>0</v>
      </c>
      <c r="AN465" s="182">
        <f t="shared" si="202"/>
        <v>0</v>
      </c>
      <c r="AO465" s="182">
        <f t="shared" si="203"/>
        <v>0</v>
      </c>
      <c r="AP465" s="110"/>
      <c r="AQ465" s="110"/>
      <c r="AR465" s="182">
        <f t="shared" si="204"/>
        <v>3</v>
      </c>
      <c r="AS465" s="182">
        <f t="shared" si="205"/>
        <v>3</v>
      </c>
      <c r="AT465" s="182" t="str">
        <f t="shared" si="206"/>
        <v>Correct</v>
      </c>
      <c r="AU465" s="142"/>
      <c r="AV465" s="120" t="str">
        <f>IFERROR(VLOOKUP(Table1[RespondentID],'All Data'!$A$3:$CO$999,87,FALSE),"unknown")</f>
        <v>Woman</v>
      </c>
      <c r="AW465" s="120">
        <f>IFERROR(VLOOKUP(Table1[RespondentID],'All Data'!$A$3:$CO$999,88,FALSE),"unknown")</f>
        <v>63</v>
      </c>
      <c r="AX465" s="120" t="str">
        <f>IFERROR(VLOOKUP(Table1[RespondentID],'All Data'!$A$3:$CO$999,89,FALSE),"unknown")</f>
        <v>Nassau</v>
      </c>
      <c r="AY465" s="120" t="str">
        <f>IFERROR(VLOOKUP(Table1[RespondentID],'All Data'!$A$3:$CO$999,90,FALSE),"unknown")</f>
        <v>North Massapequa, 11758</v>
      </c>
      <c r="AZ465" s="120" t="str">
        <f>IFERROR(VLOOKUP(Table1[RespondentID],'All Data'!$A$3:$CO$999,91,FALSE),"unknown")</f>
        <v>White</v>
      </c>
      <c r="BA465" s="120" t="str">
        <f>IFERROR(VLOOKUP(Table1[RespondentID],'All Data'!$A$3:$CO$999,92,FALSE),"unknown")</f>
        <v>Not Hispanic or Latino</v>
      </c>
      <c r="BB465" s="120" t="str">
        <f>IFERROR(VLOOKUP(Table1[RespondentID],'All Data'!$A$3:$CO$999,93,FALSE),"unknown")</f>
        <v>English</v>
      </c>
      <c r="BC465" s="120">
        <f>IFERROR(VLOOKUP(Table1[RespondentID],'All Data'!$A$3:$CW$999,94,FALSE),"unknown")</f>
        <v>0</v>
      </c>
      <c r="BD465" s="120" t="str">
        <f>IFERROR(VLOOKUP(Table1[RespondentID],'All Data'!$A$3:$CW$999,95,FALSE),"unknown")</f>
        <v>College graduate</v>
      </c>
      <c r="BE465" s="120" t="str">
        <f>IFERROR(VLOOKUP(Table1[RespondentID],'All Data'!$A$3:$CW$999,96,FALSE),"unknown")</f>
        <v>Retired</v>
      </c>
      <c r="BF465" s="120" t="str">
        <f>IFERROR(VLOOKUP(Table1[RespondentID],'All Data'!$A$3:$CW$999,97,FALSE),"unknown")</f>
        <v>Yes</v>
      </c>
      <c r="BG465" s="120" t="str">
        <f>IFERROR(VLOOKUP(Table1[RespondentID],'All Data'!$A$3:$CW$999,98,FALSE),"unknown")</f>
        <v>Private/Commercial</v>
      </c>
      <c r="BH465" s="120" t="str">
        <f>IFERROR(VLOOKUP(Table1[RespondentID],'All Data'!$A$3:$CW$999,99,FALSE),"unknown")</f>
        <v>Yes</v>
      </c>
    </row>
    <row r="466" spans="1:60">
      <c r="A466" s="141">
        <v>18031751982</v>
      </c>
      <c r="B466" s="180"/>
      <c r="C466" s="181"/>
      <c r="D466" s="181" t="s">
        <v>51</v>
      </c>
      <c r="E466" s="181"/>
      <c r="F466" s="181"/>
      <c r="G466" s="181"/>
      <c r="H466" s="181"/>
      <c r="I466" s="181"/>
      <c r="J466" s="181"/>
      <c r="K466" s="181"/>
      <c r="L466" s="181" t="s">
        <v>58</v>
      </c>
      <c r="M466" s="181"/>
      <c r="N466" s="181" t="s">
        <v>24</v>
      </c>
      <c r="O466" s="181"/>
      <c r="P466" s="181"/>
      <c r="Q466" s="181"/>
      <c r="R466" s="181"/>
      <c r="S466" s="181"/>
      <c r="T466" s="184"/>
      <c r="U466" s="182">
        <f t="shared" si="184"/>
        <v>3</v>
      </c>
      <c r="V466" s="182">
        <f t="shared" si="185"/>
        <v>1</v>
      </c>
      <c r="W466" s="110"/>
      <c r="X466" s="182">
        <f t="shared" si="186"/>
        <v>0</v>
      </c>
      <c r="Y466" s="182">
        <f t="shared" si="187"/>
        <v>0</v>
      </c>
      <c r="Z466" s="182">
        <f t="shared" si="188"/>
        <v>1</v>
      </c>
      <c r="AA466" s="182">
        <f t="shared" si="189"/>
        <v>0</v>
      </c>
      <c r="AB466" s="182">
        <f t="shared" si="190"/>
        <v>0</v>
      </c>
      <c r="AC466" s="182">
        <f t="shared" si="191"/>
        <v>0</v>
      </c>
      <c r="AD466" s="182">
        <f t="shared" si="192"/>
        <v>0</v>
      </c>
      <c r="AE466" s="182">
        <f t="shared" si="193"/>
        <v>0</v>
      </c>
      <c r="AF466" s="182">
        <f t="shared" si="194"/>
        <v>0</v>
      </c>
      <c r="AG466" s="182">
        <f t="shared" si="195"/>
        <v>0</v>
      </c>
      <c r="AH466" s="182">
        <f t="shared" si="196"/>
        <v>1</v>
      </c>
      <c r="AI466" s="182">
        <f t="shared" si="197"/>
        <v>0</v>
      </c>
      <c r="AJ466" s="182">
        <f t="shared" si="198"/>
        <v>1</v>
      </c>
      <c r="AK466" s="182">
        <f t="shared" si="199"/>
        <v>0</v>
      </c>
      <c r="AL466" s="182">
        <f t="shared" si="200"/>
        <v>0</v>
      </c>
      <c r="AM466" s="182">
        <f t="shared" si="201"/>
        <v>0</v>
      </c>
      <c r="AN466" s="182">
        <f t="shared" si="202"/>
        <v>0</v>
      </c>
      <c r="AO466" s="182">
        <f t="shared" si="203"/>
        <v>0</v>
      </c>
      <c r="AP466" s="110"/>
      <c r="AQ466" s="110"/>
      <c r="AR466" s="182">
        <f t="shared" si="204"/>
        <v>3</v>
      </c>
      <c r="AS466" s="182">
        <f t="shared" si="205"/>
        <v>3</v>
      </c>
      <c r="AT466" s="182" t="str">
        <f t="shared" si="206"/>
        <v>Correct</v>
      </c>
      <c r="AU466" s="142"/>
      <c r="AV466" s="120" t="str">
        <f>IFERROR(VLOOKUP(Table1[RespondentID],'All Data'!$A$3:$CO$999,87,FALSE),"unknown")</f>
        <v>Woman</v>
      </c>
      <c r="AW466" s="120">
        <f>IFERROR(VLOOKUP(Table1[RespondentID],'All Data'!$A$3:$CO$999,88,FALSE),"unknown")</f>
        <v>0</v>
      </c>
      <c r="AX466" s="120" t="str">
        <f>IFERROR(VLOOKUP(Table1[RespondentID],'All Data'!$A$3:$CO$999,89,FALSE),"unknown")</f>
        <v>Suffolk</v>
      </c>
      <c r="AY466" s="120" t="str">
        <f>IFERROR(VLOOKUP(Table1[RespondentID],'All Data'!$A$3:$CO$999,90,FALSE),"unknown")</f>
        <v>West Babylon, 11704</v>
      </c>
      <c r="AZ466" s="120" t="str">
        <f>IFERROR(VLOOKUP(Table1[RespondentID],'All Data'!$A$3:$CO$999,91,FALSE),"unknown")</f>
        <v>White</v>
      </c>
      <c r="BA466" s="120" t="str">
        <f>IFERROR(VLOOKUP(Table1[RespondentID],'All Data'!$A$3:$CO$999,92,FALSE),"unknown")</f>
        <v>Not Hispanic or Latino</v>
      </c>
      <c r="BB466" s="120" t="str">
        <f>IFERROR(VLOOKUP(Table1[RespondentID],'All Data'!$A$3:$CO$999,93,FALSE),"unknown")</f>
        <v>English</v>
      </c>
      <c r="BC466" s="120" t="str">
        <f>IFERROR(VLOOKUP(Table1[RespondentID],'All Data'!$A$3:$CW$999,94,FALSE),"unknown")</f>
        <v>Over $125,000</v>
      </c>
      <c r="BD466" s="120" t="str">
        <f>IFERROR(VLOOKUP(Table1[RespondentID],'All Data'!$A$3:$CW$999,95,FALSE),"unknown")</f>
        <v>Graduate school</v>
      </c>
      <c r="BE466" s="120" t="str">
        <f>IFERROR(VLOOKUP(Table1[RespondentID],'All Data'!$A$3:$CW$999,96,FALSE),"unknown")</f>
        <v>Employed for wages</v>
      </c>
      <c r="BF466" s="120" t="str">
        <f>IFERROR(VLOOKUP(Table1[RespondentID],'All Data'!$A$3:$CW$999,97,FALSE),"unknown")</f>
        <v>Yes</v>
      </c>
      <c r="BG466" s="120" t="str">
        <f>IFERROR(VLOOKUP(Table1[RespondentID],'All Data'!$A$3:$CW$999,98,FALSE),"unknown")</f>
        <v>Private/Commercial</v>
      </c>
      <c r="BH466" s="120" t="str">
        <f>IFERROR(VLOOKUP(Table1[RespondentID],'All Data'!$A$3:$CW$999,99,FALSE),"unknown")</f>
        <v>Yes</v>
      </c>
    </row>
    <row r="467" spans="1:60">
      <c r="A467" s="141">
        <v>18031751744</v>
      </c>
      <c r="B467" s="180"/>
      <c r="C467" s="181"/>
      <c r="D467" s="181" t="s">
        <v>51</v>
      </c>
      <c r="E467" s="181"/>
      <c r="F467" s="181"/>
      <c r="G467" s="181"/>
      <c r="H467" s="181"/>
      <c r="I467" s="181" t="s">
        <v>55</v>
      </c>
      <c r="J467" s="181"/>
      <c r="K467" s="181"/>
      <c r="L467" s="181"/>
      <c r="M467" s="181"/>
      <c r="N467" s="181" t="s">
        <v>24</v>
      </c>
      <c r="O467" s="181"/>
      <c r="P467" s="181"/>
      <c r="Q467" s="181"/>
      <c r="R467" s="181"/>
      <c r="S467" s="181"/>
      <c r="T467" s="184"/>
      <c r="U467" s="182">
        <f t="shared" si="184"/>
        <v>3</v>
      </c>
      <c r="V467" s="182">
        <f t="shared" si="185"/>
        <v>1</v>
      </c>
      <c r="W467" s="110"/>
      <c r="X467" s="182">
        <f t="shared" si="186"/>
        <v>0</v>
      </c>
      <c r="Y467" s="182">
        <f t="shared" si="187"/>
        <v>0</v>
      </c>
      <c r="Z467" s="182">
        <f t="shared" si="188"/>
        <v>1</v>
      </c>
      <c r="AA467" s="182">
        <f t="shared" si="189"/>
        <v>0</v>
      </c>
      <c r="AB467" s="182">
        <f t="shared" si="190"/>
        <v>0</v>
      </c>
      <c r="AC467" s="182">
        <f t="shared" si="191"/>
        <v>0</v>
      </c>
      <c r="AD467" s="182">
        <f t="shared" si="192"/>
        <v>0</v>
      </c>
      <c r="AE467" s="182">
        <f t="shared" si="193"/>
        <v>1</v>
      </c>
      <c r="AF467" s="182">
        <f t="shared" si="194"/>
        <v>0</v>
      </c>
      <c r="AG467" s="182">
        <f t="shared" si="195"/>
        <v>0</v>
      </c>
      <c r="AH467" s="182">
        <f t="shared" si="196"/>
        <v>0</v>
      </c>
      <c r="AI467" s="182">
        <f t="shared" si="197"/>
        <v>0</v>
      </c>
      <c r="AJ467" s="182">
        <f t="shared" si="198"/>
        <v>1</v>
      </c>
      <c r="AK467" s="182">
        <f t="shared" si="199"/>
        <v>0</v>
      </c>
      <c r="AL467" s="182">
        <f t="shared" si="200"/>
        <v>0</v>
      </c>
      <c r="AM467" s="182">
        <f t="shared" si="201"/>
        <v>0</v>
      </c>
      <c r="AN467" s="182">
        <f t="shared" si="202"/>
        <v>0</v>
      </c>
      <c r="AO467" s="182">
        <f t="shared" si="203"/>
        <v>0</v>
      </c>
      <c r="AP467" s="110"/>
      <c r="AQ467" s="110"/>
      <c r="AR467" s="182">
        <f t="shared" si="204"/>
        <v>3</v>
      </c>
      <c r="AS467" s="182">
        <f t="shared" si="205"/>
        <v>3</v>
      </c>
      <c r="AT467" s="182" t="str">
        <f t="shared" si="206"/>
        <v>Correct</v>
      </c>
      <c r="AU467" s="142"/>
      <c r="AV467" s="120" t="str">
        <f>IFERROR(VLOOKUP(Table1[RespondentID],'All Data'!$A$3:$CO$999,87,FALSE),"unknown")</f>
        <v>Man</v>
      </c>
      <c r="AW467" s="120">
        <f>IFERROR(VLOOKUP(Table1[RespondentID],'All Data'!$A$3:$CO$999,88,FALSE),"unknown")</f>
        <v>59</v>
      </c>
      <c r="AX467" s="120" t="str">
        <f>IFERROR(VLOOKUP(Table1[RespondentID],'All Data'!$A$3:$CO$999,89,FALSE),"unknown")</f>
        <v>Suffolk</v>
      </c>
      <c r="AY467" s="120" t="str">
        <f>IFERROR(VLOOKUP(Table1[RespondentID],'All Data'!$A$3:$CO$999,90,FALSE),"unknown")</f>
        <v>Huntington Station, 11746</v>
      </c>
      <c r="AZ467" s="120" t="str">
        <f>IFERROR(VLOOKUP(Table1[RespondentID],'All Data'!$A$3:$CO$999,91,FALSE),"unknown")</f>
        <v>Asian</v>
      </c>
      <c r="BA467" s="120" t="str">
        <f>IFERROR(VLOOKUP(Table1[RespondentID],'All Data'!$A$3:$CO$999,92,FALSE),"unknown")</f>
        <v>Not Hispanic or Latino</v>
      </c>
      <c r="BB467" s="120" t="str">
        <f>IFERROR(VLOOKUP(Table1[RespondentID],'All Data'!$A$3:$CO$999,93,FALSE),"unknown")</f>
        <v>English</v>
      </c>
      <c r="BC467" s="120" t="str">
        <f>IFERROR(VLOOKUP(Table1[RespondentID],'All Data'!$A$3:$CW$999,94,FALSE),"unknown")</f>
        <v>Over $125,000</v>
      </c>
      <c r="BD467" s="120" t="str">
        <f>IFERROR(VLOOKUP(Table1[RespondentID],'All Data'!$A$3:$CW$999,95,FALSE),"unknown")</f>
        <v>Graduate school</v>
      </c>
      <c r="BE467" s="120" t="str">
        <f>IFERROR(VLOOKUP(Table1[RespondentID],'All Data'!$A$3:$CW$999,96,FALSE),"unknown")</f>
        <v>Self-employed</v>
      </c>
      <c r="BF467" s="120" t="str">
        <f>IFERROR(VLOOKUP(Table1[RespondentID],'All Data'!$A$3:$CW$999,97,FALSE),"unknown")</f>
        <v>Yes</v>
      </c>
      <c r="BG467" s="120" t="str">
        <f>IFERROR(VLOOKUP(Table1[RespondentID],'All Data'!$A$3:$CW$999,98,FALSE),"unknown")</f>
        <v>Private/Commercial</v>
      </c>
      <c r="BH467" s="120" t="str">
        <f>IFERROR(VLOOKUP(Table1[RespondentID],'All Data'!$A$3:$CW$999,99,FALSE),"unknown")</f>
        <v>Yes</v>
      </c>
    </row>
    <row r="468" spans="1:60">
      <c r="A468" s="141">
        <v>18031751661</v>
      </c>
      <c r="B468" s="180"/>
      <c r="C468" s="181"/>
      <c r="D468" s="181"/>
      <c r="E468" s="181"/>
      <c r="F468" s="181"/>
      <c r="G468" s="181"/>
      <c r="H468" s="181"/>
      <c r="I468" s="181"/>
      <c r="J468" s="181"/>
      <c r="K468" s="181"/>
      <c r="L468" s="181" t="s">
        <v>58</v>
      </c>
      <c r="M468" s="181"/>
      <c r="N468" s="181"/>
      <c r="O468" s="181"/>
      <c r="P468" s="181"/>
      <c r="Q468" s="181"/>
      <c r="R468" s="181" t="s">
        <v>62</v>
      </c>
      <c r="S468" s="181"/>
      <c r="T468" s="184"/>
      <c r="U468" s="182">
        <f t="shared" si="184"/>
        <v>2</v>
      </c>
      <c r="V468" s="182">
        <f t="shared" si="185"/>
        <v>1.5</v>
      </c>
      <c r="W468" s="110"/>
      <c r="X468" s="182">
        <f t="shared" si="186"/>
        <v>0</v>
      </c>
      <c r="Y468" s="182">
        <f t="shared" si="187"/>
        <v>0</v>
      </c>
      <c r="Z468" s="182">
        <f t="shared" si="188"/>
        <v>0</v>
      </c>
      <c r="AA468" s="182">
        <f t="shared" si="189"/>
        <v>0</v>
      </c>
      <c r="AB468" s="182">
        <f t="shared" si="190"/>
        <v>0</v>
      </c>
      <c r="AC468" s="182">
        <f t="shared" si="191"/>
        <v>0</v>
      </c>
      <c r="AD468" s="182">
        <f t="shared" si="192"/>
        <v>0</v>
      </c>
      <c r="AE468" s="182">
        <f t="shared" si="193"/>
        <v>0</v>
      </c>
      <c r="AF468" s="182">
        <f t="shared" si="194"/>
        <v>0</v>
      </c>
      <c r="AG468" s="182">
        <f t="shared" si="195"/>
        <v>0</v>
      </c>
      <c r="AH468" s="182">
        <f t="shared" si="196"/>
        <v>1</v>
      </c>
      <c r="AI468" s="182">
        <f t="shared" si="197"/>
        <v>0</v>
      </c>
      <c r="AJ468" s="182">
        <f t="shared" si="198"/>
        <v>0</v>
      </c>
      <c r="AK468" s="182">
        <f t="shared" si="199"/>
        <v>0</v>
      </c>
      <c r="AL468" s="182">
        <f t="shared" si="200"/>
        <v>0</v>
      </c>
      <c r="AM468" s="182">
        <f t="shared" si="201"/>
        <v>0</v>
      </c>
      <c r="AN468" s="182">
        <f t="shared" si="202"/>
        <v>1</v>
      </c>
      <c r="AO468" s="182">
        <f t="shared" si="203"/>
        <v>0</v>
      </c>
      <c r="AP468" s="110"/>
      <c r="AQ468" s="110"/>
      <c r="AR468" s="182">
        <f t="shared" si="204"/>
        <v>2</v>
      </c>
      <c r="AS468" s="182">
        <f t="shared" si="205"/>
        <v>2</v>
      </c>
      <c r="AT468" s="182" t="str">
        <f t="shared" si="206"/>
        <v>Correct</v>
      </c>
      <c r="AU468" s="142"/>
      <c r="AV468" s="120" t="str">
        <f>IFERROR(VLOOKUP(Table1[RespondentID],'All Data'!$A$3:$CO$999,87,FALSE),"unknown")</f>
        <v>Woman</v>
      </c>
      <c r="AW468" s="120">
        <f>IFERROR(VLOOKUP(Table1[RespondentID],'All Data'!$A$3:$CO$999,88,FALSE),"unknown")</f>
        <v>71</v>
      </c>
      <c r="AX468" s="120" t="str">
        <f>IFERROR(VLOOKUP(Table1[RespondentID],'All Data'!$A$3:$CO$999,89,FALSE),"unknown")</f>
        <v>Nassau</v>
      </c>
      <c r="AY468" s="120" t="str">
        <f>IFERROR(VLOOKUP(Table1[RespondentID],'All Data'!$A$3:$CO$999,90,FALSE),"unknown")</f>
        <v>Bethpage, 11714</v>
      </c>
      <c r="AZ468" s="120" t="str">
        <f>IFERROR(VLOOKUP(Table1[RespondentID],'All Data'!$A$3:$CO$999,91,FALSE),"unknown")</f>
        <v>White</v>
      </c>
      <c r="BA468" s="120" t="str">
        <f>IFERROR(VLOOKUP(Table1[RespondentID],'All Data'!$A$3:$CO$999,92,FALSE),"unknown")</f>
        <v>Not Hispanic or Latino</v>
      </c>
      <c r="BB468" s="120" t="str">
        <f>IFERROR(VLOOKUP(Table1[RespondentID],'All Data'!$A$3:$CO$999,93,FALSE),"unknown")</f>
        <v>English</v>
      </c>
      <c r="BC468" s="120" t="str">
        <f>IFERROR(VLOOKUP(Table1[RespondentID],'All Data'!$A$3:$CW$999,94,FALSE),"unknown")</f>
        <v>$35,000 to $49,999</v>
      </c>
      <c r="BD468" s="120" t="str">
        <f>IFERROR(VLOOKUP(Table1[RespondentID],'All Data'!$A$3:$CW$999,95,FALSE),"unknown")</f>
        <v>High school graduate</v>
      </c>
      <c r="BE468" s="120" t="str">
        <f>IFERROR(VLOOKUP(Table1[RespondentID],'All Data'!$A$3:$CW$999,96,FALSE),"unknown")</f>
        <v>Retired</v>
      </c>
      <c r="BF468" s="120" t="str">
        <f>IFERROR(VLOOKUP(Table1[RespondentID],'All Data'!$A$3:$CW$999,97,FALSE),"unknown")</f>
        <v>Yes</v>
      </c>
      <c r="BG468" s="120" t="str">
        <f>IFERROR(VLOOKUP(Table1[RespondentID],'All Data'!$A$3:$CW$999,98,FALSE),"unknown")</f>
        <v>Medicare</v>
      </c>
      <c r="BH468" s="120" t="str">
        <f>IFERROR(VLOOKUP(Table1[RespondentID],'All Data'!$A$3:$CW$999,99,FALSE),"unknown")</f>
        <v>Yes</v>
      </c>
    </row>
    <row r="469" spans="1:60">
      <c r="A469" s="141">
        <v>18031751575</v>
      </c>
      <c r="B469" s="180"/>
      <c r="C469" s="181"/>
      <c r="D469" s="181"/>
      <c r="E469" s="181"/>
      <c r="F469" s="181"/>
      <c r="G469" s="181"/>
      <c r="H469" s="181"/>
      <c r="I469" s="181"/>
      <c r="J469" s="181"/>
      <c r="K469" s="181"/>
      <c r="L469" s="181" t="s">
        <v>58</v>
      </c>
      <c r="M469" s="181"/>
      <c r="N469" s="181" t="s">
        <v>24</v>
      </c>
      <c r="O469" s="181"/>
      <c r="P469" s="181"/>
      <c r="Q469" s="181"/>
      <c r="R469" s="181" t="s">
        <v>62</v>
      </c>
      <c r="S469" s="181"/>
      <c r="T469" s="184"/>
      <c r="U469" s="182">
        <f t="shared" si="184"/>
        <v>3</v>
      </c>
      <c r="V469" s="182">
        <f t="shared" si="185"/>
        <v>1</v>
      </c>
      <c r="W469" s="110"/>
      <c r="X469" s="182">
        <f t="shared" si="186"/>
        <v>0</v>
      </c>
      <c r="Y469" s="182">
        <f t="shared" si="187"/>
        <v>0</v>
      </c>
      <c r="Z469" s="182">
        <f t="shared" si="188"/>
        <v>0</v>
      </c>
      <c r="AA469" s="182">
        <f t="shared" si="189"/>
        <v>0</v>
      </c>
      <c r="AB469" s="182">
        <f t="shared" si="190"/>
        <v>0</v>
      </c>
      <c r="AC469" s="182">
        <f t="shared" si="191"/>
        <v>0</v>
      </c>
      <c r="AD469" s="182">
        <f t="shared" si="192"/>
        <v>0</v>
      </c>
      <c r="AE469" s="182">
        <f t="shared" si="193"/>
        <v>0</v>
      </c>
      <c r="AF469" s="182">
        <f t="shared" si="194"/>
        <v>0</v>
      </c>
      <c r="AG469" s="182">
        <f t="shared" si="195"/>
        <v>0</v>
      </c>
      <c r="AH469" s="182">
        <f t="shared" si="196"/>
        <v>1</v>
      </c>
      <c r="AI469" s="182">
        <f t="shared" si="197"/>
        <v>0</v>
      </c>
      <c r="AJ469" s="182">
        <f t="shared" si="198"/>
        <v>1</v>
      </c>
      <c r="AK469" s="182">
        <f t="shared" si="199"/>
        <v>0</v>
      </c>
      <c r="AL469" s="182">
        <f t="shared" si="200"/>
        <v>0</v>
      </c>
      <c r="AM469" s="182">
        <f t="shared" si="201"/>
        <v>0</v>
      </c>
      <c r="AN469" s="182">
        <f t="shared" si="202"/>
        <v>1</v>
      </c>
      <c r="AO469" s="182">
        <f t="shared" si="203"/>
        <v>0</v>
      </c>
      <c r="AP469" s="110"/>
      <c r="AQ469" s="110"/>
      <c r="AR469" s="182">
        <f t="shared" si="204"/>
        <v>3</v>
      </c>
      <c r="AS469" s="182">
        <f t="shared" si="205"/>
        <v>3</v>
      </c>
      <c r="AT469" s="182" t="str">
        <f t="shared" si="206"/>
        <v>Correct</v>
      </c>
      <c r="AU469" s="142"/>
      <c r="AV469" s="120" t="str">
        <f>IFERROR(VLOOKUP(Table1[RespondentID],'All Data'!$A$3:$CO$999,87,FALSE),"unknown")</f>
        <v>Man</v>
      </c>
      <c r="AW469" s="120">
        <f>IFERROR(VLOOKUP(Table1[RespondentID],'All Data'!$A$3:$CO$999,88,FALSE),"unknown")</f>
        <v>71</v>
      </c>
      <c r="AX469" s="120" t="str">
        <f>IFERROR(VLOOKUP(Table1[RespondentID],'All Data'!$A$3:$CO$999,89,FALSE),"unknown")</f>
        <v>Nassau</v>
      </c>
      <c r="AY469" s="120" t="str">
        <f>IFERROR(VLOOKUP(Table1[RespondentID],'All Data'!$A$3:$CO$999,90,FALSE),"unknown")</f>
        <v>Bethpage, 11714</v>
      </c>
      <c r="AZ469" s="120" t="str">
        <f>IFERROR(VLOOKUP(Table1[RespondentID],'All Data'!$A$3:$CO$999,91,FALSE),"unknown")</f>
        <v>White</v>
      </c>
      <c r="BA469" s="120" t="str">
        <f>IFERROR(VLOOKUP(Table1[RespondentID],'All Data'!$A$3:$CO$999,92,FALSE),"unknown")</f>
        <v>Not Hispanic or Latino</v>
      </c>
      <c r="BB469" s="120" t="str">
        <f>IFERROR(VLOOKUP(Table1[RespondentID],'All Data'!$A$3:$CO$999,93,FALSE),"unknown")</f>
        <v>English</v>
      </c>
      <c r="BC469" s="120" t="str">
        <f>IFERROR(VLOOKUP(Table1[RespondentID],'All Data'!$A$3:$CW$999,94,FALSE),"unknown")</f>
        <v>$50,000 to $74,999</v>
      </c>
      <c r="BD469" s="120" t="str">
        <f>IFERROR(VLOOKUP(Table1[RespondentID],'All Data'!$A$3:$CW$999,95,FALSE),"unknown")</f>
        <v>Some high school</v>
      </c>
      <c r="BE469" s="120" t="str">
        <f>IFERROR(VLOOKUP(Table1[RespondentID],'All Data'!$A$3:$CW$999,96,FALSE),"unknown")</f>
        <v>Retired</v>
      </c>
      <c r="BF469" s="120" t="str">
        <f>IFERROR(VLOOKUP(Table1[RespondentID],'All Data'!$A$3:$CW$999,97,FALSE),"unknown")</f>
        <v>Yes</v>
      </c>
      <c r="BG469" s="120" t="str">
        <f>IFERROR(VLOOKUP(Table1[RespondentID],'All Data'!$A$3:$CW$999,98,FALSE),"unknown")</f>
        <v>Medicare</v>
      </c>
      <c r="BH469" s="120" t="str">
        <f>IFERROR(VLOOKUP(Table1[RespondentID],'All Data'!$A$3:$CW$999,99,FALSE),"unknown")</f>
        <v>Yes</v>
      </c>
    </row>
    <row r="470" spans="1:60">
      <c r="A470" s="141">
        <v>18031751500</v>
      </c>
      <c r="B470" s="180"/>
      <c r="C470" s="181"/>
      <c r="D470" s="181"/>
      <c r="E470" s="181" t="s">
        <v>17</v>
      </c>
      <c r="F470" s="181"/>
      <c r="G470" s="181"/>
      <c r="H470" s="181"/>
      <c r="I470" s="181"/>
      <c r="J470" s="181"/>
      <c r="K470" s="181"/>
      <c r="L470" s="181" t="s">
        <v>58</v>
      </c>
      <c r="M470" s="181"/>
      <c r="N470" s="181" t="s">
        <v>24</v>
      </c>
      <c r="O470" s="181"/>
      <c r="P470" s="181"/>
      <c r="Q470" s="181"/>
      <c r="R470" s="181"/>
      <c r="S470" s="181"/>
      <c r="T470" s="184"/>
      <c r="U470" s="182">
        <f t="shared" si="184"/>
        <v>3</v>
      </c>
      <c r="V470" s="182">
        <f t="shared" si="185"/>
        <v>1</v>
      </c>
      <c r="W470" s="110"/>
      <c r="X470" s="182">
        <f t="shared" si="186"/>
        <v>0</v>
      </c>
      <c r="Y470" s="182">
        <f t="shared" si="187"/>
        <v>0</v>
      </c>
      <c r="Z470" s="182">
        <f t="shared" si="188"/>
        <v>0</v>
      </c>
      <c r="AA470" s="182">
        <f t="shared" si="189"/>
        <v>1</v>
      </c>
      <c r="AB470" s="182">
        <f t="shared" si="190"/>
        <v>0</v>
      </c>
      <c r="AC470" s="182">
        <f t="shared" si="191"/>
        <v>0</v>
      </c>
      <c r="AD470" s="182">
        <f t="shared" si="192"/>
        <v>0</v>
      </c>
      <c r="AE470" s="182">
        <f t="shared" si="193"/>
        <v>0</v>
      </c>
      <c r="AF470" s="182">
        <f t="shared" si="194"/>
        <v>0</v>
      </c>
      <c r="AG470" s="182">
        <f t="shared" si="195"/>
        <v>0</v>
      </c>
      <c r="AH470" s="182">
        <f t="shared" si="196"/>
        <v>1</v>
      </c>
      <c r="AI470" s="182">
        <f t="shared" si="197"/>
        <v>0</v>
      </c>
      <c r="AJ470" s="182">
        <f t="shared" si="198"/>
        <v>1</v>
      </c>
      <c r="AK470" s="182">
        <f t="shared" si="199"/>
        <v>0</v>
      </c>
      <c r="AL470" s="182">
        <f t="shared" si="200"/>
        <v>0</v>
      </c>
      <c r="AM470" s="182">
        <f t="shared" si="201"/>
        <v>0</v>
      </c>
      <c r="AN470" s="182">
        <f t="shared" si="202"/>
        <v>0</v>
      </c>
      <c r="AO470" s="182">
        <f t="shared" si="203"/>
        <v>0</v>
      </c>
      <c r="AP470" s="110"/>
      <c r="AQ470" s="110"/>
      <c r="AR470" s="182">
        <f t="shared" si="204"/>
        <v>3</v>
      </c>
      <c r="AS470" s="182">
        <f t="shared" si="205"/>
        <v>3</v>
      </c>
      <c r="AT470" s="182" t="str">
        <f t="shared" si="206"/>
        <v>Correct</v>
      </c>
      <c r="AU470" s="142"/>
      <c r="AV470" s="120" t="str">
        <f>IFERROR(VLOOKUP(Table1[RespondentID],'All Data'!$A$3:$CO$999,87,FALSE),"unknown")</f>
        <v>Woman</v>
      </c>
      <c r="AW470" s="120">
        <f>IFERROR(VLOOKUP(Table1[RespondentID],'All Data'!$A$3:$CO$999,88,FALSE),"unknown")</f>
        <v>65</v>
      </c>
      <c r="AX470" s="120" t="str">
        <f>IFERROR(VLOOKUP(Table1[RespondentID],'All Data'!$A$3:$CO$999,89,FALSE),"unknown")</f>
        <v>Suffolk</v>
      </c>
      <c r="AY470" s="120" t="str">
        <f>IFERROR(VLOOKUP(Table1[RespondentID],'All Data'!$A$3:$CO$999,90,FALSE),"unknown")</f>
        <v>Northport, 11768</v>
      </c>
      <c r="AZ470" s="120" t="str">
        <f>IFERROR(VLOOKUP(Table1[RespondentID],'All Data'!$A$3:$CO$999,91,FALSE),"unknown")</f>
        <v>Black or African American</v>
      </c>
      <c r="BA470" s="120">
        <f>IFERROR(VLOOKUP(Table1[RespondentID],'All Data'!$A$3:$CO$999,92,FALSE),"unknown")</f>
        <v>0</v>
      </c>
      <c r="BB470" s="120" t="str">
        <f>IFERROR(VLOOKUP(Table1[RespondentID],'All Data'!$A$3:$CO$999,93,FALSE),"unknown")</f>
        <v>English</v>
      </c>
      <c r="BC470" s="120" t="str">
        <f>IFERROR(VLOOKUP(Table1[RespondentID],'All Data'!$A$3:$CW$999,94,FALSE),"unknown")</f>
        <v>Over $125,000</v>
      </c>
      <c r="BD470" s="120" t="str">
        <f>IFERROR(VLOOKUP(Table1[RespondentID],'All Data'!$A$3:$CW$999,95,FALSE),"unknown")</f>
        <v>College graduate</v>
      </c>
      <c r="BE470" s="120" t="str">
        <f>IFERROR(VLOOKUP(Table1[RespondentID],'All Data'!$A$3:$CW$999,96,FALSE),"unknown")</f>
        <v>Employed for wages</v>
      </c>
      <c r="BF470" s="120" t="str">
        <f>IFERROR(VLOOKUP(Table1[RespondentID],'All Data'!$A$3:$CW$999,97,FALSE),"unknown")</f>
        <v>Yes</v>
      </c>
      <c r="BG470" s="120" t="str">
        <f>IFERROR(VLOOKUP(Table1[RespondentID],'All Data'!$A$3:$CW$999,98,FALSE),"unknown")</f>
        <v>Private/Commercial</v>
      </c>
      <c r="BH470" s="120" t="str">
        <f>IFERROR(VLOOKUP(Table1[RespondentID],'All Data'!$A$3:$CW$999,99,FALSE),"unknown")</f>
        <v>Yes</v>
      </c>
    </row>
    <row r="471" spans="1:60">
      <c r="A471" s="141">
        <v>18031751432</v>
      </c>
      <c r="B471" s="180" t="s">
        <v>49</v>
      </c>
      <c r="C471" s="181"/>
      <c r="D471" s="181"/>
      <c r="E471" s="181"/>
      <c r="F471" s="181"/>
      <c r="G471" s="181"/>
      <c r="H471" s="181"/>
      <c r="I471" s="181"/>
      <c r="J471" s="181"/>
      <c r="K471" s="181" t="s">
        <v>57</v>
      </c>
      <c r="L471" s="181"/>
      <c r="M471" s="181"/>
      <c r="N471" s="181"/>
      <c r="O471" s="181"/>
      <c r="P471" s="181"/>
      <c r="Q471" s="181"/>
      <c r="R471" s="181"/>
      <c r="S471" s="181" t="s">
        <v>63</v>
      </c>
      <c r="T471" s="184"/>
      <c r="U471" s="182">
        <f t="shared" si="184"/>
        <v>3</v>
      </c>
      <c r="V471" s="182">
        <f t="shared" si="185"/>
        <v>1</v>
      </c>
      <c r="W471" s="110"/>
      <c r="X471" s="182">
        <f t="shared" si="186"/>
        <v>1</v>
      </c>
      <c r="Y471" s="182">
        <f t="shared" si="187"/>
        <v>0</v>
      </c>
      <c r="Z471" s="182">
        <f t="shared" si="188"/>
        <v>0</v>
      </c>
      <c r="AA471" s="182">
        <f t="shared" si="189"/>
        <v>0</v>
      </c>
      <c r="AB471" s="182">
        <f t="shared" si="190"/>
        <v>0</v>
      </c>
      <c r="AC471" s="182">
        <f t="shared" si="191"/>
        <v>0</v>
      </c>
      <c r="AD471" s="182">
        <f t="shared" si="192"/>
        <v>0</v>
      </c>
      <c r="AE471" s="182">
        <f t="shared" si="193"/>
        <v>0</v>
      </c>
      <c r="AF471" s="182">
        <f t="shared" si="194"/>
        <v>0</v>
      </c>
      <c r="AG471" s="182">
        <f t="shared" si="195"/>
        <v>1</v>
      </c>
      <c r="AH471" s="182">
        <f t="shared" si="196"/>
        <v>0</v>
      </c>
      <c r="AI471" s="182">
        <f t="shared" si="197"/>
        <v>0</v>
      </c>
      <c r="AJ471" s="182">
        <f t="shared" si="198"/>
        <v>0</v>
      </c>
      <c r="AK471" s="182">
        <f t="shared" si="199"/>
        <v>0</v>
      </c>
      <c r="AL471" s="182">
        <f t="shared" si="200"/>
        <v>0</v>
      </c>
      <c r="AM471" s="182">
        <f t="shared" si="201"/>
        <v>0</v>
      </c>
      <c r="AN471" s="182">
        <f t="shared" si="202"/>
        <v>0</v>
      </c>
      <c r="AO471" s="182">
        <f t="shared" si="203"/>
        <v>1</v>
      </c>
      <c r="AP471" s="110"/>
      <c r="AQ471" s="110"/>
      <c r="AR471" s="182">
        <f t="shared" si="204"/>
        <v>3</v>
      </c>
      <c r="AS471" s="182">
        <f t="shared" si="205"/>
        <v>3</v>
      </c>
      <c r="AT471" s="182" t="str">
        <f t="shared" si="206"/>
        <v>Correct</v>
      </c>
      <c r="AU471" s="142"/>
      <c r="AV471" s="120" t="str">
        <f>IFERROR(VLOOKUP(Table1[RespondentID],'All Data'!$A$3:$CO$999,87,FALSE),"unknown")</f>
        <v>Woman</v>
      </c>
      <c r="AW471" s="120">
        <f>IFERROR(VLOOKUP(Table1[RespondentID],'All Data'!$A$3:$CO$999,88,FALSE),"unknown")</f>
        <v>72</v>
      </c>
      <c r="AX471" s="120" t="str">
        <f>IFERROR(VLOOKUP(Table1[RespondentID],'All Data'!$A$3:$CO$999,89,FALSE),"unknown")</f>
        <v>Suffolk</v>
      </c>
      <c r="AY471" s="120" t="str">
        <f>IFERROR(VLOOKUP(Table1[RespondentID],'All Data'!$A$3:$CO$999,90,FALSE),"unknown")</f>
        <v>Amityville, 11701</v>
      </c>
      <c r="AZ471" s="120" t="str">
        <f>IFERROR(VLOOKUP(Table1[RespondentID],'All Data'!$A$3:$CO$999,91,FALSE),"unknown")</f>
        <v>White</v>
      </c>
      <c r="BA471" s="120" t="str">
        <f>IFERROR(VLOOKUP(Table1[RespondentID],'All Data'!$A$3:$CO$999,92,FALSE),"unknown")</f>
        <v>Not Hispanic or Latino</v>
      </c>
      <c r="BB471" s="120" t="str">
        <f>IFERROR(VLOOKUP(Table1[RespondentID],'All Data'!$A$3:$CO$999,93,FALSE),"unknown")</f>
        <v>English</v>
      </c>
      <c r="BC471" s="120" t="str">
        <f>IFERROR(VLOOKUP(Table1[RespondentID],'All Data'!$A$3:$CW$999,94,FALSE),"unknown")</f>
        <v>$35,000 to $49,999</v>
      </c>
      <c r="BD471" s="120" t="str">
        <f>IFERROR(VLOOKUP(Table1[RespondentID],'All Data'!$A$3:$CW$999,95,FALSE),"unknown")</f>
        <v>High school graduate</v>
      </c>
      <c r="BE471" s="120" t="str">
        <f>IFERROR(VLOOKUP(Table1[RespondentID],'All Data'!$A$3:$CW$999,96,FALSE),"unknown")</f>
        <v>Retired</v>
      </c>
      <c r="BF471" s="120" t="str">
        <f>IFERROR(VLOOKUP(Table1[RespondentID],'All Data'!$A$3:$CW$999,97,FALSE),"unknown")</f>
        <v>Yes</v>
      </c>
      <c r="BG471" s="120" t="str">
        <f>IFERROR(VLOOKUP(Table1[RespondentID],'All Data'!$A$3:$CW$999,98,FALSE),"unknown")</f>
        <v>Medicare,Private/Commercial</v>
      </c>
      <c r="BH471" s="120" t="str">
        <f>IFERROR(VLOOKUP(Table1[RespondentID],'All Data'!$A$3:$CW$999,99,FALSE),"unknown")</f>
        <v>Yes</v>
      </c>
    </row>
    <row r="472" spans="1:60">
      <c r="A472" s="141">
        <v>18031751329</v>
      </c>
      <c r="B472" s="180" t="s">
        <v>49</v>
      </c>
      <c r="C472" s="181"/>
      <c r="D472" s="181"/>
      <c r="E472" s="181"/>
      <c r="F472" s="181"/>
      <c r="G472" s="181"/>
      <c r="H472" s="181" t="s">
        <v>54</v>
      </c>
      <c r="I472" s="181"/>
      <c r="J472" s="181"/>
      <c r="K472" s="181"/>
      <c r="L472" s="181"/>
      <c r="M472" s="181"/>
      <c r="N472" s="181" t="s">
        <v>24</v>
      </c>
      <c r="O472" s="181"/>
      <c r="P472" s="181"/>
      <c r="Q472" s="181"/>
      <c r="R472" s="181"/>
      <c r="S472" s="181"/>
      <c r="T472" s="184"/>
      <c r="U472" s="182">
        <f t="shared" si="184"/>
        <v>3</v>
      </c>
      <c r="V472" s="182">
        <f t="shared" si="185"/>
        <v>1</v>
      </c>
      <c r="W472" s="110"/>
      <c r="X472" s="182">
        <f t="shared" si="186"/>
        <v>1</v>
      </c>
      <c r="Y472" s="182">
        <f t="shared" si="187"/>
        <v>0</v>
      </c>
      <c r="Z472" s="182">
        <f t="shared" si="188"/>
        <v>0</v>
      </c>
      <c r="AA472" s="182">
        <f t="shared" si="189"/>
        <v>0</v>
      </c>
      <c r="AB472" s="182">
        <f t="shared" si="190"/>
        <v>0</v>
      </c>
      <c r="AC472" s="182">
        <f t="shared" si="191"/>
        <v>0</v>
      </c>
      <c r="AD472" s="182">
        <f t="shared" si="192"/>
        <v>1</v>
      </c>
      <c r="AE472" s="182">
        <f t="shared" si="193"/>
        <v>0</v>
      </c>
      <c r="AF472" s="182">
        <f t="shared" si="194"/>
        <v>0</v>
      </c>
      <c r="AG472" s="182">
        <f t="shared" si="195"/>
        <v>0</v>
      </c>
      <c r="AH472" s="182">
        <f t="shared" si="196"/>
        <v>0</v>
      </c>
      <c r="AI472" s="182">
        <f t="shared" si="197"/>
        <v>0</v>
      </c>
      <c r="AJ472" s="182">
        <f t="shared" si="198"/>
        <v>1</v>
      </c>
      <c r="AK472" s="182">
        <f t="shared" si="199"/>
        <v>0</v>
      </c>
      <c r="AL472" s="182">
        <f t="shared" si="200"/>
        <v>0</v>
      </c>
      <c r="AM472" s="182">
        <f t="shared" si="201"/>
        <v>0</v>
      </c>
      <c r="AN472" s="182">
        <f t="shared" si="202"/>
        <v>0</v>
      </c>
      <c r="AO472" s="182">
        <f t="shared" si="203"/>
        <v>0</v>
      </c>
      <c r="AP472" s="110"/>
      <c r="AQ472" s="110"/>
      <c r="AR472" s="182">
        <f t="shared" si="204"/>
        <v>3</v>
      </c>
      <c r="AS472" s="182">
        <f t="shared" si="205"/>
        <v>3</v>
      </c>
      <c r="AT472" s="182" t="str">
        <f t="shared" si="206"/>
        <v>Correct</v>
      </c>
      <c r="AU472" s="142"/>
      <c r="AV472" s="120" t="str">
        <f>IFERROR(VLOOKUP(Table1[RespondentID],'All Data'!$A$3:$CO$999,87,FALSE),"unknown")</f>
        <v>Woman</v>
      </c>
      <c r="AW472" s="120">
        <f>IFERROR(VLOOKUP(Table1[RespondentID],'All Data'!$A$3:$CO$999,88,FALSE),"unknown")</f>
        <v>0</v>
      </c>
      <c r="AX472" s="120" t="str">
        <f>IFERROR(VLOOKUP(Table1[RespondentID],'All Data'!$A$3:$CO$999,89,FALSE),"unknown")</f>
        <v>Nassau</v>
      </c>
      <c r="AY472" s="120" t="str">
        <f>IFERROR(VLOOKUP(Table1[RespondentID],'All Data'!$A$3:$CO$999,90,FALSE),"unknown")</f>
        <v>Plainview, 11803</v>
      </c>
      <c r="AZ472" s="120" t="str">
        <f>IFERROR(VLOOKUP(Table1[RespondentID],'All Data'!$A$3:$CO$999,91,FALSE),"unknown")</f>
        <v>White</v>
      </c>
      <c r="BA472" s="120" t="str">
        <f>IFERROR(VLOOKUP(Table1[RespondentID],'All Data'!$A$3:$CO$999,92,FALSE),"unknown")</f>
        <v>Not Hispanic or Latino</v>
      </c>
      <c r="BB472" s="120" t="str">
        <f>IFERROR(VLOOKUP(Table1[RespondentID],'All Data'!$A$3:$CO$999,93,FALSE),"unknown")</f>
        <v>English</v>
      </c>
      <c r="BC472" s="120" t="str">
        <f>IFERROR(VLOOKUP(Table1[RespondentID],'All Data'!$A$3:$CW$999,94,FALSE),"unknown")</f>
        <v>$20,000 to $34,999</v>
      </c>
      <c r="BD472" s="120">
        <f>IFERROR(VLOOKUP(Table1[RespondentID],'All Data'!$A$3:$CW$999,95,FALSE),"unknown")</f>
        <v>0</v>
      </c>
      <c r="BE472" s="120" t="str">
        <f>IFERROR(VLOOKUP(Table1[RespondentID],'All Data'!$A$3:$CW$999,96,FALSE),"unknown")</f>
        <v>Out of work, but not currently looking</v>
      </c>
      <c r="BF472" s="120" t="str">
        <f>IFERROR(VLOOKUP(Table1[RespondentID],'All Data'!$A$3:$CW$999,97,FALSE),"unknown")</f>
        <v>Yes</v>
      </c>
      <c r="BG472" s="120" t="str">
        <f>IFERROR(VLOOKUP(Table1[RespondentID],'All Data'!$A$3:$CW$999,98,FALSE),"unknown")</f>
        <v>Medicare</v>
      </c>
      <c r="BH472" s="120" t="str">
        <f>IFERROR(VLOOKUP(Table1[RespondentID],'All Data'!$A$3:$CW$999,99,FALSE),"unknown")</f>
        <v>Yes</v>
      </c>
    </row>
    <row r="473" spans="1:60">
      <c r="A473" s="141">
        <v>18031751209</v>
      </c>
      <c r="B473" s="180"/>
      <c r="C473" s="181"/>
      <c r="D473" s="181"/>
      <c r="E473" s="181"/>
      <c r="F473" s="181"/>
      <c r="G473" s="181"/>
      <c r="H473" s="181"/>
      <c r="I473" s="181"/>
      <c r="J473" s="181"/>
      <c r="K473" s="181"/>
      <c r="L473" s="181"/>
      <c r="M473" s="181"/>
      <c r="N473" s="181" t="s">
        <v>24</v>
      </c>
      <c r="O473" s="181"/>
      <c r="P473" s="181"/>
      <c r="Q473" s="181"/>
      <c r="R473" s="181"/>
      <c r="S473" s="181"/>
      <c r="T473" s="184"/>
      <c r="U473" s="182">
        <f t="shared" si="184"/>
        <v>1</v>
      </c>
      <c r="V473" s="182">
        <f t="shared" si="185"/>
        <v>3</v>
      </c>
      <c r="W473" s="110"/>
      <c r="X473" s="182">
        <f t="shared" si="186"/>
        <v>0</v>
      </c>
      <c r="Y473" s="182">
        <f t="shared" si="187"/>
        <v>0</v>
      </c>
      <c r="Z473" s="182">
        <f t="shared" si="188"/>
        <v>0</v>
      </c>
      <c r="AA473" s="182">
        <f t="shared" si="189"/>
        <v>0</v>
      </c>
      <c r="AB473" s="182">
        <f t="shared" si="190"/>
        <v>0</v>
      </c>
      <c r="AC473" s="182">
        <f t="shared" si="191"/>
        <v>0</v>
      </c>
      <c r="AD473" s="182">
        <f t="shared" si="192"/>
        <v>0</v>
      </c>
      <c r="AE473" s="182">
        <f t="shared" si="193"/>
        <v>0</v>
      </c>
      <c r="AF473" s="182">
        <f t="shared" si="194"/>
        <v>0</v>
      </c>
      <c r="AG473" s="182">
        <f t="shared" si="195"/>
        <v>0</v>
      </c>
      <c r="AH473" s="182">
        <f t="shared" si="196"/>
        <v>0</v>
      </c>
      <c r="AI473" s="182">
        <f t="shared" si="197"/>
        <v>0</v>
      </c>
      <c r="AJ473" s="182">
        <f t="shared" si="198"/>
        <v>1</v>
      </c>
      <c r="AK473" s="182">
        <f t="shared" si="199"/>
        <v>0</v>
      </c>
      <c r="AL473" s="182">
        <f t="shared" si="200"/>
        <v>0</v>
      </c>
      <c r="AM473" s="182">
        <f t="shared" si="201"/>
        <v>0</v>
      </c>
      <c r="AN473" s="182">
        <f t="shared" si="202"/>
        <v>0</v>
      </c>
      <c r="AO473" s="182">
        <f t="shared" si="203"/>
        <v>0</v>
      </c>
      <c r="AP473" s="110"/>
      <c r="AQ473" s="110"/>
      <c r="AR473" s="182">
        <f t="shared" si="204"/>
        <v>1</v>
      </c>
      <c r="AS473" s="182">
        <f t="shared" si="205"/>
        <v>1</v>
      </c>
      <c r="AT473" s="182" t="str">
        <f t="shared" si="206"/>
        <v>Correct</v>
      </c>
      <c r="AU473" s="142"/>
      <c r="AV473" s="120" t="str">
        <f>IFERROR(VLOOKUP(Table1[RespondentID],'All Data'!$A$3:$CO$999,87,FALSE),"unknown")</f>
        <v>Man</v>
      </c>
      <c r="AW473" s="120">
        <f>IFERROR(VLOOKUP(Table1[RespondentID],'All Data'!$A$3:$CO$999,88,FALSE),"unknown")</f>
        <v>81</v>
      </c>
      <c r="AX473" s="120" t="str">
        <f>IFERROR(VLOOKUP(Table1[RespondentID],'All Data'!$A$3:$CO$999,89,FALSE),"unknown")</f>
        <v>Nassau</v>
      </c>
      <c r="AY473" s="120" t="str">
        <f>IFERROR(VLOOKUP(Table1[RespondentID],'All Data'!$A$3:$CO$999,90,FALSE),"unknown")</f>
        <v>Lido Beach, 11561</v>
      </c>
      <c r="AZ473" s="120" t="str">
        <f>IFERROR(VLOOKUP(Table1[RespondentID],'All Data'!$A$3:$CO$999,91,FALSE),"unknown")</f>
        <v>White</v>
      </c>
      <c r="BA473" s="120" t="str">
        <f>IFERROR(VLOOKUP(Table1[RespondentID],'All Data'!$A$3:$CO$999,92,FALSE),"unknown")</f>
        <v>Not Hispanic or Latino</v>
      </c>
      <c r="BB473" s="120" t="str">
        <f>IFERROR(VLOOKUP(Table1[RespondentID],'All Data'!$A$3:$CO$999,93,FALSE),"unknown")</f>
        <v>English</v>
      </c>
      <c r="BC473" s="120" t="str">
        <f>IFERROR(VLOOKUP(Table1[RespondentID],'All Data'!$A$3:$CW$999,94,FALSE),"unknown")</f>
        <v>$75,000 to $125,000</v>
      </c>
      <c r="BD473" s="120" t="str">
        <f>IFERROR(VLOOKUP(Table1[RespondentID],'All Data'!$A$3:$CW$999,95,FALSE),"unknown")</f>
        <v>Some high school</v>
      </c>
      <c r="BE473" s="120" t="str">
        <f>IFERROR(VLOOKUP(Table1[RespondentID],'All Data'!$A$3:$CW$999,96,FALSE),"unknown")</f>
        <v>Employed for wages</v>
      </c>
      <c r="BF473" s="120" t="str">
        <f>IFERROR(VLOOKUP(Table1[RespondentID],'All Data'!$A$3:$CW$999,97,FALSE),"unknown")</f>
        <v>Yes</v>
      </c>
      <c r="BG473" s="120" t="str">
        <f>IFERROR(VLOOKUP(Table1[RespondentID],'All Data'!$A$3:$CW$999,98,FALSE),"unknown")</f>
        <v>Medicare,Private/Commercial</v>
      </c>
      <c r="BH473" s="120" t="str">
        <f>IFERROR(VLOOKUP(Table1[RespondentID],'All Data'!$A$3:$CW$999,99,FALSE),"unknown")</f>
        <v>Yes</v>
      </c>
    </row>
    <row r="474" spans="1:60">
      <c r="A474" s="141">
        <v>18031751111</v>
      </c>
      <c r="B474" s="180"/>
      <c r="C474" s="181"/>
      <c r="D474" s="181"/>
      <c r="E474" s="181" t="s">
        <v>17</v>
      </c>
      <c r="F474" s="181"/>
      <c r="G474" s="181"/>
      <c r="H474" s="181"/>
      <c r="I474" s="181"/>
      <c r="J474" s="181"/>
      <c r="K474" s="181"/>
      <c r="L474" s="181"/>
      <c r="M474" s="181"/>
      <c r="N474" s="181"/>
      <c r="O474" s="181"/>
      <c r="P474" s="181" t="s">
        <v>60</v>
      </c>
      <c r="Q474" s="181"/>
      <c r="R474" s="181" t="s">
        <v>62</v>
      </c>
      <c r="S474" s="181"/>
      <c r="T474" s="184"/>
      <c r="U474" s="182">
        <f t="shared" si="184"/>
        <v>3</v>
      </c>
      <c r="V474" s="182">
        <f t="shared" si="185"/>
        <v>1</v>
      </c>
      <c r="W474" s="110"/>
      <c r="X474" s="182">
        <f t="shared" si="186"/>
        <v>0</v>
      </c>
      <c r="Y474" s="182">
        <f t="shared" si="187"/>
        <v>0</v>
      </c>
      <c r="Z474" s="182">
        <f t="shared" si="188"/>
        <v>0</v>
      </c>
      <c r="AA474" s="182">
        <f t="shared" si="189"/>
        <v>1</v>
      </c>
      <c r="AB474" s="182">
        <f t="shared" si="190"/>
        <v>0</v>
      </c>
      <c r="AC474" s="182">
        <f t="shared" si="191"/>
        <v>0</v>
      </c>
      <c r="AD474" s="182">
        <f t="shared" si="192"/>
        <v>0</v>
      </c>
      <c r="AE474" s="182">
        <f t="shared" si="193"/>
        <v>0</v>
      </c>
      <c r="AF474" s="182">
        <f t="shared" si="194"/>
        <v>0</v>
      </c>
      <c r="AG474" s="182">
        <f t="shared" si="195"/>
        <v>0</v>
      </c>
      <c r="AH474" s="182">
        <f t="shared" si="196"/>
        <v>0</v>
      </c>
      <c r="AI474" s="182">
        <f t="shared" si="197"/>
        <v>0</v>
      </c>
      <c r="AJ474" s="182">
        <f t="shared" si="198"/>
        <v>0</v>
      </c>
      <c r="AK474" s="182">
        <f t="shared" si="199"/>
        <v>0</v>
      </c>
      <c r="AL474" s="182">
        <f t="shared" si="200"/>
        <v>1</v>
      </c>
      <c r="AM474" s="182">
        <f t="shared" si="201"/>
        <v>0</v>
      </c>
      <c r="AN474" s="182">
        <f t="shared" si="202"/>
        <v>1</v>
      </c>
      <c r="AO474" s="182">
        <f t="shared" si="203"/>
        <v>0</v>
      </c>
      <c r="AP474" s="110"/>
      <c r="AQ474" s="110"/>
      <c r="AR474" s="182">
        <f t="shared" si="204"/>
        <v>3</v>
      </c>
      <c r="AS474" s="182">
        <f t="shared" si="205"/>
        <v>3</v>
      </c>
      <c r="AT474" s="182" t="str">
        <f t="shared" si="206"/>
        <v>Correct</v>
      </c>
      <c r="AU474" s="142"/>
      <c r="AV474" s="120" t="str">
        <f>IFERROR(VLOOKUP(Table1[RespondentID],'All Data'!$A$3:$CO$999,87,FALSE),"unknown")</f>
        <v>Woman</v>
      </c>
      <c r="AW474" s="120">
        <f>IFERROR(VLOOKUP(Table1[RespondentID],'All Data'!$A$3:$CO$999,88,FALSE),"unknown")</f>
        <v>61</v>
      </c>
      <c r="AX474" s="120" t="str">
        <f>IFERROR(VLOOKUP(Table1[RespondentID],'All Data'!$A$3:$CO$999,89,FALSE),"unknown")</f>
        <v>Nassau</v>
      </c>
      <c r="AY474" s="120" t="str">
        <f>IFERROR(VLOOKUP(Table1[RespondentID],'All Data'!$A$3:$CO$999,90,FALSE),"unknown")</f>
        <v>Garden City, 11530</v>
      </c>
      <c r="AZ474" s="120" t="str">
        <f>IFERROR(VLOOKUP(Table1[RespondentID],'All Data'!$A$3:$CO$999,91,FALSE),"unknown")</f>
        <v>White</v>
      </c>
      <c r="BA474" s="120" t="str">
        <f>IFERROR(VLOOKUP(Table1[RespondentID],'All Data'!$A$3:$CO$999,92,FALSE),"unknown")</f>
        <v>Not Hispanic or Latino</v>
      </c>
      <c r="BB474" s="120" t="str">
        <f>IFERROR(VLOOKUP(Table1[RespondentID],'All Data'!$A$3:$CO$999,93,FALSE),"unknown")</f>
        <v>English</v>
      </c>
      <c r="BC474" s="120" t="str">
        <f>IFERROR(VLOOKUP(Table1[RespondentID],'All Data'!$A$3:$CW$999,94,FALSE),"unknown")</f>
        <v>$50,000 to $74,999</v>
      </c>
      <c r="BD474" s="120" t="str">
        <f>IFERROR(VLOOKUP(Table1[RespondentID],'All Data'!$A$3:$CW$999,95,FALSE),"unknown")</f>
        <v>Graduate school</v>
      </c>
      <c r="BE474" s="120" t="str">
        <f>IFERROR(VLOOKUP(Table1[RespondentID],'All Data'!$A$3:$CW$999,96,FALSE),"unknown")</f>
        <v>Employed for wages</v>
      </c>
      <c r="BF474" s="120" t="str">
        <f>IFERROR(VLOOKUP(Table1[RespondentID],'All Data'!$A$3:$CW$999,97,FALSE),"unknown")</f>
        <v>No</v>
      </c>
      <c r="BG474" s="120" t="str">
        <f>IFERROR(VLOOKUP(Table1[RespondentID],'All Data'!$A$3:$CW$999,98,FALSE),"unknown")</f>
        <v>No Insurance</v>
      </c>
      <c r="BH474" s="120" t="str">
        <f>IFERROR(VLOOKUP(Table1[RespondentID],'All Data'!$A$3:$CW$999,99,FALSE),"unknown")</f>
        <v>Yes</v>
      </c>
    </row>
    <row r="475" spans="1:60">
      <c r="A475" s="141">
        <v>18031750983</v>
      </c>
      <c r="B475" s="180" t="s">
        <v>49</v>
      </c>
      <c r="C475" s="181"/>
      <c r="D475" s="181"/>
      <c r="E475" s="181" t="s">
        <v>17</v>
      </c>
      <c r="F475" s="181"/>
      <c r="G475" s="181"/>
      <c r="H475" s="181" t="s">
        <v>54</v>
      </c>
      <c r="I475" s="181"/>
      <c r="J475" s="181" t="s">
        <v>56</v>
      </c>
      <c r="K475" s="181"/>
      <c r="L475" s="181" t="s">
        <v>58</v>
      </c>
      <c r="M475" s="181"/>
      <c r="N475" s="181" t="s">
        <v>24</v>
      </c>
      <c r="O475" s="181"/>
      <c r="P475" s="181"/>
      <c r="Q475" s="181"/>
      <c r="R475" s="181"/>
      <c r="S475" s="181"/>
      <c r="T475" s="184"/>
      <c r="U475" s="182">
        <f t="shared" si="184"/>
        <v>6</v>
      </c>
      <c r="V475" s="182">
        <f t="shared" si="185"/>
        <v>0.5</v>
      </c>
      <c r="W475" s="110"/>
      <c r="X475" s="182">
        <f t="shared" si="186"/>
        <v>0.5</v>
      </c>
      <c r="Y475" s="182">
        <f t="shared" si="187"/>
        <v>0</v>
      </c>
      <c r="Z475" s="182">
        <f t="shared" si="188"/>
        <v>0</v>
      </c>
      <c r="AA475" s="182">
        <f t="shared" si="189"/>
        <v>0.5</v>
      </c>
      <c r="AB475" s="182">
        <f t="shared" si="190"/>
        <v>0</v>
      </c>
      <c r="AC475" s="182">
        <f t="shared" si="191"/>
        <v>0</v>
      </c>
      <c r="AD475" s="182">
        <f t="shared" si="192"/>
        <v>0.5</v>
      </c>
      <c r="AE475" s="182">
        <f t="shared" si="193"/>
        <v>0</v>
      </c>
      <c r="AF475" s="182">
        <f t="shared" si="194"/>
        <v>0.5</v>
      </c>
      <c r="AG475" s="182">
        <f t="shared" si="195"/>
        <v>0</v>
      </c>
      <c r="AH475" s="182">
        <f t="shared" si="196"/>
        <v>0.5</v>
      </c>
      <c r="AI475" s="182">
        <f t="shared" si="197"/>
        <v>0</v>
      </c>
      <c r="AJ475" s="182">
        <f t="shared" si="198"/>
        <v>0.5</v>
      </c>
      <c r="AK475" s="182">
        <f t="shared" si="199"/>
        <v>0</v>
      </c>
      <c r="AL475" s="182">
        <f t="shared" si="200"/>
        <v>0</v>
      </c>
      <c r="AM475" s="182">
        <f t="shared" si="201"/>
        <v>0</v>
      </c>
      <c r="AN475" s="182">
        <f t="shared" si="202"/>
        <v>0</v>
      </c>
      <c r="AO475" s="182">
        <f t="shared" si="203"/>
        <v>0</v>
      </c>
      <c r="AP475" s="110"/>
      <c r="AQ475" s="110"/>
      <c r="AR475" s="182">
        <f t="shared" si="204"/>
        <v>3</v>
      </c>
      <c r="AS475" s="182">
        <f t="shared" si="205"/>
        <v>6</v>
      </c>
      <c r="AT475" s="182" t="str">
        <f t="shared" si="206"/>
        <v>Correct</v>
      </c>
      <c r="AU475" s="142"/>
      <c r="AV475" s="120" t="str">
        <f>IFERROR(VLOOKUP(Table1[RespondentID],'All Data'!$A$3:$CO$999,87,FALSE),"unknown")</f>
        <v>Man</v>
      </c>
      <c r="AW475" s="120">
        <f>IFERROR(VLOOKUP(Table1[RespondentID],'All Data'!$A$3:$CO$999,88,FALSE),"unknown")</f>
        <v>61</v>
      </c>
      <c r="AX475" s="120" t="str">
        <f>IFERROR(VLOOKUP(Table1[RespondentID],'All Data'!$A$3:$CO$999,89,FALSE),"unknown")</f>
        <v>Nassau</v>
      </c>
      <c r="AY475" s="120" t="str">
        <f>IFERROR(VLOOKUP(Table1[RespondentID],'All Data'!$A$3:$CO$999,90,FALSE),"unknown")</f>
        <v>Woodbury, 11797</v>
      </c>
      <c r="AZ475" s="120" t="str">
        <f>IFERROR(VLOOKUP(Table1[RespondentID],'All Data'!$A$3:$CO$999,91,FALSE),"unknown")</f>
        <v>White</v>
      </c>
      <c r="BA475" s="120" t="str">
        <f>IFERROR(VLOOKUP(Table1[RespondentID],'All Data'!$A$3:$CO$999,92,FALSE),"unknown")</f>
        <v>Not Hispanic or Latino</v>
      </c>
      <c r="BB475" s="120" t="str">
        <f>IFERROR(VLOOKUP(Table1[RespondentID],'All Data'!$A$3:$CO$999,93,FALSE),"unknown")</f>
        <v>English</v>
      </c>
      <c r="BC475" s="120">
        <f>IFERROR(VLOOKUP(Table1[RespondentID],'All Data'!$A$3:$CW$999,94,FALSE),"unknown")</f>
        <v>0</v>
      </c>
      <c r="BD475" s="120" t="str">
        <f>IFERROR(VLOOKUP(Table1[RespondentID],'All Data'!$A$3:$CW$999,95,FALSE),"unknown")</f>
        <v>College graduate</v>
      </c>
      <c r="BE475" s="120" t="str">
        <f>IFERROR(VLOOKUP(Table1[RespondentID],'All Data'!$A$3:$CW$999,96,FALSE),"unknown")</f>
        <v>Employed for wages</v>
      </c>
      <c r="BF475" s="120" t="str">
        <f>IFERROR(VLOOKUP(Table1[RespondentID],'All Data'!$A$3:$CW$999,97,FALSE),"unknown")</f>
        <v>Yes</v>
      </c>
      <c r="BG475" s="120" t="str">
        <f>IFERROR(VLOOKUP(Table1[RespondentID],'All Data'!$A$3:$CW$999,98,FALSE),"unknown")</f>
        <v>Private/Commercial</v>
      </c>
      <c r="BH475" s="120" t="str">
        <f>IFERROR(VLOOKUP(Table1[RespondentID],'All Data'!$A$3:$CW$999,99,FALSE),"unknown")</f>
        <v>Yes</v>
      </c>
    </row>
    <row r="476" spans="1:60">
      <c r="A476" s="141">
        <v>18031750464</v>
      </c>
      <c r="B476" s="180" t="s">
        <v>49</v>
      </c>
      <c r="C476" s="181"/>
      <c r="D476" s="181"/>
      <c r="E476" s="181"/>
      <c r="F476" s="181"/>
      <c r="G476" s="181"/>
      <c r="H476" s="181"/>
      <c r="I476" s="181"/>
      <c r="J476" s="181"/>
      <c r="K476" s="181"/>
      <c r="L476" s="181"/>
      <c r="M476" s="181"/>
      <c r="N476" s="181"/>
      <c r="O476" s="181"/>
      <c r="P476" s="181"/>
      <c r="Q476" s="181"/>
      <c r="R476" s="181"/>
      <c r="S476" s="181"/>
      <c r="T476" s="184"/>
      <c r="U476" s="182">
        <f t="shared" si="184"/>
        <v>1</v>
      </c>
      <c r="V476" s="182">
        <f t="shared" si="185"/>
        <v>3</v>
      </c>
      <c r="W476" s="110"/>
      <c r="X476" s="182">
        <f t="shared" si="186"/>
        <v>1</v>
      </c>
      <c r="Y476" s="182">
        <f t="shared" si="187"/>
        <v>0</v>
      </c>
      <c r="Z476" s="182">
        <f t="shared" si="188"/>
        <v>0</v>
      </c>
      <c r="AA476" s="182">
        <f t="shared" si="189"/>
        <v>0</v>
      </c>
      <c r="AB476" s="182">
        <f t="shared" si="190"/>
        <v>0</v>
      </c>
      <c r="AC476" s="182">
        <f t="shared" si="191"/>
        <v>0</v>
      </c>
      <c r="AD476" s="182">
        <f t="shared" si="192"/>
        <v>0</v>
      </c>
      <c r="AE476" s="182">
        <f t="shared" si="193"/>
        <v>0</v>
      </c>
      <c r="AF476" s="182">
        <f t="shared" si="194"/>
        <v>0</v>
      </c>
      <c r="AG476" s="182">
        <f t="shared" si="195"/>
        <v>0</v>
      </c>
      <c r="AH476" s="182">
        <f t="shared" si="196"/>
        <v>0</v>
      </c>
      <c r="AI476" s="182">
        <f t="shared" si="197"/>
        <v>0</v>
      </c>
      <c r="AJ476" s="182">
        <f t="shared" si="198"/>
        <v>0</v>
      </c>
      <c r="AK476" s="182">
        <f t="shared" si="199"/>
        <v>0</v>
      </c>
      <c r="AL476" s="182">
        <f t="shared" si="200"/>
        <v>0</v>
      </c>
      <c r="AM476" s="182">
        <f t="shared" si="201"/>
        <v>0</v>
      </c>
      <c r="AN476" s="182">
        <f t="shared" si="202"/>
        <v>0</v>
      </c>
      <c r="AO476" s="182">
        <f t="shared" si="203"/>
        <v>0</v>
      </c>
      <c r="AP476" s="110"/>
      <c r="AQ476" s="110"/>
      <c r="AR476" s="182">
        <f t="shared" si="204"/>
        <v>1</v>
      </c>
      <c r="AS476" s="182">
        <f t="shared" si="205"/>
        <v>1</v>
      </c>
      <c r="AT476" s="182" t="str">
        <f t="shared" si="206"/>
        <v>Correct</v>
      </c>
      <c r="AU476" s="142"/>
      <c r="AV476" s="120" t="str">
        <f>IFERROR(VLOOKUP(Table1[RespondentID],'All Data'!$A$3:$CO$999,87,FALSE),"unknown")</f>
        <v>Woman</v>
      </c>
      <c r="AW476" s="120">
        <f>IFERROR(VLOOKUP(Table1[RespondentID],'All Data'!$A$3:$CO$999,88,FALSE),"unknown")</f>
        <v>74</v>
      </c>
      <c r="AX476" s="120" t="str">
        <f>IFERROR(VLOOKUP(Table1[RespondentID],'All Data'!$A$3:$CO$999,89,FALSE),"unknown")</f>
        <v>Nassau</v>
      </c>
      <c r="AY476" s="120" t="str">
        <f>IFERROR(VLOOKUP(Table1[RespondentID],'All Data'!$A$3:$CO$999,90,FALSE),"unknown")</f>
        <v>Farmingdale, 11735</v>
      </c>
      <c r="AZ476" s="120" t="str">
        <f>IFERROR(VLOOKUP(Table1[RespondentID],'All Data'!$A$3:$CO$999,91,FALSE),"unknown")</f>
        <v>White</v>
      </c>
      <c r="BA476" s="120" t="str">
        <f>IFERROR(VLOOKUP(Table1[RespondentID],'All Data'!$A$3:$CO$999,92,FALSE),"unknown")</f>
        <v>Not Hispanic or Latino</v>
      </c>
      <c r="BB476" s="120" t="str">
        <f>IFERROR(VLOOKUP(Table1[RespondentID],'All Data'!$A$3:$CO$999,93,FALSE),"unknown")</f>
        <v>English</v>
      </c>
      <c r="BC476" s="120" t="str">
        <f>IFERROR(VLOOKUP(Table1[RespondentID],'All Data'!$A$3:$CW$999,94,FALSE),"unknown")</f>
        <v>$75,000 to $125,000</v>
      </c>
      <c r="BD476" s="120" t="str">
        <f>IFERROR(VLOOKUP(Table1[RespondentID],'All Data'!$A$3:$CW$999,95,FALSE),"unknown")</f>
        <v>Graduate school</v>
      </c>
      <c r="BE476" s="120" t="str">
        <f>IFERROR(VLOOKUP(Table1[RespondentID],'All Data'!$A$3:$CW$999,96,FALSE),"unknown")</f>
        <v>Self-employed</v>
      </c>
      <c r="BF476" s="120" t="str">
        <f>IFERROR(VLOOKUP(Table1[RespondentID],'All Data'!$A$3:$CW$999,97,FALSE),"unknown")</f>
        <v>Yes</v>
      </c>
      <c r="BG476" s="120" t="str">
        <f>IFERROR(VLOOKUP(Table1[RespondentID],'All Data'!$A$3:$CW$999,98,FALSE),"unknown")</f>
        <v>Medicare,Private/Commercial</v>
      </c>
      <c r="BH476" s="120" t="str">
        <f>IFERROR(VLOOKUP(Table1[RespondentID],'All Data'!$A$3:$CW$999,99,FALSE),"unknown")</f>
        <v>Yes</v>
      </c>
    </row>
    <row r="477" spans="1:60">
      <c r="A477" s="141">
        <v>18031749512</v>
      </c>
      <c r="B477" s="180"/>
      <c r="C477" s="181"/>
      <c r="D477" s="181" t="s">
        <v>51</v>
      </c>
      <c r="E477" s="181"/>
      <c r="F477" s="181" t="s">
        <v>52</v>
      </c>
      <c r="G477" s="181"/>
      <c r="H477" s="181"/>
      <c r="I477" s="181"/>
      <c r="J477" s="181"/>
      <c r="K477" s="181"/>
      <c r="L477" s="181" t="s">
        <v>58</v>
      </c>
      <c r="M477" s="181"/>
      <c r="N477" s="181"/>
      <c r="O477" s="181"/>
      <c r="P477" s="181"/>
      <c r="Q477" s="181"/>
      <c r="R477" s="181"/>
      <c r="S477" s="181"/>
      <c r="T477" s="184"/>
      <c r="U477" s="182">
        <f t="shared" si="184"/>
        <v>3</v>
      </c>
      <c r="V477" s="182">
        <f t="shared" si="185"/>
        <v>1</v>
      </c>
      <c r="W477" s="110"/>
      <c r="X477" s="182">
        <f t="shared" si="186"/>
        <v>0</v>
      </c>
      <c r="Y477" s="182">
        <f t="shared" si="187"/>
        <v>0</v>
      </c>
      <c r="Z477" s="182">
        <f t="shared" si="188"/>
        <v>1</v>
      </c>
      <c r="AA477" s="182">
        <f t="shared" si="189"/>
        <v>0</v>
      </c>
      <c r="AB477" s="182">
        <f t="shared" si="190"/>
        <v>1</v>
      </c>
      <c r="AC477" s="182">
        <f t="shared" si="191"/>
        <v>0</v>
      </c>
      <c r="AD477" s="182">
        <f t="shared" si="192"/>
        <v>0</v>
      </c>
      <c r="AE477" s="182">
        <f t="shared" si="193"/>
        <v>0</v>
      </c>
      <c r="AF477" s="182">
        <f t="shared" si="194"/>
        <v>0</v>
      </c>
      <c r="AG477" s="182">
        <f t="shared" si="195"/>
        <v>0</v>
      </c>
      <c r="AH477" s="182">
        <f t="shared" si="196"/>
        <v>1</v>
      </c>
      <c r="AI477" s="182">
        <f t="shared" si="197"/>
        <v>0</v>
      </c>
      <c r="AJ477" s="182">
        <f t="shared" si="198"/>
        <v>0</v>
      </c>
      <c r="AK477" s="182">
        <f t="shared" si="199"/>
        <v>0</v>
      </c>
      <c r="AL477" s="182">
        <f t="shared" si="200"/>
        <v>0</v>
      </c>
      <c r="AM477" s="182">
        <f t="shared" si="201"/>
        <v>0</v>
      </c>
      <c r="AN477" s="182">
        <f t="shared" si="202"/>
        <v>0</v>
      </c>
      <c r="AO477" s="182">
        <f t="shared" si="203"/>
        <v>0</v>
      </c>
      <c r="AP477" s="110"/>
      <c r="AQ477" s="110"/>
      <c r="AR477" s="182">
        <f t="shared" si="204"/>
        <v>3</v>
      </c>
      <c r="AS477" s="182">
        <f t="shared" si="205"/>
        <v>3</v>
      </c>
      <c r="AT477" s="182" t="str">
        <f t="shared" si="206"/>
        <v>Correct</v>
      </c>
      <c r="AU477" s="142"/>
      <c r="AV477" s="120" t="str">
        <f>IFERROR(VLOOKUP(Table1[RespondentID],'All Data'!$A$3:$CO$999,87,FALSE),"unknown")</f>
        <v>Woman</v>
      </c>
      <c r="AW477" s="120">
        <f>IFERROR(VLOOKUP(Table1[RespondentID],'All Data'!$A$3:$CO$999,88,FALSE),"unknown")</f>
        <v>70</v>
      </c>
      <c r="AX477" s="120" t="str">
        <f>IFERROR(VLOOKUP(Table1[RespondentID],'All Data'!$A$3:$CO$999,89,FALSE),"unknown")</f>
        <v>Nassau</v>
      </c>
      <c r="AY477" s="120" t="str">
        <f>IFERROR(VLOOKUP(Table1[RespondentID],'All Data'!$A$3:$CO$999,90,FALSE),"unknown")</f>
        <v>Oceanside, 11572</v>
      </c>
      <c r="AZ477" s="120" t="str">
        <f>IFERROR(VLOOKUP(Table1[RespondentID],'All Data'!$A$3:$CO$999,91,FALSE),"unknown")</f>
        <v>White</v>
      </c>
      <c r="BA477" s="120" t="str">
        <f>IFERROR(VLOOKUP(Table1[RespondentID],'All Data'!$A$3:$CO$999,92,FALSE),"unknown")</f>
        <v>Not Hispanic or Latino</v>
      </c>
      <c r="BB477" s="120" t="str">
        <f>IFERROR(VLOOKUP(Table1[RespondentID],'All Data'!$A$3:$CO$999,93,FALSE),"unknown")</f>
        <v>English</v>
      </c>
      <c r="BC477" s="120" t="str">
        <f>IFERROR(VLOOKUP(Table1[RespondentID],'All Data'!$A$3:$CW$999,94,FALSE),"unknown")</f>
        <v>$75,000 to $125,000</v>
      </c>
      <c r="BD477" s="120" t="str">
        <f>IFERROR(VLOOKUP(Table1[RespondentID],'All Data'!$A$3:$CW$999,95,FALSE),"unknown")</f>
        <v>Graduate school</v>
      </c>
      <c r="BE477" s="120" t="str">
        <f>IFERROR(VLOOKUP(Table1[RespondentID],'All Data'!$A$3:$CW$999,96,FALSE),"unknown")</f>
        <v>Retired</v>
      </c>
      <c r="BF477" s="120" t="str">
        <f>IFERROR(VLOOKUP(Table1[RespondentID],'All Data'!$A$3:$CW$999,97,FALSE),"unknown")</f>
        <v>Yes</v>
      </c>
      <c r="BG477" s="120" t="str">
        <f>IFERROR(VLOOKUP(Table1[RespondentID],'All Data'!$A$3:$CW$999,98,FALSE),"unknown")</f>
        <v>Medicare,Private/Commercial</v>
      </c>
      <c r="BH477" s="120" t="str">
        <f>IFERROR(VLOOKUP(Table1[RespondentID],'All Data'!$A$3:$CW$999,99,FALSE),"unknown")</f>
        <v>Yes</v>
      </c>
    </row>
    <row r="478" spans="1:60">
      <c r="A478" s="141">
        <v>18031749227</v>
      </c>
      <c r="B478" s="180" t="s">
        <v>49</v>
      </c>
      <c r="C478" s="181"/>
      <c r="D478" s="181"/>
      <c r="E478" s="181"/>
      <c r="F478" s="181"/>
      <c r="G478" s="181"/>
      <c r="H478" s="181" t="s">
        <v>54</v>
      </c>
      <c r="I478" s="181"/>
      <c r="J478" s="181"/>
      <c r="K478" s="181"/>
      <c r="L478" s="181"/>
      <c r="M478" s="181"/>
      <c r="N478" s="181"/>
      <c r="O478" s="181"/>
      <c r="P478" s="181"/>
      <c r="Q478" s="181"/>
      <c r="R478" s="181"/>
      <c r="S478" s="181"/>
      <c r="T478" s="184"/>
      <c r="U478" s="182">
        <f t="shared" si="184"/>
        <v>2</v>
      </c>
      <c r="V478" s="182">
        <f t="shared" si="185"/>
        <v>1.5</v>
      </c>
      <c r="W478" s="110"/>
      <c r="X478" s="182">
        <f t="shared" si="186"/>
        <v>1</v>
      </c>
      <c r="Y478" s="182">
        <f t="shared" si="187"/>
        <v>0</v>
      </c>
      <c r="Z478" s="182">
        <f t="shared" si="188"/>
        <v>0</v>
      </c>
      <c r="AA478" s="182">
        <f t="shared" si="189"/>
        <v>0</v>
      </c>
      <c r="AB478" s="182">
        <f t="shared" si="190"/>
        <v>0</v>
      </c>
      <c r="AC478" s="182">
        <f t="shared" si="191"/>
        <v>0</v>
      </c>
      <c r="AD478" s="182">
        <f t="shared" si="192"/>
        <v>1</v>
      </c>
      <c r="AE478" s="182">
        <f t="shared" si="193"/>
        <v>0</v>
      </c>
      <c r="AF478" s="182">
        <f t="shared" si="194"/>
        <v>0</v>
      </c>
      <c r="AG478" s="182">
        <f t="shared" si="195"/>
        <v>0</v>
      </c>
      <c r="AH478" s="182">
        <f t="shared" si="196"/>
        <v>0</v>
      </c>
      <c r="AI478" s="182">
        <f t="shared" si="197"/>
        <v>0</v>
      </c>
      <c r="AJ478" s="182">
        <f t="shared" si="198"/>
        <v>0</v>
      </c>
      <c r="AK478" s="182">
        <f t="shared" si="199"/>
        <v>0</v>
      </c>
      <c r="AL478" s="182">
        <f t="shared" si="200"/>
        <v>0</v>
      </c>
      <c r="AM478" s="182">
        <f t="shared" si="201"/>
        <v>0</v>
      </c>
      <c r="AN478" s="182">
        <f t="shared" si="202"/>
        <v>0</v>
      </c>
      <c r="AO478" s="182">
        <f t="shared" si="203"/>
        <v>0</v>
      </c>
      <c r="AP478" s="110"/>
      <c r="AQ478" s="110"/>
      <c r="AR478" s="182">
        <f t="shared" si="204"/>
        <v>2</v>
      </c>
      <c r="AS478" s="182">
        <f t="shared" si="205"/>
        <v>2</v>
      </c>
      <c r="AT478" s="182" t="str">
        <f t="shared" si="206"/>
        <v>Correct</v>
      </c>
      <c r="AU478" s="142"/>
      <c r="AV478" s="120" t="str">
        <f>IFERROR(VLOOKUP(Table1[RespondentID],'All Data'!$A$3:$CO$999,87,FALSE),"unknown")</f>
        <v>Woman</v>
      </c>
      <c r="AW478" s="120">
        <f>IFERROR(VLOOKUP(Table1[RespondentID],'All Data'!$A$3:$CO$999,88,FALSE),"unknown")</f>
        <v>40</v>
      </c>
      <c r="AX478" s="120" t="str">
        <f>IFERROR(VLOOKUP(Table1[RespondentID],'All Data'!$A$3:$CO$999,89,FALSE),"unknown")</f>
        <v>Nassau</v>
      </c>
      <c r="AY478" s="120" t="str">
        <f>IFERROR(VLOOKUP(Table1[RespondentID],'All Data'!$A$3:$CO$999,90,FALSE),"unknown")</f>
        <v>Oceanside, 11572</v>
      </c>
      <c r="AZ478" s="120" t="str">
        <f>IFERROR(VLOOKUP(Table1[RespondentID],'All Data'!$A$3:$CO$999,91,FALSE),"unknown")</f>
        <v>White</v>
      </c>
      <c r="BA478" s="120" t="str">
        <f>IFERROR(VLOOKUP(Table1[RespondentID],'All Data'!$A$3:$CO$999,92,FALSE),"unknown")</f>
        <v>Not Hispanic or Latino</v>
      </c>
      <c r="BB478" s="120" t="str">
        <f>IFERROR(VLOOKUP(Table1[RespondentID],'All Data'!$A$3:$CO$999,93,FALSE),"unknown")</f>
        <v>English</v>
      </c>
      <c r="BC478" s="120">
        <f>IFERROR(VLOOKUP(Table1[RespondentID],'All Data'!$A$3:$CW$999,94,FALSE),"unknown")</f>
        <v>0</v>
      </c>
      <c r="BD478" s="120" t="str">
        <f>IFERROR(VLOOKUP(Table1[RespondentID],'All Data'!$A$3:$CW$999,95,FALSE),"unknown")</f>
        <v>College graduate</v>
      </c>
      <c r="BE478" s="120" t="str">
        <f>IFERROR(VLOOKUP(Table1[RespondentID],'All Data'!$A$3:$CW$999,96,FALSE),"unknown")</f>
        <v>Out of work and looking for work</v>
      </c>
      <c r="BF478" s="120" t="str">
        <f>IFERROR(VLOOKUP(Table1[RespondentID],'All Data'!$A$3:$CW$999,97,FALSE),"unknown")</f>
        <v>Yes</v>
      </c>
      <c r="BG478" s="120" t="str">
        <f>IFERROR(VLOOKUP(Table1[RespondentID],'All Data'!$A$3:$CW$999,98,FALSE),"unknown")</f>
        <v>Private/Commercial</v>
      </c>
      <c r="BH478" s="120" t="str">
        <f>IFERROR(VLOOKUP(Table1[RespondentID],'All Data'!$A$3:$CW$999,99,FALSE),"unknown")</f>
        <v>Yes</v>
      </c>
    </row>
    <row r="479" spans="1:60">
      <c r="A479" s="141">
        <v>18031749129</v>
      </c>
      <c r="B479" s="180"/>
      <c r="C479" s="181"/>
      <c r="D479" s="181"/>
      <c r="E479" s="181"/>
      <c r="F479" s="181"/>
      <c r="G479" s="181"/>
      <c r="H479" s="181"/>
      <c r="I479" s="181"/>
      <c r="J479" s="181"/>
      <c r="K479" s="181"/>
      <c r="L479" s="181"/>
      <c r="M479" s="181"/>
      <c r="N479" s="181"/>
      <c r="O479" s="181"/>
      <c r="P479" s="181"/>
      <c r="Q479" s="181"/>
      <c r="R479" s="181"/>
      <c r="S479" s="181"/>
      <c r="T479" s="184" t="s">
        <v>496</v>
      </c>
      <c r="U479" s="182">
        <f t="shared" si="184"/>
        <v>1</v>
      </c>
      <c r="V479" s="182">
        <f t="shared" si="185"/>
        <v>3</v>
      </c>
      <c r="W479" s="110"/>
      <c r="X479" s="182">
        <f t="shared" si="186"/>
        <v>0</v>
      </c>
      <c r="Y479" s="182">
        <f t="shared" si="187"/>
        <v>0</v>
      </c>
      <c r="Z479" s="182">
        <f t="shared" si="188"/>
        <v>0</v>
      </c>
      <c r="AA479" s="182">
        <f t="shared" si="189"/>
        <v>0</v>
      </c>
      <c r="AB479" s="182">
        <f t="shared" si="190"/>
        <v>0</v>
      </c>
      <c r="AC479" s="182">
        <f t="shared" si="191"/>
        <v>0</v>
      </c>
      <c r="AD479" s="182">
        <f t="shared" si="192"/>
        <v>0</v>
      </c>
      <c r="AE479" s="182">
        <f t="shared" si="193"/>
        <v>0</v>
      </c>
      <c r="AF479" s="182">
        <f t="shared" si="194"/>
        <v>0</v>
      </c>
      <c r="AG479" s="182">
        <f t="shared" si="195"/>
        <v>0</v>
      </c>
      <c r="AH479" s="182">
        <f t="shared" si="196"/>
        <v>0</v>
      </c>
      <c r="AI479" s="182">
        <f t="shared" si="197"/>
        <v>0</v>
      </c>
      <c r="AJ479" s="182">
        <f t="shared" si="198"/>
        <v>0</v>
      </c>
      <c r="AK479" s="182">
        <f t="shared" si="199"/>
        <v>0</v>
      </c>
      <c r="AL479" s="182">
        <f t="shared" si="200"/>
        <v>0</v>
      </c>
      <c r="AM479" s="182">
        <f t="shared" si="201"/>
        <v>0</v>
      </c>
      <c r="AN479" s="182">
        <f t="shared" si="202"/>
        <v>0</v>
      </c>
      <c r="AO479" s="182">
        <f t="shared" si="203"/>
        <v>0</v>
      </c>
      <c r="AP479" s="110"/>
      <c r="AQ479" s="110"/>
      <c r="AR479" s="182">
        <f t="shared" si="204"/>
        <v>0</v>
      </c>
      <c r="AS479" s="182">
        <f t="shared" si="205"/>
        <v>1</v>
      </c>
      <c r="AT479" s="182" t="str">
        <f t="shared" si="206"/>
        <v>Wrong</v>
      </c>
      <c r="AU479" s="142"/>
      <c r="AV479" s="120" t="str">
        <f>IFERROR(VLOOKUP(Table1[RespondentID],'All Data'!$A$3:$CO$999,87,FALSE),"unknown")</f>
        <v>Woman</v>
      </c>
      <c r="AW479" s="120">
        <f>IFERROR(VLOOKUP(Table1[RespondentID],'All Data'!$A$3:$CO$999,88,FALSE),"unknown")</f>
        <v>75</v>
      </c>
      <c r="AX479" s="120" t="str">
        <f>IFERROR(VLOOKUP(Table1[RespondentID],'All Data'!$A$3:$CO$999,89,FALSE),"unknown")</f>
        <v>Suffolk</v>
      </c>
      <c r="AY479" s="120" t="str">
        <f>IFERROR(VLOOKUP(Table1[RespondentID],'All Data'!$A$3:$CO$999,90,FALSE),"unknown")</f>
        <v>East Northport, 11731</v>
      </c>
      <c r="AZ479" s="120" t="str">
        <f>IFERROR(VLOOKUP(Table1[RespondentID],'All Data'!$A$3:$CO$999,91,FALSE),"unknown")</f>
        <v>White</v>
      </c>
      <c r="BA479" s="120" t="str">
        <f>IFERROR(VLOOKUP(Table1[RespondentID],'All Data'!$A$3:$CO$999,92,FALSE),"unknown")</f>
        <v>Not Hispanic or Latino</v>
      </c>
      <c r="BB479" s="120" t="str">
        <f>IFERROR(VLOOKUP(Table1[RespondentID],'All Data'!$A$3:$CO$999,93,FALSE),"unknown")</f>
        <v>English</v>
      </c>
      <c r="BC479" s="120" t="str">
        <f>IFERROR(VLOOKUP(Table1[RespondentID],'All Data'!$A$3:$CW$999,94,FALSE),"unknown")</f>
        <v>$75,000 to $125,000</v>
      </c>
      <c r="BD479" s="120" t="str">
        <f>IFERROR(VLOOKUP(Table1[RespondentID],'All Data'!$A$3:$CW$999,95,FALSE),"unknown")</f>
        <v>Graduate school</v>
      </c>
      <c r="BE479" s="120" t="str">
        <f>IFERROR(VLOOKUP(Table1[RespondentID],'All Data'!$A$3:$CW$999,96,FALSE),"unknown")</f>
        <v>Retired</v>
      </c>
      <c r="BF479" s="120" t="str">
        <f>IFERROR(VLOOKUP(Table1[RespondentID],'All Data'!$A$3:$CW$999,97,FALSE),"unknown")</f>
        <v>Yes</v>
      </c>
      <c r="BG479" s="120" t="str">
        <f>IFERROR(VLOOKUP(Table1[RespondentID],'All Data'!$A$3:$CW$999,98,FALSE),"unknown")</f>
        <v>Medicare,Private/Commercial</v>
      </c>
      <c r="BH479" s="120" t="str">
        <f>IFERROR(VLOOKUP(Table1[RespondentID],'All Data'!$A$3:$CW$999,99,FALSE),"unknown")</f>
        <v>Yes</v>
      </c>
    </row>
    <row r="480" spans="1:60">
      <c r="A480" s="141">
        <v>18031748998</v>
      </c>
      <c r="B480" s="180"/>
      <c r="C480" s="181"/>
      <c r="D480" s="181"/>
      <c r="E480" s="181"/>
      <c r="F480" s="181"/>
      <c r="G480" s="181"/>
      <c r="H480" s="181" t="s">
        <v>54</v>
      </c>
      <c r="I480" s="181" t="s">
        <v>55</v>
      </c>
      <c r="J480" s="181"/>
      <c r="K480" s="181"/>
      <c r="L480" s="181"/>
      <c r="M480" s="181"/>
      <c r="N480" s="181"/>
      <c r="O480" s="181"/>
      <c r="P480" s="181"/>
      <c r="Q480" s="181"/>
      <c r="R480" s="181"/>
      <c r="S480" s="181" t="s">
        <v>63</v>
      </c>
      <c r="T480" s="184"/>
      <c r="U480" s="182">
        <f t="shared" si="184"/>
        <v>3</v>
      </c>
      <c r="V480" s="182">
        <f t="shared" si="185"/>
        <v>1</v>
      </c>
      <c r="W480" s="110"/>
      <c r="X480" s="182">
        <f t="shared" si="186"/>
        <v>0</v>
      </c>
      <c r="Y480" s="182">
        <f t="shared" si="187"/>
        <v>0</v>
      </c>
      <c r="Z480" s="182">
        <f t="shared" si="188"/>
        <v>0</v>
      </c>
      <c r="AA480" s="182">
        <f t="shared" si="189"/>
        <v>0</v>
      </c>
      <c r="AB480" s="182">
        <f t="shared" si="190"/>
        <v>0</v>
      </c>
      <c r="AC480" s="182">
        <f t="shared" si="191"/>
        <v>0</v>
      </c>
      <c r="AD480" s="182">
        <f t="shared" si="192"/>
        <v>1</v>
      </c>
      <c r="AE480" s="182">
        <f t="shared" si="193"/>
        <v>1</v>
      </c>
      <c r="AF480" s="182">
        <f t="shared" si="194"/>
        <v>0</v>
      </c>
      <c r="AG480" s="182">
        <f t="shared" si="195"/>
        <v>0</v>
      </c>
      <c r="AH480" s="182">
        <f t="shared" si="196"/>
        <v>0</v>
      </c>
      <c r="AI480" s="182">
        <f t="shared" si="197"/>
        <v>0</v>
      </c>
      <c r="AJ480" s="182">
        <f t="shared" si="198"/>
        <v>0</v>
      </c>
      <c r="AK480" s="182">
        <f t="shared" si="199"/>
        <v>0</v>
      </c>
      <c r="AL480" s="182">
        <f t="shared" si="200"/>
        <v>0</v>
      </c>
      <c r="AM480" s="182">
        <f t="shared" si="201"/>
        <v>0</v>
      </c>
      <c r="AN480" s="182">
        <f t="shared" si="202"/>
        <v>0</v>
      </c>
      <c r="AO480" s="182">
        <f t="shared" si="203"/>
        <v>1</v>
      </c>
      <c r="AP480" s="110"/>
      <c r="AQ480" s="110"/>
      <c r="AR480" s="182">
        <f t="shared" si="204"/>
        <v>3</v>
      </c>
      <c r="AS480" s="182">
        <f t="shared" si="205"/>
        <v>3</v>
      </c>
      <c r="AT480" s="182" t="str">
        <f t="shared" si="206"/>
        <v>Correct</v>
      </c>
      <c r="AU480" s="142"/>
      <c r="AV480" s="120" t="str">
        <f>IFERROR(VLOOKUP(Table1[RespondentID],'All Data'!$A$3:$CO$999,87,FALSE),"unknown")</f>
        <v>Woman</v>
      </c>
      <c r="AW480" s="120">
        <f>IFERROR(VLOOKUP(Table1[RespondentID],'All Data'!$A$3:$CO$999,88,FALSE),"unknown")</f>
        <v>0</v>
      </c>
      <c r="AX480" s="120" t="str">
        <f>IFERROR(VLOOKUP(Table1[RespondentID],'All Data'!$A$3:$CO$999,89,FALSE),"unknown")</f>
        <v>Nassau</v>
      </c>
      <c r="AY480" s="120" t="str">
        <f>IFERROR(VLOOKUP(Table1[RespondentID],'All Data'!$A$3:$CO$999,90,FALSE),"unknown")</f>
        <v>Westbury, 11590</v>
      </c>
      <c r="AZ480" s="120" t="str">
        <f>IFERROR(VLOOKUP(Table1[RespondentID],'All Data'!$A$3:$CO$999,91,FALSE),"unknown")</f>
        <v>Asian</v>
      </c>
      <c r="BA480" s="120" t="str">
        <f>IFERROR(VLOOKUP(Table1[RespondentID],'All Data'!$A$3:$CO$999,92,FALSE),"unknown")</f>
        <v>Not Hispanic or Latino</v>
      </c>
      <c r="BB480" s="120" t="str">
        <f>IFERROR(VLOOKUP(Table1[RespondentID],'All Data'!$A$3:$CO$999,93,FALSE),"unknown")</f>
        <v>English</v>
      </c>
      <c r="BC480" s="120" t="str">
        <f>IFERROR(VLOOKUP(Table1[RespondentID],'All Data'!$A$3:$CW$999,94,FALSE),"unknown")</f>
        <v>$50,000 to $74,999</v>
      </c>
      <c r="BD480" s="120" t="str">
        <f>IFERROR(VLOOKUP(Table1[RespondentID],'All Data'!$A$3:$CW$999,95,FALSE),"unknown")</f>
        <v>Graduate school</v>
      </c>
      <c r="BE480" s="120" t="str">
        <f>IFERROR(VLOOKUP(Table1[RespondentID],'All Data'!$A$3:$CW$999,96,FALSE),"unknown")</f>
        <v>Employed for wages</v>
      </c>
      <c r="BF480" s="120" t="str">
        <f>IFERROR(VLOOKUP(Table1[RespondentID],'All Data'!$A$3:$CW$999,97,FALSE),"unknown")</f>
        <v>Yes</v>
      </c>
      <c r="BG480" s="120" t="str">
        <f>IFERROR(VLOOKUP(Table1[RespondentID],'All Data'!$A$3:$CW$999,98,FALSE),"unknown")</f>
        <v>Private/Commercial</v>
      </c>
      <c r="BH480" s="120">
        <f>IFERROR(VLOOKUP(Table1[RespondentID],'All Data'!$A$3:$CW$999,99,FALSE),"unknown")</f>
        <v>0</v>
      </c>
    </row>
    <row r="481" spans="1:60">
      <c r="A481" s="141">
        <v>18031748776</v>
      </c>
      <c r="B481" s="180"/>
      <c r="C481" s="181"/>
      <c r="D481" s="181"/>
      <c r="E481" s="181"/>
      <c r="F481" s="181"/>
      <c r="G481" s="181"/>
      <c r="H481" s="181"/>
      <c r="I481" s="181"/>
      <c r="J481" s="181"/>
      <c r="K481" s="181"/>
      <c r="L481" s="181"/>
      <c r="M481" s="181"/>
      <c r="N481" s="181"/>
      <c r="O481" s="181"/>
      <c r="P481" s="181"/>
      <c r="Q481" s="181"/>
      <c r="R481" s="181"/>
      <c r="S481" s="181"/>
      <c r="T481" s="184"/>
      <c r="U481" s="182">
        <f t="shared" si="184"/>
        <v>0</v>
      </c>
      <c r="V481" s="182" t="e">
        <f t="shared" si="185"/>
        <v>#DIV/0!</v>
      </c>
      <c r="W481" s="110"/>
      <c r="X481" s="182">
        <f t="shared" si="186"/>
        <v>0</v>
      </c>
      <c r="Y481" s="182">
        <f t="shared" si="187"/>
        <v>0</v>
      </c>
      <c r="Z481" s="182">
        <f t="shared" si="188"/>
        <v>0</v>
      </c>
      <c r="AA481" s="182">
        <f t="shared" si="189"/>
        <v>0</v>
      </c>
      <c r="AB481" s="182">
        <f t="shared" si="190"/>
        <v>0</v>
      </c>
      <c r="AC481" s="182">
        <f t="shared" si="191"/>
        <v>0</v>
      </c>
      <c r="AD481" s="182">
        <f t="shared" si="192"/>
        <v>0</v>
      </c>
      <c r="AE481" s="182">
        <f t="shared" si="193"/>
        <v>0</v>
      </c>
      <c r="AF481" s="182">
        <f t="shared" si="194"/>
        <v>0</v>
      </c>
      <c r="AG481" s="182">
        <f t="shared" si="195"/>
        <v>0</v>
      </c>
      <c r="AH481" s="182">
        <f t="shared" si="196"/>
        <v>0</v>
      </c>
      <c r="AI481" s="182">
        <f t="shared" si="197"/>
        <v>0</v>
      </c>
      <c r="AJ481" s="182">
        <f t="shared" si="198"/>
        <v>0</v>
      </c>
      <c r="AK481" s="182">
        <f t="shared" si="199"/>
        <v>0</v>
      </c>
      <c r="AL481" s="182">
        <f t="shared" si="200"/>
        <v>0</v>
      </c>
      <c r="AM481" s="182">
        <f t="shared" si="201"/>
        <v>0</v>
      </c>
      <c r="AN481" s="182">
        <f t="shared" si="202"/>
        <v>0</v>
      </c>
      <c r="AO481" s="182">
        <f t="shared" si="203"/>
        <v>0</v>
      </c>
      <c r="AP481" s="110"/>
      <c r="AQ481" s="110"/>
      <c r="AR481" s="182">
        <f t="shared" si="204"/>
        <v>0</v>
      </c>
      <c r="AS481" s="182">
        <f t="shared" si="205"/>
        <v>0</v>
      </c>
      <c r="AT481" s="182" t="str">
        <f t="shared" si="206"/>
        <v>Correct</v>
      </c>
      <c r="AU481" s="142"/>
      <c r="AV481" s="120" t="str">
        <f>IFERROR(VLOOKUP(Table1[RespondentID],'All Data'!$A$3:$CO$999,87,FALSE),"unknown")</f>
        <v>Woman</v>
      </c>
      <c r="AW481" s="120">
        <f>IFERROR(VLOOKUP(Table1[RespondentID],'All Data'!$A$3:$CO$999,88,FALSE),"unknown")</f>
        <v>82</v>
      </c>
      <c r="AX481" s="120" t="str">
        <f>IFERROR(VLOOKUP(Table1[RespondentID],'All Data'!$A$3:$CO$999,89,FALSE),"unknown")</f>
        <v>Nassau</v>
      </c>
      <c r="AY481" s="120" t="str">
        <f>IFERROR(VLOOKUP(Table1[RespondentID],'All Data'!$A$3:$CO$999,90,FALSE),"unknown")</f>
        <v>Manhasset, 11030</v>
      </c>
      <c r="AZ481" s="120" t="str">
        <f>IFERROR(VLOOKUP(Table1[RespondentID],'All Data'!$A$3:$CO$999,91,FALSE),"unknown")</f>
        <v>Two or more races</v>
      </c>
      <c r="BA481" s="120" t="str">
        <f>IFERROR(VLOOKUP(Table1[RespondentID],'All Data'!$A$3:$CO$999,92,FALSE),"unknown")</f>
        <v>Not Hispanic or Latino</v>
      </c>
      <c r="BB481" s="120" t="str">
        <f>IFERROR(VLOOKUP(Table1[RespondentID],'All Data'!$A$3:$CO$999,93,FALSE),"unknown")</f>
        <v>English</v>
      </c>
      <c r="BC481" s="120" t="str">
        <f>IFERROR(VLOOKUP(Table1[RespondentID],'All Data'!$A$3:$CW$999,94,FALSE),"unknown")</f>
        <v>$20,000 to $34,999</v>
      </c>
      <c r="BD481" s="120" t="str">
        <f>IFERROR(VLOOKUP(Table1[RespondentID],'All Data'!$A$3:$CW$999,95,FALSE),"unknown")</f>
        <v>High school graduate</v>
      </c>
      <c r="BE481" s="120" t="str">
        <f>IFERROR(VLOOKUP(Table1[RespondentID],'All Data'!$A$3:$CW$999,96,FALSE),"unknown")</f>
        <v>Retired</v>
      </c>
      <c r="BF481" s="120" t="str">
        <f>IFERROR(VLOOKUP(Table1[RespondentID],'All Data'!$A$3:$CW$999,97,FALSE),"unknown")</f>
        <v>Yes</v>
      </c>
      <c r="BG481" s="120" t="str">
        <f>IFERROR(VLOOKUP(Table1[RespondentID],'All Data'!$A$3:$CW$999,98,FALSE),"unknown")</f>
        <v>Medicare</v>
      </c>
      <c r="BH481" s="120" t="str">
        <f>IFERROR(VLOOKUP(Table1[RespondentID],'All Data'!$A$3:$CW$999,99,FALSE),"unknown")</f>
        <v>Yes</v>
      </c>
    </row>
    <row r="482" spans="1:60">
      <c r="A482" s="141">
        <v>18031748295</v>
      </c>
      <c r="B482" s="180" t="s">
        <v>49</v>
      </c>
      <c r="C482" s="181" t="s">
        <v>50</v>
      </c>
      <c r="D482" s="181"/>
      <c r="E482" s="181"/>
      <c r="F482" s="181"/>
      <c r="G482" s="181" t="s">
        <v>53</v>
      </c>
      <c r="H482" s="181"/>
      <c r="I482" s="181"/>
      <c r="J482" s="181"/>
      <c r="K482" s="181" t="s">
        <v>57</v>
      </c>
      <c r="L482" s="181" t="s">
        <v>58</v>
      </c>
      <c r="M482" s="181"/>
      <c r="N482" s="181" t="s">
        <v>24</v>
      </c>
      <c r="O482" s="181"/>
      <c r="P482" s="181"/>
      <c r="Q482" s="181"/>
      <c r="R482" s="181"/>
      <c r="S482" s="181"/>
      <c r="T482" s="184"/>
      <c r="U482" s="182">
        <f t="shared" si="184"/>
        <v>6</v>
      </c>
      <c r="V482" s="182">
        <f t="shared" si="185"/>
        <v>0.5</v>
      </c>
      <c r="W482" s="110"/>
      <c r="X482" s="182">
        <f t="shared" si="186"/>
        <v>0.5</v>
      </c>
      <c r="Y482" s="182">
        <f t="shared" si="187"/>
        <v>0.5</v>
      </c>
      <c r="Z482" s="182">
        <f t="shared" si="188"/>
        <v>0</v>
      </c>
      <c r="AA482" s="182">
        <f t="shared" si="189"/>
        <v>0</v>
      </c>
      <c r="AB482" s="182">
        <f t="shared" si="190"/>
        <v>0</v>
      </c>
      <c r="AC482" s="182">
        <f t="shared" si="191"/>
        <v>0.5</v>
      </c>
      <c r="AD482" s="182">
        <f t="shared" si="192"/>
        <v>0</v>
      </c>
      <c r="AE482" s="182">
        <f t="shared" si="193"/>
        <v>0</v>
      </c>
      <c r="AF482" s="182">
        <f t="shared" si="194"/>
        <v>0</v>
      </c>
      <c r="AG482" s="182">
        <f t="shared" si="195"/>
        <v>0.5</v>
      </c>
      <c r="AH482" s="182">
        <f t="shared" si="196"/>
        <v>0.5</v>
      </c>
      <c r="AI482" s="182">
        <f t="shared" si="197"/>
        <v>0</v>
      </c>
      <c r="AJ482" s="182">
        <f t="shared" si="198"/>
        <v>0.5</v>
      </c>
      <c r="AK482" s="182">
        <f t="shared" si="199"/>
        <v>0</v>
      </c>
      <c r="AL482" s="182">
        <f t="shared" si="200"/>
        <v>0</v>
      </c>
      <c r="AM482" s="182">
        <f t="shared" si="201"/>
        <v>0</v>
      </c>
      <c r="AN482" s="182">
        <f t="shared" si="202"/>
        <v>0</v>
      </c>
      <c r="AO482" s="182">
        <f t="shared" si="203"/>
        <v>0</v>
      </c>
      <c r="AP482" s="110"/>
      <c r="AQ482" s="110"/>
      <c r="AR482" s="182">
        <f t="shared" si="204"/>
        <v>3</v>
      </c>
      <c r="AS482" s="182">
        <f t="shared" si="205"/>
        <v>6</v>
      </c>
      <c r="AT482" s="182" t="str">
        <f t="shared" si="206"/>
        <v>Correct</v>
      </c>
      <c r="AU482" s="142"/>
      <c r="AV482" s="120" t="str">
        <f>IFERROR(VLOOKUP(Table1[RespondentID],'All Data'!$A$3:$CO$999,87,FALSE),"unknown")</f>
        <v>Woman</v>
      </c>
      <c r="AW482" s="120">
        <f>IFERROR(VLOOKUP(Table1[RespondentID],'All Data'!$A$3:$CO$999,88,FALSE),"unknown")</f>
        <v>64</v>
      </c>
      <c r="AX482" s="120" t="str">
        <f>IFERROR(VLOOKUP(Table1[RespondentID],'All Data'!$A$3:$CO$999,89,FALSE),"unknown")</f>
        <v>Queens</v>
      </c>
      <c r="AY482" s="120">
        <f>IFERROR(VLOOKUP(Table1[RespondentID],'All Data'!$A$3:$CO$999,90,FALSE),"unknown")</f>
        <v>0</v>
      </c>
      <c r="AZ482" s="120" t="str">
        <f>IFERROR(VLOOKUP(Table1[RespondentID],'All Data'!$A$3:$CO$999,91,FALSE),"unknown")</f>
        <v>Black or African American</v>
      </c>
      <c r="BA482" s="120" t="str">
        <f>IFERROR(VLOOKUP(Table1[RespondentID],'All Data'!$A$3:$CO$999,92,FALSE),"unknown")</f>
        <v>Not Hispanic or Latino</v>
      </c>
      <c r="BB482" s="120" t="str">
        <f>IFERROR(VLOOKUP(Table1[RespondentID],'All Data'!$A$3:$CO$999,93,FALSE),"unknown")</f>
        <v>English</v>
      </c>
      <c r="BC482" s="120" t="str">
        <f>IFERROR(VLOOKUP(Table1[RespondentID],'All Data'!$A$3:$CW$999,94,FALSE),"unknown")</f>
        <v>$50,000 to $74,999</v>
      </c>
      <c r="BD482" s="120" t="str">
        <f>IFERROR(VLOOKUP(Table1[RespondentID],'All Data'!$A$3:$CW$999,95,FALSE),"unknown")</f>
        <v>Some college</v>
      </c>
      <c r="BE482" s="120" t="str">
        <f>IFERROR(VLOOKUP(Table1[RespondentID],'All Data'!$A$3:$CW$999,96,FALSE),"unknown")</f>
        <v>Employed for wages</v>
      </c>
      <c r="BF482" s="120" t="str">
        <f>IFERROR(VLOOKUP(Table1[RespondentID],'All Data'!$A$3:$CW$999,97,FALSE),"unknown")</f>
        <v>Yes</v>
      </c>
      <c r="BG482" s="120" t="str">
        <f>IFERROR(VLOOKUP(Table1[RespondentID],'All Data'!$A$3:$CW$999,98,FALSE),"unknown")</f>
        <v>Medicare</v>
      </c>
      <c r="BH482" s="120" t="str">
        <f>IFERROR(VLOOKUP(Table1[RespondentID],'All Data'!$A$3:$CW$999,99,FALSE),"unknown")</f>
        <v>Yes</v>
      </c>
    </row>
    <row r="483" spans="1:60">
      <c r="A483" s="141">
        <v>18031748212</v>
      </c>
      <c r="B483" s="180"/>
      <c r="C483" s="181"/>
      <c r="D483" s="181" t="s">
        <v>51</v>
      </c>
      <c r="E483" s="181"/>
      <c r="F483" s="181"/>
      <c r="G483" s="181" t="s">
        <v>53</v>
      </c>
      <c r="H483" s="181"/>
      <c r="I483" s="181"/>
      <c r="J483" s="181"/>
      <c r="K483" s="181"/>
      <c r="L483" s="181" t="s">
        <v>58</v>
      </c>
      <c r="M483" s="181"/>
      <c r="N483" s="181"/>
      <c r="O483" s="181"/>
      <c r="P483" s="181"/>
      <c r="Q483" s="181"/>
      <c r="R483" s="181"/>
      <c r="S483" s="181"/>
      <c r="T483" s="184"/>
      <c r="U483" s="182">
        <f t="shared" si="184"/>
        <v>3</v>
      </c>
      <c r="V483" s="182">
        <f t="shared" si="185"/>
        <v>1</v>
      </c>
      <c r="W483" s="110"/>
      <c r="X483" s="182">
        <f t="shared" si="186"/>
        <v>0</v>
      </c>
      <c r="Y483" s="182">
        <f t="shared" si="187"/>
        <v>0</v>
      </c>
      <c r="Z483" s="182">
        <f t="shared" si="188"/>
        <v>1</v>
      </c>
      <c r="AA483" s="182">
        <f t="shared" si="189"/>
        <v>0</v>
      </c>
      <c r="AB483" s="182">
        <f t="shared" si="190"/>
        <v>0</v>
      </c>
      <c r="AC483" s="182">
        <f t="shared" si="191"/>
        <v>1</v>
      </c>
      <c r="AD483" s="182">
        <f t="shared" si="192"/>
        <v>0</v>
      </c>
      <c r="AE483" s="182">
        <f t="shared" si="193"/>
        <v>0</v>
      </c>
      <c r="AF483" s="182">
        <f t="shared" si="194"/>
        <v>0</v>
      </c>
      <c r="AG483" s="182">
        <f t="shared" si="195"/>
        <v>0</v>
      </c>
      <c r="AH483" s="182">
        <f t="shared" si="196"/>
        <v>1</v>
      </c>
      <c r="AI483" s="182">
        <f t="shared" si="197"/>
        <v>0</v>
      </c>
      <c r="AJ483" s="182">
        <f t="shared" si="198"/>
        <v>0</v>
      </c>
      <c r="AK483" s="182">
        <f t="shared" si="199"/>
        <v>0</v>
      </c>
      <c r="AL483" s="182">
        <f t="shared" si="200"/>
        <v>0</v>
      </c>
      <c r="AM483" s="182">
        <f t="shared" si="201"/>
        <v>0</v>
      </c>
      <c r="AN483" s="182">
        <f t="shared" si="202"/>
        <v>0</v>
      </c>
      <c r="AO483" s="182">
        <f t="shared" si="203"/>
        <v>0</v>
      </c>
      <c r="AP483" s="110"/>
      <c r="AQ483" s="110"/>
      <c r="AR483" s="182">
        <f t="shared" si="204"/>
        <v>3</v>
      </c>
      <c r="AS483" s="182">
        <f t="shared" si="205"/>
        <v>3</v>
      </c>
      <c r="AT483" s="182" t="str">
        <f t="shared" si="206"/>
        <v>Correct</v>
      </c>
      <c r="AU483" s="142"/>
      <c r="AV483" s="120" t="str">
        <f>IFERROR(VLOOKUP(Table1[RespondentID],'All Data'!$A$3:$CO$999,87,FALSE),"unknown")</f>
        <v>Woman</v>
      </c>
      <c r="AW483" s="120">
        <f>IFERROR(VLOOKUP(Table1[RespondentID],'All Data'!$A$3:$CO$999,88,FALSE),"unknown")</f>
        <v>50</v>
      </c>
      <c r="AX483" s="120" t="str">
        <f>IFERROR(VLOOKUP(Table1[RespondentID],'All Data'!$A$3:$CO$999,89,FALSE),"unknown")</f>
        <v>Nassau</v>
      </c>
      <c r="AY483" s="120" t="str">
        <f>IFERROR(VLOOKUP(Table1[RespondentID],'All Data'!$A$3:$CO$999,90,FALSE),"unknown")</f>
        <v>New Hyde Park, 11040</v>
      </c>
      <c r="AZ483" s="120" t="str">
        <f>IFERROR(VLOOKUP(Table1[RespondentID],'All Data'!$A$3:$CO$999,91,FALSE),"unknown")</f>
        <v>Asian</v>
      </c>
      <c r="BA483" s="120" t="str">
        <f>IFERROR(VLOOKUP(Table1[RespondentID],'All Data'!$A$3:$CO$999,92,FALSE),"unknown")</f>
        <v>Not Hispanic or Latino</v>
      </c>
      <c r="BB483" s="120" t="str">
        <f>IFERROR(VLOOKUP(Table1[RespondentID],'All Data'!$A$3:$CO$999,93,FALSE),"unknown")</f>
        <v>English,Chinese</v>
      </c>
      <c r="BC483" s="120" t="str">
        <f>IFERROR(VLOOKUP(Table1[RespondentID],'All Data'!$A$3:$CW$999,94,FALSE),"unknown")</f>
        <v>Over $125,000</v>
      </c>
      <c r="BD483" s="120" t="str">
        <f>IFERROR(VLOOKUP(Table1[RespondentID],'All Data'!$A$3:$CW$999,95,FALSE),"unknown")</f>
        <v>College graduate</v>
      </c>
      <c r="BE483" s="120" t="str">
        <f>IFERROR(VLOOKUP(Table1[RespondentID],'All Data'!$A$3:$CW$999,96,FALSE),"unknown")</f>
        <v>Employed for wages</v>
      </c>
      <c r="BF483" s="120" t="str">
        <f>IFERROR(VLOOKUP(Table1[RespondentID],'All Data'!$A$3:$CW$999,97,FALSE),"unknown")</f>
        <v>Yes</v>
      </c>
      <c r="BG483" s="120" t="str">
        <f>IFERROR(VLOOKUP(Table1[RespondentID],'All Data'!$A$3:$CW$999,98,FALSE),"unknown")</f>
        <v>Private/Commercial</v>
      </c>
      <c r="BH483" s="120" t="str">
        <f>IFERROR(VLOOKUP(Table1[RespondentID],'All Data'!$A$3:$CW$999,99,FALSE),"unknown")</f>
        <v>Yes</v>
      </c>
    </row>
    <row r="484" spans="1:60">
      <c r="A484" s="141">
        <v>18031748123</v>
      </c>
      <c r="B484" s="180"/>
      <c r="C484" s="181" t="s">
        <v>50</v>
      </c>
      <c r="D484" s="181"/>
      <c r="E484" s="181"/>
      <c r="F484" s="181"/>
      <c r="G484" s="181" t="s">
        <v>53</v>
      </c>
      <c r="H484" s="181"/>
      <c r="I484" s="181"/>
      <c r="J484" s="181"/>
      <c r="K484" s="181"/>
      <c r="L484" s="181"/>
      <c r="M484" s="181"/>
      <c r="N484" s="181"/>
      <c r="O484" s="181"/>
      <c r="P484" s="181"/>
      <c r="Q484" s="181"/>
      <c r="R484" s="181"/>
      <c r="S484" s="181"/>
      <c r="T484" s="184"/>
      <c r="U484" s="182">
        <f t="shared" si="184"/>
        <v>2</v>
      </c>
      <c r="V484" s="182">
        <f t="shared" si="185"/>
        <v>1.5</v>
      </c>
      <c r="W484" s="110"/>
      <c r="X484" s="182">
        <f t="shared" si="186"/>
        <v>0</v>
      </c>
      <c r="Y484" s="182">
        <f t="shared" si="187"/>
        <v>1</v>
      </c>
      <c r="Z484" s="182">
        <f t="shared" si="188"/>
        <v>0</v>
      </c>
      <c r="AA484" s="182">
        <f t="shared" si="189"/>
        <v>0</v>
      </c>
      <c r="AB484" s="182">
        <f t="shared" si="190"/>
        <v>0</v>
      </c>
      <c r="AC484" s="182">
        <f t="shared" si="191"/>
        <v>1</v>
      </c>
      <c r="AD484" s="182">
        <f t="shared" si="192"/>
        <v>0</v>
      </c>
      <c r="AE484" s="182">
        <f t="shared" si="193"/>
        <v>0</v>
      </c>
      <c r="AF484" s="182">
        <f t="shared" si="194"/>
        <v>0</v>
      </c>
      <c r="AG484" s="182">
        <f t="shared" si="195"/>
        <v>0</v>
      </c>
      <c r="AH484" s="182">
        <f t="shared" si="196"/>
        <v>0</v>
      </c>
      <c r="AI484" s="182">
        <f t="shared" si="197"/>
        <v>0</v>
      </c>
      <c r="AJ484" s="182">
        <f t="shared" si="198"/>
        <v>0</v>
      </c>
      <c r="AK484" s="182">
        <f t="shared" si="199"/>
        <v>0</v>
      </c>
      <c r="AL484" s="182">
        <f t="shared" si="200"/>
        <v>0</v>
      </c>
      <c r="AM484" s="182">
        <f t="shared" si="201"/>
        <v>0</v>
      </c>
      <c r="AN484" s="182">
        <f t="shared" si="202"/>
        <v>0</v>
      </c>
      <c r="AO484" s="182">
        <f t="shared" si="203"/>
        <v>0</v>
      </c>
      <c r="AP484" s="110"/>
      <c r="AQ484" s="110"/>
      <c r="AR484" s="182">
        <f t="shared" si="204"/>
        <v>2</v>
      </c>
      <c r="AS484" s="182">
        <f t="shared" si="205"/>
        <v>2</v>
      </c>
      <c r="AT484" s="182" t="str">
        <f t="shared" si="206"/>
        <v>Correct</v>
      </c>
      <c r="AU484" s="142"/>
      <c r="AV484" s="120" t="str">
        <f>IFERROR(VLOOKUP(Table1[RespondentID],'All Data'!$A$3:$CO$999,87,FALSE),"unknown")</f>
        <v>Woman</v>
      </c>
      <c r="AW484" s="120">
        <f>IFERROR(VLOOKUP(Table1[RespondentID],'All Data'!$A$3:$CO$999,88,FALSE),"unknown")</f>
        <v>81</v>
      </c>
      <c r="AX484" s="120" t="str">
        <f>IFERROR(VLOOKUP(Table1[RespondentID],'All Data'!$A$3:$CO$999,89,FALSE),"unknown")</f>
        <v>Nassau</v>
      </c>
      <c r="AY484" s="120" t="str">
        <f>IFERROR(VLOOKUP(Table1[RespondentID],'All Data'!$A$3:$CO$999,90,FALSE),"unknown")</f>
        <v>Manhasset, 11030</v>
      </c>
      <c r="AZ484" s="120" t="str">
        <f>IFERROR(VLOOKUP(Table1[RespondentID],'All Data'!$A$3:$CO$999,91,FALSE),"unknown")</f>
        <v>Black or African American</v>
      </c>
      <c r="BA484" s="120" t="str">
        <f>IFERROR(VLOOKUP(Table1[RespondentID],'All Data'!$A$3:$CO$999,92,FALSE),"unknown")</f>
        <v>Not Hispanic or Latino</v>
      </c>
      <c r="BB484" s="120" t="str">
        <f>IFERROR(VLOOKUP(Table1[RespondentID],'All Data'!$A$3:$CO$999,93,FALSE),"unknown")</f>
        <v>English</v>
      </c>
      <c r="BC484" s="120">
        <f>IFERROR(VLOOKUP(Table1[RespondentID],'All Data'!$A$3:$CW$999,94,FALSE),"unknown")</f>
        <v>0</v>
      </c>
      <c r="BD484" s="120" t="str">
        <f>IFERROR(VLOOKUP(Table1[RespondentID],'All Data'!$A$3:$CW$999,95,FALSE),"unknown")</f>
        <v>High school graduate</v>
      </c>
      <c r="BE484" s="120" t="str">
        <f>IFERROR(VLOOKUP(Table1[RespondentID],'All Data'!$A$3:$CW$999,96,FALSE),"unknown")</f>
        <v>Retired</v>
      </c>
      <c r="BF484" s="120" t="str">
        <f>IFERROR(VLOOKUP(Table1[RespondentID],'All Data'!$A$3:$CW$999,97,FALSE),"unknown")</f>
        <v>Yes</v>
      </c>
      <c r="BG484" s="120" t="str">
        <f>IFERROR(VLOOKUP(Table1[RespondentID],'All Data'!$A$3:$CW$999,98,FALSE),"unknown")</f>
        <v>Medicare</v>
      </c>
      <c r="BH484" s="120" t="str">
        <f>IFERROR(VLOOKUP(Table1[RespondentID],'All Data'!$A$3:$CW$999,99,FALSE),"unknown")</f>
        <v>No</v>
      </c>
    </row>
    <row r="485" spans="1:60">
      <c r="A485" s="141">
        <v>18031747963</v>
      </c>
      <c r="B485" s="180"/>
      <c r="C485" s="181"/>
      <c r="D485" s="181"/>
      <c r="E485" s="181"/>
      <c r="F485" s="181"/>
      <c r="G485" s="181"/>
      <c r="H485" s="181"/>
      <c r="I485" s="181"/>
      <c r="J485" s="181"/>
      <c r="K485" s="181"/>
      <c r="L485" s="181"/>
      <c r="M485" s="181"/>
      <c r="N485" s="181" t="s">
        <v>24</v>
      </c>
      <c r="O485" s="181"/>
      <c r="P485" s="181"/>
      <c r="Q485" s="181"/>
      <c r="R485" s="181"/>
      <c r="S485" s="181"/>
      <c r="T485" s="184"/>
      <c r="U485" s="182">
        <f t="shared" si="184"/>
        <v>1</v>
      </c>
      <c r="V485" s="182">
        <f t="shared" si="185"/>
        <v>3</v>
      </c>
      <c r="W485" s="110"/>
      <c r="X485" s="182">
        <f t="shared" si="186"/>
        <v>0</v>
      </c>
      <c r="Y485" s="182">
        <f t="shared" si="187"/>
        <v>0</v>
      </c>
      <c r="Z485" s="182">
        <f t="shared" si="188"/>
        <v>0</v>
      </c>
      <c r="AA485" s="182">
        <f t="shared" si="189"/>
        <v>0</v>
      </c>
      <c r="AB485" s="182">
        <f t="shared" si="190"/>
        <v>0</v>
      </c>
      <c r="AC485" s="182">
        <f t="shared" si="191"/>
        <v>0</v>
      </c>
      <c r="AD485" s="182">
        <f t="shared" si="192"/>
        <v>0</v>
      </c>
      <c r="AE485" s="182">
        <f t="shared" si="193"/>
        <v>0</v>
      </c>
      <c r="AF485" s="182">
        <f t="shared" si="194"/>
        <v>0</v>
      </c>
      <c r="AG485" s="182">
        <f t="shared" si="195"/>
        <v>0</v>
      </c>
      <c r="AH485" s="182">
        <f t="shared" si="196"/>
        <v>0</v>
      </c>
      <c r="AI485" s="182">
        <f t="shared" si="197"/>
        <v>0</v>
      </c>
      <c r="AJ485" s="182">
        <f t="shared" si="198"/>
        <v>1</v>
      </c>
      <c r="AK485" s="182">
        <f t="shared" si="199"/>
        <v>0</v>
      </c>
      <c r="AL485" s="182">
        <f t="shared" si="200"/>
        <v>0</v>
      </c>
      <c r="AM485" s="182">
        <f t="shared" si="201"/>
        <v>0</v>
      </c>
      <c r="AN485" s="182">
        <f t="shared" si="202"/>
        <v>0</v>
      </c>
      <c r="AO485" s="182">
        <f t="shared" si="203"/>
        <v>0</v>
      </c>
      <c r="AP485" s="110"/>
      <c r="AQ485" s="110"/>
      <c r="AR485" s="182">
        <f t="shared" si="204"/>
        <v>1</v>
      </c>
      <c r="AS485" s="182">
        <f t="shared" si="205"/>
        <v>1</v>
      </c>
      <c r="AT485" s="182" t="str">
        <f t="shared" si="206"/>
        <v>Correct</v>
      </c>
      <c r="AU485" s="142"/>
      <c r="AV485" s="120" t="str">
        <f>IFERROR(VLOOKUP(Table1[RespondentID],'All Data'!$A$3:$CO$999,87,FALSE),"unknown")</f>
        <v>Man</v>
      </c>
      <c r="AW485" s="120">
        <f>IFERROR(VLOOKUP(Table1[RespondentID],'All Data'!$A$3:$CO$999,88,FALSE),"unknown")</f>
        <v>79</v>
      </c>
      <c r="AX485" s="120">
        <f>IFERROR(VLOOKUP(Table1[RespondentID],'All Data'!$A$3:$CO$999,89,FALSE),"unknown")</f>
        <v>0</v>
      </c>
      <c r="AY485" s="120">
        <f>IFERROR(VLOOKUP(Table1[RespondentID],'All Data'!$A$3:$CO$999,90,FALSE),"unknown")</f>
        <v>0</v>
      </c>
      <c r="AZ485" s="120" t="str">
        <f>IFERROR(VLOOKUP(Table1[RespondentID],'All Data'!$A$3:$CO$999,91,FALSE),"unknown")</f>
        <v>White</v>
      </c>
      <c r="BA485" s="120" t="str">
        <f>IFERROR(VLOOKUP(Table1[RespondentID],'All Data'!$A$3:$CO$999,92,FALSE),"unknown")</f>
        <v>Not Hispanic or Latino</v>
      </c>
      <c r="BB485" s="120" t="str">
        <f>IFERROR(VLOOKUP(Table1[RespondentID],'All Data'!$A$3:$CO$999,93,FALSE),"unknown")</f>
        <v>English</v>
      </c>
      <c r="BC485" s="120" t="str">
        <f>IFERROR(VLOOKUP(Table1[RespondentID],'All Data'!$A$3:$CW$999,94,FALSE),"unknown")</f>
        <v>$75,000 to $125,000</v>
      </c>
      <c r="BD485" s="120" t="str">
        <f>IFERROR(VLOOKUP(Table1[RespondentID],'All Data'!$A$3:$CW$999,95,FALSE),"unknown")</f>
        <v>College graduate</v>
      </c>
      <c r="BE485" s="120" t="str">
        <f>IFERROR(VLOOKUP(Table1[RespondentID],'All Data'!$A$3:$CW$999,96,FALSE),"unknown")</f>
        <v>Retired</v>
      </c>
      <c r="BF485" s="120" t="str">
        <f>IFERROR(VLOOKUP(Table1[RespondentID],'All Data'!$A$3:$CW$999,97,FALSE),"unknown")</f>
        <v>Yes</v>
      </c>
      <c r="BG485" s="120" t="str">
        <f>IFERROR(VLOOKUP(Table1[RespondentID],'All Data'!$A$3:$CW$999,98,FALSE),"unknown")</f>
        <v>Medicare</v>
      </c>
      <c r="BH485" s="120" t="str">
        <f>IFERROR(VLOOKUP(Table1[RespondentID],'All Data'!$A$3:$CW$999,99,FALSE),"unknown")</f>
        <v>Yes</v>
      </c>
    </row>
    <row r="486" spans="1:60">
      <c r="A486" s="141">
        <v>18031747878</v>
      </c>
      <c r="B486" s="180"/>
      <c r="C486" s="181"/>
      <c r="D486" s="181"/>
      <c r="E486" s="181"/>
      <c r="F486" s="181"/>
      <c r="G486" s="181"/>
      <c r="H486" s="181"/>
      <c r="I486" s="181" t="s">
        <v>55</v>
      </c>
      <c r="J486" s="181"/>
      <c r="K486" s="181"/>
      <c r="L486" s="181"/>
      <c r="M486" s="181"/>
      <c r="N486" s="181"/>
      <c r="O486" s="181"/>
      <c r="P486" s="181" t="s">
        <v>60</v>
      </c>
      <c r="Q486" s="181"/>
      <c r="R486" s="181"/>
      <c r="S486" s="181"/>
      <c r="T486" s="184"/>
      <c r="U486" s="182">
        <f t="shared" si="184"/>
        <v>2</v>
      </c>
      <c r="V486" s="182">
        <f t="shared" si="185"/>
        <v>1.5</v>
      </c>
      <c r="W486" s="110"/>
      <c r="X486" s="182">
        <f t="shared" si="186"/>
        <v>0</v>
      </c>
      <c r="Y486" s="182">
        <f t="shared" si="187"/>
        <v>0</v>
      </c>
      <c r="Z486" s="182">
        <f t="shared" si="188"/>
        <v>0</v>
      </c>
      <c r="AA486" s="182">
        <f t="shared" si="189"/>
        <v>0</v>
      </c>
      <c r="AB486" s="182">
        <f t="shared" si="190"/>
        <v>0</v>
      </c>
      <c r="AC486" s="182">
        <f t="shared" si="191"/>
        <v>0</v>
      </c>
      <c r="AD486" s="182">
        <f t="shared" si="192"/>
        <v>0</v>
      </c>
      <c r="AE486" s="182">
        <f t="shared" si="193"/>
        <v>1</v>
      </c>
      <c r="AF486" s="182">
        <f t="shared" si="194"/>
        <v>0</v>
      </c>
      <c r="AG486" s="182">
        <f t="shared" si="195"/>
        <v>0</v>
      </c>
      <c r="AH486" s="182">
        <f t="shared" si="196"/>
        <v>0</v>
      </c>
      <c r="AI486" s="182">
        <f t="shared" si="197"/>
        <v>0</v>
      </c>
      <c r="AJ486" s="182">
        <f t="shared" si="198"/>
        <v>0</v>
      </c>
      <c r="AK486" s="182">
        <f t="shared" si="199"/>
        <v>0</v>
      </c>
      <c r="AL486" s="182">
        <f t="shared" si="200"/>
        <v>1</v>
      </c>
      <c r="AM486" s="182">
        <f t="shared" si="201"/>
        <v>0</v>
      </c>
      <c r="AN486" s="182">
        <f t="shared" si="202"/>
        <v>0</v>
      </c>
      <c r="AO486" s="182">
        <f t="shared" si="203"/>
        <v>0</v>
      </c>
      <c r="AP486" s="110"/>
      <c r="AQ486" s="110"/>
      <c r="AR486" s="182">
        <f t="shared" si="204"/>
        <v>2</v>
      </c>
      <c r="AS486" s="182">
        <f t="shared" si="205"/>
        <v>2</v>
      </c>
      <c r="AT486" s="182" t="str">
        <f t="shared" si="206"/>
        <v>Correct</v>
      </c>
      <c r="AU486" s="142"/>
      <c r="AV486" s="120" t="str">
        <f>IFERROR(VLOOKUP(Table1[RespondentID],'All Data'!$A$3:$CO$999,87,FALSE),"unknown")</f>
        <v>Woman</v>
      </c>
      <c r="AW486" s="120">
        <f>IFERROR(VLOOKUP(Table1[RespondentID],'All Data'!$A$3:$CO$999,88,FALSE),"unknown")</f>
        <v>86</v>
      </c>
      <c r="AX486" s="120" t="str">
        <f>IFERROR(VLOOKUP(Table1[RespondentID],'All Data'!$A$3:$CO$999,89,FALSE),"unknown")</f>
        <v>Nassau</v>
      </c>
      <c r="AY486" s="120" t="str">
        <f>IFERROR(VLOOKUP(Table1[RespondentID],'All Data'!$A$3:$CO$999,90,FALSE),"unknown")</f>
        <v>New Hyde Park, 11040</v>
      </c>
      <c r="AZ486" s="120" t="str">
        <f>IFERROR(VLOOKUP(Table1[RespondentID],'All Data'!$A$3:$CO$999,91,FALSE),"unknown")</f>
        <v>White</v>
      </c>
      <c r="BA486" s="120" t="str">
        <f>IFERROR(VLOOKUP(Table1[RespondentID],'All Data'!$A$3:$CO$999,92,FALSE),"unknown")</f>
        <v>Not Hispanic or Latino</v>
      </c>
      <c r="BB486" s="120" t="str">
        <f>IFERROR(VLOOKUP(Table1[RespondentID],'All Data'!$A$3:$CO$999,93,FALSE),"unknown")</f>
        <v>English</v>
      </c>
      <c r="BC486" s="120">
        <f>IFERROR(VLOOKUP(Table1[RespondentID],'All Data'!$A$3:$CW$999,94,FALSE),"unknown")</f>
        <v>0</v>
      </c>
      <c r="BD486" s="120" t="str">
        <f>IFERROR(VLOOKUP(Table1[RespondentID],'All Data'!$A$3:$CW$999,95,FALSE),"unknown")</f>
        <v>High school graduate</v>
      </c>
      <c r="BE486" s="120" t="str">
        <f>IFERROR(VLOOKUP(Table1[RespondentID],'All Data'!$A$3:$CW$999,96,FALSE),"unknown")</f>
        <v>Retired</v>
      </c>
      <c r="BF486" s="120" t="str">
        <f>IFERROR(VLOOKUP(Table1[RespondentID],'All Data'!$A$3:$CW$999,97,FALSE),"unknown")</f>
        <v>Yes</v>
      </c>
      <c r="BG486" s="120" t="str">
        <f>IFERROR(VLOOKUP(Table1[RespondentID],'All Data'!$A$3:$CW$999,98,FALSE),"unknown")</f>
        <v>Medicare</v>
      </c>
      <c r="BH486" s="120" t="str">
        <f>IFERROR(VLOOKUP(Table1[RespondentID],'All Data'!$A$3:$CW$999,99,FALSE),"unknown")</f>
        <v>No</v>
      </c>
    </row>
    <row r="487" spans="1:60">
      <c r="A487" s="141">
        <v>18031747796</v>
      </c>
      <c r="B487" s="180"/>
      <c r="C487" s="181" t="s">
        <v>50</v>
      </c>
      <c r="D487" s="181"/>
      <c r="E487" s="181"/>
      <c r="F487" s="181"/>
      <c r="G487" s="181" t="s">
        <v>53</v>
      </c>
      <c r="H487" s="181" t="s">
        <v>54</v>
      </c>
      <c r="I487" s="181"/>
      <c r="J487" s="181"/>
      <c r="K487" s="181"/>
      <c r="L487" s="181"/>
      <c r="M487" s="181"/>
      <c r="N487" s="181" t="s">
        <v>24</v>
      </c>
      <c r="O487" s="181"/>
      <c r="P487" s="181"/>
      <c r="Q487" s="181"/>
      <c r="R487" s="181"/>
      <c r="S487" s="181"/>
      <c r="T487" s="184"/>
      <c r="U487" s="182">
        <f t="shared" si="184"/>
        <v>4</v>
      </c>
      <c r="V487" s="182">
        <f t="shared" si="185"/>
        <v>0.75</v>
      </c>
      <c r="W487" s="110"/>
      <c r="X487" s="182">
        <f t="shared" si="186"/>
        <v>0</v>
      </c>
      <c r="Y487" s="182">
        <f t="shared" si="187"/>
        <v>0.75</v>
      </c>
      <c r="Z487" s="182">
        <f t="shared" si="188"/>
        <v>0</v>
      </c>
      <c r="AA487" s="182">
        <f t="shared" si="189"/>
        <v>0</v>
      </c>
      <c r="AB487" s="182">
        <f t="shared" si="190"/>
        <v>0</v>
      </c>
      <c r="AC487" s="182">
        <f t="shared" si="191"/>
        <v>0.75</v>
      </c>
      <c r="AD487" s="182">
        <f t="shared" si="192"/>
        <v>0.75</v>
      </c>
      <c r="AE487" s="182">
        <f t="shared" si="193"/>
        <v>0</v>
      </c>
      <c r="AF487" s="182">
        <f t="shared" si="194"/>
        <v>0</v>
      </c>
      <c r="AG487" s="182">
        <f t="shared" si="195"/>
        <v>0</v>
      </c>
      <c r="AH487" s="182">
        <f t="shared" si="196"/>
        <v>0</v>
      </c>
      <c r="AI487" s="182">
        <f t="shared" si="197"/>
        <v>0</v>
      </c>
      <c r="AJ487" s="182">
        <f t="shared" si="198"/>
        <v>0.75</v>
      </c>
      <c r="AK487" s="182">
        <f t="shared" si="199"/>
        <v>0</v>
      </c>
      <c r="AL487" s="182">
        <f t="shared" si="200"/>
        <v>0</v>
      </c>
      <c r="AM487" s="182">
        <f t="shared" si="201"/>
        <v>0</v>
      </c>
      <c r="AN487" s="182">
        <f t="shared" si="202"/>
        <v>0</v>
      </c>
      <c r="AO487" s="182">
        <f t="shared" si="203"/>
        <v>0</v>
      </c>
      <c r="AP487" s="110"/>
      <c r="AQ487" s="110"/>
      <c r="AR487" s="182">
        <f t="shared" si="204"/>
        <v>3</v>
      </c>
      <c r="AS487" s="182">
        <f t="shared" si="205"/>
        <v>4</v>
      </c>
      <c r="AT487" s="182" t="str">
        <f t="shared" si="206"/>
        <v>Correct</v>
      </c>
      <c r="AU487" s="142"/>
      <c r="AV487" s="120" t="str">
        <f>IFERROR(VLOOKUP(Table1[RespondentID],'All Data'!$A$3:$CO$999,87,FALSE),"unknown")</f>
        <v>Man</v>
      </c>
      <c r="AW487" s="120">
        <f>IFERROR(VLOOKUP(Table1[RespondentID],'All Data'!$A$3:$CO$999,88,FALSE),"unknown")</f>
        <v>56</v>
      </c>
      <c r="AX487" s="120" t="str">
        <f>IFERROR(VLOOKUP(Table1[RespondentID],'All Data'!$A$3:$CO$999,89,FALSE),"unknown")</f>
        <v>Nassau</v>
      </c>
      <c r="AY487" s="120" t="str">
        <f>IFERROR(VLOOKUP(Table1[RespondentID],'All Data'!$A$3:$CO$999,90,FALSE),"unknown")</f>
        <v>Manhasset, 11030</v>
      </c>
      <c r="AZ487" s="120" t="str">
        <f>IFERROR(VLOOKUP(Table1[RespondentID],'All Data'!$A$3:$CO$999,91,FALSE),"unknown")</f>
        <v>White</v>
      </c>
      <c r="BA487" s="120" t="str">
        <f>IFERROR(VLOOKUP(Table1[RespondentID],'All Data'!$A$3:$CO$999,92,FALSE),"unknown")</f>
        <v>Not Hispanic or Latino</v>
      </c>
      <c r="BB487" s="120" t="str">
        <f>IFERROR(VLOOKUP(Table1[RespondentID],'All Data'!$A$3:$CO$999,93,FALSE),"unknown")</f>
        <v>English</v>
      </c>
      <c r="BC487" s="120" t="str">
        <f>IFERROR(VLOOKUP(Table1[RespondentID],'All Data'!$A$3:$CW$999,94,FALSE),"unknown")</f>
        <v>$0-$19,999</v>
      </c>
      <c r="BD487" s="120" t="str">
        <f>IFERROR(VLOOKUP(Table1[RespondentID],'All Data'!$A$3:$CW$999,95,FALSE),"unknown")</f>
        <v>Some college</v>
      </c>
      <c r="BE487" s="120" t="str">
        <f>IFERROR(VLOOKUP(Table1[RespondentID],'All Data'!$A$3:$CW$999,96,FALSE),"unknown")</f>
        <v>Out of work, but not currently looking</v>
      </c>
      <c r="BF487" s="120" t="str">
        <f>IFERROR(VLOOKUP(Table1[RespondentID],'All Data'!$A$3:$CW$999,97,FALSE),"unknown")</f>
        <v>Yes</v>
      </c>
      <c r="BG487" s="120" t="str">
        <f>IFERROR(VLOOKUP(Table1[RespondentID],'All Data'!$A$3:$CW$999,98,FALSE),"unknown")</f>
        <v>Medicaid</v>
      </c>
      <c r="BH487" s="120" t="str">
        <f>IFERROR(VLOOKUP(Table1[RespondentID],'All Data'!$A$3:$CW$999,99,FALSE),"unknown")</f>
        <v>No</v>
      </c>
    </row>
    <row r="488" spans="1:60">
      <c r="A488" s="141">
        <v>18031747661</v>
      </c>
      <c r="B488" s="180" t="s">
        <v>49</v>
      </c>
      <c r="C488" s="181"/>
      <c r="D488" s="181"/>
      <c r="E488" s="181" t="s">
        <v>17</v>
      </c>
      <c r="F488" s="181"/>
      <c r="G488" s="181"/>
      <c r="H488" s="181"/>
      <c r="I488" s="181"/>
      <c r="J488" s="181"/>
      <c r="K488" s="181"/>
      <c r="L488" s="181"/>
      <c r="M488" s="181"/>
      <c r="N488" s="181"/>
      <c r="O488" s="181"/>
      <c r="P488" s="181"/>
      <c r="Q488" s="181"/>
      <c r="R488" s="181"/>
      <c r="S488" s="181" t="s">
        <v>63</v>
      </c>
      <c r="T488" s="184"/>
      <c r="U488" s="182">
        <f t="shared" si="184"/>
        <v>3</v>
      </c>
      <c r="V488" s="182">
        <f t="shared" si="185"/>
        <v>1</v>
      </c>
      <c r="W488" s="110"/>
      <c r="X488" s="182">
        <f t="shared" si="186"/>
        <v>1</v>
      </c>
      <c r="Y488" s="182">
        <f t="shared" si="187"/>
        <v>0</v>
      </c>
      <c r="Z488" s="182">
        <f t="shared" si="188"/>
        <v>0</v>
      </c>
      <c r="AA488" s="182">
        <f t="shared" si="189"/>
        <v>1</v>
      </c>
      <c r="AB488" s="182">
        <f t="shared" si="190"/>
        <v>0</v>
      </c>
      <c r="AC488" s="182">
        <f t="shared" si="191"/>
        <v>0</v>
      </c>
      <c r="AD488" s="182">
        <f t="shared" si="192"/>
        <v>0</v>
      </c>
      <c r="AE488" s="182">
        <f t="shared" si="193"/>
        <v>0</v>
      </c>
      <c r="AF488" s="182">
        <f t="shared" si="194"/>
        <v>0</v>
      </c>
      <c r="AG488" s="182">
        <f t="shared" si="195"/>
        <v>0</v>
      </c>
      <c r="AH488" s="182">
        <f t="shared" si="196"/>
        <v>0</v>
      </c>
      <c r="AI488" s="182">
        <f t="shared" si="197"/>
        <v>0</v>
      </c>
      <c r="AJ488" s="182">
        <f t="shared" si="198"/>
        <v>0</v>
      </c>
      <c r="AK488" s="182">
        <f t="shared" si="199"/>
        <v>0</v>
      </c>
      <c r="AL488" s="182">
        <f t="shared" si="200"/>
        <v>0</v>
      </c>
      <c r="AM488" s="182">
        <f t="shared" si="201"/>
        <v>0</v>
      </c>
      <c r="AN488" s="182">
        <f t="shared" si="202"/>
        <v>0</v>
      </c>
      <c r="AO488" s="182">
        <f t="shared" si="203"/>
        <v>1</v>
      </c>
      <c r="AP488" s="110"/>
      <c r="AQ488" s="110"/>
      <c r="AR488" s="182">
        <f t="shared" si="204"/>
        <v>3</v>
      </c>
      <c r="AS488" s="182">
        <f t="shared" si="205"/>
        <v>3</v>
      </c>
      <c r="AT488" s="182" t="str">
        <f t="shared" si="206"/>
        <v>Correct</v>
      </c>
      <c r="AU488" s="142"/>
      <c r="AV488" s="120" t="str">
        <f>IFERROR(VLOOKUP(Table1[RespondentID],'All Data'!$A$3:$CO$999,87,FALSE),"unknown")</f>
        <v>Woman</v>
      </c>
      <c r="AW488" s="120">
        <f>IFERROR(VLOOKUP(Table1[RespondentID],'All Data'!$A$3:$CO$999,88,FALSE),"unknown")</f>
        <v>62</v>
      </c>
      <c r="AX488" s="120" t="str">
        <f>IFERROR(VLOOKUP(Table1[RespondentID],'All Data'!$A$3:$CO$999,89,FALSE),"unknown")</f>
        <v>Nassau</v>
      </c>
      <c r="AY488" s="120" t="str">
        <f>IFERROR(VLOOKUP(Table1[RespondentID],'All Data'!$A$3:$CO$999,90,FALSE),"unknown")</f>
        <v>Franklin Square, 11010</v>
      </c>
      <c r="AZ488" s="120" t="str">
        <f>IFERROR(VLOOKUP(Table1[RespondentID],'All Data'!$A$3:$CO$999,91,FALSE),"unknown")</f>
        <v>White</v>
      </c>
      <c r="BA488" s="120">
        <f>IFERROR(VLOOKUP(Table1[RespondentID],'All Data'!$A$3:$CO$999,92,FALSE),"unknown")</f>
        <v>0</v>
      </c>
      <c r="BB488" s="120" t="str">
        <f>IFERROR(VLOOKUP(Table1[RespondentID],'All Data'!$A$3:$CO$999,93,FALSE),"unknown")</f>
        <v>English</v>
      </c>
      <c r="BC488" s="120" t="str">
        <f>IFERROR(VLOOKUP(Table1[RespondentID],'All Data'!$A$3:$CW$999,94,FALSE),"unknown")</f>
        <v>$75,000 to $125,000</v>
      </c>
      <c r="BD488" s="120" t="str">
        <f>IFERROR(VLOOKUP(Table1[RespondentID],'All Data'!$A$3:$CW$999,95,FALSE),"unknown")</f>
        <v>High school graduate</v>
      </c>
      <c r="BE488" s="120" t="str">
        <f>IFERROR(VLOOKUP(Table1[RespondentID],'All Data'!$A$3:$CW$999,96,FALSE),"unknown")</f>
        <v>Employed for wages</v>
      </c>
      <c r="BF488" s="120" t="str">
        <f>IFERROR(VLOOKUP(Table1[RespondentID],'All Data'!$A$3:$CW$999,97,FALSE),"unknown")</f>
        <v>Yes</v>
      </c>
      <c r="BG488" s="120" t="str">
        <f>IFERROR(VLOOKUP(Table1[RespondentID],'All Data'!$A$3:$CW$999,98,FALSE),"unknown")</f>
        <v>Private/Commercial</v>
      </c>
      <c r="BH488" s="120" t="str">
        <f>IFERROR(VLOOKUP(Table1[RespondentID],'All Data'!$A$3:$CW$999,99,FALSE),"unknown")</f>
        <v>Yes</v>
      </c>
    </row>
    <row r="489" spans="1:60">
      <c r="A489" s="141">
        <v>18031747461</v>
      </c>
      <c r="B489" s="180"/>
      <c r="C489" s="181"/>
      <c r="D489" s="181" t="s">
        <v>51</v>
      </c>
      <c r="E489" s="181" t="s">
        <v>17</v>
      </c>
      <c r="F489" s="181"/>
      <c r="G489" s="181"/>
      <c r="H489" s="181"/>
      <c r="I489" s="181"/>
      <c r="J489" s="181"/>
      <c r="K489" s="181"/>
      <c r="L489" s="181"/>
      <c r="M489" s="181"/>
      <c r="N489" s="181"/>
      <c r="O489" s="181"/>
      <c r="P489" s="181"/>
      <c r="Q489" s="181"/>
      <c r="R489" s="181"/>
      <c r="S489" s="181"/>
      <c r="T489" s="184"/>
      <c r="U489" s="182">
        <f t="shared" si="184"/>
        <v>2</v>
      </c>
      <c r="V489" s="182">
        <f t="shared" si="185"/>
        <v>1.5</v>
      </c>
      <c r="W489" s="110"/>
      <c r="X489" s="182">
        <f t="shared" si="186"/>
        <v>0</v>
      </c>
      <c r="Y489" s="182">
        <f t="shared" si="187"/>
        <v>0</v>
      </c>
      <c r="Z489" s="182">
        <f t="shared" si="188"/>
        <v>1</v>
      </c>
      <c r="AA489" s="182">
        <f t="shared" si="189"/>
        <v>1</v>
      </c>
      <c r="AB489" s="182">
        <f t="shared" si="190"/>
        <v>0</v>
      </c>
      <c r="AC489" s="182">
        <f t="shared" si="191"/>
        <v>0</v>
      </c>
      <c r="AD489" s="182">
        <f t="shared" si="192"/>
        <v>0</v>
      </c>
      <c r="AE489" s="182">
        <f t="shared" si="193"/>
        <v>0</v>
      </c>
      <c r="AF489" s="182">
        <f t="shared" si="194"/>
        <v>0</v>
      </c>
      <c r="AG489" s="182">
        <f t="shared" si="195"/>
        <v>0</v>
      </c>
      <c r="AH489" s="182">
        <f t="shared" si="196"/>
        <v>0</v>
      </c>
      <c r="AI489" s="182">
        <f t="shared" si="197"/>
        <v>0</v>
      </c>
      <c r="AJ489" s="182">
        <f t="shared" si="198"/>
        <v>0</v>
      </c>
      <c r="AK489" s="182">
        <f t="shared" si="199"/>
        <v>0</v>
      </c>
      <c r="AL489" s="182">
        <f t="shared" si="200"/>
        <v>0</v>
      </c>
      <c r="AM489" s="182">
        <f t="shared" si="201"/>
        <v>0</v>
      </c>
      <c r="AN489" s="182">
        <f t="shared" si="202"/>
        <v>0</v>
      </c>
      <c r="AO489" s="182">
        <f t="shared" si="203"/>
        <v>0</v>
      </c>
      <c r="AP489" s="110"/>
      <c r="AQ489" s="110"/>
      <c r="AR489" s="182">
        <f t="shared" si="204"/>
        <v>2</v>
      </c>
      <c r="AS489" s="182">
        <f t="shared" si="205"/>
        <v>2</v>
      </c>
      <c r="AT489" s="182" t="str">
        <f t="shared" si="206"/>
        <v>Correct</v>
      </c>
      <c r="AU489" s="142"/>
      <c r="AV489" s="120">
        <f>IFERROR(VLOOKUP(Table1[RespondentID],'All Data'!$A$3:$CO$999,87,FALSE),"unknown")</f>
        <v>0</v>
      </c>
      <c r="AW489" s="120">
        <f>IFERROR(VLOOKUP(Table1[RespondentID],'All Data'!$A$3:$CO$999,88,FALSE),"unknown")</f>
        <v>0</v>
      </c>
      <c r="AX489" s="120" t="str">
        <f>IFERROR(VLOOKUP(Table1[RespondentID],'All Data'!$A$3:$CO$999,89,FALSE),"unknown")</f>
        <v>Suffolk</v>
      </c>
      <c r="AY489" s="120" t="str">
        <f>IFERROR(VLOOKUP(Table1[RespondentID],'All Data'!$A$3:$CO$999,90,FALSE),"unknown")</f>
        <v>Centerport, 11721</v>
      </c>
      <c r="AZ489" s="120" t="str">
        <f>IFERROR(VLOOKUP(Table1[RespondentID],'All Data'!$A$3:$CO$999,91,FALSE),"unknown")</f>
        <v>White</v>
      </c>
      <c r="BA489" s="120">
        <f>IFERROR(VLOOKUP(Table1[RespondentID],'All Data'!$A$3:$CO$999,92,FALSE),"unknown")</f>
        <v>0</v>
      </c>
      <c r="BB489" s="120" t="str">
        <f>IFERROR(VLOOKUP(Table1[RespondentID],'All Data'!$A$3:$CO$999,93,FALSE),"unknown")</f>
        <v>English</v>
      </c>
      <c r="BC489" s="120">
        <f>IFERROR(VLOOKUP(Table1[RespondentID],'All Data'!$A$3:$CW$999,94,FALSE),"unknown")</f>
        <v>0</v>
      </c>
      <c r="BD489" s="120" t="str">
        <f>IFERROR(VLOOKUP(Table1[RespondentID],'All Data'!$A$3:$CW$999,95,FALSE),"unknown")</f>
        <v>College graduate</v>
      </c>
      <c r="BE489" s="120" t="str">
        <f>IFERROR(VLOOKUP(Table1[RespondentID],'All Data'!$A$3:$CW$999,96,FALSE),"unknown")</f>
        <v>Out of work and looking for work</v>
      </c>
      <c r="BF489" s="120" t="str">
        <f>IFERROR(VLOOKUP(Table1[RespondentID],'All Data'!$A$3:$CW$999,97,FALSE),"unknown")</f>
        <v>Yes</v>
      </c>
      <c r="BG489" s="120">
        <f>IFERROR(VLOOKUP(Table1[RespondentID],'All Data'!$A$3:$CW$999,98,FALSE),"unknown")</f>
        <v>0</v>
      </c>
      <c r="BH489" s="120" t="str">
        <f>IFERROR(VLOOKUP(Table1[RespondentID],'All Data'!$A$3:$CW$999,99,FALSE),"unknown")</f>
        <v>Yes</v>
      </c>
    </row>
    <row r="490" spans="1:60">
      <c r="A490" s="141">
        <v>18031747331</v>
      </c>
      <c r="B490" s="180" t="s">
        <v>49</v>
      </c>
      <c r="C490" s="181"/>
      <c r="D490" s="181"/>
      <c r="E490" s="181"/>
      <c r="F490" s="181"/>
      <c r="G490" s="181"/>
      <c r="H490" s="181"/>
      <c r="I490" s="181"/>
      <c r="J490" s="181"/>
      <c r="K490" s="181" t="s">
        <v>57</v>
      </c>
      <c r="L490" s="181"/>
      <c r="M490" s="181"/>
      <c r="N490" s="181"/>
      <c r="O490" s="181"/>
      <c r="P490" s="181"/>
      <c r="Q490" s="181"/>
      <c r="R490" s="181" t="s">
        <v>62</v>
      </c>
      <c r="S490" s="181"/>
      <c r="T490" s="184"/>
      <c r="U490" s="182">
        <f t="shared" si="184"/>
        <v>3</v>
      </c>
      <c r="V490" s="182">
        <f t="shared" si="185"/>
        <v>1</v>
      </c>
      <c r="W490" s="110"/>
      <c r="X490" s="182">
        <f t="shared" si="186"/>
        <v>1</v>
      </c>
      <c r="Y490" s="182">
        <f t="shared" si="187"/>
        <v>0</v>
      </c>
      <c r="Z490" s="182">
        <f t="shared" si="188"/>
        <v>0</v>
      </c>
      <c r="AA490" s="182">
        <f t="shared" si="189"/>
        <v>0</v>
      </c>
      <c r="AB490" s="182">
        <f t="shared" si="190"/>
        <v>0</v>
      </c>
      <c r="AC490" s="182">
        <f t="shared" si="191"/>
        <v>0</v>
      </c>
      <c r="AD490" s="182">
        <f t="shared" si="192"/>
        <v>0</v>
      </c>
      <c r="AE490" s="182">
        <f t="shared" si="193"/>
        <v>0</v>
      </c>
      <c r="AF490" s="182">
        <f t="shared" si="194"/>
        <v>0</v>
      </c>
      <c r="AG490" s="182">
        <f t="shared" si="195"/>
        <v>1</v>
      </c>
      <c r="AH490" s="182">
        <f t="shared" si="196"/>
        <v>0</v>
      </c>
      <c r="AI490" s="182">
        <f t="shared" si="197"/>
        <v>0</v>
      </c>
      <c r="AJ490" s="182">
        <f t="shared" si="198"/>
        <v>0</v>
      </c>
      <c r="AK490" s="182">
        <f t="shared" si="199"/>
        <v>0</v>
      </c>
      <c r="AL490" s="182">
        <f t="shared" si="200"/>
        <v>0</v>
      </c>
      <c r="AM490" s="182">
        <f t="shared" si="201"/>
        <v>0</v>
      </c>
      <c r="AN490" s="182">
        <f t="shared" si="202"/>
        <v>1</v>
      </c>
      <c r="AO490" s="182">
        <f t="shared" si="203"/>
        <v>0</v>
      </c>
      <c r="AP490" s="110"/>
      <c r="AQ490" s="110"/>
      <c r="AR490" s="182">
        <f t="shared" si="204"/>
        <v>3</v>
      </c>
      <c r="AS490" s="182">
        <f t="shared" si="205"/>
        <v>3</v>
      </c>
      <c r="AT490" s="182" t="str">
        <f t="shared" si="206"/>
        <v>Correct</v>
      </c>
      <c r="AU490" s="142"/>
      <c r="AV490" s="120" t="str">
        <f>IFERROR(VLOOKUP(Table1[RespondentID],'All Data'!$A$3:$CO$999,87,FALSE),"unknown")</f>
        <v>Woman</v>
      </c>
      <c r="AW490" s="120">
        <f>IFERROR(VLOOKUP(Table1[RespondentID],'All Data'!$A$3:$CO$999,88,FALSE),"unknown")</f>
        <v>69</v>
      </c>
      <c r="AX490" s="120" t="str">
        <f>IFERROR(VLOOKUP(Table1[RespondentID],'All Data'!$A$3:$CO$999,89,FALSE),"unknown")</f>
        <v>Nassau</v>
      </c>
      <c r="AY490" s="120" t="str">
        <f>IFERROR(VLOOKUP(Table1[RespondentID],'All Data'!$A$3:$CO$999,90,FALSE),"unknown")</f>
        <v>Bellerose Terrace, 11001</v>
      </c>
      <c r="AZ490" s="120" t="str">
        <f>IFERROR(VLOOKUP(Table1[RespondentID],'All Data'!$A$3:$CO$999,91,FALSE),"unknown")</f>
        <v>White</v>
      </c>
      <c r="BA490" s="120" t="str">
        <f>IFERROR(VLOOKUP(Table1[RespondentID],'All Data'!$A$3:$CO$999,92,FALSE),"unknown")</f>
        <v>Not Hispanic or Latino</v>
      </c>
      <c r="BB490" s="120" t="str">
        <f>IFERROR(VLOOKUP(Table1[RespondentID],'All Data'!$A$3:$CO$999,93,FALSE),"unknown")</f>
        <v>English</v>
      </c>
      <c r="BC490" s="120" t="str">
        <f>IFERROR(VLOOKUP(Table1[RespondentID],'All Data'!$A$3:$CW$999,94,FALSE),"unknown")</f>
        <v>$35,000 to $49,999</v>
      </c>
      <c r="BD490" s="120" t="str">
        <f>IFERROR(VLOOKUP(Table1[RespondentID],'All Data'!$A$3:$CW$999,95,FALSE),"unknown")</f>
        <v>Graduate school</v>
      </c>
      <c r="BE490" s="120" t="str">
        <f>IFERROR(VLOOKUP(Table1[RespondentID],'All Data'!$A$3:$CW$999,96,FALSE),"unknown")</f>
        <v>Retired</v>
      </c>
      <c r="BF490" s="120" t="str">
        <f>IFERROR(VLOOKUP(Table1[RespondentID],'All Data'!$A$3:$CW$999,97,FALSE),"unknown")</f>
        <v>Yes</v>
      </c>
      <c r="BG490" s="120" t="str">
        <f>IFERROR(VLOOKUP(Table1[RespondentID],'All Data'!$A$3:$CW$999,98,FALSE),"unknown")</f>
        <v>Medicare</v>
      </c>
      <c r="BH490" s="120" t="str">
        <f>IFERROR(VLOOKUP(Table1[RespondentID],'All Data'!$A$3:$CW$999,99,FALSE),"unknown")</f>
        <v>Yes</v>
      </c>
    </row>
    <row r="491" spans="1:60">
      <c r="A491" s="141">
        <v>18031747137</v>
      </c>
      <c r="B491" s="180" t="s">
        <v>49</v>
      </c>
      <c r="C491" s="181"/>
      <c r="D491" s="181"/>
      <c r="E491" s="181"/>
      <c r="F491" s="181"/>
      <c r="G491" s="181"/>
      <c r="H491" s="181" t="s">
        <v>54</v>
      </c>
      <c r="I491" s="181"/>
      <c r="J491" s="181"/>
      <c r="K491" s="181"/>
      <c r="L491" s="181"/>
      <c r="M491" s="181"/>
      <c r="N491" s="181"/>
      <c r="O491" s="181"/>
      <c r="P491" s="181"/>
      <c r="Q491" s="181"/>
      <c r="R491" s="181"/>
      <c r="S491" s="181"/>
      <c r="T491" s="184"/>
      <c r="U491" s="182">
        <f t="shared" si="184"/>
        <v>2</v>
      </c>
      <c r="V491" s="182">
        <f t="shared" si="185"/>
        <v>1.5</v>
      </c>
      <c r="W491" s="110"/>
      <c r="X491" s="182">
        <f t="shared" si="186"/>
        <v>1</v>
      </c>
      <c r="Y491" s="182">
        <f t="shared" si="187"/>
        <v>0</v>
      </c>
      <c r="Z491" s="182">
        <f t="shared" si="188"/>
        <v>0</v>
      </c>
      <c r="AA491" s="182">
        <f t="shared" si="189"/>
        <v>0</v>
      </c>
      <c r="AB491" s="182">
        <f t="shared" si="190"/>
        <v>0</v>
      </c>
      <c r="AC491" s="182">
        <f t="shared" si="191"/>
        <v>0</v>
      </c>
      <c r="AD491" s="182">
        <f t="shared" si="192"/>
        <v>1</v>
      </c>
      <c r="AE491" s="182">
        <f t="shared" si="193"/>
        <v>0</v>
      </c>
      <c r="AF491" s="182">
        <f t="shared" si="194"/>
        <v>0</v>
      </c>
      <c r="AG491" s="182">
        <f t="shared" si="195"/>
        <v>0</v>
      </c>
      <c r="AH491" s="182">
        <f t="shared" si="196"/>
        <v>0</v>
      </c>
      <c r="AI491" s="182">
        <f t="shared" si="197"/>
        <v>0</v>
      </c>
      <c r="AJ491" s="182">
        <f t="shared" si="198"/>
        <v>0</v>
      </c>
      <c r="AK491" s="182">
        <f t="shared" si="199"/>
        <v>0</v>
      </c>
      <c r="AL491" s="182">
        <f t="shared" si="200"/>
        <v>0</v>
      </c>
      <c r="AM491" s="182">
        <f t="shared" si="201"/>
        <v>0</v>
      </c>
      <c r="AN491" s="182">
        <f t="shared" si="202"/>
        <v>0</v>
      </c>
      <c r="AO491" s="182">
        <f t="shared" si="203"/>
        <v>0</v>
      </c>
      <c r="AP491" s="110"/>
      <c r="AQ491" s="110"/>
      <c r="AR491" s="182">
        <f t="shared" si="204"/>
        <v>2</v>
      </c>
      <c r="AS491" s="182">
        <f t="shared" si="205"/>
        <v>2</v>
      </c>
      <c r="AT491" s="182" t="str">
        <f t="shared" si="206"/>
        <v>Correct</v>
      </c>
      <c r="AU491" s="142"/>
      <c r="AV491" s="120" t="str">
        <f>IFERROR(VLOOKUP(Table1[RespondentID],'All Data'!$A$3:$CO$999,87,FALSE),"unknown")</f>
        <v>Man</v>
      </c>
      <c r="AW491" s="120">
        <f>IFERROR(VLOOKUP(Table1[RespondentID],'All Data'!$A$3:$CO$999,88,FALSE),"unknown")</f>
        <v>57</v>
      </c>
      <c r="AX491" s="120" t="str">
        <f>IFERROR(VLOOKUP(Table1[RespondentID],'All Data'!$A$3:$CO$999,89,FALSE),"unknown")</f>
        <v>Nassau</v>
      </c>
      <c r="AY491" s="120" t="str">
        <f>IFERROR(VLOOKUP(Table1[RespondentID],'All Data'!$A$3:$CO$999,90,FALSE),"unknown")</f>
        <v>Floral Park, 11001</v>
      </c>
      <c r="AZ491" s="120" t="str">
        <f>IFERROR(VLOOKUP(Table1[RespondentID],'All Data'!$A$3:$CO$999,91,FALSE),"unknown")</f>
        <v>White</v>
      </c>
      <c r="BA491" s="120" t="str">
        <f>IFERROR(VLOOKUP(Table1[RespondentID],'All Data'!$A$3:$CO$999,92,FALSE),"unknown")</f>
        <v>Not Hispanic or Latino</v>
      </c>
      <c r="BB491" s="120" t="str">
        <f>IFERROR(VLOOKUP(Table1[RespondentID],'All Data'!$A$3:$CO$999,93,FALSE),"unknown")</f>
        <v>English</v>
      </c>
      <c r="BC491" s="120" t="str">
        <f>IFERROR(VLOOKUP(Table1[RespondentID],'All Data'!$A$3:$CW$999,94,FALSE),"unknown")</f>
        <v>$75,000 to $125,000</v>
      </c>
      <c r="BD491" s="120" t="str">
        <f>IFERROR(VLOOKUP(Table1[RespondentID],'All Data'!$A$3:$CW$999,95,FALSE),"unknown")</f>
        <v>High school graduate</v>
      </c>
      <c r="BE491" s="120" t="str">
        <f>IFERROR(VLOOKUP(Table1[RespondentID],'All Data'!$A$3:$CW$999,96,FALSE),"unknown")</f>
        <v>Retired</v>
      </c>
      <c r="BF491" s="120" t="str">
        <f>IFERROR(VLOOKUP(Table1[RespondentID],'All Data'!$A$3:$CW$999,97,FALSE),"unknown")</f>
        <v>Yes</v>
      </c>
      <c r="BG491" s="120" t="str">
        <f>IFERROR(VLOOKUP(Table1[RespondentID],'All Data'!$A$3:$CW$999,98,FALSE),"unknown")</f>
        <v>Private/Commercial</v>
      </c>
      <c r="BH491" s="120" t="str">
        <f>IFERROR(VLOOKUP(Table1[RespondentID],'All Data'!$A$3:$CW$999,99,FALSE),"unknown")</f>
        <v>Yes</v>
      </c>
    </row>
    <row r="492" spans="1:60">
      <c r="A492" s="141">
        <v>18031747033</v>
      </c>
      <c r="B492" s="180" t="s">
        <v>49</v>
      </c>
      <c r="C492" s="181"/>
      <c r="D492" s="181"/>
      <c r="E492" s="181" t="s">
        <v>17</v>
      </c>
      <c r="F492" s="181"/>
      <c r="G492" s="181"/>
      <c r="H492" s="181" t="s">
        <v>54</v>
      </c>
      <c r="I492" s="181"/>
      <c r="J492" s="181"/>
      <c r="K492" s="181"/>
      <c r="L492" s="181" t="s">
        <v>58</v>
      </c>
      <c r="M492" s="181" t="s">
        <v>59</v>
      </c>
      <c r="N492" s="181"/>
      <c r="O492" s="181"/>
      <c r="P492" s="181"/>
      <c r="Q492" s="181"/>
      <c r="R492" s="181"/>
      <c r="S492" s="181"/>
      <c r="T492" s="184"/>
      <c r="U492" s="182">
        <f t="shared" si="184"/>
        <v>5</v>
      </c>
      <c r="V492" s="182">
        <f t="shared" si="185"/>
        <v>0.6</v>
      </c>
      <c r="W492" s="110"/>
      <c r="X492" s="182">
        <f t="shared" si="186"/>
        <v>0.6</v>
      </c>
      <c r="Y492" s="182">
        <f t="shared" si="187"/>
        <v>0</v>
      </c>
      <c r="Z492" s="182">
        <f t="shared" si="188"/>
        <v>0</v>
      </c>
      <c r="AA492" s="182">
        <f t="shared" si="189"/>
        <v>0.6</v>
      </c>
      <c r="AB492" s="182">
        <f t="shared" si="190"/>
        <v>0</v>
      </c>
      <c r="AC492" s="182">
        <f t="shared" si="191"/>
        <v>0</v>
      </c>
      <c r="AD492" s="182">
        <f t="shared" si="192"/>
        <v>0.6</v>
      </c>
      <c r="AE492" s="182">
        <f t="shared" si="193"/>
        <v>0</v>
      </c>
      <c r="AF492" s="182">
        <f t="shared" si="194"/>
        <v>0</v>
      </c>
      <c r="AG492" s="182">
        <f t="shared" si="195"/>
        <v>0</v>
      </c>
      <c r="AH492" s="182">
        <f t="shared" si="196"/>
        <v>0.6</v>
      </c>
      <c r="AI492" s="182">
        <f t="shared" si="197"/>
        <v>0.6</v>
      </c>
      <c r="AJ492" s="182">
        <f t="shared" si="198"/>
        <v>0</v>
      </c>
      <c r="AK492" s="182">
        <f t="shared" si="199"/>
        <v>0</v>
      </c>
      <c r="AL492" s="182">
        <f t="shared" si="200"/>
        <v>0</v>
      </c>
      <c r="AM492" s="182">
        <f t="shared" si="201"/>
        <v>0</v>
      </c>
      <c r="AN492" s="182">
        <f t="shared" si="202"/>
        <v>0</v>
      </c>
      <c r="AO492" s="182">
        <f t="shared" si="203"/>
        <v>0</v>
      </c>
      <c r="AP492" s="110"/>
      <c r="AQ492" s="110"/>
      <c r="AR492" s="182">
        <f t="shared" si="204"/>
        <v>3</v>
      </c>
      <c r="AS492" s="182">
        <f t="shared" si="205"/>
        <v>5</v>
      </c>
      <c r="AT492" s="182" t="str">
        <f t="shared" si="206"/>
        <v>Correct</v>
      </c>
      <c r="AU492" s="142"/>
      <c r="AV492" s="120" t="str">
        <f>IFERROR(VLOOKUP(Table1[RespondentID],'All Data'!$A$3:$CO$999,87,FALSE),"unknown")</f>
        <v>Woman</v>
      </c>
      <c r="AW492" s="120">
        <f>IFERROR(VLOOKUP(Table1[RespondentID],'All Data'!$A$3:$CO$999,88,FALSE),"unknown")</f>
        <v>56</v>
      </c>
      <c r="AX492" s="120" t="str">
        <f>IFERROR(VLOOKUP(Table1[RespondentID],'All Data'!$A$3:$CO$999,89,FALSE),"unknown")</f>
        <v>Nassau</v>
      </c>
      <c r="AY492" s="120" t="str">
        <f>IFERROR(VLOOKUP(Table1[RespondentID],'All Data'!$A$3:$CO$999,90,FALSE),"unknown")</f>
        <v>Floral Park, 11002</v>
      </c>
      <c r="AZ492" s="120">
        <f>IFERROR(VLOOKUP(Table1[RespondentID],'All Data'!$A$3:$CO$999,91,FALSE),"unknown")</f>
        <v>0</v>
      </c>
      <c r="BA492" s="120" t="str">
        <f>IFERROR(VLOOKUP(Table1[RespondentID],'All Data'!$A$3:$CO$999,92,FALSE),"unknown")</f>
        <v>Hispanic or Latino</v>
      </c>
      <c r="BB492" s="120" t="str">
        <f>IFERROR(VLOOKUP(Table1[RespondentID],'All Data'!$A$3:$CO$999,93,FALSE),"unknown")</f>
        <v>English,Spanish</v>
      </c>
      <c r="BC492" s="120" t="str">
        <f>IFERROR(VLOOKUP(Table1[RespondentID],'All Data'!$A$3:$CW$999,94,FALSE),"unknown")</f>
        <v>$75,000 to $125,000</v>
      </c>
      <c r="BD492" s="120" t="str">
        <f>IFERROR(VLOOKUP(Table1[RespondentID],'All Data'!$A$3:$CW$999,95,FALSE),"unknown")</f>
        <v>College graduate</v>
      </c>
      <c r="BE492" s="120" t="str">
        <f>IFERROR(VLOOKUP(Table1[RespondentID],'All Data'!$A$3:$CW$999,96,FALSE),"unknown")</f>
        <v>Employed for wages</v>
      </c>
      <c r="BF492" s="120" t="str">
        <f>IFERROR(VLOOKUP(Table1[RespondentID],'All Data'!$A$3:$CW$999,97,FALSE),"unknown")</f>
        <v>Yes</v>
      </c>
      <c r="BG492" s="120" t="str">
        <f>IFERROR(VLOOKUP(Table1[RespondentID],'All Data'!$A$3:$CW$999,98,FALSE),"unknown")</f>
        <v>Private/Commercial</v>
      </c>
      <c r="BH492" s="120" t="str">
        <f>IFERROR(VLOOKUP(Table1[RespondentID],'All Data'!$A$3:$CW$999,99,FALSE),"unknown")</f>
        <v>Yes</v>
      </c>
    </row>
    <row r="493" spans="1:60">
      <c r="A493" s="141">
        <v>18031743094</v>
      </c>
      <c r="B493" s="180" t="s">
        <v>49</v>
      </c>
      <c r="C493" s="181"/>
      <c r="D493" s="181"/>
      <c r="E493" s="181"/>
      <c r="F493" s="181"/>
      <c r="G493" s="181"/>
      <c r="H493" s="181"/>
      <c r="I493" s="181" t="s">
        <v>55</v>
      </c>
      <c r="J493" s="181"/>
      <c r="K493" s="181"/>
      <c r="L493" s="181"/>
      <c r="M493" s="181"/>
      <c r="N493" s="181" t="s">
        <v>24</v>
      </c>
      <c r="O493" s="181"/>
      <c r="P493" s="181"/>
      <c r="Q493" s="181"/>
      <c r="R493" s="181"/>
      <c r="S493" s="181"/>
      <c r="T493" s="184"/>
      <c r="U493" s="182">
        <f t="shared" si="184"/>
        <v>3</v>
      </c>
      <c r="V493" s="182">
        <f t="shared" si="185"/>
        <v>1</v>
      </c>
      <c r="W493" s="110"/>
      <c r="X493" s="182">
        <f t="shared" si="186"/>
        <v>1</v>
      </c>
      <c r="Y493" s="182">
        <f t="shared" si="187"/>
        <v>0</v>
      </c>
      <c r="Z493" s="182">
        <f t="shared" si="188"/>
        <v>0</v>
      </c>
      <c r="AA493" s="182">
        <f t="shared" si="189"/>
        <v>0</v>
      </c>
      <c r="AB493" s="182">
        <f t="shared" si="190"/>
        <v>0</v>
      </c>
      <c r="AC493" s="182">
        <f t="shared" si="191"/>
        <v>0</v>
      </c>
      <c r="AD493" s="182">
        <f t="shared" si="192"/>
        <v>0</v>
      </c>
      <c r="AE493" s="182">
        <f t="shared" si="193"/>
        <v>1</v>
      </c>
      <c r="AF493" s="182">
        <f t="shared" si="194"/>
        <v>0</v>
      </c>
      <c r="AG493" s="182">
        <f t="shared" si="195"/>
        <v>0</v>
      </c>
      <c r="AH493" s="182">
        <f t="shared" si="196"/>
        <v>0</v>
      </c>
      <c r="AI493" s="182">
        <f t="shared" si="197"/>
        <v>0</v>
      </c>
      <c r="AJ493" s="182">
        <f t="shared" si="198"/>
        <v>1</v>
      </c>
      <c r="AK493" s="182">
        <f t="shared" si="199"/>
        <v>0</v>
      </c>
      <c r="AL493" s="182">
        <f t="shared" si="200"/>
        <v>0</v>
      </c>
      <c r="AM493" s="182">
        <f t="shared" si="201"/>
        <v>0</v>
      </c>
      <c r="AN493" s="182">
        <f t="shared" si="202"/>
        <v>0</v>
      </c>
      <c r="AO493" s="182">
        <f t="shared" si="203"/>
        <v>0</v>
      </c>
      <c r="AP493" s="110"/>
      <c r="AQ493" s="110"/>
      <c r="AR493" s="182">
        <f t="shared" si="204"/>
        <v>3</v>
      </c>
      <c r="AS493" s="182">
        <f t="shared" si="205"/>
        <v>3</v>
      </c>
      <c r="AT493" s="182" t="str">
        <f t="shared" si="206"/>
        <v>Correct</v>
      </c>
      <c r="AU493" s="142"/>
      <c r="AV493" s="120" t="str">
        <f>IFERROR(VLOOKUP(Table1[RespondentID],'All Data'!$A$3:$CO$999,87,FALSE),"unknown")</f>
        <v>Man</v>
      </c>
      <c r="AW493" s="120">
        <f>IFERROR(VLOOKUP(Table1[RespondentID],'All Data'!$A$3:$CO$999,88,FALSE),"unknown")</f>
        <v>78</v>
      </c>
      <c r="AX493" s="120" t="str">
        <f>IFERROR(VLOOKUP(Table1[RespondentID],'All Data'!$A$3:$CO$999,89,FALSE),"unknown")</f>
        <v>Suffolk</v>
      </c>
      <c r="AY493" s="120" t="str">
        <f>IFERROR(VLOOKUP(Table1[RespondentID],'All Data'!$A$3:$CO$999,90,FALSE),"unknown")</f>
        <v>Coram, 11727</v>
      </c>
      <c r="AZ493" s="120" t="str">
        <f>IFERROR(VLOOKUP(Table1[RespondentID],'All Data'!$A$3:$CO$999,91,FALSE),"unknown")</f>
        <v>White</v>
      </c>
      <c r="BA493" s="120" t="str">
        <f>IFERROR(VLOOKUP(Table1[RespondentID],'All Data'!$A$3:$CO$999,92,FALSE),"unknown")</f>
        <v>Not Hispanic or Latino</v>
      </c>
      <c r="BB493" s="120" t="str">
        <f>IFERROR(VLOOKUP(Table1[RespondentID],'All Data'!$A$3:$CO$999,93,FALSE),"unknown")</f>
        <v>English,Italian</v>
      </c>
      <c r="BC493" s="120" t="str">
        <f>IFERROR(VLOOKUP(Table1[RespondentID],'All Data'!$A$3:$CW$999,94,FALSE),"unknown")</f>
        <v>$50,000 to $74,999</v>
      </c>
      <c r="BD493" s="120" t="str">
        <f>IFERROR(VLOOKUP(Table1[RespondentID],'All Data'!$A$3:$CW$999,95,FALSE),"unknown")</f>
        <v>Doctorate</v>
      </c>
      <c r="BE493" s="120" t="str">
        <f>IFERROR(VLOOKUP(Table1[RespondentID],'All Data'!$A$3:$CW$999,96,FALSE),"unknown")</f>
        <v>Retired</v>
      </c>
      <c r="BF493" s="120" t="str">
        <f>IFERROR(VLOOKUP(Table1[RespondentID],'All Data'!$A$3:$CW$999,97,FALSE),"unknown")</f>
        <v>Yes</v>
      </c>
      <c r="BG493" s="120" t="str">
        <f>IFERROR(VLOOKUP(Table1[RespondentID],'All Data'!$A$3:$CW$999,98,FALSE),"unknown")</f>
        <v>Private/Commercial</v>
      </c>
      <c r="BH493" s="120" t="str">
        <f>IFERROR(VLOOKUP(Table1[RespondentID],'All Data'!$A$3:$CW$999,99,FALSE),"unknown")</f>
        <v>Yes</v>
      </c>
    </row>
    <row r="494" spans="1:60">
      <c r="A494" s="141">
        <v>18031732007</v>
      </c>
      <c r="B494" s="180"/>
      <c r="C494" s="181"/>
      <c r="D494" s="181" t="s">
        <v>51</v>
      </c>
      <c r="E494" s="181"/>
      <c r="F494" s="181"/>
      <c r="G494" s="181" t="s">
        <v>53</v>
      </c>
      <c r="H494" s="181" t="s">
        <v>54</v>
      </c>
      <c r="I494" s="181"/>
      <c r="J494" s="181"/>
      <c r="K494" s="181"/>
      <c r="L494" s="181"/>
      <c r="M494" s="181"/>
      <c r="N494" s="181"/>
      <c r="O494" s="181"/>
      <c r="P494" s="181"/>
      <c r="Q494" s="181"/>
      <c r="R494" s="181"/>
      <c r="S494" s="181"/>
      <c r="T494" s="184"/>
      <c r="U494" s="182">
        <f t="shared" ref="U494:U525" si="207">COUNTA(B494:T494)</f>
        <v>3</v>
      </c>
      <c r="V494" s="182">
        <f t="shared" ref="V494:V525" si="208">3/U494</f>
        <v>1</v>
      </c>
      <c r="W494" s="110"/>
      <c r="X494" s="182">
        <f t="shared" ref="X494:X530" si="209">IF($U494&lt;3,IF($B494=$B$1,1,0),IF($B494=$B$1,$V494,0))</f>
        <v>0</v>
      </c>
      <c r="Y494" s="182">
        <f t="shared" ref="Y494:Y530" si="210">IF($U494&lt;3,IF($C494=$C$1,1,0),IF($C494=$C$1,$V494,0))</f>
        <v>0</v>
      </c>
      <c r="Z494" s="182">
        <f t="shared" ref="Z494:Z530" si="211">IF($U494&lt;3,IF($D494=$D$1,1,0),IF($D494=$D$1,$V494,0))</f>
        <v>1</v>
      </c>
      <c r="AA494" s="182">
        <f t="shared" ref="AA494:AA530" si="212">IF($U494&lt;3,IF($E494=$E$1,1,0),IF($E494=$E$1,$V494,0))</f>
        <v>0</v>
      </c>
      <c r="AB494" s="182">
        <f t="shared" ref="AB494:AB530" si="213">IF($U494&lt;3,IF($F494=$F$1,1,0),IF($F494=$F$1,$V494,0))</f>
        <v>0</v>
      </c>
      <c r="AC494" s="182">
        <f t="shared" ref="AC494:AC530" si="214">IF($U494&lt;3,IF($G494=$G$1,1,0),IF($G494=$G$1,$V494,0))</f>
        <v>1</v>
      </c>
      <c r="AD494" s="182">
        <f t="shared" ref="AD494:AD530" si="215">IF($U494&lt;3,IF($H494=$H$1,1,0),IF($H494=$H$1,$V494,0))</f>
        <v>1</v>
      </c>
      <c r="AE494" s="182">
        <f t="shared" ref="AE494:AE530" si="216">IF($U494&lt;3,IF($I494=$I$1,1,0),IF($I494=$I$1,$V494,0))</f>
        <v>0</v>
      </c>
      <c r="AF494" s="182">
        <f t="shared" ref="AF494:AF530" si="217">IF($U494&lt;3,IF($J494=$J$1,1,0),IF($J494=$J$1,$V494,0))</f>
        <v>0</v>
      </c>
      <c r="AG494" s="182">
        <f t="shared" ref="AG494:AG530" si="218">IF($U494&lt;3,IF($K494=$K$1,1,0),IF($K494=$K$1,$V494,0))</f>
        <v>0</v>
      </c>
      <c r="AH494" s="182">
        <f t="shared" ref="AH494:AH530" si="219">IF($U494&lt;3,IF($L494=$L$1,1,0),IF($L494=$L$1,$V494,0))</f>
        <v>0</v>
      </c>
      <c r="AI494" s="182">
        <f t="shared" ref="AI494:AI530" si="220">IF($U494&lt;3,IF($M494=$M$1,1,0),IF($M494=$M$1,$V494,0))</f>
        <v>0</v>
      </c>
      <c r="AJ494" s="182">
        <f t="shared" ref="AJ494:AJ530" si="221">IF($U494&lt;3,IF($N494=$N$1,1,0),IF($N494=$N$1,$V494,0))</f>
        <v>0</v>
      </c>
      <c r="AK494" s="182">
        <f t="shared" ref="AK494:AK530" si="222">IF($U494&lt;3,IF($O494=$O$1,1,0),IF($O494=$O$1,$V494,0))</f>
        <v>0</v>
      </c>
      <c r="AL494" s="182">
        <f t="shared" ref="AL494:AL530" si="223">IF($U494&lt;3,IF($P494=$P$1,1,0),IF($P494=$P$1,$V494,0))</f>
        <v>0</v>
      </c>
      <c r="AM494" s="182">
        <f t="shared" ref="AM494:AM530" si="224">IF($U494&lt;3,IF($Q494=$Q$1,1,0),IF($Q494=$Q$1,$V494,0))</f>
        <v>0</v>
      </c>
      <c r="AN494" s="182">
        <f t="shared" ref="AN494:AN530" si="225">IF($U494&lt;3,IF($R494=$R$1,1,0),IF($R494=$R$1,$V494,0))</f>
        <v>0</v>
      </c>
      <c r="AO494" s="182">
        <f t="shared" ref="AO494:AO530" si="226">IF($U494&lt;3,IF($S494=$S$1,1,0),IF($S494=$S$1,$V494,0))</f>
        <v>0</v>
      </c>
      <c r="AP494" s="110"/>
      <c r="AQ494" s="110"/>
      <c r="AR494" s="182">
        <f t="shared" ref="AR494:AR530" si="227">SUM(X494:AP494)</f>
        <v>3</v>
      </c>
      <c r="AS494" s="182">
        <f t="shared" ref="AS494:AS530" si="228">U494</f>
        <v>3</v>
      </c>
      <c r="AT494" s="182" t="str">
        <f t="shared" ref="AT494:AT525" si="229">IF(AR494=AS494,"Correct",IF(AR494=3,"Correct","Wrong"))</f>
        <v>Correct</v>
      </c>
      <c r="AU494" s="142"/>
      <c r="AV494" s="120" t="str">
        <f>IFERROR(VLOOKUP(Table1[RespondentID],'All Data'!$A$3:$CO$999,87,FALSE),"unknown")</f>
        <v>Man</v>
      </c>
      <c r="AW494" s="120">
        <f>IFERROR(VLOOKUP(Table1[RespondentID],'All Data'!$A$3:$CO$999,88,FALSE),"unknown")</f>
        <v>26</v>
      </c>
      <c r="AX494" s="120" t="str">
        <f>IFERROR(VLOOKUP(Table1[RespondentID],'All Data'!$A$3:$CO$999,89,FALSE),"unknown")</f>
        <v>Suffolk</v>
      </c>
      <c r="AY494" s="120" t="str">
        <f>IFERROR(VLOOKUP(Table1[RespondentID],'All Data'!$A$3:$CO$999,90,FALSE),"unknown")</f>
        <v>Northport, 11768</v>
      </c>
      <c r="AZ494" s="120" t="str">
        <f>IFERROR(VLOOKUP(Table1[RespondentID],'All Data'!$A$3:$CO$999,91,FALSE),"unknown")</f>
        <v>White</v>
      </c>
      <c r="BA494" s="120" t="str">
        <f>IFERROR(VLOOKUP(Table1[RespondentID],'All Data'!$A$3:$CO$999,92,FALSE),"unknown")</f>
        <v>Not Hispanic or Latino</v>
      </c>
      <c r="BB494" s="120" t="str">
        <f>IFERROR(VLOOKUP(Table1[RespondentID],'All Data'!$A$3:$CO$999,93,FALSE),"unknown")</f>
        <v>English</v>
      </c>
      <c r="BC494" s="120" t="str">
        <f>IFERROR(VLOOKUP(Table1[RespondentID],'All Data'!$A$3:$CW$999,94,FALSE),"unknown")</f>
        <v>$50,000 to $74,999</v>
      </c>
      <c r="BD494" s="120" t="str">
        <f>IFERROR(VLOOKUP(Table1[RespondentID],'All Data'!$A$3:$CW$999,95,FALSE),"unknown")</f>
        <v>Graduate school</v>
      </c>
      <c r="BE494" s="120" t="str">
        <f>IFERROR(VLOOKUP(Table1[RespondentID],'All Data'!$A$3:$CW$999,96,FALSE),"unknown")</f>
        <v>Employed for wages</v>
      </c>
      <c r="BF494" s="120" t="str">
        <f>IFERROR(VLOOKUP(Table1[RespondentID],'All Data'!$A$3:$CW$999,97,FALSE),"unknown")</f>
        <v>Yes</v>
      </c>
      <c r="BG494" s="120" t="str">
        <f>IFERROR(VLOOKUP(Table1[RespondentID],'All Data'!$A$3:$CW$999,98,FALSE),"unknown")</f>
        <v>Private/Commercial</v>
      </c>
      <c r="BH494" s="120" t="str">
        <f>IFERROR(VLOOKUP(Table1[RespondentID],'All Data'!$A$3:$CW$999,99,FALSE),"unknown")</f>
        <v>Yes</v>
      </c>
    </row>
    <row r="495" spans="1:60">
      <c r="A495" s="141">
        <v>18031555405</v>
      </c>
      <c r="B495" s="180"/>
      <c r="C495" s="181" t="s">
        <v>50</v>
      </c>
      <c r="D495" s="181" t="s">
        <v>51</v>
      </c>
      <c r="E495" s="181"/>
      <c r="F495" s="181"/>
      <c r="G495" s="181"/>
      <c r="H495" s="181"/>
      <c r="I495" s="181" t="s">
        <v>55</v>
      </c>
      <c r="J495" s="181"/>
      <c r="K495" s="181"/>
      <c r="L495" s="181"/>
      <c r="M495" s="181" t="s">
        <v>59</v>
      </c>
      <c r="N495" s="181"/>
      <c r="O495" s="181" t="s">
        <v>20</v>
      </c>
      <c r="P495" s="181" t="s">
        <v>60</v>
      </c>
      <c r="Q495" s="181"/>
      <c r="R495" s="181"/>
      <c r="S495" s="181" t="s">
        <v>63</v>
      </c>
      <c r="T495" s="184"/>
      <c r="U495" s="182">
        <f t="shared" si="207"/>
        <v>7</v>
      </c>
      <c r="V495" s="182">
        <f t="shared" si="208"/>
        <v>0.42857142857142855</v>
      </c>
      <c r="W495" s="110"/>
      <c r="X495" s="182">
        <f t="shared" si="209"/>
        <v>0</v>
      </c>
      <c r="Y495" s="182">
        <f t="shared" si="210"/>
        <v>0.42857142857142855</v>
      </c>
      <c r="Z495" s="182">
        <f t="shared" si="211"/>
        <v>0.42857142857142855</v>
      </c>
      <c r="AA495" s="182">
        <f t="shared" si="212"/>
        <v>0</v>
      </c>
      <c r="AB495" s="182">
        <f t="shared" si="213"/>
        <v>0</v>
      </c>
      <c r="AC495" s="182">
        <f t="shared" si="214"/>
        <v>0</v>
      </c>
      <c r="AD495" s="182">
        <f t="shared" si="215"/>
        <v>0</v>
      </c>
      <c r="AE495" s="182">
        <f t="shared" si="216"/>
        <v>0.42857142857142855</v>
      </c>
      <c r="AF495" s="182">
        <f t="shared" si="217"/>
        <v>0</v>
      </c>
      <c r="AG495" s="182">
        <f t="shared" si="218"/>
        <v>0</v>
      </c>
      <c r="AH495" s="182">
        <f t="shared" si="219"/>
        <v>0</v>
      </c>
      <c r="AI495" s="182">
        <f t="shared" si="220"/>
        <v>0.42857142857142855</v>
      </c>
      <c r="AJ495" s="182">
        <f t="shared" si="221"/>
        <v>0</v>
      </c>
      <c r="AK495" s="182">
        <f t="shared" si="222"/>
        <v>0.42857142857142855</v>
      </c>
      <c r="AL495" s="182">
        <f t="shared" si="223"/>
        <v>0.42857142857142855</v>
      </c>
      <c r="AM495" s="182">
        <f t="shared" si="224"/>
        <v>0</v>
      </c>
      <c r="AN495" s="182">
        <f t="shared" si="225"/>
        <v>0</v>
      </c>
      <c r="AO495" s="182">
        <f t="shared" si="226"/>
        <v>0.42857142857142855</v>
      </c>
      <c r="AP495" s="110"/>
      <c r="AQ495" s="110"/>
      <c r="AR495" s="182">
        <f t="shared" si="227"/>
        <v>2.9999999999999996</v>
      </c>
      <c r="AS495" s="182">
        <f t="shared" si="228"/>
        <v>7</v>
      </c>
      <c r="AT495" s="182" t="str">
        <f t="shared" si="229"/>
        <v>Correct</v>
      </c>
      <c r="AU495" s="142"/>
      <c r="AV495" s="120" t="str">
        <f>IFERROR(VLOOKUP(Table1[RespondentID],'All Data'!$A$3:$CO$999,87,FALSE),"unknown")</f>
        <v>Woman</v>
      </c>
      <c r="AW495" s="120">
        <f>IFERROR(VLOOKUP(Table1[RespondentID],'All Data'!$A$3:$CO$999,88,FALSE),"unknown")</f>
        <v>16</v>
      </c>
      <c r="AX495" s="120" t="str">
        <f>IFERROR(VLOOKUP(Table1[RespondentID],'All Data'!$A$3:$CO$999,89,FALSE),"unknown")</f>
        <v>Suffolk</v>
      </c>
      <c r="AY495" s="120" t="str">
        <f>IFERROR(VLOOKUP(Table1[RespondentID],'All Data'!$A$3:$CO$999,90,FALSE),"unknown")</f>
        <v>Port Jefferson Station, 11776</v>
      </c>
      <c r="AZ495" s="120">
        <f>IFERROR(VLOOKUP(Table1[RespondentID],'All Data'!$A$3:$CO$999,91,FALSE),"unknown")</f>
        <v>0</v>
      </c>
      <c r="BA495" s="120" t="str">
        <f>IFERROR(VLOOKUP(Table1[RespondentID],'All Data'!$A$3:$CO$999,92,FALSE),"unknown")</f>
        <v>Hispanic or Latino</v>
      </c>
      <c r="BB495" s="120" t="str">
        <f>IFERROR(VLOOKUP(Table1[RespondentID],'All Data'!$A$3:$CO$999,93,FALSE),"unknown")</f>
        <v>English,Spanish</v>
      </c>
      <c r="BC495" s="120" t="str">
        <f>IFERROR(VLOOKUP(Table1[RespondentID],'All Data'!$A$3:$CW$999,94,FALSE),"unknown")</f>
        <v>$0-$19,999</v>
      </c>
      <c r="BD495" s="120" t="str">
        <f>IFERROR(VLOOKUP(Table1[RespondentID],'All Data'!$A$3:$CW$999,95,FALSE),"unknown")</f>
        <v>Some high school</v>
      </c>
      <c r="BE495" s="120" t="str">
        <f>IFERROR(VLOOKUP(Table1[RespondentID],'All Data'!$A$3:$CW$999,96,FALSE),"unknown")</f>
        <v>Out of work and looking for work</v>
      </c>
      <c r="BF495" s="120" t="str">
        <f>IFERROR(VLOOKUP(Table1[RespondentID],'All Data'!$A$3:$CW$999,97,FALSE),"unknown")</f>
        <v>Yes</v>
      </c>
      <c r="BG495" s="120" t="str">
        <f>IFERROR(VLOOKUP(Table1[RespondentID],'All Data'!$A$3:$CW$999,98,FALSE),"unknown")</f>
        <v>Medicaid</v>
      </c>
      <c r="BH495" s="120" t="str">
        <f>IFERROR(VLOOKUP(Table1[RespondentID],'All Data'!$A$3:$CW$999,99,FALSE),"unknown")</f>
        <v>Yes</v>
      </c>
    </row>
    <row r="496" spans="1:60">
      <c r="A496" s="141">
        <v>18031341675</v>
      </c>
      <c r="B496" s="180"/>
      <c r="C496" s="181"/>
      <c r="D496" s="181"/>
      <c r="E496" s="181" t="s">
        <v>17</v>
      </c>
      <c r="F496" s="181" t="s">
        <v>52</v>
      </c>
      <c r="G496" s="181"/>
      <c r="H496" s="181"/>
      <c r="I496" s="181" t="s">
        <v>55</v>
      </c>
      <c r="J496" s="181"/>
      <c r="K496" s="181"/>
      <c r="L496" s="181" t="s">
        <v>58</v>
      </c>
      <c r="M496" s="181"/>
      <c r="N496" s="181"/>
      <c r="O496" s="181"/>
      <c r="P496" s="181" t="s">
        <v>60</v>
      </c>
      <c r="Q496" s="181" t="s">
        <v>61</v>
      </c>
      <c r="R496" s="181"/>
      <c r="S496" s="181"/>
      <c r="T496" s="184" t="s">
        <v>481</v>
      </c>
      <c r="U496" s="182">
        <f t="shared" si="207"/>
        <v>7</v>
      </c>
      <c r="V496" s="182">
        <f t="shared" si="208"/>
        <v>0.42857142857142855</v>
      </c>
      <c r="W496" s="110"/>
      <c r="X496" s="182">
        <f t="shared" si="209"/>
        <v>0</v>
      </c>
      <c r="Y496" s="182">
        <f t="shared" si="210"/>
        <v>0</v>
      </c>
      <c r="Z496" s="182">
        <f t="shared" si="211"/>
        <v>0</v>
      </c>
      <c r="AA496" s="182">
        <f t="shared" si="212"/>
        <v>0.42857142857142855</v>
      </c>
      <c r="AB496" s="182">
        <f t="shared" si="213"/>
        <v>0.42857142857142855</v>
      </c>
      <c r="AC496" s="182">
        <f t="shared" si="214"/>
        <v>0</v>
      </c>
      <c r="AD496" s="182">
        <f t="shared" si="215"/>
        <v>0</v>
      </c>
      <c r="AE496" s="182">
        <f t="shared" si="216"/>
        <v>0.42857142857142855</v>
      </c>
      <c r="AF496" s="182">
        <f t="shared" si="217"/>
        <v>0</v>
      </c>
      <c r="AG496" s="182">
        <f t="shared" si="218"/>
        <v>0</v>
      </c>
      <c r="AH496" s="182">
        <f t="shared" si="219"/>
        <v>0.42857142857142855</v>
      </c>
      <c r="AI496" s="182">
        <f t="shared" si="220"/>
        <v>0</v>
      </c>
      <c r="AJ496" s="182">
        <f t="shared" si="221"/>
        <v>0</v>
      </c>
      <c r="AK496" s="182">
        <f t="shared" si="222"/>
        <v>0</v>
      </c>
      <c r="AL496" s="182">
        <f t="shared" si="223"/>
        <v>0.42857142857142855</v>
      </c>
      <c r="AM496" s="182">
        <f t="shared" si="224"/>
        <v>0.42857142857142855</v>
      </c>
      <c r="AN496" s="182">
        <f t="shared" si="225"/>
        <v>0</v>
      </c>
      <c r="AO496" s="182">
        <f t="shared" si="226"/>
        <v>0</v>
      </c>
      <c r="AP496" s="110"/>
      <c r="AQ496" s="110"/>
      <c r="AR496" s="182">
        <f t="shared" si="227"/>
        <v>2.5714285714285712</v>
      </c>
      <c r="AS496" s="182">
        <f t="shared" si="228"/>
        <v>7</v>
      </c>
      <c r="AT496" s="182" t="str">
        <f t="shared" si="229"/>
        <v>Wrong</v>
      </c>
      <c r="AU496" s="142"/>
      <c r="AV496" s="120" t="str">
        <f>IFERROR(VLOOKUP(Table1[RespondentID],'All Data'!$A$3:$CO$999,87,FALSE),"unknown")</f>
        <v>Woman</v>
      </c>
      <c r="AW496" s="120">
        <f>IFERROR(VLOOKUP(Table1[RespondentID],'All Data'!$A$3:$CO$999,88,FALSE),"unknown")</f>
        <v>28</v>
      </c>
      <c r="AX496" s="120" t="str">
        <f>IFERROR(VLOOKUP(Table1[RespondentID],'All Data'!$A$3:$CO$999,89,FALSE),"unknown")</f>
        <v>Nassau</v>
      </c>
      <c r="AY496" s="120" t="str">
        <f>IFERROR(VLOOKUP(Table1[RespondentID],'All Data'!$A$3:$CO$999,90,FALSE),"unknown")</f>
        <v>Albertson, 11507</v>
      </c>
      <c r="AZ496" s="120" t="str">
        <f>IFERROR(VLOOKUP(Table1[RespondentID],'All Data'!$A$3:$CO$999,91,FALSE),"unknown")</f>
        <v>White</v>
      </c>
      <c r="BA496" s="120" t="str">
        <f>IFERROR(VLOOKUP(Table1[RespondentID],'All Data'!$A$3:$CO$999,92,FALSE),"unknown")</f>
        <v>Not Hispanic or Latino</v>
      </c>
      <c r="BB496" s="120" t="str">
        <f>IFERROR(VLOOKUP(Table1[RespondentID],'All Data'!$A$3:$CO$999,93,FALSE),"unknown")</f>
        <v>English</v>
      </c>
      <c r="BC496" s="120" t="str">
        <f>IFERROR(VLOOKUP(Table1[RespondentID],'All Data'!$A$3:$CW$999,94,FALSE),"unknown")</f>
        <v>$0-$19,999</v>
      </c>
      <c r="BD496" s="120" t="str">
        <f>IFERROR(VLOOKUP(Table1[RespondentID],'All Data'!$A$3:$CW$999,95,FALSE),"unknown")</f>
        <v>Doctorate</v>
      </c>
      <c r="BE496" s="120" t="str">
        <f>IFERROR(VLOOKUP(Table1[RespondentID],'All Data'!$A$3:$CW$999,96,FALSE),"unknown")</f>
        <v>Employed for wages</v>
      </c>
      <c r="BF496" s="120" t="str">
        <f>IFERROR(VLOOKUP(Table1[RespondentID],'All Data'!$A$3:$CW$999,97,FALSE),"unknown")</f>
        <v>Yes</v>
      </c>
      <c r="BG496" s="120" t="str">
        <f>IFERROR(VLOOKUP(Table1[RespondentID],'All Data'!$A$3:$CW$999,98,FALSE),"unknown")</f>
        <v>Medicaid,Private/Commercial</v>
      </c>
      <c r="BH496" s="120" t="str">
        <f>IFERROR(VLOOKUP(Table1[RespondentID],'All Data'!$A$3:$CW$999,99,FALSE),"unknown")</f>
        <v>Yes</v>
      </c>
    </row>
    <row r="497" spans="1:60">
      <c r="A497" s="141">
        <v>18029657257</v>
      </c>
      <c r="B497" s="180"/>
      <c r="C497" s="181"/>
      <c r="D497" s="181"/>
      <c r="E497" s="181"/>
      <c r="F497" s="181"/>
      <c r="G497" s="181"/>
      <c r="H497" s="181"/>
      <c r="I497" s="181"/>
      <c r="J497" s="181"/>
      <c r="K497" s="181"/>
      <c r="L497" s="181"/>
      <c r="M497" s="181"/>
      <c r="N497" s="181"/>
      <c r="O497" s="181"/>
      <c r="P497" s="181"/>
      <c r="Q497" s="181"/>
      <c r="R497" s="181"/>
      <c r="S497" s="181"/>
      <c r="T497" s="184"/>
      <c r="U497" s="182">
        <f t="shared" si="207"/>
        <v>0</v>
      </c>
      <c r="V497" s="182" t="e">
        <f t="shared" si="208"/>
        <v>#DIV/0!</v>
      </c>
      <c r="W497" s="110"/>
      <c r="X497" s="182">
        <f t="shared" si="209"/>
        <v>0</v>
      </c>
      <c r="Y497" s="182">
        <f t="shared" si="210"/>
        <v>0</v>
      </c>
      <c r="Z497" s="182">
        <f t="shared" si="211"/>
        <v>0</v>
      </c>
      <c r="AA497" s="182">
        <f t="shared" si="212"/>
        <v>0</v>
      </c>
      <c r="AB497" s="182">
        <f t="shared" si="213"/>
        <v>0</v>
      </c>
      <c r="AC497" s="182">
        <f t="shared" si="214"/>
        <v>0</v>
      </c>
      <c r="AD497" s="182">
        <f t="shared" si="215"/>
        <v>0</v>
      </c>
      <c r="AE497" s="182">
        <f t="shared" si="216"/>
        <v>0</v>
      </c>
      <c r="AF497" s="182">
        <f t="shared" si="217"/>
        <v>0</v>
      </c>
      <c r="AG497" s="182">
        <f t="shared" si="218"/>
        <v>0</v>
      </c>
      <c r="AH497" s="182">
        <f t="shared" si="219"/>
        <v>0</v>
      </c>
      <c r="AI497" s="182">
        <f t="shared" si="220"/>
        <v>0</v>
      </c>
      <c r="AJ497" s="182">
        <f t="shared" si="221"/>
        <v>0</v>
      </c>
      <c r="AK497" s="182">
        <f t="shared" si="222"/>
        <v>0</v>
      </c>
      <c r="AL497" s="182">
        <f t="shared" si="223"/>
        <v>0</v>
      </c>
      <c r="AM497" s="182">
        <f t="shared" si="224"/>
        <v>0</v>
      </c>
      <c r="AN497" s="182">
        <f t="shared" si="225"/>
        <v>0</v>
      </c>
      <c r="AO497" s="182">
        <f t="shared" si="226"/>
        <v>0</v>
      </c>
      <c r="AP497" s="110"/>
      <c r="AQ497" s="110"/>
      <c r="AR497" s="182">
        <f t="shared" si="227"/>
        <v>0</v>
      </c>
      <c r="AS497" s="182">
        <f t="shared" si="228"/>
        <v>0</v>
      </c>
      <c r="AT497" s="182" t="str">
        <f t="shared" si="229"/>
        <v>Correct</v>
      </c>
      <c r="AU497" s="142"/>
      <c r="AV497" s="120" t="str">
        <f>IFERROR(VLOOKUP(Table1[RespondentID],'All Data'!$A$3:$CO$999,87,FALSE),"unknown")</f>
        <v>Woman</v>
      </c>
      <c r="AW497" s="120">
        <f>IFERROR(VLOOKUP(Table1[RespondentID],'All Data'!$A$3:$CO$999,88,FALSE),"unknown")</f>
        <v>43</v>
      </c>
      <c r="AX497" s="120" t="str">
        <f>IFERROR(VLOOKUP(Table1[RespondentID],'All Data'!$A$3:$CO$999,89,FALSE),"unknown")</f>
        <v>Nassau</v>
      </c>
      <c r="AY497" s="120" t="str">
        <f>IFERROR(VLOOKUP(Table1[RespondentID],'All Data'!$A$3:$CO$999,90,FALSE),"unknown")</f>
        <v>Woodsburgh, 11598</v>
      </c>
      <c r="AZ497" s="120">
        <f>IFERROR(VLOOKUP(Table1[RespondentID],'All Data'!$A$3:$CO$999,91,FALSE),"unknown")</f>
        <v>0</v>
      </c>
      <c r="BA497" s="120">
        <f>IFERROR(VLOOKUP(Table1[RespondentID],'All Data'!$A$3:$CO$999,92,FALSE),"unknown")</f>
        <v>0</v>
      </c>
      <c r="BB497" s="120">
        <f>IFERROR(VLOOKUP(Table1[RespondentID],'All Data'!$A$3:$CO$999,93,FALSE),"unknown")</f>
        <v>0</v>
      </c>
      <c r="BC497" s="120">
        <f>IFERROR(VLOOKUP(Table1[RespondentID],'All Data'!$A$3:$CW$999,94,FALSE),"unknown")</f>
        <v>0</v>
      </c>
      <c r="BD497" s="120">
        <f>IFERROR(VLOOKUP(Table1[RespondentID],'All Data'!$A$3:$CW$999,95,FALSE),"unknown")</f>
        <v>0</v>
      </c>
      <c r="BE497" s="120">
        <f>IFERROR(VLOOKUP(Table1[RespondentID],'All Data'!$A$3:$CW$999,96,FALSE),"unknown")</f>
        <v>0</v>
      </c>
      <c r="BF497" s="120">
        <f>IFERROR(VLOOKUP(Table1[RespondentID],'All Data'!$A$3:$CW$999,97,FALSE),"unknown")</f>
        <v>0</v>
      </c>
      <c r="BG497" s="120">
        <f>IFERROR(VLOOKUP(Table1[RespondentID],'All Data'!$A$3:$CW$999,98,FALSE),"unknown")</f>
        <v>0</v>
      </c>
      <c r="BH497" s="120">
        <f>IFERROR(VLOOKUP(Table1[RespondentID],'All Data'!$A$3:$CW$999,99,FALSE),"unknown")</f>
        <v>0</v>
      </c>
    </row>
    <row r="498" spans="1:60">
      <c r="A498" s="141">
        <v>18029332229</v>
      </c>
      <c r="B498" s="180" t="s">
        <v>49</v>
      </c>
      <c r="C498" s="181"/>
      <c r="D498" s="181"/>
      <c r="E498" s="181" t="s">
        <v>17</v>
      </c>
      <c r="F498" s="181" t="s">
        <v>52</v>
      </c>
      <c r="G498" s="181"/>
      <c r="H498" s="181"/>
      <c r="I498" s="181" t="s">
        <v>55</v>
      </c>
      <c r="J498" s="181"/>
      <c r="K498" s="181"/>
      <c r="L498" s="181"/>
      <c r="M498" s="181" t="s">
        <v>59</v>
      </c>
      <c r="N498" s="181"/>
      <c r="O498" s="181"/>
      <c r="P498" s="181"/>
      <c r="Q498" s="181"/>
      <c r="R498" s="181"/>
      <c r="S498" s="181"/>
      <c r="T498" s="184"/>
      <c r="U498" s="182">
        <f t="shared" si="207"/>
        <v>5</v>
      </c>
      <c r="V498" s="182">
        <f t="shared" si="208"/>
        <v>0.6</v>
      </c>
      <c r="W498" s="110"/>
      <c r="X498" s="182">
        <f t="shared" si="209"/>
        <v>0.6</v>
      </c>
      <c r="Y498" s="182">
        <f t="shared" si="210"/>
        <v>0</v>
      </c>
      <c r="Z498" s="182">
        <f t="shared" si="211"/>
        <v>0</v>
      </c>
      <c r="AA498" s="182">
        <f t="shared" si="212"/>
        <v>0.6</v>
      </c>
      <c r="AB498" s="182">
        <f t="shared" si="213"/>
        <v>0.6</v>
      </c>
      <c r="AC498" s="182">
        <f t="shared" si="214"/>
        <v>0</v>
      </c>
      <c r="AD498" s="182">
        <f t="shared" si="215"/>
        <v>0</v>
      </c>
      <c r="AE498" s="182">
        <f t="shared" si="216"/>
        <v>0.6</v>
      </c>
      <c r="AF498" s="182">
        <f t="shared" si="217"/>
        <v>0</v>
      </c>
      <c r="AG498" s="182">
        <f t="shared" si="218"/>
        <v>0</v>
      </c>
      <c r="AH498" s="182">
        <f t="shared" si="219"/>
        <v>0</v>
      </c>
      <c r="AI498" s="182">
        <f t="shared" si="220"/>
        <v>0.6</v>
      </c>
      <c r="AJ498" s="182">
        <f t="shared" si="221"/>
        <v>0</v>
      </c>
      <c r="AK498" s="182">
        <f t="shared" si="222"/>
        <v>0</v>
      </c>
      <c r="AL498" s="182">
        <f t="shared" si="223"/>
        <v>0</v>
      </c>
      <c r="AM498" s="182">
        <f t="shared" si="224"/>
        <v>0</v>
      </c>
      <c r="AN498" s="182">
        <f t="shared" si="225"/>
        <v>0</v>
      </c>
      <c r="AO498" s="182">
        <f t="shared" si="226"/>
        <v>0</v>
      </c>
      <c r="AP498" s="110"/>
      <c r="AQ498" s="110"/>
      <c r="AR498" s="182">
        <f t="shared" si="227"/>
        <v>3</v>
      </c>
      <c r="AS498" s="182">
        <f t="shared" si="228"/>
        <v>5</v>
      </c>
      <c r="AT498" s="182" t="str">
        <f t="shared" si="229"/>
        <v>Correct</v>
      </c>
      <c r="AU498" s="142"/>
      <c r="AV498" s="120" t="str">
        <f>IFERROR(VLOOKUP(Table1[RespondentID],'All Data'!$A$3:$CO$999,87,FALSE),"unknown")</f>
        <v>Man</v>
      </c>
      <c r="AW498" s="120">
        <f>IFERROR(VLOOKUP(Table1[RespondentID],'All Data'!$A$3:$CO$999,88,FALSE),"unknown")</f>
        <v>65</v>
      </c>
      <c r="AX498" s="120" t="str">
        <f>IFERROR(VLOOKUP(Table1[RespondentID],'All Data'!$A$3:$CO$999,89,FALSE),"unknown")</f>
        <v>Nassau</v>
      </c>
      <c r="AY498" s="120" t="str">
        <f>IFERROR(VLOOKUP(Table1[RespondentID],'All Data'!$A$3:$CO$999,90,FALSE),"unknown")</f>
        <v>Bellmore, 11710</v>
      </c>
      <c r="AZ498" s="120" t="str">
        <f>IFERROR(VLOOKUP(Table1[RespondentID],'All Data'!$A$3:$CO$999,91,FALSE),"unknown")</f>
        <v>Two or more races</v>
      </c>
      <c r="BA498" s="120">
        <f>IFERROR(VLOOKUP(Table1[RespondentID],'All Data'!$A$3:$CO$999,92,FALSE),"unknown")</f>
        <v>0</v>
      </c>
      <c r="BB498" s="120" t="str">
        <f>IFERROR(VLOOKUP(Table1[RespondentID],'All Data'!$A$3:$CO$999,93,FALSE),"unknown")</f>
        <v>English</v>
      </c>
      <c r="BC498" s="120" t="str">
        <f>IFERROR(VLOOKUP(Table1[RespondentID],'All Data'!$A$3:$CW$999,94,FALSE),"unknown")</f>
        <v>Over $125,000</v>
      </c>
      <c r="BD498" s="120" t="str">
        <f>IFERROR(VLOOKUP(Table1[RespondentID],'All Data'!$A$3:$CW$999,95,FALSE),"unknown")</f>
        <v>College graduate</v>
      </c>
      <c r="BE498" s="120" t="str">
        <f>IFERROR(VLOOKUP(Table1[RespondentID],'All Data'!$A$3:$CW$999,96,FALSE),"unknown")</f>
        <v>Employed for wages</v>
      </c>
      <c r="BF498" s="120" t="str">
        <f>IFERROR(VLOOKUP(Table1[RespondentID],'All Data'!$A$3:$CW$999,97,FALSE),"unknown")</f>
        <v>Yes</v>
      </c>
      <c r="BG498" s="120" t="str">
        <f>IFERROR(VLOOKUP(Table1[RespondentID],'All Data'!$A$3:$CW$999,98,FALSE),"unknown")</f>
        <v>Private/Commercial</v>
      </c>
      <c r="BH498" s="120" t="str">
        <f>IFERROR(VLOOKUP(Table1[RespondentID],'All Data'!$A$3:$CW$999,99,FALSE),"unknown")</f>
        <v>Yes</v>
      </c>
    </row>
    <row r="499" spans="1:60">
      <c r="A499" s="141">
        <v>18028570366</v>
      </c>
      <c r="B499" s="180"/>
      <c r="C499" s="181"/>
      <c r="D499" s="181"/>
      <c r="E499" s="181"/>
      <c r="F499" s="181"/>
      <c r="G499" s="181" t="s">
        <v>53</v>
      </c>
      <c r="H499" s="181"/>
      <c r="I499" s="181"/>
      <c r="J499" s="181"/>
      <c r="K499" s="181"/>
      <c r="L499" s="181" t="s">
        <v>58</v>
      </c>
      <c r="M499" s="181"/>
      <c r="N499" s="181"/>
      <c r="O499" s="181"/>
      <c r="P499" s="181"/>
      <c r="Q499" s="181"/>
      <c r="R499" s="181" t="s">
        <v>62</v>
      </c>
      <c r="S499" s="181"/>
      <c r="T499" s="184"/>
      <c r="U499" s="182">
        <f t="shared" si="207"/>
        <v>3</v>
      </c>
      <c r="V499" s="182">
        <f t="shared" si="208"/>
        <v>1</v>
      </c>
      <c r="W499" s="110"/>
      <c r="X499" s="182">
        <f t="shared" si="209"/>
        <v>0</v>
      </c>
      <c r="Y499" s="182">
        <f t="shared" si="210"/>
        <v>0</v>
      </c>
      <c r="Z499" s="182">
        <f t="shared" si="211"/>
        <v>0</v>
      </c>
      <c r="AA499" s="182">
        <f t="shared" si="212"/>
        <v>0</v>
      </c>
      <c r="AB499" s="182">
        <f t="shared" si="213"/>
        <v>0</v>
      </c>
      <c r="AC499" s="182">
        <f t="shared" si="214"/>
        <v>1</v>
      </c>
      <c r="AD499" s="182">
        <f t="shared" si="215"/>
        <v>0</v>
      </c>
      <c r="AE499" s="182">
        <f t="shared" si="216"/>
        <v>0</v>
      </c>
      <c r="AF499" s="182">
        <f t="shared" si="217"/>
        <v>0</v>
      </c>
      <c r="AG499" s="182">
        <f t="shared" si="218"/>
        <v>0</v>
      </c>
      <c r="AH499" s="182">
        <f t="shared" si="219"/>
        <v>1</v>
      </c>
      <c r="AI499" s="182">
        <f t="shared" si="220"/>
        <v>0</v>
      </c>
      <c r="AJ499" s="182">
        <f t="shared" si="221"/>
        <v>0</v>
      </c>
      <c r="AK499" s="182">
        <f t="shared" si="222"/>
        <v>0</v>
      </c>
      <c r="AL499" s="182">
        <f t="shared" si="223"/>
        <v>0</v>
      </c>
      <c r="AM499" s="182">
        <f t="shared" si="224"/>
        <v>0</v>
      </c>
      <c r="AN499" s="182">
        <f t="shared" si="225"/>
        <v>1</v>
      </c>
      <c r="AO499" s="182">
        <f t="shared" si="226"/>
        <v>0</v>
      </c>
      <c r="AP499" s="110"/>
      <c r="AQ499" s="110"/>
      <c r="AR499" s="182">
        <f t="shared" si="227"/>
        <v>3</v>
      </c>
      <c r="AS499" s="182">
        <f t="shared" si="228"/>
        <v>3</v>
      </c>
      <c r="AT499" s="182" t="str">
        <f t="shared" si="229"/>
        <v>Correct</v>
      </c>
      <c r="AU499" s="142"/>
      <c r="AV499" s="120" t="str">
        <f>IFERROR(VLOOKUP(Table1[RespondentID],'All Data'!$A$3:$CO$999,87,FALSE),"unknown")</f>
        <v>Man</v>
      </c>
      <c r="AW499" s="120">
        <f>IFERROR(VLOOKUP(Table1[RespondentID],'All Data'!$A$3:$CO$999,88,FALSE),"unknown")</f>
        <v>75</v>
      </c>
      <c r="AX499" s="120" t="str">
        <f>IFERROR(VLOOKUP(Table1[RespondentID],'All Data'!$A$3:$CO$999,89,FALSE),"unknown")</f>
        <v>Nassau</v>
      </c>
      <c r="AY499" s="120" t="str">
        <f>IFERROR(VLOOKUP(Table1[RespondentID],'All Data'!$A$3:$CO$999,90,FALSE),"unknown")</f>
        <v>Lawrence, 11559</v>
      </c>
      <c r="AZ499" s="120" t="str">
        <f>IFERROR(VLOOKUP(Table1[RespondentID],'All Data'!$A$3:$CO$999,91,FALSE),"unknown")</f>
        <v>White</v>
      </c>
      <c r="BA499" s="120" t="str">
        <f>IFERROR(VLOOKUP(Table1[RespondentID],'All Data'!$A$3:$CO$999,92,FALSE),"unknown")</f>
        <v>Not Hispanic or Latino</v>
      </c>
      <c r="BB499" s="120" t="str">
        <f>IFERROR(VLOOKUP(Table1[RespondentID],'All Data'!$A$3:$CO$999,93,FALSE),"unknown")</f>
        <v>English</v>
      </c>
      <c r="BC499" s="120">
        <f>IFERROR(VLOOKUP(Table1[RespondentID],'All Data'!$A$3:$CW$999,94,FALSE),"unknown")</f>
        <v>0</v>
      </c>
      <c r="BD499" s="120" t="str">
        <f>IFERROR(VLOOKUP(Table1[RespondentID],'All Data'!$A$3:$CW$999,95,FALSE),"unknown")</f>
        <v>Graduate school</v>
      </c>
      <c r="BE499" s="120" t="str">
        <f>IFERROR(VLOOKUP(Table1[RespondentID],'All Data'!$A$3:$CW$999,96,FALSE),"unknown")</f>
        <v>Self-employed</v>
      </c>
      <c r="BF499" s="120" t="str">
        <f>IFERROR(VLOOKUP(Table1[RespondentID],'All Data'!$A$3:$CW$999,97,FALSE),"unknown")</f>
        <v>Yes</v>
      </c>
      <c r="BG499" s="120" t="str">
        <f>IFERROR(VLOOKUP(Table1[RespondentID],'All Data'!$A$3:$CW$999,98,FALSE),"unknown")</f>
        <v>Medicare</v>
      </c>
      <c r="BH499" s="120">
        <f>IFERROR(VLOOKUP(Table1[RespondentID],'All Data'!$A$3:$CW$999,99,FALSE),"unknown")</f>
        <v>0</v>
      </c>
    </row>
    <row r="500" spans="1:60">
      <c r="A500" s="141">
        <v>18028478878</v>
      </c>
      <c r="B500" s="180"/>
      <c r="C500" s="181"/>
      <c r="D500" s="181"/>
      <c r="E500" s="181"/>
      <c r="F500" s="181"/>
      <c r="G500" s="181"/>
      <c r="H500" s="181"/>
      <c r="I500" s="181"/>
      <c r="J500" s="181"/>
      <c r="K500" s="181"/>
      <c r="L500" s="181"/>
      <c r="M500" s="181"/>
      <c r="N500" s="181"/>
      <c r="O500" s="181"/>
      <c r="P500" s="181"/>
      <c r="Q500" s="181"/>
      <c r="R500" s="181"/>
      <c r="S500" s="181"/>
      <c r="T500" s="184"/>
      <c r="U500" s="182">
        <f t="shared" si="207"/>
        <v>0</v>
      </c>
      <c r="V500" s="182" t="e">
        <f t="shared" si="208"/>
        <v>#DIV/0!</v>
      </c>
      <c r="W500" s="110"/>
      <c r="X500" s="182">
        <f t="shared" si="209"/>
        <v>0</v>
      </c>
      <c r="Y500" s="182">
        <f t="shared" si="210"/>
        <v>0</v>
      </c>
      <c r="Z500" s="182">
        <f t="shared" si="211"/>
        <v>0</v>
      </c>
      <c r="AA500" s="182">
        <f t="shared" si="212"/>
        <v>0</v>
      </c>
      <c r="AB500" s="182">
        <f t="shared" si="213"/>
        <v>0</v>
      </c>
      <c r="AC500" s="182">
        <f t="shared" si="214"/>
        <v>0</v>
      </c>
      <c r="AD500" s="182">
        <f t="shared" si="215"/>
        <v>0</v>
      </c>
      <c r="AE500" s="182">
        <f t="shared" si="216"/>
        <v>0</v>
      </c>
      <c r="AF500" s="182">
        <f t="shared" si="217"/>
        <v>0</v>
      </c>
      <c r="AG500" s="182">
        <f t="shared" si="218"/>
        <v>0</v>
      </c>
      <c r="AH500" s="182">
        <f t="shared" si="219"/>
        <v>0</v>
      </c>
      <c r="AI500" s="182">
        <f t="shared" si="220"/>
        <v>0</v>
      </c>
      <c r="AJ500" s="182">
        <f t="shared" si="221"/>
        <v>0</v>
      </c>
      <c r="AK500" s="182">
        <f t="shared" si="222"/>
        <v>0</v>
      </c>
      <c r="AL500" s="182">
        <f t="shared" si="223"/>
        <v>0</v>
      </c>
      <c r="AM500" s="182">
        <f t="shared" si="224"/>
        <v>0</v>
      </c>
      <c r="AN500" s="182">
        <f t="shared" si="225"/>
        <v>0</v>
      </c>
      <c r="AO500" s="182">
        <f t="shared" si="226"/>
        <v>0</v>
      </c>
      <c r="AP500" s="110"/>
      <c r="AQ500" s="110"/>
      <c r="AR500" s="182">
        <f t="shared" si="227"/>
        <v>0</v>
      </c>
      <c r="AS500" s="182">
        <f t="shared" si="228"/>
        <v>0</v>
      </c>
      <c r="AT500" s="182" t="str">
        <f t="shared" si="229"/>
        <v>Correct</v>
      </c>
      <c r="AU500" s="142"/>
      <c r="AV500" s="120">
        <f>IFERROR(VLOOKUP(Table1[RespondentID],'All Data'!$A$3:$CO$999,87,FALSE),"unknown")</f>
        <v>0</v>
      </c>
      <c r="AW500" s="120">
        <f>IFERROR(VLOOKUP(Table1[RespondentID],'All Data'!$A$3:$CO$999,88,FALSE),"unknown")</f>
        <v>0</v>
      </c>
      <c r="AX500" s="120">
        <f>IFERROR(VLOOKUP(Table1[RespondentID],'All Data'!$A$3:$CO$999,89,FALSE),"unknown")</f>
        <v>0</v>
      </c>
      <c r="AY500" s="120" t="str">
        <f>IFERROR(VLOOKUP(Table1[RespondentID],'All Data'!$A$3:$CO$999,90,FALSE),"unknown")</f>
        <v>Atlantic Beach, 11509</v>
      </c>
      <c r="AZ500" s="120">
        <f>IFERROR(VLOOKUP(Table1[RespondentID],'All Data'!$A$3:$CO$999,91,FALSE),"unknown")</f>
        <v>0</v>
      </c>
      <c r="BA500" s="120">
        <f>IFERROR(VLOOKUP(Table1[RespondentID],'All Data'!$A$3:$CO$999,92,FALSE),"unknown")</f>
        <v>0</v>
      </c>
      <c r="BB500" s="120">
        <f>IFERROR(VLOOKUP(Table1[RespondentID],'All Data'!$A$3:$CO$999,93,FALSE),"unknown")</f>
        <v>0</v>
      </c>
      <c r="BC500" s="120">
        <f>IFERROR(VLOOKUP(Table1[RespondentID],'All Data'!$A$3:$CW$999,94,FALSE),"unknown")</f>
        <v>0</v>
      </c>
      <c r="BD500" s="120">
        <f>IFERROR(VLOOKUP(Table1[RespondentID],'All Data'!$A$3:$CW$999,95,FALSE),"unknown")</f>
        <v>0</v>
      </c>
      <c r="BE500" s="120">
        <f>IFERROR(VLOOKUP(Table1[RespondentID],'All Data'!$A$3:$CW$999,96,FALSE),"unknown")</f>
        <v>0</v>
      </c>
      <c r="BF500" s="120">
        <f>IFERROR(VLOOKUP(Table1[RespondentID],'All Data'!$A$3:$CW$999,97,FALSE),"unknown")</f>
        <v>0</v>
      </c>
      <c r="BG500" s="120">
        <f>IFERROR(VLOOKUP(Table1[RespondentID],'All Data'!$A$3:$CW$999,98,FALSE),"unknown")</f>
        <v>0</v>
      </c>
      <c r="BH500" s="120">
        <f>IFERROR(VLOOKUP(Table1[RespondentID],'All Data'!$A$3:$CW$999,99,FALSE),"unknown")</f>
        <v>0</v>
      </c>
    </row>
    <row r="501" spans="1:60">
      <c r="A501" s="141">
        <v>18027546776</v>
      </c>
      <c r="B501" s="180"/>
      <c r="C501" s="181"/>
      <c r="D501" s="181" t="s">
        <v>51</v>
      </c>
      <c r="E501" s="181"/>
      <c r="F501" s="181"/>
      <c r="G501" s="181"/>
      <c r="H501" s="181"/>
      <c r="I501" s="181"/>
      <c r="J501" s="181"/>
      <c r="K501" s="181"/>
      <c r="L501" s="181"/>
      <c r="M501" s="181"/>
      <c r="N501" s="181"/>
      <c r="O501" s="181"/>
      <c r="P501" s="181"/>
      <c r="Q501" s="181"/>
      <c r="R501" s="181"/>
      <c r="S501" s="181"/>
      <c r="T501" s="184" t="s">
        <v>501</v>
      </c>
      <c r="U501" s="182">
        <f t="shared" si="207"/>
        <v>2</v>
      </c>
      <c r="V501" s="182">
        <f t="shared" si="208"/>
        <v>1.5</v>
      </c>
      <c r="W501" s="110"/>
      <c r="X501" s="182">
        <f t="shared" si="209"/>
        <v>0</v>
      </c>
      <c r="Y501" s="182">
        <f t="shared" si="210"/>
        <v>0</v>
      </c>
      <c r="Z501" s="182">
        <f t="shared" si="211"/>
        <v>1</v>
      </c>
      <c r="AA501" s="182">
        <f t="shared" si="212"/>
        <v>0</v>
      </c>
      <c r="AB501" s="182">
        <f t="shared" si="213"/>
        <v>0</v>
      </c>
      <c r="AC501" s="182">
        <f t="shared" si="214"/>
        <v>0</v>
      </c>
      <c r="AD501" s="182">
        <f t="shared" si="215"/>
        <v>0</v>
      </c>
      <c r="AE501" s="182">
        <f t="shared" si="216"/>
        <v>0</v>
      </c>
      <c r="AF501" s="182">
        <f t="shared" si="217"/>
        <v>0</v>
      </c>
      <c r="AG501" s="182">
        <f t="shared" si="218"/>
        <v>0</v>
      </c>
      <c r="AH501" s="182">
        <f t="shared" si="219"/>
        <v>0</v>
      </c>
      <c r="AI501" s="182">
        <f t="shared" si="220"/>
        <v>0</v>
      </c>
      <c r="AJ501" s="182">
        <f t="shared" si="221"/>
        <v>0</v>
      </c>
      <c r="AK501" s="182">
        <f t="shared" si="222"/>
        <v>0</v>
      </c>
      <c r="AL501" s="182">
        <f t="shared" si="223"/>
        <v>0</v>
      </c>
      <c r="AM501" s="182">
        <f t="shared" si="224"/>
        <v>0</v>
      </c>
      <c r="AN501" s="182">
        <f t="shared" si="225"/>
        <v>0</v>
      </c>
      <c r="AO501" s="182">
        <f t="shared" si="226"/>
        <v>0</v>
      </c>
      <c r="AP501" s="110"/>
      <c r="AQ501" s="110"/>
      <c r="AR501" s="182">
        <f t="shared" si="227"/>
        <v>1</v>
      </c>
      <c r="AS501" s="182">
        <f t="shared" si="228"/>
        <v>2</v>
      </c>
      <c r="AT501" s="182" t="str">
        <f t="shared" si="229"/>
        <v>Wrong</v>
      </c>
      <c r="AU501" s="142"/>
      <c r="AV501" s="120">
        <f>IFERROR(VLOOKUP(Table1[RespondentID],'All Data'!$A$3:$CO$999,87,FALSE),"unknown")</f>
        <v>0</v>
      </c>
      <c r="AW501" s="120">
        <f>IFERROR(VLOOKUP(Table1[RespondentID],'All Data'!$A$3:$CO$999,88,FALSE),"unknown")</f>
        <v>0</v>
      </c>
      <c r="AX501" s="120" t="str">
        <f>IFERROR(VLOOKUP(Table1[RespondentID],'All Data'!$A$3:$CO$999,89,FALSE),"unknown")</f>
        <v>Nassau</v>
      </c>
      <c r="AY501" s="120" t="str">
        <f>IFERROR(VLOOKUP(Table1[RespondentID],'All Data'!$A$3:$CO$999,90,FALSE),"unknown")</f>
        <v>Massapequa, 11758</v>
      </c>
      <c r="AZ501" s="120" t="str">
        <f>IFERROR(VLOOKUP(Table1[RespondentID],'All Data'!$A$3:$CO$999,91,FALSE),"unknown")</f>
        <v>White</v>
      </c>
      <c r="BA501" s="120" t="str">
        <f>IFERROR(VLOOKUP(Table1[RespondentID],'All Data'!$A$3:$CO$999,92,FALSE),"unknown")</f>
        <v>Not Hispanic or Latino</v>
      </c>
      <c r="BB501" s="120" t="str">
        <f>IFERROR(VLOOKUP(Table1[RespondentID],'All Data'!$A$3:$CO$999,93,FALSE),"unknown")</f>
        <v>English</v>
      </c>
      <c r="BC501" s="120">
        <f>IFERROR(VLOOKUP(Table1[RespondentID],'All Data'!$A$3:$CW$999,94,FALSE),"unknown")</f>
        <v>0</v>
      </c>
      <c r="BD501" s="120" t="str">
        <f>IFERROR(VLOOKUP(Table1[RespondentID],'All Data'!$A$3:$CW$999,95,FALSE),"unknown")</f>
        <v>Graduate school</v>
      </c>
      <c r="BE501" s="120" t="str">
        <f>IFERROR(VLOOKUP(Table1[RespondentID],'All Data'!$A$3:$CW$999,96,FALSE),"unknown")</f>
        <v>Employed for wages</v>
      </c>
      <c r="BF501" s="120" t="str">
        <f>IFERROR(VLOOKUP(Table1[RespondentID],'All Data'!$A$3:$CW$999,97,FALSE),"unknown")</f>
        <v>Yes</v>
      </c>
      <c r="BG501" s="120" t="str">
        <f>IFERROR(VLOOKUP(Table1[RespondentID],'All Data'!$A$3:$CW$999,98,FALSE),"unknown")</f>
        <v>Private/Commercial</v>
      </c>
      <c r="BH501" s="120">
        <f>IFERROR(VLOOKUP(Table1[RespondentID],'All Data'!$A$3:$CW$999,99,FALSE),"unknown")</f>
        <v>0</v>
      </c>
    </row>
    <row r="502" spans="1:60">
      <c r="A502" s="141">
        <v>18027489857</v>
      </c>
      <c r="B502" s="180"/>
      <c r="C502" s="181"/>
      <c r="D502" s="181"/>
      <c r="E502" s="181"/>
      <c r="F502" s="181"/>
      <c r="G502" s="181"/>
      <c r="H502" s="181"/>
      <c r="I502" s="181"/>
      <c r="J502" s="181"/>
      <c r="K502" s="181"/>
      <c r="L502" s="181"/>
      <c r="M502" s="181"/>
      <c r="N502" s="181"/>
      <c r="O502" s="181"/>
      <c r="P502" s="181" t="s">
        <v>60</v>
      </c>
      <c r="Q502" s="181" t="s">
        <v>61</v>
      </c>
      <c r="R502" s="181"/>
      <c r="S502" s="181"/>
      <c r="T502" s="184"/>
      <c r="U502" s="182">
        <f t="shared" si="207"/>
        <v>2</v>
      </c>
      <c r="V502" s="182">
        <f t="shared" si="208"/>
        <v>1.5</v>
      </c>
      <c r="W502" s="110"/>
      <c r="X502" s="182">
        <f t="shared" si="209"/>
        <v>0</v>
      </c>
      <c r="Y502" s="182">
        <f t="shared" si="210"/>
        <v>0</v>
      </c>
      <c r="Z502" s="182">
        <f t="shared" si="211"/>
        <v>0</v>
      </c>
      <c r="AA502" s="182">
        <f t="shared" si="212"/>
        <v>0</v>
      </c>
      <c r="AB502" s="182">
        <f t="shared" si="213"/>
        <v>0</v>
      </c>
      <c r="AC502" s="182">
        <f t="shared" si="214"/>
        <v>0</v>
      </c>
      <c r="AD502" s="182">
        <f t="shared" si="215"/>
        <v>0</v>
      </c>
      <c r="AE502" s="182">
        <f t="shared" si="216"/>
        <v>0</v>
      </c>
      <c r="AF502" s="182">
        <f t="shared" si="217"/>
        <v>0</v>
      </c>
      <c r="AG502" s="182">
        <f t="shared" si="218"/>
        <v>0</v>
      </c>
      <c r="AH502" s="182">
        <f t="shared" si="219"/>
        <v>0</v>
      </c>
      <c r="AI502" s="182">
        <f t="shared" si="220"/>
        <v>0</v>
      </c>
      <c r="AJ502" s="182">
        <f t="shared" si="221"/>
        <v>0</v>
      </c>
      <c r="AK502" s="182">
        <f t="shared" si="222"/>
        <v>0</v>
      </c>
      <c r="AL502" s="182">
        <f t="shared" si="223"/>
        <v>1</v>
      </c>
      <c r="AM502" s="182">
        <f t="shared" si="224"/>
        <v>1</v>
      </c>
      <c r="AN502" s="182">
        <f t="shared" si="225"/>
        <v>0</v>
      </c>
      <c r="AO502" s="182">
        <f t="shared" si="226"/>
        <v>0</v>
      </c>
      <c r="AP502" s="110"/>
      <c r="AQ502" s="110"/>
      <c r="AR502" s="182">
        <f t="shared" si="227"/>
        <v>2</v>
      </c>
      <c r="AS502" s="182">
        <f t="shared" si="228"/>
        <v>2</v>
      </c>
      <c r="AT502" s="182" t="str">
        <f t="shared" si="229"/>
        <v>Correct</v>
      </c>
      <c r="AU502" s="142"/>
      <c r="AV502" s="120" t="str">
        <f>IFERROR(VLOOKUP(Table1[RespondentID],'All Data'!$A$3:$CO$999,87,FALSE),"unknown")</f>
        <v>Woman</v>
      </c>
      <c r="AW502" s="120">
        <f>IFERROR(VLOOKUP(Table1[RespondentID],'All Data'!$A$3:$CO$999,88,FALSE),"unknown")</f>
        <v>25</v>
      </c>
      <c r="AX502" s="120" t="str">
        <f>IFERROR(VLOOKUP(Table1[RespondentID],'All Data'!$A$3:$CO$999,89,FALSE),"unknown")</f>
        <v>Nassau</v>
      </c>
      <c r="AY502" s="120" t="str">
        <f>IFERROR(VLOOKUP(Table1[RespondentID],'All Data'!$A$3:$CO$999,90,FALSE),"unknown")</f>
        <v>Massapequa Park, 11762</v>
      </c>
      <c r="AZ502" s="120" t="str">
        <f>IFERROR(VLOOKUP(Table1[RespondentID],'All Data'!$A$3:$CO$999,91,FALSE),"unknown")</f>
        <v>White</v>
      </c>
      <c r="BA502" s="120" t="str">
        <f>IFERROR(VLOOKUP(Table1[RespondentID],'All Data'!$A$3:$CO$999,92,FALSE),"unknown")</f>
        <v>Not Hispanic or Latino</v>
      </c>
      <c r="BB502" s="120">
        <f>IFERROR(VLOOKUP(Table1[RespondentID],'All Data'!$A$3:$CO$999,93,FALSE),"unknown")</f>
        <v>0</v>
      </c>
      <c r="BC502" s="120" t="str">
        <f>IFERROR(VLOOKUP(Table1[RespondentID],'All Data'!$A$3:$CW$999,94,FALSE),"unknown")</f>
        <v>$50,000 to $74,999</v>
      </c>
      <c r="BD502" s="120" t="str">
        <f>IFERROR(VLOOKUP(Table1[RespondentID],'All Data'!$A$3:$CW$999,95,FALSE),"unknown")</f>
        <v>College graduate</v>
      </c>
      <c r="BE502" s="120" t="str">
        <f>IFERROR(VLOOKUP(Table1[RespondentID],'All Data'!$A$3:$CW$999,96,FALSE),"unknown")</f>
        <v>Employed for wages</v>
      </c>
      <c r="BF502" s="120" t="str">
        <f>IFERROR(VLOOKUP(Table1[RespondentID],'All Data'!$A$3:$CW$999,97,FALSE),"unknown")</f>
        <v>Yes</v>
      </c>
      <c r="BG502" s="120" t="str">
        <f>IFERROR(VLOOKUP(Table1[RespondentID],'All Data'!$A$3:$CW$999,98,FALSE),"unknown")</f>
        <v>Private/Commercial</v>
      </c>
      <c r="BH502" s="120" t="str">
        <f>IFERROR(VLOOKUP(Table1[RespondentID],'All Data'!$A$3:$CW$999,99,FALSE),"unknown")</f>
        <v>Yes</v>
      </c>
    </row>
    <row r="503" spans="1:60">
      <c r="A503" s="141">
        <v>18027026943</v>
      </c>
      <c r="B503" s="180"/>
      <c r="C503" s="181"/>
      <c r="D503" s="181" t="s">
        <v>51</v>
      </c>
      <c r="E503" s="181"/>
      <c r="F503" s="181" t="s">
        <v>52</v>
      </c>
      <c r="G503" s="181"/>
      <c r="H503" s="181"/>
      <c r="I503" s="181"/>
      <c r="J503" s="181"/>
      <c r="K503" s="181"/>
      <c r="L503" s="181"/>
      <c r="M503" s="181"/>
      <c r="N503" s="181"/>
      <c r="O503" s="181"/>
      <c r="P503" s="181"/>
      <c r="Q503" s="181"/>
      <c r="R503" s="181"/>
      <c r="S503" s="181"/>
      <c r="T503" s="184"/>
      <c r="U503" s="182">
        <f t="shared" si="207"/>
        <v>2</v>
      </c>
      <c r="V503" s="182">
        <f t="shared" si="208"/>
        <v>1.5</v>
      </c>
      <c r="W503" s="110"/>
      <c r="X503" s="182">
        <f t="shared" si="209"/>
        <v>0</v>
      </c>
      <c r="Y503" s="182">
        <f t="shared" si="210"/>
        <v>0</v>
      </c>
      <c r="Z503" s="182">
        <f t="shared" si="211"/>
        <v>1</v>
      </c>
      <c r="AA503" s="182">
        <f t="shared" si="212"/>
        <v>0</v>
      </c>
      <c r="AB503" s="182">
        <f t="shared" si="213"/>
        <v>1</v>
      </c>
      <c r="AC503" s="182">
        <f t="shared" si="214"/>
        <v>0</v>
      </c>
      <c r="AD503" s="182">
        <f t="shared" si="215"/>
        <v>0</v>
      </c>
      <c r="AE503" s="182">
        <f t="shared" si="216"/>
        <v>0</v>
      </c>
      <c r="AF503" s="182">
        <f t="shared" si="217"/>
        <v>0</v>
      </c>
      <c r="AG503" s="182">
        <f t="shared" si="218"/>
        <v>0</v>
      </c>
      <c r="AH503" s="182">
        <f t="shared" si="219"/>
        <v>0</v>
      </c>
      <c r="AI503" s="182">
        <f t="shared" si="220"/>
        <v>0</v>
      </c>
      <c r="AJ503" s="182">
        <f t="shared" si="221"/>
        <v>0</v>
      </c>
      <c r="AK503" s="182">
        <f t="shared" si="222"/>
        <v>0</v>
      </c>
      <c r="AL503" s="182">
        <f t="shared" si="223"/>
        <v>0</v>
      </c>
      <c r="AM503" s="182">
        <f t="shared" si="224"/>
        <v>0</v>
      </c>
      <c r="AN503" s="182">
        <f t="shared" si="225"/>
        <v>0</v>
      </c>
      <c r="AO503" s="182">
        <f t="shared" si="226"/>
        <v>0</v>
      </c>
      <c r="AP503" s="110"/>
      <c r="AQ503" s="110"/>
      <c r="AR503" s="182">
        <f t="shared" si="227"/>
        <v>2</v>
      </c>
      <c r="AS503" s="182">
        <f t="shared" si="228"/>
        <v>2</v>
      </c>
      <c r="AT503" s="182" t="str">
        <f t="shared" si="229"/>
        <v>Correct</v>
      </c>
      <c r="AU503" s="142"/>
      <c r="AV503" s="120" t="str">
        <f>IFERROR(VLOOKUP(Table1[RespondentID],'All Data'!$A$3:$CO$999,87,FALSE),"unknown")</f>
        <v>Woman</v>
      </c>
      <c r="AW503" s="120">
        <f>IFERROR(VLOOKUP(Table1[RespondentID],'All Data'!$A$3:$CO$999,88,FALSE),"unknown")</f>
        <v>47</v>
      </c>
      <c r="AX503" s="120" t="str">
        <f>IFERROR(VLOOKUP(Table1[RespondentID],'All Data'!$A$3:$CO$999,89,FALSE),"unknown")</f>
        <v>Nassau</v>
      </c>
      <c r="AY503" s="120" t="str">
        <f>IFERROR(VLOOKUP(Table1[RespondentID],'All Data'!$A$3:$CO$999,90,FALSE),"unknown")</f>
        <v>Wantagh, 11793</v>
      </c>
      <c r="AZ503" s="120" t="str">
        <f>IFERROR(VLOOKUP(Table1[RespondentID],'All Data'!$A$3:$CO$999,91,FALSE),"unknown")</f>
        <v>White</v>
      </c>
      <c r="BA503" s="120" t="str">
        <f>IFERROR(VLOOKUP(Table1[RespondentID],'All Data'!$A$3:$CO$999,92,FALSE),"unknown")</f>
        <v>Not Hispanic or Latino</v>
      </c>
      <c r="BB503" s="120" t="str">
        <f>IFERROR(VLOOKUP(Table1[RespondentID],'All Data'!$A$3:$CO$999,93,FALSE),"unknown")</f>
        <v>English</v>
      </c>
      <c r="BC503" s="120" t="str">
        <f>IFERROR(VLOOKUP(Table1[RespondentID],'All Data'!$A$3:$CW$999,94,FALSE),"unknown")</f>
        <v>$75,000 to $125,000</v>
      </c>
      <c r="BD503" s="120" t="str">
        <f>IFERROR(VLOOKUP(Table1[RespondentID],'All Data'!$A$3:$CW$999,95,FALSE),"unknown")</f>
        <v>Some college</v>
      </c>
      <c r="BE503" s="120" t="str">
        <f>IFERROR(VLOOKUP(Table1[RespondentID],'All Data'!$A$3:$CW$999,96,FALSE),"unknown")</f>
        <v>Out of work, but not currently looking</v>
      </c>
      <c r="BF503" s="120">
        <f>IFERROR(VLOOKUP(Table1[RespondentID],'All Data'!$A$3:$CW$999,97,FALSE),"unknown")</f>
        <v>0</v>
      </c>
      <c r="BG503" s="120" t="str">
        <f>IFERROR(VLOOKUP(Table1[RespondentID],'All Data'!$A$3:$CW$999,98,FALSE),"unknown")</f>
        <v>Medicaid</v>
      </c>
      <c r="BH503" s="120" t="str">
        <f>IFERROR(VLOOKUP(Table1[RespondentID],'All Data'!$A$3:$CW$999,99,FALSE),"unknown")</f>
        <v>Yes</v>
      </c>
    </row>
    <row r="504" spans="1:60">
      <c r="A504" s="141">
        <v>18026792737</v>
      </c>
      <c r="B504" s="180" t="s">
        <v>49</v>
      </c>
      <c r="C504" s="181"/>
      <c r="D504" s="181"/>
      <c r="E504" s="181"/>
      <c r="F504" s="181"/>
      <c r="G504" s="181"/>
      <c r="H504" s="181"/>
      <c r="I504" s="181"/>
      <c r="J504" s="181"/>
      <c r="K504" s="181" t="s">
        <v>57</v>
      </c>
      <c r="L504" s="181"/>
      <c r="M504" s="181"/>
      <c r="N504" s="181"/>
      <c r="O504" s="181"/>
      <c r="P504" s="181" t="s">
        <v>60</v>
      </c>
      <c r="Q504" s="181"/>
      <c r="R504" s="181"/>
      <c r="S504" s="181"/>
      <c r="T504" s="184"/>
      <c r="U504" s="182">
        <f t="shared" si="207"/>
        <v>3</v>
      </c>
      <c r="V504" s="182">
        <f t="shared" si="208"/>
        <v>1</v>
      </c>
      <c r="W504" s="110"/>
      <c r="X504" s="182">
        <f t="shared" si="209"/>
        <v>1</v>
      </c>
      <c r="Y504" s="182">
        <f t="shared" si="210"/>
        <v>0</v>
      </c>
      <c r="Z504" s="182">
        <f t="shared" si="211"/>
        <v>0</v>
      </c>
      <c r="AA504" s="182">
        <f t="shared" si="212"/>
        <v>0</v>
      </c>
      <c r="AB504" s="182">
        <f t="shared" si="213"/>
        <v>0</v>
      </c>
      <c r="AC504" s="182">
        <f t="shared" si="214"/>
        <v>0</v>
      </c>
      <c r="AD504" s="182">
        <f t="shared" si="215"/>
        <v>0</v>
      </c>
      <c r="AE504" s="182">
        <f t="shared" si="216"/>
        <v>0</v>
      </c>
      <c r="AF504" s="182">
        <f t="shared" si="217"/>
        <v>0</v>
      </c>
      <c r="AG504" s="182">
        <f t="shared" si="218"/>
        <v>1</v>
      </c>
      <c r="AH504" s="182">
        <f t="shared" si="219"/>
        <v>0</v>
      </c>
      <c r="AI504" s="182">
        <f t="shared" si="220"/>
        <v>0</v>
      </c>
      <c r="AJ504" s="182">
        <f t="shared" si="221"/>
        <v>0</v>
      </c>
      <c r="AK504" s="182">
        <f t="shared" si="222"/>
        <v>0</v>
      </c>
      <c r="AL504" s="182">
        <f t="shared" si="223"/>
        <v>1</v>
      </c>
      <c r="AM504" s="182">
        <f t="shared" si="224"/>
        <v>0</v>
      </c>
      <c r="AN504" s="182">
        <f t="shared" si="225"/>
        <v>0</v>
      </c>
      <c r="AO504" s="182">
        <f t="shared" si="226"/>
        <v>0</v>
      </c>
      <c r="AP504" s="110"/>
      <c r="AQ504" s="110"/>
      <c r="AR504" s="182">
        <f t="shared" si="227"/>
        <v>3</v>
      </c>
      <c r="AS504" s="182">
        <f t="shared" si="228"/>
        <v>3</v>
      </c>
      <c r="AT504" s="182" t="str">
        <f t="shared" si="229"/>
        <v>Correct</v>
      </c>
      <c r="AU504" s="142"/>
      <c r="AV504" s="120" t="str">
        <f>IFERROR(VLOOKUP(Table1[RespondentID],'All Data'!$A$3:$CO$999,87,FALSE),"unknown")</f>
        <v>Man</v>
      </c>
      <c r="AW504" s="120">
        <f>IFERROR(VLOOKUP(Table1[RespondentID],'All Data'!$A$3:$CO$999,88,FALSE),"unknown")</f>
        <v>74</v>
      </c>
      <c r="AX504" s="120" t="str">
        <f>IFERROR(VLOOKUP(Table1[RespondentID],'All Data'!$A$3:$CO$999,89,FALSE),"unknown")</f>
        <v>Nassau</v>
      </c>
      <c r="AY504" s="120" t="str">
        <f>IFERROR(VLOOKUP(Table1[RespondentID],'All Data'!$A$3:$CO$999,90,FALSE),"unknown")</f>
        <v>Mineola, 11501</v>
      </c>
      <c r="AZ504" s="120">
        <f>IFERROR(VLOOKUP(Table1[RespondentID],'All Data'!$A$3:$CO$999,91,FALSE),"unknown")</f>
        <v>0</v>
      </c>
      <c r="BA504" s="120" t="str">
        <f>IFERROR(VLOOKUP(Table1[RespondentID],'All Data'!$A$3:$CO$999,92,FALSE),"unknown")</f>
        <v>Not Hispanic or Latino</v>
      </c>
      <c r="BB504" s="120">
        <f>IFERROR(VLOOKUP(Table1[RespondentID],'All Data'!$A$3:$CO$999,93,FALSE),"unknown")</f>
        <v>0</v>
      </c>
      <c r="BC504" s="120">
        <f>IFERROR(VLOOKUP(Table1[RespondentID],'All Data'!$A$3:$CW$999,94,FALSE),"unknown")</f>
        <v>0</v>
      </c>
      <c r="BD504" s="120">
        <f>IFERROR(VLOOKUP(Table1[RespondentID],'All Data'!$A$3:$CW$999,95,FALSE),"unknown")</f>
        <v>0</v>
      </c>
      <c r="BE504" s="120">
        <f>IFERROR(VLOOKUP(Table1[RespondentID],'All Data'!$A$3:$CW$999,96,FALSE),"unknown")</f>
        <v>0</v>
      </c>
      <c r="BF504" s="120">
        <f>IFERROR(VLOOKUP(Table1[RespondentID],'All Data'!$A$3:$CW$999,97,FALSE),"unknown")</f>
        <v>0</v>
      </c>
      <c r="BG504" s="120">
        <f>IFERROR(VLOOKUP(Table1[RespondentID],'All Data'!$A$3:$CW$999,98,FALSE),"unknown")</f>
        <v>0</v>
      </c>
      <c r="BH504" s="120">
        <f>IFERROR(VLOOKUP(Table1[RespondentID],'All Data'!$A$3:$CW$999,99,FALSE),"unknown")</f>
        <v>0</v>
      </c>
    </row>
    <row r="505" spans="1:60">
      <c r="A505" s="141">
        <v>18026792525</v>
      </c>
      <c r="B505" s="180"/>
      <c r="C505" s="181"/>
      <c r="D505" s="181" t="s">
        <v>51</v>
      </c>
      <c r="E505" s="181"/>
      <c r="F505" s="181"/>
      <c r="G505" s="181"/>
      <c r="H505" s="181"/>
      <c r="I505" s="181"/>
      <c r="J505" s="181"/>
      <c r="K505" s="181"/>
      <c r="L505" s="181" t="s">
        <v>58</v>
      </c>
      <c r="M505" s="181"/>
      <c r="N505" s="181"/>
      <c r="O505" s="181"/>
      <c r="P505" s="181"/>
      <c r="Q505" s="181"/>
      <c r="R505" s="181" t="s">
        <v>62</v>
      </c>
      <c r="S505" s="181"/>
      <c r="T505" s="184"/>
      <c r="U505" s="182">
        <f t="shared" si="207"/>
        <v>3</v>
      </c>
      <c r="V505" s="182">
        <f t="shared" si="208"/>
        <v>1</v>
      </c>
      <c r="W505" s="110"/>
      <c r="X505" s="182">
        <f t="shared" si="209"/>
        <v>0</v>
      </c>
      <c r="Y505" s="182">
        <f t="shared" si="210"/>
        <v>0</v>
      </c>
      <c r="Z505" s="182">
        <f t="shared" si="211"/>
        <v>1</v>
      </c>
      <c r="AA505" s="182">
        <f t="shared" si="212"/>
        <v>0</v>
      </c>
      <c r="AB505" s="182">
        <f t="shared" si="213"/>
        <v>0</v>
      </c>
      <c r="AC505" s="182">
        <f t="shared" si="214"/>
        <v>0</v>
      </c>
      <c r="AD505" s="182">
        <f t="shared" si="215"/>
        <v>0</v>
      </c>
      <c r="AE505" s="182">
        <f t="shared" si="216"/>
        <v>0</v>
      </c>
      <c r="AF505" s="182">
        <f t="shared" si="217"/>
        <v>0</v>
      </c>
      <c r="AG505" s="182">
        <f t="shared" si="218"/>
        <v>0</v>
      </c>
      <c r="AH505" s="182">
        <f t="shared" si="219"/>
        <v>1</v>
      </c>
      <c r="AI505" s="182">
        <f t="shared" si="220"/>
        <v>0</v>
      </c>
      <c r="AJ505" s="182">
        <f t="shared" si="221"/>
        <v>0</v>
      </c>
      <c r="AK505" s="182">
        <f t="shared" si="222"/>
        <v>0</v>
      </c>
      <c r="AL505" s="182">
        <f t="shared" si="223"/>
        <v>0</v>
      </c>
      <c r="AM505" s="182">
        <f t="shared" si="224"/>
        <v>0</v>
      </c>
      <c r="AN505" s="182">
        <f t="shared" si="225"/>
        <v>1</v>
      </c>
      <c r="AO505" s="182">
        <f t="shared" si="226"/>
        <v>0</v>
      </c>
      <c r="AP505" s="110"/>
      <c r="AQ505" s="110"/>
      <c r="AR505" s="182">
        <f t="shared" si="227"/>
        <v>3</v>
      </c>
      <c r="AS505" s="182">
        <f t="shared" si="228"/>
        <v>3</v>
      </c>
      <c r="AT505" s="182" t="str">
        <f t="shared" si="229"/>
        <v>Correct</v>
      </c>
      <c r="AU505" s="142"/>
      <c r="AV505" s="120" t="str">
        <f>IFERROR(VLOOKUP(Table1[RespondentID],'All Data'!$A$3:$CO$999,87,FALSE),"unknown")</f>
        <v>Woman</v>
      </c>
      <c r="AW505" s="120">
        <f>IFERROR(VLOOKUP(Table1[RespondentID],'All Data'!$A$3:$CO$999,88,FALSE),"unknown")</f>
        <v>63</v>
      </c>
      <c r="AX505" s="120" t="str">
        <f>IFERROR(VLOOKUP(Table1[RespondentID],'All Data'!$A$3:$CO$999,89,FALSE),"unknown")</f>
        <v>Nassau</v>
      </c>
      <c r="AY505" s="120" t="str">
        <f>IFERROR(VLOOKUP(Table1[RespondentID],'All Data'!$A$3:$CO$999,90,FALSE),"unknown")</f>
        <v>Mineola, 11501</v>
      </c>
      <c r="AZ505" s="120" t="str">
        <f>IFERROR(VLOOKUP(Table1[RespondentID],'All Data'!$A$3:$CO$999,91,FALSE),"unknown")</f>
        <v>White</v>
      </c>
      <c r="BA505" s="120" t="str">
        <f>IFERROR(VLOOKUP(Table1[RespondentID],'All Data'!$A$3:$CO$999,92,FALSE),"unknown")</f>
        <v>Not Hispanic or Latino</v>
      </c>
      <c r="BB505" s="120" t="str">
        <f>IFERROR(VLOOKUP(Table1[RespondentID],'All Data'!$A$3:$CO$999,93,FALSE),"unknown")</f>
        <v>English</v>
      </c>
      <c r="BC505" s="120" t="str">
        <f>IFERROR(VLOOKUP(Table1[RespondentID],'All Data'!$A$3:$CW$999,94,FALSE),"unknown")</f>
        <v>$20,000 to $34,999</v>
      </c>
      <c r="BD505" s="120" t="str">
        <f>IFERROR(VLOOKUP(Table1[RespondentID],'All Data'!$A$3:$CW$999,95,FALSE),"unknown")</f>
        <v>Graduate school</v>
      </c>
      <c r="BE505" s="120" t="str">
        <f>IFERROR(VLOOKUP(Table1[RespondentID],'All Data'!$A$3:$CW$999,96,FALSE),"unknown")</f>
        <v>Retired</v>
      </c>
      <c r="BF505" s="120" t="str">
        <f>IFERROR(VLOOKUP(Table1[RespondentID],'All Data'!$A$3:$CW$999,97,FALSE),"unknown")</f>
        <v>No</v>
      </c>
      <c r="BG505" s="120" t="str">
        <f>IFERROR(VLOOKUP(Table1[RespondentID],'All Data'!$A$3:$CW$999,98,FALSE),"unknown")</f>
        <v>No Insurance</v>
      </c>
      <c r="BH505" s="120" t="str">
        <f>IFERROR(VLOOKUP(Table1[RespondentID],'All Data'!$A$3:$CW$999,99,FALSE),"unknown")</f>
        <v>Yes</v>
      </c>
    </row>
    <row r="506" spans="1:60">
      <c r="A506" s="141">
        <v>18026792379</v>
      </c>
      <c r="B506" s="180" t="s">
        <v>49</v>
      </c>
      <c r="C506" s="181"/>
      <c r="D506" s="181"/>
      <c r="E506" s="181"/>
      <c r="F506" s="181"/>
      <c r="G506" s="181"/>
      <c r="H506" s="181" t="s">
        <v>54</v>
      </c>
      <c r="I506" s="181"/>
      <c r="J506" s="181"/>
      <c r="K506" s="181"/>
      <c r="L506" s="181"/>
      <c r="M506" s="181"/>
      <c r="N506" s="181" t="s">
        <v>24</v>
      </c>
      <c r="O506" s="181"/>
      <c r="P506" s="181"/>
      <c r="Q506" s="181"/>
      <c r="R506" s="181"/>
      <c r="S506" s="181"/>
      <c r="T506" s="184"/>
      <c r="U506" s="182">
        <f t="shared" si="207"/>
        <v>3</v>
      </c>
      <c r="V506" s="182">
        <f t="shared" si="208"/>
        <v>1</v>
      </c>
      <c r="W506" s="110"/>
      <c r="X506" s="182">
        <f t="shared" si="209"/>
        <v>1</v>
      </c>
      <c r="Y506" s="182">
        <f t="shared" si="210"/>
        <v>0</v>
      </c>
      <c r="Z506" s="182">
        <f t="shared" si="211"/>
        <v>0</v>
      </c>
      <c r="AA506" s="182">
        <f t="shared" si="212"/>
        <v>0</v>
      </c>
      <c r="AB506" s="182">
        <f t="shared" si="213"/>
        <v>0</v>
      </c>
      <c r="AC506" s="182">
        <f t="shared" si="214"/>
        <v>0</v>
      </c>
      <c r="AD506" s="182">
        <f t="shared" si="215"/>
        <v>1</v>
      </c>
      <c r="AE506" s="182">
        <f t="shared" si="216"/>
        <v>0</v>
      </c>
      <c r="AF506" s="182">
        <f t="shared" si="217"/>
        <v>0</v>
      </c>
      <c r="AG506" s="182">
        <f t="shared" si="218"/>
        <v>0</v>
      </c>
      <c r="AH506" s="182">
        <f t="shared" si="219"/>
        <v>0</v>
      </c>
      <c r="AI506" s="182">
        <f t="shared" si="220"/>
        <v>0</v>
      </c>
      <c r="AJ506" s="182">
        <f t="shared" si="221"/>
        <v>1</v>
      </c>
      <c r="AK506" s="182">
        <f t="shared" si="222"/>
        <v>0</v>
      </c>
      <c r="AL506" s="182">
        <f t="shared" si="223"/>
        <v>0</v>
      </c>
      <c r="AM506" s="182">
        <f t="shared" si="224"/>
        <v>0</v>
      </c>
      <c r="AN506" s="182">
        <f t="shared" si="225"/>
        <v>0</v>
      </c>
      <c r="AO506" s="182">
        <f t="shared" si="226"/>
        <v>0</v>
      </c>
      <c r="AP506" s="110"/>
      <c r="AQ506" s="110"/>
      <c r="AR506" s="182">
        <f t="shared" si="227"/>
        <v>3</v>
      </c>
      <c r="AS506" s="182">
        <f t="shared" si="228"/>
        <v>3</v>
      </c>
      <c r="AT506" s="182" t="str">
        <f t="shared" si="229"/>
        <v>Correct</v>
      </c>
      <c r="AU506" s="142"/>
      <c r="AV506" s="120" t="str">
        <f>IFERROR(VLOOKUP(Table1[RespondentID],'All Data'!$A$3:$CO$999,87,FALSE),"unknown")</f>
        <v>Woman</v>
      </c>
      <c r="AW506" s="120">
        <f>IFERROR(VLOOKUP(Table1[RespondentID],'All Data'!$A$3:$CO$999,88,FALSE),"unknown")</f>
        <v>71</v>
      </c>
      <c r="AX506" s="120" t="str">
        <f>IFERROR(VLOOKUP(Table1[RespondentID],'All Data'!$A$3:$CO$999,89,FALSE),"unknown")</f>
        <v>Nassau</v>
      </c>
      <c r="AY506" s="120" t="str">
        <f>IFERROR(VLOOKUP(Table1[RespondentID],'All Data'!$A$3:$CO$999,90,FALSE),"unknown")</f>
        <v>Mineola, 11501</v>
      </c>
      <c r="AZ506" s="120" t="str">
        <f>IFERROR(VLOOKUP(Table1[RespondentID],'All Data'!$A$3:$CO$999,91,FALSE),"unknown")</f>
        <v>White</v>
      </c>
      <c r="BA506" s="120" t="str">
        <f>IFERROR(VLOOKUP(Table1[RespondentID],'All Data'!$A$3:$CO$999,92,FALSE),"unknown")</f>
        <v>Not Hispanic or Latino</v>
      </c>
      <c r="BB506" s="120" t="str">
        <f>IFERROR(VLOOKUP(Table1[RespondentID],'All Data'!$A$3:$CO$999,93,FALSE),"unknown")</f>
        <v>English</v>
      </c>
      <c r="BC506" s="120" t="str">
        <f>IFERROR(VLOOKUP(Table1[RespondentID],'All Data'!$A$3:$CW$999,94,FALSE),"unknown")</f>
        <v>$20,000 to $34,999</v>
      </c>
      <c r="BD506" s="120" t="str">
        <f>IFERROR(VLOOKUP(Table1[RespondentID],'All Data'!$A$3:$CW$999,95,FALSE),"unknown")</f>
        <v>High school graduate</v>
      </c>
      <c r="BE506" s="120" t="str">
        <f>IFERROR(VLOOKUP(Table1[RespondentID],'All Data'!$A$3:$CW$999,96,FALSE),"unknown")</f>
        <v>Retired</v>
      </c>
      <c r="BF506" s="120" t="str">
        <f>IFERROR(VLOOKUP(Table1[RespondentID],'All Data'!$A$3:$CW$999,97,FALSE),"unknown")</f>
        <v>Yes</v>
      </c>
      <c r="BG506" s="120" t="str">
        <f>IFERROR(VLOOKUP(Table1[RespondentID],'All Data'!$A$3:$CW$999,98,FALSE),"unknown")</f>
        <v>Medicare</v>
      </c>
      <c r="BH506" s="120" t="str">
        <f>IFERROR(VLOOKUP(Table1[RespondentID],'All Data'!$A$3:$CW$999,99,FALSE),"unknown")</f>
        <v>No</v>
      </c>
    </row>
    <row r="507" spans="1:60">
      <c r="A507" s="141">
        <v>18026792254</v>
      </c>
      <c r="B507" s="180"/>
      <c r="C507" s="181"/>
      <c r="D507" s="181"/>
      <c r="E507" s="181"/>
      <c r="F507" s="181"/>
      <c r="G507" s="181" t="s">
        <v>53</v>
      </c>
      <c r="H507" s="181" t="s">
        <v>54</v>
      </c>
      <c r="I507" s="181" t="s">
        <v>55</v>
      </c>
      <c r="J507" s="181"/>
      <c r="K507" s="181"/>
      <c r="L507" s="181"/>
      <c r="M507" s="181"/>
      <c r="N507" s="181" t="s">
        <v>24</v>
      </c>
      <c r="O507" s="181"/>
      <c r="P507" s="181"/>
      <c r="Q507" s="181"/>
      <c r="R507" s="181"/>
      <c r="S507" s="181"/>
      <c r="T507" s="184"/>
      <c r="U507" s="182">
        <f t="shared" si="207"/>
        <v>4</v>
      </c>
      <c r="V507" s="182">
        <f t="shared" si="208"/>
        <v>0.75</v>
      </c>
      <c r="W507" s="110"/>
      <c r="X507" s="182">
        <f t="shared" si="209"/>
        <v>0</v>
      </c>
      <c r="Y507" s="182">
        <f t="shared" si="210"/>
        <v>0</v>
      </c>
      <c r="Z507" s="182">
        <f t="shared" si="211"/>
        <v>0</v>
      </c>
      <c r="AA507" s="182">
        <f t="shared" si="212"/>
        <v>0</v>
      </c>
      <c r="AB507" s="182">
        <f t="shared" si="213"/>
        <v>0</v>
      </c>
      <c r="AC507" s="182">
        <f t="shared" si="214"/>
        <v>0.75</v>
      </c>
      <c r="AD507" s="182">
        <f t="shared" si="215"/>
        <v>0.75</v>
      </c>
      <c r="AE507" s="182">
        <f t="shared" si="216"/>
        <v>0.75</v>
      </c>
      <c r="AF507" s="182">
        <f t="shared" si="217"/>
        <v>0</v>
      </c>
      <c r="AG507" s="182">
        <f t="shared" si="218"/>
        <v>0</v>
      </c>
      <c r="AH507" s="182">
        <f t="shared" si="219"/>
        <v>0</v>
      </c>
      <c r="AI507" s="182">
        <f t="shared" si="220"/>
        <v>0</v>
      </c>
      <c r="AJ507" s="182">
        <f t="shared" si="221"/>
        <v>0.75</v>
      </c>
      <c r="AK507" s="182">
        <f t="shared" si="222"/>
        <v>0</v>
      </c>
      <c r="AL507" s="182">
        <f t="shared" si="223"/>
        <v>0</v>
      </c>
      <c r="AM507" s="182">
        <f t="shared" si="224"/>
        <v>0</v>
      </c>
      <c r="AN507" s="182">
        <f t="shared" si="225"/>
        <v>0</v>
      </c>
      <c r="AO507" s="182">
        <f t="shared" si="226"/>
        <v>0</v>
      </c>
      <c r="AP507" s="110"/>
      <c r="AQ507" s="110"/>
      <c r="AR507" s="182">
        <f t="shared" si="227"/>
        <v>3</v>
      </c>
      <c r="AS507" s="182">
        <f t="shared" si="228"/>
        <v>4</v>
      </c>
      <c r="AT507" s="182" t="str">
        <f t="shared" si="229"/>
        <v>Correct</v>
      </c>
      <c r="AU507" s="142"/>
      <c r="AV507" s="120" t="str">
        <f>IFERROR(VLOOKUP(Table1[RespondentID],'All Data'!$A$3:$CO$999,87,FALSE),"unknown")</f>
        <v>Woman</v>
      </c>
      <c r="AW507" s="120">
        <f>IFERROR(VLOOKUP(Table1[RespondentID],'All Data'!$A$3:$CO$999,88,FALSE),"unknown")</f>
        <v>72</v>
      </c>
      <c r="AX507" s="120" t="str">
        <f>IFERROR(VLOOKUP(Table1[RespondentID],'All Data'!$A$3:$CO$999,89,FALSE),"unknown")</f>
        <v>Nassau</v>
      </c>
      <c r="AY507" s="120" t="str">
        <f>IFERROR(VLOOKUP(Table1[RespondentID],'All Data'!$A$3:$CO$999,90,FALSE),"unknown")</f>
        <v>Williston Park, 11596</v>
      </c>
      <c r="AZ507" s="120" t="str">
        <f>IFERROR(VLOOKUP(Table1[RespondentID],'All Data'!$A$3:$CO$999,91,FALSE),"unknown")</f>
        <v>White</v>
      </c>
      <c r="BA507" s="120" t="str">
        <f>IFERROR(VLOOKUP(Table1[RespondentID],'All Data'!$A$3:$CO$999,92,FALSE),"unknown")</f>
        <v>Not Hispanic or Latino</v>
      </c>
      <c r="BB507" s="120" t="str">
        <f>IFERROR(VLOOKUP(Table1[RespondentID],'All Data'!$A$3:$CO$999,93,FALSE),"unknown")</f>
        <v>English</v>
      </c>
      <c r="BC507" s="120" t="str">
        <f>IFERROR(VLOOKUP(Table1[RespondentID],'All Data'!$A$3:$CW$999,94,FALSE),"unknown")</f>
        <v>$75,000 to $125,000</v>
      </c>
      <c r="BD507" s="120" t="str">
        <f>IFERROR(VLOOKUP(Table1[RespondentID],'All Data'!$A$3:$CW$999,95,FALSE),"unknown")</f>
        <v>Graduate school</v>
      </c>
      <c r="BE507" s="120" t="str">
        <f>IFERROR(VLOOKUP(Table1[RespondentID],'All Data'!$A$3:$CW$999,96,FALSE),"unknown")</f>
        <v>Retired</v>
      </c>
      <c r="BF507" s="120" t="str">
        <f>IFERROR(VLOOKUP(Table1[RespondentID],'All Data'!$A$3:$CW$999,97,FALSE),"unknown")</f>
        <v>Yes</v>
      </c>
      <c r="BG507" s="120" t="str">
        <f>IFERROR(VLOOKUP(Table1[RespondentID],'All Data'!$A$3:$CW$999,98,FALSE),"unknown")</f>
        <v>Medicare,Private/Commercial</v>
      </c>
      <c r="BH507" s="120" t="str">
        <f>IFERROR(VLOOKUP(Table1[RespondentID],'All Data'!$A$3:$CW$999,99,FALSE),"unknown")</f>
        <v>Yes</v>
      </c>
    </row>
    <row r="508" spans="1:60">
      <c r="A508" s="141">
        <v>18026792090</v>
      </c>
      <c r="B508" s="180" t="s">
        <v>49</v>
      </c>
      <c r="C508" s="181"/>
      <c r="D508" s="181"/>
      <c r="E508" s="181"/>
      <c r="F508" s="181" t="s">
        <v>52</v>
      </c>
      <c r="G508" s="181"/>
      <c r="H508" s="181"/>
      <c r="I508" s="181"/>
      <c r="J508" s="181"/>
      <c r="K508" s="181"/>
      <c r="L508" s="181"/>
      <c r="M508" s="181"/>
      <c r="N508" s="181"/>
      <c r="O508" s="181"/>
      <c r="P508" s="181"/>
      <c r="Q508" s="181"/>
      <c r="R508" s="181"/>
      <c r="S508" s="181"/>
      <c r="T508" s="184"/>
      <c r="U508" s="182">
        <f t="shared" si="207"/>
        <v>2</v>
      </c>
      <c r="V508" s="182">
        <f t="shared" si="208"/>
        <v>1.5</v>
      </c>
      <c r="W508" s="110"/>
      <c r="X508" s="182">
        <f t="shared" si="209"/>
        <v>1</v>
      </c>
      <c r="Y508" s="182">
        <f t="shared" si="210"/>
        <v>0</v>
      </c>
      <c r="Z508" s="182">
        <f t="shared" si="211"/>
        <v>0</v>
      </c>
      <c r="AA508" s="182">
        <f t="shared" si="212"/>
        <v>0</v>
      </c>
      <c r="AB508" s="182">
        <f t="shared" si="213"/>
        <v>1</v>
      </c>
      <c r="AC508" s="182">
        <f t="shared" si="214"/>
        <v>0</v>
      </c>
      <c r="AD508" s="182">
        <f t="shared" si="215"/>
        <v>0</v>
      </c>
      <c r="AE508" s="182">
        <f t="shared" si="216"/>
        <v>0</v>
      </c>
      <c r="AF508" s="182">
        <f t="shared" si="217"/>
        <v>0</v>
      </c>
      <c r="AG508" s="182">
        <f t="shared" si="218"/>
        <v>0</v>
      </c>
      <c r="AH508" s="182">
        <f t="shared" si="219"/>
        <v>0</v>
      </c>
      <c r="AI508" s="182">
        <f t="shared" si="220"/>
        <v>0</v>
      </c>
      <c r="AJ508" s="182">
        <f t="shared" si="221"/>
        <v>0</v>
      </c>
      <c r="AK508" s="182">
        <f t="shared" si="222"/>
        <v>0</v>
      </c>
      <c r="AL508" s="182">
        <f t="shared" si="223"/>
        <v>0</v>
      </c>
      <c r="AM508" s="182">
        <f t="shared" si="224"/>
        <v>0</v>
      </c>
      <c r="AN508" s="182">
        <f t="shared" si="225"/>
        <v>0</v>
      </c>
      <c r="AO508" s="182">
        <f t="shared" si="226"/>
        <v>0</v>
      </c>
      <c r="AP508" s="110"/>
      <c r="AQ508" s="110"/>
      <c r="AR508" s="182">
        <f t="shared" si="227"/>
        <v>2</v>
      </c>
      <c r="AS508" s="182">
        <f t="shared" si="228"/>
        <v>2</v>
      </c>
      <c r="AT508" s="182" t="str">
        <f t="shared" si="229"/>
        <v>Correct</v>
      </c>
      <c r="AU508" s="142"/>
      <c r="AV508" s="120" t="str">
        <f>IFERROR(VLOOKUP(Table1[RespondentID],'All Data'!$A$3:$CO$999,87,FALSE),"unknown")</f>
        <v>Woman</v>
      </c>
      <c r="AW508" s="120">
        <f>IFERROR(VLOOKUP(Table1[RespondentID],'All Data'!$A$3:$CO$999,88,FALSE),"unknown")</f>
        <v>69</v>
      </c>
      <c r="AX508" s="120" t="str">
        <f>IFERROR(VLOOKUP(Table1[RespondentID],'All Data'!$A$3:$CO$999,89,FALSE),"unknown")</f>
        <v>Nassau</v>
      </c>
      <c r="AY508" s="120" t="str">
        <f>IFERROR(VLOOKUP(Table1[RespondentID],'All Data'!$A$3:$CO$999,90,FALSE),"unknown")</f>
        <v>Williston Park, 11596</v>
      </c>
      <c r="AZ508" s="120" t="str">
        <f>IFERROR(VLOOKUP(Table1[RespondentID],'All Data'!$A$3:$CO$999,91,FALSE),"unknown")</f>
        <v>White</v>
      </c>
      <c r="BA508" s="120" t="str">
        <f>IFERROR(VLOOKUP(Table1[RespondentID],'All Data'!$A$3:$CO$999,92,FALSE),"unknown")</f>
        <v>Not Hispanic or Latino</v>
      </c>
      <c r="BB508" s="120">
        <f>IFERROR(VLOOKUP(Table1[RespondentID],'All Data'!$A$3:$CO$999,93,FALSE),"unknown")</f>
        <v>0</v>
      </c>
      <c r="BC508" s="120">
        <f>IFERROR(VLOOKUP(Table1[RespondentID],'All Data'!$A$3:$CW$999,94,FALSE),"unknown")</f>
        <v>0</v>
      </c>
      <c r="BD508" s="120" t="str">
        <f>IFERROR(VLOOKUP(Table1[RespondentID],'All Data'!$A$3:$CW$999,95,FALSE),"unknown")</f>
        <v>College graduate</v>
      </c>
      <c r="BE508" s="120" t="str">
        <f>IFERROR(VLOOKUP(Table1[RespondentID],'All Data'!$A$3:$CW$999,96,FALSE),"unknown")</f>
        <v>Retired</v>
      </c>
      <c r="BF508" s="120" t="str">
        <f>IFERROR(VLOOKUP(Table1[RespondentID],'All Data'!$A$3:$CW$999,97,FALSE),"unknown")</f>
        <v>Yes</v>
      </c>
      <c r="BG508" s="120" t="str">
        <f>IFERROR(VLOOKUP(Table1[RespondentID],'All Data'!$A$3:$CW$999,98,FALSE),"unknown")</f>
        <v>Medicare</v>
      </c>
      <c r="BH508" s="120" t="str">
        <f>IFERROR(VLOOKUP(Table1[RespondentID],'All Data'!$A$3:$CW$999,99,FALSE),"unknown")</f>
        <v>Yes</v>
      </c>
    </row>
    <row r="509" spans="1:60">
      <c r="A509" s="141">
        <v>18026791962</v>
      </c>
      <c r="B509" s="180" t="s">
        <v>49</v>
      </c>
      <c r="C509" s="181"/>
      <c r="D509" s="181"/>
      <c r="E509" s="181"/>
      <c r="F509" s="181"/>
      <c r="G509" s="181"/>
      <c r="H509" s="181" t="s">
        <v>54</v>
      </c>
      <c r="I509" s="181"/>
      <c r="J509" s="181"/>
      <c r="K509" s="181" t="s">
        <v>57</v>
      </c>
      <c r="L509" s="181"/>
      <c r="M509" s="181"/>
      <c r="N509" s="181" t="s">
        <v>24</v>
      </c>
      <c r="O509" s="181"/>
      <c r="P509" s="181"/>
      <c r="Q509" s="181"/>
      <c r="R509" s="181"/>
      <c r="S509" s="181"/>
      <c r="T509" s="184"/>
      <c r="U509" s="182">
        <f t="shared" si="207"/>
        <v>4</v>
      </c>
      <c r="V509" s="182">
        <f t="shared" si="208"/>
        <v>0.75</v>
      </c>
      <c r="W509" s="110"/>
      <c r="X509" s="182">
        <f t="shared" si="209"/>
        <v>0.75</v>
      </c>
      <c r="Y509" s="182">
        <f t="shared" si="210"/>
        <v>0</v>
      </c>
      <c r="Z509" s="182">
        <f t="shared" si="211"/>
        <v>0</v>
      </c>
      <c r="AA509" s="182">
        <f t="shared" si="212"/>
        <v>0</v>
      </c>
      <c r="AB509" s="182">
        <f t="shared" si="213"/>
        <v>0</v>
      </c>
      <c r="AC509" s="182">
        <f t="shared" si="214"/>
        <v>0</v>
      </c>
      <c r="AD509" s="182">
        <f t="shared" si="215"/>
        <v>0.75</v>
      </c>
      <c r="AE509" s="182">
        <f t="shared" si="216"/>
        <v>0</v>
      </c>
      <c r="AF509" s="182">
        <f t="shared" si="217"/>
        <v>0</v>
      </c>
      <c r="AG509" s="182">
        <f t="shared" si="218"/>
        <v>0.75</v>
      </c>
      <c r="AH509" s="182">
        <f t="shared" si="219"/>
        <v>0</v>
      </c>
      <c r="AI509" s="182">
        <f t="shared" si="220"/>
        <v>0</v>
      </c>
      <c r="AJ509" s="182">
        <f t="shared" si="221"/>
        <v>0.75</v>
      </c>
      <c r="AK509" s="182">
        <f t="shared" si="222"/>
        <v>0</v>
      </c>
      <c r="AL509" s="182">
        <f t="shared" si="223"/>
        <v>0</v>
      </c>
      <c r="AM509" s="182">
        <f t="shared" si="224"/>
        <v>0</v>
      </c>
      <c r="AN509" s="182">
        <f t="shared" si="225"/>
        <v>0</v>
      </c>
      <c r="AO509" s="182">
        <f t="shared" si="226"/>
        <v>0</v>
      </c>
      <c r="AP509" s="110"/>
      <c r="AQ509" s="110"/>
      <c r="AR509" s="182">
        <f t="shared" si="227"/>
        <v>3</v>
      </c>
      <c r="AS509" s="182">
        <f t="shared" si="228"/>
        <v>4</v>
      </c>
      <c r="AT509" s="182" t="str">
        <f t="shared" si="229"/>
        <v>Correct</v>
      </c>
      <c r="AU509" s="142"/>
      <c r="AV509" s="120" t="str">
        <f>IFERROR(VLOOKUP(Table1[RespondentID],'All Data'!$A$3:$CO$999,87,FALSE),"unknown")</f>
        <v>Woman</v>
      </c>
      <c r="AW509" s="120">
        <f>IFERROR(VLOOKUP(Table1[RespondentID],'All Data'!$A$3:$CO$999,88,FALSE),"unknown")</f>
        <v>35</v>
      </c>
      <c r="AX509" s="120" t="str">
        <f>IFERROR(VLOOKUP(Table1[RespondentID],'All Data'!$A$3:$CO$999,89,FALSE),"unknown")</f>
        <v>Nassau</v>
      </c>
      <c r="AY509" s="120" t="str">
        <f>IFERROR(VLOOKUP(Table1[RespondentID],'All Data'!$A$3:$CO$999,90,FALSE),"unknown")</f>
        <v>Williston Park, 11596</v>
      </c>
      <c r="AZ509" s="120" t="str">
        <f>IFERROR(VLOOKUP(Table1[RespondentID],'All Data'!$A$3:$CO$999,91,FALSE),"unknown")</f>
        <v>Asian</v>
      </c>
      <c r="BA509" s="120" t="str">
        <f>IFERROR(VLOOKUP(Table1[RespondentID],'All Data'!$A$3:$CO$999,92,FALSE),"unknown")</f>
        <v>Not Hispanic or Latino</v>
      </c>
      <c r="BB509" s="120" t="str">
        <f>IFERROR(VLOOKUP(Table1[RespondentID],'All Data'!$A$3:$CO$999,93,FALSE),"unknown")</f>
        <v>English</v>
      </c>
      <c r="BC509" s="120">
        <f>IFERROR(VLOOKUP(Table1[RespondentID],'All Data'!$A$3:$CW$999,94,FALSE),"unknown")</f>
        <v>0</v>
      </c>
      <c r="BD509" s="120" t="str">
        <f>IFERROR(VLOOKUP(Table1[RespondentID],'All Data'!$A$3:$CW$999,95,FALSE),"unknown")</f>
        <v>College graduate</v>
      </c>
      <c r="BE509" s="120" t="str">
        <f>IFERROR(VLOOKUP(Table1[RespondentID],'All Data'!$A$3:$CW$999,96,FALSE),"unknown")</f>
        <v>Out of work, but not currently looking</v>
      </c>
      <c r="BF509" s="120" t="str">
        <f>IFERROR(VLOOKUP(Table1[RespondentID],'All Data'!$A$3:$CW$999,97,FALSE),"unknown")</f>
        <v>Yes</v>
      </c>
      <c r="BG509" s="120" t="str">
        <f>IFERROR(VLOOKUP(Table1[RespondentID],'All Data'!$A$3:$CW$999,98,FALSE),"unknown")</f>
        <v>Private/Commercial</v>
      </c>
      <c r="BH509" s="120" t="str">
        <f>IFERROR(VLOOKUP(Table1[RespondentID],'All Data'!$A$3:$CW$999,99,FALSE),"unknown")</f>
        <v>Yes</v>
      </c>
    </row>
    <row r="510" spans="1:60">
      <c r="A510" s="141">
        <v>18026791810</v>
      </c>
      <c r="B510" s="180"/>
      <c r="C510" s="181"/>
      <c r="D510" s="181"/>
      <c r="E510" s="181"/>
      <c r="F510" s="181"/>
      <c r="G510" s="181"/>
      <c r="H510" s="181"/>
      <c r="I510" s="181"/>
      <c r="J510" s="181"/>
      <c r="K510" s="181" t="s">
        <v>57</v>
      </c>
      <c r="L510" s="181" t="s">
        <v>58</v>
      </c>
      <c r="M510" s="181"/>
      <c r="N510" s="181"/>
      <c r="O510" s="181"/>
      <c r="P510" s="181"/>
      <c r="Q510" s="181"/>
      <c r="R510" s="181"/>
      <c r="S510" s="181"/>
      <c r="T510" s="184"/>
      <c r="U510" s="182">
        <f t="shared" si="207"/>
        <v>2</v>
      </c>
      <c r="V510" s="182">
        <f t="shared" si="208"/>
        <v>1.5</v>
      </c>
      <c r="W510" s="110"/>
      <c r="X510" s="182">
        <f t="shared" si="209"/>
        <v>0</v>
      </c>
      <c r="Y510" s="182">
        <f t="shared" si="210"/>
        <v>0</v>
      </c>
      <c r="Z510" s="182">
        <f t="shared" si="211"/>
        <v>0</v>
      </c>
      <c r="AA510" s="182">
        <f t="shared" si="212"/>
        <v>0</v>
      </c>
      <c r="AB510" s="182">
        <f t="shared" si="213"/>
        <v>0</v>
      </c>
      <c r="AC510" s="182">
        <f t="shared" si="214"/>
        <v>0</v>
      </c>
      <c r="AD510" s="182">
        <f t="shared" si="215"/>
        <v>0</v>
      </c>
      <c r="AE510" s="182">
        <f t="shared" si="216"/>
        <v>0</v>
      </c>
      <c r="AF510" s="182">
        <f t="shared" si="217"/>
        <v>0</v>
      </c>
      <c r="AG510" s="182">
        <f t="shared" si="218"/>
        <v>1</v>
      </c>
      <c r="AH510" s="182">
        <f t="shared" si="219"/>
        <v>1</v>
      </c>
      <c r="AI510" s="182">
        <f t="shared" si="220"/>
        <v>0</v>
      </c>
      <c r="AJ510" s="182">
        <f t="shared" si="221"/>
        <v>0</v>
      </c>
      <c r="AK510" s="182">
        <f t="shared" si="222"/>
        <v>0</v>
      </c>
      <c r="AL510" s="182">
        <f t="shared" si="223"/>
        <v>0</v>
      </c>
      <c r="AM510" s="182">
        <f t="shared" si="224"/>
        <v>0</v>
      </c>
      <c r="AN510" s="182">
        <f t="shared" si="225"/>
        <v>0</v>
      </c>
      <c r="AO510" s="182">
        <f t="shared" si="226"/>
        <v>0</v>
      </c>
      <c r="AP510" s="110"/>
      <c r="AQ510" s="110"/>
      <c r="AR510" s="182">
        <f t="shared" si="227"/>
        <v>2</v>
      </c>
      <c r="AS510" s="182">
        <f t="shared" si="228"/>
        <v>2</v>
      </c>
      <c r="AT510" s="182" t="str">
        <f t="shared" si="229"/>
        <v>Correct</v>
      </c>
      <c r="AU510" s="142"/>
      <c r="AV510" s="120" t="str">
        <f>IFERROR(VLOOKUP(Table1[RespondentID],'All Data'!$A$3:$CO$999,87,FALSE),"unknown")</f>
        <v>Woman</v>
      </c>
      <c r="AW510" s="120">
        <f>IFERROR(VLOOKUP(Table1[RespondentID],'All Data'!$A$3:$CO$999,88,FALSE),"unknown")</f>
        <v>85</v>
      </c>
      <c r="AX510" s="120" t="str">
        <f>IFERROR(VLOOKUP(Table1[RespondentID],'All Data'!$A$3:$CO$999,89,FALSE),"unknown")</f>
        <v>Nassau</v>
      </c>
      <c r="AY510" s="120" t="str">
        <f>IFERROR(VLOOKUP(Table1[RespondentID],'All Data'!$A$3:$CO$999,90,FALSE),"unknown")</f>
        <v>Massapequa, 11758</v>
      </c>
      <c r="AZ510" s="120" t="str">
        <f>IFERROR(VLOOKUP(Table1[RespondentID],'All Data'!$A$3:$CO$999,91,FALSE),"unknown")</f>
        <v>White</v>
      </c>
      <c r="BA510" s="120">
        <f>IFERROR(VLOOKUP(Table1[RespondentID],'All Data'!$A$3:$CO$999,92,FALSE),"unknown")</f>
        <v>0</v>
      </c>
      <c r="BB510" s="120" t="str">
        <f>IFERROR(VLOOKUP(Table1[RespondentID],'All Data'!$A$3:$CO$999,93,FALSE),"unknown")</f>
        <v>English</v>
      </c>
      <c r="BC510" s="120" t="str">
        <f>IFERROR(VLOOKUP(Table1[RespondentID],'All Data'!$A$3:$CW$999,94,FALSE),"unknown")</f>
        <v>$20,000 to $34,999</v>
      </c>
      <c r="BD510" s="120" t="str">
        <f>IFERROR(VLOOKUP(Table1[RespondentID],'All Data'!$A$3:$CW$999,95,FALSE),"unknown")</f>
        <v>College graduate</v>
      </c>
      <c r="BE510" s="120" t="str">
        <f>IFERROR(VLOOKUP(Table1[RespondentID],'All Data'!$A$3:$CW$999,96,FALSE),"unknown")</f>
        <v>Retired</v>
      </c>
      <c r="BF510" s="120" t="str">
        <f>IFERROR(VLOOKUP(Table1[RespondentID],'All Data'!$A$3:$CW$999,97,FALSE),"unknown")</f>
        <v>Yes</v>
      </c>
      <c r="BG510" s="120" t="str">
        <f>IFERROR(VLOOKUP(Table1[RespondentID],'All Data'!$A$3:$CW$999,98,FALSE),"unknown")</f>
        <v>Medicare</v>
      </c>
      <c r="BH510" s="120" t="str">
        <f>IFERROR(VLOOKUP(Table1[RespondentID],'All Data'!$A$3:$CW$999,99,FALSE),"unknown")</f>
        <v>No</v>
      </c>
    </row>
    <row r="511" spans="1:60">
      <c r="A511" s="141">
        <v>18026791613</v>
      </c>
      <c r="B511" s="180"/>
      <c r="C511" s="181"/>
      <c r="D511" s="181"/>
      <c r="E511" s="181"/>
      <c r="F511" s="181"/>
      <c r="G511" s="181"/>
      <c r="H511" s="181"/>
      <c r="I511" s="181"/>
      <c r="J511" s="181"/>
      <c r="K511" s="181" t="s">
        <v>57</v>
      </c>
      <c r="L511" s="181"/>
      <c r="M511" s="181"/>
      <c r="N511" s="181"/>
      <c r="O511" s="181"/>
      <c r="P511" s="181"/>
      <c r="Q511" s="181"/>
      <c r="R511" s="181"/>
      <c r="S511" s="181" t="s">
        <v>63</v>
      </c>
      <c r="T511" s="184"/>
      <c r="U511" s="182">
        <f t="shared" si="207"/>
        <v>2</v>
      </c>
      <c r="V511" s="182">
        <f t="shared" si="208"/>
        <v>1.5</v>
      </c>
      <c r="W511" s="110"/>
      <c r="X511" s="182">
        <f t="shared" si="209"/>
        <v>0</v>
      </c>
      <c r="Y511" s="182">
        <f t="shared" si="210"/>
        <v>0</v>
      </c>
      <c r="Z511" s="182">
        <f t="shared" si="211"/>
        <v>0</v>
      </c>
      <c r="AA511" s="182">
        <f t="shared" si="212"/>
        <v>0</v>
      </c>
      <c r="AB511" s="182">
        <f t="shared" si="213"/>
        <v>0</v>
      </c>
      <c r="AC511" s="182">
        <f t="shared" si="214"/>
        <v>0</v>
      </c>
      <c r="AD511" s="182">
        <f t="shared" si="215"/>
        <v>0</v>
      </c>
      <c r="AE511" s="182">
        <f t="shared" si="216"/>
        <v>0</v>
      </c>
      <c r="AF511" s="182">
        <f t="shared" si="217"/>
        <v>0</v>
      </c>
      <c r="AG511" s="182">
        <f t="shared" si="218"/>
        <v>1</v>
      </c>
      <c r="AH511" s="182">
        <f t="shared" si="219"/>
        <v>0</v>
      </c>
      <c r="AI511" s="182">
        <f t="shared" si="220"/>
        <v>0</v>
      </c>
      <c r="AJ511" s="182">
        <f t="shared" si="221"/>
        <v>0</v>
      </c>
      <c r="AK511" s="182">
        <f t="shared" si="222"/>
        <v>0</v>
      </c>
      <c r="AL511" s="182">
        <f t="shared" si="223"/>
        <v>0</v>
      </c>
      <c r="AM511" s="182">
        <f t="shared" si="224"/>
        <v>0</v>
      </c>
      <c r="AN511" s="182">
        <f t="shared" si="225"/>
        <v>0</v>
      </c>
      <c r="AO511" s="182">
        <f t="shared" si="226"/>
        <v>1</v>
      </c>
      <c r="AP511" s="110"/>
      <c r="AQ511" s="110"/>
      <c r="AR511" s="182">
        <f t="shared" si="227"/>
        <v>2</v>
      </c>
      <c r="AS511" s="182">
        <f t="shared" si="228"/>
        <v>2</v>
      </c>
      <c r="AT511" s="182" t="str">
        <f t="shared" si="229"/>
        <v>Correct</v>
      </c>
      <c r="AU511" s="142"/>
      <c r="AV511" s="120" t="str">
        <f>IFERROR(VLOOKUP(Table1[RespondentID],'All Data'!$A$3:$CO$999,87,FALSE),"unknown")</f>
        <v>Man</v>
      </c>
      <c r="AW511" s="120">
        <f>IFERROR(VLOOKUP(Table1[RespondentID],'All Data'!$A$3:$CO$999,88,FALSE),"unknown")</f>
        <v>68</v>
      </c>
      <c r="AX511" s="120" t="str">
        <f>IFERROR(VLOOKUP(Table1[RespondentID],'All Data'!$A$3:$CO$999,89,FALSE),"unknown")</f>
        <v>Nassau</v>
      </c>
      <c r="AY511" s="120" t="str">
        <f>IFERROR(VLOOKUP(Table1[RespondentID],'All Data'!$A$3:$CO$999,90,FALSE),"unknown")</f>
        <v>Farmingdale, 11735</v>
      </c>
      <c r="AZ511" s="120" t="str">
        <f>IFERROR(VLOOKUP(Table1[RespondentID],'All Data'!$A$3:$CO$999,91,FALSE),"unknown")</f>
        <v>White</v>
      </c>
      <c r="BA511" s="120">
        <f>IFERROR(VLOOKUP(Table1[RespondentID],'All Data'!$A$3:$CO$999,92,FALSE),"unknown")</f>
        <v>0</v>
      </c>
      <c r="BB511" s="120" t="str">
        <f>IFERROR(VLOOKUP(Table1[RespondentID],'All Data'!$A$3:$CO$999,93,FALSE),"unknown")</f>
        <v>English</v>
      </c>
      <c r="BC511" s="120">
        <f>IFERROR(VLOOKUP(Table1[RespondentID],'All Data'!$A$3:$CW$999,94,FALSE),"unknown")</f>
        <v>0</v>
      </c>
      <c r="BD511" s="120" t="str">
        <f>IFERROR(VLOOKUP(Table1[RespondentID],'All Data'!$A$3:$CW$999,95,FALSE),"unknown")</f>
        <v>Some college</v>
      </c>
      <c r="BE511" s="120" t="str">
        <f>IFERROR(VLOOKUP(Table1[RespondentID],'All Data'!$A$3:$CW$999,96,FALSE),"unknown")</f>
        <v>Retired</v>
      </c>
      <c r="BF511" s="120">
        <f>IFERROR(VLOOKUP(Table1[RespondentID],'All Data'!$A$3:$CW$999,97,FALSE),"unknown")</f>
        <v>0</v>
      </c>
      <c r="BG511" s="120" t="str">
        <f>IFERROR(VLOOKUP(Table1[RespondentID],'All Data'!$A$3:$CW$999,98,FALSE),"unknown")</f>
        <v>Medicare</v>
      </c>
      <c r="BH511" s="120">
        <f>IFERROR(VLOOKUP(Table1[RespondentID],'All Data'!$A$3:$CW$999,99,FALSE),"unknown")</f>
        <v>0</v>
      </c>
    </row>
    <row r="512" spans="1:60">
      <c r="A512" s="141">
        <v>18026791463</v>
      </c>
      <c r="B512" s="180" t="s">
        <v>49</v>
      </c>
      <c r="C512" s="181"/>
      <c r="D512" s="181" t="s">
        <v>51</v>
      </c>
      <c r="E512" s="181"/>
      <c r="F512" s="181"/>
      <c r="G512" s="181"/>
      <c r="H512" s="181"/>
      <c r="I512" s="181"/>
      <c r="J512" s="181"/>
      <c r="K512" s="181"/>
      <c r="L512" s="181" t="s">
        <v>58</v>
      </c>
      <c r="M512" s="181"/>
      <c r="N512" s="181"/>
      <c r="O512" s="181"/>
      <c r="P512" s="181"/>
      <c r="Q512" s="181"/>
      <c r="R512" s="181"/>
      <c r="S512" s="181"/>
      <c r="T512" s="184"/>
      <c r="U512" s="182">
        <f t="shared" si="207"/>
        <v>3</v>
      </c>
      <c r="V512" s="182">
        <f t="shared" si="208"/>
        <v>1</v>
      </c>
      <c r="W512" s="110"/>
      <c r="X512" s="182">
        <f t="shared" si="209"/>
        <v>1</v>
      </c>
      <c r="Y512" s="182">
        <f t="shared" si="210"/>
        <v>0</v>
      </c>
      <c r="Z512" s="182">
        <f t="shared" si="211"/>
        <v>1</v>
      </c>
      <c r="AA512" s="182">
        <f t="shared" si="212"/>
        <v>0</v>
      </c>
      <c r="AB512" s="182">
        <f t="shared" si="213"/>
        <v>0</v>
      </c>
      <c r="AC512" s="182">
        <f t="shared" si="214"/>
        <v>0</v>
      </c>
      <c r="AD512" s="182">
        <f t="shared" si="215"/>
        <v>0</v>
      </c>
      <c r="AE512" s="182">
        <f t="shared" si="216"/>
        <v>0</v>
      </c>
      <c r="AF512" s="182">
        <f t="shared" si="217"/>
        <v>0</v>
      </c>
      <c r="AG512" s="182">
        <f t="shared" si="218"/>
        <v>0</v>
      </c>
      <c r="AH512" s="182">
        <f t="shared" si="219"/>
        <v>1</v>
      </c>
      <c r="AI512" s="182">
        <f t="shared" si="220"/>
        <v>0</v>
      </c>
      <c r="AJ512" s="182">
        <f t="shared" si="221"/>
        <v>0</v>
      </c>
      <c r="AK512" s="182">
        <f t="shared" si="222"/>
        <v>0</v>
      </c>
      <c r="AL512" s="182">
        <f t="shared" si="223"/>
        <v>0</v>
      </c>
      <c r="AM512" s="182">
        <f t="shared" si="224"/>
        <v>0</v>
      </c>
      <c r="AN512" s="182">
        <f t="shared" si="225"/>
        <v>0</v>
      </c>
      <c r="AO512" s="182">
        <f t="shared" si="226"/>
        <v>0</v>
      </c>
      <c r="AP512" s="110"/>
      <c r="AQ512" s="110"/>
      <c r="AR512" s="182">
        <f t="shared" si="227"/>
        <v>3</v>
      </c>
      <c r="AS512" s="182">
        <f t="shared" si="228"/>
        <v>3</v>
      </c>
      <c r="AT512" s="182" t="str">
        <f t="shared" si="229"/>
        <v>Correct</v>
      </c>
      <c r="AU512" s="142"/>
      <c r="AV512" s="120" t="str">
        <f>IFERROR(VLOOKUP(Table1[RespondentID],'All Data'!$A$3:$CO$999,87,FALSE),"unknown")</f>
        <v>Woman</v>
      </c>
      <c r="AW512" s="120">
        <f>IFERROR(VLOOKUP(Table1[RespondentID],'All Data'!$A$3:$CO$999,88,FALSE),"unknown")</f>
        <v>75</v>
      </c>
      <c r="AX512" s="120" t="str">
        <f>IFERROR(VLOOKUP(Table1[RespondentID],'All Data'!$A$3:$CO$999,89,FALSE),"unknown")</f>
        <v>Nassau</v>
      </c>
      <c r="AY512" s="120" t="str">
        <f>IFERROR(VLOOKUP(Table1[RespondentID],'All Data'!$A$3:$CO$999,90,FALSE),"unknown")</f>
        <v>Farmingdale, 11735</v>
      </c>
      <c r="AZ512" s="120" t="str">
        <f>IFERROR(VLOOKUP(Table1[RespondentID],'All Data'!$A$3:$CO$999,91,FALSE),"unknown")</f>
        <v>White</v>
      </c>
      <c r="BA512" s="120" t="str">
        <f>IFERROR(VLOOKUP(Table1[RespondentID],'All Data'!$A$3:$CO$999,92,FALSE),"unknown")</f>
        <v>Not Hispanic or Latino</v>
      </c>
      <c r="BB512" s="120" t="str">
        <f>IFERROR(VLOOKUP(Table1[RespondentID],'All Data'!$A$3:$CO$999,93,FALSE),"unknown")</f>
        <v>English</v>
      </c>
      <c r="BC512" s="120" t="str">
        <f>IFERROR(VLOOKUP(Table1[RespondentID],'All Data'!$A$3:$CW$999,94,FALSE),"unknown")</f>
        <v>$20,000 to $34,999</v>
      </c>
      <c r="BD512" s="120" t="str">
        <f>IFERROR(VLOOKUP(Table1[RespondentID],'All Data'!$A$3:$CW$999,95,FALSE),"unknown")</f>
        <v>Some college</v>
      </c>
      <c r="BE512" s="120" t="str">
        <f>IFERROR(VLOOKUP(Table1[RespondentID],'All Data'!$A$3:$CW$999,96,FALSE),"unknown")</f>
        <v>Retired</v>
      </c>
      <c r="BF512" s="120" t="str">
        <f>IFERROR(VLOOKUP(Table1[RespondentID],'All Data'!$A$3:$CW$999,97,FALSE),"unknown")</f>
        <v>Yes</v>
      </c>
      <c r="BG512" s="120" t="str">
        <f>IFERROR(VLOOKUP(Table1[RespondentID],'All Data'!$A$3:$CW$999,98,FALSE),"unknown")</f>
        <v>Medicare</v>
      </c>
      <c r="BH512" s="120">
        <f>IFERROR(VLOOKUP(Table1[RespondentID],'All Data'!$A$3:$CW$999,99,FALSE),"unknown")</f>
        <v>0</v>
      </c>
    </row>
    <row r="513" spans="1:60">
      <c r="A513" s="141">
        <v>18026791236</v>
      </c>
      <c r="B513" s="180"/>
      <c r="C513" s="181"/>
      <c r="D513" s="181"/>
      <c r="E513" s="181"/>
      <c r="F513" s="181"/>
      <c r="G513" s="181"/>
      <c r="H513" s="181"/>
      <c r="I513" s="181"/>
      <c r="J513" s="181" t="s">
        <v>56</v>
      </c>
      <c r="K513" s="181"/>
      <c r="L513" s="181"/>
      <c r="M513" s="181"/>
      <c r="N513" s="181"/>
      <c r="O513" s="181"/>
      <c r="P513" s="181"/>
      <c r="Q513" s="181"/>
      <c r="R513" s="181" t="s">
        <v>62</v>
      </c>
      <c r="S513" s="181"/>
      <c r="T513" s="184"/>
      <c r="U513" s="182">
        <f t="shared" si="207"/>
        <v>2</v>
      </c>
      <c r="V513" s="182">
        <f t="shared" si="208"/>
        <v>1.5</v>
      </c>
      <c r="W513" s="110"/>
      <c r="X513" s="182">
        <f t="shared" si="209"/>
        <v>0</v>
      </c>
      <c r="Y513" s="182">
        <f t="shared" si="210"/>
        <v>0</v>
      </c>
      <c r="Z513" s="182">
        <f t="shared" si="211"/>
        <v>0</v>
      </c>
      <c r="AA513" s="182">
        <f t="shared" si="212"/>
        <v>0</v>
      </c>
      <c r="AB513" s="182">
        <f t="shared" si="213"/>
        <v>0</v>
      </c>
      <c r="AC513" s="182">
        <f t="shared" si="214"/>
        <v>0</v>
      </c>
      <c r="AD513" s="182">
        <f t="shared" si="215"/>
        <v>0</v>
      </c>
      <c r="AE513" s="182">
        <f t="shared" si="216"/>
        <v>0</v>
      </c>
      <c r="AF513" s="182">
        <f t="shared" si="217"/>
        <v>1</v>
      </c>
      <c r="AG513" s="182">
        <f t="shared" si="218"/>
        <v>0</v>
      </c>
      <c r="AH513" s="182">
        <f t="shared" si="219"/>
        <v>0</v>
      </c>
      <c r="AI513" s="182">
        <f t="shared" si="220"/>
        <v>0</v>
      </c>
      <c r="AJ513" s="182">
        <f t="shared" si="221"/>
        <v>0</v>
      </c>
      <c r="AK513" s="182">
        <f t="shared" si="222"/>
        <v>0</v>
      </c>
      <c r="AL513" s="182">
        <f t="shared" si="223"/>
        <v>0</v>
      </c>
      <c r="AM513" s="182">
        <f t="shared" si="224"/>
        <v>0</v>
      </c>
      <c r="AN513" s="182">
        <f t="shared" si="225"/>
        <v>1</v>
      </c>
      <c r="AO513" s="182">
        <f t="shared" si="226"/>
        <v>0</v>
      </c>
      <c r="AP513" s="110"/>
      <c r="AQ513" s="110"/>
      <c r="AR513" s="182">
        <f t="shared" si="227"/>
        <v>2</v>
      </c>
      <c r="AS513" s="182">
        <f t="shared" si="228"/>
        <v>2</v>
      </c>
      <c r="AT513" s="182" t="str">
        <f t="shared" si="229"/>
        <v>Correct</v>
      </c>
      <c r="AU513" s="142"/>
      <c r="AV513" s="120" t="str">
        <f>IFERROR(VLOOKUP(Table1[RespondentID],'All Data'!$A$3:$CO$999,87,FALSE),"unknown")</f>
        <v>Man</v>
      </c>
      <c r="AW513" s="120">
        <f>IFERROR(VLOOKUP(Table1[RespondentID],'All Data'!$A$3:$CO$999,88,FALSE),"unknown")</f>
        <v>92</v>
      </c>
      <c r="AX513" s="120" t="str">
        <f>IFERROR(VLOOKUP(Table1[RespondentID],'All Data'!$A$3:$CO$999,89,FALSE),"unknown")</f>
        <v>Nassau</v>
      </c>
      <c r="AY513" s="120" t="str">
        <f>IFERROR(VLOOKUP(Table1[RespondentID],'All Data'!$A$3:$CO$999,90,FALSE),"unknown")</f>
        <v>Massapequa, 11758</v>
      </c>
      <c r="AZ513" s="120" t="str">
        <f>IFERROR(VLOOKUP(Table1[RespondentID],'All Data'!$A$3:$CO$999,91,FALSE),"unknown")</f>
        <v>White</v>
      </c>
      <c r="BA513" s="120" t="str">
        <f>IFERROR(VLOOKUP(Table1[RespondentID],'All Data'!$A$3:$CO$999,92,FALSE),"unknown")</f>
        <v>Not Hispanic or Latino</v>
      </c>
      <c r="BB513" s="120" t="str">
        <f>IFERROR(VLOOKUP(Table1[RespondentID],'All Data'!$A$3:$CO$999,93,FALSE),"unknown")</f>
        <v>English</v>
      </c>
      <c r="BC513" s="120" t="str">
        <f>IFERROR(VLOOKUP(Table1[RespondentID],'All Data'!$A$3:$CW$999,94,FALSE),"unknown")</f>
        <v>$50,000 to $74,999</v>
      </c>
      <c r="BD513" s="120" t="str">
        <f>IFERROR(VLOOKUP(Table1[RespondentID],'All Data'!$A$3:$CW$999,95,FALSE),"unknown")</f>
        <v>Some college</v>
      </c>
      <c r="BE513" s="120" t="str">
        <f>IFERROR(VLOOKUP(Table1[RespondentID],'All Data'!$A$3:$CW$999,96,FALSE),"unknown")</f>
        <v>Retired</v>
      </c>
      <c r="BF513" s="120" t="str">
        <f>IFERROR(VLOOKUP(Table1[RespondentID],'All Data'!$A$3:$CW$999,97,FALSE),"unknown")</f>
        <v>Yes</v>
      </c>
      <c r="BG513" s="120" t="str">
        <f>IFERROR(VLOOKUP(Table1[RespondentID],'All Data'!$A$3:$CW$999,98,FALSE),"unknown")</f>
        <v>Medicare,Private/Commercial</v>
      </c>
      <c r="BH513" s="120">
        <f>IFERROR(VLOOKUP(Table1[RespondentID],'All Data'!$A$3:$CW$999,99,FALSE),"unknown")</f>
        <v>0</v>
      </c>
    </row>
    <row r="514" spans="1:60">
      <c r="A514" s="141">
        <v>18026547733</v>
      </c>
      <c r="B514" s="180"/>
      <c r="C514" s="181"/>
      <c r="D514" s="181"/>
      <c r="E514" s="181"/>
      <c r="F514" s="181"/>
      <c r="G514" s="181" t="s">
        <v>53</v>
      </c>
      <c r="H514" s="181"/>
      <c r="I514" s="181" t="s">
        <v>55</v>
      </c>
      <c r="J514" s="181"/>
      <c r="K514" s="181"/>
      <c r="L514" s="181"/>
      <c r="M514" s="181"/>
      <c r="N514" s="181"/>
      <c r="O514" s="181"/>
      <c r="P514" s="181" t="s">
        <v>60</v>
      </c>
      <c r="Q514" s="181"/>
      <c r="R514" s="181"/>
      <c r="S514" s="181"/>
      <c r="T514" s="184"/>
      <c r="U514" s="182">
        <f t="shared" si="207"/>
        <v>3</v>
      </c>
      <c r="V514" s="182">
        <f t="shared" si="208"/>
        <v>1</v>
      </c>
      <c r="W514" s="110"/>
      <c r="X514" s="182">
        <f t="shared" si="209"/>
        <v>0</v>
      </c>
      <c r="Y514" s="182">
        <f t="shared" si="210"/>
        <v>0</v>
      </c>
      <c r="Z514" s="182">
        <f t="shared" si="211"/>
        <v>0</v>
      </c>
      <c r="AA514" s="182">
        <f t="shared" si="212"/>
        <v>0</v>
      </c>
      <c r="AB514" s="182">
        <f t="shared" si="213"/>
        <v>0</v>
      </c>
      <c r="AC514" s="182">
        <f t="shared" si="214"/>
        <v>1</v>
      </c>
      <c r="AD514" s="182">
        <f t="shared" si="215"/>
        <v>0</v>
      </c>
      <c r="AE514" s="182">
        <f t="shared" si="216"/>
        <v>1</v>
      </c>
      <c r="AF514" s="182">
        <f t="shared" si="217"/>
        <v>0</v>
      </c>
      <c r="AG514" s="182">
        <f t="shared" si="218"/>
        <v>0</v>
      </c>
      <c r="AH514" s="182">
        <f t="shared" si="219"/>
        <v>0</v>
      </c>
      <c r="AI514" s="182">
        <f t="shared" si="220"/>
        <v>0</v>
      </c>
      <c r="AJ514" s="182">
        <f t="shared" si="221"/>
        <v>0</v>
      </c>
      <c r="AK514" s="182">
        <f t="shared" si="222"/>
        <v>0</v>
      </c>
      <c r="AL514" s="182">
        <f t="shared" si="223"/>
        <v>1</v>
      </c>
      <c r="AM514" s="182">
        <f t="shared" si="224"/>
        <v>0</v>
      </c>
      <c r="AN514" s="182">
        <f t="shared" si="225"/>
        <v>0</v>
      </c>
      <c r="AO514" s="182">
        <f t="shared" si="226"/>
        <v>0</v>
      </c>
      <c r="AP514" s="110"/>
      <c r="AQ514" s="110"/>
      <c r="AR514" s="182">
        <f t="shared" si="227"/>
        <v>3</v>
      </c>
      <c r="AS514" s="182">
        <f t="shared" si="228"/>
        <v>3</v>
      </c>
      <c r="AT514" s="182" t="str">
        <f t="shared" si="229"/>
        <v>Correct</v>
      </c>
      <c r="AU514" s="142"/>
      <c r="AV514" s="120" t="str">
        <f>IFERROR(VLOOKUP(Table1[RespondentID],'All Data'!$A$3:$CO$999,87,FALSE),"unknown")</f>
        <v>Woman</v>
      </c>
      <c r="AW514" s="120">
        <f>IFERROR(VLOOKUP(Table1[RespondentID],'All Data'!$A$3:$CO$999,88,FALSE),"unknown")</f>
        <v>49</v>
      </c>
      <c r="AX514" s="120" t="str">
        <f>IFERROR(VLOOKUP(Table1[RespondentID],'All Data'!$A$3:$CO$999,89,FALSE),"unknown")</f>
        <v>Suffolk</v>
      </c>
      <c r="AY514" s="120" t="str">
        <f>IFERROR(VLOOKUP(Table1[RespondentID],'All Data'!$A$3:$CO$999,90,FALSE),"unknown")</f>
        <v>Lake Ronkonkoma, 11779</v>
      </c>
      <c r="AZ514" s="120" t="str">
        <f>IFERROR(VLOOKUP(Table1[RespondentID],'All Data'!$A$3:$CO$999,91,FALSE),"unknown")</f>
        <v>White</v>
      </c>
      <c r="BA514" s="120" t="str">
        <f>IFERROR(VLOOKUP(Table1[RespondentID],'All Data'!$A$3:$CO$999,92,FALSE),"unknown")</f>
        <v>Not Hispanic or Latino</v>
      </c>
      <c r="BB514" s="120" t="str">
        <f>IFERROR(VLOOKUP(Table1[RespondentID],'All Data'!$A$3:$CO$999,93,FALSE),"unknown")</f>
        <v>English</v>
      </c>
      <c r="BC514" s="120" t="str">
        <f>IFERROR(VLOOKUP(Table1[RespondentID],'All Data'!$A$3:$CW$999,94,FALSE),"unknown")</f>
        <v>Over $125,000</v>
      </c>
      <c r="BD514" s="120" t="str">
        <f>IFERROR(VLOOKUP(Table1[RespondentID],'All Data'!$A$3:$CW$999,95,FALSE),"unknown")</f>
        <v>College graduate</v>
      </c>
      <c r="BE514" s="120" t="str">
        <f>IFERROR(VLOOKUP(Table1[RespondentID],'All Data'!$A$3:$CW$999,96,FALSE),"unknown")</f>
        <v>Employed for wages</v>
      </c>
      <c r="BF514" s="120" t="str">
        <f>IFERROR(VLOOKUP(Table1[RespondentID],'All Data'!$A$3:$CW$999,97,FALSE),"unknown")</f>
        <v>Yes</v>
      </c>
      <c r="BG514" s="120" t="str">
        <f>IFERROR(VLOOKUP(Table1[RespondentID],'All Data'!$A$3:$CW$999,98,FALSE),"unknown")</f>
        <v>Private/Commercial</v>
      </c>
      <c r="BH514" s="120" t="str">
        <f>IFERROR(VLOOKUP(Table1[RespondentID],'All Data'!$A$3:$CW$999,99,FALSE),"unknown")</f>
        <v>Yes</v>
      </c>
    </row>
    <row r="515" spans="1:60">
      <c r="A515" s="141">
        <v>18026539753</v>
      </c>
      <c r="B515" s="180"/>
      <c r="C515" s="181"/>
      <c r="D515" s="181" t="s">
        <v>51</v>
      </c>
      <c r="E515" s="181"/>
      <c r="F515" s="181"/>
      <c r="G515" s="181"/>
      <c r="H515" s="181" t="s">
        <v>54</v>
      </c>
      <c r="I515" s="181"/>
      <c r="J515" s="181"/>
      <c r="K515" s="181" t="s">
        <v>57</v>
      </c>
      <c r="L515" s="181"/>
      <c r="M515" s="181"/>
      <c r="N515" s="181"/>
      <c r="O515" s="181"/>
      <c r="P515" s="181"/>
      <c r="Q515" s="181"/>
      <c r="R515" s="181"/>
      <c r="S515" s="181"/>
      <c r="T515" s="184"/>
      <c r="U515" s="182">
        <f t="shared" si="207"/>
        <v>3</v>
      </c>
      <c r="V515" s="182">
        <f t="shared" si="208"/>
        <v>1</v>
      </c>
      <c r="W515" s="110"/>
      <c r="X515" s="182">
        <f t="shared" si="209"/>
        <v>0</v>
      </c>
      <c r="Y515" s="182">
        <f t="shared" si="210"/>
        <v>0</v>
      </c>
      <c r="Z515" s="182">
        <f t="shared" si="211"/>
        <v>1</v>
      </c>
      <c r="AA515" s="182">
        <f t="shared" si="212"/>
        <v>0</v>
      </c>
      <c r="AB515" s="182">
        <f t="shared" si="213"/>
        <v>0</v>
      </c>
      <c r="AC515" s="182">
        <f t="shared" si="214"/>
        <v>0</v>
      </c>
      <c r="AD515" s="182">
        <f t="shared" si="215"/>
        <v>1</v>
      </c>
      <c r="AE515" s="182">
        <f t="shared" si="216"/>
        <v>0</v>
      </c>
      <c r="AF515" s="182">
        <f t="shared" si="217"/>
        <v>0</v>
      </c>
      <c r="AG515" s="182">
        <f t="shared" si="218"/>
        <v>1</v>
      </c>
      <c r="AH515" s="182">
        <f t="shared" si="219"/>
        <v>0</v>
      </c>
      <c r="AI515" s="182">
        <f t="shared" si="220"/>
        <v>0</v>
      </c>
      <c r="AJ515" s="182">
        <f t="shared" si="221"/>
        <v>0</v>
      </c>
      <c r="AK515" s="182">
        <f t="shared" si="222"/>
        <v>0</v>
      </c>
      <c r="AL515" s="182">
        <f t="shared" si="223"/>
        <v>0</v>
      </c>
      <c r="AM515" s="182">
        <f t="shared" si="224"/>
        <v>0</v>
      </c>
      <c r="AN515" s="182">
        <f t="shared" si="225"/>
        <v>0</v>
      </c>
      <c r="AO515" s="182">
        <f t="shared" si="226"/>
        <v>0</v>
      </c>
      <c r="AP515" s="110"/>
      <c r="AQ515" s="110"/>
      <c r="AR515" s="182">
        <f t="shared" si="227"/>
        <v>3</v>
      </c>
      <c r="AS515" s="182">
        <f t="shared" si="228"/>
        <v>3</v>
      </c>
      <c r="AT515" s="182" t="str">
        <f t="shared" si="229"/>
        <v>Correct</v>
      </c>
      <c r="AU515" s="142"/>
      <c r="AV515" s="120" t="str">
        <f>IFERROR(VLOOKUP(Table1[RespondentID],'All Data'!$A$3:$CO$999,87,FALSE),"unknown")</f>
        <v>Woman</v>
      </c>
      <c r="AW515" s="120">
        <f>IFERROR(VLOOKUP(Table1[RespondentID],'All Data'!$A$3:$CO$999,88,FALSE),"unknown")</f>
        <v>30</v>
      </c>
      <c r="AX515" s="120" t="str">
        <f>IFERROR(VLOOKUP(Table1[RespondentID],'All Data'!$A$3:$CO$999,89,FALSE),"unknown")</f>
        <v>Suffolk</v>
      </c>
      <c r="AY515" s="120" t="str">
        <f>IFERROR(VLOOKUP(Table1[RespondentID],'All Data'!$A$3:$CO$999,90,FALSE),"unknown")</f>
        <v>East Islip, 11730</v>
      </c>
      <c r="AZ515" s="120" t="str">
        <f>IFERROR(VLOOKUP(Table1[RespondentID],'All Data'!$A$3:$CO$999,91,FALSE),"unknown")</f>
        <v>White</v>
      </c>
      <c r="BA515" s="120" t="str">
        <f>IFERROR(VLOOKUP(Table1[RespondentID],'All Data'!$A$3:$CO$999,92,FALSE),"unknown")</f>
        <v>Not Hispanic or Latino</v>
      </c>
      <c r="BB515" s="120" t="str">
        <f>IFERROR(VLOOKUP(Table1[RespondentID],'All Data'!$A$3:$CO$999,93,FALSE),"unknown")</f>
        <v>English</v>
      </c>
      <c r="BC515" s="120" t="str">
        <f>IFERROR(VLOOKUP(Table1[RespondentID],'All Data'!$A$3:$CW$999,94,FALSE),"unknown")</f>
        <v>$75,000 to $125,000</v>
      </c>
      <c r="BD515" s="120" t="str">
        <f>IFERROR(VLOOKUP(Table1[RespondentID],'All Data'!$A$3:$CW$999,95,FALSE),"unknown")</f>
        <v>College graduate</v>
      </c>
      <c r="BE515" s="120" t="str">
        <f>IFERROR(VLOOKUP(Table1[RespondentID],'All Data'!$A$3:$CW$999,96,FALSE),"unknown")</f>
        <v>Employed for wages</v>
      </c>
      <c r="BF515" s="120" t="str">
        <f>IFERROR(VLOOKUP(Table1[RespondentID],'All Data'!$A$3:$CW$999,97,FALSE),"unknown")</f>
        <v>Yes</v>
      </c>
      <c r="BG515" s="120" t="str">
        <f>IFERROR(VLOOKUP(Table1[RespondentID],'All Data'!$A$3:$CW$999,98,FALSE),"unknown")</f>
        <v>Private/Commercial</v>
      </c>
      <c r="BH515" s="120" t="str">
        <f>IFERROR(VLOOKUP(Table1[RespondentID],'All Data'!$A$3:$CW$999,99,FALSE),"unknown")</f>
        <v>Yes</v>
      </c>
    </row>
    <row r="516" spans="1:60">
      <c r="A516" s="141">
        <v>18026486994</v>
      </c>
      <c r="B516" s="180" t="s">
        <v>49</v>
      </c>
      <c r="C516" s="181"/>
      <c r="D516" s="181" t="s">
        <v>51</v>
      </c>
      <c r="E516" s="181"/>
      <c r="F516" s="181"/>
      <c r="G516" s="181"/>
      <c r="H516" s="181"/>
      <c r="I516" s="181"/>
      <c r="J516" s="181"/>
      <c r="K516" s="181" t="s">
        <v>57</v>
      </c>
      <c r="L516" s="181"/>
      <c r="M516" s="181"/>
      <c r="N516" s="181"/>
      <c r="O516" s="181"/>
      <c r="P516" s="181"/>
      <c r="Q516" s="181"/>
      <c r="R516" s="181"/>
      <c r="S516" s="181"/>
      <c r="T516" s="184"/>
      <c r="U516" s="182">
        <f t="shared" si="207"/>
        <v>3</v>
      </c>
      <c r="V516" s="182">
        <f t="shared" si="208"/>
        <v>1</v>
      </c>
      <c r="W516" s="110"/>
      <c r="X516" s="182">
        <f t="shared" si="209"/>
        <v>1</v>
      </c>
      <c r="Y516" s="182">
        <f t="shared" si="210"/>
        <v>0</v>
      </c>
      <c r="Z516" s="182">
        <f t="shared" si="211"/>
        <v>1</v>
      </c>
      <c r="AA516" s="182">
        <f t="shared" si="212"/>
        <v>0</v>
      </c>
      <c r="AB516" s="182">
        <f t="shared" si="213"/>
        <v>0</v>
      </c>
      <c r="AC516" s="182">
        <f t="shared" si="214"/>
        <v>0</v>
      </c>
      <c r="AD516" s="182">
        <f t="shared" si="215"/>
        <v>0</v>
      </c>
      <c r="AE516" s="182">
        <f t="shared" si="216"/>
        <v>0</v>
      </c>
      <c r="AF516" s="182">
        <f t="shared" si="217"/>
        <v>0</v>
      </c>
      <c r="AG516" s="182">
        <f t="shared" si="218"/>
        <v>1</v>
      </c>
      <c r="AH516" s="182">
        <f t="shared" si="219"/>
        <v>0</v>
      </c>
      <c r="AI516" s="182">
        <f t="shared" si="220"/>
        <v>0</v>
      </c>
      <c r="AJ516" s="182">
        <f t="shared" si="221"/>
        <v>0</v>
      </c>
      <c r="AK516" s="182">
        <f t="shared" si="222"/>
        <v>0</v>
      </c>
      <c r="AL516" s="182">
        <f t="shared" si="223"/>
        <v>0</v>
      </c>
      <c r="AM516" s="182">
        <f t="shared" si="224"/>
        <v>0</v>
      </c>
      <c r="AN516" s="182">
        <f t="shared" si="225"/>
        <v>0</v>
      </c>
      <c r="AO516" s="182">
        <f t="shared" si="226"/>
        <v>0</v>
      </c>
      <c r="AP516" s="110"/>
      <c r="AQ516" s="110"/>
      <c r="AR516" s="182">
        <f t="shared" si="227"/>
        <v>3</v>
      </c>
      <c r="AS516" s="182">
        <f t="shared" si="228"/>
        <v>3</v>
      </c>
      <c r="AT516" s="182" t="str">
        <f t="shared" si="229"/>
        <v>Correct</v>
      </c>
      <c r="AU516" s="142"/>
      <c r="AV516" s="120" t="str">
        <f>IFERROR(VLOOKUP(Table1[RespondentID],'All Data'!$A$3:$CO$999,87,FALSE),"unknown")</f>
        <v>Woman</v>
      </c>
      <c r="AW516" s="120">
        <f>IFERROR(VLOOKUP(Table1[RespondentID],'All Data'!$A$3:$CO$999,88,FALSE),"unknown")</f>
        <v>64</v>
      </c>
      <c r="AX516" s="120" t="str">
        <f>IFERROR(VLOOKUP(Table1[RespondentID],'All Data'!$A$3:$CO$999,89,FALSE),"unknown")</f>
        <v>Nassau</v>
      </c>
      <c r="AY516" s="120" t="str">
        <f>IFERROR(VLOOKUP(Table1[RespondentID],'All Data'!$A$3:$CO$999,90,FALSE),"unknown")</f>
        <v>Westbury, 11590</v>
      </c>
      <c r="AZ516" s="120" t="str">
        <f>IFERROR(VLOOKUP(Table1[RespondentID],'All Data'!$A$3:$CO$999,91,FALSE),"unknown")</f>
        <v>White</v>
      </c>
      <c r="BA516" s="120" t="str">
        <f>IFERROR(VLOOKUP(Table1[RespondentID],'All Data'!$A$3:$CO$999,92,FALSE),"unknown")</f>
        <v>Not Hispanic or Latino</v>
      </c>
      <c r="BB516" s="120" t="str">
        <f>IFERROR(VLOOKUP(Table1[RespondentID],'All Data'!$A$3:$CO$999,93,FALSE),"unknown")</f>
        <v>English</v>
      </c>
      <c r="BC516" s="120" t="str">
        <f>IFERROR(VLOOKUP(Table1[RespondentID],'All Data'!$A$3:$CW$999,94,FALSE),"unknown")</f>
        <v>Over $125,000</v>
      </c>
      <c r="BD516" s="120" t="str">
        <f>IFERROR(VLOOKUP(Table1[RespondentID],'All Data'!$A$3:$CW$999,95,FALSE),"unknown")</f>
        <v>College graduate</v>
      </c>
      <c r="BE516" s="120" t="str">
        <f>IFERROR(VLOOKUP(Table1[RespondentID],'All Data'!$A$3:$CW$999,96,FALSE),"unknown")</f>
        <v>Retired</v>
      </c>
      <c r="BF516" s="120" t="str">
        <f>IFERROR(VLOOKUP(Table1[RespondentID],'All Data'!$A$3:$CW$999,97,FALSE),"unknown")</f>
        <v>Yes</v>
      </c>
      <c r="BG516" s="120" t="str">
        <f>IFERROR(VLOOKUP(Table1[RespondentID],'All Data'!$A$3:$CW$999,98,FALSE),"unknown")</f>
        <v>Private/Commercial</v>
      </c>
      <c r="BH516" s="120" t="str">
        <f>IFERROR(VLOOKUP(Table1[RespondentID],'All Data'!$A$3:$CW$999,99,FALSE),"unknown")</f>
        <v>Yes</v>
      </c>
    </row>
    <row r="517" spans="1:60">
      <c r="A517" s="141">
        <v>18026481858</v>
      </c>
      <c r="B517" s="180"/>
      <c r="C517" s="181"/>
      <c r="D517" s="181"/>
      <c r="E517" s="181"/>
      <c r="F517" s="181" t="s">
        <v>52</v>
      </c>
      <c r="G517" s="181"/>
      <c r="H517" s="181"/>
      <c r="I517" s="181"/>
      <c r="J517" s="181"/>
      <c r="K517" s="181"/>
      <c r="L517" s="181"/>
      <c r="M517" s="181"/>
      <c r="N517" s="181"/>
      <c r="O517" s="181"/>
      <c r="P517" s="181" t="s">
        <v>60</v>
      </c>
      <c r="Q517" s="181"/>
      <c r="R517" s="181" t="s">
        <v>62</v>
      </c>
      <c r="S517" s="181"/>
      <c r="T517" s="184"/>
      <c r="U517" s="182">
        <f t="shared" si="207"/>
        <v>3</v>
      </c>
      <c r="V517" s="182">
        <f t="shared" si="208"/>
        <v>1</v>
      </c>
      <c r="W517" s="110"/>
      <c r="X517" s="182">
        <f t="shared" si="209"/>
        <v>0</v>
      </c>
      <c r="Y517" s="182">
        <f t="shared" si="210"/>
        <v>0</v>
      </c>
      <c r="Z517" s="182">
        <f t="shared" si="211"/>
        <v>0</v>
      </c>
      <c r="AA517" s="182">
        <f t="shared" si="212"/>
        <v>0</v>
      </c>
      <c r="AB517" s="182">
        <f t="shared" si="213"/>
        <v>1</v>
      </c>
      <c r="AC517" s="182">
        <f t="shared" si="214"/>
        <v>0</v>
      </c>
      <c r="AD517" s="182">
        <f t="shared" si="215"/>
        <v>0</v>
      </c>
      <c r="AE517" s="182">
        <f t="shared" si="216"/>
        <v>0</v>
      </c>
      <c r="AF517" s="182">
        <f t="shared" si="217"/>
        <v>0</v>
      </c>
      <c r="AG517" s="182">
        <f t="shared" si="218"/>
        <v>0</v>
      </c>
      <c r="AH517" s="182">
        <f t="shared" si="219"/>
        <v>0</v>
      </c>
      <c r="AI517" s="182">
        <f t="shared" si="220"/>
        <v>0</v>
      </c>
      <c r="AJ517" s="182">
        <f t="shared" si="221"/>
        <v>0</v>
      </c>
      <c r="AK517" s="182">
        <f t="shared" si="222"/>
        <v>0</v>
      </c>
      <c r="AL517" s="182">
        <f t="shared" si="223"/>
        <v>1</v>
      </c>
      <c r="AM517" s="182">
        <f t="shared" si="224"/>
        <v>0</v>
      </c>
      <c r="AN517" s="182">
        <f t="shared" si="225"/>
        <v>1</v>
      </c>
      <c r="AO517" s="182">
        <f t="shared" si="226"/>
        <v>0</v>
      </c>
      <c r="AP517" s="110"/>
      <c r="AQ517" s="110"/>
      <c r="AR517" s="182">
        <f t="shared" si="227"/>
        <v>3</v>
      </c>
      <c r="AS517" s="182">
        <f t="shared" si="228"/>
        <v>3</v>
      </c>
      <c r="AT517" s="182" t="str">
        <f t="shared" si="229"/>
        <v>Correct</v>
      </c>
      <c r="AU517" s="142"/>
      <c r="AV517" s="120" t="str">
        <f>IFERROR(VLOOKUP(Table1[RespondentID],'All Data'!$A$3:$CO$999,87,FALSE),"unknown")</f>
        <v>Man</v>
      </c>
      <c r="AW517" s="120">
        <f>IFERROR(VLOOKUP(Table1[RespondentID],'All Data'!$A$3:$CO$999,88,FALSE),"unknown")</f>
        <v>37</v>
      </c>
      <c r="AX517" s="120" t="str">
        <f>IFERROR(VLOOKUP(Table1[RespondentID],'All Data'!$A$3:$CO$999,89,FALSE),"unknown")</f>
        <v>Suffolk</v>
      </c>
      <c r="AY517" s="120" t="str">
        <f>IFERROR(VLOOKUP(Table1[RespondentID],'All Data'!$A$3:$CO$999,90,FALSE),"unknown")</f>
        <v>Stony Brook, 11790</v>
      </c>
      <c r="AZ517" s="120" t="str">
        <f>IFERROR(VLOOKUP(Table1[RespondentID],'All Data'!$A$3:$CO$999,91,FALSE),"unknown")</f>
        <v>White</v>
      </c>
      <c r="BA517" s="120" t="str">
        <f>IFERROR(VLOOKUP(Table1[RespondentID],'All Data'!$A$3:$CO$999,92,FALSE),"unknown")</f>
        <v>Not Hispanic or Latino</v>
      </c>
      <c r="BB517" s="120">
        <f>IFERROR(VLOOKUP(Table1[RespondentID],'All Data'!$A$3:$CO$999,93,FALSE),"unknown")</f>
        <v>0</v>
      </c>
      <c r="BC517" s="120" t="str">
        <f>IFERROR(VLOOKUP(Table1[RespondentID],'All Data'!$A$3:$CW$999,94,FALSE),"unknown")</f>
        <v>$20,000 to $34,999</v>
      </c>
      <c r="BD517" s="120" t="str">
        <f>IFERROR(VLOOKUP(Table1[RespondentID],'All Data'!$A$3:$CW$999,95,FALSE),"unknown")</f>
        <v>College graduate</v>
      </c>
      <c r="BE517" s="120" t="str">
        <f>IFERROR(VLOOKUP(Table1[RespondentID],'All Data'!$A$3:$CW$999,96,FALSE),"unknown")</f>
        <v>Out of work and looking for work</v>
      </c>
      <c r="BF517" s="120" t="str">
        <f>IFERROR(VLOOKUP(Table1[RespondentID],'All Data'!$A$3:$CW$999,97,FALSE),"unknown")</f>
        <v>Yes</v>
      </c>
      <c r="BG517" s="120" t="str">
        <f>IFERROR(VLOOKUP(Table1[RespondentID],'All Data'!$A$3:$CW$999,98,FALSE),"unknown")</f>
        <v>Medicaid,Medicare</v>
      </c>
      <c r="BH517" s="120" t="str">
        <f>IFERROR(VLOOKUP(Table1[RespondentID],'All Data'!$A$3:$CW$999,99,FALSE),"unknown")</f>
        <v>Yes</v>
      </c>
    </row>
    <row r="518" spans="1:60">
      <c r="A518" s="141">
        <v>18026458777</v>
      </c>
      <c r="B518" s="180"/>
      <c r="C518" s="181"/>
      <c r="D518" s="181" t="s">
        <v>51</v>
      </c>
      <c r="E518" s="181" t="s">
        <v>17</v>
      </c>
      <c r="F518" s="181"/>
      <c r="G518" s="181"/>
      <c r="H518" s="181"/>
      <c r="I518" s="181"/>
      <c r="J518" s="181"/>
      <c r="K518" s="181" t="s">
        <v>57</v>
      </c>
      <c r="L518" s="181"/>
      <c r="M518" s="181"/>
      <c r="N518" s="181"/>
      <c r="O518" s="181"/>
      <c r="P518" s="181"/>
      <c r="Q518" s="181"/>
      <c r="R518" s="181"/>
      <c r="S518" s="181"/>
      <c r="T518" s="184"/>
      <c r="U518" s="182">
        <f t="shared" si="207"/>
        <v>3</v>
      </c>
      <c r="V518" s="182">
        <f t="shared" si="208"/>
        <v>1</v>
      </c>
      <c r="W518" s="110"/>
      <c r="X518" s="182">
        <f t="shared" si="209"/>
        <v>0</v>
      </c>
      <c r="Y518" s="182">
        <f t="shared" si="210"/>
        <v>0</v>
      </c>
      <c r="Z518" s="182">
        <f t="shared" si="211"/>
        <v>1</v>
      </c>
      <c r="AA518" s="182">
        <f t="shared" si="212"/>
        <v>1</v>
      </c>
      <c r="AB518" s="182">
        <f t="shared" si="213"/>
        <v>0</v>
      </c>
      <c r="AC518" s="182">
        <f t="shared" si="214"/>
        <v>0</v>
      </c>
      <c r="AD518" s="182">
        <f t="shared" si="215"/>
        <v>0</v>
      </c>
      <c r="AE518" s="182">
        <f t="shared" si="216"/>
        <v>0</v>
      </c>
      <c r="AF518" s="182">
        <f t="shared" si="217"/>
        <v>0</v>
      </c>
      <c r="AG518" s="182">
        <f t="shared" si="218"/>
        <v>1</v>
      </c>
      <c r="AH518" s="182">
        <f t="shared" si="219"/>
        <v>0</v>
      </c>
      <c r="AI518" s="182">
        <f t="shared" si="220"/>
        <v>0</v>
      </c>
      <c r="AJ518" s="182">
        <f t="shared" si="221"/>
        <v>0</v>
      </c>
      <c r="AK518" s="182">
        <f t="shared" si="222"/>
        <v>0</v>
      </c>
      <c r="AL518" s="182">
        <f t="shared" si="223"/>
        <v>0</v>
      </c>
      <c r="AM518" s="182">
        <f t="shared" si="224"/>
        <v>0</v>
      </c>
      <c r="AN518" s="182">
        <f t="shared" si="225"/>
        <v>0</v>
      </c>
      <c r="AO518" s="182">
        <f t="shared" si="226"/>
        <v>0</v>
      </c>
      <c r="AP518" s="110"/>
      <c r="AQ518" s="110"/>
      <c r="AR518" s="182">
        <f t="shared" si="227"/>
        <v>3</v>
      </c>
      <c r="AS518" s="182">
        <f t="shared" si="228"/>
        <v>3</v>
      </c>
      <c r="AT518" s="182" t="str">
        <f t="shared" si="229"/>
        <v>Correct</v>
      </c>
      <c r="AU518" s="142"/>
      <c r="AV518" s="120" t="str">
        <f>IFERROR(VLOOKUP(Table1[RespondentID],'All Data'!$A$3:$CO$999,87,FALSE),"unknown")</f>
        <v>Woman</v>
      </c>
      <c r="AW518" s="120">
        <f>IFERROR(VLOOKUP(Table1[RespondentID],'All Data'!$A$3:$CO$999,88,FALSE),"unknown")</f>
        <v>55</v>
      </c>
      <c r="AX518" s="120" t="str">
        <f>IFERROR(VLOOKUP(Table1[RespondentID],'All Data'!$A$3:$CO$999,89,FALSE),"unknown")</f>
        <v>Suffolk</v>
      </c>
      <c r="AY518" s="120" t="str">
        <f>IFERROR(VLOOKUP(Table1[RespondentID],'All Data'!$A$3:$CO$999,90,FALSE),"unknown")</f>
        <v>Port Jefferson Station, 11776</v>
      </c>
      <c r="AZ518" s="120" t="str">
        <f>IFERROR(VLOOKUP(Table1[RespondentID],'All Data'!$A$3:$CO$999,91,FALSE),"unknown")</f>
        <v>White</v>
      </c>
      <c r="BA518" s="120" t="str">
        <f>IFERROR(VLOOKUP(Table1[RespondentID],'All Data'!$A$3:$CO$999,92,FALSE),"unknown")</f>
        <v>Not Hispanic or Latino</v>
      </c>
      <c r="BB518" s="120" t="str">
        <f>IFERROR(VLOOKUP(Table1[RespondentID],'All Data'!$A$3:$CO$999,93,FALSE),"unknown")</f>
        <v>English</v>
      </c>
      <c r="BC518" s="120" t="str">
        <f>IFERROR(VLOOKUP(Table1[RespondentID],'All Data'!$A$3:$CW$999,94,FALSE),"unknown")</f>
        <v>Over $125,000</v>
      </c>
      <c r="BD518" s="120" t="str">
        <f>IFERROR(VLOOKUP(Table1[RespondentID],'All Data'!$A$3:$CW$999,95,FALSE),"unknown")</f>
        <v>Graduate school</v>
      </c>
      <c r="BE518" s="120" t="str">
        <f>IFERROR(VLOOKUP(Table1[RespondentID],'All Data'!$A$3:$CW$999,96,FALSE),"unknown")</f>
        <v>Employed for wages</v>
      </c>
      <c r="BF518" s="120" t="str">
        <f>IFERROR(VLOOKUP(Table1[RespondentID],'All Data'!$A$3:$CW$999,97,FALSE),"unknown")</f>
        <v>Yes</v>
      </c>
      <c r="BG518" s="120" t="str">
        <f>IFERROR(VLOOKUP(Table1[RespondentID],'All Data'!$A$3:$CW$999,98,FALSE),"unknown")</f>
        <v>Private/Commercial</v>
      </c>
      <c r="BH518" s="120" t="str">
        <f>IFERROR(VLOOKUP(Table1[RespondentID],'All Data'!$A$3:$CW$999,99,FALSE),"unknown")</f>
        <v>Yes</v>
      </c>
    </row>
    <row r="519" spans="1:60">
      <c r="A519" s="141">
        <v>18031750233</v>
      </c>
      <c r="B519" s="180"/>
      <c r="C519" s="181"/>
      <c r="D519" s="181"/>
      <c r="E519" s="181"/>
      <c r="F519" s="181"/>
      <c r="G519" s="181" t="s">
        <v>53</v>
      </c>
      <c r="H519" s="181"/>
      <c r="I519" s="181"/>
      <c r="J519" s="181"/>
      <c r="K519" s="181"/>
      <c r="L519" s="181"/>
      <c r="M519" s="181"/>
      <c r="N519" s="181"/>
      <c r="O519" s="181"/>
      <c r="P519" s="181"/>
      <c r="Q519" s="181" t="s">
        <v>61</v>
      </c>
      <c r="R519" s="181"/>
      <c r="S519" s="181" t="s">
        <v>63</v>
      </c>
      <c r="T519" s="184"/>
      <c r="U519" s="182">
        <f t="shared" si="207"/>
        <v>3</v>
      </c>
      <c r="V519" s="182">
        <f t="shared" si="208"/>
        <v>1</v>
      </c>
      <c r="W519" s="110"/>
      <c r="X519" s="182">
        <f t="shared" si="209"/>
        <v>0</v>
      </c>
      <c r="Y519" s="182">
        <f t="shared" si="210"/>
        <v>0</v>
      </c>
      <c r="Z519" s="182">
        <f t="shared" si="211"/>
        <v>0</v>
      </c>
      <c r="AA519" s="182">
        <f t="shared" si="212"/>
        <v>0</v>
      </c>
      <c r="AB519" s="182">
        <f t="shared" si="213"/>
        <v>0</v>
      </c>
      <c r="AC519" s="182">
        <f t="shared" si="214"/>
        <v>1</v>
      </c>
      <c r="AD519" s="182">
        <f t="shared" si="215"/>
        <v>0</v>
      </c>
      <c r="AE519" s="182">
        <f t="shared" si="216"/>
        <v>0</v>
      </c>
      <c r="AF519" s="182">
        <f t="shared" si="217"/>
        <v>0</v>
      </c>
      <c r="AG519" s="182">
        <f t="shared" si="218"/>
        <v>0</v>
      </c>
      <c r="AH519" s="182">
        <f t="shared" si="219"/>
        <v>0</v>
      </c>
      <c r="AI519" s="182">
        <f t="shared" si="220"/>
        <v>0</v>
      </c>
      <c r="AJ519" s="182">
        <f t="shared" si="221"/>
        <v>0</v>
      </c>
      <c r="AK519" s="182">
        <f t="shared" si="222"/>
        <v>0</v>
      </c>
      <c r="AL519" s="182">
        <f t="shared" si="223"/>
        <v>0</v>
      </c>
      <c r="AM519" s="182">
        <f t="shared" si="224"/>
        <v>1</v>
      </c>
      <c r="AN519" s="182">
        <f t="shared" si="225"/>
        <v>0</v>
      </c>
      <c r="AO519" s="182">
        <f t="shared" si="226"/>
        <v>1</v>
      </c>
      <c r="AP519" s="110"/>
      <c r="AQ519" s="110"/>
      <c r="AR519" s="182">
        <f t="shared" si="227"/>
        <v>3</v>
      </c>
      <c r="AS519" s="182">
        <f t="shared" si="228"/>
        <v>3</v>
      </c>
      <c r="AT519" s="182" t="str">
        <f t="shared" si="229"/>
        <v>Correct</v>
      </c>
      <c r="AU519" s="142"/>
      <c r="AV519" s="120" t="str">
        <f>IFERROR(VLOOKUP(Table1[RespondentID],'All Data'!$A$3:$CO$999,87,FALSE),"unknown")</f>
        <v>Woman</v>
      </c>
      <c r="AW519" s="120">
        <f>IFERROR(VLOOKUP(Table1[RespondentID],'All Data'!$A$3:$CO$999,88,FALSE),"unknown")</f>
        <v>37</v>
      </c>
      <c r="AX519" s="120" t="str">
        <f>IFERROR(VLOOKUP(Table1[RespondentID],'All Data'!$A$3:$CO$999,89,FALSE),"unknown")</f>
        <v>Suffolk</v>
      </c>
      <c r="AY519" s="120" t="str">
        <f>IFERROR(VLOOKUP(Table1[RespondentID],'All Data'!$A$3:$CO$999,90,FALSE),"unknown")</f>
        <v>Huntington, 11743</v>
      </c>
      <c r="AZ519" s="120">
        <f>IFERROR(VLOOKUP(Table1[RespondentID],'All Data'!$A$3:$CO$999,91,FALSE),"unknown")</f>
        <v>0</v>
      </c>
      <c r="BA519" s="120" t="str">
        <f>IFERROR(VLOOKUP(Table1[RespondentID],'All Data'!$A$3:$CO$999,92,FALSE),"unknown")</f>
        <v>Hispanic or Latino</v>
      </c>
      <c r="BB519" s="120" t="str">
        <f>IFERROR(VLOOKUP(Table1[RespondentID],'All Data'!$A$3:$CO$999,93,FALSE),"unknown")</f>
        <v>Spanish</v>
      </c>
      <c r="BC519" s="120" t="str">
        <f>IFERROR(VLOOKUP(Table1[RespondentID],'All Data'!$A$3:$CW$999,94,FALSE),"unknown")</f>
        <v>$20,000 to $34,999</v>
      </c>
      <c r="BD519" s="120" t="str">
        <f>IFERROR(VLOOKUP(Table1[RespondentID],'All Data'!$A$3:$CW$999,95,FALSE),"unknown")</f>
        <v>K-8 grade</v>
      </c>
      <c r="BE519" s="120" t="str">
        <f>IFERROR(VLOOKUP(Table1[RespondentID],'All Data'!$A$3:$CW$999,96,FALSE),"unknown")</f>
        <v>Self-employed</v>
      </c>
      <c r="BF519" s="120" t="str">
        <f>IFERROR(VLOOKUP(Table1[RespondentID],'All Data'!$A$3:$CW$999,97,FALSE),"unknown")</f>
        <v>Yes</v>
      </c>
      <c r="BG519" s="120" t="str">
        <f>IFERROR(VLOOKUP(Table1[RespondentID],'All Data'!$A$3:$CW$999,98,FALSE),"unknown")</f>
        <v>Private/Commercial</v>
      </c>
      <c r="BH519" s="120" t="str">
        <f>IFERROR(VLOOKUP(Table1[RespondentID],'All Data'!$A$3:$CW$999,99,FALSE),"unknown")</f>
        <v>Yes</v>
      </c>
    </row>
    <row r="520" spans="1:60">
      <c r="A520" s="141">
        <v>18031750066</v>
      </c>
      <c r="B520" s="180" t="s">
        <v>49</v>
      </c>
      <c r="C520" s="181"/>
      <c r="D520" s="181"/>
      <c r="E520" s="181" t="s">
        <v>17</v>
      </c>
      <c r="F520" s="181"/>
      <c r="G520" s="181" t="s">
        <v>53</v>
      </c>
      <c r="H520" s="181" t="s">
        <v>54</v>
      </c>
      <c r="I520" s="181"/>
      <c r="J520" s="181"/>
      <c r="K520" s="181"/>
      <c r="L520" s="181"/>
      <c r="M520" s="181"/>
      <c r="N520" s="181" t="s">
        <v>24</v>
      </c>
      <c r="O520" s="181"/>
      <c r="P520" s="181" t="s">
        <v>60</v>
      </c>
      <c r="Q520" s="181"/>
      <c r="R520" s="181"/>
      <c r="S520" s="181"/>
      <c r="T520" s="184"/>
      <c r="U520" s="182">
        <f t="shared" si="207"/>
        <v>6</v>
      </c>
      <c r="V520" s="182">
        <f t="shared" si="208"/>
        <v>0.5</v>
      </c>
      <c r="W520" s="110"/>
      <c r="X520" s="182">
        <f t="shared" si="209"/>
        <v>0.5</v>
      </c>
      <c r="Y520" s="182">
        <f t="shared" si="210"/>
        <v>0</v>
      </c>
      <c r="Z520" s="182">
        <f t="shared" si="211"/>
        <v>0</v>
      </c>
      <c r="AA520" s="182">
        <f t="shared" si="212"/>
        <v>0.5</v>
      </c>
      <c r="AB520" s="182">
        <f t="shared" si="213"/>
        <v>0</v>
      </c>
      <c r="AC520" s="182">
        <f t="shared" si="214"/>
        <v>0.5</v>
      </c>
      <c r="AD520" s="182">
        <f t="shared" si="215"/>
        <v>0.5</v>
      </c>
      <c r="AE520" s="182">
        <f t="shared" si="216"/>
        <v>0</v>
      </c>
      <c r="AF520" s="182">
        <f t="shared" si="217"/>
        <v>0</v>
      </c>
      <c r="AG520" s="182">
        <f t="shared" si="218"/>
        <v>0</v>
      </c>
      <c r="AH520" s="182">
        <f t="shared" si="219"/>
        <v>0</v>
      </c>
      <c r="AI520" s="182">
        <f t="shared" si="220"/>
        <v>0</v>
      </c>
      <c r="AJ520" s="182">
        <f t="shared" si="221"/>
        <v>0.5</v>
      </c>
      <c r="AK520" s="182">
        <f t="shared" si="222"/>
        <v>0</v>
      </c>
      <c r="AL520" s="182">
        <f t="shared" si="223"/>
        <v>0.5</v>
      </c>
      <c r="AM520" s="182">
        <f t="shared" si="224"/>
        <v>0</v>
      </c>
      <c r="AN520" s="182">
        <f t="shared" si="225"/>
        <v>0</v>
      </c>
      <c r="AO520" s="182">
        <f t="shared" si="226"/>
        <v>0</v>
      </c>
      <c r="AP520" s="110"/>
      <c r="AQ520" s="110"/>
      <c r="AR520" s="182">
        <f t="shared" si="227"/>
        <v>3</v>
      </c>
      <c r="AS520" s="182">
        <f t="shared" si="228"/>
        <v>6</v>
      </c>
      <c r="AT520" s="182" t="str">
        <f t="shared" si="229"/>
        <v>Correct</v>
      </c>
      <c r="AU520" s="142"/>
      <c r="AV520" s="120" t="str">
        <f>IFERROR(VLOOKUP(Table1[RespondentID],'All Data'!$A$3:$CO$999,87,FALSE),"unknown")</f>
        <v>Man</v>
      </c>
      <c r="AW520" s="120">
        <f>IFERROR(VLOOKUP(Table1[RespondentID],'All Data'!$A$3:$CO$999,88,FALSE),"unknown")</f>
        <v>44</v>
      </c>
      <c r="AX520" s="120" t="str">
        <f>IFERROR(VLOOKUP(Table1[RespondentID],'All Data'!$A$3:$CO$999,89,FALSE),"unknown")</f>
        <v>Suffolk</v>
      </c>
      <c r="AY520" s="120" t="str">
        <f>IFERROR(VLOOKUP(Table1[RespondentID],'All Data'!$A$3:$CO$999,90,FALSE),"unknown")</f>
        <v>Huntington, 11743</v>
      </c>
      <c r="AZ520" s="120" t="str">
        <f>IFERROR(VLOOKUP(Table1[RespondentID],'All Data'!$A$3:$CO$999,91,FALSE),"unknown")</f>
        <v>White</v>
      </c>
      <c r="BA520" s="120" t="str">
        <f>IFERROR(VLOOKUP(Table1[RespondentID],'All Data'!$A$3:$CO$999,92,FALSE),"unknown")</f>
        <v>Hispanic or Latino</v>
      </c>
      <c r="BB520" s="120" t="str">
        <f>IFERROR(VLOOKUP(Table1[RespondentID],'All Data'!$A$3:$CO$999,93,FALSE),"unknown")</f>
        <v>Spanish</v>
      </c>
      <c r="BC520" s="120" t="str">
        <f>IFERROR(VLOOKUP(Table1[RespondentID],'All Data'!$A$3:$CW$999,94,FALSE),"unknown")</f>
        <v>$20,000 to $34,999</v>
      </c>
      <c r="BD520" s="120" t="str">
        <f>IFERROR(VLOOKUP(Table1[RespondentID],'All Data'!$A$3:$CW$999,95,FALSE),"unknown")</f>
        <v>Some high school</v>
      </c>
      <c r="BE520" s="120" t="str">
        <f>IFERROR(VLOOKUP(Table1[RespondentID],'All Data'!$A$3:$CW$999,96,FALSE),"unknown")</f>
        <v>Employed for wages</v>
      </c>
      <c r="BF520" s="120" t="str">
        <f>IFERROR(VLOOKUP(Table1[RespondentID],'All Data'!$A$3:$CW$999,97,FALSE),"unknown")</f>
        <v>No</v>
      </c>
      <c r="BG520" s="120" t="str">
        <f>IFERROR(VLOOKUP(Table1[RespondentID],'All Data'!$A$3:$CW$999,98,FALSE),"unknown")</f>
        <v>No Insurance</v>
      </c>
      <c r="BH520" s="120" t="str">
        <f>IFERROR(VLOOKUP(Table1[RespondentID],'All Data'!$A$3:$CW$999,99,FALSE),"unknown")</f>
        <v>Yes</v>
      </c>
    </row>
    <row r="521" spans="1:60">
      <c r="A521" s="141">
        <v>18031749313</v>
      </c>
      <c r="B521" s="180"/>
      <c r="C521" s="181"/>
      <c r="D521" s="181"/>
      <c r="E521" s="181" t="s">
        <v>17</v>
      </c>
      <c r="F521" s="181"/>
      <c r="G521" s="181"/>
      <c r="H521" s="181"/>
      <c r="I521" s="181"/>
      <c r="J521" s="181"/>
      <c r="K521" s="181"/>
      <c r="L521" s="181"/>
      <c r="M521" s="181"/>
      <c r="N521" s="181" t="s">
        <v>24</v>
      </c>
      <c r="O521" s="181"/>
      <c r="P521" s="181"/>
      <c r="Q521" s="181"/>
      <c r="R521" s="181"/>
      <c r="S521" s="181"/>
      <c r="T521" s="184"/>
      <c r="U521" s="182">
        <f t="shared" si="207"/>
        <v>2</v>
      </c>
      <c r="V521" s="182">
        <f t="shared" si="208"/>
        <v>1.5</v>
      </c>
      <c r="W521" s="110"/>
      <c r="X521" s="182">
        <f t="shared" si="209"/>
        <v>0</v>
      </c>
      <c r="Y521" s="182">
        <f t="shared" si="210"/>
        <v>0</v>
      </c>
      <c r="Z521" s="182">
        <f t="shared" si="211"/>
        <v>0</v>
      </c>
      <c r="AA521" s="182">
        <f t="shared" si="212"/>
        <v>1</v>
      </c>
      <c r="AB521" s="182">
        <f t="shared" si="213"/>
        <v>0</v>
      </c>
      <c r="AC521" s="182">
        <f t="shared" si="214"/>
        <v>0</v>
      </c>
      <c r="AD521" s="182">
        <f t="shared" si="215"/>
        <v>0</v>
      </c>
      <c r="AE521" s="182">
        <f t="shared" si="216"/>
        <v>0</v>
      </c>
      <c r="AF521" s="182">
        <f t="shared" si="217"/>
        <v>0</v>
      </c>
      <c r="AG521" s="182">
        <f t="shared" si="218"/>
        <v>0</v>
      </c>
      <c r="AH521" s="182">
        <f t="shared" si="219"/>
        <v>0</v>
      </c>
      <c r="AI521" s="182">
        <f t="shared" si="220"/>
        <v>0</v>
      </c>
      <c r="AJ521" s="182">
        <f t="shared" si="221"/>
        <v>1</v>
      </c>
      <c r="AK521" s="182">
        <f t="shared" si="222"/>
        <v>0</v>
      </c>
      <c r="AL521" s="182">
        <f t="shared" si="223"/>
        <v>0</v>
      </c>
      <c r="AM521" s="182">
        <f t="shared" si="224"/>
        <v>0</v>
      </c>
      <c r="AN521" s="182">
        <f t="shared" si="225"/>
        <v>0</v>
      </c>
      <c r="AO521" s="182">
        <f t="shared" si="226"/>
        <v>0</v>
      </c>
      <c r="AP521" s="110"/>
      <c r="AQ521" s="110"/>
      <c r="AR521" s="182">
        <f t="shared" si="227"/>
        <v>2</v>
      </c>
      <c r="AS521" s="182">
        <f t="shared" si="228"/>
        <v>2</v>
      </c>
      <c r="AT521" s="182" t="str">
        <f t="shared" si="229"/>
        <v>Correct</v>
      </c>
      <c r="AU521" s="142"/>
      <c r="AV521" s="120">
        <f>IFERROR(VLOOKUP(Table1[RespondentID],'All Data'!$A$3:$CO$999,87,FALSE),"unknown")</f>
        <v>0</v>
      </c>
      <c r="AW521" s="120">
        <f>IFERROR(VLOOKUP(Table1[RespondentID],'All Data'!$A$3:$CO$999,88,FALSE),"unknown")</f>
        <v>0</v>
      </c>
      <c r="AX521" s="120">
        <f>IFERROR(VLOOKUP(Table1[RespondentID],'All Data'!$A$3:$CO$999,89,FALSE),"unknown")</f>
        <v>0</v>
      </c>
      <c r="AY521" s="120">
        <f>IFERROR(VLOOKUP(Table1[RespondentID],'All Data'!$A$3:$CO$999,90,FALSE),"unknown")</f>
        <v>0</v>
      </c>
      <c r="AZ521" s="120">
        <f>IFERROR(VLOOKUP(Table1[RespondentID],'All Data'!$A$3:$CO$999,91,FALSE),"unknown")</f>
        <v>0</v>
      </c>
      <c r="BA521" s="120" t="str">
        <f>IFERROR(VLOOKUP(Table1[RespondentID],'All Data'!$A$3:$CO$999,92,FALSE),"unknown")</f>
        <v>Hispanic or Latino</v>
      </c>
      <c r="BB521" s="120" t="str">
        <f>IFERROR(VLOOKUP(Table1[RespondentID],'All Data'!$A$3:$CO$999,93,FALSE),"unknown")</f>
        <v>Spanish</v>
      </c>
      <c r="BC521" s="120" t="str">
        <f>IFERROR(VLOOKUP(Table1[RespondentID],'All Data'!$A$3:$CW$999,94,FALSE),"unknown")</f>
        <v>$20,000 to $34,999</v>
      </c>
      <c r="BD521" s="120" t="str">
        <f>IFERROR(VLOOKUP(Table1[RespondentID],'All Data'!$A$3:$CW$999,95,FALSE),"unknown")</f>
        <v>Some high school</v>
      </c>
      <c r="BE521" s="120">
        <f>IFERROR(VLOOKUP(Table1[RespondentID],'All Data'!$A$3:$CW$999,96,FALSE),"unknown")</f>
        <v>0</v>
      </c>
      <c r="BF521" s="120" t="str">
        <f>IFERROR(VLOOKUP(Table1[RespondentID],'All Data'!$A$3:$CW$999,97,FALSE),"unknown")</f>
        <v>No</v>
      </c>
      <c r="BG521" s="120" t="str">
        <f>IFERROR(VLOOKUP(Table1[RespondentID],'All Data'!$A$3:$CW$999,98,FALSE),"unknown")</f>
        <v>No Insurance</v>
      </c>
      <c r="BH521" s="120" t="str">
        <f>IFERROR(VLOOKUP(Table1[RespondentID],'All Data'!$A$3:$CW$999,99,FALSE),"unknown")</f>
        <v>Yes</v>
      </c>
    </row>
    <row r="522" spans="1:60">
      <c r="A522" s="141">
        <v>18031746891</v>
      </c>
      <c r="B522" s="180" t="s">
        <v>49</v>
      </c>
      <c r="C522" s="181"/>
      <c r="D522" s="181"/>
      <c r="E522" s="181"/>
      <c r="F522" s="181"/>
      <c r="G522" s="181"/>
      <c r="H522" s="181" t="s">
        <v>54</v>
      </c>
      <c r="I522" s="181"/>
      <c r="J522" s="181"/>
      <c r="K522" s="181"/>
      <c r="L522" s="181"/>
      <c r="M522" s="181"/>
      <c r="N522" s="181" t="s">
        <v>24</v>
      </c>
      <c r="O522" s="181"/>
      <c r="P522" s="181" t="s">
        <v>60</v>
      </c>
      <c r="Q522" s="181"/>
      <c r="R522" s="181"/>
      <c r="S522" s="181"/>
      <c r="T522" s="184"/>
      <c r="U522" s="182">
        <f t="shared" si="207"/>
        <v>4</v>
      </c>
      <c r="V522" s="182">
        <f t="shared" si="208"/>
        <v>0.75</v>
      </c>
      <c r="W522" s="110"/>
      <c r="X522" s="182">
        <f t="shared" si="209"/>
        <v>0.75</v>
      </c>
      <c r="Y522" s="182">
        <f t="shared" si="210"/>
        <v>0</v>
      </c>
      <c r="Z522" s="182">
        <f t="shared" si="211"/>
        <v>0</v>
      </c>
      <c r="AA522" s="182">
        <f t="shared" si="212"/>
        <v>0</v>
      </c>
      <c r="AB522" s="182">
        <f t="shared" si="213"/>
        <v>0</v>
      </c>
      <c r="AC522" s="182">
        <f t="shared" si="214"/>
        <v>0</v>
      </c>
      <c r="AD522" s="182">
        <f t="shared" si="215"/>
        <v>0.75</v>
      </c>
      <c r="AE522" s="182">
        <f t="shared" si="216"/>
        <v>0</v>
      </c>
      <c r="AF522" s="182">
        <f t="shared" si="217"/>
        <v>0</v>
      </c>
      <c r="AG522" s="182">
        <f t="shared" si="218"/>
        <v>0</v>
      </c>
      <c r="AH522" s="182">
        <f t="shared" si="219"/>
        <v>0</v>
      </c>
      <c r="AI522" s="182">
        <f t="shared" si="220"/>
        <v>0</v>
      </c>
      <c r="AJ522" s="182">
        <f t="shared" si="221"/>
        <v>0.75</v>
      </c>
      <c r="AK522" s="182">
        <f t="shared" si="222"/>
        <v>0</v>
      </c>
      <c r="AL522" s="182">
        <f t="shared" si="223"/>
        <v>0.75</v>
      </c>
      <c r="AM522" s="182">
        <f t="shared" si="224"/>
        <v>0</v>
      </c>
      <c r="AN522" s="182">
        <f t="shared" si="225"/>
        <v>0</v>
      </c>
      <c r="AO522" s="182">
        <f t="shared" si="226"/>
        <v>0</v>
      </c>
      <c r="AP522" s="110"/>
      <c r="AQ522" s="110"/>
      <c r="AR522" s="182">
        <f t="shared" si="227"/>
        <v>3</v>
      </c>
      <c r="AS522" s="182">
        <f t="shared" si="228"/>
        <v>4</v>
      </c>
      <c r="AT522" s="182" t="str">
        <f t="shared" si="229"/>
        <v>Correct</v>
      </c>
      <c r="AU522" s="142"/>
      <c r="AV522" s="120" t="str">
        <f>IFERROR(VLOOKUP(Table1[RespondentID],'All Data'!$A$3:$CO$999,87,FALSE),"unknown")</f>
        <v>Woman</v>
      </c>
      <c r="AW522" s="120">
        <f>IFERROR(VLOOKUP(Table1[RespondentID],'All Data'!$A$3:$CO$999,88,FALSE),"unknown")</f>
        <v>65</v>
      </c>
      <c r="AX522" s="120" t="str">
        <f>IFERROR(VLOOKUP(Table1[RespondentID],'All Data'!$A$3:$CO$999,89,FALSE),"unknown")</f>
        <v>Nassau</v>
      </c>
      <c r="AY522" s="120" t="str">
        <f>IFERROR(VLOOKUP(Table1[RespondentID],'All Data'!$A$3:$CO$999,90,FALSE),"unknown")</f>
        <v>Freeport, 11520</v>
      </c>
      <c r="AZ522" s="120">
        <f>IFERROR(VLOOKUP(Table1[RespondentID],'All Data'!$A$3:$CO$999,91,FALSE),"unknown")</f>
        <v>0</v>
      </c>
      <c r="BA522" s="120" t="str">
        <f>IFERROR(VLOOKUP(Table1[RespondentID],'All Data'!$A$3:$CO$999,92,FALSE),"unknown")</f>
        <v>Hispanic or Latino</v>
      </c>
      <c r="BB522" s="120" t="str">
        <f>IFERROR(VLOOKUP(Table1[RespondentID],'All Data'!$A$3:$CO$999,93,FALSE),"unknown")</f>
        <v>Spanish</v>
      </c>
      <c r="BC522" s="120">
        <f>IFERROR(VLOOKUP(Table1[RespondentID],'All Data'!$A$3:$CW$999,94,FALSE),"unknown")</f>
        <v>0</v>
      </c>
      <c r="BD522" s="120">
        <f>IFERROR(VLOOKUP(Table1[RespondentID],'All Data'!$A$3:$CW$999,95,FALSE),"unknown")</f>
        <v>0</v>
      </c>
      <c r="BE522" s="120" t="str">
        <f>IFERROR(VLOOKUP(Table1[RespondentID],'All Data'!$A$3:$CW$999,96,FALSE),"unknown")</f>
        <v>Retired</v>
      </c>
      <c r="BF522" s="120" t="str">
        <f>IFERROR(VLOOKUP(Table1[RespondentID],'All Data'!$A$3:$CW$999,97,FALSE),"unknown")</f>
        <v>Yes</v>
      </c>
      <c r="BG522" s="120" t="str">
        <f>IFERROR(VLOOKUP(Table1[RespondentID],'All Data'!$A$3:$CW$999,98,FALSE),"unknown")</f>
        <v>Medicaid,Medicare</v>
      </c>
      <c r="BH522" s="120" t="str">
        <f>IFERROR(VLOOKUP(Table1[RespondentID],'All Data'!$A$3:$CW$999,99,FALSE),"unknown")</f>
        <v>Yes</v>
      </c>
    </row>
    <row r="523" spans="1:60">
      <c r="A523" s="141">
        <v>18031746567</v>
      </c>
      <c r="B523" s="180" t="s">
        <v>49</v>
      </c>
      <c r="C523" s="181"/>
      <c r="D523" s="181"/>
      <c r="E523" s="181"/>
      <c r="F523" s="181"/>
      <c r="G523" s="181"/>
      <c r="H523" s="181" t="s">
        <v>54</v>
      </c>
      <c r="I523" s="181"/>
      <c r="J523" s="181"/>
      <c r="K523" s="181"/>
      <c r="L523" s="181"/>
      <c r="M523" s="181"/>
      <c r="N523" s="181" t="s">
        <v>24</v>
      </c>
      <c r="O523" s="181"/>
      <c r="P523" s="181" t="s">
        <v>60</v>
      </c>
      <c r="Q523" s="181"/>
      <c r="R523" s="181"/>
      <c r="S523" s="181"/>
      <c r="T523" s="184"/>
      <c r="U523" s="182">
        <f t="shared" si="207"/>
        <v>4</v>
      </c>
      <c r="V523" s="182">
        <f t="shared" si="208"/>
        <v>0.75</v>
      </c>
      <c r="W523" s="110"/>
      <c r="X523" s="182">
        <f t="shared" si="209"/>
        <v>0.75</v>
      </c>
      <c r="Y523" s="182">
        <f t="shared" si="210"/>
        <v>0</v>
      </c>
      <c r="Z523" s="182">
        <f t="shared" si="211"/>
        <v>0</v>
      </c>
      <c r="AA523" s="182">
        <f t="shared" si="212"/>
        <v>0</v>
      </c>
      <c r="AB523" s="182">
        <f t="shared" si="213"/>
        <v>0</v>
      </c>
      <c r="AC523" s="182">
        <f t="shared" si="214"/>
        <v>0</v>
      </c>
      <c r="AD523" s="182">
        <f t="shared" si="215"/>
        <v>0.75</v>
      </c>
      <c r="AE523" s="182">
        <f t="shared" si="216"/>
        <v>0</v>
      </c>
      <c r="AF523" s="182">
        <f t="shared" si="217"/>
        <v>0</v>
      </c>
      <c r="AG523" s="182">
        <f t="shared" si="218"/>
        <v>0</v>
      </c>
      <c r="AH523" s="182">
        <f t="shared" si="219"/>
        <v>0</v>
      </c>
      <c r="AI523" s="182">
        <f t="shared" si="220"/>
        <v>0</v>
      </c>
      <c r="AJ523" s="182">
        <f t="shared" si="221"/>
        <v>0.75</v>
      </c>
      <c r="AK523" s="182">
        <f t="shared" si="222"/>
        <v>0</v>
      </c>
      <c r="AL523" s="182">
        <f t="shared" si="223"/>
        <v>0.75</v>
      </c>
      <c r="AM523" s="182">
        <f t="shared" si="224"/>
        <v>0</v>
      </c>
      <c r="AN523" s="182">
        <f t="shared" si="225"/>
        <v>0</v>
      </c>
      <c r="AO523" s="182">
        <f t="shared" si="226"/>
        <v>0</v>
      </c>
      <c r="AP523" s="110"/>
      <c r="AQ523" s="110"/>
      <c r="AR523" s="182">
        <f t="shared" si="227"/>
        <v>3</v>
      </c>
      <c r="AS523" s="182">
        <f t="shared" si="228"/>
        <v>4</v>
      </c>
      <c r="AT523" s="182" t="str">
        <f t="shared" si="229"/>
        <v>Correct</v>
      </c>
      <c r="AU523" s="142"/>
      <c r="AV523" s="120" t="str">
        <f>IFERROR(VLOOKUP(Table1[RespondentID],'All Data'!$A$3:$CO$999,87,FALSE),"unknown")</f>
        <v>Woman</v>
      </c>
      <c r="AW523" s="120">
        <f>IFERROR(VLOOKUP(Table1[RespondentID],'All Data'!$A$3:$CO$999,88,FALSE),"unknown")</f>
        <v>65</v>
      </c>
      <c r="AX523" s="120" t="str">
        <f>IFERROR(VLOOKUP(Table1[RespondentID],'All Data'!$A$3:$CO$999,89,FALSE),"unknown")</f>
        <v>Nassau</v>
      </c>
      <c r="AY523" s="120" t="str">
        <f>IFERROR(VLOOKUP(Table1[RespondentID],'All Data'!$A$3:$CO$999,90,FALSE),"unknown")</f>
        <v>Freeport, 11520</v>
      </c>
      <c r="AZ523" s="120">
        <f>IFERROR(VLOOKUP(Table1[RespondentID],'All Data'!$A$3:$CO$999,91,FALSE),"unknown")</f>
        <v>0</v>
      </c>
      <c r="BA523" s="120">
        <f>IFERROR(VLOOKUP(Table1[RespondentID],'All Data'!$A$3:$CO$999,92,FALSE),"unknown")</f>
        <v>0</v>
      </c>
      <c r="BB523" s="120">
        <f>IFERROR(VLOOKUP(Table1[RespondentID],'All Data'!$A$3:$CO$999,93,FALSE),"unknown")</f>
        <v>0</v>
      </c>
      <c r="BC523" s="120">
        <f>IFERROR(VLOOKUP(Table1[RespondentID],'All Data'!$A$3:$CW$999,94,FALSE),"unknown")</f>
        <v>0</v>
      </c>
      <c r="BD523" s="120">
        <f>IFERROR(VLOOKUP(Table1[RespondentID],'All Data'!$A$3:$CW$999,95,FALSE),"unknown")</f>
        <v>0</v>
      </c>
      <c r="BE523" s="120">
        <f>IFERROR(VLOOKUP(Table1[RespondentID],'All Data'!$A$3:$CW$999,96,FALSE),"unknown")</f>
        <v>0</v>
      </c>
      <c r="BF523" s="120">
        <f>IFERROR(VLOOKUP(Table1[RespondentID],'All Data'!$A$3:$CW$999,97,FALSE),"unknown")</f>
        <v>0</v>
      </c>
      <c r="BG523" s="120">
        <f>IFERROR(VLOOKUP(Table1[RespondentID],'All Data'!$A$3:$CW$999,98,FALSE),"unknown")</f>
        <v>0</v>
      </c>
      <c r="BH523" s="120">
        <f>IFERROR(VLOOKUP(Table1[RespondentID],'All Data'!$A$3:$CW$999,99,FALSE),"unknown")</f>
        <v>0</v>
      </c>
    </row>
    <row r="524" spans="1:60">
      <c r="A524" s="141">
        <v>18031743313</v>
      </c>
      <c r="B524" s="180" t="s">
        <v>49</v>
      </c>
      <c r="C524" s="181"/>
      <c r="D524" s="181"/>
      <c r="E524" s="181"/>
      <c r="F524" s="181"/>
      <c r="G524" s="181"/>
      <c r="H524" s="181" t="s">
        <v>54</v>
      </c>
      <c r="I524" s="181"/>
      <c r="J524" s="181"/>
      <c r="K524" s="181"/>
      <c r="L524" s="181" t="s">
        <v>58</v>
      </c>
      <c r="M524" s="181"/>
      <c r="N524" s="181" t="s">
        <v>24</v>
      </c>
      <c r="O524" s="181"/>
      <c r="P524" s="181" t="s">
        <v>60</v>
      </c>
      <c r="Q524" s="181"/>
      <c r="R524" s="181"/>
      <c r="S524" s="181"/>
      <c r="T524" s="184"/>
      <c r="U524" s="182">
        <f t="shared" si="207"/>
        <v>5</v>
      </c>
      <c r="V524" s="182">
        <f t="shared" si="208"/>
        <v>0.6</v>
      </c>
      <c r="W524" s="110"/>
      <c r="X524" s="182">
        <f t="shared" si="209"/>
        <v>0.6</v>
      </c>
      <c r="Y524" s="182">
        <f t="shared" si="210"/>
        <v>0</v>
      </c>
      <c r="Z524" s="182">
        <f t="shared" si="211"/>
        <v>0</v>
      </c>
      <c r="AA524" s="182">
        <f t="shared" si="212"/>
        <v>0</v>
      </c>
      <c r="AB524" s="182">
        <f t="shared" si="213"/>
        <v>0</v>
      </c>
      <c r="AC524" s="182">
        <f t="shared" si="214"/>
        <v>0</v>
      </c>
      <c r="AD524" s="182">
        <f t="shared" si="215"/>
        <v>0.6</v>
      </c>
      <c r="AE524" s="182">
        <f t="shared" si="216"/>
        <v>0</v>
      </c>
      <c r="AF524" s="182">
        <f t="shared" si="217"/>
        <v>0</v>
      </c>
      <c r="AG524" s="182">
        <f t="shared" si="218"/>
        <v>0</v>
      </c>
      <c r="AH524" s="182">
        <f t="shared" si="219"/>
        <v>0.6</v>
      </c>
      <c r="AI524" s="182">
        <f t="shared" si="220"/>
        <v>0</v>
      </c>
      <c r="AJ524" s="182">
        <f t="shared" si="221"/>
        <v>0.6</v>
      </c>
      <c r="AK524" s="182">
        <f t="shared" si="222"/>
        <v>0</v>
      </c>
      <c r="AL524" s="182">
        <f t="shared" si="223"/>
        <v>0.6</v>
      </c>
      <c r="AM524" s="182">
        <f t="shared" si="224"/>
        <v>0</v>
      </c>
      <c r="AN524" s="182">
        <f t="shared" si="225"/>
        <v>0</v>
      </c>
      <c r="AO524" s="182">
        <f t="shared" si="226"/>
        <v>0</v>
      </c>
      <c r="AP524" s="110"/>
      <c r="AQ524" s="110"/>
      <c r="AR524" s="182">
        <f t="shared" si="227"/>
        <v>3</v>
      </c>
      <c r="AS524" s="182">
        <f t="shared" si="228"/>
        <v>5</v>
      </c>
      <c r="AT524" s="182" t="str">
        <f t="shared" si="229"/>
        <v>Correct</v>
      </c>
      <c r="AU524" s="142"/>
      <c r="AV524" s="120" t="str">
        <f>IFERROR(VLOOKUP(Table1[RespondentID],'All Data'!$A$3:$CO$999,87,FALSE),"unknown")</f>
        <v>Woman</v>
      </c>
      <c r="AW524" s="120">
        <f>IFERROR(VLOOKUP(Table1[RespondentID],'All Data'!$A$3:$CO$999,88,FALSE),"unknown")</f>
        <v>65</v>
      </c>
      <c r="AX524" s="120" t="str">
        <f>IFERROR(VLOOKUP(Table1[RespondentID],'All Data'!$A$3:$CO$999,89,FALSE),"unknown")</f>
        <v>Nassau</v>
      </c>
      <c r="AY524" s="120" t="str">
        <f>IFERROR(VLOOKUP(Table1[RespondentID],'All Data'!$A$3:$CO$999,90,FALSE),"unknown")</f>
        <v>Freeport, 11520</v>
      </c>
      <c r="AZ524" s="120">
        <f>IFERROR(VLOOKUP(Table1[RespondentID],'All Data'!$A$3:$CO$999,91,FALSE),"unknown")</f>
        <v>0</v>
      </c>
      <c r="BA524" s="120">
        <f>IFERROR(VLOOKUP(Table1[RespondentID],'All Data'!$A$3:$CO$999,92,FALSE),"unknown")</f>
        <v>0</v>
      </c>
      <c r="BB524" s="120">
        <f>IFERROR(VLOOKUP(Table1[RespondentID],'All Data'!$A$3:$CO$999,93,FALSE),"unknown")</f>
        <v>0</v>
      </c>
      <c r="BC524" s="120">
        <f>IFERROR(VLOOKUP(Table1[RespondentID],'All Data'!$A$3:$CW$999,94,FALSE),"unknown")</f>
        <v>0</v>
      </c>
      <c r="BD524" s="120">
        <f>IFERROR(VLOOKUP(Table1[RespondentID],'All Data'!$A$3:$CW$999,95,FALSE),"unknown")</f>
        <v>0</v>
      </c>
      <c r="BE524" s="120">
        <f>IFERROR(VLOOKUP(Table1[RespondentID],'All Data'!$A$3:$CW$999,96,FALSE),"unknown")</f>
        <v>0</v>
      </c>
      <c r="BF524" s="120">
        <f>IFERROR(VLOOKUP(Table1[RespondentID],'All Data'!$A$3:$CW$999,97,FALSE),"unknown")</f>
        <v>0</v>
      </c>
      <c r="BG524" s="120">
        <f>IFERROR(VLOOKUP(Table1[RespondentID],'All Data'!$A$3:$CW$999,98,FALSE),"unknown")</f>
        <v>0</v>
      </c>
      <c r="BH524" s="120">
        <f>IFERROR(VLOOKUP(Table1[RespondentID],'All Data'!$A$3:$CW$999,99,FALSE),"unknown")</f>
        <v>0</v>
      </c>
    </row>
    <row r="525" spans="1:60">
      <c r="A525" s="141">
        <v>18031103447</v>
      </c>
      <c r="B525" s="180"/>
      <c r="C525" s="181"/>
      <c r="D525" s="181"/>
      <c r="E525" s="181"/>
      <c r="F525" s="181"/>
      <c r="G525" s="181"/>
      <c r="H525" s="181"/>
      <c r="I525" s="181"/>
      <c r="J525" s="181"/>
      <c r="K525" s="181"/>
      <c r="L525" s="181"/>
      <c r="M525" s="181"/>
      <c r="N525" s="181"/>
      <c r="O525" s="181"/>
      <c r="P525" s="181"/>
      <c r="Q525" s="181"/>
      <c r="R525" s="181"/>
      <c r="S525" s="181"/>
      <c r="T525" s="184"/>
      <c r="U525" s="182">
        <f t="shared" si="207"/>
        <v>0</v>
      </c>
      <c r="V525" s="182" t="e">
        <f t="shared" si="208"/>
        <v>#DIV/0!</v>
      </c>
      <c r="W525" s="110"/>
      <c r="X525" s="182">
        <f t="shared" si="209"/>
        <v>0</v>
      </c>
      <c r="Y525" s="182">
        <f t="shared" si="210"/>
        <v>0</v>
      </c>
      <c r="Z525" s="182">
        <f t="shared" si="211"/>
        <v>0</v>
      </c>
      <c r="AA525" s="182">
        <f t="shared" si="212"/>
        <v>0</v>
      </c>
      <c r="AB525" s="182">
        <f t="shared" si="213"/>
        <v>0</v>
      </c>
      <c r="AC525" s="182">
        <f t="shared" si="214"/>
        <v>0</v>
      </c>
      <c r="AD525" s="182">
        <f t="shared" si="215"/>
        <v>0</v>
      </c>
      <c r="AE525" s="182">
        <f t="shared" si="216"/>
        <v>0</v>
      </c>
      <c r="AF525" s="182">
        <f t="shared" si="217"/>
        <v>0</v>
      </c>
      <c r="AG525" s="182">
        <f t="shared" si="218"/>
        <v>0</v>
      </c>
      <c r="AH525" s="182">
        <f t="shared" si="219"/>
        <v>0</v>
      </c>
      <c r="AI525" s="182">
        <f t="shared" si="220"/>
        <v>0</v>
      </c>
      <c r="AJ525" s="182">
        <f t="shared" si="221"/>
        <v>0</v>
      </c>
      <c r="AK525" s="182">
        <f t="shared" si="222"/>
        <v>0</v>
      </c>
      <c r="AL525" s="182">
        <f t="shared" si="223"/>
        <v>0</v>
      </c>
      <c r="AM525" s="182">
        <f t="shared" si="224"/>
        <v>0</v>
      </c>
      <c r="AN525" s="182">
        <f t="shared" si="225"/>
        <v>0</v>
      </c>
      <c r="AO525" s="182">
        <f t="shared" si="226"/>
        <v>0</v>
      </c>
      <c r="AP525" s="110"/>
      <c r="AQ525" s="110"/>
      <c r="AR525" s="182">
        <f t="shared" si="227"/>
        <v>0</v>
      </c>
      <c r="AS525" s="182">
        <f t="shared" si="228"/>
        <v>0</v>
      </c>
      <c r="AT525" s="182" t="str">
        <f t="shared" si="229"/>
        <v>Correct</v>
      </c>
      <c r="AU525" s="142"/>
      <c r="AV525" s="120">
        <f>IFERROR(VLOOKUP(Table1[RespondentID],'All Data'!$A$3:$CO$999,87,FALSE),"unknown")</f>
        <v>0</v>
      </c>
      <c r="AW525" s="120">
        <f>IFERROR(VLOOKUP(Table1[RespondentID],'All Data'!$A$3:$CO$999,88,FALSE),"unknown")</f>
        <v>0</v>
      </c>
      <c r="AX525" s="120">
        <f>IFERROR(VLOOKUP(Table1[RespondentID],'All Data'!$A$3:$CO$999,89,FALSE),"unknown")</f>
        <v>0</v>
      </c>
      <c r="AY525" s="120">
        <f>IFERROR(VLOOKUP(Table1[RespondentID],'All Data'!$A$3:$CO$999,90,FALSE),"unknown")</f>
        <v>0</v>
      </c>
      <c r="AZ525" s="120">
        <f>IFERROR(VLOOKUP(Table1[RespondentID],'All Data'!$A$3:$CO$999,91,FALSE),"unknown")</f>
        <v>0</v>
      </c>
      <c r="BA525" s="120">
        <f>IFERROR(VLOOKUP(Table1[RespondentID],'All Data'!$A$3:$CO$999,92,FALSE),"unknown")</f>
        <v>0</v>
      </c>
      <c r="BB525" s="120">
        <f>IFERROR(VLOOKUP(Table1[RespondentID],'All Data'!$A$3:$CO$999,93,FALSE),"unknown")</f>
        <v>0</v>
      </c>
      <c r="BC525" s="120">
        <f>IFERROR(VLOOKUP(Table1[RespondentID],'All Data'!$A$3:$CW$999,94,FALSE),"unknown")</f>
        <v>0</v>
      </c>
      <c r="BD525" s="120">
        <f>IFERROR(VLOOKUP(Table1[RespondentID],'All Data'!$A$3:$CW$999,95,FALSE),"unknown")</f>
        <v>0</v>
      </c>
      <c r="BE525" s="120">
        <f>IFERROR(VLOOKUP(Table1[RespondentID],'All Data'!$A$3:$CW$999,96,FALSE),"unknown")</f>
        <v>0</v>
      </c>
      <c r="BF525" s="120">
        <f>IFERROR(VLOOKUP(Table1[RespondentID],'All Data'!$A$3:$CW$999,97,FALSE),"unknown")</f>
        <v>0</v>
      </c>
      <c r="BG525" s="120">
        <f>IFERROR(VLOOKUP(Table1[RespondentID],'All Data'!$A$3:$CW$999,98,FALSE),"unknown")</f>
        <v>0</v>
      </c>
      <c r="BH525" s="120">
        <f>IFERROR(VLOOKUP(Table1[RespondentID],'All Data'!$A$3:$CW$999,99,FALSE),"unknown")</f>
        <v>0</v>
      </c>
    </row>
    <row r="526" spans="1:60">
      <c r="A526" s="141">
        <v>18030570632</v>
      </c>
      <c r="B526" s="180"/>
      <c r="C526" s="181"/>
      <c r="D526" s="181"/>
      <c r="E526" s="181" t="s">
        <v>17</v>
      </c>
      <c r="F526" s="181"/>
      <c r="G526" s="181" t="s">
        <v>53</v>
      </c>
      <c r="H526" s="181"/>
      <c r="I526" s="181" t="s">
        <v>55</v>
      </c>
      <c r="J526" s="181"/>
      <c r="K526" s="181"/>
      <c r="L526" s="181" t="s">
        <v>58</v>
      </c>
      <c r="M526" s="181"/>
      <c r="N526" s="181" t="s">
        <v>24</v>
      </c>
      <c r="O526" s="181"/>
      <c r="P526" s="181"/>
      <c r="Q526" s="181"/>
      <c r="R526" s="181"/>
      <c r="S526" s="181"/>
      <c r="T526" s="184"/>
      <c r="U526" s="182">
        <f t="shared" ref="U526:U530" si="230">COUNTA(B526:T526)</f>
        <v>5</v>
      </c>
      <c r="V526" s="182">
        <f t="shared" ref="V526:V530" si="231">3/U526</f>
        <v>0.6</v>
      </c>
      <c r="W526" s="110"/>
      <c r="X526" s="182">
        <f t="shared" si="209"/>
        <v>0</v>
      </c>
      <c r="Y526" s="182">
        <f t="shared" si="210"/>
        <v>0</v>
      </c>
      <c r="Z526" s="182">
        <f t="shared" si="211"/>
        <v>0</v>
      </c>
      <c r="AA526" s="182">
        <f t="shared" si="212"/>
        <v>0.6</v>
      </c>
      <c r="AB526" s="182">
        <f t="shared" si="213"/>
        <v>0</v>
      </c>
      <c r="AC526" s="182">
        <f t="shared" si="214"/>
        <v>0.6</v>
      </c>
      <c r="AD526" s="182">
        <f t="shared" si="215"/>
        <v>0</v>
      </c>
      <c r="AE526" s="182">
        <f t="shared" si="216"/>
        <v>0.6</v>
      </c>
      <c r="AF526" s="182">
        <f t="shared" si="217"/>
        <v>0</v>
      </c>
      <c r="AG526" s="182">
        <f t="shared" si="218"/>
        <v>0</v>
      </c>
      <c r="AH526" s="182">
        <f t="shared" si="219"/>
        <v>0.6</v>
      </c>
      <c r="AI526" s="182">
        <f t="shared" si="220"/>
        <v>0</v>
      </c>
      <c r="AJ526" s="182">
        <f t="shared" si="221"/>
        <v>0.6</v>
      </c>
      <c r="AK526" s="182">
        <f t="shared" si="222"/>
        <v>0</v>
      </c>
      <c r="AL526" s="182">
        <f t="shared" si="223"/>
        <v>0</v>
      </c>
      <c r="AM526" s="182">
        <f t="shared" si="224"/>
        <v>0</v>
      </c>
      <c r="AN526" s="182">
        <f t="shared" si="225"/>
        <v>0</v>
      </c>
      <c r="AO526" s="182">
        <f t="shared" si="226"/>
        <v>0</v>
      </c>
      <c r="AP526" s="110"/>
      <c r="AQ526" s="110"/>
      <c r="AR526" s="182">
        <f t="shared" si="227"/>
        <v>3</v>
      </c>
      <c r="AS526" s="182">
        <f t="shared" si="228"/>
        <v>5</v>
      </c>
      <c r="AT526" s="182" t="str">
        <f t="shared" ref="AT526:AT530" si="232">IF(AR526=AS526,"Correct",IF(AR526=3,"Correct","Wrong"))</f>
        <v>Correct</v>
      </c>
      <c r="AU526" s="142"/>
      <c r="AV526" s="120" t="str">
        <f>IFERROR(VLOOKUP(Table1[RespondentID],'All Data'!$A$3:$CO$999,87,FALSE),"unknown")</f>
        <v>Man</v>
      </c>
      <c r="AW526" s="120">
        <f>IFERROR(VLOOKUP(Table1[RespondentID],'All Data'!$A$3:$CO$999,88,FALSE),"unknown")</f>
        <v>0</v>
      </c>
      <c r="AX526" s="120">
        <f>IFERROR(VLOOKUP(Table1[RespondentID],'All Data'!$A$3:$CO$999,89,FALSE),"unknown")</f>
        <v>0</v>
      </c>
      <c r="AY526" s="120" t="str">
        <f>IFERROR(VLOOKUP(Table1[RespondentID],'All Data'!$A$3:$CO$999,90,FALSE),"unknown")</f>
        <v>Hempstead, 11549</v>
      </c>
      <c r="AZ526" s="120" t="str">
        <f>IFERROR(VLOOKUP(Table1[RespondentID],'All Data'!$A$3:$CO$999,91,FALSE),"unknown")</f>
        <v>Black/African American</v>
      </c>
      <c r="BA526" s="120">
        <f>IFERROR(VLOOKUP(Table1[RespondentID],'All Data'!$A$3:$CO$999,92,FALSE),"unknown")</f>
        <v>0</v>
      </c>
      <c r="BB526" s="120" t="str">
        <f>IFERROR(VLOOKUP(Table1[RespondentID],'All Data'!$A$3:$CO$999,93,FALSE),"unknown")</f>
        <v>Farsi,Polish</v>
      </c>
      <c r="BC526" s="120" t="str">
        <f>IFERROR(VLOOKUP(Table1[RespondentID],'All Data'!$A$3:$CW$999,94,FALSE),"unknown")</f>
        <v>$0-$19,999</v>
      </c>
      <c r="BD526" s="120" t="str">
        <f>IFERROR(VLOOKUP(Table1[RespondentID],'All Data'!$A$3:$CW$999,95,FALSE),"unknown")</f>
        <v>Graduate school</v>
      </c>
      <c r="BE526" s="120" t="str">
        <f>IFERROR(VLOOKUP(Table1[RespondentID],'All Data'!$A$3:$CW$999,96,FALSE),"unknown")</f>
        <v>Retired</v>
      </c>
      <c r="BF526" s="120" t="str">
        <f>IFERROR(VLOOKUP(Table1[RespondentID],'All Data'!$A$3:$CW$999,97,FALSE),"unknown")</f>
        <v>No, but I did in the past</v>
      </c>
      <c r="BG526" s="120">
        <f>IFERROR(VLOOKUP(Table1[RespondentID],'All Data'!$A$3:$CW$999,98,FALSE),"unknown")</f>
        <v>0</v>
      </c>
      <c r="BH526" s="120" t="str">
        <f>IFERROR(VLOOKUP(Table1[RespondentID],'All Data'!$A$3:$CW$999,99,FALSE),"unknown")</f>
        <v>Yes</v>
      </c>
    </row>
    <row r="527" spans="1:60">
      <c r="A527" s="141">
        <v>18030570608</v>
      </c>
      <c r="B527" s="180"/>
      <c r="C527" s="181"/>
      <c r="D527" s="181"/>
      <c r="E527" s="181" t="s">
        <v>17</v>
      </c>
      <c r="F527" s="181"/>
      <c r="G527" s="181"/>
      <c r="H527" s="181"/>
      <c r="I527" s="181" t="s">
        <v>55</v>
      </c>
      <c r="J527" s="181"/>
      <c r="K527" s="181"/>
      <c r="L527" s="181" t="s">
        <v>58</v>
      </c>
      <c r="M527" s="181"/>
      <c r="N527" s="181"/>
      <c r="O527" s="181"/>
      <c r="P527" s="181"/>
      <c r="Q527" s="181"/>
      <c r="R527" s="181"/>
      <c r="S527" s="181"/>
      <c r="T527" s="184"/>
      <c r="U527" s="182">
        <f t="shared" si="230"/>
        <v>3</v>
      </c>
      <c r="V527" s="182">
        <f t="shared" si="231"/>
        <v>1</v>
      </c>
      <c r="W527" s="110"/>
      <c r="X527" s="182">
        <f t="shared" si="209"/>
        <v>0</v>
      </c>
      <c r="Y527" s="182">
        <f t="shared" si="210"/>
        <v>0</v>
      </c>
      <c r="Z527" s="182">
        <f t="shared" si="211"/>
        <v>0</v>
      </c>
      <c r="AA527" s="182">
        <f t="shared" si="212"/>
        <v>1</v>
      </c>
      <c r="AB527" s="182">
        <f t="shared" si="213"/>
        <v>0</v>
      </c>
      <c r="AC527" s="182">
        <f t="shared" si="214"/>
        <v>0</v>
      </c>
      <c r="AD527" s="182">
        <f t="shared" si="215"/>
        <v>0</v>
      </c>
      <c r="AE527" s="182">
        <f t="shared" si="216"/>
        <v>1</v>
      </c>
      <c r="AF527" s="182">
        <f t="shared" si="217"/>
        <v>0</v>
      </c>
      <c r="AG527" s="182">
        <f t="shared" si="218"/>
        <v>0</v>
      </c>
      <c r="AH527" s="182">
        <f t="shared" si="219"/>
        <v>1</v>
      </c>
      <c r="AI527" s="182">
        <f t="shared" si="220"/>
        <v>0</v>
      </c>
      <c r="AJ527" s="182">
        <f t="shared" si="221"/>
        <v>0</v>
      </c>
      <c r="AK527" s="182">
        <f t="shared" si="222"/>
        <v>0</v>
      </c>
      <c r="AL527" s="182">
        <f t="shared" si="223"/>
        <v>0</v>
      </c>
      <c r="AM527" s="182">
        <f t="shared" si="224"/>
        <v>0</v>
      </c>
      <c r="AN527" s="182">
        <f t="shared" si="225"/>
        <v>0</v>
      </c>
      <c r="AO527" s="182">
        <f t="shared" si="226"/>
        <v>0</v>
      </c>
      <c r="AP527" s="110"/>
      <c r="AQ527" s="110"/>
      <c r="AR527" s="182">
        <f t="shared" si="227"/>
        <v>3</v>
      </c>
      <c r="AS527" s="182">
        <f t="shared" si="228"/>
        <v>3</v>
      </c>
      <c r="AT527" s="182" t="str">
        <f t="shared" si="232"/>
        <v>Correct</v>
      </c>
      <c r="AU527" s="142"/>
      <c r="AV527" s="120" t="str">
        <f>IFERROR(VLOOKUP(Table1[RespondentID],'All Data'!$A$3:$CO$999,87,FALSE),"unknown")</f>
        <v>Man</v>
      </c>
      <c r="AW527" s="120">
        <f>IFERROR(VLOOKUP(Table1[RespondentID],'All Data'!$A$3:$CO$999,88,FALSE),"unknown")</f>
        <v>26</v>
      </c>
      <c r="AX527" s="120" t="str">
        <f>IFERROR(VLOOKUP(Table1[RespondentID],'All Data'!$A$3:$CO$999,89,FALSE),"unknown")</f>
        <v>Nassau</v>
      </c>
      <c r="AY527" s="120">
        <f>IFERROR(VLOOKUP(Table1[RespondentID],'All Data'!$A$3:$CO$999,90,FALSE),"unknown")</f>
        <v>0</v>
      </c>
      <c r="AZ527" s="120">
        <f>IFERROR(VLOOKUP(Table1[RespondentID],'All Data'!$A$3:$CO$999,91,FALSE),"unknown")</f>
        <v>0</v>
      </c>
      <c r="BA527" s="120">
        <f>IFERROR(VLOOKUP(Table1[RespondentID],'All Data'!$A$3:$CO$999,92,FALSE),"unknown")</f>
        <v>0</v>
      </c>
      <c r="BB527" s="120">
        <f>IFERROR(VLOOKUP(Table1[RespondentID],'All Data'!$A$3:$CO$999,93,FALSE),"unknown")</f>
        <v>0</v>
      </c>
      <c r="BC527" s="120">
        <f>IFERROR(VLOOKUP(Table1[RespondentID],'All Data'!$A$3:$CW$999,94,FALSE),"unknown")</f>
        <v>0</v>
      </c>
      <c r="BD527" s="120">
        <f>IFERROR(VLOOKUP(Table1[RespondentID],'All Data'!$A$3:$CW$999,95,FALSE),"unknown")</f>
        <v>0</v>
      </c>
      <c r="BE527" s="120">
        <f>IFERROR(VLOOKUP(Table1[RespondentID],'All Data'!$A$3:$CW$999,96,FALSE),"unknown")</f>
        <v>0</v>
      </c>
      <c r="BF527" s="120">
        <f>IFERROR(VLOOKUP(Table1[RespondentID],'All Data'!$A$3:$CW$999,97,FALSE),"unknown")</f>
        <v>0</v>
      </c>
      <c r="BG527" s="120">
        <f>IFERROR(VLOOKUP(Table1[RespondentID],'All Data'!$A$3:$CW$999,98,FALSE),"unknown")</f>
        <v>0</v>
      </c>
      <c r="BH527" s="120">
        <f>IFERROR(VLOOKUP(Table1[RespondentID],'All Data'!$A$3:$CW$999,99,FALSE),"unknown")</f>
        <v>0</v>
      </c>
    </row>
    <row r="528" spans="1:60">
      <c r="A528" s="141">
        <v>18030569067</v>
      </c>
      <c r="B528" s="180"/>
      <c r="C528" s="181" t="s">
        <v>50</v>
      </c>
      <c r="D528" s="181"/>
      <c r="E528" s="181" t="s">
        <v>17</v>
      </c>
      <c r="F528" s="181"/>
      <c r="G528" s="181"/>
      <c r="H528" s="181"/>
      <c r="I528" s="181"/>
      <c r="J528" s="181"/>
      <c r="K528" s="181"/>
      <c r="L528" s="181"/>
      <c r="M528" s="181"/>
      <c r="N528" s="181"/>
      <c r="O528" s="181"/>
      <c r="P528" s="181"/>
      <c r="Q528" s="181"/>
      <c r="R528" s="181"/>
      <c r="S528" s="181" t="s">
        <v>63</v>
      </c>
      <c r="T528" s="184"/>
      <c r="U528" s="182">
        <f t="shared" si="230"/>
        <v>3</v>
      </c>
      <c r="V528" s="182">
        <f t="shared" si="231"/>
        <v>1</v>
      </c>
      <c r="W528" s="110"/>
      <c r="X528" s="182">
        <f t="shared" si="209"/>
        <v>0</v>
      </c>
      <c r="Y528" s="182">
        <f t="shared" si="210"/>
        <v>1</v>
      </c>
      <c r="Z528" s="182">
        <f t="shared" si="211"/>
        <v>0</v>
      </c>
      <c r="AA528" s="182">
        <f t="shared" si="212"/>
        <v>1</v>
      </c>
      <c r="AB528" s="182">
        <f t="shared" si="213"/>
        <v>0</v>
      </c>
      <c r="AC528" s="182">
        <f t="shared" si="214"/>
        <v>0</v>
      </c>
      <c r="AD528" s="182">
        <f t="shared" si="215"/>
        <v>0</v>
      </c>
      <c r="AE528" s="182">
        <f t="shared" si="216"/>
        <v>0</v>
      </c>
      <c r="AF528" s="182">
        <f t="shared" si="217"/>
        <v>0</v>
      </c>
      <c r="AG528" s="182">
        <f t="shared" si="218"/>
        <v>0</v>
      </c>
      <c r="AH528" s="182">
        <f t="shared" si="219"/>
        <v>0</v>
      </c>
      <c r="AI528" s="182">
        <f t="shared" si="220"/>
        <v>0</v>
      </c>
      <c r="AJ528" s="182">
        <f t="shared" si="221"/>
        <v>0</v>
      </c>
      <c r="AK528" s="182">
        <f t="shared" si="222"/>
        <v>0</v>
      </c>
      <c r="AL528" s="182">
        <f t="shared" si="223"/>
        <v>0</v>
      </c>
      <c r="AM528" s="182">
        <f t="shared" si="224"/>
        <v>0</v>
      </c>
      <c r="AN528" s="182">
        <f t="shared" si="225"/>
        <v>0</v>
      </c>
      <c r="AO528" s="182">
        <f t="shared" si="226"/>
        <v>1</v>
      </c>
      <c r="AP528" s="110"/>
      <c r="AQ528" s="110"/>
      <c r="AR528" s="182">
        <f t="shared" si="227"/>
        <v>3</v>
      </c>
      <c r="AS528" s="182">
        <f t="shared" si="228"/>
        <v>3</v>
      </c>
      <c r="AT528" s="182" t="str">
        <f t="shared" si="232"/>
        <v>Correct</v>
      </c>
      <c r="AU528" s="142"/>
      <c r="AV528" s="120">
        <f>IFERROR(VLOOKUP(Table1[RespondentID],'All Data'!$A$3:$CO$999,87,FALSE),"unknown")</f>
        <v>0</v>
      </c>
      <c r="AW528" s="120">
        <f>IFERROR(VLOOKUP(Table1[RespondentID],'All Data'!$A$3:$CO$999,88,FALSE),"unknown")</f>
        <v>0</v>
      </c>
      <c r="AX528" s="120">
        <f>IFERROR(VLOOKUP(Table1[RespondentID],'All Data'!$A$3:$CO$999,89,FALSE),"unknown")</f>
        <v>0</v>
      </c>
      <c r="AY528" s="120">
        <f>IFERROR(VLOOKUP(Table1[RespondentID],'All Data'!$A$3:$CO$999,90,FALSE),"unknown")</f>
        <v>0</v>
      </c>
      <c r="AZ528" s="120">
        <f>IFERROR(VLOOKUP(Table1[RespondentID],'All Data'!$A$3:$CO$999,91,FALSE),"unknown")</f>
        <v>0</v>
      </c>
      <c r="BA528" s="120">
        <f>IFERROR(VLOOKUP(Table1[RespondentID],'All Data'!$A$3:$CO$999,92,FALSE),"unknown")</f>
        <v>0</v>
      </c>
      <c r="BB528" s="120">
        <f>IFERROR(VLOOKUP(Table1[RespondentID],'All Data'!$A$3:$CO$999,93,FALSE),"unknown")</f>
        <v>0</v>
      </c>
      <c r="BC528" s="120">
        <f>IFERROR(VLOOKUP(Table1[RespondentID],'All Data'!$A$3:$CW$999,94,FALSE),"unknown")</f>
        <v>0</v>
      </c>
      <c r="BD528" s="120">
        <f>IFERROR(VLOOKUP(Table1[RespondentID],'All Data'!$A$3:$CW$999,95,FALSE),"unknown")</f>
        <v>0</v>
      </c>
      <c r="BE528" s="120">
        <f>IFERROR(VLOOKUP(Table1[RespondentID],'All Data'!$A$3:$CW$999,96,FALSE),"unknown")</f>
        <v>0</v>
      </c>
      <c r="BF528" s="120">
        <f>IFERROR(VLOOKUP(Table1[RespondentID],'All Data'!$A$3:$CW$999,97,FALSE),"unknown")</f>
        <v>0</v>
      </c>
      <c r="BG528" s="120">
        <f>IFERROR(VLOOKUP(Table1[RespondentID],'All Data'!$A$3:$CW$999,98,FALSE),"unknown")</f>
        <v>0</v>
      </c>
      <c r="BH528" s="120">
        <f>IFERROR(VLOOKUP(Table1[RespondentID],'All Data'!$A$3:$CW$999,99,FALSE),"unknown")</f>
        <v>0</v>
      </c>
    </row>
    <row r="529" spans="1:60">
      <c r="A529" s="141">
        <v>18030545755</v>
      </c>
      <c r="B529" s="180"/>
      <c r="C529" s="181"/>
      <c r="D529" s="181" t="s">
        <v>51</v>
      </c>
      <c r="E529" s="181"/>
      <c r="F529" s="181"/>
      <c r="G529" s="181" t="s">
        <v>53</v>
      </c>
      <c r="H529" s="181"/>
      <c r="I529" s="181" t="s">
        <v>55</v>
      </c>
      <c r="J529" s="181"/>
      <c r="K529" s="181"/>
      <c r="L529" s="181"/>
      <c r="M529" s="181"/>
      <c r="N529" s="181" t="s">
        <v>24</v>
      </c>
      <c r="O529" s="181"/>
      <c r="P529" s="181"/>
      <c r="Q529" s="181"/>
      <c r="R529" s="181"/>
      <c r="S529" s="181" t="s">
        <v>63</v>
      </c>
      <c r="T529" s="184"/>
      <c r="U529" s="182">
        <f t="shared" si="230"/>
        <v>5</v>
      </c>
      <c r="V529" s="182">
        <f t="shared" si="231"/>
        <v>0.6</v>
      </c>
      <c r="W529" s="110"/>
      <c r="X529" s="182">
        <f t="shared" si="209"/>
        <v>0</v>
      </c>
      <c r="Y529" s="182">
        <f t="shared" si="210"/>
        <v>0</v>
      </c>
      <c r="Z529" s="182">
        <f t="shared" si="211"/>
        <v>0.6</v>
      </c>
      <c r="AA529" s="182">
        <f t="shared" si="212"/>
        <v>0</v>
      </c>
      <c r="AB529" s="182">
        <f t="shared" si="213"/>
        <v>0</v>
      </c>
      <c r="AC529" s="182">
        <f t="shared" si="214"/>
        <v>0.6</v>
      </c>
      <c r="AD529" s="182">
        <f t="shared" si="215"/>
        <v>0</v>
      </c>
      <c r="AE529" s="182">
        <f t="shared" si="216"/>
        <v>0.6</v>
      </c>
      <c r="AF529" s="182">
        <f t="shared" si="217"/>
        <v>0</v>
      </c>
      <c r="AG529" s="182">
        <f t="shared" si="218"/>
        <v>0</v>
      </c>
      <c r="AH529" s="182">
        <f t="shared" si="219"/>
        <v>0</v>
      </c>
      <c r="AI529" s="182">
        <f t="shared" si="220"/>
        <v>0</v>
      </c>
      <c r="AJ529" s="182">
        <f t="shared" si="221"/>
        <v>0.6</v>
      </c>
      <c r="AK529" s="182">
        <f t="shared" si="222"/>
        <v>0</v>
      </c>
      <c r="AL529" s="182">
        <f t="shared" si="223"/>
        <v>0</v>
      </c>
      <c r="AM529" s="182">
        <f t="shared" si="224"/>
        <v>0</v>
      </c>
      <c r="AN529" s="182">
        <f t="shared" si="225"/>
        <v>0</v>
      </c>
      <c r="AO529" s="182">
        <f t="shared" si="226"/>
        <v>0.6</v>
      </c>
      <c r="AP529" s="110"/>
      <c r="AQ529" s="110"/>
      <c r="AR529" s="182">
        <f t="shared" si="227"/>
        <v>3</v>
      </c>
      <c r="AS529" s="182">
        <f t="shared" si="228"/>
        <v>5</v>
      </c>
      <c r="AT529" s="182" t="str">
        <f t="shared" si="232"/>
        <v>Correct</v>
      </c>
      <c r="AU529" s="142"/>
      <c r="AV529" s="120" t="str">
        <f>IFERROR(VLOOKUP(Table1[RespondentID],'All Data'!$A$3:$CO$999,87,FALSE),"unknown")</f>
        <v>Woman</v>
      </c>
      <c r="AW529" s="120">
        <f>IFERROR(VLOOKUP(Table1[RespondentID],'All Data'!$A$3:$CO$999,88,FALSE),"unknown")</f>
        <v>0</v>
      </c>
      <c r="AX529" s="120" t="str">
        <f>IFERROR(VLOOKUP(Table1[RespondentID],'All Data'!$A$3:$CO$999,89,FALSE),"unknown")</f>
        <v>Nassau</v>
      </c>
      <c r="AY529" s="120">
        <f>IFERROR(VLOOKUP(Table1[RespondentID],'All Data'!$A$3:$CO$999,90,FALSE),"unknown")</f>
        <v>0</v>
      </c>
      <c r="AZ529" s="120">
        <f>IFERROR(VLOOKUP(Table1[RespondentID],'All Data'!$A$3:$CO$999,91,FALSE),"unknown")</f>
        <v>0</v>
      </c>
      <c r="BA529" s="120">
        <f>IFERROR(VLOOKUP(Table1[RespondentID],'All Data'!$A$3:$CO$999,92,FALSE),"unknown")</f>
        <v>0</v>
      </c>
      <c r="BB529" s="120">
        <f>IFERROR(VLOOKUP(Table1[RespondentID],'All Data'!$A$3:$CO$999,93,FALSE),"unknown")</f>
        <v>0</v>
      </c>
      <c r="BC529" s="120">
        <f>IFERROR(VLOOKUP(Table1[RespondentID],'All Data'!$A$3:$CW$999,94,FALSE),"unknown")</f>
        <v>0</v>
      </c>
      <c r="BD529" s="120">
        <f>IFERROR(VLOOKUP(Table1[RespondentID],'All Data'!$A$3:$CW$999,95,FALSE),"unknown")</f>
        <v>0</v>
      </c>
      <c r="BE529" s="120">
        <f>IFERROR(VLOOKUP(Table1[RespondentID],'All Data'!$A$3:$CW$999,96,FALSE),"unknown")</f>
        <v>0</v>
      </c>
      <c r="BF529" s="120">
        <f>IFERROR(VLOOKUP(Table1[RespondentID],'All Data'!$A$3:$CW$999,97,FALSE),"unknown")</f>
        <v>0</v>
      </c>
      <c r="BG529" s="120">
        <f>IFERROR(VLOOKUP(Table1[RespondentID],'All Data'!$A$3:$CW$999,98,FALSE),"unknown")</f>
        <v>0</v>
      </c>
      <c r="BH529" s="120">
        <f>IFERROR(VLOOKUP(Table1[RespondentID],'All Data'!$A$3:$CW$999,99,FALSE),"unknown")</f>
        <v>0</v>
      </c>
    </row>
    <row r="530" spans="1:60">
      <c r="A530" s="141">
        <v>18029414524</v>
      </c>
      <c r="B530" s="180"/>
      <c r="C530" s="181"/>
      <c r="D530" s="181"/>
      <c r="E530" s="181"/>
      <c r="F530" s="181"/>
      <c r="G530" s="181"/>
      <c r="H530" s="181"/>
      <c r="I530" s="181"/>
      <c r="J530" s="181"/>
      <c r="K530" s="181"/>
      <c r="L530" s="181"/>
      <c r="M530" s="181"/>
      <c r="N530" s="181"/>
      <c r="O530" s="181"/>
      <c r="P530" s="181"/>
      <c r="Q530" s="181"/>
      <c r="R530" s="181"/>
      <c r="S530" s="181"/>
      <c r="T530" s="184"/>
      <c r="U530" s="185">
        <f t="shared" si="230"/>
        <v>0</v>
      </c>
      <c r="V530" s="185" t="e">
        <f t="shared" si="231"/>
        <v>#DIV/0!</v>
      </c>
      <c r="W530" s="110"/>
      <c r="X530" s="185">
        <f t="shared" si="209"/>
        <v>0</v>
      </c>
      <c r="Y530" s="185">
        <f t="shared" si="210"/>
        <v>0</v>
      </c>
      <c r="Z530" s="185">
        <f t="shared" si="211"/>
        <v>0</v>
      </c>
      <c r="AA530" s="185">
        <f t="shared" si="212"/>
        <v>0</v>
      </c>
      <c r="AB530" s="185">
        <f t="shared" si="213"/>
        <v>0</v>
      </c>
      <c r="AC530" s="185">
        <f t="shared" si="214"/>
        <v>0</v>
      </c>
      <c r="AD530" s="185">
        <f t="shared" si="215"/>
        <v>0</v>
      </c>
      <c r="AE530" s="185">
        <f t="shared" si="216"/>
        <v>0</v>
      </c>
      <c r="AF530" s="185">
        <f t="shared" si="217"/>
        <v>0</v>
      </c>
      <c r="AG530" s="185">
        <f t="shared" si="218"/>
        <v>0</v>
      </c>
      <c r="AH530" s="185">
        <f t="shared" si="219"/>
        <v>0</v>
      </c>
      <c r="AI530" s="185">
        <f t="shared" si="220"/>
        <v>0</v>
      </c>
      <c r="AJ530" s="185">
        <f t="shared" si="221"/>
        <v>0</v>
      </c>
      <c r="AK530" s="185">
        <f t="shared" si="222"/>
        <v>0</v>
      </c>
      <c r="AL530" s="185">
        <f t="shared" si="223"/>
        <v>0</v>
      </c>
      <c r="AM530" s="185">
        <f t="shared" si="224"/>
        <v>0</v>
      </c>
      <c r="AN530" s="185">
        <f t="shared" si="225"/>
        <v>0</v>
      </c>
      <c r="AO530" s="185">
        <f t="shared" si="226"/>
        <v>0</v>
      </c>
      <c r="AP530" s="110"/>
      <c r="AQ530" s="110"/>
      <c r="AR530" s="185">
        <f t="shared" si="227"/>
        <v>0</v>
      </c>
      <c r="AS530" s="185">
        <f t="shared" si="228"/>
        <v>0</v>
      </c>
      <c r="AT530" s="185" t="str">
        <f t="shared" si="232"/>
        <v>Correct</v>
      </c>
      <c r="AU530" s="142"/>
      <c r="AV530" s="120">
        <f>IFERROR(VLOOKUP(Table1[RespondentID],'All Data'!$A$3:$CO$999,87,FALSE),"unknown")</f>
        <v>0</v>
      </c>
      <c r="AW530" s="120">
        <f>IFERROR(VLOOKUP(Table1[RespondentID],'All Data'!$A$3:$CO$999,88,FALSE),"unknown")</f>
        <v>0</v>
      </c>
      <c r="AX530" s="120">
        <f>IFERROR(VLOOKUP(Table1[RespondentID],'All Data'!$A$3:$CO$999,89,FALSE),"unknown")</f>
        <v>0</v>
      </c>
      <c r="AY530" s="120" t="str">
        <f>IFERROR(VLOOKUP(Table1[RespondentID],'All Data'!$A$3:$CO$999,90,FALSE),"unknown")</f>
        <v>Floral Park, 11001</v>
      </c>
      <c r="AZ530" s="120">
        <f>IFERROR(VLOOKUP(Table1[RespondentID],'All Data'!$A$3:$CO$999,91,FALSE),"unknown")</f>
        <v>0</v>
      </c>
      <c r="BA530" s="120">
        <f>IFERROR(VLOOKUP(Table1[RespondentID],'All Data'!$A$3:$CO$999,92,FALSE),"unknown")</f>
        <v>0</v>
      </c>
      <c r="BB530" s="120">
        <f>IFERROR(VLOOKUP(Table1[RespondentID],'All Data'!$A$3:$CO$999,93,FALSE),"unknown")</f>
        <v>0</v>
      </c>
      <c r="BC530" s="120">
        <f>IFERROR(VLOOKUP(Table1[RespondentID],'All Data'!$A$3:$CW$999,94,FALSE),"unknown")</f>
        <v>0</v>
      </c>
      <c r="BD530" s="120">
        <f>IFERROR(VLOOKUP(Table1[RespondentID],'All Data'!$A$3:$CW$999,95,FALSE),"unknown")</f>
        <v>0</v>
      </c>
      <c r="BE530" s="120">
        <f>IFERROR(VLOOKUP(Table1[RespondentID],'All Data'!$A$3:$CW$999,96,FALSE),"unknown")</f>
        <v>0</v>
      </c>
      <c r="BF530" s="120">
        <f>IFERROR(VLOOKUP(Table1[RespondentID],'All Data'!$A$3:$CW$999,97,FALSE),"unknown")</f>
        <v>0</v>
      </c>
      <c r="BG530" s="120">
        <f>IFERROR(VLOOKUP(Table1[RespondentID],'All Data'!$A$3:$CW$999,98,FALSE),"unknown")</f>
        <v>0</v>
      </c>
      <c r="BH530" s="120">
        <f>IFERROR(VLOOKUP(Table1[RespondentID],'All Data'!$A$3:$CW$999,99,FALSE),"unknown")</f>
        <v>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0"/>
  <sheetViews>
    <sheetView workbookViewId="0"/>
  </sheetViews>
  <sheetFormatPr defaultRowHeight="14.5"/>
  <cols>
    <col min="1" max="1" width="11" customWidth="1"/>
    <col min="2" max="2" width="25.81640625" customWidth="1"/>
    <col min="3" max="3" width="7.26953125" customWidth="1"/>
    <col min="4" max="4" width="36.7265625" customWidth="1"/>
    <col min="5" max="5" width="16.54296875" customWidth="1"/>
    <col min="6" max="6" width="21.7265625" customWidth="1"/>
    <col min="7" max="7" width="10.1796875" customWidth="1"/>
    <col min="8" max="8" width="18.7265625" customWidth="1"/>
    <col min="9" max="9" width="6" customWidth="1"/>
    <col min="10" max="10" width="9.26953125" customWidth="1"/>
    <col min="11" max="11" width="8.26953125" customWidth="1"/>
    <col min="12" max="12" width="20.81640625" customWidth="1"/>
    <col min="13" max="13" width="8.26953125" customWidth="1"/>
    <col min="14" max="14" width="14.7265625" customWidth="1"/>
    <col min="15" max="15" width="14.7265625" style="5" customWidth="1"/>
    <col min="16" max="16" width="11" customWidth="1"/>
    <col min="17" max="17" width="14.26953125" customWidth="1"/>
    <col min="18" max="18" width="3" customWidth="1"/>
    <col min="19" max="19" width="7.26953125" customWidth="1"/>
    <col min="20" max="20" width="26.7265625" customWidth="1"/>
    <col min="21" max="21" width="22.453125" customWidth="1"/>
    <col min="22" max="22" width="4" customWidth="1"/>
    <col min="23" max="23" width="88.7265625" bestFit="1" customWidth="1"/>
    <col min="24" max="24" width="18.1796875" customWidth="1"/>
    <col min="25" max="25" width="19.7265625" customWidth="1"/>
    <col min="26" max="26" width="35.1796875" customWidth="1"/>
    <col min="27" max="27" width="22" customWidth="1"/>
    <col min="28" max="28" width="13.36328125" customWidth="1"/>
  </cols>
  <sheetData>
    <row r="1" spans="1:28" s="51" customFormat="1" ht="16">
      <c r="A1" s="36" t="s">
        <v>0</v>
      </c>
      <c r="B1" s="89" t="s">
        <v>64</v>
      </c>
      <c r="C1" s="36" t="s">
        <v>65</v>
      </c>
      <c r="D1" s="36" t="s">
        <v>66</v>
      </c>
      <c r="E1" s="36" t="s">
        <v>67</v>
      </c>
      <c r="F1" s="36" t="s">
        <v>68</v>
      </c>
      <c r="G1" s="36" t="s">
        <v>69</v>
      </c>
      <c r="H1" s="36" t="s">
        <v>70</v>
      </c>
      <c r="I1" s="36" t="s">
        <v>71</v>
      </c>
      <c r="J1" s="36" t="s">
        <v>72</v>
      </c>
      <c r="K1" s="36" t="s">
        <v>73</v>
      </c>
      <c r="L1" s="36" t="s">
        <v>74</v>
      </c>
      <c r="M1" s="36" t="s">
        <v>75</v>
      </c>
      <c r="N1" s="90" t="s">
        <v>76</v>
      </c>
      <c r="O1" s="87" t="s">
        <v>207</v>
      </c>
      <c r="P1" s="13" t="s">
        <v>6</v>
      </c>
      <c r="Q1" s="12" t="s">
        <v>7</v>
      </c>
      <c r="R1" s="12" t="s">
        <v>8</v>
      </c>
      <c r="S1" s="12" t="s">
        <v>188</v>
      </c>
      <c r="T1" s="12" t="s">
        <v>9</v>
      </c>
      <c r="U1" s="12" t="s">
        <v>10</v>
      </c>
      <c r="V1" s="12" t="s">
        <v>11</v>
      </c>
      <c r="W1" s="12" t="s">
        <v>12</v>
      </c>
      <c r="X1" s="12" t="s">
        <v>13</v>
      </c>
      <c r="Y1" s="12" t="s">
        <v>14</v>
      </c>
      <c r="Z1" s="12" t="s">
        <v>15</v>
      </c>
      <c r="AA1" s="12" t="s">
        <v>394</v>
      </c>
      <c r="AB1" s="12" t="s">
        <v>382</v>
      </c>
    </row>
    <row r="2" spans="1:28">
      <c r="A2" s="5">
        <v>18025536856</v>
      </c>
      <c r="B2" s="5"/>
      <c r="C2" s="5"/>
      <c r="D2" s="5"/>
      <c r="E2" s="5"/>
      <c r="F2" s="5"/>
      <c r="G2" s="5" t="s">
        <v>69</v>
      </c>
      <c r="H2" s="5"/>
      <c r="I2" s="5"/>
      <c r="J2" s="5"/>
      <c r="K2" s="5" t="s">
        <v>73</v>
      </c>
      <c r="L2" s="5"/>
      <c r="M2" s="5"/>
      <c r="N2" s="5"/>
      <c r="O2" s="145"/>
      <c r="P2" s="120" t="str">
        <f>IFERROR(VLOOKUP(Table1[RespondentID],'All Data'!$A$3:$CO$999,87,FALSE),"unknown")</f>
        <v>Man</v>
      </c>
      <c r="Q2" s="120">
        <f>IFERROR(VLOOKUP(Table1[RespondentID],'All Data'!$A$3:$CO$999,88,FALSE),"unknown")</f>
        <v>41</v>
      </c>
      <c r="R2" s="120" t="str">
        <f>IFERROR(VLOOKUP(Table1[RespondentID],'All Data'!$A$3:$CO$999,89,FALSE),"unknown")</f>
        <v>Suffolk</v>
      </c>
      <c r="S2" s="120" t="str">
        <f>IFERROR(VLOOKUP(Table1[RespondentID],'All Data'!$A$3:$CO$999,90,FALSE),"unknown")</f>
        <v>Ridge, 11961</v>
      </c>
      <c r="T2" s="120" t="str">
        <f>IFERROR(VLOOKUP(Table1[RespondentID],'All Data'!$A$3:$CO$999,91,FALSE),"unknown")</f>
        <v>Asian</v>
      </c>
      <c r="U2" s="120" t="str">
        <f>IFERROR(VLOOKUP(Table1[RespondentID],'All Data'!$A$3:$CO$999,92,FALSE),"unknown")</f>
        <v>Not Hispanic or Latino</v>
      </c>
      <c r="V2" s="120">
        <f>IFERROR(VLOOKUP(Table1[RespondentID],'All Data'!$A$3:$CO$999,93,FALSE),"unknown")</f>
        <v>0</v>
      </c>
      <c r="W2" s="120" t="str">
        <f>IFERROR(VLOOKUP(Table1[RespondentID],'All Data'!$A$3:$CW$999,94,FALSE),"unknown")</f>
        <v>$50,000 to $74,999</v>
      </c>
      <c r="X2" s="120" t="str">
        <f>IFERROR(VLOOKUP(Table1[RespondentID],'All Data'!$A$3:$CW$999,95,FALSE),"unknown")</f>
        <v>Other (please specify)</v>
      </c>
      <c r="Y2" s="120" t="str">
        <f>IFERROR(VLOOKUP(Table1[RespondentID],'All Data'!$A$3:$CW$999,96,FALSE),"unknown")</f>
        <v>Self-employed</v>
      </c>
      <c r="Z2" s="120" t="str">
        <f>IFERROR(VLOOKUP(Table1[RespondentID],'All Data'!$A$3:$CW$999,97,FALSE),"unknown")</f>
        <v>Yes</v>
      </c>
      <c r="AA2" s="120" t="str">
        <f>IFERROR(VLOOKUP(Table1[RespondentID],'All Data'!$A$3:$CW$999,98,FALSE),"unknown")</f>
        <v>Medicare</v>
      </c>
      <c r="AB2" s="150">
        <f>IFERROR(VLOOKUP(Table1[RespondentID],'All Data'!$A$3:$CW$999,99,FALSE),"unknown")</f>
        <v>0</v>
      </c>
    </row>
    <row r="3" spans="1:28">
      <c r="A3" s="5">
        <v>18025536720</v>
      </c>
      <c r="B3" s="5" t="s">
        <v>64</v>
      </c>
      <c r="C3" s="5"/>
      <c r="D3" s="5"/>
      <c r="E3" s="5" t="s">
        <v>67</v>
      </c>
      <c r="F3" s="5"/>
      <c r="G3" s="5"/>
      <c r="H3" s="5" t="s">
        <v>70</v>
      </c>
      <c r="I3" s="5"/>
      <c r="J3" s="5"/>
      <c r="K3" s="5"/>
      <c r="L3" s="5"/>
      <c r="M3" s="5"/>
      <c r="N3" s="5"/>
      <c r="O3" s="145"/>
      <c r="P3" s="120" t="str">
        <f>IFERROR(VLOOKUP(Table1[RespondentID],'All Data'!$A$3:$CO$999,87,FALSE),"unknown")</f>
        <v>Woman</v>
      </c>
      <c r="Q3" s="120">
        <f>IFERROR(VLOOKUP(Table1[RespondentID],'All Data'!$A$3:$CO$999,88,FALSE),"unknown")</f>
        <v>45</v>
      </c>
      <c r="R3" s="120" t="str">
        <f>IFERROR(VLOOKUP(Table1[RespondentID],'All Data'!$A$3:$CO$999,89,FALSE),"unknown")</f>
        <v>Suffolk</v>
      </c>
      <c r="S3" s="120" t="str">
        <f>IFERROR(VLOOKUP(Table1[RespondentID],'All Data'!$A$3:$CO$999,90,FALSE),"unknown")</f>
        <v>Middle Island, 11953</v>
      </c>
      <c r="T3" s="120" t="str">
        <f>IFERROR(VLOOKUP(Table1[RespondentID],'All Data'!$A$3:$CO$999,91,FALSE),"unknown")</f>
        <v>Other (please specify)</v>
      </c>
      <c r="U3" s="120" t="str">
        <f>IFERROR(VLOOKUP(Table1[RespondentID],'All Data'!$A$3:$CO$999,92,FALSE),"unknown")</f>
        <v>Not Hispanic or Latino</v>
      </c>
      <c r="V3" s="120">
        <f>IFERROR(VLOOKUP(Table1[RespondentID],'All Data'!$A$3:$CO$999,93,FALSE),"unknown")</f>
        <v>0</v>
      </c>
      <c r="W3" s="120" t="str">
        <f>IFERROR(VLOOKUP(Table1[RespondentID],'All Data'!$A$3:$CW$999,94,FALSE),"unknown")</f>
        <v>$20,000 to $34,999</v>
      </c>
      <c r="X3" s="120" t="str">
        <f>IFERROR(VLOOKUP(Table1[RespondentID],'All Data'!$A$3:$CW$999,95,FALSE),"unknown")</f>
        <v>College graduate</v>
      </c>
      <c r="Y3" s="120" t="str">
        <f>IFERROR(VLOOKUP(Table1[RespondentID],'All Data'!$A$3:$CW$999,96,FALSE),"unknown")</f>
        <v>Self-employed</v>
      </c>
      <c r="Z3" s="120" t="str">
        <f>IFERROR(VLOOKUP(Table1[RespondentID],'All Data'!$A$3:$CW$999,97,FALSE),"unknown")</f>
        <v>Yes</v>
      </c>
      <c r="AA3" s="120" t="str">
        <f>IFERROR(VLOOKUP(Table1[RespondentID],'All Data'!$A$3:$CW$999,98,FALSE),"unknown")</f>
        <v>Medicare</v>
      </c>
      <c r="AB3" s="150">
        <f>IFERROR(VLOOKUP(Table1[RespondentID],'All Data'!$A$3:$CW$999,99,FALSE),"unknown")</f>
        <v>0</v>
      </c>
    </row>
    <row r="4" spans="1:28">
      <c r="A4" s="5">
        <v>18025536611</v>
      </c>
      <c r="B4" s="5"/>
      <c r="C4" s="5"/>
      <c r="D4" s="5"/>
      <c r="E4" s="5"/>
      <c r="F4" s="5"/>
      <c r="G4" s="5" t="s">
        <v>69</v>
      </c>
      <c r="H4" s="5"/>
      <c r="I4" s="5"/>
      <c r="J4" s="5"/>
      <c r="K4" s="5"/>
      <c r="L4" s="5"/>
      <c r="M4" s="5"/>
      <c r="N4" s="5"/>
      <c r="O4" s="145"/>
      <c r="P4" s="120" t="str">
        <f>IFERROR(VLOOKUP(Table1[RespondentID],'All Data'!$A$3:$CO$999,87,FALSE),"unknown")</f>
        <v>Woman</v>
      </c>
      <c r="Q4" s="120">
        <f>IFERROR(VLOOKUP(Table1[RespondentID],'All Data'!$A$3:$CO$999,88,FALSE),"unknown")</f>
        <v>41</v>
      </c>
      <c r="R4" s="120" t="str">
        <f>IFERROR(VLOOKUP(Table1[RespondentID],'All Data'!$A$3:$CO$999,89,FALSE),"unknown")</f>
        <v>Suffolk</v>
      </c>
      <c r="S4" s="120" t="str">
        <f>IFERROR(VLOOKUP(Table1[RespondentID],'All Data'!$A$3:$CO$999,90,FALSE),"unknown")</f>
        <v>Ridge, 11961</v>
      </c>
      <c r="T4" s="120" t="str">
        <f>IFERROR(VLOOKUP(Table1[RespondentID],'All Data'!$A$3:$CO$999,91,FALSE),"unknown")</f>
        <v>Asian</v>
      </c>
      <c r="U4" s="120" t="str">
        <f>IFERROR(VLOOKUP(Table1[RespondentID],'All Data'!$A$3:$CO$999,92,FALSE),"unknown")</f>
        <v>Not Hispanic or Latino</v>
      </c>
      <c r="V4" s="120">
        <f>IFERROR(VLOOKUP(Table1[RespondentID],'All Data'!$A$3:$CO$999,93,FALSE),"unknown")</f>
        <v>0</v>
      </c>
      <c r="W4" s="120" t="str">
        <f>IFERROR(VLOOKUP(Table1[RespondentID],'All Data'!$A$3:$CW$999,94,FALSE),"unknown")</f>
        <v>$20,000 to $34,999</v>
      </c>
      <c r="X4" s="120" t="str">
        <f>IFERROR(VLOOKUP(Table1[RespondentID],'All Data'!$A$3:$CW$999,95,FALSE),"unknown")</f>
        <v>Graduate school</v>
      </c>
      <c r="Y4" s="120" t="str">
        <f>IFERROR(VLOOKUP(Table1[RespondentID],'All Data'!$A$3:$CW$999,96,FALSE),"unknown")</f>
        <v>Self-employed</v>
      </c>
      <c r="Z4" s="120">
        <f>IFERROR(VLOOKUP(Table1[RespondentID],'All Data'!$A$3:$CW$999,97,FALSE),"unknown")</f>
        <v>0</v>
      </c>
      <c r="AA4" s="120" t="str">
        <f>IFERROR(VLOOKUP(Table1[RespondentID],'All Data'!$A$3:$CW$999,98,FALSE),"unknown")</f>
        <v>Private/Commercial</v>
      </c>
      <c r="AB4" s="150">
        <f>IFERROR(VLOOKUP(Table1[RespondentID],'All Data'!$A$3:$CW$999,99,FALSE),"unknown")</f>
        <v>0</v>
      </c>
    </row>
    <row r="5" spans="1:28">
      <c r="A5" s="5">
        <v>18025536366</v>
      </c>
      <c r="B5" s="5" t="s">
        <v>64</v>
      </c>
      <c r="C5" s="5"/>
      <c r="D5" s="5" t="s">
        <v>66</v>
      </c>
      <c r="E5" s="5"/>
      <c r="F5" s="5"/>
      <c r="G5" s="5"/>
      <c r="H5" s="5"/>
      <c r="I5" s="5"/>
      <c r="J5" s="5" t="s">
        <v>72</v>
      </c>
      <c r="K5" s="5"/>
      <c r="L5" s="5"/>
      <c r="M5" s="5"/>
      <c r="N5" s="5"/>
      <c r="O5" s="145"/>
      <c r="P5" s="120" t="str">
        <f>IFERROR(VLOOKUP(Table1[RespondentID],'All Data'!$A$3:$CO$999,87,FALSE),"unknown")</f>
        <v>Woman</v>
      </c>
      <c r="Q5" s="120">
        <f>IFERROR(VLOOKUP(Table1[RespondentID],'All Data'!$A$3:$CO$999,88,FALSE),"unknown")</f>
        <v>49</v>
      </c>
      <c r="R5" s="120" t="str">
        <f>IFERROR(VLOOKUP(Table1[RespondentID],'All Data'!$A$3:$CO$999,89,FALSE),"unknown")</f>
        <v>Suffolk</v>
      </c>
      <c r="S5" s="120" t="str">
        <f>IFERROR(VLOOKUP(Table1[RespondentID],'All Data'!$A$3:$CO$999,90,FALSE),"unknown")</f>
        <v>Middle Island, 11953</v>
      </c>
      <c r="T5" s="120" t="str">
        <f>IFERROR(VLOOKUP(Table1[RespondentID],'All Data'!$A$3:$CO$999,91,FALSE),"unknown")</f>
        <v>White</v>
      </c>
      <c r="U5" s="120" t="str">
        <f>IFERROR(VLOOKUP(Table1[RespondentID],'All Data'!$A$3:$CO$999,92,FALSE),"unknown")</f>
        <v>Not Hispanic or Latino</v>
      </c>
      <c r="V5" s="120" t="str">
        <f>IFERROR(VLOOKUP(Table1[RespondentID],'All Data'!$A$3:$CO$999,93,FALSE),"unknown")</f>
        <v>English</v>
      </c>
      <c r="W5" s="120" t="str">
        <f>IFERROR(VLOOKUP(Table1[RespondentID],'All Data'!$A$3:$CW$999,94,FALSE),"unknown")</f>
        <v>$20,000 to $34,999</v>
      </c>
      <c r="X5" s="120" t="str">
        <f>IFERROR(VLOOKUP(Table1[RespondentID],'All Data'!$A$3:$CW$999,95,FALSE),"unknown")</f>
        <v>College graduate</v>
      </c>
      <c r="Y5" s="120" t="str">
        <f>IFERROR(VLOOKUP(Table1[RespondentID],'All Data'!$A$3:$CW$999,96,FALSE),"unknown")</f>
        <v>Self-employed</v>
      </c>
      <c r="Z5" s="120" t="str">
        <f>IFERROR(VLOOKUP(Table1[RespondentID],'All Data'!$A$3:$CW$999,97,FALSE),"unknown")</f>
        <v>Yes</v>
      </c>
      <c r="AA5" s="120" t="str">
        <f>IFERROR(VLOOKUP(Table1[RespondentID],'All Data'!$A$3:$CW$999,98,FALSE),"unknown")</f>
        <v>Medicaid</v>
      </c>
      <c r="AB5" s="150">
        <f>IFERROR(VLOOKUP(Table1[RespondentID],'All Data'!$A$3:$CW$999,99,FALSE),"unknown")</f>
        <v>0</v>
      </c>
    </row>
    <row r="6" spans="1:28">
      <c r="A6" s="5">
        <v>18025536248</v>
      </c>
      <c r="B6" s="5"/>
      <c r="C6" s="5"/>
      <c r="D6" s="5"/>
      <c r="E6" s="5" t="s">
        <v>67</v>
      </c>
      <c r="F6" s="5"/>
      <c r="G6" s="5" t="s">
        <v>69</v>
      </c>
      <c r="H6" s="5"/>
      <c r="I6" s="5"/>
      <c r="J6" s="5"/>
      <c r="K6" s="5"/>
      <c r="L6" s="5"/>
      <c r="M6" s="5"/>
      <c r="N6" s="5"/>
      <c r="O6" s="145"/>
      <c r="P6" s="120" t="str">
        <f>IFERROR(VLOOKUP(Table1[RespondentID],'All Data'!$A$3:$CO$999,87,FALSE),"unknown")</f>
        <v>Man</v>
      </c>
      <c r="Q6" s="120">
        <f>IFERROR(VLOOKUP(Table1[RespondentID],'All Data'!$A$3:$CO$999,88,FALSE),"unknown")</f>
        <v>36</v>
      </c>
      <c r="R6" s="120" t="str">
        <f>IFERROR(VLOOKUP(Table1[RespondentID],'All Data'!$A$3:$CO$999,89,FALSE),"unknown")</f>
        <v>Suffolk</v>
      </c>
      <c r="S6" s="120" t="str">
        <f>IFERROR(VLOOKUP(Table1[RespondentID],'All Data'!$A$3:$CO$999,90,FALSE),"unknown")</f>
        <v>Middle Island, 11953</v>
      </c>
      <c r="T6" s="120" t="str">
        <f>IFERROR(VLOOKUP(Table1[RespondentID],'All Data'!$A$3:$CO$999,91,FALSE),"unknown")</f>
        <v>Other (please specify)</v>
      </c>
      <c r="U6" s="120" t="str">
        <f>IFERROR(VLOOKUP(Table1[RespondentID],'All Data'!$A$3:$CO$999,92,FALSE),"unknown")</f>
        <v>Hispanic or Latino</v>
      </c>
      <c r="V6" s="120" t="str">
        <f>IFERROR(VLOOKUP(Table1[RespondentID],'All Data'!$A$3:$CO$999,93,FALSE),"unknown")</f>
        <v>Spanish</v>
      </c>
      <c r="W6" s="120" t="str">
        <f>IFERROR(VLOOKUP(Table1[RespondentID],'All Data'!$A$3:$CW$999,94,FALSE),"unknown")</f>
        <v>$0-$19,999</v>
      </c>
      <c r="X6" s="120" t="str">
        <f>IFERROR(VLOOKUP(Table1[RespondentID],'All Data'!$A$3:$CW$999,95,FALSE),"unknown")</f>
        <v>Technical school</v>
      </c>
      <c r="Y6" s="120" t="str">
        <f>IFERROR(VLOOKUP(Table1[RespondentID],'All Data'!$A$3:$CW$999,96,FALSE),"unknown")</f>
        <v>Out of work and looking for work</v>
      </c>
      <c r="Z6" s="120" t="str">
        <f>IFERROR(VLOOKUP(Table1[RespondentID],'All Data'!$A$3:$CW$999,97,FALSE),"unknown")</f>
        <v>Yes</v>
      </c>
      <c r="AA6" s="120" t="str">
        <f>IFERROR(VLOOKUP(Table1[RespondentID],'All Data'!$A$3:$CW$999,98,FALSE),"unknown")</f>
        <v>Medicaid</v>
      </c>
      <c r="AB6" s="150">
        <f>IFERROR(VLOOKUP(Table1[RespondentID],'All Data'!$A$3:$CW$999,99,FALSE),"unknown")</f>
        <v>0</v>
      </c>
    </row>
    <row r="7" spans="1:28">
      <c r="A7" s="5">
        <v>18025536153</v>
      </c>
      <c r="B7" s="5" t="s">
        <v>64</v>
      </c>
      <c r="C7" s="5"/>
      <c r="D7" s="5"/>
      <c r="E7" s="5"/>
      <c r="F7" s="5"/>
      <c r="G7" s="5"/>
      <c r="H7" s="5"/>
      <c r="I7" s="5"/>
      <c r="J7" s="5"/>
      <c r="K7" s="5"/>
      <c r="L7" s="5"/>
      <c r="M7" s="5"/>
      <c r="N7" s="5"/>
      <c r="O7" s="145"/>
      <c r="P7" s="120" t="str">
        <f>IFERROR(VLOOKUP(Table1[RespondentID],'All Data'!$A$3:$CO$999,87,FALSE),"unknown")</f>
        <v>Woman</v>
      </c>
      <c r="Q7" s="120">
        <f>IFERROR(VLOOKUP(Table1[RespondentID],'All Data'!$A$3:$CO$999,88,FALSE),"unknown")</f>
        <v>34</v>
      </c>
      <c r="R7" s="120" t="str">
        <f>IFERROR(VLOOKUP(Table1[RespondentID],'All Data'!$A$3:$CO$999,89,FALSE),"unknown")</f>
        <v>Suffolk</v>
      </c>
      <c r="S7" s="120" t="str">
        <f>IFERROR(VLOOKUP(Table1[RespondentID],'All Data'!$A$3:$CO$999,90,FALSE),"unknown")</f>
        <v>Ridge, 11961</v>
      </c>
      <c r="T7" s="120" t="str">
        <f>IFERROR(VLOOKUP(Table1[RespondentID],'All Data'!$A$3:$CO$999,91,FALSE),"unknown")</f>
        <v>Asian</v>
      </c>
      <c r="U7" s="120" t="str">
        <f>IFERROR(VLOOKUP(Table1[RespondentID],'All Data'!$A$3:$CO$999,92,FALSE),"unknown")</f>
        <v>Not Hispanic or Latino</v>
      </c>
      <c r="V7" s="120">
        <f>IFERROR(VLOOKUP(Table1[RespondentID],'All Data'!$A$3:$CO$999,93,FALSE),"unknown")</f>
        <v>0</v>
      </c>
      <c r="W7" s="120" t="str">
        <f>IFERROR(VLOOKUP(Table1[RespondentID],'All Data'!$A$3:$CW$999,94,FALSE),"unknown")</f>
        <v>$0-$19,999</v>
      </c>
      <c r="X7" s="120" t="str">
        <f>IFERROR(VLOOKUP(Table1[RespondentID],'All Data'!$A$3:$CW$999,95,FALSE),"unknown")</f>
        <v>Graduate school</v>
      </c>
      <c r="Y7" s="120">
        <f>IFERROR(VLOOKUP(Table1[RespondentID],'All Data'!$A$3:$CW$999,96,FALSE),"unknown")</f>
        <v>0</v>
      </c>
      <c r="Z7" s="120" t="str">
        <f>IFERROR(VLOOKUP(Table1[RespondentID],'All Data'!$A$3:$CW$999,97,FALSE),"unknown")</f>
        <v>Yes</v>
      </c>
      <c r="AA7" s="120" t="str">
        <f>IFERROR(VLOOKUP(Table1[RespondentID],'All Data'!$A$3:$CW$999,98,FALSE),"unknown")</f>
        <v>Private/Commercial</v>
      </c>
      <c r="AB7" s="150">
        <f>IFERROR(VLOOKUP(Table1[RespondentID],'All Data'!$A$3:$CW$999,99,FALSE),"unknown")</f>
        <v>0</v>
      </c>
    </row>
    <row r="8" spans="1:28">
      <c r="A8" s="5">
        <v>18025536056</v>
      </c>
      <c r="B8" s="5"/>
      <c r="C8" s="5"/>
      <c r="D8" s="5" t="s">
        <v>66</v>
      </c>
      <c r="E8" s="5"/>
      <c r="F8" s="5"/>
      <c r="G8" s="5" t="s">
        <v>69</v>
      </c>
      <c r="H8" s="5"/>
      <c r="I8" s="5"/>
      <c r="J8" s="5"/>
      <c r="K8" s="5"/>
      <c r="L8" s="5"/>
      <c r="M8" s="5"/>
      <c r="N8" s="5"/>
      <c r="O8" s="145"/>
      <c r="P8" s="120" t="str">
        <f>IFERROR(VLOOKUP(Table1[RespondentID],'All Data'!$A$3:$CO$999,87,FALSE),"unknown")</f>
        <v>Man</v>
      </c>
      <c r="Q8" s="120">
        <f>IFERROR(VLOOKUP(Table1[RespondentID],'All Data'!$A$3:$CO$999,88,FALSE),"unknown")</f>
        <v>30</v>
      </c>
      <c r="R8" s="120" t="str">
        <f>IFERROR(VLOOKUP(Table1[RespondentID],'All Data'!$A$3:$CO$999,89,FALSE),"unknown")</f>
        <v>Suffolk</v>
      </c>
      <c r="S8" s="120" t="str">
        <f>IFERROR(VLOOKUP(Table1[RespondentID],'All Data'!$A$3:$CO$999,90,FALSE),"unknown")</f>
        <v>Ridge, 11961</v>
      </c>
      <c r="T8" s="120" t="str">
        <f>IFERROR(VLOOKUP(Table1[RespondentID],'All Data'!$A$3:$CO$999,91,FALSE),"unknown")</f>
        <v>Two or more races</v>
      </c>
      <c r="U8" s="120" t="str">
        <f>IFERROR(VLOOKUP(Table1[RespondentID],'All Data'!$A$3:$CO$999,92,FALSE),"unknown")</f>
        <v>Not Hispanic or Latino</v>
      </c>
      <c r="V8" s="120" t="str">
        <f>IFERROR(VLOOKUP(Table1[RespondentID],'All Data'!$A$3:$CO$999,93,FALSE),"unknown")</f>
        <v>English</v>
      </c>
      <c r="W8" s="120" t="str">
        <f>IFERROR(VLOOKUP(Table1[RespondentID],'All Data'!$A$3:$CW$999,94,FALSE),"unknown")</f>
        <v>$50,000 to $74,999</v>
      </c>
      <c r="X8" s="120" t="str">
        <f>IFERROR(VLOOKUP(Table1[RespondentID],'All Data'!$A$3:$CW$999,95,FALSE),"unknown")</f>
        <v>Some college</v>
      </c>
      <c r="Y8" s="120" t="str">
        <f>IFERROR(VLOOKUP(Table1[RespondentID],'All Data'!$A$3:$CW$999,96,FALSE),"unknown")</f>
        <v>Self-employed</v>
      </c>
      <c r="Z8" s="120" t="str">
        <f>IFERROR(VLOOKUP(Table1[RespondentID],'All Data'!$A$3:$CW$999,97,FALSE),"unknown")</f>
        <v>Yes</v>
      </c>
      <c r="AA8" s="120" t="str">
        <f>IFERROR(VLOOKUP(Table1[RespondentID],'All Data'!$A$3:$CW$999,98,FALSE),"unknown")</f>
        <v>Medicare</v>
      </c>
      <c r="AB8" s="150">
        <f>IFERROR(VLOOKUP(Table1[RespondentID],'All Data'!$A$3:$CW$999,99,FALSE),"unknown")</f>
        <v>0</v>
      </c>
    </row>
    <row r="9" spans="1:28">
      <c r="A9" s="5">
        <v>18025535944</v>
      </c>
      <c r="B9" s="5"/>
      <c r="C9" s="5"/>
      <c r="D9" s="5"/>
      <c r="E9" s="5"/>
      <c r="F9" s="5"/>
      <c r="G9" s="5" t="s">
        <v>69</v>
      </c>
      <c r="H9" s="5"/>
      <c r="I9" s="5"/>
      <c r="J9" s="5"/>
      <c r="K9" s="5"/>
      <c r="L9" s="5"/>
      <c r="M9" s="5"/>
      <c r="N9" s="5"/>
      <c r="O9" s="145"/>
      <c r="P9" s="120" t="str">
        <f>IFERROR(VLOOKUP(Table1[RespondentID],'All Data'!$A$3:$CO$999,87,FALSE),"unknown")</f>
        <v>Woman</v>
      </c>
      <c r="Q9" s="120">
        <f>IFERROR(VLOOKUP(Table1[RespondentID],'All Data'!$A$3:$CO$999,88,FALSE),"unknown")</f>
        <v>43</v>
      </c>
      <c r="R9" s="120" t="str">
        <f>IFERROR(VLOOKUP(Table1[RespondentID],'All Data'!$A$3:$CO$999,89,FALSE),"unknown")</f>
        <v>Suffolk</v>
      </c>
      <c r="S9" s="120" t="str">
        <f>IFERROR(VLOOKUP(Table1[RespondentID],'All Data'!$A$3:$CO$999,90,FALSE),"unknown")</f>
        <v>Ridge, 11961</v>
      </c>
      <c r="T9" s="120" t="str">
        <f>IFERROR(VLOOKUP(Table1[RespondentID],'All Data'!$A$3:$CO$999,91,FALSE),"unknown")</f>
        <v>Asian</v>
      </c>
      <c r="U9" s="120" t="str">
        <f>IFERROR(VLOOKUP(Table1[RespondentID],'All Data'!$A$3:$CO$999,92,FALSE),"unknown")</f>
        <v>Not Hispanic or Latino</v>
      </c>
      <c r="V9" s="120">
        <f>IFERROR(VLOOKUP(Table1[RespondentID],'All Data'!$A$3:$CO$999,93,FALSE),"unknown")</f>
        <v>0</v>
      </c>
      <c r="W9" s="120" t="str">
        <f>IFERROR(VLOOKUP(Table1[RespondentID],'All Data'!$A$3:$CW$999,94,FALSE),"unknown")</f>
        <v>$75,000 to $125,000</v>
      </c>
      <c r="X9" s="120" t="str">
        <f>IFERROR(VLOOKUP(Table1[RespondentID],'All Data'!$A$3:$CW$999,95,FALSE),"unknown")</f>
        <v>Other (please specify)</v>
      </c>
      <c r="Y9" s="120" t="str">
        <f>IFERROR(VLOOKUP(Table1[RespondentID],'All Data'!$A$3:$CW$999,96,FALSE),"unknown")</f>
        <v>Out of work and looking for work</v>
      </c>
      <c r="Z9" s="120" t="str">
        <f>IFERROR(VLOOKUP(Table1[RespondentID],'All Data'!$A$3:$CW$999,97,FALSE),"unknown")</f>
        <v>Yes</v>
      </c>
      <c r="AA9" s="120" t="str">
        <f>IFERROR(VLOOKUP(Table1[RespondentID],'All Data'!$A$3:$CW$999,98,FALSE),"unknown")</f>
        <v>Private/Commercial</v>
      </c>
      <c r="AB9" s="150">
        <f>IFERROR(VLOOKUP(Table1[RespondentID],'All Data'!$A$3:$CW$999,99,FALSE),"unknown")</f>
        <v>0</v>
      </c>
    </row>
    <row r="10" spans="1:28">
      <c r="A10" s="5">
        <v>18025535832</v>
      </c>
      <c r="B10" s="5" t="s">
        <v>64</v>
      </c>
      <c r="C10" s="5"/>
      <c r="D10" s="5"/>
      <c r="E10" s="5"/>
      <c r="F10" s="5"/>
      <c r="G10" s="5"/>
      <c r="H10" s="5"/>
      <c r="I10" s="5"/>
      <c r="J10" s="5"/>
      <c r="K10" s="5"/>
      <c r="L10" s="5"/>
      <c r="M10" s="5"/>
      <c r="N10" s="5"/>
      <c r="O10" s="145"/>
      <c r="P10" s="120" t="str">
        <f>IFERROR(VLOOKUP(Table1[RespondentID],'All Data'!$A$3:$CO$999,87,FALSE),"unknown")</f>
        <v>Woman</v>
      </c>
      <c r="Q10" s="120">
        <f>IFERROR(VLOOKUP(Table1[RespondentID],'All Data'!$A$3:$CO$999,88,FALSE),"unknown")</f>
        <v>20</v>
      </c>
      <c r="R10" s="120" t="str">
        <f>IFERROR(VLOOKUP(Table1[RespondentID],'All Data'!$A$3:$CO$999,89,FALSE),"unknown")</f>
        <v>Suffolk</v>
      </c>
      <c r="S10" s="120" t="str">
        <f>IFERROR(VLOOKUP(Table1[RespondentID],'All Data'!$A$3:$CO$999,90,FALSE),"unknown")</f>
        <v>Ridge, 11961</v>
      </c>
      <c r="T10" s="120" t="str">
        <f>IFERROR(VLOOKUP(Table1[RespondentID],'All Data'!$A$3:$CO$999,91,FALSE),"unknown")</f>
        <v>Asian</v>
      </c>
      <c r="U10" s="120">
        <f>IFERROR(VLOOKUP(Table1[RespondentID],'All Data'!$A$3:$CO$999,92,FALSE),"unknown")</f>
        <v>0</v>
      </c>
      <c r="V10" s="120">
        <f>IFERROR(VLOOKUP(Table1[RespondentID],'All Data'!$A$3:$CO$999,93,FALSE),"unknown")</f>
        <v>0</v>
      </c>
      <c r="W10" s="120" t="str">
        <f>IFERROR(VLOOKUP(Table1[RespondentID],'All Data'!$A$3:$CW$999,94,FALSE),"unknown")</f>
        <v>$0-$19,999</v>
      </c>
      <c r="X10" s="120" t="str">
        <f>IFERROR(VLOOKUP(Table1[RespondentID],'All Data'!$A$3:$CW$999,95,FALSE),"unknown")</f>
        <v>High school graduate</v>
      </c>
      <c r="Y10" s="120" t="str">
        <f>IFERROR(VLOOKUP(Table1[RespondentID],'All Data'!$A$3:$CW$999,96,FALSE),"unknown")</f>
        <v>Student</v>
      </c>
      <c r="Z10" s="120" t="str">
        <f>IFERROR(VLOOKUP(Table1[RespondentID],'All Data'!$A$3:$CW$999,97,FALSE),"unknown")</f>
        <v>Yes</v>
      </c>
      <c r="AA10" s="120" t="str">
        <f>IFERROR(VLOOKUP(Table1[RespondentID],'All Data'!$A$3:$CW$999,98,FALSE),"unknown")</f>
        <v>Medicare</v>
      </c>
      <c r="AB10" s="150">
        <f>IFERROR(VLOOKUP(Table1[RespondentID],'All Data'!$A$3:$CW$999,99,FALSE),"unknown")</f>
        <v>0</v>
      </c>
    </row>
    <row r="11" spans="1:28">
      <c r="A11" s="5">
        <v>18025535657</v>
      </c>
      <c r="B11" s="5" t="s">
        <v>64</v>
      </c>
      <c r="C11" s="5"/>
      <c r="D11" s="5"/>
      <c r="E11" s="5"/>
      <c r="F11" s="5"/>
      <c r="G11" s="5" t="s">
        <v>69</v>
      </c>
      <c r="H11" s="5"/>
      <c r="I11" s="5"/>
      <c r="J11" s="5"/>
      <c r="K11" s="5"/>
      <c r="L11" s="5"/>
      <c r="M11" s="5"/>
      <c r="N11" s="5"/>
      <c r="O11" s="145"/>
      <c r="P11" s="120">
        <f>IFERROR(VLOOKUP(Table1[RespondentID],'All Data'!$A$3:$CO$999,87,FALSE),"unknown")</f>
        <v>0</v>
      </c>
      <c r="Q11" s="120">
        <f>IFERROR(VLOOKUP(Table1[RespondentID],'All Data'!$A$3:$CO$999,88,FALSE),"unknown")</f>
        <v>17</v>
      </c>
      <c r="R11" s="120" t="str">
        <f>IFERROR(VLOOKUP(Table1[RespondentID],'All Data'!$A$3:$CO$999,89,FALSE),"unknown")</f>
        <v>Suffolk</v>
      </c>
      <c r="S11" s="120" t="str">
        <f>IFERROR(VLOOKUP(Table1[RespondentID],'All Data'!$A$3:$CO$999,90,FALSE),"unknown")</f>
        <v>Ridge, 11961</v>
      </c>
      <c r="T11" s="120" t="str">
        <f>IFERROR(VLOOKUP(Table1[RespondentID],'All Data'!$A$3:$CO$999,91,FALSE),"unknown")</f>
        <v>Asian</v>
      </c>
      <c r="U11" s="120" t="str">
        <f>IFERROR(VLOOKUP(Table1[RespondentID],'All Data'!$A$3:$CO$999,92,FALSE),"unknown")</f>
        <v>Not Hispanic or Latino</v>
      </c>
      <c r="V11" s="120">
        <f>IFERROR(VLOOKUP(Table1[RespondentID],'All Data'!$A$3:$CO$999,93,FALSE),"unknown")</f>
        <v>0</v>
      </c>
      <c r="W11" s="120" t="str">
        <f>IFERROR(VLOOKUP(Table1[RespondentID],'All Data'!$A$3:$CW$999,94,FALSE),"unknown")</f>
        <v>$0-$19,999</v>
      </c>
      <c r="X11" s="120" t="str">
        <f>IFERROR(VLOOKUP(Table1[RespondentID],'All Data'!$A$3:$CW$999,95,FALSE),"unknown")</f>
        <v>Some high school</v>
      </c>
      <c r="Y11" s="120" t="str">
        <f>IFERROR(VLOOKUP(Table1[RespondentID],'All Data'!$A$3:$CW$999,96,FALSE),"unknown")</f>
        <v>Out of work, but not currently looking</v>
      </c>
      <c r="Z11" s="120" t="str">
        <f>IFERROR(VLOOKUP(Table1[RespondentID],'All Data'!$A$3:$CW$999,97,FALSE),"unknown")</f>
        <v>Yes</v>
      </c>
      <c r="AA11" s="120" t="str">
        <f>IFERROR(VLOOKUP(Table1[RespondentID],'All Data'!$A$3:$CW$999,98,FALSE),"unknown")</f>
        <v>Medicare</v>
      </c>
      <c r="AB11" s="150">
        <f>IFERROR(VLOOKUP(Table1[RespondentID],'All Data'!$A$3:$CW$999,99,FALSE),"unknown")</f>
        <v>0</v>
      </c>
    </row>
    <row r="12" spans="1:28">
      <c r="A12" s="5">
        <v>18025535535</v>
      </c>
      <c r="B12" s="5" t="s">
        <v>64</v>
      </c>
      <c r="C12" s="5"/>
      <c r="D12" s="5"/>
      <c r="E12" s="5"/>
      <c r="F12" s="5"/>
      <c r="G12" s="5"/>
      <c r="H12" s="5"/>
      <c r="I12" s="5"/>
      <c r="J12" s="5"/>
      <c r="K12" s="5"/>
      <c r="L12" s="5"/>
      <c r="M12" s="5"/>
      <c r="N12" s="5"/>
      <c r="O12" s="145"/>
      <c r="P12" s="120" t="str">
        <f>IFERROR(VLOOKUP(Table1[RespondentID],'All Data'!$A$3:$CO$999,87,FALSE),"unknown")</f>
        <v>Woman</v>
      </c>
      <c r="Q12" s="120">
        <f>IFERROR(VLOOKUP(Table1[RespondentID],'All Data'!$A$3:$CO$999,88,FALSE),"unknown")</f>
        <v>38</v>
      </c>
      <c r="R12" s="120" t="str">
        <f>IFERROR(VLOOKUP(Table1[RespondentID],'All Data'!$A$3:$CO$999,89,FALSE),"unknown")</f>
        <v>Suffolk</v>
      </c>
      <c r="S12" s="120" t="str">
        <f>IFERROR(VLOOKUP(Table1[RespondentID],'All Data'!$A$3:$CO$999,90,FALSE),"unknown")</f>
        <v>Baiting Hollow, 11933</v>
      </c>
      <c r="T12" s="120" t="str">
        <f>IFERROR(VLOOKUP(Table1[RespondentID],'All Data'!$A$3:$CO$999,91,FALSE),"unknown")</f>
        <v>White</v>
      </c>
      <c r="U12" s="120" t="str">
        <f>IFERROR(VLOOKUP(Table1[RespondentID],'All Data'!$A$3:$CO$999,92,FALSE),"unknown")</f>
        <v>Not Hispanic or Latino</v>
      </c>
      <c r="V12" s="120" t="str">
        <f>IFERROR(VLOOKUP(Table1[RespondentID],'All Data'!$A$3:$CO$999,93,FALSE),"unknown")</f>
        <v>English</v>
      </c>
      <c r="W12" s="120" t="str">
        <f>IFERROR(VLOOKUP(Table1[RespondentID],'All Data'!$A$3:$CW$999,94,FALSE),"unknown")</f>
        <v>Over $125,000</v>
      </c>
      <c r="X12" s="120" t="str">
        <f>IFERROR(VLOOKUP(Table1[RespondentID],'All Data'!$A$3:$CW$999,95,FALSE),"unknown")</f>
        <v>Some college</v>
      </c>
      <c r="Y12" s="120" t="str">
        <f>IFERROR(VLOOKUP(Table1[RespondentID],'All Data'!$A$3:$CW$999,96,FALSE),"unknown")</f>
        <v>Employed for wages</v>
      </c>
      <c r="Z12" s="120" t="str">
        <f>IFERROR(VLOOKUP(Table1[RespondentID],'All Data'!$A$3:$CW$999,97,FALSE),"unknown")</f>
        <v>No</v>
      </c>
      <c r="AA12" s="120" t="str">
        <f>IFERROR(VLOOKUP(Table1[RespondentID],'All Data'!$A$3:$CW$999,98,FALSE),"unknown")</f>
        <v>Private/Commercial</v>
      </c>
      <c r="AB12" s="150">
        <f>IFERROR(VLOOKUP(Table1[RespondentID],'All Data'!$A$3:$CW$999,99,FALSE),"unknown")</f>
        <v>0</v>
      </c>
    </row>
    <row r="13" spans="1:28">
      <c r="A13" s="5">
        <v>18025535409</v>
      </c>
      <c r="B13" s="5"/>
      <c r="C13" s="5"/>
      <c r="D13" s="5"/>
      <c r="E13" s="5"/>
      <c r="F13" s="5" t="s">
        <v>68</v>
      </c>
      <c r="G13" s="5" t="s">
        <v>69</v>
      </c>
      <c r="H13" s="5"/>
      <c r="I13" s="5"/>
      <c r="J13" s="5"/>
      <c r="K13" s="5"/>
      <c r="L13" s="5"/>
      <c r="M13" s="5" t="s">
        <v>75</v>
      </c>
      <c r="N13" s="5"/>
      <c r="O13" s="146"/>
      <c r="P13" s="120" t="str">
        <f>IFERROR(VLOOKUP(Table1[RespondentID],'All Data'!$A$3:$CO$999,87,FALSE),"unknown")</f>
        <v>Woman</v>
      </c>
      <c r="Q13" s="120">
        <f>IFERROR(VLOOKUP(Table1[RespondentID],'All Data'!$A$3:$CO$999,88,FALSE),"unknown")</f>
        <v>51</v>
      </c>
      <c r="R13" s="120" t="str">
        <f>IFERROR(VLOOKUP(Table1[RespondentID],'All Data'!$A$3:$CO$999,89,FALSE),"unknown")</f>
        <v>Suffolk</v>
      </c>
      <c r="S13" s="120" t="str">
        <f>IFERROR(VLOOKUP(Table1[RespondentID],'All Data'!$A$3:$CO$999,90,FALSE),"unknown")</f>
        <v>Ridge, 11961</v>
      </c>
      <c r="T13" s="120" t="str">
        <f>IFERROR(VLOOKUP(Table1[RespondentID],'All Data'!$A$3:$CO$999,91,FALSE),"unknown")</f>
        <v>White</v>
      </c>
      <c r="U13" s="120" t="str">
        <f>IFERROR(VLOOKUP(Table1[RespondentID],'All Data'!$A$3:$CO$999,92,FALSE),"unknown")</f>
        <v>Not Hispanic or Latino</v>
      </c>
      <c r="V13" s="120" t="str">
        <f>IFERROR(VLOOKUP(Table1[RespondentID],'All Data'!$A$3:$CO$999,93,FALSE),"unknown")</f>
        <v>English</v>
      </c>
      <c r="W13" s="120" t="str">
        <f>IFERROR(VLOOKUP(Table1[RespondentID],'All Data'!$A$3:$CW$999,94,FALSE),"unknown")</f>
        <v>Over $125,000</v>
      </c>
      <c r="X13" s="120" t="str">
        <f>IFERROR(VLOOKUP(Table1[RespondentID],'All Data'!$A$3:$CW$999,95,FALSE),"unknown")</f>
        <v>High school graduate</v>
      </c>
      <c r="Y13" s="120" t="str">
        <f>IFERROR(VLOOKUP(Table1[RespondentID],'All Data'!$A$3:$CW$999,96,FALSE),"unknown")</f>
        <v>Employed for wages</v>
      </c>
      <c r="Z13" s="120" t="str">
        <f>IFERROR(VLOOKUP(Table1[RespondentID],'All Data'!$A$3:$CW$999,97,FALSE),"unknown")</f>
        <v>Yes</v>
      </c>
      <c r="AA13" s="120" t="str">
        <f>IFERROR(VLOOKUP(Table1[RespondentID],'All Data'!$A$3:$CW$999,98,FALSE),"unknown")</f>
        <v>Private/Commercial</v>
      </c>
      <c r="AB13" s="150">
        <f>IFERROR(VLOOKUP(Table1[RespondentID],'All Data'!$A$3:$CW$999,99,FALSE),"unknown")</f>
        <v>0</v>
      </c>
    </row>
    <row r="14" spans="1:28">
      <c r="A14" s="5">
        <v>18025535294</v>
      </c>
      <c r="B14" s="5" t="s">
        <v>64</v>
      </c>
      <c r="C14" s="5"/>
      <c r="D14" s="5" t="s">
        <v>66</v>
      </c>
      <c r="E14" s="5" t="s">
        <v>67</v>
      </c>
      <c r="F14" s="5"/>
      <c r="G14" s="5"/>
      <c r="H14" s="5"/>
      <c r="I14" s="5"/>
      <c r="J14" s="5"/>
      <c r="K14" s="5"/>
      <c r="L14" s="5"/>
      <c r="M14" s="5"/>
      <c r="N14" s="5"/>
      <c r="O14" s="145"/>
      <c r="P14" s="120" t="str">
        <f>IFERROR(VLOOKUP(Table1[RespondentID],'All Data'!$A$3:$CO$999,87,FALSE),"unknown")</f>
        <v>Woman</v>
      </c>
      <c r="Q14" s="120">
        <f>IFERROR(VLOOKUP(Table1[RespondentID],'All Data'!$A$3:$CO$999,88,FALSE),"unknown")</f>
        <v>59</v>
      </c>
      <c r="R14" s="120" t="str">
        <f>IFERROR(VLOOKUP(Table1[RespondentID],'All Data'!$A$3:$CO$999,89,FALSE),"unknown")</f>
        <v>Suffolk</v>
      </c>
      <c r="S14" s="120" t="str">
        <f>IFERROR(VLOOKUP(Table1[RespondentID],'All Data'!$A$3:$CO$999,90,FALSE),"unknown")</f>
        <v>Ridge, 11961</v>
      </c>
      <c r="T14" s="120" t="str">
        <f>IFERROR(VLOOKUP(Table1[RespondentID],'All Data'!$A$3:$CO$999,91,FALSE),"unknown")</f>
        <v>White</v>
      </c>
      <c r="U14" s="120">
        <f>IFERROR(VLOOKUP(Table1[RespondentID],'All Data'!$A$3:$CO$999,92,FALSE),"unknown")</f>
        <v>0</v>
      </c>
      <c r="V14" s="120" t="str">
        <f>IFERROR(VLOOKUP(Table1[RespondentID],'All Data'!$A$3:$CO$999,93,FALSE),"unknown")</f>
        <v>English</v>
      </c>
      <c r="W14" s="120" t="str">
        <f>IFERROR(VLOOKUP(Table1[RespondentID],'All Data'!$A$3:$CW$999,94,FALSE),"unknown")</f>
        <v>$50,000 to $74,999</v>
      </c>
      <c r="X14" s="120" t="str">
        <f>IFERROR(VLOOKUP(Table1[RespondentID],'All Data'!$A$3:$CW$999,95,FALSE),"unknown")</f>
        <v>High school graduate</v>
      </c>
      <c r="Y14" s="120" t="str">
        <f>IFERROR(VLOOKUP(Table1[RespondentID],'All Data'!$A$3:$CW$999,96,FALSE),"unknown")</f>
        <v>Retired</v>
      </c>
      <c r="Z14" s="120" t="str">
        <f>IFERROR(VLOOKUP(Table1[RespondentID],'All Data'!$A$3:$CW$999,97,FALSE),"unknown")</f>
        <v>Yes</v>
      </c>
      <c r="AA14" s="120" t="str">
        <f>IFERROR(VLOOKUP(Table1[RespondentID],'All Data'!$A$3:$CW$999,98,FALSE),"unknown")</f>
        <v>Medicare</v>
      </c>
      <c r="AB14" s="150">
        <f>IFERROR(VLOOKUP(Table1[RespondentID],'All Data'!$A$3:$CW$999,99,FALSE),"unknown")</f>
        <v>0</v>
      </c>
    </row>
    <row r="15" spans="1:28">
      <c r="A15" s="5">
        <v>18025535123</v>
      </c>
      <c r="B15" s="5"/>
      <c r="C15" s="5"/>
      <c r="D15" s="5"/>
      <c r="E15" s="5" t="s">
        <v>67</v>
      </c>
      <c r="F15" s="5"/>
      <c r="G15" s="5"/>
      <c r="H15" s="5"/>
      <c r="I15" s="5"/>
      <c r="J15" s="5"/>
      <c r="K15" s="5"/>
      <c r="L15" s="5"/>
      <c r="M15" s="5" t="s">
        <v>75</v>
      </c>
      <c r="N15" s="5"/>
      <c r="O15" s="145"/>
      <c r="P15" s="120" t="str">
        <f>IFERROR(VLOOKUP(Table1[RespondentID],'All Data'!$A$3:$CO$999,87,FALSE),"unknown")</f>
        <v>Woman</v>
      </c>
      <c r="Q15" s="120">
        <f>IFERROR(VLOOKUP(Table1[RespondentID],'All Data'!$A$3:$CO$999,88,FALSE),"unknown")</f>
        <v>24</v>
      </c>
      <c r="R15" s="120" t="str">
        <f>IFERROR(VLOOKUP(Table1[RespondentID],'All Data'!$A$3:$CO$999,89,FALSE),"unknown")</f>
        <v>Suffolk</v>
      </c>
      <c r="S15" s="120" t="str">
        <f>IFERROR(VLOOKUP(Table1[RespondentID],'All Data'!$A$3:$CO$999,90,FALSE),"unknown")</f>
        <v>Peconic, 11958</v>
      </c>
      <c r="T15" s="120" t="str">
        <f>IFERROR(VLOOKUP(Table1[RespondentID],'All Data'!$A$3:$CO$999,91,FALSE),"unknown")</f>
        <v>Two or more races</v>
      </c>
      <c r="U15" s="120" t="str">
        <f>IFERROR(VLOOKUP(Table1[RespondentID],'All Data'!$A$3:$CO$999,92,FALSE),"unknown")</f>
        <v>Not Hispanic or Latino</v>
      </c>
      <c r="V15" s="120" t="str">
        <f>IFERROR(VLOOKUP(Table1[RespondentID],'All Data'!$A$3:$CO$999,93,FALSE),"unknown")</f>
        <v>French Creole</v>
      </c>
      <c r="W15" s="120" t="str">
        <f>IFERROR(VLOOKUP(Table1[RespondentID],'All Data'!$A$3:$CW$999,94,FALSE),"unknown")</f>
        <v>$75,000 to $125,000</v>
      </c>
      <c r="X15" s="120" t="str">
        <f>IFERROR(VLOOKUP(Table1[RespondentID],'All Data'!$A$3:$CW$999,95,FALSE),"unknown")</f>
        <v>Doctorate</v>
      </c>
      <c r="Y15" s="120" t="str">
        <f>IFERROR(VLOOKUP(Table1[RespondentID],'All Data'!$A$3:$CW$999,96,FALSE),"unknown")</f>
        <v>Employed for wages</v>
      </c>
      <c r="Z15" s="120" t="str">
        <f>IFERROR(VLOOKUP(Table1[RespondentID],'All Data'!$A$3:$CW$999,97,FALSE),"unknown")</f>
        <v>Yes</v>
      </c>
      <c r="AA15" s="120">
        <f>IFERROR(VLOOKUP(Table1[RespondentID],'All Data'!$A$3:$CW$999,98,FALSE),"unknown")</f>
        <v>0</v>
      </c>
      <c r="AB15" s="150">
        <f>IFERROR(VLOOKUP(Table1[RespondentID],'All Data'!$A$3:$CW$999,99,FALSE),"unknown")</f>
        <v>0</v>
      </c>
    </row>
    <row r="16" spans="1:28">
      <c r="A16" s="5">
        <v>18025534952</v>
      </c>
      <c r="B16" s="5"/>
      <c r="C16" s="5"/>
      <c r="D16" s="5"/>
      <c r="E16" s="5" t="s">
        <v>67</v>
      </c>
      <c r="F16" s="5"/>
      <c r="G16" s="5"/>
      <c r="H16" s="5"/>
      <c r="I16" s="5"/>
      <c r="J16" s="5" t="s">
        <v>72</v>
      </c>
      <c r="K16" s="5" t="s">
        <v>73</v>
      </c>
      <c r="L16" s="5"/>
      <c r="M16" s="5"/>
      <c r="N16" s="5"/>
      <c r="O16" s="145"/>
      <c r="P16" s="120" t="str">
        <f>IFERROR(VLOOKUP(Table1[RespondentID],'All Data'!$A$3:$CO$999,87,FALSE),"unknown")</f>
        <v>Woman</v>
      </c>
      <c r="Q16" s="120">
        <f>IFERROR(VLOOKUP(Table1[RespondentID],'All Data'!$A$3:$CO$999,88,FALSE),"unknown")</f>
        <v>31</v>
      </c>
      <c r="R16" s="120" t="str">
        <f>IFERROR(VLOOKUP(Table1[RespondentID],'All Data'!$A$3:$CO$999,89,FALSE),"unknown")</f>
        <v>Suffolk</v>
      </c>
      <c r="S16" s="120" t="str">
        <f>IFERROR(VLOOKUP(Table1[RespondentID],'All Data'!$A$3:$CO$999,90,FALSE),"unknown")</f>
        <v>Patchogue, 11772</v>
      </c>
      <c r="T16" s="120" t="str">
        <f>IFERROR(VLOOKUP(Table1[RespondentID],'All Data'!$A$3:$CO$999,91,FALSE),"unknown")</f>
        <v>White</v>
      </c>
      <c r="U16" s="120">
        <f>IFERROR(VLOOKUP(Table1[RespondentID],'All Data'!$A$3:$CO$999,92,FALSE),"unknown")</f>
        <v>0</v>
      </c>
      <c r="V16" s="120" t="str">
        <f>IFERROR(VLOOKUP(Table1[RespondentID],'All Data'!$A$3:$CO$999,93,FALSE),"unknown")</f>
        <v>English</v>
      </c>
      <c r="W16" s="120" t="str">
        <f>IFERROR(VLOOKUP(Table1[RespondentID],'All Data'!$A$3:$CW$999,94,FALSE),"unknown")</f>
        <v>Over $125,000</v>
      </c>
      <c r="X16" s="120" t="str">
        <f>IFERROR(VLOOKUP(Table1[RespondentID],'All Data'!$A$3:$CW$999,95,FALSE),"unknown")</f>
        <v>College graduate</v>
      </c>
      <c r="Y16" s="120" t="str">
        <f>IFERROR(VLOOKUP(Table1[RespondentID],'All Data'!$A$3:$CW$999,96,FALSE),"unknown")</f>
        <v>Employed for wages</v>
      </c>
      <c r="Z16" s="120" t="str">
        <f>IFERROR(VLOOKUP(Table1[RespondentID],'All Data'!$A$3:$CW$999,97,FALSE),"unknown")</f>
        <v>Yes</v>
      </c>
      <c r="AA16" s="120" t="str">
        <f>IFERROR(VLOOKUP(Table1[RespondentID],'All Data'!$A$3:$CW$999,98,FALSE),"unknown")</f>
        <v>Private/Commercial</v>
      </c>
      <c r="AB16" s="150">
        <f>IFERROR(VLOOKUP(Table1[RespondentID],'All Data'!$A$3:$CW$999,99,FALSE),"unknown")</f>
        <v>0</v>
      </c>
    </row>
    <row r="17" spans="1:28">
      <c r="A17" s="5">
        <v>18025534839</v>
      </c>
      <c r="B17" s="5" t="s">
        <v>64</v>
      </c>
      <c r="C17" s="5"/>
      <c r="D17" s="5"/>
      <c r="E17" s="5" t="s">
        <v>67</v>
      </c>
      <c r="F17" s="5"/>
      <c r="G17" s="5"/>
      <c r="H17" s="5"/>
      <c r="I17" s="5"/>
      <c r="J17" s="5"/>
      <c r="K17" s="5"/>
      <c r="L17" s="5"/>
      <c r="M17" s="5"/>
      <c r="N17" s="5"/>
      <c r="O17" s="145"/>
      <c r="P17" s="120" t="str">
        <f>IFERROR(VLOOKUP(Table1[RespondentID],'All Data'!$A$3:$CO$999,87,FALSE),"unknown")</f>
        <v>Woman</v>
      </c>
      <c r="Q17" s="120">
        <f>IFERROR(VLOOKUP(Table1[RespondentID],'All Data'!$A$3:$CO$999,88,FALSE),"unknown")</f>
        <v>57</v>
      </c>
      <c r="R17" s="120" t="str">
        <f>IFERROR(VLOOKUP(Table1[RespondentID],'All Data'!$A$3:$CO$999,89,FALSE),"unknown")</f>
        <v>Suffolk</v>
      </c>
      <c r="S17" s="120" t="str">
        <f>IFERROR(VLOOKUP(Table1[RespondentID],'All Data'!$A$3:$CO$999,90,FALSE),"unknown")</f>
        <v>Ronkonkoma, 11779</v>
      </c>
      <c r="T17" s="120" t="str">
        <f>IFERROR(VLOOKUP(Table1[RespondentID],'All Data'!$A$3:$CO$999,91,FALSE),"unknown")</f>
        <v>White</v>
      </c>
      <c r="U17" s="120" t="str">
        <f>IFERROR(VLOOKUP(Table1[RespondentID],'All Data'!$A$3:$CO$999,92,FALSE),"unknown")</f>
        <v>Not Hispanic or Latino</v>
      </c>
      <c r="V17" s="120" t="str">
        <f>IFERROR(VLOOKUP(Table1[RespondentID],'All Data'!$A$3:$CO$999,93,FALSE),"unknown")</f>
        <v>English</v>
      </c>
      <c r="W17" s="120" t="str">
        <f>IFERROR(VLOOKUP(Table1[RespondentID],'All Data'!$A$3:$CW$999,94,FALSE),"unknown")</f>
        <v>Over $125,000</v>
      </c>
      <c r="X17" s="120" t="str">
        <f>IFERROR(VLOOKUP(Table1[RespondentID],'All Data'!$A$3:$CW$999,95,FALSE),"unknown")</f>
        <v>Technical school</v>
      </c>
      <c r="Y17" s="120" t="str">
        <f>IFERROR(VLOOKUP(Table1[RespondentID],'All Data'!$A$3:$CW$999,96,FALSE),"unknown")</f>
        <v>Employed for wages</v>
      </c>
      <c r="Z17" s="120" t="str">
        <f>IFERROR(VLOOKUP(Table1[RespondentID],'All Data'!$A$3:$CW$999,97,FALSE),"unknown")</f>
        <v>Yes</v>
      </c>
      <c r="AA17" s="120" t="str">
        <f>IFERROR(VLOOKUP(Table1[RespondentID],'All Data'!$A$3:$CW$999,98,FALSE),"unknown")</f>
        <v>Private/Commercial</v>
      </c>
      <c r="AB17" s="150">
        <f>IFERROR(VLOOKUP(Table1[RespondentID],'All Data'!$A$3:$CW$999,99,FALSE),"unknown")</f>
        <v>0</v>
      </c>
    </row>
    <row r="18" spans="1:28">
      <c r="A18" s="5">
        <v>18025534704</v>
      </c>
      <c r="B18" s="5" t="s">
        <v>64</v>
      </c>
      <c r="C18" s="5"/>
      <c r="D18" s="5"/>
      <c r="E18" s="5"/>
      <c r="F18" s="5"/>
      <c r="G18" s="5"/>
      <c r="H18" s="5"/>
      <c r="I18" s="5"/>
      <c r="J18" s="5"/>
      <c r="K18" s="5"/>
      <c r="L18" s="5"/>
      <c r="M18" s="5"/>
      <c r="N18" s="5"/>
      <c r="O18" s="145"/>
      <c r="P18" s="120" t="str">
        <f>IFERROR(VLOOKUP(Table1[RespondentID],'All Data'!$A$3:$CO$999,87,FALSE),"unknown")</f>
        <v>Man</v>
      </c>
      <c r="Q18" s="120">
        <f>IFERROR(VLOOKUP(Table1[RespondentID],'All Data'!$A$3:$CO$999,88,FALSE),"unknown")</f>
        <v>48</v>
      </c>
      <c r="R18" s="120" t="str">
        <f>IFERROR(VLOOKUP(Table1[RespondentID],'All Data'!$A$3:$CO$999,89,FALSE),"unknown")</f>
        <v>Suffolk</v>
      </c>
      <c r="S18" s="120" t="str">
        <f>IFERROR(VLOOKUP(Table1[RespondentID],'All Data'!$A$3:$CO$999,90,FALSE),"unknown")</f>
        <v>Ridge, 11961</v>
      </c>
      <c r="T18" s="120" t="str">
        <f>IFERROR(VLOOKUP(Table1[RespondentID],'All Data'!$A$3:$CO$999,91,FALSE),"unknown")</f>
        <v>White</v>
      </c>
      <c r="U18" s="120" t="str">
        <f>IFERROR(VLOOKUP(Table1[RespondentID],'All Data'!$A$3:$CO$999,92,FALSE),"unknown")</f>
        <v>Not Hispanic or Latino</v>
      </c>
      <c r="V18" s="120" t="str">
        <f>IFERROR(VLOOKUP(Table1[RespondentID],'All Data'!$A$3:$CO$999,93,FALSE),"unknown")</f>
        <v>English</v>
      </c>
      <c r="W18" s="120" t="str">
        <f>IFERROR(VLOOKUP(Table1[RespondentID],'All Data'!$A$3:$CW$999,94,FALSE),"unknown")</f>
        <v>Over $125,000</v>
      </c>
      <c r="X18" s="120" t="str">
        <f>IFERROR(VLOOKUP(Table1[RespondentID],'All Data'!$A$3:$CW$999,95,FALSE),"unknown")</f>
        <v>High school graduate</v>
      </c>
      <c r="Y18" s="120" t="str">
        <f>IFERROR(VLOOKUP(Table1[RespondentID],'All Data'!$A$3:$CW$999,96,FALSE),"unknown")</f>
        <v>Retired</v>
      </c>
      <c r="Z18" s="120" t="str">
        <f>IFERROR(VLOOKUP(Table1[RespondentID],'All Data'!$A$3:$CW$999,97,FALSE),"unknown")</f>
        <v>Yes</v>
      </c>
      <c r="AA18" s="120" t="str">
        <f>IFERROR(VLOOKUP(Table1[RespondentID],'All Data'!$A$3:$CW$999,98,FALSE),"unknown")</f>
        <v>Private/Commercial</v>
      </c>
      <c r="AB18" s="150">
        <f>IFERROR(VLOOKUP(Table1[RespondentID],'All Data'!$A$3:$CW$999,99,FALSE),"unknown")</f>
        <v>0</v>
      </c>
    </row>
    <row r="19" spans="1:28">
      <c r="A19" s="5">
        <v>18025534585</v>
      </c>
      <c r="B19" s="5" t="s">
        <v>64</v>
      </c>
      <c r="C19" s="5"/>
      <c r="D19" s="5"/>
      <c r="E19" s="5"/>
      <c r="F19" s="5"/>
      <c r="G19" s="5"/>
      <c r="H19" s="5"/>
      <c r="I19" s="5"/>
      <c r="J19" s="5" t="s">
        <v>72</v>
      </c>
      <c r="K19" s="5"/>
      <c r="L19" s="5" t="s">
        <v>74</v>
      </c>
      <c r="M19" s="5"/>
      <c r="N19" s="5"/>
      <c r="O19" s="145"/>
      <c r="P19" s="120" t="str">
        <f>IFERROR(VLOOKUP(Table1[RespondentID],'All Data'!$A$3:$CO$999,87,FALSE),"unknown")</f>
        <v>Woman</v>
      </c>
      <c r="Q19" s="120">
        <f>IFERROR(VLOOKUP(Table1[RespondentID],'All Data'!$A$3:$CO$999,88,FALSE),"unknown")</f>
        <v>84</v>
      </c>
      <c r="R19" s="120" t="str">
        <f>IFERROR(VLOOKUP(Table1[RespondentID],'All Data'!$A$3:$CO$999,89,FALSE),"unknown")</f>
        <v>Suffolk</v>
      </c>
      <c r="S19" s="120" t="str">
        <f>IFERROR(VLOOKUP(Table1[RespondentID],'All Data'!$A$3:$CO$999,90,FALSE),"unknown")</f>
        <v>Selden, 11784</v>
      </c>
      <c r="T19" s="120">
        <f>IFERROR(VLOOKUP(Table1[RespondentID],'All Data'!$A$3:$CO$999,91,FALSE),"unknown")</f>
        <v>0</v>
      </c>
      <c r="U19" s="120">
        <f>IFERROR(VLOOKUP(Table1[RespondentID],'All Data'!$A$3:$CO$999,92,FALSE),"unknown")</f>
        <v>0</v>
      </c>
      <c r="V19" s="120" t="str">
        <f>IFERROR(VLOOKUP(Table1[RespondentID],'All Data'!$A$3:$CO$999,93,FALSE),"unknown")</f>
        <v>English</v>
      </c>
      <c r="W19" s="120" t="str">
        <f>IFERROR(VLOOKUP(Table1[RespondentID],'All Data'!$A$3:$CW$999,94,FALSE),"unknown")</f>
        <v>$0-$19,999</v>
      </c>
      <c r="X19" s="120" t="str">
        <f>IFERROR(VLOOKUP(Table1[RespondentID],'All Data'!$A$3:$CW$999,95,FALSE),"unknown")</f>
        <v>Technical school</v>
      </c>
      <c r="Y19" s="120" t="str">
        <f>IFERROR(VLOOKUP(Table1[RespondentID],'All Data'!$A$3:$CW$999,96,FALSE),"unknown")</f>
        <v>Retired</v>
      </c>
      <c r="Z19" s="120" t="str">
        <f>IFERROR(VLOOKUP(Table1[RespondentID],'All Data'!$A$3:$CW$999,97,FALSE),"unknown")</f>
        <v>Yes</v>
      </c>
      <c r="AA19" s="120" t="str">
        <f>IFERROR(VLOOKUP(Table1[RespondentID],'All Data'!$A$3:$CW$999,98,FALSE),"unknown")</f>
        <v>Medicare</v>
      </c>
      <c r="AB19" s="150">
        <f>IFERROR(VLOOKUP(Table1[RespondentID],'All Data'!$A$3:$CW$999,99,FALSE),"unknown")</f>
        <v>0</v>
      </c>
    </row>
    <row r="20" spans="1:28">
      <c r="A20" s="5">
        <v>18025500754</v>
      </c>
      <c r="B20" s="5"/>
      <c r="C20" s="5"/>
      <c r="D20" s="5"/>
      <c r="E20" s="5" t="s">
        <v>67</v>
      </c>
      <c r="F20" s="5"/>
      <c r="G20" s="5"/>
      <c r="H20" s="5"/>
      <c r="I20" s="5"/>
      <c r="J20" s="5"/>
      <c r="K20" s="5"/>
      <c r="L20" s="5"/>
      <c r="M20" s="5"/>
      <c r="N20" s="5"/>
      <c r="O20" s="145"/>
      <c r="P20" s="120">
        <f>IFERROR(VLOOKUP(Table1[RespondentID],'All Data'!$A$3:$CO$999,87,FALSE),"unknown")</f>
        <v>0</v>
      </c>
      <c r="Q20" s="120">
        <f>IFERROR(VLOOKUP(Table1[RespondentID],'All Data'!$A$3:$CO$999,88,FALSE),"unknown")</f>
        <v>0</v>
      </c>
      <c r="R20" s="120">
        <f>IFERROR(VLOOKUP(Table1[RespondentID],'All Data'!$A$3:$CO$999,89,FALSE),"unknown")</f>
        <v>0</v>
      </c>
      <c r="S20" s="120">
        <f>IFERROR(VLOOKUP(Table1[RespondentID],'All Data'!$A$3:$CO$999,90,FALSE),"unknown")</f>
        <v>0</v>
      </c>
      <c r="T20" s="120">
        <f>IFERROR(VLOOKUP(Table1[RespondentID],'All Data'!$A$3:$CO$999,91,FALSE),"unknown")</f>
        <v>0</v>
      </c>
      <c r="U20" s="120">
        <f>IFERROR(VLOOKUP(Table1[RespondentID],'All Data'!$A$3:$CO$999,92,FALSE),"unknown")</f>
        <v>0</v>
      </c>
      <c r="V20" s="120">
        <f>IFERROR(VLOOKUP(Table1[RespondentID],'All Data'!$A$3:$CO$999,93,FALSE),"unknown")</f>
        <v>0</v>
      </c>
      <c r="W20" s="120">
        <f>IFERROR(VLOOKUP(Table1[RespondentID],'All Data'!$A$3:$CW$999,94,FALSE),"unknown")</f>
        <v>0</v>
      </c>
      <c r="X20" s="120">
        <f>IFERROR(VLOOKUP(Table1[RespondentID],'All Data'!$A$3:$CW$999,95,FALSE),"unknown")</f>
        <v>0</v>
      </c>
      <c r="Y20" s="120">
        <f>IFERROR(VLOOKUP(Table1[RespondentID],'All Data'!$A$3:$CW$999,96,FALSE),"unknown")</f>
        <v>0</v>
      </c>
      <c r="Z20" s="120">
        <f>IFERROR(VLOOKUP(Table1[RespondentID],'All Data'!$A$3:$CW$999,97,FALSE),"unknown")</f>
        <v>0</v>
      </c>
      <c r="AA20" s="120">
        <f>IFERROR(VLOOKUP(Table1[RespondentID],'All Data'!$A$3:$CW$999,98,FALSE),"unknown")</f>
        <v>0</v>
      </c>
      <c r="AB20" s="150">
        <f>IFERROR(VLOOKUP(Table1[RespondentID],'All Data'!$A$3:$CW$999,99,FALSE),"unknown")</f>
        <v>0</v>
      </c>
    </row>
    <row r="21" spans="1:28">
      <c r="A21" s="5">
        <v>18025435174</v>
      </c>
      <c r="B21" s="5"/>
      <c r="C21" s="5"/>
      <c r="D21" s="5"/>
      <c r="E21" s="5"/>
      <c r="F21" s="5"/>
      <c r="G21" s="5"/>
      <c r="H21" s="5"/>
      <c r="I21" s="5"/>
      <c r="J21" s="5"/>
      <c r="K21" s="5"/>
      <c r="L21" s="5"/>
      <c r="M21" s="5"/>
      <c r="N21" s="5"/>
      <c r="O21" s="146"/>
      <c r="P21" s="120">
        <f>IFERROR(VLOOKUP(Table1[RespondentID],'All Data'!$A$3:$CO$999,87,FALSE),"unknown")</f>
        <v>0</v>
      </c>
      <c r="Q21" s="120">
        <f>IFERROR(VLOOKUP(Table1[RespondentID],'All Data'!$A$3:$CO$999,88,FALSE),"unknown")</f>
        <v>0</v>
      </c>
      <c r="R21" s="120">
        <f>IFERROR(VLOOKUP(Table1[RespondentID],'All Data'!$A$3:$CO$999,89,FALSE),"unknown")</f>
        <v>0</v>
      </c>
      <c r="S21" s="120" t="str">
        <f>IFERROR(VLOOKUP(Table1[RespondentID],'All Data'!$A$3:$CO$999,90,FALSE),"unknown")</f>
        <v>Albertson, 11507</v>
      </c>
      <c r="T21" s="120">
        <f>IFERROR(VLOOKUP(Table1[RespondentID],'All Data'!$A$3:$CO$999,91,FALSE),"unknown")</f>
        <v>0</v>
      </c>
      <c r="U21" s="120">
        <f>IFERROR(VLOOKUP(Table1[RespondentID],'All Data'!$A$3:$CO$999,92,FALSE),"unknown")</f>
        <v>0</v>
      </c>
      <c r="V21" s="120">
        <f>IFERROR(VLOOKUP(Table1[RespondentID],'All Data'!$A$3:$CO$999,93,FALSE),"unknown")</f>
        <v>0</v>
      </c>
      <c r="W21" s="120">
        <f>IFERROR(VLOOKUP(Table1[RespondentID],'All Data'!$A$3:$CW$999,94,FALSE),"unknown")</f>
        <v>0</v>
      </c>
      <c r="X21" s="120">
        <f>IFERROR(VLOOKUP(Table1[RespondentID],'All Data'!$A$3:$CW$999,95,FALSE),"unknown")</f>
        <v>0</v>
      </c>
      <c r="Y21" s="120">
        <f>IFERROR(VLOOKUP(Table1[RespondentID],'All Data'!$A$3:$CW$999,96,FALSE),"unknown")</f>
        <v>0</v>
      </c>
      <c r="Z21" s="120">
        <f>IFERROR(VLOOKUP(Table1[RespondentID],'All Data'!$A$3:$CW$999,97,FALSE),"unknown")</f>
        <v>0</v>
      </c>
      <c r="AA21" s="120">
        <f>IFERROR(VLOOKUP(Table1[RespondentID],'All Data'!$A$3:$CW$999,98,FALSE),"unknown")</f>
        <v>0</v>
      </c>
      <c r="AB21" s="150">
        <f>IFERROR(VLOOKUP(Table1[RespondentID],'All Data'!$A$3:$CW$999,99,FALSE),"unknown")</f>
        <v>0</v>
      </c>
    </row>
    <row r="22" spans="1:28">
      <c r="A22" s="5">
        <v>18025209840</v>
      </c>
      <c r="B22" s="5"/>
      <c r="C22" s="5"/>
      <c r="D22" s="5"/>
      <c r="E22" s="5"/>
      <c r="F22" s="5"/>
      <c r="G22" s="5"/>
      <c r="H22" s="5"/>
      <c r="I22" s="5"/>
      <c r="J22" s="5"/>
      <c r="K22" s="5"/>
      <c r="L22" s="5"/>
      <c r="M22" s="5" t="s">
        <v>75</v>
      </c>
      <c r="N22" s="5"/>
      <c r="O22" s="145"/>
      <c r="P22" s="120" t="str">
        <f>IFERROR(VLOOKUP(Table1[RespondentID],'All Data'!$A$3:$CO$999,87,FALSE),"unknown")</f>
        <v>Woman</v>
      </c>
      <c r="Q22" s="120">
        <f>IFERROR(VLOOKUP(Table1[RespondentID],'All Data'!$A$3:$CO$999,88,FALSE),"unknown")</f>
        <v>60</v>
      </c>
      <c r="R22" s="120" t="str">
        <f>IFERROR(VLOOKUP(Table1[RespondentID],'All Data'!$A$3:$CO$999,89,FALSE),"unknown")</f>
        <v>Nassau</v>
      </c>
      <c r="S22" s="120" t="str">
        <f>IFERROR(VLOOKUP(Table1[RespondentID],'All Data'!$A$3:$CO$999,90,FALSE),"unknown")</f>
        <v>Seaford, 11783</v>
      </c>
      <c r="T22" s="120" t="str">
        <f>IFERROR(VLOOKUP(Table1[RespondentID],'All Data'!$A$3:$CO$999,91,FALSE),"unknown")</f>
        <v>White</v>
      </c>
      <c r="U22" s="120" t="str">
        <f>IFERROR(VLOOKUP(Table1[RespondentID],'All Data'!$A$3:$CO$999,92,FALSE),"unknown")</f>
        <v>Not Hispanic or Latino</v>
      </c>
      <c r="V22" s="120" t="str">
        <f>IFERROR(VLOOKUP(Table1[RespondentID],'All Data'!$A$3:$CO$999,93,FALSE),"unknown")</f>
        <v>English</v>
      </c>
      <c r="W22" s="120" t="str">
        <f>IFERROR(VLOOKUP(Table1[RespondentID],'All Data'!$A$3:$CW$999,94,FALSE),"unknown")</f>
        <v>$35,000 to $49,999</v>
      </c>
      <c r="X22" s="120" t="str">
        <f>IFERROR(VLOOKUP(Table1[RespondentID],'All Data'!$A$3:$CW$999,95,FALSE),"unknown")</f>
        <v>Doctorate</v>
      </c>
      <c r="Y22" s="120" t="str">
        <f>IFERROR(VLOOKUP(Table1[RespondentID],'All Data'!$A$3:$CW$999,96,FALSE),"unknown")</f>
        <v>Out of work and looking for work</v>
      </c>
      <c r="Z22" s="120" t="str">
        <f>IFERROR(VLOOKUP(Table1[RespondentID],'All Data'!$A$3:$CW$999,97,FALSE),"unknown")</f>
        <v>Yes</v>
      </c>
      <c r="AA22" s="120" t="str">
        <f>IFERROR(VLOOKUP(Table1[RespondentID],'All Data'!$A$3:$CW$999,98,FALSE),"unknown")</f>
        <v>Private/Commercial</v>
      </c>
      <c r="AB22" s="150" t="str">
        <f>IFERROR(VLOOKUP(Table1[RespondentID],'All Data'!$A$3:$CW$999,99,FALSE),"unknown")</f>
        <v>Yes</v>
      </c>
    </row>
    <row r="23" spans="1:28">
      <c r="A23" s="5">
        <v>18025186517</v>
      </c>
      <c r="B23" s="5" t="s">
        <v>64</v>
      </c>
      <c r="C23" s="5"/>
      <c r="D23" s="5"/>
      <c r="E23" s="5" t="s">
        <v>67</v>
      </c>
      <c r="F23" s="5"/>
      <c r="G23" s="5"/>
      <c r="H23" s="5"/>
      <c r="I23" s="5"/>
      <c r="J23" s="5"/>
      <c r="K23" s="5"/>
      <c r="L23" s="5"/>
      <c r="M23" s="5" t="s">
        <v>75</v>
      </c>
      <c r="N23" s="5"/>
      <c r="O23" s="145"/>
      <c r="P23" s="120" t="str">
        <f>IFERROR(VLOOKUP(Table1[RespondentID],'All Data'!$A$3:$CO$999,87,FALSE),"unknown")</f>
        <v>Woman</v>
      </c>
      <c r="Q23" s="120">
        <f>IFERROR(VLOOKUP(Table1[RespondentID],'All Data'!$A$3:$CO$999,88,FALSE),"unknown")</f>
        <v>21</v>
      </c>
      <c r="R23" s="120" t="str">
        <f>IFERROR(VLOOKUP(Table1[RespondentID],'All Data'!$A$3:$CO$999,89,FALSE),"unknown")</f>
        <v>Suffolk</v>
      </c>
      <c r="S23" s="120" t="str">
        <f>IFERROR(VLOOKUP(Table1[RespondentID],'All Data'!$A$3:$CO$999,90,FALSE),"unknown")</f>
        <v>Centerport, 11721</v>
      </c>
      <c r="T23" s="120" t="str">
        <f>IFERROR(VLOOKUP(Table1[RespondentID],'All Data'!$A$3:$CO$999,91,FALSE),"unknown")</f>
        <v>White</v>
      </c>
      <c r="U23" s="120" t="str">
        <f>IFERROR(VLOOKUP(Table1[RespondentID],'All Data'!$A$3:$CO$999,92,FALSE),"unknown")</f>
        <v>Not Hispanic or Latino</v>
      </c>
      <c r="V23" s="120" t="str">
        <f>IFERROR(VLOOKUP(Table1[RespondentID],'All Data'!$A$3:$CO$999,93,FALSE),"unknown")</f>
        <v>English</v>
      </c>
      <c r="W23" s="120" t="str">
        <f>IFERROR(VLOOKUP(Table1[RespondentID],'All Data'!$A$3:$CW$999,94,FALSE),"unknown")</f>
        <v>$75,000 to $125,000</v>
      </c>
      <c r="X23" s="120" t="str">
        <f>IFERROR(VLOOKUP(Table1[RespondentID],'All Data'!$A$3:$CW$999,95,FALSE),"unknown")</f>
        <v>Some college</v>
      </c>
      <c r="Y23" s="120" t="str">
        <f>IFERROR(VLOOKUP(Table1[RespondentID],'All Data'!$A$3:$CW$999,96,FALSE),"unknown")</f>
        <v>Employed for wages</v>
      </c>
      <c r="Z23" s="120" t="str">
        <f>IFERROR(VLOOKUP(Table1[RespondentID],'All Data'!$A$3:$CW$999,97,FALSE),"unknown")</f>
        <v>Yes</v>
      </c>
      <c r="AA23" s="120">
        <f>IFERROR(VLOOKUP(Table1[RespondentID],'All Data'!$A$3:$CW$999,98,FALSE),"unknown")</f>
        <v>0</v>
      </c>
      <c r="AB23" s="150">
        <f>IFERROR(VLOOKUP(Table1[RespondentID],'All Data'!$A$3:$CW$999,99,FALSE),"unknown")</f>
        <v>0</v>
      </c>
    </row>
    <row r="24" spans="1:28">
      <c r="A24" s="5">
        <v>18025186406</v>
      </c>
      <c r="B24" s="5" t="s">
        <v>64</v>
      </c>
      <c r="C24" s="5"/>
      <c r="D24" s="5"/>
      <c r="E24" s="5"/>
      <c r="F24" s="5"/>
      <c r="G24" s="5" t="s">
        <v>69</v>
      </c>
      <c r="H24" s="5"/>
      <c r="I24" s="5"/>
      <c r="J24" s="5"/>
      <c r="K24" s="5" t="s">
        <v>73</v>
      </c>
      <c r="L24" s="5"/>
      <c r="M24" s="5" t="s">
        <v>75</v>
      </c>
      <c r="N24" s="5"/>
      <c r="O24" s="145"/>
      <c r="P24" s="120" t="str">
        <f>IFERROR(VLOOKUP(Table1[RespondentID],'All Data'!$A$3:$CO$999,87,FALSE),"unknown")</f>
        <v>Man</v>
      </c>
      <c r="Q24" s="120">
        <f>IFERROR(VLOOKUP(Table1[RespondentID],'All Data'!$A$3:$CO$999,88,FALSE),"unknown")</f>
        <v>56</v>
      </c>
      <c r="R24" s="120" t="str">
        <f>IFERROR(VLOOKUP(Table1[RespondentID],'All Data'!$A$3:$CO$999,89,FALSE),"unknown")</f>
        <v>Suffolk</v>
      </c>
      <c r="S24" s="120" t="str">
        <f>IFERROR(VLOOKUP(Table1[RespondentID],'All Data'!$A$3:$CO$999,90,FALSE),"unknown")</f>
        <v>Smithtown, 11787</v>
      </c>
      <c r="T24" s="120" t="str">
        <f>IFERROR(VLOOKUP(Table1[RespondentID],'All Data'!$A$3:$CO$999,91,FALSE),"unknown")</f>
        <v>White</v>
      </c>
      <c r="U24" s="120" t="str">
        <f>IFERROR(VLOOKUP(Table1[RespondentID],'All Data'!$A$3:$CO$999,92,FALSE),"unknown")</f>
        <v>Not Hispanic or Latino</v>
      </c>
      <c r="V24" s="120" t="str">
        <f>IFERROR(VLOOKUP(Table1[RespondentID],'All Data'!$A$3:$CO$999,93,FALSE),"unknown")</f>
        <v>English</v>
      </c>
      <c r="W24" s="120" t="str">
        <f>IFERROR(VLOOKUP(Table1[RespondentID],'All Data'!$A$3:$CW$999,94,FALSE),"unknown")</f>
        <v>Over $125,000</v>
      </c>
      <c r="X24" s="120" t="str">
        <f>IFERROR(VLOOKUP(Table1[RespondentID],'All Data'!$A$3:$CW$999,95,FALSE),"unknown")</f>
        <v>Doctorate</v>
      </c>
      <c r="Y24" s="120" t="str">
        <f>IFERROR(VLOOKUP(Table1[RespondentID],'All Data'!$A$3:$CW$999,96,FALSE),"unknown")</f>
        <v>Employed for wages</v>
      </c>
      <c r="Z24" s="120" t="str">
        <f>IFERROR(VLOOKUP(Table1[RespondentID],'All Data'!$A$3:$CW$999,97,FALSE),"unknown")</f>
        <v>Yes</v>
      </c>
      <c r="AA24" s="120">
        <f>IFERROR(VLOOKUP(Table1[RespondentID],'All Data'!$A$3:$CW$999,98,FALSE),"unknown")</f>
        <v>0</v>
      </c>
      <c r="AB24" s="150">
        <f>IFERROR(VLOOKUP(Table1[RespondentID],'All Data'!$A$3:$CW$999,99,FALSE),"unknown")</f>
        <v>0</v>
      </c>
    </row>
    <row r="25" spans="1:28">
      <c r="A25" s="5">
        <v>18025186288</v>
      </c>
      <c r="B25" s="5" t="s">
        <v>64</v>
      </c>
      <c r="C25" s="5"/>
      <c r="D25" s="5"/>
      <c r="E25" s="5"/>
      <c r="F25" s="5"/>
      <c r="G25" s="5"/>
      <c r="H25" s="5"/>
      <c r="I25" s="5"/>
      <c r="J25" s="5"/>
      <c r="K25" s="5"/>
      <c r="L25" s="5"/>
      <c r="M25" s="5"/>
      <c r="N25" s="5"/>
      <c r="O25" s="145"/>
      <c r="P25" s="120" t="str">
        <f>IFERROR(VLOOKUP(Table1[RespondentID],'All Data'!$A$3:$CO$999,87,FALSE),"unknown")</f>
        <v>Woman</v>
      </c>
      <c r="Q25" s="120">
        <f>IFERROR(VLOOKUP(Table1[RespondentID],'All Data'!$A$3:$CO$999,88,FALSE),"unknown")</f>
        <v>78</v>
      </c>
      <c r="R25" s="120" t="str">
        <f>IFERROR(VLOOKUP(Table1[RespondentID],'All Data'!$A$3:$CO$999,89,FALSE),"unknown")</f>
        <v>Suffolk</v>
      </c>
      <c r="S25" s="120" t="str">
        <f>IFERROR(VLOOKUP(Table1[RespondentID],'All Data'!$A$3:$CO$999,90,FALSE),"unknown")</f>
        <v>Smithtown, 11787</v>
      </c>
      <c r="T25" s="120" t="str">
        <f>IFERROR(VLOOKUP(Table1[RespondentID],'All Data'!$A$3:$CO$999,91,FALSE),"unknown")</f>
        <v>White</v>
      </c>
      <c r="U25" s="120" t="str">
        <f>IFERROR(VLOOKUP(Table1[RespondentID],'All Data'!$A$3:$CO$999,92,FALSE),"unknown")</f>
        <v>Not Hispanic or Latino</v>
      </c>
      <c r="V25" s="120" t="str">
        <f>IFERROR(VLOOKUP(Table1[RespondentID],'All Data'!$A$3:$CO$999,93,FALSE),"unknown")</f>
        <v>English</v>
      </c>
      <c r="W25" s="120" t="str">
        <f>IFERROR(VLOOKUP(Table1[RespondentID],'All Data'!$A$3:$CW$999,94,FALSE),"unknown")</f>
        <v>$35,000 to $49,999</v>
      </c>
      <c r="X25" s="120" t="str">
        <f>IFERROR(VLOOKUP(Table1[RespondentID],'All Data'!$A$3:$CW$999,95,FALSE),"unknown")</f>
        <v>Some college</v>
      </c>
      <c r="Y25" s="120" t="str">
        <f>IFERROR(VLOOKUP(Table1[RespondentID],'All Data'!$A$3:$CW$999,96,FALSE),"unknown")</f>
        <v>Retired</v>
      </c>
      <c r="Z25" s="120" t="str">
        <f>IFERROR(VLOOKUP(Table1[RespondentID],'All Data'!$A$3:$CW$999,97,FALSE),"unknown")</f>
        <v>Yes</v>
      </c>
      <c r="AA25" s="120">
        <f>IFERROR(VLOOKUP(Table1[RespondentID],'All Data'!$A$3:$CW$999,98,FALSE),"unknown")</f>
        <v>0</v>
      </c>
      <c r="AB25" s="150">
        <f>IFERROR(VLOOKUP(Table1[RespondentID],'All Data'!$A$3:$CW$999,99,FALSE),"unknown")</f>
        <v>0</v>
      </c>
    </row>
    <row r="26" spans="1:28">
      <c r="A26" s="5">
        <v>18025186085</v>
      </c>
      <c r="B26" s="5" t="s">
        <v>64</v>
      </c>
      <c r="C26" s="5" t="s">
        <v>65</v>
      </c>
      <c r="D26" s="5"/>
      <c r="E26" s="5"/>
      <c r="F26" s="5" t="s">
        <v>68</v>
      </c>
      <c r="G26" s="5"/>
      <c r="H26" s="5"/>
      <c r="I26" s="5"/>
      <c r="J26" s="5"/>
      <c r="K26" s="5"/>
      <c r="L26" s="5"/>
      <c r="M26" s="5"/>
      <c r="N26" s="5"/>
      <c r="O26" s="145"/>
      <c r="P26" s="120" t="str">
        <f>IFERROR(VLOOKUP(Table1[RespondentID],'All Data'!$A$3:$CO$999,87,FALSE),"unknown")</f>
        <v>Man</v>
      </c>
      <c r="Q26" s="120">
        <f>IFERROR(VLOOKUP(Table1[RespondentID],'All Data'!$A$3:$CO$999,88,FALSE),"unknown")</f>
        <v>56</v>
      </c>
      <c r="R26" s="120" t="str">
        <f>IFERROR(VLOOKUP(Table1[RespondentID],'All Data'!$A$3:$CO$999,89,FALSE),"unknown")</f>
        <v>Suffolk</v>
      </c>
      <c r="S26" s="120" t="str">
        <f>IFERROR(VLOOKUP(Table1[RespondentID],'All Data'!$A$3:$CO$999,90,FALSE),"unknown")</f>
        <v>Centerport, 11721</v>
      </c>
      <c r="T26" s="120" t="str">
        <f>IFERROR(VLOOKUP(Table1[RespondentID],'All Data'!$A$3:$CO$999,91,FALSE),"unknown")</f>
        <v>White</v>
      </c>
      <c r="U26" s="120" t="str">
        <f>IFERROR(VLOOKUP(Table1[RespondentID],'All Data'!$A$3:$CO$999,92,FALSE),"unknown")</f>
        <v>Not Hispanic or Latino</v>
      </c>
      <c r="V26" s="120" t="str">
        <f>IFERROR(VLOOKUP(Table1[RespondentID],'All Data'!$A$3:$CO$999,93,FALSE),"unknown")</f>
        <v>English</v>
      </c>
      <c r="W26" s="120" t="str">
        <f>IFERROR(VLOOKUP(Table1[RespondentID],'All Data'!$A$3:$CW$999,94,FALSE),"unknown")</f>
        <v>$75,000 to $125,000</v>
      </c>
      <c r="X26" s="120" t="str">
        <f>IFERROR(VLOOKUP(Table1[RespondentID],'All Data'!$A$3:$CW$999,95,FALSE),"unknown")</f>
        <v>Doctorate</v>
      </c>
      <c r="Y26" s="120" t="str">
        <f>IFERROR(VLOOKUP(Table1[RespondentID],'All Data'!$A$3:$CW$999,96,FALSE),"unknown")</f>
        <v>Employed for wages</v>
      </c>
      <c r="Z26" s="120" t="str">
        <f>IFERROR(VLOOKUP(Table1[RespondentID],'All Data'!$A$3:$CW$999,97,FALSE),"unknown")</f>
        <v>Yes</v>
      </c>
      <c r="AA26" s="120">
        <f>IFERROR(VLOOKUP(Table1[RespondentID],'All Data'!$A$3:$CW$999,98,FALSE),"unknown")</f>
        <v>0</v>
      </c>
      <c r="AB26" s="150">
        <f>IFERROR(VLOOKUP(Table1[RespondentID],'All Data'!$A$3:$CW$999,99,FALSE),"unknown")</f>
        <v>0</v>
      </c>
    </row>
    <row r="27" spans="1:28">
      <c r="A27" s="5">
        <v>18025185956</v>
      </c>
      <c r="B27" s="5" t="s">
        <v>64</v>
      </c>
      <c r="C27" s="5"/>
      <c r="D27" s="5" t="s">
        <v>66</v>
      </c>
      <c r="E27" s="5" t="s">
        <v>67</v>
      </c>
      <c r="F27" s="5"/>
      <c r="G27" s="5" t="s">
        <v>69</v>
      </c>
      <c r="H27" s="5"/>
      <c r="I27" s="5"/>
      <c r="J27" s="5" t="s">
        <v>72</v>
      </c>
      <c r="K27" s="5"/>
      <c r="L27" s="5"/>
      <c r="M27" s="5" t="s">
        <v>75</v>
      </c>
      <c r="N27" s="5"/>
      <c r="O27" s="145"/>
      <c r="P27" s="120" t="str">
        <f>IFERROR(VLOOKUP(Table1[RespondentID],'All Data'!$A$3:$CO$999,87,FALSE),"unknown")</f>
        <v>Man</v>
      </c>
      <c r="Q27" s="120">
        <f>IFERROR(VLOOKUP(Table1[RespondentID],'All Data'!$A$3:$CO$999,88,FALSE),"unknown")</f>
        <v>19</v>
      </c>
      <c r="R27" s="120" t="str">
        <f>IFERROR(VLOOKUP(Table1[RespondentID],'All Data'!$A$3:$CO$999,89,FALSE),"unknown")</f>
        <v>Suffolk</v>
      </c>
      <c r="S27" s="120" t="str">
        <f>IFERROR(VLOOKUP(Table1[RespondentID],'All Data'!$A$3:$CO$999,90,FALSE),"unknown")</f>
        <v>Centerport, 11721</v>
      </c>
      <c r="T27" s="120" t="str">
        <f>IFERROR(VLOOKUP(Table1[RespondentID],'All Data'!$A$3:$CO$999,91,FALSE),"unknown")</f>
        <v>White</v>
      </c>
      <c r="U27" s="120" t="str">
        <f>IFERROR(VLOOKUP(Table1[RespondentID],'All Data'!$A$3:$CO$999,92,FALSE),"unknown")</f>
        <v>Not Hispanic or Latino</v>
      </c>
      <c r="V27" s="120" t="str">
        <f>IFERROR(VLOOKUP(Table1[RespondentID],'All Data'!$A$3:$CO$999,93,FALSE),"unknown")</f>
        <v>English</v>
      </c>
      <c r="W27" s="120" t="str">
        <f>IFERROR(VLOOKUP(Table1[RespondentID],'All Data'!$A$3:$CW$999,94,FALSE),"unknown")</f>
        <v>Over $125,000</v>
      </c>
      <c r="X27" s="120" t="str">
        <f>IFERROR(VLOOKUP(Table1[RespondentID],'All Data'!$A$3:$CW$999,95,FALSE),"unknown")</f>
        <v>Some college</v>
      </c>
      <c r="Y27" s="120" t="str">
        <f>IFERROR(VLOOKUP(Table1[RespondentID],'All Data'!$A$3:$CW$999,96,FALSE),"unknown")</f>
        <v>Student</v>
      </c>
      <c r="Z27" s="120" t="str">
        <f>IFERROR(VLOOKUP(Table1[RespondentID],'All Data'!$A$3:$CW$999,97,FALSE),"unknown")</f>
        <v>Yes</v>
      </c>
      <c r="AA27" s="120">
        <f>IFERROR(VLOOKUP(Table1[RespondentID],'All Data'!$A$3:$CW$999,98,FALSE),"unknown")</f>
        <v>0</v>
      </c>
      <c r="AB27" s="150">
        <f>IFERROR(VLOOKUP(Table1[RespondentID],'All Data'!$A$3:$CW$999,99,FALSE),"unknown")</f>
        <v>0</v>
      </c>
    </row>
    <row r="28" spans="1:28">
      <c r="A28" s="5">
        <v>18025185799</v>
      </c>
      <c r="B28" s="5"/>
      <c r="C28" s="5"/>
      <c r="D28" s="5"/>
      <c r="E28" s="5" t="s">
        <v>67</v>
      </c>
      <c r="F28" s="5"/>
      <c r="G28" s="5"/>
      <c r="H28" s="5"/>
      <c r="I28" s="5"/>
      <c r="J28" s="5"/>
      <c r="K28" s="5"/>
      <c r="L28" s="5"/>
      <c r="M28" s="5"/>
      <c r="N28" s="5"/>
      <c r="O28" s="145"/>
      <c r="P28" s="120" t="str">
        <f>IFERROR(VLOOKUP(Table1[RespondentID],'All Data'!$A$3:$CO$999,87,FALSE),"unknown")</f>
        <v>Woman</v>
      </c>
      <c r="Q28" s="120">
        <f>IFERROR(VLOOKUP(Table1[RespondentID],'All Data'!$A$3:$CO$999,88,FALSE),"unknown")</f>
        <v>26</v>
      </c>
      <c r="R28" s="120" t="str">
        <f>IFERROR(VLOOKUP(Table1[RespondentID],'All Data'!$A$3:$CO$999,89,FALSE),"unknown")</f>
        <v>Suffolk</v>
      </c>
      <c r="S28" s="120" t="str">
        <f>IFERROR(VLOOKUP(Table1[RespondentID],'All Data'!$A$3:$CO$999,90,FALSE),"unknown")</f>
        <v>Greenlawn, 11740</v>
      </c>
      <c r="T28" s="120" t="str">
        <f>IFERROR(VLOOKUP(Table1[RespondentID],'All Data'!$A$3:$CO$999,91,FALSE),"unknown")</f>
        <v>Black or African American</v>
      </c>
      <c r="U28" s="120" t="str">
        <f>IFERROR(VLOOKUP(Table1[RespondentID],'All Data'!$A$3:$CO$999,92,FALSE),"unknown")</f>
        <v>Not Hispanic or Latino</v>
      </c>
      <c r="V28" s="120" t="str">
        <f>IFERROR(VLOOKUP(Table1[RespondentID],'All Data'!$A$3:$CO$999,93,FALSE),"unknown")</f>
        <v>English, Haitian Creole</v>
      </c>
      <c r="W28" s="120" t="str">
        <f>IFERROR(VLOOKUP(Table1[RespondentID],'All Data'!$A$3:$CW$999,94,FALSE),"unknown")</f>
        <v>$50,000 to $74,999</v>
      </c>
      <c r="X28" s="120" t="str">
        <f>IFERROR(VLOOKUP(Table1[RespondentID],'All Data'!$A$3:$CW$999,95,FALSE),"unknown")</f>
        <v>College graduate</v>
      </c>
      <c r="Y28" s="120" t="str">
        <f>IFERROR(VLOOKUP(Table1[RespondentID],'All Data'!$A$3:$CW$999,96,FALSE),"unknown")</f>
        <v>Self-employed</v>
      </c>
      <c r="Z28" s="120" t="str">
        <f>IFERROR(VLOOKUP(Table1[RespondentID],'All Data'!$A$3:$CW$999,97,FALSE),"unknown")</f>
        <v>Yes</v>
      </c>
      <c r="AA28" s="120">
        <f>IFERROR(VLOOKUP(Table1[RespondentID],'All Data'!$A$3:$CW$999,98,FALSE),"unknown")</f>
        <v>0</v>
      </c>
      <c r="AB28" s="150">
        <f>IFERROR(VLOOKUP(Table1[RespondentID],'All Data'!$A$3:$CW$999,99,FALSE),"unknown")</f>
        <v>0</v>
      </c>
    </row>
    <row r="29" spans="1:28">
      <c r="A29" s="5">
        <v>18025185651</v>
      </c>
      <c r="B29" s="5" t="s">
        <v>64</v>
      </c>
      <c r="C29" s="5"/>
      <c r="D29" s="5" t="s">
        <v>66</v>
      </c>
      <c r="E29" s="5" t="s">
        <v>67</v>
      </c>
      <c r="F29" s="5"/>
      <c r="G29" s="5"/>
      <c r="H29" s="5"/>
      <c r="I29" s="5"/>
      <c r="J29" s="5"/>
      <c r="K29" s="5"/>
      <c r="L29" s="5"/>
      <c r="M29" s="5" t="s">
        <v>75</v>
      </c>
      <c r="N29" s="5" t="s">
        <v>76</v>
      </c>
      <c r="O29" s="145"/>
      <c r="P29" s="120" t="str">
        <f>IFERROR(VLOOKUP(Table1[RespondentID],'All Data'!$A$3:$CO$999,87,FALSE),"unknown")</f>
        <v>Woman</v>
      </c>
      <c r="Q29" s="120">
        <f>IFERROR(VLOOKUP(Table1[RespondentID],'All Data'!$A$3:$CO$999,88,FALSE),"unknown")</f>
        <v>17</v>
      </c>
      <c r="R29" s="120" t="str">
        <f>IFERROR(VLOOKUP(Table1[RespondentID],'All Data'!$A$3:$CO$999,89,FALSE),"unknown")</f>
        <v>Suffolk</v>
      </c>
      <c r="S29" s="120" t="str">
        <f>IFERROR(VLOOKUP(Table1[RespondentID],'All Data'!$A$3:$CO$999,90,FALSE),"unknown")</f>
        <v>Centerport, 11721</v>
      </c>
      <c r="T29" s="120" t="str">
        <f>IFERROR(VLOOKUP(Table1[RespondentID],'All Data'!$A$3:$CO$999,91,FALSE),"unknown")</f>
        <v>White</v>
      </c>
      <c r="U29" s="120" t="str">
        <f>IFERROR(VLOOKUP(Table1[RespondentID],'All Data'!$A$3:$CO$999,92,FALSE),"unknown")</f>
        <v>Not Hispanic or Latino</v>
      </c>
      <c r="V29" s="120" t="str">
        <f>IFERROR(VLOOKUP(Table1[RespondentID],'All Data'!$A$3:$CO$999,93,FALSE),"unknown")</f>
        <v>English</v>
      </c>
      <c r="W29" s="120" t="str">
        <f>IFERROR(VLOOKUP(Table1[RespondentID],'All Data'!$A$3:$CW$999,94,FALSE),"unknown")</f>
        <v>Over $125,000</v>
      </c>
      <c r="X29" s="120" t="str">
        <f>IFERROR(VLOOKUP(Table1[RespondentID],'All Data'!$A$3:$CW$999,95,FALSE),"unknown")</f>
        <v>Some high school</v>
      </c>
      <c r="Y29" s="120" t="str">
        <f>IFERROR(VLOOKUP(Table1[RespondentID],'All Data'!$A$3:$CW$999,96,FALSE),"unknown")</f>
        <v>Student</v>
      </c>
      <c r="Z29" s="120" t="str">
        <f>IFERROR(VLOOKUP(Table1[RespondentID],'All Data'!$A$3:$CW$999,97,FALSE),"unknown")</f>
        <v>Yes</v>
      </c>
      <c r="AA29" s="120">
        <f>IFERROR(VLOOKUP(Table1[RespondentID],'All Data'!$A$3:$CW$999,98,FALSE),"unknown")</f>
        <v>0</v>
      </c>
      <c r="AB29" s="150">
        <f>IFERROR(VLOOKUP(Table1[RespondentID],'All Data'!$A$3:$CW$999,99,FALSE),"unknown")</f>
        <v>0</v>
      </c>
    </row>
    <row r="30" spans="1:28">
      <c r="A30" s="5">
        <v>18025185458</v>
      </c>
      <c r="B30" s="5" t="s">
        <v>64</v>
      </c>
      <c r="C30" s="5"/>
      <c r="D30" s="5"/>
      <c r="E30" s="5"/>
      <c r="F30" s="5"/>
      <c r="G30" s="5"/>
      <c r="H30" s="5"/>
      <c r="I30" s="5"/>
      <c r="J30" s="5" t="s">
        <v>72</v>
      </c>
      <c r="K30" s="5"/>
      <c r="L30" s="5"/>
      <c r="M30" s="5"/>
      <c r="N30" s="5"/>
      <c r="O30" s="145"/>
      <c r="P30" s="120" t="str">
        <f>IFERROR(VLOOKUP(Table1[RespondentID],'All Data'!$A$3:$CO$999,87,FALSE),"unknown")</f>
        <v>Man</v>
      </c>
      <c r="Q30" s="120">
        <f>IFERROR(VLOOKUP(Table1[RespondentID],'All Data'!$A$3:$CO$999,88,FALSE),"unknown")</f>
        <v>38</v>
      </c>
      <c r="R30" s="120" t="str">
        <f>IFERROR(VLOOKUP(Table1[RespondentID],'All Data'!$A$3:$CO$999,89,FALSE),"unknown")</f>
        <v>Suffolk</v>
      </c>
      <c r="S30" s="120" t="str">
        <f>IFERROR(VLOOKUP(Table1[RespondentID],'All Data'!$A$3:$CO$999,90,FALSE),"unknown")</f>
        <v>Cold Spring Harbor, 11724</v>
      </c>
      <c r="T30" s="120" t="str">
        <f>IFERROR(VLOOKUP(Table1[RespondentID],'All Data'!$A$3:$CO$999,91,FALSE),"unknown")</f>
        <v>White</v>
      </c>
      <c r="U30" s="120" t="str">
        <f>IFERROR(VLOOKUP(Table1[RespondentID],'All Data'!$A$3:$CO$999,92,FALSE),"unknown")</f>
        <v>Not Hispanic or Latino</v>
      </c>
      <c r="V30" s="120" t="str">
        <f>IFERROR(VLOOKUP(Table1[RespondentID],'All Data'!$A$3:$CO$999,93,FALSE),"unknown")</f>
        <v>English</v>
      </c>
      <c r="W30" s="120" t="str">
        <f>IFERROR(VLOOKUP(Table1[RespondentID],'All Data'!$A$3:$CW$999,94,FALSE),"unknown")</f>
        <v>$35,000 to $49,999</v>
      </c>
      <c r="X30" s="120" t="str">
        <f>IFERROR(VLOOKUP(Table1[RespondentID],'All Data'!$A$3:$CW$999,95,FALSE),"unknown")</f>
        <v>College graduate</v>
      </c>
      <c r="Y30" s="120" t="str">
        <f>IFERROR(VLOOKUP(Table1[RespondentID],'All Data'!$A$3:$CW$999,96,FALSE),"unknown")</f>
        <v>Employed for wages</v>
      </c>
      <c r="Z30" s="120" t="str">
        <f>IFERROR(VLOOKUP(Table1[RespondentID],'All Data'!$A$3:$CW$999,97,FALSE),"unknown")</f>
        <v>Yes</v>
      </c>
      <c r="AA30" s="120">
        <f>IFERROR(VLOOKUP(Table1[RespondentID],'All Data'!$A$3:$CW$999,98,FALSE),"unknown")</f>
        <v>0</v>
      </c>
      <c r="AB30" s="150">
        <f>IFERROR(VLOOKUP(Table1[RespondentID],'All Data'!$A$3:$CW$999,99,FALSE),"unknown")</f>
        <v>0</v>
      </c>
    </row>
    <row r="31" spans="1:28">
      <c r="A31" s="5">
        <v>18025185352</v>
      </c>
      <c r="B31" s="5" t="s">
        <v>64</v>
      </c>
      <c r="C31" s="5"/>
      <c r="D31" s="5"/>
      <c r="E31" s="5" t="s">
        <v>67</v>
      </c>
      <c r="F31" s="5"/>
      <c r="G31" s="5"/>
      <c r="H31" s="5" t="s">
        <v>70</v>
      </c>
      <c r="I31" s="5"/>
      <c r="J31" s="5"/>
      <c r="K31" s="5" t="s">
        <v>73</v>
      </c>
      <c r="L31" s="5"/>
      <c r="M31" s="5" t="s">
        <v>75</v>
      </c>
      <c r="N31" s="5"/>
      <c r="O31" s="145"/>
      <c r="P31" s="120" t="str">
        <f>IFERROR(VLOOKUP(Table1[RespondentID],'All Data'!$A$3:$CO$999,87,FALSE),"unknown")</f>
        <v>Man</v>
      </c>
      <c r="Q31" s="120">
        <f>IFERROR(VLOOKUP(Table1[RespondentID],'All Data'!$A$3:$CO$999,88,FALSE),"unknown")</f>
        <v>53</v>
      </c>
      <c r="R31" s="120" t="str">
        <f>IFERROR(VLOOKUP(Table1[RespondentID],'All Data'!$A$3:$CO$999,89,FALSE),"unknown")</f>
        <v>Suffolk</v>
      </c>
      <c r="S31" s="120" t="str">
        <f>IFERROR(VLOOKUP(Table1[RespondentID],'All Data'!$A$3:$CO$999,90,FALSE),"unknown")</f>
        <v>Saint James, 11780</v>
      </c>
      <c r="T31" s="120" t="str">
        <f>IFERROR(VLOOKUP(Table1[RespondentID],'All Data'!$A$3:$CO$999,91,FALSE),"unknown")</f>
        <v>White</v>
      </c>
      <c r="U31" s="120" t="str">
        <f>IFERROR(VLOOKUP(Table1[RespondentID],'All Data'!$A$3:$CO$999,92,FALSE),"unknown")</f>
        <v>Not Hispanic or Latino</v>
      </c>
      <c r="V31" s="120" t="str">
        <f>IFERROR(VLOOKUP(Table1[RespondentID],'All Data'!$A$3:$CO$999,93,FALSE),"unknown")</f>
        <v>English</v>
      </c>
      <c r="W31" s="120" t="str">
        <f>IFERROR(VLOOKUP(Table1[RespondentID],'All Data'!$A$3:$CW$999,94,FALSE),"unknown")</f>
        <v>Over $125,000</v>
      </c>
      <c r="X31" s="120" t="str">
        <f>IFERROR(VLOOKUP(Table1[RespondentID],'All Data'!$A$3:$CW$999,95,FALSE),"unknown")</f>
        <v>College graduate</v>
      </c>
      <c r="Y31" s="120" t="str">
        <f>IFERROR(VLOOKUP(Table1[RespondentID],'All Data'!$A$3:$CW$999,96,FALSE),"unknown")</f>
        <v>Employed for wages</v>
      </c>
      <c r="Z31" s="120" t="str">
        <f>IFERROR(VLOOKUP(Table1[RespondentID],'All Data'!$A$3:$CW$999,97,FALSE),"unknown")</f>
        <v>Yes</v>
      </c>
      <c r="AA31" s="120">
        <f>IFERROR(VLOOKUP(Table1[RespondentID],'All Data'!$A$3:$CW$999,98,FALSE),"unknown")</f>
        <v>0</v>
      </c>
      <c r="AB31" s="150">
        <f>IFERROR(VLOOKUP(Table1[RespondentID],'All Data'!$A$3:$CW$999,99,FALSE),"unknown")</f>
        <v>0</v>
      </c>
    </row>
    <row r="32" spans="1:28">
      <c r="A32" s="5">
        <v>18025185219</v>
      </c>
      <c r="B32" s="5" t="s">
        <v>64</v>
      </c>
      <c r="C32" s="5"/>
      <c r="D32" s="5"/>
      <c r="E32" s="5" t="s">
        <v>67</v>
      </c>
      <c r="F32" s="5"/>
      <c r="G32" s="5"/>
      <c r="H32" s="5"/>
      <c r="I32" s="5"/>
      <c r="J32" s="5"/>
      <c r="K32" s="5"/>
      <c r="L32" s="5"/>
      <c r="M32" s="5" t="s">
        <v>75</v>
      </c>
      <c r="N32" s="5"/>
      <c r="O32" s="145"/>
      <c r="P32" s="120" t="str">
        <f>IFERROR(VLOOKUP(Table1[RespondentID],'All Data'!$A$3:$CO$999,87,FALSE),"unknown")</f>
        <v>Man</v>
      </c>
      <c r="Q32" s="120">
        <f>IFERROR(VLOOKUP(Table1[RespondentID],'All Data'!$A$3:$CO$999,88,FALSE),"unknown")</f>
        <v>40</v>
      </c>
      <c r="R32" s="120" t="str">
        <f>IFERROR(VLOOKUP(Table1[RespondentID],'All Data'!$A$3:$CO$999,89,FALSE),"unknown")</f>
        <v>Suffolk</v>
      </c>
      <c r="S32" s="120" t="str">
        <f>IFERROR(VLOOKUP(Table1[RespondentID],'All Data'!$A$3:$CO$999,90,FALSE),"unknown")</f>
        <v>Kings Park, 11754</v>
      </c>
      <c r="T32" s="120" t="str">
        <f>IFERROR(VLOOKUP(Table1[RespondentID],'All Data'!$A$3:$CO$999,91,FALSE),"unknown")</f>
        <v>White</v>
      </c>
      <c r="U32" s="120" t="str">
        <f>IFERROR(VLOOKUP(Table1[RespondentID],'All Data'!$A$3:$CO$999,92,FALSE),"unknown")</f>
        <v>Hispanic or Latino</v>
      </c>
      <c r="V32" s="120" t="str">
        <f>IFERROR(VLOOKUP(Table1[RespondentID],'All Data'!$A$3:$CO$999,93,FALSE),"unknown")</f>
        <v>English</v>
      </c>
      <c r="W32" s="120" t="str">
        <f>IFERROR(VLOOKUP(Table1[RespondentID],'All Data'!$A$3:$CW$999,94,FALSE),"unknown")</f>
        <v>Over $125,000</v>
      </c>
      <c r="X32" s="120" t="str">
        <f>IFERROR(VLOOKUP(Table1[RespondentID],'All Data'!$A$3:$CW$999,95,FALSE),"unknown")</f>
        <v>Graduate school</v>
      </c>
      <c r="Y32" s="120" t="str">
        <f>IFERROR(VLOOKUP(Table1[RespondentID],'All Data'!$A$3:$CW$999,96,FALSE),"unknown")</f>
        <v>Employed for wages</v>
      </c>
      <c r="Z32" s="120" t="str">
        <f>IFERROR(VLOOKUP(Table1[RespondentID],'All Data'!$A$3:$CW$999,97,FALSE),"unknown")</f>
        <v>Yes</v>
      </c>
      <c r="AA32" s="120">
        <f>IFERROR(VLOOKUP(Table1[RespondentID],'All Data'!$A$3:$CW$999,98,FALSE),"unknown")</f>
        <v>0</v>
      </c>
      <c r="AB32" s="150">
        <f>IFERROR(VLOOKUP(Table1[RespondentID],'All Data'!$A$3:$CW$999,99,FALSE),"unknown")</f>
        <v>0</v>
      </c>
    </row>
    <row r="33" spans="1:28">
      <c r="A33" s="5">
        <v>18025185091</v>
      </c>
      <c r="B33" s="5" t="s">
        <v>64</v>
      </c>
      <c r="C33" s="5"/>
      <c r="D33" s="5"/>
      <c r="E33" s="5" t="s">
        <v>67</v>
      </c>
      <c r="F33" s="5"/>
      <c r="G33" s="5"/>
      <c r="H33" s="5"/>
      <c r="I33" s="5"/>
      <c r="J33" s="5"/>
      <c r="K33" s="5"/>
      <c r="L33" s="5"/>
      <c r="M33" s="5" t="s">
        <v>75</v>
      </c>
      <c r="N33" s="5"/>
      <c r="O33" s="145"/>
      <c r="P33" s="120" t="str">
        <f>IFERROR(VLOOKUP(Table1[RespondentID],'All Data'!$A$3:$CO$999,87,FALSE),"unknown")</f>
        <v>Woman</v>
      </c>
      <c r="Q33" s="120">
        <f>IFERROR(VLOOKUP(Table1[RespondentID],'All Data'!$A$3:$CO$999,88,FALSE),"unknown")</f>
        <v>25</v>
      </c>
      <c r="R33" s="120" t="str">
        <f>IFERROR(VLOOKUP(Table1[RespondentID],'All Data'!$A$3:$CO$999,89,FALSE),"unknown")</f>
        <v>Suffolk</v>
      </c>
      <c r="S33" s="120" t="str">
        <f>IFERROR(VLOOKUP(Table1[RespondentID],'All Data'!$A$3:$CO$999,90,FALSE),"unknown")</f>
        <v>Smithtown, 11787</v>
      </c>
      <c r="T33" s="120" t="str">
        <f>IFERROR(VLOOKUP(Table1[RespondentID],'All Data'!$A$3:$CO$999,91,FALSE),"unknown")</f>
        <v>White</v>
      </c>
      <c r="U33" s="120" t="str">
        <f>IFERROR(VLOOKUP(Table1[RespondentID],'All Data'!$A$3:$CO$999,92,FALSE),"unknown")</f>
        <v>Not Hispanic or Latino</v>
      </c>
      <c r="V33" s="120" t="str">
        <f>IFERROR(VLOOKUP(Table1[RespondentID],'All Data'!$A$3:$CO$999,93,FALSE),"unknown")</f>
        <v>English</v>
      </c>
      <c r="W33" s="120" t="str">
        <f>IFERROR(VLOOKUP(Table1[RespondentID],'All Data'!$A$3:$CW$999,94,FALSE),"unknown")</f>
        <v>Over $125,000</v>
      </c>
      <c r="X33" s="120" t="str">
        <f>IFERROR(VLOOKUP(Table1[RespondentID],'All Data'!$A$3:$CW$999,95,FALSE),"unknown")</f>
        <v>Graduate school</v>
      </c>
      <c r="Y33" s="120" t="str">
        <f>IFERROR(VLOOKUP(Table1[RespondentID],'All Data'!$A$3:$CW$999,96,FALSE),"unknown")</f>
        <v>Employed for wages</v>
      </c>
      <c r="Z33" s="120" t="str">
        <f>IFERROR(VLOOKUP(Table1[RespondentID],'All Data'!$A$3:$CW$999,97,FALSE),"unknown")</f>
        <v>Yes</v>
      </c>
      <c r="AA33" s="120">
        <f>IFERROR(VLOOKUP(Table1[RespondentID],'All Data'!$A$3:$CW$999,98,FALSE),"unknown")</f>
        <v>0</v>
      </c>
      <c r="AB33" s="150">
        <f>IFERROR(VLOOKUP(Table1[RespondentID],'All Data'!$A$3:$CW$999,99,FALSE),"unknown")</f>
        <v>0</v>
      </c>
    </row>
    <row r="34" spans="1:28">
      <c r="A34" s="5">
        <v>18025184990</v>
      </c>
      <c r="B34" s="5"/>
      <c r="C34" s="5"/>
      <c r="D34" s="5" t="s">
        <v>66</v>
      </c>
      <c r="E34" s="5"/>
      <c r="F34" s="5"/>
      <c r="G34" s="5" t="s">
        <v>69</v>
      </c>
      <c r="H34" s="5"/>
      <c r="I34" s="5"/>
      <c r="J34" s="5" t="s">
        <v>72</v>
      </c>
      <c r="K34" s="5"/>
      <c r="L34" s="5"/>
      <c r="M34" s="5"/>
      <c r="N34" s="5"/>
      <c r="O34" s="145"/>
      <c r="P34" s="120" t="str">
        <f>IFERROR(VLOOKUP(Table1[RespondentID],'All Data'!$A$3:$CO$999,87,FALSE),"unknown")</f>
        <v>Woman</v>
      </c>
      <c r="Q34" s="120">
        <f>IFERROR(VLOOKUP(Table1[RespondentID],'All Data'!$A$3:$CO$999,88,FALSE),"unknown")</f>
        <v>26</v>
      </c>
      <c r="R34" s="120" t="str">
        <f>IFERROR(VLOOKUP(Table1[RespondentID],'All Data'!$A$3:$CO$999,89,FALSE),"unknown")</f>
        <v>Suffolk</v>
      </c>
      <c r="S34" s="120" t="str">
        <f>IFERROR(VLOOKUP(Table1[RespondentID],'All Data'!$A$3:$CO$999,90,FALSE),"unknown")</f>
        <v>Saint James, 11780</v>
      </c>
      <c r="T34" s="120" t="str">
        <f>IFERROR(VLOOKUP(Table1[RespondentID],'All Data'!$A$3:$CO$999,91,FALSE),"unknown")</f>
        <v>White</v>
      </c>
      <c r="U34" s="120" t="str">
        <f>IFERROR(VLOOKUP(Table1[RespondentID],'All Data'!$A$3:$CO$999,92,FALSE),"unknown")</f>
        <v>Not Hispanic or Latino</v>
      </c>
      <c r="V34" s="120" t="str">
        <f>IFERROR(VLOOKUP(Table1[RespondentID],'All Data'!$A$3:$CO$999,93,FALSE),"unknown")</f>
        <v>English</v>
      </c>
      <c r="W34" s="120" t="str">
        <f>IFERROR(VLOOKUP(Table1[RespondentID],'All Data'!$A$3:$CW$999,94,FALSE),"unknown")</f>
        <v>$75,000 to $125,000</v>
      </c>
      <c r="X34" s="120" t="str">
        <f>IFERROR(VLOOKUP(Table1[RespondentID],'All Data'!$A$3:$CW$999,95,FALSE),"unknown")</f>
        <v>College graduate</v>
      </c>
      <c r="Y34" s="120" t="str">
        <f>IFERROR(VLOOKUP(Table1[RespondentID],'All Data'!$A$3:$CW$999,96,FALSE),"unknown")</f>
        <v>Employed for wages</v>
      </c>
      <c r="Z34" s="120" t="str">
        <f>IFERROR(VLOOKUP(Table1[RespondentID],'All Data'!$A$3:$CW$999,97,FALSE),"unknown")</f>
        <v>Yes</v>
      </c>
      <c r="AA34" s="120">
        <f>IFERROR(VLOOKUP(Table1[RespondentID],'All Data'!$A$3:$CW$999,98,FALSE),"unknown")</f>
        <v>0</v>
      </c>
      <c r="AB34" s="150">
        <f>IFERROR(VLOOKUP(Table1[RespondentID],'All Data'!$A$3:$CW$999,99,FALSE),"unknown")</f>
        <v>0</v>
      </c>
    </row>
    <row r="35" spans="1:28">
      <c r="A35" s="5">
        <v>18025184829</v>
      </c>
      <c r="B35" s="5" t="s">
        <v>64</v>
      </c>
      <c r="C35" s="5"/>
      <c r="D35" s="5"/>
      <c r="E35" s="5"/>
      <c r="F35" s="5" t="s">
        <v>68</v>
      </c>
      <c r="G35" s="5" t="s">
        <v>69</v>
      </c>
      <c r="H35" s="5" t="s">
        <v>70</v>
      </c>
      <c r="I35" s="5"/>
      <c r="J35" s="5" t="s">
        <v>72</v>
      </c>
      <c r="K35" s="5"/>
      <c r="L35" s="5"/>
      <c r="M35" s="5"/>
      <c r="N35" s="5" t="s">
        <v>76</v>
      </c>
      <c r="O35" s="145"/>
      <c r="P35" s="120" t="str">
        <f>IFERROR(VLOOKUP(Table1[RespondentID],'All Data'!$A$3:$CO$999,87,FALSE),"unknown")</f>
        <v>Woman</v>
      </c>
      <c r="Q35" s="120">
        <f>IFERROR(VLOOKUP(Table1[RespondentID],'All Data'!$A$3:$CO$999,88,FALSE),"unknown")</f>
        <v>48</v>
      </c>
      <c r="R35" s="120" t="str">
        <f>IFERROR(VLOOKUP(Table1[RespondentID],'All Data'!$A$3:$CO$999,89,FALSE),"unknown")</f>
        <v>Suffolk</v>
      </c>
      <c r="S35" s="120" t="str">
        <f>IFERROR(VLOOKUP(Table1[RespondentID],'All Data'!$A$3:$CO$999,90,FALSE),"unknown")</f>
        <v>Smithtown, 11787</v>
      </c>
      <c r="T35" s="120" t="str">
        <f>IFERROR(VLOOKUP(Table1[RespondentID],'All Data'!$A$3:$CO$999,91,FALSE),"unknown")</f>
        <v>White</v>
      </c>
      <c r="U35" s="120" t="str">
        <f>IFERROR(VLOOKUP(Table1[RespondentID],'All Data'!$A$3:$CO$999,92,FALSE),"unknown")</f>
        <v>Not Hispanic or Latino</v>
      </c>
      <c r="V35" s="120" t="str">
        <f>IFERROR(VLOOKUP(Table1[RespondentID],'All Data'!$A$3:$CO$999,93,FALSE),"unknown")</f>
        <v>English, Italian</v>
      </c>
      <c r="W35" s="120" t="str">
        <f>IFERROR(VLOOKUP(Table1[RespondentID],'All Data'!$A$3:$CW$999,94,FALSE),"unknown")</f>
        <v>Over $125,000</v>
      </c>
      <c r="X35" s="120" t="str">
        <f>IFERROR(VLOOKUP(Table1[RespondentID],'All Data'!$A$3:$CW$999,95,FALSE),"unknown")</f>
        <v>Graduate school</v>
      </c>
      <c r="Y35" s="120" t="str">
        <f>IFERROR(VLOOKUP(Table1[RespondentID],'All Data'!$A$3:$CW$999,96,FALSE),"unknown")</f>
        <v>Employed for wages</v>
      </c>
      <c r="Z35" s="120" t="str">
        <f>IFERROR(VLOOKUP(Table1[RespondentID],'All Data'!$A$3:$CW$999,97,FALSE),"unknown")</f>
        <v>Yes</v>
      </c>
      <c r="AA35" s="120">
        <f>IFERROR(VLOOKUP(Table1[RespondentID],'All Data'!$A$3:$CW$999,98,FALSE),"unknown")</f>
        <v>0</v>
      </c>
      <c r="AB35" s="150">
        <f>IFERROR(VLOOKUP(Table1[RespondentID],'All Data'!$A$3:$CW$999,99,FALSE),"unknown")</f>
        <v>0</v>
      </c>
    </row>
    <row r="36" spans="1:28">
      <c r="A36" s="5">
        <v>18025184660</v>
      </c>
      <c r="B36" s="5" t="s">
        <v>64</v>
      </c>
      <c r="C36" s="5"/>
      <c r="D36" s="5"/>
      <c r="E36" s="5" t="s">
        <v>67</v>
      </c>
      <c r="F36" s="5"/>
      <c r="G36" s="5"/>
      <c r="H36" s="5"/>
      <c r="I36" s="5"/>
      <c r="J36" s="5"/>
      <c r="K36" s="5"/>
      <c r="L36" s="5"/>
      <c r="M36" s="5" t="s">
        <v>75</v>
      </c>
      <c r="N36" s="5"/>
      <c r="O36" s="145"/>
      <c r="P36" s="120" t="str">
        <f>IFERROR(VLOOKUP(Table1[RespondentID],'All Data'!$A$3:$CO$999,87,FALSE),"unknown")</f>
        <v>Man</v>
      </c>
      <c r="Q36" s="120">
        <f>IFERROR(VLOOKUP(Table1[RespondentID],'All Data'!$A$3:$CO$999,88,FALSE),"unknown")</f>
        <v>47</v>
      </c>
      <c r="R36" s="120" t="str">
        <f>IFERROR(VLOOKUP(Table1[RespondentID],'All Data'!$A$3:$CO$999,89,FALSE),"unknown")</f>
        <v>Suffolk</v>
      </c>
      <c r="S36" s="120" t="str">
        <f>IFERROR(VLOOKUP(Table1[RespondentID],'All Data'!$A$3:$CO$999,90,FALSE),"unknown")</f>
        <v>Saint James, 11780</v>
      </c>
      <c r="T36" s="120" t="str">
        <f>IFERROR(VLOOKUP(Table1[RespondentID],'All Data'!$A$3:$CO$999,91,FALSE),"unknown")</f>
        <v>White</v>
      </c>
      <c r="U36" s="120" t="str">
        <f>IFERROR(VLOOKUP(Table1[RespondentID],'All Data'!$A$3:$CO$999,92,FALSE),"unknown")</f>
        <v>Not Hispanic or Latino</v>
      </c>
      <c r="V36" s="120" t="str">
        <f>IFERROR(VLOOKUP(Table1[RespondentID],'All Data'!$A$3:$CO$999,93,FALSE),"unknown")</f>
        <v>English</v>
      </c>
      <c r="W36" s="120" t="str">
        <f>IFERROR(VLOOKUP(Table1[RespondentID],'All Data'!$A$3:$CW$999,94,FALSE),"unknown")</f>
        <v>Over $125,000</v>
      </c>
      <c r="X36" s="120" t="str">
        <f>IFERROR(VLOOKUP(Table1[RespondentID],'All Data'!$A$3:$CW$999,95,FALSE),"unknown")</f>
        <v>Graduate school</v>
      </c>
      <c r="Y36" s="120" t="str">
        <f>IFERROR(VLOOKUP(Table1[RespondentID],'All Data'!$A$3:$CW$999,96,FALSE),"unknown")</f>
        <v>Employed for wages</v>
      </c>
      <c r="Z36" s="120" t="str">
        <f>IFERROR(VLOOKUP(Table1[RespondentID],'All Data'!$A$3:$CW$999,97,FALSE),"unknown")</f>
        <v>Yes</v>
      </c>
      <c r="AA36" s="120">
        <f>IFERROR(VLOOKUP(Table1[RespondentID],'All Data'!$A$3:$CW$999,98,FALSE),"unknown")</f>
        <v>0</v>
      </c>
      <c r="AB36" s="150">
        <f>IFERROR(VLOOKUP(Table1[RespondentID],'All Data'!$A$3:$CW$999,99,FALSE),"unknown")</f>
        <v>0</v>
      </c>
    </row>
    <row r="37" spans="1:28">
      <c r="A37" s="5">
        <v>18025184519</v>
      </c>
      <c r="B37" s="5" t="s">
        <v>64</v>
      </c>
      <c r="C37" s="5"/>
      <c r="D37" s="5"/>
      <c r="E37" s="5" t="s">
        <v>67</v>
      </c>
      <c r="F37" s="5"/>
      <c r="G37" s="5"/>
      <c r="H37" s="5"/>
      <c r="I37" s="5"/>
      <c r="J37" s="5"/>
      <c r="K37" s="5"/>
      <c r="L37" s="5"/>
      <c r="M37" s="5"/>
      <c r="N37" s="5"/>
      <c r="O37" s="145"/>
      <c r="P37" s="120" t="str">
        <f>IFERROR(VLOOKUP(Table1[RespondentID],'All Data'!$A$3:$CO$999,87,FALSE),"unknown")</f>
        <v>Woman</v>
      </c>
      <c r="Q37" s="120">
        <f>IFERROR(VLOOKUP(Table1[RespondentID],'All Data'!$A$3:$CO$999,88,FALSE),"unknown")</f>
        <v>39</v>
      </c>
      <c r="R37" s="120" t="str">
        <f>IFERROR(VLOOKUP(Table1[RespondentID],'All Data'!$A$3:$CO$999,89,FALSE),"unknown")</f>
        <v>Suffolk</v>
      </c>
      <c r="S37" s="120" t="str">
        <f>IFERROR(VLOOKUP(Table1[RespondentID],'All Data'!$A$3:$CO$999,90,FALSE),"unknown")</f>
        <v>Nesconset, 11767</v>
      </c>
      <c r="T37" s="120" t="str">
        <f>IFERROR(VLOOKUP(Table1[RespondentID],'All Data'!$A$3:$CO$999,91,FALSE),"unknown")</f>
        <v>White</v>
      </c>
      <c r="U37" s="120" t="str">
        <f>IFERROR(VLOOKUP(Table1[RespondentID],'All Data'!$A$3:$CO$999,92,FALSE),"unknown")</f>
        <v>Not Hispanic or Latino</v>
      </c>
      <c r="V37" s="120" t="str">
        <f>IFERROR(VLOOKUP(Table1[RespondentID],'All Data'!$A$3:$CO$999,93,FALSE),"unknown")</f>
        <v>English</v>
      </c>
      <c r="W37" s="120" t="str">
        <f>IFERROR(VLOOKUP(Table1[RespondentID],'All Data'!$A$3:$CW$999,94,FALSE),"unknown")</f>
        <v>Over $125,000</v>
      </c>
      <c r="X37" s="120" t="str">
        <f>IFERROR(VLOOKUP(Table1[RespondentID],'All Data'!$A$3:$CW$999,95,FALSE),"unknown")</f>
        <v>Graduate school</v>
      </c>
      <c r="Y37" s="120" t="str">
        <f>IFERROR(VLOOKUP(Table1[RespondentID],'All Data'!$A$3:$CW$999,96,FALSE),"unknown")</f>
        <v>Employed for wages</v>
      </c>
      <c r="Z37" s="120" t="str">
        <f>IFERROR(VLOOKUP(Table1[RespondentID],'All Data'!$A$3:$CW$999,97,FALSE),"unknown")</f>
        <v>Yes</v>
      </c>
      <c r="AA37" s="120">
        <f>IFERROR(VLOOKUP(Table1[RespondentID],'All Data'!$A$3:$CW$999,98,FALSE),"unknown")</f>
        <v>0</v>
      </c>
      <c r="AB37" s="150">
        <f>IFERROR(VLOOKUP(Table1[RespondentID],'All Data'!$A$3:$CW$999,99,FALSE),"unknown")</f>
        <v>0</v>
      </c>
    </row>
    <row r="38" spans="1:28">
      <c r="A38" s="5">
        <v>18025184369</v>
      </c>
      <c r="B38" s="5" t="s">
        <v>64</v>
      </c>
      <c r="C38" s="5"/>
      <c r="D38" s="5"/>
      <c r="E38" s="5"/>
      <c r="F38" s="5"/>
      <c r="G38" s="5"/>
      <c r="H38" s="5"/>
      <c r="I38" s="5"/>
      <c r="J38" s="5"/>
      <c r="K38" s="5"/>
      <c r="L38" s="5"/>
      <c r="M38" s="5"/>
      <c r="N38" s="5"/>
      <c r="O38" s="145"/>
      <c r="P38" s="120" t="str">
        <f>IFERROR(VLOOKUP(Table1[RespondentID],'All Data'!$A$3:$CO$999,87,FALSE),"unknown")</f>
        <v>Woman</v>
      </c>
      <c r="Q38" s="120">
        <f>IFERROR(VLOOKUP(Table1[RespondentID],'All Data'!$A$3:$CO$999,88,FALSE),"unknown")</f>
        <v>52</v>
      </c>
      <c r="R38" s="120" t="str">
        <f>IFERROR(VLOOKUP(Table1[RespondentID],'All Data'!$A$3:$CO$999,89,FALSE),"unknown")</f>
        <v>Suffolk</v>
      </c>
      <c r="S38" s="120" t="str">
        <f>IFERROR(VLOOKUP(Table1[RespondentID],'All Data'!$A$3:$CO$999,90,FALSE),"unknown")</f>
        <v>Smithtown, 11787</v>
      </c>
      <c r="T38" s="120" t="str">
        <f>IFERROR(VLOOKUP(Table1[RespondentID],'All Data'!$A$3:$CO$999,91,FALSE),"unknown")</f>
        <v>White</v>
      </c>
      <c r="U38" s="120" t="str">
        <f>IFERROR(VLOOKUP(Table1[RespondentID],'All Data'!$A$3:$CO$999,92,FALSE),"unknown")</f>
        <v>Hispanic or Latino</v>
      </c>
      <c r="V38" s="120" t="str">
        <f>IFERROR(VLOOKUP(Table1[RespondentID],'All Data'!$A$3:$CO$999,93,FALSE),"unknown")</f>
        <v>English, Spanish</v>
      </c>
      <c r="W38" s="120" t="str">
        <f>IFERROR(VLOOKUP(Table1[RespondentID],'All Data'!$A$3:$CW$999,94,FALSE),"unknown")</f>
        <v>$75,000 to $125,000</v>
      </c>
      <c r="X38" s="120" t="str">
        <f>IFERROR(VLOOKUP(Table1[RespondentID],'All Data'!$A$3:$CW$999,95,FALSE),"unknown")</f>
        <v>Graduate school</v>
      </c>
      <c r="Y38" s="120" t="str">
        <f>IFERROR(VLOOKUP(Table1[RespondentID],'All Data'!$A$3:$CW$999,96,FALSE),"unknown")</f>
        <v>Employed for wages</v>
      </c>
      <c r="Z38" s="120" t="str">
        <f>IFERROR(VLOOKUP(Table1[RespondentID],'All Data'!$A$3:$CW$999,97,FALSE),"unknown")</f>
        <v>Yes</v>
      </c>
      <c r="AA38" s="120">
        <f>IFERROR(VLOOKUP(Table1[RespondentID],'All Data'!$A$3:$CW$999,98,FALSE),"unknown")</f>
        <v>0</v>
      </c>
      <c r="AB38" s="150">
        <f>IFERROR(VLOOKUP(Table1[RespondentID],'All Data'!$A$3:$CW$999,99,FALSE),"unknown")</f>
        <v>0</v>
      </c>
    </row>
    <row r="39" spans="1:28">
      <c r="A39" s="5">
        <v>18025184067</v>
      </c>
      <c r="B39" s="5" t="s">
        <v>64</v>
      </c>
      <c r="C39" s="5"/>
      <c r="D39" s="5"/>
      <c r="E39" s="5"/>
      <c r="F39" s="5"/>
      <c r="G39" s="5"/>
      <c r="H39" s="5" t="s">
        <v>70</v>
      </c>
      <c r="I39" s="5"/>
      <c r="J39" s="5"/>
      <c r="K39" s="5"/>
      <c r="L39" s="5"/>
      <c r="M39" s="5" t="s">
        <v>75</v>
      </c>
      <c r="N39" s="5"/>
      <c r="O39" s="145"/>
      <c r="P39" s="120" t="str">
        <f>IFERROR(VLOOKUP(Table1[RespondentID],'All Data'!$A$3:$CO$999,87,FALSE),"unknown")</f>
        <v>Woman</v>
      </c>
      <c r="Q39" s="120">
        <f>IFERROR(VLOOKUP(Table1[RespondentID],'All Data'!$A$3:$CO$999,88,FALSE),"unknown")</f>
        <v>40</v>
      </c>
      <c r="R39" s="120" t="str">
        <f>IFERROR(VLOOKUP(Table1[RespondentID],'All Data'!$A$3:$CO$999,89,FALSE),"unknown")</f>
        <v>Suffolk</v>
      </c>
      <c r="S39" s="120" t="str">
        <f>IFERROR(VLOOKUP(Table1[RespondentID],'All Data'!$A$3:$CO$999,90,FALSE),"unknown")</f>
        <v>Baiting Hollow, 11933</v>
      </c>
      <c r="T39" s="120" t="str">
        <f>IFERROR(VLOOKUP(Table1[RespondentID],'All Data'!$A$3:$CO$999,91,FALSE),"unknown")</f>
        <v>White</v>
      </c>
      <c r="U39" s="120" t="str">
        <f>IFERROR(VLOOKUP(Table1[RespondentID],'All Data'!$A$3:$CO$999,92,FALSE),"unknown")</f>
        <v>Not Hispanic or Latino</v>
      </c>
      <c r="V39" s="120" t="str">
        <f>IFERROR(VLOOKUP(Table1[RespondentID],'All Data'!$A$3:$CO$999,93,FALSE),"unknown")</f>
        <v>English</v>
      </c>
      <c r="W39" s="120" t="str">
        <f>IFERROR(VLOOKUP(Table1[RespondentID],'All Data'!$A$3:$CW$999,94,FALSE),"unknown")</f>
        <v>Over $125,000</v>
      </c>
      <c r="X39" s="120" t="str">
        <f>IFERROR(VLOOKUP(Table1[RespondentID],'All Data'!$A$3:$CW$999,95,FALSE),"unknown")</f>
        <v>Other (please specify)</v>
      </c>
      <c r="Y39" s="120" t="str">
        <f>IFERROR(VLOOKUP(Table1[RespondentID],'All Data'!$A$3:$CW$999,96,FALSE),"unknown")</f>
        <v>Employed for wages</v>
      </c>
      <c r="Z39" s="120" t="str">
        <f>IFERROR(VLOOKUP(Table1[RespondentID],'All Data'!$A$3:$CW$999,97,FALSE),"unknown")</f>
        <v>Yes</v>
      </c>
      <c r="AA39" s="120">
        <f>IFERROR(VLOOKUP(Table1[RespondentID],'All Data'!$A$3:$CW$999,98,FALSE),"unknown")</f>
        <v>0</v>
      </c>
      <c r="AB39" s="150">
        <f>IFERROR(VLOOKUP(Table1[RespondentID],'All Data'!$A$3:$CW$999,99,FALSE),"unknown")</f>
        <v>0</v>
      </c>
    </row>
    <row r="40" spans="1:28">
      <c r="A40" s="5">
        <v>18025183911</v>
      </c>
      <c r="B40" s="5" t="s">
        <v>64</v>
      </c>
      <c r="C40" s="5"/>
      <c r="D40" s="5"/>
      <c r="E40" s="5"/>
      <c r="F40" s="5" t="s">
        <v>68</v>
      </c>
      <c r="G40" s="5"/>
      <c r="H40" s="5"/>
      <c r="I40" s="5"/>
      <c r="J40" s="5"/>
      <c r="K40" s="5"/>
      <c r="L40" s="5"/>
      <c r="M40" s="5" t="s">
        <v>75</v>
      </c>
      <c r="N40" s="5"/>
      <c r="O40" s="145"/>
      <c r="P40" s="120" t="str">
        <f>IFERROR(VLOOKUP(Table1[RespondentID],'All Data'!$A$3:$CO$999,87,FALSE),"unknown")</f>
        <v>Man</v>
      </c>
      <c r="Q40" s="120">
        <f>IFERROR(VLOOKUP(Table1[RespondentID],'All Data'!$A$3:$CO$999,88,FALSE),"unknown")</f>
        <v>46</v>
      </c>
      <c r="R40" s="120" t="str">
        <f>IFERROR(VLOOKUP(Table1[RespondentID],'All Data'!$A$3:$CO$999,89,FALSE),"unknown")</f>
        <v>Suffolk</v>
      </c>
      <c r="S40" s="120" t="str">
        <f>IFERROR(VLOOKUP(Table1[RespondentID],'All Data'!$A$3:$CO$999,90,FALSE),"unknown")</f>
        <v>Smithtown, 11787</v>
      </c>
      <c r="T40" s="120" t="str">
        <f>IFERROR(VLOOKUP(Table1[RespondentID],'All Data'!$A$3:$CO$999,91,FALSE),"unknown")</f>
        <v>White</v>
      </c>
      <c r="U40" s="120" t="str">
        <f>IFERROR(VLOOKUP(Table1[RespondentID],'All Data'!$A$3:$CO$999,92,FALSE),"unknown")</f>
        <v>Not Hispanic or Latino</v>
      </c>
      <c r="V40" s="120" t="str">
        <f>IFERROR(VLOOKUP(Table1[RespondentID],'All Data'!$A$3:$CO$999,93,FALSE),"unknown")</f>
        <v>English</v>
      </c>
      <c r="W40" s="120" t="str">
        <f>IFERROR(VLOOKUP(Table1[RespondentID],'All Data'!$A$3:$CW$999,94,FALSE),"unknown")</f>
        <v>$75,000 to $125,000</v>
      </c>
      <c r="X40" s="120" t="str">
        <f>IFERROR(VLOOKUP(Table1[RespondentID],'All Data'!$A$3:$CW$999,95,FALSE),"unknown")</f>
        <v>College graduate</v>
      </c>
      <c r="Y40" s="120" t="str">
        <f>IFERROR(VLOOKUP(Table1[RespondentID],'All Data'!$A$3:$CW$999,96,FALSE),"unknown")</f>
        <v>Employed for wages</v>
      </c>
      <c r="Z40" s="120" t="str">
        <f>IFERROR(VLOOKUP(Table1[RespondentID],'All Data'!$A$3:$CW$999,97,FALSE),"unknown")</f>
        <v>Yes</v>
      </c>
      <c r="AA40" s="120">
        <f>IFERROR(VLOOKUP(Table1[RespondentID],'All Data'!$A$3:$CW$999,98,FALSE),"unknown")</f>
        <v>0</v>
      </c>
      <c r="AB40" s="150">
        <f>IFERROR(VLOOKUP(Table1[RespondentID],'All Data'!$A$3:$CW$999,99,FALSE),"unknown")</f>
        <v>0</v>
      </c>
    </row>
    <row r="41" spans="1:28">
      <c r="A41" s="5">
        <v>18025183737</v>
      </c>
      <c r="B41" s="5" t="s">
        <v>64</v>
      </c>
      <c r="C41" s="5"/>
      <c r="D41" s="5"/>
      <c r="E41" s="5"/>
      <c r="F41" s="5"/>
      <c r="G41" s="5"/>
      <c r="H41" s="5"/>
      <c r="I41" s="5"/>
      <c r="J41" s="5"/>
      <c r="K41" s="5" t="s">
        <v>73</v>
      </c>
      <c r="L41" s="5"/>
      <c r="M41" s="5"/>
      <c r="N41" s="5"/>
      <c r="O41" s="145"/>
      <c r="P41" s="120" t="str">
        <f>IFERROR(VLOOKUP(Table1[RespondentID],'All Data'!$A$3:$CO$999,87,FALSE),"unknown")</f>
        <v>Woman</v>
      </c>
      <c r="Q41" s="120">
        <f>IFERROR(VLOOKUP(Table1[RespondentID],'All Data'!$A$3:$CO$999,88,FALSE),"unknown")</f>
        <v>39</v>
      </c>
      <c r="R41" s="120" t="str">
        <f>IFERROR(VLOOKUP(Table1[RespondentID],'All Data'!$A$3:$CO$999,89,FALSE),"unknown")</f>
        <v>Suffolk</v>
      </c>
      <c r="S41" s="120" t="str">
        <f>IFERROR(VLOOKUP(Table1[RespondentID],'All Data'!$A$3:$CO$999,90,FALSE),"unknown")</f>
        <v>Ronkonkoma, 11779</v>
      </c>
      <c r="T41" s="120" t="str">
        <f>IFERROR(VLOOKUP(Table1[RespondentID],'All Data'!$A$3:$CO$999,91,FALSE),"unknown")</f>
        <v>Two or more races</v>
      </c>
      <c r="U41" s="120" t="str">
        <f>IFERROR(VLOOKUP(Table1[RespondentID],'All Data'!$A$3:$CO$999,92,FALSE),"unknown")</f>
        <v>Hispanic or Latino</v>
      </c>
      <c r="V41" s="120" t="str">
        <f>IFERROR(VLOOKUP(Table1[RespondentID],'All Data'!$A$3:$CO$999,93,FALSE),"unknown")</f>
        <v>English, Spanish</v>
      </c>
      <c r="W41" s="120" t="str">
        <f>IFERROR(VLOOKUP(Table1[RespondentID],'All Data'!$A$3:$CW$999,94,FALSE),"unknown")</f>
        <v>$50,000 to $74,999</v>
      </c>
      <c r="X41" s="120" t="str">
        <f>IFERROR(VLOOKUP(Table1[RespondentID],'All Data'!$A$3:$CW$999,95,FALSE),"unknown")</f>
        <v>Technical school</v>
      </c>
      <c r="Y41" s="120" t="str">
        <f>IFERROR(VLOOKUP(Table1[RespondentID],'All Data'!$A$3:$CW$999,96,FALSE),"unknown")</f>
        <v>Employed for wages</v>
      </c>
      <c r="Z41" s="120" t="str">
        <f>IFERROR(VLOOKUP(Table1[RespondentID],'All Data'!$A$3:$CW$999,97,FALSE),"unknown")</f>
        <v>Yes</v>
      </c>
      <c r="AA41" s="120">
        <f>IFERROR(VLOOKUP(Table1[RespondentID],'All Data'!$A$3:$CW$999,98,FALSE),"unknown")</f>
        <v>0</v>
      </c>
      <c r="AB41" s="150">
        <f>IFERROR(VLOOKUP(Table1[RespondentID],'All Data'!$A$3:$CW$999,99,FALSE),"unknown")</f>
        <v>0</v>
      </c>
    </row>
    <row r="42" spans="1:28">
      <c r="A42" s="5">
        <v>18025183581</v>
      </c>
      <c r="B42" s="5" t="s">
        <v>64</v>
      </c>
      <c r="C42" s="5"/>
      <c r="D42" s="5"/>
      <c r="E42" s="5"/>
      <c r="F42" s="5"/>
      <c r="G42" s="5" t="s">
        <v>69</v>
      </c>
      <c r="H42" s="5"/>
      <c r="I42" s="5"/>
      <c r="J42" s="5"/>
      <c r="K42" s="5" t="s">
        <v>73</v>
      </c>
      <c r="L42" s="5"/>
      <c r="M42" s="5" t="s">
        <v>75</v>
      </c>
      <c r="N42" s="5"/>
      <c r="O42" s="145"/>
      <c r="P42" s="120" t="str">
        <f>IFERROR(VLOOKUP(Table1[RespondentID],'All Data'!$A$3:$CO$999,87,FALSE),"unknown")</f>
        <v>Man</v>
      </c>
      <c r="Q42" s="120">
        <f>IFERROR(VLOOKUP(Table1[RespondentID],'All Data'!$A$3:$CO$999,88,FALSE),"unknown")</f>
        <v>56</v>
      </c>
      <c r="R42" s="120" t="str">
        <f>IFERROR(VLOOKUP(Table1[RespondentID],'All Data'!$A$3:$CO$999,89,FALSE),"unknown")</f>
        <v>Suffolk</v>
      </c>
      <c r="S42" s="120" t="str">
        <f>IFERROR(VLOOKUP(Table1[RespondentID],'All Data'!$A$3:$CO$999,90,FALSE),"unknown")</f>
        <v>Smithtown, 11787</v>
      </c>
      <c r="T42" s="120" t="str">
        <f>IFERROR(VLOOKUP(Table1[RespondentID],'All Data'!$A$3:$CO$999,91,FALSE),"unknown")</f>
        <v>White</v>
      </c>
      <c r="U42" s="120" t="str">
        <f>IFERROR(VLOOKUP(Table1[RespondentID],'All Data'!$A$3:$CO$999,92,FALSE),"unknown")</f>
        <v>Not Hispanic or Latino</v>
      </c>
      <c r="V42" s="120" t="str">
        <f>IFERROR(VLOOKUP(Table1[RespondentID],'All Data'!$A$3:$CO$999,93,FALSE),"unknown")</f>
        <v>English</v>
      </c>
      <c r="W42" s="120" t="str">
        <f>IFERROR(VLOOKUP(Table1[RespondentID],'All Data'!$A$3:$CW$999,94,FALSE),"unknown")</f>
        <v>Over $125,000</v>
      </c>
      <c r="X42" s="120" t="str">
        <f>IFERROR(VLOOKUP(Table1[RespondentID],'All Data'!$A$3:$CW$999,95,FALSE),"unknown")</f>
        <v>Doctorate</v>
      </c>
      <c r="Y42" s="120" t="str">
        <f>IFERROR(VLOOKUP(Table1[RespondentID],'All Data'!$A$3:$CW$999,96,FALSE),"unknown")</f>
        <v>Employed for wages</v>
      </c>
      <c r="Z42" s="120" t="str">
        <f>IFERROR(VLOOKUP(Table1[RespondentID],'All Data'!$A$3:$CW$999,97,FALSE),"unknown")</f>
        <v>Yes</v>
      </c>
      <c r="AA42" s="120">
        <f>IFERROR(VLOOKUP(Table1[RespondentID],'All Data'!$A$3:$CW$999,98,FALSE),"unknown")</f>
        <v>0</v>
      </c>
      <c r="AB42" s="150">
        <f>IFERROR(VLOOKUP(Table1[RespondentID],'All Data'!$A$3:$CW$999,99,FALSE),"unknown")</f>
        <v>0</v>
      </c>
    </row>
    <row r="43" spans="1:28">
      <c r="A43" s="5">
        <v>18025183430</v>
      </c>
      <c r="B43" s="5" t="s">
        <v>64</v>
      </c>
      <c r="C43" s="5"/>
      <c r="D43" s="5" t="s">
        <v>66</v>
      </c>
      <c r="E43" s="5" t="s">
        <v>67</v>
      </c>
      <c r="F43" s="5" t="s">
        <v>68</v>
      </c>
      <c r="G43" s="5" t="s">
        <v>69</v>
      </c>
      <c r="H43" s="5"/>
      <c r="I43" s="5" t="s">
        <v>71</v>
      </c>
      <c r="J43" s="5" t="s">
        <v>72</v>
      </c>
      <c r="K43" s="5"/>
      <c r="L43" s="5"/>
      <c r="M43" s="5" t="s">
        <v>75</v>
      </c>
      <c r="N43" s="5"/>
      <c r="O43" s="145"/>
      <c r="P43" s="120" t="str">
        <f>IFERROR(VLOOKUP(Table1[RespondentID],'All Data'!$A$3:$CO$999,87,FALSE),"unknown")</f>
        <v>Woman</v>
      </c>
      <c r="Q43" s="120">
        <f>IFERROR(VLOOKUP(Table1[RespondentID],'All Data'!$A$3:$CO$999,88,FALSE),"unknown")</f>
        <v>22</v>
      </c>
      <c r="R43" s="120" t="str">
        <f>IFERROR(VLOOKUP(Table1[RespondentID],'All Data'!$A$3:$CO$999,89,FALSE),"unknown")</f>
        <v>Suffolk</v>
      </c>
      <c r="S43" s="120" t="str">
        <f>IFERROR(VLOOKUP(Table1[RespondentID],'All Data'!$A$3:$CO$999,90,FALSE),"unknown")</f>
        <v>Brentwood, 11717</v>
      </c>
      <c r="T43" s="120" t="str">
        <f>IFERROR(VLOOKUP(Table1[RespondentID],'All Data'!$A$3:$CO$999,91,FALSE),"unknown")</f>
        <v>Two or more races</v>
      </c>
      <c r="U43" s="120">
        <f>IFERROR(VLOOKUP(Table1[RespondentID],'All Data'!$A$3:$CO$999,92,FALSE),"unknown")</f>
        <v>0</v>
      </c>
      <c r="V43" s="120" t="str">
        <f>IFERROR(VLOOKUP(Table1[RespondentID],'All Data'!$A$3:$CO$999,93,FALSE),"unknown")</f>
        <v>English</v>
      </c>
      <c r="W43" s="120" t="str">
        <f>IFERROR(VLOOKUP(Table1[RespondentID],'All Data'!$A$3:$CW$999,94,FALSE),"unknown")</f>
        <v>$35,000 to $49,999</v>
      </c>
      <c r="X43" s="120" t="str">
        <f>IFERROR(VLOOKUP(Table1[RespondentID],'All Data'!$A$3:$CW$999,95,FALSE),"unknown")</f>
        <v>College graduate</v>
      </c>
      <c r="Y43" s="120" t="str">
        <f>IFERROR(VLOOKUP(Table1[RespondentID],'All Data'!$A$3:$CW$999,96,FALSE),"unknown")</f>
        <v>Employed for wages</v>
      </c>
      <c r="Z43" s="120" t="str">
        <f>IFERROR(VLOOKUP(Table1[RespondentID],'All Data'!$A$3:$CW$999,97,FALSE),"unknown")</f>
        <v>Yes</v>
      </c>
      <c r="AA43" s="120" t="str">
        <f>IFERROR(VLOOKUP(Table1[RespondentID],'All Data'!$A$3:$CW$999,98,FALSE),"unknown")</f>
        <v>Private/Commercial</v>
      </c>
      <c r="AB43" s="150">
        <f>IFERROR(VLOOKUP(Table1[RespondentID],'All Data'!$A$3:$CW$999,99,FALSE),"unknown")</f>
        <v>0</v>
      </c>
    </row>
    <row r="44" spans="1:28">
      <c r="A44" s="5">
        <v>18025183271</v>
      </c>
      <c r="B44" s="5"/>
      <c r="C44" s="5"/>
      <c r="D44" s="5" t="s">
        <v>66</v>
      </c>
      <c r="E44" s="5"/>
      <c r="F44" s="5"/>
      <c r="G44" s="5"/>
      <c r="H44" s="5"/>
      <c r="I44" s="5"/>
      <c r="J44" s="5"/>
      <c r="K44" s="5"/>
      <c r="L44" s="5" t="s">
        <v>74</v>
      </c>
      <c r="M44" s="5"/>
      <c r="N44" s="5" t="s">
        <v>76</v>
      </c>
      <c r="O44" s="145"/>
      <c r="P44" s="120" t="str">
        <f>IFERROR(VLOOKUP(Table1[RespondentID],'All Data'!$A$3:$CO$999,87,FALSE),"unknown")</f>
        <v>Woman</v>
      </c>
      <c r="Q44" s="120">
        <f>IFERROR(VLOOKUP(Table1[RespondentID],'All Data'!$A$3:$CO$999,88,FALSE),"unknown")</f>
        <v>28</v>
      </c>
      <c r="R44" s="120" t="str">
        <f>IFERROR(VLOOKUP(Table1[RespondentID],'All Data'!$A$3:$CO$999,89,FALSE),"unknown")</f>
        <v>Suffolk</v>
      </c>
      <c r="S44" s="120" t="str">
        <f>IFERROR(VLOOKUP(Table1[RespondentID],'All Data'!$A$3:$CO$999,90,FALSE),"unknown")</f>
        <v>Hauppauge, 11788</v>
      </c>
      <c r="T44" s="120" t="str">
        <f>IFERROR(VLOOKUP(Table1[RespondentID],'All Data'!$A$3:$CO$999,91,FALSE),"unknown")</f>
        <v>White</v>
      </c>
      <c r="U44" s="120">
        <f>IFERROR(VLOOKUP(Table1[RespondentID],'All Data'!$A$3:$CO$999,92,FALSE),"unknown")</f>
        <v>0</v>
      </c>
      <c r="V44" s="120" t="str">
        <f>IFERROR(VLOOKUP(Table1[RespondentID],'All Data'!$A$3:$CO$999,93,FALSE),"unknown")</f>
        <v>English</v>
      </c>
      <c r="W44" s="120" t="str">
        <f>IFERROR(VLOOKUP(Table1[RespondentID],'All Data'!$A$3:$CW$999,94,FALSE),"unknown")</f>
        <v>$50,000 to $74,999</v>
      </c>
      <c r="X44" s="120" t="str">
        <f>IFERROR(VLOOKUP(Table1[RespondentID],'All Data'!$A$3:$CW$999,95,FALSE),"unknown")</f>
        <v>College graduate</v>
      </c>
      <c r="Y44" s="120" t="str">
        <f>IFERROR(VLOOKUP(Table1[RespondentID],'All Data'!$A$3:$CW$999,96,FALSE),"unknown")</f>
        <v>Self-employed</v>
      </c>
      <c r="Z44" s="120" t="str">
        <f>IFERROR(VLOOKUP(Table1[RespondentID],'All Data'!$A$3:$CW$999,97,FALSE),"unknown")</f>
        <v>Yes</v>
      </c>
      <c r="AA44" s="120" t="str">
        <f>IFERROR(VLOOKUP(Table1[RespondentID],'All Data'!$A$3:$CW$999,98,FALSE),"unknown")</f>
        <v>Private/Commercial</v>
      </c>
      <c r="AB44" s="150">
        <f>IFERROR(VLOOKUP(Table1[RespondentID],'All Data'!$A$3:$CW$999,99,FALSE),"unknown")</f>
        <v>0</v>
      </c>
    </row>
    <row r="45" spans="1:28">
      <c r="A45" s="5">
        <v>18025183125</v>
      </c>
      <c r="B45" s="5" t="s">
        <v>64</v>
      </c>
      <c r="C45" s="5"/>
      <c r="D45" s="5" t="s">
        <v>66</v>
      </c>
      <c r="E45" s="5"/>
      <c r="F45" s="5"/>
      <c r="G45" s="5"/>
      <c r="H45" s="5"/>
      <c r="I45" s="5"/>
      <c r="J45" s="5"/>
      <c r="K45" s="5" t="s">
        <v>73</v>
      </c>
      <c r="L45" s="5" t="s">
        <v>74</v>
      </c>
      <c r="M45" s="5" t="s">
        <v>75</v>
      </c>
      <c r="N45" s="5" t="s">
        <v>76</v>
      </c>
      <c r="O45" s="145"/>
      <c r="P45" s="120" t="str">
        <f>IFERROR(VLOOKUP(Table1[RespondentID],'All Data'!$A$3:$CO$999,87,FALSE),"unknown")</f>
        <v>Man</v>
      </c>
      <c r="Q45" s="120">
        <f>IFERROR(VLOOKUP(Table1[RespondentID],'All Data'!$A$3:$CO$999,88,FALSE),"unknown")</f>
        <v>28</v>
      </c>
      <c r="R45" s="120" t="str">
        <f>IFERROR(VLOOKUP(Table1[RespondentID],'All Data'!$A$3:$CO$999,89,FALSE),"unknown")</f>
        <v>Suffolk</v>
      </c>
      <c r="S45" s="120" t="str">
        <f>IFERROR(VLOOKUP(Table1[RespondentID],'All Data'!$A$3:$CO$999,90,FALSE),"unknown")</f>
        <v>Greenlawn, 11740</v>
      </c>
      <c r="T45" s="120" t="str">
        <f>IFERROR(VLOOKUP(Table1[RespondentID],'All Data'!$A$3:$CO$999,91,FALSE),"unknown")</f>
        <v>White</v>
      </c>
      <c r="U45" s="120" t="str">
        <f>IFERROR(VLOOKUP(Table1[RespondentID],'All Data'!$A$3:$CO$999,92,FALSE),"unknown")</f>
        <v>Not Hispanic or Latino</v>
      </c>
      <c r="V45" s="120" t="str">
        <f>IFERROR(VLOOKUP(Table1[RespondentID],'All Data'!$A$3:$CO$999,93,FALSE),"unknown")</f>
        <v>English</v>
      </c>
      <c r="W45" s="120" t="str">
        <f>IFERROR(VLOOKUP(Table1[RespondentID],'All Data'!$A$3:$CW$999,94,FALSE),"unknown")</f>
        <v>$75,000 to $125,000</v>
      </c>
      <c r="X45" s="120" t="str">
        <f>IFERROR(VLOOKUP(Table1[RespondentID],'All Data'!$A$3:$CW$999,95,FALSE),"unknown")</f>
        <v>Some college</v>
      </c>
      <c r="Y45" s="120" t="str">
        <f>IFERROR(VLOOKUP(Table1[RespondentID],'All Data'!$A$3:$CW$999,96,FALSE),"unknown")</f>
        <v>Out of work and looking for work</v>
      </c>
      <c r="Z45" s="120">
        <f>IFERROR(VLOOKUP(Table1[RespondentID],'All Data'!$A$3:$CW$999,97,FALSE),"unknown")</f>
        <v>0</v>
      </c>
      <c r="AA45" s="120">
        <f>IFERROR(VLOOKUP(Table1[RespondentID],'All Data'!$A$3:$CW$999,98,FALSE),"unknown")</f>
        <v>0</v>
      </c>
      <c r="AB45" s="150">
        <f>IFERROR(VLOOKUP(Table1[RespondentID],'All Data'!$A$3:$CW$999,99,FALSE),"unknown")</f>
        <v>0</v>
      </c>
    </row>
    <row r="46" spans="1:28">
      <c r="A46" s="5">
        <v>18025182993</v>
      </c>
      <c r="B46" s="5" t="s">
        <v>64</v>
      </c>
      <c r="C46" s="5"/>
      <c r="D46" s="5"/>
      <c r="E46" s="5"/>
      <c r="F46" s="5"/>
      <c r="G46" s="5"/>
      <c r="H46" s="5"/>
      <c r="I46" s="5"/>
      <c r="J46" s="5"/>
      <c r="K46" s="5"/>
      <c r="L46" s="5"/>
      <c r="M46" s="5"/>
      <c r="N46" s="5"/>
      <c r="O46" s="145"/>
      <c r="P46" s="120" t="str">
        <f>IFERROR(VLOOKUP(Table1[RespondentID],'All Data'!$A$3:$CO$999,87,FALSE),"unknown")</f>
        <v>Man</v>
      </c>
      <c r="Q46" s="120">
        <f>IFERROR(VLOOKUP(Table1[RespondentID],'All Data'!$A$3:$CO$999,88,FALSE),"unknown")</f>
        <v>60</v>
      </c>
      <c r="R46" s="120" t="str">
        <f>IFERROR(VLOOKUP(Table1[RespondentID],'All Data'!$A$3:$CO$999,89,FALSE),"unknown")</f>
        <v>Suffolk</v>
      </c>
      <c r="S46" s="120" t="str">
        <f>IFERROR(VLOOKUP(Table1[RespondentID],'All Data'!$A$3:$CO$999,90,FALSE),"unknown")</f>
        <v>Greenlawn, 11740</v>
      </c>
      <c r="T46" s="120" t="str">
        <f>IFERROR(VLOOKUP(Table1[RespondentID],'All Data'!$A$3:$CO$999,91,FALSE),"unknown")</f>
        <v>Two or more races</v>
      </c>
      <c r="U46" s="120" t="str">
        <f>IFERROR(VLOOKUP(Table1[RespondentID],'All Data'!$A$3:$CO$999,92,FALSE),"unknown")</f>
        <v>Hispanic or Latino</v>
      </c>
      <c r="V46" s="120" t="str">
        <f>IFERROR(VLOOKUP(Table1[RespondentID],'All Data'!$A$3:$CO$999,93,FALSE),"unknown")</f>
        <v>English</v>
      </c>
      <c r="W46" s="120" t="str">
        <f>IFERROR(VLOOKUP(Table1[RespondentID],'All Data'!$A$3:$CW$999,94,FALSE),"unknown")</f>
        <v>Over $125,000</v>
      </c>
      <c r="X46" s="120" t="str">
        <f>IFERROR(VLOOKUP(Table1[RespondentID],'All Data'!$A$3:$CW$999,95,FALSE),"unknown")</f>
        <v>Graduate school</v>
      </c>
      <c r="Y46" s="120" t="str">
        <f>IFERROR(VLOOKUP(Table1[RespondentID],'All Data'!$A$3:$CW$999,96,FALSE),"unknown")</f>
        <v>Retired</v>
      </c>
      <c r="Z46" s="120" t="str">
        <f>IFERROR(VLOOKUP(Table1[RespondentID],'All Data'!$A$3:$CW$999,97,FALSE),"unknown")</f>
        <v>Yes</v>
      </c>
      <c r="AA46" s="120" t="str">
        <f>IFERROR(VLOOKUP(Table1[RespondentID],'All Data'!$A$3:$CW$999,98,FALSE),"unknown")</f>
        <v>Private/Commercial</v>
      </c>
      <c r="AB46" s="150">
        <f>IFERROR(VLOOKUP(Table1[RespondentID],'All Data'!$A$3:$CW$999,99,FALSE),"unknown")</f>
        <v>0</v>
      </c>
    </row>
    <row r="47" spans="1:28">
      <c r="A47" s="5">
        <v>18025182885</v>
      </c>
      <c r="B47" s="5" t="s">
        <v>64</v>
      </c>
      <c r="C47" s="5"/>
      <c r="D47" s="5"/>
      <c r="E47" s="5"/>
      <c r="F47" s="5" t="s">
        <v>68</v>
      </c>
      <c r="G47" s="5"/>
      <c r="H47" s="5"/>
      <c r="I47" s="5"/>
      <c r="J47" s="5"/>
      <c r="K47" s="5"/>
      <c r="L47" s="5"/>
      <c r="M47" s="5" t="s">
        <v>75</v>
      </c>
      <c r="N47" s="5"/>
      <c r="O47" s="145"/>
      <c r="P47" s="120">
        <f>IFERROR(VLOOKUP(Table1[RespondentID],'All Data'!$A$3:$CO$999,87,FALSE),"unknown")</f>
        <v>0</v>
      </c>
      <c r="Q47" s="120">
        <f>IFERROR(VLOOKUP(Table1[RespondentID],'All Data'!$A$3:$CO$999,88,FALSE),"unknown")</f>
        <v>55</v>
      </c>
      <c r="R47" s="120" t="str">
        <f>IFERROR(VLOOKUP(Table1[RespondentID],'All Data'!$A$3:$CO$999,89,FALSE),"unknown")</f>
        <v>Suffolk</v>
      </c>
      <c r="S47" s="120" t="str">
        <f>IFERROR(VLOOKUP(Table1[RespondentID],'All Data'!$A$3:$CO$999,90,FALSE),"unknown")</f>
        <v>Greenlawn, 11740</v>
      </c>
      <c r="T47" s="120" t="str">
        <f>IFERROR(VLOOKUP(Table1[RespondentID],'All Data'!$A$3:$CO$999,91,FALSE),"unknown")</f>
        <v>White</v>
      </c>
      <c r="U47" s="120" t="str">
        <f>IFERROR(VLOOKUP(Table1[RespondentID],'All Data'!$A$3:$CO$999,92,FALSE),"unknown")</f>
        <v>Not Hispanic or Latino</v>
      </c>
      <c r="V47" s="120" t="str">
        <f>IFERROR(VLOOKUP(Table1[RespondentID],'All Data'!$A$3:$CO$999,93,FALSE),"unknown")</f>
        <v>English</v>
      </c>
      <c r="W47" s="120" t="str">
        <f>IFERROR(VLOOKUP(Table1[RespondentID],'All Data'!$A$3:$CW$999,94,FALSE),"unknown")</f>
        <v>Over $125,000</v>
      </c>
      <c r="X47" s="120" t="str">
        <f>IFERROR(VLOOKUP(Table1[RespondentID],'All Data'!$A$3:$CW$999,95,FALSE),"unknown")</f>
        <v>College graduate</v>
      </c>
      <c r="Y47" s="120" t="str">
        <f>IFERROR(VLOOKUP(Table1[RespondentID],'All Data'!$A$3:$CW$999,96,FALSE),"unknown")</f>
        <v>Employed for wages</v>
      </c>
      <c r="Z47" s="120" t="str">
        <f>IFERROR(VLOOKUP(Table1[RespondentID],'All Data'!$A$3:$CW$999,97,FALSE),"unknown")</f>
        <v>Yes</v>
      </c>
      <c r="AA47" s="120">
        <f>IFERROR(VLOOKUP(Table1[RespondentID],'All Data'!$A$3:$CW$999,98,FALSE),"unknown")</f>
        <v>0</v>
      </c>
      <c r="AB47" s="150">
        <f>IFERROR(VLOOKUP(Table1[RespondentID],'All Data'!$A$3:$CW$999,99,FALSE),"unknown")</f>
        <v>0</v>
      </c>
    </row>
    <row r="48" spans="1:28">
      <c r="A48" s="5">
        <v>18025182704</v>
      </c>
      <c r="B48" s="5" t="s">
        <v>64</v>
      </c>
      <c r="C48" s="5" t="s">
        <v>65</v>
      </c>
      <c r="D48" s="5" t="s">
        <v>66</v>
      </c>
      <c r="E48" s="5" t="s">
        <v>67</v>
      </c>
      <c r="F48" s="5" t="s">
        <v>68</v>
      </c>
      <c r="G48" s="5" t="s">
        <v>69</v>
      </c>
      <c r="H48" s="5" t="s">
        <v>70</v>
      </c>
      <c r="I48" s="5"/>
      <c r="J48" s="5"/>
      <c r="K48" s="5"/>
      <c r="L48" s="5"/>
      <c r="M48" s="5" t="s">
        <v>75</v>
      </c>
      <c r="N48" s="5" t="s">
        <v>76</v>
      </c>
      <c r="O48" s="145"/>
      <c r="P48" s="120" t="str">
        <f>IFERROR(VLOOKUP(Table1[RespondentID],'All Data'!$A$3:$CO$999,87,FALSE),"unknown")</f>
        <v>Man</v>
      </c>
      <c r="Q48" s="120">
        <f>IFERROR(VLOOKUP(Table1[RespondentID],'All Data'!$A$3:$CO$999,88,FALSE),"unknown")</f>
        <v>19</v>
      </c>
      <c r="R48" s="120" t="str">
        <f>IFERROR(VLOOKUP(Table1[RespondentID],'All Data'!$A$3:$CO$999,89,FALSE),"unknown")</f>
        <v>Nassau</v>
      </c>
      <c r="S48" s="120" t="str">
        <f>IFERROR(VLOOKUP(Table1[RespondentID],'All Data'!$A$3:$CO$999,90,FALSE),"unknown")</f>
        <v>Hicksville, 11801</v>
      </c>
      <c r="T48" s="120" t="str">
        <f>IFERROR(VLOOKUP(Table1[RespondentID],'All Data'!$A$3:$CO$999,91,FALSE),"unknown")</f>
        <v>White</v>
      </c>
      <c r="U48" s="120">
        <f>IFERROR(VLOOKUP(Table1[RespondentID],'All Data'!$A$3:$CO$999,92,FALSE),"unknown")</f>
        <v>0</v>
      </c>
      <c r="V48" s="120" t="str">
        <f>IFERROR(VLOOKUP(Table1[RespondentID],'All Data'!$A$3:$CO$999,93,FALSE),"unknown")</f>
        <v>English</v>
      </c>
      <c r="W48" s="120" t="str">
        <f>IFERROR(VLOOKUP(Table1[RespondentID],'All Data'!$A$3:$CW$999,94,FALSE),"unknown")</f>
        <v>$35,000 to $49,999</v>
      </c>
      <c r="X48" s="120" t="str">
        <f>IFERROR(VLOOKUP(Table1[RespondentID],'All Data'!$A$3:$CW$999,95,FALSE),"unknown")</f>
        <v>Some college</v>
      </c>
      <c r="Y48" s="120" t="str">
        <f>IFERROR(VLOOKUP(Table1[RespondentID],'All Data'!$A$3:$CW$999,96,FALSE),"unknown")</f>
        <v>Student</v>
      </c>
      <c r="Z48" s="120" t="str">
        <f>IFERROR(VLOOKUP(Table1[RespondentID],'All Data'!$A$3:$CW$999,97,FALSE),"unknown")</f>
        <v>Yes</v>
      </c>
      <c r="AA48" s="120" t="str">
        <f>IFERROR(VLOOKUP(Table1[RespondentID],'All Data'!$A$3:$CW$999,98,FALSE),"unknown")</f>
        <v>Private/Commercial</v>
      </c>
      <c r="AB48" s="150">
        <f>IFERROR(VLOOKUP(Table1[RespondentID],'All Data'!$A$3:$CW$999,99,FALSE),"unknown")</f>
        <v>0</v>
      </c>
    </row>
    <row r="49" spans="1:28">
      <c r="A49" s="5">
        <v>18025182523</v>
      </c>
      <c r="B49" s="5" t="s">
        <v>64</v>
      </c>
      <c r="C49" s="5"/>
      <c r="D49" s="5"/>
      <c r="E49" s="5" t="s">
        <v>67</v>
      </c>
      <c r="F49" s="5"/>
      <c r="G49" s="5"/>
      <c r="H49" s="5"/>
      <c r="I49" s="5"/>
      <c r="J49" s="5"/>
      <c r="K49" s="5"/>
      <c r="L49" s="5"/>
      <c r="M49" s="5"/>
      <c r="N49" s="5"/>
      <c r="O49" s="145"/>
      <c r="P49" s="120">
        <f>IFERROR(VLOOKUP(Table1[RespondentID],'All Data'!$A$3:$CO$999,87,FALSE),"unknown")</f>
        <v>0</v>
      </c>
      <c r="Q49" s="120">
        <f>IFERROR(VLOOKUP(Table1[RespondentID],'All Data'!$A$3:$CO$999,88,FALSE),"unknown")</f>
        <v>65</v>
      </c>
      <c r="R49" s="120" t="str">
        <f>IFERROR(VLOOKUP(Table1[RespondentID],'All Data'!$A$3:$CO$999,89,FALSE),"unknown")</f>
        <v>Nassau</v>
      </c>
      <c r="S49" s="120" t="str">
        <f>IFERROR(VLOOKUP(Table1[RespondentID],'All Data'!$A$3:$CO$999,90,FALSE),"unknown")</f>
        <v>Floral Park, 11001</v>
      </c>
      <c r="T49" s="120" t="str">
        <f>IFERROR(VLOOKUP(Table1[RespondentID],'All Data'!$A$3:$CO$999,91,FALSE),"unknown")</f>
        <v>White</v>
      </c>
      <c r="U49" s="120">
        <f>IFERROR(VLOOKUP(Table1[RespondentID],'All Data'!$A$3:$CO$999,92,FALSE),"unknown")</f>
        <v>0</v>
      </c>
      <c r="V49" s="120" t="str">
        <f>IFERROR(VLOOKUP(Table1[RespondentID],'All Data'!$A$3:$CO$999,93,FALSE),"unknown")</f>
        <v>English</v>
      </c>
      <c r="W49" s="120" t="str">
        <f>IFERROR(VLOOKUP(Table1[RespondentID],'All Data'!$A$3:$CW$999,94,FALSE),"unknown")</f>
        <v>$50,000 to $74,999</v>
      </c>
      <c r="X49" s="120" t="str">
        <f>IFERROR(VLOOKUP(Table1[RespondentID],'All Data'!$A$3:$CW$999,95,FALSE),"unknown")</f>
        <v>College graduate</v>
      </c>
      <c r="Y49" s="120" t="str">
        <f>IFERROR(VLOOKUP(Table1[RespondentID],'All Data'!$A$3:$CW$999,96,FALSE),"unknown")</f>
        <v>Retired</v>
      </c>
      <c r="Z49" s="120" t="str">
        <f>IFERROR(VLOOKUP(Table1[RespondentID],'All Data'!$A$3:$CW$999,97,FALSE),"unknown")</f>
        <v>Yes</v>
      </c>
      <c r="AA49" s="120" t="str">
        <f>IFERROR(VLOOKUP(Table1[RespondentID],'All Data'!$A$3:$CW$999,98,FALSE),"unknown")</f>
        <v>Private/Commercial</v>
      </c>
      <c r="AB49" s="150">
        <f>IFERROR(VLOOKUP(Table1[RespondentID],'All Data'!$A$3:$CW$999,99,FALSE),"unknown")</f>
        <v>0</v>
      </c>
    </row>
    <row r="50" spans="1:28">
      <c r="A50" s="5">
        <v>18025182362</v>
      </c>
      <c r="B50" s="5" t="s">
        <v>64</v>
      </c>
      <c r="C50" s="5"/>
      <c r="D50" s="5" t="s">
        <v>66</v>
      </c>
      <c r="E50" s="5"/>
      <c r="F50" s="5"/>
      <c r="G50" s="5" t="s">
        <v>69</v>
      </c>
      <c r="H50" s="5"/>
      <c r="I50" s="5"/>
      <c r="J50" s="5"/>
      <c r="K50" s="5"/>
      <c r="L50" s="5"/>
      <c r="M50" s="5"/>
      <c r="N50" s="5"/>
      <c r="O50" s="145"/>
      <c r="P50" s="120" t="str">
        <f>IFERROR(VLOOKUP(Table1[RespondentID],'All Data'!$A$3:$CO$999,87,FALSE),"unknown")</f>
        <v>Man</v>
      </c>
      <c r="Q50" s="120">
        <f>IFERROR(VLOOKUP(Table1[RespondentID],'All Data'!$A$3:$CO$999,88,FALSE),"unknown")</f>
        <v>30</v>
      </c>
      <c r="R50" s="120" t="str">
        <f>IFERROR(VLOOKUP(Table1[RespondentID],'All Data'!$A$3:$CO$999,89,FALSE),"unknown")</f>
        <v>Suffolk</v>
      </c>
      <c r="S50" s="120" t="str">
        <f>IFERROR(VLOOKUP(Table1[RespondentID],'All Data'!$A$3:$CO$999,90,FALSE),"unknown")</f>
        <v>Huntington, 11743</v>
      </c>
      <c r="T50" s="120">
        <f>IFERROR(VLOOKUP(Table1[RespondentID],'All Data'!$A$3:$CO$999,91,FALSE),"unknown")</f>
        <v>0</v>
      </c>
      <c r="U50" s="120">
        <f>IFERROR(VLOOKUP(Table1[RespondentID],'All Data'!$A$3:$CO$999,92,FALSE),"unknown")</f>
        <v>0</v>
      </c>
      <c r="V50" s="120" t="str">
        <f>IFERROR(VLOOKUP(Table1[RespondentID],'All Data'!$A$3:$CO$999,93,FALSE),"unknown")</f>
        <v>Spanish</v>
      </c>
      <c r="W50" s="120" t="str">
        <f>IFERROR(VLOOKUP(Table1[RespondentID],'All Data'!$A$3:$CW$999,94,FALSE),"unknown")</f>
        <v>$35,000 to $49,999</v>
      </c>
      <c r="X50" s="120" t="str">
        <f>IFERROR(VLOOKUP(Table1[RespondentID],'All Data'!$A$3:$CW$999,95,FALSE),"unknown")</f>
        <v>Some college</v>
      </c>
      <c r="Y50" s="120" t="str">
        <f>IFERROR(VLOOKUP(Table1[RespondentID],'All Data'!$A$3:$CW$999,96,FALSE),"unknown")</f>
        <v>Out of work and looking for work</v>
      </c>
      <c r="Z50" s="120" t="str">
        <f>IFERROR(VLOOKUP(Table1[RespondentID],'All Data'!$A$3:$CW$999,97,FALSE),"unknown")</f>
        <v>No</v>
      </c>
      <c r="AA50" s="120">
        <f>IFERROR(VLOOKUP(Table1[RespondentID],'All Data'!$A$3:$CW$999,98,FALSE),"unknown")</f>
        <v>0</v>
      </c>
      <c r="AB50" s="150">
        <f>IFERROR(VLOOKUP(Table1[RespondentID],'All Data'!$A$3:$CW$999,99,FALSE),"unknown")</f>
        <v>0</v>
      </c>
    </row>
    <row r="51" spans="1:28">
      <c r="A51" s="5">
        <v>18025182185</v>
      </c>
      <c r="B51" s="5"/>
      <c r="C51" s="5"/>
      <c r="D51" s="5"/>
      <c r="E51" s="5"/>
      <c r="F51" s="5"/>
      <c r="G51" s="5" t="s">
        <v>69</v>
      </c>
      <c r="H51" s="5"/>
      <c r="I51" s="5"/>
      <c r="J51" s="5"/>
      <c r="K51" s="5"/>
      <c r="L51" s="5" t="s">
        <v>74</v>
      </c>
      <c r="M51" s="5" t="s">
        <v>75</v>
      </c>
      <c r="N51" s="5"/>
      <c r="O51" s="145"/>
      <c r="P51" s="120" t="str">
        <f>IFERROR(VLOOKUP(Table1[RespondentID],'All Data'!$A$3:$CO$999,87,FALSE),"unknown")</f>
        <v>Woman</v>
      </c>
      <c r="Q51" s="120">
        <f>IFERROR(VLOOKUP(Table1[RespondentID],'All Data'!$A$3:$CO$999,88,FALSE),"unknown")</f>
        <v>37</v>
      </c>
      <c r="R51" s="120" t="str">
        <f>IFERROR(VLOOKUP(Table1[RespondentID],'All Data'!$A$3:$CO$999,89,FALSE),"unknown")</f>
        <v>Suffolk</v>
      </c>
      <c r="S51" s="120" t="str">
        <f>IFERROR(VLOOKUP(Table1[RespondentID],'All Data'!$A$3:$CO$999,90,FALSE),"unknown")</f>
        <v>Huntington, 11743</v>
      </c>
      <c r="T51" s="120">
        <f>IFERROR(VLOOKUP(Table1[RespondentID],'All Data'!$A$3:$CO$999,91,FALSE),"unknown")</f>
        <v>0</v>
      </c>
      <c r="U51" s="120">
        <f>IFERROR(VLOOKUP(Table1[RespondentID],'All Data'!$A$3:$CO$999,92,FALSE),"unknown")</f>
        <v>0</v>
      </c>
      <c r="V51" s="120" t="str">
        <f>IFERROR(VLOOKUP(Table1[RespondentID],'All Data'!$A$3:$CO$999,93,FALSE),"unknown")</f>
        <v>English, Spanish</v>
      </c>
      <c r="W51" s="120">
        <f>IFERROR(VLOOKUP(Table1[RespondentID],'All Data'!$A$3:$CW$999,94,FALSE),"unknown")</f>
        <v>0</v>
      </c>
      <c r="X51" s="120" t="str">
        <f>IFERROR(VLOOKUP(Table1[RespondentID],'All Data'!$A$3:$CW$999,95,FALSE),"unknown")</f>
        <v>Graduate school</v>
      </c>
      <c r="Y51" s="120" t="str">
        <f>IFERROR(VLOOKUP(Table1[RespondentID],'All Data'!$A$3:$CW$999,96,FALSE),"unknown")</f>
        <v>Employed for wages</v>
      </c>
      <c r="Z51" s="120" t="str">
        <f>IFERROR(VLOOKUP(Table1[RespondentID],'All Data'!$A$3:$CW$999,97,FALSE),"unknown")</f>
        <v>Yes</v>
      </c>
      <c r="AA51" s="120" t="str">
        <f>IFERROR(VLOOKUP(Table1[RespondentID],'All Data'!$A$3:$CW$999,98,FALSE),"unknown")</f>
        <v>Private/Commercial</v>
      </c>
      <c r="AB51" s="150">
        <f>IFERROR(VLOOKUP(Table1[RespondentID],'All Data'!$A$3:$CW$999,99,FALSE),"unknown")</f>
        <v>0</v>
      </c>
    </row>
    <row r="52" spans="1:28">
      <c r="A52" s="5">
        <v>18025182059</v>
      </c>
      <c r="B52" s="5" t="s">
        <v>64</v>
      </c>
      <c r="C52" s="5"/>
      <c r="D52" s="5" t="s">
        <v>66</v>
      </c>
      <c r="E52" s="5"/>
      <c r="F52" s="5"/>
      <c r="G52" s="5"/>
      <c r="H52" s="5"/>
      <c r="I52" s="5"/>
      <c r="J52" s="5"/>
      <c r="K52" s="5"/>
      <c r="L52" s="5"/>
      <c r="M52" s="5" t="s">
        <v>75</v>
      </c>
      <c r="N52" s="5"/>
      <c r="O52" s="145"/>
      <c r="P52" s="120" t="str">
        <f>IFERROR(VLOOKUP(Table1[RespondentID],'All Data'!$A$3:$CO$999,87,FALSE),"unknown")</f>
        <v>Man</v>
      </c>
      <c r="Q52" s="120">
        <f>IFERROR(VLOOKUP(Table1[RespondentID],'All Data'!$A$3:$CO$999,88,FALSE),"unknown")</f>
        <v>58</v>
      </c>
      <c r="R52" s="120" t="str">
        <f>IFERROR(VLOOKUP(Table1[RespondentID],'All Data'!$A$3:$CO$999,89,FALSE),"unknown")</f>
        <v>Suffolk</v>
      </c>
      <c r="S52" s="120" t="str">
        <f>IFERROR(VLOOKUP(Table1[RespondentID],'All Data'!$A$3:$CO$999,90,FALSE),"unknown")</f>
        <v>Centerport, 11721</v>
      </c>
      <c r="T52" s="120" t="str">
        <f>IFERROR(VLOOKUP(Table1[RespondentID],'All Data'!$A$3:$CO$999,91,FALSE),"unknown")</f>
        <v>White</v>
      </c>
      <c r="U52" s="120" t="str">
        <f>IFERROR(VLOOKUP(Table1[RespondentID],'All Data'!$A$3:$CO$999,92,FALSE),"unknown")</f>
        <v>Not Hispanic or Latino</v>
      </c>
      <c r="V52" s="120" t="str">
        <f>IFERROR(VLOOKUP(Table1[RespondentID],'All Data'!$A$3:$CO$999,93,FALSE),"unknown")</f>
        <v>English</v>
      </c>
      <c r="W52" s="120" t="str">
        <f>IFERROR(VLOOKUP(Table1[RespondentID],'All Data'!$A$3:$CW$999,94,FALSE),"unknown")</f>
        <v>Over $125,000</v>
      </c>
      <c r="X52" s="120" t="str">
        <f>IFERROR(VLOOKUP(Table1[RespondentID],'All Data'!$A$3:$CW$999,95,FALSE),"unknown")</f>
        <v>Doctorate</v>
      </c>
      <c r="Y52" s="120" t="str">
        <f>IFERROR(VLOOKUP(Table1[RespondentID],'All Data'!$A$3:$CW$999,96,FALSE),"unknown")</f>
        <v>Self-employed</v>
      </c>
      <c r="Z52" s="120" t="str">
        <f>IFERROR(VLOOKUP(Table1[RespondentID],'All Data'!$A$3:$CW$999,97,FALSE),"unknown")</f>
        <v>Yes</v>
      </c>
      <c r="AA52" s="120">
        <f>IFERROR(VLOOKUP(Table1[RespondentID],'All Data'!$A$3:$CW$999,98,FALSE),"unknown")</f>
        <v>0</v>
      </c>
      <c r="AB52" s="150">
        <f>IFERROR(VLOOKUP(Table1[RespondentID],'All Data'!$A$3:$CW$999,99,FALSE),"unknown")</f>
        <v>0</v>
      </c>
    </row>
    <row r="53" spans="1:28">
      <c r="A53" s="5">
        <v>18025181795</v>
      </c>
      <c r="B53" s="5" t="s">
        <v>64</v>
      </c>
      <c r="C53" s="5"/>
      <c r="D53" s="5" t="s">
        <v>66</v>
      </c>
      <c r="E53" s="5"/>
      <c r="F53" s="5"/>
      <c r="G53" s="5"/>
      <c r="H53" s="5"/>
      <c r="I53" s="5"/>
      <c r="J53" s="5"/>
      <c r="K53" s="5"/>
      <c r="L53" s="5"/>
      <c r="M53" s="5" t="s">
        <v>75</v>
      </c>
      <c r="N53" s="5"/>
      <c r="O53" s="145"/>
      <c r="P53" s="120" t="str">
        <f>IFERROR(VLOOKUP(Table1[RespondentID],'All Data'!$A$3:$CO$999,87,FALSE),"unknown")</f>
        <v>Man</v>
      </c>
      <c r="Q53" s="120">
        <f>IFERROR(VLOOKUP(Table1[RespondentID],'All Data'!$A$3:$CO$999,88,FALSE),"unknown")</f>
        <v>58</v>
      </c>
      <c r="R53" s="120" t="str">
        <f>IFERROR(VLOOKUP(Table1[RespondentID],'All Data'!$A$3:$CO$999,89,FALSE),"unknown")</f>
        <v>Suffolk</v>
      </c>
      <c r="S53" s="120" t="str">
        <f>IFERROR(VLOOKUP(Table1[RespondentID],'All Data'!$A$3:$CO$999,90,FALSE),"unknown")</f>
        <v>Centerport, 11721</v>
      </c>
      <c r="T53" s="120" t="str">
        <f>IFERROR(VLOOKUP(Table1[RespondentID],'All Data'!$A$3:$CO$999,91,FALSE),"unknown")</f>
        <v>White</v>
      </c>
      <c r="U53" s="120" t="str">
        <f>IFERROR(VLOOKUP(Table1[RespondentID],'All Data'!$A$3:$CO$999,92,FALSE),"unknown")</f>
        <v>Not Hispanic or Latino</v>
      </c>
      <c r="V53" s="120" t="str">
        <f>IFERROR(VLOOKUP(Table1[RespondentID],'All Data'!$A$3:$CO$999,93,FALSE),"unknown")</f>
        <v>English</v>
      </c>
      <c r="W53" s="120" t="str">
        <f>IFERROR(VLOOKUP(Table1[RespondentID],'All Data'!$A$3:$CW$999,94,FALSE),"unknown")</f>
        <v>Over $125,000</v>
      </c>
      <c r="X53" s="120" t="str">
        <f>IFERROR(VLOOKUP(Table1[RespondentID],'All Data'!$A$3:$CW$999,95,FALSE),"unknown")</f>
        <v>Doctorate</v>
      </c>
      <c r="Y53" s="120" t="str">
        <f>IFERROR(VLOOKUP(Table1[RespondentID],'All Data'!$A$3:$CW$999,96,FALSE),"unknown")</f>
        <v>Employed for wages</v>
      </c>
      <c r="Z53" s="120" t="str">
        <f>IFERROR(VLOOKUP(Table1[RespondentID],'All Data'!$A$3:$CW$999,97,FALSE),"unknown")</f>
        <v>Yes</v>
      </c>
      <c r="AA53" s="120">
        <f>IFERROR(VLOOKUP(Table1[RespondentID],'All Data'!$A$3:$CW$999,98,FALSE),"unknown")</f>
        <v>0</v>
      </c>
      <c r="AB53" s="150">
        <f>IFERROR(VLOOKUP(Table1[RespondentID],'All Data'!$A$3:$CW$999,99,FALSE),"unknown")</f>
        <v>0</v>
      </c>
    </row>
    <row r="54" spans="1:28">
      <c r="A54" s="5">
        <v>18025181633</v>
      </c>
      <c r="B54" s="5"/>
      <c r="C54" s="5"/>
      <c r="D54" s="5" t="s">
        <v>66</v>
      </c>
      <c r="E54" s="5"/>
      <c r="F54" s="5"/>
      <c r="G54" s="5" t="s">
        <v>69</v>
      </c>
      <c r="H54" s="5"/>
      <c r="I54" s="5"/>
      <c r="J54" s="5"/>
      <c r="K54" s="5"/>
      <c r="L54" s="5"/>
      <c r="M54" s="5" t="s">
        <v>75</v>
      </c>
      <c r="N54" s="5"/>
      <c r="O54" s="145"/>
      <c r="P54" s="120" t="str">
        <f>IFERROR(VLOOKUP(Table1[RespondentID],'All Data'!$A$3:$CO$999,87,FALSE),"unknown")</f>
        <v>Man</v>
      </c>
      <c r="Q54" s="120">
        <f>IFERROR(VLOOKUP(Table1[RespondentID],'All Data'!$A$3:$CO$999,88,FALSE),"unknown")</f>
        <v>26</v>
      </c>
      <c r="R54" s="120" t="str">
        <f>IFERROR(VLOOKUP(Table1[RespondentID],'All Data'!$A$3:$CO$999,89,FALSE),"unknown")</f>
        <v>Queens</v>
      </c>
      <c r="S54" s="120">
        <f>IFERROR(VLOOKUP(Table1[RespondentID],'All Data'!$A$3:$CO$999,90,FALSE),"unknown")</f>
        <v>11231</v>
      </c>
      <c r="T54" s="120" t="str">
        <f>IFERROR(VLOOKUP(Table1[RespondentID],'All Data'!$A$3:$CO$999,91,FALSE),"unknown")</f>
        <v>White</v>
      </c>
      <c r="U54" s="120" t="str">
        <f>IFERROR(VLOOKUP(Table1[RespondentID],'All Data'!$A$3:$CO$999,92,FALSE),"unknown")</f>
        <v>Hispanic or Latino</v>
      </c>
      <c r="V54" s="120" t="str">
        <f>IFERROR(VLOOKUP(Table1[RespondentID],'All Data'!$A$3:$CO$999,93,FALSE),"unknown")</f>
        <v>English</v>
      </c>
      <c r="W54" s="120" t="str">
        <f>IFERROR(VLOOKUP(Table1[RespondentID],'All Data'!$A$3:$CW$999,94,FALSE),"unknown")</f>
        <v>$75,000 to $125,000</v>
      </c>
      <c r="X54" s="120" t="str">
        <f>IFERROR(VLOOKUP(Table1[RespondentID],'All Data'!$A$3:$CW$999,95,FALSE),"unknown")</f>
        <v>College graduate</v>
      </c>
      <c r="Y54" s="120" t="str">
        <f>IFERROR(VLOOKUP(Table1[RespondentID],'All Data'!$A$3:$CW$999,96,FALSE),"unknown")</f>
        <v>Employed for wages</v>
      </c>
      <c r="Z54" s="120" t="str">
        <f>IFERROR(VLOOKUP(Table1[RespondentID],'All Data'!$A$3:$CW$999,97,FALSE),"unknown")</f>
        <v>Yes</v>
      </c>
      <c r="AA54" s="120" t="str">
        <f>IFERROR(VLOOKUP(Table1[RespondentID],'All Data'!$A$3:$CW$999,98,FALSE),"unknown")</f>
        <v>Private/Commercial</v>
      </c>
      <c r="AB54" s="150">
        <f>IFERROR(VLOOKUP(Table1[RespondentID],'All Data'!$A$3:$CW$999,99,FALSE),"unknown")</f>
        <v>0</v>
      </c>
    </row>
    <row r="55" spans="1:28">
      <c r="A55" s="5">
        <v>18025180780</v>
      </c>
      <c r="B55" s="5" t="s">
        <v>64</v>
      </c>
      <c r="C55" s="5"/>
      <c r="D55" s="5"/>
      <c r="E55" s="5" t="s">
        <v>67</v>
      </c>
      <c r="F55" s="5"/>
      <c r="G55" s="5"/>
      <c r="H55" s="5" t="s">
        <v>70</v>
      </c>
      <c r="I55" s="5"/>
      <c r="J55" s="5"/>
      <c r="K55" s="5"/>
      <c r="L55" s="5"/>
      <c r="M55" s="5"/>
      <c r="N55" s="5"/>
      <c r="O55" s="145"/>
      <c r="P55" s="120" t="str">
        <f>IFERROR(VLOOKUP(Table1[RespondentID],'All Data'!$A$3:$CO$999,87,FALSE),"unknown")</f>
        <v>Man</v>
      </c>
      <c r="Q55" s="120">
        <f>IFERROR(VLOOKUP(Table1[RespondentID],'All Data'!$A$3:$CO$999,88,FALSE),"unknown")</f>
        <v>42</v>
      </c>
      <c r="R55" s="120" t="str">
        <f>IFERROR(VLOOKUP(Table1[RespondentID],'All Data'!$A$3:$CO$999,89,FALSE),"unknown")</f>
        <v>Nassau</v>
      </c>
      <c r="S55" s="120" t="str">
        <f>IFERROR(VLOOKUP(Table1[RespondentID],'All Data'!$A$3:$CO$999,90,FALSE),"unknown")</f>
        <v>Jericho, 11753</v>
      </c>
      <c r="T55" s="120" t="str">
        <f>IFERROR(VLOOKUP(Table1[RespondentID],'All Data'!$A$3:$CO$999,91,FALSE),"unknown")</f>
        <v>Asian</v>
      </c>
      <c r="U55" s="120" t="str">
        <f>IFERROR(VLOOKUP(Table1[RespondentID],'All Data'!$A$3:$CO$999,92,FALSE),"unknown")</f>
        <v>Not Hispanic or Latino</v>
      </c>
      <c r="V55" s="120" t="str">
        <f>IFERROR(VLOOKUP(Table1[RespondentID],'All Data'!$A$3:$CO$999,93,FALSE),"unknown")</f>
        <v>English, Hindi</v>
      </c>
      <c r="W55" s="120" t="str">
        <f>IFERROR(VLOOKUP(Table1[RespondentID],'All Data'!$A$3:$CW$999,94,FALSE),"unknown")</f>
        <v>$50,000 to $74,999</v>
      </c>
      <c r="X55" s="120" t="str">
        <f>IFERROR(VLOOKUP(Table1[RespondentID],'All Data'!$A$3:$CW$999,95,FALSE),"unknown")</f>
        <v>High school graduate</v>
      </c>
      <c r="Y55" s="120" t="str">
        <f>IFERROR(VLOOKUP(Table1[RespondentID],'All Data'!$A$3:$CW$999,96,FALSE),"unknown")</f>
        <v>Self-employed</v>
      </c>
      <c r="Z55" s="120" t="str">
        <f>IFERROR(VLOOKUP(Table1[RespondentID],'All Data'!$A$3:$CW$999,97,FALSE),"unknown")</f>
        <v>Yes</v>
      </c>
      <c r="AA55" s="120">
        <f>IFERROR(VLOOKUP(Table1[RespondentID],'All Data'!$A$3:$CW$999,98,FALSE),"unknown")</f>
        <v>0</v>
      </c>
      <c r="AB55" s="150">
        <f>IFERROR(VLOOKUP(Table1[RespondentID],'All Data'!$A$3:$CW$999,99,FALSE),"unknown")</f>
        <v>0</v>
      </c>
    </row>
    <row r="56" spans="1:28">
      <c r="A56" s="5">
        <v>18025180610</v>
      </c>
      <c r="B56" s="5" t="s">
        <v>64</v>
      </c>
      <c r="C56" s="5"/>
      <c r="D56" s="5"/>
      <c r="E56" s="5" t="s">
        <v>67</v>
      </c>
      <c r="F56" s="5"/>
      <c r="G56" s="5"/>
      <c r="H56" s="5" t="s">
        <v>70</v>
      </c>
      <c r="I56" s="5"/>
      <c r="J56" s="5"/>
      <c r="K56" s="5"/>
      <c r="L56" s="5"/>
      <c r="M56" s="5" t="s">
        <v>75</v>
      </c>
      <c r="N56" s="5"/>
      <c r="O56" s="145"/>
      <c r="P56" s="120" t="str">
        <f>IFERROR(VLOOKUP(Table1[RespondentID],'All Data'!$A$3:$CO$999,87,FALSE),"unknown")</f>
        <v>Woman</v>
      </c>
      <c r="Q56" s="120">
        <f>IFERROR(VLOOKUP(Table1[RespondentID],'All Data'!$A$3:$CO$999,88,FALSE),"unknown")</f>
        <v>44</v>
      </c>
      <c r="R56" s="120" t="str">
        <f>IFERROR(VLOOKUP(Table1[RespondentID],'All Data'!$A$3:$CO$999,89,FALSE),"unknown")</f>
        <v>Suffolk</v>
      </c>
      <c r="S56" s="120" t="str">
        <f>IFERROR(VLOOKUP(Table1[RespondentID],'All Data'!$A$3:$CO$999,90,FALSE),"unknown")</f>
        <v>Huntington, 11743</v>
      </c>
      <c r="T56" s="120" t="str">
        <f>IFERROR(VLOOKUP(Table1[RespondentID],'All Data'!$A$3:$CO$999,91,FALSE),"unknown")</f>
        <v>Asian</v>
      </c>
      <c r="U56" s="120" t="str">
        <f>IFERROR(VLOOKUP(Table1[RespondentID],'All Data'!$A$3:$CO$999,92,FALSE),"unknown")</f>
        <v>Not Hispanic or Latino</v>
      </c>
      <c r="V56" s="120" t="str">
        <f>IFERROR(VLOOKUP(Table1[RespondentID],'All Data'!$A$3:$CO$999,93,FALSE),"unknown")</f>
        <v>Hindi</v>
      </c>
      <c r="W56" s="120" t="str">
        <f>IFERROR(VLOOKUP(Table1[RespondentID],'All Data'!$A$3:$CW$999,94,FALSE),"unknown")</f>
        <v>$50,000 to $74,999</v>
      </c>
      <c r="X56" s="120" t="str">
        <f>IFERROR(VLOOKUP(Table1[RespondentID],'All Data'!$A$3:$CW$999,95,FALSE),"unknown")</f>
        <v>College graduate</v>
      </c>
      <c r="Y56" s="120" t="str">
        <f>IFERROR(VLOOKUP(Table1[RespondentID],'All Data'!$A$3:$CW$999,96,FALSE),"unknown")</f>
        <v>Employed for wages</v>
      </c>
      <c r="Z56" s="120" t="str">
        <f>IFERROR(VLOOKUP(Table1[RespondentID],'All Data'!$A$3:$CW$999,97,FALSE),"unknown")</f>
        <v>Yes</v>
      </c>
      <c r="AA56" s="120">
        <f>IFERROR(VLOOKUP(Table1[RespondentID],'All Data'!$A$3:$CW$999,98,FALSE),"unknown")</f>
        <v>0</v>
      </c>
      <c r="AB56" s="150">
        <f>IFERROR(VLOOKUP(Table1[RespondentID],'All Data'!$A$3:$CW$999,99,FALSE),"unknown")</f>
        <v>0</v>
      </c>
    </row>
    <row r="57" spans="1:28">
      <c r="A57" s="5">
        <v>18025180456</v>
      </c>
      <c r="B57" s="5" t="s">
        <v>64</v>
      </c>
      <c r="C57" s="5"/>
      <c r="D57" s="5"/>
      <c r="E57" s="5" t="s">
        <v>67</v>
      </c>
      <c r="F57" s="5"/>
      <c r="G57" s="5"/>
      <c r="H57" s="5"/>
      <c r="I57" s="5"/>
      <c r="J57" s="5"/>
      <c r="K57" s="5"/>
      <c r="L57" s="5"/>
      <c r="M57" s="5"/>
      <c r="N57" s="5"/>
      <c r="O57" s="145"/>
      <c r="P57" s="120" t="str">
        <f>IFERROR(VLOOKUP(Table1[RespondentID],'All Data'!$A$3:$CO$999,87,FALSE),"unknown")</f>
        <v>Man</v>
      </c>
      <c r="Q57" s="120">
        <f>IFERROR(VLOOKUP(Table1[RespondentID],'All Data'!$A$3:$CO$999,88,FALSE),"unknown")</f>
        <v>65</v>
      </c>
      <c r="R57" s="120" t="str">
        <f>IFERROR(VLOOKUP(Table1[RespondentID],'All Data'!$A$3:$CO$999,89,FALSE),"unknown")</f>
        <v>Suffolk</v>
      </c>
      <c r="S57" s="120" t="str">
        <f>IFERROR(VLOOKUP(Table1[RespondentID],'All Data'!$A$3:$CO$999,90,FALSE),"unknown")</f>
        <v>Huntington, 11743</v>
      </c>
      <c r="T57" s="120" t="str">
        <f>IFERROR(VLOOKUP(Table1[RespondentID],'All Data'!$A$3:$CO$999,91,FALSE),"unknown")</f>
        <v>Asian</v>
      </c>
      <c r="U57" s="120" t="str">
        <f>IFERROR(VLOOKUP(Table1[RespondentID],'All Data'!$A$3:$CO$999,92,FALSE),"unknown")</f>
        <v>Not Hispanic or Latino</v>
      </c>
      <c r="V57" s="120" t="str">
        <f>IFERROR(VLOOKUP(Table1[RespondentID],'All Data'!$A$3:$CO$999,93,FALSE),"unknown")</f>
        <v>Hindi</v>
      </c>
      <c r="W57" s="120" t="str">
        <f>IFERROR(VLOOKUP(Table1[RespondentID],'All Data'!$A$3:$CW$999,94,FALSE),"unknown")</f>
        <v>$50,000 to $74,999</v>
      </c>
      <c r="X57" s="120" t="str">
        <f>IFERROR(VLOOKUP(Table1[RespondentID],'All Data'!$A$3:$CW$999,95,FALSE),"unknown")</f>
        <v>Some high school</v>
      </c>
      <c r="Y57" s="120" t="str">
        <f>IFERROR(VLOOKUP(Table1[RespondentID],'All Data'!$A$3:$CW$999,96,FALSE),"unknown")</f>
        <v>Self-employed</v>
      </c>
      <c r="Z57" s="120" t="str">
        <f>IFERROR(VLOOKUP(Table1[RespondentID],'All Data'!$A$3:$CW$999,97,FALSE),"unknown")</f>
        <v>Yes</v>
      </c>
      <c r="AA57" s="120">
        <f>IFERROR(VLOOKUP(Table1[RespondentID],'All Data'!$A$3:$CW$999,98,FALSE),"unknown")</f>
        <v>0</v>
      </c>
      <c r="AB57" s="150">
        <f>IFERROR(VLOOKUP(Table1[RespondentID],'All Data'!$A$3:$CW$999,99,FALSE),"unknown")</f>
        <v>0</v>
      </c>
    </row>
    <row r="58" spans="1:28">
      <c r="A58" s="5">
        <v>18025180354</v>
      </c>
      <c r="B58" s="5" t="s">
        <v>64</v>
      </c>
      <c r="C58" s="5"/>
      <c r="D58" s="5"/>
      <c r="E58" s="5" t="s">
        <v>67</v>
      </c>
      <c r="F58" s="5"/>
      <c r="G58" s="5"/>
      <c r="H58" s="5"/>
      <c r="I58" s="5"/>
      <c r="J58" s="5"/>
      <c r="K58" s="5"/>
      <c r="L58" s="5"/>
      <c r="M58" s="5" t="s">
        <v>75</v>
      </c>
      <c r="N58" s="5" t="s">
        <v>76</v>
      </c>
      <c r="O58" s="145"/>
      <c r="P58" s="120" t="str">
        <f>IFERROR(VLOOKUP(Table1[RespondentID],'All Data'!$A$3:$CO$999,87,FALSE),"unknown")</f>
        <v>Man</v>
      </c>
      <c r="Q58" s="120">
        <f>IFERROR(VLOOKUP(Table1[RespondentID],'All Data'!$A$3:$CO$999,88,FALSE),"unknown")</f>
        <v>18</v>
      </c>
      <c r="R58" s="120" t="str">
        <f>IFERROR(VLOOKUP(Table1[RespondentID],'All Data'!$A$3:$CO$999,89,FALSE),"unknown")</f>
        <v>Suffolk</v>
      </c>
      <c r="S58" s="120" t="str">
        <f>IFERROR(VLOOKUP(Table1[RespondentID],'All Data'!$A$3:$CO$999,90,FALSE),"unknown")</f>
        <v>Huntington, 11743</v>
      </c>
      <c r="T58" s="120" t="str">
        <f>IFERROR(VLOOKUP(Table1[RespondentID],'All Data'!$A$3:$CO$999,91,FALSE),"unknown")</f>
        <v>White</v>
      </c>
      <c r="U58" s="120" t="str">
        <f>IFERROR(VLOOKUP(Table1[RespondentID],'All Data'!$A$3:$CO$999,92,FALSE),"unknown")</f>
        <v>Not Hispanic or Latino</v>
      </c>
      <c r="V58" s="120" t="str">
        <f>IFERROR(VLOOKUP(Table1[RespondentID],'All Data'!$A$3:$CO$999,93,FALSE),"unknown")</f>
        <v>English</v>
      </c>
      <c r="W58" s="120" t="str">
        <f>IFERROR(VLOOKUP(Table1[RespondentID],'All Data'!$A$3:$CW$999,94,FALSE),"unknown")</f>
        <v>$75,000 to $125,000</v>
      </c>
      <c r="X58" s="120" t="str">
        <f>IFERROR(VLOOKUP(Table1[RespondentID],'All Data'!$A$3:$CW$999,95,FALSE),"unknown")</f>
        <v>High school graduate</v>
      </c>
      <c r="Y58" s="120" t="str">
        <f>IFERROR(VLOOKUP(Table1[RespondentID],'All Data'!$A$3:$CW$999,96,FALSE),"unknown")</f>
        <v>Employed for wages</v>
      </c>
      <c r="Z58" s="120" t="str">
        <f>IFERROR(VLOOKUP(Table1[RespondentID],'All Data'!$A$3:$CW$999,97,FALSE),"unknown")</f>
        <v>Yes</v>
      </c>
      <c r="AA58" s="120">
        <f>IFERROR(VLOOKUP(Table1[RespondentID],'All Data'!$A$3:$CW$999,98,FALSE),"unknown")</f>
        <v>0</v>
      </c>
      <c r="AB58" s="150">
        <f>IFERROR(VLOOKUP(Table1[RespondentID],'All Data'!$A$3:$CW$999,99,FALSE),"unknown")</f>
        <v>0</v>
      </c>
    </row>
    <row r="59" spans="1:28">
      <c r="A59" s="5">
        <v>18025180228</v>
      </c>
      <c r="B59" s="5"/>
      <c r="C59" s="5"/>
      <c r="D59" s="5" t="s">
        <v>66</v>
      </c>
      <c r="E59" s="5" t="s">
        <v>67</v>
      </c>
      <c r="F59" s="5"/>
      <c r="G59" s="5"/>
      <c r="H59" s="5"/>
      <c r="I59" s="5"/>
      <c r="J59" s="5"/>
      <c r="K59" s="5"/>
      <c r="L59" s="5"/>
      <c r="M59" s="5" t="s">
        <v>75</v>
      </c>
      <c r="N59" s="5"/>
      <c r="O59" s="145"/>
      <c r="P59" s="120" t="str">
        <f>IFERROR(VLOOKUP(Table1[RespondentID],'All Data'!$A$3:$CO$999,87,FALSE),"unknown")</f>
        <v>Woman</v>
      </c>
      <c r="Q59" s="120">
        <f>IFERROR(VLOOKUP(Table1[RespondentID],'All Data'!$A$3:$CO$999,88,FALSE),"unknown")</f>
        <v>18</v>
      </c>
      <c r="R59" s="120" t="str">
        <f>IFERROR(VLOOKUP(Table1[RespondentID],'All Data'!$A$3:$CO$999,89,FALSE),"unknown")</f>
        <v>Suffolk</v>
      </c>
      <c r="S59" s="120" t="str">
        <f>IFERROR(VLOOKUP(Table1[RespondentID],'All Data'!$A$3:$CO$999,90,FALSE),"unknown")</f>
        <v>Centerport, 11721</v>
      </c>
      <c r="T59" s="120" t="str">
        <f>IFERROR(VLOOKUP(Table1[RespondentID],'All Data'!$A$3:$CO$999,91,FALSE),"unknown")</f>
        <v>White</v>
      </c>
      <c r="U59" s="120" t="str">
        <f>IFERROR(VLOOKUP(Table1[RespondentID],'All Data'!$A$3:$CO$999,92,FALSE),"unknown")</f>
        <v>Not Hispanic or Latino</v>
      </c>
      <c r="V59" s="120" t="str">
        <f>IFERROR(VLOOKUP(Table1[RespondentID],'All Data'!$A$3:$CO$999,93,FALSE),"unknown")</f>
        <v>English</v>
      </c>
      <c r="W59" s="120" t="str">
        <f>IFERROR(VLOOKUP(Table1[RespondentID],'All Data'!$A$3:$CW$999,94,FALSE),"unknown")</f>
        <v>$75,000 to $125,000</v>
      </c>
      <c r="X59" s="120" t="str">
        <f>IFERROR(VLOOKUP(Table1[RespondentID],'All Data'!$A$3:$CW$999,95,FALSE),"unknown")</f>
        <v>High school graduate</v>
      </c>
      <c r="Y59" s="120" t="str">
        <f>IFERROR(VLOOKUP(Table1[RespondentID],'All Data'!$A$3:$CW$999,96,FALSE),"unknown")</f>
        <v>Student</v>
      </c>
      <c r="Z59" s="120" t="str">
        <f>IFERROR(VLOOKUP(Table1[RespondentID],'All Data'!$A$3:$CW$999,97,FALSE),"unknown")</f>
        <v>Yes</v>
      </c>
      <c r="AA59" s="120">
        <f>IFERROR(VLOOKUP(Table1[RespondentID],'All Data'!$A$3:$CW$999,98,FALSE),"unknown")</f>
        <v>0</v>
      </c>
      <c r="AB59" s="150">
        <f>IFERROR(VLOOKUP(Table1[RespondentID],'All Data'!$A$3:$CW$999,99,FALSE),"unknown")</f>
        <v>0</v>
      </c>
    </row>
    <row r="60" spans="1:28">
      <c r="A60" s="5">
        <v>18025180094</v>
      </c>
      <c r="B60" s="5" t="s">
        <v>64</v>
      </c>
      <c r="C60" s="5"/>
      <c r="D60" s="5"/>
      <c r="E60" s="5"/>
      <c r="F60" s="5"/>
      <c r="G60" s="5"/>
      <c r="H60" s="5"/>
      <c r="I60" s="5"/>
      <c r="J60" s="5"/>
      <c r="K60" s="5"/>
      <c r="L60" s="5"/>
      <c r="M60" s="5"/>
      <c r="N60" s="5"/>
      <c r="O60" s="145"/>
      <c r="P60" s="120" t="str">
        <f>IFERROR(VLOOKUP(Table1[RespondentID],'All Data'!$A$3:$CO$999,87,FALSE),"unknown")</f>
        <v>Woman</v>
      </c>
      <c r="Q60" s="120">
        <f>IFERROR(VLOOKUP(Table1[RespondentID],'All Data'!$A$3:$CO$999,88,FALSE),"unknown")</f>
        <v>46</v>
      </c>
      <c r="R60" s="120" t="str">
        <f>IFERROR(VLOOKUP(Table1[RespondentID],'All Data'!$A$3:$CO$999,89,FALSE),"unknown")</f>
        <v>Suffolk</v>
      </c>
      <c r="S60" s="120" t="str">
        <f>IFERROR(VLOOKUP(Table1[RespondentID],'All Data'!$A$3:$CO$999,90,FALSE),"unknown")</f>
        <v>Brightwaters, 11718</v>
      </c>
      <c r="T60" s="120" t="str">
        <f>IFERROR(VLOOKUP(Table1[RespondentID],'All Data'!$A$3:$CO$999,91,FALSE),"unknown")</f>
        <v>White</v>
      </c>
      <c r="U60" s="120" t="str">
        <f>IFERROR(VLOOKUP(Table1[RespondentID],'All Data'!$A$3:$CO$999,92,FALSE),"unknown")</f>
        <v>Not Hispanic or Latino</v>
      </c>
      <c r="V60" s="120" t="str">
        <f>IFERROR(VLOOKUP(Table1[RespondentID],'All Data'!$A$3:$CO$999,93,FALSE),"unknown")</f>
        <v>English</v>
      </c>
      <c r="W60" s="120" t="str">
        <f>IFERROR(VLOOKUP(Table1[RespondentID],'All Data'!$A$3:$CW$999,94,FALSE),"unknown")</f>
        <v>$75,000 to $125,000</v>
      </c>
      <c r="X60" s="120" t="str">
        <f>IFERROR(VLOOKUP(Table1[RespondentID],'All Data'!$A$3:$CW$999,95,FALSE),"unknown")</f>
        <v>Graduate school</v>
      </c>
      <c r="Y60" s="120" t="str">
        <f>IFERROR(VLOOKUP(Table1[RespondentID],'All Data'!$A$3:$CW$999,96,FALSE),"unknown")</f>
        <v>Employed for wages</v>
      </c>
      <c r="Z60" s="120" t="str">
        <f>IFERROR(VLOOKUP(Table1[RespondentID],'All Data'!$A$3:$CW$999,97,FALSE),"unknown")</f>
        <v>Yes</v>
      </c>
      <c r="AA60" s="120">
        <f>IFERROR(VLOOKUP(Table1[RespondentID],'All Data'!$A$3:$CW$999,98,FALSE),"unknown")</f>
        <v>0</v>
      </c>
      <c r="AB60" s="150">
        <f>IFERROR(VLOOKUP(Table1[RespondentID],'All Data'!$A$3:$CW$999,99,FALSE),"unknown")</f>
        <v>0</v>
      </c>
    </row>
    <row r="61" spans="1:28">
      <c r="A61" s="5">
        <v>18025179894</v>
      </c>
      <c r="B61" s="5" t="s">
        <v>64</v>
      </c>
      <c r="C61" s="5"/>
      <c r="D61" s="5"/>
      <c r="E61" s="5" t="s">
        <v>67</v>
      </c>
      <c r="F61" s="5"/>
      <c r="G61" s="5"/>
      <c r="H61" s="5"/>
      <c r="I61" s="5"/>
      <c r="J61" s="5"/>
      <c r="K61" s="5"/>
      <c r="L61" s="5"/>
      <c r="M61" s="5" t="s">
        <v>75</v>
      </c>
      <c r="N61" s="5"/>
      <c r="O61" s="145"/>
      <c r="P61" s="120" t="str">
        <f>IFERROR(VLOOKUP(Table1[RespondentID],'All Data'!$A$3:$CO$999,87,FALSE),"unknown")</f>
        <v>Man</v>
      </c>
      <c r="Q61" s="120">
        <f>IFERROR(VLOOKUP(Table1[RespondentID],'All Data'!$A$3:$CO$999,88,FALSE),"unknown")</f>
        <v>18</v>
      </c>
      <c r="R61" s="120" t="str">
        <f>IFERROR(VLOOKUP(Table1[RespondentID],'All Data'!$A$3:$CO$999,89,FALSE),"unknown")</f>
        <v>Suffolk</v>
      </c>
      <c r="S61" s="120" t="str">
        <f>IFERROR(VLOOKUP(Table1[RespondentID],'All Data'!$A$3:$CO$999,90,FALSE),"unknown")</f>
        <v>Centerport, 11721</v>
      </c>
      <c r="T61" s="120" t="str">
        <f>IFERROR(VLOOKUP(Table1[RespondentID],'All Data'!$A$3:$CO$999,91,FALSE),"unknown")</f>
        <v>White</v>
      </c>
      <c r="U61" s="120" t="str">
        <f>IFERROR(VLOOKUP(Table1[RespondentID],'All Data'!$A$3:$CO$999,92,FALSE),"unknown")</f>
        <v>Not Hispanic or Latino</v>
      </c>
      <c r="V61" s="120" t="str">
        <f>IFERROR(VLOOKUP(Table1[RespondentID],'All Data'!$A$3:$CO$999,93,FALSE),"unknown")</f>
        <v>English</v>
      </c>
      <c r="W61" s="120" t="str">
        <f>IFERROR(VLOOKUP(Table1[RespondentID],'All Data'!$A$3:$CW$999,94,FALSE),"unknown")</f>
        <v>Over $125,000</v>
      </c>
      <c r="X61" s="120" t="str">
        <f>IFERROR(VLOOKUP(Table1[RespondentID],'All Data'!$A$3:$CW$999,95,FALSE),"unknown")</f>
        <v>High school graduate</v>
      </c>
      <c r="Y61" s="120" t="str">
        <f>IFERROR(VLOOKUP(Table1[RespondentID],'All Data'!$A$3:$CW$999,96,FALSE),"unknown")</f>
        <v>Student</v>
      </c>
      <c r="Z61" s="120" t="str">
        <f>IFERROR(VLOOKUP(Table1[RespondentID],'All Data'!$A$3:$CW$999,97,FALSE),"unknown")</f>
        <v>Yes</v>
      </c>
      <c r="AA61" s="120">
        <f>IFERROR(VLOOKUP(Table1[RespondentID],'All Data'!$A$3:$CW$999,98,FALSE),"unknown")</f>
        <v>0</v>
      </c>
      <c r="AB61" s="150">
        <f>IFERROR(VLOOKUP(Table1[RespondentID],'All Data'!$A$3:$CW$999,99,FALSE),"unknown")</f>
        <v>0</v>
      </c>
    </row>
    <row r="62" spans="1:28">
      <c r="A62" s="5">
        <v>18025179745</v>
      </c>
      <c r="B62" s="5" t="s">
        <v>64</v>
      </c>
      <c r="C62" s="5"/>
      <c r="D62" s="5"/>
      <c r="E62" s="5" t="s">
        <v>67</v>
      </c>
      <c r="F62" s="5" t="s">
        <v>68</v>
      </c>
      <c r="G62" s="5" t="s">
        <v>69</v>
      </c>
      <c r="H62" s="5"/>
      <c r="I62" s="5"/>
      <c r="J62" s="5"/>
      <c r="K62" s="5"/>
      <c r="L62" s="5"/>
      <c r="M62" s="5" t="s">
        <v>75</v>
      </c>
      <c r="N62" s="5"/>
      <c r="O62" s="145"/>
      <c r="P62" s="120" t="str">
        <f>IFERROR(VLOOKUP(Table1[RespondentID],'All Data'!$A$3:$CO$999,87,FALSE),"unknown")</f>
        <v>Man</v>
      </c>
      <c r="Q62" s="120">
        <f>IFERROR(VLOOKUP(Table1[RespondentID],'All Data'!$A$3:$CO$999,88,FALSE),"unknown")</f>
        <v>39</v>
      </c>
      <c r="R62" s="120" t="str">
        <f>IFERROR(VLOOKUP(Table1[RespondentID],'All Data'!$A$3:$CO$999,89,FALSE),"unknown")</f>
        <v>Suffolk</v>
      </c>
      <c r="S62" s="120" t="str">
        <f>IFERROR(VLOOKUP(Table1[RespondentID],'All Data'!$A$3:$CO$999,90,FALSE),"unknown")</f>
        <v>Northport, 11768</v>
      </c>
      <c r="T62" s="120" t="str">
        <f>IFERROR(VLOOKUP(Table1[RespondentID],'All Data'!$A$3:$CO$999,91,FALSE),"unknown")</f>
        <v>White</v>
      </c>
      <c r="U62" s="120" t="str">
        <f>IFERROR(VLOOKUP(Table1[RespondentID],'All Data'!$A$3:$CO$999,92,FALSE),"unknown")</f>
        <v>Not Hispanic or Latino</v>
      </c>
      <c r="V62" s="120" t="str">
        <f>IFERROR(VLOOKUP(Table1[RespondentID],'All Data'!$A$3:$CO$999,93,FALSE),"unknown")</f>
        <v>English</v>
      </c>
      <c r="W62" s="120" t="str">
        <f>IFERROR(VLOOKUP(Table1[RespondentID],'All Data'!$A$3:$CW$999,94,FALSE),"unknown")</f>
        <v>Over $125,000</v>
      </c>
      <c r="X62" s="120" t="str">
        <f>IFERROR(VLOOKUP(Table1[RespondentID],'All Data'!$A$3:$CW$999,95,FALSE),"unknown")</f>
        <v>Graduate school</v>
      </c>
      <c r="Y62" s="120" t="str">
        <f>IFERROR(VLOOKUP(Table1[RespondentID],'All Data'!$A$3:$CW$999,96,FALSE),"unknown")</f>
        <v>Employed for wages</v>
      </c>
      <c r="Z62" s="120" t="str">
        <f>IFERROR(VLOOKUP(Table1[RespondentID],'All Data'!$A$3:$CW$999,97,FALSE),"unknown")</f>
        <v>Yes</v>
      </c>
      <c r="AA62" s="120">
        <f>IFERROR(VLOOKUP(Table1[RespondentID],'All Data'!$A$3:$CW$999,98,FALSE),"unknown")</f>
        <v>0</v>
      </c>
      <c r="AB62" s="150">
        <f>IFERROR(VLOOKUP(Table1[RespondentID],'All Data'!$A$3:$CW$999,99,FALSE),"unknown")</f>
        <v>0</v>
      </c>
    </row>
    <row r="63" spans="1:28">
      <c r="A63" s="5">
        <v>18025179616</v>
      </c>
      <c r="B63" s="5" t="s">
        <v>64</v>
      </c>
      <c r="C63" s="5"/>
      <c r="D63" s="5"/>
      <c r="E63" s="5"/>
      <c r="F63" s="5"/>
      <c r="G63" s="5"/>
      <c r="H63" s="5"/>
      <c r="I63" s="5"/>
      <c r="J63" s="5"/>
      <c r="K63" s="5"/>
      <c r="L63" s="5"/>
      <c r="M63" s="5"/>
      <c r="N63" s="5"/>
      <c r="O63" s="145"/>
      <c r="P63" s="120" t="str">
        <f>IFERROR(VLOOKUP(Table1[RespondentID],'All Data'!$A$3:$CO$999,87,FALSE),"unknown")</f>
        <v>Woman</v>
      </c>
      <c r="Q63" s="120">
        <f>IFERROR(VLOOKUP(Table1[RespondentID],'All Data'!$A$3:$CO$999,88,FALSE),"unknown")</f>
        <v>40</v>
      </c>
      <c r="R63" s="120" t="str">
        <f>IFERROR(VLOOKUP(Table1[RespondentID],'All Data'!$A$3:$CO$999,89,FALSE),"unknown")</f>
        <v>Suffolk</v>
      </c>
      <c r="S63" s="120" t="str">
        <f>IFERROR(VLOOKUP(Table1[RespondentID],'All Data'!$A$3:$CO$999,90,FALSE),"unknown")</f>
        <v>South Huntington, 11746</v>
      </c>
      <c r="T63" s="120" t="str">
        <f>IFERROR(VLOOKUP(Table1[RespondentID],'All Data'!$A$3:$CO$999,91,FALSE),"unknown")</f>
        <v>Asian</v>
      </c>
      <c r="U63" s="120" t="str">
        <f>IFERROR(VLOOKUP(Table1[RespondentID],'All Data'!$A$3:$CO$999,92,FALSE),"unknown")</f>
        <v>Not Hispanic or Latino</v>
      </c>
      <c r="V63" s="120" t="str">
        <f>IFERROR(VLOOKUP(Table1[RespondentID],'All Data'!$A$3:$CO$999,93,FALSE),"unknown")</f>
        <v>English, Hindi</v>
      </c>
      <c r="W63" s="120" t="str">
        <f>IFERROR(VLOOKUP(Table1[RespondentID],'All Data'!$A$3:$CW$999,94,FALSE),"unknown")</f>
        <v>$75,000 to $125,000</v>
      </c>
      <c r="X63" s="120" t="str">
        <f>IFERROR(VLOOKUP(Table1[RespondentID],'All Data'!$A$3:$CW$999,95,FALSE),"unknown")</f>
        <v>College graduate</v>
      </c>
      <c r="Y63" s="120" t="str">
        <f>IFERROR(VLOOKUP(Table1[RespondentID],'All Data'!$A$3:$CW$999,96,FALSE),"unknown")</f>
        <v>Employed for wages</v>
      </c>
      <c r="Z63" s="120" t="str">
        <f>IFERROR(VLOOKUP(Table1[RespondentID],'All Data'!$A$3:$CW$999,97,FALSE),"unknown")</f>
        <v>Yes</v>
      </c>
      <c r="AA63" s="120">
        <f>IFERROR(VLOOKUP(Table1[RespondentID],'All Data'!$A$3:$CW$999,98,FALSE),"unknown")</f>
        <v>0</v>
      </c>
      <c r="AB63" s="150">
        <f>IFERROR(VLOOKUP(Table1[RespondentID],'All Data'!$A$3:$CW$999,99,FALSE),"unknown")</f>
        <v>0</v>
      </c>
    </row>
    <row r="64" spans="1:28">
      <c r="A64" s="5">
        <v>18025179232</v>
      </c>
      <c r="B64" s="5" t="s">
        <v>64</v>
      </c>
      <c r="C64" s="5"/>
      <c r="D64" s="5"/>
      <c r="E64" s="5"/>
      <c r="F64" s="5"/>
      <c r="G64" s="5"/>
      <c r="H64" s="5" t="s">
        <v>70</v>
      </c>
      <c r="I64" s="5"/>
      <c r="J64" s="5"/>
      <c r="K64" s="5"/>
      <c r="L64" s="5"/>
      <c r="M64" s="5" t="s">
        <v>75</v>
      </c>
      <c r="N64" s="5"/>
      <c r="O64" s="145"/>
      <c r="P64" s="120" t="str">
        <f>IFERROR(VLOOKUP(Table1[RespondentID],'All Data'!$A$3:$CO$999,87,FALSE),"unknown")</f>
        <v>Woman</v>
      </c>
      <c r="Q64" s="120">
        <f>IFERROR(VLOOKUP(Table1[RespondentID],'All Data'!$A$3:$CO$999,88,FALSE),"unknown")</f>
        <v>44</v>
      </c>
      <c r="R64" s="120" t="str">
        <f>IFERROR(VLOOKUP(Table1[RespondentID],'All Data'!$A$3:$CO$999,89,FALSE),"unknown")</f>
        <v>Suffolk</v>
      </c>
      <c r="S64" s="120" t="str">
        <f>IFERROR(VLOOKUP(Table1[RespondentID],'All Data'!$A$3:$CO$999,90,FALSE),"unknown")</f>
        <v>Deer Park, 11729</v>
      </c>
      <c r="T64" s="120" t="str">
        <f>IFERROR(VLOOKUP(Table1[RespondentID],'All Data'!$A$3:$CO$999,91,FALSE),"unknown")</f>
        <v>Asian</v>
      </c>
      <c r="U64" s="120" t="str">
        <f>IFERROR(VLOOKUP(Table1[RespondentID],'All Data'!$A$3:$CO$999,92,FALSE),"unknown")</f>
        <v>Not Hispanic or Latino</v>
      </c>
      <c r="V64" s="120" t="str">
        <f>IFERROR(VLOOKUP(Table1[RespondentID],'All Data'!$A$3:$CO$999,93,FALSE),"unknown")</f>
        <v>English, Farsi</v>
      </c>
      <c r="W64" s="120" t="str">
        <f>IFERROR(VLOOKUP(Table1[RespondentID],'All Data'!$A$3:$CW$999,94,FALSE),"unknown")</f>
        <v>$75,000 to $125,000</v>
      </c>
      <c r="X64" s="120" t="str">
        <f>IFERROR(VLOOKUP(Table1[RespondentID],'All Data'!$A$3:$CW$999,95,FALSE),"unknown")</f>
        <v>College graduate</v>
      </c>
      <c r="Y64" s="120" t="str">
        <f>IFERROR(VLOOKUP(Table1[RespondentID],'All Data'!$A$3:$CW$999,96,FALSE),"unknown")</f>
        <v>Self-employed</v>
      </c>
      <c r="Z64" s="120" t="str">
        <f>IFERROR(VLOOKUP(Table1[RespondentID],'All Data'!$A$3:$CW$999,97,FALSE),"unknown")</f>
        <v>Yes</v>
      </c>
      <c r="AA64" s="120">
        <f>IFERROR(VLOOKUP(Table1[RespondentID],'All Data'!$A$3:$CW$999,98,FALSE),"unknown")</f>
        <v>0</v>
      </c>
      <c r="AB64" s="150">
        <f>IFERROR(VLOOKUP(Table1[RespondentID],'All Data'!$A$3:$CW$999,99,FALSE),"unknown")</f>
        <v>0</v>
      </c>
    </row>
    <row r="65" spans="1:28">
      <c r="A65" s="5">
        <v>18025179113</v>
      </c>
      <c r="B65" s="5"/>
      <c r="C65" s="5"/>
      <c r="D65" s="5"/>
      <c r="E65" s="5"/>
      <c r="F65" s="5"/>
      <c r="G65" s="5"/>
      <c r="H65" s="5"/>
      <c r="I65" s="5"/>
      <c r="J65" s="5"/>
      <c r="K65" s="5"/>
      <c r="L65" s="5"/>
      <c r="M65" s="5"/>
      <c r="N65" s="5"/>
      <c r="O65" s="145"/>
      <c r="P65" s="120" t="str">
        <f>IFERROR(VLOOKUP(Table1[RespondentID],'All Data'!$A$3:$CO$999,87,FALSE),"unknown")</f>
        <v>Woman</v>
      </c>
      <c r="Q65" s="120">
        <f>IFERROR(VLOOKUP(Table1[RespondentID],'All Data'!$A$3:$CO$999,88,FALSE),"unknown")</f>
        <v>53</v>
      </c>
      <c r="R65" s="120" t="str">
        <f>IFERROR(VLOOKUP(Table1[RespondentID],'All Data'!$A$3:$CO$999,89,FALSE),"unknown")</f>
        <v>Suffolk</v>
      </c>
      <c r="S65" s="120" t="str">
        <f>IFERROR(VLOOKUP(Table1[RespondentID],'All Data'!$A$3:$CO$999,90,FALSE),"unknown")</f>
        <v>Kings Park, 11754</v>
      </c>
      <c r="T65" s="120" t="str">
        <f>IFERROR(VLOOKUP(Table1[RespondentID],'All Data'!$A$3:$CO$999,91,FALSE),"unknown")</f>
        <v>Asian</v>
      </c>
      <c r="U65" s="120" t="str">
        <f>IFERROR(VLOOKUP(Table1[RespondentID],'All Data'!$A$3:$CO$999,92,FALSE),"unknown")</f>
        <v>Not Hispanic or Latino</v>
      </c>
      <c r="V65" s="120" t="str">
        <f>IFERROR(VLOOKUP(Table1[RespondentID],'All Data'!$A$3:$CO$999,93,FALSE),"unknown")</f>
        <v>English</v>
      </c>
      <c r="W65" s="120" t="str">
        <f>IFERROR(VLOOKUP(Table1[RespondentID],'All Data'!$A$3:$CW$999,94,FALSE),"unknown")</f>
        <v>$75,000 to $125,000</v>
      </c>
      <c r="X65" s="120" t="str">
        <f>IFERROR(VLOOKUP(Table1[RespondentID],'All Data'!$A$3:$CW$999,95,FALSE),"unknown")</f>
        <v>High school graduate</v>
      </c>
      <c r="Y65" s="120" t="str">
        <f>IFERROR(VLOOKUP(Table1[RespondentID],'All Data'!$A$3:$CW$999,96,FALSE),"unknown")</f>
        <v>Out of work, but not currently looking</v>
      </c>
      <c r="Z65" s="120" t="str">
        <f>IFERROR(VLOOKUP(Table1[RespondentID],'All Data'!$A$3:$CW$999,97,FALSE),"unknown")</f>
        <v>Yes</v>
      </c>
      <c r="AA65" s="120">
        <f>IFERROR(VLOOKUP(Table1[RespondentID],'All Data'!$A$3:$CW$999,98,FALSE),"unknown")</f>
        <v>0</v>
      </c>
      <c r="AB65" s="150">
        <f>IFERROR(VLOOKUP(Table1[RespondentID],'All Data'!$A$3:$CW$999,99,FALSE),"unknown")</f>
        <v>0</v>
      </c>
    </row>
    <row r="66" spans="1:28">
      <c r="A66" s="5">
        <v>18025179000</v>
      </c>
      <c r="B66" s="5" t="s">
        <v>64</v>
      </c>
      <c r="C66" s="5"/>
      <c r="D66" s="5"/>
      <c r="E66" s="5"/>
      <c r="F66" s="5"/>
      <c r="G66" s="5"/>
      <c r="H66" s="5" t="s">
        <v>70</v>
      </c>
      <c r="I66" s="5"/>
      <c r="J66" s="5"/>
      <c r="K66" s="5"/>
      <c r="L66" s="5"/>
      <c r="M66" s="5" t="s">
        <v>75</v>
      </c>
      <c r="N66" s="5"/>
      <c r="O66" s="145"/>
      <c r="P66" s="120" t="str">
        <f>IFERROR(VLOOKUP(Table1[RespondentID],'All Data'!$A$3:$CO$999,87,FALSE),"unknown")</f>
        <v>Man</v>
      </c>
      <c r="Q66" s="120">
        <f>IFERROR(VLOOKUP(Table1[RespondentID],'All Data'!$A$3:$CO$999,88,FALSE),"unknown")</f>
        <v>0</v>
      </c>
      <c r="R66" s="120" t="str">
        <f>IFERROR(VLOOKUP(Table1[RespondentID],'All Data'!$A$3:$CO$999,89,FALSE),"unknown")</f>
        <v>Suffolk</v>
      </c>
      <c r="S66" s="120" t="str">
        <f>IFERROR(VLOOKUP(Table1[RespondentID],'All Data'!$A$3:$CO$999,90,FALSE),"unknown")</f>
        <v>East Northport, 11731</v>
      </c>
      <c r="T66" s="120" t="str">
        <f>IFERROR(VLOOKUP(Table1[RespondentID],'All Data'!$A$3:$CO$999,91,FALSE),"unknown")</f>
        <v>Asian</v>
      </c>
      <c r="U66" s="120" t="str">
        <f>IFERROR(VLOOKUP(Table1[RespondentID],'All Data'!$A$3:$CO$999,92,FALSE),"unknown")</f>
        <v>Not Hispanic or Latino</v>
      </c>
      <c r="V66" s="120" t="str">
        <f>IFERROR(VLOOKUP(Table1[RespondentID],'All Data'!$A$3:$CO$999,93,FALSE),"unknown")</f>
        <v>English</v>
      </c>
      <c r="W66" s="120">
        <f>IFERROR(VLOOKUP(Table1[RespondentID],'All Data'!$A$3:$CW$999,94,FALSE),"unknown")</f>
        <v>0</v>
      </c>
      <c r="X66" s="120" t="str">
        <f>IFERROR(VLOOKUP(Table1[RespondentID],'All Data'!$A$3:$CW$999,95,FALSE),"unknown")</f>
        <v>College graduate</v>
      </c>
      <c r="Y66" s="120" t="str">
        <f>IFERROR(VLOOKUP(Table1[RespondentID],'All Data'!$A$3:$CW$999,96,FALSE),"unknown")</f>
        <v>Self-employed</v>
      </c>
      <c r="Z66" s="120" t="str">
        <f>IFERROR(VLOOKUP(Table1[RespondentID],'All Data'!$A$3:$CW$999,97,FALSE),"unknown")</f>
        <v>Yes</v>
      </c>
      <c r="AA66" s="120">
        <f>IFERROR(VLOOKUP(Table1[RespondentID],'All Data'!$A$3:$CW$999,98,FALSE),"unknown")</f>
        <v>0</v>
      </c>
      <c r="AB66" s="150">
        <f>IFERROR(VLOOKUP(Table1[RespondentID],'All Data'!$A$3:$CW$999,99,FALSE),"unknown")</f>
        <v>0</v>
      </c>
    </row>
    <row r="67" spans="1:28">
      <c r="A67" s="5">
        <v>18025178810</v>
      </c>
      <c r="B67" s="5"/>
      <c r="C67" s="5"/>
      <c r="D67" s="5"/>
      <c r="E67" s="5"/>
      <c r="F67" s="5"/>
      <c r="G67" s="5"/>
      <c r="H67" s="5"/>
      <c r="I67" s="5"/>
      <c r="J67" s="5"/>
      <c r="K67" s="5"/>
      <c r="L67" s="5"/>
      <c r="M67" s="5"/>
      <c r="N67" s="5"/>
      <c r="O67" s="145"/>
      <c r="P67" s="120" t="str">
        <f>IFERROR(VLOOKUP(Table1[RespondentID],'All Data'!$A$3:$CO$999,87,FALSE),"unknown")</f>
        <v>Woman</v>
      </c>
      <c r="Q67" s="120">
        <f>IFERROR(VLOOKUP(Table1[RespondentID],'All Data'!$A$3:$CO$999,88,FALSE),"unknown")</f>
        <v>32</v>
      </c>
      <c r="R67" s="120" t="str">
        <f>IFERROR(VLOOKUP(Table1[RespondentID],'All Data'!$A$3:$CO$999,89,FALSE),"unknown")</f>
        <v>Suffolk</v>
      </c>
      <c r="S67" s="120" t="str">
        <f>IFERROR(VLOOKUP(Table1[RespondentID],'All Data'!$A$3:$CO$999,90,FALSE),"unknown")</f>
        <v>Kings Park, 11754</v>
      </c>
      <c r="T67" s="120" t="str">
        <f>IFERROR(VLOOKUP(Table1[RespondentID],'All Data'!$A$3:$CO$999,91,FALSE),"unknown")</f>
        <v>Two or more races</v>
      </c>
      <c r="U67" s="120" t="str">
        <f>IFERROR(VLOOKUP(Table1[RespondentID],'All Data'!$A$3:$CO$999,92,FALSE),"unknown")</f>
        <v>Hispanic or Latino</v>
      </c>
      <c r="V67" s="120" t="str">
        <f>IFERROR(VLOOKUP(Table1[RespondentID],'All Data'!$A$3:$CO$999,93,FALSE),"unknown")</f>
        <v>English, Spanish</v>
      </c>
      <c r="W67" s="120" t="str">
        <f>IFERROR(VLOOKUP(Table1[RespondentID],'All Data'!$A$3:$CW$999,94,FALSE),"unknown")</f>
        <v>Over $125,000</v>
      </c>
      <c r="X67" s="120" t="str">
        <f>IFERROR(VLOOKUP(Table1[RespondentID],'All Data'!$A$3:$CW$999,95,FALSE),"unknown")</f>
        <v>Doctorate</v>
      </c>
      <c r="Y67" s="120" t="str">
        <f>IFERROR(VLOOKUP(Table1[RespondentID],'All Data'!$A$3:$CW$999,96,FALSE),"unknown")</f>
        <v>Out of work, but not currently looking</v>
      </c>
      <c r="Z67" s="120" t="str">
        <f>IFERROR(VLOOKUP(Table1[RespondentID],'All Data'!$A$3:$CW$999,97,FALSE),"unknown")</f>
        <v>Yes</v>
      </c>
      <c r="AA67" s="120">
        <f>IFERROR(VLOOKUP(Table1[RespondentID],'All Data'!$A$3:$CW$999,98,FALSE),"unknown")</f>
        <v>0</v>
      </c>
      <c r="AB67" s="150">
        <f>IFERROR(VLOOKUP(Table1[RespondentID],'All Data'!$A$3:$CW$999,99,FALSE),"unknown")</f>
        <v>0</v>
      </c>
    </row>
    <row r="68" spans="1:28">
      <c r="A68" s="5">
        <v>18025178531</v>
      </c>
      <c r="B68" s="5" t="s">
        <v>64</v>
      </c>
      <c r="C68" s="5"/>
      <c r="D68" s="5"/>
      <c r="E68" s="5"/>
      <c r="F68" s="5"/>
      <c r="G68" s="5"/>
      <c r="H68" s="5"/>
      <c r="I68" s="5"/>
      <c r="J68" s="5"/>
      <c r="K68" s="5"/>
      <c r="L68" s="5"/>
      <c r="M68" s="5"/>
      <c r="N68" s="5"/>
      <c r="O68" s="145"/>
      <c r="P68" s="120" t="str">
        <f>IFERROR(VLOOKUP(Table1[RespondentID],'All Data'!$A$3:$CO$999,87,FALSE),"unknown")</f>
        <v>Man</v>
      </c>
      <c r="Q68" s="120">
        <f>IFERROR(VLOOKUP(Table1[RespondentID],'All Data'!$A$3:$CO$999,88,FALSE),"unknown")</f>
        <v>39</v>
      </c>
      <c r="R68" s="120" t="str">
        <f>IFERROR(VLOOKUP(Table1[RespondentID],'All Data'!$A$3:$CO$999,89,FALSE),"unknown")</f>
        <v>Suffolk</v>
      </c>
      <c r="S68" s="120" t="str">
        <f>IFERROR(VLOOKUP(Table1[RespondentID],'All Data'!$A$3:$CO$999,90,FALSE),"unknown")</f>
        <v>Commack, 11725</v>
      </c>
      <c r="T68" s="120" t="str">
        <f>IFERROR(VLOOKUP(Table1[RespondentID],'All Data'!$A$3:$CO$999,91,FALSE),"unknown")</f>
        <v>White</v>
      </c>
      <c r="U68" s="120">
        <f>IFERROR(VLOOKUP(Table1[RespondentID],'All Data'!$A$3:$CO$999,92,FALSE),"unknown")</f>
        <v>0</v>
      </c>
      <c r="V68" s="120" t="str">
        <f>IFERROR(VLOOKUP(Table1[RespondentID],'All Data'!$A$3:$CO$999,93,FALSE),"unknown")</f>
        <v>English</v>
      </c>
      <c r="W68" s="120" t="str">
        <f>IFERROR(VLOOKUP(Table1[RespondentID],'All Data'!$A$3:$CW$999,94,FALSE),"unknown")</f>
        <v>$75,000 to $125,000</v>
      </c>
      <c r="X68" s="120" t="str">
        <f>IFERROR(VLOOKUP(Table1[RespondentID],'All Data'!$A$3:$CW$999,95,FALSE),"unknown")</f>
        <v>College graduate</v>
      </c>
      <c r="Y68" s="120" t="str">
        <f>IFERROR(VLOOKUP(Table1[RespondentID],'All Data'!$A$3:$CW$999,96,FALSE),"unknown")</f>
        <v>Employed for wages</v>
      </c>
      <c r="Z68" s="120" t="str">
        <f>IFERROR(VLOOKUP(Table1[RespondentID],'All Data'!$A$3:$CW$999,97,FALSE),"unknown")</f>
        <v>Yes</v>
      </c>
      <c r="AA68" s="120">
        <f>IFERROR(VLOOKUP(Table1[RespondentID],'All Data'!$A$3:$CW$999,98,FALSE),"unknown")</f>
        <v>0</v>
      </c>
      <c r="AB68" s="150">
        <f>IFERROR(VLOOKUP(Table1[RespondentID],'All Data'!$A$3:$CW$999,99,FALSE),"unknown")</f>
        <v>0</v>
      </c>
    </row>
    <row r="69" spans="1:28">
      <c r="A69" s="5">
        <v>18025178424</v>
      </c>
      <c r="B69" s="5" t="s">
        <v>64</v>
      </c>
      <c r="C69" s="5"/>
      <c r="D69" s="5"/>
      <c r="E69" s="5"/>
      <c r="F69" s="5" t="s">
        <v>68</v>
      </c>
      <c r="G69" s="5"/>
      <c r="H69" s="5"/>
      <c r="I69" s="5"/>
      <c r="J69" s="5" t="s">
        <v>72</v>
      </c>
      <c r="K69" s="5"/>
      <c r="L69" s="5"/>
      <c r="M69" s="5" t="s">
        <v>75</v>
      </c>
      <c r="N69" s="5"/>
      <c r="O69" s="145"/>
      <c r="P69" s="120" t="str">
        <f>IFERROR(VLOOKUP(Table1[RespondentID],'All Data'!$A$3:$CO$999,87,FALSE),"unknown")</f>
        <v>Woman</v>
      </c>
      <c r="Q69" s="120">
        <f>IFERROR(VLOOKUP(Table1[RespondentID],'All Data'!$A$3:$CO$999,88,FALSE),"unknown")</f>
        <v>59</v>
      </c>
      <c r="R69" s="120" t="str">
        <f>IFERROR(VLOOKUP(Table1[RespondentID],'All Data'!$A$3:$CO$999,89,FALSE),"unknown")</f>
        <v>Suffolk</v>
      </c>
      <c r="S69" s="120" t="str">
        <f>IFERROR(VLOOKUP(Table1[RespondentID],'All Data'!$A$3:$CO$999,90,FALSE),"unknown")</f>
        <v>Saint James, 11780</v>
      </c>
      <c r="T69" s="120" t="str">
        <f>IFERROR(VLOOKUP(Table1[RespondentID],'All Data'!$A$3:$CO$999,91,FALSE),"unknown")</f>
        <v>White</v>
      </c>
      <c r="U69" s="120" t="str">
        <f>IFERROR(VLOOKUP(Table1[RespondentID],'All Data'!$A$3:$CO$999,92,FALSE),"unknown")</f>
        <v>Not Hispanic or Latino</v>
      </c>
      <c r="V69" s="120" t="str">
        <f>IFERROR(VLOOKUP(Table1[RespondentID],'All Data'!$A$3:$CO$999,93,FALSE),"unknown")</f>
        <v>English</v>
      </c>
      <c r="W69" s="120" t="str">
        <f>IFERROR(VLOOKUP(Table1[RespondentID],'All Data'!$A$3:$CW$999,94,FALSE),"unknown")</f>
        <v>Over $125,000</v>
      </c>
      <c r="X69" s="120" t="str">
        <f>IFERROR(VLOOKUP(Table1[RespondentID],'All Data'!$A$3:$CW$999,95,FALSE),"unknown")</f>
        <v>College graduate</v>
      </c>
      <c r="Y69" s="120" t="str">
        <f>IFERROR(VLOOKUP(Table1[RespondentID],'All Data'!$A$3:$CW$999,96,FALSE),"unknown")</f>
        <v>Employed for wages</v>
      </c>
      <c r="Z69" s="120" t="str">
        <f>IFERROR(VLOOKUP(Table1[RespondentID],'All Data'!$A$3:$CW$999,97,FALSE),"unknown")</f>
        <v>Yes</v>
      </c>
      <c r="AA69" s="120" t="str">
        <f>IFERROR(VLOOKUP(Table1[RespondentID],'All Data'!$A$3:$CW$999,98,FALSE),"unknown")</f>
        <v>Private/Commercial</v>
      </c>
      <c r="AB69" s="150">
        <f>IFERROR(VLOOKUP(Table1[RespondentID],'All Data'!$A$3:$CW$999,99,FALSE),"unknown")</f>
        <v>0</v>
      </c>
    </row>
    <row r="70" spans="1:28">
      <c r="A70" s="5">
        <v>18025178298</v>
      </c>
      <c r="B70" s="5" t="s">
        <v>64</v>
      </c>
      <c r="C70" s="5"/>
      <c r="D70" s="5"/>
      <c r="E70" s="5" t="s">
        <v>67</v>
      </c>
      <c r="F70" s="5"/>
      <c r="G70" s="5"/>
      <c r="H70" s="5"/>
      <c r="I70" s="5"/>
      <c r="J70" s="5"/>
      <c r="K70" s="5"/>
      <c r="L70" s="5"/>
      <c r="M70" s="5" t="s">
        <v>75</v>
      </c>
      <c r="N70" s="5"/>
      <c r="O70" s="145"/>
      <c r="P70" s="120" t="str">
        <f>IFERROR(VLOOKUP(Table1[RespondentID],'All Data'!$A$3:$CO$999,87,FALSE),"unknown")</f>
        <v>Woman</v>
      </c>
      <c r="Q70" s="120">
        <f>IFERROR(VLOOKUP(Table1[RespondentID],'All Data'!$A$3:$CO$999,88,FALSE),"unknown")</f>
        <v>42</v>
      </c>
      <c r="R70" s="120" t="str">
        <f>IFERROR(VLOOKUP(Table1[RespondentID],'All Data'!$A$3:$CO$999,89,FALSE),"unknown")</f>
        <v>Suffolk</v>
      </c>
      <c r="S70" s="120" t="str">
        <f>IFERROR(VLOOKUP(Table1[RespondentID],'All Data'!$A$3:$CO$999,90,FALSE),"unknown")</f>
        <v>Commack, 11725</v>
      </c>
      <c r="T70" s="120" t="str">
        <f>IFERROR(VLOOKUP(Table1[RespondentID],'All Data'!$A$3:$CO$999,91,FALSE),"unknown")</f>
        <v>Asian</v>
      </c>
      <c r="U70" s="120">
        <f>IFERROR(VLOOKUP(Table1[RespondentID],'All Data'!$A$3:$CO$999,92,FALSE),"unknown")</f>
        <v>0</v>
      </c>
      <c r="V70" s="120">
        <f>IFERROR(VLOOKUP(Table1[RespondentID],'All Data'!$A$3:$CO$999,93,FALSE),"unknown")</f>
        <v>0</v>
      </c>
      <c r="W70" s="120" t="str">
        <f>IFERROR(VLOOKUP(Table1[RespondentID],'All Data'!$A$3:$CW$999,94,FALSE),"unknown")</f>
        <v>Over $125,000</v>
      </c>
      <c r="X70" s="120" t="str">
        <f>IFERROR(VLOOKUP(Table1[RespondentID],'All Data'!$A$3:$CW$999,95,FALSE),"unknown")</f>
        <v>Graduate school</v>
      </c>
      <c r="Y70" s="120" t="str">
        <f>IFERROR(VLOOKUP(Table1[RespondentID],'All Data'!$A$3:$CW$999,96,FALSE),"unknown")</f>
        <v>Out of work, but not currently looking</v>
      </c>
      <c r="Z70" s="120" t="str">
        <f>IFERROR(VLOOKUP(Table1[RespondentID],'All Data'!$A$3:$CW$999,97,FALSE),"unknown")</f>
        <v>Yes</v>
      </c>
      <c r="AA70" s="120">
        <f>IFERROR(VLOOKUP(Table1[RespondentID],'All Data'!$A$3:$CW$999,98,FALSE),"unknown")</f>
        <v>0</v>
      </c>
      <c r="AB70" s="150">
        <f>IFERROR(VLOOKUP(Table1[RespondentID],'All Data'!$A$3:$CW$999,99,FALSE),"unknown")</f>
        <v>0</v>
      </c>
    </row>
    <row r="71" spans="1:28">
      <c r="A71" s="5">
        <v>18025178212</v>
      </c>
      <c r="B71" s="5" t="s">
        <v>64</v>
      </c>
      <c r="C71" s="5"/>
      <c r="D71" s="5"/>
      <c r="E71" s="5"/>
      <c r="F71" s="5"/>
      <c r="G71" s="5"/>
      <c r="H71" s="5"/>
      <c r="I71" s="5"/>
      <c r="J71" s="5"/>
      <c r="K71" s="5"/>
      <c r="L71" s="5"/>
      <c r="M71" s="5"/>
      <c r="N71" s="5"/>
      <c r="O71" s="145"/>
      <c r="P71" s="120" t="str">
        <f>IFERROR(VLOOKUP(Table1[RespondentID],'All Data'!$A$3:$CO$999,87,FALSE),"unknown")</f>
        <v>Woman</v>
      </c>
      <c r="Q71" s="120">
        <f>IFERROR(VLOOKUP(Table1[RespondentID],'All Data'!$A$3:$CO$999,88,FALSE),"unknown")</f>
        <v>46</v>
      </c>
      <c r="R71" s="120" t="str">
        <f>IFERROR(VLOOKUP(Table1[RespondentID],'All Data'!$A$3:$CO$999,89,FALSE),"unknown")</f>
        <v>Suffolk</v>
      </c>
      <c r="S71" s="120" t="str">
        <f>IFERROR(VLOOKUP(Table1[RespondentID],'All Data'!$A$3:$CO$999,90,FALSE),"unknown")</f>
        <v>East Northport, 11731</v>
      </c>
      <c r="T71" s="120" t="str">
        <f>IFERROR(VLOOKUP(Table1[RespondentID],'All Data'!$A$3:$CO$999,91,FALSE),"unknown")</f>
        <v>Asian</v>
      </c>
      <c r="U71" s="120" t="str">
        <f>IFERROR(VLOOKUP(Table1[RespondentID],'All Data'!$A$3:$CO$999,92,FALSE),"unknown")</f>
        <v>Not Hispanic or Latino</v>
      </c>
      <c r="V71" s="120">
        <f>IFERROR(VLOOKUP(Table1[RespondentID],'All Data'!$A$3:$CO$999,93,FALSE),"unknown")</f>
        <v>0</v>
      </c>
      <c r="W71" s="120" t="str">
        <f>IFERROR(VLOOKUP(Table1[RespondentID],'All Data'!$A$3:$CW$999,94,FALSE),"unknown")</f>
        <v>$75,000 to $125,000</v>
      </c>
      <c r="X71" s="120" t="str">
        <f>IFERROR(VLOOKUP(Table1[RespondentID],'All Data'!$A$3:$CW$999,95,FALSE),"unknown")</f>
        <v>Graduate school</v>
      </c>
      <c r="Y71" s="120" t="str">
        <f>IFERROR(VLOOKUP(Table1[RespondentID],'All Data'!$A$3:$CW$999,96,FALSE),"unknown")</f>
        <v>Out of work, but not currently looking</v>
      </c>
      <c r="Z71" s="120" t="str">
        <f>IFERROR(VLOOKUP(Table1[RespondentID],'All Data'!$A$3:$CW$999,97,FALSE),"unknown")</f>
        <v>Yes</v>
      </c>
      <c r="AA71" s="120">
        <f>IFERROR(VLOOKUP(Table1[RespondentID],'All Data'!$A$3:$CW$999,98,FALSE),"unknown")</f>
        <v>0</v>
      </c>
      <c r="AB71" s="150">
        <f>IFERROR(VLOOKUP(Table1[RespondentID],'All Data'!$A$3:$CW$999,99,FALSE),"unknown")</f>
        <v>0</v>
      </c>
    </row>
    <row r="72" spans="1:28">
      <c r="A72" s="5">
        <v>18025178011</v>
      </c>
      <c r="B72" s="5" t="s">
        <v>64</v>
      </c>
      <c r="C72" s="5"/>
      <c r="D72" s="5"/>
      <c r="E72" s="5"/>
      <c r="F72" s="5"/>
      <c r="G72" s="5"/>
      <c r="H72" s="5"/>
      <c r="I72" s="5"/>
      <c r="J72" s="5"/>
      <c r="K72" s="5"/>
      <c r="L72" s="5"/>
      <c r="M72" s="5" t="s">
        <v>75</v>
      </c>
      <c r="N72" s="5"/>
      <c r="O72" s="145"/>
      <c r="P72" s="120" t="str">
        <f>IFERROR(VLOOKUP(Table1[RespondentID],'All Data'!$A$3:$CO$999,87,FALSE),"unknown")</f>
        <v>Man</v>
      </c>
      <c r="Q72" s="120">
        <f>IFERROR(VLOOKUP(Table1[RespondentID],'All Data'!$A$3:$CO$999,88,FALSE),"unknown")</f>
        <v>52</v>
      </c>
      <c r="R72" s="120" t="str">
        <f>IFERROR(VLOOKUP(Table1[RespondentID],'All Data'!$A$3:$CO$999,89,FALSE),"unknown")</f>
        <v>Suffolk</v>
      </c>
      <c r="S72" s="120" t="str">
        <f>IFERROR(VLOOKUP(Table1[RespondentID],'All Data'!$A$3:$CO$999,90,FALSE),"unknown")</f>
        <v>East Northport, 11731</v>
      </c>
      <c r="T72" s="120" t="str">
        <f>IFERROR(VLOOKUP(Table1[RespondentID],'All Data'!$A$3:$CO$999,91,FALSE),"unknown")</f>
        <v>Asian</v>
      </c>
      <c r="U72" s="120" t="str">
        <f>IFERROR(VLOOKUP(Table1[RespondentID],'All Data'!$A$3:$CO$999,92,FALSE),"unknown")</f>
        <v>Not Hispanic or Latino</v>
      </c>
      <c r="V72" s="120">
        <f>IFERROR(VLOOKUP(Table1[RespondentID],'All Data'!$A$3:$CO$999,93,FALSE),"unknown")</f>
        <v>0</v>
      </c>
      <c r="W72" s="120" t="str">
        <f>IFERROR(VLOOKUP(Table1[RespondentID],'All Data'!$A$3:$CW$999,94,FALSE),"unknown")</f>
        <v>Over $125,000</v>
      </c>
      <c r="X72" s="120" t="str">
        <f>IFERROR(VLOOKUP(Table1[RespondentID],'All Data'!$A$3:$CW$999,95,FALSE),"unknown")</f>
        <v>College graduate</v>
      </c>
      <c r="Y72" s="120" t="str">
        <f>IFERROR(VLOOKUP(Table1[RespondentID],'All Data'!$A$3:$CW$999,96,FALSE),"unknown")</f>
        <v>Self-employed</v>
      </c>
      <c r="Z72" s="120" t="str">
        <f>IFERROR(VLOOKUP(Table1[RespondentID],'All Data'!$A$3:$CW$999,97,FALSE),"unknown")</f>
        <v>Yes</v>
      </c>
      <c r="AA72" s="120">
        <f>IFERROR(VLOOKUP(Table1[RespondentID],'All Data'!$A$3:$CW$999,98,FALSE),"unknown")</f>
        <v>0</v>
      </c>
      <c r="AB72" s="150">
        <f>IFERROR(VLOOKUP(Table1[RespondentID],'All Data'!$A$3:$CW$999,99,FALSE),"unknown")</f>
        <v>0</v>
      </c>
    </row>
    <row r="73" spans="1:28">
      <c r="A73" s="5">
        <v>18025177820</v>
      </c>
      <c r="B73" s="5" t="s">
        <v>64</v>
      </c>
      <c r="C73" s="5"/>
      <c r="D73" s="5"/>
      <c r="E73" s="5"/>
      <c r="F73" s="5"/>
      <c r="G73" s="5"/>
      <c r="H73" s="5"/>
      <c r="I73" s="5"/>
      <c r="J73" s="5"/>
      <c r="K73" s="5"/>
      <c r="L73" s="5"/>
      <c r="M73" s="5"/>
      <c r="N73" s="5"/>
      <c r="O73" s="145"/>
      <c r="P73" s="120" t="str">
        <f>IFERROR(VLOOKUP(Table1[RespondentID],'All Data'!$A$3:$CO$999,87,FALSE),"unknown")</f>
        <v>Woman</v>
      </c>
      <c r="Q73" s="120">
        <f>IFERROR(VLOOKUP(Table1[RespondentID],'All Data'!$A$3:$CO$999,88,FALSE),"unknown")</f>
        <v>18</v>
      </c>
      <c r="R73" s="120" t="str">
        <f>IFERROR(VLOOKUP(Table1[RespondentID],'All Data'!$A$3:$CO$999,89,FALSE),"unknown")</f>
        <v>Suffolk</v>
      </c>
      <c r="S73" s="120" t="str">
        <f>IFERROR(VLOOKUP(Table1[RespondentID],'All Data'!$A$3:$CO$999,90,FALSE),"unknown")</f>
        <v>East Northport, 11731</v>
      </c>
      <c r="T73" s="120" t="str">
        <f>IFERROR(VLOOKUP(Table1[RespondentID],'All Data'!$A$3:$CO$999,91,FALSE),"unknown")</f>
        <v>Asian</v>
      </c>
      <c r="U73" s="120" t="str">
        <f>IFERROR(VLOOKUP(Table1[RespondentID],'All Data'!$A$3:$CO$999,92,FALSE),"unknown")</f>
        <v>Not Hispanic or Latino</v>
      </c>
      <c r="V73" s="120">
        <f>IFERROR(VLOOKUP(Table1[RespondentID],'All Data'!$A$3:$CO$999,93,FALSE),"unknown")</f>
        <v>0</v>
      </c>
      <c r="W73" s="120" t="str">
        <f>IFERROR(VLOOKUP(Table1[RespondentID],'All Data'!$A$3:$CW$999,94,FALSE),"unknown")</f>
        <v>Over $125,000</v>
      </c>
      <c r="X73" s="120" t="str">
        <f>IFERROR(VLOOKUP(Table1[RespondentID],'All Data'!$A$3:$CW$999,95,FALSE),"unknown")</f>
        <v>Some high school</v>
      </c>
      <c r="Y73" s="120" t="str">
        <f>IFERROR(VLOOKUP(Table1[RespondentID],'All Data'!$A$3:$CW$999,96,FALSE),"unknown")</f>
        <v>Student</v>
      </c>
      <c r="Z73" s="120" t="str">
        <f>IFERROR(VLOOKUP(Table1[RespondentID],'All Data'!$A$3:$CW$999,97,FALSE),"unknown")</f>
        <v>Yes</v>
      </c>
      <c r="AA73" s="120">
        <f>IFERROR(VLOOKUP(Table1[RespondentID],'All Data'!$A$3:$CW$999,98,FALSE),"unknown")</f>
        <v>0</v>
      </c>
      <c r="AB73" s="150">
        <f>IFERROR(VLOOKUP(Table1[RespondentID],'All Data'!$A$3:$CW$999,99,FALSE),"unknown")</f>
        <v>0</v>
      </c>
    </row>
    <row r="74" spans="1:28">
      <c r="A74" s="5">
        <v>18025177600</v>
      </c>
      <c r="B74" s="5" t="s">
        <v>64</v>
      </c>
      <c r="C74" s="5"/>
      <c r="D74" s="5"/>
      <c r="E74" s="5"/>
      <c r="F74" s="5"/>
      <c r="G74" s="5"/>
      <c r="H74" s="5"/>
      <c r="I74" s="5"/>
      <c r="J74" s="5"/>
      <c r="K74" s="5"/>
      <c r="L74" s="5"/>
      <c r="M74" s="5"/>
      <c r="N74" s="5"/>
      <c r="O74" s="145"/>
      <c r="P74" s="120" t="str">
        <f>IFERROR(VLOOKUP(Table1[RespondentID],'All Data'!$A$3:$CO$999,87,FALSE),"unknown")</f>
        <v>Woman</v>
      </c>
      <c r="Q74" s="120">
        <f>IFERROR(VLOOKUP(Table1[RespondentID],'All Data'!$A$3:$CO$999,88,FALSE),"unknown")</f>
        <v>62</v>
      </c>
      <c r="R74" s="120" t="str">
        <f>IFERROR(VLOOKUP(Table1[RespondentID],'All Data'!$A$3:$CO$999,89,FALSE),"unknown")</f>
        <v>Suffolk</v>
      </c>
      <c r="S74" s="120" t="str">
        <f>IFERROR(VLOOKUP(Table1[RespondentID],'All Data'!$A$3:$CO$999,90,FALSE),"unknown")</f>
        <v>Kings Park, 11754</v>
      </c>
      <c r="T74" s="120" t="str">
        <f>IFERROR(VLOOKUP(Table1[RespondentID],'All Data'!$A$3:$CO$999,91,FALSE),"unknown")</f>
        <v>White</v>
      </c>
      <c r="U74" s="120" t="str">
        <f>IFERROR(VLOOKUP(Table1[RespondentID],'All Data'!$A$3:$CO$999,92,FALSE),"unknown")</f>
        <v>Not Hispanic or Latino</v>
      </c>
      <c r="V74" s="120">
        <f>IFERROR(VLOOKUP(Table1[RespondentID],'All Data'!$A$3:$CO$999,93,FALSE),"unknown")</f>
        <v>0</v>
      </c>
      <c r="W74" s="120" t="str">
        <f>IFERROR(VLOOKUP(Table1[RespondentID],'All Data'!$A$3:$CW$999,94,FALSE),"unknown")</f>
        <v>Over $125,000</v>
      </c>
      <c r="X74" s="120" t="str">
        <f>IFERROR(VLOOKUP(Table1[RespondentID],'All Data'!$A$3:$CW$999,95,FALSE),"unknown")</f>
        <v>Some college</v>
      </c>
      <c r="Y74" s="120" t="str">
        <f>IFERROR(VLOOKUP(Table1[RespondentID],'All Data'!$A$3:$CW$999,96,FALSE),"unknown")</f>
        <v>Self-employed</v>
      </c>
      <c r="Z74" s="120" t="str">
        <f>IFERROR(VLOOKUP(Table1[RespondentID],'All Data'!$A$3:$CW$999,97,FALSE),"unknown")</f>
        <v>Yes</v>
      </c>
      <c r="AA74" s="120" t="str">
        <f>IFERROR(VLOOKUP(Table1[RespondentID],'All Data'!$A$3:$CW$999,98,FALSE),"unknown")</f>
        <v>Private/Commercial</v>
      </c>
      <c r="AB74" s="150">
        <f>IFERROR(VLOOKUP(Table1[RespondentID],'All Data'!$A$3:$CW$999,99,FALSE),"unknown")</f>
        <v>0</v>
      </c>
    </row>
    <row r="75" spans="1:28">
      <c r="A75" s="5">
        <v>18025177479</v>
      </c>
      <c r="B75" s="5" t="s">
        <v>64</v>
      </c>
      <c r="C75" s="5"/>
      <c r="D75" s="5"/>
      <c r="E75" s="5"/>
      <c r="F75" s="5"/>
      <c r="G75" s="5"/>
      <c r="H75" s="5"/>
      <c r="I75" s="5"/>
      <c r="J75" s="5"/>
      <c r="K75" s="5" t="s">
        <v>73</v>
      </c>
      <c r="L75" s="5"/>
      <c r="M75" s="5"/>
      <c r="N75" s="5"/>
      <c r="O75" s="145"/>
      <c r="P75" s="120" t="str">
        <f>IFERROR(VLOOKUP(Table1[RespondentID],'All Data'!$A$3:$CO$999,87,FALSE),"unknown")</f>
        <v>Man</v>
      </c>
      <c r="Q75" s="120">
        <f>IFERROR(VLOOKUP(Table1[RespondentID],'All Data'!$A$3:$CO$999,88,FALSE),"unknown")</f>
        <v>64</v>
      </c>
      <c r="R75" s="120" t="str">
        <f>IFERROR(VLOOKUP(Table1[RespondentID],'All Data'!$A$3:$CO$999,89,FALSE),"unknown")</f>
        <v>Suffolk</v>
      </c>
      <c r="S75" s="120" t="str">
        <f>IFERROR(VLOOKUP(Table1[RespondentID],'All Data'!$A$3:$CO$999,90,FALSE),"unknown")</f>
        <v>Farmingville, 11738</v>
      </c>
      <c r="T75" s="120" t="str">
        <f>IFERROR(VLOOKUP(Table1[RespondentID],'All Data'!$A$3:$CO$999,91,FALSE),"unknown")</f>
        <v>White</v>
      </c>
      <c r="U75" s="120" t="str">
        <f>IFERROR(VLOOKUP(Table1[RespondentID],'All Data'!$A$3:$CO$999,92,FALSE),"unknown")</f>
        <v>Not Hispanic or Latino</v>
      </c>
      <c r="V75" s="120" t="str">
        <f>IFERROR(VLOOKUP(Table1[RespondentID],'All Data'!$A$3:$CO$999,93,FALSE),"unknown")</f>
        <v>English</v>
      </c>
      <c r="W75" s="120" t="str">
        <f>IFERROR(VLOOKUP(Table1[RespondentID],'All Data'!$A$3:$CW$999,94,FALSE),"unknown")</f>
        <v>$75,000 to $125,000</v>
      </c>
      <c r="X75" s="120" t="str">
        <f>IFERROR(VLOOKUP(Table1[RespondentID],'All Data'!$A$3:$CW$999,95,FALSE),"unknown")</f>
        <v>Graduate school</v>
      </c>
      <c r="Y75" s="120" t="str">
        <f>IFERROR(VLOOKUP(Table1[RespondentID],'All Data'!$A$3:$CW$999,96,FALSE),"unknown")</f>
        <v>Retired</v>
      </c>
      <c r="Z75" s="120" t="str">
        <f>IFERROR(VLOOKUP(Table1[RespondentID],'All Data'!$A$3:$CW$999,97,FALSE),"unknown")</f>
        <v>Yes</v>
      </c>
      <c r="AA75" s="120" t="str">
        <f>IFERROR(VLOOKUP(Table1[RespondentID],'All Data'!$A$3:$CW$999,98,FALSE),"unknown")</f>
        <v>Medicare</v>
      </c>
      <c r="AB75" s="150">
        <f>IFERROR(VLOOKUP(Table1[RespondentID],'All Data'!$A$3:$CW$999,99,FALSE),"unknown")</f>
        <v>0</v>
      </c>
    </row>
    <row r="76" spans="1:28">
      <c r="A76" s="5">
        <v>18025177067</v>
      </c>
      <c r="B76" s="5" t="s">
        <v>64</v>
      </c>
      <c r="C76" s="5"/>
      <c r="D76" s="5"/>
      <c r="E76" s="5"/>
      <c r="F76" s="5"/>
      <c r="G76" s="5"/>
      <c r="H76" s="5"/>
      <c r="I76" s="5"/>
      <c r="J76" s="5"/>
      <c r="K76" s="5"/>
      <c r="L76" s="5"/>
      <c r="M76" s="5" t="s">
        <v>75</v>
      </c>
      <c r="N76" s="5"/>
      <c r="O76" s="145"/>
      <c r="P76" s="120" t="str">
        <f>IFERROR(VLOOKUP(Table1[RespondentID],'All Data'!$A$3:$CO$999,87,FALSE),"unknown")</f>
        <v>Man</v>
      </c>
      <c r="Q76" s="120">
        <f>IFERROR(VLOOKUP(Table1[RespondentID],'All Data'!$A$3:$CO$999,88,FALSE),"unknown")</f>
        <v>36</v>
      </c>
      <c r="R76" s="120" t="str">
        <f>IFERROR(VLOOKUP(Table1[RespondentID],'All Data'!$A$3:$CO$999,89,FALSE),"unknown")</f>
        <v>Suffolk</v>
      </c>
      <c r="S76" s="120" t="str">
        <f>IFERROR(VLOOKUP(Table1[RespondentID],'All Data'!$A$3:$CO$999,90,FALSE),"unknown")</f>
        <v>Wading River, 11792</v>
      </c>
      <c r="T76" s="120" t="str">
        <f>IFERROR(VLOOKUP(Table1[RespondentID],'All Data'!$A$3:$CO$999,91,FALSE),"unknown")</f>
        <v>Two or more races</v>
      </c>
      <c r="U76" s="120" t="str">
        <f>IFERROR(VLOOKUP(Table1[RespondentID],'All Data'!$A$3:$CO$999,92,FALSE),"unknown")</f>
        <v>Hispanic or Latino</v>
      </c>
      <c r="V76" s="120" t="str">
        <f>IFERROR(VLOOKUP(Table1[RespondentID],'All Data'!$A$3:$CO$999,93,FALSE),"unknown")</f>
        <v>English</v>
      </c>
      <c r="W76" s="120" t="str">
        <f>IFERROR(VLOOKUP(Table1[RespondentID],'All Data'!$A$3:$CW$999,94,FALSE),"unknown")</f>
        <v>$50,000 to $74,999</v>
      </c>
      <c r="X76" s="120" t="str">
        <f>IFERROR(VLOOKUP(Table1[RespondentID],'All Data'!$A$3:$CW$999,95,FALSE),"unknown")</f>
        <v>College graduate</v>
      </c>
      <c r="Y76" s="120" t="str">
        <f>IFERROR(VLOOKUP(Table1[RespondentID],'All Data'!$A$3:$CW$999,96,FALSE),"unknown")</f>
        <v>Self-employed</v>
      </c>
      <c r="Z76" s="120" t="str">
        <f>IFERROR(VLOOKUP(Table1[RespondentID],'All Data'!$A$3:$CW$999,97,FALSE),"unknown")</f>
        <v>Yes</v>
      </c>
      <c r="AA76" s="120" t="str">
        <f>IFERROR(VLOOKUP(Table1[RespondentID],'All Data'!$A$3:$CW$999,98,FALSE),"unknown")</f>
        <v>Private/Commercial</v>
      </c>
      <c r="AB76" s="150">
        <f>IFERROR(VLOOKUP(Table1[RespondentID],'All Data'!$A$3:$CW$999,99,FALSE),"unknown")</f>
        <v>0</v>
      </c>
    </row>
    <row r="77" spans="1:28">
      <c r="A77" s="5">
        <v>18024285770</v>
      </c>
      <c r="B77" s="5" t="s">
        <v>64</v>
      </c>
      <c r="C77" s="5"/>
      <c r="D77" s="5"/>
      <c r="E77" s="5"/>
      <c r="F77" s="5"/>
      <c r="G77" s="5"/>
      <c r="H77" s="5"/>
      <c r="I77" s="5"/>
      <c r="J77" s="5"/>
      <c r="K77" s="5"/>
      <c r="L77" s="5"/>
      <c r="M77" s="5"/>
      <c r="N77" s="5"/>
      <c r="O77" s="145"/>
      <c r="P77" s="120" t="str">
        <f>IFERROR(VLOOKUP(Table1[RespondentID],'All Data'!$A$3:$CO$999,87,FALSE),"unknown")</f>
        <v>Man</v>
      </c>
      <c r="Q77" s="120">
        <f>IFERROR(VLOOKUP(Table1[RespondentID],'All Data'!$A$3:$CO$999,88,FALSE),"unknown")</f>
        <v>0</v>
      </c>
      <c r="R77" s="120" t="str">
        <f>IFERROR(VLOOKUP(Table1[RespondentID],'All Data'!$A$3:$CO$999,89,FALSE),"unknown")</f>
        <v>Suffolk</v>
      </c>
      <c r="S77" s="120" t="str">
        <f>IFERROR(VLOOKUP(Table1[RespondentID],'All Data'!$A$3:$CO$999,90,FALSE),"unknown")</f>
        <v>Smithtown, 11787</v>
      </c>
      <c r="T77" s="120" t="str">
        <f>IFERROR(VLOOKUP(Table1[RespondentID],'All Data'!$A$3:$CO$999,91,FALSE),"unknown")</f>
        <v>White</v>
      </c>
      <c r="U77" s="120" t="str">
        <f>IFERROR(VLOOKUP(Table1[RespondentID],'All Data'!$A$3:$CO$999,92,FALSE),"unknown")</f>
        <v>Not Hispanic or Latino</v>
      </c>
      <c r="V77" s="120" t="str">
        <f>IFERROR(VLOOKUP(Table1[RespondentID],'All Data'!$A$3:$CO$999,93,FALSE),"unknown")</f>
        <v>English</v>
      </c>
      <c r="W77" s="120" t="str">
        <f>IFERROR(VLOOKUP(Table1[RespondentID],'All Data'!$A$3:$CW$999,94,FALSE),"unknown")</f>
        <v>$0-$19,999</v>
      </c>
      <c r="X77" s="120" t="str">
        <f>IFERROR(VLOOKUP(Table1[RespondentID],'All Data'!$A$3:$CW$999,95,FALSE),"unknown")</f>
        <v>High school graduate</v>
      </c>
      <c r="Y77" s="120" t="str">
        <f>IFERROR(VLOOKUP(Table1[RespondentID],'All Data'!$A$3:$CW$999,96,FALSE),"unknown")</f>
        <v>Out of work, but not currently looking</v>
      </c>
      <c r="Z77" s="120" t="str">
        <f>IFERROR(VLOOKUP(Table1[RespondentID],'All Data'!$A$3:$CW$999,97,FALSE),"unknown")</f>
        <v>Yes</v>
      </c>
      <c r="AA77" s="120" t="str">
        <f>IFERROR(VLOOKUP(Table1[RespondentID],'All Data'!$A$3:$CW$999,98,FALSE),"unknown")</f>
        <v>Medicaid</v>
      </c>
      <c r="AB77" s="150" t="str">
        <f>IFERROR(VLOOKUP(Table1[RespondentID],'All Data'!$A$3:$CW$999,99,FALSE),"unknown")</f>
        <v>Yes</v>
      </c>
    </row>
    <row r="78" spans="1:28">
      <c r="A78" s="5">
        <v>18024204548</v>
      </c>
      <c r="B78" s="5"/>
      <c r="C78" s="5"/>
      <c r="D78" s="5"/>
      <c r="E78" s="5"/>
      <c r="F78" s="5"/>
      <c r="G78" s="5"/>
      <c r="H78" s="5"/>
      <c r="I78" s="5"/>
      <c r="J78" s="5"/>
      <c r="K78" s="5"/>
      <c r="L78" s="5"/>
      <c r="M78" s="5"/>
      <c r="N78" s="5"/>
      <c r="O78" s="145"/>
      <c r="P78" s="120">
        <f>IFERROR(VLOOKUP(Table1[RespondentID],'All Data'!$A$3:$CO$999,87,FALSE),"unknown")</f>
        <v>0</v>
      </c>
      <c r="Q78" s="120">
        <f>IFERROR(VLOOKUP(Table1[RespondentID],'All Data'!$A$3:$CO$999,88,FALSE),"unknown")</f>
        <v>0</v>
      </c>
      <c r="R78" s="120">
        <f>IFERROR(VLOOKUP(Table1[RespondentID],'All Data'!$A$3:$CO$999,89,FALSE),"unknown")</f>
        <v>0</v>
      </c>
      <c r="S78" s="120" t="str">
        <f>IFERROR(VLOOKUP(Table1[RespondentID],'All Data'!$A$3:$CO$999,90,FALSE),"unknown")</f>
        <v>Allenwood, 11021</v>
      </c>
      <c r="T78" s="120">
        <f>IFERROR(VLOOKUP(Table1[RespondentID],'All Data'!$A$3:$CO$999,91,FALSE),"unknown")</f>
        <v>0</v>
      </c>
      <c r="U78" s="120">
        <f>IFERROR(VLOOKUP(Table1[RespondentID],'All Data'!$A$3:$CO$999,92,FALSE),"unknown")</f>
        <v>0</v>
      </c>
      <c r="V78" s="120">
        <f>IFERROR(VLOOKUP(Table1[RespondentID],'All Data'!$A$3:$CO$999,93,FALSE),"unknown")</f>
        <v>0</v>
      </c>
      <c r="W78" s="120">
        <f>IFERROR(VLOOKUP(Table1[RespondentID],'All Data'!$A$3:$CW$999,94,FALSE),"unknown")</f>
        <v>0</v>
      </c>
      <c r="X78" s="120">
        <f>IFERROR(VLOOKUP(Table1[RespondentID],'All Data'!$A$3:$CW$999,95,FALSE),"unknown")</f>
        <v>0</v>
      </c>
      <c r="Y78" s="120">
        <f>IFERROR(VLOOKUP(Table1[RespondentID],'All Data'!$A$3:$CW$999,96,FALSE),"unknown")</f>
        <v>0</v>
      </c>
      <c r="Z78" s="120">
        <f>IFERROR(VLOOKUP(Table1[RespondentID],'All Data'!$A$3:$CW$999,97,FALSE),"unknown")</f>
        <v>0</v>
      </c>
      <c r="AA78" s="120">
        <f>IFERROR(VLOOKUP(Table1[RespondentID],'All Data'!$A$3:$CW$999,98,FALSE),"unknown")</f>
        <v>0</v>
      </c>
      <c r="AB78" s="150">
        <f>IFERROR(VLOOKUP(Table1[RespondentID],'All Data'!$A$3:$CW$999,99,FALSE),"unknown")</f>
        <v>0</v>
      </c>
    </row>
    <row r="79" spans="1:28">
      <c r="A79" s="5">
        <v>18024007695</v>
      </c>
      <c r="B79" s="5"/>
      <c r="C79" s="5"/>
      <c r="D79" s="5"/>
      <c r="E79" s="5"/>
      <c r="F79" s="5"/>
      <c r="G79" s="5"/>
      <c r="H79" s="5"/>
      <c r="I79" s="5"/>
      <c r="J79" s="5"/>
      <c r="K79" s="5"/>
      <c r="L79" s="5"/>
      <c r="M79" s="5"/>
      <c r="N79" s="5"/>
      <c r="O79" s="145"/>
      <c r="P79" s="120">
        <f>IFERROR(VLOOKUP(Table1[RespondentID],'All Data'!$A$3:$CO$999,87,FALSE),"unknown")</f>
        <v>0</v>
      </c>
      <c r="Q79" s="120">
        <f>IFERROR(VLOOKUP(Table1[RespondentID],'All Data'!$A$3:$CO$999,88,FALSE),"unknown")</f>
        <v>0</v>
      </c>
      <c r="R79" s="120">
        <f>IFERROR(VLOOKUP(Table1[RespondentID],'All Data'!$A$3:$CO$999,89,FALSE),"unknown")</f>
        <v>0</v>
      </c>
      <c r="S79" s="120" t="str">
        <f>IFERROR(VLOOKUP(Table1[RespondentID],'All Data'!$A$3:$CO$999,90,FALSE),"unknown")</f>
        <v>Albertson, 11507</v>
      </c>
      <c r="T79" s="120">
        <f>IFERROR(VLOOKUP(Table1[RespondentID],'All Data'!$A$3:$CO$999,91,FALSE),"unknown")</f>
        <v>0</v>
      </c>
      <c r="U79" s="120">
        <f>IFERROR(VLOOKUP(Table1[RespondentID],'All Data'!$A$3:$CO$999,92,FALSE),"unknown")</f>
        <v>0</v>
      </c>
      <c r="V79" s="120">
        <f>IFERROR(VLOOKUP(Table1[RespondentID],'All Data'!$A$3:$CO$999,93,FALSE),"unknown")</f>
        <v>0</v>
      </c>
      <c r="W79" s="120">
        <f>IFERROR(VLOOKUP(Table1[RespondentID],'All Data'!$A$3:$CW$999,94,FALSE),"unknown")</f>
        <v>0</v>
      </c>
      <c r="X79" s="120">
        <f>IFERROR(VLOOKUP(Table1[RespondentID],'All Data'!$A$3:$CW$999,95,FALSE),"unknown")</f>
        <v>0</v>
      </c>
      <c r="Y79" s="120">
        <f>IFERROR(VLOOKUP(Table1[RespondentID],'All Data'!$A$3:$CW$999,96,FALSE),"unknown")</f>
        <v>0</v>
      </c>
      <c r="Z79" s="120">
        <f>IFERROR(VLOOKUP(Table1[RespondentID],'All Data'!$A$3:$CW$999,97,FALSE),"unknown")</f>
        <v>0</v>
      </c>
      <c r="AA79" s="120">
        <f>IFERROR(VLOOKUP(Table1[RespondentID],'All Data'!$A$3:$CW$999,98,FALSE),"unknown")</f>
        <v>0</v>
      </c>
      <c r="AB79" s="150">
        <f>IFERROR(VLOOKUP(Table1[RespondentID],'All Data'!$A$3:$CW$999,99,FALSE),"unknown")</f>
        <v>0</v>
      </c>
    </row>
    <row r="80" spans="1:28">
      <c r="A80" s="5">
        <v>18023492246</v>
      </c>
      <c r="B80" s="5"/>
      <c r="C80" s="5"/>
      <c r="D80" s="5"/>
      <c r="E80" s="5"/>
      <c r="F80" s="5"/>
      <c r="G80" s="5"/>
      <c r="H80" s="5"/>
      <c r="I80" s="5"/>
      <c r="J80" s="5"/>
      <c r="K80" s="5"/>
      <c r="L80" s="5"/>
      <c r="M80" s="5" t="s">
        <v>75</v>
      </c>
      <c r="N80" s="5"/>
      <c r="O80" s="145"/>
      <c r="P80" s="120">
        <f>IFERROR(VLOOKUP(Table1[RespondentID],'All Data'!$A$3:$CO$999,87,FALSE),"unknown")</f>
        <v>0</v>
      </c>
      <c r="Q80" s="120">
        <f>IFERROR(VLOOKUP(Table1[RespondentID],'All Data'!$A$3:$CO$999,88,FALSE),"unknown")</f>
        <v>0</v>
      </c>
      <c r="R80" s="120">
        <f>IFERROR(VLOOKUP(Table1[RespondentID],'All Data'!$A$3:$CO$999,89,FALSE),"unknown")</f>
        <v>0</v>
      </c>
      <c r="S80" s="120">
        <f>IFERROR(VLOOKUP(Table1[RespondentID],'All Data'!$A$3:$CO$999,90,FALSE),"unknown")</f>
        <v>0</v>
      </c>
      <c r="T80" s="120">
        <f>IFERROR(VLOOKUP(Table1[RespondentID],'All Data'!$A$3:$CO$999,91,FALSE),"unknown")</f>
        <v>0</v>
      </c>
      <c r="U80" s="120">
        <f>IFERROR(VLOOKUP(Table1[RespondentID],'All Data'!$A$3:$CO$999,92,FALSE),"unknown")</f>
        <v>0</v>
      </c>
      <c r="V80" s="120">
        <f>IFERROR(VLOOKUP(Table1[RespondentID],'All Data'!$A$3:$CO$999,93,FALSE),"unknown")</f>
        <v>0</v>
      </c>
      <c r="W80" s="120">
        <f>IFERROR(VLOOKUP(Table1[RespondentID],'All Data'!$A$3:$CW$999,94,FALSE),"unknown")</f>
        <v>0</v>
      </c>
      <c r="X80" s="120">
        <f>IFERROR(VLOOKUP(Table1[RespondentID],'All Data'!$A$3:$CW$999,95,FALSE),"unknown")</f>
        <v>0</v>
      </c>
      <c r="Y80" s="120">
        <f>IFERROR(VLOOKUP(Table1[RespondentID],'All Data'!$A$3:$CW$999,96,FALSE),"unknown")</f>
        <v>0</v>
      </c>
      <c r="Z80" s="120">
        <f>IFERROR(VLOOKUP(Table1[RespondentID],'All Data'!$A$3:$CW$999,97,FALSE),"unknown")</f>
        <v>0</v>
      </c>
      <c r="AA80" s="120">
        <f>IFERROR(VLOOKUP(Table1[RespondentID],'All Data'!$A$3:$CW$999,98,FALSE),"unknown")</f>
        <v>0</v>
      </c>
      <c r="AB80" s="150">
        <f>IFERROR(VLOOKUP(Table1[RespondentID],'All Data'!$A$3:$CW$999,99,FALSE),"unknown")</f>
        <v>0</v>
      </c>
    </row>
    <row r="81" spans="1:28">
      <c r="A81" s="5">
        <v>18023288956</v>
      </c>
      <c r="B81" s="5" t="s">
        <v>64</v>
      </c>
      <c r="C81" s="5"/>
      <c r="D81" s="5"/>
      <c r="E81" s="5"/>
      <c r="F81" s="5"/>
      <c r="G81" s="5"/>
      <c r="H81" s="5"/>
      <c r="I81" s="5"/>
      <c r="J81" s="5"/>
      <c r="K81" s="5"/>
      <c r="L81" s="5"/>
      <c r="M81" s="5" t="s">
        <v>75</v>
      </c>
      <c r="N81" s="5"/>
      <c r="O81" s="145"/>
      <c r="P81" s="120" t="str">
        <f>IFERROR(VLOOKUP(Table1[RespondentID],'All Data'!$A$3:$CO$999,87,FALSE),"unknown")</f>
        <v>Woman</v>
      </c>
      <c r="Q81" s="120">
        <f>IFERROR(VLOOKUP(Table1[RespondentID],'All Data'!$A$3:$CO$999,88,FALSE),"unknown")</f>
        <v>33</v>
      </c>
      <c r="R81" s="120" t="str">
        <f>IFERROR(VLOOKUP(Table1[RespondentID],'All Data'!$A$3:$CO$999,89,FALSE),"unknown")</f>
        <v>Suffolk</v>
      </c>
      <c r="S81" s="120" t="str">
        <f>IFERROR(VLOOKUP(Table1[RespondentID],'All Data'!$A$3:$CO$999,90,FALSE),"unknown")</f>
        <v>Deer Park, 11729</v>
      </c>
      <c r="T81" s="120" t="str">
        <f>IFERROR(VLOOKUP(Table1[RespondentID],'All Data'!$A$3:$CO$999,91,FALSE),"unknown")</f>
        <v>Asian</v>
      </c>
      <c r="U81" s="120">
        <f>IFERROR(VLOOKUP(Table1[RespondentID],'All Data'!$A$3:$CO$999,92,FALSE),"unknown")</f>
        <v>0</v>
      </c>
      <c r="V81" s="120" t="str">
        <f>IFERROR(VLOOKUP(Table1[RespondentID],'All Data'!$A$3:$CO$999,93,FALSE),"unknown")</f>
        <v>English</v>
      </c>
      <c r="W81" s="120" t="str">
        <f>IFERROR(VLOOKUP(Table1[RespondentID],'All Data'!$A$3:$CW$999,94,FALSE),"unknown")</f>
        <v>$50,000 to $74,999</v>
      </c>
      <c r="X81" s="120" t="str">
        <f>IFERROR(VLOOKUP(Table1[RespondentID],'All Data'!$A$3:$CW$999,95,FALSE),"unknown")</f>
        <v>Some college</v>
      </c>
      <c r="Y81" s="120" t="str">
        <f>IFERROR(VLOOKUP(Table1[RespondentID],'All Data'!$A$3:$CW$999,96,FALSE),"unknown")</f>
        <v>Employed for wages</v>
      </c>
      <c r="Z81" s="120" t="str">
        <f>IFERROR(VLOOKUP(Table1[RespondentID],'All Data'!$A$3:$CW$999,97,FALSE),"unknown")</f>
        <v>Yes</v>
      </c>
      <c r="AA81" s="120">
        <f>IFERROR(VLOOKUP(Table1[RespondentID],'All Data'!$A$3:$CW$999,98,FALSE),"unknown")</f>
        <v>0</v>
      </c>
      <c r="AB81" s="150">
        <f>IFERROR(VLOOKUP(Table1[RespondentID],'All Data'!$A$3:$CW$999,99,FALSE),"unknown")</f>
        <v>0</v>
      </c>
    </row>
    <row r="82" spans="1:28">
      <c r="A82" s="5">
        <v>18023288812</v>
      </c>
      <c r="B82" s="5" t="s">
        <v>64</v>
      </c>
      <c r="C82" s="5"/>
      <c r="D82" s="5"/>
      <c r="E82" s="5" t="s">
        <v>67</v>
      </c>
      <c r="F82" s="5"/>
      <c r="G82" s="5"/>
      <c r="H82" s="5"/>
      <c r="I82" s="5"/>
      <c r="J82" s="5"/>
      <c r="K82" s="5"/>
      <c r="L82" s="5"/>
      <c r="M82" s="5" t="s">
        <v>75</v>
      </c>
      <c r="N82" s="5"/>
      <c r="O82" s="145"/>
      <c r="P82" s="120" t="str">
        <f>IFERROR(VLOOKUP(Table1[RespondentID],'All Data'!$A$3:$CO$999,87,FALSE),"unknown")</f>
        <v>Man</v>
      </c>
      <c r="Q82" s="120">
        <f>IFERROR(VLOOKUP(Table1[RespondentID],'All Data'!$A$3:$CO$999,88,FALSE),"unknown")</f>
        <v>18</v>
      </c>
      <c r="R82" s="120" t="str">
        <f>IFERROR(VLOOKUP(Table1[RespondentID],'All Data'!$A$3:$CO$999,89,FALSE),"unknown")</f>
        <v>Suffolk</v>
      </c>
      <c r="S82" s="120" t="str">
        <f>IFERROR(VLOOKUP(Table1[RespondentID],'All Data'!$A$3:$CO$999,90,FALSE),"unknown")</f>
        <v>Huntington Station, 11746</v>
      </c>
      <c r="T82" s="120" t="str">
        <f>IFERROR(VLOOKUP(Table1[RespondentID],'All Data'!$A$3:$CO$999,91,FALSE),"unknown")</f>
        <v>White</v>
      </c>
      <c r="U82" s="120" t="str">
        <f>IFERROR(VLOOKUP(Table1[RespondentID],'All Data'!$A$3:$CO$999,92,FALSE),"unknown")</f>
        <v>Hispanic or Latino</v>
      </c>
      <c r="V82" s="120" t="str">
        <f>IFERROR(VLOOKUP(Table1[RespondentID],'All Data'!$A$3:$CO$999,93,FALSE),"unknown")</f>
        <v>English</v>
      </c>
      <c r="W82" s="120" t="str">
        <f>IFERROR(VLOOKUP(Table1[RespondentID],'All Data'!$A$3:$CW$999,94,FALSE),"unknown")</f>
        <v>Over $125,000</v>
      </c>
      <c r="X82" s="120" t="str">
        <f>IFERROR(VLOOKUP(Table1[RespondentID],'All Data'!$A$3:$CW$999,95,FALSE),"unknown")</f>
        <v>High school graduate</v>
      </c>
      <c r="Y82" s="120" t="str">
        <f>IFERROR(VLOOKUP(Table1[RespondentID],'All Data'!$A$3:$CW$999,96,FALSE),"unknown")</f>
        <v>Out of work, but not currently looking</v>
      </c>
      <c r="Z82" s="120" t="str">
        <f>IFERROR(VLOOKUP(Table1[RespondentID],'All Data'!$A$3:$CW$999,97,FALSE),"unknown")</f>
        <v>Yes</v>
      </c>
      <c r="AA82" s="120" t="str">
        <f>IFERROR(VLOOKUP(Table1[RespondentID],'All Data'!$A$3:$CW$999,98,FALSE),"unknown")</f>
        <v>Medicaid</v>
      </c>
      <c r="AB82" s="150">
        <f>IFERROR(VLOOKUP(Table1[RespondentID],'All Data'!$A$3:$CW$999,99,FALSE),"unknown")</f>
        <v>0</v>
      </c>
    </row>
    <row r="83" spans="1:28">
      <c r="A83" s="5">
        <v>18023288714</v>
      </c>
      <c r="B83" s="5" t="s">
        <v>64</v>
      </c>
      <c r="C83" s="5"/>
      <c r="D83" s="5" t="s">
        <v>66</v>
      </c>
      <c r="E83" s="5" t="s">
        <v>67</v>
      </c>
      <c r="F83" s="5" t="s">
        <v>68</v>
      </c>
      <c r="G83" s="5" t="s">
        <v>69</v>
      </c>
      <c r="H83" s="5"/>
      <c r="I83" s="5" t="s">
        <v>71</v>
      </c>
      <c r="J83" s="5"/>
      <c r="K83" s="5"/>
      <c r="L83" s="5"/>
      <c r="M83" s="5" t="s">
        <v>75</v>
      </c>
      <c r="N83" s="5" t="s">
        <v>76</v>
      </c>
      <c r="O83" s="145"/>
      <c r="P83" s="120" t="str">
        <f>IFERROR(VLOOKUP(Table1[RespondentID],'All Data'!$A$3:$CO$999,87,FALSE),"unknown")</f>
        <v>Woman</v>
      </c>
      <c r="Q83" s="120">
        <f>IFERROR(VLOOKUP(Table1[RespondentID],'All Data'!$A$3:$CO$999,88,FALSE),"unknown")</f>
        <v>53</v>
      </c>
      <c r="R83" s="120" t="str">
        <f>IFERROR(VLOOKUP(Table1[RespondentID],'All Data'!$A$3:$CO$999,89,FALSE),"unknown")</f>
        <v>Suffolk</v>
      </c>
      <c r="S83" s="120" t="str">
        <f>IFERROR(VLOOKUP(Table1[RespondentID],'All Data'!$A$3:$CO$999,90,FALSE),"unknown")</f>
        <v>Huntington Station, 11746</v>
      </c>
      <c r="T83" s="120" t="str">
        <f>IFERROR(VLOOKUP(Table1[RespondentID],'All Data'!$A$3:$CO$999,91,FALSE),"unknown")</f>
        <v>White</v>
      </c>
      <c r="U83" s="120" t="str">
        <f>IFERROR(VLOOKUP(Table1[RespondentID],'All Data'!$A$3:$CO$999,92,FALSE),"unknown")</f>
        <v>Hispanic or Latino</v>
      </c>
      <c r="V83" s="120" t="str">
        <f>IFERROR(VLOOKUP(Table1[RespondentID],'All Data'!$A$3:$CO$999,93,FALSE),"unknown")</f>
        <v>English</v>
      </c>
      <c r="W83" s="120" t="str">
        <f>IFERROR(VLOOKUP(Table1[RespondentID],'All Data'!$A$3:$CW$999,94,FALSE),"unknown")</f>
        <v>Over $125,000</v>
      </c>
      <c r="X83" s="120" t="str">
        <f>IFERROR(VLOOKUP(Table1[RespondentID],'All Data'!$A$3:$CW$999,95,FALSE),"unknown")</f>
        <v>College graduate</v>
      </c>
      <c r="Y83" s="120" t="str">
        <f>IFERROR(VLOOKUP(Table1[RespondentID],'All Data'!$A$3:$CW$999,96,FALSE),"unknown")</f>
        <v>Employed for wages</v>
      </c>
      <c r="Z83" s="120" t="str">
        <f>IFERROR(VLOOKUP(Table1[RespondentID],'All Data'!$A$3:$CW$999,97,FALSE),"unknown")</f>
        <v>Yes</v>
      </c>
      <c r="AA83" s="120" t="str">
        <f>IFERROR(VLOOKUP(Table1[RespondentID],'All Data'!$A$3:$CW$999,98,FALSE),"unknown")</f>
        <v>Private/Commercial</v>
      </c>
      <c r="AB83" s="150">
        <f>IFERROR(VLOOKUP(Table1[RespondentID],'All Data'!$A$3:$CW$999,99,FALSE),"unknown")</f>
        <v>0</v>
      </c>
    </row>
    <row r="84" spans="1:28">
      <c r="A84" s="5">
        <v>18023288631</v>
      </c>
      <c r="B84" s="5" t="s">
        <v>64</v>
      </c>
      <c r="C84" s="5"/>
      <c r="D84" s="5"/>
      <c r="E84" s="5" t="s">
        <v>67</v>
      </c>
      <c r="F84" s="5"/>
      <c r="G84" s="5" t="s">
        <v>69</v>
      </c>
      <c r="H84" s="5" t="s">
        <v>70</v>
      </c>
      <c r="I84" s="5"/>
      <c r="J84" s="5"/>
      <c r="K84" s="5"/>
      <c r="L84" s="5"/>
      <c r="M84" s="5" t="s">
        <v>75</v>
      </c>
      <c r="N84" s="5"/>
      <c r="O84" s="145"/>
      <c r="P84" s="120" t="str">
        <f>IFERROR(VLOOKUP(Table1[RespondentID],'All Data'!$A$3:$CO$999,87,FALSE),"unknown")</f>
        <v>Man</v>
      </c>
      <c r="Q84" s="120">
        <f>IFERROR(VLOOKUP(Table1[RespondentID],'All Data'!$A$3:$CO$999,88,FALSE),"unknown")</f>
        <v>49</v>
      </c>
      <c r="R84" s="120" t="str">
        <f>IFERROR(VLOOKUP(Table1[RespondentID],'All Data'!$A$3:$CO$999,89,FALSE),"unknown")</f>
        <v>Suffolk</v>
      </c>
      <c r="S84" s="120" t="str">
        <f>IFERROR(VLOOKUP(Table1[RespondentID],'All Data'!$A$3:$CO$999,90,FALSE),"unknown")</f>
        <v>Kings Park, 11754</v>
      </c>
      <c r="T84" s="120" t="str">
        <f>IFERROR(VLOOKUP(Table1[RespondentID],'All Data'!$A$3:$CO$999,91,FALSE),"unknown")</f>
        <v>White</v>
      </c>
      <c r="U84" s="120" t="str">
        <f>IFERROR(VLOOKUP(Table1[RespondentID],'All Data'!$A$3:$CO$999,92,FALSE),"unknown")</f>
        <v>Hispanic or Latino</v>
      </c>
      <c r="V84" s="120" t="str">
        <f>IFERROR(VLOOKUP(Table1[RespondentID],'All Data'!$A$3:$CO$999,93,FALSE),"unknown")</f>
        <v>English</v>
      </c>
      <c r="W84" s="120" t="str">
        <f>IFERROR(VLOOKUP(Table1[RespondentID],'All Data'!$A$3:$CW$999,94,FALSE),"unknown")</f>
        <v>Over $125,000</v>
      </c>
      <c r="X84" s="120" t="str">
        <f>IFERROR(VLOOKUP(Table1[RespondentID],'All Data'!$A$3:$CW$999,95,FALSE),"unknown")</f>
        <v>Graduate school</v>
      </c>
      <c r="Y84" s="120" t="str">
        <f>IFERROR(VLOOKUP(Table1[RespondentID],'All Data'!$A$3:$CW$999,96,FALSE),"unknown")</f>
        <v>Employed for wages</v>
      </c>
      <c r="Z84" s="120" t="str">
        <f>IFERROR(VLOOKUP(Table1[RespondentID],'All Data'!$A$3:$CW$999,97,FALSE),"unknown")</f>
        <v>Yes</v>
      </c>
      <c r="AA84" s="120" t="str">
        <f>IFERROR(VLOOKUP(Table1[RespondentID],'All Data'!$A$3:$CW$999,98,FALSE),"unknown")</f>
        <v>Private/Commercial</v>
      </c>
      <c r="AB84" s="150">
        <f>IFERROR(VLOOKUP(Table1[RespondentID],'All Data'!$A$3:$CW$999,99,FALSE),"unknown")</f>
        <v>0</v>
      </c>
    </row>
    <row r="85" spans="1:28">
      <c r="A85" s="5">
        <v>18023288504</v>
      </c>
      <c r="B85" s="5" t="s">
        <v>64</v>
      </c>
      <c r="C85" s="5"/>
      <c r="D85" s="5"/>
      <c r="E85" s="5" t="s">
        <v>67</v>
      </c>
      <c r="F85" s="5"/>
      <c r="G85" s="5"/>
      <c r="H85" s="5"/>
      <c r="I85" s="5"/>
      <c r="J85" s="5"/>
      <c r="K85" s="5"/>
      <c r="L85" s="5"/>
      <c r="M85" s="5" t="s">
        <v>75</v>
      </c>
      <c r="N85" s="5"/>
      <c r="O85" s="145"/>
      <c r="P85" s="120" t="str">
        <f>IFERROR(VLOOKUP(Table1[RespondentID],'All Data'!$A$3:$CO$999,87,FALSE),"unknown")</f>
        <v>Man</v>
      </c>
      <c r="Q85" s="120">
        <f>IFERROR(VLOOKUP(Table1[RespondentID],'All Data'!$A$3:$CO$999,88,FALSE),"unknown")</f>
        <v>59</v>
      </c>
      <c r="R85" s="120" t="str">
        <f>IFERROR(VLOOKUP(Table1[RespondentID],'All Data'!$A$3:$CO$999,89,FALSE),"unknown")</f>
        <v>Suffolk</v>
      </c>
      <c r="S85" s="120" t="str">
        <f>IFERROR(VLOOKUP(Table1[RespondentID],'All Data'!$A$3:$CO$999,90,FALSE),"unknown")</f>
        <v>Deer Park, 11729</v>
      </c>
      <c r="T85" s="120" t="str">
        <f>IFERROR(VLOOKUP(Table1[RespondentID],'All Data'!$A$3:$CO$999,91,FALSE),"unknown")</f>
        <v>White</v>
      </c>
      <c r="U85" s="120" t="str">
        <f>IFERROR(VLOOKUP(Table1[RespondentID],'All Data'!$A$3:$CO$999,92,FALSE),"unknown")</f>
        <v>Hispanic or Latino</v>
      </c>
      <c r="V85" s="120" t="str">
        <f>IFERROR(VLOOKUP(Table1[RespondentID],'All Data'!$A$3:$CO$999,93,FALSE),"unknown")</f>
        <v>English</v>
      </c>
      <c r="W85" s="120" t="str">
        <f>IFERROR(VLOOKUP(Table1[RespondentID],'All Data'!$A$3:$CW$999,94,FALSE),"unknown")</f>
        <v>Over $125,000</v>
      </c>
      <c r="X85" s="120" t="str">
        <f>IFERROR(VLOOKUP(Table1[RespondentID],'All Data'!$A$3:$CW$999,95,FALSE),"unknown")</f>
        <v>Graduate school</v>
      </c>
      <c r="Y85" s="120" t="str">
        <f>IFERROR(VLOOKUP(Table1[RespondentID],'All Data'!$A$3:$CW$999,96,FALSE),"unknown")</f>
        <v>Employed for wages</v>
      </c>
      <c r="Z85" s="120" t="str">
        <f>IFERROR(VLOOKUP(Table1[RespondentID],'All Data'!$A$3:$CW$999,97,FALSE),"unknown")</f>
        <v>Yes</v>
      </c>
      <c r="AA85" s="120" t="str">
        <f>IFERROR(VLOOKUP(Table1[RespondentID],'All Data'!$A$3:$CW$999,98,FALSE),"unknown")</f>
        <v>Private/Commercial</v>
      </c>
      <c r="AB85" s="150">
        <f>IFERROR(VLOOKUP(Table1[RespondentID],'All Data'!$A$3:$CW$999,99,FALSE),"unknown")</f>
        <v>0</v>
      </c>
    </row>
    <row r="86" spans="1:28">
      <c r="A86" s="5">
        <v>18023288405</v>
      </c>
      <c r="B86" s="5" t="s">
        <v>64</v>
      </c>
      <c r="C86" s="5"/>
      <c r="D86" s="5"/>
      <c r="E86" s="5"/>
      <c r="F86" s="5"/>
      <c r="G86" s="5"/>
      <c r="H86" s="5"/>
      <c r="I86" s="5"/>
      <c r="J86" s="5"/>
      <c r="K86" s="5"/>
      <c r="L86" s="5"/>
      <c r="M86" s="5"/>
      <c r="N86" s="5"/>
      <c r="O86" s="145"/>
      <c r="P86" s="120" t="str">
        <f>IFERROR(VLOOKUP(Table1[RespondentID],'All Data'!$A$3:$CO$999,87,FALSE),"unknown")</f>
        <v>Man</v>
      </c>
      <c r="Q86" s="120">
        <f>IFERROR(VLOOKUP(Table1[RespondentID],'All Data'!$A$3:$CO$999,88,FALSE),"unknown")</f>
        <v>57</v>
      </c>
      <c r="R86" s="120" t="str">
        <f>IFERROR(VLOOKUP(Table1[RespondentID],'All Data'!$A$3:$CO$999,89,FALSE),"unknown")</f>
        <v>Suffolk</v>
      </c>
      <c r="S86" s="120" t="str">
        <f>IFERROR(VLOOKUP(Table1[RespondentID],'All Data'!$A$3:$CO$999,90,FALSE),"unknown")</f>
        <v>Kings Park, 11754</v>
      </c>
      <c r="T86" s="120" t="str">
        <f>IFERROR(VLOOKUP(Table1[RespondentID],'All Data'!$A$3:$CO$999,91,FALSE),"unknown")</f>
        <v>White</v>
      </c>
      <c r="U86" s="120" t="str">
        <f>IFERROR(VLOOKUP(Table1[RespondentID],'All Data'!$A$3:$CO$999,92,FALSE),"unknown")</f>
        <v>Hispanic or Latino</v>
      </c>
      <c r="V86" s="120" t="str">
        <f>IFERROR(VLOOKUP(Table1[RespondentID],'All Data'!$A$3:$CO$999,93,FALSE),"unknown")</f>
        <v>English</v>
      </c>
      <c r="W86" s="120" t="str">
        <f>IFERROR(VLOOKUP(Table1[RespondentID],'All Data'!$A$3:$CW$999,94,FALSE),"unknown")</f>
        <v>Over $125,000</v>
      </c>
      <c r="X86" s="120" t="str">
        <f>IFERROR(VLOOKUP(Table1[RespondentID],'All Data'!$A$3:$CW$999,95,FALSE),"unknown")</f>
        <v>Graduate school</v>
      </c>
      <c r="Y86" s="120" t="str">
        <f>IFERROR(VLOOKUP(Table1[RespondentID],'All Data'!$A$3:$CW$999,96,FALSE),"unknown")</f>
        <v>Employed for wages</v>
      </c>
      <c r="Z86" s="120" t="str">
        <f>IFERROR(VLOOKUP(Table1[RespondentID],'All Data'!$A$3:$CW$999,97,FALSE),"unknown")</f>
        <v>Yes</v>
      </c>
      <c r="AA86" s="120" t="str">
        <f>IFERROR(VLOOKUP(Table1[RespondentID],'All Data'!$A$3:$CW$999,98,FALSE),"unknown")</f>
        <v>Private/Commercial</v>
      </c>
      <c r="AB86" s="150">
        <f>IFERROR(VLOOKUP(Table1[RespondentID],'All Data'!$A$3:$CW$999,99,FALSE),"unknown")</f>
        <v>0</v>
      </c>
    </row>
    <row r="87" spans="1:28">
      <c r="A87" s="5">
        <v>18023288287</v>
      </c>
      <c r="B87" s="5" t="s">
        <v>64</v>
      </c>
      <c r="C87" s="5"/>
      <c r="D87" s="5"/>
      <c r="E87" s="5"/>
      <c r="F87" s="5" t="s">
        <v>68</v>
      </c>
      <c r="G87" s="5"/>
      <c r="H87" s="5"/>
      <c r="I87" s="5"/>
      <c r="J87" s="5"/>
      <c r="K87" s="5"/>
      <c r="L87" s="5"/>
      <c r="M87" s="5"/>
      <c r="N87" s="5"/>
      <c r="O87" s="145"/>
      <c r="P87" s="120" t="str">
        <f>IFERROR(VLOOKUP(Table1[RespondentID],'All Data'!$A$3:$CO$999,87,FALSE),"unknown")</f>
        <v>Man</v>
      </c>
      <c r="Q87" s="120">
        <f>IFERROR(VLOOKUP(Table1[RespondentID],'All Data'!$A$3:$CO$999,88,FALSE),"unknown")</f>
        <v>50</v>
      </c>
      <c r="R87" s="120" t="str">
        <f>IFERROR(VLOOKUP(Table1[RespondentID],'All Data'!$A$3:$CO$999,89,FALSE),"unknown")</f>
        <v>Suffolk</v>
      </c>
      <c r="S87" s="120" t="str">
        <f>IFERROR(VLOOKUP(Table1[RespondentID],'All Data'!$A$3:$CO$999,90,FALSE),"unknown")</f>
        <v>Melville, 11747</v>
      </c>
      <c r="T87" s="120" t="str">
        <f>IFERROR(VLOOKUP(Table1[RespondentID],'All Data'!$A$3:$CO$999,91,FALSE),"unknown")</f>
        <v>White</v>
      </c>
      <c r="U87" s="120" t="str">
        <f>IFERROR(VLOOKUP(Table1[RespondentID],'All Data'!$A$3:$CO$999,92,FALSE),"unknown")</f>
        <v>Not Hispanic or Latino</v>
      </c>
      <c r="V87" s="120" t="str">
        <f>IFERROR(VLOOKUP(Table1[RespondentID],'All Data'!$A$3:$CO$999,93,FALSE),"unknown")</f>
        <v>English, Spanish</v>
      </c>
      <c r="W87" s="120" t="str">
        <f>IFERROR(VLOOKUP(Table1[RespondentID],'All Data'!$A$3:$CW$999,94,FALSE),"unknown")</f>
        <v>Over $125,000</v>
      </c>
      <c r="X87" s="120" t="str">
        <f>IFERROR(VLOOKUP(Table1[RespondentID],'All Data'!$A$3:$CW$999,95,FALSE),"unknown")</f>
        <v>Graduate school</v>
      </c>
      <c r="Y87" s="120" t="str">
        <f>IFERROR(VLOOKUP(Table1[RespondentID],'All Data'!$A$3:$CW$999,96,FALSE),"unknown")</f>
        <v>Employed for wages</v>
      </c>
      <c r="Z87" s="120" t="str">
        <f>IFERROR(VLOOKUP(Table1[RespondentID],'All Data'!$A$3:$CW$999,97,FALSE),"unknown")</f>
        <v>Yes</v>
      </c>
      <c r="AA87" s="120" t="str">
        <f>IFERROR(VLOOKUP(Table1[RespondentID],'All Data'!$A$3:$CW$999,98,FALSE),"unknown")</f>
        <v>Private/Commercial</v>
      </c>
      <c r="AB87" s="150">
        <f>IFERROR(VLOOKUP(Table1[RespondentID],'All Data'!$A$3:$CW$999,99,FALSE),"unknown")</f>
        <v>0</v>
      </c>
    </row>
    <row r="88" spans="1:28">
      <c r="A88" s="5">
        <v>18023288205</v>
      </c>
      <c r="B88" s="5" t="s">
        <v>64</v>
      </c>
      <c r="C88" s="5"/>
      <c r="D88" s="5"/>
      <c r="E88" s="5" t="s">
        <v>67</v>
      </c>
      <c r="F88" s="5" t="s">
        <v>68</v>
      </c>
      <c r="G88" s="5"/>
      <c r="H88" s="5" t="s">
        <v>70</v>
      </c>
      <c r="I88" s="5"/>
      <c r="J88" s="5"/>
      <c r="K88" s="5"/>
      <c r="L88" s="5"/>
      <c r="M88" s="5" t="s">
        <v>75</v>
      </c>
      <c r="N88" s="5"/>
      <c r="O88" s="145"/>
      <c r="P88" s="120" t="str">
        <f>IFERROR(VLOOKUP(Table1[RespondentID],'All Data'!$A$3:$CO$999,87,FALSE),"unknown")</f>
        <v>Man</v>
      </c>
      <c r="Q88" s="120">
        <f>IFERROR(VLOOKUP(Table1[RespondentID],'All Data'!$A$3:$CO$999,88,FALSE),"unknown")</f>
        <v>52</v>
      </c>
      <c r="R88" s="120" t="str">
        <f>IFERROR(VLOOKUP(Table1[RespondentID],'All Data'!$A$3:$CO$999,89,FALSE),"unknown")</f>
        <v>Suffolk</v>
      </c>
      <c r="S88" s="120" t="str">
        <f>IFERROR(VLOOKUP(Table1[RespondentID],'All Data'!$A$3:$CO$999,90,FALSE),"unknown")</f>
        <v>Huntington Station, 11746</v>
      </c>
      <c r="T88" s="120" t="str">
        <f>IFERROR(VLOOKUP(Table1[RespondentID],'All Data'!$A$3:$CO$999,91,FALSE),"unknown")</f>
        <v>White</v>
      </c>
      <c r="U88" s="120" t="str">
        <f>IFERROR(VLOOKUP(Table1[RespondentID],'All Data'!$A$3:$CO$999,92,FALSE),"unknown")</f>
        <v>Hispanic or Latino</v>
      </c>
      <c r="V88" s="120" t="str">
        <f>IFERROR(VLOOKUP(Table1[RespondentID],'All Data'!$A$3:$CO$999,93,FALSE),"unknown")</f>
        <v>English</v>
      </c>
      <c r="W88" s="120" t="str">
        <f>IFERROR(VLOOKUP(Table1[RespondentID],'All Data'!$A$3:$CW$999,94,FALSE),"unknown")</f>
        <v>Over $125,000</v>
      </c>
      <c r="X88" s="120" t="str">
        <f>IFERROR(VLOOKUP(Table1[RespondentID],'All Data'!$A$3:$CW$999,95,FALSE),"unknown")</f>
        <v>Graduate school</v>
      </c>
      <c r="Y88" s="120" t="str">
        <f>IFERROR(VLOOKUP(Table1[RespondentID],'All Data'!$A$3:$CW$999,96,FALSE),"unknown")</f>
        <v>Employed for wages</v>
      </c>
      <c r="Z88" s="120" t="str">
        <f>IFERROR(VLOOKUP(Table1[RespondentID],'All Data'!$A$3:$CW$999,97,FALSE),"unknown")</f>
        <v>Yes</v>
      </c>
      <c r="AA88" s="120" t="str">
        <f>IFERROR(VLOOKUP(Table1[RespondentID],'All Data'!$A$3:$CW$999,98,FALSE),"unknown")</f>
        <v>Private/Commercial</v>
      </c>
      <c r="AB88" s="150">
        <f>IFERROR(VLOOKUP(Table1[RespondentID],'All Data'!$A$3:$CW$999,99,FALSE),"unknown")</f>
        <v>0</v>
      </c>
    </row>
    <row r="89" spans="1:28">
      <c r="A89" s="5">
        <v>18023288112</v>
      </c>
      <c r="B89" s="5" t="s">
        <v>64</v>
      </c>
      <c r="C89" s="5"/>
      <c r="D89" s="5"/>
      <c r="E89" s="5" t="s">
        <v>67</v>
      </c>
      <c r="F89" s="5"/>
      <c r="G89" s="5"/>
      <c r="H89" s="5"/>
      <c r="I89" s="5"/>
      <c r="J89" s="5"/>
      <c r="K89" s="5"/>
      <c r="L89" s="5"/>
      <c r="M89" s="5" t="s">
        <v>75</v>
      </c>
      <c r="N89" s="5"/>
      <c r="O89" s="145"/>
      <c r="P89" s="120" t="str">
        <f>IFERROR(VLOOKUP(Table1[RespondentID],'All Data'!$A$3:$CO$999,87,FALSE),"unknown")</f>
        <v>Man</v>
      </c>
      <c r="Q89" s="120">
        <f>IFERROR(VLOOKUP(Table1[RespondentID],'All Data'!$A$3:$CO$999,88,FALSE),"unknown")</f>
        <v>48</v>
      </c>
      <c r="R89" s="120" t="str">
        <f>IFERROR(VLOOKUP(Table1[RespondentID],'All Data'!$A$3:$CO$999,89,FALSE),"unknown")</f>
        <v>Suffolk</v>
      </c>
      <c r="S89" s="120" t="str">
        <f>IFERROR(VLOOKUP(Table1[RespondentID],'All Data'!$A$3:$CO$999,90,FALSE),"unknown")</f>
        <v>East Northport, 11731</v>
      </c>
      <c r="T89" s="120" t="str">
        <f>IFERROR(VLOOKUP(Table1[RespondentID],'All Data'!$A$3:$CO$999,91,FALSE),"unknown")</f>
        <v>White</v>
      </c>
      <c r="U89" s="120" t="str">
        <f>IFERROR(VLOOKUP(Table1[RespondentID],'All Data'!$A$3:$CO$999,92,FALSE),"unknown")</f>
        <v>Hispanic or Latino</v>
      </c>
      <c r="V89" s="120" t="str">
        <f>IFERROR(VLOOKUP(Table1[RespondentID],'All Data'!$A$3:$CO$999,93,FALSE),"unknown")</f>
        <v>English</v>
      </c>
      <c r="W89" s="120" t="str">
        <f>IFERROR(VLOOKUP(Table1[RespondentID],'All Data'!$A$3:$CW$999,94,FALSE),"unknown")</f>
        <v>Over $125,000</v>
      </c>
      <c r="X89" s="120" t="str">
        <f>IFERROR(VLOOKUP(Table1[RespondentID],'All Data'!$A$3:$CW$999,95,FALSE),"unknown")</f>
        <v>Graduate school</v>
      </c>
      <c r="Y89" s="120" t="str">
        <f>IFERROR(VLOOKUP(Table1[RespondentID],'All Data'!$A$3:$CW$999,96,FALSE),"unknown")</f>
        <v>Employed for wages</v>
      </c>
      <c r="Z89" s="120">
        <f>IFERROR(VLOOKUP(Table1[RespondentID],'All Data'!$A$3:$CW$999,97,FALSE),"unknown")</f>
        <v>0</v>
      </c>
      <c r="AA89" s="120" t="str">
        <f>IFERROR(VLOOKUP(Table1[RespondentID],'All Data'!$A$3:$CW$999,98,FALSE),"unknown")</f>
        <v>Private/Commercial</v>
      </c>
      <c r="AB89" s="150">
        <f>IFERROR(VLOOKUP(Table1[RespondentID],'All Data'!$A$3:$CW$999,99,FALSE),"unknown")</f>
        <v>0</v>
      </c>
    </row>
    <row r="90" spans="1:28">
      <c r="A90" s="5">
        <v>18023288040</v>
      </c>
      <c r="B90" s="5" t="s">
        <v>64</v>
      </c>
      <c r="C90" s="5"/>
      <c r="D90" s="5"/>
      <c r="E90" s="5"/>
      <c r="F90" s="5"/>
      <c r="G90" s="5"/>
      <c r="H90" s="5"/>
      <c r="I90" s="5"/>
      <c r="J90" s="5"/>
      <c r="K90" s="5"/>
      <c r="L90" s="5"/>
      <c r="M90" s="5"/>
      <c r="N90" s="5"/>
      <c r="O90" s="145"/>
      <c r="P90" s="120" t="str">
        <f>IFERROR(VLOOKUP(Table1[RespondentID],'All Data'!$A$3:$CO$999,87,FALSE),"unknown")</f>
        <v>Man</v>
      </c>
      <c r="Q90" s="120">
        <f>IFERROR(VLOOKUP(Table1[RespondentID],'All Data'!$A$3:$CO$999,88,FALSE),"unknown")</f>
        <v>49</v>
      </c>
      <c r="R90" s="120" t="str">
        <f>IFERROR(VLOOKUP(Table1[RespondentID],'All Data'!$A$3:$CO$999,89,FALSE),"unknown")</f>
        <v>Suffolk</v>
      </c>
      <c r="S90" s="120" t="str">
        <f>IFERROR(VLOOKUP(Table1[RespondentID],'All Data'!$A$3:$CO$999,90,FALSE),"unknown")</f>
        <v>Smithtown, 11787</v>
      </c>
      <c r="T90" s="120" t="str">
        <f>IFERROR(VLOOKUP(Table1[RespondentID],'All Data'!$A$3:$CO$999,91,FALSE),"unknown")</f>
        <v>White</v>
      </c>
      <c r="U90" s="120" t="str">
        <f>IFERROR(VLOOKUP(Table1[RespondentID],'All Data'!$A$3:$CO$999,92,FALSE),"unknown")</f>
        <v>Hispanic or Latino</v>
      </c>
      <c r="V90" s="120" t="str">
        <f>IFERROR(VLOOKUP(Table1[RespondentID],'All Data'!$A$3:$CO$999,93,FALSE),"unknown")</f>
        <v>English</v>
      </c>
      <c r="W90" s="120" t="str">
        <f>IFERROR(VLOOKUP(Table1[RespondentID],'All Data'!$A$3:$CW$999,94,FALSE),"unknown")</f>
        <v>Over $125,000</v>
      </c>
      <c r="X90" s="120" t="str">
        <f>IFERROR(VLOOKUP(Table1[RespondentID],'All Data'!$A$3:$CW$999,95,FALSE),"unknown")</f>
        <v>Graduate school</v>
      </c>
      <c r="Y90" s="120" t="str">
        <f>IFERROR(VLOOKUP(Table1[RespondentID],'All Data'!$A$3:$CW$999,96,FALSE),"unknown")</f>
        <v>Employed for wages</v>
      </c>
      <c r="Z90" s="120">
        <f>IFERROR(VLOOKUP(Table1[RespondentID],'All Data'!$A$3:$CW$999,97,FALSE),"unknown")</f>
        <v>0</v>
      </c>
      <c r="AA90" s="120" t="str">
        <f>IFERROR(VLOOKUP(Table1[RespondentID],'All Data'!$A$3:$CW$999,98,FALSE),"unknown")</f>
        <v>Private/Commercial</v>
      </c>
      <c r="AB90" s="150">
        <f>IFERROR(VLOOKUP(Table1[RespondentID],'All Data'!$A$3:$CW$999,99,FALSE),"unknown")</f>
        <v>0</v>
      </c>
    </row>
    <row r="91" spans="1:28">
      <c r="A91" s="5">
        <v>18023287912</v>
      </c>
      <c r="B91" s="5" t="s">
        <v>64</v>
      </c>
      <c r="C91" s="5"/>
      <c r="D91" s="5"/>
      <c r="E91" s="5"/>
      <c r="F91" s="5"/>
      <c r="G91" s="5"/>
      <c r="H91" s="5"/>
      <c r="I91" s="5"/>
      <c r="J91" s="5"/>
      <c r="K91" s="5"/>
      <c r="L91" s="5"/>
      <c r="M91" s="5" t="s">
        <v>75</v>
      </c>
      <c r="N91" s="5"/>
      <c r="O91" s="145"/>
      <c r="P91" s="120" t="str">
        <f>IFERROR(VLOOKUP(Table1[RespondentID],'All Data'!$A$3:$CO$999,87,FALSE),"unknown")</f>
        <v>Man</v>
      </c>
      <c r="Q91" s="120">
        <f>IFERROR(VLOOKUP(Table1[RespondentID],'All Data'!$A$3:$CO$999,88,FALSE),"unknown")</f>
        <v>47</v>
      </c>
      <c r="R91" s="120" t="str">
        <f>IFERROR(VLOOKUP(Table1[RespondentID],'All Data'!$A$3:$CO$999,89,FALSE),"unknown")</f>
        <v>Suffolk</v>
      </c>
      <c r="S91" s="120" t="str">
        <f>IFERROR(VLOOKUP(Table1[RespondentID],'All Data'!$A$3:$CO$999,90,FALSE),"unknown")</f>
        <v>Stony Brook, 11790</v>
      </c>
      <c r="T91" s="120" t="str">
        <f>IFERROR(VLOOKUP(Table1[RespondentID],'All Data'!$A$3:$CO$999,91,FALSE),"unknown")</f>
        <v>White</v>
      </c>
      <c r="U91" s="120" t="str">
        <f>IFERROR(VLOOKUP(Table1[RespondentID],'All Data'!$A$3:$CO$999,92,FALSE),"unknown")</f>
        <v>Hispanic or Latino</v>
      </c>
      <c r="V91" s="120" t="str">
        <f>IFERROR(VLOOKUP(Table1[RespondentID],'All Data'!$A$3:$CO$999,93,FALSE),"unknown")</f>
        <v>English</v>
      </c>
      <c r="W91" s="120" t="str">
        <f>IFERROR(VLOOKUP(Table1[RespondentID],'All Data'!$A$3:$CW$999,94,FALSE),"unknown")</f>
        <v>Over $125,000</v>
      </c>
      <c r="X91" s="120" t="str">
        <f>IFERROR(VLOOKUP(Table1[RespondentID],'All Data'!$A$3:$CW$999,95,FALSE),"unknown")</f>
        <v>Graduate school</v>
      </c>
      <c r="Y91" s="120" t="str">
        <f>IFERROR(VLOOKUP(Table1[RespondentID],'All Data'!$A$3:$CW$999,96,FALSE),"unknown")</f>
        <v>Employed for wages</v>
      </c>
      <c r="Z91" s="120" t="str">
        <f>IFERROR(VLOOKUP(Table1[RespondentID],'All Data'!$A$3:$CW$999,97,FALSE),"unknown")</f>
        <v>Yes</v>
      </c>
      <c r="AA91" s="120" t="str">
        <f>IFERROR(VLOOKUP(Table1[RespondentID],'All Data'!$A$3:$CW$999,98,FALSE),"unknown")</f>
        <v>Private/Commercial</v>
      </c>
      <c r="AB91" s="150">
        <f>IFERROR(VLOOKUP(Table1[RespondentID],'All Data'!$A$3:$CW$999,99,FALSE),"unknown")</f>
        <v>0</v>
      </c>
    </row>
    <row r="92" spans="1:28">
      <c r="A92" s="5">
        <v>18023287497</v>
      </c>
      <c r="B92" s="5" t="s">
        <v>64</v>
      </c>
      <c r="C92" s="5"/>
      <c r="D92" s="5"/>
      <c r="E92" s="5" t="s">
        <v>67</v>
      </c>
      <c r="F92" s="5"/>
      <c r="G92" s="5"/>
      <c r="H92" s="5"/>
      <c r="I92" s="5"/>
      <c r="J92" s="5"/>
      <c r="K92" s="5"/>
      <c r="L92" s="5"/>
      <c r="M92" s="5" t="s">
        <v>75</v>
      </c>
      <c r="N92" s="5"/>
      <c r="O92" s="145"/>
      <c r="P92" s="120" t="str">
        <f>IFERROR(VLOOKUP(Table1[RespondentID],'All Data'!$A$3:$CO$999,87,FALSE),"unknown")</f>
        <v>Woman</v>
      </c>
      <c r="Q92" s="120">
        <f>IFERROR(VLOOKUP(Table1[RespondentID],'All Data'!$A$3:$CO$999,88,FALSE),"unknown")</f>
        <v>52</v>
      </c>
      <c r="R92" s="120" t="str">
        <f>IFERROR(VLOOKUP(Table1[RespondentID],'All Data'!$A$3:$CO$999,89,FALSE),"unknown")</f>
        <v>Suffolk</v>
      </c>
      <c r="S92" s="120" t="str">
        <f>IFERROR(VLOOKUP(Table1[RespondentID],'All Data'!$A$3:$CO$999,90,FALSE),"unknown")</f>
        <v>Smithtown, 11787</v>
      </c>
      <c r="T92" s="120" t="str">
        <f>IFERROR(VLOOKUP(Table1[RespondentID],'All Data'!$A$3:$CO$999,91,FALSE),"unknown")</f>
        <v>White</v>
      </c>
      <c r="U92" s="120" t="str">
        <f>IFERROR(VLOOKUP(Table1[RespondentID],'All Data'!$A$3:$CO$999,92,FALSE),"unknown")</f>
        <v>Hispanic or Latino</v>
      </c>
      <c r="V92" s="120" t="str">
        <f>IFERROR(VLOOKUP(Table1[RespondentID],'All Data'!$A$3:$CO$999,93,FALSE),"unknown")</f>
        <v>English</v>
      </c>
      <c r="W92" s="120" t="str">
        <f>IFERROR(VLOOKUP(Table1[RespondentID],'All Data'!$A$3:$CW$999,94,FALSE),"unknown")</f>
        <v>Over $125,000</v>
      </c>
      <c r="X92" s="120" t="str">
        <f>IFERROR(VLOOKUP(Table1[RespondentID],'All Data'!$A$3:$CW$999,95,FALSE),"unknown")</f>
        <v>College graduate</v>
      </c>
      <c r="Y92" s="120" t="str">
        <f>IFERROR(VLOOKUP(Table1[RespondentID],'All Data'!$A$3:$CW$999,96,FALSE),"unknown")</f>
        <v>Employed for wages</v>
      </c>
      <c r="Z92" s="120">
        <f>IFERROR(VLOOKUP(Table1[RespondentID],'All Data'!$A$3:$CW$999,97,FALSE),"unknown")</f>
        <v>0</v>
      </c>
      <c r="AA92" s="120">
        <f>IFERROR(VLOOKUP(Table1[RespondentID],'All Data'!$A$3:$CW$999,98,FALSE),"unknown")</f>
        <v>0</v>
      </c>
      <c r="AB92" s="150">
        <f>IFERROR(VLOOKUP(Table1[RespondentID],'All Data'!$A$3:$CW$999,99,FALSE),"unknown")</f>
        <v>0</v>
      </c>
    </row>
    <row r="93" spans="1:28">
      <c r="A93" s="5">
        <v>18023287370</v>
      </c>
      <c r="B93" s="5"/>
      <c r="C93" s="5"/>
      <c r="D93" s="5" t="s">
        <v>66</v>
      </c>
      <c r="E93" s="5"/>
      <c r="F93" s="5"/>
      <c r="G93" s="5"/>
      <c r="H93" s="5"/>
      <c r="I93" s="5"/>
      <c r="J93" s="5"/>
      <c r="K93" s="5"/>
      <c r="L93" s="5"/>
      <c r="M93" s="5" t="s">
        <v>75</v>
      </c>
      <c r="N93" s="5"/>
      <c r="O93" s="145"/>
      <c r="P93" s="120" t="str">
        <f>IFERROR(VLOOKUP(Table1[RespondentID],'All Data'!$A$3:$CO$999,87,FALSE),"unknown")</f>
        <v>Man</v>
      </c>
      <c r="Q93" s="120">
        <f>IFERROR(VLOOKUP(Table1[RespondentID],'All Data'!$A$3:$CO$999,88,FALSE),"unknown")</f>
        <v>23</v>
      </c>
      <c r="R93" s="120" t="str">
        <f>IFERROR(VLOOKUP(Table1[RespondentID],'All Data'!$A$3:$CO$999,89,FALSE),"unknown")</f>
        <v>Suffolk</v>
      </c>
      <c r="S93" s="120" t="str">
        <f>IFERROR(VLOOKUP(Table1[RespondentID],'All Data'!$A$3:$CO$999,90,FALSE),"unknown")</f>
        <v>Central Islip, 11722</v>
      </c>
      <c r="T93" s="120">
        <f>IFERROR(VLOOKUP(Table1[RespondentID],'All Data'!$A$3:$CO$999,91,FALSE),"unknown")</f>
        <v>0</v>
      </c>
      <c r="U93" s="120" t="str">
        <f>IFERROR(VLOOKUP(Table1[RespondentID],'All Data'!$A$3:$CO$999,92,FALSE),"unknown")</f>
        <v>Not Hispanic or Latino</v>
      </c>
      <c r="V93" s="120" t="str">
        <f>IFERROR(VLOOKUP(Table1[RespondentID],'All Data'!$A$3:$CO$999,93,FALSE),"unknown")</f>
        <v>Spanish</v>
      </c>
      <c r="W93" s="120" t="str">
        <f>IFERROR(VLOOKUP(Table1[RespondentID],'All Data'!$A$3:$CW$999,94,FALSE),"unknown")</f>
        <v>$20,000 to $34,999</v>
      </c>
      <c r="X93" s="120" t="str">
        <f>IFERROR(VLOOKUP(Table1[RespondentID],'All Data'!$A$3:$CW$999,95,FALSE),"unknown")</f>
        <v>Some college</v>
      </c>
      <c r="Y93" s="120" t="str">
        <f>IFERROR(VLOOKUP(Table1[RespondentID],'All Data'!$A$3:$CW$999,96,FALSE),"unknown")</f>
        <v>Employed for wages</v>
      </c>
      <c r="Z93" s="120" t="str">
        <f>IFERROR(VLOOKUP(Table1[RespondentID],'All Data'!$A$3:$CW$999,97,FALSE),"unknown")</f>
        <v>Yes</v>
      </c>
      <c r="AA93" s="120">
        <f>IFERROR(VLOOKUP(Table1[RespondentID],'All Data'!$A$3:$CW$999,98,FALSE),"unknown")</f>
        <v>0</v>
      </c>
      <c r="AB93" s="150">
        <f>IFERROR(VLOOKUP(Table1[RespondentID],'All Data'!$A$3:$CW$999,99,FALSE),"unknown")</f>
        <v>0</v>
      </c>
    </row>
    <row r="94" spans="1:28">
      <c r="A94" s="5">
        <v>18023287265</v>
      </c>
      <c r="B94" s="5" t="s">
        <v>64</v>
      </c>
      <c r="C94" s="5"/>
      <c r="D94" s="5"/>
      <c r="E94" s="5"/>
      <c r="F94" s="5"/>
      <c r="G94" s="5"/>
      <c r="H94" s="5"/>
      <c r="I94" s="5"/>
      <c r="J94" s="5"/>
      <c r="K94" s="5" t="s">
        <v>73</v>
      </c>
      <c r="L94" s="5"/>
      <c r="M94" s="5"/>
      <c r="N94" s="5"/>
      <c r="O94" s="145"/>
      <c r="P94" s="120" t="str">
        <f>IFERROR(VLOOKUP(Table1[RespondentID],'All Data'!$A$3:$CO$999,87,FALSE),"unknown")</f>
        <v>Woman</v>
      </c>
      <c r="Q94" s="120">
        <f>IFERROR(VLOOKUP(Table1[RespondentID],'All Data'!$A$3:$CO$999,88,FALSE),"unknown")</f>
        <v>33</v>
      </c>
      <c r="R94" s="120" t="str">
        <f>IFERROR(VLOOKUP(Table1[RespondentID],'All Data'!$A$3:$CO$999,89,FALSE),"unknown")</f>
        <v>Suffolk</v>
      </c>
      <c r="S94" s="120" t="str">
        <f>IFERROR(VLOOKUP(Table1[RespondentID],'All Data'!$A$3:$CO$999,90,FALSE),"unknown")</f>
        <v>North Babylon, 11703</v>
      </c>
      <c r="T94" s="120" t="str">
        <f>IFERROR(VLOOKUP(Table1[RespondentID],'All Data'!$A$3:$CO$999,91,FALSE),"unknown")</f>
        <v>White</v>
      </c>
      <c r="U94" s="120" t="str">
        <f>IFERROR(VLOOKUP(Table1[RespondentID],'All Data'!$A$3:$CO$999,92,FALSE),"unknown")</f>
        <v>Not Hispanic or Latino</v>
      </c>
      <c r="V94" s="120" t="str">
        <f>IFERROR(VLOOKUP(Table1[RespondentID],'All Data'!$A$3:$CO$999,93,FALSE),"unknown")</f>
        <v>English</v>
      </c>
      <c r="W94" s="120" t="str">
        <f>IFERROR(VLOOKUP(Table1[RespondentID],'All Data'!$A$3:$CW$999,94,FALSE),"unknown")</f>
        <v>Over $125,000</v>
      </c>
      <c r="X94" s="120" t="str">
        <f>IFERROR(VLOOKUP(Table1[RespondentID],'All Data'!$A$3:$CW$999,95,FALSE),"unknown")</f>
        <v>College graduate</v>
      </c>
      <c r="Y94" s="120" t="str">
        <f>IFERROR(VLOOKUP(Table1[RespondentID],'All Data'!$A$3:$CW$999,96,FALSE),"unknown")</f>
        <v>Employed for wages</v>
      </c>
      <c r="Z94" s="120" t="str">
        <f>IFERROR(VLOOKUP(Table1[RespondentID],'All Data'!$A$3:$CW$999,97,FALSE),"unknown")</f>
        <v>Yes</v>
      </c>
      <c r="AA94" s="120">
        <f>IFERROR(VLOOKUP(Table1[RespondentID],'All Data'!$A$3:$CW$999,98,FALSE),"unknown")</f>
        <v>0</v>
      </c>
      <c r="AB94" s="150">
        <f>IFERROR(VLOOKUP(Table1[RespondentID],'All Data'!$A$3:$CW$999,99,FALSE),"unknown")</f>
        <v>0</v>
      </c>
    </row>
    <row r="95" spans="1:28">
      <c r="A95" s="5">
        <v>18023287153</v>
      </c>
      <c r="B95" s="5" t="s">
        <v>64</v>
      </c>
      <c r="C95" s="5"/>
      <c r="D95" s="5"/>
      <c r="E95" s="5"/>
      <c r="F95" s="5"/>
      <c r="G95" s="5"/>
      <c r="H95" s="5"/>
      <c r="I95" s="5"/>
      <c r="J95" s="5"/>
      <c r="K95" s="5" t="s">
        <v>73</v>
      </c>
      <c r="L95" s="5"/>
      <c r="M95" s="5"/>
      <c r="N95" s="5"/>
      <c r="O95" s="145"/>
      <c r="P95" s="120" t="str">
        <f>IFERROR(VLOOKUP(Table1[RespondentID],'All Data'!$A$3:$CO$999,87,FALSE),"unknown")</f>
        <v>Woman</v>
      </c>
      <c r="Q95" s="120">
        <f>IFERROR(VLOOKUP(Table1[RespondentID],'All Data'!$A$3:$CO$999,88,FALSE),"unknown")</f>
        <v>60</v>
      </c>
      <c r="R95" s="120" t="str">
        <f>IFERROR(VLOOKUP(Table1[RespondentID],'All Data'!$A$3:$CO$999,89,FALSE),"unknown")</f>
        <v>Suffolk</v>
      </c>
      <c r="S95" s="120" t="str">
        <f>IFERROR(VLOOKUP(Table1[RespondentID],'All Data'!$A$3:$CO$999,90,FALSE),"unknown")</f>
        <v>Smithtown, 11787</v>
      </c>
      <c r="T95" s="120" t="str">
        <f>IFERROR(VLOOKUP(Table1[RespondentID],'All Data'!$A$3:$CO$999,91,FALSE),"unknown")</f>
        <v>White</v>
      </c>
      <c r="U95" s="120" t="str">
        <f>IFERROR(VLOOKUP(Table1[RespondentID],'All Data'!$A$3:$CO$999,92,FALSE),"unknown")</f>
        <v>Hispanic or Latino</v>
      </c>
      <c r="V95" s="120" t="str">
        <f>IFERROR(VLOOKUP(Table1[RespondentID],'All Data'!$A$3:$CO$999,93,FALSE),"unknown")</f>
        <v>English</v>
      </c>
      <c r="W95" s="120" t="str">
        <f>IFERROR(VLOOKUP(Table1[RespondentID],'All Data'!$A$3:$CW$999,94,FALSE),"unknown")</f>
        <v>$75,000 to $125,000</v>
      </c>
      <c r="X95" s="120" t="str">
        <f>IFERROR(VLOOKUP(Table1[RespondentID],'All Data'!$A$3:$CW$999,95,FALSE),"unknown")</f>
        <v>College graduate</v>
      </c>
      <c r="Y95" s="120" t="str">
        <f>IFERROR(VLOOKUP(Table1[RespondentID],'All Data'!$A$3:$CW$999,96,FALSE),"unknown")</f>
        <v>Employed for wages</v>
      </c>
      <c r="Z95" s="120" t="str">
        <f>IFERROR(VLOOKUP(Table1[RespondentID],'All Data'!$A$3:$CW$999,97,FALSE),"unknown")</f>
        <v>Yes</v>
      </c>
      <c r="AA95" s="120">
        <f>IFERROR(VLOOKUP(Table1[RespondentID],'All Data'!$A$3:$CW$999,98,FALSE),"unknown")</f>
        <v>0</v>
      </c>
      <c r="AB95" s="150">
        <f>IFERROR(VLOOKUP(Table1[RespondentID],'All Data'!$A$3:$CW$999,99,FALSE),"unknown")</f>
        <v>0</v>
      </c>
    </row>
    <row r="96" spans="1:28">
      <c r="A96" s="5">
        <v>18023287064</v>
      </c>
      <c r="B96" s="5" t="s">
        <v>64</v>
      </c>
      <c r="C96" s="5"/>
      <c r="D96" s="5"/>
      <c r="E96" s="5"/>
      <c r="F96" s="5"/>
      <c r="G96" s="5"/>
      <c r="H96" s="5"/>
      <c r="I96" s="5"/>
      <c r="J96" s="5" t="s">
        <v>72</v>
      </c>
      <c r="K96" s="5"/>
      <c r="L96" s="5"/>
      <c r="M96" s="5" t="s">
        <v>75</v>
      </c>
      <c r="N96" s="5"/>
      <c r="O96" s="145"/>
      <c r="P96" s="120" t="str">
        <f>IFERROR(VLOOKUP(Table1[RespondentID],'All Data'!$A$3:$CO$999,87,FALSE),"unknown")</f>
        <v>Man</v>
      </c>
      <c r="Q96" s="120">
        <f>IFERROR(VLOOKUP(Table1[RespondentID],'All Data'!$A$3:$CO$999,88,FALSE),"unknown")</f>
        <v>60</v>
      </c>
      <c r="R96" s="120" t="str">
        <f>IFERROR(VLOOKUP(Table1[RespondentID],'All Data'!$A$3:$CO$999,89,FALSE),"unknown")</f>
        <v>Suffolk</v>
      </c>
      <c r="S96" s="120" t="str">
        <f>IFERROR(VLOOKUP(Table1[RespondentID],'All Data'!$A$3:$CO$999,90,FALSE),"unknown")</f>
        <v>Holtsville, 11742</v>
      </c>
      <c r="T96" s="120" t="str">
        <f>IFERROR(VLOOKUP(Table1[RespondentID],'All Data'!$A$3:$CO$999,91,FALSE),"unknown")</f>
        <v>White</v>
      </c>
      <c r="U96" s="120" t="str">
        <f>IFERROR(VLOOKUP(Table1[RespondentID],'All Data'!$A$3:$CO$999,92,FALSE),"unknown")</f>
        <v>Hispanic or Latino</v>
      </c>
      <c r="V96" s="120" t="str">
        <f>IFERROR(VLOOKUP(Table1[RespondentID],'All Data'!$A$3:$CO$999,93,FALSE),"unknown")</f>
        <v>English</v>
      </c>
      <c r="W96" s="120" t="str">
        <f>IFERROR(VLOOKUP(Table1[RespondentID],'All Data'!$A$3:$CW$999,94,FALSE),"unknown")</f>
        <v>$75,000 to $125,000</v>
      </c>
      <c r="X96" s="120" t="str">
        <f>IFERROR(VLOOKUP(Table1[RespondentID],'All Data'!$A$3:$CW$999,95,FALSE),"unknown")</f>
        <v>Technical school</v>
      </c>
      <c r="Y96" s="120" t="str">
        <f>IFERROR(VLOOKUP(Table1[RespondentID],'All Data'!$A$3:$CW$999,96,FALSE),"unknown")</f>
        <v>Employed for wages</v>
      </c>
      <c r="Z96" s="120" t="str">
        <f>IFERROR(VLOOKUP(Table1[RespondentID],'All Data'!$A$3:$CW$999,97,FALSE),"unknown")</f>
        <v>Yes</v>
      </c>
      <c r="AA96" s="120">
        <f>IFERROR(VLOOKUP(Table1[RespondentID],'All Data'!$A$3:$CW$999,98,FALSE),"unknown")</f>
        <v>0</v>
      </c>
      <c r="AB96" s="150">
        <f>IFERROR(VLOOKUP(Table1[RespondentID],'All Data'!$A$3:$CW$999,99,FALSE),"unknown")</f>
        <v>0</v>
      </c>
    </row>
    <row r="97" spans="1:28">
      <c r="A97" s="5">
        <v>18023286963</v>
      </c>
      <c r="B97" s="5" t="s">
        <v>64</v>
      </c>
      <c r="C97" s="5"/>
      <c r="D97" s="5"/>
      <c r="E97" s="5"/>
      <c r="F97" s="5"/>
      <c r="G97" s="5"/>
      <c r="H97" s="5"/>
      <c r="I97" s="5"/>
      <c r="J97" s="5"/>
      <c r="K97" s="5"/>
      <c r="L97" s="5"/>
      <c r="M97" s="5"/>
      <c r="N97" s="5"/>
      <c r="O97" s="145"/>
      <c r="P97" s="120" t="str">
        <f>IFERROR(VLOOKUP(Table1[RespondentID],'All Data'!$A$3:$CO$999,87,FALSE),"unknown")</f>
        <v>Man</v>
      </c>
      <c r="Q97" s="120">
        <f>IFERROR(VLOOKUP(Table1[RespondentID],'All Data'!$A$3:$CO$999,88,FALSE),"unknown")</f>
        <v>50</v>
      </c>
      <c r="R97" s="120" t="str">
        <f>IFERROR(VLOOKUP(Table1[RespondentID],'All Data'!$A$3:$CO$999,89,FALSE),"unknown")</f>
        <v>Suffolk</v>
      </c>
      <c r="S97" s="120" t="str">
        <f>IFERROR(VLOOKUP(Table1[RespondentID],'All Data'!$A$3:$CO$999,90,FALSE),"unknown")</f>
        <v>Smithtown, 11787</v>
      </c>
      <c r="T97" s="120" t="str">
        <f>IFERROR(VLOOKUP(Table1[RespondentID],'All Data'!$A$3:$CO$999,91,FALSE),"unknown")</f>
        <v>White</v>
      </c>
      <c r="U97" s="120" t="str">
        <f>IFERROR(VLOOKUP(Table1[RespondentID],'All Data'!$A$3:$CO$999,92,FALSE),"unknown")</f>
        <v>Hispanic or Latino</v>
      </c>
      <c r="V97" s="120" t="str">
        <f>IFERROR(VLOOKUP(Table1[RespondentID],'All Data'!$A$3:$CO$999,93,FALSE),"unknown")</f>
        <v>English</v>
      </c>
      <c r="W97" s="120" t="str">
        <f>IFERROR(VLOOKUP(Table1[RespondentID],'All Data'!$A$3:$CW$999,94,FALSE),"unknown")</f>
        <v>Over $125,000</v>
      </c>
      <c r="X97" s="120" t="str">
        <f>IFERROR(VLOOKUP(Table1[RespondentID],'All Data'!$A$3:$CW$999,95,FALSE),"unknown")</f>
        <v>Some college</v>
      </c>
      <c r="Y97" s="120" t="str">
        <f>IFERROR(VLOOKUP(Table1[RespondentID],'All Data'!$A$3:$CW$999,96,FALSE),"unknown")</f>
        <v>Employed for wages</v>
      </c>
      <c r="Z97" s="120" t="str">
        <f>IFERROR(VLOOKUP(Table1[RespondentID],'All Data'!$A$3:$CW$999,97,FALSE),"unknown")</f>
        <v>Yes</v>
      </c>
      <c r="AA97" s="120">
        <f>IFERROR(VLOOKUP(Table1[RespondentID],'All Data'!$A$3:$CW$999,98,FALSE),"unknown")</f>
        <v>0</v>
      </c>
      <c r="AB97" s="150">
        <f>IFERROR(VLOOKUP(Table1[RespondentID],'All Data'!$A$3:$CW$999,99,FALSE),"unknown")</f>
        <v>0</v>
      </c>
    </row>
    <row r="98" spans="1:28">
      <c r="A98" s="5">
        <v>18023286873</v>
      </c>
      <c r="B98" s="5" t="s">
        <v>64</v>
      </c>
      <c r="C98" s="5"/>
      <c r="D98" s="5"/>
      <c r="E98" s="5"/>
      <c r="F98" s="5"/>
      <c r="G98" s="5"/>
      <c r="H98" s="5"/>
      <c r="I98" s="5"/>
      <c r="J98" s="5"/>
      <c r="K98" s="5"/>
      <c r="L98" s="5"/>
      <c r="M98" s="5" t="s">
        <v>75</v>
      </c>
      <c r="N98" s="5"/>
      <c r="O98" s="145"/>
      <c r="P98" s="120" t="str">
        <f>IFERROR(VLOOKUP(Table1[RespondentID],'All Data'!$A$3:$CO$999,87,FALSE),"unknown")</f>
        <v>Man</v>
      </c>
      <c r="Q98" s="120">
        <f>IFERROR(VLOOKUP(Table1[RespondentID],'All Data'!$A$3:$CO$999,88,FALSE),"unknown")</f>
        <v>34</v>
      </c>
      <c r="R98" s="120" t="str">
        <f>IFERROR(VLOOKUP(Table1[RespondentID],'All Data'!$A$3:$CO$999,89,FALSE),"unknown")</f>
        <v>Suffolk</v>
      </c>
      <c r="S98" s="120" t="str">
        <f>IFERROR(VLOOKUP(Table1[RespondentID],'All Data'!$A$3:$CO$999,90,FALSE),"unknown")</f>
        <v>Rocky Point, 11778</v>
      </c>
      <c r="T98" s="120" t="str">
        <f>IFERROR(VLOOKUP(Table1[RespondentID],'All Data'!$A$3:$CO$999,91,FALSE),"unknown")</f>
        <v>White</v>
      </c>
      <c r="U98" s="120" t="str">
        <f>IFERROR(VLOOKUP(Table1[RespondentID],'All Data'!$A$3:$CO$999,92,FALSE),"unknown")</f>
        <v>Hispanic or Latino</v>
      </c>
      <c r="V98" s="120" t="str">
        <f>IFERROR(VLOOKUP(Table1[RespondentID],'All Data'!$A$3:$CO$999,93,FALSE),"unknown")</f>
        <v>English</v>
      </c>
      <c r="W98" s="120" t="str">
        <f>IFERROR(VLOOKUP(Table1[RespondentID],'All Data'!$A$3:$CW$999,94,FALSE),"unknown")</f>
        <v>$50,000 to $74,999</v>
      </c>
      <c r="X98" s="120" t="str">
        <f>IFERROR(VLOOKUP(Table1[RespondentID],'All Data'!$A$3:$CW$999,95,FALSE),"unknown")</f>
        <v>College graduate</v>
      </c>
      <c r="Y98" s="120" t="str">
        <f>IFERROR(VLOOKUP(Table1[RespondentID],'All Data'!$A$3:$CW$999,96,FALSE),"unknown")</f>
        <v>Employed for wages</v>
      </c>
      <c r="Z98" s="120" t="str">
        <f>IFERROR(VLOOKUP(Table1[RespondentID],'All Data'!$A$3:$CW$999,97,FALSE),"unknown")</f>
        <v>Yes</v>
      </c>
      <c r="AA98" s="120">
        <f>IFERROR(VLOOKUP(Table1[RespondentID],'All Data'!$A$3:$CW$999,98,FALSE),"unknown")</f>
        <v>0</v>
      </c>
      <c r="AB98" s="150">
        <f>IFERROR(VLOOKUP(Table1[RespondentID],'All Data'!$A$3:$CW$999,99,FALSE),"unknown")</f>
        <v>0</v>
      </c>
    </row>
    <row r="99" spans="1:28">
      <c r="A99" s="5">
        <v>18023000376</v>
      </c>
      <c r="B99" s="5" t="s">
        <v>64</v>
      </c>
      <c r="C99" s="5"/>
      <c r="D99" s="5" t="s">
        <v>66</v>
      </c>
      <c r="E99" s="5"/>
      <c r="F99" s="5"/>
      <c r="G99" s="5"/>
      <c r="H99" s="5"/>
      <c r="I99" s="5"/>
      <c r="J99" s="5"/>
      <c r="K99" s="5"/>
      <c r="L99" s="5"/>
      <c r="M99" s="5" t="s">
        <v>75</v>
      </c>
      <c r="N99" s="5"/>
      <c r="O99" s="145"/>
      <c r="P99" s="120" t="str">
        <f>IFERROR(VLOOKUP(Table1[RespondentID],'All Data'!$A$3:$CO$999,87,FALSE),"unknown")</f>
        <v>Man</v>
      </c>
      <c r="Q99" s="120">
        <f>IFERROR(VLOOKUP(Table1[RespondentID],'All Data'!$A$3:$CO$999,88,FALSE),"unknown")</f>
        <v>30</v>
      </c>
      <c r="R99" s="120" t="str">
        <f>IFERROR(VLOOKUP(Table1[RespondentID],'All Data'!$A$3:$CO$999,89,FALSE),"unknown")</f>
        <v>Suffolk</v>
      </c>
      <c r="S99" s="120" t="str">
        <f>IFERROR(VLOOKUP(Table1[RespondentID],'All Data'!$A$3:$CO$999,90,FALSE),"unknown")</f>
        <v>Miller Place, 11764</v>
      </c>
      <c r="T99" s="120" t="str">
        <f>IFERROR(VLOOKUP(Table1[RespondentID],'All Data'!$A$3:$CO$999,91,FALSE),"unknown")</f>
        <v>White</v>
      </c>
      <c r="U99" s="120" t="str">
        <f>IFERROR(VLOOKUP(Table1[RespondentID],'All Data'!$A$3:$CO$999,92,FALSE),"unknown")</f>
        <v>Hispanic or Latino</v>
      </c>
      <c r="V99" s="120" t="str">
        <f>IFERROR(VLOOKUP(Table1[RespondentID],'All Data'!$A$3:$CO$999,93,FALSE),"unknown")</f>
        <v>English</v>
      </c>
      <c r="W99" s="120" t="str">
        <f>IFERROR(VLOOKUP(Table1[RespondentID],'All Data'!$A$3:$CW$999,94,FALSE),"unknown")</f>
        <v>$75,000 to $125,000</v>
      </c>
      <c r="X99" s="120" t="str">
        <f>IFERROR(VLOOKUP(Table1[RespondentID],'All Data'!$A$3:$CW$999,95,FALSE),"unknown")</f>
        <v>College graduate</v>
      </c>
      <c r="Y99" s="120" t="str">
        <f>IFERROR(VLOOKUP(Table1[RespondentID],'All Data'!$A$3:$CW$999,96,FALSE),"unknown")</f>
        <v>Employed for wages</v>
      </c>
      <c r="Z99" s="120" t="str">
        <f>IFERROR(VLOOKUP(Table1[RespondentID],'All Data'!$A$3:$CW$999,97,FALSE),"unknown")</f>
        <v>Yes</v>
      </c>
      <c r="AA99" s="120" t="str">
        <f>IFERROR(VLOOKUP(Table1[RespondentID],'All Data'!$A$3:$CW$999,98,FALSE),"unknown")</f>
        <v>Private/Commercial</v>
      </c>
      <c r="AB99" s="150" t="str">
        <f>IFERROR(VLOOKUP(Table1[RespondentID],'All Data'!$A$3:$CW$999,99,FALSE),"unknown")</f>
        <v>Yes</v>
      </c>
    </row>
    <row r="100" spans="1:28">
      <c r="A100" s="5">
        <v>18022999885</v>
      </c>
      <c r="B100" s="5"/>
      <c r="C100" s="5"/>
      <c r="D100" s="5"/>
      <c r="E100" s="5"/>
      <c r="F100" s="5"/>
      <c r="G100" s="5" t="s">
        <v>69</v>
      </c>
      <c r="H100" s="5"/>
      <c r="I100" s="5"/>
      <c r="J100" s="5"/>
      <c r="K100" s="5"/>
      <c r="L100" s="5"/>
      <c r="M100" s="5"/>
      <c r="N100" s="5"/>
      <c r="O100" s="145"/>
      <c r="P100" s="120" t="str">
        <f>IFERROR(VLOOKUP(Table1[RespondentID],'All Data'!$A$3:$CO$999,87,FALSE),"unknown")</f>
        <v>Man</v>
      </c>
      <c r="Q100" s="120">
        <f>IFERROR(VLOOKUP(Table1[RespondentID],'All Data'!$A$3:$CO$999,88,FALSE),"unknown")</f>
        <v>24</v>
      </c>
      <c r="R100" s="120" t="str">
        <f>IFERROR(VLOOKUP(Table1[RespondentID],'All Data'!$A$3:$CO$999,89,FALSE),"unknown")</f>
        <v>Suffolk</v>
      </c>
      <c r="S100" s="120" t="str">
        <f>IFERROR(VLOOKUP(Table1[RespondentID],'All Data'!$A$3:$CO$999,90,FALSE),"unknown")</f>
        <v>Coram, 11727</v>
      </c>
      <c r="T100" s="120" t="str">
        <f>IFERROR(VLOOKUP(Table1[RespondentID],'All Data'!$A$3:$CO$999,91,FALSE),"unknown")</f>
        <v>White</v>
      </c>
      <c r="U100" s="120" t="str">
        <f>IFERROR(VLOOKUP(Table1[RespondentID],'All Data'!$A$3:$CO$999,92,FALSE),"unknown")</f>
        <v>Hispanic or Latino</v>
      </c>
      <c r="V100" s="120" t="str">
        <f>IFERROR(VLOOKUP(Table1[RespondentID],'All Data'!$A$3:$CO$999,93,FALSE),"unknown")</f>
        <v>English</v>
      </c>
      <c r="W100" s="120" t="str">
        <f>IFERROR(VLOOKUP(Table1[RespondentID],'All Data'!$A$3:$CW$999,94,FALSE),"unknown")</f>
        <v>$75,000 to $125,000</v>
      </c>
      <c r="X100" s="120" t="str">
        <f>IFERROR(VLOOKUP(Table1[RespondentID],'All Data'!$A$3:$CW$999,95,FALSE),"unknown")</f>
        <v>College graduate</v>
      </c>
      <c r="Y100" s="120" t="str">
        <f>IFERROR(VLOOKUP(Table1[RespondentID],'All Data'!$A$3:$CW$999,96,FALSE),"unknown")</f>
        <v>Employed for wages</v>
      </c>
      <c r="Z100" s="120" t="str">
        <f>IFERROR(VLOOKUP(Table1[RespondentID],'All Data'!$A$3:$CW$999,97,FALSE),"unknown")</f>
        <v>Yes</v>
      </c>
      <c r="AA100" s="120" t="str">
        <f>IFERROR(VLOOKUP(Table1[RespondentID],'All Data'!$A$3:$CW$999,98,FALSE),"unknown")</f>
        <v>Private/Commercial</v>
      </c>
      <c r="AB100" s="150" t="str">
        <f>IFERROR(VLOOKUP(Table1[RespondentID],'All Data'!$A$3:$CW$999,99,FALSE),"unknown")</f>
        <v>Yes</v>
      </c>
    </row>
    <row r="101" spans="1:28">
      <c r="A101" s="5">
        <v>18022879421</v>
      </c>
      <c r="B101" s="5" t="s">
        <v>64</v>
      </c>
      <c r="C101" s="5"/>
      <c r="D101" s="5"/>
      <c r="E101" s="5"/>
      <c r="F101" s="5"/>
      <c r="G101" s="5"/>
      <c r="H101" s="5"/>
      <c r="I101" s="5"/>
      <c r="J101" s="5"/>
      <c r="K101" s="5"/>
      <c r="L101" s="5"/>
      <c r="M101" s="5" t="s">
        <v>75</v>
      </c>
      <c r="N101" s="5"/>
      <c r="O101" s="145"/>
      <c r="P101" s="120" t="str">
        <f>IFERROR(VLOOKUP(Table1[RespondentID],'All Data'!$A$3:$CO$999,87,FALSE),"unknown")</f>
        <v>Man</v>
      </c>
      <c r="Q101" s="120">
        <f>IFERROR(VLOOKUP(Table1[RespondentID],'All Data'!$A$3:$CO$999,88,FALSE),"unknown")</f>
        <v>52</v>
      </c>
      <c r="R101" s="120" t="str">
        <f>IFERROR(VLOOKUP(Table1[RespondentID],'All Data'!$A$3:$CO$999,89,FALSE),"unknown")</f>
        <v>Suffolk</v>
      </c>
      <c r="S101" s="120" t="str">
        <f>IFERROR(VLOOKUP(Table1[RespondentID],'All Data'!$A$3:$CO$999,90,FALSE),"unknown")</f>
        <v>Smithtown, 11787</v>
      </c>
      <c r="T101" s="120" t="str">
        <f>IFERROR(VLOOKUP(Table1[RespondentID],'All Data'!$A$3:$CO$999,91,FALSE),"unknown")</f>
        <v>White</v>
      </c>
      <c r="U101" s="120" t="str">
        <f>IFERROR(VLOOKUP(Table1[RespondentID],'All Data'!$A$3:$CO$999,92,FALSE),"unknown")</f>
        <v>Hispanic or Latino</v>
      </c>
      <c r="V101" s="120" t="str">
        <f>IFERROR(VLOOKUP(Table1[RespondentID],'All Data'!$A$3:$CO$999,93,FALSE),"unknown")</f>
        <v>English</v>
      </c>
      <c r="W101" s="120" t="str">
        <f>IFERROR(VLOOKUP(Table1[RespondentID],'All Data'!$A$3:$CW$999,94,FALSE),"unknown")</f>
        <v>Over $125,000</v>
      </c>
      <c r="X101" s="120" t="str">
        <f>IFERROR(VLOOKUP(Table1[RespondentID],'All Data'!$A$3:$CW$999,95,FALSE),"unknown")</f>
        <v>College graduate</v>
      </c>
      <c r="Y101" s="120" t="str">
        <f>IFERROR(VLOOKUP(Table1[RespondentID],'All Data'!$A$3:$CW$999,96,FALSE),"unknown")</f>
        <v>Employed for wages</v>
      </c>
      <c r="Z101" s="120" t="str">
        <f>IFERROR(VLOOKUP(Table1[RespondentID],'All Data'!$A$3:$CW$999,97,FALSE),"unknown")</f>
        <v>Yes</v>
      </c>
      <c r="AA101" s="120">
        <f>IFERROR(VLOOKUP(Table1[RespondentID],'All Data'!$A$3:$CW$999,98,FALSE),"unknown")</f>
        <v>0</v>
      </c>
      <c r="AB101" s="150">
        <f>IFERROR(VLOOKUP(Table1[RespondentID],'All Data'!$A$3:$CW$999,99,FALSE),"unknown")</f>
        <v>0</v>
      </c>
    </row>
    <row r="102" spans="1:28">
      <c r="A102" s="5">
        <v>18022879253</v>
      </c>
      <c r="B102" s="5" t="s">
        <v>64</v>
      </c>
      <c r="C102" s="5"/>
      <c r="D102" s="5"/>
      <c r="E102" s="5" t="s">
        <v>67</v>
      </c>
      <c r="F102" s="5"/>
      <c r="G102" s="5"/>
      <c r="H102" s="5"/>
      <c r="I102" s="5"/>
      <c r="J102" s="5"/>
      <c r="K102" s="5"/>
      <c r="L102" s="5"/>
      <c r="M102" s="5"/>
      <c r="N102" s="5"/>
      <c r="O102" s="145"/>
      <c r="P102" s="120" t="str">
        <f>IFERROR(VLOOKUP(Table1[RespondentID],'All Data'!$A$3:$CO$999,87,FALSE),"unknown")</f>
        <v>Woman</v>
      </c>
      <c r="Q102" s="120">
        <f>IFERROR(VLOOKUP(Table1[RespondentID],'All Data'!$A$3:$CO$999,88,FALSE),"unknown")</f>
        <v>60</v>
      </c>
      <c r="R102" s="120" t="str">
        <f>IFERROR(VLOOKUP(Table1[RespondentID],'All Data'!$A$3:$CO$999,89,FALSE),"unknown")</f>
        <v>Suffolk</v>
      </c>
      <c r="S102" s="120" t="str">
        <f>IFERROR(VLOOKUP(Table1[RespondentID],'All Data'!$A$3:$CO$999,90,FALSE),"unknown")</f>
        <v>Lake Ronkonkoma, 11779</v>
      </c>
      <c r="T102" s="120" t="str">
        <f>IFERROR(VLOOKUP(Table1[RespondentID],'All Data'!$A$3:$CO$999,91,FALSE),"unknown")</f>
        <v>White</v>
      </c>
      <c r="U102" s="120" t="str">
        <f>IFERROR(VLOOKUP(Table1[RespondentID],'All Data'!$A$3:$CO$999,92,FALSE),"unknown")</f>
        <v>Hispanic or Latino</v>
      </c>
      <c r="V102" s="120" t="str">
        <f>IFERROR(VLOOKUP(Table1[RespondentID],'All Data'!$A$3:$CO$999,93,FALSE),"unknown")</f>
        <v>English, Italian</v>
      </c>
      <c r="W102" s="120" t="str">
        <f>IFERROR(VLOOKUP(Table1[RespondentID],'All Data'!$A$3:$CW$999,94,FALSE),"unknown")</f>
        <v>$50,000 to $74,999</v>
      </c>
      <c r="X102" s="120" t="str">
        <f>IFERROR(VLOOKUP(Table1[RespondentID],'All Data'!$A$3:$CW$999,95,FALSE),"unknown")</f>
        <v>Some college</v>
      </c>
      <c r="Y102" s="120" t="str">
        <f>IFERROR(VLOOKUP(Table1[RespondentID],'All Data'!$A$3:$CW$999,96,FALSE),"unknown")</f>
        <v>Employed for wages</v>
      </c>
      <c r="Z102" s="120" t="str">
        <f>IFERROR(VLOOKUP(Table1[RespondentID],'All Data'!$A$3:$CW$999,97,FALSE),"unknown")</f>
        <v>No</v>
      </c>
      <c r="AA102" s="120">
        <f>IFERROR(VLOOKUP(Table1[RespondentID],'All Data'!$A$3:$CW$999,98,FALSE),"unknown")</f>
        <v>0</v>
      </c>
      <c r="AB102" s="150">
        <f>IFERROR(VLOOKUP(Table1[RespondentID],'All Data'!$A$3:$CW$999,99,FALSE),"unknown")</f>
        <v>0</v>
      </c>
    </row>
    <row r="103" spans="1:28">
      <c r="A103" s="5">
        <v>18022879053</v>
      </c>
      <c r="B103" s="5" t="s">
        <v>64</v>
      </c>
      <c r="C103" s="5"/>
      <c r="D103" s="5" t="s">
        <v>66</v>
      </c>
      <c r="E103" s="5" t="s">
        <v>67</v>
      </c>
      <c r="F103" s="5"/>
      <c r="G103" s="5"/>
      <c r="H103" s="5"/>
      <c r="I103" s="5"/>
      <c r="J103" s="5"/>
      <c r="K103" s="5"/>
      <c r="L103" s="5"/>
      <c r="M103" s="5" t="s">
        <v>75</v>
      </c>
      <c r="N103" s="5"/>
      <c r="O103" s="145"/>
      <c r="P103" s="120" t="str">
        <f>IFERROR(VLOOKUP(Table1[RespondentID],'All Data'!$A$3:$CO$999,87,FALSE),"unknown")</f>
        <v>Man</v>
      </c>
      <c r="Q103" s="120">
        <f>IFERROR(VLOOKUP(Table1[RespondentID],'All Data'!$A$3:$CO$999,88,FALSE),"unknown")</f>
        <v>54</v>
      </c>
      <c r="R103" s="120" t="str">
        <f>IFERROR(VLOOKUP(Table1[RespondentID],'All Data'!$A$3:$CO$999,89,FALSE),"unknown")</f>
        <v>Suffolk</v>
      </c>
      <c r="S103" s="120" t="str">
        <f>IFERROR(VLOOKUP(Table1[RespondentID],'All Data'!$A$3:$CO$999,90,FALSE),"unknown")</f>
        <v>Ronkonkoma, 11779</v>
      </c>
      <c r="T103" s="120" t="str">
        <f>IFERROR(VLOOKUP(Table1[RespondentID],'All Data'!$A$3:$CO$999,91,FALSE),"unknown")</f>
        <v>White</v>
      </c>
      <c r="U103" s="120" t="str">
        <f>IFERROR(VLOOKUP(Table1[RespondentID],'All Data'!$A$3:$CO$999,92,FALSE),"unknown")</f>
        <v>Hispanic or Latino</v>
      </c>
      <c r="V103" s="120" t="str">
        <f>IFERROR(VLOOKUP(Table1[RespondentID],'All Data'!$A$3:$CO$999,93,FALSE),"unknown")</f>
        <v>English</v>
      </c>
      <c r="W103" s="120" t="str">
        <f>IFERROR(VLOOKUP(Table1[RespondentID],'All Data'!$A$3:$CW$999,94,FALSE),"unknown")</f>
        <v>$50,000 to $74,999</v>
      </c>
      <c r="X103" s="120" t="str">
        <f>IFERROR(VLOOKUP(Table1[RespondentID],'All Data'!$A$3:$CW$999,95,FALSE),"unknown")</f>
        <v>High school graduate</v>
      </c>
      <c r="Y103" s="120" t="str">
        <f>IFERROR(VLOOKUP(Table1[RespondentID],'All Data'!$A$3:$CW$999,96,FALSE),"unknown")</f>
        <v>Employed for wages</v>
      </c>
      <c r="Z103" s="120" t="str">
        <f>IFERROR(VLOOKUP(Table1[RespondentID],'All Data'!$A$3:$CW$999,97,FALSE),"unknown")</f>
        <v>Yes</v>
      </c>
      <c r="AA103" s="120">
        <f>IFERROR(VLOOKUP(Table1[RespondentID],'All Data'!$A$3:$CW$999,98,FALSE),"unknown")</f>
        <v>0</v>
      </c>
      <c r="AB103" s="150">
        <f>IFERROR(VLOOKUP(Table1[RespondentID],'All Data'!$A$3:$CW$999,99,FALSE),"unknown")</f>
        <v>0</v>
      </c>
    </row>
    <row r="104" spans="1:28">
      <c r="A104" s="5">
        <v>18022878819</v>
      </c>
      <c r="B104" s="5" t="s">
        <v>64</v>
      </c>
      <c r="C104" s="5"/>
      <c r="D104" s="5"/>
      <c r="E104" s="5"/>
      <c r="F104" s="5"/>
      <c r="G104" s="5"/>
      <c r="H104" s="5"/>
      <c r="I104" s="5"/>
      <c r="J104" s="5"/>
      <c r="K104" s="5" t="s">
        <v>73</v>
      </c>
      <c r="L104" s="5"/>
      <c r="M104" s="5" t="s">
        <v>75</v>
      </c>
      <c r="N104" s="5"/>
      <c r="O104" s="145"/>
      <c r="P104" s="120" t="str">
        <f>IFERROR(VLOOKUP(Table1[RespondentID],'All Data'!$A$3:$CO$999,87,FALSE),"unknown")</f>
        <v>Woman</v>
      </c>
      <c r="Q104" s="120">
        <f>IFERROR(VLOOKUP(Table1[RespondentID],'All Data'!$A$3:$CO$999,88,FALSE),"unknown")</f>
        <v>25</v>
      </c>
      <c r="R104" s="120" t="str">
        <f>IFERROR(VLOOKUP(Table1[RespondentID],'All Data'!$A$3:$CO$999,89,FALSE),"unknown")</f>
        <v>Suffolk</v>
      </c>
      <c r="S104" s="120" t="str">
        <f>IFERROR(VLOOKUP(Table1[RespondentID],'All Data'!$A$3:$CO$999,90,FALSE),"unknown")</f>
        <v>Mastic, 11950</v>
      </c>
      <c r="T104" s="120" t="str">
        <f>IFERROR(VLOOKUP(Table1[RespondentID],'All Data'!$A$3:$CO$999,91,FALSE),"unknown")</f>
        <v>White</v>
      </c>
      <c r="U104" s="120" t="str">
        <f>IFERROR(VLOOKUP(Table1[RespondentID],'All Data'!$A$3:$CO$999,92,FALSE),"unknown")</f>
        <v>Hispanic or Latino</v>
      </c>
      <c r="V104" s="120" t="str">
        <f>IFERROR(VLOOKUP(Table1[RespondentID],'All Data'!$A$3:$CO$999,93,FALSE),"unknown")</f>
        <v>English</v>
      </c>
      <c r="W104" s="120" t="str">
        <f>IFERROR(VLOOKUP(Table1[RespondentID],'All Data'!$A$3:$CW$999,94,FALSE),"unknown")</f>
        <v>$75,000 to $125,000</v>
      </c>
      <c r="X104" s="120" t="str">
        <f>IFERROR(VLOOKUP(Table1[RespondentID],'All Data'!$A$3:$CW$999,95,FALSE),"unknown")</f>
        <v>College graduate</v>
      </c>
      <c r="Y104" s="120" t="str">
        <f>IFERROR(VLOOKUP(Table1[RespondentID],'All Data'!$A$3:$CW$999,96,FALSE),"unknown")</f>
        <v>Employed for wages</v>
      </c>
      <c r="Z104" s="120" t="str">
        <f>IFERROR(VLOOKUP(Table1[RespondentID],'All Data'!$A$3:$CW$999,97,FALSE),"unknown")</f>
        <v>Yes</v>
      </c>
      <c r="AA104" s="120">
        <f>IFERROR(VLOOKUP(Table1[RespondentID],'All Data'!$A$3:$CW$999,98,FALSE),"unknown")</f>
        <v>0</v>
      </c>
      <c r="AB104" s="150">
        <f>IFERROR(VLOOKUP(Table1[RespondentID],'All Data'!$A$3:$CW$999,99,FALSE),"unknown")</f>
        <v>0</v>
      </c>
    </row>
    <row r="105" spans="1:28">
      <c r="A105" s="5">
        <v>18022878706</v>
      </c>
      <c r="B105" s="5" t="s">
        <v>64</v>
      </c>
      <c r="C105" s="5"/>
      <c r="D105" s="5"/>
      <c r="E105" s="5"/>
      <c r="F105" s="5"/>
      <c r="G105" s="5"/>
      <c r="H105" s="5"/>
      <c r="I105" s="5"/>
      <c r="J105" s="5"/>
      <c r="K105" s="5"/>
      <c r="L105" s="5"/>
      <c r="M105" s="5"/>
      <c r="N105" s="5"/>
      <c r="O105" s="145"/>
      <c r="P105" s="120" t="str">
        <f>IFERROR(VLOOKUP(Table1[RespondentID],'All Data'!$A$3:$CO$999,87,FALSE),"unknown")</f>
        <v>Man</v>
      </c>
      <c r="Q105" s="120">
        <f>IFERROR(VLOOKUP(Table1[RespondentID],'All Data'!$A$3:$CO$999,88,FALSE),"unknown")</f>
        <v>32</v>
      </c>
      <c r="R105" s="120" t="str">
        <f>IFERROR(VLOOKUP(Table1[RespondentID],'All Data'!$A$3:$CO$999,89,FALSE),"unknown")</f>
        <v>Suffolk</v>
      </c>
      <c r="S105" s="120" t="str">
        <f>IFERROR(VLOOKUP(Table1[RespondentID],'All Data'!$A$3:$CO$999,90,FALSE),"unknown")</f>
        <v>Smithtown, 11787</v>
      </c>
      <c r="T105" s="120" t="str">
        <f>IFERROR(VLOOKUP(Table1[RespondentID],'All Data'!$A$3:$CO$999,91,FALSE),"unknown")</f>
        <v>White</v>
      </c>
      <c r="U105" s="120" t="str">
        <f>IFERROR(VLOOKUP(Table1[RespondentID],'All Data'!$A$3:$CO$999,92,FALSE),"unknown")</f>
        <v>Hispanic or Latino</v>
      </c>
      <c r="V105" s="120" t="str">
        <f>IFERROR(VLOOKUP(Table1[RespondentID],'All Data'!$A$3:$CO$999,93,FALSE),"unknown")</f>
        <v>English</v>
      </c>
      <c r="W105" s="120" t="str">
        <f>IFERROR(VLOOKUP(Table1[RespondentID],'All Data'!$A$3:$CW$999,94,FALSE),"unknown")</f>
        <v>Over $125,000</v>
      </c>
      <c r="X105" s="120" t="str">
        <f>IFERROR(VLOOKUP(Table1[RespondentID],'All Data'!$A$3:$CW$999,95,FALSE),"unknown")</f>
        <v>High school graduate</v>
      </c>
      <c r="Y105" s="120" t="str">
        <f>IFERROR(VLOOKUP(Table1[RespondentID],'All Data'!$A$3:$CW$999,96,FALSE),"unknown")</f>
        <v>Employed for wages</v>
      </c>
      <c r="Z105" s="120">
        <f>IFERROR(VLOOKUP(Table1[RespondentID],'All Data'!$A$3:$CW$999,97,FALSE),"unknown")</f>
        <v>0</v>
      </c>
      <c r="AA105" s="120">
        <f>IFERROR(VLOOKUP(Table1[RespondentID],'All Data'!$A$3:$CW$999,98,FALSE),"unknown")</f>
        <v>0</v>
      </c>
      <c r="AB105" s="150">
        <f>IFERROR(VLOOKUP(Table1[RespondentID],'All Data'!$A$3:$CW$999,99,FALSE),"unknown")</f>
        <v>0</v>
      </c>
    </row>
    <row r="106" spans="1:28">
      <c r="A106" s="5">
        <v>18022878547</v>
      </c>
      <c r="B106" s="5" t="s">
        <v>64</v>
      </c>
      <c r="C106" s="5"/>
      <c r="D106" s="5"/>
      <c r="E106" s="5" t="s">
        <v>67</v>
      </c>
      <c r="F106" s="5"/>
      <c r="G106" s="5"/>
      <c r="H106" s="5" t="s">
        <v>70</v>
      </c>
      <c r="I106" s="5"/>
      <c r="J106" s="5"/>
      <c r="K106" s="5"/>
      <c r="L106" s="5"/>
      <c r="M106" s="5"/>
      <c r="N106" s="5"/>
      <c r="O106" s="145"/>
      <c r="P106" s="120" t="str">
        <f>IFERROR(VLOOKUP(Table1[RespondentID],'All Data'!$A$3:$CO$999,87,FALSE),"unknown")</f>
        <v>Man</v>
      </c>
      <c r="Q106" s="120">
        <f>IFERROR(VLOOKUP(Table1[RespondentID],'All Data'!$A$3:$CO$999,88,FALSE),"unknown")</f>
        <v>50</v>
      </c>
      <c r="R106" s="120" t="str">
        <f>IFERROR(VLOOKUP(Table1[RespondentID],'All Data'!$A$3:$CO$999,89,FALSE),"unknown")</f>
        <v>Suffolk</v>
      </c>
      <c r="S106" s="120" t="str">
        <f>IFERROR(VLOOKUP(Table1[RespondentID],'All Data'!$A$3:$CO$999,90,FALSE),"unknown")</f>
        <v>Shirley, 11967</v>
      </c>
      <c r="T106" s="120" t="str">
        <f>IFERROR(VLOOKUP(Table1[RespondentID],'All Data'!$A$3:$CO$999,91,FALSE),"unknown")</f>
        <v>White</v>
      </c>
      <c r="U106" s="120" t="str">
        <f>IFERROR(VLOOKUP(Table1[RespondentID],'All Data'!$A$3:$CO$999,92,FALSE),"unknown")</f>
        <v>Hispanic or Latino</v>
      </c>
      <c r="V106" s="120" t="str">
        <f>IFERROR(VLOOKUP(Table1[RespondentID],'All Data'!$A$3:$CO$999,93,FALSE),"unknown")</f>
        <v>English</v>
      </c>
      <c r="W106" s="120" t="str">
        <f>IFERROR(VLOOKUP(Table1[RespondentID],'All Data'!$A$3:$CW$999,94,FALSE),"unknown")</f>
        <v>$0-$19,999</v>
      </c>
      <c r="X106" s="120" t="str">
        <f>IFERROR(VLOOKUP(Table1[RespondentID],'All Data'!$A$3:$CW$999,95,FALSE),"unknown")</f>
        <v>High school graduate</v>
      </c>
      <c r="Y106" s="120" t="str">
        <f>IFERROR(VLOOKUP(Table1[RespondentID],'All Data'!$A$3:$CW$999,96,FALSE),"unknown")</f>
        <v>Out of work, but not currently looking</v>
      </c>
      <c r="Z106" s="120" t="str">
        <f>IFERROR(VLOOKUP(Table1[RespondentID],'All Data'!$A$3:$CW$999,97,FALSE),"unknown")</f>
        <v>Yes</v>
      </c>
      <c r="AA106" s="120">
        <f>IFERROR(VLOOKUP(Table1[RespondentID],'All Data'!$A$3:$CW$999,98,FALSE),"unknown")</f>
        <v>0</v>
      </c>
      <c r="AB106" s="150">
        <f>IFERROR(VLOOKUP(Table1[RespondentID],'All Data'!$A$3:$CW$999,99,FALSE),"unknown")</f>
        <v>0</v>
      </c>
    </row>
    <row r="107" spans="1:28">
      <c r="A107" s="5">
        <v>18022878424</v>
      </c>
      <c r="B107" s="5" t="s">
        <v>64</v>
      </c>
      <c r="C107" s="5"/>
      <c r="D107" s="5"/>
      <c r="E107" s="5"/>
      <c r="F107" s="5"/>
      <c r="G107" s="5"/>
      <c r="H107" s="5"/>
      <c r="I107" s="5"/>
      <c r="J107" s="5"/>
      <c r="K107" s="5"/>
      <c r="L107" s="5"/>
      <c r="M107" s="5" t="s">
        <v>75</v>
      </c>
      <c r="N107" s="5"/>
      <c r="O107" s="145"/>
      <c r="P107" s="120" t="str">
        <f>IFERROR(VLOOKUP(Table1[RespondentID],'All Data'!$A$3:$CO$999,87,FALSE),"unknown")</f>
        <v>Man</v>
      </c>
      <c r="Q107" s="120">
        <f>IFERROR(VLOOKUP(Table1[RespondentID],'All Data'!$A$3:$CO$999,88,FALSE),"unknown")</f>
        <v>26</v>
      </c>
      <c r="R107" s="120" t="str">
        <f>IFERROR(VLOOKUP(Table1[RespondentID],'All Data'!$A$3:$CO$999,89,FALSE),"unknown")</f>
        <v>Suffolk</v>
      </c>
      <c r="S107" s="120" t="str">
        <f>IFERROR(VLOOKUP(Table1[RespondentID],'All Data'!$A$3:$CO$999,90,FALSE),"unknown")</f>
        <v>Moriches, 11955</v>
      </c>
      <c r="T107" s="120" t="str">
        <f>IFERROR(VLOOKUP(Table1[RespondentID],'All Data'!$A$3:$CO$999,91,FALSE),"unknown")</f>
        <v>White</v>
      </c>
      <c r="U107" s="120" t="str">
        <f>IFERROR(VLOOKUP(Table1[RespondentID],'All Data'!$A$3:$CO$999,92,FALSE),"unknown")</f>
        <v>Hispanic or Latino</v>
      </c>
      <c r="V107" s="120" t="str">
        <f>IFERROR(VLOOKUP(Table1[RespondentID],'All Data'!$A$3:$CO$999,93,FALSE),"unknown")</f>
        <v>English</v>
      </c>
      <c r="W107" s="120" t="str">
        <f>IFERROR(VLOOKUP(Table1[RespondentID],'All Data'!$A$3:$CW$999,94,FALSE),"unknown")</f>
        <v>Over $125,000</v>
      </c>
      <c r="X107" s="120" t="str">
        <f>IFERROR(VLOOKUP(Table1[RespondentID],'All Data'!$A$3:$CW$999,95,FALSE),"unknown")</f>
        <v>Technical school</v>
      </c>
      <c r="Y107" s="120" t="str">
        <f>IFERROR(VLOOKUP(Table1[RespondentID],'All Data'!$A$3:$CW$999,96,FALSE),"unknown")</f>
        <v>Employed for wages</v>
      </c>
      <c r="Z107" s="120" t="str">
        <f>IFERROR(VLOOKUP(Table1[RespondentID],'All Data'!$A$3:$CW$999,97,FALSE),"unknown")</f>
        <v>Yes</v>
      </c>
      <c r="AA107" s="120">
        <f>IFERROR(VLOOKUP(Table1[RespondentID],'All Data'!$A$3:$CW$999,98,FALSE),"unknown")</f>
        <v>0</v>
      </c>
      <c r="AB107" s="150">
        <f>IFERROR(VLOOKUP(Table1[RespondentID],'All Data'!$A$3:$CW$999,99,FALSE),"unknown")</f>
        <v>0</v>
      </c>
    </row>
    <row r="108" spans="1:28">
      <c r="A108" s="5">
        <v>18022878292</v>
      </c>
      <c r="B108" s="5" t="s">
        <v>64</v>
      </c>
      <c r="C108" s="5"/>
      <c r="D108" s="5"/>
      <c r="E108" s="5"/>
      <c r="F108" s="5"/>
      <c r="G108" s="5"/>
      <c r="H108" s="5"/>
      <c r="I108" s="5"/>
      <c r="J108" s="5"/>
      <c r="K108" s="5"/>
      <c r="L108" s="5"/>
      <c r="M108" s="5" t="s">
        <v>75</v>
      </c>
      <c r="N108" s="5"/>
      <c r="O108" s="145"/>
      <c r="P108" s="120" t="str">
        <f>IFERROR(VLOOKUP(Table1[RespondentID],'All Data'!$A$3:$CO$999,87,FALSE),"unknown")</f>
        <v>Man</v>
      </c>
      <c r="Q108" s="120">
        <f>IFERROR(VLOOKUP(Table1[RespondentID],'All Data'!$A$3:$CO$999,88,FALSE),"unknown")</f>
        <v>47</v>
      </c>
      <c r="R108" s="120" t="str">
        <f>IFERROR(VLOOKUP(Table1[RespondentID],'All Data'!$A$3:$CO$999,89,FALSE),"unknown")</f>
        <v>Suffolk</v>
      </c>
      <c r="S108" s="120" t="str">
        <f>IFERROR(VLOOKUP(Table1[RespondentID],'All Data'!$A$3:$CO$999,90,FALSE),"unknown")</f>
        <v>Smithtown, 11787</v>
      </c>
      <c r="T108" s="120" t="str">
        <f>IFERROR(VLOOKUP(Table1[RespondentID],'All Data'!$A$3:$CO$999,91,FALSE),"unknown")</f>
        <v>White</v>
      </c>
      <c r="U108" s="120" t="str">
        <f>IFERROR(VLOOKUP(Table1[RespondentID],'All Data'!$A$3:$CO$999,92,FALSE),"unknown")</f>
        <v>Hispanic or Latino</v>
      </c>
      <c r="V108" s="120" t="str">
        <f>IFERROR(VLOOKUP(Table1[RespondentID],'All Data'!$A$3:$CO$999,93,FALSE),"unknown")</f>
        <v>English</v>
      </c>
      <c r="W108" s="120" t="str">
        <f>IFERROR(VLOOKUP(Table1[RespondentID],'All Data'!$A$3:$CW$999,94,FALSE),"unknown")</f>
        <v>Over $125,000</v>
      </c>
      <c r="X108" s="120" t="str">
        <f>IFERROR(VLOOKUP(Table1[RespondentID],'All Data'!$A$3:$CW$999,95,FALSE),"unknown")</f>
        <v>Some college</v>
      </c>
      <c r="Y108" s="120" t="str">
        <f>IFERROR(VLOOKUP(Table1[RespondentID],'All Data'!$A$3:$CW$999,96,FALSE),"unknown")</f>
        <v>Employed for wages</v>
      </c>
      <c r="Z108" s="120" t="str">
        <f>IFERROR(VLOOKUP(Table1[RespondentID],'All Data'!$A$3:$CW$999,97,FALSE),"unknown")</f>
        <v>Yes</v>
      </c>
      <c r="AA108" s="120">
        <f>IFERROR(VLOOKUP(Table1[RespondentID],'All Data'!$A$3:$CW$999,98,FALSE),"unknown")</f>
        <v>0</v>
      </c>
      <c r="AB108" s="150">
        <f>IFERROR(VLOOKUP(Table1[RespondentID],'All Data'!$A$3:$CW$999,99,FALSE),"unknown")</f>
        <v>0</v>
      </c>
    </row>
    <row r="109" spans="1:28">
      <c r="A109" s="5">
        <v>18022878149</v>
      </c>
      <c r="B109" s="5" t="s">
        <v>64</v>
      </c>
      <c r="C109" s="5"/>
      <c r="D109" s="5"/>
      <c r="E109" s="5"/>
      <c r="F109" s="5"/>
      <c r="G109" s="5"/>
      <c r="H109" s="5"/>
      <c r="I109" s="5"/>
      <c r="J109" s="5"/>
      <c r="K109" s="5"/>
      <c r="L109" s="5"/>
      <c r="M109" s="5"/>
      <c r="N109" s="5"/>
      <c r="O109" s="145"/>
      <c r="P109" s="120" t="str">
        <f>IFERROR(VLOOKUP(Table1[RespondentID],'All Data'!$A$3:$CO$999,87,FALSE),"unknown")</f>
        <v>Woman</v>
      </c>
      <c r="Q109" s="120">
        <f>IFERROR(VLOOKUP(Table1[RespondentID],'All Data'!$A$3:$CO$999,88,FALSE),"unknown")</f>
        <v>49</v>
      </c>
      <c r="R109" s="120" t="str">
        <f>IFERROR(VLOOKUP(Table1[RespondentID],'All Data'!$A$3:$CO$999,89,FALSE),"unknown")</f>
        <v>Suffolk</v>
      </c>
      <c r="S109" s="120" t="str">
        <f>IFERROR(VLOOKUP(Table1[RespondentID],'All Data'!$A$3:$CO$999,90,FALSE),"unknown")</f>
        <v>Smithtown, 11787</v>
      </c>
      <c r="T109" s="120" t="str">
        <f>IFERROR(VLOOKUP(Table1[RespondentID],'All Data'!$A$3:$CO$999,91,FALSE),"unknown")</f>
        <v>White</v>
      </c>
      <c r="U109" s="120">
        <f>IFERROR(VLOOKUP(Table1[RespondentID],'All Data'!$A$3:$CO$999,92,FALSE),"unknown")</f>
        <v>0</v>
      </c>
      <c r="V109" s="120" t="str">
        <f>IFERROR(VLOOKUP(Table1[RespondentID],'All Data'!$A$3:$CO$999,93,FALSE),"unknown")</f>
        <v>English</v>
      </c>
      <c r="W109" s="120" t="str">
        <f>IFERROR(VLOOKUP(Table1[RespondentID],'All Data'!$A$3:$CW$999,94,FALSE),"unknown")</f>
        <v>Over $125,000</v>
      </c>
      <c r="X109" s="120" t="str">
        <f>IFERROR(VLOOKUP(Table1[RespondentID],'All Data'!$A$3:$CW$999,95,FALSE),"unknown")</f>
        <v>Technical school</v>
      </c>
      <c r="Y109" s="120" t="str">
        <f>IFERROR(VLOOKUP(Table1[RespondentID],'All Data'!$A$3:$CW$999,96,FALSE),"unknown")</f>
        <v>Self-employed</v>
      </c>
      <c r="Z109" s="120" t="str">
        <f>IFERROR(VLOOKUP(Table1[RespondentID],'All Data'!$A$3:$CW$999,97,FALSE),"unknown")</f>
        <v>Yes</v>
      </c>
      <c r="AA109" s="120">
        <f>IFERROR(VLOOKUP(Table1[RespondentID],'All Data'!$A$3:$CW$999,98,FALSE),"unknown")</f>
        <v>0</v>
      </c>
      <c r="AB109" s="150">
        <f>IFERROR(VLOOKUP(Table1[RespondentID],'All Data'!$A$3:$CW$999,99,FALSE),"unknown")</f>
        <v>0</v>
      </c>
    </row>
    <row r="110" spans="1:28">
      <c r="A110" s="5">
        <v>18022878031</v>
      </c>
      <c r="B110" s="5" t="s">
        <v>64</v>
      </c>
      <c r="C110" s="5"/>
      <c r="D110" s="5"/>
      <c r="E110" s="5"/>
      <c r="F110" s="5"/>
      <c r="G110" s="5"/>
      <c r="H110" s="5" t="s">
        <v>70</v>
      </c>
      <c r="I110" s="5"/>
      <c r="J110" s="5"/>
      <c r="K110" s="5" t="s">
        <v>73</v>
      </c>
      <c r="L110" s="5"/>
      <c r="M110" s="5"/>
      <c r="N110" s="5"/>
      <c r="O110" s="145"/>
      <c r="P110" s="120" t="str">
        <f>IFERROR(VLOOKUP(Table1[RespondentID],'All Data'!$A$3:$CO$999,87,FALSE),"unknown")</f>
        <v>Man</v>
      </c>
      <c r="Q110" s="120">
        <f>IFERROR(VLOOKUP(Table1[RespondentID],'All Data'!$A$3:$CO$999,88,FALSE),"unknown")</f>
        <v>23</v>
      </c>
      <c r="R110" s="120" t="str">
        <f>IFERROR(VLOOKUP(Table1[RespondentID],'All Data'!$A$3:$CO$999,89,FALSE),"unknown")</f>
        <v>Suffolk</v>
      </c>
      <c r="S110" s="120" t="str">
        <f>IFERROR(VLOOKUP(Table1[RespondentID],'All Data'!$A$3:$CO$999,90,FALSE),"unknown")</f>
        <v>Selden, 11784</v>
      </c>
      <c r="T110" s="120" t="str">
        <f>IFERROR(VLOOKUP(Table1[RespondentID],'All Data'!$A$3:$CO$999,91,FALSE),"unknown")</f>
        <v>White</v>
      </c>
      <c r="U110" s="120" t="str">
        <f>IFERROR(VLOOKUP(Table1[RespondentID],'All Data'!$A$3:$CO$999,92,FALSE),"unknown")</f>
        <v>Hispanic or Latino</v>
      </c>
      <c r="V110" s="120" t="str">
        <f>IFERROR(VLOOKUP(Table1[RespondentID],'All Data'!$A$3:$CO$999,93,FALSE),"unknown")</f>
        <v>English</v>
      </c>
      <c r="W110" s="120" t="str">
        <f>IFERROR(VLOOKUP(Table1[RespondentID],'All Data'!$A$3:$CW$999,94,FALSE),"unknown")</f>
        <v>$35,000 to $49,999</v>
      </c>
      <c r="X110" s="120" t="str">
        <f>IFERROR(VLOOKUP(Table1[RespondentID],'All Data'!$A$3:$CW$999,95,FALSE),"unknown")</f>
        <v>Some college</v>
      </c>
      <c r="Y110" s="120" t="str">
        <f>IFERROR(VLOOKUP(Table1[RespondentID],'All Data'!$A$3:$CW$999,96,FALSE),"unknown")</f>
        <v>Student</v>
      </c>
      <c r="Z110" s="120" t="str">
        <f>IFERROR(VLOOKUP(Table1[RespondentID],'All Data'!$A$3:$CW$999,97,FALSE),"unknown")</f>
        <v>Yes</v>
      </c>
      <c r="AA110" s="120">
        <f>IFERROR(VLOOKUP(Table1[RespondentID],'All Data'!$A$3:$CW$999,98,FALSE),"unknown")</f>
        <v>0</v>
      </c>
      <c r="AB110" s="150">
        <f>IFERROR(VLOOKUP(Table1[RespondentID],'All Data'!$A$3:$CW$999,99,FALSE),"unknown")</f>
        <v>0</v>
      </c>
    </row>
    <row r="111" spans="1:28">
      <c r="A111" s="5">
        <v>18022877886</v>
      </c>
      <c r="B111" s="5"/>
      <c r="C111" s="5" t="s">
        <v>65</v>
      </c>
      <c r="D111" s="5"/>
      <c r="E111" s="5"/>
      <c r="F111" s="5"/>
      <c r="G111" s="5" t="s">
        <v>69</v>
      </c>
      <c r="H111" s="5"/>
      <c r="I111" s="5"/>
      <c r="J111" s="5"/>
      <c r="K111" s="5" t="s">
        <v>73</v>
      </c>
      <c r="L111" s="5"/>
      <c r="M111" s="5"/>
      <c r="N111" s="5"/>
      <c r="O111" s="145"/>
      <c r="P111" s="120" t="str">
        <f>IFERROR(VLOOKUP(Table1[RespondentID],'All Data'!$A$3:$CO$999,87,FALSE),"unknown")</f>
        <v>Man</v>
      </c>
      <c r="Q111" s="120">
        <f>IFERROR(VLOOKUP(Table1[RespondentID],'All Data'!$A$3:$CO$999,88,FALSE),"unknown")</f>
        <v>18</v>
      </c>
      <c r="R111" s="120" t="str">
        <f>IFERROR(VLOOKUP(Table1[RespondentID],'All Data'!$A$3:$CO$999,89,FALSE),"unknown")</f>
        <v>Suffolk</v>
      </c>
      <c r="S111" s="120" t="str">
        <f>IFERROR(VLOOKUP(Table1[RespondentID],'All Data'!$A$3:$CO$999,90,FALSE),"unknown")</f>
        <v>Centereach, 11720</v>
      </c>
      <c r="T111" s="120" t="str">
        <f>IFERROR(VLOOKUP(Table1[RespondentID],'All Data'!$A$3:$CO$999,91,FALSE),"unknown")</f>
        <v>White</v>
      </c>
      <c r="U111" s="120" t="str">
        <f>IFERROR(VLOOKUP(Table1[RespondentID],'All Data'!$A$3:$CO$999,92,FALSE),"unknown")</f>
        <v>Hispanic or Latino</v>
      </c>
      <c r="V111" s="120" t="str">
        <f>IFERROR(VLOOKUP(Table1[RespondentID],'All Data'!$A$3:$CO$999,93,FALSE),"unknown")</f>
        <v>English</v>
      </c>
      <c r="W111" s="120" t="str">
        <f>IFERROR(VLOOKUP(Table1[RespondentID],'All Data'!$A$3:$CW$999,94,FALSE),"unknown")</f>
        <v>$75,000 to $125,000</v>
      </c>
      <c r="X111" s="120" t="str">
        <f>IFERROR(VLOOKUP(Table1[RespondentID],'All Data'!$A$3:$CW$999,95,FALSE),"unknown")</f>
        <v>College graduate</v>
      </c>
      <c r="Y111" s="120" t="str">
        <f>IFERROR(VLOOKUP(Table1[RespondentID],'All Data'!$A$3:$CW$999,96,FALSE),"unknown")</f>
        <v>Student</v>
      </c>
      <c r="Z111" s="120" t="str">
        <f>IFERROR(VLOOKUP(Table1[RespondentID],'All Data'!$A$3:$CW$999,97,FALSE),"unknown")</f>
        <v>Yes</v>
      </c>
      <c r="AA111" s="120">
        <f>IFERROR(VLOOKUP(Table1[RespondentID],'All Data'!$A$3:$CW$999,98,FALSE),"unknown")</f>
        <v>0</v>
      </c>
      <c r="AB111" s="150">
        <f>IFERROR(VLOOKUP(Table1[RespondentID],'All Data'!$A$3:$CW$999,99,FALSE),"unknown")</f>
        <v>0</v>
      </c>
    </row>
    <row r="112" spans="1:28">
      <c r="A112" s="5">
        <v>18022877779</v>
      </c>
      <c r="B112" s="5"/>
      <c r="C112" s="5" t="s">
        <v>65</v>
      </c>
      <c r="D112" s="5"/>
      <c r="E112" s="5"/>
      <c r="F112" s="5" t="s">
        <v>68</v>
      </c>
      <c r="G112" s="5"/>
      <c r="H112" s="5"/>
      <c r="I112" s="5" t="s">
        <v>71</v>
      </c>
      <c r="J112" s="5"/>
      <c r="K112" s="5"/>
      <c r="L112" s="5"/>
      <c r="M112" s="5"/>
      <c r="N112" s="5"/>
      <c r="O112" s="145"/>
      <c r="P112" s="120">
        <f>IFERROR(VLOOKUP(Table1[RespondentID],'All Data'!$A$3:$CO$999,87,FALSE),"unknown")</f>
        <v>0</v>
      </c>
      <c r="Q112" s="120">
        <f>IFERROR(VLOOKUP(Table1[RespondentID],'All Data'!$A$3:$CO$999,88,FALSE),"unknown")</f>
        <v>21</v>
      </c>
      <c r="R112" s="120" t="str">
        <f>IFERROR(VLOOKUP(Table1[RespondentID],'All Data'!$A$3:$CO$999,89,FALSE),"unknown")</f>
        <v>Suffolk</v>
      </c>
      <c r="S112" s="120" t="str">
        <f>IFERROR(VLOOKUP(Table1[RespondentID],'All Data'!$A$3:$CO$999,90,FALSE),"unknown")</f>
        <v>Saint James, 11780</v>
      </c>
      <c r="T112" s="120" t="str">
        <f>IFERROR(VLOOKUP(Table1[RespondentID],'All Data'!$A$3:$CO$999,91,FALSE),"unknown")</f>
        <v>White</v>
      </c>
      <c r="U112" s="120">
        <f>IFERROR(VLOOKUP(Table1[RespondentID],'All Data'!$A$3:$CO$999,92,FALSE),"unknown")</f>
        <v>0</v>
      </c>
      <c r="V112" s="120" t="str">
        <f>IFERROR(VLOOKUP(Table1[RespondentID],'All Data'!$A$3:$CO$999,93,FALSE),"unknown")</f>
        <v>English</v>
      </c>
      <c r="W112" s="120" t="str">
        <f>IFERROR(VLOOKUP(Table1[RespondentID],'All Data'!$A$3:$CW$999,94,FALSE),"unknown")</f>
        <v>$75,000 to $125,000</v>
      </c>
      <c r="X112" s="120" t="str">
        <f>IFERROR(VLOOKUP(Table1[RespondentID],'All Data'!$A$3:$CW$999,95,FALSE),"unknown")</f>
        <v>Technical school</v>
      </c>
      <c r="Y112" s="120" t="str">
        <f>IFERROR(VLOOKUP(Table1[RespondentID],'All Data'!$A$3:$CW$999,96,FALSE),"unknown")</f>
        <v>Employed for wages</v>
      </c>
      <c r="Z112" s="120" t="str">
        <f>IFERROR(VLOOKUP(Table1[RespondentID],'All Data'!$A$3:$CW$999,97,FALSE),"unknown")</f>
        <v>Yes</v>
      </c>
      <c r="AA112" s="120">
        <f>IFERROR(VLOOKUP(Table1[RespondentID],'All Data'!$A$3:$CW$999,98,FALSE),"unknown")</f>
        <v>0</v>
      </c>
      <c r="AB112" s="150">
        <f>IFERROR(VLOOKUP(Table1[RespondentID],'All Data'!$A$3:$CW$999,99,FALSE),"unknown")</f>
        <v>0</v>
      </c>
    </row>
    <row r="113" spans="1:28">
      <c r="A113" s="5">
        <v>18022877531</v>
      </c>
      <c r="B113" s="5" t="s">
        <v>64</v>
      </c>
      <c r="C113" s="5"/>
      <c r="D113" s="5"/>
      <c r="E113" s="5"/>
      <c r="F113" s="5"/>
      <c r="G113" s="5"/>
      <c r="H113" s="5"/>
      <c r="I113" s="5"/>
      <c r="J113" s="5"/>
      <c r="K113" s="5"/>
      <c r="L113" s="5"/>
      <c r="M113" s="5" t="s">
        <v>75</v>
      </c>
      <c r="N113" s="5"/>
      <c r="O113" s="145"/>
      <c r="P113" s="120" t="str">
        <f>IFERROR(VLOOKUP(Table1[RespondentID],'All Data'!$A$3:$CO$999,87,FALSE),"unknown")</f>
        <v>Man</v>
      </c>
      <c r="Q113" s="120">
        <f>IFERROR(VLOOKUP(Table1[RespondentID],'All Data'!$A$3:$CO$999,88,FALSE),"unknown")</f>
        <v>37</v>
      </c>
      <c r="R113" s="120" t="str">
        <f>IFERROR(VLOOKUP(Table1[RespondentID],'All Data'!$A$3:$CO$999,89,FALSE),"unknown")</f>
        <v>Suffolk</v>
      </c>
      <c r="S113" s="120" t="str">
        <f>IFERROR(VLOOKUP(Table1[RespondentID],'All Data'!$A$3:$CO$999,90,FALSE),"unknown")</f>
        <v>Smithtown, 11787</v>
      </c>
      <c r="T113" s="120" t="str">
        <f>IFERROR(VLOOKUP(Table1[RespondentID],'All Data'!$A$3:$CO$999,91,FALSE),"unknown")</f>
        <v>White</v>
      </c>
      <c r="U113" s="120" t="str">
        <f>IFERROR(VLOOKUP(Table1[RespondentID],'All Data'!$A$3:$CO$999,92,FALSE),"unknown")</f>
        <v>Hispanic or Latino</v>
      </c>
      <c r="V113" s="120" t="str">
        <f>IFERROR(VLOOKUP(Table1[RespondentID],'All Data'!$A$3:$CO$999,93,FALSE),"unknown")</f>
        <v>English</v>
      </c>
      <c r="W113" s="120" t="str">
        <f>IFERROR(VLOOKUP(Table1[RespondentID],'All Data'!$A$3:$CW$999,94,FALSE),"unknown")</f>
        <v>$75,000 to $125,000</v>
      </c>
      <c r="X113" s="120" t="str">
        <f>IFERROR(VLOOKUP(Table1[RespondentID],'All Data'!$A$3:$CW$999,95,FALSE),"unknown")</f>
        <v>High school graduate</v>
      </c>
      <c r="Y113" s="120" t="str">
        <f>IFERROR(VLOOKUP(Table1[RespondentID],'All Data'!$A$3:$CW$999,96,FALSE),"unknown")</f>
        <v>Self-employed</v>
      </c>
      <c r="Z113" s="120" t="str">
        <f>IFERROR(VLOOKUP(Table1[RespondentID],'All Data'!$A$3:$CW$999,97,FALSE),"unknown")</f>
        <v>No</v>
      </c>
      <c r="AA113" s="120">
        <f>IFERROR(VLOOKUP(Table1[RespondentID],'All Data'!$A$3:$CW$999,98,FALSE),"unknown")</f>
        <v>0</v>
      </c>
      <c r="AB113" s="150">
        <f>IFERROR(VLOOKUP(Table1[RespondentID],'All Data'!$A$3:$CW$999,99,FALSE),"unknown")</f>
        <v>0</v>
      </c>
    </row>
    <row r="114" spans="1:28">
      <c r="A114" s="5">
        <v>18022877402</v>
      </c>
      <c r="B114" s="5"/>
      <c r="C114" s="5"/>
      <c r="D114" s="5"/>
      <c r="E114" s="5"/>
      <c r="F114" s="5"/>
      <c r="G114" s="5"/>
      <c r="H114" s="5"/>
      <c r="I114" s="5"/>
      <c r="J114" s="5"/>
      <c r="K114" s="5"/>
      <c r="L114" s="5"/>
      <c r="M114" s="5" t="s">
        <v>75</v>
      </c>
      <c r="N114" s="5"/>
      <c r="O114" s="145"/>
      <c r="P114" s="120" t="str">
        <f>IFERROR(VLOOKUP(Table1[RespondentID],'All Data'!$A$3:$CO$999,87,FALSE),"unknown")</f>
        <v>Man</v>
      </c>
      <c r="Q114" s="120">
        <f>IFERROR(VLOOKUP(Table1[RespondentID],'All Data'!$A$3:$CO$999,88,FALSE),"unknown")</f>
        <v>32</v>
      </c>
      <c r="R114" s="120" t="str">
        <f>IFERROR(VLOOKUP(Table1[RespondentID],'All Data'!$A$3:$CO$999,89,FALSE),"unknown")</f>
        <v>Suffolk</v>
      </c>
      <c r="S114" s="120" t="str">
        <f>IFERROR(VLOOKUP(Table1[RespondentID],'All Data'!$A$3:$CO$999,90,FALSE),"unknown")</f>
        <v>Smithtown, 11787</v>
      </c>
      <c r="T114" s="120" t="str">
        <f>IFERROR(VLOOKUP(Table1[RespondentID],'All Data'!$A$3:$CO$999,91,FALSE),"unknown")</f>
        <v>White</v>
      </c>
      <c r="U114" s="120" t="str">
        <f>IFERROR(VLOOKUP(Table1[RespondentID],'All Data'!$A$3:$CO$999,92,FALSE),"unknown")</f>
        <v>Hispanic or Latino</v>
      </c>
      <c r="V114" s="120" t="str">
        <f>IFERROR(VLOOKUP(Table1[RespondentID],'All Data'!$A$3:$CO$999,93,FALSE),"unknown")</f>
        <v>English</v>
      </c>
      <c r="W114" s="120" t="str">
        <f>IFERROR(VLOOKUP(Table1[RespondentID],'All Data'!$A$3:$CW$999,94,FALSE),"unknown")</f>
        <v>$35,000 to $49,999</v>
      </c>
      <c r="X114" s="120">
        <f>IFERROR(VLOOKUP(Table1[RespondentID],'All Data'!$A$3:$CW$999,95,FALSE),"unknown")</f>
        <v>0</v>
      </c>
      <c r="Y114" s="120" t="str">
        <f>IFERROR(VLOOKUP(Table1[RespondentID],'All Data'!$A$3:$CW$999,96,FALSE),"unknown")</f>
        <v>Employed for wages</v>
      </c>
      <c r="Z114" s="120" t="str">
        <f>IFERROR(VLOOKUP(Table1[RespondentID],'All Data'!$A$3:$CW$999,97,FALSE),"unknown")</f>
        <v>No</v>
      </c>
      <c r="AA114" s="120">
        <f>IFERROR(VLOOKUP(Table1[RespondentID],'All Data'!$A$3:$CW$999,98,FALSE),"unknown")</f>
        <v>0</v>
      </c>
      <c r="AB114" s="150">
        <f>IFERROR(VLOOKUP(Table1[RespondentID],'All Data'!$A$3:$CW$999,99,FALSE),"unknown")</f>
        <v>0</v>
      </c>
    </row>
    <row r="115" spans="1:28">
      <c r="A115" s="5">
        <v>18022877220</v>
      </c>
      <c r="B115" s="5" t="s">
        <v>64</v>
      </c>
      <c r="C115" s="5"/>
      <c r="D115" s="5"/>
      <c r="E115" s="5"/>
      <c r="F115" s="5"/>
      <c r="G115" s="5"/>
      <c r="H115" s="5"/>
      <c r="I115" s="5"/>
      <c r="J115" s="5"/>
      <c r="K115" s="5"/>
      <c r="L115" s="5"/>
      <c r="M115" s="5"/>
      <c r="N115" s="5"/>
      <c r="O115" s="145"/>
      <c r="P115" s="120" t="str">
        <f>IFERROR(VLOOKUP(Table1[RespondentID],'All Data'!$A$3:$CO$999,87,FALSE),"unknown")</f>
        <v>Man</v>
      </c>
      <c r="Q115" s="120">
        <f>IFERROR(VLOOKUP(Table1[RespondentID],'All Data'!$A$3:$CO$999,88,FALSE),"unknown")</f>
        <v>63</v>
      </c>
      <c r="R115" s="120" t="str">
        <f>IFERROR(VLOOKUP(Table1[RespondentID],'All Data'!$A$3:$CO$999,89,FALSE),"unknown")</f>
        <v>Suffolk</v>
      </c>
      <c r="S115" s="120" t="str">
        <f>IFERROR(VLOOKUP(Table1[RespondentID],'All Data'!$A$3:$CO$999,90,FALSE),"unknown")</f>
        <v>Kings Park, 11754</v>
      </c>
      <c r="T115" s="120" t="str">
        <f>IFERROR(VLOOKUP(Table1[RespondentID],'All Data'!$A$3:$CO$999,91,FALSE),"unknown")</f>
        <v>White</v>
      </c>
      <c r="U115" s="120" t="str">
        <f>IFERROR(VLOOKUP(Table1[RespondentID],'All Data'!$A$3:$CO$999,92,FALSE),"unknown")</f>
        <v>Hispanic or Latino</v>
      </c>
      <c r="V115" s="120" t="str">
        <f>IFERROR(VLOOKUP(Table1[RespondentID],'All Data'!$A$3:$CO$999,93,FALSE),"unknown")</f>
        <v>English</v>
      </c>
      <c r="W115" s="120" t="str">
        <f>IFERROR(VLOOKUP(Table1[RespondentID],'All Data'!$A$3:$CW$999,94,FALSE),"unknown")</f>
        <v>Over $125,000</v>
      </c>
      <c r="X115" s="120" t="str">
        <f>IFERROR(VLOOKUP(Table1[RespondentID],'All Data'!$A$3:$CW$999,95,FALSE),"unknown")</f>
        <v>High school graduate</v>
      </c>
      <c r="Y115" s="120" t="str">
        <f>IFERROR(VLOOKUP(Table1[RespondentID],'All Data'!$A$3:$CW$999,96,FALSE),"unknown")</f>
        <v>Retired</v>
      </c>
      <c r="Z115" s="120" t="str">
        <f>IFERROR(VLOOKUP(Table1[RespondentID],'All Data'!$A$3:$CW$999,97,FALSE),"unknown")</f>
        <v>Yes</v>
      </c>
      <c r="AA115" s="120">
        <f>IFERROR(VLOOKUP(Table1[RespondentID],'All Data'!$A$3:$CW$999,98,FALSE),"unknown")</f>
        <v>0</v>
      </c>
      <c r="AB115" s="150">
        <f>IFERROR(VLOOKUP(Table1[RespondentID],'All Data'!$A$3:$CW$999,99,FALSE),"unknown")</f>
        <v>0</v>
      </c>
    </row>
    <row r="116" spans="1:28">
      <c r="A116" s="5">
        <v>18022760139</v>
      </c>
      <c r="B116" s="5" t="s">
        <v>64</v>
      </c>
      <c r="C116" s="5"/>
      <c r="D116" s="5"/>
      <c r="E116" s="5"/>
      <c r="F116" s="5"/>
      <c r="G116" s="5"/>
      <c r="H116" s="5"/>
      <c r="I116" s="5"/>
      <c r="J116" s="5"/>
      <c r="K116" s="5"/>
      <c r="L116" s="5"/>
      <c r="M116" s="5" t="s">
        <v>75</v>
      </c>
      <c r="N116" s="5"/>
      <c r="O116" s="145"/>
      <c r="P116" s="120" t="str">
        <f>IFERROR(VLOOKUP(Table1[RespondentID],'All Data'!$A$3:$CO$999,87,FALSE),"unknown")</f>
        <v>Man</v>
      </c>
      <c r="Q116" s="120">
        <f>IFERROR(VLOOKUP(Table1[RespondentID],'All Data'!$A$3:$CO$999,88,FALSE),"unknown")</f>
        <v>66</v>
      </c>
      <c r="R116" s="120" t="str">
        <f>IFERROR(VLOOKUP(Table1[RespondentID],'All Data'!$A$3:$CO$999,89,FALSE),"unknown")</f>
        <v>Nassau</v>
      </c>
      <c r="S116" s="120" t="str">
        <f>IFERROR(VLOOKUP(Table1[RespondentID],'All Data'!$A$3:$CO$999,90,FALSE),"unknown")</f>
        <v>Merrick, 11566</v>
      </c>
      <c r="T116" s="120" t="str">
        <f>IFERROR(VLOOKUP(Table1[RespondentID],'All Data'!$A$3:$CO$999,91,FALSE),"unknown")</f>
        <v>White</v>
      </c>
      <c r="U116" s="120" t="str">
        <f>IFERROR(VLOOKUP(Table1[RespondentID],'All Data'!$A$3:$CO$999,92,FALSE),"unknown")</f>
        <v>Hispanic or Latino</v>
      </c>
      <c r="V116" s="120" t="str">
        <f>IFERROR(VLOOKUP(Table1[RespondentID],'All Data'!$A$3:$CO$999,93,FALSE),"unknown")</f>
        <v>English</v>
      </c>
      <c r="W116" s="120" t="str">
        <f>IFERROR(VLOOKUP(Table1[RespondentID],'All Data'!$A$3:$CW$999,94,FALSE),"unknown")</f>
        <v>Over $125,000</v>
      </c>
      <c r="X116" s="120" t="str">
        <f>IFERROR(VLOOKUP(Table1[RespondentID],'All Data'!$A$3:$CW$999,95,FALSE),"unknown")</f>
        <v>Graduate school</v>
      </c>
      <c r="Y116" s="120" t="str">
        <f>IFERROR(VLOOKUP(Table1[RespondentID],'All Data'!$A$3:$CW$999,96,FALSE),"unknown")</f>
        <v>Employed for wages</v>
      </c>
      <c r="Z116" s="120" t="str">
        <f>IFERROR(VLOOKUP(Table1[RespondentID],'All Data'!$A$3:$CW$999,97,FALSE),"unknown")</f>
        <v>Yes</v>
      </c>
      <c r="AA116" s="120" t="str">
        <f>IFERROR(VLOOKUP(Table1[RespondentID],'All Data'!$A$3:$CW$999,98,FALSE),"unknown")</f>
        <v>Medicare, Private/Commercial</v>
      </c>
      <c r="AB116" s="150" t="str">
        <f>IFERROR(VLOOKUP(Table1[RespondentID],'All Data'!$A$3:$CW$999,99,FALSE),"unknown")</f>
        <v>Yes</v>
      </c>
    </row>
    <row r="117" spans="1:28">
      <c r="A117" s="5">
        <v>18022520402</v>
      </c>
      <c r="B117" s="5" t="s">
        <v>64</v>
      </c>
      <c r="C117" s="5"/>
      <c r="D117" s="5"/>
      <c r="E117" s="5"/>
      <c r="F117" s="5"/>
      <c r="G117" s="5"/>
      <c r="H117" s="5"/>
      <c r="I117" s="5"/>
      <c r="J117" s="5"/>
      <c r="K117" s="5"/>
      <c r="L117" s="5"/>
      <c r="M117" s="5"/>
      <c r="N117" s="5"/>
      <c r="O117" s="145"/>
      <c r="P117" s="120" t="str">
        <f>IFERROR(VLOOKUP(Table1[RespondentID],'All Data'!$A$3:$CO$999,87,FALSE),"unknown")</f>
        <v>Man</v>
      </c>
      <c r="Q117" s="120">
        <f>IFERROR(VLOOKUP(Table1[RespondentID],'All Data'!$A$3:$CO$999,88,FALSE),"unknown")</f>
        <v>55</v>
      </c>
      <c r="R117" s="120" t="str">
        <f>IFERROR(VLOOKUP(Table1[RespondentID],'All Data'!$A$3:$CO$999,89,FALSE),"unknown")</f>
        <v>Suffolk</v>
      </c>
      <c r="S117" s="120" t="str">
        <f>IFERROR(VLOOKUP(Table1[RespondentID],'All Data'!$A$3:$CO$999,90,FALSE),"unknown")</f>
        <v>East Northport, 11731</v>
      </c>
      <c r="T117" s="120" t="str">
        <f>IFERROR(VLOOKUP(Table1[RespondentID],'All Data'!$A$3:$CO$999,91,FALSE),"unknown")</f>
        <v>White</v>
      </c>
      <c r="U117" s="120" t="str">
        <f>IFERROR(VLOOKUP(Table1[RespondentID],'All Data'!$A$3:$CO$999,92,FALSE),"unknown")</f>
        <v>Hispanic or Latino</v>
      </c>
      <c r="V117" s="120" t="str">
        <f>IFERROR(VLOOKUP(Table1[RespondentID],'All Data'!$A$3:$CO$999,93,FALSE),"unknown")</f>
        <v>English</v>
      </c>
      <c r="W117" s="120" t="str">
        <f>IFERROR(VLOOKUP(Table1[RespondentID],'All Data'!$A$3:$CW$999,94,FALSE),"unknown")</f>
        <v>Over $125,000</v>
      </c>
      <c r="X117" s="120" t="str">
        <f>IFERROR(VLOOKUP(Table1[RespondentID],'All Data'!$A$3:$CW$999,95,FALSE),"unknown")</f>
        <v>College graduate</v>
      </c>
      <c r="Y117" s="120" t="str">
        <f>IFERROR(VLOOKUP(Table1[RespondentID],'All Data'!$A$3:$CW$999,96,FALSE),"unknown")</f>
        <v>Employed for wages</v>
      </c>
      <c r="Z117" s="120" t="str">
        <f>IFERROR(VLOOKUP(Table1[RespondentID],'All Data'!$A$3:$CW$999,97,FALSE),"unknown")</f>
        <v>Yes</v>
      </c>
      <c r="AA117" s="120">
        <f>IFERROR(VLOOKUP(Table1[RespondentID],'All Data'!$A$3:$CW$999,98,FALSE),"unknown")</f>
        <v>0</v>
      </c>
      <c r="AB117" s="150">
        <f>IFERROR(VLOOKUP(Table1[RespondentID],'All Data'!$A$3:$CW$999,99,FALSE),"unknown")</f>
        <v>0</v>
      </c>
    </row>
    <row r="118" spans="1:28">
      <c r="A118" s="5">
        <v>18022520259</v>
      </c>
      <c r="B118" s="5"/>
      <c r="C118" s="5"/>
      <c r="D118" s="5"/>
      <c r="E118" s="5" t="s">
        <v>67</v>
      </c>
      <c r="F118" s="5" t="s">
        <v>68</v>
      </c>
      <c r="G118" s="5"/>
      <c r="H118" s="5"/>
      <c r="I118" s="5"/>
      <c r="J118" s="5"/>
      <c r="K118" s="5"/>
      <c r="L118" s="5"/>
      <c r="M118" s="5"/>
      <c r="N118" s="5"/>
      <c r="O118" s="145"/>
      <c r="P118" s="120" t="str">
        <f>IFERROR(VLOOKUP(Table1[RespondentID],'All Data'!$A$3:$CO$999,87,FALSE),"unknown")</f>
        <v>Transgender</v>
      </c>
      <c r="Q118" s="120">
        <f>IFERROR(VLOOKUP(Table1[RespondentID],'All Data'!$A$3:$CO$999,88,FALSE),"unknown")</f>
        <v>52</v>
      </c>
      <c r="R118" s="120" t="str">
        <f>IFERROR(VLOOKUP(Table1[RespondentID],'All Data'!$A$3:$CO$999,89,FALSE),"unknown")</f>
        <v>Suffolk</v>
      </c>
      <c r="S118" s="120" t="str">
        <f>IFERROR(VLOOKUP(Table1[RespondentID],'All Data'!$A$3:$CO$999,90,FALSE),"unknown")</f>
        <v>Commack, 11725</v>
      </c>
      <c r="T118" s="120" t="str">
        <f>IFERROR(VLOOKUP(Table1[RespondentID],'All Data'!$A$3:$CO$999,91,FALSE),"unknown")</f>
        <v>Asian</v>
      </c>
      <c r="U118" s="120" t="str">
        <f>IFERROR(VLOOKUP(Table1[RespondentID],'All Data'!$A$3:$CO$999,92,FALSE),"unknown")</f>
        <v>Hispanic or Latino</v>
      </c>
      <c r="V118" s="120" t="str">
        <f>IFERROR(VLOOKUP(Table1[RespondentID],'All Data'!$A$3:$CO$999,93,FALSE),"unknown")</f>
        <v>English, Spanish, Farsi, Polish, Korean, Hindi</v>
      </c>
      <c r="W118" s="120" t="str">
        <f>IFERROR(VLOOKUP(Table1[RespondentID],'All Data'!$A$3:$CW$999,94,FALSE),"unknown")</f>
        <v>Over $125,000</v>
      </c>
      <c r="X118" s="120" t="str">
        <f>IFERROR(VLOOKUP(Table1[RespondentID],'All Data'!$A$3:$CW$999,95,FALSE),"unknown")</f>
        <v>Doctorate</v>
      </c>
      <c r="Y118" s="120" t="str">
        <f>IFERROR(VLOOKUP(Table1[RespondentID],'All Data'!$A$3:$CW$999,96,FALSE),"unknown")</f>
        <v>Self-employed</v>
      </c>
      <c r="Z118" s="120" t="str">
        <f>IFERROR(VLOOKUP(Table1[RespondentID],'All Data'!$A$3:$CW$999,97,FALSE),"unknown")</f>
        <v>Yes</v>
      </c>
      <c r="AA118" s="120">
        <f>IFERROR(VLOOKUP(Table1[RespondentID],'All Data'!$A$3:$CW$999,98,FALSE),"unknown")</f>
        <v>0</v>
      </c>
      <c r="AB118" s="150">
        <f>IFERROR(VLOOKUP(Table1[RespondentID],'All Data'!$A$3:$CW$999,99,FALSE),"unknown")</f>
        <v>0</v>
      </c>
    </row>
    <row r="119" spans="1:28">
      <c r="A119" s="5">
        <v>18022520086</v>
      </c>
      <c r="B119" s="5" t="s">
        <v>64</v>
      </c>
      <c r="C119" s="5"/>
      <c r="D119" s="5"/>
      <c r="E119" s="5" t="s">
        <v>67</v>
      </c>
      <c r="F119" s="5"/>
      <c r="G119" s="5"/>
      <c r="H119" s="5" t="s">
        <v>70</v>
      </c>
      <c r="I119" s="5"/>
      <c r="J119" s="5"/>
      <c r="K119" s="5"/>
      <c r="L119" s="5"/>
      <c r="M119" s="5"/>
      <c r="N119" s="5"/>
      <c r="O119" s="145"/>
      <c r="P119" s="120" t="str">
        <f>IFERROR(VLOOKUP(Table1[RespondentID],'All Data'!$A$3:$CO$999,87,FALSE),"unknown")</f>
        <v>Man</v>
      </c>
      <c r="Q119" s="120">
        <f>IFERROR(VLOOKUP(Table1[RespondentID],'All Data'!$A$3:$CO$999,88,FALSE),"unknown")</f>
        <v>29</v>
      </c>
      <c r="R119" s="120" t="str">
        <f>IFERROR(VLOOKUP(Table1[RespondentID],'All Data'!$A$3:$CO$999,89,FALSE),"unknown")</f>
        <v>Suffolk</v>
      </c>
      <c r="S119" s="120" t="str">
        <f>IFERROR(VLOOKUP(Table1[RespondentID],'All Data'!$A$3:$CO$999,90,FALSE),"unknown")</f>
        <v>Commack, 11725</v>
      </c>
      <c r="T119" s="120" t="str">
        <f>IFERROR(VLOOKUP(Table1[RespondentID],'All Data'!$A$3:$CO$999,91,FALSE),"unknown")</f>
        <v>American Indian and Alaska Native</v>
      </c>
      <c r="U119" s="120" t="str">
        <f>IFERROR(VLOOKUP(Table1[RespondentID],'All Data'!$A$3:$CO$999,92,FALSE),"unknown")</f>
        <v>Hispanic or Latino</v>
      </c>
      <c r="V119" s="120" t="str">
        <f>IFERROR(VLOOKUP(Table1[RespondentID],'All Data'!$A$3:$CO$999,93,FALSE),"unknown")</f>
        <v>English, Spanish, Hindi</v>
      </c>
      <c r="W119" s="120" t="str">
        <f>IFERROR(VLOOKUP(Table1[RespondentID],'All Data'!$A$3:$CW$999,94,FALSE),"unknown")</f>
        <v>Over $125,000</v>
      </c>
      <c r="X119" s="120" t="str">
        <f>IFERROR(VLOOKUP(Table1[RespondentID],'All Data'!$A$3:$CW$999,95,FALSE),"unknown")</f>
        <v>Graduate school</v>
      </c>
      <c r="Y119" s="120" t="str">
        <f>IFERROR(VLOOKUP(Table1[RespondentID],'All Data'!$A$3:$CW$999,96,FALSE),"unknown")</f>
        <v>Employed for wages</v>
      </c>
      <c r="Z119" s="120" t="str">
        <f>IFERROR(VLOOKUP(Table1[RespondentID],'All Data'!$A$3:$CW$999,97,FALSE),"unknown")</f>
        <v>Yes</v>
      </c>
      <c r="AA119" s="120">
        <f>IFERROR(VLOOKUP(Table1[RespondentID],'All Data'!$A$3:$CW$999,98,FALSE),"unknown")</f>
        <v>0</v>
      </c>
      <c r="AB119" s="150">
        <f>IFERROR(VLOOKUP(Table1[RespondentID],'All Data'!$A$3:$CW$999,99,FALSE),"unknown")</f>
        <v>0</v>
      </c>
    </row>
    <row r="120" spans="1:28">
      <c r="A120" s="5">
        <v>18022519957</v>
      </c>
      <c r="B120" s="5" t="s">
        <v>64</v>
      </c>
      <c r="C120" s="5"/>
      <c r="D120" s="5"/>
      <c r="E120" s="5" t="s">
        <v>67</v>
      </c>
      <c r="F120" s="5"/>
      <c r="G120" s="5"/>
      <c r="H120" s="5"/>
      <c r="I120" s="5"/>
      <c r="J120" s="5"/>
      <c r="K120" s="5"/>
      <c r="L120" s="5"/>
      <c r="M120" s="5" t="s">
        <v>75</v>
      </c>
      <c r="N120" s="5"/>
      <c r="O120" s="145"/>
      <c r="P120" s="120" t="str">
        <f>IFERROR(VLOOKUP(Table1[RespondentID],'All Data'!$A$3:$CO$999,87,FALSE),"unknown")</f>
        <v>Man</v>
      </c>
      <c r="Q120" s="120">
        <f>IFERROR(VLOOKUP(Table1[RespondentID],'All Data'!$A$3:$CO$999,88,FALSE),"unknown")</f>
        <v>18</v>
      </c>
      <c r="R120" s="120" t="str">
        <f>IFERROR(VLOOKUP(Table1[RespondentID],'All Data'!$A$3:$CO$999,89,FALSE),"unknown")</f>
        <v>Suffolk</v>
      </c>
      <c r="S120" s="120" t="str">
        <f>IFERROR(VLOOKUP(Table1[RespondentID],'All Data'!$A$3:$CO$999,90,FALSE),"unknown")</f>
        <v>Dix Hills, 11746</v>
      </c>
      <c r="T120" s="120" t="str">
        <f>IFERROR(VLOOKUP(Table1[RespondentID],'All Data'!$A$3:$CO$999,91,FALSE),"unknown")</f>
        <v>White</v>
      </c>
      <c r="U120" s="120" t="str">
        <f>IFERROR(VLOOKUP(Table1[RespondentID],'All Data'!$A$3:$CO$999,92,FALSE),"unknown")</f>
        <v>Hispanic or Latino</v>
      </c>
      <c r="V120" s="120" t="str">
        <f>IFERROR(VLOOKUP(Table1[RespondentID],'All Data'!$A$3:$CO$999,93,FALSE),"unknown")</f>
        <v>English</v>
      </c>
      <c r="W120" s="120" t="str">
        <f>IFERROR(VLOOKUP(Table1[RespondentID],'All Data'!$A$3:$CW$999,94,FALSE),"unknown")</f>
        <v>$75,000 to $125,000</v>
      </c>
      <c r="X120" s="120" t="str">
        <f>IFERROR(VLOOKUP(Table1[RespondentID],'All Data'!$A$3:$CW$999,95,FALSE),"unknown")</f>
        <v>High school graduate</v>
      </c>
      <c r="Y120" s="120" t="str">
        <f>IFERROR(VLOOKUP(Table1[RespondentID],'All Data'!$A$3:$CW$999,96,FALSE),"unknown")</f>
        <v>Student</v>
      </c>
      <c r="Z120" s="120" t="str">
        <f>IFERROR(VLOOKUP(Table1[RespondentID],'All Data'!$A$3:$CW$999,97,FALSE),"unknown")</f>
        <v>Yes</v>
      </c>
      <c r="AA120" s="120">
        <f>IFERROR(VLOOKUP(Table1[RespondentID],'All Data'!$A$3:$CW$999,98,FALSE),"unknown")</f>
        <v>0</v>
      </c>
      <c r="AB120" s="150">
        <f>IFERROR(VLOOKUP(Table1[RespondentID],'All Data'!$A$3:$CW$999,99,FALSE),"unknown")</f>
        <v>0</v>
      </c>
    </row>
    <row r="121" spans="1:28">
      <c r="A121" s="5">
        <v>18022519838</v>
      </c>
      <c r="B121" s="5" t="s">
        <v>64</v>
      </c>
      <c r="C121" s="5"/>
      <c r="D121" s="5"/>
      <c r="E121" s="5" t="s">
        <v>67</v>
      </c>
      <c r="F121" s="5"/>
      <c r="G121" s="5"/>
      <c r="H121" s="5"/>
      <c r="I121" s="5"/>
      <c r="J121" s="5"/>
      <c r="K121" s="5"/>
      <c r="L121" s="5"/>
      <c r="M121" s="5" t="s">
        <v>75</v>
      </c>
      <c r="N121" s="5"/>
      <c r="O121" s="145"/>
      <c r="P121" s="120" t="str">
        <f>IFERROR(VLOOKUP(Table1[RespondentID],'All Data'!$A$3:$CO$999,87,FALSE),"unknown")</f>
        <v>Man</v>
      </c>
      <c r="Q121" s="120">
        <f>IFERROR(VLOOKUP(Table1[RespondentID],'All Data'!$A$3:$CO$999,88,FALSE),"unknown")</f>
        <v>0</v>
      </c>
      <c r="R121" s="120" t="str">
        <f>IFERROR(VLOOKUP(Table1[RespondentID],'All Data'!$A$3:$CO$999,89,FALSE),"unknown")</f>
        <v>Suffolk</v>
      </c>
      <c r="S121" s="120" t="str">
        <f>IFERROR(VLOOKUP(Table1[RespondentID],'All Data'!$A$3:$CO$999,90,FALSE),"unknown")</f>
        <v>Commack, 11725</v>
      </c>
      <c r="T121" s="120" t="str">
        <f>IFERROR(VLOOKUP(Table1[RespondentID],'All Data'!$A$3:$CO$999,91,FALSE),"unknown")</f>
        <v>White</v>
      </c>
      <c r="U121" s="120">
        <f>IFERROR(VLOOKUP(Table1[RespondentID],'All Data'!$A$3:$CO$999,92,FALSE),"unknown")</f>
        <v>0</v>
      </c>
      <c r="V121" s="120" t="str">
        <f>IFERROR(VLOOKUP(Table1[RespondentID],'All Data'!$A$3:$CO$999,93,FALSE),"unknown")</f>
        <v>English</v>
      </c>
      <c r="W121" s="120">
        <f>IFERROR(VLOOKUP(Table1[RespondentID],'All Data'!$A$3:$CW$999,94,FALSE),"unknown")</f>
        <v>0</v>
      </c>
      <c r="X121" s="120" t="str">
        <f>IFERROR(VLOOKUP(Table1[RespondentID],'All Data'!$A$3:$CW$999,95,FALSE),"unknown")</f>
        <v>College graduate</v>
      </c>
      <c r="Y121" s="120" t="str">
        <f>IFERROR(VLOOKUP(Table1[RespondentID],'All Data'!$A$3:$CW$999,96,FALSE),"unknown")</f>
        <v>Employed for wages</v>
      </c>
      <c r="Z121" s="120" t="str">
        <f>IFERROR(VLOOKUP(Table1[RespondentID],'All Data'!$A$3:$CW$999,97,FALSE),"unknown")</f>
        <v>Yes</v>
      </c>
      <c r="AA121" s="120">
        <f>IFERROR(VLOOKUP(Table1[RespondentID],'All Data'!$A$3:$CW$999,98,FALSE),"unknown")</f>
        <v>0</v>
      </c>
      <c r="AB121" s="150">
        <f>IFERROR(VLOOKUP(Table1[RespondentID],'All Data'!$A$3:$CW$999,99,FALSE),"unknown")</f>
        <v>0</v>
      </c>
    </row>
    <row r="122" spans="1:28">
      <c r="A122" s="5">
        <v>18022519606</v>
      </c>
      <c r="B122" s="5" t="s">
        <v>64</v>
      </c>
      <c r="C122" s="5"/>
      <c r="D122" s="5"/>
      <c r="E122" s="5"/>
      <c r="F122" s="5" t="s">
        <v>68</v>
      </c>
      <c r="G122" s="5"/>
      <c r="H122" s="5"/>
      <c r="I122" s="5" t="s">
        <v>71</v>
      </c>
      <c r="J122" s="5"/>
      <c r="K122" s="5"/>
      <c r="L122" s="5"/>
      <c r="M122" s="5"/>
      <c r="N122" s="5"/>
      <c r="O122" s="145"/>
      <c r="P122" s="120" t="str">
        <f>IFERROR(VLOOKUP(Table1[RespondentID],'All Data'!$A$3:$CO$999,87,FALSE),"unknown")</f>
        <v>Woman</v>
      </c>
      <c r="Q122" s="120">
        <f>IFERROR(VLOOKUP(Table1[RespondentID],'All Data'!$A$3:$CO$999,88,FALSE),"unknown")</f>
        <v>32</v>
      </c>
      <c r="R122" s="120" t="str">
        <f>IFERROR(VLOOKUP(Table1[RespondentID],'All Data'!$A$3:$CO$999,89,FALSE),"unknown")</f>
        <v>Suffolk</v>
      </c>
      <c r="S122" s="120" t="str">
        <f>IFERROR(VLOOKUP(Table1[RespondentID],'All Data'!$A$3:$CO$999,90,FALSE),"unknown")</f>
        <v>West Islip, 11795</v>
      </c>
      <c r="T122" s="120" t="str">
        <f>IFERROR(VLOOKUP(Table1[RespondentID],'All Data'!$A$3:$CO$999,91,FALSE),"unknown")</f>
        <v>White</v>
      </c>
      <c r="U122" s="120" t="str">
        <f>IFERROR(VLOOKUP(Table1[RespondentID],'All Data'!$A$3:$CO$999,92,FALSE),"unknown")</f>
        <v>Hispanic or Latino</v>
      </c>
      <c r="V122" s="120" t="str">
        <f>IFERROR(VLOOKUP(Table1[RespondentID],'All Data'!$A$3:$CO$999,93,FALSE),"unknown")</f>
        <v>English</v>
      </c>
      <c r="W122" s="120" t="str">
        <f>IFERROR(VLOOKUP(Table1[RespondentID],'All Data'!$A$3:$CW$999,94,FALSE),"unknown")</f>
        <v>$50,000 to $74,999</v>
      </c>
      <c r="X122" s="120" t="str">
        <f>IFERROR(VLOOKUP(Table1[RespondentID],'All Data'!$A$3:$CW$999,95,FALSE),"unknown")</f>
        <v>Graduate school</v>
      </c>
      <c r="Y122" s="120" t="str">
        <f>IFERROR(VLOOKUP(Table1[RespondentID],'All Data'!$A$3:$CW$999,96,FALSE),"unknown")</f>
        <v>Employed for wages</v>
      </c>
      <c r="Z122" s="120" t="str">
        <f>IFERROR(VLOOKUP(Table1[RespondentID],'All Data'!$A$3:$CW$999,97,FALSE),"unknown")</f>
        <v>Yes</v>
      </c>
      <c r="AA122" s="120">
        <f>IFERROR(VLOOKUP(Table1[RespondentID],'All Data'!$A$3:$CW$999,98,FALSE),"unknown")</f>
        <v>0</v>
      </c>
      <c r="AB122" s="150">
        <f>IFERROR(VLOOKUP(Table1[RespondentID],'All Data'!$A$3:$CW$999,99,FALSE),"unknown")</f>
        <v>0</v>
      </c>
    </row>
    <row r="123" spans="1:28">
      <c r="A123" s="5">
        <v>18022519229</v>
      </c>
      <c r="B123" s="5" t="s">
        <v>64</v>
      </c>
      <c r="C123" s="5"/>
      <c r="D123" s="5"/>
      <c r="E123" s="5"/>
      <c r="F123" s="5"/>
      <c r="G123" s="5"/>
      <c r="H123" s="5"/>
      <c r="I123" s="5"/>
      <c r="J123" s="5"/>
      <c r="K123" s="5"/>
      <c r="L123" s="5"/>
      <c r="M123" s="5"/>
      <c r="N123" s="5"/>
      <c r="O123" s="145"/>
      <c r="P123" s="120" t="str">
        <f>IFERROR(VLOOKUP(Table1[RespondentID],'All Data'!$A$3:$CO$999,87,FALSE),"unknown")</f>
        <v>Man</v>
      </c>
      <c r="Q123" s="120">
        <f>IFERROR(VLOOKUP(Table1[RespondentID],'All Data'!$A$3:$CO$999,88,FALSE),"unknown")</f>
        <v>45</v>
      </c>
      <c r="R123" s="120" t="str">
        <f>IFERROR(VLOOKUP(Table1[RespondentID],'All Data'!$A$3:$CO$999,89,FALSE),"unknown")</f>
        <v>Suffolk</v>
      </c>
      <c r="S123" s="120" t="str">
        <f>IFERROR(VLOOKUP(Table1[RespondentID],'All Data'!$A$3:$CO$999,90,FALSE),"unknown")</f>
        <v>Commack, 11725</v>
      </c>
      <c r="T123" s="120" t="str">
        <f>IFERROR(VLOOKUP(Table1[RespondentID],'All Data'!$A$3:$CO$999,91,FALSE),"unknown")</f>
        <v>White</v>
      </c>
      <c r="U123" s="120">
        <f>IFERROR(VLOOKUP(Table1[RespondentID],'All Data'!$A$3:$CO$999,92,FALSE),"unknown")</f>
        <v>0</v>
      </c>
      <c r="V123" s="120" t="str">
        <f>IFERROR(VLOOKUP(Table1[RespondentID],'All Data'!$A$3:$CO$999,93,FALSE),"unknown")</f>
        <v>English</v>
      </c>
      <c r="W123" s="120" t="str">
        <f>IFERROR(VLOOKUP(Table1[RespondentID],'All Data'!$A$3:$CW$999,94,FALSE),"unknown")</f>
        <v>$50,000 to $74,999</v>
      </c>
      <c r="X123" s="120" t="str">
        <f>IFERROR(VLOOKUP(Table1[RespondentID],'All Data'!$A$3:$CW$999,95,FALSE),"unknown")</f>
        <v>Graduate school</v>
      </c>
      <c r="Y123" s="120" t="str">
        <f>IFERROR(VLOOKUP(Table1[RespondentID],'All Data'!$A$3:$CW$999,96,FALSE),"unknown")</f>
        <v>Employed for wages</v>
      </c>
      <c r="Z123" s="120" t="str">
        <f>IFERROR(VLOOKUP(Table1[RespondentID],'All Data'!$A$3:$CW$999,97,FALSE),"unknown")</f>
        <v>Yes</v>
      </c>
      <c r="AA123" s="120">
        <f>IFERROR(VLOOKUP(Table1[RespondentID],'All Data'!$A$3:$CW$999,98,FALSE),"unknown")</f>
        <v>0</v>
      </c>
      <c r="AB123" s="150">
        <f>IFERROR(VLOOKUP(Table1[RespondentID],'All Data'!$A$3:$CW$999,99,FALSE),"unknown")</f>
        <v>0</v>
      </c>
    </row>
    <row r="124" spans="1:28">
      <c r="A124" s="5">
        <v>18022519049</v>
      </c>
      <c r="B124" s="5" t="s">
        <v>64</v>
      </c>
      <c r="C124" s="5"/>
      <c r="D124" s="5"/>
      <c r="E124" s="5" t="s">
        <v>67</v>
      </c>
      <c r="F124" s="5"/>
      <c r="G124" s="5"/>
      <c r="H124" s="5"/>
      <c r="I124" s="5"/>
      <c r="J124" s="5"/>
      <c r="K124" s="5"/>
      <c r="L124" s="5"/>
      <c r="M124" s="5"/>
      <c r="N124" s="5"/>
      <c r="O124" s="145"/>
      <c r="P124" s="120" t="str">
        <f>IFERROR(VLOOKUP(Table1[RespondentID],'All Data'!$A$3:$CO$999,87,FALSE),"unknown")</f>
        <v>Man</v>
      </c>
      <c r="Q124" s="120">
        <f>IFERROR(VLOOKUP(Table1[RespondentID],'All Data'!$A$3:$CO$999,88,FALSE),"unknown")</f>
        <v>44</v>
      </c>
      <c r="R124" s="120" t="str">
        <f>IFERROR(VLOOKUP(Table1[RespondentID],'All Data'!$A$3:$CO$999,89,FALSE),"unknown")</f>
        <v>Suffolk</v>
      </c>
      <c r="S124" s="120" t="str">
        <f>IFERROR(VLOOKUP(Table1[RespondentID],'All Data'!$A$3:$CO$999,90,FALSE),"unknown")</f>
        <v>Commack, 11725</v>
      </c>
      <c r="T124" s="120" t="str">
        <f>IFERROR(VLOOKUP(Table1[RespondentID],'All Data'!$A$3:$CO$999,91,FALSE),"unknown")</f>
        <v>White</v>
      </c>
      <c r="U124" s="120" t="str">
        <f>IFERROR(VLOOKUP(Table1[RespondentID],'All Data'!$A$3:$CO$999,92,FALSE),"unknown")</f>
        <v>Hispanic or Latino</v>
      </c>
      <c r="V124" s="120" t="str">
        <f>IFERROR(VLOOKUP(Table1[RespondentID],'All Data'!$A$3:$CO$999,93,FALSE),"unknown")</f>
        <v>English</v>
      </c>
      <c r="W124" s="120" t="str">
        <f>IFERROR(VLOOKUP(Table1[RespondentID],'All Data'!$A$3:$CW$999,94,FALSE),"unknown")</f>
        <v>Over $125,000</v>
      </c>
      <c r="X124" s="120" t="str">
        <f>IFERROR(VLOOKUP(Table1[RespondentID],'All Data'!$A$3:$CW$999,95,FALSE),"unknown")</f>
        <v>Some college</v>
      </c>
      <c r="Y124" s="120">
        <f>IFERROR(VLOOKUP(Table1[RespondentID],'All Data'!$A$3:$CW$999,96,FALSE),"unknown")</f>
        <v>0</v>
      </c>
      <c r="Z124" s="120" t="str">
        <f>IFERROR(VLOOKUP(Table1[RespondentID],'All Data'!$A$3:$CW$999,97,FALSE),"unknown")</f>
        <v>Yes</v>
      </c>
      <c r="AA124" s="120">
        <f>IFERROR(VLOOKUP(Table1[RespondentID],'All Data'!$A$3:$CW$999,98,FALSE),"unknown")</f>
        <v>0</v>
      </c>
      <c r="AB124" s="150">
        <f>IFERROR(VLOOKUP(Table1[RespondentID],'All Data'!$A$3:$CW$999,99,FALSE),"unknown")</f>
        <v>0</v>
      </c>
    </row>
    <row r="125" spans="1:28">
      <c r="A125" s="5">
        <v>18022518816</v>
      </c>
      <c r="B125" s="5" t="s">
        <v>64</v>
      </c>
      <c r="C125" s="5"/>
      <c r="D125" s="5"/>
      <c r="E125" s="5"/>
      <c r="F125" s="5"/>
      <c r="G125" s="5"/>
      <c r="H125" s="5"/>
      <c r="I125" s="5"/>
      <c r="J125" s="5"/>
      <c r="K125" s="5"/>
      <c r="L125" s="5"/>
      <c r="M125" s="5"/>
      <c r="N125" s="5"/>
      <c r="O125" s="145"/>
      <c r="P125" s="120" t="str">
        <f>IFERROR(VLOOKUP(Table1[RespondentID],'All Data'!$A$3:$CO$999,87,FALSE),"unknown")</f>
        <v>Man</v>
      </c>
      <c r="Q125" s="120">
        <f>IFERROR(VLOOKUP(Table1[RespondentID],'All Data'!$A$3:$CO$999,88,FALSE),"unknown")</f>
        <v>18</v>
      </c>
      <c r="R125" s="120" t="str">
        <f>IFERROR(VLOOKUP(Table1[RespondentID],'All Data'!$A$3:$CO$999,89,FALSE),"unknown")</f>
        <v>Suffolk</v>
      </c>
      <c r="S125" s="120" t="str">
        <f>IFERROR(VLOOKUP(Table1[RespondentID],'All Data'!$A$3:$CO$999,90,FALSE),"unknown")</f>
        <v>Smithtown, 11787</v>
      </c>
      <c r="T125" s="120" t="str">
        <f>IFERROR(VLOOKUP(Table1[RespondentID],'All Data'!$A$3:$CO$999,91,FALSE),"unknown")</f>
        <v>White</v>
      </c>
      <c r="U125" s="120">
        <f>IFERROR(VLOOKUP(Table1[RespondentID],'All Data'!$A$3:$CO$999,92,FALSE),"unknown")</f>
        <v>0</v>
      </c>
      <c r="V125" s="120" t="str">
        <f>IFERROR(VLOOKUP(Table1[RespondentID],'All Data'!$A$3:$CO$999,93,FALSE),"unknown")</f>
        <v>English</v>
      </c>
      <c r="W125" s="120" t="str">
        <f>IFERROR(VLOOKUP(Table1[RespondentID],'All Data'!$A$3:$CW$999,94,FALSE),"unknown")</f>
        <v>$75,000 to $125,000</v>
      </c>
      <c r="X125" s="120" t="str">
        <f>IFERROR(VLOOKUP(Table1[RespondentID],'All Data'!$A$3:$CW$999,95,FALSE),"unknown")</f>
        <v>Some high school</v>
      </c>
      <c r="Y125" s="120">
        <f>IFERROR(VLOOKUP(Table1[RespondentID],'All Data'!$A$3:$CW$999,96,FALSE),"unknown")</f>
        <v>0</v>
      </c>
      <c r="Z125" s="120" t="str">
        <f>IFERROR(VLOOKUP(Table1[RespondentID],'All Data'!$A$3:$CW$999,97,FALSE),"unknown")</f>
        <v>Yes</v>
      </c>
      <c r="AA125" s="120">
        <f>IFERROR(VLOOKUP(Table1[RespondentID],'All Data'!$A$3:$CW$999,98,FALSE),"unknown")</f>
        <v>0</v>
      </c>
      <c r="AB125" s="150">
        <f>IFERROR(VLOOKUP(Table1[RespondentID],'All Data'!$A$3:$CW$999,99,FALSE),"unknown")</f>
        <v>0</v>
      </c>
    </row>
    <row r="126" spans="1:28">
      <c r="A126" s="5">
        <v>18022518632</v>
      </c>
      <c r="B126" s="5" t="s">
        <v>64</v>
      </c>
      <c r="C126" s="5"/>
      <c r="D126" s="5"/>
      <c r="E126" s="5"/>
      <c r="F126" s="5"/>
      <c r="G126" s="5"/>
      <c r="H126" s="5"/>
      <c r="I126" s="5"/>
      <c r="J126" s="5"/>
      <c r="K126" s="5"/>
      <c r="L126" s="5"/>
      <c r="M126" s="5"/>
      <c r="N126" s="5"/>
      <c r="O126" s="145"/>
      <c r="P126" s="120" t="str">
        <f>IFERROR(VLOOKUP(Table1[RespondentID],'All Data'!$A$3:$CO$999,87,FALSE),"unknown")</f>
        <v>Man</v>
      </c>
      <c r="Q126" s="120">
        <f>IFERROR(VLOOKUP(Table1[RespondentID],'All Data'!$A$3:$CO$999,88,FALSE),"unknown")</f>
        <v>18</v>
      </c>
      <c r="R126" s="120" t="str">
        <f>IFERROR(VLOOKUP(Table1[RespondentID],'All Data'!$A$3:$CO$999,89,FALSE),"unknown")</f>
        <v>Suffolk</v>
      </c>
      <c r="S126" s="120" t="str">
        <f>IFERROR(VLOOKUP(Table1[RespondentID],'All Data'!$A$3:$CO$999,90,FALSE),"unknown")</f>
        <v>East Northport, 11731</v>
      </c>
      <c r="T126" s="120" t="str">
        <f>IFERROR(VLOOKUP(Table1[RespondentID],'All Data'!$A$3:$CO$999,91,FALSE),"unknown")</f>
        <v>White</v>
      </c>
      <c r="U126" s="120" t="str">
        <f>IFERROR(VLOOKUP(Table1[RespondentID],'All Data'!$A$3:$CO$999,92,FALSE),"unknown")</f>
        <v>Hispanic or Latino</v>
      </c>
      <c r="V126" s="120" t="str">
        <f>IFERROR(VLOOKUP(Table1[RespondentID],'All Data'!$A$3:$CO$999,93,FALSE),"unknown")</f>
        <v>English</v>
      </c>
      <c r="W126" s="120">
        <f>IFERROR(VLOOKUP(Table1[RespondentID],'All Data'!$A$3:$CW$999,94,FALSE),"unknown")</f>
        <v>0</v>
      </c>
      <c r="X126" s="120" t="str">
        <f>IFERROR(VLOOKUP(Table1[RespondentID],'All Data'!$A$3:$CW$999,95,FALSE),"unknown")</f>
        <v>Some high school</v>
      </c>
      <c r="Y126" s="120" t="str">
        <f>IFERROR(VLOOKUP(Table1[RespondentID],'All Data'!$A$3:$CW$999,96,FALSE),"unknown")</f>
        <v>Student</v>
      </c>
      <c r="Z126" s="120" t="str">
        <f>IFERROR(VLOOKUP(Table1[RespondentID],'All Data'!$A$3:$CW$999,97,FALSE),"unknown")</f>
        <v>Yes</v>
      </c>
      <c r="AA126" s="120">
        <f>IFERROR(VLOOKUP(Table1[RespondentID],'All Data'!$A$3:$CW$999,98,FALSE),"unknown")</f>
        <v>0</v>
      </c>
      <c r="AB126" s="150">
        <f>IFERROR(VLOOKUP(Table1[RespondentID],'All Data'!$A$3:$CW$999,99,FALSE),"unknown")</f>
        <v>0</v>
      </c>
    </row>
    <row r="127" spans="1:28">
      <c r="A127" s="5">
        <v>18022518486</v>
      </c>
      <c r="B127" s="5" t="s">
        <v>64</v>
      </c>
      <c r="C127" s="5"/>
      <c r="D127" s="5"/>
      <c r="E127" s="5" t="s">
        <v>67</v>
      </c>
      <c r="F127" s="5"/>
      <c r="G127" s="5"/>
      <c r="H127" s="5"/>
      <c r="I127" s="5"/>
      <c r="J127" s="5"/>
      <c r="K127" s="5"/>
      <c r="L127" s="5"/>
      <c r="M127" s="5" t="s">
        <v>75</v>
      </c>
      <c r="N127" s="5" t="s">
        <v>76</v>
      </c>
      <c r="O127" s="145"/>
      <c r="P127" s="120" t="str">
        <f>IFERROR(VLOOKUP(Table1[RespondentID],'All Data'!$A$3:$CO$999,87,FALSE),"unknown")</f>
        <v>Man</v>
      </c>
      <c r="Q127" s="120">
        <f>IFERROR(VLOOKUP(Table1[RespondentID],'All Data'!$A$3:$CO$999,88,FALSE),"unknown")</f>
        <v>18</v>
      </c>
      <c r="R127" s="120" t="str">
        <f>IFERROR(VLOOKUP(Table1[RespondentID],'All Data'!$A$3:$CO$999,89,FALSE),"unknown")</f>
        <v>Suffolk</v>
      </c>
      <c r="S127" s="120" t="str">
        <f>IFERROR(VLOOKUP(Table1[RespondentID],'All Data'!$A$3:$CO$999,90,FALSE),"unknown")</f>
        <v>Commack, 11725</v>
      </c>
      <c r="T127" s="120" t="str">
        <f>IFERROR(VLOOKUP(Table1[RespondentID],'All Data'!$A$3:$CO$999,91,FALSE),"unknown")</f>
        <v>White</v>
      </c>
      <c r="U127" s="120" t="str">
        <f>IFERROR(VLOOKUP(Table1[RespondentID],'All Data'!$A$3:$CO$999,92,FALSE),"unknown")</f>
        <v>Not Hispanic or Latino</v>
      </c>
      <c r="V127" s="120" t="str">
        <f>IFERROR(VLOOKUP(Table1[RespondentID],'All Data'!$A$3:$CO$999,93,FALSE),"unknown")</f>
        <v>English, Spanish</v>
      </c>
      <c r="W127" s="120">
        <f>IFERROR(VLOOKUP(Table1[RespondentID],'All Data'!$A$3:$CW$999,94,FALSE),"unknown")</f>
        <v>0</v>
      </c>
      <c r="X127" s="120" t="str">
        <f>IFERROR(VLOOKUP(Table1[RespondentID],'All Data'!$A$3:$CW$999,95,FALSE),"unknown")</f>
        <v>Some high school</v>
      </c>
      <c r="Y127" s="120" t="str">
        <f>IFERROR(VLOOKUP(Table1[RespondentID],'All Data'!$A$3:$CW$999,96,FALSE),"unknown")</f>
        <v>Employed for wages</v>
      </c>
      <c r="Z127" s="120" t="str">
        <f>IFERROR(VLOOKUP(Table1[RespondentID],'All Data'!$A$3:$CW$999,97,FALSE),"unknown")</f>
        <v>Yes</v>
      </c>
      <c r="AA127" s="120">
        <f>IFERROR(VLOOKUP(Table1[RespondentID],'All Data'!$A$3:$CW$999,98,FALSE),"unknown")</f>
        <v>0</v>
      </c>
      <c r="AB127" s="150">
        <f>IFERROR(VLOOKUP(Table1[RespondentID],'All Data'!$A$3:$CW$999,99,FALSE),"unknown")</f>
        <v>0</v>
      </c>
    </row>
    <row r="128" spans="1:28">
      <c r="A128" s="5">
        <v>18022518320</v>
      </c>
      <c r="B128" s="5" t="s">
        <v>64</v>
      </c>
      <c r="C128" s="5"/>
      <c r="D128" s="5"/>
      <c r="E128" s="5"/>
      <c r="F128" s="5"/>
      <c r="G128" s="5"/>
      <c r="H128" s="5" t="s">
        <v>70</v>
      </c>
      <c r="I128" s="5"/>
      <c r="J128" s="5"/>
      <c r="K128" s="5"/>
      <c r="L128" s="5"/>
      <c r="M128" s="5"/>
      <c r="N128" s="5"/>
      <c r="O128" s="145"/>
      <c r="P128" s="120" t="str">
        <f>IFERROR(VLOOKUP(Table1[RespondentID],'All Data'!$A$3:$CO$999,87,FALSE),"unknown")</f>
        <v>Woman</v>
      </c>
      <c r="Q128" s="120">
        <f>IFERROR(VLOOKUP(Table1[RespondentID],'All Data'!$A$3:$CO$999,88,FALSE),"unknown")</f>
        <v>18</v>
      </c>
      <c r="R128" s="120" t="str">
        <f>IFERROR(VLOOKUP(Table1[RespondentID],'All Data'!$A$3:$CO$999,89,FALSE),"unknown")</f>
        <v>Suffolk</v>
      </c>
      <c r="S128" s="120" t="str">
        <f>IFERROR(VLOOKUP(Table1[RespondentID],'All Data'!$A$3:$CO$999,90,FALSE),"unknown")</f>
        <v>Commack, 11725</v>
      </c>
      <c r="T128" s="120" t="str">
        <f>IFERROR(VLOOKUP(Table1[RespondentID],'All Data'!$A$3:$CO$999,91,FALSE),"unknown")</f>
        <v>White</v>
      </c>
      <c r="U128" s="120" t="str">
        <f>IFERROR(VLOOKUP(Table1[RespondentID],'All Data'!$A$3:$CO$999,92,FALSE),"unknown")</f>
        <v>Hispanic or Latino</v>
      </c>
      <c r="V128" s="120" t="str">
        <f>IFERROR(VLOOKUP(Table1[RespondentID],'All Data'!$A$3:$CO$999,93,FALSE),"unknown")</f>
        <v>English</v>
      </c>
      <c r="W128" s="120" t="str">
        <f>IFERROR(VLOOKUP(Table1[RespondentID],'All Data'!$A$3:$CW$999,94,FALSE),"unknown")</f>
        <v>$50,000 to $74,999</v>
      </c>
      <c r="X128" s="120" t="str">
        <f>IFERROR(VLOOKUP(Table1[RespondentID],'All Data'!$A$3:$CW$999,95,FALSE),"unknown")</f>
        <v>Some high school</v>
      </c>
      <c r="Y128" s="120">
        <f>IFERROR(VLOOKUP(Table1[RespondentID],'All Data'!$A$3:$CW$999,96,FALSE),"unknown")</f>
        <v>0</v>
      </c>
      <c r="Z128" s="120" t="str">
        <f>IFERROR(VLOOKUP(Table1[RespondentID],'All Data'!$A$3:$CW$999,97,FALSE),"unknown")</f>
        <v>Yes</v>
      </c>
      <c r="AA128" s="120">
        <f>IFERROR(VLOOKUP(Table1[RespondentID],'All Data'!$A$3:$CW$999,98,FALSE),"unknown")</f>
        <v>0</v>
      </c>
      <c r="AB128" s="150">
        <f>IFERROR(VLOOKUP(Table1[RespondentID],'All Data'!$A$3:$CW$999,99,FALSE),"unknown")</f>
        <v>0</v>
      </c>
    </row>
    <row r="129" spans="1:28">
      <c r="A129" s="5">
        <v>18022518124</v>
      </c>
      <c r="B129" s="5"/>
      <c r="C129" s="5"/>
      <c r="D129" s="5"/>
      <c r="E129" s="5" t="s">
        <v>67</v>
      </c>
      <c r="F129" s="5" t="s">
        <v>68</v>
      </c>
      <c r="G129" s="5" t="s">
        <v>69</v>
      </c>
      <c r="H129" s="5"/>
      <c r="I129" s="5"/>
      <c r="J129" s="5"/>
      <c r="K129" s="5"/>
      <c r="L129" s="5"/>
      <c r="M129" s="5"/>
      <c r="N129" s="5"/>
      <c r="O129" s="145"/>
      <c r="P129" s="120" t="str">
        <f>IFERROR(VLOOKUP(Table1[RespondentID],'All Data'!$A$3:$CO$999,87,FALSE),"unknown")</f>
        <v>Woman</v>
      </c>
      <c r="Q129" s="120">
        <f>IFERROR(VLOOKUP(Table1[RespondentID],'All Data'!$A$3:$CO$999,88,FALSE),"unknown")</f>
        <v>42</v>
      </c>
      <c r="R129" s="120" t="str">
        <f>IFERROR(VLOOKUP(Table1[RespondentID],'All Data'!$A$3:$CO$999,89,FALSE),"unknown")</f>
        <v>Nassau</v>
      </c>
      <c r="S129" s="120" t="str">
        <f>IFERROR(VLOOKUP(Table1[RespondentID],'All Data'!$A$3:$CO$999,90,FALSE),"unknown")</f>
        <v>Westbury, 11590</v>
      </c>
      <c r="T129" s="120" t="str">
        <f>IFERROR(VLOOKUP(Table1[RespondentID],'All Data'!$A$3:$CO$999,91,FALSE),"unknown")</f>
        <v>White</v>
      </c>
      <c r="U129" s="120">
        <f>IFERROR(VLOOKUP(Table1[RespondentID],'All Data'!$A$3:$CO$999,92,FALSE),"unknown")</f>
        <v>0</v>
      </c>
      <c r="V129" s="120" t="str">
        <f>IFERROR(VLOOKUP(Table1[RespondentID],'All Data'!$A$3:$CO$999,93,FALSE),"unknown")</f>
        <v>English</v>
      </c>
      <c r="W129" s="120" t="str">
        <f>IFERROR(VLOOKUP(Table1[RespondentID],'All Data'!$A$3:$CW$999,94,FALSE),"unknown")</f>
        <v>Over $125,000</v>
      </c>
      <c r="X129" s="120" t="str">
        <f>IFERROR(VLOOKUP(Table1[RespondentID],'All Data'!$A$3:$CW$999,95,FALSE),"unknown")</f>
        <v>Doctorate</v>
      </c>
      <c r="Y129" s="120" t="str">
        <f>IFERROR(VLOOKUP(Table1[RespondentID],'All Data'!$A$3:$CW$999,96,FALSE),"unknown")</f>
        <v>Employed for wages</v>
      </c>
      <c r="Z129" s="120" t="str">
        <f>IFERROR(VLOOKUP(Table1[RespondentID],'All Data'!$A$3:$CW$999,97,FALSE),"unknown")</f>
        <v>Yes</v>
      </c>
      <c r="AA129" s="120">
        <f>IFERROR(VLOOKUP(Table1[RespondentID],'All Data'!$A$3:$CW$999,98,FALSE),"unknown")</f>
        <v>0</v>
      </c>
      <c r="AB129" s="150">
        <f>IFERROR(VLOOKUP(Table1[RespondentID],'All Data'!$A$3:$CW$999,99,FALSE),"unknown")</f>
        <v>0</v>
      </c>
    </row>
    <row r="130" spans="1:28">
      <c r="A130" s="5">
        <v>18022517936</v>
      </c>
      <c r="B130" s="5" t="s">
        <v>64</v>
      </c>
      <c r="C130" s="5"/>
      <c r="D130" s="5"/>
      <c r="E130" s="5" t="s">
        <v>67</v>
      </c>
      <c r="F130" s="5"/>
      <c r="G130" s="5"/>
      <c r="H130" s="5"/>
      <c r="I130" s="5"/>
      <c r="J130" s="5"/>
      <c r="K130" s="5" t="s">
        <v>73</v>
      </c>
      <c r="L130" s="5"/>
      <c r="M130" s="5" t="s">
        <v>75</v>
      </c>
      <c r="N130" s="5"/>
      <c r="O130" s="145"/>
      <c r="P130" s="120" t="str">
        <f>IFERROR(VLOOKUP(Table1[RespondentID],'All Data'!$A$3:$CO$999,87,FALSE),"unknown")</f>
        <v>Man</v>
      </c>
      <c r="Q130" s="120">
        <f>IFERROR(VLOOKUP(Table1[RespondentID],'All Data'!$A$3:$CO$999,88,FALSE),"unknown")</f>
        <v>18</v>
      </c>
      <c r="R130" s="120" t="str">
        <f>IFERROR(VLOOKUP(Table1[RespondentID],'All Data'!$A$3:$CO$999,89,FALSE),"unknown")</f>
        <v>Suffolk</v>
      </c>
      <c r="S130" s="120" t="str">
        <f>IFERROR(VLOOKUP(Table1[RespondentID],'All Data'!$A$3:$CO$999,90,FALSE),"unknown")</f>
        <v>Dix Hills, 11746</v>
      </c>
      <c r="T130" s="120" t="str">
        <f>IFERROR(VLOOKUP(Table1[RespondentID],'All Data'!$A$3:$CO$999,91,FALSE),"unknown")</f>
        <v>White</v>
      </c>
      <c r="U130" s="120" t="str">
        <f>IFERROR(VLOOKUP(Table1[RespondentID],'All Data'!$A$3:$CO$999,92,FALSE),"unknown")</f>
        <v>Hispanic or Latino</v>
      </c>
      <c r="V130" s="120" t="str">
        <f>IFERROR(VLOOKUP(Table1[RespondentID],'All Data'!$A$3:$CO$999,93,FALSE),"unknown")</f>
        <v>English</v>
      </c>
      <c r="W130" s="120" t="str">
        <f>IFERROR(VLOOKUP(Table1[RespondentID],'All Data'!$A$3:$CW$999,94,FALSE),"unknown")</f>
        <v>$75,000 to $125,000</v>
      </c>
      <c r="X130" s="120" t="str">
        <f>IFERROR(VLOOKUP(Table1[RespondentID],'All Data'!$A$3:$CW$999,95,FALSE),"unknown")</f>
        <v>High school graduate</v>
      </c>
      <c r="Y130" s="120">
        <f>IFERROR(VLOOKUP(Table1[RespondentID],'All Data'!$A$3:$CW$999,96,FALSE),"unknown")</f>
        <v>0</v>
      </c>
      <c r="Z130" s="120" t="str">
        <f>IFERROR(VLOOKUP(Table1[RespondentID],'All Data'!$A$3:$CW$999,97,FALSE),"unknown")</f>
        <v>Yes</v>
      </c>
      <c r="AA130" s="120">
        <f>IFERROR(VLOOKUP(Table1[RespondentID],'All Data'!$A$3:$CW$999,98,FALSE),"unknown")</f>
        <v>0</v>
      </c>
      <c r="AB130" s="150">
        <f>IFERROR(VLOOKUP(Table1[RespondentID],'All Data'!$A$3:$CW$999,99,FALSE),"unknown")</f>
        <v>0</v>
      </c>
    </row>
    <row r="131" spans="1:28">
      <c r="A131" s="5">
        <v>18022517728</v>
      </c>
      <c r="B131" s="5" t="s">
        <v>64</v>
      </c>
      <c r="C131" s="5"/>
      <c r="D131" s="5"/>
      <c r="E131" s="5"/>
      <c r="F131" s="5"/>
      <c r="G131" s="5"/>
      <c r="H131" s="5" t="s">
        <v>70</v>
      </c>
      <c r="I131" s="5"/>
      <c r="J131" s="5"/>
      <c r="K131" s="5"/>
      <c r="L131" s="5"/>
      <c r="M131" s="5"/>
      <c r="N131" s="5"/>
      <c r="O131" s="145"/>
      <c r="P131" s="120" t="str">
        <f>IFERROR(VLOOKUP(Table1[RespondentID],'All Data'!$A$3:$CO$999,87,FALSE),"unknown")</f>
        <v>Man</v>
      </c>
      <c r="Q131" s="120">
        <f>IFERROR(VLOOKUP(Table1[RespondentID],'All Data'!$A$3:$CO$999,88,FALSE),"unknown")</f>
        <v>18</v>
      </c>
      <c r="R131" s="120" t="str">
        <f>IFERROR(VLOOKUP(Table1[RespondentID],'All Data'!$A$3:$CO$999,89,FALSE),"unknown")</f>
        <v>Suffolk</v>
      </c>
      <c r="S131" s="120" t="str">
        <f>IFERROR(VLOOKUP(Table1[RespondentID],'All Data'!$A$3:$CO$999,90,FALSE),"unknown")</f>
        <v>Commack, 11725</v>
      </c>
      <c r="T131" s="120" t="str">
        <f>IFERROR(VLOOKUP(Table1[RespondentID],'All Data'!$A$3:$CO$999,91,FALSE),"unknown")</f>
        <v>White</v>
      </c>
      <c r="U131" s="120" t="str">
        <f>IFERROR(VLOOKUP(Table1[RespondentID],'All Data'!$A$3:$CO$999,92,FALSE),"unknown")</f>
        <v>Not Hispanic or Latino</v>
      </c>
      <c r="V131" s="120" t="str">
        <f>IFERROR(VLOOKUP(Table1[RespondentID],'All Data'!$A$3:$CO$999,93,FALSE),"unknown")</f>
        <v>English</v>
      </c>
      <c r="W131" s="120" t="str">
        <f>IFERROR(VLOOKUP(Table1[RespondentID],'All Data'!$A$3:$CW$999,94,FALSE),"unknown")</f>
        <v>$20,000 to $34,999</v>
      </c>
      <c r="X131" s="120" t="str">
        <f>IFERROR(VLOOKUP(Table1[RespondentID],'All Data'!$A$3:$CW$999,95,FALSE),"unknown")</f>
        <v>High school graduate</v>
      </c>
      <c r="Y131" s="120" t="str">
        <f>IFERROR(VLOOKUP(Table1[RespondentID],'All Data'!$A$3:$CW$999,96,FALSE),"unknown")</f>
        <v>Student</v>
      </c>
      <c r="Z131" s="120" t="str">
        <f>IFERROR(VLOOKUP(Table1[RespondentID],'All Data'!$A$3:$CW$999,97,FALSE),"unknown")</f>
        <v>Yes</v>
      </c>
      <c r="AA131" s="120">
        <f>IFERROR(VLOOKUP(Table1[RespondentID],'All Data'!$A$3:$CW$999,98,FALSE),"unknown")</f>
        <v>0</v>
      </c>
      <c r="AB131" s="150">
        <f>IFERROR(VLOOKUP(Table1[RespondentID],'All Data'!$A$3:$CW$999,99,FALSE),"unknown")</f>
        <v>0</v>
      </c>
    </row>
    <row r="132" spans="1:28">
      <c r="A132" s="5">
        <v>18022517350</v>
      </c>
      <c r="B132" s="5" t="s">
        <v>64</v>
      </c>
      <c r="C132" s="5"/>
      <c r="D132" s="5" t="s">
        <v>66</v>
      </c>
      <c r="E132" s="5" t="s">
        <v>67</v>
      </c>
      <c r="F132" s="5"/>
      <c r="G132" s="5" t="s">
        <v>69</v>
      </c>
      <c r="H132" s="5"/>
      <c r="I132" s="5"/>
      <c r="J132" s="5"/>
      <c r="K132" s="5"/>
      <c r="L132" s="5"/>
      <c r="M132" s="5"/>
      <c r="N132" s="5"/>
      <c r="O132" s="145"/>
      <c r="P132" s="120" t="str">
        <f>IFERROR(VLOOKUP(Table1[RespondentID],'All Data'!$A$3:$CO$999,87,FALSE),"unknown")</f>
        <v>Man</v>
      </c>
      <c r="Q132" s="120">
        <f>IFERROR(VLOOKUP(Table1[RespondentID],'All Data'!$A$3:$CO$999,88,FALSE),"unknown")</f>
        <v>18</v>
      </c>
      <c r="R132" s="120" t="str">
        <f>IFERROR(VLOOKUP(Table1[RespondentID],'All Data'!$A$3:$CO$999,89,FALSE),"unknown")</f>
        <v>Suffolk</v>
      </c>
      <c r="S132" s="120" t="str">
        <f>IFERROR(VLOOKUP(Table1[RespondentID],'All Data'!$A$3:$CO$999,90,FALSE),"unknown")</f>
        <v>Commack, 11725</v>
      </c>
      <c r="T132" s="120" t="str">
        <f>IFERROR(VLOOKUP(Table1[RespondentID],'All Data'!$A$3:$CO$999,91,FALSE),"unknown")</f>
        <v>White</v>
      </c>
      <c r="U132" s="120" t="str">
        <f>IFERROR(VLOOKUP(Table1[RespondentID],'All Data'!$A$3:$CO$999,92,FALSE),"unknown")</f>
        <v>Hispanic or Latino</v>
      </c>
      <c r="V132" s="120" t="str">
        <f>IFERROR(VLOOKUP(Table1[RespondentID],'All Data'!$A$3:$CO$999,93,FALSE),"unknown")</f>
        <v>English</v>
      </c>
      <c r="W132" s="120" t="str">
        <f>IFERROR(VLOOKUP(Table1[RespondentID],'All Data'!$A$3:$CW$999,94,FALSE),"unknown")</f>
        <v>Over $125,000</v>
      </c>
      <c r="X132" s="120" t="str">
        <f>IFERROR(VLOOKUP(Table1[RespondentID],'All Data'!$A$3:$CW$999,95,FALSE),"unknown")</f>
        <v>High school graduate</v>
      </c>
      <c r="Y132" s="120" t="str">
        <f>IFERROR(VLOOKUP(Table1[RespondentID],'All Data'!$A$3:$CW$999,96,FALSE),"unknown")</f>
        <v>Student</v>
      </c>
      <c r="Z132" s="120" t="str">
        <f>IFERROR(VLOOKUP(Table1[RespondentID],'All Data'!$A$3:$CW$999,97,FALSE),"unknown")</f>
        <v>Yes</v>
      </c>
      <c r="AA132" s="120">
        <f>IFERROR(VLOOKUP(Table1[RespondentID],'All Data'!$A$3:$CW$999,98,FALSE),"unknown")</f>
        <v>0</v>
      </c>
      <c r="AB132" s="150">
        <f>IFERROR(VLOOKUP(Table1[RespondentID],'All Data'!$A$3:$CW$999,99,FALSE),"unknown")</f>
        <v>0</v>
      </c>
    </row>
    <row r="133" spans="1:28">
      <c r="A133" s="5">
        <v>18022517003</v>
      </c>
      <c r="B133" s="5" t="s">
        <v>64</v>
      </c>
      <c r="C133" s="5"/>
      <c r="D133" s="5"/>
      <c r="E133" s="5"/>
      <c r="F133" s="5"/>
      <c r="G133" s="5"/>
      <c r="H133" s="5"/>
      <c r="I133" s="5"/>
      <c r="J133" s="5"/>
      <c r="K133" s="5"/>
      <c r="L133" s="5"/>
      <c r="M133" s="5" t="s">
        <v>75</v>
      </c>
      <c r="N133" s="5"/>
      <c r="O133" s="145"/>
      <c r="P133" s="120" t="str">
        <f>IFERROR(VLOOKUP(Table1[RespondentID],'All Data'!$A$3:$CO$999,87,FALSE),"unknown")</f>
        <v>Woman</v>
      </c>
      <c r="Q133" s="120">
        <f>IFERROR(VLOOKUP(Table1[RespondentID],'All Data'!$A$3:$CO$999,88,FALSE),"unknown")</f>
        <v>52</v>
      </c>
      <c r="R133" s="120" t="str">
        <f>IFERROR(VLOOKUP(Table1[RespondentID],'All Data'!$A$3:$CO$999,89,FALSE),"unknown")</f>
        <v>Suffolk</v>
      </c>
      <c r="S133" s="120" t="str">
        <f>IFERROR(VLOOKUP(Table1[RespondentID],'All Data'!$A$3:$CO$999,90,FALSE),"unknown")</f>
        <v>Kings Park, 11754</v>
      </c>
      <c r="T133" s="120" t="str">
        <f>IFERROR(VLOOKUP(Table1[RespondentID],'All Data'!$A$3:$CO$999,91,FALSE),"unknown")</f>
        <v>White</v>
      </c>
      <c r="U133" s="120" t="str">
        <f>IFERROR(VLOOKUP(Table1[RespondentID],'All Data'!$A$3:$CO$999,92,FALSE),"unknown")</f>
        <v>Hispanic or Latino</v>
      </c>
      <c r="V133" s="120" t="str">
        <f>IFERROR(VLOOKUP(Table1[RespondentID],'All Data'!$A$3:$CO$999,93,FALSE),"unknown")</f>
        <v>English</v>
      </c>
      <c r="W133" s="120" t="str">
        <f>IFERROR(VLOOKUP(Table1[RespondentID],'All Data'!$A$3:$CW$999,94,FALSE),"unknown")</f>
        <v>Over $125,000</v>
      </c>
      <c r="X133" s="120" t="str">
        <f>IFERROR(VLOOKUP(Table1[RespondentID],'All Data'!$A$3:$CW$999,95,FALSE),"unknown")</f>
        <v>Graduate school</v>
      </c>
      <c r="Y133" s="120" t="str">
        <f>IFERROR(VLOOKUP(Table1[RespondentID],'All Data'!$A$3:$CW$999,96,FALSE),"unknown")</f>
        <v>Employed for wages</v>
      </c>
      <c r="Z133" s="120" t="str">
        <f>IFERROR(VLOOKUP(Table1[RespondentID],'All Data'!$A$3:$CW$999,97,FALSE),"unknown")</f>
        <v>Yes</v>
      </c>
      <c r="AA133" s="120" t="str">
        <f>IFERROR(VLOOKUP(Table1[RespondentID],'All Data'!$A$3:$CW$999,98,FALSE),"unknown")</f>
        <v>Private/Commercial</v>
      </c>
      <c r="AB133" s="150">
        <f>IFERROR(VLOOKUP(Table1[RespondentID],'All Data'!$A$3:$CW$999,99,FALSE),"unknown")</f>
        <v>0</v>
      </c>
    </row>
    <row r="134" spans="1:28">
      <c r="A134" s="5">
        <v>18022515327</v>
      </c>
      <c r="B134" s="5" t="s">
        <v>64</v>
      </c>
      <c r="C134" s="5"/>
      <c r="D134" s="5"/>
      <c r="E134" s="5"/>
      <c r="F134" s="5"/>
      <c r="G134" s="5"/>
      <c r="H134" s="5"/>
      <c r="I134" s="5"/>
      <c r="J134" s="5"/>
      <c r="K134" s="5" t="s">
        <v>73</v>
      </c>
      <c r="L134" s="5"/>
      <c r="M134" s="5" t="s">
        <v>75</v>
      </c>
      <c r="N134" s="5"/>
      <c r="O134" s="145"/>
      <c r="P134" s="120" t="str">
        <f>IFERROR(VLOOKUP(Table1[RespondentID],'All Data'!$A$3:$CO$999,87,FALSE),"unknown")</f>
        <v>Woman</v>
      </c>
      <c r="Q134" s="120">
        <f>IFERROR(VLOOKUP(Table1[RespondentID],'All Data'!$A$3:$CO$999,88,FALSE),"unknown")</f>
        <v>47</v>
      </c>
      <c r="R134" s="120" t="str">
        <f>IFERROR(VLOOKUP(Table1[RespondentID],'All Data'!$A$3:$CO$999,89,FALSE),"unknown")</f>
        <v>Suffolk</v>
      </c>
      <c r="S134" s="120" t="str">
        <f>IFERROR(VLOOKUP(Table1[RespondentID],'All Data'!$A$3:$CO$999,90,FALSE),"unknown")</f>
        <v>Smithtown, 11787</v>
      </c>
      <c r="T134" s="120" t="str">
        <f>IFERROR(VLOOKUP(Table1[RespondentID],'All Data'!$A$3:$CO$999,91,FALSE),"unknown")</f>
        <v>American Indian and Alaska Native</v>
      </c>
      <c r="U134" s="120" t="str">
        <f>IFERROR(VLOOKUP(Table1[RespondentID],'All Data'!$A$3:$CO$999,92,FALSE),"unknown")</f>
        <v>Hispanic or Latino</v>
      </c>
      <c r="V134" s="120" t="str">
        <f>IFERROR(VLOOKUP(Table1[RespondentID],'All Data'!$A$3:$CO$999,93,FALSE),"unknown")</f>
        <v>Korean</v>
      </c>
      <c r="W134" s="120" t="str">
        <f>IFERROR(VLOOKUP(Table1[RespondentID],'All Data'!$A$3:$CW$999,94,FALSE),"unknown")</f>
        <v>$75,000 to $125,000</v>
      </c>
      <c r="X134" s="120" t="str">
        <f>IFERROR(VLOOKUP(Table1[RespondentID],'All Data'!$A$3:$CW$999,95,FALSE),"unknown")</f>
        <v>College graduate</v>
      </c>
      <c r="Y134" s="120" t="str">
        <f>IFERROR(VLOOKUP(Table1[RespondentID],'All Data'!$A$3:$CW$999,96,FALSE),"unknown")</f>
        <v>Employed for wages</v>
      </c>
      <c r="Z134" s="120" t="str">
        <f>IFERROR(VLOOKUP(Table1[RespondentID],'All Data'!$A$3:$CW$999,97,FALSE),"unknown")</f>
        <v>Yes</v>
      </c>
      <c r="AA134" s="120" t="str">
        <f>IFERROR(VLOOKUP(Table1[RespondentID],'All Data'!$A$3:$CW$999,98,FALSE),"unknown")</f>
        <v>Private/Commercial</v>
      </c>
      <c r="AB134" s="150" t="str">
        <f>IFERROR(VLOOKUP(Table1[RespondentID],'All Data'!$A$3:$CW$999,99,FALSE),"unknown")</f>
        <v>Yes</v>
      </c>
    </row>
    <row r="135" spans="1:28">
      <c r="A135" s="5">
        <v>18022426389</v>
      </c>
      <c r="B135" s="5" t="s">
        <v>64</v>
      </c>
      <c r="C135" s="5"/>
      <c r="D135" s="5"/>
      <c r="E135" s="5"/>
      <c r="F135" s="5"/>
      <c r="G135" s="5"/>
      <c r="H135" s="5"/>
      <c r="I135" s="5"/>
      <c r="J135" s="5"/>
      <c r="K135" s="5"/>
      <c r="L135" s="5"/>
      <c r="M135" s="5" t="s">
        <v>75</v>
      </c>
      <c r="N135" s="5"/>
      <c r="O135" s="145"/>
      <c r="P135" s="120" t="str">
        <f>IFERROR(VLOOKUP(Table1[RespondentID],'All Data'!$A$3:$CO$999,87,FALSE),"unknown")</f>
        <v>Man</v>
      </c>
      <c r="Q135" s="120">
        <f>IFERROR(VLOOKUP(Table1[RespondentID],'All Data'!$A$3:$CO$999,88,FALSE),"unknown")</f>
        <v>48</v>
      </c>
      <c r="R135" s="120" t="str">
        <f>IFERROR(VLOOKUP(Table1[RespondentID],'All Data'!$A$3:$CO$999,89,FALSE),"unknown")</f>
        <v>Suffolk</v>
      </c>
      <c r="S135" s="120" t="str">
        <f>IFERROR(VLOOKUP(Table1[RespondentID],'All Data'!$A$3:$CO$999,90,FALSE),"unknown")</f>
        <v>Kings Park, 11754</v>
      </c>
      <c r="T135" s="120" t="str">
        <f>IFERROR(VLOOKUP(Table1[RespondentID],'All Data'!$A$3:$CO$999,91,FALSE),"unknown")</f>
        <v>White</v>
      </c>
      <c r="U135" s="120" t="str">
        <f>IFERROR(VLOOKUP(Table1[RespondentID],'All Data'!$A$3:$CO$999,92,FALSE),"unknown")</f>
        <v>Hispanic or Latino</v>
      </c>
      <c r="V135" s="120" t="str">
        <f>IFERROR(VLOOKUP(Table1[RespondentID],'All Data'!$A$3:$CO$999,93,FALSE),"unknown")</f>
        <v>English</v>
      </c>
      <c r="W135" s="120" t="str">
        <f>IFERROR(VLOOKUP(Table1[RespondentID],'All Data'!$A$3:$CW$999,94,FALSE),"unknown")</f>
        <v>Over $125,000</v>
      </c>
      <c r="X135" s="120" t="str">
        <f>IFERROR(VLOOKUP(Table1[RespondentID],'All Data'!$A$3:$CW$999,95,FALSE),"unknown")</f>
        <v>Other (please specify)</v>
      </c>
      <c r="Y135" s="120" t="str">
        <f>IFERROR(VLOOKUP(Table1[RespondentID],'All Data'!$A$3:$CW$999,96,FALSE),"unknown")</f>
        <v>Employed for wages</v>
      </c>
      <c r="Z135" s="120" t="str">
        <f>IFERROR(VLOOKUP(Table1[RespondentID],'All Data'!$A$3:$CW$999,97,FALSE),"unknown")</f>
        <v>Yes</v>
      </c>
      <c r="AA135" s="120" t="str">
        <f>IFERROR(VLOOKUP(Table1[RespondentID],'All Data'!$A$3:$CW$999,98,FALSE),"unknown")</f>
        <v>Private/Commercial</v>
      </c>
      <c r="AB135" s="150" t="str">
        <f>IFERROR(VLOOKUP(Table1[RespondentID],'All Data'!$A$3:$CW$999,99,FALSE),"unknown")</f>
        <v>Yes</v>
      </c>
    </row>
    <row r="136" spans="1:28">
      <c r="A136" s="5">
        <v>18022425382</v>
      </c>
      <c r="B136" s="5" t="s">
        <v>64</v>
      </c>
      <c r="C136" s="5"/>
      <c r="D136" s="5"/>
      <c r="E136" s="5"/>
      <c r="F136" s="5"/>
      <c r="G136" s="5"/>
      <c r="H136" s="5"/>
      <c r="I136" s="5"/>
      <c r="J136" s="5"/>
      <c r="K136" s="5"/>
      <c r="L136" s="5"/>
      <c r="M136" s="5" t="s">
        <v>75</v>
      </c>
      <c r="N136" s="5"/>
      <c r="O136" s="145"/>
      <c r="P136" s="120" t="str">
        <f>IFERROR(VLOOKUP(Table1[RespondentID],'All Data'!$A$3:$CO$999,87,FALSE),"unknown")</f>
        <v>Woman</v>
      </c>
      <c r="Q136" s="120">
        <f>IFERROR(VLOOKUP(Table1[RespondentID],'All Data'!$A$3:$CO$999,88,FALSE),"unknown")</f>
        <v>50</v>
      </c>
      <c r="R136" s="120" t="str">
        <f>IFERROR(VLOOKUP(Table1[RespondentID],'All Data'!$A$3:$CO$999,89,FALSE),"unknown")</f>
        <v>Suffolk</v>
      </c>
      <c r="S136" s="120" t="str">
        <f>IFERROR(VLOOKUP(Table1[RespondentID],'All Data'!$A$3:$CO$999,90,FALSE),"unknown")</f>
        <v>Hauppauge, 11788</v>
      </c>
      <c r="T136" s="120" t="str">
        <f>IFERROR(VLOOKUP(Table1[RespondentID],'All Data'!$A$3:$CO$999,91,FALSE),"unknown")</f>
        <v>White</v>
      </c>
      <c r="U136" s="120" t="str">
        <f>IFERROR(VLOOKUP(Table1[RespondentID],'All Data'!$A$3:$CO$999,92,FALSE),"unknown")</f>
        <v>Hispanic or Latino</v>
      </c>
      <c r="V136" s="120" t="str">
        <f>IFERROR(VLOOKUP(Table1[RespondentID],'All Data'!$A$3:$CO$999,93,FALSE),"unknown")</f>
        <v>English</v>
      </c>
      <c r="W136" s="120" t="str">
        <f>IFERROR(VLOOKUP(Table1[RespondentID],'All Data'!$A$3:$CW$999,94,FALSE),"unknown")</f>
        <v>Over $125,000</v>
      </c>
      <c r="X136" s="120" t="str">
        <f>IFERROR(VLOOKUP(Table1[RespondentID],'All Data'!$A$3:$CW$999,95,FALSE),"unknown")</f>
        <v>College graduate</v>
      </c>
      <c r="Y136" s="120" t="str">
        <f>IFERROR(VLOOKUP(Table1[RespondentID],'All Data'!$A$3:$CW$999,96,FALSE),"unknown")</f>
        <v>Employed for wages</v>
      </c>
      <c r="Z136" s="120" t="str">
        <f>IFERROR(VLOOKUP(Table1[RespondentID],'All Data'!$A$3:$CW$999,97,FALSE),"unknown")</f>
        <v>Yes</v>
      </c>
      <c r="AA136" s="120" t="str">
        <f>IFERROR(VLOOKUP(Table1[RespondentID],'All Data'!$A$3:$CW$999,98,FALSE),"unknown")</f>
        <v>Private/Commercial</v>
      </c>
      <c r="AB136" s="150" t="str">
        <f>IFERROR(VLOOKUP(Table1[RespondentID],'All Data'!$A$3:$CW$999,99,FALSE),"unknown")</f>
        <v>Yes</v>
      </c>
    </row>
    <row r="137" spans="1:28">
      <c r="A137" s="5">
        <v>18022420665</v>
      </c>
      <c r="B137" s="5" t="s">
        <v>64</v>
      </c>
      <c r="C137" s="5"/>
      <c r="D137" s="5" t="s">
        <v>66</v>
      </c>
      <c r="E137" s="5"/>
      <c r="F137" s="5" t="s">
        <v>68</v>
      </c>
      <c r="G137" s="5"/>
      <c r="H137" s="5"/>
      <c r="I137" s="5"/>
      <c r="J137" s="5"/>
      <c r="K137" s="5"/>
      <c r="L137" s="5"/>
      <c r="M137" s="5" t="s">
        <v>75</v>
      </c>
      <c r="N137" s="5" t="s">
        <v>76</v>
      </c>
      <c r="O137" s="145"/>
      <c r="P137" s="120" t="str">
        <f>IFERROR(VLOOKUP(Table1[RespondentID],'All Data'!$A$3:$CO$999,87,FALSE),"unknown")</f>
        <v>Man</v>
      </c>
      <c r="Q137" s="120">
        <f>IFERROR(VLOOKUP(Table1[RespondentID],'All Data'!$A$3:$CO$999,88,FALSE),"unknown")</f>
        <v>55</v>
      </c>
      <c r="R137" s="120" t="str">
        <f>IFERROR(VLOOKUP(Table1[RespondentID],'All Data'!$A$3:$CO$999,89,FALSE),"unknown")</f>
        <v>Suffolk</v>
      </c>
      <c r="S137" s="120" t="str">
        <f>IFERROR(VLOOKUP(Table1[RespondentID],'All Data'!$A$3:$CO$999,90,FALSE),"unknown")</f>
        <v>Commack, 11725</v>
      </c>
      <c r="T137" s="120" t="str">
        <f>IFERROR(VLOOKUP(Table1[RespondentID],'All Data'!$A$3:$CO$999,91,FALSE),"unknown")</f>
        <v>White</v>
      </c>
      <c r="U137" s="120" t="str">
        <f>IFERROR(VLOOKUP(Table1[RespondentID],'All Data'!$A$3:$CO$999,92,FALSE),"unknown")</f>
        <v>Hispanic or Latino</v>
      </c>
      <c r="V137" s="120" t="str">
        <f>IFERROR(VLOOKUP(Table1[RespondentID],'All Data'!$A$3:$CO$999,93,FALSE),"unknown")</f>
        <v>English</v>
      </c>
      <c r="W137" s="120" t="str">
        <f>IFERROR(VLOOKUP(Table1[RespondentID],'All Data'!$A$3:$CW$999,94,FALSE),"unknown")</f>
        <v>$50,000 to $74,999</v>
      </c>
      <c r="X137" s="120" t="str">
        <f>IFERROR(VLOOKUP(Table1[RespondentID],'All Data'!$A$3:$CW$999,95,FALSE),"unknown")</f>
        <v>College graduate</v>
      </c>
      <c r="Y137" s="120" t="str">
        <f>IFERROR(VLOOKUP(Table1[RespondentID],'All Data'!$A$3:$CW$999,96,FALSE),"unknown")</f>
        <v>Employed for wages</v>
      </c>
      <c r="Z137" s="120" t="str">
        <f>IFERROR(VLOOKUP(Table1[RespondentID],'All Data'!$A$3:$CW$999,97,FALSE),"unknown")</f>
        <v>Yes</v>
      </c>
      <c r="AA137" s="120" t="str">
        <f>IFERROR(VLOOKUP(Table1[RespondentID],'All Data'!$A$3:$CW$999,98,FALSE),"unknown")</f>
        <v>Private/Commercial</v>
      </c>
      <c r="AB137" s="150" t="str">
        <f>IFERROR(VLOOKUP(Table1[RespondentID],'All Data'!$A$3:$CW$999,99,FALSE),"unknown")</f>
        <v>Yes</v>
      </c>
    </row>
    <row r="138" spans="1:28">
      <c r="A138" s="5">
        <v>18022420608</v>
      </c>
      <c r="B138" s="5" t="s">
        <v>64</v>
      </c>
      <c r="C138" s="5"/>
      <c r="D138" s="5"/>
      <c r="E138" s="5" t="s">
        <v>67</v>
      </c>
      <c r="F138" s="5"/>
      <c r="G138" s="5"/>
      <c r="H138" s="5" t="s">
        <v>70</v>
      </c>
      <c r="I138" s="5"/>
      <c r="J138" s="5"/>
      <c r="K138" s="5"/>
      <c r="L138" s="5"/>
      <c r="M138" s="5"/>
      <c r="N138" s="5"/>
      <c r="O138" s="145"/>
      <c r="P138" s="120" t="str">
        <f>IFERROR(VLOOKUP(Table1[RespondentID],'All Data'!$A$3:$CO$999,87,FALSE),"unknown")</f>
        <v>Man</v>
      </c>
      <c r="Q138" s="120">
        <f>IFERROR(VLOOKUP(Table1[RespondentID],'All Data'!$A$3:$CO$999,88,FALSE),"unknown")</f>
        <v>81</v>
      </c>
      <c r="R138" s="120" t="str">
        <f>IFERROR(VLOOKUP(Table1[RespondentID],'All Data'!$A$3:$CO$999,89,FALSE),"unknown")</f>
        <v>Suffolk</v>
      </c>
      <c r="S138" s="120" t="str">
        <f>IFERROR(VLOOKUP(Table1[RespondentID],'All Data'!$A$3:$CO$999,90,FALSE),"unknown")</f>
        <v>Ridge, 11961</v>
      </c>
      <c r="T138" s="120" t="str">
        <f>IFERROR(VLOOKUP(Table1[RespondentID],'All Data'!$A$3:$CO$999,91,FALSE),"unknown")</f>
        <v>White</v>
      </c>
      <c r="U138" s="120" t="str">
        <f>IFERROR(VLOOKUP(Table1[RespondentID],'All Data'!$A$3:$CO$999,92,FALSE),"unknown")</f>
        <v>Not Hispanic or Latino</v>
      </c>
      <c r="V138" s="120" t="str">
        <f>IFERROR(VLOOKUP(Table1[RespondentID],'All Data'!$A$3:$CO$999,93,FALSE),"unknown")</f>
        <v>English, Spanish</v>
      </c>
      <c r="W138" s="120" t="str">
        <f>IFERROR(VLOOKUP(Table1[RespondentID],'All Data'!$A$3:$CW$999,94,FALSE),"unknown")</f>
        <v>Over $125,000</v>
      </c>
      <c r="X138" s="120" t="str">
        <f>IFERROR(VLOOKUP(Table1[RespondentID],'All Data'!$A$3:$CW$999,95,FALSE),"unknown")</f>
        <v>College graduate</v>
      </c>
      <c r="Y138" s="120" t="str">
        <f>IFERROR(VLOOKUP(Table1[RespondentID],'All Data'!$A$3:$CW$999,96,FALSE),"unknown")</f>
        <v>Retired</v>
      </c>
      <c r="Z138" s="120" t="str">
        <f>IFERROR(VLOOKUP(Table1[RespondentID],'All Data'!$A$3:$CW$999,97,FALSE),"unknown")</f>
        <v>Yes</v>
      </c>
      <c r="AA138" s="120" t="str">
        <f>IFERROR(VLOOKUP(Table1[RespondentID],'All Data'!$A$3:$CW$999,98,FALSE),"unknown")</f>
        <v>Medicare</v>
      </c>
      <c r="AB138" s="150" t="str">
        <f>IFERROR(VLOOKUP(Table1[RespondentID],'All Data'!$A$3:$CW$999,99,FALSE),"unknown")</f>
        <v>Yes</v>
      </c>
    </row>
    <row r="139" spans="1:28">
      <c r="A139" s="5">
        <v>18022392509</v>
      </c>
      <c r="B139" s="5" t="s">
        <v>64</v>
      </c>
      <c r="C139" s="5"/>
      <c r="D139" s="5"/>
      <c r="E139" s="5"/>
      <c r="F139" s="5"/>
      <c r="G139" s="5"/>
      <c r="H139" s="5"/>
      <c r="I139" s="5"/>
      <c r="J139" s="5"/>
      <c r="K139" s="5"/>
      <c r="L139" s="5"/>
      <c r="M139" s="5" t="s">
        <v>75</v>
      </c>
      <c r="N139" s="5"/>
      <c r="O139" s="145"/>
      <c r="P139" s="120" t="str">
        <f>IFERROR(VLOOKUP(Table1[RespondentID],'All Data'!$A$3:$CO$999,87,FALSE),"unknown")</f>
        <v>Woman</v>
      </c>
      <c r="Q139" s="120">
        <f>IFERROR(VLOOKUP(Table1[RespondentID],'All Data'!$A$3:$CO$999,88,FALSE),"unknown")</f>
        <v>64</v>
      </c>
      <c r="R139" s="120" t="str">
        <f>IFERROR(VLOOKUP(Table1[RespondentID],'All Data'!$A$3:$CO$999,89,FALSE),"unknown")</f>
        <v>Suffolk</v>
      </c>
      <c r="S139" s="120" t="str">
        <f>IFERROR(VLOOKUP(Table1[RespondentID],'All Data'!$A$3:$CO$999,90,FALSE),"unknown")</f>
        <v>West Sayville, 11796</v>
      </c>
      <c r="T139" s="120" t="str">
        <f>IFERROR(VLOOKUP(Table1[RespondentID],'All Data'!$A$3:$CO$999,91,FALSE),"unknown")</f>
        <v>White</v>
      </c>
      <c r="U139" s="120" t="str">
        <f>IFERROR(VLOOKUP(Table1[RespondentID],'All Data'!$A$3:$CO$999,92,FALSE),"unknown")</f>
        <v>Hispanic or Latino</v>
      </c>
      <c r="V139" s="120" t="str">
        <f>IFERROR(VLOOKUP(Table1[RespondentID],'All Data'!$A$3:$CO$999,93,FALSE),"unknown")</f>
        <v>English</v>
      </c>
      <c r="W139" s="120" t="str">
        <f>IFERROR(VLOOKUP(Table1[RespondentID],'All Data'!$A$3:$CW$999,94,FALSE),"unknown")</f>
        <v>$75,000 to $125,000</v>
      </c>
      <c r="X139" s="120" t="str">
        <f>IFERROR(VLOOKUP(Table1[RespondentID],'All Data'!$A$3:$CW$999,95,FALSE),"unknown")</f>
        <v>High school graduate</v>
      </c>
      <c r="Y139" s="120" t="str">
        <f>IFERROR(VLOOKUP(Table1[RespondentID],'All Data'!$A$3:$CW$999,96,FALSE),"unknown")</f>
        <v>Employed for wages</v>
      </c>
      <c r="Z139" s="120" t="str">
        <f>IFERROR(VLOOKUP(Table1[RespondentID],'All Data'!$A$3:$CW$999,97,FALSE),"unknown")</f>
        <v>Yes</v>
      </c>
      <c r="AA139" s="120" t="str">
        <f>IFERROR(VLOOKUP(Table1[RespondentID],'All Data'!$A$3:$CW$999,98,FALSE),"unknown")</f>
        <v>Private/Commercial</v>
      </c>
      <c r="AB139" s="150" t="str">
        <f>IFERROR(VLOOKUP(Table1[RespondentID],'All Data'!$A$3:$CW$999,99,FALSE),"unknown")</f>
        <v>Yes</v>
      </c>
    </row>
    <row r="140" spans="1:28">
      <c r="A140" s="5">
        <v>18022346650</v>
      </c>
      <c r="B140" s="5" t="s">
        <v>64</v>
      </c>
      <c r="C140" s="5"/>
      <c r="D140" s="5"/>
      <c r="E140" s="5"/>
      <c r="F140" s="5"/>
      <c r="G140" s="5"/>
      <c r="H140" s="5"/>
      <c r="I140" s="5"/>
      <c r="J140" s="5"/>
      <c r="K140" s="5"/>
      <c r="L140" s="5"/>
      <c r="M140" s="5" t="s">
        <v>75</v>
      </c>
      <c r="N140" s="5"/>
      <c r="O140" s="145"/>
      <c r="P140" s="120" t="str">
        <f>IFERROR(VLOOKUP(Table1[RespondentID],'All Data'!$A$3:$CO$999,87,FALSE),"unknown")</f>
        <v>Man</v>
      </c>
      <c r="Q140" s="120">
        <f>IFERROR(VLOOKUP(Table1[RespondentID],'All Data'!$A$3:$CO$999,88,FALSE),"unknown")</f>
        <v>37</v>
      </c>
      <c r="R140" s="120" t="str">
        <f>IFERROR(VLOOKUP(Table1[RespondentID],'All Data'!$A$3:$CO$999,89,FALSE),"unknown")</f>
        <v>Suffolk</v>
      </c>
      <c r="S140" s="120" t="str">
        <f>IFERROR(VLOOKUP(Table1[RespondentID],'All Data'!$A$3:$CO$999,90,FALSE),"unknown")</f>
        <v>Lake Grove, 11755</v>
      </c>
      <c r="T140" s="120" t="str">
        <f>IFERROR(VLOOKUP(Table1[RespondentID],'All Data'!$A$3:$CO$999,91,FALSE),"unknown")</f>
        <v>Other (please specify)</v>
      </c>
      <c r="U140" s="120" t="str">
        <f>IFERROR(VLOOKUP(Table1[RespondentID],'All Data'!$A$3:$CO$999,92,FALSE),"unknown")</f>
        <v>Not Hispanic or Latino</v>
      </c>
      <c r="V140" s="120" t="str">
        <f>IFERROR(VLOOKUP(Table1[RespondentID],'All Data'!$A$3:$CO$999,93,FALSE),"unknown")</f>
        <v>English, Spanish</v>
      </c>
      <c r="W140" s="120" t="str">
        <f>IFERROR(VLOOKUP(Table1[RespondentID],'All Data'!$A$3:$CW$999,94,FALSE),"unknown")</f>
        <v>Over $125,000</v>
      </c>
      <c r="X140" s="120">
        <f>IFERROR(VLOOKUP(Table1[RespondentID],'All Data'!$A$3:$CW$999,95,FALSE),"unknown")</f>
        <v>0</v>
      </c>
      <c r="Y140" s="120" t="str">
        <f>IFERROR(VLOOKUP(Table1[RespondentID],'All Data'!$A$3:$CW$999,96,FALSE),"unknown")</f>
        <v>Employed for wages</v>
      </c>
      <c r="Z140" s="120" t="str">
        <f>IFERROR(VLOOKUP(Table1[RespondentID],'All Data'!$A$3:$CW$999,97,FALSE),"unknown")</f>
        <v>Yes</v>
      </c>
      <c r="AA140" s="120" t="str">
        <f>IFERROR(VLOOKUP(Table1[RespondentID],'All Data'!$A$3:$CW$999,98,FALSE),"unknown")</f>
        <v>Private/Commercial</v>
      </c>
      <c r="AB140" s="150" t="str">
        <f>IFERROR(VLOOKUP(Table1[RespondentID],'All Data'!$A$3:$CW$999,99,FALSE),"unknown")</f>
        <v>Yes</v>
      </c>
    </row>
    <row r="141" spans="1:28">
      <c r="A141" s="5">
        <v>18022301049</v>
      </c>
      <c r="B141" s="5" t="s">
        <v>64</v>
      </c>
      <c r="C141" s="5"/>
      <c r="D141" s="5"/>
      <c r="E141" s="5"/>
      <c r="F141" s="5"/>
      <c r="G141" s="5"/>
      <c r="H141" s="5" t="s">
        <v>70</v>
      </c>
      <c r="I141" s="5"/>
      <c r="J141" s="5"/>
      <c r="K141" s="5" t="s">
        <v>73</v>
      </c>
      <c r="L141" s="5"/>
      <c r="M141" s="5"/>
      <c r="N141" s="5" t="s">
        <v>76</v>
      </c>
      <c r="O141" s="145"/>
      <c r="P141" s="120" t="str">
        <f>IFERROR(VLOOKUP(Table1[RespondentID],'All Data'!$A$3:$CO$999,87,FALSE),"unknown")</f>
        <v>Man</v>
      </c>
      <c r="Q141" s="120">
        <f>IFERROR(VLOOKUP(Table1[RespondentID],'All Data'!$A$3:$CO$999,88,FALSE),"unknown")</f>
        <v>16</v>
      </c>
      <c r="R141" s="120" t="str">
        <f>IFERROR(VLOOKUP(Table1[RespondentID],'All Data'!$A$3:$CO$999,89,FALSE),"unknown")</f>
        <v>Suffolk</v>
      </c>
      <c r="S141" s="120" t="str">
        <f>IFERROR(VLOOKUP(Table1[RespondentID],'All Data'!$A$3:$CO$999,90,FALSE),"unknown")</f>
        <v>Dix Hills, 11746</v>
      </c>
      <c r="T141" s="120" t="str">
        <f>IFERROR(VLOOKUP(Table1[RespondentID],'All Data'!$A$3:$CO$999,91,FALSE),"unknown")</f>
        <v>White</v>
      </c>
      <c r="U141" s="120" t="str">
        <f>IFERROR(VLOOKUP(Table1[RespondentID],'All Data'!$A$3:$CO$999,92,FALSE),"unknown")</f>
        <v>Not Hispanic or Latino</v>
      </c>
      <c r="V141" s="120" t="str">
        <f>IFERROR(VLOOKUP(Table1[RespondentID],'All Data'!$A$3:$CO$999,93,FALSE),"unknown")</f>
        <v>English</v>
      </c>
      <c r="W141" s="120" t="str">
        <f>IFERROR(VLOOKUP(Table1[RespondentID],'All Data'!$A$3:$CW$999,94,FALSE),"unknown")</f>
        <v>Over $125,000</v>
      </c>
      <c r="X141" s="120" t="str">
        <f>IFERROR(VLOOKUP(Table1[RespondentID],'All Data'!$A$3:$CW$999,95,FALSE),"unknown")</f>
        <v>Some high school</v>
      </c>
      <c r="Y141" s="120" t="str">
        <f>IFERROR(VLOOKUP(Table1[RespondentID],'All Data'!$A$3:$CW$999,96,FALSE),"unknown")</f>
        <v>Student</v>
      </c>
      <c r="Z141" s="120" t="str">
        <f>IFERROR(VLOOKUP(Table1[RespondentID],'All Data'!$A$3:$CW$999,97,FALSE),"unknown")</f>
        <v>Yes</v>
      </c>
      <c r="AA141" s="120" t="str">
        <f>IFERROR(VLOOKUP(Table1[RespondentID],'All Data'!$A$3:$CW$999,98,FALSE),"unknown")</f>
        <v>Medicaid</v>
      </c>
      <c r="AB141" s="150" t="str">
        <f>IFERROR(VLOOKUP(Table1[RespondentID],'All Data'!$A$3:$CW$999,99,FALSE),"unknown")</f>
        <v>Yes</v>
      </c>
    </row>
    <row r="142" spans="1:28">
      <c r="A142" s="5">
        <v>18022218440</v>
      </c>
      <c r="B142" s="5" t="s">
        <v>64</v>
      </c>
      <c r="C142" s="5"/>
      <c r="D142" s="5"/>
      <c r="E142" s="5" t="s">
        <v>67</v>
      </c>
      <c r="F142" s="5"/>
      <c r="G142" s="5"/>
      <c r="H142" s="5"/>
      <c r="I142" s="5"/>
      <c r="J142" s="5"/>
      <c r="K142" s="5" t="s">
        <v>73</v>
      </c>
      <c r="L142" s="5"/>
      <c r="M142" s="5"/>
      <c r="N142" s="5"/>
      <c r="O142" s="145"/>
      <c r="P142" s="120" t="str">
        <f>IFERROR(VLOOKUP(Table1[RespondentID],'All Data'!$A$3:$CO$999,87,FALSE),"unknown")</f>
        <v>Woman</v>
      </c>
      <c r="Q142" s="120">
        <f>IFERROR(VLOOKUP(Table1[RespondentID],'All Data'!$A$3:$CO$999,88,FALSE),"unknown")</f>
        <v>42</v>
      </c>
      <c r="R142" s="120" t="str">
        <f>IFERROR(VLOOKUP(Table1[RespondentID],'All Data'!$A$3:$CO$999,89,FALSE),"unknown")</f>
        <v>Suffolk</v>
      </c>
      <c r="S142" s="120" t="str">
        <f>IFERROR(VLOOKUP(Table1[RespondentID],'All Data'!$A$3:$CO$999,90,FALSE),"unknown")</f>
        <v>East Northport, 11731</v>
      </c>
      <c r="T142" s="120" t="str">
        <f>IFERROR(VLOOKUP(Table1[RespondentID],'All Data'!$A$3:$CO$999,91,FALSE),"unknown")</f>
        <v>White</v>
      </c>
      <c r="U142" s="120" t="str">
        <f>IFERROR(VLOOKUP(Table1[RespondentID],'All Data'!$A$3:$CO$999,92,FALSE),"unknown")</f>
        <v>Hispanic or Latino</v>
      </c>
      <c r="V142" s="120">
        <f>IFERROR(VLOOKUP(Table1[RespondentID],'All Data'!$A$3:$CO$999,93,FALSE),"unknown")</f>
        <v>0</v>
      </c>
      <c r="W142" s="120" t="str">
        <f>IFERROR(VLOOKUP(Table1[RespondentID],'All Data'!$A$3:$CW$999,94,FALSE),"unknown")</f>
        <v>Over $125,000</v>
      </c>
      <c r="X142" s="120" t="str">
        <f>IFERROR(VLOOKUP(Table1[RespondentID],'All Data'!$A$3:$CW$999,95,FALSE),"unknown")</f>
        <v>Graduate school</v>
      </c>
      <c r="Y142" s="120" t="str">
        <f>IFERROR(VLOOKUP(Table1[RespondentID],'All Data'!$A$3:$CW$999,96,FALSE),"unknown")</f>
        <v>Employed for wages</v>
      </c>
      <c r="Z142" s="120" t="str">
        <f>IFERROR(VLOOKUP(Table1[RespondentID],'All Data'!$A$3:$CW$999,97,FALSE),"unknown")</f>
        <v>Yes</v>
      </c>
      <c r="AA142" s="120" t="str">
        <f>IFERROR(VLOOKUP(Table1[RespondentID],'All Data'!$A$3:$CW$999,98,FALSE),"unknown")</f>
        <v>Private/Commercial</v>
      </c>
      <c r="AB142" s="150" t="str">
        <f>IFERROR(VLOOKUP(Table1[RespondentID],'All Data'!$A$3:$CW$999,99,FALSE),"unknown")</f>
        <v>Yes</v>
      </c>
    </row>
    <row r="143" spans="1:28">
      <c r="A143" s="5">
        <v>18022157625</v>
      </c>
      <c r="B143" s="5" t="s">
        <v>64</v>
      </c>
      <c r="C143" s="5"/>
      <c r="D143" s="5"/>
      <c r="E143" s="5"/>
      <c r="F143" s="5"/>
      <c r="G143" s="5"/>
      <c r="H143" s="5"/>
      <c r="I143" s="5"/>
      <c r="J143" s="5"/>
      <c r="K143" s="5"/>
      <c r="L143" s="5"/>
      <c r="M143" s="5"/>
      <c r="N143" s="5"/>
      <c r="O143" s="145"/>
      <c r="P143" s="120" t="str">
        <f>IFERROR(VLOOKUP(Table1[RespondentID],'All Data'!$A$3:$CO$999,87,FALSE),"unknown")</f>
        <v>Man</v>
      </c>
      <c r="Q143" s="120">
        <f>IFERROR(VLOOKUP(Table1[RespondentID],'All Data'!$A$3:$CO$999,88,FALSE),"unknown")</f>
        <v>20</v>
      </c>
      <c r="R143" s="120" t="str">
        <f>IFERROR(VLOOKUP(Table1[RespondentID],'All Data'!$A$3:$CO$999,89,FALSE),"unknown")</f>
        <v>Suffolk</v>
      </c>
      <c r="S143" s="120" t="str">
        <f>IFERROR(VLOOKUP(Table1[RespondentID],'All Data'!$A$3:$CO$999,90,FALSE),"unknown")</f>
        <v>Kings Park, 11754</v>
      </c>
      <c r="T143" s="120" t="str">
        <f>IFERROR(VLOOKUP(Table1[RespondentID],'All Data'!$A$3:$CO$999,91,FALSE),"unknown")</f>
        <v>White</v>
      </c>
      <c r="U143" s="120" t="str">
        <f>IFERROR(VLOOKUP(Table1[RespondentID],'All Data'!$A$3:$CO$999,92,FALSE),"unknown")</f>
        <v>Hispanic or Latino</v>
      </c>
      <c r="V143" s="120" t="str">
        <f>IFERROR(VLOOKUP(Table1[RespondentID],'All Data'!$A$3:$CO$999,93,FALSE),"unknown")</f>
        <v>English</v>
      </c>
      <c r="W143" s="120" t="str">
        <f>IFERROR(VLOOKUP(Table1[RespondentID],'All Data'!$A$3:$CW$999,94,FALSE),"unknown")</f>
        <v>Over $125,000</v>
      </c>
      <c r="X143" s="120" t="str">
        <f>IFERROR(VLOOKUP(Table1[RespondentID],'All Data'!$A$3:$CW$999,95,FALSE),"unknown")</f>
        <v>High school graduate</v>
      </c>
      <c r="Y143" s="120" t="str">
        <f>IFERROR(VLOOKUP(Table1[RespondentID],'All Data'!$A$3:$CW$999,96,FALSE),"unknown")</f>
        <v>Employed for wages</v>
      </c>
      <c r="Z143" s="120" t="str">
        <f>IFERROR(VLOOKUP(Table1[RespondentID],'All Data'!$A$3:$CW$999,97,FALSE),"unknown")</f>
        <v>Yes</v>
      </c>
      <c r="AA143" s="120" t="str">
        <f>IFERROR(VLOOKUP(Table1[RespondentID],'All Data'!$A$3:$CW$999,98,FALSE),"unknown")</f>
        <v>Medicare</v>
      </c>
      <c r="AB143" s="150">
        <f>IFERROR(VLOOKUP(Table1[RespondentID],'All Data'!$A$3:$CW$999,99,FALSE),"unknown")</f>
        <v>0</v>
      </c>
    </row>
    <row r="144" spans="1:28">
      <c r="A144" s="5">
        <v>18022157486</v>
      </c>
      <c r="B144" s="5" t="s">
        <v>64</v>
      </c>
      <c r="C144" s="5"/>
      <c r="D144" s="5" t="s">
        <v>66</v>
      </c>
      <c r="E144" s="5" t="s">
        <v>67</v>
      </c>
      <c r="F144" s="5"/>
      <c r="G144" s="5"/>
      <c r="H144" s="5"/>
      <c r="I144" s="5"/>
      <c r="J144" s="5"/>
      <c r="K144" s="5"/>
      <c r="L144" s="5"/>
      <c r="M144" s="5"/>
      <c r="N144" s="5"/>
      <c r="O144" s="145"/>
      <c r="P144" s="120" t="str">
        <f>IFERROR(VLOOKUP(Table1[RespondentID],'All Data'!$A$3:$CO$999,87,FALSE),"unknown")</f>
        <v>Woman</v>
      </c>
      <c r="Q144" s="120">
        <f>IFERROR(VLOOKUP(Table1[RespondentID],'All Data'!$A$3:$CO$999,88,FALSE),"unknown")</f>
        <v>18</v>
      </c>
      <c r="R144" s="120" t="str">
        <f>IFERROR(VLOOKUP(Table1[RespondentID],'All Data'!$A$3:$CO$999,89,FALSE),"unknown")</f>
        <v>Suffolk</v>
      </c>
      <c r="S144" s="120" t="str">
        <f>IFERROR(VLOOKUP(Table1[RespondentID],'All Data'!$A$3:$CO$999,90,FALSE),"unknown")</f>
        <v>Kings Park, 11754</v>
      </c>
      <c r="T144" s="120" t="str">
        <f>IFERROR(VLOOKUP(Table1[RespondentID],'All Data'!$A$3:$CO$999,91,FALSE),"unknown")</f>
        <v>White</v>
      </c>
      <c r="U144" s="120">
        <f>IFERROR(VLOOKUP(Table1[RespondentID],'All Data'!$A$3:$CO$999,92,FALSE),"unknown")</f>
        <v>0</v>
      </c>
      <c r="V144" s="120" t="str">
        <f>IFERROR(VLOOKUP(Table1[RespondentID],'All Data'!$A$3:$CO$999,93,FALSE),"unknown")</f>
        <v>English, Spanish</v>
      </c>
      <c r="W144" s="120" t="str">
        <f>IFERROR(VLOOKUP(Table1[RespondentID],'All Data'!$A$3:$CW$999,94,FALSE),"unknown")</f>
        <v>$0-$19,999</v>
      </c>
      <c r="X144" s="120" t="str">
        <f>IFERROR(VLOOKUP(Table1[RespondentID],'All Data'!$A$3:$CW$999,95,FALSE),"unknown")</f>
        <v>High school graduate</v>
      </c>
      <c r="Y144" s="120" t="str">
        <f>IFERROR(VLOOKUP(Table1[RespondentID],'All Data'!$A$3:$CW$999,96,FALSE),"unknown")</f>
        <v>Employed for wages</v>
      </c>
      <c r="Z144" s="120">
        <f>IFERROR(VLOOKUP(Table1[RespondentID],'All Data'!$A$3:$CW$999,97,FALSE),"unknown")</f>
        <v>0</v>
      </c>
      <c r="AA144" s="120" t="str">
        <f>IFERROR(VLOOKUP(Table1[RespondentID],'All Data'!$A$3:$CW$999,98,FALSE),"unknown")</f>
        <v>Private/Commercial</v>
      </c>
      <c r="AB144" s="150">
        <f>IFERROR(VLOOKUP(Table1[RespondentID],'All Data'!$A$3:$CW$999,99,FALSE),"unknown")</f>
        <v>0</v>
      </c>
    </row>
    <row r="145" spans="1:28">
      <c r="A145" s="5">
        <v>18022157371</v>
      </c>
      <c r="B145" s="5" t="s">
        <v>64</v>
      </c>
      <c r="C145" s="5"/>
      <c r="D145" s="5" t="s">
        <v>66</v>
      </c>
      <c r="E145" s="5"/>
      <c r="F145" s="5"/>
      <c r="G145" s="5"/>
      <c r="H145" s="5"/>
      <c r="I145" s="5"/>
      <c r="J145" s="5"/>
      <c r="K145" s="5"/>
      <c r="L145" s="5"/>
      <c r="M145" s="5" t="s">
        <v>75</v>
      </c>
      <c r="N145" s="5"/>
      <c r="O145" s="147"/>
      <c r="P145" s="120" t="str">
        <f>IFERROR(VLOOKUP(Table1[RespondentID],'All Data'!$A$3:$CO$999,87,FALSE),"unknown")</f>
        <v>Man</v>
      </c>
      <c r="Q145" s="120">
        <f>IFERROR(VLOOKUP(Table1[RespondentID],'All Data'!$A$3:$CO$999,88,FALSE),"unknown")</f>
        <v>42</v>
      </c>
      <c r="R145" s="120" t="str">
        <f>IFERROR(VLOOKUP(Table1[RespondentID],'All Data'!$A$3:$CO$999,89,FALSE),"unknown")</f>
        <v>Suffolk</v>
      </c>
      <c r="S145" s="120" t="str">
        <f>IFERROR(VLOOKUP(Table1[RespondentID],'All Data'!$A$3:$CO$999,90,FALSE),"unknown")</f>
        <v>Hauppauge, 11788</v>
      </c>
      <c r="T145" s="120" t="str">
        <f>IFERROR(VLOOKUP(Table1[RespondentID],'All Data'!$A$3:$CO$999,91,FALSE),"unknown")</f>
        <v>White</v>
      </c>
      <c r="U145" s="120" t="str">
        <f>IFERROR(VLOOKUP(Table1[RespondentID],'All Data'!$A$3:$CO$999,92,FALSE),"unknown")</f>
        <v>Hispanic or Latino</v>
      </c>
      <c r="V145" s="120" t="str">
        <f>IFERROR(VLOOKUP(Table1[RespondentID],'All Data'!$A$3:$CO$999,93,FALSE),"unknown")</f>
        <v>English</v>
      </c>
      <c r="W145" s="120" t="str">
        <f>IFERROR(VLOOKUP(Table1[RespondentID],'All Data'!$A$3:$CW$999,94,FALSE),"unknown")</f>
        <v>Over $125,000</v>
      </c>
      <c r="X145" s="120" t="str">
        <f>IFERROR(VLOOKUP(Table1[RespondentID],'All Data'!$A$3:$CW$999,95,FALSE),"unknown")</f>
        <v>Graduate school</v>
      </c>
      <c r="Y145" s="120" t="str">
        <f>IFERROR(VLOOKUP(Table1[RespondentID],'All Data'!$A$3:$CW$999,96,FALSE),"unknown")</f>
        <v>Employed for wages</v>
      </c>
      <c r="Z145" s="120" t="str">
        <f>IFERROR(VLOOKUP(Table1[RespondentID],'All Data'!$A$3:$CW$999,97,FALSE),"unknown")</f>
        <v>Yes</v>
      </c>
      <c r="AA145" s="120" t="str">
        <f>IFERROR(VLOOKUP(Table1[RespondentID],'All Data'!$A$3:$CW$999,98,FALSE),"unknown")</f>
        <v>Private/Commercial</v>
      </c>
      <c r="AB145" s="150">
        <f>IFERROR(VLOOKUP(Table1[RespondentID],'All Data'!$A$3:$CW$999,99,FALSE),"unknown")</f>
        <v>0</v>
      </c>
    </row>
    <row r="146" spans="1:28">
      <c r="A146" s="5">
        <v>18022157215</v>
      </c>
      <c r="B146" s="5" t="s">
        <v>64</v>
      </c>
      <c r="C146" s="5"/>
      <c r="D146" s="5" t="s">
        <v>66</v>
      </c>
      <c r="E146" s="5"/>
      <c r="F146" s="5"/>
      <c r="G146" s="5" t="s">
        <v>69</v>
      </c>
      <c r="H146" s="5"/>
      <c r="I146" s="5"/>
      <c r="J146" s="5"/>
      <c r="K146" s="5"/>
      <c r="L146" s="5"/>
      <c r="M146" s="5"/>
      <c r="N146" s="5"/>
      <c r="O146" s="147"/>
      <c r="P146" s="120" t="str">
        <f>IFERROR(VLOOKUP(Table1[RespondentID],'All Data'!$A$3:$CO$999,87,FALSE),"unknown")</f>
        <v>Man</v>
      </c>
      <c r="Q146" s="120">
        <f>IFERROR(VLOOKUP(Table1[RespondentID],'All Data'!$A$3:$CO$999,88,FALSE),"unknown")</f>
        <v>18</v>
      </c>
      <c r="R146" s="120" t="str">
        <f>IFERROR(VLOOKUP(Table1[RespondentID],'All Data'!$A$3:$CO$999,89,FALSE),"unknown")</f>
        <v>Suffolk</v>
      </c>
      <c r="S146" s="120" t="str">
        <f>IFERROR(VLOOKUP(Table1[RespondentID],'All Data'!$A$3:$CO$999,90,FALSE),"unknown")</f>
        <v>Kings Park, 11754</v>
      </c>
      <c r="T146" s="120" t="str">
        <f>IFERROR(VLOOKUP(Table1[RespondentID],'All Data'!$A$3:$CO$999,91,FALSE),"unknown")</f>
        <v>White</v>
      </c>
      <c r="U146" s="120" t="str">
        <f>IFERROR(VLOOKUP(Table1[RespondentID],'All Data'!$A$3:$CO$999,92,FALSE),"unknown")</f>
        <v>Hispanic or Latino</v>
      </c>
      <c r="V146" s="120" t="str">
        <f>IFERROR(VLOOKUP(Table1[RespondentID],'All Data'!$A$3:$CO$999,93,FALSE),"unknown")</f>
        <v>English</v>
      </c>
      <c r="W146" s="120" t="str">
        <f>IFERROR(VLOOKUP(Table1[RespondentID],'All Data'!$A$3:$CW$999,94,FALSE),"unknown")</f>
        <v>Over $125,000</v>
      </c>
      <c r="X146" s="120" t="str">
        <f>IFERROR(VLOOKUP(Table1[RespondentID],'All Data'!$A$3:$CW$999,95,FALSE),"unknown")</f>
        <v>High school graduate</v>
      </c>
      <c r="Y146" s="120" t="str">
        <f>IFERROR(VLOOKUP(Table1[RespondentID],'All Data'!$A$3:$CW$999,96,FALSE),"unknown")</f>
        <v>Student</v>
      </c>
      <c r="Z146" s="120">
        <f>IFERROR(VLOOKUP(Table1[RespondentID],'All Data'!$A$3:$CW$999,97,FALSE),"unknown")</f>
        <v>0</v>
      </c>
      <c r="AA146" s="120" t="str">
        <f>IFERROR(VLOOKUP(Table1[RespondentID],'All Data'!$A$3:$CW$999,98,FALSE),"unknown")</f>
        <v>Medicare</v>
      </c>
      <c r="AB146" s="150">
        <f>IFERROR(VLOOKUP(Table1[RespondentID],'All Data'!$A$3:$CW$999,99,FALSE),"unknown")</f>
        <v>0</v>
      </c>
    </row>
    <row r="147" spans="1:28">
      <c r="A147" s="5">
        <v>18022157058</v>
      </c>
      <c r="B147" s="5" t="s">
        <v>64</v>
      </c>
      <c r="C147" s="5"/>
      <c r="D147" s="5" t="s">
        <v>66</v>
      </c>
      <c r="E147" s="5" t="s">
        <v>67</v>
      </c>
      <c r="F147" s="5"/>
      <c r="G147" s="5"/>
      <c r="H147" s="5"/>
      <c r="I147" s="5"/>
      <c r="J147" s="5"/>
      <c r="K147" s="5"/>
      <c r="L147" s="5"/>
      <c r="M147" s="5"/>
      <c r="N147" s="5"/>
      <c r="O147" s="147"/>
      <c r="P147" s="120" t="str">
        <f>IFERROR(VLOOKUP(Table1[RespondentID],'All Data'!$A$3:$CO$999,87,FALSE),"unknown")</f>
        <v>Man</v>
      </c>
      <c r="Q147" s="120">
        <f>IFERROR(VLOOKUP(Table1[RespondentID],'All Data'!$A$3:$CO$999,88,FALSE),"unknown")</f>
        <v>18</v>
      </c>
      <c r="R147" s="120" t="str">
        <f>IFERROR(VLOOKUP(Table1[RespondentID],'All Data'!$A$3:$CO$999,89,FALSE),"unknown")</f>
        <v>Suffolk</v>
      </c>
      <c r="S147" s="120" t="str">
        <f>IFERROR(VLOOKUP(Table1[RespondentID],'All Data'!$A$3:$CO$999,90,FALSE),"unknown")</f>
        <v>Kings Park, 11754</v>
      </c>
      <c r="T147" s="120" t="str">
        <f>IFERROR(VLOOKUP(Table1[RespondentID],'All Data'!$A$3:$CO$999,91,FALSE),"unknown")</f>
        <v>White</v>
      </c>
      <c r="U147" s="120" t="str">
        <f>IFERROR(VLOOKUP(Table1[RespondentID],'All Data'!$A$3:$CO$999,92,FALSE),"unknown")</f>
        <v>Hispanic or Latino</v>
      </c>
      <c r="V147" s="120" t="str">
        <f>IFERROR(VLOOKUP(Table1[RespondentID],'All Data'!$A$3:$CO$999,93,FALSE),"unknown")</f>
        <v>English</v>
      </c>
      <c r="W147" s="120" t="str">
        <f>IFERROR(VLOOKUP(Table1[RespondentID],'All Data'!$A$3:$CW$999,94,FALSE),"unknown")</f>
        <v>$75,000 to $125,000</v>
      </c>
      <c r="X147" s="120" t="str">
        <f>IFERROR(VLOOKUP(Table1[RespondentID],'All Data'!$A$3:$CW$999,95,FALSE),"unknown")</f>
        <v>Some high school</v>
      </c>
      <c r="Y147" s="120" t="str">
        <f>IFERROR(VLOOKUP(Table1[RespondentID],'All Data'!$A$3:$CW$999,96,FALSE),"unknown")</f>
        <v>Self-employed</v>
      </c>
      <c r="Z147" s="120" t="str">
        <f>IFERROR(VLOOKUP(Table1[RespondentID],'All Data'!$A$3:$CW$999,97,FALSE),"unknown")</f>
        <v>Yes</v>
      </c>
      <c r="AA147" s="120">
        <f>IFERROR(VLOOKUP(Table1[RespondentID],'All Data'!$A$3:$CW$999,98,FALSE),"unknown")</f>
        <v>0</v>
      </c>
      <c r="AB147" s="150">
        <f>IFERROR(VLOOKUP(Table1[RespondentID],'All Data'!$A$3:$CW$999,99,FALSE),"unknown")</f>
        <v>0</v>
      </c>
    </row>
    <row r="148" spans="1:28">
      <c r="A148" s="5">
        <v>18022156869</v>
      </c>
      <c r="B148" s="5" t="s">
        <v>64</v>
      </c>
      <c r="C148" s="5"/>
      <c r="D148" s="5" t="s">
        <v>66</v>
      </c>
      <c r="E148" s="5" t="s">
        <v>67</v>
      </c>
      <c r="F148" s="5"/>
      <c r="G148" s="5"/>
      <c r="H148" s="5"/>
      <c r="I148" s="5"/>
      <c r="J148" s="5"/>
      <c r="K148" s="5"/>
      <c r="L148" s="5"/>
      <c r="M148" s="5" t="s">
        <v>75</v>
      </c>
      <c r="N148" s="5" t="s">
        <v>76</v>
      </c>
      <c r="O148" s="147"/>
      <c r="P148" s="120" t="str">
        <f>IFERROR(VLOOKUP(Table1[RespondentID],'All Data'!$A$3:$CO$999,87,FALSE),"unknown")</f>
        <v>Man</v>
      </c>
      <c r="Q148" s="120">
        <f>IFERROR(VLOOKUP(Table1[RespondentID],'All Data'!$A$3:$CO$999,88,FALSE),"unknown")</f>
        <v>18</v>
      </c>
      <c r="R148" s="120" t="str">
        <f>IFERROR(VLOOKUP(Table1[RespondentID],'All Data'!$A$3:$CO$999,89,FALSE),"unknown")</f>
        <v>Suffolk</v>
      </c>
      <c r="S148" s="120" t="str">
        <f>IFERROR(VLOOKUP(Table1[RespondentID],'All Data'!$A$3:$CO$999,90,FALSE),"unknown")</f>
        <v>Kings Park, 11754</v>
      </c>
      <c r="T148" s="120" t="str">
        <f>IFERROR(VLOOKUP(Table1[RespondentID],'All Data'!$A$3:$CO$999,91,FALSE),"unknown")</f>
        <v>White</v>
      </c>
      <c r="U148" s="120" t="str">
        <f>IFERROR(VLOOKUP(Table1[RespondentID],'All Data'!$A$3:$CO$999,92,FALSE),"unknown")</f>
        <v>Hispanic or Latino</v>
      </c>
      <c r="V148" s="120" t="str">
        <f>IFERROR(VLOOKUP(Table1[RespondentID],'All Data'!$A$3:$CO$999,93,FALSE),"unknown")</f>
        <v>English</v>
      </c>
      <c r="W148" s="120" t="str">
        <f>IFERROR(VLOOKUP(Table1[RespondentID],'All Data'!$A$3:$CW$999,94,FALSE),"unknown")</f>
        <v>Over $125,000</v>
      </c>
      <c r="X148" s="120" t="str">
        <f>IFERROR(VLOOKUP(Table1[RespondentID],'All Data'!$A$3:$CW$999,95,FALSE),"unknown")</f>
        <v>Other (please specify)</v>
      </c>
      <c r="Y148" s="120" t="str">
        <f>IFERROR(VLOOKUP(Table1[RespondentID],'All Data'!$A$3:$CW$999,96,FALSE),"unknown")</f>
        <v>Employed for wages</v>
      </c>
      <c r="Z148" s="120" t="str">
        <f>IFERROR(VLOOKUP(Table1[RespondentID],'All Data'!$A$3:$CW$999,97,FALSE),"unknown")</f>
        <v>Yes</v>
      </c>
      <c r="AA148" s="120" t="str">
        <f>IFERROR(VLOOKUP(Table1[RespondentID],'All Data'!$A$3:$CW$999,98,FALSE),"unknown")</f>
        <v>Medicare</v>
      </c>
      <c r="AB148" s="150">
        <f>IFERROR(VLOOKUP(Table1[RespondentID],'All Data'!$A$3:$CW$999,99,FALSE),"unknown")</f>
        <v>0</v>
      </c>
    </row>
    <row r="149" spans="1:28">
      <c r="A149" s="5">
        <v>18022156726</v>
      </c>
      <c r="B149" s="5" t="s">
        <v>64</v>
      </c>
      <c r="C149" s="5"/>
      <c r="D149" s="5"/>
      <c r="E149" s="5"/>
      <c r="F149" s="5"/>
      <c r="G149" s="5"/>
      <c r="H149" s="5"/>
      <c r="I149" s="5"/>
      <c r="J149" s="5"/>
      <c r="K149" s="5"/>
      <c r="L149" s="5"/>
      <c r="M149" s="5"/>
      <c r="N149" s="5"/>
      <c r="O149" s="147"/>
      <c r="P149" s="120" t="str">
        <f>IFERROR(VLOOKUP(Table1[RespondentID],'All Data'!$A$3:$CO$999,87,FALSE),"unknown")</f>
        <v>Man</v>
      </c>
      <c r="Q149" s="120">
        <f>IFERROR(VLOOKUP(Table1[RespondentID],'All Data'!$A$3:$CO$999,88,FALSE),"unknown")</f>
        <v>39</v>
      </c>
      <c r="R149" s="120" t="str">
        <f>IFERROR(VLOOKUP(Table1[RespondentID],'All Data'!$A$3:$CO$999,89,FALSE),"unknown")</f>
        <v>Suffolk</v>
      </c>
      <c r="S149" s="120" t="str">
        <f>IFERROR(VLOOKUP(Table1[RespondentID],'All Data'!$A$3:$CO$999,90,FALSE),"unknown")</f>
        <v>Medford, 11763</v>
      </c>
      <c r="T149" s="120" t="str">
        <f>IFERROR(VLOOKUP(Table1[RespondentID],'All Data'!$A$3:$CO$999,91,FALSE),"unknown")</f>
        <v>White</v>
      </c>
      <c r="U149" s="120" t="str">
        <f>IFERROR(VLOOKUP(Table1[RespondentID],'All Data'!$A$3:$CO$999,92,FALSE),"unknown")</f>
        <v>Hispanic or Latino</v>
      </c>
      <c r="V149" s="120" t="str">
        <f>IFERROR(VLOOKUP(Table1[RespondentID],'All Data'!$A$3:$CO$999,93,FALSE),"unknown")</f>
        <v>English</v>
      </c>
      <c r="W149" s="120" t="str">
        <f>IFERROR(VLOOKUP(Table1[RespondentID],'All Data'!$A$3:$CW$999,94,FALSE),"unknown")</f>
        <v>Over $125,000</v>
      </c>
      <c r="X149" s="120" t="str">
        <f>IFERROR(VLOOKUP(Table1[RespondentID],'All Data'!$A$3:$CW$999,95,FALSE),"unknown")</f>
        <v>Graduate school</v>
      </c>
      <c r="Y149" s="120" t="str">
        <f>IFERROR(VLOOKUP(Table1[RespondentID],'All Data'!$A$3:$CW$999,96,FALSE),"unknown")</f>
        <v>Employed for wages</v>
      </c>
      <c r="Z149" s="120" t="str">
        <f>IFERROR(VLOOKUP(Table1[RespondentID],'All Data'!$A$3:$CW$999,97,FALSE),"unknown")</f>
        <v>Yes</v>
      </c>
      <c r="AA149" s="120">
        <f>IFERROR(VLOOKUP(Table1[RespondentID],'All Data'!$A$3:$CW$999,98,FALSE),"unknown")</f>
        <v>0</v>
      </c>
      <c r="AB149" s="150">
        <f>IFERROR(VLOOKUP(Table1[RespondentID],'All Data'!$A$3:$CW$999,99,FALSE),"unknown")</f>
        <v>0</v>
      </c>
    </row>
    <row r="150" spans="1:28">
      <c r="A150" s="5">
        <v>18022156601</v>
      </c>
      <c r="B150" s="5" t="s">
        <v>64</v>
      </c>
      <c r="C150" s="5"/>
      <c r="D150" s="5" t="s">
        <v>66</v>
      </c>
      <c r="E150" s="5" t="s">
        <v>67</v>
      </c>
      <c r="F150" s="5"/>
      <c r="G150" s="5"/>
      <c r="H150" s="5"/>
      <c r="I150" s="5"/>
      <c r="J150" s="5"/>
      <c r="K150" s="5"/>
      <c r="L150" s="5"/>
      <c r="M150" s="5"/>
      <c r="N150" s="5"/>
      <c r="O150" s="147"/>
      <c r="P150" s="120" t="str">
        <f>IFERROR(VLOOKUP(Table1[RespondentID],'All Data'!$A$3:$CO$999,87,FALSE),"unknown")</f>
        <v>Man</v>
      </c>
      <c r="Q150" s="120">
        <f>IFERROR(VLOOKUP(Table1[RespondentID],'All Data'!$A$3:$CO$999,88,FALSE),"unknown")</f>
        <v>49</v>
      </c>
      <c r="R150" s="120" t="str">
        <f>IFERROR(VLOOKUP(Table1[RespondentID],'All Data'!$A$3:$CO$999,89,FALSE),"unknown")</f>
        <v>Suffolk</v>
      </c>
      <c r="S150" s="120" t="str">
        <f>IFERROR(VLOOKUP(Table1[RespondentID],'All Data'!$A$3:$CO$999,90,FALSE),"unknown")</f>
        <v>Kings Park, 11754</v>
      </c>
      <c r="T150" s="120" t="str">
        <f>IFERROR(VLOOKUP(Table1[RespondentID],'All Data'!$A$3:$CO$999,91,FALSE),"unknown")</f>
        <v>White</v>
      </c>
      <c r="U150" s="120" t="str">
        <f>IFERROR(VLOOKUP(Table1[RespondentID],'All Data'!$A$3:$CO$999,92,FALSE),"unknown")</f>
        <v>Hispanic or Latino</v>
      </c>
      <c r="V150" s="120" t="str">
        <f>IFERROR(VLOOKUP(Table1[RespondentID],'All Data'!$A$3:$CO$999,93,FALSE),"unknown")</f>
        <v>English</v>
      </c>
      <c r="W150" s="120" t="str">
        <f>IFERROR(VLOOKUP(Table1[RespondentID],'All Data'!$A$3:$CW$999,94,FALSE),"unknown")</f>
        <v>Over $125,000</v>
      </c>
      <c r="X150" s="120" t="str">
        <f>IFERROR(VLOOKUP(Table1[RespondentID],'All Data'!$A$3:$CW$999,95,FALSE),"unknown")</f>
        <v>High school graduate</v>
      </c>
      <c r="Y150" s="120" t="str">
        <f>IFERROR(VLOOKUP(Table1[RespondentID],'All Data'!$A$3:$CW$999,96,FALSE),"unknown")</f>
        <v>Out of work, but not currently looking</v>
      </c>
      <c r="Z150" s="120" t="str">
        <f>IFERROR(VLOOKUP(Table1[RespondentID],'All Data'!$A$3:$CW$999,97,FALSE),"unknown")</f>
        <v>Yes</v>
      </c>
      <c r="AA150" s="120" t="str">
        <f>IFERROR(VLOOKUP(Table1[RespondentID],'All Data'!$A$3:$CW$999,98,FALSE),"unknown")</f>
        <v>Private/Commercial</v>
      </c>
      <c r="AB150" s="150">
        <f>IFERROR(VLOOKUP(Table1[RespondentID],'All Data'!$A$3:$CW$999,99,FALSE),"unknown")</f>
        <v>0</v>
      </c>
    </row>
    <row r="151" spans="1:28">
      <c r="A151" s="5">
        <v>18022142040</v>
      </c>
      <c r="B151" s="5" t="s">
        <v>64</v>
      </c>
      <c r="C151" s="5"/>
      <c r="D151" s="5"/>
      <c r="E151" s="5"/>
      <c r="F151" s="5"/>
      <c r="G151" s="5" t="s">
        <v>69</v>
      </c>
      <c r="H151" s="5" t="s">
        <v>70</v>
      </c>
      <c r="I151" s="5"/>
      <c r="J151" s="5"/>
      <c r="K151" s="5"/>
      <c r="L151" s="5"/>
      <c r="M151" s="5"/>
      <c r="N151" s="5"/>
      <c r="O151" s="147"/>
      <c r="P151" s="120" t="str">
        <f>IFERROR(VLOOKUP(Table1[RespondentID],'All Data'!$A$3:$CO$999,87,FALSE),"unknown")</f>
        <v>Woman</v>
      </c>
      <c r="Q151" s="120">
        <f>IFERROR(VLOOKUP(Table1[RespondentID],'All Data'!$A$3:$CO$999,88,FALSE),"unknown")</f>
        <v>37</v>
      </c>
      <c r="R151" s="120" t="str">
        <f>IFERROR(VLOOKUP(Table1[RespondentID],'All Data'!$A$3:$CO$999,89,FALSE),"unknown")</f>
        <v>Suffolk</v>
      </c>
      <c r="S151" s="120" t="str">
        <f>IFERROR(VLOOKUP(Table1[RespondentID],'All Data'!$A$3:$CO$999,90,FALSE),"unknown")</f>
        <v>Miller Place, 11764</v>
      </c>
      <c r="T151" s="120" t="str">
        <f>IFERROR(VLOOKUP(Table1[RespondentID],'All Data'!$A$3:$CO$999,91,FALSE),"unknown")</f>
        <v>White</v>
      </c>
      <c r="U151" s="120" t="str">
        <f>IFERROR(VLOOKUP(Table1[RespondentID],'All Data'!$A$3:$CO$999,92,FALSE),"unknown")</f>
        <v>Hispanic or Latino</v>
      </c>
      <c r="V151" s="120" t="str">
        <f>IFERROR(VLOOKUP(Table1[RespondentID],'All Data'!$A$3:$CO$999,93,FALSE),"unknown")</f>
        <v>English</v>
      </c>
      <c r="W151" s="120" t="str">
        <f>IFERROR(VLOOKUP(Table1[RespondentID],'All Data'!$A$3:$CW$999,94,FALSE),"unknown")</f>
        <v>Over $125,000</v>
      </c>
      <c r="X151" s="120" t="str">
        <f>IFERROR(VLOOKUP(Table1[RespondentID],'All Data'!$A$3:$CW$999,95,FALSE),"unknown")</f>
        <v>Graduate school</v>
      </c>
      <c r="Y151" s="120" t="str">
        <f>IFERROR(VLOOKUP(Table1[RespondentID],'All Data'!$A$3:$CW$999,96,FALSE),"unknown")</f>
        <v>Employed for wages</v>
      </c>
      <c r="Z151" s="120" t="str">
        <f>IFERROR(VLOOKUP(Table1[RespondentID],'All Data'!$A$3:$CW$999,97,FALSE),"unknown")</f>
        <v>Yes</v>
      </c>
      <c r="AA151" s="120" t="str">
        <f>IFERROR(VLOOKUP(Table1[RespondentID],'All Data'!$A$3:$CW$999,98,FALSE),"unknown")</f>
        <v>Private/Commercial</v>
      </c>
      <c r="AB151" s="150" t="str">
        <f>IFERROR(VLOOKUP(Table1[RespondentID],'All Data'!$A$3:$CW$999,99,FALSE),"unknown")</f>
        <v>Yes</v>
      </c>
    </row>
    <row r="152" spans="1:28">
      <c r="A152" s="5">
        <v>18022097237</v>
      </c>
      <c r="B152" s="5" t="s">
        <v>64</v>
      </c>
      <c r="C152" s="5"/>
      <c r="D152" s="5"/>
      <c r="E152" s="5"/>
      <c r="F152" s="5"/>
      <c r="G152" s="5"/>
      <c r="H152" s="5" t="s">
        <v>70</v>
      </c>
      <c r="I152" s="5"/>
      <c r="J152" s="5"/>
      <c r="K152" s="5"/>
      <c r="L152" s="5"/>
      <c r="M152" s="5" t="s">
        <v>75</v>
      </c>
      <c r="N152" s="5"/>
      <c r="O152" s="147"/>
      <c r="P152" s="120" t="str">
        <f>IFERROR(VLOOKUP(Table1[RespondentID],'All Data'!$A$3:$CO$999,87,FALSE),"unknown")</f>
        <v>Man</v>
      </c>
      <c r="Q152" s="120">
        <f>IFERROR(VLOOKUP(Table1[RespondentID],'All Data'!$A$3:$CO$999,88,FALSE),"unknown")</f>
        <v>38</v>
      </c>
      <c r="R152" s="120" t="str">
        <f>IFERROR(VLOOKUP(Table1[RespondentID],'All Data'!$A$3:$CO$999,89,FALSE),"unknown")</f>
        <v>Suffolk</v>
      </c>
      <c r="S152" s="120" t="str">
        <f>IFERROR(VLOOKUP(Table1[RespondentID],'All Data'!$A$3:$CO$999,90,FALSE),"unknown")</f>
        <v>Saint James, 11780</v>
      </c>
      <c r="T152" s="120" t="str">
        <f>IFERROR(VLOOKUP(Table1[RespondentID],'All Data'!$A$3:$CO$999,91,FALSE),"unknown")</f>
        <v>White</v>
      </c>
      <c r="U152" s="120" t="str">
        <f>IFERROR(VLOOKUP(Table1[RespondentID],'All Data'!$A$3:$CO$999,92,FALSE),"unknown")</f>
        <v>Hispanic or Latino</v>
      </c>
      <c r="V152" s="120" t="str">
        <f>IFERROR(VLOOKUP(Table1[RespondentID],'All Data'!$A$3:$CO$999,93,FALSE),"unknown")</f>
        <v>English</v>
      </c>
      <c r="W152" s="120" t="str">
        <f>IFERROR(VLOOKUP(Table1[RespondentID],'All Data'!$A$3:$CW$999,94,FALSE),"unknown")</f>
        <v>Over $125,000</v>
      </c>
      <c r="X152" s="120" t="str">
        <f>IFERROR(VLOOKUP(Table1[RespondentID],'All Data'!$A$3:$CW$999,95,FALSE),"unknown")</f>
        <v>Graduate school</v>
      </c>
      <c r="Y152" s="120" t="str">
        <f>IFERROR(VLOOKUP(Table1[RespondentID],'All Data'!$A$3:$CW$999,96,FALSE),"unknown")</f>
        <v>Employed for wages</v>
      </c>
      <c r="Z152" s="120" t="str">
        <f>IFERROR(VLOOKUP(Table1[RespondentID],'All Data'!$A$3:$CW$999,97,FALSE),"unknown")</f>
        <v>Yes</v>
      </c>
      <c r="AA152" s="120" t="str">
        <f>IFERROR(VLOOKUP(Table1[RespondentID],'All Data'!$A$3:$CW$999,98,FALSE),"unknown")</f>
        <v>Private/Commercial</v>
      </c>
      <c r="AB152" s="150" t="str">
        <f>IFERROR(VLOOKUP(Table1[RespondentID],'All Data'!$A$3:$CW$999,99,FALSE),"unknown")</f>
        <v>Yes</v>
      </c>
    </row>
    <row r="153" spans="1:28">
      <c r="A153" s="5">
        <v>18022088692</v>
      </c>
      <c r="B153" s="5" t="s">
        <v>64</v>
      </c>
      <c r="C153" s="5"/>
      <c r="D153" s="5"/>
      <c r="E153" s="5"/>
      <c r="F153" s="5" t="s">
        <v>68</v>
      </c>
      <c r="G153" s="5" t="s">
        <v>69</v>
      </c>
      <c r="H153" s="5"/>
      <c r="I153" s="5"/>
      <c r="J153" s="5"/>
      <c r="K153" s="5"/>
      <c r="L153" s="5"/>
      <c r="M153" s="5" t="s">
        <v>75</v>
      </c>
      <c r="N153" s="5"/>
      <c r="O153" s="147"/>
      <c r="P153" s="120" t="str">
        <f>IFERROR(VLOOKUP(Table1[RespondentID],'All Data'!$A$3:$CO$999,87,FALSE),"unknown")</f>
        <v>Man</v>
      </c>
      <c r="Q153" s="120">
        <f>IFERROR(VLOOKUP(Table1[RespondentID],'All Data'!$A$3:$CO$999,88,FALSE),"unknown")</f>
        <v>50</v>
      </c>
      <c r="R153" s="120" t="str">
        <f>IFERROR(VLOOKUP(Table1[RespondentID],'All Data'!$A$3:$CO$999,89,FALSE),"unknown")</f>
        <v>Suffolk</v>
      </c>
      <c r="S153" s="120" t="str">
        <f>IFERROR(VLOOKUP(Table1[RespondentID],'All Data'!$A$3:$CO$999,90,FALSE),"unknown")</f>
        <v>Saint James, 11780</v>
      </c>
      <c r="T153" s="120" t="str">
        <f>IFERROR(VLOOKUP(Table1[RespondentID],'All Data'!$A$3:$CO$999,91,FALSE),"unknown")</f>
        <v>White</v>
      </c>
      <c r="U153" s="120" t="str">
        <f>IFERROR(VLOOKUP(Table1[RespondentID],'All Data'!$A$3:$CO$999,92,FALSE),"unknown")</f>
        <v>Hispanic or Latino</v>
      </c>
      <c r="V153" s="120" t="str">
        <f>IFERROR(VLOOKUP(Table1[RespondentID],'All Data'!$A$3:$CO$999,93,FALSE),"unknown")</f>
        <v>English</v>
      </c>
      <c r="W153" s="120" t="str">
        <f>IFERROR(VLOOKUP(Table1[RespondentID],'All Data'!$A$3:$CW$999,94,FALSE),"unknown")</f>
        <v>Over $125,000</v>
      </c>
      <c r="X153" s="120" t="str">
        <f>IFERROR(VLOOKUP(Table1[RespondentID],'All Data'!$A$3:$CW$999,95,FALSE),"unknown")</f>
        <v>Graduate school</v>
      </c>
      <c r="Y153" s="120" t="str">
        <f>IFERROR(VLOOKUP(Table1[RespondentID],'All Data'!$A$3:$CW$999,96,FALSE),"unknown")</f>
        <v>Employed for wages</v>
      </c>
      <c r="Z153" s="120" t="str">
        <f>IFERROR(VLOOKUP(Table1[RespondentID],'All Data'!$A$3:$CW$999,97,FALSE),"unknown")</f>
        <v>Yes</v>
      </c>
      <c r="AA153" s="120" t="str">
        <f>IFERROR(VLOOKUP(Table1[RespondentID],'All Data'!$A$3:$CW$999,98,FALSE),"unknown")</f>
        <v>Private/Commercial</v>
      </c>
      <c r="AB153" s="150" t="str">
        <f>IFERROR(VLOOKUP(Table1[RespondentID],'All Data'!$A$3:$CW$999,99,FALSE),"unknown")</f>
        <v>Yes</v>
      </c>
    </row>
    <row r="154" spans="1:28">
      <c r="A154" s="5">
        <v>18022063568</v>
      </c>
      <c r="B154" s="5" t="s">
        <v>64</v>
      </c>
      <c r="C154" s="5"/>
      <c r="D154" s="5"/>
      <c r="E154" s="5"/>
      <c r="F154" s="5" t="s">
        <v>68</v>
      </c>
      <c r="G154" s="5"/>
      <c r="H154" s="5"/>
      <c r="I154" s="5"/>
      <c r="J154" s="5"/>
      <c r="K154" s="5"/>
      <c r="L154" s="5"/>
      <c r="M154" s="5" t="s">
        <v>75</v>
      </c>
      <c r="N154" s="5"/>
      <c r="O154" s="147"/>
      <c r="P154" s="120" t="str">
        <f>IFERROR(VLOOKUP(Table1[RespondentID],'All Data'!$A$3:$CO$999,87,FALSE),"unknown")</f>
        <v>Man</v>
      </c>
      <c r="Q154" s="120">
        <f>IFERROR(VLOOKUP(Table1[RespondentID],'All Data'!$A$3:$CO$999,88,FALSE),"unknown")</f>
        <v>66</v>
      </c>
      <c r="R154" s="120" t="str">
        <f>IFERROR(VLOOKUP(Table1[RespondentID],'All Data'!$A$3:$CO$999,89,FALSE),"unknown")</f>
        <v>Suffolk</v>
      </c>
      <c r="S154" s="120" t="str">
        <f>IFERROR(VLOOKUP(Table1[RespondentID],'All Data'!$A$3:$CO$999,90,FALSE),"unknown")</f>
        <v>Islip Manor, 11751</v>
      </c>
      <c r="T154" s="120" t="str">
        <f>IFERROR(VLOOKUP(Table1[RespondentID],'All Data'!$A$3:$CO$999,91,FALSE),"unknown")</f>
        <v>White</v>
      </c>
      <c r="U154" s="120" t="str">
        <f>IFERROR(VLOOKUP(Table1[RespondentID],'All Data'!$A$3:$CO$999,92,FALSE),"unknown")</f>
        <v>Hispanic or Latino</v>
      </c>
      <c r="V154" s="120" t="str">
        <f>IFERROR(VLOOKUP(Table1[RespondentID],'All Data'!$A$3:$CO$999,93,FALSE),"unknown")</f>
        <v>English</v>
      </c>
      <c r="W154" s="120" t="str">
        <f>IFERROR(VLOOKUP(Table1[RespondentID],'All Data'!$A$3:$CW$999,94,FALSE),"unknown")</f>
        <v>$75,000 to $125,000</v>
      </c>
      <c r="X154" s="120" t="str">
        <f>IFERROR(VLOOKUP(Table1[RespondentID],'All Data'!$A$3:$CW$999,95,FALSE),"unknown")</f>
        <v>College graduate</v>
      </c>
      <c r="Y154" s="120" t="str">
        <f>IFERROR(VLOOKUP(Table1[RespondentID],'All Data'!$A$3:$CW$999,96,FALSE),"unknown")</f>
        <v>Retired</v>
      </c>
      <c r="Z154" s="120" t="str">
        <f>IFERROR(VLOOKUP(Table1[RespondentID],'All Data'!$A$3:$CW$999,97,FALSE),"unknown")</f>
        <v>Yes</v>
      </c>
      <c r="AA154" s="120" t="str">
        <f>IFERROR(VLOOKUP(Table1[RespondentID],'All Data'!$A$3:$CW$999,98,FALSE),"unknown")</f>
        <v>Medicare, Private/Commercial</v>
      </c>
      <c r="AB154" s="150" t="str">
        <f>IFERROR(VLOOKUP(Table1[RespondentID],'All Data'!$A$3:$CW$999,99,FALSE),"unknown")</f>
        <v>Yes</v>
      </c>
    </row>
    <row r="155" spans="1:28">
      <c r="A155" s="5">
        <v>18021911363</v>
      </c>
      <c r="B155" s="5"/>
      <c r="C155" s="5"/>
      <c r="D155" s="5"/>
      <c r="E155" s="5"/>
      <c r="F155" s="5"/>
      <c r="G155" s="5"/>
      <c r="H155" s="5"/>
      <c r="I155" s="5"/>
      <c r="J155" s="5"/>
      <c r="K155" s="5"/>
      <c r="L155" s="5"/>
      <c r="M155" s="5" t="s">
        <v>75</v>
      </c>
      <c r="N155" s="5"/>
      <c r="O155" s="147"/>
      <c r="P155" s="120" t="str">
        <f>IFERROR(VLOOKUP(Table1[RespondentID],'All Data'!$A$3:$CO$999,87,FALSE),"unknown")</f>
        <v>Man</v>
      </c>
      <c r="Q155" s="120">
        <f>IFERROR(VLOOKUP(Table1[RespondentID],'All Data'!$A$3:$CO$999,88,FALSE),"unknown")</f>
        <v>40</v>
      </c>
      <c r="R155" s="120" t="str">
        <f>IFERROR(VLOOKUP(Table1[RespondentID],'All Data'!$A$3:$CO$999,89,FALSE),"unknown")</f>
        <v>Suffolk</v>
      </c>
      <c r="S155" s="120" t="str">
        <f>IFERROR(VLOOKUP(Table1[RespondentID],'All Data'!$A$3:$CO$999,90,FALSE),"unknown")</f>
        <v>Deer Park, 11729</v>
      </c>
      <c r="T155" s="120" t="str">
        <f>IFERROR(VLOOKUP(Table1[RespondentID],'All Data'!$A$3:$CO$999,91,FALSE),"unknown")</f>
        <v>White</v>
      </c>
      <c r="U155" s="120" t="str">
        <f>IFERROR(VLOOKUP(Table1[RespondentID],'All Data'!$A$3:$CO$999,92,FALSE),"unknown")</f>
        <v>Hispanic or Latino</v>
      </c>
      <c r="V155" s="120" t="str">
        <f>IFERROR(VLOOKUP(Table1[RespondentID],'All Data'!$A$3:$CO$999,93,FALSE),"unknown")</f>
        <v>English</v>
      </c>
      <c r="W155" s="120" t="str">
        <f>IFERROR(VLOOKUP(Table1[RespondentID],'All Data'!$A$3:$CW$999,94,FALSE),"unknown")</f>
        <v>$75,000 to $125,000</v>
      </c>
      <c r="X155" s="120" t="str">
        <f>IFERROR(VLOOKUP(Table1[RespondentID],'All Data'!$A$3:$CW$999,95,FALSE),"unknown")</f>
        <v>Graduate school</v>
      </c>
      <c r="Y155" s="120" t="str">
        <f>IFERROR(VLOOKUP(Table1[RespondentID],'All Data'!$A$3:$CW$999,96,FALSE),"unknown")</f>
        <v>Employed for wages</v>
      </c>
      <c r="Z155" s="120" t="str">
        <f>IFERROR(VLOOKUP(Table1[RespondentID],'All Data'!$A$3:$CW$999,97,FALSE),"unknown")</f>
        <v>Yes</v>
      </c>
      <c r="AA155" s="120" t="str">
        <f>IFERROR(VLOOKUP(Table1[RespondentID],'All Data'!$A$3:$CW$999,98,FALSE),"unknown")</f>
        <v>Private/Commercial</v>
      </c>
      <c r="AB155" s="150" t="str">
        <f>IFERROR(VLOOKUP(Table1[RespondentID],'All Data'!$A$3:$CW$999,99,FALSE),"unknown")</f>
        <v>Yes</v>
      </c>
    </row>
    <row r="156" spans="1:28">
      <c r="A156" s="5">
        <v>18021903702</v>
      </c>
      <c r="B156" s="5" t="s">
        <v>64</v>
      </c>
      <c r="C156" s="5"/>
      <c r="D156" s="5" t="s">
        <v>66</v>
      </c>
      <c r="E156" s="5"/>
      <c r="F156" s="5"/>
      <c r="G156" s="5"/>
      <c r="H156" s="5"/>
      <c r="I156" s="5"/>
      <c r="J156" s="5"/>
      <c r="K156" s="5"/>
      <c r="L156" s="5"/>
      <c r="M156" s="5" t="s">
        <v>75</v>
      </c>
      <c r="N156" s="5"/>
      <c r="O156" s="147"/>
      <c r="P156" s="120" t="str">
        <f>IFERROR(VLOOKUP(Table1[RespondentID],'All Data'!$A$3:$CO$999,87,FALSE),"unknown")</f>
        <v>Man</v>
      </c>
      <c r="Q156" s="120">
        <f>IFERROR(VLOOKUP(Table1[RespondentID],'All Data'!$A$3:$CO$999,88,FALSE),"unknown")</f>
        <v>49</v>
      </c>
      <c r="R156" s="120" t="str">
        <f>IFERROR(VLOOKUP(Table1[RespondentID],'All Data'!$A$3:$CO$999,89,FALSE),"unknown")</f>
        <v>Suffolk</v>
      </c>
      <c r="S156" s="120" t="str">
        <f>IFERROR(VLOOKUP(Table1[RespondentID],'All Data'!$A$3:$CO$999,90,FALSE),"unknown")</f>
        <v>Copiague, 11726</v>
      </c>
      <c r="T156" s="120" t="str">
        <f>IFERROR(VLOOKUP(Table1[RespondentID],'All Data'!$A$3:$CO$999,91,FALSE),"unknown")</f>
        <v>Other (please specify)</v>
      </c>
      <c r="U156" s="120" t="str">
        <f>IFERROR(VLOOKUP(Table1[RespondentID],'All Data'!$A$3:$CO$999,92,FALSE),"unknown")</f>
        <v>Not Hispanic or Latino</v>
      </c>
      <c r="V156" s="120" t="str">
        <f>IFERROR(VLOOKUP(Table1[RespondentID],'All Data'!$A$3:$CO$999,93,FALSE),"unknown")</f>
        <v>English</v>
      </c>
      <c r="W156" s="120" t="str">
        <f>IFERROR(VLOOKUP(Table1[RespondentID],'All Data'!$A$3:$CW$999,94,FALSE),"unknown")</f>
        <v>Over $125,000</v>
      </c>
      <c r="X156" s="120" t="str">
        <f>IFERROR(VLOOKUP(Table1[RespondentID],'All Data'!$A$3:$CW$999,95,FALSE),"unknown")</f>
        <v>College graduate</v>
      </c>
      <c r="Y156" s="120" t="str">
        <f>IFERROR(VLOOKUP(Table1[RespondentID],'All Data'!$A$3:$CW$999,96,FALSE),"unknown")</f>
        <v>Employed for wages</v>
      </c>
      <c r="Z156" s="120" t="str">
        <f>IFERROR(VLOOKUP(Table1[RespondentID],'All Data'!$A$3:$CW$999,97,FALSE),"unknown")</f>
        <v>Yes</v>
      </c>
      <c r="AA156" s="120" t="str">
        <f>IFERROR(VLOOKUP(Table1[RespondentID],'All Data'!$A$3:$CW$999,98,FALSE),"unknown")</f>
        <v>Private/Commercial</v>
      </c>
      <c r="AB156" s="150" t="str">
        <f>IFERROR(VLOOKUP(Table1[RespondentID],'All Data'!$A$3:$CW$999,99,FALSE),"unknown")</f>
        <v>Yes</v>
      </c>
    </row>
    <row r="157" spans="1:28">
      <c r="A157" s="5">
        <v>18021801473</v>
      </c>
      <c r="B157" s="5"/>
      <c r="C157" s="5"/>
      <c r="D157" s="5" t="s">
        <v>66</v>
      </c>
      <c r="E157" s="5"/>
      <c r="F157" s="5"/>
      <c r="G157" s="5"/>
      <c r="H157" s="5"/>
      <c r="I157" s="5"/>
      <c r="J157" s="5"/>
      <c r="K157" s="5"/>
      <c r="L157" s="5"/>
      <c r="M157" s="5"/>
      <c r="N157" s="5"/>
      <c r="O157" s="147"/>
      <c r="P157" s="120" t="str">
        <f>IFERROR(VLOOKUP(Table1[RespondentID],'All Data'!$A$3:$CO$999,87,FALSE),"unknown")</f>
        <v>Man</v>
      </c>
      <c r="Q157" s="120">
        <f>IFERROR(VLOOKUP(Table1[RespondentID],'All Data'!$A$3:$CO$999,88,FALSE),"unknown")</f>
        <v>18</v>
      </c>
      <c r="R157" s="120">
        <f>IFERROR(VLOOKUP(Table1[RespondentID],'All Data'!$A$3:$CO$999,89,FALSE),"unknown")</f>
        <v>0</v>
      </c>
      <c r="S157" s="120">
        <f>IFERROR(VLOOKUP(Table1[RespondentID],'All Data'!$A$3:$CO$999,90,FALSE),"unknown")</f>
        <v>0</v>
      </c>
      <c r="T157" s="120">
        <f>IFERROR(VLOOKUP(Table1[RespondentID],'All Data'!$A$3:$CO$999,91,FALSE),"unknown")</f>
        <v>0</v>
      </c>
      <c r="U157" s="120">
        <f>IFERROR(VLOOKUP(Table1[RespondentID],'All Data'!$A$3:$CO$999,92,FALSE),"unknown")</f>
        <v>0</v>
      </c>
      <c r="V157" s="120">
        <f>IFERROR(VLOOKUP(Table1[RespondentID],'All Data'!$A$3:$CO$999,93,FALSE),"unknown")</f>
        <v>0</v>
      </c>
      <c r="W157" s="120">
        <f>IFERROR(VLOOKUP(Table1[RespondentID],'All Data'!$A$3:$CW$999,94,FALSE),"unknown")</f>
        <v>0</v>
      </c>
      <c r="X157" s="120">
        <f>IFERROR(VLOOKUP(Table1[RespondentID],'All Data'!$A$3:$CW$999,95,FALSE),"unknown")</f>
        <v>0</v>
      </c>
      <c r="Y157" s="120">
        <f>IFERROR(VLOOKUP(Table1[RespondentID],'All Data'!$A$3:$CW$999,96,FALSE),"unknown")</f>
        <v>0</v>
      </c>
      <c r="Z157" s="120">
        <f>IFERROR(VLOOKUP(Table1[RespondentID],'All Data'!$A$3:$CW$999,97,FALSE),"unknown")</f>
        <v>0</v>
      </c>
      <c r="AA157" s="120">
        <f>IFERROR(VLOOKUP(Table1[RespondentID],'All Data'!$A$3:$CW$999,98,FALSE),"unknown")</f>
        <v>0</v>
      </c>
      <c r="AB157" s="150">
        <f>IFERROR(VLOOKUP(Table1[RespondentID],'All Data'!$A$3:$CW$999,99,FALSE),"unknown")</f>
        <v>0</v>
      </c>
    </row>
    <row r="158" spans="1:28">
      <c r="A158" s="5">
        <v>18021801305</v>
      </c>
      <c r="B158" s="5" t="s">
        <v>64</v>
      </c>
      <c r="C158" s="5"/>
      <c r="D158" s="5" t="s">
        <v>66</v>
      </c>
      <c r="E158" s="5"/>
      <c r="F158" s="5"/>
      <c r="G158" s="5"/>
      <c r="H158" s="5"/>
      <c r="I158" s="5"/>
      <c r="J158" s="5"/>
      <c r="K158" s="5"/>
      <c r="L158" s="5"/>
      <c r="M158" s="5" t="s">
        <v>75</v>
      </c>
      <c r="N158" s="5"/>
      <c r="O158" s="147"/>
      <c r="P158" s="120" t="str">
        <f>IFERROR(VLOOKUP(Table1[RespondentID],'All Data'!$A$3:$CO$999,87,FALSE),"unknown")</f>
        <v>Woman</v>
      </c>
      <c r="Q158" s="120">
        <f>IFERROR(VLOOKUP(Table1[RespondentID],'All Data'!$A$3:$CO$999,88,FALSE),"unknown")</f>
        <v>18</v>
      </c>
      <c r="R158" s="120" t="str">
        <f>IFERROR(VLOOKUP(Table1[RespondentID],'All Data'!$A$3:$CO$999,89,FALSE),"unknown")</f>
        <v>Suffolk</v>
      </c>
      <c r="S158" s="120" t="str">
        <f>IFERROR(VLOOKUP(Table1[RespondentID],'All Data'!$A$3:$CO$999,90,FALSE),"unknown")</f>
        <v>Commack, 11725</v>
      </c>
      <c r="T158" s="120" t="str">
        <f>IFERROR(VLOOKUP(Table1[RespondentID],'All Data'!$A$3:$CO$999,91,FALSE),"unknown")</f>
        <v>American Indian and Alaska Native</v>
      </c>
      <c r="U158" s="120" t="str">
        <f>IFERROR(VLOOKUP(Table1[RespondentID],'All Data'!$A$3:$CO$999,92,FALSE),"unknown")</f>
        <v>Hispanic or Latino</v>
      </c>
      <c r="V158" s="120" t="str">
        <f>IFERROR(VLOOKUP(Table1[RespondentID],'All Data'!$A$3:$CO$999,93,FALSE),"unknown")</f>
        <v>English</v>
      </c>
      <c r="W158" s="120" t="str">
        <f>IFERROR(VLOOKUP(Table1[RespondentID],'All Data'!$A$3:$CW$999,94,FALSE),"unknown")</f>
        <v>Over $125,000</v>
      </c>
      <c r="X158" s="120" t="str">
        <f>IFERROR(VLOOKUP(Table1[RespondentID],'All Data'!$A$3:$CW$999,95,FALSE),"unknown")</f>
        <v>High school graduate</v>
      </c>
      <c r="Y158" s="120" t="str">
        <f>IFERROR(VLOOKUP(Table1[RespondentID],'All Data'!$A$3:$CW$999,96,FALSE),"unknown")</f>
        <v>Student</v>
      </c>
      <c r="Z158" s="120" t="str">
        <f>IFERROR(VLOOKUP(Table1[RespondentID],'All Data'!$A$3:$CW$999,97,FALSE),"unknown")</f>
        <v>Yes</v>
      </c>
      <c r="AA158" s="120">
        <f>IFERROR(VLOOKUP(Table1[RespondentID],'All Data'!$A$3:$CW$999,98,FALSE),"unknown")</f>
        <v>0</v>
      </c>
      <c r="AB158" s="150">
        <f>IFERROR(VLOOKUP(Table1[RespondentID],'All Data'!$A$3:$CW$999,99,FALSE),"unknown")</f>
        <v>0</v>
      </c>
    </row>
    <row r="159" spans="1:28">
      <c r="A159" s="5">
        <v>18021801172</v>
      </c>
      <c r="B159" s="5"/>
      <c r="C159" s="5" t="s">
        <v>65</v>
      </c>
      <c r="D159" s="5"/>
      <c r="E159" s="5"/>
      <c r="F159" s="5" t="s">
        <v>68</v>
      </c>
      <c r="G159" s="5"/>
      <c r="H159" s="5" t="s">
        <v>70</v>
      </c>
      <c r="I159" s="5" t="s">
        <v>71</v>
      </c>
      <c r="J159" s="5"/>
      <c r="K159" s="5" t="s">
        <v>73</v>
      </c>
      <c r="L159" s="5" t="s">
        <v>74</v>
      </c>
      <c r="M159" s="5" t="s">
        <v>75</v>
      </c>
      <c r="N159" s="5" t="s">
        <v>76</v>
      </c>
      <c r="O159" s="147"/>
      <c r="P159" s="120" t="str">
        <f>IFERROR(VLOOKUP(Table1[RespondentID],'All Data'!$A$3:$CO$999,87,FALSE),"unknown")</f>
        <v>Transgender</v>
      </c>
      <c r="Q159" s="120">
        <f>IFERROR(VLOOKUP(Table1[RespondentID],'All Data'!$A$3:$CO$999,88,FALSE),"unknown")</f>
        <v>27</v>
      </c>
      <c r="R159" s="120" t="str">
        <f>IFERROR(VLOOKUP(Table1[RespondentID],'All Data'!$A$3:$CO$999,89,FALSE),"unknown")</f>
        <v>Suffolk</v>
      </c>
      <c r="S159" s="120" t="str">
        <f>IFERROR(VLOOKUP(Table1[RespondentID],'All Data'!$A$3:$CO$999,90,FALSE),"unknown")</f>
        <v>Commack, 11725</v>
      </c>
      <c r="T159" s="120" t="str">
        <f>IFERROR(VLOOKUP(Table1[RespondentID],'All Data'!$A$3:$CO$999,91,FALSE),"unknown")</f>
        <v>American Indian and Alaska Native</v>
      </c>
      <c r="U159" s="120" t="str">
        <f>IFERROR(VLOOKUP(Table1[RespondentID],'All Data'!$A$3:$CO$999,92,FALSE),"unknown")</f>
        <v>Not Hispanic or Latino</v>
      </c>
      <c r="V159" s="120" t="str">
        <f>IFERROR(VLOOKUP(Table1[RespondentID],'All Data'!$A$3:$CO$999,93,FALSE),"unknown")</f>
        <v>English</v>
      </c>
      <c r="W159" s="120" t="str">
        <f>IFERROR(VLOOKUP(Table1[RespondentID],'All Data'!$A$3:$CW$999,94,FALSE),"unknown")</f>
        <v>Over $125,000</v>
      </c>
      <c r="X159" s="120" t="str">
        <f>IFERROR(VLOOKUP(Table1[RespondentID],'All Data'!$A$3:$CW$999,95,FALSE),"unknown")</f>
        <v>Some college</v>
      </c>
      <c r="Y159" s="120" t="str">
        <f>IFERROR(VLOOKUP(Table1[RespondentID],'All Data'!$A$3:$CW$999,96,FALSE),"unknown")</f>
        <v>Self-employed</v>
      </c>
      <c r="Z159" s="120" t="str">
        <f>IFERROR(VLOOKUP(Table1[RespondentID],'All Data'!$A$3:$CW$999,97,FALSE),"unknown")</f>
        <v>Yes</v>
      </c>
      <c r="AA159" s="120">
        <f>IFERROR(VLOOKUP(Table1[RespondentID],'All Data'!$A$3:$CW$999,98,FALSE),"unknown")</f>
        <v>0</v>
      </c>
      <c r="AB159" s="150">
        <f>IFERROR(VLOOKUP(Table1[RespondentID],'All Data'!$A$3:$CW$999,99,FALSE),"unknown")</f>
        <v>0</v>
      </c>
    </row>
    <row r="160" spans="1:28">
      <c r="A160" s="5">
        <v>18021800907</v>
      </c>
      <c r="B160" s="5" t="s">
        <v>64</v>
      </c>
      <c r="C160" s="5"/>
      <c r="D160" s="5" t="s">
        <v>66</v>
      </c>
      <c r="E160" s="5" t="s">
        <v>67</v>
      </c>
      <c r="F160" s="5"/>
      <c r="G160" s="5" t="s">
        <v>69</v>
      </c>
      <c r="H160" s="5"/>
      <c r="I160" s="5"/>
      <c r="J160" s="5"/>
      <c r="K160" s="5"/>
      <c r="L160" s="5"/>
      <c r="M160" s="5" t="s">
        <v>75</v>
      </c>
      <c r="N160" s="5"/>
      <c r="O160" s="147"/>
      <c r="P160" s="120" t="str">
        <f>IFERROR(VLOOKUP(Table1[RespondentID],'All Data'!$A$3:$CO$999,87,FALSE),"unknown")</f>
        <v>Man</v>
      </c>
      <c r="Q160" s="120">
        <f>IFERROR(VLOOKUP(Table1[RespondentID],'All Data'!$A$3:$CO$999,88,FALSE),"unknown")</f>
        <v>43</v>
      </c>
      <c r="R160" s="120" t="str">
        <f>IFERROR(VLOOKUP(Table1[RespondentID],'All Data'!$A$3:$CO$999,89,FALSE),"unknown")</f>
        <v>Suffolk</v>
      </c>
      <c r="S160" s="120" t="str">
        <f>IFERROR(VLOOKUP(Table1[RespondentID],'All Data'!$A$3:$CO$999,90,FALSE),"unknown")</f>
        <v>Commack, 11725</v>
      </c>
      <c r="T160" s="120" t="str">
        <f>IFERROR(VLOOKUP(Table1[RespondentID],'All Data'!$A$3:$CO$999,91,FALSE),"unknown")</f>
        <v>American Indian and Alaska Native</v>
      </c>
      <c r="U160" s="120" t="str">
        <f>IFERROR(VLOOKUP(Table1[RespondentID],'All Data'!$A$3:$CO$999,92,FALSE),"unknown")</f>
        <v>Hispanic or Latino</v>
      </c>
      <c r="V160" s="120" t="str">
        <f>IFERROR(VLOOKUP(Table1[RespondentID],'All Data'!$A$3:$CO$999,93,FALSE),"unknown")</f>
        <v>English, Hindi</v>
      </c>
      <c r="W160" s="120" t="str">
        <f>IFERROR(VLOOKUP(Table1[RespondentID],'All Data'!$A$3:$CW$999,94,FALSE),"unknown")</f>
        <v>$50,000 to $74,999</v>
      </c>
      <c r="X160" s="120" t="str">
        <f>IFERROR(VLOOKUP(Table1[RespondentID],'All Data'!$A$3:$CW$999,95,FALSE),"unknown")</f>
        <v>Some high school</v>
      </c>
      <c r="Y160" s="120" t="str">
        <f>IFERROR(VLOOKUP(Table1[RespondentID],'All Data'!$A$3:$CW$999,96,FALSE),"unknown")</f>
        <v>Employed for wages</v>
      </c>
      <c r="Z160" s="120" t="str">
        <f>IFERROR(VLOOKUP(Table1[RespondentID],'All Data'!$A$3:$CW$999,97,FALSE),"unknown")</f>
        <v>Yes</v>
      </c>
      <c r="AA160" s="120">
        <f>IFERROR(VLOOKUP(Table1[RespondentID],'All Data'!$A$3:$CW$999,98,FALSE),"unknown")</f>
        <v>0</v>
      </c>
      <c r="AB160" s="150">
        <f>IFERROR(VLOOKUP(Table1[RespondentID],'All Data'!$A$3:$CW$999,99,FALSE),"unknown")</f>
        <v>0</v>
      </c>
    </row>
    <row r="161" spans="1:28">
      <c r="A161" s="5">
        <v>18021800772</v>
      </c>
      <c r="B161" s="5"/>
      <c r="C161" s="5"/>
      <c r="D161" s="5"/>
      <c r="E161" s="5"/>
      <c r="F161" s="5" t="s">
        <v>68</v>
      </c>
      <c r="G161" s="5" t="s">
        <v>69</v>
      </c>
      <c r="H161" s="5"/>
      <c r="I161" s="5"/>
      <c r="J161" s="5"/>
      <c r="K161" s="5"/>
      <c r="L161" s="5"/>
      <c r="M161" s="5"/>
      <c r="N161" s="5"/>
      <c r="O161" s="147"/>
      <c r="P161" s="120" t="str">
        <f>IFERROR(VLOOKUP(Table1[RespondentID],'All Data'!$A$3:$CO$999,87,FALSE),"unknown")</f>
        <v>Woman</v>
      </c>
      <c r="Q161" s="120">
        <f>IFERROR(VLOOKUP(Table1[RespondentID],'All Data'!$A$3:$CO$999,88,FALSE),"unknown")</f>
        <v>42</v>
      </c>
      <c r="R161" s="120" t="str">
        <f>IFERROR(VLOOKUP(Table1[RespondentID],'All Data'!$A$3:$CO$999,89,FALSE),"unknown")</f>
        <v>Nassau</v>
      </c>
      <c r="S161" s="120" t="str">
        <f>IFERROR(VLOOKUP(Table1[RespondentID],'All Data'!$A$3:$CO$999,90,FALSE),"unknown")</f>
        <v>Westbury, 11590</v>
      </c>
      <c r="T161" s="120" t="str">
        <f>IFERROR(VLOOKUP(Table1[RespondentID],'All Data'!$A$3:$CO$999,91,FALSE),"unknown")</f>
        <v>White</v>
      </c>
      <c r="U161" s="120" t="str">
        <f>IFERROR(VLOOKUP(Table1[RespondentID],'All Data'!$A$3:$CO$999,92,FALSE),"unknown")</f>
        <v>Hispanic or Latino</v>
      </c>
      <c r="V161" s="120" t="str">
        <f>IFERROR(VLOOKUP(Table1[RespondentID],'All Data'!$A$3:$CO$999,93,FALSE),"unknown")</f>
        <v>English</v>
      </c>
      <c r="W161" s="120" t="str">
        <f>IFERROR(VLOOKUP(Table1[RespondentID],'All Data'!$A$3:$CW$999,94,FALSE),"unknown")</f>
        <v>Over $125,000</v>
      </c>
      <c r="X161" s="120" t="str">
        <f>IFERROR(VLOOKUP(Table1[RespondentID],'All Data'!$A$3:$CW$999,95,FALSE),"unknown")</f>
        <v>Doctorate</v>
      </c>
      <c r="Y161" s="120" t="str">
        <f>IFERROR(VLOOKUP(Table1[RespondentID],'All Data'!$A$3:$CW$999,96,FALSE),"unknown")</f>
        <v>Employed for wages</v>
      </c>
      <c r="Z161" s="120" t="str">
        <f>IFERROR(VLOOKUP(Table1[RespondentID],'All Data'!$A$3:$CW$999,97,FALSE),"unknown")</f>
        <v>Yes</v>
      </c>
      <c r="AA161" s="120">
        <f>IFERROR(VLOOKUP(Table1[RespondentID],'All Data'!$A$3:$CW$999,98,FALSE),"unknown")</f>
        <v>0</v>
      </c>
      <c r="AB161" s="150">
        <f>IFERROR(VLOOKUP(Table1[RespondentID],'All Data'!$A$3:$CW$999,99,FALSE),"unknown")</f>
        <v>0</v>
      </c>
    </row>
    <row r="162" spans="1:28">
      <c r="A162" s="5">
        <v>18021800631</v>
      </c>
      <c r="B162" s="5" t="s">
        <v>64</v>
      </c>
      <c r="C162" s="5"/>
      <c r="D162" s="5"/>
      <c r="E162" s="5" t="s">
        <v>67</v>
      </c>
      <c r="F162" s="5"/>
      <c r="G162" s="5"/>
      <c r="H162" s="5"/>
      <c r="I162" s="5"/>
      <c r="J162" s="5"/>
      <c r="K162" s="5"/>
      <c r="L162" s="5"/>
      <c r="M162" s="5" t="s">
        <v>75</v>
      </c>
      <c r="N162" s="5"/>
      <c r="O162" s="147"/>
      <c r="P162" s="120" t="str">
        <f>IFERROR(VLOOKUP(Table1[RespondentID],'All Data'!$A$3:$CO$999,87,FALSE),"unknown")</f>
        <v>Man</v>
      </c>
      <c r="Q162" s="120">
        <f>IFERROR(VLOOKUP(Table1[RespondentID],'All Data'!$A$3:$CO$999,88,FALSE),"unknown")</f>
        <v>54</v>
      </c>
      <c r="R162" s="120" t="str">
        <f>IFERROR(VLOOKUP(Table1[RespondentID],'All Data'!$A$3:$CO$999,89,FALSE),"unknown")</f>
        <v>Nassau</v>
      </c>
      <c r="S162" s="120" t="str">
        <f>IFERROR(VLOOKUP(Table1[RespondentID],'All Data'!$A$3:$CO$999,90,FALSE),"unknown")</f>
        <v>Bethpage, 11714</v>
      </c>
      <c r="T162" s="120" t="str">
        <f>IFERROR(VLOOKUP(Table1[RespondentID],'All Data'!$A$3:$CO$999,91,FALSE),"unknown")</f>
        <v>White</v>
      </c>
      <c r="U162" s="120" t="str">
        <f>IFERROR(VLOOKUP(Table1[RespondentID],'All Data'!$A$3:$CO$999,92,FALSE),"unknown")</f>
        <v>Hispanic or Latino</v>
      </c>
      <c r="V162" s="120" t="str">
        <f>IFERROR(VLOOKUP(Table1[RespondentID],'All Data'!$A$3:$CO$999,93,FALSE),"unknown")</f>
        <v>English</v>
      </c>
      <c r="W162" s="120" t="str">
        <f>IFERROR(VLOOKUP(Table1[RespondentID],'All Data'!$A$3:$CW$999,94,FALSE),"unknown")</f>
        <v>Over $125,000</v>
      </c>
      <c r="X162" s="120" t="str">
        <f>IFERROR(VLOOKUP(Table1[RespondentID],'All Data'!$A$3:$CW$999,95,FALSE),"unknown")</f>
        <v>Graduate school</v>
      </c>
      <c r="Y162" s="120" t="str">
        <f>IFERROR(VLOOKUP(Table1[RespondentID],'All Data'!$A$3:$CW$999,96,FALSE),"unknown")</f>
        <v>Employed for wages</v>
      </c>
      <c r="Z162" s="120" t="str">
        <f>IFERROR(VLOOKUP(Table1[RespondentID],'All Data'!$A$3:$CW$999,97,FALSE),"unknown")</f>
        <v>Yes</v>
      </c>
      <c r="AA162" s="120">
        <f>IFERROR(VLOOKUP(Table1[RespondentID],'All Data'!$A$3:$CW$999,98,FALSE),"unknown")</f>
        <v>0</v>
      </c>
      <c r="AB162" s="150">
        <f>IFERROR(VLOOKUP(Table1[RespondentID],'All Data'!$A$3:$CW$999,99,FALSE),"unknown")</f>
        <v>0</v>
      </c>
    </row>
    <row r="163" spans="1:28">
      <c r="A163" s="5">
        <v>18021800480</v>
      </c>
      <c r="B163" s="5" t="s">
        <v>64</v>
      </c>
      <c r="C163" s="5"/>
      <c r="D163" s="5"/>
      <c r="E163" s="5"/>
      <c r="F163" s="5" t="s">
        <v>68</v>
      </c>
      <c r="G163" s="5" t="s">
        <v>69</v>
      </c>
      <c r="H163" s="5" t="s">
        <v>70</v>
      </c>
      <c r="I163" s="5"/>
      <c r="J163" s="5"/>
      <c r="K163" s="5"/>
      <c r="L163" s="5"/>
      <c r="M163" s="5" t="s">
        <v>75</v>
      </c>
      <c r="N163" s="5"/>
      <c r="O163" s="147"/>
      <c r="P163" s="120" t="str">
        <f>IFERROR(VLOOKUP(Table1[RespondentID],'All Data'!$A$3:$CO$999,87,FALSE),"unknown")</f>
        <v>Woman</v>
      </c>
      <c r="Q163" s="120">
        <f>IFERROR(VLOOKUP(Table1[RespondentID],'All Data'!$A$3:$CO$999,88,FALSE),"unknown")</f>
        <v>18</v>
      </c>
      <c r="R163" s="120" t="str">
        <f>IFERROR(VLOOKUP(Table1[RespondentID],'All Data'!$A$3:$CO$999,89,FALSE),"unknown")</f>
        <v>Suffolk</v>
      </c>
      <c r="S163" s="120" t="str">
        <f>IFERROR(VLOOKUP(Table1[RespondentID],'All Data'!$A$3:$CO$999,90,FALSE),"unknown")</f>
        <v>Commack, 11725</v>
      </c>
      <c r="T163" s="120" t="str">
        <f>IFERROR(VLOOKUP(Table1[RespondentID],'All Data'!$A$3:$CO$999,91,FALSE),"unknown")</f>
        <v>White</v>
      </c>
      <c r="U163" s="120" t="str">
        <f>IFERROR(VLOOKUP(Table1[RespondentID],'All Data'!$A$3:$CO$999,92,FALSE),"unknown")</f>
        <v>Hispanic or Latino</v>
      </c>
      <c r="V163" s="120" t="str">
        <f>IFERROR(VLOOKUP(Table1[RespondentID],'All Data'!$A$3:$CO$999,93,FALSE),"unknown")</f>
        <v>English</v>
      </c>
      <c r="W163" s="120" t="str">
        <f>IFERROR(VLOOKUP(Table1[RespondentID],'All Data'!$A$3:$CW$999,94,FALSE),"unknown")</f>
        <v>Over $125,000</v>
      </c>
      <c r="X163" s="120" t="str">
        <f>IFERROR(VLOOKUP(Table1[RespondentID],'All Data'!$A$3:$CW$999,95,FALSE),"unknown")</f>
        <v>High school graduate</v>
      </c>
      <c r="Y163" s="120" t="str">
        <f>IFERROR(VLOOKUP(Table1[RespondentID],'All Data'!$A$3:$CW$999,96,FALSE),"unknown")</f>
        <v>Employed for wages</v>
      </c>
      <c r="Z163" s="120" t="str">
        <f>IFERROR(VLOOKUP(Table1[RespondentID],'All Data'!$A$3:$CW$999,97,FALSE),"unknown")</f>
        <v>Yes</v>
      </c>
      <c r="AA163" s="120">
        <f>IFERROR(VLOOKUP(Table1[RespondentID],'All Data'!$A$3:$CW$999,98,FALSE),"unknown")</f>
        <v>0</v>
      </c>
      <c r="AB163" s="150">
        <f>IFERROR(VLOOKUP(Table1[RespondentID],'All Data'!$A$3:$CW$999,99,FALSE),"unknown")</f>
        <v>0</v>
      </c>
    </row>
    <row r="164" spans="1:28">
      <c r="A164" s="5">
        <v>18021800333</v>
      </c>
      <c r="B164" s="5" t="s">
        <v>64</v>
      </c>
      <c r="C164" s="5"/>
      <c r="D164" s="5"/>
      <c r="E164" s="5"/>
      <c r="F164" s="5"/>
      <c r="G164" s="5"/>
      <c r="H164" s="5"/>
      <c r="I164" s="5"/>
      <c r="J164" s="5"/>
      <c r="K164" s="5"/>
      <c r="L164" s="5"/>
      <c r="M164" s="5" t="s">
        <v>75</v>
      </c>
      <c r="N164" s="5"/>
      <c r="O164" s="147"/>
      <c r="P164" s="120" t="str">
        <f>IFERROR(VLOOKUP(Table1[RespondentID],'All Data'!$A$3:$CO$999,87,FALSE),"unknown")</f>
        <v>Woman</v>
      </c>
      <c r="Q164" s="120">
        <f>IFERROR(VLOOKUP(Table1[RespondentID],'All Data'!$A$3:$CO$999,88,FALSE),"unknown")</f>
        <v>18</v>
      </c>
      <c r="R164" s="120" t="str">
        <f>IFERROR(VLOOKUP(Table1[RespondentID],'All Data'!$A$3:$CO$999,89,FALSE),"unknown")</f>
        <v>Suffolk</v>
      </c>
      <c r="S164" s="120" t="str">
        <f>IFERROR(VLOOKUP(Table1[RespondentID],'All Data'!$A$3:$CO$999,90,FALSE),"unknown")</f>
        <v>Dix Hills, 11746</v>
      </c>
      <c r="T164" s="120" t="str">
        <f>IFERROR(VLOOKUP(Table1[RespondentID],'All Data'!$A$3:$CO$999,91,FALSE),"unknown")</f>
        <v>American Indian and Alaska Native</v>
      </c>
      <c r="U164" s="120" t="str">
        <f>IFERROR(VLOOKUP(Table1[RespondentID],'All Data'!$A$3:$CO$999,92,FALSE),"unknown")</f>
        <v>Hispanic or Latino</v>
      </c>
      <c r="V164" s="120" t="str">
        <f>IFERROR(VLOOKUP(Table1[RespondentID],'All Data'!$A$3:$CO$999,93,FALSE),"unknown")</f>
        <v>English, Korean</v>
      </c>
      <c r="W164" s="120" t="str">
        <f>IFERROR(VLOOKUP(Table1[RespondentID],'All Data'!$A$3:$CW$999,94,FALSE),"unknown")</f>
        <v>Over $125,000</v>
      </c>
      <c r="X164" s="120" t="str">
        <f>IFERROR(VLOOKUP(Table1[RespondentID],'All Data'!$A$3:$CW$999,95,FALSE),"unknown")</f>
        <v>Some high school</v>
      </c>
      <c r="Y164" s="120" t="str">
        <f>IFERROR(VLOOKUP(Table1[RespondentID],'All Data'!$A$3:$CW$999,96,FALSE),"unknown")</f>
        <v>Self-employed</v>
      </c>
      <c r="Z164" s="120" t="str">
        <f>IFERROR(VLOOKUP(Table1[RespondentID],'All Data'!$A$3:$CW$999,97,FALSE),"unknown")</f>
        <v>Yes</v>
      </c>
      <c r="AA164" s="120">
        <f>IFERROR(VLOOKUP(Table1[RespondentID],'All Data'!$A$3:$CW$999,98,FALSE),"unknown")</f>
        <v>0</v>
      </c>
      <c r="AB164" s="150">
        <f>IFERROR(VLOOKUP(Table1[RespondentID],'All Data'!$A$3:$CW$999,99,FALSE),"unknown")</f>
        <v>0</v>
      </c>
    </row>
    <row r="165" spans="1:28">
      <c r="A165" s="5">
        <v>18021800200</v>
      </c>
      <c r="B165" s="5" t="s">
        <v>64</v>
      </c>
      <c r="C165" s="5"/>
      <c r="D165" s="5"/>
      <c r="E165" s="5" t="s">
        <v>67</v>
      </c>
      <c r="F165" s="5"/>
      <c r="G165" s="5"/>
      <c r="H165" s="5"/>
      <c r="I165" s="5"/>
      <c r="J165" s="5"/>
      <c r="K165" s="5" t="s">
        <v>73</v>
      </c>
      <c r="L165" s="5"/>
      <c r="M165" s="5"/>
      <c r="N165" s="5"/>
      <c r="O165" s="147"/>
      <c r="P165" s="120" t="str">
        <f>IFERROR(VLOOKUP(Table1[RespondentID],'All Data'!$A$3:$CO$999,87,FALSE),"unknown")</f>
        <v>Woman</v>
      </c>
      <c r="Q165" s="120">
        <f>IFERROR(VLOOKUP(Table1[RespondentID],'All Data'!$A$3:$CO$999,88,FALSE),"unknown")</f>
        <v>18</v>
      </c>
      <c r="R165" s="120" t="str">
        <f>IFERROR(VLOOKUP(Table1[RespondentID],'All Data'!$A$3:$CO$999,89,FALSE),"unknown")</f>
        <v>Suffolk</v>
      </c>
      <c r="S165" s="120" t="str">
        <f>IFERROR(VLOOKUP(Table1[RespondentID],'All Data'!$A$3:$CO$999,90,FALSE),"unknown")</f>
        <v>Commack, 11725</v>
      </c>
      <c r="T165" s="120" t="str">
        <f>IFERROR(VLOOKUP(Table1[RespondentID],'All Data'!$A$3:$CO$999,91,FALSE),"unknown")</f>
        <v>American Indian and Alaska Native</v>
      </c>
      <c r="U165" s="120" t="str">
        <f>IFERROR(VLOOKUP(Table1[RespondentID],'All Data'!$A$3:$CO$999,92,FALSE),"unknown")</f>
        <v>Hispanic or Latino</v>
      </c>
      <c r="V165" s="120" t="str">
        <f>IFERROR(VLOOKUP(Table1[RespondentID],'All Data'!$A$3:$CO$999,93,FALSE),"unknown")</f>
        <v>English, Korean</v>
      </c>
      <c r="W165" s="120" t="str">
        <f>IFERROR(VLOOKUP(Table1[RespondentID],'All Data'!$A$3:$CW$999,94,FALSE),"unknown")</f>
        <v>$75,000 to $125,000</v>
      </c>
      <c r="X165" s="120" t="str">
        <f>IFERROR(VLOOKUP(Table1[RespondentID],'All Data'!$A$3:$CW$999,95,FALSE),"unknown")</f>
        <v>Some high school</v>
      </c>
      <c r="Y165" s="120" t="str">
        <f>IFERROR(VLOOKUP(Table1[RespondentID],'All Data'!$A$3:$CW$999,96,FALSE),"unknown")</f>
        <v>Student</v>
      </c>
      <c r="Z165" s="120" t="str">
        <f>IFERROR(VLOOKUP(Table1[RespondentID],'All Data'!$A$3:$CW$999,97,FALSE),"unknown")</f>
        <v>Yes</v>
      </c>
      <c r="AA165" s="120">
        <f>IFERROR(VLOOKUP(Table1[RespondentID],'All Data'!$A$3:$CW$999,98,FALSE),"unknown")</f>
        <v>0</v>
      </c>
      <c r="AB165" s="150">
        <f>IFERROR(VLOOKUP(Table1[RespondentID],'All Data'!$A$3:$CW$999,99,FALSE),"unknown")</f>
        <v>0</v>
      </c>
    </row>
    <row r="166" spans="1:28">
      <c r="A166" s="5">
        <v>18021800054</v>
      </c>
      <c r="B166" s="5"/>
      <c r="C166" s="5"/>
      <c r="D166" s="5"/>
      <c r="E166" s="5"/>
      <c r="F166" s="5"/>
      <c r="G166" s="5" t="s">
        <v>69</v>
      </c>
      <c r="H166" s="5"/>
      <c r="I166" s="5"/>
      <c r="J166" s="5"/>
      <c r="K166" s="5"/>
      <c r="L166" s="5" t="s">
        <v>74</v>
      </c>
      <c r="M166" s="5" t="s">
        <v>75</v>
      </c>
      <c r="N166" s="5"/>
      <c r="O166" s="147"/>
      <c r="P166" s="120" t="str">
        <f>IFERROR(VLOOKUP(Table1[RespondentID],'All Data'!$A$3:$CO$999,87,FALSE),"unknown")</f>
        <v>Woman</v>
      </c>
      <c r="Q166" s="120">
        <f>IFERROR(VLOOKUP(Table1[RespondentID],'All Data'!$A$3:$CO$999,88,FALSE),"unknown")</f>
        <v>18</v>
      </c>
      <c r="R166" s="120" t="str">
        <f>IFERROR(VLOOKUP(Table1[RespondentID],'All Data'!$A$3:$CO$999,89,FALSE),"unknown")</f>
        <v>Suffolk</v>
      </c>
      <c r="S166" s="120" t="str">
        <f>IFERROR(VLOOKUP(Table1[RespondentID],'All Data'!$A$3:$CO$999,90,FALSE),"unknown")</f>
        <v>Commack, 11725</v>
      </c>
      <c r="T166" s="120" t="str">
        <f>IFERROR(VLOOKUP(Table1[RespondentID],'All Data'!$A$3:$CO$999,91,FALSE),"unknown")</f>
        <v>White</v>
      </c>
      <c r="U166" s="120" t="str">
        <f>IFERROR(VLOOKUP(Table1[RespondentID],'All Data'!$A$3:$CO$999,92,FALSE),"unknown")</f>
        <v>Hispanic or Latino</v>
      </c>
      <c r="V166" s="120" t="str">
        <f>IFERROR(VLOOKUP(Table1[RespondentID],'All Data'!$A$3:$CO$999,93,FALSE),"unknown")</f>
        <v>English</v>
      </c>
      <c r="W166" s="120" t="str">
        <f>IFERROR(VLOOKUP(Table1[RespondentID],'All Data'!$A$3:$CW$999,94,FALSE),"unknown")</f>
        <v>Over $125,000</v>
      </c>
      <c r="X166" s="120" t="str">
        <f>IFERROR(VLOOKUP(Table1[RespondentID],'All Data'!$A$3:$CW$999,95,FALSE),"unknown")</f>
        <v>High school graduate</v>
      </c>
      <c r="Y166" s="120" t="str">
        <f>IFERROR(VLOOKUP(Table1[RespondentID],'All Data'!$A$3:$CW$999,96,FALSE),"unknown")</f>
        <v>Employed for wages</v>
      </c>
      <c r="Z166" s="120" t="str">
        <f>IFERROR(VLOOKUP(Table1[RespondentID],'All Data'!$A$3:$CW$999,97,FALSE),"unknown")</f>
        <v>Yes</v>
      </c>
      <c r="AA166" s="120">
        <f>IFERROR(VLOOKUP(Table1[RespondentID],'All Data'!$A$3:$CW$999,98,FALSE),"unknown")</f>
        <v>0</v>
      </c>
      <c r="AB166" s="150">
        <f>IFERROR(VLOOKUP(Table1[RespondentID],'All Data'!$A$3:$CW$999,99,FALSE),"unknown")</f>
        <v>0</v>
      </c>
    </row>
    <row r="167" spans="1:28">
      <c r="A167" s="5">
        <v>18021799930</v>
      </c>
      <c r="B167" s="5" t="s">
        <v>64</v>
      </c>
      <c r="C167" s="5"/>
      <c r="D167" s="5"/>
      <c r="E167" s="5" t="s">
        <v>67</v>
      </c>
      <c r="F167" s="5"/>
      <c r="G167" s="5"/>
      <c r="H167" s="5" t="s">
        <v>70</v>
      </c>
      <c r="I167" s="5"/>
      <c r="J167" s="5"/>
      <c r="K167" s="5" t="s">
        <v>73</v>
      </c>
      <c r="L167" s="5"/>
      <c r="M167" s="5" t="s">
        <v>75</v>
      </c>
      <c r="N167" s="5" t="s">
        <v>76</v>
      </c>
      <c r="O167" s="147"/>
      <c r="P167" s="120" t="str">
        <f>IFERROR(VLOOKUP(Table1[RespondentID],'All Data'!$A$3:$CO$999,87,FALSE),"unknown")</f>
        <v>Woman</v>
      </c>
      <c r="Q167" s="120">
        <f>IFERROR(VLOOKUP(Table1[RespondentID],'All Data'!$A$3:$CO$999,88,FALSE),"unknown")</f>
        <v>18</v>
      </c>
      <c r="R167" s="120" t="str">
        <f>IFERROR(VLOOKUP(Table1[RespondentID],'All Data'!$A$3:$CO$999,89,FALSE),"unknown")</f>
        <v>Suffolk</v>
      </c>
      <c r="S167" s="120" t="str">
        <f>IFERROR(VLOOKUP(Table1[RespondentID],'All Data'!$A$3:$CO$999,90,FALSE),"unknown")</f>
        <v>Commack, 11725</v>
      </c>
      <c r="T167" s="120" t="str">
        <f>IFERROR(VLOOKUP(Table1[RespondentID],'All Data'!$A$3:$CO$999,91,FALSE),"unknown")</f>
        <v>American Indian and Alaska Native</v>
      </c>
      <c r="U167" s="120" t="str">
        <f>IFERROR(VLOOKUP(Table1[RespondentID],'All Data'!$A$3:$CO$999,92,FALSE),"unknown")</f>
        <v>Hispanic or Latino</v>
      </c>
      <c r="V167" s="120" t="str">
        <f>IFERROR(VLOOKUP(Table1[RespondentID],'All Data'!$A$3:$CO$999,93,FALSE),"unknown")</f>
        <v>English, Korean</v>
      </c>
      <c r="W167" s="120" t="str">
        <f>IFERROR(VLOOKUP(Table1[RespondentID],'All Data'!$A$3:$CW$999,94,FALSE),"unknown")</f>
        <v>$20,000 to $34,999</v>
      </c>
      <c r="X167" s="120" t="str">
        <f>IFERROR(VLOOKUP(Table1[RespondentID],'All Data'!$A$3:$CW$999,95,FALSE),"unknown")</f>
        <v>Some high school</v>
      </c>
      <c r="Y167" s="120" t="str">
        <f>IFERROR(VLOOKUP(Table1[RespondentID],'All Data'!$A$3:$CW$999,96,FALSE),"unknown")</f>
        <v>Employed for wages</v>
      </c>
      <c r="Z167" s="120" t="str">
        <f>IFERROR(VLOOKUP(Table1[RespondentID],'All Data'!$A$3:$CW$999,97,FALSE),"unknown")</f>
        <v>Yes</v>
      </c>
      <c r="AA167" s="120">
        <f>IFERROR(VLOOKUP(Table1[RespondentID],'All Data'!$A$3:$CW$999,98,FALSE),"unknown")</f>
        <v>0</v>
      </c>
      <c r="AB167" s="150">
        <f>IFERROR(VLOOKUP(Table1[RespondentID],'All Data'!$A$3:$CW$999,99,FALSE),"unknown")</f>
        <v>0</v>
      </c>
    </row>
    <row r="168" spans="1:28">
      <c r="A168" s="5">
        <v>18021799815</v>
      </c>
      <c r="B168" s="5" t="s">
        <v>64</v>
      </c>
      <c r="C168" s="5"/>
      <c r="D168" s="5"/>
      <c r="E168" s="5"/>
      <c r="F168" s="5"/>
      <c r="G168" s="5"/>
      <c r="H168" s="5"/>
      <c r="I168" s="5" t="s">
        <v>71</v>
      </c>
      <c r="J168" s="5" t="s">
        <v>72</v>
      </c>
      <c r="K168" s="5"/>
      <c r="L168" s="5"/>
      <c r="M168" s="5"/>
      <c r="N168" s="5"/>
      <c r="O168" s="147"/>
      <c r="P168" s="120" t="str">
        <f>IFERROR(VLOOKUP(Table1[RespondentID],'All Data'!$A$3:$CO$999,87,FALSE),"unknown")</f>
        <v>Woman</v>
      </c>
      <c r="Q168" s="120">
        <f>IFERROR(VLOOKUP(Table1[RespondentID],'All Data'!$A$3:$CO$999,88,FALSE),"unknown")</f>
        <v>18</v>
      </c>
      <c r="R168" s="120" t="str">
        <f>IFERROR(VLOOKUP(Table1[RespondentID],'All Data'!$A$3:$CO$999,89,FALSE),"unknown")</f>
        <v>Suffolk</v>
      </c>
      <c r="S168" s="120" t="str">
        <f>IFERROR(VLOOKUP(Table1[RespondentID],'All Data'!$A$3:$CO$999,90,FALSE),"unknown")</f>
        <v>Commack, 11725</v>
      </c>
      <c r="T168" s="120" t="str">
        <f>IFERROR(VLOOKUP(Table1[RespondentID],'All Data'!$A$3:$CO$999,91,FALSE),"unknown")</f>
        <v>White</v>
      </c>
      <c r="U168" s="120" t="str">
        <f>IFERROR(VLOOKUP(Table1[RespondentID],'All Data'!$A$3:$CO$999,92,FALSE),"unknown")</f>
        <v>Hispanic or Latino</v>
      </c>
      <c r="V168" s="120" t="str">
        <f>IFERROR(VLOOKUP(Table1[RespondentID],'All Data'!$A$3:$CO$999,93,FALSE),"unknown")</f>
        <v>English</v>
      </c>
      <c r="W168" s="120" t="str">
        <f>IFERROR(VLOOKUP(Table1[RespondentID],'All Data'!$A$3:$CW$999,94,FALSE),"unknown")</f>
        <v>Over $125,000</v>
      </c>
      <c r="X168" s="120" t="str">
        <f>IFERROR(VLOOKUP(Table1[RespondentID],'All Data'!$A$3:$CW$999,95,FALSE),"unknown")</f>
        <v>Some high school</v>
      </c>
      <c r="Y168" s="120" t="str">
        <f>IFERROR(VLOOKUP(Table1[RespondentID],'All Data'!$A$3:$CW$999,96,FALSE),"unknown")</f>
        <v>Employed for wages</v>
      </c>
      <c r="Z168" s="120" t="str">
        <f>IFERROR(VLOOKUP(Table1[RespondentID],'All Data'!$A$3:$CW$999,97,FALSE),"unknown")</f>
        <v>No</v>
      </c>
      <c r="AA168" s="120">
        <f>IFERROR(VLOOKUP(Table1[RespondentID],'All Data'!$A$3:$CW$999,98,FALSE),"unknown")</f>
        <v>0</v>
      </c>
      <c r="AB168" s="150">
        <f>IFERROR(VLOOKUP(Table1[RespondentID],'All Data'!$A$3:$CW$999,99,FALSE),"unknown")</f>
        <v>0</v>
      </c>
    </row>
    <row r="169" spans="1:28">
      <c r="A169" s="5">
        <v>18021799565</v>
      </c>
      <c r="B169" s="5"/>
      <c r="C169" s="5"/>
      <c r="D169" s="5"/>
      <c r="E169" s="5"/>
      <c r="F169" s="5"/>
      <c r="G169" s="5"/>
      <c r="H169" s="5" t="s">
        <v>70</v>
      </c>
      <c r="I169" s="5"/>
      <c r="J169" s="5"/>
      <c r="K169" s="5" t="s">
        <v>73</v>
      </c>
      <c r="L169" s="5"/>
      <c r="M169" s="5" t="s">
        <v>75</v>
      </c>
      <c r="N169" s="5"/>
      <c r="O169" s="147"/>
      <c r="P169" s="120" t="str">
        <f>IFERROR(VLOOKUP(Table1[RespondentID],'All Data'!$A$3:$CO$999,87,FALSE),"unknown")</f>
        <v>Woman</v>
      </c>
      <c r="Q169" s="120">
        <f>IFERROR(VLOOKUP(Table1[RespondentID],'All Data'!$A$3:$CO$999,88,FALSE),"unknown")</f>
        <v>43</v>
      </c>
      <c r="R169" s="120" t="str">
        <f>IFERROR(VLOOKUP(Table1[RespondentID],'All Data'!$A$3:$CO$999,89,FALSE),"unknown")</f>
        <v>Suffolk</v>
      </c>
      <c r="S169" s="120" t="str">
        <f>IFERROR(VLOOKUP(Table1[RespondentID],'All Data'!$A$3:$CO$999,90,FALSE),"unknown")</f>
        <v>Smithtown, 11787</v>
      </c>
      <c r="T169" s="120" t="str">
        <f>IFERROR(VLOOKUP(Table1[RespondentID],'All Data'!$A$3:$CO$999,91,FALSE),"unknown")</f>
        <v>White</v>
      </c>
      <c r="U169" s="120" t="str">
        <f>IFERROR(VLOOKUP(Table1[RespondentID],'All Data'!$A$3:$CO$999,92,FALSE),"unknown")</f>
        <v>Hispanic or Latino</v>
      </c>
      <c r="V169" s="120" t="str">
        <f>IFERROR(VLOOKUP(Table1[RespondentID],'All Data'!$A$3:$CO$999,93,FALSE),"unknown")</f>
        <v>English</v>
      </c>
      <c r="W169" s="120" t="str">
        <f>IFERROR(VLOOKUP(Table1[RespondentID],'All Data'!$A$3:$CW$999,94,FALSE),"unknown")</f>
        <v>$75,000 to $125,000</v>
      </c>
      <c r="X169" s="120" t="str">
        <f>IFERROR(VLOOKUP(Table1[RespondentID],'All Data'!$A$3:$CW$999,95,FALSE),"unknown")</f>
        <v>Doctorate</v>
      </c>
      <c r="Y169" s="120" t="str">
        <f>IFERROR(VLOOKUP(Table1[RespondentID],'All Data'!$A$3:$CW$999,96,FALSE),"unknown")</f>
        <v>Employed for wages</v>
      </c>
      <c r="Z169" s="120" t="str">
        <f>IFERROR(VLOOKUP(Table1[RespondentID],'All Data'!$A$3:$CW$999,97,FALSE),"unknown")</f>
        <v>Yes</v>
      </c>
      <c r="AA169" s="120">
        <f>IFERROR(VLOOKUP(Table1[RespondentID],'All Data'!$A$3:$CW$999,98,FALSE),"unknown")</f>
        <v>0</v>
      </c>
      <c r="AB169" s="150">
        <f>IFERROR(VLOOKUP(Table1[RespondentID],'All Data'!$A$3:$CW$999,99,FALSE),"unknown")</f>
        <v>0</v>
      </c>
    </row>
    <row r="170" spans="1:28">
      <c r="A170" s="5">
        <v>18021799358</v>
      </c>
      <c r="B170" s="5"/>
      <c r="C170" s="5"/>
      <c r="D170" s="5"/>
      <c r="E170" s="5" t="s">
        <v>67</v>
      </c>
      <c r="F170" s="5"/>
      <c r="G170" s="5"/>
      <c r="H170" s="5"/>
      <c r="I170" s="5"/>
      <c r="J170" s="5"/>
      <c r="K170" s="5"/>
      <c r="L170" s="5"/>
      <c r="M170" s="5"/>
      <c r="N170" s="5"/>
      <c r="O170" s="147"/>
      <c r="P170" s="120" t="str">
        <f>IFERROR(VLOOKUP(Table1[RespondentID],'All Data'!$A$3:$CO$999,87,FALSE),"unknown")</f>
        <v>Man</v>
      </c>
      <c r="Q170" s="120">
        <f>IFERROR(VLOOKUP(Table1[RespondentID],'All Data'!$A$3:$CO$999,88,FALSE),"unknown")</f>
        <v>29</v>
      </c>
      <c r="R170" s="120" t="str">
        <f>IFERROR(VLOOKUP(Table1[RespondentID],'All Data'!$A$3:$CO$999,89,FALSE),"unknown")</f>
        <v>Suffolk</v>
      </c>
      <c r="S170" s="120" t="str">
        <f>IFERROR(VLOOKUP(Table1[RespondentID],'All Data'!$A$3:$CO$999,90,FALSE),"unknown")</f>
        <v>Lake Grove, 11755</v>
      </c>
      <c r="T170" s="120" t="str">
        <f>IFERROR(VLOOKUP(Table1[RespondentID],'All Data'!$A$3:$CO$999,91,FALSE),"unknown")</f>
        <v>Native Hawaiian and Other Pacific Islander</v>
      </c>
      <c r="U170" s="120">
        <f>IFERROR(VLOOKUP(Table1[RespondentID],'All Data'!$A$3:$CO$999,92,FALSE),"unknown")</f>
        <v>0</v>
      </c>
      <c r="V170" s="120" t="str">
        <f>IFERROR(VLOOKUP(Table1[RespondentID],'All Data'!$A$3:$CO$999,93,FALSE),"unknown")</f>
        <v>Portuguese</v>
      </c>
      <c r="W170" s="120">
        <f>IFERROR(VLOOKUP(Table1[RespondentID],'All Data'!$A$3:$CW$999,94,FALSE),"unknown")</f>
        <v>0</v>
      </c>
      <c r="X170" s="120" t="str">
        <f>IFERROR(VLOOKUP(Table1[RespondentID],'All Data'!$A$3:$CW$999,95,FALSE),"unknown")</f>
        <v>Technical school</v>
      </c>
      <c r="Y170" s="120">
        <f>IFERROR(VLOOKUP(Table1[RespondentID],'All Data'!$A$3:$CW$999,96,FALSE),"unknown")</f>
        <v>0</v>
      </c>
      <c r="Z170" s="120" t="str">
        <f>IFERROR(VLOOKUP(Table1[RespondentID],'All Data'!$A$3:$CW$999,97,FALSE),"unknown")</f>
        <v>No, but I did in the past</v>
      </c>
      <c r="AA170" s="120">
        <f>IFERROR(VLOOKUP(Table1[RespondentID],'All Data'!$A$3:$CW$999,98,FALSE),"unknown")</f>
        <v>0</v>
      </c>
      <c r="AB170" s="150">
        <f>IFERROR(VLOOKUP(Table1[RespondentID],'All Data'!$A$3:$CW$999,99,FALSE),"unknown")</f>
        <v>0</v>
      </c>
    </row>
    <row r="171" spans="1:28">
      <c r="A171" s="5">
        <v>18021799148</v>
      </c>
      <c r="B171" s="5"/>
      <c r="C171" s="5"/>
      <c r="D171" s="5" t="s">
        <v>66</v>
      </c>
      <c r="E171" s="5" t="s">
        <v>67</v>
      </c>
      <c r="F171" s="5"/>
      <c r="G171" s="5" t="s">
        <v>69</v>
      </c>
      <c r="H171" s="5"/>
      <c r="I171" s="5"/>
      <c r="J171" s="5"/>
      <c r="K171" s="5"/>
      <c r="L171" s="5"/>
      <c r="M171" s="5"/>
      <c r="N171" s="5"/>
      <c r="O171" s="147"/>
      <c r="P171" s="120">
        <f>IFERROR(VLOOKUP(Table1[RespondentID],'All Data'!$A$3:$CO$999,87,FALSE),"unknown")</f>
        <v>0</v>
      </c>
      <c r="Q171" s="120">
        <f>IFERROR(VLOOKUP(Table1[RespondentID],'All Data'!$A$3:$CO$999,88,FALSE),"unknown")</f>
        <v>18</v>
      </c>
      <c r="R171" s="120" t="str">
        <f>IFERROR(VLOOKUP(Table1[RespondentID],'All Data'!$A$3:$CO$999,89,FALSE),"unknown")</f>
        <v>Suffolk</v>
      </c>
      <c r="S171" s="120" t="str">
        <f>IFERROR(VLOOKUP(Table1[RespondentID],'All Data'!$A$3:$CO$999,90,FALSE),"unknown")</f>
        <v>Kings Park, 11754</v>
      </c>
      <c r="T171" s="120" t="str">
        <f>IFERROR(VLOOKUP(Table1[RespondentID],'All Data'!$A$3:$CO$999,91,FALSE),"unknown")</f>
        <v>American Indian and Alaska Native</v>
      </c>
      <c r="U171" s="120">
        <f>IFERROR(VLOOKUP(Table1[RespondentID],'All Data'!$A$3:$CO$999,92,FALSE),"unknown")</f>
        <v>0</v>
      </c>
      <c r="V171" s="120" t="str">
        <f>IFERROR(VLOOKUP(Table1[RespondentID],'All Data'!$A$3:$CO$999,93,FALSE),"unknown")</f>
        <v>Polish, Korean</v>
      </c>
      <c r="W171" s="120">
        <f>IFERROR(VLOOKUP(Table1[RespondentID],'All Data'!$A$3:$CW$999,94,FALSE),"unknown")</f>
        <v>0</v>
      </c>
      <c r="X171" s="120" t="str">
        <f>IFERROR(VLOOKUP(Table1[RespondentID],'All Data'!$A$3:$CW$999,95,FALSE),"unknown")</f>
        <v>Some high school</v>
      </c>
      <c r="Y171" s="120">
        <f>IFERROR(VLOOKUP(Table1[RespondentID],'All Data'!$A$3:$CW$999,96,FALSE),"unknown")</f>
        <v>0</v>
      </c>
      <c r="Z171" s="120">
        <f>IFERROR(VLOOKUP(Table1[RespondentID],'All Data'!$A$3:$CW$999,97,FALSE),"unknown")</f>
        <v>0</v>
      </c>
      <c r="AA171" s="120">
        <f>IFERROR(VLOOKUP(Table1[RespondentID],'All Data'!$A$3:$CW$999,98,FALSE),"unknown")</f>
        <v>0</v>
      </c>
      <c r="AB171" s="150">
        <f>IFERROR(VLOOKUP(Table1[RespondentID],'All Data'!$A$3:$CW$999,99,FALSE),"unknown")</f>
        <v>0</v>
      </c>
    </row>
    <row r="172" spans="1:28">
      <c r="A172" s="5">
        <v>18021798948</v>
      </c>
      <c r="B172" s="5"/>
      <c r="C172" s="5"/>
      <c r="D172" s="5"/>
      <c r="E172" s="5" t="s">
        <v>67</v>
      </c>
      <c r="F172" s="5"/>
      <c r="G172" s="5"/>
      <c r="H172" s="5"/>
      <c r="I172" s="5"/>
      <c r="J172" s="5"/>
      <c r="K172" s="5"/>
      <c r="L172" s="5"/>
      <c r="M172" s="5"/>
      <c r="N172" s="5"/>
      <c r="O172" s="147"/>
      <c r="P172" s="120" t="str">
        <f>IFERROR(VLOOKUP(Table1[RespondentID],'All Data'!$A$3:$CO$999,87,FALSE),"unknown")</f>
        <v>Man</v>
      </c>
      <c r="Q172" s="120">
        <f>IFERROR(VLOOKUP(Table1[RespondentID],'All Data'!$A$3:$CO$999,88,FALSE),"unknown")</f>
        <v>29</v>
      </c>
      <c r="R172" s="120" t="str">
        <f>IFERROR(VLOOKUP(Table1[RespondentID],'All Data'!$A$3:$CO$999,89,FALSE),"unknown")</f>
        <v>Suffolk</v>
      </c>
      <c r="S172" s="120" t="str">
        <f>IFERROR(VLOOKUP(Table1[RespondentID],'All Data'!$A$3:$CO$999,90,FALSE),"unknown")</f>
        <v>Lake Grove, 11755</v>
      </c>
      <c r="T172" s="120" t="str">
        <f>IFERROR(VLOOKUP(Table1[RespondentID],'All Data'!$A$3:$CO$999,91,FALSE),"unknown")</f>
        <v>Native Hawaiian and Other Pacific Islander</v>
      </c>
      <c r="U172" s="120">
        <f>IFERROR(VLOOKUP(Table1[RespondentID],'All Data'!$A$3:$CO$999,92,FALSE),"unknown")</f>
        <v>0</v>
      </c>
      <c r="V172" s="120" t="str">
        <f>IFERROR(VLOOKUP(Table1[RespondentID],'All Data'!$A$3:$CO$999,93,FALSE),"unknown")</f>
        <v>Portuguese</v>
      </c>
      <c r="W172" s="120">
        <f>IFERROR(VLOOKUP(Table1[RespondentID],'All Data'!$A$3:$CW$999,94,FALSE),"unknown")</f>
        <v>0</v>
      </c>
      <c r="X172" s="120" t="str">
        <f>IFERROR(VLOOKUP(Table1[RespondentID],'All Data'!$A$3:$CW$999,95,FALSE),"unknown")</f>
        <v>Technical school</v>
      </c>
      <c r="Y172" s="120">
        <f>IFERROR(VLOOKUP(Table1[RespondentID],'All Data'!$A$3:$CW$999,96,FALSE),"unknown")</f>
        <v>0</v>
      </c>
      <c r="Z172" s="120" t="str">
        <f>IFERROR(VLOOKUP(Table1[RespondentID],'All Data'!$A$3:$CW$999,97,FALSE),"unknown")</f>
        <v>No, but I did in the past</v>
      </c>
      <c r="AA172" s="120">
        <f>IFERROR(VLOOKUP(Table1[RespondentID],'All Data'!$A$3:$CW$999,98,FALSE),"unknown")</f>
        <v>0</v>
      </c>
      <c r="AB172" s="150">
        <f>IFERROR(VLOOKUP(Table1[RespondentID],'All Data'!$A$3:$CW$999,99,FALSE),"unknown")</f>
        <v>0</v>
      </c>
    </row>
    <row r="173" spans="1:28">
      <c r="A173" s="5">
        <v>18021798764</v>
      </c>
      <c r="B173" s="5"/>
      <c r="C173" s="5"/>
      <c r="D173" s="5"/>
      <c r="E173" s="5"/>
      <c r="F173" s="5"/>
      <c r="G173" s="5"/>
      <c r="H173" s="5"/>
      <c r="I173" s="5"/>
      <c r="J173" s="5"/>
      <c r="K173" s="5"/>
      <c r="L173" s="5" t="s">
        <v>74</v>
      </c>
      <c r="M173" s="5"/>
      <c r="N173" s="5"/>
      <c r="O173" s="147"/>
      <c r="P173" s="120" t="str">
        <f>IFERROR(VLOOKUP(Table1[RespondentID],'All Data'!$A$3:$CO$999,87,FALSE),"unknown")</f>
        <v>Woman</v>
      </c>
      <c r="Q173" s="120">
        <f>IFERROR(VLOOKUP(Table1[RespondentID],'All Data'!$A$3:$CO$999,88,FALSE),"unknown")</f>
        <v>18</v>
      </c>
      <c r="R173" s="120" t="str">
        <f>IFERROR(VLOOKUP(Table1[RespondentID],'All Data'!$A$3:$CO$999,89,FALSE),"unknown")</f>
        <v>Suffolk</v>
      </c>
      <c r="S173" s="120" t="str">
        <f>IFERROR(VLOOKUP(Table1[RespondentID],'All Data'!$A$3:$CO$999,90,FALSE),"unknown")</f>
        <v>Lake Grove, 11755</v>
      </c>
      <c r="T173" s="120" t="str">
        <f>IFERROR(VLOOKUP(Table1[RespondentID],'All Data'!$A$3:$CO$999,91,FALSE),"unknown")</f>
        <v>Black or African American</v>
      </c>
      <c r="U173" s="120">
        <f>IFERROR(VLOOKUP(Table1[RespondentID],'All Data'!$A$3:$CO$999,92,FALSE),"unknown")</f>
        <v>0</v>
      </c>
      <c r="V173" s="120" t="str">
        <f>IFERROR(VLOOKUP(Table1[RespondentID],'All Data'!$A$3:$CO$999,93,FALSE),"unknown")</f>
        <v>Portuguese</v>
      </c>
      <c r="W173" s="120" t="str">
        <f>IFERROR(VLOOKUP(Table1[RespondentID],'All Data'!$A$3:$CW$999,94,FALSE),"unknown")</f>
        <v>$50,000 to $74,999</v>
      </c>
      <c r="X173" s="120" t="str">
        <f>IFERROR(VLOOKUP(Table1[RespondentID],'All Data'!$A$3:$CW$999,95,FALSE),"unknown")</f>
        <v>Some high school</v>
      </c>
      <c r="Y173" s="120">
        <f>IFERROR(VLOOKUP(Table1[RespondentID],'All Data'!$A$3:$CW$999,96,FALSE),"unknown")</f>
        <v>0</v>
      </c>
      <c r="Z173" s="120" t="str">
        <f>IFERROR(VLOOKUP(Table1[RespondentID],'All Data'!$A$3:$CW$999,97,FALSE),"unknown")</f>
        <v>No, but I did in the past</v>
      </c>
      <c r="AA173" s="120">
        <f>IFERROR(VLOOKUP(Table1[RespondentID],'All Data'!$A$3:$CW$999,98,FALSE),"unknown")</f>
        <v>0</v>
      </c>
      <c r="AB173" s="150">
        <f>IFERROR(VLOOKUP(Table1[RespondentID],'All Data'!$A$3:$CW$999,99,FALSE),"unknown")</f>
        <v>0</v>
      </c>
    </row>
    <row r="174" spans="1:28">
      <c r="A174" s="5">
        <v>18021798571</v>
      </c>
      <c r="B174" s="5" t="s">
        <v>64</v>
      </c>
      <c r="C174" s="5"/>
      <c r="D174" s="5"/>
      <c r="E174" s="5"/>
      <c r="F174" s="5"/>
      <c r="G174" s="5" t="s">
        <v>69</v>
      </c>
      <c r="H174" s="5"/>
      <c r="I174" s="5"/>
      <c r="J174" s="5"/>
      <c r="K174" s="5"/>
      <c r="L174" s="5"/>
      <c r="M174" s="5"/>
      <c r="N174" s="5"/>
      <c r="O174" s="147"/>
      <c r="P174" s="120" t="str">
        <f>IFERROR(VLOOKUP(Table1[RespondentID],'All Data'!$A$3:$CO$999,87,FALSE),"unknown")</f>
        <v>Man</v>
      </c>
      <c r="Q174" s="120">
        <f>IFERROR(VLOOKUP(Table1[RespondentID],'All Data'!$A$3:$CO$999,88,FALSE),"unknown")</f>
        <v>21</v>
      </c>
      <c r="R174" s="120" t="str">
        <f>IFERROR(VLOOKUP(Table1[RespondentID],'All Data'!$A$3:$CO$999,89,FALSE),"unknown")</f>
        <v>Nassau</v>
      </c>
      <c r="S174" s="120" t="str">
        <f>IFERROR(VLOOKUP(Table1[RespondentID],'All Data'!$A$3:$CO$999,90,FALSE),"unknown")</f>
        <v>Syosset, 11773</v>
      </c>
      <c r="T174" s="120" t="str">
        <f>IFERROR(VLOOKUP(Table1[RespondentID],'All Data'!$A$3:$CO$999,91,FALSE),"unknown")</f>
        <v>White</v>
      </c>
      <c r="U174" s="120">
        <f>IFERROR(VLOOKUP(Table1[RespondentID],'All Data'!$A$3:$CO$999,92,FALSE),"unknown")</f>
        <v>0</v>
      </c>
      <c r="V174" s="120" t="str">
        <f>IFERROR(VLOOKUP(Table1[RespondentID],'All Data'!$A$3:$CO$999,93,FALSE),"unknown")</f>
        <v>Korean</v>
      </c>
      <c r="W174" s="120" t="str">
        <f>IFERROR(VLOOKUP(Table1[RespondentID],'All Data'!$A$3:$CW$999,94,FALSE),"unknown")</f>
        <v>$75,000 to $125,000</v>
      </c>
      <c r="X174" s="120" t="str">
        <f>IFERROR(VLOOKUP(Table1[RespondentID],'All Data'!$A$3:$CW$999,95,FALSE),"unknown")</f>
        <v>Some high school</v>
      </c>
      <c r="Y174" s="120" t="str">
        <f>IFERROR(VLOOKUP(Table1[RespondentID],'All Data'!$A$3:$CW$999,96,FALSE),"unknown")</f>
        <v>Student</v>
      </c>
      <c r="Z174" s="120" t="str">
        <f>IFERROR(VLOOKUP(Table1[RespondentID],'All Data'!$A$3:$CW$999,97,FALSE),"unknown")</f>
        <v>No, but I did in the past</v>
      </c>
      <c r="AA174" s="120">
        <f>IFERROR(VLOOKUP(Table1[RespondentID],'All Data'!$A$3:$CW$999,98,FALSE),"unknown")</f>
        <v>0</v>
      </c>
      <c r="AB174" s="150">
        <f>IFERROR(VLOOKUP(Table1[RespondentID],'All Data'!$A$3:$CW$999,99,FALSE),"unknown")</f>
        <v>0</v>
      </c>
    </row>
    <row r="175" spans="1:28">
      <c r="A175" s="5">
        <v>18021798337</v>
      </c>
      <c r="B175" s="5" t="s">
        <v>64</v>
      </c>
      <c r="C175" s="5"/>
      <c r="D175" s="5"/>
      <c r="E175" s="5"/>
      <c r="F175" s="5"/>
      <c r="G175" s="5" t="s">
        <v>69</v>
      </c>
      <c r="H175" s="5"/>
      <c r="I175" s="5"/>
      <c r="J175" s="5"/>
      <c r="K175" s="5"/>
      <c r="L175" s="5"/>
      <c r="M175" s="5"/>
      <c r="N175" s="5"/>
      <c r="O175" s="147"/>
      <c r="P175" s="120" t="str">
        <f>IFERROR(VLOOKUP(Table1[RespondentID],'All Data'!$A$3:$CO$999,87,FALSE),"unknown")</f>
        <v>Woman</v>
      </c>
      <c r="Q175" s="120">
        <f>IFERROR(VLOOKUP(Table1[RespondentID],'All Data'!$A$3:$CO$999,88,FALSE),"unknown")</f>
        <v>17</v>
      </c>
      <c r="R175" s="120" t="str">
        <f>IFERROR(VLOOKUP(Table1[RespondentID],'All Data'!$A$3:$CO$999,89,FALSE),"unknown")</f>
        <v>Nassau</v>
      </c>
      <c r="S175" s="120" t="str">
        <f>IFERROR(VLOOKUP(Table1[RespondentID],'All Data'!$A$3:$CO$999,90,FALSE),"unknown")</f>
        <v>Syosset, 11791</v>
      </c>
      <c r="T175" s="120" t="str">
        <f>IFERROR(VLOOKUP(Table1[RespondentID],'All Data'!$A$3:$CO$999,91,FALSE),"unknown")</f>
        <v>White</v>
      </c>
      <c r="U175" s="120">
        <f>IFERROR(VLOOKUP(Table1[RespondentID],'All Data'!$A$3:$CO$999,92,FALSE),"unknown")</f>
        <v>0</v>
      </c>
      <c r="V175" s="120" t="str">
        <f>IFERROR(VLOOKUP(Table1[RespondentID],'All Data'!$A$3:$CO$999,93,FALSE),"unknown")</f>
        <v>Korean</v>
      </c>
      <c r="W175" s="120" t="str">
        <f>IFERROR(VLOOKUP(Table1[RespondentID],'All Data'!$A$3:$CW$999,94,FALSE),"unknown")</f>
        <v>$75,000 to $125,000</v>
      </c>
      <c r="X175" s="120" t="str">
        <f>IFERROR(VLOOKUP(Table1[RespondentID],'All Data'!$A$3:$CW$999,95,FALSE),"unknown")</f>
        <v>Some high school</v>
      </c>
      <c r="Y175" s="120" t="str">
        <f>IFERROR(VLOOKUP(Table1[RespondentID],'All Data'!$A$3:$CW$999,96,FALSE),"unknown")</f>
        <v>Student</v>
      </c>
      <c r="Z175" s="120" t="str">
        <f>IFERROR(VLOOKUP(Table1[RespondentID],'All Data'!$A$3:$CW$999,97,FALSE),"unknown")</f>
        <v>No, but I did in the past</v>
      </c>
      <c r="AA175" s="120">
        <f>IFERROR(VLOOKUP(Table1[RespondentID],'All Data'!$A$3:$CW$999,98,FALSE),"unknown")</f>
        <v>0</v>
      </c>
      <c r="AB175" s="150">
        <f>IFERROR(VLOOKUP(Table1[RespondentID],'All Data'!$A$3:$CW$999,99,FALSE),"unknown")</f>
        <v>0</v>
      </c>
    </row>
    <row r="176" spans="1:28">
      <c r="A176" s="5">
        <v>18021797894</v>
      </c>
      <c r="B176" s="5"/>
      <c r="C176" s="5"/>
      <c r="D176" s="5"/>
      <c r="E176" s="5" t="s">
        <v>67</v>
      </c>
      <c r="F176" s="5"/>
      <c r="G176" s="5"/>
      <c r="H176" s="5"/>
      <c r="I176" s="5"/>
      <c r="J176" s="5"/>
      <c r="K176" s="5"/>
      <c r="L176" s="5" t="s">
        <v>74</v>
      </c>
      <c r="M176" s="5"/>
      <c r="N176" s="5"/>
      <c r="O176" s="147"/>
      <c r="P176" s="120" t="str">
        <f>IFERROR(VLOOKUP(Table1[RespondentID],'All Data'!$A$3:$CO$999,87,FALSE),"unknown")</f>
        <v>Woman</v>
      </c>
      <c r="Q176" s="120">
        <f>IFERROR(VLOOKUP(Table1[RespondentID],'All Data'!$A$3:$CO$999,88,FALSE),"unknown")</f>
        <v>18</v>
      </c>
      <c r="R176" s="120" t="str">
        <f>IFERROR(VLOOKUP(Table1[RespondentID],'All Data'!$A$3:$CO$999,89,FALSE),"unknown")</f>
        <v>Suffolk</v>
      </c>
      <c r="S176" s="120" t="str">
        <f>IFERROR(VLOOKUP(Table1[RespondentID],'All Data'!$A$3:$CO$999,90,FALSE),"unknown")</f>
        <v>Commack, 11725</v>
      </c>
      <c r="T176" s="120" t="str">
        <f>IFERROR(VLOOKUP(Table1[RespondentID],'All Data'!$A$3:$CO$999,91,FALSE),"unknown")</f>
        <v>Black or African American</v>
      </c>
      <c r="U176" s="120">
        <f>IFERROR(VLOOKUP(Table1[RespondentID],'All Data'!$A$3:$CO$999,92,FALSE),"unknown")</f>
        <v>0</v>
      </c>
      <c r="V176" s="120" t="str">
        <f>IFERROR(VLOOKUP(Table1[RespondentID],'All Data'!$A$3:$CO$999,93,FALSE),"unknown")</f>
        <v>Korean</v>
      </c>
      <c r="W176" s="120" t="str">
        <f>IFERROR(VLOOKUP(Table1[RespondentID],'All Data'!$A$3:$CW$999,94,FALSE),"unknown")</f>
        <v>$75,000 to $125,000</v>
      </c>
      <c r="X176" s="120" t="str">
        <f>IFERROR(VLOOKUP(Table1[RespondentID],'All Data'!$A$3:$CW$999,95,FALSE),"unknown")</f>
        <v>Some high school</v>
      </c>
      <c r="Y176" s="120" t="str">
        <f>IFERROR(VLOOKUP(Table1[RespondentID],'All Data'!$A$3:$CW$999,96,FALSE),"unknown")</f>
        <v>Student</v>
      </c>
      <c r="Z176" s="120" t="str">
        <f>IFERROR(VLOOKUP(Table1[RespondentID],'All Data'!$A$3:$CW$999,97,FALSE),"unknown")</f>
        <v>No, but I did in the past</v>
      </c>
      <c r="AA176" s="120">
        <f>IFERROR(VLOOKUP(Table1[RespondentID],'All Data'!$A$3:$CW$999,98,FALSE),"unknown")</f>
        <v>0</v>
      </c>
      <c r="AB176" s="150">
        <f>IFERROR(VLOOKUP(Table1[RespondentID],'All Data'!$A$3:$CW$999,99,FALSE),"unknown")</f>
        <v>0</v>
      </c>
    </row>
    <row r="177" spans="1:28">
      <c r="A177" s="5">
        <v>18021797663</v>
      </c>
      <c r="B177" s="5" t="s">
        <v>64</v>
      </c>
      <c r="C177" s="5"/>
      <c r="D177" s="5"/>
      <c r="E177" s="5" t="s">
        <v>67</v>
      </c>
      <c r="F177" s="5"/>
      <c r="G177" s="5"/>
      <c r="H177" s="5"/>
      <c r="I177" s="5"/>
      <c r="J177" s="5"/>
      <c r="K177" s="5"/>
      <c r="L177" s="5"/>
      <c r="M177" s="5"/>
      <c r="N177" s="5"/>
      <c r="O177" s="147"/>
      <c r="P177" s="120" t="str">
        <f>IFERROR(VLOOKUP(Table1[RespondentID],'All Data'!$A$3:$CO$999,87,FALSE),"unknown")</f>
        <v>Man</v>
      </c>
      <c r="Q177" s="120">
        <f>IFERROR(VLOOKUP(Table1[RespondentID],'All Data'!$A$3:$CO$999,88,FALSE),"unknown")</f>
        <v>18</v>
      </c>
      <c r="R177" s="120" t="str">
        <f>IFERROR(VLOOKUP(Table1[RespondentID],'All Data'!$A$3:$CO$999,89,FALSE),"unknown")</f>
        <v>Suffolk</v>
      </c>
      <c r="S177" s="120" t="str">
        <f>IFERROR(VLOOKUP(Table1[RespondentID],'All Data'!$A$3:$CO$999,90,FALSE),"unknown")</f>
        <v>Commack, 11725</v>
      </c>
      <c r="T177" s="120" t="str">
        <f>IFERROR(VLOOKUP(Table1[RespondentID],'All Data'!$A$3:$CO$999,91,FALSE),"unknown")</f>
        <v>White</v>
      </c>
      <c r="U177" s="120" t="str">
        <f>IFERROR(VLOOKUP(Table1[RespondentID],'All Data'!$A$3:$CO$999,92,FALSE),"unknown")</f>
        <v>Hispanic or Latino</v>
      </c>
      <c r="V177" s="120" t="str">
        <f>IFERROR(VLOOKUP(Table1[RespondentID],'All Data'!$A$3:$CO$999,93,FALSE),"unknown")</f>
        <v>Chinese</v>
      </c>
      <c r="W177" s="120">
        <f>IFERROR(VLOOKUP(Table1[RespondentID],'All Data'!$A$3:$CW$999,94,FALSE),"unknown")</f>
        <v>0</v>
      </c>
      <c r="X177" s="120">
        <f>IFERROR(VLOOKUP(Table1[RespondentID],'All Data'!$A$3:$CW$999,95,FALSE),"unknown")</f>
        <v>0</v>
      </c>
      <c r="Y177" s="120" t="str">
        <f>IFERROR(VLOOKUP(Table1[RespondentID],'All Data'!$A$3:$CW$999,96,FALSE),"unknown")</f>
        <v>Student</v>
      </c>
      <c r="Z177" s="120">
        <f>IFERROR(VLOOKUP(Table1[RespondentID],'All Data'!$A$3:$CW$999,97,FALSE),"unknown")</f>
        <v>0</v>
      </c>
      <c r="AA177" s="120">
        <f>IFERROR(VLOOKUP(Table1[RespondentID],'All Data'!$A$3:$CW$999,98,FALSE),"unknown")</f>
        <v>0</v>
      </c>
      <c r="AB177" s="150">
        <f>IFERROR(VLOOKUP(Table1[RespondentID],'All Data'!$A$3:$CW$999,99,FALSE),"unknown")</f>
        <v>0</v>
      </c>
    </row>
    <row r="178" spans="1:28">
      <c r="A178" s="5">
        <v>18021797480</v>
      </c>
      <c r="B178" s="5"/>
      <c r="C178" s="5"/>
      <c r="D178" s="5"/>
      <c r="E178" s="5" t="s">
        <v>67</v>
      </c>
      <c r="F178" s="5"/>
      <c r="G178" s="5"/>
      <c r="H178" s="5"/>
      <c r="I178" s="5"/>
      <c r="J178" s="5"/>
      <c r="K178" s="5"/>
      <c r="L178" s="5" t="s">
        <v>74</v>
      </c>
      <c r="M178" s="5"/>
      <c r="N178" s="5"/>
      <c r="O178" s="147"/>
      <c r="P178" s="120" t="str">
        <f>IFERROR(VLOOKUP(Table1[RespondentID],'All Data'!$A$3:$CO$999,87,FALSE),"unknown")</f>
        <v>Woman</v>
      </c>
      <c r="Q178" s="120">
        <f>IFERROR(VLOOKUP(Table1[RespondentID],'All Data'!$A$3:$CO$999,88,FALSE),"unknown")</f>
        <v>61</v>
      </c>
      <c r="R178" s="120" t="str">
        <f>IFERROR(VLOOKUP(Table1[RespondentID],'All Data'!$A$3:$CO$999,89,FALSE),"unknown")</f>
        <v>Suffolk</v>
      </c>
      <c r="S178" s="120" t="str">
        <f>IFERROR(VLOOKUP(Table1[RespondentID],'All Data'!$A$3:$CO$999,90,FALSE),"unknown")</f>
        <v>East Northport, 11731</v>
      </c>
      <c r="T178" s="120" t="str">
        <f>IFERROR(VLOOKUP(Table1[RespondentID],'All Data'!$A$3:$CO$999,91,FALSE),"unknown")</f>
        <v>American Indian and Alaska Native</v>
      </c>
      <c r="U178" s="120">
        <f>IFERROR(VLOOKUP(Table1[RespondentID],'All Data'!$A$3:$CO$999,92,FALSE),"unknown")</f>
        <v>0</v>
      </c>
      <c r="V178" s="120" t="str">
        <f>IFERROR(VLOOKUP(Table1[RespondentID],'All Data'!$A$3:$CO$999,93,FALSE),"unknown")</f>
        <v>Korean</v>
      </c>
      <c r="W178" s="120" t="str">
        <f>IFERROR(VLOOKUP(Table1[RespondentID],'All Data'!$A$3:$CW$999,94,FALSE),"unknown")</f>
        <v>$0-$19,999</v>
      </c>
      <c r="X178" s="120" t="str">
        <f>IFERROR(VLOOKUP(Table1[RespondentID],'All Data'!$A$3:$CW$999,95,FALSE),"unknown")</f>
        <v>College graduate</v>
      </c>
      <c r="Y178" s="120" t="str">
        <f>IFERROR(VLOOKUP(Table1[RespondentID],'All Data'!$A$3:$CW$999,96,FALSE),"unknown")</f>
        <v>Employed for wages</v>
      </c>
      <c r="Z178" s="120" t="str">
        <f>IFERROR(VLOOKUP(Table1[RespondentID],'All Data'!$A$3:$CW$999,97,FALSE),"unknown")</f>
        <v>Yes</v>
      </c>
      <c r="AA178" s="120">
        <f>IFERROR(VLOOKUP(Table1[RespondentID],'All Data'!$A$3:$CW$999,98,FALSE),"unknown")</f>
        <v>0</v>
      </c>
      <c r="AB178" s="150">
        <f>IFERROR(VLOOKUP(Table1[RespondentID],'All Data'!$A$3:$CW$999,99,FALSE),"unknown")</f>
        <v>0</v>
      </c>
    </row>
    <row r="179" spans="1:28">
      <c r="A179" s="5">
        <v>18021796836</v>
      </c>
      <c r="B179" s="5"/>
      <c r="C179" s="5"/>
      <c r="D179" s="5"/>
      <c r="E179" s="5" t="s">
        <v>67</v>
      </c>
      <c r="F179" s="5"/>
      <c r="G179" s="5"/>
      <c r="H179" s="5"/>
      <c r="I179" s="5"/>
      <c r="J179" s="5"/>
      <c r="K179" s="5"/>
      <c r="L179" s="5" t="s">
        <v>74</v>
      </c>
      <c r="M179" s="5"/>
      <c r="N179" s="5"/>
      <c r="O179" s="147"/>
      <c r="P179" s="120" t="str">
        <f>IFERROR(VLOOKUP(Table1[RespondentID],'All Data'!$A$3:$CO$999,87,FALSE),"unknown")</f>
        <v>Man</v>
      </c>
      <c r="Q179" s="120">
        <f>IFERROR(VLOOKUP(Table1[RespondentID],'All Data'!$A$3:$CO$999,88,FALSE),"unknown")</f>
        <v>60</v>
      </c>
      <c r="R179" s="120" t="str">
        <f>IFERROR(VLOOKUP(Table1[RespondentID],'All Data'!$A$3:$CO$999,89,FALSE),"unknown")</f>
        <v>Suffolk</v>
      </c>
      <c r="S179" s="120" t="str">
        <f>IFERROR(VLOOKUP(Table1[RespondentID],'All Data'!$A$3:$CO$999,90,FALSE),"unknown")</f>
        <v>Commack, 11725</v>
      </c>
      <c r="T179" s="120" t="str">
        <f>IFERROR(VLOOKUP(Table1[RespondentID],'All Data'!$A$3:$CO$999,91,FALSE),"unknown")</f>
        <v>American Indian and Alaska Native</v>
      </c>
      <c r="U179" s="120">
        <f>IFERROR(VLOOKUP(Table1[RespondentID],'All Data'!$A$3:$CO$999,92,FALSE),"unknown")</f>
        <v>0</v>
      </c>
      <c r="V179" s="120" t="str">
        <f>IFERROR(VLOOKUP(Table1[RespondentID],'All Data'!$A$3:$CO$999,93,FALSE),"unknown")</f>
        <v>Korean</v>
      </c>
      <c r="W179" s="120" t="str">
        <f>IFERROR(VLOOKUP(Table1[RespondentID],'All Data'!$A$3:$CW$999,94,FALSE),"unknown")</f>
        <v>$0-$19,999</v>
      </c>
      <c r="X179" s="120" t="str">
        <f>IFERROR(VLOOKUP(Table1[RespondentID],'All Data'!$A$3:$CW$999,95,FALSE),"unknown")</f>
        <v>College graduate</v>
      </c>
      <c r="Y179" s="120" t="str">
        <f>IFERROR(VLOOKUP(Table1[RespondentID],'All Data'!$A$3:$CW$999,96,FALSE),"unknown")</f>
        <v>Employed for wages</v>
      </c>
      <c r="Z179" s="120" t="str">
        <f>IFERROR(VLOOKUP(Table1[RespondentID],'All Data'!$A$3:$CW$999,97,FALSE),"unknown")</f>
        <v>Yes</v>
      </c>
      <c r="AA179" s="120">
        <f>IFERROR(VLOOKUP(Table1[RespondentID],'All Data'!$A$3:$CW$999,98,FALSE),"unknown")</f>
        <v>0</v>
      </c>
      <c r="AB179" s="150">
        <f>IFERROR(VLOOKUP(Table1[RespondentID],'All Data'!$A$3:$CW$999,99,FALSE),"unknown")</f>
        <v>0</v>
      </c>
    </row>
    <row r="180" spans="1:28">
      <c r="A180" s="5">
        <v>18021796390</v>
      </c>
      <c r="B180" s="5" t="s">
        <v>64</v>
      </c>
      <c r="C180" s="5"/>
      <c r="D180" s="5" t="s">
        <v>66</v>
      </c>
      <c r="E180" s="5" t="s">
        <v>67</v>
      </c>
      <c r="F180" s="5" t="s">
        <v>68</v>
      </c>
      <c r="G180" s="5"/>
      <c r="H180" s="5" t="s">
        <v>70</v>
      </c>
      <c r="I180" s="5" t="s">
        <v>71</v>
      </c>
      <c r="J180" s="5"/>
      <c r="K180" s="5" t="s">
        <v>73</v>
      </c>
      <c r="L180" s="5"/>
      <c r="M180" s="5" t="s">
        <v>75</v>
      </c>
      <c r="N180" s="5"/>
      <c r="O180" s="147"/>
      <c r="P180" s="120" t="str">
        <f>IFERROR(VLOOKUP(Table1[RespondentID],'All Data'!$A$3:$CO$999,87,FALSE),"unknown")</f>
        <v>Man</v>
      </c>
      <c r="Q180" s="120">
        <f>IFERROR(VLOOKUP(Table1[RespondentID],'All Data'!$A$3:$CO$999,88,FALSE),"unknown")</f>
        <v>26</v>
      </c>
      <c r="R180" s="120" t="str">
        <f>IFERROR(VLOOKUP(Table1[RespondentID],'All Data'!$A$3:$CO$999,89,FALSE),"unknown")</f>
        <v>Suffolk</v>
      </c>
      <c r="S180" s="120" t="str">
        <f>IFERROR(VLOOKUP(Table1[RespondentID],'All Data'!$A$3:$CO$999,90,FALSE),"unknown")</f>
        <v>Port Jefferson Station, 11776</v>
      </c>
      <c r="T180" s="120" t="str">
        <f>IFERROR(VLOOKUP(Table1[RespondentID],'All Data'!$A$3:$CO$999,91,FALSE),"unknown")</f>
        <v>White</v>
      </c>
      <c r="U180" s="120" t="str">
        <f>IFERROR(VLOOKUP(Table1[RespondentID],'All Data'!$A$3:$CO$999,92,FALSE),"unknown")</f>
        <v>Hispanic or Latino</v>
      </c>
      <c r="V180" s="120" t="str">
        <f>IFERROR(VLOOKUP(Table1[RespondentID],'All Data'!$A$3:$CO$999,93,FALSE),"unknown")</f>
        <v>English</v>
      </c>
      <c r="W180" s="120" t="str">
        <f>IFERROR(VLOOKUP(Table1[RespondentID],'All Data'!$A$3:$CW$999,94,FALSE),"unknown")</f>
        <v>Over $125,000</v>
      </c>
      <c r="X180" s="120" t="str">
        <f>IFERROR(VLOOKUP(Table1[RespondentID],'All Data'!$A$3:$CW$999,95,FALSE),"unknown")</f>
        <v>Some college</v>
      </c>
      <c r="Y180" s="120" t="str">
        <f>IFERROR(VLOOKUP(Table1[RespondentID],'All Data'!$A$3:$CW$999,96,FALSE),"unknown")</f>
        <v>Out of work and looking for work</v>
      </c>
      <c r="Z180" s="120" t="str">
        <f>IFERROR(VLOOKUP(Table1[RespondentID],'All Data'!$A$3:$CW$999,97,FALSE),"unknown")</f>
        <v>Yes</v>
      </c>
      <c r="AA180" s="120">
        <f>IFERROR(VLOOKUP(Table1[RespondentID],'All Data'!$A$3:$CW$999,98,FALSE),"unknown")</f>
        <v>0</v>
      </c>
      <c r="AB180" s="150">
        <f>IFERROR(VLOOKUP(Table1[RespondentID],'All Data'!$A$3:$CW$999,99,FALSE),"unknown")</f>
        <v>0</v>
      </c>
    </row>
    <row r="181" spans="1:28">
      <c r="A181" s="5">
        <v>18021796214</v>
      </c>
      <c r="B181" s="5" t="s">
        <v>64</v>
      </c>
      <c r="C181" s="5"/>
      <c r="D181" s="5"/>
      <c r="E181" s="5"/>
      <c r="F181" s="5"/>
      <c r="G181" s="5"/>
      <c r="H181" s="5" t="s">
        <v>70</v>
      </c>
      <c r="I181" s="5"/>
      <c r="J181" s="5"/>
      <c r="K181" s="5"/>
      <c r="L181" s="5"/>
      <c r="M181" s="5"/>
      <c r="N181" s="5"/>
      <c r="O181" s="147"/>
      <c r="P181" s="120" t="str">
        <f>IFERROR(VLOOKUP(Table1[RespondentID],'All Data'!$A$3:$CO$999,87,FALSE),"unknown")</f>
        <v>Woman</v>
      </c>
      <c r="Q181" s="120">
        <f>IFERROR(VLOOKUP(Table1[RespondentID],'All Data'!$A$3:$CO$999,88,FALSE),"unknown")</f>
        <v>46</v>
      </c>
      <c r="R181" s="120" t="str">
        <f>IFERROR(VLOOKUP(Table1[RespondentID],'All Data'!$A$3:$CO$999,89,FALSE),"unknown")</f>
        <v>Nassau</v>
      </c>
      <c r="S181" s="120" t="str">
        <f>IFERROR(VLOOKUP(Table1[RespondentID],'All Data'!$A$3:$CO$999,90,FALSE),"unknown")</f>
        <v>Long Beach, 11561</v>
      </c>
      <c r="T181" s="120" t="str">
        <f>IFERROR(VLOOKUP(Table1[RespondentID],'All Data'!$A$3:$CO$999,91,FALSE),"unknown")</f>
        <v>White</v>
      </c>
      <c r="U181" s="120" t="str">
        <f>IFERROR(VLOOKUP(Table1[RespondentID],'All Data'!$A$3:$CO$999,92,FALSE),"unknown")</f>
        <v>Hispanic or Latino</v>
      </c>
      <c r="V181" s="120" t="str">
        <f>IFERROR(VLOOKUP(Table1[RespondentID],'All Data'!$A$3:$CO$999,93,FALSE),"unknown")</f>
        <v>English</v>
      </c>
      <c r="W181" s="120" t="str">
        <f>IFERROR(VLOOKUP(Table1[RespondentID],'All Data'!$A$3:$CW$999,94,FALSE),"unknown")</f>
        <v>Over $125,000</v>
      </c>
      <c r="X181" s="120" t="str">
        <f>IFERROR(VLOOKUP(Table1[RespondentID],'All Data'!$A$3:$CW$999,95,FALSE),"unknown")</f>
        <v>Graduate school</v>
      </c>
      <c r="Y181" s="120" t="str">
        <f>IFERROR(VLOOKUP(Table1[RespondentID],'All Data'!$A$3:$CW$999,96,FALSE),"unknown")</f>
        <v>Employed for wages</v>
      </c>
      <c r="Z181" s="120" t="str">
        <f>IFERROR(VLOOKUP(Table1[RespondentID],'All Data'!$A$3:$CW$999,97,FALSE),"unknown")</f>
        <v>Yes</v>
      </c>
      <c r="AA181" s="120">
        <f>IFERROR(VLOOKUP(Table1[RespondentID],'All Data'!$A$3:$CW$999,98,FALSE),"unknown")</f>
        <v>0</v>
      </c>
      <c r="AB181" s="150">
        <f>IFERROR(VLOOKUP(Table1[RespondentID],'All Data'!$A$3:$CW$999,99,FALSE),"unknown")</f>
        <v>0</v>
      </c>
    </row>
    <row r="182" spans="1:28">
      <c r="A182" s="5">
        <v>18021795979</v>
      </c>
      <c r="B182" s="5" t="s">
        <v>64</v>
      </c>
      <c r="C182" s="5"/>
      <c r="D182" s="5"/>
      <c r="E182" s="5"/>
      <c r="F182" s="5"/>
      <c r="G182" s="5"/>
      <c r="H182" s="5" t="s">
        <v>70</v>
      </c>
      <c r="I182" s="5"/>
      <c r="J182" s="5"/>
      <c r="K182" s="5" t="s">
        <v>73</v>
      </c>
      <c r="L182" s="5"/>
      <c r="M182" s="5"/>
      <c r="N182" s="5"/>
      <c r="O182" s="147"/>
      <c r="P182" s="120" t="str">
        <f>IFERROR(VLOOKUP(Table1[RespondentID],'All Data'!$A$3:$CO$999,87,FALSE),"unknown")</f>
        <v>Man</v>
      </c>
      <c r="Q182" s="120">
        <f>IFERROR(VLOOKUP(Table1[RespondentID],'All Data'!$A$3:$CO$999,88,FALSE),"unknown")</f>
        <v>34</v>
      </c>
      <c r="R182" s="120" t="str">
        <f>IFERROR(VLOOKUP(Table1[RespondentID],'All Data'!$A$3:$CO$999,89,FALSE),"unknown")</f>
        <v>Suffolk</v>
      </c>
      <c r="S182" s="120" t="str">
        <f>IFERROR(VLOOKUP(Table1[RespondentID],'All Data'!$A$3:$CO$999,90,FALSE),"unknown")</f>
        <v>Stony Brook, 11790</v>
      </c>
      <c r="T182" s="120" t="str">
        <f>IFERROR(VLOOKUP(Table1[RespondentID],'All Data'!$A$3:$CO$999,91,FALSE),"unknown")</f>
        <v>White</v>
      </c>
      <c r="U182" s="120" t="str">
        <f>IFERROR(VLOOKUP(Table1[RespondentID],'All Data'!$A$3:$CO$999,92,FALSE),"unknown")</f>
        <v>Hispanic or Latino</v>
      </c>
      <c r="V182" s="120" t="str">
        <f>IFERROR(VLOOKUP(Table1[RespondentID],'All Data'!$A$3:$CO$999,93,FALSE),"unknown")</f>
        <v>English</v>
      </c>
      <c r="W182" s="120" t="str">
        <f>IFERROR(VLOOKUP(Table1[RespondentID],'All Data'!$A$3:$CW$999,94,FALSE),"unknown")</f>
        <v>$35,000 to $49,999</v>
      </c>
      <c r="X182" s="120" t="str">
        <f>IFERROR(VLOOKUP(Table1[RespondentID],'All Data'!$A$3:$CW$999,95,FALSE),"unknown")</f>
        <v>Some college</v>
      </c>
      <c r="Y182" s="120" t="str">
        <f>IFERROR(VLOOKUP(Table1[RespondentID],'All Data'!$A$3:$CW$999,96,FALSE),"unknown")</f>
        <v>Employed for wages</v>
      </c>
      <c r="Z182" s="120" t="str">
        <f>IFERROR(VLOOKUP(Table1[RespondentID],'All Data'!$A$3:$CW$999,97,FALSE),"unknown")</f>
        <v>Yes</v>
      </c>
      <c r="AA182" s="120">
        <f>IFERROR(VLOOKUP(Table1[RespondentID],'All Data'!$A$3:$CW$999,98,FALSE),"unknown")</f>
        <v>0</v>
      </c>
      <c r="AB182" s="150">
        <f>IFERROR(VLOOKUP(Table1[RespondentID],'All Data'!$A$3:$CW$999,99,FALSE),"unknown")</f>
        <v>0</v>
      </c>
    </row>
    <row r="183" spans="1:28">
      <c r="A183" s="5">
        <v>18021795763</v>
      </c>
      <c r="B183" s="5" t="s">
        <v>64</v>
      </c>
      <c r="C183" s="5"/>
      <c r="D183" s="5" t="s">
        <v>66</v>
      </c>
      <c r="E183" s="5"/>
      <c r="F183" s="5"/>
      <c r="G183" s="5"/>
      <c r="H183" s="5"/>
      <c r="I183" s="5"/>
      <c r="J183" s="5"/>
      <c r="K183" s="5"/>
      <c r="L183" s="5"/>
      <c r="M183" s="5" t="s">
        <v>75</v>
      </c>
      <c r="N183" s="5"/>
      <c r="O183" s="147"/>
      <c r="P183" s="120" t="str">
        <f>IFERROR(VLOOKUP(Table1[RespondentID],'All Data'!$A$3:$CO$999,87,FALSE),"unknown")</f>
        <v>Man</v>
      </c>
      <c r="Q183" s="120">
        <f>IFERROR(VLOOKUP(Table1[RespondentID],'All Data'!$A$3:$CO$999,88,FALSE),"unknown")</f>
        <v>18</v>
      </c>
      <c r="R183" s="120" t="str">
        <f>IFERROR(VLOOKUP(Table1[RespondentID],'All Data'!$A$3:$CO$999,89,FALSE),"unknown")</f>
        <v>Suffolk</v>
      </c>
      <c r="S183" s="120" t="str">
        <f>IFERROR(VLOOKUP(Table1[RespondentID],'All Data'!$A$3:$CO$999,90,FALSE),"unknown")</f>
        <v>Commack, 11725</v>
      </c>
      <c r="T183" s="120" t="str">
        <f>IFERROR(VLOOKUP(Table1[RespondentID],'All Data'!$A$3:$CO$999,91,FALSE),"unknown")</f>
        <v>White</v>
      </c>
      <c r="U183" s="120" t="str">
        <f>IFERROR(VLOOKUP(Table1[RespondentID],'All Data'!$A$3:$CO$999,92,FALSE),"unknown")</f>
        <v>Hispanic or Latino</v>
      </c>
      <c r="V183" s="120" t="str">
        <f>IFERROR(VLOOKUP(Table1[RespondentID],'All Data'!$A$3:$CO$999,93,FALSE),"unknown")</f>
        <v>English</v>
      </c>
      <c r="W183" s="120" t="str">
        <f>IFERROR(VLOOKUP(Table1[RespondentID],'All Data'!$A$3:$CW$999,94,FALSE),"unknown")</f>
        <v>$50,000 to $74,999</v>
      </c>
      <c r="X183" s="120" t="str">
        <f>IFERROR(VLOOKUP(Table1[RespondentID],'All Data'!$A$3:$CW$999,95,FALSE),"unknown")</f>
        <v>High school graduate</v>
      </c>
      <c r="Y183" s="120" t="str">
        <f>IFERROR(VLOOKUP(Table1[RespondentID],'All Data'!$A$3:$CW$999,96,FALSE),"unknown")</f>
        <v>Student</v>
      </c>
      <c r="Z183" s="120" t="str">
        <f>IFERROR(VLOOKUP(Table1[RespondentID],'All Data'!$A$3:$CW$999,97,FALSE),"unknown")</f>
        <v>Yes</v>
      </c>
      <c r="AA183" s="120">
        <f>IFERROR(VLOOKUP(Table1[RespondentID],'All Data'!$A$3:$CW$999,98,FALSE),"unknown")</f>
        <v>0</v>
      </c>
      <c r="AB183" s="150">
        <f>IFERROR(VLOOKUP(Table1[RespondentID],'All Data'!$A$3:$CW$999,99,FALSE),"unknown")</f>
        <v>0</v>
      </c>
    </row>
    <row r="184" spans="1:28">
      <c r="A184" s="5">
        <v>18021795588</v>
      </c>
      <c r="B184" s="5" t="s">
        <v>64</v>
      </c>
      <c r="C184" s="5"/>
      <c r="D184" s="5"/>
      <c r="E184" s="5"/>
      <c r="F184" s="5"/>
      <c r="G184" s="5" t="s">
        <v>69</v>
      </c>
      <c r="H184" s="5"/>
      <c r="I184" s="5"/>
      <c r="J184" s="5"/>
      <c r="K184" s="5"/>
      <c r="L184" s="5"/>
      <c r="M184" s="5" t="s">
        <v>75</v>
      </c>
      <c r="N184" s="5"/>
      <c r="O184" s="147"/>
      <c r="P184" s="120" t="str">
        <f>IFERROR(VLOOKUP(Table1[RespondentID],'All Data'!$A$3:$CO$999,87,FALSE),"unknown")</f>
        <v>Woman</v>
      </c>
      <c r="Q184" s="120">
        <f>IFERROR(VLOOKUP(Table1[RespondentID],'All Data'!$A$3:$CO$999,88,FALSE),"unknown")</f>
        <v>64</v>
      </c>
      <c r="R184" s="120" t="str">
        <f>IFERROR(VLOOKUP(Table1[RespondentID],'All Data'!$A$3:$CO$999,89,FALSE),"unknown")</f>
        <v>Suffolk</v>
      </c>
      <c r="S184" s="120" t="str">
        <f>IFERROR(VLOOKUP(Table1[RespondentID],'All Data'!$A$3:$CO$999,90,FALSE),"unknown")</f>
        <v>Northport, 11768</v>
      </c>
      <c r="T184" s="120" t="str">
        <f>IFERROR(VLOOKUP(Table1[RespondentID],'All Data'!$A$3:$CO$999,91,FALSE),"unknown")</f>
        <v>White</v>
      </c>
      <c r="U184" s="120" t="str">
        <f>IFERROR(VLOOKUP(Table1[RespondentID],'All Data'!$A$3:$CO$999,92,FALSE),"unknown")</f>
        <v>Hispanic or Latino</v>
      </c>
      <c r="V184" s="120" t="str">
        <f>IFERROR(VLOOKUP(Table1[RespondentID],'All Data'!$A$3:$CO$999,93,FALSE),"unknown")</f>
        <v>English</v>
      </c>
      <c r="W184" s="120" t="str">
        <f>IFERROR(VLOOKUP(Table1[RespondentID],'All Data'!$A$3:$CW$999,94,FALSE),"unknown")</f>
        <v>Over $125,000</v>
      </c>
      <c r="X184" s="120" t="str">
        <f>IFERROR(VLOOKUP(Table1[RespondentID],'All Data'!$A$3:$CW$999,95,FALSE),"unknown")</f>
        <v>Graduate school</v>
      </c>
      <c r="Y184" s="120" t="str">
        <f>IFERROR(VLOOKUP(Table1[RespondentID],'All Data'!$A$3:$CW$999,96,FALSE),"unknown")</f>
        <v>Employed for wages</v>
      </c>
      <c r="Z184" s="120" t="str">
        <f>IFERROR(VLOOKUP(Table1[RespondentID],'All Data'!$A$3:$CW$999,97,FALSE),"unknown")</f>
        <v>Yes</v>
      </c>
      <c r="AA184" s="120">
        <f>IFERROR(VLOOKUP(Table1[RespondentID],'All Data'!$A$3:$CW$999,98,FALSE),"unknown")</f>
        <v>0</v>
      </c>
      <c r="AB184" s="150">
        <f>IFERROR(VLOOKUP(Table1[RespondentID],'All Data'!$A$3:$CW$999,99,FALSE),"unknown")</f>
        <v>0</v>
      </c>
    </row>
    <row r="185" spans="1:28">
      <c r="A185" s="5">
        <v>18021795380</v>
      </c>
      <c r="B185" s="5" t="s">
        <v>64</v>
      </c>
      <c r="C185" s="5"/>
      <c r="D185" s="5" t="s">
        <v>66</v>
      </c>
      <c r="E185" s="5"/>
      <c r="F185" s="5"/>
      <c r="G185" s="5" t="s">
        <v>69</v>
      </c>
      <c r="H185" s="5"/>
      <c r="I185" s="5"/>
      <c r="J185" s="5"/>
      <c r="K185" s="5"/>
      <c r="L185" s="5"/>
      <c r="M185" s="5"/>
      <c r="N185" s="5"/>
      <c r="O185" s="147"/>
      <c r="P185" s="120" t="str">
        <f>IFERROR(VLOOKUP(Table1[RespondentID],'All Data'!$A$3:$CO$999,87,FALSE),"unknown")</f>
        <v>Woman</v>
      </c>
      <c r="Q185" s="120">
        <f>IFERROR(VLOOKUP(Table1[RespondentID],'All Data'!$A$3:$CO$999,88,FALSE),"unknown")</f>
        <v>50</v>
      </c>
      <c r="R185" s="120" t="str">
        <f>IFERROR(VLOOKUP(Table1[RespondentID],'All Data'!$A$3:$CO$999,89,FALSE),"unknown")</f>
        <v>Suffolk</v>
      </c>
      <c r="S185" s="120" t="str">
        <f>IFERROR(VLOOKUP(Table1[RespondentID],'All Data'!$A$3:$CO$999,90,FALSE),"unknown")</f>
        <v>Dix Hills, 11746</v>
      </c>
      <c r="T185" s="120" t="str">
        <f>IFERROR(VLOOKUP(Table1[RespondentID],'All Data'!$A$3:$CO$999,91,FALSE),"unknown")</f>
        <v>American Indian and Alaska Native</v>
      </c>
      <c r="U185" s="120" t="str">
        <f>IFERROR(VLOOKUP(Table1[RespondentID],'All Data'!$A$3:$CO$999,92,FALSE),"unknown")</f>
        <v>Hispanic or Latino</v>
      </c>
      <c r="V185" s="120" t="str">
        <f>IFERROR(VLOOKUP(Table1[RespondentID],'All Data'!$A$3:$CO$999,93,FALSE),"unknown")</f>
        <v>English</v>
      </c>
      <c r="W185" s="120" t="str">
        <f>IFERROR(VLOOKUP(Table1[RespondentID],'All Data'!$A$3:$CW$999,94,FALSE),"unknown")</f>
        <v>$50,000 to $74,999</v>
      </c>
      <c r="X185" s="120" t="str">
        <f>IFERROR(VLOOKUP(Table1[RespondentID],'All Data'!$A$3:$CW$999,95,FALSE),"unknown")</f>
        <v>Some college</v>
      </c>
      <c r="Y185" s="120" t="str">
        <f>IFERROR(VLOOKUP(Table1[RespondentID],'All Data'!$A$3:$CW$999,96,FALSE),"unknown")</f>
        <v>Employed for wages</v>
      </c>
      <c r="Z185" s="120" t="str">
        <f>IFERROR(VLOOKUP(Table1[RespondentID],'All Data'!$A$3:$CW$999,97,FALSE),"unknown")</f>
        <v>Yes</v>
      </c>
      <c r="AA185" s="120">
        <f>IFERROR(VLOOKUP(Table1[RespondentID],'All Data'!$A$3:$CW$999,98,FALSE),"unknown")</f>
        <v>0</v>
      </c>
      <c r="AB185" s="150">
        <f>IFERROR(VLOOKUP(Table1[RespondentID],'All Data'!$A$3:$CW$999,99,FALSE),"unknown")</f>
        <v>0</v>
      </c>
    </row>
    <row r="186" spans="1:28">
      <c r="A186" s="5">
        <v>18021795224</v>
      </c>
      <c r="B186" s="5" t="s">
        <v>64</v>
      </c>
      <c r="C186" s="5"/>
      <c r="D186" s="5"/>
      <c r="E186" s="5" t="s">
        <v>67</v>
      </c>
      <c r="F186" s="5" t="s">
        <v>68</v>
      </c>
      <c r="G186" s="5"/>
      <c r="H186" s="5"/>
      <c r="I186" s="5"/>
      <c r="J186" s="5"/>
      <c r="K186" s="5" t="s">
        <v>73</v>
      </c>
      <c r="L186" s="5"/>
      <c r="M186" s="5"/>
      <c r="N186" s="5"/>
      <c r="O186" s="147"/>
      <c r="P186" s="120" t="str">
        <f>IFERROR(VLOOKUP(Table1[RespondentID],'All Data'!$A$3:$CO$999,87,FALSE),"unknown")</f>
        <v>Man</v>
      </c>
      <c r="Q186" s="120">
        <f>IFERROR(VLOOKUP(Table1[RespondentID],'All Data'!$A$3:$CO$999,88,FALSE),"unknown")</f>
        <v>86</v>
      </c>
      <c r="R186" s="120" t="str">
        <f>IFERROR(VLOOKUP(Table1[RespondentID],'All Data'!$A$3:$CO$999,89,FALSE),"unknown")</f>
        <v>Suffolk</v>
      </c>
      <c r="S186" s="120" t="str">
        <f>IFERROR(VLOOKUP(Table1[RespondentID],'All Data'!$A$3:$CO$999,90,FALSE),"unknown")</f>
        <v>Dix Hills, 11746</v>
      </c>
      <c r="T186" s="120" t="str">
        <f>IFERROR(VLOOKUP(Table1[RespondentID],'All Data'!$A$3:$CO$999,91,FALSE),"unknown")</f>
        <v>American Indian and Alaska Native</v>
      </c>
      <c r="U186" s="120" t="str">
        <f>IFERROR(VLOOKUP(Table1[RespondentID],'All Data'!$A$3:$CO$999,92,FALSE),"unknown")</f>
        <v>Hispanic or Latino</v>
      </c>
      <c r="V186" s="120" t="str">
        <f>IFERROR(VLOOKUP(Table1[RespondentID],'All Data'!$A$3:$CO$999,93,FALSE),"unknown")</f>
        <v>English</v>
      </c>
      <c r="W186" s="120" t="str">
        <f>IFERROR(VLOOKUP(Table1[RespondentID],'All Data'!$A$3:$CW$999,94,FALSE),"unknown")</f>
        <v>$50,000 to $74,999</v>
      </c>
      <c r="X186" s="120" t="str">
        <f>IFERROR(VLOOKUP(Table1[RespondentID],'All Data'!$A$3:$CW$999,95,FALSE),"unknown")</f>
        <v>Some high school</v>
      </c>
      <c r="Y186" s="120" t="str">
        <f>IFERROR(VLOOKUP(Table1[RespondentID],'All Data'!$A$3:$CW$999,96,FALSE),"unknown")</f>
        <v>Retired</v>
      </c>
      <c r="Z186" s="120" t="str">
        <f>IFERROR(VLOOKUP(Table1[RespondentID],'All Data'!$A$3:$CW$999,97,FALSE),"unknown")</f>
        <v>Yes</v>
      </c>
      <c r="AA186" s="120">
        <f>IFERROR(VLOOKUP(Table1[RespondentID],'All Data'!$A$3:$CW$999,98,FALSE),"unknown")</f>
        <v>0</v>
      </c>
      <c r="AB186" s="150">
        <f>IFERROR(VLOOKUP(Table1[RespondentID],'All Data'!$A$3:$CW$999,99,FALSE),"unknown")</f>
        <v>0</v>
      </c>
    </row>
    <row r="187" spans="1:28">
      <c r="A187" s="5">
        <v>18021795037</v>
      </c>
      <c r="B187" s="5" t="s">
        <v>64</v>
      </c>
      <c r="C187" s="5"/>
      <c r="D187" s="5" t="s">
        <v>66</v>
      </c>
      <c r="E187" s="5"/>
      <c r="F187" s="5"/>
      <c r="G187" s="5"/>
      <c r="H187" s="5"/>
      <c r="I187" s="5"/>
      <c r="J187" s="5"/>
      <c r="K187" s="5"/>
      <c r="L187" s="5"/>
      <c r="M187" s="5" t="s">
        <v>75</v>
      </c>
      <c r="N187" s="5"/>
      <c r="O187" s="147"/>
      <c r="P187" s="120" t="str">
        <f>IFERROR(VLOOKUP(Table1[RespondentID],'All Data'!$A$3:$CO$999,87,FALSE),"unknown")</f>
        <v>Man</v>
      </c>
      <c r="Q187" s="120">
        <f>IFERROR(VLOOKUP(Table1[RespondentID],'All Data'!$A$3:$CO$999,88,FALSE),"unknown")</f>
        <v>46</v>
      </c>
      <c r="R187" s="120" t="str">
        <f>IFERROR(VLOOKUP(Table1[RespondentID],'All Data'!$A$3:$CO$999,89,FALSE),"unknown")</f>
        <v>Suffolk</v>
      </c>
      <c r="S187" s="120" t="str">
        <f>IFERROR(VLOOKUP(Table1[RespondentID],'All Data'!$A$3:$CO$999,90,FALSE),"unknown")</f>
        <v>Dix Hills, 11746</v>
      </c>
      <c r="T187" s="120" t="str">
        <f>IFERROR(VLOOKUP(Table1[RespondentID],'All Data'!$A$3:$CO$999,91,FALSE),"unknown")</f>
        <v>American Indian and Alaska Native</v>
      </c>
      <c r="U187" s="120" t="str">
        <f>IFERROR(VLOOKUP(Table1[RespondentID],'All Data'!$A$3:$CO$999,92,FALSE),"unknown")</f>
        <v>Hispanic or Latino</v>
      </c>
      <c r="V187" s="120" t="str">
        <f>IFERROR(VLOOKUP(Table1[RespondentID],'All Data'!$A$3:$CO$999,93,FALSE),"unknown")</f>
        <v>English</v>
      </c>
      <c r="W187" s="120" t="str">
        <f>IFERROR(VLOOKUP(Table1[RespondentID],'All Data'!$A$3:$CW$999,94,FALSE),"unknown")</f>
        <v>$50,000 to $74,999</v>
      </c>
      <c r="X187" s="120" t="str">
        <f>IFERROR(VLOOKUP(Table1[RespondentID],'All Data'!$A$3:$CW$999,95,FALSE),"unknown")</f>
        <v>Some college</v>
      </c>
      <c r="Y187" s="120" t="str">
        <f>IFERROR(VLOOKUP(Table1[RespondentID],'All Data'!$A$3:$CW$999,96,FALSE),"unknown")</f>
        <v>Employed for wages</v>
      </c>
      <c r="Z187" s="120" t="str">
        <f>IFERROR(VLOOKUP(Table1[RespondentID],'All Data'!$A$3:$CW$999,97,FALSE),"unknown")</f>
        <v>Yes</v>
      </c>
      <c r="AA187" s="120">
        <f>IFERROR(VLOOKUP(Table1[RespondentID],'All Data'!$A$3:$CW$999,98,FALSE),"unknown")</f>
        <v>0</v>
      </c>
      <c r="AB187" s="150">
        <f>IFERROR(VLOOKUP(Table1[RespondentID],'All Data'!$A$3:$CW$999,99,FALSE),"unknown")</f>
        <v>0</v>
      </c>
    </row>
    <row r="188" spans="1:28">
      <c r="A188" s="5">
        <v>18021794841</v>
      </c>
      <c r="B188" s="5"/>
      <c r="C188" s="5"/>
      <c r="D188" s="5"/>
      <c r="E188" s="5"/>
      <c r="F188" s="5"/>
      <c r="G188" s="5"/>
      <c r="H188" s="5" t="s">
        <v>70</v>
      </c>
      <c r="I188" s="5"/>
      <c r="J188" s="5"/>
      <c r="K188" s="5"/>
      <c r="L188" s="5"/>
      <c r="M188" s="5"/>
      <c r="N188" s="5"/>
      <c r="O188" s="147"/>
      <c r="P188" s="120" t="str">
        <f>IFERROR(VLOOKUP(Table1[RespondentID],'All Data'!$A$3:$CO$999,87,FALSE),"unknown")</f>
        <v>Woman</v>
      </c>
      <c r="Q188" s="120">
        <f>IFERROR(VLOOKUP(Table1[RespondentID],'All Data'!$A$3:$CO$999,88,FALSE),"unknown")</f>
        <v>18</v>
      </c>
      <c r="R188" s="120" t="str">
        <f>IFERROR(VLOOKUP(Table1[RespondentID],'All Data'!$A$3:$CO$999,89,FALSE),"unknown")</f>
        <v>Suffolk</v>
      </c>
      <c r="S188" s="120" t="str">
        <f>IFERROR(VLOOKUP(Table1[RespondentID],'All Data'!$A$3:$CO$999,90,FALSE),"unknown")</f>
        <v>East Northport, 11731</v>
      </c>
      <c r="T188" s="120" t="str">
        <f>IFERROR(VLOOKUP(Table1[RespondentID],'All Data'!$A$3:$CO$999,91,FALSE),"unknown")</f>
        <v>White</v>
      </c>
      <c r="U188" s="120" t="str">
        <f>IFERROR(VLOOKUP(Table1[RespondentID],'All Data'!$A$3:$CO$999,92,FALSE),"unknown")</f>
        <v>Hispanic or Latino</v>
      </c>
      <c r="V188" s="120" t="str">
        <f>IFERROR(VLOOKUP(Table1[RespondentID],'All Data'!$A$3:$CO$999,93,FALSE),"unknown")</f>
        <v>English</v>
      </c>
      <c r="W188" s="120" t="str">
        <f>IFERROR(VLOOKUP(Table1[RespondentID],'All Data'!$A$3:$CW$999,94,FALSE),"unknown")</f>
        <v>Over $125,000</v>
      </c>
      <c r="X188" s="120" t="str">
        <f>IFERROR(VLOOKUP(Table1[RespondentID],'All Data'!$A$3:$CW$999,95,FALSE),"unknown")</f>
        <v>High school graduate</v>
      </c>
      <c r="Y188" s="120" t="str">
        <f>IFERROR(VLOOKUP(Table1[RespondentID],'All Data'!$A$3:$CW$999,96,FALSE),"unknown")</f>
        <v>Student</v>
      </c>
      <c r="Z188" s="120" t="str">
        <f>IFERROR(VLOOKUP(Table1[RespondentID],'All Data'!$A$3:$CW$999,97,FALSE),"unknown")</f>
        <v>Yes</v>
      </c>
      <c r="AA188" s="120">
        <f>IFERROR(VLOOKUP(Table1[RespondentID],'All Data'!$A$3:$CW$999,98,FALSE),"unknown")</f>
        <v>0</v>
      </c>
      <c r="AB188" s="150">
        <f>IFERROR(VLOOKUP(Table1[RespondentID],'All Data'!$A$3:$CW$999,99,FALSE),"unknown")</f>
        <v>0</v>
      </c>
    </row>
    <row r="189" spans="1:28">
      <c r="A189" s="5">
        <v>18021794694</v>
      </c>
      <c r="B189" s="5"/>
      <c r="C189" s="5"/>
      <c r="D189" s="5" t="s">
        <v>66</v>
      </c>
      <c r="E189" s="5"/>
      <c r="F189" s="5"/>
      <c r="G189" s="5" t="s">
        <v>69</v>
      </c>
      <c r="H189" s="5"/>
      <c r="I189" s="5"/>
      <c r="J189" s="5"/>
      <c r="K189" s="5"/>
      <c r="L189" s="5"/>
      <c r="M189" s="5" t="s">
        <v>75</v>
      </c>
      <c r="N189" s="5"/>
      <c r="O189" s="147"/>
      <c r="P189" s="120" t="str">
        <f>IFERROR(VLOOKUP(Table1[RespondentID],'All Data'!$A$3:$CO$999,87,FALSE),"unknown")</f>
        <v>Woman</v>
      </c>
      <c r="Q189" s="120">
        <f>IFERROR(VLOOKUP(Table1[RespondentID],'All Data'!$A$3:$CO$999,88,FALSE),"unknown")</f>
        <v>49</v>
      </c>
      <c r="R189" s="120" t="str">
        <f>IFERROR(VLOOKUP(Table1[RespondentID],'All Data'!$A$3:$CO$999,89,FALSE),"unknown")</f>
        <v>Queens</v>
      </c>
      <c r="S189" s="120">
        <f>IFERROR(VLOOKUP(Table1[RespondentID],'All Data'!$A$3:$CO$999,90,FALSE),"unknown")</f>
        <v>11372</v>
      </c>
      <c r="T189" s="120">
        <f>IFERROR(VLOOKUP(Table1[RespondentID],'All Data'!$A$3:$CO$999,91,FALSE),"unknown")</f>
        <v>0</v>
      </c>
      <c r="U189" s="120" t="str">
        <f>IFERROR(VLOOKUP(Table1[RespondentID],'All Data'!$A$3:$CO$999,92,FALSE),"unknown")</f>
        <v>Not Hispanic or Latino</v>
      </c>
      <c r="V189" s="120" t="str">
        <f>IFERROR(VLOOKUP(Table1[RespondentID],'All Data'!$A$3:$CO$999,93,FALSE),"unknown")</f>
        <v>English, Spanish</v>
      </c>
      <c r="W189" s="120" t="str">
        <f>IFERROR(VLOOKUP(Table1[RespondentID],'All Data'!$A$3:$CW$999,94,FALSE),"unknown")</f>
        <v>$75,000 to $125,000</v>
      </c>
      <c r="X189" s="120" t="str">
        <f>IFERROR(VLOOKUP(Table1[RespondentID],'All Data'!$A$3:$CW$999,95,FALSE),"unknown")</f>
        <v>College graduate</v>
      </c>
      <c r="Y189" s="120" t="str">
        <f>IFERROR(VLOOKUP(Table1[RespondentID],'All Data'!$A$3:$CW$999,96,FALSE),"unknown")</f>
        <v>Employed for wages</v>
      </c>
      <c r="Z189" s="120" t="str">
        <f>IFERROR(VLOOKUP(Table1[RespondentID],'All Data'!$A$3:$CW$999,97,FALSE),"unknown")</f>
        <v>Yes</v>
      </c>
      <c r="AA189" s="120">
        <f>IFERROR(VLOOKUP(Table1[RespondentID],'All Data'!$A$3:$CW$999,98,FALSE),"unknown")</f>
        <v>0</v>
      </c>
      <c r="AB189" s="150" t="str">
        <f>IFERROR(VLOOKUP(Table1[RespondentID],'All Data'!$A$3:$CW$999,99,FALSE),"unknown")</f>
        <v>Yes</v>
      </c>
    </row>
    <row r="190" spans="1:28">
      <c r="A190" s="5">
        <v>18021794399</v>
      </c>
      <c r="B190" s="5" t="s">
        <v>64</v>
      </c>
      <c r="C190" s="5"/>
      <c r="D190" s="5"/>
      <c r="E190" s="5" t="s">
        <v>67</v>
      </c>
      <c r="F190" s="5"/>
      <c r="G190" s="5"/>
      <c r="H190" s="5"/>
      <c r="I190" s="5"/>
      <c r="J190" s="5"/>
      <c r="K190" s="5"/>
      <c r="L190" s="5"/>
      <c r="M190" s="5" t="s">
        <v>75</v>
      </c>
      <c r="N190" s="5"/>
      <c r="O190" s="147"/>
      <c r="P190" s="120" t="str">
        <f>IFERROR(VLOOKUP(Table1[RespondentID],'All Data'!$A$3:$CO$999,87,FALSE),"unknown")</f>
        <v>Man</v>
      </c>
      <c r="Q190" s="120">
        <f>IFERROR(VLOOKUP(Table1[RespondentID],'All Data'!$A$3:$CO$999,88,FALSE),"unknown")</f>
        <v>61</v>
      </c>
      <c r="R190" s="120" t="str">
        <f>IFERROR(VLOOKUP(Table1[RespondentID],'All Data'!$A$3:$CO$999,89,FALSE),"unknown")</f>
        <v>Queens</v>
      </c>
      <c r="S190" s="120">
        <f>IFERROR(VLOOKUP(Table1[RespondentID],'All Data'!$A$3:$CO$999,90,FALSE),"unknown")</f>
        <v>11372</v>
      </c>
      <c r="T190" s="120" t="str">
        <f>IFERROR(VLOOKUP(Table1[RespondentID],'All Data'!$A$3:$CO$999,91,FALSE),"unknown")</f>
        <v>American Indian and Alaska Native</v>
      </c>
      <c r="U190" s="120" t="str">
        <f>IFERROR(VLOOKUP(Table1[RespondentID],'All Data'!$A$3:$CO$999,92,FALSE),"unknown")</f>
        <v>Hispanic or Latino</v>
      </c>
      <c r="V190" s="120" t="str">
        <f>IFERROR(VLOOKUP(Table1[RespondentID],'All Data'!$A$3:$CO$999,93,FALSE),"unknown")</f>
        <v>English, Spanish</v>
      </c>
      <c r="W190" s="120" t="str">
        <f>IFERROR(VLOOKUP(Table1[RespondentID],'All Data'!$A$3:$CW$999,94,FALSE),"unknown")</f>
        <v>$75,000 to $125,000</v>
      </c>
      <c r="X190" s="120" t="str">
        <f>IFERROR(VLOOKUP(Table1[RespondentID],'All Data'!$A$3:$CW$999,95,FALSE),"unknown")</f>
        <v>Some college</v>
      </c>
      <c r="Y190" s="120" t="str">
        <f>IFERROR(VLOOKUP(Table1[RespondentID],'All Data'!$A$3:$CW$999,96,FALSE),"unknown")</f>
        <v>Employed for wages</v>
      </c>
      <c r="Z190" s="120" t="str">
        <f>IFERROR(VLOOKUP(Table1[RespondentID],'All Data'!$A$3:$CW$999,97,FALSE),"unknown")</f>
        <v>Yes</v>
      </c>
      <c r="AA190" s="120">
        <f>IFERROR(VLOOKUP(Table1[RespondentID],'All Data'!$A$3:$CW$999,98,FALSE),"unknown")</f>
        <v>0</v>
      </c>
      <c r="AB190" s="150" t="str">
        <f>IFERROR(VLOOKUP(Table1[RespondentID],'All Data'!$A$3:$CW$999,99,FALSE),"unknown")</f>
        <v>Yes</v>
      </c>
    </row>
    <row r="191" spans="1:28">
      <c r="A191" s="5">
        <v>18021794261</v>
      </c>
      <c r="B191" s="5" t="s">
        <v>64</v>
      </c>
      <c r="C191" s="5"/>
      <c r="D191" s="5"/>
      <c r="E191" s="5"/>
      <c r="F191" s="5"/>
      <c r="G191" s="5"/>
      <c r="H191" s="5"/>
      <c r="I191" s="5"/>
      <c r="J191" s="5"/>
      <c r="K191" s="5"/>
      <c r="L191" s="5"/>
      <c r="M191" s="5"/>
      <c r="N191" s="5"/>
      <c r="O191" s="147"/>
      <c r="P191" s="120" t="str">
        <f>IFERROR(VLOOKUP(Table1[RespondentID],'All Data'!$A$3:$CO$999,87,FALSE),"unknown")</f>
        <v>Man</v>
      </c>
      <c r="Q191" s="120">
        <f>IFERROR(VLOOKUP(Table1[RespondentID],'All Data'!$A$3:$CO$999,88,FALSE),"unknown")</f>
        <v>44</v>
      </c>
      <c r="R191" s="120" t="str">
        <f>IFERROR(VLOOKUP(Table1[RespondentID],'All Data'!$A$3:$CO$999,89,FALSE),"unknown")</f>
        <v>Suffolk</v>
      </c>
      <c r="S191" s="120" t="str">
        <f>IFERROR(VLOOKUP(Table1[RespondentID],'All Data'!$A$3:$CO$999,90,FALSE),"unknown")</f>
        <v>Port Jefferson Station, 11776</v>
      </c>
      <c r="T191" s="120" t="str">
        <f>IFERROR(VLOOKUP(Table1[RespondentID],'All Data'!$A$3:$CO$999,91,FALSE),"unknown")</f>
        <v>White</v>
      </c>
      <c r="U191" s="120" t="str">
        <f>IFERROR(VLOOKUP(Table1[RespondentID],'All Data'!$A$3:$CO$999,92,FALSE),"unknown")</f>
        <v>Hispanic or Latino</v>
      </c>
      <c r="V191" s="120" t="str">
        <f>IFERROR(VLOOKUP(Table1[RespondentID],'All Data'!$A$3:$CO$999,93,FALSE),"unknown")</f>
        <v>English</v>
      </c>
      <c r="W191" s="120" t="str">
        <f>IFERROR(VLOOKUP(Table1[RespondentID],'All Data'!$A$3:$CW$999,94,FALSE),"unknown")</f>
        <v>Over $125,000</v>
      </c>
      <c r="X191" s="120" t="str">
        <f>IFERROR(VLOOKUP(Table1[RespondentID],'All Data'!$A$3:$CW$999,95,FALSE),"unknown")</f>
        <v>Graduate school</v>
      </c>
      <c r="Y191" s="120" t="str">
        <f>IFERROR(VLOOKUP(Table1[RespondentID],'All Data'!$A$3:$CW$999,96,FALSE),"unknown")</f>
        <v>Employed for wages</v>
      </c>
      <c r="Z191" s="120" t="str">
        <f>IFERROR(VLOOKUP(Table1[RespondentID],'All Data'!$A$3:$CW$999,97,FALSE),"unknown")</f>
        <v>Yes</v>
      </c>
      <c r="AA191" s="120">
        <f>IFERROR(VLOOKUP(Table1[RespondentID],'All Data'!$A$3:$CW$999,98,FALSE),"unknown")</f>
        <v>0</v>
      </c>
      <c r="AB191" s="150">
        <f>IFERROR(VLOOKUP(Table1[RespondentID],'All Data'!$A$3:$CW$999,99,FALSE),"unknown")</f>
        <v>0</v>
      </c>
    </row>
    <row r="192" spans="1:28">
      <c r="A192" s="5">
        <v>18021634437</v>
      </c>
      <c r="B192" s="5" t="s">
        <v>64</v>
      </c>
      <c r="C192" s="5"/>
      <c r="D192" s="5" t="s">
        <v>66</v>
      </c>
      <c r="E192" s="5"/>
      <c r="F192" s="5"/>
      <c r="G192" s="5"/>
      <c r="H192" s="5" t="s">
        <v>70</v>
      </c>
      <c r="I192" s="5"/>
      <c r="J192" s="5"/>
      <c r="K192" s="5"/>
      <c r="L192" s="5"/>
      <c r="M192" s="5" t="s">
        <v>75</v>
      </c>
      <c r="N192" s="5"/>
      <c r="O192" s="147"/>
      <c r="P192" s="120" t="str">
        <f>IFERROR(VLOOKUP(Table1[RespondentID],'All Data'!$A$3:$CO$999,87,FALSE),"unknown")</f>
        <v>Woman</v>
      </c>
      <c r="Q192" s="120">
        <f>IFERROR(VLOOKUP(Table1[RespondentID],'All Data'!$A$3:$CO$999,88,FALSE),"unknown")</f>
        <v>47</v>
      </c>
      <c r="R192" s="120" t="str">
        <f>IFERROR(VLOOKUP(Table1[RespondentID],'All Data'!$A$3:$CO$999,89,FALSE),"unknown")</f>
        <v>Suffolk</v>
      </c>
      <c r="S192" s="120" t="str">
        <f>IFERROR(VLOOKUP(Table1[RespondentID],'All Data'!$A$3:$CO$999,90,FALSE),"unknown")</f>
        <v>Miller Place, 11764</v>
      </c>
      <c r="T192" s="120" t="str">
        <f>IFERROR(VLOOKUP(Table1[RespondentID],'All Data'!$A$3:$CO$999,91,FALSE),"unknown")</f>
        <v>White</v>
      </c>
      <c r="U192" s="120" t="str">
        <f>IFERROR(VLOOKUP(Table1[RespondentID],'All Data'!$A$3:$CO$999,92,FALSE),"unknown")</f>
        <v>Hispanic or Latino</v>
      </c>
      <c r="V192" s="120" t="str">
        <f>IFERROR(VLOOKUP(Table1[RespondentID],'All Data'!$A$3:$CO$999,93,FALSE),"unknown")</f>
        <v>English, Spanish</v>
      </c>
      <c r="W192" s="120" t="str">
        <f>IFERROR(VLOOKUP(Table1[RespondentID],'All Data'!$A$3:$CW$999,94,FALSE),"unknown")</f>
        <v>Over $125,000</v>
      </c>
      <c r="X192" s="120" t="str">
        <f>IFERROR(VLOOKUP(Table1[RespondentID],'All Data'!$A$3:$CW$999,95,FALSE),"unknown")</f>
        <v>College graduate</v>
      </c>
      <c r="Y192" s="120" t="str">
        <f>IFERROR(VLOOKUP(Table1[RespondentID],'All Data'!$A$3:$CW$999,96,FALSE),"unknown")</f>
        <v>Employed for wages</v>
      </c>
      <c r="Z192" s="120" t="str">
        <f>IFERROR(VLOOKUP(Table1[RespondentID],'All Data'!$A$3:$CW$999,97,FALSE),"unknown")</f>
        <v>Yes</v>
      </c>
      <c r="AA192" s="120" t="str">
        <f>IFERROR(VLOOKUP(Table1[RespondentID],'All Data'!$A$3:$CW$999,98,FALSE),"unknown")</f>
        <v>Private/Commercial</v>
      </c>
      <c r="AB192" s="150" t="str">
        <f>IFERROR(VLOOKUP(Table1[RespondentID],'All Data'!$A$3:$CW$999,99,FALSE),"unknown")</f>
        <v>Yes</v>
      </c>
    </row>
    <row r="193" spans="1:28">
      <c r="A193" s="5">
        <v>18021525704</v>
      </c>
      <c r="B193" s="5"/>
      <c r="C193" s="5"/>
      <c r="D193" s="5"/>
      <c r="E193" s="5"/>
      <c r="F193" s="5"/>
      <c r="G193" s="5"/>
      <c r="H193" s="5" t="s">
        <v>70</v>
      </c>
      <c r="I193" s="5"/>
      <c r="J193" s="5"/>
      <c r="K193" s="5" t="s">
        <v>73</v>
      </c>
      <c r="L193" s="5"/>
      <c r="M193" s="5"/>
      <c r="N193" s="5"/>
      <c r="O193" s="147"/>
      <c r="P193" s="120" t="str">
        <f>IFERROR(VLOOKUP(Table1[RespondentID],'All Data'!$A$3:$CO$999,87,FALSE),"unknown")</f>
        <v>Man</v>
      </c>
      <c r="Q193" s="120">
        <f>IFERROR(VLOOKUP(Table1[RespondentID],'All Data'!$A$3:$CO$999,88,FALSE),"unknown")</f>
        <v>0</v>
      </c>
      <c r="R193" s="120" t="str">
        <f>IFERROR(VLOOKUP(Table1[RespondentID],'All Data'!$A$3:$CO$999,89,FALSE),"unknown")</f>
        <v>Suffolk</v>
      </c>
      <c r="S193" s="120" t="str">
        <f>IFERROR(VLOOKUP(Table1[RespondentID],'All Data'!$A$3:$CO$999,90,FALSE),"unknown")</f>
        <v>Amityville, 11708</v>
      </c>
      <c r="T193" s="120" t="str">
        <f>IFERROR(VLOOKUP(Table1[RespondentID],'All Data'!$A$3:$CO$999,91,FALSE),"unknown")</f>
        <v>Native Hawaiian and Other Pacific Islander</v>
      </c>
      <c r="U193" s="120" t="str">
        <f>IFERROR(VLOOKUP(Table1[RespondentID],'All Data'!$A$3:$CO$999,92,FALSE),"unknown")</f>
        <v>Not Hispanic or Latino</v>
      </c>
      <c r="V193" s="120" t="str">
        <f>IFERROR(VLOOKUP(Table1[RespondentID],'All Data'!$A$3:$CO$999,93,FALSE),"unknown")</f>
        <v>English</v>
      </c>
      <c r="W193" s="120" t="str">
        <f>IFERROR(VLOOKUP(Table1[RespondentID],'All Data'!$A$3:$CW$999,94,FALSE),"unknown")</f>
        <v>$75,000 to $125,000</v>
      </c>
      <c r="X193" s="120" t="str">
        <f>IFERROR(VLOOKUP(Table1[RespondentID],'All Data'!$A$3:$CW$999,95,FALSE),"unknown")</f>
        <v>High school graduate</v>
      </c>
      <c r="Y193" s="120" t="str">
        <f>IFERROR(VLOOKUP(Table1[RespondentID],'All Data'!$A$3:$CW$999,96,FALSE),"unknown")</f>
        <v>Self-employed</v>
      </c>
      <c r="Z193" s="120" t="str">
        <f>IFERROR(VLOOKUP(Table1[RespondentID],'All Data'!$A$3:$CW$999,97,FALSE),"unknown")</f>
        <v>Yes</v>
      </c>
      <c r="AA193" s="120" t="str">
        <f>IFERROR(VLOOKUP(Table1[RespondentID],'All Data'!$A$3:$CW$999,98,FALSE),"unknown")</f>
        <v>Medicaid</v>
      </c>
      <c r="AB193" s="150" t="str">
        <f>IFERROR(VLOOKUP(Table1[RespondentID],'All Data'!$A$3:$CW$999,99,FALSE),"unknown")</f>
        <v>Yes</v>
      </c>
    </row>
    <row r="194" spans="1:28">
      <c r="A194" s="5">
        <v>18021525431</v>
      </c>
      <c r="B194" s="5"/>
      <c r="C194" s="5"/>
      <c r="D194" s="5"/>
      <c r="E194" s="5" t="s">
        <v>67</v>
      </c>
      <c r="F194" s="5"/>
      <c r="G194" s="5"/>
      <c r="H194" s="5" t="s">
        <v>70</v>
      </c>
      <c r="I194" s="5"/>
      <c r="J194" s="5"/>
      <c r="K194" s="5" t="s">
        <v>73</v>
      </c>
      <c r="L194" s="5"/>
      <c r="M194" s="5"/>
      <c r="N194" s="5"/>
      <c r="O194" s="147"/>
      <c r="P194" s="120" t="str">
        <f>IFERROR(VLOOKUP(Table1[RespondentID],'All Data'!$A$3:$CO$999,87,FALSE),"unknown")</f>
        <v>Man</v>
      </c>
      <c r="Q194" s="120">
        <f>IFERROR(VLOOKUP(Table1[RespondentID],'All Data'!$A$3:$CO$999,88,FALSE),"unknown")</f>
        <v>0</v>
      </c>
      <c r="R194" s="120" t="str">
        <f>IFERROR(VLOOKUP(Table1[RespondentID],'All Data'!$A$3:$CO$999,89,FALSE),"unknown")</f>
        <v>Suffolk</v>
      </c>
      <c r="S194" s="120" t="str">
        <f>IFERROR(VLOOKUP(Table1[RespondentID],'All Data'!$A$3:$CO$999,90,FALSE),"unknown")</f>
        <v>Amityville, 11701</v>
      </c>
      <c r="T194" s="120" t="str">
        <f>IFERROR(VLOOKUP(Table1[RespondentID],'All Data'!$A$3:$CO$999,91,FALSE),"unknown")</f>
        <v>Black or African American</v>
      </c>
      <c r="U194" s="120" t="str">
        <f>IFERROR(VLOOKUP(Table1[RespondentID],'All Data'!$A$3:$CO$999,92,FALSE),"unknown")</f>
        <v>Not Hispanic or Latino</v>
      </c>
      <c r="V194" s="120" t="str">
        <f>IFERROR(VLOOKUP(Table1[RespondentID],'All Data'!$A$3:$CO$999,93,FALSE),"unknown")</f>
        <v>Chinese</v>
      </c>
      <c r="W194" s="120" t="str">
        <f>IFERROR(VLOOKUP(Table1[RespondentID],'All Data'!$A$3:$CW$999,94,FALSE),"unknown")</f>
        <v>$20,000 to $34,999</v>
      </c>
      <c r="X194" s="120" t="str">
        <f>IFERROR(VLOOKUP(Table1[RespondentID],'All Data'!$A$3:$CW$999,95,FALSE),"unknown")</f>
        <v>Graduate school</v>
      </c>
      <c r="Y194" s="120" t="str">
        <f>IFERROR(VLOOKUP(Table1[RespondentID],'All Data'!$A$3:$CW$999,96,FALSE),"unknown")</f>
        <v>Employed for wages</v>
      </c>
      <c r="Z194" s="120" t="str">
        <f>IFERROR(VLOOKUP(Table1[RespondentID],'All Data'!$A$3:$CW$999,97,FALSE),"unknown")</f>
        <v>Yes</v>
      </c>
      <c r="AA194" s="120" t="str">
        <f>IFERROR(VLOOKUP(Table1[RespondentID],'All Data'!$A$3:$CW$999,98,FALSE),"unknown")</f>
        <v>Medicare</v>
      </c>
      <c r="AB194" s="150" t="str">
        <f>IFERROR(VLOOKUP(Table1[RespondentID],'All Data'!$A$3:$CW$999,99,FALSE),"unknown")</f>
        <v>No</v>
      </c>
    </row>
    <row r="195" spans="1:28">
      <c r="A195" s="5">
        <v>18021263997</v>
      </c>
      <c r="B195" s="5" t="s">
        <v>64</v>
      </c>
      <c r="C195" s="5"/>
      <c r="D195" s="5"/>
      <c r="E195" s="5" t="s">
        <v>67</v>
      </c>
      <c r="F195" s="5"/>
      <c r="G195" s="5"/>
      <c r="H195" s="5" t="s">
        <v>70</v>
      </c>
      <c r="I195" s="5"/>
      <c r="J195" s="5"/>
      <c r="K195" s="5"/>
      <c r="L195" s="5"/>
      <c r="M195" s="5" t="s">
        <v>75</v>
      </c>
      <c r="N195" s="5"/>
      <c r="O195" s="147"/>
      <c r="P195" s="120" t="str">
        <f>IFERROR(VLOOKUP(Table1[RespondentID],'All Data'!$A$3:$CO$999,87,FALSE),"unknown")</f>
        <v>Man</v>
      </c>
      <c r="Q195" s="120">
        <f>IFERROR(VLOOKUP(Table1[RespondentID],'All Data'!$A$3:$CO$999,88,FALSE),"unknown")</f>
        <v>52</v>
      </c>
      <c r="R195" s="120" t="str">
        <f>IFERROR(VLOOKUP(Table1[RespondentID],'All Data'!$A$3:$CO$999,89,FALSE),"unknown")</f>
        <v>Suffolk</v>
      </c>
      <c r="S195" s="120" t="str">
        <f>IFERROR(VLOOKUP(Table1[RespondentID],'All Data'!$A$3:$CO$999,90,FALSE),"unknown")</f>
        <v>Northport, 11768</v>
      </c>
      <c r="T195" s="120" t="str">
        <f>IFERROR(VLOOKUP(Table1[RespondentID],'All Data'!$A$3:$CO$999,91,FALSE),"unknown")</f>
        <v>White</v>
      </c>
      <c r="U195" s="120" t="str">
        <f>IFERROR(VLOOKUP(Table1[RespondentID],'All Data'!$A$3:$CO$999,92,FALSE),"unknown")</f>
        <v>Hispanic or Latino</v>
      </c>
      <c r="V195" s="120" t="str">
        <f>IFERROR(VLOOKUP(Table1[RespondentID],'All Data'!$A$3:$CO$999,93,FALSE),"unknown")</f>
        <v>English</v>
      </c>
      <c r="W195" s="120" t="str">
        <f>IFERROR(VLOOKUP(Table1[RespondentID],'All Data'!$A$3:$CW$999,94,FALSE),"unknown")</f>
        <v>Over $125,000</v>
      </c>
      <c r="X195" s="120" t="str">
        <f>IFERROR(VLOOKUP(Table1[RespondentID],'All Data'!$A$3:$CW$999,95,FALSE),"unknown")</f>
        <v>Graduate school</v>
      </c>
      <c r="Y195" s="120" t="str">
        <f>IFERROR(VLOOKUP(Table1[RespondentID],'All Data'!$A$3:$CW$999,96,FALSE),"unknown")</f>
        <v>Employed for wages</v>
      </c>
      <c r="Z195" s="120" t="str">
        <f>IFERROR(VLOOKUP(Table1[RespondentID],'All Data'!$A$3:$CW$999,97,FALSE),"unknown")</f>
        <v>Yes</v>
      </c>
      <c r="AA195" s="120" t="str">
        <f>IFERROR(VLOOKUP(Table1[RespondentID],'All Data'!$A$3:$CW$999,98,FALSE),"unknown")</f>
        <v>Private/Commercial</v>
      </c>
      <c r="AB195" s="150" t="str">
        <f>IFERROR(VLOOKUP(Table1[RespondentID],'All Data'!$A$3:$CW$999,99,FALSE),"unknown")</f>
        <v>Yes</v>
      </c>
    </row>
    <row r="196" spans="1:28">
      <c r="A196" s="5">
        <v>18021096939</v>
      </c>
      <c r="B196" s="5"/>
      <c r="C196" s="5"/>
      <c r="D196" s="5"/>
      <c r="E196" s="5"/>
      <c r="F196" s="5" t="s">
        <v>68</v>
      </c>
      <c r="G196" s="5"/>
      <c r="H196" s="5" t="s">
        <v>70</v>
      </c>
      <c r="I196" s="5" t="s">
        <v>71</v>
      </c>
      <c r="J196" s="5"/>
      <c r="K196" s="5"/>
      <c r="L196" s="5"/>
      <c r="M196" s="5"/>
      <c r="N196" s="5"/>
      <c r="O196" s="147"/>
      <c r="P196" s="120" t="str">
        <f>IFERROR(VLOOKUP(Table1[RespondentID],'All Data'!$A$3:$CO$999,87,FALSE),"unknown")</f>
        <v>Man</v>
      </c>
      <c r="Q196" s="120">
        <f>IFERROR(VLOOKUP(Table1[RespondentID],'All Data'!$A$3:$CO$999,88,FALSE),"unknown")</f>
        <v>16</v>
      </c>
      <c r="R196" s="120" t="str">
        <f>IFERROR(VLOOKUP(Table1[RespondentID],'All Data'!$A$3:$CO$999,89,FALSE),"unknown")</f>
        <v>Suffolk</v>
      </c>
      <c r="S196" s="120" t="str">
        <f>IFERROR(VLOOKUP(Table1[RespondentID],'All Data'!$A$3:$CO$999,90,FALSE),"unknown")</f>
        <v>Nesconset, 11767</v>
      </c>
      <c r="T196" s="120" t="str">
        <f>IFERROR(VLOOKUP(Table1[RespondentID],'All Data'!$A$3:$CO$999,91,FALSE),"unknown")</f>
        <v>American Indian and Alaska Native</v>
      </c>
      <c r="U196" s="120" t="str">
        <f>IFERROR(VLOOKUP(Table1[RespondentID],'All Data'!$A$3:$CO$999,92,FALSE),"unknown")</f>
        <v>Hispanic or Latino</v>
      </c>
      <c r="V196" s="120" t="str">
        <f>IFERROR(VLOOKUP(Table1[RespondentID],'All Data'!$A$3:$CO$999,93,FALSE),"unknown")</f>
        <v>English, Hindi</v>
      </c>
      <c r="W196" s="120" t="str">
        <f>IFERROR(VLOOKUP(Table1[RespondentID],'All Data'!$A$3:$CW$999,94,FALSE),"unknown")</f>
        <v>$75,000 to $125,000</v>
      </c>
      <c r="X196" s="120" t="str">
        <f>IFERROR(VLOOKUP(Table1[RespondentID],'All Data'!$A$3:$CW$999,95,FALSE),"unknown")</f>
        <v>Some high school</v>
      </c>
      <c r="Y196" s="120" t="str">
        <f>IFERROR(VLOOKUP(Table1[RespondentID],'All Data'!$A$3:$CW$999,96,FALSE),"unknown")</f>
        <v>Out of work, but not currently looking</v>
      </c>
      <c r="Z196" s="120" t="str">
        <f>IFERROR(VLOOKUP(Table1[RespondentID],'All Data'!$A$3:$CW$999,97,FALSE),"unknown")</f>
        <v>Yes</v>
      </c>
      <c r="AA196" s="120" t="str">
        <f>IFERROR(VLOOKUP(Table1[RespondentID],'All Data'!$A$3:$CW$999,98,FALSE),"unknown")</f>
        <v>Private/Commercial</v>
      </c>
      <c r="AB196" s="150" t="str">
        <f>IFERROR(VLOOKUP(Table1[RespondentID],'All Data'!$A$3:$CW$999,99,FALSE),"unknown")</f>
        <v>Yes</v>
      </c>
    </row>
    <row r="197" spans="1:28">
      <c r="A197" s="5">
        <v>18020847868</v>
      </c>
      <c r="B197" s="5" t="s">
        <v>64</v>
      </c>
      <c r="C197" s="5"/>
      <c r="D197" s="5"/>
      <c r="E197" s="5"/>
      <c r="F197" s="5"/>
      <c r="G197" s="5"/>
      <c r="H197" s="5"/>
      <c r="I197" s="5"/>
      <c r="J197" s="5"/>
      <c r="K197" s="5"/>
      <c r="L197" s="5"/>
      <c r="M197" s="5" t="s">
        <v>75</v>
      </c>
      <c r="N197" s="5"/>
      <c r="O197" s="147"/>
      <c r="P197" s="120" t="str">
        <f>IFERROR(VLOOKUP(Table1[RespondentID],'All Data'!$A$3:$CO$999,87,FALSE),"unknown")</f>
        <v>Man</v>
      </c>
      <c r="Q197" s="120">
        <f>IFERROR(VLOOKUP(Table1[RespondentID],'All Data'!$A$3:$CO$999,88,FALSE),"unknown")</f>
        <v>21</v>
      </c>
      <c r="R197" s="120" t="str">
        <f>IFERROR(VLOOKUP(Table1[RespondentID],'All Data'!$A$3:$CO$999,89,FALSE),"unknown")</f>
        <v>Suffolk</v>
      </c>
      <c r="S197" s="120" t="str">
        <f>IFERROR(VLOOKUP(Table1[RespondentID],'All Data'!$A$3:$CO$999,90,FALSE),"unknown")</f>
        <v>East Northport, 11731</v>
      </c>
      <c r="T197" s="120" t="str">
        <f>IFERROR(VLOOKUP(Table1[RespondentID],'All Data'!$A$3:$CO$999,91,FALSE),"unknown")</f>
        <v>White</v>
      </c>
      <c r="U197" s="120" t="str">
        <f>IFERROR(VLOOKUP(Table1[RespondentID],'All Data'!$A$3:$CO$999,92,FALSE),"unknown")</f>
        <v>Hispanic or Latino</v>
      </c>
      <c r="V197" s="120" t="str">
        <f>IFERROR(VLOOKUP(Table1[RespondentID],'All Data'!$A$3:$CO$999,93,FALSE),"unknown")</f>
        <v>English</v>
      </c>
      <c r="W197" s="120" t="str">
        <f>IFERROR(VLOOKUP(Table1[RespondentID],'All Data'!$A$3:$CW$999,94,FALSE),"unknown")</f>
        <v>$50,000 to $74,999</v>
      </c>
      <c r="X197" s="120" t="str">
        <f>IFERROR(VLOOKUP(Table1[RespondentID],'All Data'!$A$3:$CW$999,95,FALSE),"unknown")</f>
        <v>Some college</v>
      </c>
      <c r="Y197" s="120" t="str">
        <f>IFERROR(VLOOKUP(Table1[RespondentID],'All Data'!$A$3:$CW$999,96,FALSE),"unknown")</f>
        <v>Employed for wages</v>
      </c>
      <c r="Z197" s="120" t="str">
        <f>IFERROR(VLOOKUP(Table1[RespondentID],'All Data'!$A$3:$CW$999,97,FALSE),"unknown")</f>
        <v>Yes</v>
      </c>
      <c r="AA197" s="120" t="str">
        <f>IFERROR(VLOOKUP(Table1[RespondentID],'All Data'!$A$3:$CW$999,98,FALSE),"unknown")</f>
        <v>Medicaid, Medicare</v>
      </c>
      <c r="AB197" s="150" t="str">
        <f>IFERROR(VLOOKUP(Table1[RespondentID],'All Data'!$A$3:$CW$999,99,FALSE),"unknown")</f>
        <v>Yes</v>
      </c>
    </row>
    <row r="198" spans="1:28">
      <c r="A198" s="5">
        <v>18020259192</v>
      </c>
      <c r="B198" s="5" t="s">
        <v>64</v>
      </c>
      <c r="C198" s="5"/>
      <c r="D198" s="5"/>
      <c r="E198" s="5" t="s">
        <v>67</v>
      </c>
      <c r="F198" s="5"/>
      <c r="G198" s="5"/>
      <c r="H198" s="5"/>
      <c r="I198" s="5"/>
      <c r="J198" s="5"/>
      <c r="K198" s="5"/>
      <c r="L198" s="5"/>
      <c r="M198" s="5" t="s">
        <v>75</v>
      </c>
      <c r="N198" s="5"/>
      <c r="O198" s="147"/>
      <c r="P198" s="120" t="str">
        <f>IFERROR(VLOOKUP(Table1[RespondentID],'All Data'!$A$3:$CO$999,87,FALSE),"unknown")</f>
        <v>Man</v>
      </c>
      <c r="Q198" s="120">
        <f>IFERROR(VLOOKUP(Table1[RespondentID],'All Data'!$A$3:$CO$999,88,FALSE),"unknown")</f>
        <v>39</v>
      </c>
      <c r="R198" s="120" t="str">
        <f>IFERROR(VLOOKUP(Table1[RespondentID],'All Data'!$A$3:$CO$999,89,FALSE),"unknown")</f>
        <v>Nassau</v>
      </c>
      <c r="S198" s="120" t="str">
        <f>IFERROR(VLOOKUP(Table1[RespondentID],'All Data'!$A$3:$CO$999,90,FALSE),"unknown")</f>
        <v>Williston Park, 11596</v>
      </c>
      <c r="T198" s="120" t="str">
        <f>IFERROR(VLOOKUP(Table1[RespondentID],'All Data'!$A$3:$CO$999,91,FALSE),"unknown")</f>
        <v>American Indian and Alaska Native</v>
      </c>
      <c r="U198" s="120" t="str">
        <f>IFERROR(VLOOKUP(Table1[RespondentID],'All Data'!$A$3:$CO$999,92,FALSE),"unknown")</f>
        <v>Hispanic or Latino</v>
      </c>
      <c r="V198" s="120" t="str">
        <f>IFERROR(VLOOKUP(Table1[RespondentID],'All Data'!$A$3:$CO$999,93,FALSE),"unknown")</f>
        <v>English</v>
      </c>
      <c r="W198" s="120" t="str">
        <f>IFERROR(VLOOKUP(Table1[RespondentID],'All Data'!$A$3:$CW$999,94,FALSE),"unknown")</f>
        <v>Over $125,000</v>
      </c>
      <c r="X198" s="120" t="str">
        <f>IFERROR(VLOOKUP(Table1[RespondentID],'All Data'!$A$3:$CW$999,95,FALSE),"unknown")</f>
        <v>College graduate</v>
      </c>
      <c r="Y198" s="120" t="str">
        <f>IFERROR(VLOOKUP(Table1[RespondentID],'All Data'!$A$3:$CW$999,96,FALSE),"unknown")</f>
        <v>Employed for wages</v>
      </c>
      <c r="Z198" s="120" t="str">
        <f>IFERROR(VLOOKUP(Table1[RespondentID],'All Data'!$A$3:$CW$999,97,FALSE),"unknown")</f>
        <v>Yes</v>
      </c>
      <c r="AA198" s="120" t="str">
        <f>IFERROR(VLOOKUP(Table1[RespondentID],'All Data'!$A$3:$CW$999,98,FALSE),"unknown")</f>
        <v>Private/Commercial</v>
      </c>
      <c r="AB198" s="150" t="str">
        <f>IFERROR(VLOOKUP(Table1[RespondentID],'All Data'!$A$3:$CW$999,99,FALSE),"unknown")</f>
        <v>Yes</v>
      </c>
    </row>
    <row r="199" spans="1:28">
      <c r="A199" s="5">
        <v>18020253334</v>
      </c>
      <c r="B199" s="5" t="s">
        <v>64</v>
      </c>
      <c r="C199" s="5"/>
      <c r="D199" s="5"/>
      <c r="E199" s="5" t="s">
        <v>67</v>
      </c>
      <c r="F199" s="5"/>
      <c r="G199" s="5"/>
      <c r="H199" s="5"/>
      <c r="I199" s="5"/>
      <c r="J199" s="5"/>
      <c r="K199" s="5" t="s">
        <v>73</v>
      </c>
      <c r="L199" s="5"/>
      <c r="M199" s="5" t="s">
        <v>75</v>
      </c>
      <c r="N199" s="5"/>
      <c r="O199" s="147"/>
      <c r="P199" s="120" t="str">
        <f>IFERROR(VLOOKUP(Table1[RespondentID],'All Data'!$A$3:$CO$999,87,FALSE),"unknown")</f>
        <v>Woman</v>
      </c>
      <c r="Q199" s="120">
        <f>IFERROR(VLOOKUP(Table1[RespondentID],'All Data'!$A$3:$CO$999,88,FALSE),"unknown")</f>
        <v>40</v>
      </c>
      <c r="R199" s="120" t="str">
        <f>IFERROR(VLOOKUP(Table1[RespondentID],'All Data'!$A$3:$CO$999,89,FALSE),"unknown")</f>
        <v>Nassau</v>
      </c>
      <c r="S199" s="120" t="str">
        <f>IFERROR(VLOOKUP(Table1[RespondentID],'All Data'!$A$3:$CO$999,90,FALSE),"unknown")</f>
        <v>Herricks, 11040</v>
      </c>
      <c r="T199" s="120" t="str">
        <f>IFERROR(VLOOKUP(Table1[RespondentID],'All Data'!$A$3:$CO$999,91,FALSE),"unknown")</f>
        <v>American Indian and Alaska Native</v>
      </c>
      <c r="U199" s="120" t="str">
        <f>IFERROR(VLOOKUP(Table1[RespondentID],'All Data'!$A$3:$CO$999,92,FALSE),"unknown")</f>
        <v>Hispanic or Latino</v>
      </c>
      <c r="V199" s="120" t="str">
        <f>IFERROR(VLOOKUP(Table1[RespondentID],'All Data'!$A$3:$CO$999,93,FALSE),"unknown")</f>
        <v>English</v>
      </c>
      <c r="W199" s="120" t="str">
        <f>IFERROR(VLOOKUP(Table1[RespondentID],'All Data'!$A$3:$CW$999,94,FALSE),"unknown")</f>
        <v>$75,000 to $125,000</v>
      </c>
      <c r="X199" s="120" t="str">
        <f>IFERROR(VLOOKUP(Table1[RespondentID],'All Data'!$A$3:$CW$999,95,FALSE),"unknown")</f>
        <v>College graduate</v>
      </c>
      <c r="Y199" s="120" t="str">
        <f>IFERROR(VLOOKUP(Table1[RespondentID],'All Data'!$A$3:$CW$999,96,FALSE),"unknown")</f>
        <v>Employed for wages</v>
      </c>
      <c r="Z199" s="120" t="str">
        <f>IFERROR(VLOOKUP(Table1[RespondentID],'All Data'!$A$3:$CW$999,97,FALSE),"unknown")</f>
        <v>Yes</v>
      </c>
      <c r="AA199" s="120" t="str">
        <f>IFERROR(VLOOKUP(Table1[RespondentID],'All Data'!$A$3:$CW$999,98,FALSE),"unknown")</f>
        <v>Private/Commercial</v>
      </c>
      <c r="AB199" s="150" t="str">
        <f>IFERROR(VLOOKUP(Table1[RespondentID],'All Data'!$A$3:$CW$999,99,FALSE),"unknown")</f>
        <v>Yes</v>
      </c>
    </row>
    <row r="200" spans="1:28">
      <c r="A200" s="5">
        <v>18020047097</v>
      </c>
      <c r="B200" s="5"/>
      <c r="C200" s="5"/>
      <c r="D200" s="5"/>
      <c r="E200" s="5"/>
      <c r="F200" s="5"/>
      <c r="G200" s="5"/>
      <c r="H200" s="5"/>
      <c r="I200" s="5"/>
      <c r="J200" s="5"/>
      <c r="K200" s="5"/>
      <c r="L200" s="5"/>
      <c r="M200" s="5"/>
      <c r="N200" s="5"/>
      <c r="O200" s="147"/>
      <c r="P200" s="120">
        <f>IFERROR(VLOOKUP(Table1[RespondentID],'All Data'!$A$3:$CO$999,87,FALSE),"unknown")</f>
        <v>0</v>
      </c>
      <c r="Q200" s="120">
        <f>IFERROR(VLOOKUP(Table1[RespondentID],'All Data'!$A$3:$CO$999,88,FALSE),"unknown")</f>
        <v>0</v>
      </c>
      <c r="R200" s="120">
        <f>IFERROR(VLOOKUP(Table1[RespondentID],'All Data'!$A$3:$CO$999,89,FALSE),"unknown")</f>
        <v>0</v>
      </c>
      <c r="S200" s="120" t="str">
        <f>IFERROR(VLOOKUP(Table1[RespondentID],'All Data'!$A$3:$CO$999,90,FALSE),"unknown")</f>
        <v>Alden Manor, 11003</v>
      </c>
      <c r="T200" s="120">
        <f>IFERROR(VLOOKUP(Table1[RespondentID],'All Data'!$A$3:$CO$999,91,FALSE),"unknown")</f>
        <v>0</v>
      </c>
      <c r="U200" s="120">
        <f>IFERROR(VLOOKUP(Table1[RespondentID],'All Data'!$A$3:$CO$999,92,FALSE),"unknown")</f>
        <v>0</v>
      </c>
      <c r="V200" s="120">
        <f>IFERROR(VLOOKUP(Table1[RespondentID],'All Data'!$A$3:$CO$999,93,FALSE),"unknown")</f>
        <v>0</v>
      </c>
      <c r="W200" s="120">
        <f>IFERROR(VLOOKUP(Table1[RespondentID],'All Data'!$A$3:$CW$999,94,FALSE),"unknown")</f>
        <v>0</v>
      </c>
      <c r="X200" s="120">
        <f>IFERROR(VLOOKUP(Table1[RespondentID],'All Data'!$A$3:$CW$999,95,FALSE),"unknown")</f>
        <v>0</v>
      </c>
      <c r="Y200" s="120">
        <f>IFERROR(VLOOKUP(Table1[RespondentID],'All Data'!$A$3:$CW$999,96,FALSE),"unknown")</f>
        <v>0</v>
      </c>
      <c r="Z200" s="120">
        <f>IFERROR(VLOOKUP(Table1[RespondentID],'All Data'!$A$3:$CW$999,97,FALSE),"unknown")</f>
        <v>0</v>
      </c>
      <c r="AA200" s="120">
        <f>IFERROR(VLOOKUP(Table1[RespondentID],'All Data'!$A$3:$CW$999,98,FALSE),"unknown")</f>
        <v>0</v>
      </c>
      <c r="AB200" s="150">
        <f>IFERROR(VLOOKUP(Table1[RespondentID],'All Data'!$A$3:$CW$999,99,FALSE),"unknown")</f>
        <v>0</v>
      </c>
    </row>
    <row r="201" spans="1:28">
      <c r="A201" s="5">
        <v>18019933763</v>
      </c>
      <c r="B201" s="5" t="s">
        <v>64</v>
      </c>
      <c r="C201" s="5"/>
      <c r="D201" s="5" t="s">
        <v>66</v>
      </c>
      <c r="E201" s="5"/>
      <c r="F201" s="5"/>
      <c r="G201" s="5"/>
      <c r="H201" s="5"/>
      <c r="I201" s="5"/>
      <c r="J201" s="5"/>
      <c r="K201" s="5"/>
      <c r="L201" s="5"/>
      <c r="M201" s="5"/>
      <c r="N201" s="5" t="s">
        <v>76</v>
      </c>
      <c r="O201" s="147"/>
      <c r="P201" s="120" t="str">
        <f>IFERROR(VLOOKUP(Table1[RespondentID],'All Data'!$A$3:$CO$999,87,FALSE),"unknown")</f>
        <v>Woman</v>
      </c>
      <c r="Q201" s="120">
        <f>IFERROR(VLOOKUP(Table1[RespondentID],'All Data'!$A$3:$CO$999,88,FALSE),"unknown")</f>
        <v>24</v>
      </c>
      <c r="R201" s="120" t="str">
        <f>IFERROR(VLOOKUP(Table1[RespondentID],'All Data'!$A$3:$CO$999,89,FALSE),"unknown")</f>
        <v>Suffolk</v>
      </c>
      <c r="S201" s="120" t="str">
        <f>IFERROR(VLOOKUP(Table1[RespondentID],'All Data'!$A$3:$CO$999,90,FALSE),"unknown")</f>
        <v>Selden, 11784</v>
      </c>
      <c r="T201" s="120" t="str">
        <f>IFERROR(VLOOKUP(Table1[RespondentID],'All Data'!$A$3:$CO$999,91,FALSE),"unknown")</f>
        <v>Native Hawaiian and Other Pacific Islander</v>
      </c>
      <c r="U201" s="120" t="str">
        <f>IFERROR(VLOOKUP(Table1[RespondentID],'All Data'!$A$3:$CO$999,92,FALSE),"unknown")</f>
        <v>Hispanic or Latino</v>
      </c>
      <c r="V201" s="120" t="str">
        <f>IFERROR(VLOOKUP(Table1[RespondentID],'All Data'!$A$3:$CO$999,93,FALSE),"unknown")</f>
        <v>English</v>
      </c>
      <c r="W201" s="120" t="str">
        <f>IFERROR(VLOOKUP(Table1[RespondentID],'All Data'!$A$3:$CW$999,94,FALSE),"unknown")</f>
        <v>$75,000 to $125,000</v>
      </c>
      <c r="X201" s="120" t="str">
        <f>IFERROR(VLOOKUP(Table1[RespondentID],'All Data'!$A$3:$CW$999,95,FALSE),"unknown")</f>
        <v>College graduate</v>
      </c>
      <c r="Y201" s="120" t="str">
        <f>IFERROR(VLOOKUP(Table1[RespondentID],'All Data'!$A$3:$CW$999,96,FALSE),"unknown")</f>
        <v>Employed for wages</v>
      </c>
      <c r="Z201" s="120" t="str">
        <f>IFERROR(VLOOKUP(Table1[RespondentID],'All Data'!$A$3:$CW$999,97,FALSE),"unknown")</f>
        <v>Yes</v>
      </c>
      <c r="AA201" s="120" t="str">
        <f>IFERROR(VLOOKUP(Table1[RespondentID],'All Data'!$A$3:$CW$999,98,FALSE),"unknown")</f>
        <v>Medicare</v>
      </c>
      <c r="AB201" s="150" t="str">
        <f>IFERROR(VLOOKUP(Table1[RespondentID],'All Data'!$A$3:$CW$999,99,FALSE),"unknown")</f>
        <v>Yes</v>
      </c>
    </row>
    <row r="202" spans="1:28">
      <c r="A202" s="5">
        <v>18019511473</v>
      </c>
      <c r="B202" s="5"/>
      <c r="C202" s="5"/>
      <c r="D202" s="5"/>
      <c r="E202" s="5" t="s">
        <v>67</v>
      </c>
      <c r="F202" s="5"/>
      <c r="G202" s="5"/>
      <c r="H202" s="5"/>
      <c r="I202" s="5"/>
      <c r="J202" s="5"/>
      <c r="K202" s="5"/>
      <c r="L202" s="5"/>
      <c r="M202" s="5"/>
      <c r="N202" s="5"/>
      <c r="O202" s="147"/>
      <c r="P202" s="120" t="str">
        <f>IFERROR(VLOOKUP(Table1[RespondentID],'All Data'!$A$3:$CO$999,87,FALSE),"unknown")</f>
        <v>Man</v>
      </c>
      <c r="Q202" s="120">
        <f>IFERROR(VLOOKUP(Table1[RespondentID],'All Data'!$A$3:$CO$999,88,FALSE),"unknown")</f>
        <v>0</v>
      </c>
      <c r="R202" s="120" t="str">
        <f>IFERROR(VLOOKUP(Table1[RespondentID],'All Data'!$A$3:$CO$999,89,FALSE),"unknown")</f>
        <v>Suffolk</v>
      </c>
      <c r="S202" s="120" t="str">
        <f>IFERROR(VLOOKUP(Table1[RespondentID],'All Data'!$A$3:$CO$999,90,FALSE),"unknown")</f>
        <v>Smithtown, 11787</v>
      </c>
      <c r="T202" s="120" t="str">
        <f>IFERROR(VLOOKUP(Table1[RespondentID],'All Data'!$A$3:$CO$999,91,FALSE),"unknown")</f>
        <v>White</v>
      </c>
      <c r="U202" s="120" t="str">
        <f>IFERROR(VLOOKUP(Table1[RespondentID],'All Data'!$A$3:$CO$999,92,FALSE),"unknown")</f>
        <v>Hispanic or Latino</v>
      </c>
      <c r="V202" s="120" t="str">
        <f>IFERROR(VLOOKUP(Table1[RespondentID],'All Data'!$A$3:$CO$999,93,FALSE),"unknown")</f>
        <v>English</v>
      </c>
      <c r="W202" s="120" t="str">
        <f>IFERROR(VLOOKUP(Table1[RespondentID],'All Data'!$A$3:$CW$999,94,FALSE),"unknown")</f>
        <v>Over $125,000</v>
      </c>
      <c r="X202" s="120" t="str">
        <f>IFERROR(VLOOKUP(Table1[RespondentID],'All Data'!$A$3:$CW$999,95,FALSE),"unknown")</f>
        <v>Some college</v>
      </c>
      <c r="Y202" s="120" t="str">
        <f>IFERROR(VLOOKUP(Table1[RespondentID],'All Data'!$A$3:$CW$999,96,FALSE),"unknown")</f>
        <v>Employed for wages</v>
      </c>
      <c r="Z202" s="120" t="str">
        <f>IFERROR(VLOOKUP(Table1[RespondentID],'All Data'!$A$3:$CW$999,97,FALSE),"unknown")</f>
        <v>No</v>
      </c>
      <c r="AA202" s="120" t="str">
        <f>IFERROR(VLOOKUP(Table1[RespondentID],'All Data'!$A$3:$CW$999,98,FALSE),"unknown")</f>
        <v>No Insurance</v>
      </c>
      <c r="AB202" s="150" t="str">
        <f>IFERROR(VLOOKUP(Table1[RespondentID],'All Data'!$A$3:$CW$999,99,FALSE),"unknown")</f>
        <v>Yes</v>
      </c>
    </row>
    <row r="203" spans="1:28">
      <c r="A203" s="5">
        <v>18019480989</v>
      </c>
      <c r="B203" s="5" t="s">
        <v>64</v>
      </c>
      <c r="C203" s="5"/>
      <c r="D203" s="5"/>
      <c r="E203" s="5" t="s">
        <v>67</v>
      </c>
      <c r="F203" s="5"/>
      <c r="G203" s="5"/>
      <c r="H203" s="5"/>
      <c r="I203" s="5"/>
      <c r="J203" s="5"/>
      <c r="K203" s="5" t="s">
        <v>73</v>
      </c>
      <c r="L203" s="5"/>
      <c r="M203" s="5"/>
      <c r="N203" s="5"/>
      <c r="O203" s="147"/>
      <c r="P203" s="120" t="str">
        <f>IFERROR(VLOOKUP(Table1[RespondentID],'All Data'!$A$3:$CO$999,87,FALSE),"unknown")</f>
        <v>Man</v>
      </c>
      <c r="Q203" s="120">
        <f>IFERROR(VLOOKUP(Table1[RespondentID],'All Data'!$A$3:$CO$999,88,FALSE),"unknown")</f>
        <v>23</v>
      </c>
      <c r="R203" s="120" t="str">
        <f>IFERROR(VLOOKUP(Table1[RespondentID],'All Data'!$A$3:$CO$999,89,FALSE),"unknown")</f>
        <v>Suffolk</v>
      </c>
      <c r="S203" s="120" t="str">
        <f>IFERROR(VLOOKUP(Table1[RespondentID],'All Data'!$A$3:$CO$999,90,FALSE),"unknown")</f>
        <v>Saint James, 11780</v>
      </c>
      <c r="T203" s="120" t="str">
        <f>IFERROR(VLOOKUP(Table1[RespondentID],'All Data'!$A$3:$CO$999,91,FALSE),"unknown")</f>
        <v>White</v>
      </c>
      <c r="U203" s="120" t="str">
        <f>IFERROR(VLOOKUP(Table1[RespondentID],'All Data'!$A$3:$CO$999,92,FALSE),"unknown")</f>
        <v>Hispanic or Latino</v>
      </c>
      <c r="V203" s="120" t="str">
        <f>IFERROR(VLOOKUP(Table1[RespondentID],'All Data'!$A$3:$CO$999,93,FALSE),"unknown")</f>
        <v>English</v>
      </c>
      <c r="W203" s="120" t="str">
        <f>IFERROR(VLOOKUP(Table1[RespondentID],'All Data'!$A$3:$CW$999,94,FALSE),"unknown")</f>
        <v>$0-$19,999</v>
      </c>
      <c r="X203" s="120" t="str">
        <f>IFERROR(VLOOKUP(Table1[RespondentID],'All Data'!$A$3:$CW$999,95,FALSE),"unknown")</f>
        <v>Graduate school</v>
      </c>
      <c r="Y203" s="120" t="str">
        <f>IFERROR(VLOOKUP(Table1[RespondentID],'All Data'!$A$3:$CW$999,96,FALSE),"unknown")</f>
        <v>Employed for wages</v>
      </c>
      <c r="Z203" s="120" t="str">
        <f>IFERROR(VLOOKUP(Table1[RespondentID],'All Data'!$A$3:$CW$999,97,FALSE),"unknown")</f>
        <v>Yes</v>
      </c>
      <c r="AA203" s="120">
        <f>IFERROR(VLOOKUP(Table1[RespondentID],'All Data'!$A$3:$CW$999,98,FALSE),"unknown")</f>
        <v>0</v>
      </c>
      <c r="AB203" s="150">
        <f>IFERROR(VLOOKUP(Table1[RespondentID],'All Data'!$A$3:$CW$999,99,FALSE),"unknown")</f>
        <v>0</v>
      </c>
    </row>
    <row r="204" spans="1:28">
      <c r="A204" s="5">
        <v>18019480837</v>
      </c>
      <c r="B204" s="5"/>
      <c r="C204" s="5"/>
      <c r="D204" s="5"/>
      <c r="E204" s="5"/>
      <c r="F204" s="5"/>
      <c r="G204" s="5"/>
      <c r="H204" s="5"/>
      <c r="I204" s="5" t="s">
        <v>71</v>
      </c>
      <c r="J204" s="5"/>
      <c r="K204" s="5"/>
      <c r="L204" s="5"/>
      <c r="M204" s="5"/>
      <c r="N204" s="5"/>
      <c r="O204" s="147"/>
      <c r="P204" s="120" t="str">
        <f>IFERROR(VLOOKUP(Table1[RespondentID],'All Data'!$A$3:$CO$999,87,FALSE),"unknown")</f>
        <v>Woman</v>
      </c>
      <c r="Q204" s="120">
        <f>IFERROR(VLOOKUP(Table1[RespondentID],'All Data'!$A$3:$CO$999,88,FALSE),"unknown")</f>
        <v>49</v>
      </c>
      <c r="R204" s="120" t="str">
        <f>IFERROR(VLOOKUP(Table1[RespondentID],'All Data'!$A$3:$CO$999,89,FALSE),"unknown")</f>
        <v>Suffolk</v>
      </c>
      <c r="S204" s="120" t="str">
        <f>IFERROR(VLOOKUP(Table1[RespondentID],'All Data'!$A$3:$CO$999,90,FALSE),"unknown")</f>
        <v>Smithtown, 11787</v>
      </c>
      <c r="T204" s="120" t="str">
        <f>IFERROR(VLOOKUP(Table1[RespondentID],'All Data'!$A$3:$CO$999,91,FALSE),"unknown")</f>
        <v>White</v>
      </c>
      <c r="U204" s="120" t="str">
        <f>IFERROR(VLOOKUP(Table1[RespondentID],'All Data'!$A$3:$CO$999,92,FALSE),"unknown")</f>
        <v>Hispanic or Latino</v>
      </c>
      <c r="V204" s="120" t="str">
        <f>IFERROR(VLOOKUP(Table1[RespondentID],'All Data'!$A$3:$CO$999,93,FALSE),"unknown")</f>
        <v>English</v>
      </c>
      <c r="W204" s="120" t="str">
        <f>IFERROR(VLOOKUP(Table1[RespondentID],'All Data'!$A$3:$CW$999,94,FALSE),"unknown")</f>
        <v>$50,000 to $74,999</v>
      </c>
      <c r="X204" s="120" t="str">
        <f>IFERROR(VLOOKUP(Table1[RespondentID],'All Data'!$A$3:$CW$999,95,FALSE),"unknown")</f>
        <v>High school graduate</v>
      </c>
      <c r="Y204" s="120" t="str">
        <f>IFERROR(VLOOKUP(Table1[RespondentID],'All Data'!$A$3:$CW$999,96,FALSE),"unknown")</f>
        <v>Self-employed</v>
      </c>
      <c r="Z204" s="120" t="str">
        <f>IFERROR(VLOOKUP(Table1[RespondentID],'All Data'!$A$3:$CW$999,97,FALSE),"unknown")</f>
        <v>Yes</v>
      </c>
      <c r="AA204" s="120">
        <f>IFERROR(VLOOKUP(Table1[RespondentID],'All Data'!$A$3:$CW$999,98,FALSE),"unknown")</f>
        <v>0</v>
      </c>
      <c r="AB204" s="150">
        <f>IFERROR(VLOOKUP(Table1[RespondentID],'All Data'!$A$3:$CW$999,99,FALSE),"unknown")</f>
        <v>0</v>
      </c>
    </row>
    <row r="205" spans="1:28">
      <c r="A205" s="5">
        <v>18019480727</v>
      </c>
      <c r="B205" s="5" t="s">
        <v>64</v>
      </c>
      <c r="C205" s="5"/>
      <c r="D205" s="5"/>
      <c r="E205" s="5" t="s">
        <v>67</v>
      </c>
      <c r="F205" s="5"/>
      <c r="G205" s="5" t="s">
        <v>69</v>
      </c>
      <c r="H205" s="5"/>
      <c r="I205" s="5"/>
      <c r="J205" s="5"/>
      <c r="K205" s="5"/>
      <c r="L205" s="5"/>
      <c r="M205" s="5"/>
      <c r="N205" s="5"/>
      <c r="O205" s="147"/>
      <c r="P205" s="120" t="str">
        <f>IFERROR(VLOOKUP(Table1[RespondentID],'All Data'!$A$3:$CO$999,87,FALSE),"unknown")</f>
        <v>Man</v>
      </c>
      <c r="Q205" s="120">
        <f>IFERROR(VLOOKUP(Table1[RespondentID],'All Data'!$A$3:$CO$999,88,FALSE),"unknown")</f>
        <v>50</v>
      </c>
      <c r="R205" s="120" t="str">
        <f>IFERROR(VLOOKUP(Table1[RespondentID],'All Data'!$A$3:$CO$999,89,FALSE),"unknown")</f>
        <v>Suffolk</v>
      </c>
      <c r="S205" s="120" t="str">
        <f>IFERROR(VLOOKUP(Table1[RespondentID],'All Data'!$A$3:$CO$999,90,FALSE),"unknown")</f>
        <v>Saint James, 11780</v>
      </c>
      <c r="T205" s="120" t="str">
        <f>IFERROR(VLOOKUP(Table1[RespondentID],'All Data'!$A$3:$CO$999,91,FALSE),"unknown")</f>
        <v>White</v>
      </c>
      <c r="U205" s="120" t="str">
        <f>IFERROR(VLOOKUP(Table1[RespondentID],'All Data'!$A$3:$CO$999,92,FALSE),"unknown")</f>
        <v>Hispanic or Latino</v>
      </c>
      <c r="V205" s="120" t="str">
        <f>IFERROR(VLOOKUP(Table1[RespondentID],'All Data'!$A$3:$CO$999,93,FALSE),"unknown")</f>
        <v>English</v>
      </c>
      <c r="W205" s="120" t="str">
        <f>IFERROR(VLOOKUP(Table1[RespondentID],'All Data'!$A$3:$CW$999,94,FALSE),"unknown")</f>
        <v>$50,000 to $74,999</v>
      </c>
      <c r="X205" s="120" t="str">
        <f>IFERROR(VLOOKUP(Table1[RespondentID],'All Data'!$A$3:$CW$999,95,FALSE),"unknown")</f>
        <v>Some college</v>
      </c>
      <c r="Y205" s="120" t="str">
        <f>IFERROR(VLOOKUP(Table1[RespondentID],'All Data'!$A$3:$CW$999,96,FALSE),"unknown")</f>
        <v>Out of work, but not currently looking</v>
      </c>
      <c r="Z205" s="120" t="str">
        <f>IFERROR(VLOOKUP(Table1[RespondentID],'All Data'!$A$3:$CW$999,97,FALSE),"unknown")</f>
        <v>Yes</v>
      </c>
      <c r="AA205" s="120">
        <f>IFERROR(VLOOKUP(Table1[RespondentID],'All Data'!$A$3:$CW$999,98,FALSE),"unknown")</f>
        <v>0</v>
      </c>
      <c r="AB205" s="150">
        <f>IFERROR(VLOOKUP(Table1[RespondentID],'All Data'!$A$3:$CW$999,99,FALSE),"unknown")</f>
        <v>0</v>
      </c>
    </row>
    <row r="206" spans="1:28">
      <c r="A206" s="5">
        <v>18019480579</v>
      </c>
      <c r="B206" s="5" t="s">
        <v>64</v>
      </c>
      <c r="C206" s="5"/>
      <c r="D206" s="5"/>
      <c r="E206" s="5"/>
      <c r="F206" s="5"/>
      <c r="G206" s="5"/>
      <c r="H206" s="5"/>
      <c r="I206" s="5"/>
      <c r="J206" s="5"/>
      <c r="K206" s="5"/>
      <c r="L206" s="5"/>
      <c r="M206" s="5"/>
      <c r="N206" s="5"/>
      <c r="O206" s="147"/>
      <c r="P206" s="120" t="str">
        <f>IFERROR(VLOOKUP(Table1[RespondentID],'All Data'!$A$3:$CO$999,87,FALSE),"unknown")</f>
        <v>Man</v>
      </c>
      <c r="Q206" s="120">
        <f>IFERROR(VLOOKUP(Table1[RespondentID],'All Data'!$A$3:$CO$999,88,FALSE),"unknown")</f>
        <v>45</v>
      </c>
      <c r="R206" s="120" t="str">
        <f>IFERROR(VLOOKUP(Table1[RespondentID],'All Data'!$A$3:$CO$999,89,FALSE),"unknown")</f>
        <v>Suffolk</v>
      </c>
      <c r="S206" s="120" t="str">
        <f>IFERROR(VLOOKUP(Table1[RespondentID],'All Data'!$A$3:$CO$999,90,FALSE),"unknown")</f>
        <v>Saint James, 11780</v>
      </c>
      <c r="T206" s="120" t="str">
        <f>IFERROR(VLOOKUP(Table1[RespondentID],'All Data'!$A$3:$CO$999,91,FALSE),"unknown")</f>
        <v>White</v>
      </c>
      <c r="U206" s="120" t="str">
        <f>IFERROR(VLOOKUP(Table1[RespondentID],'All Data'!$A$3:$CO$999,92,FALSE),"unknown")</f>
        <v>Hispanic or Latino</v>
      </c>
      <c r="V206" s="120" t="str">
        <f>IFERROR(VLOOKUP(Table1[RespondentID],'All Data'!$A$3:$CO$999,93,FALSE),"unknown")</f>
        <v>English</v>
      </c>
      <c r="W206" s="120" t="str">
        <f>IFERROR(VLOOKUP(Table1[RespondentID],'All Data'!$A$3:$CW$999,94,FALSE),"unknown")</f>
        <v>$20,000 to $34,999</v>
      </c>
      <c r="X206" s="120" t="str">
        <f>IFERROR(VLOOKUP(Table1[RespondentID],'All Data'!$A$3:$CW$999,95,FALSE),"unknown")</f>
        <v>High school graduate</v>
      </c>
      <c r="Y206" s="120" t="str">
        <f>IFERROR(VLOOKUP(Table1[RespondentID],'All Data'!$A$3:$CW$999,96,FALSE),"unknown")</f>
        <v>Employed for wages</v>
      </c>
      <c r="Z206" s="120" t="str">
        <f>IFERROR(VLOOKUP(Table1[RespondentID],'All Data'!$A$3:$CW$999,97,FALSE),"unknown")</f>
        <v>Yes</v>
      </c>
      <c r="AA206" s="120">
        <f>IFERROR(VLOOKUP(Table1[RespondentID],'All Data'!$A$3:$CW$999,98,FALSE),"unknown")</f>
        <v>0</v>
      </c>
      <c r="AB206" s="150">
        <f>IFERROR(VLOOKUP(Table1[RespondentID],'All Data'!$A$3:$CW$999,99,FALSE),"unknown")</f>
        <v>0</v>
      </c>
    </row>
    <row r="207" spans="1:28">
      <c r="A207" s="5">
        <v>18019480437</v>
      </c>
      <c r="B207" s="5"/>
      <c r="C207" s="5"/>
      <c r="D207" s="5"/>
      <c r="E207" s="5"/>
      <c r="F207" s="5"/>
      <c r="G207" s="5"/>
      <c r="H207" s="5"/>
      <c r="I207" s="5"/>
      <c r="J207" s="5"/>
      <c r="K207" s="5"/>
      <c r="L207" s="5"/>
      <c r="M207" s="5" t="s">
        <v>75</v>
      </c>
      <c r="N207" s="5"/>
      <c r="O207" s="147"/>
      <c r="P207" s="120" t="str">
        <f>IFERROR(VLOOKUP(Table1[RespondentID],'All Data'!$A$3:$CO$999,87,FALSE),"unknown")</f>
        <v>Woman</v>
      </c>
      <c r="Q207" s="120">
        <f>IFERROR(VLOOKUP(Table1[RespondentID],'All Data'!$A$3:$CO$999,88,FALSE),"unknown")</f>
        <v>47</v>
      </c>
      <c r="R207" s="120" t="str">
        <f>IFERROR(VLOOKUP(Table1[RespondentID],'All Data'!$A$3:$CO$999,89,FALSE),"unknown")</f>
        <v>Suffolk</v>
      </c>
      <c r="S207" s="120" t="str">
        <f>IFERROR(VLOOKUP(Table1[RespondentID],'All Data'!$A$3:$CO$999,90,FALSE),"unknown")</f>
        <v>Saint James, 11780</v>
      </c>
      <c r="T207" s="120" t="str">
        <f>IFERROR(VLOOKUP(Table1[RespondentID],'All Data'!$A$3:$CO$999,91,FALSE),"unknown")</f>
        <v>White</v>
      </c>
      <c r="U207" s="120" t="str">
        <f>IFERROR(VLOOKUP(Table1[RespondentID],'All Data'!$A$3:$CO$999,92,FALSE),"unknown")</f>
        <v>Hispanic or Latino</v>
      </c>
      <c r="V207" s="120" t="str">
        <f>IFERROR(VLOOKUP(Table1[RespondentID],'All Data'!$A$3:$CO$999,93,FALSE),"unknown")</f>
        <v>English</v>
      </c>
      <c r="W207" s="120" t="str">
        <f>IFERROR(VLOOKUP(Table1[RespondentID],'All Data'!$A$3:$CW$999,94,FALSE),"unknown")</f>
        <v>$75,000 to $125,000</v>
      </c>
      <c r="X207" s="120" t="str">
        <f>IFERROR(VLOOKUP(Table1[RespondentID],'All Data'!$A$3:$CW$999,95,FALSE),"unknown")</f>
        <v>High school graduate</v>
      </c>
      <c r="Y207" s="120" t="str">
        <f>IFERROR(VLOOKUP(Table1[RespondentID],'All Data'!$A$3:$CW$999,96,FALSE),"unknown")</f>
        <v>Self-employed</v>
      </c>
      <c r="Z207" s="120" t="str">
        <f>IFERROR(VLOOKUP(Table1[RespondentID],'All Data'!$A$3:$CW$999,97,FALSE),"unknown")</f>
        <v>No</v>
      </c>
      <c r="AA207" s="120">
        <f>IFERROR(VLOOKUP(Table1[RespondentID],'All Data'!$A$3:$CW$999,98,FALSE),"unknown")</f>
        <v>0</v>
      </c>
      <c r="AB207" s="150">
        <f>IFERROR(VLOOKUP(Table1[RespondentID],'All Data'!$A$3:$CW$999,99,FALSE),"unknown")</f>
        <v>0</v>
      </c>
    </row>
    <row r="208" spans="1:28">
      <c r="A208" s="5">
        <v>18019480319</v>
      </c>
      <c r="B208" s="5" t="s">
        <v>64</v>
      </c>
      <c r="C208" s="5"/>
      <c r="D208" s="5"/>
      <c r="E208" s="5" t="s">
        <v>67</v>
      </c>
      <c r="F208" s="5"/>
      <c r="G208" s="5"/>
      <c r="H208" s="5"/>
      <c r="I208" s="5"/>
      <c r="J208" s="5"/>
      <c r="K208" s="5"/>
      <c r="L208" s="5"/>
      <c r="M208" s="5" t="s">
        <v>75</v>
      </c>
      <c r="N208" s="5"/>
      <c r="O208" s="147"/>
      <c r="P208" s="120" t="str">
        <f>IFERROR(VLOOKUP(Table1[RespondentID],'All Data'!$A$3:$CO$999,87,FALSE),"unknown")</f>
        <v>Woman</v>
      </c>
      <c r="Q208" s="120">
        <f>IFERROR(VLOOKUP(Table1[RespondentID],'All Data'!$A$3:$CO$999,88,FALSE),"unknown")</f>
        <v>65</v>
      </c>
      <c r="R208" s="120" t="str">
        <f>IFERROR(VLOOKUP(Table1[RespondentID],'All Data'!$A$3:$CO$999,89,FALSE),"unknown")</f>
        <v>Suffolk</v>
      </c>
      <c r="S208" s="120" t="str">
        <f>IFERROR(VLOOKUP(Table1[RespondentID],'All Data'!$A$3:$CO$999,90,FALSE),"unknown")</f>
        <v>Kings Park, 11754</v>
      </c>
      <c r="T208" s="120" t="str">
        <f>IFERROR(VLOOKUP(Table1[RespondentID],'All Data'!$A$3:$CO$999,91,FALSE),"unknown")</f>
        <v>White</v>
      </c>
      <c r="U208" s="120" t="str">
        <f>IFERROR(VLOOKUP(Table1[RespondentID],'All Data'!$A$3:$CO$999,92,FALSE),"unknown")</f>
        <v>Hispanic or Latino</v>
      </c>
      <c r="V208" s="120" t="str">
        <f>IFERROR(VLOOKUP(Table1[RespondentID],'All Data'!$A$3:$CO$999,93,FALSE),"unknown")</f>
        <v>English</v>
      </c>
      <c r="W208" s="120">
        <f>IFERROR(VLOOKUP(Table1[RespondentID],'All Data'!$A$3:$CW$999,94,FALSE),"unknown")</f>
        <v>0</v>
      </c>
      <c r="X208" s="120" t="str">
        <f>IFERROR(VLOOKUP(Table1[RespondentID],'All Data'!$A$3:$CW$999,95,FALSE),"unknown")</f>
        <v>High school graduate</v>
      </c>
      <c r="Y208" s="120" t="str">
        <f>IFERROR(VLOOKUP(Table1[RespondentID],'All Data'!$A$3:$CW$999,96,FALSE),"unknown")</f>
        <v>Retired</v>
      </c>
      <c r="Z208" s="120" t="str">
        <f>IFERROR(VLOOKUP(Table1[RespondentID],'All Data'!$A$3:$CW$999,97,FALSE),"unknown")</f>
        <v>Yes</v>
      </c>
      <c r="AA208" s="120">
        <f>IFERROR(VLOOKUP(Table1[RespondentID],'All Data'!$A$3:$CW$999,98,FALSE),"unknown")</f>
        <v>0</v>
      </c>
      <c r="AB208" s="150">
        <f>IFERROR(VLOOKUP(Table1[RespondentID],'All Data'!$A$3:$CW$999,99,FALSE),"unknown")</f>
        <v>0</v>
      </c>
    </row>
    <row r="209" spans="1:28">
      <c r="A209" s="5">
        <v>18019480185</v>
      </c>
      <c r="B209" s="5" t="s">
        <v>64</v>
      </c>
      <c r="C209" s="5"/>
      <c r="D209" s="5"/>
      <c r="E209" s="5"/>
      <c r="F209" s="5"/>
      <c r="G209" s="5"/>
      <c r="H209" s="5"/>
      <c r="I209" s="5"/>
      <c r="J209" s="5"/>
      <c r="K209" s="5"/>
      <c r="L209" s="5"/>
      <c r="M209" s="5" t="s">
        <v>75</v>
      </c>
      <c r="N209" s="5"/>
      <c r="O209" s="147"/>
      <c r="P209" s="120" t="str">
        <f>IFERROR(VLOOKUP(Table1[RespondentID],'All Data'!$A$3:$CO$999,87,FALSE),"unknown")</f>
        <v>Woman</v>
      </c>
      <c r="Q209" s="120">
        <f>IFERROR(VLOOKUP(Table1[RespondentID],'All Data'!$A$3:$CO$999,88,FALSE),"unknown")</f>
        <v>44</v>
      </c>
      <c r="R209" s="120" t="str">
        <f>IFERROR(VLOOKUP(Table1[RespondentID],'All Data'!$A$3:$CO$999,89,FALSE),"unknown")</f>
        <v>Suffolk</v>
      </c>
      <c r="S209" s="120" t="str">
        <f>IFERROR(VLOOKUP(Table1[RespondentID],'All Data'!$A$3:$CO$999,90,FALSE),"unknown")</f>
        <v>Nesconset, 11767</v>
      </c>
      <c r="T209" s="120" t="str">
        <f>IFERROR(VLOOKUP(Table1[RespondentID],'All Data'!$A$3:$CO$999,91,FALSE),"unknown")</f>
        <v>White</v>
      </c>
      <c r="U209" s="120" t="str">
        <f>IFERROR(VLOOKUP(Table1[RespondentID],'All Data'!$A$3:$CO$999,92,FALSE),"unknown")</f>
        <v>Hispanic or Latino</v>
      </c>
      <c r="V209" s="120" t="str">
        <f>IFERROR(VLOOKUP(Table1[RespondentID],'All Data'!$A$3:$CO$999,93,FALSE),"unknown")</f>
        <v>English</v>
      </c>
      <c r="W209" s="120" t="str">
        <f>IFERROR(VLOOKUP(Table1[RespondentID],'All Data'!$A$3:$CW$999,94,FALSE),"unknown")</f>
        <v>Over $125,000</v>
      </c>
      <c r="X209" s="120" t="str">
        <f>IFERROR(VLOOKUP(Table1[RespondentID],'All Data'!$A$3:$CW$999,95,FALSE),"unknown")</f>
        <v>College graduate</v>
      </c>
      <c r="Y209" s="120" t="str">
        <f>IFERROR(VLOOKUP(Table1[RespondentID],'All Data'!$A$3:$CW$999,96,FALSE),"unknown")</f>
        <v>Self-employed</v>
      </c>
      <c r="Z209" s="120" t="str">
        <f>IFERROR(VLOOKUP(Table1[RespondentID],'All Data'!$A$3:$CW$999,97,FALSE),"unknown")</f>
        <v>Yes</v>
      </c>
      <c r="AA209" s="120">
        <f>IFERROR(VLOOKUP(Table1[RespondentID],'All Data'!$A$3:$CW$999,98,FALSE),"unknown")</f>
        <v>0</v>
      </c>
      <c r="AB209" s="150">
        <f>IFERROR(VLOOKUP(Table1[RespondentID],'All Data'!$A$3:$CW$999,99,FALSE),"unknown")</f>
        <v>0</v>
      </c>
    </row>
    <row r="210" spans="1:28">
      <c r="A210" s="5">
        <v>18019479995</v>
      </c>
      <c r="B210" s="5" t="s">
        <v>64</v>
      </c>
      <c r="C210" s="5"/>
      <c r="D210" s="5"/>
      <c r="E210" s="5"/>
      <c r="F210" s="5" t="s">
        <v>68</v>
      </c>
      <c r="G210" s="5"/>
      <c r="H210" s="5"/>
      <c r="I210" s="5"/>
      <c r="J210" s="5"/>
      <c r="K210" s="5"/>
      <c r="L210" s="5"/>
      <c r="M210" s="5" t="s">
        <v>75</v>
      </c>
      <c r="N210" s="5"/>
      <c r="O210" s="147"/>
      <c r="P210" s="120" t="str">
        <f>IFERROR(VLOOKUP(Table1[RespondentID],'All Data'!$A$3:$CO$999,87,FALSE),"unknown")</f>
        <v>Man</v>
      </c>
      <c r="Q210" s="120">
        <f>IFERROR(VLOOKUP(Table1[RespondentID],'All Data'!$A$3:$CO$999,88,FALSE),"unknown")</f>
        <v>50</v>
      </c>
      <c r="R210" s="120" t="str">
        <f>IFERROR(VLOOKUP(Table1[RespondentID],'All Data'!$A$3:$CO$999,89,FALSE),"unknown")</f>
        <v>Suffolk</v>
      </c>
      <c r="S210" s="120" t="str">
        <f>IFERROR(VLOOKUP(Table1[RespondentID],'All Data'!$A$3:$CO$999,90,FALSE),"unknown")</f>
        <v>Huntington, 11743</v>
      </c>
      <c r="T210" s="120" t="str">
        <f>IFERROR(VLOOKUP(Table1[RespondentID],'All Data'!$A$3:$CO$999,91,FALSE),"unknown")</f>
        <v>White</v>
      </c>
      <c r="U210" s="120" t="str">
        <f>IFERROR(VLOOKUP(Table1[RespondentID],'All Data'!$A$3:$CO$999,92,FALSE),"unknown")</f>
        <v>Hispanic or Latino</v>
      </c>
      <c r="V210" s="120" t="str">
        <f>IFERROR(VLOOKUP(Table1[RespondentID],'All Data'!$A$3:$CO$999,93,FALSE),"unknown")</f>
        <v>English</v>
      </c>
      <c r="W210" s="120" t="str">
        <f>IFERROR(VLOOKUP(Table1[RespondentID],'All Data'!$A$3:$CW$999,94,FALSE),"unknown")</f>
        <v>Over $125,000</v>
      </c>
      <c r="X210" s="120" t="str">
        <f>IFERROR(VLOOKUP(Table1[RespondentID],'All Data'!$A$3:$CW$999,95,FALSE),"unknown")</f>
        <v>College graduate</v>
      </c>
      <c r="Y210" s="120" t="str">
        <f>IFERROR(VLOOKUP(Table1[RespondentID],'All Data'!$A$3:$CW$999,96,FALSE),"unknown")</f>
        <v>Employed for wages</v>
      </c>
      <c r="Z210" s="120" t="str">
        <f>IFERROR(VLOOKUP(Table1[RespondentID],'All Data'!$A$3:$CW$999,97,FALSE),"unknown")</f>
        <v>Yes</v>
      </c>
      <c r="AA210" s="120">
        <f>IFERROR(VLOOKUP(Table1[RespondentID],'All Data'!$A$3:$CW$999,98,FALSE),"unknown")</f>
        <v>0</v>
      </c>
      <c r="AB210" s="150">
        <f>IFERROR(VLOOKUP(Table1[RespondentID],'All Data'!$A$3:$CW$999,99,FALSE),"unknown")</f>
        <v>0</v>
      </c>
    </row>
    <row r="211" spans="1:28">
      <c r="A211" s="5">
        <v>18019479757</v>
      </c>
      <c r="B211" s="5"/>
      <c r="C211" s="5"/>
      <c r="D211" s="5"/>
      <c r="E211" s="5"/>
      <c r="F211" s="5"/>
      <c r="G211" s="5"/>
      <c r="H211" s="5" t="s">
        <v>70</v>
      </c>
      <c r="I211" s="5"/>
      <c r="J211" s="5"/>
      <c r="K211" s="5"/>
      <c r="L211" s="5"/>
      <c r="M211" s="5" t="s">
        <v>75</v>
      </c>
      <c r="N211" s="5"/>
      <c r="O211" s="147"/>
      <c r="P211" s="120" t="str">
        <f>IFERROR(VLOOKUP(Table1[RespondentID],'All Data'!$A$3:$CO$999,87,FALSE),"unknown")</f>
        <v>Woman</v>
      </c>
      <c r="Q211" s="120">
        <f>IFERROR(VLOOKUP(Table1[RespondentID],'All Data'!$A$3:$CO$999,88,FALSE),"unknown")</f>
        <v>22</v>
      </c>
      <c r="R211" s="120" t="str">
        <f>IFERROR(VLOOKUP(Table1[RespondentID],'All Data'!$A$3:$CO$999,89,FALSE),"unknown")</f>
        <v>Nassau</v>
      </c>
      <c r="S211" s="120" t="str">
        <f>IFERROR(VLOOKUP(Table1[RespondentID],'All Data'!$A$3:$CO$999,90,FALSE),"unknown")</f>
        <v>Garden City, 11531</v>
      </c>
      <c r="T211" s="120">
        <f>IFERROR(VLOOKUP(Table1[RespondentID],'All Data'!$A$3:$CO$999,91,FALSE),"unknown")</f>
        <v>0</v>
      </c>
      <c r="U211" s="120">
        <f>IFERROR(VLOOKUP(Table1[RespondentID],'All Data'!$A$3:$CO$999,92,FALSE),"unknown")</f>
        <v>0</v>
      </c>
      <c r="V211" s="120">
        <f>IFERROR(VLOOKUP(Table1[RespondentID],'All Data'!$A$3:$CO$999,93,FALSE),"unknown")</f>
        <v>0</v>
      </c>
      <c r="W211" s="120">
        <f>IFERROR(VLOOKUP(Table1[RespondentID],'All Data'!$A$3:$CW$999,94,FALSE),"unknown")</f>
        <v>0</v>
      </c>
      <c r="X211" s="120">
        <f>IFERROR(VLOOKUP(Table1[RespondentID],'All Data'!$A$3:$CW$999,95,FALSE),"unknown")</f>
        <v>0</v>
      </c>
      <c r="Y211" s="120">
        <f>IFERROR(VLOOKUP(Table1[RespondentID],'All Data'!$A$3:$CW$999,96,FALSE),"unknown")</f>
        <v>0</v>
      </c>
      <c r="Z211" s="120">
        <f>IFERROR(VLOOKUP(Table1[RespondentID],'All Data'!$A$3:$CW$999,97,FALSE),"unknown")</f>
        <v>0</v>
      </c>
      <c r="AA211" s="120">
        <f>IFERROR(VLOOKUP(Table1[RespondentID],'All Data'!$A$3:$CW$999,98,FALSE),"unknown")</f>
        <v>0</v>
      </c>
      <c r="AB211" s="150">
        <f>IFERROR(VLOOKUP(Table1[RespondentID],'All Data'!$A$3:$CW$999,99,FALSE),"unknown")</f>
        <v>0</v>
      </c>
    </row>
    <row r="212" spans="1:28">
      <c r="A212" s="5">
        <v>18019479597</v>
      </c>
      <c r="B212" s="5" t="s">
        <v>64</v>
      </c>
      <c r="C212" s="5"/>
      <c r="D212" s="5"/>
      <c r="E212" s="5" t="s">
        <v>67</v>
      </c>
      <c r="F212" s="5"/>
      <c r="G212" s="5"/>
      <c r="H212" s="5"/>
      <c r="I212" s="5"/>
      <c r="J212" s="5"/>
      <c r="K212" s="5" t="s">
        <v>73</v>
      </c>
      <c r="L212" s="5"/>
      <c r="M212" s="5" t="s">
        <v>75</v>
      </c>
      <c r="N212" s="5"/>
      <c r="O212" s="147"/>
      <c r="P212" s="120" t="str">
        <f>IFERROR(VLOOKUP(Table1[RespondentID],'All Data'!$A$3:$CO$999,87,FALSE),"unknown")</f>
        <v>Man</v>
      </c>
      <c r="Q212" s="120">
        <f>IFERROR(VLOOKUP(Table1[RespondentID],'All Data'!$A$3:$CO$999,88,FALSE),"unknown")</f>
        <v>19</v>
      </c>
      <c r="R212" s="120" t="str">
        <f>IFERROR(VLOOKUP(Table1[RespondentID],'All Data'!$A$3:$CO$999,89,FALSE),"unknown")</f>
        <v>Suffolk</v>
      </c>
      <c r="S212" s="120" t="str">
        <f>IFERROR(VLOOKUP(Table1[RespondentID],'All Data'!$A$3:$CO$999,90,FALSE),"unknown")</f>
        <v>Commack, 11725</v>
      </c>
      <c r="T212" s="120" t="str">
        <f>IFERROR(VLOOKUP(Table1[RespondentID],'All Data'!$A$3:$CO$999,91,FALSE),"unknown")</f>
        <v>White</v>
      </c>
      <c r="U212" s="120" t="str">
        <f>IFERROR(VLOOKUP(Table1[RespondentID],'All Data'!$A$3:$CO$999,92,FALSE),"unknown")</f>
        <v>Hispanic or Latino</v>
      </c>
      <c r="V212" s="120" t="str">
        <f>IFERROR(VLOOKUP(Table1[RespondentID],'All Data'!$A$3:$CO$999,93,FALSE),"unknown")</f>
        <v>English</v>
      </c>
      <c r="W212" s="120" t="str">
        <f>IFERROR(VLOOKUP(Table1[RespondentID],'All Data'!$A$3:$CW$999,94,FALSE),"unknown")</f>
        <v>Over $125,000</v>
      </c>
      <c r="X212" s="120" t="str">
        <f>IFERROR(VLOOKUP(Table1[RespondentID],'All Data'!$A$3:$CW$999,95,FALSE),"unknown")</f>
        <v>Some college</v>
      </c>
      <c r="Y212" s="120" t="str">
        <f>IFERROR(VLOOKUP(Table1[RespondentID],'All Data'!$A$3:$CW$999,96,FALSE),"unknown")</f>
        <v>Out of work and looking for work</v>
      </c>
      <c r="Z212" s="120" t="str">
        <f>IFERROR(VLOOKUP(Table1[RespondentID],'All Data'!$A$3:$CW$999,97,FALSE),"unknown")</f>
        <v>No</v>
      </c>
      <c r="AA212" s="120" t="str">
        <f>IFERROR(VLOOKUP(Table1[RespondentID],'All Data'!$A$3:$CW$999,98,FALSE),"unknown")</f>
        <v>No Insurance</v>
      </c>
      <c r="AB212" s="150" t="str">
        <f>IFERROR(VLOOKUP(Table1[RespondentID],'All Data'!$A$3:$CW$999,99,FALSE),"unknown")</f>
        <v>Yes</v>
      </c>
    </row>
    <row r="213" spans="1:28">
      <c r="A213" s="5">
        <v>18019479451</v>
      </c>
      <c r="B213" s="5" t="s">
        <v>64</v>
      </c>
      <c r="C213" s="5"/>
      <c r="D213" s="5"/>
      <c r="E213" s="5"/>
      <c r="F213" s="5"/>
      <c r="G213" s="5"/>
      <c r="H213" s="5" t="s">
        <v>70</v>
      </c>
      <c r="I213" s="5"/>
      <c r="J213" s="5"/>
      <c r="K213" s="5"/>
      <c r="L213" s="5"/>
      <c r="M213" s="5"/>
      <c r="N213" s="5"/>
      <c r="O213" s="147"/>
      <c r="P213" s="120" t="str">
        <f>IFERROR(VLOOKUP(Table1[RespondentID],'All Data'!$A$3:$CO$999,87,FALSE),"unknown")</f>
        <v>Man</v>
      </c>
      <c r="Q213" s="120">
        <f>IFERROR(VLOOKUP(Table1[RespondentID],'All Data'!$A$3:$CO$999,88,FALSE),"unknown")</f>
        <v>54</v>
      </c>
      <c r="R213" s="120" t="str">
        <f>IFERROR(VLOOKUP(Table1[RespondentID],'All Data'!$A$3:$CO$999,89,FALSE),"unknown")</f>
        <v>Suffolk</v>
      </c>
      <c r="S213" s="120" t="str">
        <f>IFERROR(VLOOKUP(Table1[RespondentID],'All Data'!$A$3:$CO$999,90,FALSE),"unknown")</f>
        <v>Commack, 11725</v>
      </c>
      <c r="T213" s="120" t="str">
        <f>IFERROR(VLOOKUP(Table1[RespondentID],'All Data'!$A$3:$CO$999,91,FALSE),"unknown")</f>
        <v>White</v>
      </c>
      <c r="U213" s="120" t="str">
        <f>IFERROR(VLOOKUP(Table1[RespondentID],'All Data'!$A$3:$CO$999,92,FALSE),"unknown")</f>
        <v>Hispanic or Latino</v>
      </c>
      <c r="V213" s="120" t="str">
        <f>IFERROR(VLOOKUP(Table1[RespondentID],'All Data'!$A$3:$CO$999,93,FALSE),"unknown")</f>
        <v>English</v>
      </c>
      <c r="W213" s="120" t="str">
        <f>IFERROR(VLOOKUP(Table1[RespondentID],'All Data'!$A$3:$CW$999,94,FALSE),"unknown")</f>
        <v>Over $125,000</v>
      </c>
      <c r="X213" s="120" t="str">
        <f>IFERROR(VLOOKUP(Table1[RespondentID],'All Data'!$A$3:$CW$999,95,FALSE),"unknown")</f>
        <v>Graduate school</v>
      </c>
      <c r="Y213" s="120" t="str">
        <f>IFERROR(VLOOKUP(Table1[RespondentID],'All Data'!$A$3:$CW$999,96,FALSE),"unknown")</f>
        <v>Retired</v>
      </c>
      <c r="Z213" s="120" t="str">
        <f>IFERROR(VLOOKUP(Table1[RespondentID],'All Data'!$A$3:$CW$999,97,FALSE),"unknown")</f>
        <v>Yes</v>
      </c>
      <c r="AA213" s="120" t="str">
        <f>IFERROR(VLOOKUP(Table1[RespondentID],'All Data'!$A$3:$CW$999,98,FALSE),"unknown")</f>
        <v>Medicare</v>
      </c>
      <c r="AB213" s="150" t="str">
        <f>IFERROR(VLOOKUP(Table1[RespondentID],'All Data'!$A$3:$CW$999,99,FALSE),"unknown")</f>
        <v>Yes</v>
      </c>
    </row>
    <row r="214" spans="1:28">
      <c r="A214" s="5">
        <v>18019479157</v>
      </c>
      <c r="B214" s="5" t="s">
        <v>64</v>
      </c>
      <c r="C214" s="5"/>
      <c r="D214" s="5"/>
      <c r="E214" s="5" t="s">
        <v>67</v>
      </c>
      <c r="F214" s="5" t="s">
        <v>68</v>
      </c>
      <c r="G214" s="5"/>
      <c r="H214" s="5" t="s">
        <v>70</v>
      </c>
      <c r="I214" s="5"/>
      <c r="J214" s="5"/>
      <c r="K214" s="5" t="s">
        <v>73</v>
      </c>
      <c r="L214" s="5"/>
      <c r="M214" s="5" t="s">
        <v>75</v>
      </c>
      <c r="N214" s="5"/>
      <c r="O214" s="147"/>
      <c r="P214" s="120" t="str">
        <f>IFERROR(VLOOKUP(Table1[RespondentID],'All Data'!$A$3:$CO$999,87,FALSE),"unknown")</f>
        <v>Woman</v>
      </c>
      <c r="Q214" s="120">
        <f>IFERROR(VLOOKUP(Table1[RespondentID],'All Data'!$A$3:$CO$999,88,FALSE),"unknown")</f>
        <v>50</v>
      </c>
      <c r="R214" s="120" t="str">
        <f>IFERROR(VLOOKUP(Table1[RespondentID],'All Data'!$A$3:$CO$999,89,FALSE),"unknown")</f>
        <v>Suffolk</v>
      </c>
      <c r="S214" s="120" t="str">
        <f>IFERROR(VLOOKUP(Table1[RespondentID],'All Data'!$A$3:$CO$999,90,FALSE),"unknown")</f>
        <v>Commack, 11725</v>
      </c>
      <c r="T214" s="120" t="str">
        <f>IFERROR(VLOOKUP(Table1[RespondentID],'All Data'!$A$3:$CO$999,91,FALSE),"unknown")</f>
        <v>White</v>
      </c>
      <c r="U214" s="120" t="str">
        <f>IFERROR(VLOOKUP(Table1[RespondentID],'All Data'!$A$3:$CO$999,92,FALSE),"unknown")</f>
        <v>Hispanic or Latino</v>
      </c>
      <c r="V214" s="120" t="str">
        <f>IFERROR(VLOOKUP(Table1[RespondentID],'All Data'!$A$3:$CO$999,93,FALSE),"unknown")</f>
        <v>English</v>
      </c>
      <c r="W214" s="120" t="str">
        <f>IFERROR(VLOOKUP(Table1[RespondentID],'All Data'!$A$3:$CW$999,94,FALSE),"unknown")</f>
        <v>Over $125,000</v>
      </c>
      <c r="X214" s="120" t="str">
        <f>IFERROR(VLOOKUP(Table1[RespondentID],'All Data'!$A$3:$CW$999,95,FALSE),"unknown")</f>
        <v>College graduate</v>
      </c>
      <c r="Y214" s="120" t="str">
        <f>IFERROR(VLOOKUP(Table1[RespondentID],'All Data'!$A$3:$CW$999,96,FALSE),"unknown")</f>
        <v>Employed for wages</v>
      </c>
      <c r="Z214" s="120" t="str">
        <f>IFERROR(VLOOKUP(Table1[RespondentID],'All Data'!$A$3:$CW$999,97,FALSE),"unknown")</f>
        <v>Yes</v>
      </c>
      <c r="AA214" s="120" t="str">
        <f>IFERROR(VLOOKUP(Table1[RespondentID],'All Data'!$A$3:$CW$999,98,FALSE),"unknown")</f>
        <v>Medicaid</v>
      </c>
      <c r="AB214" s="150" t="str">
        <f>IFERROR(VLOOKUP(Table1[RespondentID],'All Data'!$A$3:$CW$999,99,FALSE),"unknown")</f>
        <v>Yes</v>
      </c>
    </row>
    <row r="215" spans="1:28">
      <c r="A215" s="5">
        <v>18019478995</v>
      </c>
      <c r="B215" s="5" t="s">
        <v>64</v>
      </c>
      <c r="C215" s="5" t="s">
        <v>65</v>
      </c>
      <c r="D215" s="5"/>
      <c r="E215" s="5"/>
      <c r="F215" s="5"/>
      <c r="G215" s="5"/>
      <c r="H215" s="5" t="s">
        <v>70</v>
      </c>
      <c r="I215" s="5"/>
      <c r="J215" s="5"/>
      <c r="K215" s="5"/>
      <c r="L215" s="5"/>
      <c r="M215" s="5"/>
      <c r="N215" s="5"/>
      <c r="O215" s="147"/>
      <c r="P215" s="120" t="str">
        <f>IFERROR(VLOOKUP(Table1[RespondentID],'All Data'!$A$3:$CO$999,87,FALSE),"unknown")</f>
        <v>Man</v>
      </c>
      <c r="Q215" s="120">
        <f>IFERROR(VLOOKUP(Table1[RespondentID],'All Data'!$A$3:$CO$999,88,FALSE),"unknown")</f>
        <v>0</v>
      </c>
      <c r="R215" s="120" t="str">
        <f>IFERROR(VLOOKUP(Table1[RespondentID],'All Data'!$A$3:$CO$999,89,FALSE),"unknown")</f>
        <v>Suffolk</v>
      </c>
      <c r="S215" s="120" t="str">
        <f>IFERROR(VLOOKUP(Table1[RespondentID],'All Data'!$A$3:$CO$999,90,FALSE),"unknown")</f>
        <v>East Northport, 11731</v>
      </c>
      <c r="T215" s="120" t="str">
        <f>IFERROR(VLOOKUP(Table1[RespondentID],'All Data'!$A$3:$CO$999,91,FALSE),"unknown")</f>
        <v>Asian</v>
      </c>
      <c r="U215" s="120" t="str">
        <f>IFERROR(VLOOKUP(Table1[RespondentID],'All Data'!$A$3:$CO$999,92,FALSE),"unknown")</f>
        <v>Not Hispanic or Latino</v>
      </c>
      <c r="V215" s="120" t="str">
        <f>IFERROR(VLOOKUP(Table1[RespondentID],'All Data'!$A$3:$CO$999,93,FALSE),"unknown")</f>
        <v>English</v>
      </c>
      <c r="W215" s="120" t="str">
        <f>IFERROR(VLOOKUP(Table1[RespondentID],'All Data'!$A$3:$CW$999,94,FALSE),"unknown")</f>
        <v>$50,000 to $74,999</v>
      </c>
      <c r="X215" s="120" t="str">
        <f>IFERROR(VLOOKUP(Table1[RespondentID],'All Data'!$A$3:$CW$999,95,FALSE),"unknown")</f>
        <v>Some college</v>
      </c>
      <c r="Y215" s="120" t="str">
        <f>IFERROR(VLOOKUP(Table1[RespondentID],'All Data'!$A$3:$CW$999,96,FALSE),"unknown")</f>
        <v>Employed for wages</v>
      </c>
      <c r="Z215" s="120" t="str">
        <f>IFERROR(VLOOKUP(Table1[RespondentID],'All Data'!$A$3:$CW$999,97,FALSE),"unknown")</f>
        <v>No</v>
      </c>
      <c r="AA215" s="120" t="str">
        <f>IFERROR(VLOOKUP(Table1[RespondentID],'All Data'!$A$3:$CW$999,98,FALSE),"unknown")</f>
        <v>No Insurance</v>
      </c>
      <c r="AB215" s="150" t="str">
        <f>IFERROR(VLOOKUP(Table1[RespondentID],'All Data'!$A$3:$CW$999,99,FALSE),"unknown")</f>
        <v>Yes</v>
      </c>
    </row>
    <row r="216" spans="1:28">
      <c r="A216" s="5">
        <v>18019349230</v>
      </c>
      <c r="B216" s="5" t="s">
        <v>64</v>
      </c>
      <c r="C216" s="5"/>
      <c r="D216" s="5"/>
      <c r="E216" s="5"/>
      <c r="F216" s="5"/>
      <c r="G216" s="5"/>
      <c r="H216" s="5"/>
      <c r="I216" s="5"/>
      <c r="J216" s="5"/>
      <c r="K216" s="5"/>
      <c r="L216" s="5"/>
      <c r="M216" s="5"/>
      <c r="N216" s="5"/>
      <c r="O216" s="147"/>
      <c r="P216" s="120" t="str">
        <f>IFERROR(VLOOKUP(Table1[RespondentID],'All Data'!$A$3:$CO$999,87,FALSE),"unknown")</f>
        <v>Man</v>
      </c>
      <c r="Q216" s="120">
        <f>IFERROR(VLOOKUP(Table1[RespondentID],'All Data'!$A$3:$CO$999,88,FALSE),"unknown")</f>
        <v>16</v>
      </c>
      <c r="R216" s="120" t="str">
        <f>IFERROR(VLOOKUP(Table1[RespondentID],'All Data'!$A$3:$CO$999,89,FALSE),"unknown")</f>
        <v>Suffolk</v>
      </c>
      <c r="S216" s="120" t="str">
        <f>IFERROR(VLOOKUP(Table1[RespondentID],'All Data'!$A$3:$CO$999,90,FALSE),"unknown")</f>
        <v>Centerport, 11721</v>
      </c>
      <c r="T216" s="120" t="str">
        <f>IFERROR(VLOOKUP(Table1[RespondentID],'All Data'!$A$3:$CO$999,91,FALSE),"unknown")</f>
        <v>Native Hawaiian and Other Pacific Islander</v>
      </c>
      <c r="U216" s="120" t="str">
        <f>IFERROR(VLOOKUP(Table1[RespondentID],'All Data'!$A$3:$CO$999,92,FALSE),"unknown")</f>
        <v>Hispanic or Latino</v>
      </c>
      <c r="V216" s="120" t="str">
        <f>IFERROR(VLOOKUP(Table1[RespondentID],'All Data'!$A$3:$CO$999,93,FALSE),"unknown")</f>
        <v>Haitian Creole</v>
      </c>
      <c r="W216" s="120" t="str">
        <f>IFERROR(VLOOKUP(Table1[RespondentID],'All Data'!$A$3:$CW$999,94,FALSE),"unknown")</f>
        <v>$35,000 to $49,999</v>
      </c>
      <c r="X216" s="120" t="str">
        <f>IFERROR(VLOOKUP(Table1[RespondentID],'All Data'!$A$3:$CW$999,95,FALSE),"unknown")</f>
        <v>Some high school</v>
      </c>
      <c r="Y216" s="120" t="str">
        <f>IFERROR(VLOOKUP(Table1[RespondentID],'All Data'!$A$3:$CW$999,96,FALSE),"unknown")</f>
        <v>Student</v>
      </c>
      <c r="Z216" s="120">
        <f>IFERROR(VLOOKUP(Table1[RespondentID],'All Data'!$A$3:$CW$999,97,FALSE),"unknown")</f>
        <v>0</v>
      </c>
      <c r="AA216" s="120" t="str">
        <f>IFERROR(VLOOKUP(Table1[RespondentID],'All Data'!$A$3:$CW$999,98,FALSE),"unknown")</f>
        <v>Private/Commercial</v>
      </c>
      <c r="AB216" s="150" t="str">
        <f>IFERROR(VLOOKUP(Table1[RespondentID],'All Data'!$A$3:$CW$999,99,FALSE),"unknown")</f>
        <v>Yes</v>
      </c>
    </row>
    <row r="217" spans="1:28">
      <c r="A217" s="5">
        <v>18019193765</v>
      </c>
      <c r="B217" s="5"/>
      <c r="C217" s="5"/>
      <c r="D217" s="5"/>
      <c r="E217" s="5"/>
      <c r="F217" s="5"/>
      <c r="G217" s="5"/>
      <c r="H217" s="5"/>
      <c r="I217" s="5"/>
      <c r="J217" s="5"/>
      <c r="K217" s="5"/>
      <c r="L217" s="5"/>
      <c r="M217" s="5"/>
      <c r="N217" s="5"/>
      <c r="O217" s="147"/>
      <c r="P217" s="120">
        <f>IFERROR(VLOOKUP(Table1[RespondentID],'All Data'!$A$3:$CO$999,87,FALSE),"unknown")</f>
        <v>0</v>
      </c>
      <c r="Q217" s="120">
        <f>IFERROR(VLOOKUP(Table1[RespondentID],'All Data'!$A$3:$CO$999,88,FALSE),"unknown")</f>
        <v>0</v>
      </c>
      <c r="R217" s="120">
        <f>IFERROR(VLOOKUP(Table1[RespondentID],'All Data'!$A$3:$CO$999,89,FALSE),"unknown")</f>
        <v>0</v>
      </c>
      <c r="S217" s="120" t="str">
        <f>IFERROR(VLOOKUP(Table1[RespondentID],'All Data'!$A$3:$CO$999,90,FALSE),"unknown")</f>
        <v>Brookville, 11545</v>
      </c>
      <c r="T217" s="120">
        <f>IFERROR(VLOOKUP(Table1[RespondentID],'All Data'!$A$3:$CO$999,91,FALSE),"unknown")</f>
        <v>0</v>
      </c>
      <c r="U217" s="120">
        <f>IFERROR(VLOOKUP(Table1[RespondentID],'All Data'!$A$3:$CO$999,92,FALSE),"unknown")</f>
        <v>0</v>
      </c>
      <c r="V217" s="120">
        <f>IFERROR(VLOOKUP(Table1[RespondentID],'All Data'!$A$3:$CO$999,93,FALSE),"unknown")</f>
        <v>0</v>
      </c>
      <c r="W217" s="120">
        <f>IFERROR(VLOOKUP(Table1[RespondentID],'All Data'!$A$3:$CW$999,94,FALSE),"unknown")</f>
        <v>0</v>
      </c>
      <c r="X217" s="120">
        <f>IFERROR(VLOOKUP(Table1[RespondentID],'All Data'!$A$3:$CW$999,95,FALSE),"unknown")</f>
        <v>0</v>
      </c>
      <c r="Y217" s="120">
        <f>IFERROR(VLOOKUP(Table1[RespondentID],'All Data'!$A$3:$CW$999,96,FALSE),"unknown")</f>
        <v>0</v>
      </c>
      <c r="Z217" s="120">
        <f>IFERROR(VLOOKUP(Table1[RespondentID],'All Data'!$A$3:$CW$999,97,FALSE),"unknown")</f>
        <v>0</v>
      </c>
      <c r="AA217" s="120">
        <f>IFERROR(VLOOKUP(Table1[RespondentID],'All Data'!$A$3:$CW$999,98,FALSE),"unknown")</f>
        <v>0</v>
      </c>
      <c r="AB217" s="150">
        <f>IFERROR(VLOOKUP(Table1[RespondentID],'All Data'!$A$3:$CW$999,99,FALSE),"unknown")</f>
        <v>0</v>
      </c>
    </row>
    <row r="218" spans="1:28">
      <c r="A218" s="5">
        <v>18019104432</v>
      </c>
      <c r="B218" s="5" t="s">
        <v>64</v>
      </c>
      <c r="C218" s="5"/>
      <c r="D218" s="5"/>
      <c r="E218" s="5"/>
      <c r="F218" s="5"/>
      <c r="G218" s="5"/>
      <c r="H218" s="5"/>
      <c r="I218" s="5"/>
      <c r="J218" s="5"/>
      <c r="K218" s="5" t="s">
        <v>73</v>
      </c>
      <c r="L218" s="5"/>
      <c r="M218" s="5" t="s">
        <v>75</v>
      </c>
      <c r="N218" s="5"/>
      <c r="O218" s="147"/>
      <c r="P218" s="120" t="str">
        <f>IFERROR(VLOOKUP(Table1[RespondentID],'All Data'!$A$3:$CO$999,87,FALSE),"unknown")</f>
        <v>Woman</v>
      </c>
      <c r="Q218" s="120">
        <f>IFERROR(VLOOKUP(Table1[RespondentID],'All Data'!$A$3:$CO$999,88,FALSE),"unknown")</f>
        <v>23</v>
      </c>
      <c r="R218" s="120" t="str">
        <f>IFERROR(VLOOKUP(Table1[RespondentID],'All Data'!$A$3:$CO$999,89,FALSE),"unknown")</f>
        <v>Suffolk</v>
      </c>
      <c r="S218" s="120" t="str">
        <f>IFERROR(VLOOKUP(Table1[RespondentID],'All Data'!$A$3:$CO$999,90,FALSE),"unknown")</f>
        <v>Commack, 11725</v>
      </c>
      <c r="T218" s="120" t="str">
        <f>IFERROR(VLOOKUP(Table1[RespondentID],'All Data'!$A$3:$CO$999,91,FALSE),"unknown")</f>
        <v>Native Hawaiian and Other Pacific Islander</v>
      </c>
      <c r="U218" s="120" t="str">
        <f>IFERROR(VLOOKUP(Table1[RespondentID],'All Data'!$A$3:$CO$999,92,FALSE),"unknown")</f>
        <v>Hispanic or Latino</v>
      </c>
      <c r="V218" s="120" t="str">
        <f>IFERROR(VLOOKUP(Table1[RespondentID],'All Data'!$A$3:$CO$999,93,FALSE),"unknown")</f>
        <v>English, Italian</v>
      </c>
      <c r="W218" s="120" t="str">
        <f>IFERROR(VLOOKUP(Table1[RespondentID],'All Data'!$A$3:$CW$999,94,FALSE),"unknown")</f>
        <v>$35,000 to $49,999</v>
      </c>
      <c r="X218" s="120" t="str">
        <f>IFERROR(VLOOKUP(Table1[RespondentID],'All Data'!$A$3:$CW$999,95,FALSE),"unknown")</f>
        <v>High school graduate</v>
      </c>
      <c r="Y218" s="120" t="str">
        <f>IFERROR(VLOOKUP(Table1[RespondentID],'All Data'!$A$3:$CW$999,96,FALSE),"unknown")</f>
        <v>Employed for wages</v>
      </c>
      <c r="Z218" s="120" t="str">
        <f>IFERROR(VLOOKUP(Table1[RespondentID],'All Data'!$A$3:$CW$999,97,FALSE),"unknown")</f>
        <v>Yes</v>
      </c>
      <c r="AA218" s="120">
        <f>IFERROR(VLOOKUP(Table1[RespondentID],'All Data'!$A$3:$CW$999,98,FALSE),"unknown")</f>
        <v>0</v>
      </c>
      <c r="AB218" s="150">
        <f>IFERROR(VLOOKUP(Table1[RespondentID],'All Data'!$A$3:$CW$999,99,FALSE),"unknown")</f>
        <v>0</v>
      </c>
    </row>
    <row r="219" spans="1:28">
      <c r="A219" s="5">
        <v>18019104294</v>
      </c>
      <c r="B219" s="5" t="s">
        <v>64</v>
      </c>
      <c r="C219" s="5"/>
      <c r="D219" s="5"/>
      <c r="E219" s="5"/>
      <c r="F219" s="5"/>
      <c r="G219" s="5"/>
      <c r="H219" s="5" t="s">
        <v>70</v>
      </c>
      <c r="I219" s="5"/>
      <c r="J219" s="5"/>
      <c r="K219" s="5"/>
      <c r="L219" s="5"/>
      <c r="M219" s="5"/>
      <c r="N219" s="5" t="s">
        <v>76</v>
      </c>
      <c r="O219" s="147"/>
      <c r="P219" s="120" t="str">
        <f>IFERROR(VLOOKUP(Table1[RespondentID],'All Data'!$A$3:$CO$999,87,FALSE),"unknown")</f>
        <v>Woman</v>
      </c>
      <c r="Q219" s="120">
        <f>IFERROR(VLOOKUP(Table1[RespondentID],'All Data'!$A$3:$CO$999,88,FALSE),"unknown")</f>
        <v>15</v>
      </c>
      <c r="R219" s="120" t="str">
        <f>IFERROR(VLOOKUP(Table1[RespondentID],'All Data'!$A$3:$CO$999,89,FALSE),"unknown")</f>
        <v>Suffolk</v>
      </c>
      <c r="S219" s="120" t="str">
        <f>IFERROR(VLOOKUP(Table1[RespondentID],'All Data'!$A$3:$CO$999,90,FALSE),"unknown")</f>
        <v>Commack, 11725</v>
      </c>
      <c r="T219" s="120" t="str">
        <f>IFERROR(VLOOKUP(Table1[RespondentID],'All Data'!$A$3:$CO$999,91,FALSE),"unknown")</f>
        <v>White</v>
      </c>
      <c r="U219" s="120" t="str">
        <f>IFERROR(VLOOKUP(Table1[RespondentID],'All Data'!$A$3:$CO$999,92,FALSE),"unknown")</f>
        <v>Hispanic or Latino</v>
      </c>
      <c r="V219" s="120" t="str">
        <f>IFERROR(VLOOKUP(Table1[RespondentID],'All Data'!$A$3:$CO$999,93,FALSE),"unknown")</f>
        <v>English</v>
      </c>
      <c r="W219" s="120" t="str">
        <f>IFERROR(VLOOKUP(Table1[RespondentID],'All Data'!$A$3:$CW$999,94,FALSE),"unknown")</f>
        <v>$20,000 to $34,999</v>
      </c>
      <c r="X219" s="120" t="str">
        <f>IFERROR(VLOOKUP(Table1[RespondentID],'All Data'!$A$3:$CW$999,95,FALSE),"unknown")</f>
        <v>Some high school</v>
      </c>
      <c r="Y219" s="120" t="str">
        <f>IFERROR(VLOOKUP(Table1[RespondentID],'All Data'!$A$3:$CW$999,96,FALSE),"unknown")</f>
        <v>Student</v>
      </c>
      <c r="Z219" s="120" t="str">
        <f>IFERROR(VLOOKUP(Table1[RespondentID],'All Data'!$A$3:$CW$999,97,FALSE),"unknown")</f>
        <v>No</v>
      </c>
      <c r="AA219" s="120">
        <f>IFERROR(VLOOKUP(Table1[RespondentID],'All Data'!$A$3:$CW$999,98,FALSE),"unknown")</f>
        <v>0</v>
      </c>
      <c r="AB219" s="150">
        <f>IFERROR(VLOOKUP(Table1[RespondentID],'All Data'!$A$3:$CW$999,99,FALSE),"unknown")</f>
        <v>0</v>
      </c>
    </row>
    <row r="220" spans="1:28">
      <c r="A220" s="5">
        <v>18019104165</v>
      </c>
      <c r="B220" s="5"/>
      <c r="C220" s="5" t="s">
        <v>65</v>
      </c>
      <c r="D220" s="5"/>
      <c r="E220" s="5" t="s">
        <v>67</v>
      </c>
      <c r="F220" s="5"/>
      <c r="G220" s="5"/>
      <c r="H220" s="5"/>
      <c r="I220" s="5" t="s">
        <v>71</v>
      </c>
      <c r="J220" s="5"/>
      <c r="K220" s="5"/>
      <c r="L220" s="5"/>
      <c r="M220" s="5"/>
      <c r="N220" s="5"/>
      <c r="O220" s="147"/>
      <c r="P220" s="120" t="str">
        <f>IFERROR(VLOOKUP(Table1[RespondentID],'All Data'!$A$3:$CO$999,87,FALSE),"unknown")</f>
        <v>Man</v>
      </c>
      <c r="Q220" s="120">
        <f>IFERROR(VLOOKUP(Table1[RespondentID],'All Data'!$A$3:$CO$999,88,FALSE),"unknown")</f>
        <v>17</v>
      </c>
      <c r="R220" s="120" t="str">
        <f>IFERROR(VLOOKUP(Table1[RespondentID],'All Data'!$A$3:$CO$999,89,FALSE),"unknown")</f>
        <v>Suffolk</v>
      </c>
      <c r="S220" s="120" t="str">
        <f>IFERROR(VLOOKUP(Table1[RespondentID],'All Data'!$A$3:$CO$999,90,FALSE),"unknown")</f>
        <v>Commack, 11725</v>
      </c>
      <c r="T220" s="120" t="str">
        <f>IFERROR(VLOOKUP(Table1[RespondentID],'All Data'!$A$3:$CO$999,91,FALSE),"unknown")</f>
        <v>American Indian and Alaska Native</v>
      </c>
      <c r="U220" s="120" t="str">
        <f>IFERROR(VLOOKUP(Table1[RespondentID],'All Data'!$A$3:$CO$999,92,FALSE),"unknown")</f>
        <v>Hispanic or Latino</v>
      </c>
      <c r="V220" s="120" t="str">
        <f>IFERROR(VLOOKUP(Table1[RespondentID],'All Data'!$A$3:$CO$999,93,FALSE),"unknown")</f>
        <v>English, Korean</v>
      </c>
      <c r="W220" s="120" t="str">
        <f>IFERROR(VLOOKUP(Table1[RespondentID],'All Data'!$A$3:$CW$999,94,FALSE),"unknown")</f>
        <v>$35,000 to $49,999</v>
      </c>
      <c r="X220" s="120" t="str">
        <f>IFERROR(VLOOKUP(Table1[RespondentID],'All Data'!$A$3:$CW$999,95,FALSE),"unknown")</f>
        <v>Some high school</v>
      </c>
      <c r="Y220" s="120" t="str">
        <f>IFERROR(VLOOKUP(Table1[RespondentID],'All Data'!$A$3:$CW$999,96,FALSE),"unknown")</f>
        <v>Student</v>
      </c>
      <c r="Z220" s="120">
        <f>IFERROR(VLOOKUP(Table1[RespondentID],'All Data'!$A$3:$CW$999,97,FALSE),"unknown")</f>
        <v>0</v>
      </c>
      <c r="AA220" s="120">
        <f>IFERROR(VLOOKUP(Table1[RespondentID],'All Data'!$A$3:$CW$999,98,FALSE),"unknown")</f>
        <v>0</v>
      </c>
      <c r="AB220" s="150">
        <f>IFERROR(VLOOKUP(Table1[RespondentID],'All Data'!$A$3:$CW$999,99,FALSE),"unknown")</f>
        <v>0</v>
      </c>
    </row>
    <row r="221" spans="1:28">
      <c r="A221" s="5">
        <v>18019103935</v>
      </c>
      <c r="B221" s="5"/>
      <c r="C221" s="5" t="s">
        <v>65</v>
      </c>
      <c r="D221" s="5"/>
      <c r="E221" s="5"/>
      <c r="F221" s="5"/>
      <c r="G221" s="5"/>
      <c r="H221" s="5"/>
      <c r="I221" s="5"/>
      <c r="J221" s="5"/>
      <c r="K221" s="5" t="s">
        <v>73</v>
      </c>
      <c r="L221" s="5" t="s">
        <v>74</v>
      </c>
      <c r="M221" s="5"/>
      <c r="N221" s="5"/>
      <c r="O221" s="147"/>
      <c r="P221" s="120" t="str">
        <f>IFERROR(VLOOKUP(Table1[RespondentID],'All Data'!$A$3:$CO$999,87,FALSE),"unknown")</f>
        <v>Woman</v>
      </c>
      <c r="Q221" s="120">
        <f>IFERROR(VLOOKUP(Table1[RespondentID],'All Data'!$A$3:$CO$999,88,FALSE),"unknown")</f>
        <v>42</v>
      </c>
      <c r="R221" s="120" t="str">
        <f>IFERROR(VLOOKUP(Table1[RespondentID],'All Data'!$A$3:$CO$999,89,FALSE),"unknown")</f>
        <v>Suffolk</v>
      </c>
      <c r="S221" s="120" t="str">
        <f>IFERROR(VLOOKUP(Table1[RespondentID],'All Data'!$A$3:$CO$999,90,FALSE),"unknown")</f>
        <v>Commack, 11725</v>
      </c>
      <c r="T221" s="120" t="str">
        <f>IFERROR(VLOOKUP(Table1[RespondentID],'All Data'!$A$3:$CO$999,91,FALSE),"unknown")</f>
        <v>Asian</v>
      </c>
      <c r="U221" s="120" t="str">
        <f>IFERROR(VLOOKUP(Table1[RespondentID],'All Data'!$A$3:$CO$999,92,FALSE),"unknown")</f>
        <v>Not Hispanic or Latino</v>
      </c>
      <c r="V221" s="120" t="str">
        <f>IFERROR(VLOOKUP(Table1[RespondentID],'All Data'!$A$3:$CO$999,93,FALSE),"unknown")</f>
        <v>English, Portuguese, Spanish</v>
      </c>
      <c r="W221" s="120" t="str">
        <f>IFERROR(VLOOKUP(Table1[RespondentID],'All Data'!$A$3:$CW$999,94,FALSE),"unknown")</f>
        <v>$20,000 to $34,999</v>
      </c>
      <c r="X221" s="120" t="str">
        <f>IFERROR(VLOOKUP(Table1[RespondentID],'All Data'!$A$3:$CW$999,95,FALSE),"unknown")</f>
        <v>College graduate</v>
      </c>
      <c r="Y221" s="120" t="str">
        <f>IFERROR(VLOOKUP(Table1[RespondentID],'All Data'!$A$3:$CW$999,96,FALSE),"unknown")</f>
        <v>Employed for wages</v>
      </c>
      <c r="Z221" s="120" t="str">
        <f>IFERROR(VLOOKUP(Table1[RespondentID],'All Data'!$A$3:$CW$999,97,FALSE),"unknown")</f>
        <v>Yes</v>
      </c>
      <c r="AA221" s="120">
        <f>IFERROR(VLOOKUP(Table1[RespondentID],'All Data'!$A$3:$CW$999,98,FALSE),"unknown")</f>
        <v>0</v>
      </c>
      <c r="AB221" s="150">
        <f>IFERROR(VLOOKUP(Table1[RespondentID],'All Data'!$A$3:$CW$999,99,FALSE),"unknown")</f>
        <v>0</v>
      </c>
    </row>
    <row r="222" spans="1:28">
      <c r="A222" s="5">
        <v>18019103724</v>
      </c>
      <c r="B222" s="5"/>
      <c r="C222" s="5"/>
      <c r="D222" s="5" t="s">
        <v>66</v>
      </c>
      <c r="E222" s="5"/>
      <c r="F222" s="5"/>
      <c r="G222" s="5"/>
      <c r="H222" s="5"/>
      <c r="I222" s="5"/>
      <c r="J222" s="5"/>
      <c r="K222" s="5" t="s">
        <v>73</v>
      </c>
      <c r="L222" s="5"/>
      <c r="M222" s="5" t="s">
        <v>75</v>
      </c>
      <c r="N222" s="5"/>
      <c r="O222" s="147"/>
      <c r="P222" s="120" t="str">
        <f>IFERROR(VLOOKUP(Table1[RespondentID],'All Data'!$A$3:$CO$999,87,FALSE),"unknown")</f>
        <v>Man</v>
      </c>
      <c r="Q222" s="120">
        <f>IFERROR(VLOOKUP(Table1[RespondentID],'All Data'!$A$3:$CO$999,88,FALSE),"unknown")</f>
        <v>52</v>
      </c>
      <c r="R222" s="120" t="str">
        <f>IFERROR(VLOOKUP(Table1[RespondentID],'All Data'!$A$3:$CO$999,89,FALSE),"unknown")</f>
        <v>Suffolk</v>
      </c>
      <c r="S222" s="120" t="str">
        <f>IFERROR(VLOOKUP(Table1[RespondentID],'All Data'!$A$3:$CO$999,90,FALSE),"unknown")</f>
        <v>Commack, 11725</v>
      </c>
      <c r="T222" s="120" t="str">
        <f>IFERROR(VLOOKUP(Table1[RespondentID],'All Data'!$A$3:$CO$999,91,FALSE),"unknown")</f>
        <v>Native Hawaiian and Other Pacific Islander</v>
      </c>
      <c r="U222" s="120" t="str">
        <f>IFERROR(VLOOKUP(Table1[RespondentID],'All Data'!$A$3:$CO$999,92,FALSE),"unknown")</f>
        <v>Hispanic or Latino</v>
      </c>
      <c r="V222" s="120" t="str">
        <f>IFERROR(VLOOKUP(Table1[RespondentID],'All Data'!$A$3:$CO$999,93,FALSE),"unknown")</f>
        <v>English, Spanish</v>
      </c>
      <c r="W222" s="120" t="str">
        <f>IFERROR(VLOOKUP(Table1[RespondentID],'All Data'!$A$3:$CW$999,94,FALSE),"unknown")</f>
        <v>$35,000 to $49,999</v>
      </c>
      <c r="X222" s="120" t="str">
        <f>IFERROR(VLOOKUP(Table1[RespondentID],'All Data'!$A$3:$CW$999,95,FALSE),"unknown")</f>
        <v>Graduate school</v>
      </c>
      <c r="Y222" s="120" t="str">
        <f>IFERROR(VLOOKUP(Table1[RespondentID],'All Data'!$A$3:$CW$999,96,FALSE),"unknown")</f>
        <v>Employed for wages</v>
      </c>
      <c r="Z222" s="120" t="str">
        <f>IFERROR(VLOOKUP(Table1[RespondentID],'All Data'!$A$3:$CW$999,97,FALSE),"unknown")</f>
        <v>Yes</v>
      </c>
      <c r="AA222" s="120">
        <f>IFERROR(VLOOKUP(Table1[RespondentID],'All Data'!$A$3:$CW$999,98,FALSE),"unknown")</f>
        <v>0</v>
      </c>
      <c r="AB222" s="150">
        <f>IFERROR(VLOOKUP(Table1[RespondentID],'All Data'!$A$3:$CW$999,99,FALSE),"unknown")</f>
        <v>0</v>
      </c>
    </row>
    <row r="223" spans="1:28">
      <c r="A223" s="5">
        <v>18019103593</v>
      </c>
      <c r="B223" s="5"/>
      <c r="C223" s="5"/>
      <c r="D223" s="5" t="s">
        <v>66</v>
      </c>
      <c r="E223" s="5"/>
      <c r="F223" s="5" t="s">
        <v>68</v>
      </c>
      <c r="G223" s="5"/>
      <c r="H223" s="5"/>
      <c r="I223" s="5"/>
      <c r="J223" s="5"/>
      <c r="K223" s="5"/>
      <c r="L223" s="5" t="s">
        <v>74</v>
      </c>
      <c r="M223" s="5"/>
      <c r="N223" s="5"/>
      <c r="O223" s="147"/>
      <c r="P223" s="120" t="str">
        <f>IFERROR(VLOOKUP(Table1[RespondentID],'All Data'!$A$3:$CO$999,87,FALSE),"unknown")</f>
        <v>Woman</v>
      </c>
      <c r="Q223" s="120">
        <f>IFERROR(VLOOKUP(Table1[RespondentID],'All Data'!$A$3:$CO$999,88,FALSE),"unknown")</f>
        <v>85</v>
      </c>
      <c r="R223" s="120" t="str">
        <f>IFERROR(VLOOKUP(Table1[RespondentID],'All Data'!$A$3:$CO$999,89,FALSE),"unknown")</f>
        <v>Suffolk</v>
      </c>
      <c r="S223" s="120" t="str">
        <f>IFERROR(VLOOKUP(Table1[RespondentID],'All Data'!$A$3:$CO$999,90,FALSE),"unknown")</f>
        <v>Commack, 11725</v>
      </c>
      <c r="T223" s="120" t="str">
        <f>IFERROR(VLOOKUP(Table1[RespondentID],'All Data'!$A$3:$CO$999,91,FALSE),"unknown")</f>
        <v>Black or African American</v>
      </c>
      <c r="U223" s="120" t="str">
        <f>IFERROR(VLOOKUP(Table1[RespondentID],'All Data'!$A$3:$CO$999,92,FALSE),"unknown")</f>
        <v>Hispanic or Latino</v>
      </c>
      <c r="V223" s="120" t="str">
        <f>IFERROR(VLOOKUP(Table1[RespondentID],'All Data'!$A$3:$CO$999,93,FALSE),"unknown")</f>
        <v>English</v>
      </c>
      <c r="W223" s="120" t="str">
        <f>IFERROR(VLOOKUP(Table1[RespondentID],'All Data'!$A$3:$CW$999,94,FALSE),"unknown")</f>
        <v>$50,000 to $74,999</v>
      </c>
      <c r="X223" s="120" t="str">
        <f>IFERROR(VLOOKUP(Table1[RespondentID],'All Data'!$A$3:$CW$999,95,FALSE),"unknown")</f>
        <v>College graduate</v>
      </c>
      <c r="Y223" s="120" t="str">
        <f>IFERROR(VLOOKUP(Table1[RespondentID],'All Data'!$A$3:$CW$999,96,FALSE),"unknown")</f>
        <v>Retired</v>
      </c>
      <c r="Z223" s="120" t="str">
        <f>IFERROR(VLOOKUP(Table1[RespondentID],'All Data'!$A$3:$CW$999,97,FALSE),"unknown")</f>
        <v>Yes</v>
      </c>
      <c r="AA223" s="120">
        <f>IFERROR(VLOOKUP(Table1[RespondentID],'All Data'!$A$3:$CW$999,98,FALSE),"unknown")</f>
        <v>0</v>
      </c>
      <c r="AB223" s="150">
        <f>IFERROR(VLOOKUP(Table1[RespondentID],'All Data'!$A$3:$CW$999,99,FALSE),"unknown")</f>
        <v>0</v>
      </c>
    </row>
    <row r="224" spans="1:28">
      <c r="A224" s="5">
        <v>18019103458</v>
      </c>
      <c r="B224" s="5"/>
      <c r="C224" s="5"/>
      <c r="D224" s="5"/>
      <c r="E224" s="5"/>
      <c r="F224" s="5" t="s">
        <v>68</v>
      </c>
      <c r="G224" s="5" t="s">
        <v>69</v>
      </c>
      <c r="H224" s="5"/>
      <c r="I224" s="5"/>
      <c r="J224" s="5"/>
      <c r="K224" s="5"/>
      <c r="L224" s="5"/>
      <c r="M224" s="5"/>
      <c r="N224" s="5" t="s">
        <v>76</v>
      </c>
      <c r="O224" s="147"/>
      <c r="P224" s="120" t="str">
        <f>IFERROR(VLOOKUP(Table1[RespondentID],'All Data'!$A$3:$CO$999,87,FALSE),"unknown")</f>
        <v>Woman</v>
      </c>
      <c r="Q224" s="120">
        <f>IFERROR(VLOOKUP(Table1[RespondentID],'All Data'!$A$3:$CO$999,88,FALSE),"unknown")</f>
        <v>14</v>
      </c>
      <c r="R224" s="120" t="str">
        <f>IFERROR(VLOOKUP(Table1[RespondentID],'All Data'!$A$3:$CO$999,89,FALSE),"unknown")</f>
        <v>Suffolk</v>
      </c>
      <c r="S224" s="120" t="str">
        <f>IFERROR(VLOOKUP(Table1[RespondentID],'All Data'!$A$3:$CO$999,90,FALSE),"unknown")</f>
        <v>Smithtown, 11787</v>
      </c>
      <c r="T224" s="120" t="str">
        <f>IFERROR(VLOOKUP(Table1[RespondentID],'All Data'!$A$3:$CO$999,91,FALSE),"unknown")</f>
        <v>Native Hawaiian and Other Pacific Islander</v>
      </c>
      <c r="U224" s="120" t="str">
        <f>IFERROR(VLOOKUP(Table1[RespondentID],'All Data'!$A$3:$CO$999,92,FALSE),"unknown")</f>
        <v>Hispanic or Latino</v>
      </c>
      <c r="V224" s="120" t="str">
        <f>IFERROR(VLOOKUP(Table1[RespondentID],'All Data'!$A$3:$CO$999,93,FALSE),"unknown")</f>
        <v>English</v>
      </c>
      <c r="W224" s="120" t="str">
        <f>IFERROR(VLOOKUP(Table1[RespondentID],'All Data'!$A$3:$CW$999,94,FALSE),"unknown")</f>
        <v>$20,000 to $34,999</v>
      </c>
      <c r="X224" s="120" t="str">
        <f>IFERROR(VLOOKUP(Table1[RespondentID],'All Data'!$A$3:$CW$999,95,FALSE),"unknown")</f>
        <v>K-8 grade</v>
      </c>
      <c r="Y224" s="120" t="str">
        <f>IFERROR(VLOOKUP(Table1[RespondentID],'All Data'!$A$3:$CW$999,96,FALSE),"unknown")</f>
        <v>Student</v>
      </c>
      <c r="Z224" s="120" t="str">
        <f>IFERROR(VLOOKUP(Table1[RespondentID],'All Data'!$A$3:$CW$999,97,FALSE),"unknown")</f>
        <v>No</v>
      </c>
      <c r="AA224" s="120">
        <f>IFERROR(VLOOKUP(Table1[RespondentID],'All Data'!$A$3:$CW$999,98,FALSE),"unknown")</f>
        <v>0</v>
      </c>
      <c r="AB224" s="150">
        <f>IFERROR(VLOOKUP(Table1[RespondentID],'All Data'!$A$3:$CW$999,99,FALSE),"unknown")</f>
        <v>0</v>
      </c>
    </row>
    <row r="225" spans="1:28">
      <c r="A225" s="5">
        <v>18019103288</v>
      </c>
      <c r="B225" s="5"/>
      <c r="C225" s="5"/>
      <c r="D225" s="5"/>
      <c r="E225" s="5"/>
      <c r="F225" s="5"/>
      <c r="G225" s="5" t="s">
        <v>69</v>
      </c>
      <c r="H225" s="5"/>
      <c r="I225" s="5"/>
      <c r="J225" s="5"/>
      <c r="K225" s="5" t="s">
        <v>73</v>
      </c>
      <c r="L225" s="5"/>
      <c r="M225" s="5" t="s">
        <v>75</v>
      </c>
      <c r="N225" s="5"/>
      <c r="O225" s="147"/>
      <c r="P225" s="120" t="str">
        <f>IFERROR(VLOOKUP(Table1[RespondentID],'All Data'!$A$3:$CO$999,87,FALSE),"unknown")</f>
        <v>Man</v>
      </c>
      <c r="Q225" s="120">
        <f>IFERROR(VLOOKUP(Table1[RespondentID],'All Data'!$A$3:$CO$999,88,FALSE),"unknown")</f>
        <v>42</v>
      </c>
      <c r="R225" s="120" t="str">
        <f>IFERROR(VLOOKUP(Table1[RespondentID],'All Data'!$A$3:$CO$999,89,FALSE),"unknown")</f>
        <v>Suffolk</v>
      </c>
      <c r="S225" s="120" t="str">
        <f>IFERROR(VLOOKUP(Table1[RespondentID],'All Data'!$A$3:$CO$999,90,FALSE),"unknown")</f>
        <v>Smithtown, 11787</v>
      </c>
      <c r="T225" s="120" t="str">
        <f>IFERROR(VLOOKUP(Table1[RespondentID],'All Data'!$A$3:$CO$999,91,FALSE),"unknown")</f>
        <v>Asian</v>
      </c>
      <c r="U225" s="120" t="str">
        <f>IFERROR(VLOOKUP(Table1[RespondentID],'All Data'!$A$3:$CO$999,92,FALSE),"unknown")</f>
        <v>Not Hispanic or Latino</v>
      </c>
      <c r="V225" s="120" t="str">
        <f>IFERROR(VLOOKUP(Table1[RespondentID],'All Data'!$A$3:$CO$999,93,FALSE),"unknown")</f>
        <v>English, Spanish</v>
      </c>
      <c r="W225" s="120" t="str">
        <f>IFERROR(VLOOKUP(Table1[RespondentID],'All Data'!$A$3:$CW$999,94,FALSE),"unknown")</f>
        <v>$35,000 to $49,999</v>
      </c>
      <c r="X225" s="120" t="str">
        <f>IFERROR(VLOOKUP(Table1[RespondentID],'All Data'!$A$3:$CW$999,95,FALSE),"unknown")</f>
        <v>College graduate</v>
      </c>
      <c r="Y225" s="120" t="str">
        <f>IFERROR(VLOOKUP(Table1[RespondentID],'All Data'!$A$3:$CW$999,96,FALSE),"unknown")</f>
        <v>Employed for wages</v>
      </c>
      <c r="Z225" s="120" t="str">
        <f>IFERROR(VLOOKUP(Table1[RespondentID],'All Data'!$A$3:$CW$999,97,FALSE),"unknown")</f>
        <v>Yes</v>
      </c>
      <c r="AA225" s="120">
        <f>IFERROR(VLOOKUP(Table1[RespondentID],'All Data'!$A$3:$CW$999,98,FALSE),"unknown")</f>
        <v>0</v>
      </c>
      <c r="AB225" s="150">
        <f>IFERROR(VLOOKUP(Table1[RespondentID],'All Data'!$A$3:$CW$999,99,FALSE),"unknown")</f>
        <v>0</v>
      </c>
    </row>
    <row r="226" spans="1:28">
      <c r="A226" s="5">
        <v>18019103154</v>
      </c>
      <c r="B226" s="5"/>
      <c r="C226" s="5"/>
      <c r="D226" s="5"/>
      <c r="E226" s="5"/>
      <c r="F226" s="5" t="s">
        <v>68</v>
      </c>
      <c r="G226" s="5" t="s">
        <v>69</v>
      </c>
      <c r="H226" s="5"/>
      <c r="I226" s="5"/>
      <c r="J226" s="5"/>
      <c r="K226" s="5"/>
      <c r="L226" s="5"/>
      <c r="M226" s="5"/>
      <c r="N226" s="5" t="s">
        <v>76</v>
      </c>
      <c r="O226" s="147"/>
      <c r="P226" s="120" t="str">
        <f>IFERROR(VLOOKUP(Table1[RespondentID],'All Data'!$A$3:$CO$999,87,FALSE),"unknown")</f>
        <v>Woman</v>
      </c>
      <c r="Q226" s="120">
        <f>IFERROR(VLOOKUP(Table1[RespondentID],'All Data'!$A$3:$CO$999,88,FALSE),"unknown")</f>
        <v>48</v>
      </c>
      <c r="R226" s="120" t="str">
        <f>IFERROR(VLOOKUP(Table1[RespondentID],'All Data'!$A$3:$CO$999,89,FALSE),"unknown")</f>
        <v>Suffolk</v>
      </c>
      <c r="S226" s="120" t="str">
        <f>IFERROR(VLOOKUP(Table1[RespondentID],'All Data'!$A$3:$CO$999,90,FALSE),"unknown")</f>
        <v>Commack, 11725</v>
      </c>
      <c r="T226" s="120" t="str">
        <f>IFERROR(VLOOKUP(Table1[RespondentID],'All Data'!$A$3:$CO$999,91,FALSE),"unknown")</f>
        <v>White</v>
      </c>
      <c r="U226" s="120" t="str">
        <f>IFERROR(VLOOKUP(Table1[RespondentID],'All Data'!$A$3:$CO$999,92,FALSE),"unknown")</f>
        <v>Hispanic or Latino</v>
      </c>
      <c r="V226" s="120" t="str">
        <f>IFERROR(VLOOKUP(Table1[RespondentID],'All Data'!$A$3:$CO$999,93,FALSE),"unknown")</f>
        <v>English</v>
      </c>
      <c r="W226" s="120" t="str">
        <f>IFERROR(VLOOKUP(Table1[RespondentID],'All Data'!$A$3:$CW$999,94,FALSE),"unknown")</f>
        <v>$20,000 to $34,999</v>
      </c>
      <c r="X226" s="120" t="str">
        <f>IFERROR(VLOOKUP(Table1[RespondentID],'All Data'!$A$3:$CW$999,95,FALSE),"unknown")</f>
        <v>Graduate school</v>
      </c>
      <c r="Y226" s="120" t="str">
        <f>IFERROR(VLOOKUP(Table1[RespondentID],'All Data'!$A$3:$CW$999,96,FALSE),"unknown")</f>
        <v>Employed for wages</v>
      </c>
      <c r="Z226" s="120" t="str">
        <f>IFERROR(VLOOKUP(Table1[RespondentID],'All Data'!$A$3:$CW$999,97,FALSE),"unknown")</f>
        <v>Yes</v>
      </c>
      <c r="AA226" s="120">
        <f>IFERROR(VLOOKUP(Table1[RespondentID],'All Data'!$A$3:$CW$999,98,FALSE),"unknown")</f>
        <v>0</v>
      </c>
      <c r="AB226" s="150">
        <f>IFERROR(VLOOKUP(Table1[RespondentID],'All Data'!$A$3:$CW$999,99,FALSE),"unknown")</f>
        <v>0</v>
      </c>
    </row>
    <row r="227" spans="1:28">
      <c r="A227" s="5">
        <v>18019102990</v>
      </c>
      <c r="B227" s="5"/>
      <c r="C227" s="5"/>
      <c r="D227" s="5" t="s">
        <v>66</v>
      </c>
      <c r="E227" s="5" t="s">
        <v>67</v>
      </c>
      <c r="F227" s="5"/>
      <c r="G227" s="5"/>
      <c r="H227" s="5"/>
      <c r="I227" s="5"/>
      <c r="J227" s="5"/>
      <c r="K227" s="5" t="s">
        <v>73</v>
      </c>
      <c r="L227" s="5"/>
      <c r="M227" s="5"/>
      <c r="N227" s="5"/>
      <c r="O227" s="147"/>
      <c r="P227" s="120" t="str">
        <f>IFERROR(VLOOKUP(Table1[RespondentID],'All Data'!$A$3:$CO$999,87,FALSE),"unknown")</f>
        <v>Man</v>
      </c>
      <c r="Q227" s="120">
        <f>IFERROR(VLOOKUP(Table1[RespondentID],'All Data'!$A$3:$CO$999,88,FALSE),"unknown")</f>
        <v>24</v>
      </c>
      <c r="R227" s="120" t="str">
        <f>IFERROR(VLOOKUP(Table1[RespondentID],'All Data'!$A$3:$CO$999,89,FALSE),"unknown")</f>
        <v>Suffolk</v>
      </c>
      <c r="S227" s="120" t="str">
        <f>IFERROR(VLOOKUP(Table1[RespondentID],'All Data'!$A$3:$CO$999,90,FALSE),"unknown")</f>
        <v>Commack, 11725</v>
      </c>
      <c r="T227" s="120" t="str">
        <f>IFERROR(VLOOKUP(Table1[RespondentID],'All Data'!$A$3:$CO$999,91,FALSE),"unknown")</f>
        <v>Black or African American</v>
      </c>
      <c r="U227" s="120" t="str">
        <f>IFERROR(VLOOKUP(Table1[RespondentID],'All Data'!$A$3:$CO$999,92,FALSE),"unknown")</f>
        <v>Hispanic or Latino</v>
      </c>
      <c r="V227" s="120" t="str">
        <f>IFERROR(VLOOKUP(Table1[RespondentID],'All Data'!$A$3:$CO$999,93,FALSE),"unknown")</f>
        <v>Polish</v>
      </c>
      <c r="W227" s="120" t="str">
        <f>IFERROR(VLOOKUP(Table1[RespondentID],'All Data'!$A$3:$CW$999,94,FALSE),"unknown")</f>
        <v>$35,000 to $49,999</v>
      </c>
      <c r="X227" s="120" t="str">
        <f>IFERROR(VLOOKUP(Table1[RespondentID],'All Data'!$A$3:$CW$999,95,FALSE),"unknown")</f>
        <v>Some college</v>
      </c>
      <c r="Y227" s="120" t="str">
        <f>IFERROR(VLOOKUP(Table1[RespondentID],'All Data'!$A$3:$CW$999,96,FALSE),"unknown")</f>
        <v>Employed for wages</v>
      </c>
      <c r="Z227" s="120" t="str">
        <f>IFERROR(VLOOKUP(Table1[RespondentID],'All Data'!$A$3:$CW$999,97,FALSE),"unknown")</f>
        <v>Yes</v>
      </c>
      <c r="AA227" s="120">
        <f>IFERROR(VLOOKUP(Table1[RespondentID],'All Data'!$A$3:$CW$999,98,FALSE),"unknown")</f>
        <v>0</v>
      </c>
      <c r="AB227" s="150">
        <f>IFERROR(VLOOKUP(Table1[RespondentID],'All Data'!$A$3:$CW$999,99,FALSE),"unknown")</f>
        <v>0</v>
      </c>
    </row>
    <row r="228" spans="1:28">
      <c r="A228" s="5">
        <v>18019102832</v>
      </c>
      <c r="B228" s="5"/>
      <c r="C228" s="5"/>
      <c r="D228" s="5" t="s">
        <v>66</v>
      </c>
      <c r="E228" s="5"/>
      <c r="F228" s="5"/>
      <c r="G228" s="5" t="s">
        <v>69</v>
      </c>
      <c r="H228" s="5"/>
      <c r="I228" s="5"/>
      <c r="J228" s="5"/>
      <c r="K228" s="5"/>
      <c r="L228" s="5" t="s">
        <v>74</v>
      </c>
      <c r="M228" s="5"/>
      <c r="N228" s="5"/>
      <c r="O228" s="147"/>
      <c r="P228" s="120" t="str">
        <f>IFERROR(VLOOKUP(Table1[RespondentID],'All Data'!$A$3:$CO$999,87,FALSE),"unknown")</f>
        <v>Man</v>
      </c>
      <c r="Q228" s="120">
        <f>IFERROR(VLOOKUP(Table1[RespondentID],'All Data'!$A$3:$CO$999,88,FALSE),"unknown")</f>
        <v>19</v>
      </c>
      <c r="R228" s="120" t="str">
        <f>IFERROR(VLOOKUP(Table1[RespondentID],'All Data'!$A$3:$CO$999,89,FALSE),"unknown")</f>
        <v>Suffolk</v>
      </c>
      <c r="S228" s="120" t="str">
        <f>IFERROR(VLOOKUP(Table1[RespondentID],'All Data'!$A$3:$CO$999,90,FALSE),"unknown")</f>
        <v>Commack, 11725</v>
      </c>
      <c r="T228" s="120" t="str">
        <f>IFERROR(VLOOKUP(Table1[RespondentID],'All Data'!$A$3:$CO$999,91,FALSE),"unknown")</f>
        <v>American Indian and Alaska Native</v>
      </c>
      <c r="U228" s="120" t="str">
        <f>IFERROR(VLOOKUP(Table1[RespondentID],'All Data'!$A$3:$CO$999,92,FALSE),"unknown")</f>
        <v>Hispanic or Latino</v>
      </c>
      <c r="V228" s="120" t="str">
        <f>IFERROR(VLOOKUP(Table1[RespondentID],'All Data'!$A$3:$CO$999,93,FALSE),"unknown")</f>
        <v>English, Chinese</v>
      </c>
      <c r="W228" s="120" t="str">
        <f>IFERROR(VLOOKUP(Table1[RespondentID],'All Data'!$A$3:$CW$999,94,FALSE),"unknown")</f>
        <v>$20,000 to $34,999</v>
      </c>
      <c r="X228" s="120" t="str">
        <f>IFERROR(VLOOKUP(Table1[RespondentID],'All Data'!$A$3:$CW$999,95,FALSE),"unknown")</f>
        <v>High school graduate</v>
      </c>
      <c r="Y228" s="120" t="str">
        <f>IFERROR(VLOOKUP(Table1[RespondentID],'All Data'!$A$3:$CW$999,96,FALSE),"unknown")</f>
        <v>Student</v>
      </c>
      <c r="Z228" s="120" t="str">
        <f>IFERROR(VLOOKUP(Table1[RespondentID],'All Data'!$A$3:$CW$999,97,FALSE),"unknown")</f>
        <v>Yes</v>
      </c>
      <c r="AA228" s="120">
        <f>IFERROR(VLOOKUP(Table1[RespondentID],'All Data'!$A$3:$CW$999,98,FALSE),"unknown")</f>
        <v>0</v>
      </c>
      <c r="AB228" s="150">
        <f>IFERROR(VLOOKUP(Table1[RespondentID],'All Data'!$A$3:$CW$999,99,FALSE),"unknown")</f>
        <v>0</v>
      </c>
    </row>
    <row r="229" spans="1:28">
      <c r="A229" s="5">
        <v>18019102674</v>
      </c>
      <c r="B229" s="5"/>
      <c r="C229" s="5" t="s">
        <v>65</v>
      </c>
      <c r="D229" s="5"/>
      <c r="E229" s="5"/>
      <c r="F229" s="5"/>
      <c r="G229" s="5" t="s">
        <v>69</v>
      </c>
      <c r="H229" s="5"/>
      <c r="I229" s="5" t="s">
        <v>71</v>
      </c>
      <c r="J229" s="5"/>
      <c r="K229" s="5"/>
      <c r="L229" s="5"/>
      <c r="M229" s="5"/>
      <c r="N229" s="5"/>
      <c r="O229" s="147"/>
      <c r="P229" s="120" t="str">
        <f>IFERROR(VLOOKUP(Table1[RespondentID],'All Data'!$A$3:$CO$999,87,FALSE),"unknown")</f>
        <v>Woman</v>
      </c>
      <c r="Q229" s="120">
        <f>IFERROR(VLOOKUP(Table1[RespondentID],'All Data'!$A$3:$CO$999,88,FALSE),"unknown")</f>
        <v>72</v>
      </c>
      <c r="R229" s="120" t="str">
        <f>IFERROR(VLOOKUP(Table1[RespondentID],'All Data'!$A$3:$CO$999,89,FALSE),"unknown")</f>
        <v>Suffolk</v>
      </c>
      <c r="S229" s="120" t="str">
        <f>IFERROR(VLOOKUP(Table1[RespondentID],'All Data'!$A$3:$CO$999,90,FALSE),"unknown")</f>
        <v>Commack, 11725</v>
      </c>
      <c r="T229" s="120" t="str">
        <f>IFERROR(VLOOKUP(Table1[RespondentID],'All Data'!$A$3:$CO$999,91,FALSE),"unknown")</f>
        <v>White</v>
      </c>
      <c r="U229" s="120" t="str">
        <f>IFERROR(VLOOKUP(Table1[RespondentID],'All Data'!$A$3:$CO$999,92,FALSE),"unknown")</f>
        <v>Hispanic or Latino</v>
      </c>
      <c r="V229" s="120" t="str">
        <f>IFERROR(VLOOKUP(Table1[RespondentID],'All Data'!$A$3:$CO$999,93,FALSE),"unknown")</f>
        <v>English</v>
      </c>
      <c r="W229" s="120" t="str">
        <f>IFERROR(VLOOKUP(Table1[RespondentID],'All Data'!$A$3:$CW$999,94,FALSE),"unknown")</f>
        <v>$75,000 to $125,000</v>
      </c>
      <c r="X229" s="120" t="str">
        <f>IFERROR(VLOOKUP(Table1[RespondentID],'All Data'!$A$3:$CW$999,95,FALSE),"unknown")</f>
        <v>College graduate</v>
      </c>
      <c r="Y229" s="120" t="str">
        <f>IFERROR(VLOOKUP(Table1[RespondentID],'All Data'!$A$3:$CW$999,96,FALSE),"unknown")</f>
        <v>Retired</v>
      </c>
      <c r="Z229" s="120" t="str">
        <f>IFERROR(VLOOKUP(Table1[RespondentID],'All Data'!$A$3:$CW$999,97,FALSE),"unknown")</f>
        <v>Yes</v>
      </c>
      <c r="AA229" s="120">
        <f>IFERROR(VLOOKUP(Table1[RespondentID],'All Data'!$A$3:$CW$999,98,FALSE),"unknown")</f>
        <v>0</v>
      </c>
      <c r="AB229" s="150">
        <f>IFERROR(VLOOKUP(Table1[RespondentID],'All Data'!$A$3:$CW$999,99,FALSE),"unknown")</f>
        <v>0</v>
      </c>
    </row>
    <row r="230" spans="1:28">
      <c r="A230" s="5">
        <v>18019102453</v>
      </c>
      <c r="B230" s="5"/>
      <c r="C230" s="5"/>
      <c r="D230" s="5"/>
      <c r="E230" s="5"/>
      <c r="F230" s="5"/>
      <c r="G230" s="5" t="s">
        <v>69</v>
      </c>
      <c r="H230" s="5"/>
      <c r="I230" s="5"/>
      <c r="J230" s="5"/>
      <c r="K230" s="5" t="s">
        <v>73</v>
      </c>
      <c r="L230" s="5"/>
      <c r="M230" s="5" t="s">
        <v>75</v>
      </c>
      <c r="N230" s="5"/>
      <c r="O230" s="147"/>
      <c r="P230" s="120" t="str">
        <f>IFERROR(VLOOKUP(Table1[RespondentID],'All Data'!$A$3:$CO$999,87,FALSE),"unknown")</f>
        <v>Woman</v>
      </c>
      <c r="Q230" s="120">
        <f>IFERROR(VLOOKUP(Table1[RespondentID],'All Data'!$A$3:$CO$999,88,FALSE),"unknown")</f>
        <v>17</v>
      </c>
      <c r="R230" s="120" t="str">
        <f>IFERROR(VLOOKUP(Table1[RespondentID],'All Data'!$A$3:$CO$999,89,FALSE),"unknown")</f>
        <v>Suffolk</v>
      </c>
      <c r="S230" s="120" t="str">
        <f>IFERROR(VLOOKUP(Table1[RespondentID],'All Data'!$A$3:$CO$999,90,FALSE),"unknown")</f>
        <v>Commack, 11725</v>
      </c>
      <c r="T230" s="120" t="str">
        <f>IFERROR(VLOOKUP(Table1[RespondentID],'All Data'!$A$3:$CO$999,91,FALSE),"unknown")</f>
        <v>White</v>
      </c>
      <c r="U230" s="120" t="str">
        <f>IFERROR(VLOOKUP(Table1[RespondentID],'All Data'!$A$3:$CO$999,92,FALSE),"unknown")</f>
        <v>Hispanic or Latino</v>
      </c>
      <c r="V230" s="120" t="str">
        <f>IFERROR(VLOOKUP(Table1[RespondentID],'All Data'!$A$3:$CO$999,93,FALSE),"unknown")</f>
        <v>English, Italian</v>
      </c>
      <c r="W230" s="120" t="str">
        <f>IFERROR(VLOOKUP(Table1[RespondentID],'All Data'!$A$3:$CW$999,94,FALSE),"unknown")</f>
        <v>$75,000 to $125,000</v>
      </c>
      <c r="X230" s="120" t="str">
        <f>IFERROR(VLOOKUP(Table1[RespondentID],'All Data'!$A$3:$CW$999,95,FALSE),"unknown")</f>
        <v>Some high school</v>
      </c>
      <c r="Y230" s="120" t="str">
        <f>IFERROR(VLOOKUP(Table1[RespondentID],'All Data'!$A$3:$CW$999,96,FALSE),"unknown")</f>
        <v>Student</v>
      </c>
      <c r="Z230" s="120" t="str">
        <f>IFERROR(VLOOKUP(Table1[RespondentID],'All Data'!$A$3:$CW$999,97,FALSE),"unknown")</f>
        <v>Yes</v>
      </c>
      <c r="AA230" s="120">
        <f>IFERROR(VLOOKUP(Table1[RespondentID],'All Data'!$A$3:$CW$999,98,FALSE),"unknown")</f>
        <v>0</v>
      </c>
      <c r="AB230" s="150">
        <f>IFERROR(VLOOKUP(Table1[RespondentID],'All Data'!$A$3:$CW$999,99,FALSE),"unknown")</f>
        <v>0</v>
      </c>
    </row>
    <row r="231" spans="1:28">
      <c r="A231" s="5">
        <v>18019102258</v>
      </c>
      <c r="B231" s="5"/>
      <c r="C231" s="5"/>
      <c r="D231" s="5"/>
      <c r="E231" s="5"/>
      <c r="F231" s="5"/>
      <c r="G231" s="5"/>
      <c r="H231" s="5"/>
      <c r="I231" s="5"/>
      <c r="J231" s="5"/>
      <c r="K231" s="5" t="s">
        <v>73</v>
      </c>
      <c r="L231" s="5" t="s">
        <v>74</v>
      </c>
      <c r="M231" s="5" t="s">
        <v>75</v>
      </c>
      <c r="N231" s="5"/>
      <c r="O231" s="147"/>
      <c r="P231" s="120" t="str">
        <f>IFERROR(VLOOKUP(Table1[RespondentID],'All Data'!$A$3:$CO$999,87,FALSE),"unknown")</f>
        <v>Woman</v>
      </c>
      <c r="Q231" s="120">
        <f>IFERROR(VLOOKUP(Table1[RespondentID],'All Data'!$A$3:$CO$999,88,FALSE),"unknown")</f>
        <v>84</v>
      </c>
      <c r="R231" s="120" t="str">
        <f>IFERROR(VLOOKUP(Table1[RespondentID],'All Data'!$A$3:$CO$999,89,FALSE),"unknown")</f>
        <v>Suffolk</v>
      </c>
      <c r="S231" s="120" t="str">
        <f>IFERROR(VLOOKUP(Table1[RespondentID],'All Data'!$A$3:$CO$999,90,FALSE),"unknown")</f>
        <v>Smithtown, 11787</v>
      </c>
      <c r="T231" s="120" t="str">
        <f>IFERROR(VLOOKUP(Table1[RespondentID],'All Data'!$A$3:$CO$999,91,FALSE),"unknown")</f>
        <v>Asian</v>
      </c>
      <c r="U231" s="120" t="str">
        <f>IFERROR(VLOOKUP(Table1[RespondentID],'All Data'!$A$3:$CO$999,92,FALSE),"unknown")</f>
        <v>Not Hispanic or Latino</v>
      </c>
      <c r="V231" s="120" t="str">
        <f>IFERROR(VLOOKUP(Table1[RespondentID],'All Data'!$A$3:$CO$999,93,FALSE),"unknown")</f>
        <v>English, Spanish</v>
      </c>
      <c r="W231" s="120" t="str">
        <f>IFERROR(VLOOKUP(Table1[RespondentID],'All Data'!$A$3:$CW$999,94,FALSE),"unknown")</f>
        <v>$75,000 to $125,000</v>
      </c>
      <c r="X231" s="120" t="str">
        <f>IFERROR(VLOOKUP(Table1[RespondentID],'All Data'!$A$3:$CW$999,95,FALSE),"unknown")</f>
        <v>College graduate</v>
      </c>
      <c r="Y231" s="120" t="str">
        <f>IFERROR(VLOOKUP(Table1[RespondentID],'All Data'!$A$3:$CW$999,96,FALSE),"unknown")</f>
        <v>Retired</v>
      </c>
      <c r="Z231" s="120" t="str">
        <f>IFERROR(VLOOKUP(Table1[RespondentID],'All Data'!$A$3:$CW$999,97,FALSE),"unknown")</f>
        <v>Yes</v>
      </c>
      <c r="AA231" s="120">
        <f>IFERROR(VLOOKUP(Table1[RespondentID],'All Data'!$A$3:$CW$999,98,FALSE),"unknown")</f>
        <v>0</v>
      </c>
      <c r="AB231" s="150">
        <f>IFERROR(VLOOKUP(Table1[RespondentID],'All Data'!$A$3:$CW$999,99,FALSE),"unknown")</f>
        <v>0</v>
      </c>
    </row>
    <row r="232" spans="1:28">
      <c r="A232" s="5">
        <v>18019102072</v>
      </c>
      <c r="B232" s="5"/>
      <c r="C232" s="5"/>
      <c r="D232" s="5" t="s">
        <v>66</v>
      </c>
      <c r="E232" s="5"/>
      <c r="F232" s="5"/>
      <c r="G232" s="5" t="s">
        <v>69</v>
      </c>
      <c r="H232" s="5"/>
      <c r="I232" s="5"/>
      <c r="J232" s="5"/>
      <c r="K232" s="5"/>
      <c r="L232" s="5"/>
      <c r="M232" s="5" t="s">
        <v>75</v>
      </c>
      <c r="N232" s="5"/>
      <c r="O232" s="147"/>
      <c r="P232" s="120" t="str">
        <f>IFERROR(VLOOKUP(Table1[RespondentID],'All Data'!$A$3:$CO$999,87,FALSE),"unknown")</f>
        <v>Man</v>
      </c>
      <c r="Q232" s="120">
        <f>IFERROR(VLOOKUP(Table1[RespondentID],'All Data'!$A$3:$CO$999,88,FALSE),"unknown")</f>
        <v>92</v>
      </c>
      <c r="R232" s="120" t="str">
        <f>IFERROR(VLOOKUP(Table1[RespondentID],'All Data'!$A$3:$CO$999,89,FALSE),"unknown")</f>
        <v>Suffolk</v>
      </c>
      <c r="S232" s="120" t="str">
        <f>IFERROR(VLOOKUP(Table1[RespondentID],'All Data'!$A$3:$CO$999,90,FALSE),"unknown")</f>
        <v>Commack, 11725</v>
      </c>
      <c r="T232" s="120" t="str">
        <f>IFERROR(VLOOKUP(Table1[RespondentID],'All Data'!$A$3:$CO$999,91,FALSE),"unknown")</f>
        <v>Asian</v>
      </c>
      <c r="U232" s="120" t="str">
        <f>IFERROR(VLOOKUP(Table1[RespondentID],'All Data'!$A$3:$CO$999,92,FALSE),"unknown")</f>
        <v>Not Hispanic or Latino</v>
      </c>
      <c r="V232" s="120" t="str">
        <f>IFERROR(VLOOKUP(Table1[RespondentID],'All Data'!$A$3:$CO$999,93,FALSE),"unknown")</f>
        <v>English, Spanish, Italian</v>
      </c>
      <c r="W232" s="120" t="str">
        <f>IFERROR(VLOOKUP(Table1[RespondentID],'All Data'!$A$3:$CW$999,94,FALSE),"unknown")</f>
        <v>$35,000 to $49,999</v>
      </c>
      <c r="X232" s="120" t="str">
        <f>IFERROR(VLOOKUP(Table1[RespondentID],'All Data'!$A$3:$CW$999,95,FALSE),"unknown")</f>
        <v>Graduate school</v>
      </c>
      <c r="Y232" s="120" t="str">
        <f>IFERROR(VLOOKUP(Table1[RespondentID],'All Data'!$A$3:$CW$999,96,FALSE),"unknown")</f>
        <v>Retired</v>
      </c>
      <c r="Z232" s="120" t="str">
        <f>IFERROR(VLOOKUP(Table1[RespondentID],'All Data'!$A$3:$CW$999,97,FALSE),"unknown")</f>
        <v>Yes</v>
      </c>
      <c r="AA232" s="120">
        <f>IFERROR(VLOOKUP(Table1[RespondentID],'All Data'!$A$3:$CW$999,98,FALSE),"unknown")</f>
        <v>0</v>
      </c>
      <c r="AB232" s="150">
        <f>IFERROR(VLOOKUP(Table1[RespondentID],'All Data'!$A$3:$CW$999,99,FALSE),"unknown")</f>
        <v>0</v>
      </c>
    </row>
    <row r="233" spans="1:28">
      <c r="A233" s="5">
        <v>18019101896</v>
      </c>
      <c r="B233" s="5"/>
      <c r="C233" s="5" t="s">
        <v>65</v>
      </c>
      <c r="D233" s="5"/>
      <c r="E233" s="5"/>
      <c r="F233" s="5"/>
      <c r="G233" s="5"/>
      <c r="H233" s="5"/>
      <c r="I233" s="5" t="s">
        <v>71</v>
      </c>
      <c r="J233" s="5"/>
      <c r="K233" s="5" t="s">
        <v>73</v>
      </c>
      <c r="L233" s="5"/>
      <c r="M233" s="5"/>
      <c r="N233" s="5"/>
      <c r="O233" s="147"/>
      <c r="P233" s="120" t="str">
        <f>IFERROR(VLOOKUP(Table1[RespondentID],'All Data'!$A$3:$CO$999,87,FALSE),"unknown")</f>
        <v>Man</v>
      </c>
      <c r="Q233" s="120">
        <f>IFERROR(VLOOKUP(Table1[RespondentID],'All Data'!$A$3:$CO$999,88,FALSE),"unknown")</f>
        <v>63</v>
      </c>
      <c r="R233" s="120" t="str">
        <f>IFERROR(VLOOKUP(Table1[RespondentID],'All Data'!$A$3:$CO$999,89,FALSE),"unknown")</f>
        <v>Suffolk</v>
      </c>
      <c r="S233" s="120" t="str">
        <f>IFERROR(VLOOKUP(Table1[RespondentID],'All Data'!$A$3:$CO$999,90,FALSE),"unknown")</f>
        <v>Smithtown, 11787</v>
      </c>
      <c r="T233" s="120" t="str">
        <f>IFERROR(VLOOKUP(Table1[RespondentID],'All Data'!$A$3:$CO$999,91,FALSE),"unknown")</f>
        <v>Native Hawaiian and Other Pacific Islander</v>
      </c>
      <c r="U233" s="120" t="str">
        <f>IFERROR(VLOOKUP(Table1[RespondentID],'All Data'!$A$3:$CO$999,92,FALSE),"unknown")</f>
        <v>Hispanic or Latino</v>
      </c>
      <c r="V233" s="120" t="str">
        <f>IFERROR(VLOOKUP(Table1[RespondentID],'All Data'!$A$3:$CO$999,93,FALSE),"unknown")</f>
        <v>English</v>
      </c>
      <c r="W233" s="120" t="str">
        <f>IFERROR(VLOOKUP(Table1[RespondentID],'All Data'!$A$3:$CW$999,94,FALSE),"unknown")</f>
        <v>$75,000 to $125,000</v>
      </c>
      <c r="X233" s="120" t="str">
        <f>IFERROR(VLOOKUP(Table1[RespondentID],'All Data'!$A$3:$CW$999,95,FALSE),"unknown")</f>
        <v>College graduate</v>
      </c>
      <c r="Y233" s="120" t="str">
        <f>IFERROR(VLOOKUP(Table1[RespondentID],'All Data'!$A$3:$CW$999,96,FALSE),"unknown")</f>
        <v>Employed for wages</v>
      </c>
      <c r="Z233" s="120" t="str">
        <f>IFERROR(VLOOKUP(Table1[RespondentID],'All Data'!$A$3:$CW$999,97,FALSE),"unknown")</f>
        <v>Yes</v>
      </c>
      <c r="AA233" s="120">
        <f>IFERROR(VLOOKUP(Table1[RespondentID],'All Data'!$A$3:$CW$999,98,FALSE),"unknown")</f>
        <v>0</v>
      </c>
      <c r="AB233" s="150">
        <f>IFERROR(VLOOKUP(Table1[RespondentID],'All Data'!$A$3:$CW$999,99,FALSE),"unknown")</f>
        <v>0</v>
      </c>
    </row>
    <row r="234" spans="1:28">
      <c r="A234" s="5">
        <v>18019101753</v>
      </c>
      <c r="B234" s="5"/>
      <c r="C234" s="5"/>
      <c r="D234" s="5"/>
      <c r="E234" s="5" t="s">
        <v>67</v>
      </c>
      <c r="F234" s="5"/>
      <c r="G234" s="5"/>
      <c r="H234" s="5"/>
      <c r="I234" s="5" t="s">
        <v>71</v>
      </c>
      <c r="J234" s="5"/>
      <c r="K234" s="5"/>
      <c r="L234" s="5" t="s">
        <v>74</v>
      </c>
      <c r="M234" s="5"/>
      <c r="N234" s="5"/>
      <c r="O234" s="147"/>
      <c r="P234" s="120" t="str">
        <f>IFERROR(VLOOKUP(Table1[RespondentID],'All Data'!$A$3:$CO$999,87,FALSE),"unknown")</f>
        <v>Woman</v>
      </c>
      <c r="Q234" s="120">
        <f>IFERROR(VLOOKUP(Table1[RespondentID],'All Data'!$A$3:$CO$999,88,FALSE),"unknown")</f>
        <v>22</v>
      </c>
      <c r="R234" s="120" t="str">
        <f>IFERROR(VLOOKUP(Table1[RespondentID],'All Data'!$A$3:$CO$999,89,FALSE),"unknown")</f>
        <v>Suffolk</v>
      </c>
      <c r="S234" s="120" t="str">
        <f>IFERROR(VLOOKUP(Table1[RespondentID],'All Data'!$A$3:$CO$999,90,FALSE),"unknown")</f>
        <v>Commack, 11725</v>
      </c>
      <c r="T234" s="120" t="str">
        <f>IFERROR(VLOOKUP(Table1[RespondentID],'All Data'!$A$3:$CO$999,91,FALSE),"unknown")</f>
        <v>Asian</v>
      </c>
      <c r="U234" s="120" t="str">
        <f>IFERROR(VLOOKUP(Table1[RespondentID],'All Data'!$A$3:$CO$999,92,FALSE),"unknown")</f>
        <v>Not Hispanic or Latino</v>
      </c>
      <c r="V234" s="120" t="str">
        <f>IFERROR(VLOOKUP(Table1[RespondentID],'All Data'!$A$3:$CO$999,93,FALSE),"unknown")</f>
        <v>English, Spanish, Polish</v>
      </c>
      <c r="W234" s="120">
        <f>IFERROR(VLOOKUP(Table1[RespondentID],'All Data'!$A$3:$CW$999,94,FALSE),"unknown")</f>
        <v>0</v>
      </c>
      <c r="X234" s="120" t="str">
        <f>IFERROR(VLOOKUP(Table1[RespondentID],'All Data'!$A$3:$CW$999,95,FALSE),"unknown")</f>
        <v>Some college</v>
      </c>
      <c r="Y234" s="120" t="str">
        <f>IFERROR(VLOOKUP(Table1[RespondentID],'All Data'!$A$3:$CW$999,96,FALSE),"unknown")</f>
        <v>Student</v>
      </c>
      <c r="Z234" s="120" t="str">
        <f>IFERROR(VLOOKUP(Table1[RespondentID],'All Data'!$A$3:$CW$999,97,FALSE),"unknown")</f>
        <v>Yes</v>
      </c>
      <c r="AA234" s="120">
        <f>IFERROR(VLOOKUP(Table1[RespondentID],'All Data'!$A$3:$CW$999,98,FALSE),"unknown")</f>
        <v>0</v>
      </c>
      <c r="AB234" s="150">
        <f>IFERROR(VLOOKUP(Table1[RespondentID],'All Data'!$A$3:$CW$999,99,FALSE),"unknown")</f>
        <v>0</v>
      </c>
    </row>
    <row r="235" spans="1:28">
      <c r="A235" s="5">
        <v>18019101576</v>
      </c>
      <c r="B235" s="5"/>
      <c r="C235" s="5"/>
      <c r="D235" s="5" t="s">
        <v>66</v>
      </c>
      <c r="E235" s="5"/>
      <c r="F235" s="5"/>
      <c r="G235" s="5" t="s">
        <v>69</v>
      </c>
      <c r="H235" s="5"/>
      <c r="I235" s="5"/>
      <c r="J235" s="5"/>
      <c r="K235" s="5"/>
      <c r="L235" s="5"/>
      <c r="M235" s="5"/>
      <c r="N235" s="5" t="s">
        <v>76</v>
      </c>
      <c r="O235" s="147"/>
      <c r="P235" s="120">
        <f>IFERROR(VLOOKUP(Table1[RespondentID],'All Data'!$A$3:$CO$999,87,FALSE),"unknown")</f>
        <v>0</v>
      </c>
      <c r="Q235" s="120">
        <f>IFERROR(VLOOKUP(Table1[RespondentID],'All Data'!$A$3:$CO$999,88,FALSE),"unknown")</f>
        <v>0</v>
      </c>
      <c r="R235" s="120">
        <f>IFERROR(VLOOKUP(Table1[RespondentID],'All Data'!$A$3:$CO$999,89,FALSE),"unknown")</f>
        <v>0</v>
      </c>
      <c r="S235" s="120">
        <f>IFERROR(VLOOKUP(Table1[RespondentID],'All Data'!$A$3:$CO$999,90,FALSE),"unknown")</f>
        <v>0</v>
      </c>
      <c r="T235" s="120">
        <f>IFERROR(VLOOKUP(Table1[RespondentID],'All Data'!$A$3:$CO$999,91,FALSE),"unknown")</f>
        <v>0</v>
      </c>
      <c r="U235" s="120">
        <f>IFERROR(VLOOKUP(Table1[RespondentID],'All Data'!$A$3:$CO$999,92,FALSE),"unknown")</f>
        <v>0</v>
      </c>
      <c r="V235" s="120">
        <f>IFERROR(VLOOKUP(Table1[RespondentID],'All Data'!$A$3:$CO$999,93,FALSE),"unknown")</f>
        <v>0</v>
      </c>
      <c r="W235" s="120">
        <f>IFERROR(VLOOKUP(Table1[RespondentID],'All Data'!$A$3:$CW$999,94,FALSE),"unknown")</f>
        <v>0</v>
      </c>
      <c r="X235" s="120">
        <f>IFERROR(VLOOKUP(Table1[RespondentID],'All Data'!$A$3:$CW$999,95,FALSE),"unknown")</f>
        <v>0</v>
      </c>
      <c r="Y235" s="120">
        <f>IFERROR(VLOOKUP(Table1[RespondentID],'All Data'!$A$3:$CW$999,96,FALSE),"unknown")</f>
        <v>0</v>
      </c>
      <c r="Z235" s="120">
        <f>IFERROR(VLOOKUP(Table1[RespondentID],'All Data'!$A$3:$CW$999,97,FALSE),"unknown")</f>
        <v>0</v>
      </c>
      <c r="AA235" s="120">
        <f>IFERROR(VLOOKUP(Table1[RespondentID],'All Data'!$A$3:$CW$999,98,FALSE),"unknown")</f>
        <v>0</v>
      </c>
      <c r="AB235" s="150">
        <f>IFERROR(VLOOKUP(Table1[RespondentID],'All Data'!$A$3:$CW$999,99,FALSE),"unknown")</f>
        <v>0</v>
      </c>
    </row>
    <row r="236" spans="1:28">
      <c r="A236" s="5">
        <v>18019101345</v>
      </c>
      <c r="B236" s="5" t="s">
        <v>64</v>
      </c>
      <c r="C236" s="5"/>
      <c r="D236" s="5"/>
      <c r="E236" s="5" t="s">
        <v>67</v>
      </c>
      <c r="F236" s="5"/>
      <c r="G236" s="5"/>
      <c r="H236" s="5"/>
      <c r="I236" s="5"/>
      <c r="J236" s="5"/>
      <c r="K236" s="5"/>
      <c r="L236" s="5"/>
      <c r="M236" s="5" t="s">
        <v>75</v>
      </c>
      <c r="N236" s="5"/>
      <c r="O236" s="147"/>
      <c r="P236" s="120" t="str">
        <f>IFERROR(VLOOKUP(Table1[RespondentID],'All Data'!$A$3:$CO$999,87,FALSE),"unknown")</f>
        <v>Man</v>
      </c>
      <c r="Q236" s="120">
        <f>IFERROR(VLOOKUP(Table1[RespondentID],'All Data'!$A$3:$CO$999,88,FALSE),"unknown")</f>
        <v>82</v>
      </c>
      <c r="R236" s="120" t="str">
        <f>IFERROR(VLOOKUP(Table1[RespondentID],'All Data'!$A$3:$CO$999,89,FALSE),"unknown")</f>
        <v>Suffolk</v>
      </c>
      <c r="S236" s="120" t="str">
        <f>IFERROR(VLOOKUP(Table1[RespondentID],'All Data'!$A$3:$CO$999,90,FALSE),"unknown")</f>
        <v>Smithtown, 11787</v>
      </c>
      <c r="T236" s="120" t="str">
        <f>IFERROR(VLOOKUP(Table1[RespondentID],'All Data'!$A$3:$CO$999,91,FALSE),"unknown")</f>
        <v>Black or African American</v>
      </c>
      <c r="U236" s="120" t="str">
        <f>IFERROR(VLOOKUP(Table1[RespondentID],'All Data'!$A$3:$CO$999,92,FALSE),"unknown")</f>
        <v>Hispanic or Latino</v>
      </c>
      <c r="V236" s="120" t="str">
        <f>IFERROR(VLOOKUP(Table1[RespondentID],'All Data'!$A$3:$CO$999,93,FALSE),"unknown")</f>
        <v>English</v>
      </c>
      <c r="W236" s="120" t="str">
        <f>IFERROR(VLOOKUP(Table1[RespondentID],'All Data'!$A$3:$CW$999,94,FALSE),"unknown")</f>
        <v>$75,000 to $125,000</v>
      </c>
      <c r="X236" s="120" t="str">
        <f>IFERROR(VLOOKUP(Table1[RespondentID],'All Data'!$A$3:$CW$999,95,FALSE),"unknown")</f>
        <v>Graduate school</v>
      </c>
      <c r="Y236" s="120" t="str">
        <f>IFERROR(VLOOKUP(Table1[RespondentID],'All Data'!$A$3:$CW$999,96,FALSE),"unknown")</f>
        <v>Retired</v>
      </c>
      <c r="Z236" s="120" t="str">
        <f>IFERROR(VLOOKUP(Table1[RespondentID],'All Data'!$A$3:$CW$999,97,FALSE),"unknown")</f>
        <v>Yes</v>
      </c>
      <c r="AA236" s="120">
        <f>IFERROR(VLOOKUP(Table1[RespondentID],'All Data'!$A$3:$CW$999,98,FALSE),"unknown")</f>
        <v>0</v>
      </c>
      <c r="AB236" s="150">
        <f>IFERROR(VLOOKUP(Table1[RespondentID],'All Data'!$A$3:$CW$999,99,FALSE),"unknown")</f>
        <v>0</v>
      </c>
    </row>
    <row r="237" spans="1:28">
      <c r="A237" s="5">
        <v>18019101072</v>
      </c>
      <c r="B237" s="5"/>
      <c r="C237" s="5"/>
      <c r="D237" s="5"/>
      <c r="E237" s="5" t="s">
        <v>67</v>
      </c>
      <c r="F237" s="5"/>
      <c r="G237" s="5"/>
      <c r="H237" s="5"/>
      <c r="I237" s="5"/>
      <c r="J237" s="5"/>
      <c r="K237" s="5"/>
      <c r="L237" s="5"/>
      <c r="M237" s="5" t="s">
        <v>75</v>
      </c>
      <c r="N237" s="5" t="s">
        <v>76</v>
      </c>
      <c r="O237" s="147"/>
      <c r="P237" s="120" t="str">
        <f>IFERROR(VLOOKUP(Table1[RespondentID],'All Data'!$A$3:$CO$999,87,FALSE),"unknown")</f>
        <v>Man</v>
      </c>
      <c r="Q237" s="120">
        <f>IFERROR(VLOOKUP(Table1[RespondentID],'All Data'!$A$3:$CO$999,88,FALSE),"unknown")</f>
        <v>18</v>
      </c>
      <c r="R237" s="120" t="str">
        <f>IFERROR(VLOOKUP(Table1[RespondentID],'All Data'!$A$3:$CO$999,89,FALSE),"unknown")</f>
        <v>Suffolk</v>
      </c>
      <c r="S237" s="120" t="str">
        <f>IFERROR(VLOOKUP(Table1[RespondentID],'All Data'!$A$3:$CO$999,90,FALSE),"unknown")</f>
        <v>Smithtown, 11787</v>
      </c>
      <c r="T237" s="120" t="str">
        <f>IFERROR(VLOOKUP(Table1[RespondentID],'All Data'!$A$3:$CO$999,91,FALSE),"unknown")</f>
        <v>White</v>
      </c>
      <c r="U237" s="120" t="str">
        <f>IFERROR(VLOOKUP(Table1[RespondentID],'All Data'!$A$3:$CO$999,92,FALSE),"unknown")</f>
        <v>Hispanic or Latino</v>
      </c>
      <c r="V237" s="120" t="str">
        <f>IFERROR(VLOOKUP(Table1[RespondentID],'All Data'!$A$3:$CO$999,93,FALSE),"unknown")</f>
        <v>English</v>
      </c>
      <c r="W237" s="120" t="str">
        <f>IFERROR(VLOOKUP(Table1[RespondentID],'All Data'!$A$3:$CW$999,94,FALSE),"unknown")</f>
        <v>$20,000 to $34,999</v>
      </c>
      <c r="X237" s="120" t="str">
        <f>IFERROR(VLOOKUP(Table1[RespondentID],'All Data'!$A$3:$CW$999,95,FALSE),"unknown")</f>
        <v>Some college</v>
      </c>
      <c r="Y237" s="120" t="str">
        <f>IFERROR(VLOOKUP(Table1[RespondentID],'All Data'!$A$3:$CW$999,96,FALSE),"unknown")</f>
        <v>Student</v>
      </c>
      <c r="Z237" s="120" t="str">
        <f>IFERROR(VLOOKUP(Table1[RespondentID],'All Data'!$A$3:$CW$999,97,FALSE),"unknown")</f>
        <v>Yes</v>
      </c>
      <c r="AA237" s="120">
        <f>IFERROR(VLOOKUP(Table1[RespondentID],'All Data'!$A$3:$CW$999,98,FALSE),"unknown")</f>
        <v>0</v>
      </c>
      <c r="AB237" s="150">
        <f>IFERROR(VLOOKUP(Table1[RespondentID],'All Data'!$A$3:$CW$999,99,FALSE),"unknown")</f>
        <v>0</v>
      </c>
    </row>
    <row r="238" spans="1:28">
      <c r="A238" s="5">
        <v>18019100917</v>
      </c>
      <c r="B238" s="5"/>
      <c r="C238" s="5"/>
      <c r="D238" s="5" t="s">
        <v>66</v>
      </c>
      <c r="E238" s="5"/>
      <c r="F238" s="5"/>
      <c r="G238" s="5"/>
      <c r="H238" s="5"/>
      <c r="I238" s="5"/>
      <c r="J238" s="5"/>
      <c r="K238" s="5"/>
      <c r="L238" s="5"/>
      <c r="M238" s="5" t="s">
        <v>75</v>
      </c>
      <c r="N238" s="5"/>
      <c r="O238" s="147"/>
      <c r="P238" s="120" t="str">
        <f>IFERROR(VLOOKUP(Table1[RespondentID],'All Data'!$A$3:$CO$999,87,FALSE),"unknown")</f>
        <v>Woman</v>
      </c>
      <c r="Q238" s="120">
        <f>IFERROR(VLOOKUP(Table1[RespondentID],'All Data'!$A$3:$CO$999,88,FALSE),"unknown")</f>
        <v>34</v>
      </c>
      <c r="R238" s="120" t="str">
        <f>IFERROR(VLOOKUP(Table1[RespondentID],'All Data'!$A$3:$CO$999,89,FALSE),"unknown")</f>
        <v>Suffolk</v>
      </c>
      <c r="S238" s="120" t="str">
        <f>IFERROR(VLOOKUP(Table1[RespondentID],'All Data'!$A$3:$CO$999,90,FALSE),"unknown")</f>
        <v>Huntington, 11743</v>
      </c>
      <c r="T238" s="120" t="str">
        <f>IFERROR(VLOOKUP(Table1[RespondentID],'All Data'!$A$3:$CO$999,91,FALSE),"unknown")</f>
        <v>Native Hawaiian and Other Pacific Islander</v>
      </c>
      <c r="U238" s="120" t="str">
        <f>IFERROR(VLOOKUP(Table1[RespondentID],'All Data'!$A$3:$CO$999,92,FALSE),"unknown")</f>
        <v>Hispanic or Latino</v>
      </c>
      <c r="V238" s="120" t="str">
        <f>IFERROR(VLOOKUP(Table1[RespondentID],'All Data'!$A$3:$CO$999,93,FALSE),"unknown")</f>
        <v>English</v>
      </c>
      <c r="W238" s="120" t="str">
        <f>IFERROR(VLOOKUP(Table1[RespondentID],'All Data'!$A$3:$CW$999,94,FALSE),"unknown")</f>
        <v>$20,000 to $34,999</v>
      </c>
      <c r="X238" s="120" t="str">
        <f>IFERROR(VLOOKUP(Table1[RespondentID],'All Data'!$A$3:$CW$999,95,FALSE),"unknown")</f>
        <v>Technical school</v>
      </c>
      <c r="Y238" s="120" t="str">
        <f>IFERROR(VLOOKUP(Table1[RespondentID],'All Data'!$A$3:$CW$999,96,FALSE),"unknown")</f>
        <v>Out of work and looking for work</v>
      </c>
      <c r="Z238" s="120" t="str">
        <f>IFERROR(VLOOKUP(Table1[RespondentID],'All Data'!$A$3:$CW$999,97,FALSE),"unknown")</f>
        <v>No</v>
      </c>
      <c r="AA238" s="120">
        <f>IFERROR(VLOOKUP(Table1[RespondentID],'All Data'!$A$3:$CW$999,98,FALSE),"unknown")</f>
        <v>0</v>
      </c>
      <c r="AB238" s="150">
        <f>IFERROR(VLOOKUP(Table1[RespondentID],'All Data'!$A$3:$CW$999,99,FALSE),"unknown")</f>
        <v>0</v>
      </c>
    </row>
    <row r="239" spans="1:28">
      <c r="A239" s="5">
        <v>18019100690</v>
      </c>
      <c r="B239" s="5" t="s">
        <v>64</v>
      </c>
      <c r="C239" s="5" t="s">
        <v>65</v>
      </c>
      <c r="D239" s="5"/>
      <c r="E239" s="5"/>
      <c r="F239" s="5"/>
      <c r="G239" s="5"/>
      <c r="H239" s="5"/>
      <c r="I239" s="5" t="s">
        <v>71</v>
      </c>
      <c r="J239" s="5"/>
      <c r="K239" s="5"/>
      <c r="L239" s="5"/>
      <c r="M239" s="5"/>
      <c r="N239" s="5"/>
      <c r="O239" s="147"/>
      <c r="P239" s="120" t="str">
        <f>IFERROR(VLOOKUP(Table1[RespondentID],'All Data'!$A$3:$CO$999,87,FALSE),"unknown")</f>
        <v>Woman</v>
      </c>
      <c r="Q239" s="120">
        <f>IFERROR(VLOOKUP(Table1[RespondentID],'All Data'!$A$3:$CO$999,88,FALSE),"unknown")</f>
        <v>28</v>
      </c>
      <c r="R239" s="120" t="str">
        <f>IFERROR(VLOOKUP(Table1[RespondentID],'All Data'!$A$3:$CO$999,89,FALSE),"unknown")</f>
        <v>Suffolk</v>
      </c>
      <c r="S239" s="120" t="str">
        <f>IFERROR(VLOOKUP(Table1[RespondentID],'All Data'!$A$3:$CO$999,90,FALSE),"unknown")</f>
        <v>Greenlawn, 11740</v>
      </c>
      <c r="T239" s="120" t="str">
        <f>IFERROR(VLOOKUP(Table1[RespondentID],'All Data'!$A$3:$CO$999,91,FALSE),"unknown")</f>
        <v>White</v>
      </c>
      <c r="U239" s="120" t="str">
        <f>IFERROR(VLOOKUP(Table1[RespondentID],'All Data'!$A$3:$CO$999,92,FALSE),"unknown")</f>
        <v>Hispanic or Latino</v>
      </c>
      <c r="V239" s="120" t="str">
        <f>IFERROR(VLOOKUP(Table1[RespondentID],'All Data'!$A$3:$CO$999,93,FALSE),"unknown")</f>
        <v>English</v>
      </c>
      <c r="W239" s="120" t="str">
        <f>IFERROR(VLOOKUP(Table1[RespondentID],'All Data'!$A$3:$CW$999,94,FALSE),"unknown")</f>
        <v>$50,000 to $74,999</v>
      </c>
      <c r="X239" s="120" t="str">
        <f>IFERROR(VLOOKUP(Table1[RespondentID],'All Data'!$A$3:$CW$999,95,FALSE),"unknown")</f>
        <v>College graduate</v>
      </c>
      <c r="Y239" s="120" t="str">
        <f>IFERROR(VLOOKUP(Table1[RespondentID],'All Data'!$A$3:$CW$999,96,FALSE),"unknown")</f>
        <v>Employed for wages</v>
      </c>
      <c r="Z239" s="120" t="str">
        <f>IFERROR(VLOOKUP(Table1[RespondentID],'All Data'!$A$3:$CW$999,97,FALSE),"unknown")</f>
        <v>Yes</v>
      </c>
      <c r="AA239" s="120">
        <f>IFERROR(VLOOKUP(Table1[RespondentID],'All Data'!$A$3:$CW$999,98,FALSE),"unknown")</f>
        <v>0</v>
      </c>
      <c r="AB239" s="150">
        <f>IFERROR(VLOOKUP(Table1[RespondentID],'All Data'!$A$3:$CW$999,99,FALSE),"unknown")</f>
        <v>0</v>
      </c>
    </row>
    <row r="240" spans="1:28">
      <c r="A240" s="5">
        <v>18019098685</v>
      </c>
      <c r="B240" s="5" t="s">
        <v>64</v>
      </c>
      <c r="C240" s="5"/>
      <c r="D240" s="5"/>
      <c r="E240" s="5" t="s">
        <v>67</v>
      </c>
      <c r="F240" s="5"/>
      <c r="G240" s="5"/>
      <c r="H240" s="5"/>
      <c r="I240" s="5"/>
      <c r="J240" s="5"/>
      <c r="K240" s="5"/>
      <c r="L240" s="5"/>
      <c r="M240" s="5" t="s">
        <v>75</v>
      </c>
      <c r="N240" s="5" t="s">
        <v>76</v>
      </c>
      <c r="O240" s="147"/>
      <c r="P240" s="120" t="str">
        <f>IFERROR(VLOOKUP(Table1[RespondentID],'All Data'!$A$3:$CO$999,87,FALSE),"unknown")</f>
        <v>Man</v>
      </c>
      <c r="Q240" s="120">
        <f>IFERROR(VLOOKUP(Table1[RespondentID],'All Data'!$A$3:$CO$999,88,FALSE),"unknown")</f>
        <v>27</v>
      </c>
      <c r="R240" s="120" t="str">
        <f>IFERROR(VLOOKUP(Table1[RespondentID],'All Data'!$A$3:$CO$999,89,FALSE),"unknown")</f>
        <v>Suffolk</v>
      </c>
      <c r="S240" s="120" t="str">
        <f>IFERROR(VLOOKUP(Table1[RespondentID],'All Data'!$A$3:$CO$999,90,FALSE),"unknown")</f>
        <v>Centerport, 11721</v>
      </c>
      <c r="T240" s="120" t="str">
        <f>IFERROR(VLOOKUP(Table1[RespondentID],'All Data'!$A$3:$CO$999,91,FALSE),"unknown")</f>
        <v>White</v>
      </c>
      <c r="U240" s="120">
        <f>IFERROR(VLOOKUP(Table1[RespondentID],'All Data'!$A$3:$CO$999,92,FALSE),"unknown")</f>
        <v>0</v>
      </c>
      <c r="V240" s="120" t="str">
        <f>IFERROR(VLOOKUP(Table1[RespondentID],'All Data'!$A$3:$CO$999,93,FALSE),"unknown")</f>
        <v>English, Spanish</v>
      </c>
      <c r="W240" s="120" t="str">
        <f>IFERROR(VLOOKUP(Table1[RespondentID],'All Data'!$A$3:$CW$999,94,FALSE),"unknown")</f>
        <v>$75,000 to $125,000</v>
      </c>
      <c r="X240" s="120" t="str">
        <f>IFERROR(VLOOKUP(Table1[RespondentID],'All Data'!$A$3:$CW$999,95,FALSE),"unknown")</f>
        <v>College graduate</v>
      </c>
      <c r="Y240" s="120" t="str">
        <f>IFERROR(VLOOKUP(Table1[RespondentID],'All Data'!$A$3:$CW$999,96,FALSE),"unknown")</f>
        <v>Student</v>
      </c>
      <c r="Z240" s="120" t="str">
        <f>IFERROR(VLOOKUP(Table1[RespondentID],'All Data'!$A$3:$CW$999,97,FALSE),"unknown")</f>
        <v>Yes</v>
      </c>
      <c r="AA240" s="120">
        <f>IFERROR(VLOOKUP(Table1[RespondentID],'All Data'!$A$3:$CW$999,98,FALSE),"unknown")</f>
        <v>0</v>
      </c>
      <c r="AB240" s="150">
        <f>IFERROR(VLOOKUP(Table1[RespondentID],'All Data'!$A$3:$CW$999,99,FALSE),"unknown")</f>
        <v>0</v>
      </c>
    </row>
    <row r="241" spans="1:28">
      <c r="A241" s="5">
        <v>18019098565</v>
      </c>
      <c r="B241" s="5" t="s">
        <v>64</v>
      </c>
      <c r="C241" s="5"/>
      <c r="D241" s="5" t="s">
        <v>66</v>
      </c>
      <c r="E241" s="5" t="s">
        <v>67</v>
      </c>
      <c r="F241" s="5"/>
      <c r="G241" s="5"/>
      <c r="H241" s="5"/>
      <c r="I241" s="5"/>
      <c r="J241" s="5" t="s">
        <v>72</v>
      </c>
      <c r="K241" s="5"/>
      <c r="L241" s="5"/>
      <c r="M241" s="5" t="s">
        <v>75</v>
      </c>
      <c r="N241" s="5" t="s">
        <v>76</v>
      </c>
      <c r="O241" s="147"/>
      <c r="P241" s="120" t="str">
        <f>IFERROR(VLOOKUP(Table1[RespondentID],'All Data'!$A$3:$CO$999,87,FALSE),"unknown")</f>
        <v>Man</v>
      </c>
      <c r="Q241" s="120">
        <f>IFERROR(VLOOKUP(Table1[RespondentID],'All Data'!$A$3:$CO$999,88,FALSE),"unknown")</f>
        <v>22</v>
      </c>
      <c r="R241" s="120" t="str">
        <f>IFERROR(VLOOKUP(Table1[RespondentID],'All Data'!$A$3:$CO$999,89,FALSE),"unknown")</f>
        <v>Suffolk</v>
      </c>
      <c r="S241" s="120" t="str">
        <f>IFERROR(VLOOKUP(Table1[RespondentID],'All Data'!$A$3:$CO$999,90,FALSE),"unknown")</f>
        <v>Centerport, 11721</v>
      </c>
      <c r="T241" s="120" t="str">
        <f>IFERROR(VLOOKUP(Table1[RespondentID],'All Data'!$A$3:$CO$999,91,FALSE),"unknown")</f>
        <v>White</v>
      </c>
      <c r="U241" s="120" t="str">
        <f>IFERROR(VLOOKUP(Table1[RespondentID],'All Data'!$A$3:$CO$999,92,FALSE),"unknown")</f>
        <v>Hispanic or Latino</v>
      </c>
      <c r="V241" s="120" t="str">
        <f>IFERROR(VLOOKUP(Table1[RespondentID],'All Data'!$A$3:$CO$999,93,FALSE),"unknown")</f>
        <v>English, Polish</v>
      </c>
      <c r="W241" s="120" t="str">
        <f>IFERROR(VLOOKUP(Table1[RespondentID],'All Data'!$A$3:$CW$999,94,FALSE),"unknown")</f>
        <v>$75,000 to $125,000</v>
      </c>
      <c r="X241" s="120" t="str">
        <f>IFERROR(VLOOKUP(Table1[RespondentID],'All Data'!$A$3:$CW$999,95,FALSE),"unknown")</f>
        <v>Some college</v>
      </c>
      <c r="Y241" s="120" t="str">
        <f>IFERROR(VLOOKUP(Table1[RespondentID],'All Data'!$A$3:$CW$999,96,FALSE),"unknown")</f>
        <v>Student</v>
      </c>
      <c r="Z241" s="120" t="str">
        <f>IFERROR(VLOOKUP(Table1[RespondentID],'All Data'!$A$3:$CW$999,97,FALSE),"unknown")</f>
        <v>No</v>
      </c>
      <c r="AA241" s="120">
        <f>IFERROR(VLOOKUP(Table1[RespondentID],'All Data'!$A$3:$CW$999,98,FALSE),"unknown")</f>
        <v>0</v>
      </c>
      <c r="AB241" s="150">
        <f>IFERROR(VLOOKUP(Table1[RespondentID],'All Data'!$A$3:$CW$999,99,FALSE),"unknown")</f>
        <v>0</v>
      </c>
    </row>
    <row r="242" spans="1:28">
      <c r="A242" s="5">
        <v>18019098372</v>
      </c>
      <c r="B242" s="5" t="s">
        <v>64</v>
      </c>
      <c r="C242" s="5" t="s">
        <v>65</v>
      </c>
      <c r="D242" s="5" t="s">
        <v>66</v>
      </c>
      <c r="E242" s="5" t="s">
        <v>67</v>
      </c>
      <c r="F242" s="5" t="s">
        <v>68</v>
      </c>
      <c r="G242" s="5" t="s">
        <v>69</v>
      </c>
      <c r="H242" s="5"/>
      <c r="I242" s="5"/>
      <c r="J242" s="5"/>
      <c r="K242" s="5" t="s">
        <v>73</v>
      </c>
      <c r="L242" s="5"/>
      <c r="M242" s="5" t="s">
        <v>75</v>
      </c>
      <c r="N242" s="5"/>
      <c r="O242" s="147"/>
      <c r="P242" s="120" t="str">
        <f>IFERROR(VLOOKUP(Table1[RespondentID],'All Data'!$A$3:$CO$999,87,FALSE),"unknown")</f>
        <v>Man</v>
      </c>
      <c r="Q242" s="120">
        <f>IFERROR(VLOOKUP(Table1[RespondentID],'All Data'!$A$3:$CO$999,88,FALSE),"unknown")</f>
        <v>59</v>
      </c>
      <c r="R242" s="120" t="str">
        <f>IFERROR(VLOOKUP(Table1[RespondentID],'All Data'!$A$3:$CO$999,89,FALSE),"unknown")</f>
        <v>Suffolk</v>
      </c>
      <c r="S242" s="120" t="str">
        <f>IFERROR(VLOOKUP(Table1[RespondentID],'All Data'!$A$3:$CO$999,90,FALSE),"unknown")</f>
        <v>Setauket, 11733</v>
      </c>
      <c r="T242" s="120" t="str">
        <f>IFERROR(VLOOKUP(Table1[RespondentID],'All Data'!$A$3:$CO$999,91,FALSE),"unknown")</f>
        <v>White</v>
      </c>
      <c r="U242" s="120">
        <f>IFERROR(VLOOKUP(Table1[RespondentID],'All Data'!$A$3:$CO$999,92,FALSE),"unknown")</f>
        <v>0</v>
      </c>
      <c r="V242" s="120" t="str">
        <f>IFERROR(VLOOKUP(Table1[RespondentID],'All Data'!$A$3:$CO$999,93,FALSE),"unknown")</f>
        <v>English</v>
      </c>
      <c r="W242" s="120">
        <f>IFERROR(VLOOKUP(Table1[RespondentID],'All Data'!$A$3:$CW$999,94,FALSE),"unknown")</f>
        <v>0</v>
      </c>
      <c r="X242" s="120" t="str">
        <f>IFERROR(VLOOKUP(Table1[RespondentID],'All Data'!$A$3:$CW$999,95,FALSE),"unknown")</f>
        <v>Some college</v>
      </c>
      <c r="Y242" s="120" t="str">
        <f>IFERROR(VLOOKUP(Table1[RespondentID],'All Data'!$A$3:$CW$999,96,FALSE),"unknown")</f>
        <v>Retired</v>
      </c>
      <c r="Z242" s="120" t="str">
        <f>IFERROR(VLOOKUP(Table1[RespondentID],'All Data'!$A$3:$CW$999,97,FALSE),"unknown")</f>
        <v>Yes</v>
      </c>
      <c r="AA242" s="120">
        <f>IFERROR(VLOOKUP(Table1[RespondentID],'All Data'!$A$3:$CW$999,98,FALSE),"unknown")</f>
        <v>0</v>
      </c>
      <c r="AB242" s="150">
        <f>IFERROR(VLOOKUP(Table1[RespondentID],'All Data'!$A$3:$CW$999,99,FALSE),"unknown")</f>
        <v>0</v>
      </c>
    </row>
    <row r="243" spans="1:28">
      <c r="A243" s="5">
        <v>18019098190</v>
      </c>
      <c r="B243" s="5" t="s">
        <v>64</v>
      </c>
      <c r="C243" s="5"/>
      <c r="D243" s="5" t="s">
        <v>66</v>
      </c>
      <c r="E243" s="5" t="s">
        <v>67</v>
      </c>
      <c r="F243" s="5"/>
      <c r="G243" s="5"/>
      <c r="H243" s="5"/>
      <c r="I243" s="5" t="s">
        <v>71</v>
      </c>
      <c r="J243" s="5"/>
      <c r="K243" s="5"/>
      <c r="L243" s="5"/>
      <c r="M243" s="5" t="s">
        <v>75</v>
      </c>
      <c r="N243" s="5"/>
      <c r="O243" s="147"/>
      <c r="P243" s="120" t="str">
        <f>IFERROR(VLOOKUP(Table1[RespondentID],'All Data'!$A$3:$CO$999,87,FALSE),"unknown")</f>
        <v>Man</v>
      </c>
      <c r="Q243" s="120">
        <f>IFERROR(VLOOKUP(Table1[RespondentID],'All Data'!$A$3:$CO$999,88,FALSE),"unknown")</f>
        <v>40</v>
      </c>
      <c r="R243" s="120" t="str">
        <f>IFERROR(VLOOKUP(Table1[RespondentID],'All Data'!$A$3:$CO$999,89,FALSE),"unknown")</f>
        <v>Suffolk</v>
      </c>
      <c r="S243" s="120" t="str">
        <f>IFERROR(VLOOKUP(Table1[RespondentID],'All Data'!$A$3:$CO$999,90,FALSE),"unknown")</f>
        <v>Port Jefferson Station, 11776</v>
      </c>
      <c r="T243" s="120" t="str">
        <f>IFERROR(VLOOKUP(Table1[RespondentID],'All Data'!$A$3:$CO$999,91,FALSE),"unknown")</f>
        <v>Other (please specify)</v>
      </c>
      <c r="U243" s="120" t="str">
        <f>IFERROR(VLOOKUP(Table1[RespondentID],'All Data'!$A$3:$CO$999,92,FALSE),"unknown")</f>
        <v>Hispanic or Latino</v>
      </c>
      <c r="V243" s="120">
        <f>IFERROR(VLOOKUP(Table1[RespondentID],'All Data'!$A$3:$CO$999,93,FALSE),"unknown")</f>
        <v>0</v>
      </c>
      <c r="W243" s="120" t="str">
        <f>IFERROR(VLOOKUP(Table1[RespondentID],'All Data'!$A$3:$CW$999,94,FALSE),"unknown")</f>
        <v>$75,000 to $125,000</v>
      </c>
      <c r="X243" s="120" t="str">
        <f>IFERROR(VLOOKUP(Table1[RespondentID],'All Data'!$A$3:$CW$999,95,FALSE),"unknown")</f>
        <v>College graduate</v>
      </c>
      <c r="Y243" s="120" t="str">
        <f>IFERROR(VLOOKUP(Table1[RespondentID],'All Data'!$A$3:$CW$999,96,FALSE),"unknown")</f>
        <v>Employed for wages</v>
      </c>
      <c r="Z243" s="120" t="str">
        <f>IFERROR(VLOOKUP(Table1[RespondentID],'All Data'!$A$3:$CW$999,97,FALSE),"unknown")</f>
        <v>Yes</v>
      </c>
      <c r="AA243" s="120">
        <f>IFERROR(VLOOKUP(Table1[RespondentID],'All Data'!$A$3:$CW$999,98,FALSE),"unknown")</f>
        <v>0</v>
      </c>
      <c r="AB243" s="150">
        <f>IFERROR(VLOOKUP(Table1[RespondentID],'All Data'!$A$3:$CW$999,99,FALSE),"unknown")</f>
        <v>0</v>
      </c>
    </row>
    <row r="244" spans="1:28">
      <c r="A244" s="5">
        <v>18019097991</v>
      </c>
      <c r="B244" s="5" t="s">
        <v>64</v>
      </c>
      <c r="C244" s="5"/>
      <c r="D244" s="5"/>
      <c r="E244" s="5" t="s">
        <v>67</v>
      </c>
      <c r="F244" s="5"/>
      <c r="G244" s="5"/>
      <c r="H244" s="5"/>
      <c r="I244" s="5"/>
      <c r="J244" s="5"/>
      <c r="K244" s="5"/>
      <c r="L244" s="5"/>
      <c r="M244" s="5" t="s">
        <v>75</v>
      </c>
      <c r="N244" s="5"/>
      <c r="O244" s="147"/>
      <c r="P244" s="120" t="str">
        <f>IFERROR(VLOOKUP(Table1[RespondentID],'All Data'!$A$3:$CO$999,87,FALSE),"unknown")</f>
        <v>Woman</v>
      </c>
      <c r="Q244" s="120">
        <f>IFERROR(VLOOKUP(Table1[RespondentID],'All Data'!$A$3:$CO$999,88,FALSE),"unknown")</f>
        <v>47</v>
      </c>
      <c r="R244" s="120" t="str">
        <f>IFERROR(VLOOKUP(Table1[RespondentID],'All Data'!$A$3:$CO$999,89,FALSE),"unknown")</f>
        <v>Suffolk</v>
      </c>
      <c r="S244" s="120" t="str">
        <f>IFERROR(VLOOKUP(Table1[RespondentID],'All Data'!$A$3:$CO$999,90,FALSE),"unknown")</f>
        <v>North Babylon, 11703</v>
      </c>
      <c r="T244" s="120" t="str">
        <f>IFERROR(VLOOKUP(Table1[RespondentID],'All Data'!$A$3:$CO$999,91,FALSE),"unknown")</f>
        <v>White</v>
      </c>
      <c r="U244" s="120" t="str">
        <f>IFERROR(VLOOKUP(Table1[RespondentID],'All Data'!$A$3:$CO$999,92,FALSE),"unknown")</f>
        <v>Hispanic or Latino</v>
      </c>
      <c r="V244" s="120" t="str">
        <f>IFERROR(VLOOKUP(Table1[RespondentID],'All Data'!$A$3:$CO$999,93,FALSE),"unknown")</f>
        <v>English</v>
      </c>
      <c r="W244" s="120" t="str">
        <f>IFERROR(VLOOKUP(Table1[RespondentID],'All Data'!$A$3:$CW$999,94,FALSE),"unknown")</f>
        <v>Over $125,000</v>
      </c>
      <c r="X244" s="120" t="str">
        <f>IFERROR(VLOOKUP(Table1[RespondentID],'All Data'!$A$3:$CW$999,95,FALSE),"unknown")</f>
        <v>Graduate school</v>
      </c>
      <c r="Y244" s="120" t="str">
        <f>IFERROR(VLOOKUP(Table1[RespondentID],'All Data'!$A$3:$CW$999,96,FALSE),"unknown")</f>
        <v>Employed for wages</v>
      </c>
      <c r="Z244" s="120" t="str">
        <f>IFERROR(VLOOKUP(Table1[RespondentID],'All Data'!$A$3:$CW$999,97,FALSE),"unknown")</f>
        <v>Yes</v>
      </c>
      <c r="AA244" s="120">
        <f>IFERROR(VLOOKUP(Table1[RespondentID],'All Data'!$A$3:$CW$999,98,FALSE),"unknown")</f>
        <v>0</v>
      </c>
      <c r="AB244" s="150">
        <f>IFERROR(VLOOKUP(Table1[RespondentID],'All Data'!$A$3:$CW$999,99,FALSE),"unknown")</f>
        <v>0</v>
      </c>
    </row>
    <row r="245" spans="1:28">
      <c r="A245" s="5">
        <v>18019097887</v>
      </c>
      <c r="B245" s="5" t="s">
        <v>64</v>
      </c>
      <c r="C245" s="5"/>
      <c r="D245" s="5"/>
      <c r="E245" s="5"/>
      <c r="F245" s="5"/>
      <c r="G245" s="5"/>
      <c r="H245" s="5"/>
      <c r="I245" s="5"/>
      <c r="J245" s="5"/>
      <c r="K245" s="5"/>
      <c r="L245" s="5"/>
      <c r="M245" s="5"/>
      <c r="N245" s="5"/>
      <c r="O245" s="147"/>
      <c r="P245" s="120" t="str">
        <f>IFERROR(VLOOKUP(Table1[RespondentID],'All Data'!$A$3:$CO$999,87,FALSE),"unknown")</f>
        <v>Man</v>
      </c>
      <c r="Q245" s="120">
        <f>IFERROR(VLOOKUP(Table1[RespondentID],'All Data'!$A$3:$CO$999,88,FALSE),"unknown")</f>
        <v>40</v>
      </c>
      <c r="R245" s="120" t="str">
        <f>IFERROR(VLOOKUP(Table1[RespondentID],'All Data'!$A$3:$CO$999,89,FALSE),"unknown")</f>
        <v>Suffolk</v>
      </c>
      <c r="S245" s="120" t="str">
        <f>IFERROR(VLOOKUP(Table1[RespondentID],'All Data'!$A$3:$CO$999,90,FALSE),"unknown")</f>
        <v>Rocky Point, 11778</v>
      </c>
      <c r="T245" s="120" t="str">
        <f>IFERROR(VLOOKUP(Table1[RespondentID],'All Data'!$A$3:$CO$999,91,FALSE),"unknown")</f>
        <v>White</v>
      </c>
      <c r="U245" s="120" t="str">
        <f>IFERROR(VLOOKUP(Table1[RespondentID],'All Data'!$A$3:$CO$999,92,FALSE),"unknown")</f>
        <v>Hispanic or Latino</v>
      </c>
      <c r="V245" s="120" t="str">
        <f>IFERROR(VLOOKUP(Table1[RespondentID],'All Data'!$A$3:$CO$999,93,FALSE),"unknown")</f>
        <v>English</v>
      </c>
      <c r="W245" s="120">
        <f>IFERROR(VLOOKUP(Table1[RespondentID],'All Data'!$A$3:$CW$999,94,FALSE),"unknown")</f>
        <v>0</v>
      </c>
      <c r="X245" s="120" t="str">
        <f>IFERROR(VLOOKUP(Table1[RespondentID],'All Data'!$A$3:$CW$999,95,FALSE),"unknown")</f>
        <v>Graduate school</v>
      </c>
      <c r="Y245" s="120" t="str">
        <f>IFERROR(VLOOKUP(Table1[RespondentID],'All Data'!$A$3:$CW$999,96,FALSE),"unknown")</f>
        <v>Employed for wages</v>
      </c>
      <c r="Z245" s="120" t="str">
        <f>IFERROR(VLOOKUP(Table1[RespondentID],'All Data'!$A$3:$CW$999,97,FALSE),"unknown")</f>
        <v>Yes</v>
      </c>
      <c r="AA245" s="120">
        <f>IFERROR(VLOOKUP(Table1[RespondentID],'All Data'!$A$3:$CW$999,98,FALSE),"unknown")</f>
        <v>0</v>
      </c>
      <c r="AB245" s="150">
        <f>IFERROR(VLOOKUP(Table1[RespondentID],'All Data'!$A$3:$CW$999,99,FALSE),"unknown")</f>
        <v>0</v>
      </c>
    </row>
    <row r="246" spans="1:28">
      <c r="A246" s="5">
        <v>18019097745</v>
      </c>
      <c r="B246" s="5" t="s">
        <v>64</v>
      </c>
      <c r="C246" s="5"/>
      <c r="D246" s="5"/>
      <c r="E246" s="5"/>
      <c r="F246" s="5" t="s">
        <v>68</v>
      </c>
      <c r="G246" s="5"/>
      <c r="H246" s="5" t="s">
        <v>70</v>
      </c>
      <c r="I246" s="5"/>
      <c r="J246" s="5"/>
      <c r="K246" s="5" t="s">
        <v>73</v>
      </c>
      <c r="L246" s="5"/>
      <c r="M246" s="5" t="s">
        <v>75</v>
      </c>
      <c r="N246" s="5" t="s">
        <v>76</v>
      </c>
      <c r="O246" s="147"/>
      <c r="P246" s="120" t="str">
        <f>IFERROR(VLOOKUP(Table1[RespondentID],'All Data'!$A$3:$CO$999,87,FALSE),"unknown")</f>
        <v>Woman</v>
      </c>
      <c r="Q246" s="120">
        <f>IFERROR(VLOOKUP(Table1[RespondentID],'All Data'!$A$3:$CO$999,88,FALSE),"unknown")</f>
        <v>39</v>
      </c>
      <c r="R246" s="120" t="str">
        <f>IFERROR(VLOOKUP(Table1[RespondentID],'All Data'!$A$3:$CO$999,89,FALSE),"unknown")</f>
        <v>Suffolk</v>
      </c>
      <c r="S246" s="120" t="str">
        <f>IFERROR(VLOOKUP(Table1[RespondentID],'All Data'!$A$3:$CO$999,90,FALSE),"unknown")</f>
        <v>Smithtown, 11787</v>
      </c>
      <c r="T246" s="120" t="str">
        <f>IFERROR(VLOOKUP(Table1[RespondentID],'All Data'!$A$3:$CO$999,91,FALSE),"unknown")</f>
        <v>White</v>
      </c>
      <c r="U246" s="120" t="str">
        <f>IFERROR(VLOOKUP(Table1[RespondentID],'All Data'!$A$3:$CO$999,92,FALSE),"unknown")</f>
        <v>Hispanic or Latino</v>
      </c>
      <c r="V246" s="120" t="str">
        <f>IFERROR(VLOOKUP(Table1[RespondentID],'All Data'!$A$3:$CO$999,93,FALSE),"unknown")</f>
        <v>English</v>
      </c>
      <c r="W246" s="120" t="str">
        <f>IFERROR(VLOOKUP(Table1[RespondentID],'All Data'!$A$3:$CW$999,94,FALSE),"unknown")</f>
        <v>Over $125,000</v>
      </c>
      <c r="X246" s="120" t="str">
        <f>IFERROR(VLOOKUP(Table1[RespondentID],'All Data'!$A$3:$CW$999,95,FALSE),"unknown")</f>
        <v>Graduate school</v>
      </c>
      <c r="Y246" s="120" t="str">
        <f>IFERROR(VLOOKUP(Table1[RespondentID],'All Data'!$A$3:$CW$999,96,FALSE),"unknown")</f>
        <v>Employed for wages</v>
      </c>
      <c r="Z246" s="120" t="str">
        <f>IFERROR(VLOOKUP(Table1[RespondentID],'All Data'!$A$3:$CW$999,97,FALSE),"unknown")</f>
        <v>Yes</v>
      </c>
      <c r="AA246" s="120">
        <f>IFERROR(VLOOKUP(Table1[RespondentID],'All Data'!$A$3:$CW$999,98,FALSE),"unknown")</f>
        <v>0</v>
      </c>
      <c r="AB246" s="150">
        <f>IFERROR(VLOOKUP(Table1[RespondentID],'All Data'!$A$3:$CW$999,99,FALSE),"unknown")</f>
        <v>0</v>
      </c>
    </row>
    <row r="247" spans="1:28">
      <c r="A247" s="5">
        <v>18019097274</v>
      </c>
      <c r="B247" s="5" t="s">
        <v>64</v>
      </c>
      <c r="C247" s="5"/>
      <c r="D247" s="5"/>
      <c r="E247" s="5" t="s">
        <v>67</v>
      </c>
      <c r="F247" s="5"/>
      <c r="G247" s="5"/>
      <c r="H247" s="5"/>
      <c r="I247" s="5"/>
      <c r="J247" s="5"/>
      <c r="K247" s="5"/>
      <c r="L247" s="5"/>
      <c r="M247" s="5"/>
      <c r="N247" s="5"/>
      <c r="O247" s="147"/>
      <c r="P247" s="120" t="str">
        <f>IFERROR(VLOOKUP(Table1[RespondentID],'All Data'!$A$3:$CO$999,87,FALSE),"unknown")</f>
        <v>Man</v>
      </c>
      <c r="Q247" s="120">
        <f>IFERROR(VLOOKUP(Table1[RespondentID],'All Data'!$A$3:$CO$999,88,FALSE),"unknown")</f>
        <v>39</v>
      </c>
      <c r="R247" s="120" t="str">
        <f>IFERROR(VLOOKUP(Table1[RespondentID],'All Data'!$A$3:$CO$999,89,FALSE),"unknown")</f>
        <v>Suffolk</v>
      </c>
      <c r="S247" s="120" t="str">
        <f>IFERROR(VLOOKUP(Table1[RespondentID],'All Data'!$A$3:$CO$999,90,FALSE),"unknown")</f>
        <v>Coram, 11727</v>
      </c>
      <c r="T247" s="120" t="str">
        <f>IFERROR(VLOOKUP(Table1[RespondentID],'All Data'!$A$3:$CO$999,91,FALSE),"unknown")</f>
        <v>White</v>
      </c>
      <c r="U247" s="120">
        <f>IFERROR(VLOOKUP(Table1[RespondentID],'All Data'!$A$3:$CO$999,92,FALSE),"unknown")</f>
        <v>0</v>
      </c>
      <c r="V247" s="120" t="str">
        <f>IFERROR(VLOOKUP(Table1[RespondentID],'All Data'!$A$3:$CO$999,93,FALSE),"unknown")</f>
        <v>English</v>
      </c>
      <c r="W247" s="120" t="str">
        <f>IFERROR(VLOOKUP(Table1[RespondentID],'All Data'!$A$3:$CW$999,94,FALSE),"unknown")</f>
        <v>Over $125,000</v>
      </c>
      <c r="X247" s="120" t="str">
        <f>IFERROR(VLOOKUP(Table1[RespondentID],'All Data'!$A$3:$CW$999,95,FALSE),"unknown")</f>
        <v>College graduate</v>
      </c>
      <c r="Y247" s="120" t="str">
        <f>IFERROR(VLOOKUP(Table1[RespondentID],'All Data'!$A$3:$CW$999,96,FALSE),"unknown")</f>
        <v>Employed for wages</v>
      </c>
      <c r="Z247" s="120" t="str">
        <f>IFERROR(VLOOKUP(Table1[RespondentID],'All Data'!$A$3:$CW$999,97,FALSE),"unknown")</f>
        <v>Yes</v>
      </c>
      <c r="AA247" s="120">
        <f>IFERROR(VLOOKUP(Table1[RespondentID],'All Data'!$A$3:$CW$999,98,FALSE),"unknown")</f>
        <v>0</v>
      </c>
      <c r="AB247" s="150">
        <f>IFERROR(VLOOKUP(Table1[RespondentID],'All Data'!$A$3:$CW$999,99,FALSE),"unknown")</f>
        <v>0</v>
      </c>
    </row>
    <row r="248" spans="1:28">
      <c r="A248" s="5">
        <v>18019097132</v>
      </c>
      <c r="B248" s="5"/>
      <c r="C248" s="5"/>
      <c r="D248" s="5"/>
      <c r="E248" s="5"/>
      <c r="F248" s="5"/>
      <c r="G248" s="5"/>
      <c r="H248" s="5" t="s">
        <v>70</v>
      </c>
      <c r="I248" s="5"/>
      <c r="J248" s="5"/>
      <c r="K248" s="5" t="s">
        <v>73</v>
      </c>
      <c r="L248" s="5"/>
      <c r="M248" s="5" t="s">
        <v>75</v>
      </c>
      <c r="N248" s="5" t="s">
        <v>76</v>
      </c>
      <c r="O248" s="147"/>
      <c r="P248" s="120" t="str">
        <f>IFERROR(VLOOKUP(Table1[RespondentID],'All Data'!$A$3:$CO$999,87,FALSE),"unknown")</f>
        <v>Woman</v>
      </c>
      <c r="Q248" s="120">
        <f>IFERROR(VLOOKUP(Table1[RespondentID],'All Data'!$A$3:$CO$999,88,FALSE),"unknown")</f>
        <v>50</v>
      </c>
      <c r="R248" s="120" t="str">
        <f>IFERROR(VLOOKUP(Table1[RespondentID],'All Data'!$A$3:$CO$999,89,FALSE),"unknown")</f>
        <v>Suffolk</v>
      </c>
      <c r="S248" s="120" t="str">
        <f>IFERROR(VLOOKUP(Table1[RespondentID],'All Data'!$A$3:$CO$999,90,FALSE),"unknown")</f>
        <v>West Islip, 11795</v>
      </c>
      <c r="T248" s="120" t="str">
        <f>IFERROR(VLOOKUP(Table1[RespondentID],'All Data'!$A$3:$CO$999,91,FALSE),"unknown")</f>
        <v>White</v>
      </c>
      <c r="U248" s="120">
        <f>IFERROR(VLOOKUP(Table1[RespondentID],'All Data'!$A$3:$CO$999,92,FALSE),"unknown")</f>
        <v>0</v>
      </c>
      <c r="V248" s="120" t="str">
        <f>IFERROR(VLOOKUP(Table1[RespondentID],'All Data'!$A$3:$CO$999,93,FALSE),"unknown")</f>
        <v>English</v>
      </c>
      <c r="W248" s="120" t="str">
        <f>IFERROR(VLOOKUP(Table1[RespondentID],'All Data'!$A$3:$CW$999,94,FALSE),"unknown")</f>
        <v>Over $125,000</v>
      </c>
      <c r="X248" s="120" t="str">
        <f>IFERROR(VLOOKUP(Table1[RespondentID],'All Data'!$A$3:$CW$999,95,FALSE),"unknown")</f>
        <v>College graduate</v>
      </c>
      <c r="Y248" s="120" t="str">
        <f>IFERROR(VLOOKUP(Table1[RespondentID],'All Data'!$A$3:$CW$999,96,FALSE),"unknown")</f>
        <v>Employed for wages</v>
      </c>
      <c r="Z248" s="120" t="str">
        <f>IFERROR(VLOOKUP(Table1[RespondentID],'All Data'!$A$3:$CW$999,97,FALSE),"unknown")</f>
        <v>Yes</v>
      </c>
      <c r="AA248" s="120">
        <f>IFERROR(VLOOKUP(Table1[RespondentID],'All Data'!$A$3:$CW$999,98,FALSE),"unknown")</f>
        <v>0</v>
      </c>
      <c r="AB248" s="150">
        <f>IFERROR(VLOOKUP(Table1[RespondentID],'All Data'!$A$3:$CW$999,99,FALSE),"unknown")</f>
        <v>0</v>
      </c>
    </row>
    <row r="249" spans="1:28">
      <c r="A249" s="5">
        <v>18019096838</v>
      </c>
      <c r="B249" s="5" t="s">
        <v>64</v>
      </c>
      <c r="C249" s="5"/>
      <c r="D249" s="5"/>
      <c r="E249" s="5"/>
      <c r="F249" s="5"/>
      <c r="G249" s="5"/>
      <c r="H249" s="5"/>
      <c r="I249" s="5"/>
      <c r="J249" s="5"/>
      <c r="K249" s="5" t="s">
        <v>73</v>
      </c>
      <c r="L249" s="5"/>
      <c r="M249" s="5"/>
      <c r="N249" s="5"/>
      <c r="O249" s="147"/>
      <c r="P249" s="120" t="str">
        <f>IFERROR(VLOOKUP(Table1[RespondentID],'All Data'!$A$3:$CO$999,87,FALSE),"unknown")</f>
        <v>Man</v>
      </c>
      <c r="Q249" s="120">
        <f>IFERROR(VLOOKUP(Table1[RespondentID],'All Data'!$A$3:$CO$999,88,FALSE),"unknown")</f>
        <v>69</v>
      </c>
      <c r="R249" s="120">
        <f>IFERROR(VLOOKUP(Table1[RespondentID],'All Data'!$A$3:$CO$999,89,FALSE),"unknown")</f>
        <v>0</v>
      </c>
      <c r="S249" s="120">
        <f>IFERROR(VLOOKUP(Table1[RespondentID],'All Data'!$A$3:$CO$999,90,FALSE),"unknown")</f>
        <v>0</v>
      </c>
      <c r="T249" s="120">
        <f>IFERROR(VLOOKUP(Table1[RespondentID],'All Data'!$A$3:$CO$999,91,FALSE),"unknown")</f>
        <v>0</v>
      </c>
      <c r="U249" s="120">
        <f>IFERROR(VLOOKUP(Table1[RespondentID],'All Data'!$A$3:$CO$999,92,FALSE),"unknown")</f>
        <v>0</v>
      </c>
      <c r="V249" s="120">
        <f>IFERROR(VLOOKUP(Table1[RespondentID],'All Data'!$A$3:$CO$999,93,FALSE),"unknown")</f>
        <v>0</v>
      </c>
      <c r="W249" s="120">
        <f>IFERROR(VLOOKUP(Table1[RespondentID],'All Data'!$A$3:$CW$999,94,FALSE),"unknown")</f>
        <v>0</v>
      </c>
      <c r="X249" s="120">
        <f>IFERROR(VLOOKUP(Table1[RespondentID],'All Data'!$A$3:$CW$999,95,FALSE),"unknown")</f>
        <v>0</v>
      </c>
      <c r="Y249" s="120">
        <f>IFERROR(VLOOKUP(Table1[RespondentID],'All Data'!$A$3:$CW$999,96,FALSE),"unknown")</f>
        <v>0</v>
      </c>
      <c r="Z249" s="120">
        <f>IFERROR(VLOOKUP(Table1[RespondentID],'All Data'!$A$3:$CW$999,97,FALSE),"unknown")</f>
        <v>0</v>
      </c>
      <c r="AA249" s="120">
        <f>IFERROR(VLOOKUP(Table1[RespondentID],'All Data'!$A$3:$CW$999,98,FALSE),"unknown")</f>
        <v>0</v>
      </c>
      <c r="AB249" s="150">
        <f>IFERROR(VLOOKUP(Table1[RespondentID],'All Data'!$A$3:$CW$999,99,FALSE),"unknown")</f>
        <v>0</v>
      </c>
    </row>
    <row r="250" spans="1:28">
      <c r="A250" s="5">
        <v>18019096349</v>
      </c>
      <c r="B250" s="5"/>
      <c r="C250" s="5"/>
      <c r="D250" s="5"/>
      <c r="E250" s="5"/>
      <c r="F250" s="5"/>
      <c r="G250" s="5"/>
      <c r="H250" s="5" t="s">
        <v>70</v>
      </c>
      <c r="I250" s="5"/>
      <c r="J250" s="5"/>
      <c r="K250" s="5" t="s">
        <v>73</v>
      </c>
      <c r="L250" s="5"/>
      <c r="M250" s="5"/>
      <c r="N250" s="5" t="s">
        <v>76</v>
      </c>
      <c r="O250" s="147"/>
      <c r="P250" s="120" t="str">
        <f>IFERROR(VLOOKUP(Table1[RespondentID],'All Data'!$A$3:$CO$999,87,FALSE),"unknown")</f>
        <v>Woman</v>
      </c>
      <c r="Q250" s="120">
        <f>IFERROR(VLOOKUP(Table1[RespondentID],'All Data'!$A$3:$CO$999,88,FALSE),"unknown")</f>
        <v>58</v>
      </c>
      <c r="R250" s="120" t="str">
        <f>IFERROR(VLOOKUP(Table1[RespondentID],'All Data'!$A$3:$CO$999,89,FALSE),"unknown")</f>
        <v>Suffolk</v>
      </c>
      <c r="S250" s="120" t="str">
        <f>IFERROR(VLOOKUP(Table1[RespondentID],'All Data'!$A$3:$CO$999,90,FALSE),"unknown")</f>
        <v>West Babylon, 11704</v>
      </c>
      <c r="T250" s="120" t="str">
        <f>IFERROR(VLOOKUP(Table1[RespondentID],'All Data'!$A$3:$CO$999,91,FALSE),"unknown")</f>
        <v>White</v>
      </c>
      <c r="U250" s="120">
        <f>IFERROR(VLOOKUP(Table1[RespondentID],'All Data'!$A$3:$CO$999,92,FALSE),"unknown")</f>
        <v>0</v>
      </c>
      <c r="V250" s="120" t="str">
        <f>IFERROR(VLOOKUP(Table1[RespondentID],'All Data'!$A$3:$CO$999,93,FALSE),"unknown")</f>
        <v>English</v>
      </c>
      <c r="W250" s="120" t="str">
        <f>IFERROR(VLOOKUP(Table1[RespondentID],'All Data'!$A$3:$CW$999,94,FALSE),"unknown")</f>
        <v>Over $125,000</v>
      </c>
      <c r="X250" s="120" t="str">
        <f>IFERROR(VLOOKUP(Table1[RespondentID],'All Data'!$A$3:$CW$999,95,FALSE),"unknown")</f>
        <v>Some college</v>
      </c>
      <c r="Y250" s="120" t="str">
        <f>IFERROR(VLOOKUP(Table1[RespondentID],'All Data'!$A$3:$CW$999,96,FALSE),"unknown")</f>
        <v>Employed for wages</v>
      </c>
      <c r="Z250" s="120" t="str">
        <f>IFERROR(VLOOKUP(Table1[RespondentID],'All Data'!$A$3:$CW$999,97,FALSE),"unknown")</f>
        <v>Yes</v>
      </c>
      <c r="AA250" s="120">
        <f>IFERROR(VLOOKUP(Table1[RespondentID],'All Data'!$A$3:$CW$999,98,FALSE),"unknown")</f>
        <v>0</v>
      </c>
      <c r="AB250" s="150">
        <f>IFERROR(VLOOKUP(Table1[RespondentID],'All Data'!$A$3:$CW$999,99,FALSE),"unknown")</f>
        <v>0</v>
      </c>
    </row>
    <row r="251" spans="1:28">
      <c r="A251" s="5">
        <v>18019096113</v>
      </c>
      <c r="B251" s="5" t="s">
        <v>64</v>
      </c>
      <c r="C251" s="5"/>
      <c r="D251" s="5"/>
      <c r="E251" s="5" t="s">
        <v>67</v>
      </c>
      <c r="F251" s="5"/>
      <c r="G251" s="5"/>
      <c r="H251" s="5" t="s">
        <v>70</v>
      </c>
      <c r="I251" s="5"/>
      <c r="J251" s="5"/>
      <c r="K251" s="5" t="s">
        <v>73</v>
      </c>
      <c r="L251" s="5"/>
      <c r="M251" s="5" t="s">
        <v>75</v>
      </c>
      <c r="N251" s="5"/>
      <c r="O251" s="147"/>
      <c r="P251" s="120" t="str">
        <f>IFERROR(VLOOKUP(Table1[RespondentID],'All Data'!$A$3:$CO$999,87,FALSE),"unknown")</f>
        <v>Man</v>
      </c>
      <c r="Q251" s="120">
        <f>IFERROR(VLOOKUP(Table1[RespondentID],'All Data'!$A$3:$CO$999,88,FALSE),"unknown")</f>
        <v>56</v>
      </c>
      <c r="R251" s="120" t="str">
        <f>IFERROR(VLOOKUP(Table1[RespondentID],'All Data'!$A$3:$CO$999,89,FALSE),"unknown")</f>
        <v>Suffolk</v>
      </c>
      <c r="S251" s="120" t="str">
        <f>IFERROR(VLOOKUP(Table1[RespondentID],'All Data'!$A$3:$CO$999,90,FALSE),"unknown")</f>
        <v>West Babylon, 11704</v>
      </c>
      <c r="T251" s="120" t="str">
        <f>IFERROR(VLOOKUP(Table1[RespondentID],'All Data'!$A$3:$CO$999,91,FALSE),"unknown")</f>
        <v>White</v>
      </c>
      <c r="U251" s="120" t="str">
        <f>IFERROR(VLOOKUP(Table1[RespondentID],'All Data'!$A$3:$CO$999,92,FALSE),"unknown")</f>
        <v>Hispanic or Latino</v>
      </c>
      <c r="V251" s="120" t="str">
        <f>IFERROR(VLOOKUP(Table1[RespondentID],'All Data'!$A$3:$CO$999,93,FALSE),"unknown")</f>
        <v>English</v>
      </c>
      <c r="W251" s="120" t="str">
        <f>IFERROR(VLOOKUP(Table1[RespondentID],'All Data'!$A$3:$CW$999,94,FALSE),"unknown")</f>
        <v>Over $125,000</v>
      </c>
      <c r="X251" s="120" t="str">
        <f>IFERROR(VLOOKUP(Table1[RespondentID],'All Data'!$A$3:$CW$999,95,FALSE),"unknown")</f>
        <v>Some college</v>
      </c>
      <c r="Y251" s="120" t="str">
        <f>IFERROR(VLOOKUP(Table1[RespondentID],'All Data'!$A$3:$CW$999,96,FALSE),"unknown")</f>
        <v>Employed for wages</v>
      </c>
      <c r="Z251" s="120" t="str">
        <f>IFERROR(VLOOKUP(Table1[RespondentID],'All Data'!$A$3:$CW$999,97,FALSE),"unknown")</f>
        <v>Yes</v>
      </c>
      <c r="AA251" s="120">
        <f>IFERROR(VLOOKUP(Table1[RespondentID],'All Data'!$A$3:$CW$999,98,FALSE),"unknown")</f>
        <v>0</v>
      </c>
      <c r="AB251" s="150">
        <f>IFERROR(VLOOKUP(Table1[RespondentID],'All Data'!$A$3:$CW$999,99,FALSE),"unknown")</f>
        <v>0</v>
      </c>
    </row>
    <row r="252" spans="1:28">
      <c r="A252" s="5">
        <v>18019095931</v>
      </c>
      <c r="B252" s="5" t="s">
        <v>64</v>
      </c>
      <c r="C252" s="5"/>
      <c r="D252" s="5" t="s">
        <v>66</v>
      </c>
      <c r="E252" s="5" t="s">
        <v>67</v>
      </c>
      <c r="F252" s="5"/>
      <c r="G252" s="5"/>
      <c r="H252" s="5"/>
      <c r="I252" s="5"/>
      <c r="J252" s="5"/>
      <c r="K252" s="5"/>
      <c r="L252" s="5"/>
      <c r="M252" s="5"/>
      <c r="N252" s="5"/>
      <c r="O252" s="147"/>
      <c r="P252" s="120" t="str">
        <f>IFERROR(VLOOKUP(Table1[RespondentID],'All Data'!$A$3:$CO$999,87,FALSE),"unknown")</f>
        <v>Man</v>
      </c>
      <c r="Q252" s="120">
        <f>IFERROR(VLOOKUP(Table1[RespondentID],'All Data'!$A$3:$CO$999,88,FALSE),"unknown")</f>
        <v>43</v>
      </c>
      <c r="R252" s="120" t="str">
        <f>IFERROR(VLOOKUP(Table1[RespondentID],'All Data'!$A$3:$CO$999,89,FALSE),"unknown")</f>
        <v>Suffolk</v>
      </c>
      <c r="S252" s="120" t="str">
        <f>IFERROR(VLOOKUP(Table1[RespondentID],'All Data'!$A$3:$CO$999,90,FALSE),"unknown")</f>
        <v>Commack, 11725</v>
      </c>
      <c r="T252" s="120" t="str">
        <f>IFERROR(VLOOKUP(Table1[RespondentID],'All Data'!$A$3:$CO$999,91,FALSE),"unknown")</f>
        <v>White</v>
      </c>
      <c r="U252" s="120" t="str">
        <f>IFERROR(VLOOKUP(Table1[RespondentID],'All Data'!$A$3:$CO$999,92,FALSE),"unknown")</f>
        <v>Hispanic or Latino</v>
      </c>
      <c r="V252" s="120" t="str">
        <f>IFERROR(VLOOKUP(Table1[RespondentID],'All Data'!$A$3:$CO$999,93,FALSE),"unknown")</f>
        <v>English</v>
      </c>
      <c r="W252" s="120" t="str">
        <f>IFERROR(VLOOKUP(Table1[RespondentID],'All Data'!$A$3:$CW$999,94,FALSE),"unknown")</f>
        <v>Over $125,000</v>
      </c>
      <c r="X252" s="120" t="str">
        <f>IFERROR(VLOOKUP(Table1[RespondentID],'All Data'!$A$3:$CW$999,95,FALSE),"unknown")</f>
        <v>Graduate school</v>
      </c>
      <c r="Y252" s="120" t="str">
        <f>IFERROR(VLOOKUP(Table1[RespondentID],'All Data'!$A$3:$CW$999,96,FALSE),"unknown")</f>
        <v>Self-employed</v>
      </c>
      <c r="Z252" s="120" t="str">
        <f>IFERROR(VLOOKUP(Table1[RespondentID],'All Data'!$A$3:$CW$999,97,FALSE),"unknown")</f>
        <v>Yes</v>
      </c>
      <c r="AA252" s="120">
        <f>IFERROR(VLOOKUP(Table1[RespondentID],'All Data'!$A$3:$CW$999,98,FALSE),"unknown")</f>
        <v>0</v>
      </c>
      <c r="AB252" s="150">
        <f>IFERROR(VLOOKUP(Table1[RespondentID],'All Data'!$A$3:$CW$999,99,FALSE),"unknown")</f>
        <v>0</v>
      </c>
    </row>
    <row r="253" spans="1:28">
      <c r="A253" s="5">
        <v>18019095788</v>
      </c>
      <c r="B253" s="5" t="s">
        <v>64</v>
      </c>
      <c r="C253" s="5"/>
      <c r="D253" s="5"/>
      <c r="E253" s="5"/>
      <c r="F253" s="5"/>
      <c r="G253" s="5"/>
      <c r="H253" s="5"/>
      <c r="I253" s="5"/>
      <c r="J253" s="5"/>
      <c r="K253" s="5"/>
      <c r="L253" s="5"/>
      <c r="M253" s="5" t="s">
        <v>75</v>
      </c>
      <c r="N253" s="5"/>
      <c r="O253" s="147"/>
      <c r="P253" s="120" t="str">
        <f>IFERROR(VLOOKUP(Table1[RespondentID],'All Data'!$A$3:$CO$999,87,FALSE),"unknown")</f>
        <v>Woman</v>
      </c>
      <c r="Q253" s="120">
        <f>IFERROR(VLOOKUP(Table1[RespondentID],'All Data'!$A$3:$CO$999,88,FALSE),"unknown")</f>
        <v>48</v>
      </c>
      <c r="R253" s="120" t="str">
        <f>IFERROR(VLOOKUP(Table1[RespondentID],'All Data'!$A$3:$CO$999,89,FALSE),"unknown")</f>
        <v>Suffolk</v>
      </c>
      <c r="S253" s="120" t="str">
        <f>IFERROR(VLOOKUP(Table1[RespondentID],'All Data'!$A$3:$CO$999,90,FALSE),"unknown")</f>
        <v>Commack, 11725</v>
      </c>
      <c r="T253" s="120" t="str">
        <f>IFERROR(VLOOKUP(Table1[RespondentID],'All Data'!$A$3:$CO$999,91,FALSE),"unknown")</f>
        <v>White</v>
      </c>
      <c r="U253" s="120" t="str">
        <f>IFERROR(VLOOKUP(Table1[RespondentID],'All Data'!$A$3:$CO$999,92,FALSE),"unknown")</f>
        <v>Hispanic or Latino</v>
      </c>
      <c r="V253" s="120" t="str">
        <f>IFERROR(VLOOKUP(Table1[RespondentID],'All Data'!$A$3:$CO$999,93,FALSE),"unknown")</f>
        <v>English</v>
      </c>
      <c r="W253" s="120" t="str">
        <f>IFERROR(VLOOKUP(Table1[RespondentID],'All Data'!$A$3:$CW$999,94,FALSE),"unknown")</f>
        <v>Over $125,000</v>
      </c>
      <c r="X253" s="120" t="str">
        <f>IFERROR(VLOOKUP(Table1[RespondentID],'All Data'!$A$3:$CW$999,95,FALSE),"unknown")</f>
        <v>Some college</v>
      </c>
      <c r="Y253" s="120" t="str">
        <f>IFERROR(VLOOKUP(Table1[RespondentID],'All Data'!$A$3:$CW$999,96,FALSE),"unknown")</f>
        <v>Employed for wages</v>
      </c>
      <c r="Z253" s="120" t="str">
        <f>IFERROR(VLOOKUP(Table1[RespondentID],'All Data'!$A$3:$CW$999,97,FALSE),"unknown")</f>
        <v>Yes</v>
      </c>
      <c r="AA253" s="120">
        <f>IFERROR(VLOOKUP(Table1[RespondentID],'All Data'!$A$3:$CW$999,98,FALSE),"unknown")</f>
        <v>0</v>
      </c>
      <c r="AB253" s="150">
        <f>IFERROR(VLOOKUP(Table1[RespondentID],'All Data'!$A$3:$CW$999,99,FALSE),"unknown")</f>
        <v>0</v>
      </c>
    </row>
    <row r="254" spans="1:28">
      <c r="A254" s="5">
        <v>18019095658</v>
      </c>
      <c r="B254" s="5" t="s">
        <v>64</v>
      </c>
      <c r="C254" s="5"/>
      <c r="D254" s="5"/>
      <c r="E254" s="5" t="s">
        <v>67</v>
      </c>
      <c r="F254" s="5"/>
      <c r="G254" s="5"/>
      <c r="H254" s="5" t="s">
        <v>70</v>
      </c>
      <c r="I254" s="5"/>
      <c r="J254" s="5"/>
      <c r="K254" s="5" t="s">
        <v>73</v>
      </c>
      <c r="L254" s="5"/>
      <c r="M254" s="5"/>
      <c r="N254" s="5"/>
      <c r="O254" s="147"/>
      <c r="P254" s="120" t="str">
        <f>IFERROR(VLOOKUP(Table1[RespondentID],'All Data'!$A$3:$CO$999,87,FALSE),"unknown")</f>
        <v>Man</v>
      </c>
      <c r="Q254" s="120">
        <f>IFERROR(VLOOKUP(Table1[RespondentID],'All Data'!$A$3:$CO$999,88,FALSE),"unknown")</f>
        <v>49</v>
      </c>
      <c r="R254" s="120" t="str">
        <f>IFERROR(VLOOKUP(Table1[RespondentID],'All Data'!$A$3:$CO$999,89,FALSE),"unknown")</f>
        <v>Suffolk</v>
      </c>
      <c r="S254" s="120" t="str">
        <f>IFERROR(VLOOKUP(Table1[RespondentID],'All Data'!$A$3:$CO$999,90,FALSE),"unknown")</f>
        <v>West Islip, 11795</v>
      </c>
      <c r="T254" s="120" t="str">
        <f>IFERROR(VLOOKUP(Table1[RespondentID],'All Data'!$A$3:$CO$999,91,FALSE),"unknown")</f>
        <v>White</v>
      </c>
      <c r="U254" s="120" t="str">
        <f>IFERROR(VLOOKUP(Table1[RespondentID],'All Data'!$A$3:$CO$999,92,FALSE),"unknown")</f>
        <v>Hispanic or Latino</v>
      </c>
      <c r="V254" s="120" t="str">
        <f>IFERROR(VLOOKUP(Table1[RespondentID],'All Data'!$A$3:$CO$999,93,FALSE),"unknown")</f>
        <v>English</v>
      </c>
      <c r="W254" s="120" t="str">
        <f>IFERROR(VLOOKUP(Table1[RespondentID],'All Data'!$A$3:$CW$999,94,FALSE),"unknown")</f>
        <v>Over $125,000</v>
      </c>
      <c r="X254" s="120" t="str">
        <f>IFERROR(VLOOKUP(Table1[RespondentID],'All Data'!$A$3:$CW$999,95,FALSE),"unknown")</f>
        <v>College graduate</v>
      </c>
      <c r="Y254" s="120" t="str">
        <f>IFERROR(VLOOKUP(Table1[RespondentID],'All Data'!$A$3:$CW$999,96,FALSE),"unknown")</f>
        <v>Employed for wages</v>
      </c>
      <c r="Z254" s="120" t="str">
        <f>IFERROR(VLOOKUP(Table1[RespondentID],'All Data'!$A$3:$CW$999,97,FALSE),"unknown")</f>
        <v>Yes</v>
      </c>
      <c r="AA254" s="120">
        <f>IFERROR(VLOOKUP(Table1[RespondentID],'All Data'!$A$3:$CW$999,98,FALSE),"unknown")</f>
        <v>0</v>
      </c>
      <c r="AB254" s="150">
        <f>IFERROR(VLOOKUP(Table1[RespondentID],'All Data'!$A$3:$CW$999,99,FALSE),"unknown")</f>
        <v>0</v>
      </c>
    </row>
    <row r="255" spans="1:28">
      <c r="A255" s="5">
        <v>18019095504</v>
      </c>
      <c r="B255" s="5" t="s">
        <v>64</v>
      </c>
      <c r="C255" s="5"/>
      <c r="D255" s="5" t="s">
        <v>66</v>
      </c>
      <c r="E255" s="5"/>
      <c r="F255" s="5"/>
      <c r="G255" s="5"/>
      <c r="H255" s="5"/>
      <c r="I255" s="5"/>
      <c r="J255" s="5" t="s">
        <v>72</v>
      </c>
      <c r="K255" s="5" t="s">
        <v>73</v>
      </c>
      <c r="L255" s="5"/>
      <c r="M255" s="5" t="s">
        <v>75</v>
      </c>
      <c r="N255" s="5"/>
      <c r="O255" s="147"/>
      <c r="P255" s="120" t="str">
        <f>IFERROR(VLOOKUP(Table1[RespondentID],'All Data'!$A$3:$CO$999,87,FALSE),"unknown")</f>
        <v>Woman</v>
      </c>
      <c r="Q255" s="120">
        <f>IFERROR(VLOOKUP(Table1[RespondentID],'All Data'!$A$3:$CO$999,88,FALSE),"unknown")</f>
        <v>49</v>
      </c>
      <c r="R255" s="120" t="str">
        <f>IFERROR(VLOOKUP(Table1[RespondentID],'All Data'!$A$3:$CO$999,89,FALSE),"unknown")</f>
        <v>Suffolk</v>
      </c>
      <c r="S255" s="120" t="str">
        <f>IFERROR(VLOOKUP(Table1[RespondentID],'All Data'!$A$3:$CO$999,90,FALSE),"unknown")</f>
        <v>Coram, 11727</v>
      </c>
      <c r="T255" s="120" t="str">
        <f>IFERROR(VLOOKUP(Table1[RespondentID],'All Data'!$A$3:$CO$999,91,FALSE),"unknown")</f>
        <v>White</v>
      </c>
      <c r="U255" s="120">
        <f>IFERROR(VLOOKUP(Table1[RespondentID],'All Data'!$A$3:$CO$999,92,FALSE),"unknown")</f>
        <v>0</v>
      </c>
      <c r="V255" s="120" t="str">
        <f>IFERROR(VLOOKUP(Table1[RespondentID],'All Data'!$A$3:$CO$999,93,FALSE),"unknown")</f>
        <v>English</v>
      </c>
      <c r="W255" s="120" t="str">
        <f>IFERROR(VLOOKUP(Table1[RespondentID],'All Data'!$A$3:$CW$999,94,FALSE),"unknown")</f>
        <v>$75,000 to $125,000</v>
      </c>
      <c r="X255" s="120" t="str">
        <f>IFERROR(VLOOKUP(Table1[RespondentID],'All Data'!$A$3:$CW$999,95,FALSE),"unknown")</f>
        <v>College graduate</v>
      </c>
      <c r="Y255" s="120" t="str">
        <f>IFERROR(VLOOKUP(Table1[RespondentID],'All Data'!$A$3:$CW$999,96,FALSE),"unknown")</f>
        <v>Employed for wages</v>
      </c>
      <c r="Z255" s="120" t="str">
        <f>IFERROR(VLOOKUP(Table1[RespondentID],'All Data'!$A$3:$CW$999,97,FALSE),"unknown")</f>
        <v>Yes</v>
      </c>
      <c r="AA255" s="120">
        <f>IFERROR(VLOOKUP(Table1[RespondentID],'All Data'!$A$3:$CW$999,98,FALSE),"unknown")</f>
        <v>0</v>
      </c>
      <c r="AB255" s="150">
        <f>IFERROR(VLOOKUP(Table1[RespondentID],'All Data'!$A$3:$CW$999,99,FALSE),"unknown")</f>
        <v>0</v>
      </c>
    </row>
    <row r="256" spans="1:28">
      <c r="A256" s="5">
        <v>18019095328</v>
      </c>
      <c r="B256" s="5" t="s">
        <v>64</v>
      </c>
      <c r="C256" s="5"/>
      <c r="D256" s="5"/>
      <c r="E256" s="5" t="s">
        <v>67</v>
      </c>
      <c r="F256" s="5"/>
      <c r="G256" s="5"/>
      <c r="H256" s="5"/>
      <c r="I256" s="5"/>
      <c r="J256" s="5"/>
      <c r="K256" s="5" t="s">
        <v>73</v>
      </c>
      <c r="L256" s="5"/>
      <c r="M256" s="5"/>
      <c r="N256" s="5"/>
      <c r="O256" s="147"/>
      <c r="P256" s="120" t="str">
        <f>IFERROR(VLOOKUP(Table1[RespondentID],'All Data'!$A$3:$CO$999,87,FALSE),"unknown")</f>
        <v>Man</v>
      </c>
      <c r="Q256" s="120">
        <f>IFERROR(VLOOKUP(Table1[RespondentID],'All Data'!$A$3:$CO$999,88,FALSE),"unknown")</f>
        <v>48</v>
      </c>
      <c r="R256" s="120" t="str">
        <f>IFERROR(VLOOKUP(Table1[RespondentID],'All Data'!$A$3:$CO$999,89,FALSE),"unknown")</f>
        <v>Suffolk</v>
      </c>
      <c r="S256" s="120" t="str">
        <f>IFERROR(VLOOKUP(Table1[RespondentID],'All Data'!$A$3:$CO$999,90,FALSE),"unknown")</f>
        <v>Commack, 11725</v>
      </c>
      <c r="T256" s="120" t="str">
        <f>IFERROR(VLOOKUP(Table1[RespondentID],'All Data'!$A$3:$CO$999,91,FALSE),"unknown")</f>
        <v>White</v>
      </c>
      <c r="U256" s="120" t="str">
        <f>IFERROR(VLOOKUP(Table1[RespondentID],'All Data'!$A$3:$CO$999,92,FALSE),"unknown")</f>
        <v>Hispanic or Latino</v>
      </c>
      <c r="V256" s="120" t="str">
        <f>IFERROR(VLOOKUP(Table1[RespondentID],'All Data'!$A$3:$CO$999,93,FALSE),"unknown")</f>
        <v>English</v>
      </c>
      <c r="W256" s="120" t="str">
        <f>IFERROR(VLOOKUP(Table1[RespondentID],'All Data'!$A$3:$CW$999,94,FALSE),"unknown")</f>
        <v>Over $125,000</v>
      </c>
      <c r="X256" s="120" t="str">
        <f>IFERROR(VLOOKUP(Table1[RespondentID],'All Data'!$A$3:$CW$999,95,FALSE),"unknown")</f>
        <v>College graduate</v>
      </c>
      <c r="Y256" s="120" t="str">
        <f>IFERROR(VLOOKUP(Table1[RespondentID],'All Data'!$A$3:$CW$999,96,FALSE),"unknown")</f>
        <v>Out of work, but not currently looking</v>
      </c>
      <c r="Z256" s="120" t="str">
        <f>IFERROR(VLOOKUP(Table1[RespondentID],'All Data'!$A$3:$CW$999,97,FALSE),"unknown")</f>
        <v>Yes</v>
      </c>
      <c r="AA256" s="120">
        <f>IFERROR(VLOOKUP(Table1[RespondentID],'All Data'!$A$3:$CW$999,98,FALSE),"unknown")</f>
        <v>0</v>
      </c>
      <c r="AB256" s="150">
        <f>IFERROR(VLOOKUP(Table1[RespondentID],'All Data'!$A$3:$CW$999,99,FALSE),"unknown")</f>
        <v>0</v>
      </c>
    </row>
    <row r="257" spans="1:28">
      <c r="A257" s="5">
        <v>18019095130</v>
      </c>
      <c r="B257" s="5" t="s">
        <v>64</v>
      </c>
      <c r="C257" s="5"/>
      <c r="D257" s="5"/>
      <c r="E257" s="5"/>
      <c r="F257" s="5"/>
      <c r="G257" s="5"/>
      <c r="H257" s="5"/>
      <c r="I257" s="5"/>
      <c r="J257" s="5"/>
      <c r="K257" s="5" t="s">
        <v>73</v>
      </c>
      <c r="L257" s="5"/>
      <c r="M257" s="5"/>
      <c r="N257" s="5"/>
      <c r="O257" s="148"/>
      <c r="P257" s="120" t="str">
        <f>IFERROR(VLOOKUP(Table1[RespondentID],'All Data'!$A$3:$CO$999,87,FALSE),"unknown")</f>
        <v>Woman</v>
      </c>
      <c r="Q257" s="120">
        <f>IFERROR(VLOOKUP(Table1[RespondentID],'All Data'!$A$3:$CO$999,88,FALSE),"unknown")</f>
        <v>50</v>
      </c>
      <c r="R257" s="120" t="str">
        <f>IFERROR(VLOOKUP(Table1[RespondentID],'All Data'!$A$3:$CO$999,89,FALSE),"unknown")</f>
        <v>Suffolk</v>
      </c>
      <c r="S257" s="120" t="str">
        <f>IFERROR(VLOOKUP(Table1[RespondentID],'All Data'!$A$3:$CO$999,90,FALSE),"unknown")</f>
        <v>Nesconset, 11767</v>
      </c>
      <c r="T257" s="120" t="str">
        <f>IFERROR(VLOOKUP(Table1[RespondentID],'All Data'!$A$3:$CO$999,91,FALSE),"unknown")</f>
        <v>White</v>
      </c>
      <c r="U257" s="120" t="str">
        <f>IFERROR(VLOOKUP(Table1[RespondentID],'All Data'!$A$3:$CO$999,92,FALSE),"unknown")</f>
        <v>Hispanic or Latino</v>
      </c>
      <c r="V257" s="120" t="str">
        <f>IFERROR(VLOOKUP(Table1[RespondentID],'All Data'!$A$3:$CO$999,93,FALSE),"unknown")</f>
        <v>English</v>
      </c>
      <c r="W257" s="120" t="str">
        <f>IFERROR(VLOOKUP(Table1[RespondentID],'All Data'!$A$3:$CW$999,94,FALSE),"unknown")</f>
        <v>$75,000 to $125,000</v>
      </c>
      <c r="X257" s="120" t="str">
        <f>IFERROR(VLOOKUP(Table1[RespondentID],'All Data'!$A$3:$CW$999,95,FALSE),"unknown")</f>
        <v>High school graduate</v>
      </c>
      <c r="Y257" s="120" t="str">
        <f>IFERROR(VLOOKUP(Table1[RespondentID],'All Data'!$A$3:$CW$999,96,FALSE),"unknown")</f>
        <v>Employed for wages</v>
      </c>
      <c r="Z257" s="120" t="str">
        <f>IFERROR(VLOOKUP(Table1[RespondentID],'All Data'!$A$3:$CW$999,97,FALSE),"unknown")</f>
        <v>Yes</v>
      </c>
      <c r="AA257" s="120">
        <f>IFERROR(VLOOKUP(Table1[RespondentID],'All Data'!$A$3:$CW$999,98,FALSE),"unknown")</f>
        <v>0</v>
      </c>
      <c r="AB257" s="150">
        <f>IFERROR(VLOOKUP(Table1[RespondentID],'All Data'!$A$3:$CW$999,99,FALSE),"unknown")</f>
        <v>0</v>
      </c>
    </row>
    <row r="258" spans="1:28">
      <c r="A258" s="5">
        <v>18019094934</v>
      </c>
      <c r="B258" s="5" t="s">
        <v>64</v>
      </c>
      <c r="C258" s="5"/>
      <c r="D258" s="5"/>
      <c r="E258" s="5"/>
      <c r="F258" s="5" t="s">
        <v>68</v>
      </c>
      <c r="G258" s="5"/>
      <c r="H258" s="5"/>
      <c r="I258" s="5"/>
      <c r="J258" s="5"/>
      <c r="K258" s="5"/>
      <c r="L258" s="5"/>
      <c r="M258" s="5" t="s">
        <v>75</v>
      </c>
      <c r="N258" s="5"/>
      <c r="O258" s="148"/>
      <c r="P258" s="120" t="str">
        <f>IFERROR(VLOOKUP(Table1[RespondentID],'All Data'!$A$3:$CO$999,87,FALSE),"unknown")</f>
        <v>Man</v>
      </c>
      <c r="Q258" s="120">
        <f>IFERROR(VLOOKUP(Table1[RespondentID],'All Data'!$A$3:$CO$999,88,FALSE),"unknown")</f>
        <v>50</v>
      </c>
      <c r="R258" s="120" t="str">
        <f>IFERROR(VLOOKUP(Table1[RespondentID],'All Data'!$A$3:$CO$999,89,FALSE),"unknown")</f>
        <v>Suffolk</v>
      </c>
      <c r="S258" s="120" t="str">
        <f>IFERROR(VLOOKUP(Table1[RespondentID],'All Data'!$A$3:$CO$999,90,FALSE),"unknown")</f>
        <v>Greenlawn, 11740</v>
      </c>
      <c r="T258" s="120" t="str">
        <f>IFERROR(VLOOKUP(Table1[RespondentID],'All Data'!$A$3:$CO$999,91,FALSE),"unknown")</f>
        <v>White</v>
      </c>
      <c r="U258" s="120" t="str">
        <f>IFERROR(VLOOKUP(Table1[RespondentID],'All Data'!$A$3:$CO$999,92,FALSE),"unknown")</f>
        <v>Hispanic or Latino</v>
      </c>
      <c r="V258" s="120" t="str">
        <f>IFERROR(VLOOKUP(Table1[RespondentID],'All Data'!$A$3:$CO$999,93,FALSE),"unknown")</f>
        <v>English</v>
      </c>
      <c r="W258" s="120" t="str">
        <f>IFERROR(VLOOKUP(Table1[RespondentID],'All Data'!$A$3:$CW$999,94,FALSE),"unknown")</f>
        <v>Over $125,000</v>
      </c>
      <c r="X258" s="120" t="str">
        <f>IFERROR(VLOOKUP(Table1[RespondentID],'All Data'!$A$3:$CW$999,95,FALSE),"unknown")</f>
        <v>College graduate</v>
      </c>
      <c r="Y258" s="120" t="str">
        <f>IFERROR(VLOOKUP(Table1[RespondentID],'All Data'!$A$3:$CW$999,96,FALSE),"unknown")</f>
        <v>Employed for wages</v>
      </c>
      <c r="Z258" s="120" t="str">
        <f>IFERROR(VLOOKUP(Table1[RespondentID],'All Data'!$A$3:$CW$999,97,FALSE),"unknown")</f>
        <v>Yes</v>
      </c>
      <c r="AA258" s="120">
        <f>IFERROR(VLOOKUP(Table1[RespondentID],'All Data'!$A$3:$CW$999,98,FALSE),"unknown")</f>
        <v>0</v>
      </c>
      <c r="AB258" s="150">
        <f>IFERROR(VLOOKUP(Table1[RespondentID],'All Data'!$A$3:$CW$999,99,FALSE),"unknown")</f>
        <v>0</v>
      </c>
    </row>
    <row r="259" spans="1:28">
      <c r="A259" s="5">
        <v>18019094740</v>
      </c>
      <c r="B259" s="5" t="s">
        <v>64</v>
      </c>
      <c r="C259" s="5"/>
      <c r="D259" s="5"/>
      <c r="E259" s="5"/>
      <c r="F259" s="5"/>
      <c r="G259" s="5"/>
      <c r="H259" s="5"/>
      <c r="I259" s="5"/>
      <c r="J259" s="5"/>
      <c r="K259" s="5"/>
      <c r="L259" s="5"/>
      <c r="M259" s="5" t="s">
        <v>75</v>
      </c>
      <c r="N259" s="5"/>
      <c r="O259" s="148"/>
      <c r="P259" s="120" t="str">
        <f>IFERROR(VLOOKUP(Table1[RespondentID],'All Data'!$A$3:$CO$999,87,FALSE),"unknown")</f>
        <v>Man</v>
      </c>
      <c r="Q259" s="120">
        <f>IFERROR(VLOOKUP(Table1[RespondentID],'All Data'!$A$3:$CO$999,88,FALSE),"unknown")</f>
        <v>52</v>
      </c>
      <c r="R259" s="120" t="str">
        <f>IFERROR(VLOOKUP(Table1[RespondentID],'All Data'!$A$3:$CO$999,89,FALSE),"unknown")</f>
        <v>Suffolk</v>
      </c>
      <c r="S259" s="120" t="str">
        <f>IFERROR(VLOOKUP(Table1[RespondentID],'All Data'!$A$3:$CO$999,90,FALSE),"unknown")</f>
        <v>Centerport, 11721</v>
      </c>
      <c r="T259" s="120" t="str">
        <f>IFERROR(VLOOKUP(Table1[RespondentID],'All Data'!$A$3:$CO$999,91,FALSE),"unknown")</f>
        <v>White</v>
      </c>
      <c r="U259" s="120" t="str">
        <f>IFERROR(VLOOKUP(Table1[RespondentID],'All Data'!$A$3:$CO$999,92,FALSE),"unknown")</f>
        <v>Hispanic or Latino</v>
      </c>
      <c r="V259" s="120" t="str">
        <f>IFERROR(VLOOKUP(Table1[RespondentID],'All Data'!$A$3:$CO$999,93,FALSE),"unknown")</f>
        <v>English</v>
      </c>
      <c r="W259" s="120" t="str">
        <f>IFERROR(VLOOKUP(Table1[RespondentID],'All Data'!$A$3:$CW$999,94,FALSE),"unknown")</f>
        <v>Over $125,000</v>
      </c>
      <c r="X259" s="120" t="str">
        <f>IFERROR(VLOOKUP(Table1[RespondentID],'All Data'!$A$3:$CW$999,95,FALSE),"unknown")</f>
        <v>College graduate</v>
      </c>
      <c r="Y259" s="120" t="str">
        <f>IFERROR(VLOOKUP(Table1[RespondentID],'All Data'!$A$3:$CW$999,96,FALSE),"unknown")</f>
        <v>Self-employed</v>
      </c>
      <c r="Z259" s="120" t="str">
        <f>IFERROR(VLOOKUP(Table1[RespondentID],'All Data'!$A$3:$CW$999,97,FALSE),"unknown")</f>
        <v>Yes</v>
      </c>
      <c r="AA259" s="120">
        <f>IFERROR(VLOOKUP(Table1[RespondentID],'All Data'!$A$3:$CW$999,98,FALSE),"unknown")</f>
        <v>0</v>
      </c>
      <c r="AB259" s="150">
        <f>IFERROR(VLOOKUP(Table1[RespondentID],'All Data'!$A$3:$CW$999,99,FALSE),"unknown")</f>
        <v>0</v>
      </c>
    </row>
    <row r="260" spans="1:28">
      <c r="A260" s="5">
        <v>18018964801</v>
      </c>
      <c r="B260" s="5" t="s">
        <v>64</v>
      </c>
      <c r="C260" s="5"/>
      <c r="D260" s="5"/>
      <c r="E260" s="5"/>
      <c r="F260" s="5"/>
      <c r="G260" s="5"/>
      <c r="H260" s="5"/>
      <c r="I260" s="5"/>
      <c r="J260" s="5"/>
      <c r="K260" s="5"/>
      <c r="L260" s="5"/>
      <c r="M260" s="5"/>
      <c r="N260" s="5"/>
      <c r="O260" s="148"/>
      <c r="P260" s="120" t="str">
        <f>IFERROR(VLOOKUP(Table1[RespondentID],'All Data'!$A$3:$CO$999,87,FALSE),"unknown")</f>
        <v>Woman</v>
      </c>
      <c r="Q260" s="120">
        <f>IFERROR(VLOOKUP(Table1[RespondentID],'All Data'!$A$3:$CO$999,88,FALSE),"unknown")</f>
        <v>60</v>
      </c>
      <c r="R260" s="120" t="str">
        <f>IFERROR(VLOOKUP(Table1[RespondentID],'All Data'!$A$3:$CO$999,89,FALSE),"unknown")</f>
        <v>Suffolk</v>
      </c>
      <c r="S260" s="120" t="str">
        <f>IFERROR(VLOOKUP(Table1[RespondentID],'All Data'!$A$3:$CO$999,90,FALSE),"unknown")</f>
        <v>Yaphank, 11980</v>
      </c>
      <c r="T260" s="120" t="str">
        <f>IFERROR(VLOOKUP(Table1[RespondentID],'All Data'!$A$3:$CO$999,91,FALSE),"unknown")</f>
        <v>White</v>
      </c>
      <c r="U260" s="120" t="str">
        <f>IFERROR(VLOOKUP(Table1[RespondentID],'All Data'!$A$3:$CO$999,92,FALSE),"unknown")</f>
        <v>Hispanic or Latino</v>
      </c>
      <c r="V260" s="120" t="str">
        <f>IFERROR(VLOOKUP(Table1[RespondentID],'All Data'!$A$3:$CO$999,93,FALSE),"unknown")</f>
        <v>English</v>
      </c>
      <c r="W260" s="120" t="str">
        <f>IFERROR(VLOOKUP(Table1[RespondentID],'All Data'!$A$3:$CW$999,94,FALSE),"unknown")</f>
        <v>Over $125,000</v>
      </c>
      <c r="X260" s="120" t="str">
        <f>IFERROR(VLOOKUP(Table1[RespondentID],'All Data'!$A$3:$CW$999,95,FALSE),"unknown")</f>
        <v>Other (please specify)</v>
      </c>
      <c r="Y260" s="120" t="str">
        <f>IFERROR(VLOOKUP(Table1[RespondentID],'All Data'!$A$3:$CW$999,96,FALSE),"unknown")</f>
        <v>Employed for wages</v>
      </c>
      <c r="Z260" s="120" t="str">
        <f>IFERROR(VLOOKUP(Table1[RespondentID],'All Data'!$A$3:$CW$999,97,FALSE),"unknown")</f>
        <v>Yes</v>
      </c>
      <c r="AA260" s="120" t="str">
        <f>IFERROR(VLOOKUP(Table1[RespondentID],'All Data'!$A$3:$CW$999,98,FALSE),"unknown")</f>
        <v>Private/Commercial</v>
      </c>
      <c r="AB260" s="150" t="str">
        <f>IFERROR(VLOOKUP(Table1[RespondentID],'All Data'!$A$3:$CW$999,99,FALSE),"unknown")</f>
        <v>Yes</v>
      </c>
    </row>
    <row r="261" spans="1:28">
      <c r="A261" s="5">
        <v>18018757371</v>
      </c>
      <c r="B261" s="5" t="s">
        <v>64</v>
      </c>
      <c r="C261" s="5"/>
      <c r="D261" s="5"/>
      <c r="E261" s="5"/>
      <c r="F261" s="5"/>
      <c r="G261" s="5" t="s">
        <v>69</v>
      </c>
      <c r="H261" s="5" t="s">
        <v>70</v>
      </c>
      <c r="I261" s="5"/>
      <c r="J261" s="5"/>
      <c r="K261" s="5" t="s">
        <v>73</v>
      </c>
      <c r="L261" s="5"/>
      <c r="M261" s="5"/>
      <c r="N261" s="5"/>
      <c r="O261" s="148"/>
      <c r="P261" s="120" t="str">
        <f>IFERROR(VLOOKUP(Table1[RespondentID],'All Data'!$A$3:$CO$999,87,FALSE),"unknown")</f>
        <v>Man</v>
      </c>
      <c r="Q261" s="120">
        <f>IFERROR(VLOOKUP(Table1[RespondentID],'All Data'!$A$3:$CO$999,88,FALSE),"unknown")</f>
        <v>40</v>
      </c>
      <c r="R261" s="120" t="str">
        <f>IFERROR(VLOOKUP(Table1[RespondentID],'All Data'!$A$3:$CO$999,89,FALSE),"unknown")</f>
        <v>Suffolk</v>
      </c>
      <c r="S261" s="120" t="str">
        <f>IFERROR(VLOOKUP(Table1[RespondentID],'All Data'!$A$3:$CO$999,90,FALSE),"unknown")</f>
        <v>Babylon, 11703</v>
      </c>
      <c r="T261" s="120" t="str">
        <f>IFERROR(VLOOKUP(Table1[RespondentID],'All Data'!$A$3:$CO$999,91,FALSE),"unknown")</f>
        <v>White</v>
      </c>
      <c r="U261" s="120" t="str">
        <f>IFERROR(VLOOKUP(Table1[RespondentID],'All Data'!$A$3:$CO$999,92,FALSE),"unknown")</f>
        <v>Hispanic or Latino</v>
      </c>
      <c r="V261" s="120" t="str">
        <f>IFERROR(VLOOKUP(Table1[RespondentID],'All Data'!$A$3:$CO$999,93,FALSE),"unknown")</f>
        <v>English</v>
      </c>
      <c r="W261" s="120" t="str">
        <f>IFERROR(VLOOKUP(Table1[RespondentID],'All Data'!$A$3:$CW$999,94,FALSE),"unknown")</f>
        <v>$50,000 to $74,999</v>
      </c>
      <c r="X261" s="120" t="str">
        <f>IFERROR(VLOOKUP(Table1[RespondentID],'All Data'!$A$3:$CW$999,95,FALSE),"unknown")</f>
        <v>Some college</v>
      </c>
      <c r="Y261" s="120" t="str">
        <f>IFERROR(VLOOKUP(Table1[RespondentID],'All Data'!$A$3:$CW$999,96,FALSE),"unknown")</f>
        <v>Out of work and looking for work</v>
      </c>
      <c r="Z261" s="120" t="str">
        <f>IFERROR(VLOOKUP(Table1[RespondentID],'All Data'!$A$3:$CW$999,97,FALSE),"unknown")</f>
        <v>Yes</v>
      </c>
      <c r="AA261" s="120" t="str">
        <f>IFERROR(VLOOKUP(Table1[RespondentID],'All Data'!$A$3:$CW$999,98,FALSE),"unknown")</f>
        <v>Medicaid</v>
      </c>
      <c r="AB261" s="150" t="str">
        <f>IFERROR(VLOOKUP(Table1[RespondentID],'All Data'!$A$3:$CW$999,99,FALSE),"unknown")</f>
        <v>No</v>
      </c>
    </row>
    <row r="262" spans="1:28">
      <c r="A262" s="5">
        <v>18018472615</v>
      </c>
      <c r="B262" s="5" t="s">
        <v>64</v>
      </c>
      <c r="C262" s="5"/>
      <c r="D262" s="5"/>
      <c r="E262" s="5"/>
      <c r="F262" s="5"/>
      <c r="G262" s="5"/>
      <c r="H262" s="5"/>
      <c r="I262" s="5"/>
      <c r="J262" s="5"/>
      <c r="K262" s="5"/>
      <c r="L262" s="5"/>
      <c r="M262" s="5" t="s">
        <v>75</v>
      </c>
      <c r="N262" s="5"/>
      <c r="O262" s="148"/>
      <c r="P262" s="120" t="str">
        <f>IFERROR(VLOOKUP(Table1[RespondentID],'All Data'!$A$3:$CO$999,87,FALSE),"unknown")</f>
        <v>Man</v>
      </c>
      <c r="Q262" s="120">
        <f>IFERROR(VLOOKUP(Table1[RespondentID],'All Data'!$A$3:$CO$999,88,FALSE),"unknown")</f>
        <v>41</v>
      </c>
      <c r="R262" s="120" t="str">
        <f>IFERROR(VLOOKUP(Table1[RespondentID],'All Data'!$A$3:$CO$999,89,FALSE),"unknown")</f>
        <v>Suffolk</v>
      </c>
      <c r="S262" s="120" t="str">
        <f>IFERROR(VLOOKUP(Table1[RespondentID],'All Data'!$A$3:$CO$999,90,FALSE),"unknown")</f>
        <v>Lindenhurst, 11757</v>
      </c>
      <c r="T262" s="120" t="str">
        <f>IFERROR(VLOOKUP(Table1[RespondentID],'All Data'!$A$3:$CO$999,91,FALSE),"unknown")</f>
        <v>Other (please specify)</v>
      </c>
      <c r="U262" s="120">
        <f>IFERROR(VLOOKUP(Table1[RespondentID],'All Data'!$A$3:$CO$999,92,FALSE),"unknown")</f>
        <v>0</v>
      </c>
      <c r="V262" s="120" t="str">
        <f>IFERROR(VLOOKUP(Table1[RespondentID],'All Data'!$A$3:$CO$999,93,FALSE),"unknown")</f>
        <v>English</v>
      </c>
      <c r="W262" s="120" t="str">
        <f>IFERROR(VLOOKUP(Table1[RespondentID],'All Data'!$A$3:$CW$999,94,FALSE),"unknown")</f>
        <v>$75,000 to $125,000</v>
      </c>
      <c r="X262" s="120" t="str">
        <f>IFERROR(VLOOKUP(Table1[RespondentID],'All Data'!$A$3:$CW$999,95,FALSE),"unknown")</f>
        <v>College graduate</v>
      </c>
      <c r="Y262" s="120" t="str">
        <f>IFERROR(VLOOKUP(Table1[RespondentID],'All Data'!$A$3:$CW$999,96,FALSE),"unknown")</f>
        <v>Employed for wages</v>
      </c>
      <c r="Z262" s="120" t="str">
        <f>IFERROR(VLOOKUP(Table1[RespondentID],'All Data'!$A$3:$CW$999,97,FALSE),"unknown")</f>
        <v>Yes</v>
      </c>
      <c r="AA262" s="120" t="str">
        <f>IFERROR(VLOOKUP(Table1[RespondentID],'All Data'!$A$3:$CW$999,98,FALSE),"unknown")</f>
        <v>Private/Commercial</v>
      </c>
      <c r="AB262" s="150" t="str">
        <f>IFERROR(VLOOKUP(Table1[RespondentID],'All Data'!$A$3:$CW$999,99,FALSE),"unknown")</f>
        <v>Yes</v>
      </c>
    </row>
    <row r="263" spans="1:28">
      <c r="A263" s="5">
        <v>18018191958</v>
      </c>
      <c r="B263" s="5"/>
      <c r="C263" s="5"/>
      <c r="D263" s="5"/>
      <c r="E263" s="5"/>
      <c r="F263" s="5"/>
      <c r="G263" s="5"/>
      <c r="H263" s="5"/>
      <c r="I263" s="5"/>
      <c r="J263" s="5"/>
      <c r="K263" s="5"/>
      <c r="L263" s="5"/>
      <c r="M263" s="5"/>
      <c r="N263" s="5"/>
      <c r="O263" s="148"/>
      <c r="P263" s="120">
        <f>IFERROR(VLOOKUP(Table1[RespondentID],'All Data'!$A$3:$CO$999,87,FALSE),"unknown")</f>
        <v>0</v>
      </c>
      <c r="Q263" s="120">
        <f>IFERROR(VLOOKUP(Table1[RespondentID],'All Data'!$A$3:$CO$999,88,FALSE),"unknown")</f>
        <v>0</v>
      </c>
      <c r="R263" s="120">
        <f>IFERROR(VLOOKUP(Table1[RespondentID],'All Data'!$A$3:$CO$999,89,FALSE),"unknown")</f>
        <v>0</v>
      </c>
      <c r="S263" s="120" t="str">
        <f>IFERROR(VLOOKUP(Table1[RespondentID],'All Data'!$A$3:$CO$999,90,FALSE),"unknown")</f>
        <v>Levittown, 11756</v>
      </c>
      <c r="T263" s="120">
        <f>IFERROR(VLOOKUP(Table1[RespondentID],'All Data'!$A$3:$CO$999,91,FALSE),"unknown")</f>
        <v>0</v>
      </c>
      <c r="U263" s="120">
        <f>IFERROR(VLOOKUP(Table1[RespondentID],'All Data'!$A$3:$CO$999,92,FALSE),"unknown")</f>
        <v>0</v>
      </c>
      <c r="V263" s="120">
        <f>IFERROR(VLOOKUP(Table1[RespondentID],'All Data'!$A$3:$CO$999,93,FALSE),"unknown")</f>
        <v>0</v>
      </c>
      <c r="W263" s="120">
        <f>IFERROR(VLOOKUP(Table1[RespondentID],'All Data'!$A$3:$CW$999,94,FALSE),"unknown")</f>
        <v>0</v>
      </c>
      <c r="X263" s="120">
        <f>IFERROR(VLOOKUP(Table1[RespondentID],'All Data'!$A$3:$CW$999,95,FALSE),"unknown")</f>
        <v>0</v>
      </c>
      <c r="Y263" s="120">
        <f>IFERROR(VLOOKUP(Table1[RespondentID],'All Data'!$A$3:$CW$999,96,FALSE),"unknown")</f>
        <v>0</v>
      </c>
      <c r="Z263" s="120">
        <f>IFERROR(VLOOKUP(Table1[RespondentID],'All Data'!$A$3:$CW$999,97,FALSE),"unknown")</f>
        <v>0</v>
      </c>
      <c r="AA263" s="120">
        <f>IFERROR(VLOOKUP(Table1[RespondentID],'All Data'!$A$3:$CW$999,98,FALSE),"unknown")</f>
        <v>0</v>
      </c>
      <c r="AB263" s="150">
        <f>IFERROR(VLOOKUP(Table1[RespondentID],'All Data'!$A$3:$CW$999,99,FALSE),"unknown")</f>
        <v>0</v>
      </c>
    </row>
    <row r="264" spans="1:28">
      <c r="A264" s="5">
        <v>18018187534</v>
      </c>
      <c r="B264" s="5" t="s">
        <v>64</v>
      </c>
      <c r="C264" s="5"/>
      <c r="D264" s="5"/>
      <c r="E264" s="5"/>
      <c r="F264" s="5" t="s">
        <v>68</v>
      </c>
      <c r="G264" s="5"/>
      <c r="H264" s="5" t="s">
        <v>70</v>
      </c>
      <c r="I264" s="5"/>
      <c r="J264" s="5"/>
      <c r="K264" s="5"/>
      <c r="L264" s="5"/>
      <c r="M264" s="5" t="s">
        <v>75</v>
      </c>
      <c r="N264" s="5"/>
      <c r="O264" s="148"/>
      <c r="P264" s="120" t="str">
        <f>IFERROR(VLOOKUP(Table1[RespondentID],'All Data'!$A$3:$CO$999,87,FALSE),"unknown")</f>
        <v>Man</v>
      </c>
      <c r="Q264" s="120">
        <f>IFERROR(VLOOKUP(Table1[RespondentID],'All Data'!$A$3:$CO$999,88,FALSE),"unknown")</f>
        <v>32</v>
      </c>
      <c r="R264" s="120" t="str">
        <f>IFERROR(VLOOKUP(Table1[RespondentID],'All Data'!$A$3:$CO$999,89,FALSE),"unknown")</f>
        <v>Nassau</v>
      </c>
      <c r="S264" s="120" t="str">
        <f>IFERROR(VLOOKUP(Table1[RespondentID],'All Data'!$A$3:$CO$999,90,FALSE),"unknown")</f>
        <v>Great Neck, 11026</v>
      </c>
      <c r="T264" s="120" t="str">
        <f>IFERROR(VLOOKUP(Table1[RespondentID],'All Data'!$A$3:$CO$999,91,FALSE),"unknown")</f>
        <v>White</v>
      </c>
      <c r="U264" s="120" t="str">
        <f>IFERROR(VLOOKUP(Table1[RespondentID],'All Data'!$A$3:$CO$999,92,FALSE),"unknown")</f>
        <v>Hispanic or Latino</v>
      </c>
      <c r="V264" s="120" t="str">
        <f>IFERROR(VLOOKUP(Table1[RespondentID],'All Data'!$A$3:$CO$999,93,FALSE),"unknown")</f>
        <v>English</v>
      </c>
      <c r="W264" s="120" t="str">
        <f>IFERROR(VLOOKUP(Table1[RespondentID],'All Data'!$A$3:$CW$999,94,FALSE),"unknown")</f>
        <v>$75,000 to $125,000</v>
      </c>
      <c r="X264" s="120" t="str">
        <f>IFERROR(VLOOKUP(Table1[RespondentID],'All Data'!$A$3:$CW$999,95,FALSE),"unknown")</f>
        <v>College graduate</v>
      </c>
      <c r="Y264" s="120" t="str">
        <f>IFERROR(VLOOKUP(Table1[RespondentID],'All Data'!$A$3:$CW$999,96,FALSE),"unknown")</f>
        <v>Employed for wages</v>
      </c>
      <c r="Z264" s="120" t="str">
        <f>IFERROR(VLOOKUP(Table1[RespondentID],'All Data'!$A$3:$CW$999,97,FALSE),"unknown")</f>
        <v>Yes</v>
      </c>
      <c r="AA264" s="120" t="str">
        <f>IFERROR(VLOOKUP(Table1[RespondentID],'All Data'!$A$3:$CW$999,98,FALSE),"unknown")</f>
        <v>Medicaid</v>
      </c>
      <c r="AB264" s="150" t="str">
        <f>IFERROR(VLOOKUP(Table1[RespondentID],'All Data'!$A$3:$CW$999,99,FALSE),"unknown")</f>
        <v>Yes</v>
      </c>
    </row>
    <row r="265" spans="1:28">
      <c r="A265" s="5">
        <v>18018187458</v>
      </c>
      <c r="B265" s="5" t="s">
        <v>64</v>
      </c>
      <c r="C265" s="5"/>
      <c r="D265" s="5"/>
      <c r="E265" s="5"/>
      <c r="F265" s="5" t="s">
        <v>68</v>
      </c>
      <c r="G265" s="5"/>
      <c r="H265" s="5"/>
      <c r="I265" s="5"/>
      <c r="J265" s="5"/>
      <c r="K265" s="5" t="s">
        <v>73</v>
      </c>
      <c r="L265" s="5"/>
      <c r="M265" s="5" t="s">
        <v>75</v>
      </c>
      <c r="N265" s="5"/>
      <c r="O265" s="148"/>
      <c r="P265" s="120" t="str">
        <f>IFERROR(VLOOKUP(Table1[RespondentID],'All Data'!$A$3:$CO$999,87,FALSE),"unknown")</f>
        <v>Man</v>
      </c>
      <c r="Q265" s="120">
        <f>IFERROR(VLOOKUP(Table1[RespondentID],'All Data'!$A$3:$CO$999,88,FALSE),"unknown")</f>
        <v>32</v>
      </c>
      <c r="R265" s="120" t="str">
        <f>IFERROR(VLOOKUP(Table1[RespondentID],'All Data'!$A$3:$CO$999,89,FALSE),"unknown")</f>
        <v>Nassau</v>
      </c>
      <c r="S265" s="120">
        <f>IFERROR(VLOOKUP(Table1[RespondentID],'All Data'!$A$3:$CO$999,90,FALSE),"unknown")</f>
        <v>0</v>
      </c>
      <c r="T265" s="120">
        <f>IFERROR(VLOOKUP(Table1[RespondentID],'All Data'!$A$3:$CO$999,91,FALSE),"unknown")</f>
        <v>0</v>
      </c>
      <c r="U265" s="120">
        <f>IFERROR(VLOOKUP(Table1[RespondentID],'All Data'!$A$3:$CO$999,92,FALSE),"unknown")</f>
        <v>0</v>
      </c>
      <c r="V265" s="120">
        <f>IFERROR(VLOOKUP(Table1[RespondentID],'All Data'!$A$3:$CO$999,93,FALSE),"unknown")</f>
        <v>0</v>
      </c>
      <c r="W265" s="120">
        <f>IFERROR(VLOOKUP(Table1[RespondentID],'All Data'!$A$3:$CW$999,94,FALSE),"unknown")</f>
        <v>0</v>
      </c>
      <c r="X265" s="120">
        <f>IFERROR(VLOOKUP(Table1[RespondentID],'All Data'!$A$3:$CW$999,95,FALSE),"unknown")</f>
        <v>0</v>
      </c>
      <c r="Y265" s="120">
        <f>IFERROR(VLOOKUP(Table1[RespondentID],'All Data'!$A$3:$CW$999,96,FALSE),"unknown")</f>
        <v>0</v>
      </c>
      <c r="Z265" s="120">
        <f>IFERROR(VLOOKUP(Table1[RespondentID],'All Data'!$A$3:$CW$999,97,FALSE),"unknown")</f>
        <v>0</v>
      </c>
      <c r="AA265" s="120">
        <f>IFERROR(VLOOKUP(Table1[RespondentID],'All Data'!$A$3:$CW$999,98,FALSE),"unknown")</f>
        <v>0</v>
      </c>
      <c r="AB265" s="150">
        <f>IFERROR(VLOOKUP(Table1[RespondentID],'All Data'!$A$3:$CW$999,99,FALSE),"unknown")</f>
        <v>0</v>
      </c>
    </row>
    <row r="266" spans="1:28">
      <c r="A266" s="5">
        <v>18017707683</v>
      </c>
      <c r="B266" s="5" t="s">
        <v>64</v>
      </c>
      <c r="C266" s="5"/>
      <c r="D266" s="5"/>
      <c r="E266" s="5"/>
      <c r="F266" s="5"/>
      <c r="G266" s="5"/>
      <c r="H266" s="5"/>
      <c r="I266" s="5"/>
      <c r="J266" s="5"/>
      <c r="K266" s="5" t="s">
        <v>73</v>
      </c>
      <c r="L266" s="5"/>
      <c r="M266" s="5"/>
      <c r="N266" s="5"/>
      <c r="O266" s="148"/>
      <c r="P266" s="120" t="str">
        <f>IFERROR(VLOOKUP(Table1[RespondentID],'All Data'!$A$3:$CO$999,87,FALSE),"unknown")</f>
        <v>Man</v>
      </c>
      <c r="Q266" s="120">
        <f>IFERROR(VLOOKUP(Table1[RespondentID],'All Data'!$A$3:$CO$999,88,FALSE),"unknown")</f>
        <v>43</v>
      </c>
      <c r="R266" s="120" t="str">
        <f>IFERROR(VLOOKUP(Table1[RespondentID],'All Data'!$A$3:$CO$999,89,FALSE),"unknown")</f>
        <v>Suffolk</v>
      </c>
      <c r="S266" s="120" t="str">
        <f>IFERROR(VLOOKUP(Table1[RespondentID],'All Data'!$A$3:$CO$999,90,FALSE),"unknown")</f>
        <v>Nesconset, 11767</v>
      </c>
      <c r="T266" s="120" t="str">
        <f>IFERROR(VLOOKUP(Table1[RespondentID],'All Data'!$A$3:$CO$999,91,FALSE),"unknown")</f>
        <v>White</v>
      </c>
      <c r="U266" s="120" t="str">
        <f>IFERROR(VLOOKUP(Table1[RespondentID],'All Data'!$A$3:$CO$999,92,FALSE),"unknown")</f>
        <v>Not Hispanic or Latino</v>
      </c>
      <c r="V266" s="120" t="str">
        <f>IFERROR(VLOOKUP(Table1[RespondentID],'All Data'!$A$3:$CO$999,93,FALSE),"unknown")</f>
        <v>English</v>
      </c>
      <c r="W266" s="120" t="str">
        <f>IFERROR(VLOOKUP(Table1[RespondentID],'All Data'!$A$3:$CW$999,94,FALSE),"unknown")</f>
        <v>$0-$19,999</v>
      </c>
      <c r="X266" s="120" t="str">
        <f>IFERROR(VLOOKUP(Table1[RespondentID],'All Data'!$A$3:$CW$999,95,FALSE),"unknown")</f>
        <v>Some college</v>
      </c>
      <c r="Y266" s="120" t="str">
        <f>IFERROR(VLOOKUP(Table1[RespondentID],'All Data'!$A$3:$CW$999,96,FALSE),"unknown")</f>
        <v>Employed for wages</v>
      </c>
      <c r="Z266" s="120" t="str">
        <f>IFERROR(VLOOKUP(Table1[RespondentID],'All Data'!$A$3:$CW$999,97,FALSE),"unknown")</f>
        <v>Yes</v>
      </c>
      <c r="AA266" s="120" t="str">
        <f>IFERROR(VLOOKUP(Table1[RespondentID],'All Data'!$A$3:$CW$999,98,FALSE),"unknown")</f>
        <v>Medicaid</v>
      </c>
      <c r="AB266" s="150" t="str">
        <f>IFERROR(VLOOKUP(Table1[RespondentID],'All Data'!$A$3:$CW$999,99,FALSE),"unknown")</f>
        <v>No</v>
      </c>
    </row>
    <row r="267" spans="1:28">
      <c r="A267" s="5">
        <v>18017611415</v>
      </c>
      <c r="B267" s="5" t="s">
        <v>64</v>
      </c>
      <c r="C267" s="5"/>
      <c r="D267" s="5"/>
      <c r="E267" s="5"/>
      <c r="F267" s="5"/>
      <c r="G267" s="5"/>
      <c r="H267" s="5"/>
      <c r="I267" s="5"/>
      <c r="J267" s="5"/>
      <c r="K267" s="5"/>
      <c r="L267" s="5"/>
      <c r="M267" s="5"/>
      <c r="N267" s="5"/>
      <c r="O267" s="148"/>
      <c r="P267" s="120" t="str">
        <f>IFERROR(VLOOKUP(Table1[RespondentID],'All Data'!$A$3:$CO$999,87,FALSE),"unknown")</f>
        <v>Man</v>
      </c>
      <c r="Q267" s="120">
        <f>IFERROR(VLOOKUP(Table1[RespondentID],'All Data'!$A$3:$CO$999,88,FALSE),"unknown")</f>
        <v>68</v>
      </c>
      <c r="R267" s="120" t="str">
        <f>IFERROR(VLOOKUP(Table1[RespondentID],'All Data'!$A$3:$CO$999,89,FALSE),"unknown")</f>
        <v>Suffolk</v>
      </c>
      <c r="S267" s="120" t="str">
        <f>IFERROR(VLOOKUP(Table1[RespondentID],'All Data'!$A$3:$CO$999,90,FALSE),"unknown")</f>
        <v>Sayville, 11782</v>
      </c>
      <c r="T267" s="120" t="str">
        <f>IFERROR(VLOOKUP(Table1[RespondentID],'All Data'!$A$3:$CO$999,91,FALSE),"unknown")</f>
        <v>White</v>
      </c>
      <c r="U267" s="120" t="str">
        <f>IFERROR(VLOOKUP(Table1[RespondentID],'All Data'!$A$3:$CO$999,92,FALSE),"unknown")</f>
        <v>Hispanic or Latino</v>
      </c>
      <c r="V267" s="120" t="str">
        <f>IFERROR(VLOOKUP(Table1[RespondentID],'All Data'!$A$3:$CO$999,93,FALSE),"unknown")</f>
        <v>English</v>
      </c>
      <c r="W267" s="120" t="str">
        <f>IFERROR(VLOOKUP(Table1[RespondentID],'All Data'!$A$3:$CW$999,94,FALSE),"unknown")</f>
        <v>$75,000 to $125,000</v>
      </c>
      <c r="X267" s="120" t="str">
        <f>IFERROR(VLOOKUP(Table1[RespondentID],'All Data'!$A$3:$CW$999,95,FALSE),"unknown")</f>
        <v>College graduate</v>
      </c>
      <c r="Y267" s="120" t="str">
        <f>IFERROR(VLOOKUP(Table1[RespondentID],'All Data'!$A$3:$CW$999,96,FALSE),"unknown")</f>
        <v>Retired</v>
      </c>
      <c r="Z267" s="120" t="str">
        <f>IFERROR(VLOOKUP(Table1[RespondentID],'All Data'!$A$3:$CW$999,97,FALSE),"unknown")</f>
        <v>Yes</v>
      </c>
      <c r="AA267" s="120" t="str">
        <f>IFERROR(VLOOKUP(Table1[RespondentID],'All Data'!$A$3:$CW$999,98,FALSE),"unknown")</f>
        <v>Medicaid, Private/Commercial</v>
      </c>
      <c r="AB267" s="150" t="str">
        <f>IFERROR(VLOOKUP(Table1[RespondentID],'All Data'!$A$3:$CW$999,99,FALSE),"unknown")</f>
        <v>Yes</v>
      </c>
    </row>
    <row r="268" spans="1:28">
      <c r="A268" s="5">
        <v>18017568152</v>
      </c>
      <c r="B268" s="5"/>
      <c r="C268" s="5"/>
      <c r="D268" s="5"/>
      <c r="E268" s="5" t="s">
        <v>67</v>
      </c>
      <c r="F268" s="5"/>
      <c r="G268" s="5"/>
      <c r="H268" s="5"/>
      <c r="I268" s="5"/>
      <c r="J268" s="5" t="s">
        <v>72</v>
      </c>
      <c r="K268" s="5"/>
      <c r="L268" s="5"/>
      <c r="M268" s="5" t="s">
        <v>75</v>
      </c>
      <c r="N268" s="5"/>
      <c r="O268" s="148"/>
      <c r="P268" s="120" t="str">
        <f>IFERROR(VLOOKUP(Table1[RespondentID],'All Data'!$A$3:$CO$999,87,FALSE),"unknown")</f>
        <v>Man</v>
      </c>
      <c r="Q268" s="120">
        <f>IFERROR(VLOOKUP(Table1[RespondentID],'All Data'!$A$3:$CO$999,88,FALSE),"unknown")</f>
        <v>52</v>
      </c>
      <c r="R268" s="120" t="str">
        <f>IFERROR(VLOOKUP(Table1[RespondentID],'All Data'!$A$3:$CO$999,89,FALSE),"unknown")</f>
        <v>Nassau</v>
      </c>
      <c r="S268" s="120" t="str">
        <f>IFERROR(VLOOKUP(Table1[RespondentID],'All Data'!$A$3:$CO$999,90,FALSE),"unknown")</f>
        <v>Manhasset, 11030</v>
      </c>
      <c r="T268" s="120" t="str">
        <f>IFERROR(VLOOKUP(Table1[RespondentID],'All Data'!$A$3:$CO$999,91,FALSE),"unknown")</f>
        <v>White</v>
      </c>
      <c r="U268" s="120" t="str">
        <f>IFERROR(VLOOKUP(Table1[RespondentID],'All Data'!$A$3:$CO$999,92,FALSE),"unknown")</f>
        <v>Hispanic or Latino</v>
      </c>
      <c r="V268" s="120" t="str">
        <f>IFERROR(VLOOKUP(Table1[RespondentID],'All Data'!$A$3:$CO$999,93,FALSE),"unknown")</f>
        <v>English</v>
      </c>
      <c r="W268" s="120" t="str">
        <f>IFERROR(VLOOKUP(Table1[RespondentID],'All Data'!$A$3:$CW$999,94,FALSE),"unknown")</f>
        <v>Over $125,000</v>
      </c>
      <c r="X268" s="120" t="str">
        <f>IFERROR(VLOOKUP(Table1[RespondentID],'All Data'!$A$3:$CW$999,95,FALSE),"unknown")</f>
        <v>Graduate school</v>
      </c>
      <c r="Y268" s="120" t="str">
        <f>IFERROR(VLOOKUP(Table1[RespondentID],'All Data'!$A$3:$CW$999,96,FALSE),"unknown")</f>
        <v>Employed for wages</v>
      </c>
      <c r="Z268" s="120" t="str">
        <f>IFERROR(VLOOKUP(Table1[RespondentID],'All Data'!$A$3:$CW$999,97,FALSE),"unknown")</f>
        <v>Yes</v>
      </c>
      <c r="AA268" s="120" t="str">
        <f>IFERROR(VLOOKUP(Table1[RespondentID],'All Data'!$A$3:$CW$999,98,FALSE),"unknown")</f>
        <v>Private/Commercial</v>
      </c>
      <c r="AB268" s="150" t="str">
        <f>IFERROR(VLOOKUP(Table1[RespondentID],'All Data'!$A$3:$CW$999,99,FALSE),"unknown")</f>
        <v>Yes</v>
      </c>
    </row>
    <row r="269" spans="1:28">
      <c r="A269" s="5">
        <v>18017061305</v>
      </c>
      <c r="B269" s="5" t="s">
        <v>64</v>
      </c>
      <c r="C269" s="5"/>
      <c r="D269" s="5" t="s">
        <v>66</v>
      </c>
      <c r="E269" s="5" t="s">
        <v>67</v>
      </c>
      <c r="F269" s="5" t="s">
        <v>68</v>
      </c>
      <c r="G269" s="5" t="s">
        <v>69</v>
      </c>
      <c r="H269" s="5"/>
      <c r="I269" s="5" t="s">
        <v>71</v>
      </c>
      <c r="J269" s="5" t="s">
        <v>72</v>
      </c>
      <c r="K269" s="5"/>
      <c r="L269" s="5"/>
      <c r="M269" s="5" t="s">
        <v>75</v>
      </c>
      <c r="N269" s="5"/>
      <c r="O269" s="148"/>
      <c r="P269" s="120" t="str">
        <f>IFERROR(VLOOKUP(Table1[RespondentID],'All Data'!$A$3:$CO$999,87,FALSE),"unknown")</f>
        <v>Man</v>
      </c>
      <c r="Q269" s="120">
        <f>IFERROR(VLOOKUP(Table1[RespondentID],'All Data'!$A$3:$CO$999,88,FALSE),"unknown")</f>
        <v>44</v>
      </c>
      <c r="R269" s="120" t="str">
        <f>IFERROR(VLOOKUP(Table1[RespondentID],'All Data'!$A$3:$CO$999,89,FALSE),"unknown")</f>
        <v>Suffolk</v>
      </c>
      <c r="S269" s="120" t="str">
        <f>IFERROR(VLOOKUP(Table1[RespondentID],'All Data'!$A$3:$CO$999,90,FALSE),"unknown")</f>
        <v>Selden, 11784</v>
      </c>
      <c r="T269" s="120" t="str">
        <f>IFERROR(VLOOKUP(Table1[RespondentID],'All Data'!$A$3:$CO$999,91,FALSE),"unknown")</f>
        <v>White</v>
      </c>
      <c r="U269" s="120" t="str">
        <f>IFERROR(VLOOKUP(Table1[RespondentID],'All Data'!$A$3:$CO$999,92,FALSE),"unknown")</f>
        <v>Hispanic or Latino</v>
      </c>
      <c r="V269" s="120" t="str">
        <f>IFERROR(VLOOKUP(Table1[RespondentID],'All Data'!$A$3:$CO$999,93,FALSE),"unknown")</f>
        <v>English</v>
      </c>
      <c r="W269" s="120" t="str">
        <f>IFERROR(VLOOKUP(Table1[RespondentID],'All Data'!$A$3:$CW$999,94,FALSE),"unknown")</f>
        <v>$50,000 to $74,999</v>
      </c>
      <c r="X269" s="120" t="str">
        <f>IFERROR(VLOOKUP(Table1[RespondentID],'All Data'!$A$3:$CW$999,95,FALSE),"unknown")</f>
        <v>College graduate</v>
      </c>
      <c r="Y269" s="120" t="str">
        <f>IFERROR(VLOOKUP(Table1[RespondentID],'All Data'!$A$3:$CW$999,96,FALSE),"unknown")</f>
        <v>Employed for wages</v>
      </c>
      <c r="Z269" s="120" t="str">
        <f>IFERROR(VLOOKUP(Table1[RespondentID],'All Data'!$A$3:$CW$999,97,FALSE),"unknown")</f>
        <v>Yes</v>
      </c>
      <c r="AA269" s="120" t="str">
        <f>IFERROR(VLOOKUP(Table1[RespondentID],'All Data'!$A$3:$CW$999,98,FALSE),"unknown")</f>
        <v>Private/Commercial</v>
      </c>
      <c r="AB269" s="150" t="str">
        <f>IFERROR(VLOOKUP(Table1[RespondentID],'All Data'!$A$3:$CW$999,99,FALSE),"unknown")</f>
        <v>Yes</v>
      </c>
    </row>
    <row r="270" spans="1:28">
      <c r="A270" s="5">
        <v>18016902456</v>
      </c>
      <c r="B270" s="5" t="s">
        <v>64</v>
      </c>
      <c r="C270" s="5"/>
      <c r="D270" s="5"/>
      <c r="E270" s="5"/>
      <c r="F270" s="5"/>
      <c r="G270" s="5"/>
      <c r="H270" s="5"/>
      <c r="I270" s="5"/>
      <c r="J270" s="5"/>
      <c r="K270" s="5"/>
      <c r="L270" s="5"/>
      <c r="M270" s="5" t="s">
        <v>75</v>
      </c>
      <c r="N270" s="5"/>
      <c r="O270" s="148"/>
      <c r="P270" s="120" t="str">
        <f>IFERROR(VLOOKUP(Table1[RespondentID],'All Data'!$A$3:$CO$999,87,FALSE),"unknown")</f>
        <v>Man</v>
      </c>
      <c r="Q270" s="120">
        <f>IFERROR(VLOOKUP(Table1[RespondentID],'All Data'!$A$3:$CO$999,88,FALSE),"unknown")</f>
        <v>45</v>
      </c>
      <c r="R270" s="120" t="str">
        <f>IFERROR(VLOOKUP(Table1[RespondentID],'All Data'!$A$3:$CO$999,89,FALSE),"unknown")</f>
        <v>Suffolk</v>
      </c>
      <c r="S270" s="120" t="str">
        <f>IFERROR(VLOOKUP(Table1[RespondentID],'All Data'!$A$3:$CO$999,90,FALSE),"unknown")</f>
        <v>Mastic, 11950</v>
      </c>
      <c r="T270" s="120" t="str">
        <f>IFERROR(VLOOKUP(Table1[RespondentID],'All Data'!$A$3:$CO$999,91,FALSE),"unknown")</f>
        <v>White</v>
      </c>
      <c r="U270" s="120" t="str">
        <f>IFERROR(VLOOKUP(Table1[RespondentID],'All Data'!$A$3:$CO$999,92,FALSE),"unknown")</f>
        <v>Hispanic or Latino</v>
      </c>
      <c r="V270" s="120" t="str">
        <f>IFERROR(VLOOKUP(Table1[RespondentID],'All Data'!$A$3:$CO$999,93,FALSE),"unknown")</f>
        <v>English</v>
      </c>
      <c r="W270" s="120" t="str">
        <f>IFERROR(VLOOKUP(Table1[RespondentID],'All Data'!$A$3:$CW$999,94,FALSE),"unknown")</f>
        <v>Over $125,000</v>
      </c>
      <c r="X270" s="120" t="str">
        <f>IFERROR(VLOOKUP(Table1[RespondentID],'All Data'!$A$3:$CW$999,95,FALSE),"unknown")</f>
        <v>College graduate</v>
      </c>
      <c r="Y270" s="120" t="str">
        <f>IFERROR(VLOOKUP(Table1[RespondentID],'All Data'!$A$3:$CW$999,96,FALSE),"unknown")</f>
        <v>Employed for wages</v>
      </c>
      <c r="Z270" s="120" t="str">
        <f>IFERROR(VLOOKUP(Table1[RespondentID],'All Data'!$A$3:$CW$999,97,FALSE),"unknown")</f>
        <v>Yes</v>
      </c>
      <c r="AA270" s="120" t="str">
        <f>IFERROR(VLOOKUP(Table1[RespondentID],'All Data'!$A$3:$CW$999,98,FALSE),"unknown")</f>
        <v>Private/Commercial</v>
      </c>
      <c r="AB270" s="150" t="str">
        <f>IFERROR(VLOOKUP(Table1[RespondentID],'All Data'!$A$3:$CW$999,99,FALSE),"unknown")</f>
        <v>Yes</v>
      </c>
    </row>
    <row r="271" spans="1:28">
      <c r="A271" s="5">
        <v>18016880706</v>
      </c>
      <c r="B271" s="5" t="s">
        <v>64</v>
      </c>
      <c r="C271" s="5"/>
      <c r="D271" s="5"/>
      <c r="E271" s="5" t="s">
        <v>67</v>
      </c>
      <c r="F271" s="5"/>
      <c r="G271" s="5"/>
      <c r="H271" s="5"/>
      <c r="I271" s="5"/>
      <c r="J271" s="5"/>
      <c r="K271" s="5"/>
      <c r="L271" s="5"/>
      <c r="M271" s="5"/>
      <c r="N271" s="5"/>
      <c r="O271" s="148"/>
      <c r="P271" s="120" t="str">
        <f>IFERROR(VLOOKUP(Table1[RespondentID],'All Data'!$A$3:$CO$999,87,FALSE),"unknown")</f>
        <v>Man</v>
      </c>
      <c r="Q271" s="120">
        <f>IFERROR(VLOOKUP(Table1[RespondentID],'All Data'!$A$3:$CO$999,88,FALSE),"unknown")</f>
        <v>16</v>
      </c>
      <c r="R271" s="120" t="str">
        <f>IFERROR(VLOOKUP(Table1[RespondentID],'All Data'!$A$3:$CO$999,89,FALSE),"unknown")</f>
        <v>Suffolk</v>
      </c>
      <c r="S271" s="120" t="str">
        <f>IFERROR(VLOOKUP(Table1[RespondentID],'All Data'!$A$3:$CO$999,90,FALSE),"unknown")</f>
        <v>Nesconset, 11767</v>
      </c>
      <c r="T271" s="120" t="str">
        <f>IFERROR(VLOOKUP(Table1[RespondentID],'All Data'!$A$3:$CO$999,91,FALSE),"unknown")</f>
        <v>White</v>
      </c>
      <c r="U271" s="120" t="str">
        <f>IFERROR(VLOOKUP(Table1[RespondentID],'All Data'!$A$3:$CO$999,92,FALSE),"unknown")</f>
        <v>Hispanic or Latino</v>
      </c>
      <c r="V271" s="120" t="str">
        <f>IFERROR(VLOOKUP(Table1[RespondentID],'All Data'!$A$3:$CO$999,93,FALSE),"unknown")</f>
        <v>English</v>
      </c>
      <c r="W271" s="120" t="str">
        <f>IFERROR(VLOOKUP(Table1[RespondentID],'All Data'!$A$3:$CW$999,94,FALSE),"unknown")</f>
        <v>Over $125,000</v>
      </c>
      <c r="X271" s="120" t="str">
        <f>IFERROR(VLOOKUP(Table1[RespondentID],'All Data'!$A$3:$CW$999,95,FALSE),"unknown")</f>
        <v>Some high school</v>
      </c>
      <c r="Y271" s="120" t="str">
        <f>IFERROR(VLOOKUP(Table1[RespondentID],'All Data'!$A$3:$CW$999,96,FALSE),"unknown")</f>
        <v>Student</v>
      </c>
      <c r="Z271" s="120" t="str">
        <f>IFERROR(VLOOKUP(Table1[RespondentID],'All Data'!$A$3:$CW$999,97,FALSE),"unknown")</f>
        <v>Yes</v>
      </c>
      <c r="AA271" s="120" t="str">
        <f>IFERROR(VLOOKUP(Table1[RespondentID],'All Data'!$A$3:$CW$999,98,FALSE),"unknown")</f>
        <v>Private/Commercial</v>
      </c>
      <c r="AB271" s="150" t="str">
        <f>IFERROR(VLOOKUP(Table1[RespondentID],'All Data'!$A$3:$CW$999,99,FALSE),"unknown")</f>
        <v>Yes</v>
      </c>
    </row>
    <row r="272" spans="1:28">
      <c r="A272" s="5">
        <v>18016880667</v>
      </c>
      <c r="B272" s="5" t="s">
        <v>64</v>
      </c>
      <c r="C272" s="5"/>
      <c r="D272" s="5"/>
      <c r="E272" s="5" t="s">
        <v>67</v>
      </c>
      <c r="F272" s="5"/>
      <c r="G272" s="5"/>
      <c r="H272" s="5"/>
      <c r="I272" s="5"/>
      <c r="J272" s="5"/>
      <c r="K272" s="5"/>
      <c r="L272" s="5"/>
      <c r="M272" s="5"/>
      <c r="N272" s="5"/>
      <c r="O272" s="148"/>
      <c r="P272" s="120" t="str">
        <f>IFERROR(VLOOKUP(Table1[RespondentID],'All Data'!$A$3:$CO$999,87,FALSE),"unknown")</f>
        <v>Man</v>
      </c>
      <c r="Q272" s="120">
        <f>IFERROR(VLOOKUP(Table1[RespondentID],'All Data'!$A$3:$CO$999,88,FALSE),"unknown")</f>
        <v>16</v>
      </c>
      <c r="R272" s="120" t="str">
        <f>IFERROR(VLOOKUP(Table1[RespondentID],'All Data'!$A$3:$CO$999,89,FALSE),"unknown")</f>
        <v>Suffolk</v>
      </c>
      <c r="S272" s="120" t="str">
        <f>IFERROR(VLOOKUP(Table1[RespondentID],'All Data'!$A$3:$CO$999,90,FALSE),"unknown")</f>
        <v>Nesconset, 11767</v>
      </c>
      <c r="T272" s="120" t="str">
        <f>IFERROR(VLOOKUP(Table1[RespondentID],'All Data'!$A$3:$CO$999,91,FALSE),"unknown")</f>
        <v>White</v>
      </c>
      <c r="U272" s="120" t="str">
        <f>IFERROR(VLOOKUP(Table1[RespondentID],'All Data'!$A$3:$CO$999,92,FALSE),"unknown")</f>
        <v>Hispanic or Latino</v>
      </c>
      <c r="V272" s="120" t="str">
        <f>IFERROR(VLOOKUP(Table1[RespondentID],'All Data'!$A$3:$CO$999,93,FALSE),"unknown")</f>
        <v>English</v>
      </c>
      <c r="W272" s="120" t="str">
        <f>IFERROR(VLOOKUP(Table1[RespondentID],'All Data'!$A$3:$CW$999,94,FALSE),"unknown")</f>
        <v>Over $125,000</v>
      </c>
      <c r="X272" s="120" t="str">
        <f>IFERROR(VLOOKUP(Table1[RespondentID],'All Data'!$A$3:$CW$999,95,FALSE),"unknown")</f>
        <v>Some high school</v>
      </c>
      <c r="Y272" s="120" t="str">
        <f>IFERROR(VLOOKUP(Table1[RespondentID],'All Data'!$A$3:$CW$999,96,FALSE),"unknown")</f>
        <v>Student</v>
      </c>
      <c r="Z272" s="120" t="str">
        <f>IFERROR(VLOOKUP(Table1[RespondentID],'All Data'!$A$3:$CW$999,97,FALSE),"unknown")</f>
        <v>Yes</v>
      </c>
      <c r="AA272" s="120" t="str">
        <f>IFERROR(VLOOKUP(Table1[RespondentID],'All Data'!$A$3:$CW$999,98,FALSE),"unknown")</f>
        <v>Private/Commercial</v>
      </c>
      <c r="AB272" s="150" t="str">
        <f>IFERROR(VLOOKUP(Table1[RespondentID],'All Data'!$A$3:$CW$999,99,FALSE),"unknown")</f>
        <v>Yes</v>
      </c>
    </row>
    <row r="273" spans="1:28">
      <c r="A273" s="5">
        <v>18016880611</v>
      </c>
      <c r="B273" s="5" t="s">
        <v>64</v>
      </c>
      <c r="C273" s="5"/>
      <c r="D273" s="5"/>
      <c r="E273" s="5" t="s">
        <v>67</v>
      </c>
      <c r="F273" s="5"/>
      <c r="G273" s="5"/>
      <c r="H273" s="5"/>
      <c r="I273" s="5"/>
      <c r="J273" s="5"/>
      <c r="K273" s="5"/>
      <c r="L273" s="5"/>
      <c r="M273" s="5"/>
      <c r="N273" s="5"/>
      <c r="O273" s="148"/>
      <c r="P273" s="120" t="str">
        <f>IFERROR(VLOOKUP(Table1[RespondentID],'All Data'!$A$3:$CO$999,87,FALSE),"unknown")</f>
        <v>Man</v>
      </c>
      <c r="Q273" s="120">
        <f>IFERROR(VLOOKUP(Table1[RespondentID],'All Data'!$A$3:$CO$999,88,FALSE),"unknown")</f>
        <v>16</v>
      </c>
      <c r="R273" s="120" t="str">
        <f>IFERROR(VLOOKUP(Table1[RespondentID],'All Data'!$A$3:$CO$999,89,FALSE),"unknown")</f>
        <v>Suffolk</v>
      </c>
      <c r="S273" s="120" t="str">
        <f>IFERROR(VLOOKUP(Table1[RespondentID],'All Data'!$A$3:$CO$999,90,FALSE),"unknown")</f>
        <v>Nesconset, 11767</v>
      </c>
      <c r="T273" s="120" t="str">
        <f>IFERROR(VLOOKUP(Table1[RespondentID],'All Data'!$A$3:$CO$999,91,FALSE),"unknown")</f>
        <v>White</v>
      </c>
      <c r="U273" s="120" t="str">
        <f>IFERROR(VLOOKUP(Table1[RespondentID],'All Data'!$A$3:$CO$999,92,FALSE),"unknown")</f>
        <v>Hispanic or Latino</v>
      </c>
      <c r="V273" s="120" t="str">
        <f>IFERROR(VLOOKUP(Table1[RespondentID],'All Data'!$A$3:$CO$999,93,FALSE),"unknown")</f>
        <v>English</v>
      </c>
      <c r="W273" s="120" t="str">
        <f>IFERROR(VLOOKUP(Table1[RespondentID],'All Data'!$A$3:$CW$999,94,FALSE),"unknown")</f>
        <v>Over $125,000</v>
      </c>
      <c r="X273" s="120" t="str">
        <f>IFERROR(VLOOKUP(Table1[RespondentID],'All Data'!$A$3:$CW$999,95,FALSE),"unknown")</f>
        <v>Some high school</v>
      </c>
      <c r="Y273" s="120" t="str">
        <f>IFERROR(VLOOKUP(Table1[RespondentID],'All Data'!$A$3:$CW$999,96,FALSE),"unknown")</f>
        <v>Student</v>
      </c>
      <c r="Z273" s="120" t="str">
        <f>IFERROR(VLOOKUP(Table1[RespondentID],'All Data'!$A$3:$CW$999,97,FALSE),"unknown")</f>
        <v>Yes</v>
      </c>
      <c r="AA273" s="120" t="str">
        <f>IFERROR(VLOOKUP(Table1[RespondentID],'All Data'!$A$3:$CW$999,98,FALSE),"unknown")</f>
        <v>Private/Commercial</v>
      </c>
      <c r="AB273" s="150" t="str">
        <f>IFERROR(VLOOKUP(Table1[RespondentID],'All Data'!$A$3:$CW$999,99,FALSE),"unknown")</f>
        <v>Yes</v>
      </c>
    </row>
    <row r="274" spans="1:28">
      <c r="A274" s="5">
        <v>18016880556</v>
      </c>
      <c r="B274" s="5" t="s">
        <v>64</v>
      </c>
      <c r="C274" s="5"/>
      <c r="D274" s="5"/>
      <c r="E274" s="5" t="s">
        <v>67</v>
      </c>
      <c r="F274" s="5"/>
      <c r="G274" s="5"/>
      <c r="H274" s="5"/>
      <c r="I274" s="5"/>
      <c r="J274" s="5"/>
      <c r="K274" s="5"/>
      <c r="L274" s="5"/>
      <c r="M274" s="5"/>
      <c r="N274" s="5"/>
      <c r="O274" s="148"/>
      <c r="P274" s="120" t="str">
        <f>IFERROR(VLOOKUP(Table1[RespondentID],'All Data'!$A$3:$CO$999,87,FALSE),"unknown")</f>
        <v>Man</v>
      </c>
      <c r="Q274" s="120">
        <f>IFERROR(VLOOKUP(Table1[RespondentID],'All Data'!$A$3:$CO$999,88,FALSE),"unknown")</f>
        <v>16</v>
      </c>
      <c r="R274" s="120" t="str">
        <f>IFERROR(VLOOKUP(Table1[RespondentID],'All Data'!$A$3:$CO$999,89,FALSE),"unknown")</f>
        <v>Suffolk</v>
      </c>
      <c r="S274" s="120" t="str">
        <f>IFERROR(VLOOKUP(Table1[RespondentID],'All Data'!$A$3:$CO$999,90,FALSE),"unknown")</f>
        <v>Nesconset, 11767</v>
      </c>
      <c r="T274" s="120" t="str">
        <f>IFERROR(VLOOKUP(Table1[RespondentID],'All Data'!$A$3:$CO$999,91,FALSE),"unknown")</f>
        <v>White</v>
      </c>
      <c r="U274" s="120" t="str">
        <f>IFERROR(VLOOKUP(Table1[RespondentID],'All Data'!$A$3:$CO$999,92,FALSE),"unknown")</f>
        <v>Hispanic or Latino</v>
      </c>
      <c r="V274" s="120" t="str">
        <f>IFERROR(VLOOKUP(Table1[RespondentID],'All Data'!$A$3:$CO$999,93,FALSE),"unknown")</f>
        <v>English</v>
      </c>
      <c r="W274" s="120" t="str">
        <f>IFERROR(VLOOKUP(Table1[RespondentID],'All Data'!$A$3:$CW$999,94,FALSE),"unknown")</f>
        <v>Over $125,000</v>
      </c>
      <c r="X274" s="120" t="str">
        <f>IFERROR(VLOOKUP(Table1[RespondentID],'All Data'!$A$3:$CW$999,95,FALSE),"unknown")</f>
        <v>Some high school</v>
      </c>
      <c r="Y274" s="120" t="str">
        <f>IFERROR(VLOOKUP(Table1[RespondentID],'All Data'!$A$3:$CW$999,96,FALSE),"unknown")</f>
        <v>Student</v>
      </c>
      <c r="Z274" s="120" t="str">
        <f>IFERROR(VLOOKUP(Table1[RespondentID],'All Data'!$A$3:$CW$999,97,FALSE),"unknown")</f>
        <v>Yes</v>
      </c>
      <c r="AA274" s="120" t="str">
        <f>IFERROR(VLOOKUP(Table1[RespondentID],'All Data'!$A$3:$CW$999,98,FALSE),"unknown")</f>
        <v>Private/Commercial</v>
      </c>
      <c r="AB274" s="150" t="str">
        <f>IFERROR(VLOOKUP(Table1[RespondentID],'All Data'!$A$3:$CW$999,99,FALSE),"unknown")</f>
        <v>Yes</v>
      </c>
    </row>
    <row r="275" spans="1:28">
      <c r="A275" s="5">
        <v>18016880499</v>
      </c>
      <c r="B275" s="5" t="s">
        <v>64</v>
      </c>
      <c r="C275" s="5"/>
      <c r="D275" s="5"/>
      <c r="E275" s="5" t="s">
        <v>67</v>
      </c>
      <c r="F275" s="5"/>
      <c r="G275" s="5"/>
      <c r="H275" s="5"/>
      <c r="I275" s="5"/>
      <c r="J275" s="5"/>
      <c r="K275" s="5"/>
      <c r="L275" s="5"/>
      <c r="M275" s="5"/>
      <c r="N275" s="5"/>
      <c r="O275" s="148"/>
      <c r="P275" s="120" t="str">
        <f>IFERROR(VLOOKUP(Table1[RespondentID],'All Data'!$A$3:$CO$999,87,FALSE),"unknown")</f>
        <v>Man</v>
      </c>
      <c r="Q275" s="120">
        <f>IFERROR(VLOOKUP(Table1[RespondentID],'All Data'!$A$3:$CO$999,88,FALSE),"unknown")</f>
        <v>16</v>
      </c>
      <c r="R275" s="120" t="str">
        <f>IFERROR(VLOOKUP(Table1[RespondentID],'All Data'!$A$3:$CO$999,89,FALSE),"unknown")</f>
        <v>Suffolk</v>
      </c>
      <c r="S275" s="120" t="str">
        <f>IFERROR(VLOOKUP(Table1[RespondentID],'All Data'!$A$3:$CO$999,90,FALSE),"unknown")</f>
        <v>Nesconset, 11767</v>
      </c>
      <c r="T275" s="120" t="str">
        <f>IFERROR(VLOOKUP(Table1[RespondentID],'All Data'!$A$3:$CO$999,91,FALSE),"unknown")</f>
        <v>White</v>
      </c>
      <c r="U275" s="120" t="str">
        <f>IFERROR(VLOOKUP(Table1[RespondentID],'All Data'!$A$3:$CO$999,92,FALSE),"unknown")</f>
        <v>Hispanic or Latino</v>
      </c>
      <c r="V275" s="120" t="str">
        <f>IFERROR(VLOOKUP(Table1[RespondentID],'All Data'!$A$3:$CO$999,93,FALSE),"unknown")</f>
        <v>English</v>
      </c>
      <c r="W275" s="120" t="str">
        <f>IFERROR(VLOOKUP(Table1[RespondentID],'All Data'!$A$3:$CW$999,94,FALSE),"unknown")</f>
        <v>Over $125,000</v>
      </c>
      <c r="X275" s="120" t="str">
        <f>IFERROR(VLOOKUP(Table1[RespondentID],'All Data'!$A$3:$CW$999,95,FALSE),"unknown")</f>
        <v>Some high school</v>
      </c>
      <c r="Y275" s="120" t="str">
        <f>IFERROR(VLOOKUP(Table1[RespondentID],'All Data'!$A$3:$CW$999,96,FALSE),"unknown")</f>
        <v>Student</v>
      </c>
      <c r="Z275" s="120" t="str">
        <f>IFERROR(VLOOKUP(Table1[RespondentID],'All Data'!$A$3:$CW$999,97,FALSE),"unknown")</f>
        <v>Yes</v>
      </c>
      <c r="AA275" s="120" t="str">
        <f>IFERROR(VLOOKUP(Table1[RespondentID],'All Data'!$A$3:$CW$999,98,FALSE),"unknown")</f>
        <v>Private/Commercial</v>
      </c>
      <c r="AB275" s="150" t="str">
        <f>IFERROR(VLOOKUP(Table1[RespondentID],'All Data'!$A$3:$CW$999,99,FALSE),"unknown")</f>
        <v>Yes</v>
      </c>
    </row>
    <row r="276" spans="1:28">
      <c r="A276" s="5">
        <v>18016880433</v>
      </c>
      <c r="B276" s="5" t="s">
        <v>64</v>
      </c>
      <c r="C276" s="5"/>
      <c r="D276" s="5"/>
      <c r="E276" s="5" t="s">
        <v>67</v>
      </c>
      <c r="F276" s="5"/>
      <c r="G276" s="5"/>
      <c r="H276" s="5"/>
      <c r="I276" s="5"/>
      <c r="J276" s="5"/>
      <c r="K276" s="5"/>
      <c r="L276" s="5"/>
      <c r="M276" s="5"/>
      <c r="N276" s="5"/>
      <c r="O276" s="148"/>
      <c r="P276" s="120" t="str">
        <f>IFERROR(VLOOKUP(Table1[RespondentID],'All Data'!$A$3:$CO$999,87,FALSE),"unknown")</f>
        <v>Man</v>
      </c>
      <c r="Q276" s="120">
        <f>IFERROR(VLOOKUP(Table1[RespondentID],'All Data'!$A$3:$CO$999,88,FALSE),"unknown")</f>
        <v>16</v>
      </c>
      <c r="R276" s="120" t="str">
        <f>IFERROR(VLOOKUP(Table1[RespondentID],'All Data'!$A$3:$CO$999,89,FALSE),"unknown")</f>
        <v>Suffolk</v>
      </c>
      <c r="S276" s="120" t="str">
        <f>IFERROR(VLOOKUP(Table1[RespondentID],'All Data'!$A$3:$CO$999,90,FALSE),"unknown")</f>
        <v>Nesconset, 11767</v>
      </c>
      <c r="T276" s="120" t="str">
        <f>IFERROR(VLOOKUP(Table1[RespondentID],'All Data'!$A$3:$CO$999,91,FALSE),"unknown")</f>
        <v>White</v>
      </c>
      <c r="U276" s="120" t="str">
        <f>IFERROR(VLOOKUP(Table1[RespondentID],'All Data'!$A$3:$CO$999,92,FALSE),"unknown")</f>
        <v>Hispanic or Latino</v>
      </c>
      <c r="V276" s="120" t="str">
        <f>IFERROR(VLOOKUP(Table1[RespondentID],'All Data'!$A$3:$CO$999,93,FALSE),"unknown")</f>
        <v>English</v>
      </c>
      <c r="W276" s="120" t="str">
        <f>IFERROR(VLOOKUP(Table1[RespondentID],'All Data'!$A$3:$CW$999,94,FALSE),"unknown")</f>
        <v>Over $125,000</v>
      </c>
      <c r="X276" s="120" t="str">
        <f>IFERROR(VLOOKUP(Table1[RespondentID],'All Data'!$A$3:$CW$999,95,FALSE),"unknown")</f>
        <v>Some high school</v>
      </c>
      <c r="Y276" s="120" t="str">
        <f>IFERROR(VLOOKUP(Table1[RespondentID],'All Data'!$A$3:$CW$999,96,FALSE),"unknown")</f>
        <v>Student</v>
      </c>
      <c r="Z276" s="120" t="str">
        <f>IFERROR(VLOOKUP(Table1[RespondentID],'All Data'!$A$3:$CW$999,97,FALSE),"unknown")</f>
        <v>Yes</v>
      </c>
      <c r="AA276" s="120" t="str">
        <f>IFERROR(VLOOKUP(Table1[RespondentID],'All Data'!$A$3:$CW$999,98,FALSE),"unknown")</f>
        <v>Private/Commercial</v>
      </c>
      <c r="AB276" s="150" t="str">
        <f>IFERROR(VLOOKUP(Table1[RespondentID],'All Data'!$A$3:$CW$999,99,FALSE),"unknown")</f>
        <v>Yes</v>
      </c>
    </row>
    <row r="277" spans="1:28">
      <c r="A277" s="5">
        <v>18016880374</v>
      </c>
      <c r="B277" s="5" t="s">
        <v>64</v>
      </c>
      <c r="C277" s="5"/>
      <c r="D277" s="5"/>
      <c r="E277" s="5" t="s">
        <v>67</v>
      </c>
      <c r="F277" s="5"/>
      <c r="G277" s="5"/>
      <c r="H277" s="5"/>
      <c r="I277" s="5"/>
      <c r="J277" s="5"/>
      <c r="K277" s="5"/>
      <c r="L277" s="5"/>
      <c r="M277" s="5"/>
      <c r="N277" s="5"/>
      <c r="O277" s="148"/>
      <c r="P277" s="120" t="str">
        <f>IFERROR(VLOOKUP(Table1[RespondentID],'All Data'!$A$3:$CO$999,87,FALSE),"unknown")</f>
        <v>Man</v>
      </c>
      <c r="Q277" s="120">
        <f>IFERROR(VLOOKUP(Table1[RespondentID],'All Data'!$A$3:$CO$999,88,FALSE),"unknown")</f>
        <v>16</v>
      </c>
      <c r="R277" s="120" t="str">
        <f>IFERROR(VLOOKUP(Table1[RespondentID],'All Data'!$A$3:$CO$999,89,FALSE),"unknown")</f>
        <v>Suffolk</v>
      </c>
      <c r="S277" s="120" t="str">
        <f>IFERROR(VLOOKUP(Table1[RespondentID],'All Data'!$A$3:$CO$999,90,FALSE),"unknown")</f>
        <v>Nesconset, 11767</v>
      </c>
      <c r="T277" s="120" t="str">
        <f>IFERROR(VLOOKUP(Table1[RespondentID],'All Data'!$A$3:$CO$999,91,FALSE),"unknown")</f>
        <v>White</v>
      </c>
      <c r="U277" s="120" t="str">
        <f>IFERROR(VLOOKUP(Table1[RespondentID],'All Data'!$A$3:$CO$999,92,FALSE),"unknown")</f>
        <v>Hispanic or Latino</v>
      </c>
      <c r="V277" s="120" t="str">
        <f>IFERROR(VLOOKUP(Table1[RespondentID],'All Data'!$A$3:$CO$999,93,FALSE),"unknown")</f>
        <v>English</v>
      </c>
      <c r="W277" s="120" t="str">
        <f>IFERROR(VLOOKUP(Table1[RespondentID],'All Data'!$A$3:$CW$999,94,FALSE),"unknown")</f>
        <v>Over $125,000</v>
      </c>
      <c r="X277" s="120" t="str">
        <f>IFERROR(VLOOKUP(Table1[RespondentID],'All Data'!$A$3:$CW$999,95,FALSE),"unknown")</f>
        <v>Some high school</v>
      </c>
      <c r="Y277" s="120" t="str">
        <f>IFERROR(VLOOKUP(Table1[RespondentID],'All Data'!$A$3:$CW$999,96,FALSE),"unknown")</f>
        <v>Student</v>
      </c>
      <c r="Z277" s="120" t="str">
        <f>IFERROR(VLOOKUP(Table1[RespondentID],'All Data'!$A$3:$CW$999,97,FALSE),"unknown")</f>
        <v>Yes</v>
      </c>
      <c r="AA277" s="120" t="str">
        <f>IFERROR(VLOOKUP(Table1[RespondentID],'All Data'!$A$3:$CW$999,98,FALSE),"unknown")</f>
        <v>Private/Commercial</v>
      </c>
      <c r="AB277" s="150" t="str">
        <f>IFERROR(VLOOKUP(Table1[RespondentID],'All Data'!$A$3:$CW$999,99,FALSE),"unknown")</f>
        <v>Yes</v>
      </c>
    </row>
    <row r="278" spans="1:28">
      <c r="A278" s="5">
        <v>18016880299</v>
      </c>
      <c r="B278" s="5" t="s">
        <v>64</v>
      </c>
      <c r="C278" s="5"/>
      <c r="D278" s="5"/>
      <c r="E278" s="5" t="s">
        <v>67</v>
      </c>
      <c r="F278" s="5"/>
      <c r="G278" s="5"/>
      <c r="H278" s="5"/>
      <c r="I278" s="5"/>
      <c r="J278" s="5"/>
      <c r="K278" s="5"/>
      <c r="L278" s="5"/>
      <c r="M278" s="5"/>
      <c r="N278" s="5"/>
      <c r="O278" s="148"/>
      <c r="P278" s="120" t="str">
        <f>IFERROR(VLOOKUP(Table1[RespondentID],'All Data'!$A$3:$CO$999,87,FALSE),"unknown")</f>
        <v>Man</v>
      </c>
      <c r="Q278" s="120">
        <f>IFERROR(VLOOKUP(Table1[RespondentID],'All Data'!$A$3:$CO$999,88,FALSE),"unknown")</f>
        <v>16</v>
      </c>
      <c r="R278" s="120" t="str">
        <f>IFERROR(VLOOKUP(Table1[RespondentID],'All Data'!$A$3:$CO$999,89,FALSE),"unknown")</f>
        <v>Suffolk</v>
      </c>
      <c r="S278" s="120" t="str">
        <f>IFERROR(VLOOKUP(Table1[RespondentID],'All Data'!$A$3:$CO$999,90,FALSE),"unknown")</f>
        <v>Nesconset, 11767</v>
      </c>
      <c r="T278" s="120" t="str">
        <f>IFERROR(VLOOKUP(Table1[RespondentID],'All Data'!$A$3:$CO$999,91,FALSE),"unknown")</f>
        <v>White</v>
      </c>
      <c r="U278" s="120" t="str">
        <f>IFERROR(VLOOKUP(Table1[RespondentID],'All Data'!$A$3:$CO$999,92,FALSE),"unknown")</f>
        <v>Hispanic or Latino</v>
      </c>
      <c r="V278" s="120" t="str">
        <f>IFERROR(VLOOKUP(Table1[RespondentID],'All Data'!$A$3:$CO$999,93,FALSE),"unknown")</f>
        <v>English</v>
      </c>
      <c r="W278" s="120" t="str">
        <f>IFERROR(VLOOKUP(Table1[RespondentID],'All Data'!$A$3:$CW$999,94,FALSE),"unknown")</f>
        <v>Over $125,000</v>
      </c>
      <c r="X278" s="120" t="str">
        <f>IFERROR(VLOOKUP(Table1[RespondentID],'All Data'!$A$3:$CW$999,95,FALSE),"unknown")</f>
        <v>High school graduate</v>
      </c>
      <c r="Y278" s="120" t="str">
        <f>IFERROR(VLOOKUP(Table1[RespondentID],'All Data'!$A$3:$CW$999,96,FALSE),"unknown")</f>
        <v>Student</v>
      </c>
      <c r="Z278" s="120" t="str">
        <f>IFERROR(VLOOKUP(Table1[RespondentID],'All Data'!$A$3:$CW$999,97,FALSE),"unknown")</f>
        <v>Yes</v>
      </c>
      <c r="AA278" s="120" t="str">
        <f>IFERROR(VLOOKUP(Table1[RespondentID],'All Data'!$A$3:$CW$999,98,FALSE),"unknown")</f>
        <v>Private/Commercial</v>
      </c>
      <c r="AB278" s="150" t="str">
        <f>IFERROR(VLOOKUP(Table1[RespondentID],'All Data'!$A$3:$CW$999,99,FALSE),"unknown")</f>
        <v>Yes</v>
      </c>
    </row>
    <row r="279" spans="1:28">
      <c r="A279" s="5">
        <v>18016880225</v>
      </c>
      <c r="B279" s="5" t="s">
        <v>64</v>
      </c>
      <c r="C279" s="5"/>
      <c r="D279" s="5"/>
      <c r="E279" s="5" t="s">
        <v>67</v>
      </c>
      <c r="F279" s="5"/>
      <c r="G279" s="5"/>
      <c r="H279" s="5"/>
      <c r="I279" s="5"/>
      <c r="J279" s="5"/>
      <c r="K279" s="5"/>
      <c r="L279" s="5"/>
      <c r="M279" s="5"/>
      <c r="N279" s="5"/>
      <c r="O279" s="148"/>
      <c r="P279" s="120" t="str">
        <f>IFERROR(VLOOKUP(Table1[RespondentID],'All Data'!$A$3:$CO$999,87,FALSE),"unknown")</f>
        <v>Man</v>
      </c>
      <c r="Q279" s="120">
        <f>IFERROR(VLOOKUP(Table1[RespondentID],'All Data'!$A$3:$CO$999,88,FALSE),"unknown")</f>
        <v>16</v>
      </c>
      <c r="R279" s="120" t="str">
        <f>IFERROR(VLOOKUP(Table1[RespondentID],'All Data'!$A$3:$CO$999,89,FALSE),"unknown")</f>
        <v>Suffolk</v>
      </c>
      <c r="S279" s="120" t="str">
        <f>IFERROR(VLOOKUP(Table1[RespondentID],'All Data'!$A$3:$CO$999,90,FALSE),"unknown")</f>
        <v>Nesconset, 11767</v>
      </c>
      <c r="T279" s="120" t="str">
        <f>IFERROR(VLOOKUP(Table1[RespondentID],'All Data'!$A$3:$CO$999,91,FALSE),"unknown")</f>
        <v>White</v>
      </c>
      <c r="U279" s="120" t="str">
        <f>IFERROR(VLOOKUP(Table1[RespondentID],'All Data'!$A$3:$CO$999,92,FALSE),"unknown")</f>
        <v>Hispanic or Latino</v>
      </c>
      <c r="V279" s="120" t="str">
        <f>IFERROR(VLOOKUP(Table1[RespondentID],'All Data'!$A$3:$CO$999,93,FALSE),"unknown")</f>
        <v>English</v>
      </c>
      <c r="W279" s="120" t="str">
        <f>IFERROR(VLOOKUP(Table1[RespondentID],'All Data'!$A$3:$CW$999,94,FALSE),"unknown")</f>
        <v>Over $125,000</v>
      </c>
      <c r="X279" s="120" t="str">
        <f>IFERROR(VLOOKUP(Table1[RespondentID],'All Data'!$A$3:$CW$999,95,FALSE),"unknown")</f>
        <v>Doctorate</v>
      </c>
      <c r="Y279" s="120" t="str">
        <f>IFERROR(VLOOKUP(Table1[RespondentID],'All Data'!$A$3:$CW$999,96,FALSE),"unknown")</f>
        <v>Student</v>
      </c>
      <c r="Z279" s="120" t="str">
        <f>IFERROR(VLOOKUP(Table1[RespondentID],'All Data'!$A$3:$CW$999,97,FALSE),"unknown")</f>
        <v>Yes</v>
      </c>
      <c r="AA279" s="120" t="str">
        <f>IFERROR(VLOOKUP(Table1[RespondentID],'All Data'!$A$3:$CW$999,98,FALSE),"unknown")</f>
        <v>Private/Commercial</v>
      </c>
      <c r="AB279" s="150" t="str">
        <f>IFERROR(VLOOKUP(Table1[RespondentID],'All Data'!$A$3:$CW$999,99,FALSE),"unknown")</f>
        <v>Yes</v>
      </c>
    </row>
    <row r="280" spans="1:28">
      <c r="A280" s="5">
        <v>18016880137</v>
      </c>
      <c r="B280" s="5" t="s">
        <v>64</v>
      </c>
      <c r="C280" s="5"/>
      <c r="D280" s="5"/>
      <c r="E280" s="5" t="s">
        <v>67</v>
      </c>
      <c r="F280" s="5"/>
      <c r="G280" s="5"/>
      <c r="H280" s="5"/>
      <c r="I280" s="5"/>
      <c r="J280" s="5"/>
      <c r="K280" s="5"/>
      <c r="L280" s="5"/>
      <c r="M280" s="5"/>
      <c r="N280" s="5"/>
      <c r="O280" s="148"/>
      <c r="P280" s="120" t="str">
        <f>IFERROR(VLOOKUP(Table1[RespondentID],'All Data'!$A$3:$CO$999,87,FALSE),"unknown")</f>
        <v>Man</v>
      </c>
      <c r="Q280" s="120">
        <f>IFERROR(VLOOKUP(Table1[RespondentID],'All Data'!$A$3:$CO$999,88,FALSE),"unknown")</f>
        <v>16</v>
      </c>
      <c r="R280" s="120" t="str">
        <f>IFERROR(VLOOKUP(Table1[RespondentID],'All Data'!$A$3:$CO$999,89,FALSE),"unknown")</f>
        <v>Suffolk</v>
      </c>
      <c r="S280" s="120" t="str">
        <f>IFERROR(VLOOKUP(Table1[RespondentID],'All Data'!$A$3:$CO$999,90,FALSE),"unknown")</f>
        <v>Nesconset, 11767</v>
      </c>
      <c r="T280" s="120" t="str">
        <f>IFERROR(VLOOKUP(Table1[RespondentID],'All Data'!$A$3:$CO$999,91,FALSE),"unknown")</f>
        <v>White</v>
      </c>
      <c r="U280" s="120" t="str">
        <f>IFERROR(VLOOKUP(Table1[RespondentID],'All Data'!$A$3:$CO$999,92,FALSE),"unknown")</f>
        <v>Hispanic or Latino</v>
      </c>
      <c r="V280" s="120" t="str">
        <f>IFERROR(VLOOKUP(Table1[RespondentID],'All Data'!$A$3:$CO$999,93,FALSE),"unknown")</f>
        <v>English</v>
      </c>
      <c r="W280" s="120" t="str">
        <f>IFERROR(VLOOKUP(Table1[RespondentID],'All Data'!$A$3:$CW$999,94,FALSE),"unknown")</f>
        <v>Over $125,000</v>
      </c>
      <c r="X280" s="120" t="str">
        <f>IFERROR(VLOOKUP(Table1[RespondentID],'All Data'!$A$3:$CW$999,95,FALSE),"unknown")</f>
        <v>Doctorate</v>
      </c>
      <c r="Y280" s="120" t="str">
        <f>IFERROR(VLOOKUP(Table1[RespondentID],'All Data'!$A$3:$CW$999,96,FALSE),"unknown")</f>
        <v>Student</v>
      </c>
      <c r="Z280" s="120" t="str">
        <f>IFERROR(VLOOKUP(Table1[RespondentID],'All Data'!$A$3:$CW$999,97,FALSE),"unknown")</f>
        <v>Yes</v>
      </c>
      <c r="AA280" s="120" t="str">
        <f>IFERROR(VLOOKUP(Table1[RespondentID],'All Data'!$A$3:$CW$999,98,FALSE),"unknown")</f>
        <v>Private/Commercial</v>
      </c>
      <c r="AB280" s="150" t="str">
        <f>IFERROR(VLOOKUP(Table1[RespondentID],'All Data'!$A$3:$CW$999,99,FALSE),"unknown")</f>
        <v>Yes</v>
      </c>
    </row>
    <row r="281" spans="1:28">
      <c r="A281" s="5">
        <v>18016878205</v>
      </c>
      <c r="B281" s="5" t="s">
        <v>64</v>
      </c>
      <c r="C281" s="5"/>
      <c r="D281" s="5"/>
      <c r="E281" s="5" t="s">
        <v>67</v>
      </c>
      <c r="F281" s="5"/>
      <c r="G281" s="5"/>
      <c r="H281" s="5" t="s">
        <v>70</v>
      </c>
      <c r="I281" s="5"/>
      <c r="J281" s="5"/>
      <c r="K281" s="5"/>
      <c r="L281" s="5"/>
      <c r="M281" s="5"/>
      <c r="N281" s="5"/>
      <c r="O281" s="148"/>
      <c r="P281" s="120" t="str">
        <f>IFERROR(VLOOKUP(Table1[RespondentID],'All Data'!$A$3:$CO$999,87,FALSE),"unknown")</f>
        <v>Man</v>
      </c>
      <c r="Q281" s="120">
        <f>IFERROR(VLOOKUP(Table1[RespondentID],'All Data'!$A$3:$CO$999,88,FALSE),"unknown")</f>
        <v>54</v>
      </c>
      <c r="R281" s="120" t="str">
        <f>IFERROR(VLOOKUP(Table1[RespondentID],'All Data'!$A$3:$CO$999,89,FALSE),"unknown")</f>
        <v>Suffolk</v>
      </c>
      <c r="S281" s="120" t="str">
        <f>IFERROR(VLOOKUP(Table1[RespondentID],'All Data'!$A$3:$CO$999,90,FALSE),"unknown")</f>
        <v>Commack, 11725</v>
      </c>
      <c r="T281" s="120" t="str">
        <f>IFERROR(VLOOKUP(Table1[RespondentID],'All Data'!$A$3:$CO$999,91,FALSE),"unknown")</f>
        <v>White</v>
      </c>
      <c r="U281" s="120" t="str">
        <f>IFERROR(VLOOKUP(Table1[RespondentID],'All Data'!$A$3:$CO$999,92,FALSE),"unknown")</f>
        <v>Hispanic or Latino</v>
      </c>
      <c r="V281" s="120" t="str">
        <f>IFERROR(VLOOKUP(Table1[RespondentID],'All Data'!$A$3:$CO$999,93,FALSE),"unknown")</f>
        <v>English</v>
      </c>
      <c r="W281" s="120" t="str">
        <f>IFERROR(VLOOKUP(Table1[RespondentID],'All Data'!$A$3:$CW$999,94,FALSE),"unknown")</f>
        <v>Over $125,000</v>
      </c>
      <c r="X281" s="120" t="str">
        <f>IFERROR(VLOOKUP(Table1[RespondentID],'All Data'!$A$3:$CW$999,95,FALSE),"unknown")</f>
        <v>College graduate</v>
      </c>
      <c r="Y281" s="120" t="str">
        <f>IFERROR(VLOOKUP(Table1[RespondentID],'All Data'!$A$3:$CW$999,96,FALSE),"unknown")</f>
        <v>Retired</v>
      </c>
      <c r="Z281" s="120" t="str">
        <f>IFERROR(VLOOKUP(Table1[RespondentID],'All Data'!$A$3:$CW$999,97,FALSE),"unknown")</f>
        <v>Yes</v>
      </c>
      <c r="AA281" s="120" t="str">
        <f>IFERROR(VLOOKUP(Table1[RespondentID],'All Data'!$A$3:$CW$999,98,FALSE),"unknown")</f>
        <v>Medicaid</v>
      </c>
      <c r="AB281" s="150" t="str">
        <f>IFERROR(VLOOKUP(Table1[RespondentID],'All Data'!$A$3:$CW$999,99,FALSE),"unknown")</f>
        <v>Yes</v>
      </c>
    </row>
    <row r="282" spans="1:28">
      <c r="A282" s="5">
        <v>18016878064</v>
      </c>
      <c r="B282" s="5" t="s">
        <v>64</v>
      </c>
      <c r="C282" s="5"/>
      <c r="D282" s="5" t="s">
        <v>66</v>
      </c>
      <c r="E282" s="5"/>
      <c r="F282" s="5"/>
      <c r="G282" s="5"/>
      <c r="H282" s="5" t="s">
        <v>70</v>
      </c>
      <c r="I282" s="5"/>
      <c r="J282" s="5"/>
      <c r="K282" s="5"/>
      <c r="L282" s="5"/>
      <c r="M282" s="5"/>
      <c r="N282" s="5"/>
      <c r="O282" s="148"/>
      <c r="P282" s="120" t="str">
        <f>IFERROR(VLOOKUP(Table1[RespondentID],'All Data'!$A$3:$CO$999,87,FALSE),"unknown")</f>
        <v>Woman</v>
      </c>
      <c r="Q282" s="120">
        <f>IFERROR(VLOOKUP(Table1[RespondentID],'All Data'!$A$3:$CO$999,88,FALSE),"unknown")</f>
        <v>55</v>
      </c>
      <c r="R282" s="120" t="str">
        <f>IFERROR(VLOOKUP(Table1[RespondentID],'All Data'!$A$3:$CO$999,89,FALSE),"unknown")</f>
        <v>Suffolk</v>
      </c>
      <c r="S282" s="120" t="str">
        <f>IFERROR(VLOOKUP(Table1[RespondentID],'All Data'!$A$3:$CO$999,90,FALSE),"unknown")</f>
        <v>Commack, 11725</v>
      </c>
      <c r="T282" s="120" t="str">
        <f>IFERROR(VLOOKUP(Table1[RespondentID],'All Data'!$A$3:$CO$999,91,FALSE),"unknown")</f>
        <v>White</v>
      </c>
      <c r="U282" s="120" t="str">
        <f>IFERROR(VLOOKUP(Table1[RespondentID],'All Data'!$A$3:$CO$999,92,FALSE),"unknown")</f>
        <v>Hispanic or Latino</v>
      </c>
      <c r="V282" s="120" t="str">
        <f>IFERROR(VLOOKUP(Table1[RespondentID],'All Data'!$A$3:$CO$999,93,FALSE),"unknown")</f>
        <v>English, Farsi</v>
      </c>
      <c r="W282" s="120" t="str">
        <f>IFERROR(VLOOKUP(Table1[RespondentID],'All Data'!$A$3:$CW$999,94,FALSE),"unknown")</f>
        <v>Over $125,000</v>
      </c>
      <c r="X282" s="120" t="str">
        <f>IFERROR(VLOOKUP(Table1[RespondentID],'All Data'!$A$3:$CW$999,95,FALSE),"unknown")</f>
        <v>College graduate</v>
      </c>
      <c r="Y282" s="120" t="str">
        <f>IFERROR(VLOOKUP(Table1[RespondentID],'All Data'!$A$3:$CW$999,96,FALSE),"unknown")</f>
        <v>Employed for wages</v>
      </c>
      <c r="Z282" s="120" t="str">
        <f>IFERROR(VLOOKUP(Table1[RespondentID],'All Data'!$A$3:$CW$999,97,FALSE),"unknown")</f>
        <v>Yes</v>
      </c>
      <c r="AA282" s="120" t="str">
        <f>IFERROR(VLOOKUP(Table1[RespondentID],'All Data'!$A$3:$CW$999,98,FALSE),"unknown")</f>
        <v>Medicare</v>
      </c>
      <c r="AB282" s="150" t="str">
        <f>IFERROR(VLOOKUP(Table1[RespondentID],'All Data'!$A$3:$CW$999,99,FALSE),"unknown")</f>
        <v>Yes</v>
      </c>
    </row>
    <row r="283" spans="1:28">
      <c r="A283" s="5">
        <v>18016877876</v>
      </c>
      <c r="B283" s="5"/>
      <c r="C283" s="5" t="s">
        <v>65</v>
      </c>
      <c r="D283" s="5"/>
      <c r="E283" s="5"/>
      <c r="F283" s="5"/>
      <c r="G283" s="5" t="s">
        <v>69</v>
      </c>
      <c r="H283" s="5"/>
      <c r="I283" s="5"/>
      <c r="J283" s="5"/>
      <c r="K283" s="5" t="s">
        <v>73</v>
      </c>
      <c r="L283" s="5"/>
      <c r="M283" s="5"/>
      <c r="N283" s="5"/>
      <c r="O283" s="148"/>
      <c r="P283" s="120" t="str">
        <f>IFERROR(VLOOKUP(Table1[RespondentID],'All Data'!$A$3:$CO$999,87,FALSE),"unknown")</f>
        <v>Woman</v>
      </c>
      <c r="Q283" s="120">
        <f>IFERROR(VLOOKUP(Table1[RespondentID],'All Data'!$A$3:$CO$999,88,FALSE),"unknown")</f>
        <v>50</v>
      </c>
      <c r="R283" s="120" t="str">
        <f>IFERROR(VLOOKUP(Table1[RespondentID],'All Data'!$A$3:$CO$999,89,FALSE),"unknown")</f>
        <v>Suffolk</v>
      </c>
      <c r="S283" s="120" t="str">
        <f>IFERROR(VLOOKUP(Table1[RespondentID],'All Data'!$A$3:$CO$999,90,FALSE),"unknown")</f>
        <v>Commack, 11725</v>
      </c>
      <c r="T283" s="120" t="str">
        <f>IFERROR(VLOOKUP(Table1[RespondentID],'All Data'!$A$3:$CO$999,91,FALSE),"unknown")</f>
        <v>White</v>
      </c>
      <c r="U283" s="120" t="str">
        <f>IFERROR(VLOOKUP(Table1[RespondentID],'All Data'!$A$3:$CO$999,92,FALSE),"unknown")</f>
        <v>Hispanic or Latino</v>
      </c>
      <c r="V283" s="120" t="str">
        <f>IFERROR(VLOOKUP(Table1[RespondentID],'All Data'!$A$3:$CO$999,93,FALSE),"unknown")</f>
        <v>English</v>
      </c>
      <c r="W283" s="120" t="str">
        <f>IFERROR(VLOOKUP(Table1[RespondentID],'All Data'!$A$3:$CW$999,94,FALSE),"unknown")</f>
        <v>Over $125,000</v>
      </c>
      <c r="X283" s="120" t="str">
        <f>IFERROR(VLOOKUP(Table1[RespondentID],'All Data'!$A$3:$CW$999,95,FALSE),"unknown")</f>
        <v>College graduate</v>
      </c>
      <c r="Y283" s="120" t="str">
        <f>IFERROR(VLOOKUP(Table1[RespondentID],'All Data'!$A$3:$CW$999,96,FALSE),"unknown")</f>
        <v>Employed for wages</v>
      </c>
      <c r="Z283" s="120" t="str">
        <f>IFERROR(VLOOKUP(Table1[RespondentID],'All Data'!$A$3:$CW$999,97,FALSE),"unknown")</f>
        <v>Yes</v>
      </c>
      <c r="AA283" s="120" t="str">
        <f>IFERROR(VLOOKUP(Table1[RespondentID],'All Data'!$A$3:$CW$999,98,FALSE),"unknown")</f>
        <v>Medicare</v>
      </c>
      <c r="AB283" s="150" t="str">
        <f>IFERROR(VLOOKUP(Table1[RespondentID],'All Data'!$A$3:$CW$999,99,FALSE),"unknown")</f>
        <v>Yes</v>
      </c>
    </row>
    <row r="284" spans="1:28">
      <c r="A284" s="5">
        <v>18016806771</v>
      </c>
      <c r="B284" s="5" t="s">
        <v>64</v>
      </c>
      <c r="C284" s="5"/>
      <c r="D284" s="5" t="s">
        <v>66</v>
      </c>
      <c r="E284" s="5" t="s">
        <v>67</v>
      </c>
      <c r="F284" s="5"/>
      <c r="G284" s="5"/>
      <c r="H284" s="5" t="s">
        <v>70</v>
      </c>
      <c r="I284" s="5"/>
      <c r="J284" s="5"/>
      <c r="K284" s="5"/>
      <c r="L284" s="5"/>
      <c r="M284" s="5" t="s">
        <v>75</v>
      </c>
      <c r="N284" s="5" t="s">
        <v>76</v>
      </c>
      <c r="O284" s="148"/>
      <c r="P284" s="120" t="str">
        <f>IFERROR(VLOOKUP(Table1[RespondentID],'All Data'!$A$3:$CO$999,87,FALSE),"unknown")</f>
        <v>Man</v>
      </c>
      <c r="Q284" s="120">
        <f>IFERROR(VLOOKUP(Table1[RespondentID],'All Data'!$A$3:$CO$999,88,FALSE),"unknown")</f>
        <v>18</v>
      </c>
      <c r="R284" s="120" t="str">
        <f>IFERROR(VLOOKUP(Table1[RespondentID],'All Data'!$A$3:$CO$999,89,FALSE),"unknown")</f>
        <v>Suffolk</v>
      </c>
      <c r="S284" s="120" t="str">
        <f>IFERROR(VLOOKUP(Table1[RespondentID],'All Data'!$A$3:$CO$999,90,FALSE),"unknown")</f>
        <v>Commack, 11725</v>
      </c>
      <c r="T284" s="120" t="str">
        <f>IFERROR(VLOOKUP(Table1[RespondentID],'All Data'!$A$3:$CO$999,91,FALSE),"unknown")</f>
        <v>White</v>
      </c>
      <c r="U284" s="120" t="str">
        <f>IFERROR(VLOOKUP(Table1[RespondentID],'All Data'!$A$3:$CO$999,92,FALSE),"unknown")</f>
        <v>Hispanic or Latino</v>
      </c>
      <c r="V284" s="120" t="str">
        <f>IFERROR(VLOOKUP(Table1[RespondentID],'All Data'!$A$3:$CO$999,93,FALSE),"unknown")</f>
        <v>English</v>
      </c>
      <c r="W284" s="120" t="str">
        <f>IFERROR(VLOOKUP(Table1[RespondentID],'All Data'!$A$3:$CW$999,94,FALSE),"unknown")</f>
        <v>$75,000 to $125,000</v>
      </c>
      <c r="X284" s="120" t="str">
        <f>IFERROR(VLOOKUP(Table1[RespondentID],'All Data'!$A$3:$CW$999,95,FALSE),"unknown")</f>
        <v>High school graduate</v>
      </c>
      <c r="Y284" s="120" t="str">
        <f>IFERROR(VLOOKUP(Table1[RespondentID],'All Data'!$A$3:$CW$999,96,FALSE),"unknown")</f>
        <v>Student</v>
      </c>
      <c r="Z284" s="120" t="str">
        <f>IFERROR(VLOOKUP(Table1[RespondentID],'All Data'!$A$3:$CW$999,97,FALSE),"unknown")</f>
        <v>No</v>
      </c>
      <c r="AA284" s="120" t="str">
        <f>IFERROR(VLOOKUP(Table1[RespondentID],'All Data'!$A$3:$CW$999,98,FALSE),"unknown")</f>
        <v>No Insurance</v>
      </c>
      <c r="AB284" s="150" t="str">
        <f>IFERROR(VLOOKUP(Table1[RespondentID],'All Data'!$A$3:$CW$999,99,FALSE),"unknown")</f>
        <v>Yes</v>
      </c>
    </row>
    <row r="285" spans="1:28">
      <c r="A285" s="5">
        <v>18016769736</v>
      </c>
      <c r="B285" s="5" t="s">
        <v>64</v>
      </c>
      <c r="C285" s="5"/>
      <c r="D285" s="5"/>
      <c r="E285" s="5" t="s">
        <v>67</v>
      </c>
      <c r="F285" s="5"/>
      <c r="G285" s="5"/>
      <c r="H285" s="5"/>
      <c r="I285" s="5"/>
      <c r="J285" s="5"/>
      <c r="K285" s="5"/>
      <c r="L285" s="5"/>
      <c r="M285" s="5" t="s">
        <v>75</v>
      </c>
      <c r="N285" s="5"/>
      <c r="O285" s="148"/>
      <c r="P285" s="120" t="str">
        <f>IFERROR(VLOOKUP(Table1[RespondentID],'All Data'!$A$3:$CO$999,87,FALSE),"unknown")</f>
        <v>Man</v>
      </c>
      <c r="Q285" s="120">
        <f>IFERROR(VLOOKUP(Table1[RespondentID],'All Data'!$A$3:$CO$999,88,FALSE),"unknown")</f>
        <v>17</v>
      </c>
      <c r="R285" s="120" t="str">
        <f>IFERROR(VLOOKUP(Table1[RespondentID],'All Data'!$A$3:$CO$999,89,FALSE),"unknown")</f>
        <v>Suffolk</v>
      </c>
      <c r="S285" s="120" t="str">
        <f>IFERROR(VLOOKUP(Table1[RespondentID],'All Data'!$A$3:$CO$999,90,FALSE),"unknown")</f>
        <v>Commack, 11725</v>
      </c>
      <c r="T285" s="120" t="str">
        <f>IFERROR(VLOOKUP(Table1[RespondentID],'All Data'!$A$3:$CO$999,91,FALSE),"unknown")</f>
        <v>White</v>
      </c>
      <c r="U285" s="120" t="str">
        <f>IFERROR(VLOOKUP(Table1[RespondentID],'All Data'!$A$3:$CO$999,92,FALSE),"unknown")</f>
        <v>Hispanic or Latino</v>
      </c>
      <c r="V285" s="120" t="str">
        <f>IFERROR(VLOOKUP(Table1[RespondentID],'All Data'!$A$3:$CO$999,93,FALSE),"unknown")</f>
        <v>English</v>
      </c>
      <c r="W285" s="120" t="str">
        <f>IFERROR(VLOOKUP(Table1[RespondentID],'All Data'!$A$3:$CW$999,94,FALSE),"unknown")</f>
        <v>Over $125,000</v>
      </c>
      <c r="X285" s="120" t="str">
        <f>IFERROR(VLOOKUP(Table1[RespondentID],'All Data'!$A$3:$CW$999,95,FALSE),"unknown")</f>
        <v>High school graduate</v>
      </c>
      <c r="Y285" s="120" t="str">
        <f>IFERROR(VLOOKUP(Table1[RespondentID],'All Data'!$A$3:$CW$999,96,FALSE),"unknown")</f>
        <v>Employed for wages</v>
      </c>
      <c r="Z285" s="120" t="str">
        <f>IFERROR(VLOOKUP(Table1[RespondentID],'All Data'!$A$3:$CW$999,97,FALSE),"unknown")</f>
        <v>Yes</v>
      </c>
      <c r="AA285" s="120" t="str">
        <f>IFERROR(VLOOKUP(Table1[RespondentID],'All Data'!$A$3:$CW$999,98,FALSE),"unknown")</f>
        <v>Medicare</v>
      </c>
      <c r="AB285" s="150" t="str">
        <f>IFERROR(VLOOKUP(Table1[RespondentID],'All Data'!$A$3:$CW$999,99,FALSE),"unknown")</f>
        <v>Yes</v>
      </c>
    </row>
    <row r="286" spans="1:28">
      <c r="A286" s="5">
        <v>18016765374</v>
      </c>
      <c r="B286" s="5" t="s">
        <v>64</v>
      </c>
      <c r="C286" s="5"/>
      <c r="D286" s="5"/>
      <c r="E286" s="5" t="s">
        <v>67</v>
      </c>
      <c r="F286" s="5"/>
      <c r="G286" s="5"/>
      <c r="H286" s="5"/>
      <c r="I286" s="5"/>
      <c r="J286" s="5"/>
      <c r="K286" s="5"/>
      <c r="L286" s="5"/>
      <c r="M286" s="5"/>
      <c r="N286" s="5"/>
      <c r="O286" s="148"/>
      <c r="P286" s="120" t="str">
        <f>IFERROR(VLOOKUP(Table1[RespondentID],'All Data'!$A$3:$CO$999,87,FALSE),"unknown")</f>
        <v>Man</v>
      </c>
      <c r="Q286" s="120">
        <f>IFERROR(VLOOKUP(Table1[RespondentID],'All Data'!$A$3:$CO$999,88,FALSE),"unknown")</f>
        <v>16</v>
      </c>
      <c r="R286" s="120" t="str">
        <f>IFERROR(VLOOKUP(Table1[RespondentID],'All Data'!$A$3:$CO$999,89,FALSE),"unknown")</f>
        <v>Suffolk</v>
      </c>
      <c r="S286" s="120" t="str">
        <f>IFERROR(VLOOKUP(Table1[RespondentID],'All Data'!$A$3:$CO$999,90,FALSE),"unknown")</f>
        <v>Nesconset, 11767</v>
      </c>
      <c r="T286" s="120" t="str">
        <f>IFERROR(VLOOKUP(Table1[RespondentID],'All Data'!$A$3:$CO$999,91,FALSE),"unknown")</f>
        <v>White</v>
      </c>
      <c r="U286" s="120" t="str">
        <f>IFERROR(VLOOKUP(Table1[RespondentID],'All Data'!$A$3:$CO$999,92,FALSE),"unknown")</f>
        <v>Hispanic or Latino</v>
      </c>
      <c r="V286" s="120" t="str">
        <f>IFERROR(VLOOKUP(Table1[RespondentID],'All Data'!$A$3:$CO$999,93,FALSE),"unknown")</f>
        <v>English</v>
      </c>
      <c r="W286" s="120" t="str">
        <f>IFERROR(VLOOKUP(Table1[RespondentID],'All Data'!$A$3:$CW$999,94,FALSE),"unknown")</f>
        <v>Over $125,000</v>
      </c>
      <c r="X286" s="120" t="str">
        <f>IFERROR(VLOOKUP(Table1[RespondentID],'All Data'!$A$3:$CW$999,95,FALSE),"unknown")</f>
        <v>Graduate school</v>
      </c>
      <c r="Y286" s="120" t="str">
        <f>IFERROR(VLOOKUP(Table1[RespondentID],'All Data'!$A$3:$CW$999,96,FALSE),"unknown")</f>
        <v>Student</v>
      </c>
      <c r="Z286" s="120" t="str">
        <f>IFERROR(VLOOKUP(Table1[RespondentID],'All Data'!$A$3:$CW$999,97,FALSE),"unknown")</f>
        <v>Yes</v>
      </c>
      <c r="AA286" s="120" t="str">
        <f>IFERROR(VLOOKUP(Table1[RespondentID],'All Data'!$A$3:$CW$999,98,FALSE),"unknown")</f>
        <v>Private/Commercial</v>
      </c>
      <c r="AB286" s="150" t="str">
        <f>IFERROR(VLOOKUP(Table1[RespondentID],'All Data'!$A$3:$CW$999,99,FALSE),"unknown")</f>
        <v>Yes</v>
      </c>
    </row>
    <row r="287" spans="1:28">
      <c r="A287" s="5">
        <v>18016764813</v>
      </c>
      <c r="B287" s="5" t="s">
        <v>64</v>
      </c>
      <c r="C287" s="5"/>
      <c r="D287" s="5"/>
      <c r="E287" s="5"/>
      <c r="F287" s="5"/>
      <c r="G287" s="5"/>
      <c r="H287" s="5" t="s">
        <v>70</v>
      </c>
      <c r="I287" s="5"/>
      <c r="J287" s="5"/>
      <c r="K287" s="5"/>
      <c r="L287" s="5"/>
      <c r="M287" s="5"/>
      <c r="N287" s="5"/>
      <c r="O287" s="148"/>
      <c r="P287" s="120" t="str">
        <f>IFERROR(VLOOKUP(Table1[RespondentID],'All Data'!$A$3:$CO$999,87,FALSE),"unknown")</f>
        <v>Man</v>
      </c>
      <c r="Q287" s="120">
        <f>IFERROR(VLOOKUP(Table1[RespondentID],'All Data'!$A$3:$CO$999,88,FALSE),"unknown")</f>
        <v>16</v>
      </c>
      <c r="R287" s="120" t="str">
        <f>IFERROR(VLOOKUP(Table1[RespondentID],'All Data'!$A$3:$CO$999,89,FALSE),"unknown")</f>
        <v>Suffolk</v>
      </c>
      <c r="S287" s="120" t="str">
        <f>IFERROR(VLOOKUP(Table1[RespondentID],'All Data'!$A$3:$CO$999,90,FALSE),"unknown")</f>
        <v>Nesconset, 11767</v>
      </c>
      <c r="T287" s="120" t="str">
        <f>IFERROR(VLOOKUP(Table1[RespondentID],'All Data'!$A$3:$CO$999,91,FALSE),"unknown")</f>
        <v>White</v>
      </c>
      <c r="U287" s="120" t="str">
        <f>IFERROR(VLOOKUP(Table1[RespondentID],'All Data'!$A$3:$CO$999,92,FALSE),"unknown")</f>
        <v>Hispanic or Latino</v>
      </c>
      <c r="V287" s="120" t="str">
        <f>IFERROR(VLOOKUP(Table1[RespondentID],'All Data'!$A$3:$CO$999,93,FALSE),"unknown")</f>
        <v>English</v>
      </c>
      <c r="W287" s="120" t="str">
        <f>IFERROR(VLOOKUP(Table1[RespondentID],'All Data'!$A$3:$CW$999,94,FALSE),"unknown")</f>
        <v>Over $125,000</v>
      </c>
      <c r="X287" s="120" t="str">
        <f>IFERROR(VLOOKUP(Table1[RespondentID],'All Data'!$A$3:$CW$999,95,FALSE),"unknown")</f>
        <v>College graduate</v>
      </c>
      <c r="Y287" s="120" t="str">
        <f>IFERROR(VLOOKUP(Table1[RespondentID],'All Data'!$A$3:$CW$999,96,FALSE),"unknown")</f>
        <v>Student</v>
      </c>
      <c r="Z287" s="120" t="str">
        <f>IFERROR(VLOOKUP(Table1[RespondentID],'All Data'!$A$3:$CW$999,97,FALSE),"unknown")</f>
        <v>Yes</v>
      </c>
      <c r="AA287" s="120" t="str">
        <f>IFERROR(VLOOKUP(Table1[RespondentID],'All Data'!$A$3:$CW$999,98,FALSE),"unknown")</f>
        <v>Private/Commercial</v>
      </c>
      <c r="AB287" s="150" t="str">
        <f>IFERROR(VLOOKUP(Table1[RespondentID],'All Data'!$A$3:$CW$999,99,FALSE),"unknown")</f>
        <v>Yes</v>
      </c>
    </row>
    <row r="288" spans="1:28">
      <c r="A288" s="5">
        <v>18016645165</v>
      </c>
      <c r="B288" s="5" t="s">
        <v>64</v>
      </c>
      <c r="C288" s="5"/>
      <c r="D288" s="5"/>
      <c r="E288" s="5"/>
      <c r="F288" s="5"/>
      <c r="G288" s="5"/>
      <c r="H288" s="5"/>
      <c r="I288" s="5"/>
      <c r="J288" s="5"/>
      <c r="K288" s="5"/>
      <c r="L288" s="5"/>
      <c r="M288" s="5"/>
      <c r="N288" s="5"/>
      <c r="O288" s="148"/>
      <c r="P288" s="120" t="str">
        <f>IFERROR(VLOOKUP(Table1[RespondentID],'All Data'!$A$3:$CO$999,87,FALSE),"unknown")</f>
        <v>Woman</v>
      </c>
      <c r="Q288" s="120">
        <f>IFERROR(VLOOKUP(Table1[RespondentID],'All Data'!$A$3:$CO$999,88,FALSE),"unknown")</f>
        <v>35</v>
      </c>
      <c r="R288" s="120" t="str">
        <f>IFERROR(VLOOKUP(Table1[RespondentID],'All Data'!$A$3:$CO$999,89,FALSE),"unknown")</f>
        <v>Queens</v>
      </c>
      <c r="S288" s="120">
        <f>IFERROR(VLOOKUP(Table1[RespondentID],'All Data'!$A$3:$CO$999,90,FALSE),"unknown")</f>
        <v>11375</v>
      </c>
      <c r="T288" s="120" t="str">
        <f>IFERROR(VLOOKUP(Table1[RespondentID],'All Data'!$A$3:$CO$999,91,FALSE),"unknown")</f>
        <v>American Indian and Alaska Native</v>
      </c>
      <c r="U288" s="120" t="str">
        <f>IFERROR(VLOOKUP(Table1[RespondentID],'All Data'!$A$3:$CO$999,92,FALSE),"unknown")</f>
        <v>Hispanic or Latino</v>
      </c>
      <c r="V288" s="120" t="str">
        <f>IFERROR(VLOOKUP(Table1[RespondentID],'All Data'!$A$3:$CO$999,93,FALSE),"unknown")</f>
        <v>English, Korean</v>
      </c>
      <c r="W288" s="120" t="str">
        <f>IFERROR(VLOOKUP(Table1[RespondentID],'All Data'!$A$3:$CW$999,94,FALSE),"unknown")</f>
        <v>Over $125,000</v>
      </c>
      <c r="X288" s="120" t="str">
        <f>IFERROR(VLOOKUP(Table1[RespondentID],'All Data'!$A$3:$CW$999,95,FALSE),"unknown")</f>
        <v>Doctorate</v>
      </c>
      <c r="Y288" s="120" t="str">
        <f>IFERROR(VLOOKUP(Table1[RespondentID],'All Data'!$A$3:$CW$999,96,FALSE),"unknown")</f>
        <v>Employed for wages</v>
      </c>
      <c r="Z288" s="120" t="str">
        <f>IFERROR(VLOOKUP(Table1[RespondentID],'All Data'!$A$3:$CW$999,97,FALSE),"unknown")</f>
        <v>Yes</v>
      </c>
      <c r="AA288" s="120" t="str">
        <f>IFERROR(VLOOKUP(Table1[RespondentID],'All Data'!$A$3:$CW$999,98,FALSE),"unknown")</f>
        <v>Private/Commercial</v>
      </c>
      <c r="AB288" s="150" t="str">
        <f>IFERROR(VLOOKUP(Table1[RespondentID],'All Data'!$A$3:$CW$999,99,FALSE),"unknown")</f>
        <v>Yes</v>
      </c>
    </row>
    <row r="289" spans="1:28">
      <c r="A289" s="5">
        <v>18016455302</v>
      </c>
      <c r="B289" s="5" t="s">
        <v>64</v>
      </c>
      <c r="C289" s="5"/>
      <c r="D289" s="5" t="s">
        <v>66</v>
      </c>
      <c r="E289" s="5" t="s">
        <v>67</v>
      </c>
      <c r="F289" s="5"/>
      <c r="G289" s="5"/>
      <c r="H289" s="5"/>
      <c r="I289" s="5"/>
      <c r="J289" s="5"/>
      <c r="K289" s="5"/>
      <c r="L289" s="5"/>
      <c r="M289" s="5" t="s">
        <v>75</v>
      </c>
      <c r="N289" s="5"/>
      <c r="O289" s="148"/>
      <c r="P289" s="120" t="str">
        <f>IFERROR(VLOOKUP(Table1[RespondentID],'All Data'!$A$3:$CO$999,87,FALSE),"unknown")</f>
        <v>Man</v>
      </c>
      <c r="Q289" s="120">
        <f>IFERROR(VLOOKUP(Table1[RespondentID],'All Data'!$A$3:$CO$999,88,FALSE),"unknown")</f>
        <v>21</v>
      </c>
      <c r="R289" s="120" t="str">
        <f>IFERROR(VLOOKUP(Table1[RespondentID],'All Data'!$A$3:$CO$999,89,FALSE),"unknown")</f>
        <v>Suffolk</v>
      </c>
      <c r="S289" s="120" t="str">
        <f>IFERROR(VLOOKUP(Table1[RespondentID],'All Data'!$A$3:$CO$999,90,FALSE),"unknown")</f>
        <v>Lindenhurst, 11757</v>
      </c>
      <c r="T289" s="120" t="str">
        <f>IFERROR(VLOOKUP(Table1[RespondentID],'All Data'!$A$3:$CO$999,91,FALSE),"unknown")</f>
        <v>White</v>
      </c>
      <c r="U289" s="120" t="str">
        <f>IFERROR(VLOOKUP(Table1[RespondentID],'All Data'!$A$3:$CO$999,92,FALSE),"unknown")</f>
        <v>Not Hispanic or Latino</v>
      </c>
      <c r="V289" s="120" t="str">
        <f>IFERROR(VLOOKUP(Table1[RespondentID],'All Data'!$A$3:$CO$999,93,FALSE),"unknown")</f>
        <v>Spanish</v>
      </c>
      <c r="W289" s="120" t="str">
        <f>IFERROR(VLOOKUP(Table1[RespondentID],'All Data'!$A$3:$CW$999,94,FALSE),"unknown")</f>
        <v>$75,000 to $125,000</v>
      </c>
      <c r="X289" s="120" t="str">
        <f>IFERROR(VLOOKUP(Table1[RespondentID],'All Data'!$A$3:$CW$999,95,FALSE),"unknown")</f>
        <v>Some college</v>
      </c>
      <c r="Y289" s="120" t="str">
        <f>IFERROR(VLOOKUP(Table1[RespondentID],'All Data'!$A$3:$CW$999,96,FALSE),"unknown")</f>
        <v>Student</v>
      </c>
      <c r="Z289" s="120" t="str">
        <f>IFERROR(VLOOKUP(Table1[RespondentID],'All Data'!$A$3:$CW$999,97,FALSE),"unknown")</f>
        <v>Yes</v>
      </c>
      <c r="AA289" s="120" t="str">
        <f>IFERROR(VLOOKUP(Table1[RespondentID],'All Data'!$A$3:$CW$999,98,FALSE),"unknown")</f>
        <v>Medicare</v>
      </c>
      <c r="AB289" s="150" t="str">
        <f>IFERROR(VLOOKUP(Table1[RespondentID],'All Data'!$A$3:$CW$999,99,FALSE),"unknown")</f>
        <v>Yes</v>
      </c>
    </row>
    <row r="290" spans="1:28">
      <c r="A290" s="5">
        <v>18016436237</v>
      </c>
      <c r="B290" s="5" t="s">
        <v>64</v>
      </c>
      <c r="C290" s="5"/>
      <c r="D290" s="5"/>
      <c r="E290" s="5"/>
      <c r="F290" s="5"/>
      <c r="G290" s="5"/>
      <c r="H290" s="5"/>
      <c r="I290" s="5"/>
      <c r="J290" s="5"/>
      <c r="K290" s="5"/>
      <c r="L290" s="5"/>
      <c r="M290" s="5" t="s">
        <v>75</v>
      </c>
      <c r="N290" s="5"/>
      <c r="O290" s="148"/>
      <c r="P290" s="120" t="str">
        <f>IFERROR(VLOOKUP(Table1[RespondentID],'All Data'!$A$3:$CO$999,87,FALSE),"unknown")</f>
        <v>Man</v>
      </c>
      <c r="Q290" s="120">
        <f>IFERROR(VLOOKUP(Table1[RespondentID],'All Data'!$A$3:$CO$999,88,FALSE),"unknown")</f>
        <v>18</v>
      </c>
      <c r="R290" s="120" t="str">
        <f>IFERROR(VLOOKUP(Table1[RespondentID],'All Data'!$A$3:$CO$999,89,FALSE),"unknown")</f>
        <v>Queens</v>
      </c>
      <c r="S290" s="120">
        <f>IFERROR(VLOOKUP(Table1[RespondentID],'All Data'!$A$3:$CO$999,90,FALSE),"unknown")</f>
        <v>11428</v>
      </c>
      <c r="T290" s="120" t="str">
        <f>IFERROR(VLOOKUP(Table1[RespondentID],'All Data'!$A$3:$CO$999,91,FALSE),"unknown")</f>
        <v>White</v>
      </c>
      <c r="U290" s="120" t="str">
        <f>IFERROR(VLOOKUP(Table1[RespondentID],'All Data'!$A$3:$CO$999,92,FALSE),"unknown")</f>
        <v>Hispanic or Latino</v>
      </c>
      <c r="V290" s="120" t="str">
        <f>IFERROR(VLOOKUP(Table1[RespondentID],'All Data'!$A$3:$CO$999,93,FALSE),"unknown")</f>
        <v>English</v>
      </c>
      <c r="W290" s="120" t="str">
        <f>IFERROR(VLOOKUP(Table1[RespondentID],'All Data'!$A$3:$CW$999,94,FALSE),"unknown")</f>
        <v>$0-$19,999</v>
      </c>
      <c r="X290" s="120" t="str">
        <f>IFERROR(VLOOKUP(Table1[RespondentID],'All Data'!$A$3:$CW$999,95,FALSE),"unknown")</f>
        <v>Some college</v>
      </c>
      <c r="Y290" s="120" t="str">
        <f>IFERROR(VLOOKUP(Table1[RespondentID],'All Data'!$A$3:$CW$999,96,FALSE),"unknown")</f>
        <v>Military</v>
      </c>
      <c r="Z290" s="120" t="str">
        <f>IFERROR(VLOOKUP(Table1[RespondentID],'All Data'!$A$3:$CW$999,97,FALSE),"unknown")</f>
        <v>No, but I did in the past</v>
      </c>
      <c r="AA290" s="120" t="str">
        <f>IFERROR(VLOOKUP(Table1[RespondentID],'All Data'!$A$3:$CW$999,98,FALSE),"unknown")</f>
        <v>Medicare</v>
      </c>
      <c r="AB290" s="150" t="str">
        <f>IFERROR(VLOOKUP(Table1[RespondentID],'All Data'!$A$3:$CW$999,99,FALSE),"unknown")</f>
        <v>No</v>
      </c>
    </row>
    <row r="291" spans="1:28">
      <c r="A291" s="5">
        <v>18016056284</v>
      </c>
      <c r="B291" s="5" t="s">
        <v>64</v>
      </c>
      <c r="C291" s="5"/>
      <c r="D291" s="5" t="s">
        <v>66</v>
      </c>
      <c r="E291" s="5"/>
      <c r="F291" s="5"/>
      <c r="G291" s="5"/>
      <c r="H291" s="5"/>
      <c r="I291" s="5"/>
      <c r="J291" s="5"/>
      <c r="K291" s="5"/>
      <c r="L291" s="5"/>
      <c r="M291" s="5"/>
      <c r="N291" s="5" t="s">
        <v>76</v>
      </c>
      <c r="O291" s="148"/>
      <c r="P291" s="120" t="str">
        <f>IFERROR(VLOOKUP(Table1[RespondentID],'All Data'!$A$3:$CO$999,87,FALSE),"unknown")</f>
        <v>Woman</v>
      </c>
      <c r="Q291" s="120">
        <f>IFERROR(VLOOKUP(Table1[RespondentID],'All Data'!$A$3:$CO$999,88,FALSE),"unknown")</f>
        <v>21</v>
      </c>
      <c r="R291" s="120" t="str">
        <f>IFERROR(VLOOKUP(Table1[RespondentID],'All Data'!$A$3:$CO$999,89,FALSE),"unknown")</f>
        <v>Suffolk</v>
      </c>
      <c r="S291" s="120" t="str">
        <f>IFERROR(VLOOKUP(Table1[RespondentID],'All Data'!$A$3:$CO$999,90,FALSE),"unknown")</f>
        <v>Farmingville, 11738</v>
      </c>
      <c r="T291" s="120" t="str">
        <f>IFERROR(VLOOKUP(Table1[RespondentID],'All Data'!$A$3:$CO$999,91,FALSE),"unknown")</f>
        <v>Asian</v>
      </c>
      <c r="U291" s="120" t="str">
        <f>IFERROR(VLOOKUP(Table1[RespondentID],'All Data'!$A$3:$CO$999,92,FALSE),"unknown")</f>
        <v>Not Hispanic or Latino</v>
      </c>
      <c r="V291" s="120" t="str">
        <f>IFERROR(VLOOKUP(Table1[RespondentID],'All Data'!$A$3:$CO$999,93,FALSE),"unknown")</f>
        <v>English</v>
      </c>
      <c r="W291" s="120" t="str">
        <f>IFERROR(VLOOKUP(Table1[RespondentID],'All Data'!$A$3:$CW$999,94,FALSE),"unknown")</f>
        <v>$50,000 to $74,999</v>
      </c>
      <c r="X291" s="120" t="str">
        <f>IFERROR(VLOOKUP(Table1[RespondentID],'All Data'!$A$3:$CW$999,95,FALSE),"unknown")</f>
        <v>Some college</v>
      </c>
      <c r="Y291" s="120" t="str">
        <f>IFERROR(VLOOKUP(Table1[RespondentID],'All Data'!$A$3:$CW$999,96,FALSE),"unknown")</f>
        <v>Student</v>
      </c>
      <c r="Z291" s="120" t="str">
        <f>IFERROR(VLOOKUP(Table1[RespondentID],'All Data'!$A$3:$CW$999,97,FALSE),"unknown")</f>
        <v>Yes</v>
      </c>
      <c r="AA291" s="120" t="str">
        <f>IFERROR(VLOOKUP(Table1[RespondentID],'All Data'!$A$3:$CW$999,98,FALSE),"unknown")</f>
        <v>Medicare</v>
      </c>
      <c r="AB291" s="150" t="str">
        <f>IFERROR(VLOOKUP(Table1[RespondentID],'All Data'!$A$3:$CW$999,99,FALSE),"unknown")</f>
        <v>Yes</v>
      </c>
    </row>
    <row r="292" spans="1:28">
      <c r="A292" s="5">
        <v>18016042262</v>
      </c>
      <c r="B292" s="5"/>
      <c r="C292" s="5"/>
      <c r="D292" s="5"/>
      <c r="E292" s="5"/>
      <c r="F292" s="5"/>
      <c r="G292" s="5"/>
      <c r="H292" s="5"/>
      <c r="I292" s="5" t="s">
        <v>71</v>
      </c>
      <c r="J292" s="5"/>
      <c r="K292" s="5"/>
      <c r="L292" s="5"/>
      <c r="M292" s="5"/>
      <c r="N292" s="5"/>
      <c r="O292" s="148"/>
      <c r="P292" s="120">
        <f>IFERROR(VLOOKUP(Table1[RespondentID],'All Data'!$A$3:$CO$999,87,FALSE),"unknown")</f>
        <v>0</v>
      </c>
      <c r="Q292" s="120">
        <f>IFERROR(VLOOKUP(Table1[RespondentID],'All Data'!$A$3:$CO$999,88,FALSE),"unknown")</f>
        <v>0</v>
      </c>
      <c r="R292" s="120">
        <f>IFERROR(VLOOKUP(Table1[RespondentID],'All Data'!$A$3:$CO$999,89,FALSE),"unknown")</f>
        <v>0</v>
      </c>
      <c r="S292" s="120">
        <f>IFERROR(VLOOKUP(Table1[RespondentID],'All Data'!$A$3:$CO$999,90,FALSE),"unknown")</f>
        <v>0</v>
      </c>
      <c r="T292" s="120">
        <f>IFERROR(VLOOKUP(Table1[RespondentID],'All Data'!$A$3:$CO$999,91,FALSE),"unknown")</f>
        <v>0</v>
      </c>
      <c r="U292" s="120">
        <f>IFERROR(VLOOKUP(Table1[RespondentID],'All Data'!$A$3:$CO$999,92,FALSE),"unknown")</f>
        <v>0</v>
      </c>
      <c r="V292" s="120">
        <f>IFERROR(VLOOKUP(Table1[RespondentID],'All Data'!$A$3:$CO$999,93,FALSE),"unknown")</f>
        <v>0</v>
      </c>
      <c r="W292" s="120">
        <f>IFERROR(VLOOKUP(Table1[RespondentID],'All Data'!$A$3:$CW$999,94,FALSE),"unknown")</f>
        <v>0</v>
      </c>
      <c r="X292" s="120">
        <f>IFERROR(VLOOKUP(Table1[RespondentID],'All Data'!$A$3:$CW$999,95,FALSE),"unknown")</f>
        <v>0</v>
      </c>
      <c r="Y292" s="120">
        <f>IFERROR(VLOOKUP(Table1[RespondentID],'All Data'!$A$3:$CW$999,96,FALSE),"unknown")</f>
        <v>0</v>
      </c>
      <c r="Z292" s="120">
        <f>IFERROR(VLOOKUP(Table1[RespondentID],'All Data'!$A$3:$CW$999,97,FALSE),"unknown")</f>
        <v>0</v>
      </c>
      <c r="AA292" s="120">
        <f>IFERROR(VLOOKUP(Table1[RespondentID],'All Data'!$A$3:$CW$999,98,FALSE),"unknown")</f>
        <v>0</v>
      </c>
      <c r="AB292" s="150">
        <f>IFERROR(VLOOKUP(Table1[RespondentID],'All Data'!$A$3:$CW$999,99,FALSE),"unknown")</f>
        <v>0</v>
      </c>
    </row>
    <row r="293" spans="1:28">
      <c r="A293" s="5">
        <v>18016041834</v>
      </c>
      <c r="B293" s="5" t="s">
        <v>64</v>
      </c>
      <c r="C293" s="5"/>
      <c r="D293" s="5"/>
      <c r="E293" s="5"/>
      <c r="F293" s="5"/>
      <c r="G293" s="5"/>
      <c r="H293" s="5"/>
      <c r="I293" s="5"/>
      <c r="J293" s="5"/>
      <c r="K293" s="5" t="s">
        <v>73</v>
      </c>
      <c r="L293" s="5"/>
      <c r="M293" s="5"/>
      <c r="N293" s="5"/>
      <c r="O293" s="148"/>
      <c r="P293" s="120" t="str">
        <f>IFERROR(VLOOKUP(Table1[RespondentID],'All Data'!$A$3:$CO$999,87,FALSE),"unknown")</f>
        <v>Man</v>
      </c>
      <c r="Q293" s="120">
        <f>IFERROR(VLOOKUP(Table1[RespondentID],'All Data'!$A$3:$CO$999,88,FALSE),"unknown")</f>
        <v>20</v>
      </c>
      <c r="R293" s="120" t="str">
        <f>IFERROR(VLOOKUP(Table1[RespondentID],'All Data'!$A$3:$CO$999,89,FALSE),"unknown")</f>
        <v>Suffolk</v>
      </c>
      <c r="S293" s="120" t="str">
        <f>IFERROR(VLOOKUP(Table1[RespondentID],'All Data'!$A$3:$CO$999,90,FALSE),"unknown")</f>
        <v>Melville, 11747</v>
      </c>
      <c r="T293" s="120" t="str">
        <f>IFERROR(VLOOKUP(Table1[RespondentID],'All Data'!$A$3:$CO$999,91,FALSE),"unknown")</f>
        <v>White</v>
      </c>
      <c r="U293" s="120" t="str">
        <f>IFERROR(VLOOKUP(Table1[RespondentID],'All Data'!$A$3:$CO$999,92,FALSE),"unknown")</f>
        <v>Not Hispanic or Latino</v>
      </c>
      <c r="V293" s="120" t="str">
        <f>IFERROR(VLOOKUP(Table1[RespondentID],'All Data'!$A$3:$CO$999,93,FALSE),"unknown")</f>
        <v>English, Spanish</v>
      </c>
      <c r="W293" s="120" t="str">
        <f>IFERROR(VLOOKUP(Table1[RespondentID],'All Data'!$A$3:$CW$999,94,FALSE),"unknown")</f>
        <v>$75,000 to $125,000</v>
      </c>
      <c r="X293" s="120" t="str">
        <f>IFERROR(VLOOKUP(Table1[RespondentID],'All Data'!$A$3:$CW$999,95,FALSE),"unknown")</f>
        <v>Some college</v>
      </c>
      <c r="Y293" s="120" t="str">
        <f>IFERROR(VLOOKUP(Table1[RespondentID],'All Data'!$A$3:$CW$999,96,FALSE),"unknown")</f>
        <v>Employed for wages</v>
      </c>
      <c r="Z293" s="120" t="str">
        <f>IFERROR(VLOOKUP(Table1[RespondentID],'All Data'!$A$3:$CW$999,97,FALSE),"unknown")</f>
        <v>Yes</v>
      </c>
      <c r="AA293" s="120" t="str">
        <f>IFERROR(VLOOKUP(Table1[RespondentID],'All Data'!$A$3:$CW$999,98,FALSE),"unknown")</f>
        <v>Private/Commercial</v>
      </c>
      <c r="AB293" s="150" t="str">
        <f>IFERROR(VLOOKUP(Table1[RespondentID],'All Data'!$A$3:$CW$999,99,FALSE),"unknown")</f>
        <v>Yes</v>
      </c>
    </row>
    <row r="294" spans="1:28">
      <c r="A294" s="5">
        <v>18016041235</v>
      </c>
      <c r="B294" s="5"/>
      <c r="C294" s="5"/>
      <c r="D294" s="5"/>
      <c r="E294" s="5"/>
      <c r="F294" s="5"/>
      <c r="G294" s="5"/>
      <c r="H294" s="5"/>
      <c r="I294" s="5"/>
      <c r="J294" s="5"/>
      <c r="K294" s="5"/>
      <c r="L294" s="5"/>
      <c r="M294" s="5"/>
      <c r="N294" s="5"/>
      <c r="O294" s="148"/>
      <c r="P294" s="120">
        <f>IFERROR(VLOOKUP(Table1[RespondentID],'All Data'!$A$3:$CO$999,87,FALSE),"unknown")</f>
        <v>0</v>
      </c>
      <c r="Q294" s="120">
        <f>IFERROR(VLOOKUP(Table1[RespondentID],'All Data'!$A$3:$CO$999,88,FALSE),"unknown")</f>
        <v>0</v>
      </c>
      <c r="R294" s="120">
        <f>IFERROR(VLOOKUP(Table1[RespondentID],'All Data'!$A$3:$CO$999,89,FALSE),"unknown")</f>
        <v>0</v>
      </c>
      <c r="S294" s="120" t="str">
        <f>IFERROR(VLOOKUP(Table1[RespondentID],'All Data'!$A$3:$CO$999,90,FALSE),"unknown")</f>
        <v>Garden City South, 11530</v>
      </c>
      <c r="T294" s="120">
        <f>IFERROR(VLOOKUP(Table1[RespondentID],'All Data'!$A$3:$CO$999,91,FALSE),"unknown")</f>
        <v>0</v>
      </c>
      <c r="U294" s="120">
        <f>IFERROR(VLOOKUP(Table1[RespondentID],'All Data'!$A$3:$CO$999,92,FALSE),"unknown")</f>
        <v>0</v>
      </c>
      <c r="V294" s="120">
        <f>IFERROR(VLOOKUP(Table1[RespondentID],'All Data'!$A$3:$CO$999,93,FALSE),"unknown")</f>
        <v>0</v>
      </c>
      <c r="W294" s="120">
        <f>IFERROR(VLOOKUP(Table1[RespondentID],'All Data'!$A$3:$CW$999,94,FALSE),"unknown")</f>
        <v>0</v>
      </c>
      <c r="X294" s="120">
        <f>IFERROR(VLOOKUP(Table1[RespondentID],'All Data'!$A$3:$CW$999,95,FALSE),"unknown")</f>
        <v>0</v>
      </c>
      <c r="Y294" s="120">
        <f>IFERROR(VLOOKUP(Table1[RespondentID],'All Data'!$A$3:$CW$999,96,FALSE),"unknown")</f>
        <v>0</v>
      </c>
      <c r="Z294" s="120">
        <f>IFERROR(VLOOKUP(Table1[RespondentID],'All Data'!$A$3:$CW$999,97,FALSE),"unknown")</f>
        <v>0</v>
      </c>
      <c r="AA294" s="120">
        <f>IFERROR(VLOOKUP(Table1[RespondentID],'All Data'!$A$3:$CW$999,98,FALSE),"unknown")</f>
        <v>0</v>
      </c>
      <c r="AB294" s="150">
        <f>IFERROR(VLOOKUP(Table1[RespondentID],'All Data'!$A$3:$CW$999,99,FALSE),"unknown")</f>
        <v>0</v>
      </c>
    </row>
    <row r="295" spans="1:28">
      <c r="A295" s="5">
        <v>18016030783</v>
      </c>
      <c r="B295" s="5"/>
      <c r="C295" s="5"/>
      <c r="D295" s="5" t="s">
        <v>66</v>
      </c>
      <c r="E295" s="5"/>
      <c r="F295" s="5"/>
      <c r="G295" s="5" t="s">
        <v>69</v>
      </c>
      <c r="H295" s="5" t="s">
        <v>70</v>
      </c>
      <c r="I295" s="5" t="s">
        <v>71</v>
      </c>
      <c r="J295" s="5" t="s">
        <v>72</v>
      </c>
      <c r="K295" s="5" t="s">
        <v>73</v>
      </c>
      <c r="L295" s="5"/>
      <c r="M295" s="5"/>
      <c r="N295" s="5"/>
      <c r="O295" s="148"/>
      <c r="P295" s="120" t="str">
        <f>IFERROR(VLOOKUP(Table1[RespondentID],'All Data'!$A$3:$CO$999,87,FALSE),"unknown")</f>
        <v>Woman</v>
      </c>
      <c r="Q295" s="120">
        <f>IFERROR(VLOOKUP(Table1[RespondentID],'All Data'!$A$3:$CO$999,88,FALSE),"unknown")</f>
        <v>57</v>
      </c>
      <c r="R295" s="120" t="str">
        <f>IFERROR(VLOOKUP(Table1[RespondentID],'All Data'!$A$3:$CO$999,89,FALSE),"unknown")</f>
        <v>Queens</v>
      </c>
      <c r="S295" s="120">
        <f>IFERROR(VLOOKUP(Table1[RespondentID],'All Data'!$A$3:$CO$999,90,FALSE),"unknown")</f>
        <v>10001</v>
      </c>
      <c r="T295" s="120" t="str">
        <f>IFERROR(VLOOKUP(Table1[RespondentID],'All Data'!$A$3:$CO$999,91,FALSE),"unknown")</f>
        <v>White</v>
      </c>
      <c r="U295" s="120" t="str">
        <f>IFERROR(VLOOKUP(Table1[RespondentID],'All Data'!$A$3:$CO$999,92,FALSE),"unknown")</f>
        <v>Not Hispanic or Latino</v>
      </c>
      <c r="V295" s="120" t="str">
        <f>IFERROR(VLOOKUP(Table1[RespondentID],'All Data'!$A$3:$CO$999,93,FALSE),"unknown")</f>
        <v>English, Haitian Creole</v>
      </c>
      <c r="W295" s="120" t="str">
        <f>IFERROR(VLOOKUP(Table1[RespondentID],'All Data'!$A$3:$CW$999,94,FALSE),"unknown")</f>
        <v>$35,000 to $49,999</v>
      </c>
      <c r="X295" s="120" t="str">
        <f>IFERROR(VLOOKUP(Table1[RespondentID],'All Data'!$A$3:$CW$999,95,FALSE),"unknown")</f>
        <v>College graduate</v>
      </c>
      <c r="Y295" s="120" t="str">
        <f>IFERROR(VLOOKUP(Table1[RespondentID],'All Data'!$A$3:$CW$999,96,FALSE),"unknown")</f>
        <v>Employed for wages</v>
      </c>
      <c r="Z295" s="120" t="str">
        <f>IFERROR(VLOOKUP(Table1[RespondentID],'All Data'!$A$3:$CW$999,97,FALSE),"unknown")</f>
        <v>Yes</v>
      </c>
      <c r="AA295" s="120" t="str">
        <f>IFERROR(VLOOKUP(Table1[RespondentID],'All Data'!$A$3:$CW$999,98,FALSE),"unknown")</f>
        <v>Medicaid, Medicare</v>
      </c>
      <c r="AB295" s="150" t="str">
        <f>IFERROR(VLOOKUP(Table1[RespondentID],'All Data'!$A$3:$CW$999,99,FALSE),"unknown")</f>
        <v>Yes</v>
      </c>
    </row>
    <row r="296" spans="1:28">
      <c r="A296" s="5">
        <v>18016029769</v>
      </c>
      <c r="B296" s="5"/>
      <c r="C296" s="5"/>
      <c r="D296" s="5"/>
      <c r="E296" s="5"/>
      <c r="F296" s="5"/>
      <c r="G296" s="5"/>
      <c r="H296" s="5"/>
      <c r="I296" s="5"/>
      <c r="J296" s="5"/>
      <c r="K296" s="5" t="s">
        <v>73</v>
      </c>
      <c r="L296" s="5"/>
      <c r="M296" s="5"/>
      <c r="N296" s="5"/>
      <c r="O296" s="148"/>
      <c r="P296" s="120" t="str">
        <f>IFERROR(VLOOKUP(Table1[RespondentID],'All Data'!$A$3:$CO$999,87,FALSE),"unknown")</f>
        <v>Woman</v>
      </c>
      <c r="Q296" s="120">
        <f>IFERROR(VLOOKUP(Table1[RespondentID],'All Data'!$A$3:$CO$999,88,FALSE),"unknown")</f>
        <v>25</v>
      </c>
      <c r="R296" s="120" t="str">
        <f>IFERROR(VLOOKUP(Table1[RespondentID],'All Data'!$A$3:$CO$999,89,FALSE),"unknown")</f>
        <v>Queens</v>
      </c>
      <c r="S296" s="120">
        <f>IFERROR(VLOOKUP(Table1[RespondentID],'All Data'!$A$3:$CO$999,90,FALSE),"unknown")</f>
        <v>10001</v>
      </c>
      <c r="T296" s="120" t="str">
        <f>IFERROR(VLOOKUP(Table1[RespondentID],'All Data'!$A$3:$CO$999,91,FALSE),"unknown")</f>
        <v>White</v>
      </c>
      <c r="U296" s="120" t="str">
        <f>IFERROR(VLOOKUP(Table1[RespondentID],'All Data'!$A$3:$CO$999,92,FALSE),"unknown")</f>
        <v>Hispanic or Latino</v>
      </c>
      <c r="V296" s="120" t="str">
        <f>IFERROR(VLOOKUP(Table1[RespondentID],'All Data'!$A$3:$CO$999,93,FALSE),"unknown")</f>
        <v>English</v>
      </c>
      <c r="W296" s="120" t="str">
        <f>IFERROR(VLOOKUP(Table1[RespondentID],'All Data'!$A$3:$CW$999,94,FALSE),"unknown")</f>
        <v>$35,000 to $49,999</v>
      </c>
      <c r="X296" s="120" t="str">
        <f>IFERROR(VLOOKUP(Table1[RespondentID],'All Data'!$A$3:$CW$999,95,FALSE),"unknown")</f>
        <v>Some high school</v>
      </c>
      <c r="Y296" s="120" t="str">
        <f>IFERROR(VLOOKUP(Table1[RespondentID],'All Data'!$A$3:$CW$999,96,FALSE),"unknown")</f>
        <v>Employed for wages</v>
      </c>
      <c r="Z296" s="120" t="str">
        <f>IFERROR(VLOOKUP(Table1[RespondentID],'All Data'!$A$3:$CW$999,97,FALSE),"unknown")</f>
        <v>Yes</v>
      </c>
      <c r="AA296" s="120" t="str">
        <f>IFERROR(VLOOKUP(Table1[RespondentID],'All Data'!$A$3:$CW$999,98,FALSE),"unknown")</f>
        <v>Medicaid</v>
      </c>
      <c r="AB296" s="150" t="str">
        <f>IFERROR(VLOOKUP(Table1[RespondentID],'All Data'!$A$3:$CW$999,99,FALSE),"unknown")</f>
        <v>Yes</v>
      </c>
    </row>
    <row r="297" spans="1:28">
      <c r="A297" s="5">
        <v>18016029289</v>
      </c>
      <c r="B297" s="5"/>
      <c r="C297" s="5"/>
      <c r="D297" s="5"/>
      <c r="E297" s="5" t="s">
        <v>67</v>
      </c>
      <c r="F297" s="5"/>
      <c r="G297" s="5"/>
      <c r="H297" s="5"/>
      <c r="I297" s="5"/>
      <c r="J297" s="5"/>
      <c r="K297" s="5"/>
      <c r="L297" s="5"/>
      <c r="M297" s="5"/>
      <c r="N297" s="5"/>
      <c r="O297" s="148"/>
      <c r="P297" s="120" t="str">
        <f>IFERROR(VLOOKUP(Table1[RespondentID],'All Data'!$A$3:$CO$999,87,FALSE),"unknown")</f>
        <v>Woman</v>
      </c>
      <c r="Q297" s="120">
        <f>IFERROR(VLOOKUP(Table1[RespondentID],'All Data'!$A$3:$CO$999,88,FALSE),"unknown")</f>
        <v>0</v>
      </c>
      <c r="R297" s="120" t="str">
        <f>IFERROR(VLOOKUP(Table1[RespondentID],'All Data'!$A$3:$CO$999,89,FALSE),"unknown")</f>
        <v>Suffolk</v>
      </c>
      <c r="S297" s="120" t="str">
        <f>IFERROR(VLOOKUP(Table1[RespondentID],'All Data'!$A$3:$CO$999,90,FALSE),"unknown")</f>
        <v>Amagansett, 11930</v>
      </c>
      <c r="T297" s="120" t="str">
        <f>IFERROR(VLOOKUP(Table1[RespondentID],'All Data'!$A$3:$CO$999,91,FALSE),"unknown")</f>
        <v>White</v>
      </c>
      <c r="U297" s="120" t="str">
        <f>IFERROR(VLOOKUP(Table1[RespondentID],'All Data'!$A$3:$CO$999,92,FALSE),"unknown")</f>
        <v>Hispanic or Latino</v>
      </c>
      <c r="V297" s="120" t="str">
        <f>IFERROR(VLOOKUP(Table1[RespondentID],'All Data'!$A$3:$CO$999,93,FALSE),"unknown")</f>
        <v>English</v>
      </c>
      <c r="W297" s="120" t="str">
        <f>IFERROR(VLOOKUP(Table1[RespondentID],'All Data'!$A$3:$CW$999,94,FALSE),"unknown")</f>
        <v>$35,000 to $49,999</v>
      </c>
      <c r="X297" s="120" t="str">
        <f>IFERROR(VLOOKUP(Table1[RespondentID],'All Data'!$A$3:$CW$999,95,FALSE),"unknown")</f>
        <v>Graduate school</v>
      </c>
      <c r="Y297" s="120" t="str">
        <f>IFERROR(VLOOKUP(Table1[RespondentID],'All Data'!$A$3:$CW$999,96,FALSE),"unknown")</f>
        <v>Employed for wages</v>
      </c>
      <c r="Z297" s="120" t="str">
        <f>IFERROR(VLOOKUP(Table1[RespondentID],'All Data'!$A$3:$CW$999,97,FALSE),"unknown")</f>
        <v>Yes</v>
      </c>
      <c r="AA297" s="120" t="str">
        <f>IFERROR(VLOOKUP(Table1[RespondentID],'All Data'!$A$3:$CW$999,98,FALSE),"unknown")</f>
        <v>Medicaid</v>
      </c>
      <c r="AB297" s="150" t="str">
        <f>IFERROR(VLOOKUP(Table1[RespondentID],'All Data'!$A$3:$CW$999,99,FALSE),"unknown")</f>
        <v>Yes</v>
      </c>
    </row>
    <row r="298" spans="1:28">
      <c r="A298" s="5">
        <v>18016028237</v>
      </c>
      <c r="B298" s="5"/>
      <c r="C298" s="5" t="s">
        <v>65</v>
      </c>
      <c r="D298" s="5" t="s">
        <v>66</v>
      </c>
      <c r="E298" s="5" t="s">
        <v>67</v>
      </c>
      <c r="F298" s="5"/>
      <c r="G298" s="5"/>
      <c r="H298" s="5" t="s">
        <v>70</v>
      </c>
      <c r="I298" s="5" t="s">
        <v>71</v>
      </c>
      <c r="J298" s="5"/>
      <c r="K298" s="5"/>
      <c r="L298" s="5"/>
      <c r="M298" s="5"/>
      <c r="N298" s="5"/>
      <c r="O298" s="148"/>
      <c r="P298" s="120" t="str">
        <f>IFERROR(VLOOKUP(Table1[RespondentID],'All Data'!$A$3:$CO$999,87,FALSE),"unknown")</f>
        <v>Woman</v>
      </c>
      <c r="Q298" s="120">
        <f>IFERROR(VLOOKUP(Table1[RespondentID],'All Data'!$A$3:$CO$999,88,FALSE),"unknown")</f>
        <v>29</v>
      </c>
      <c r="R298" s="120" t="str">
        <f>IFERROR(VLOOKUP(Table1[RespondentID],'All Data'!$A$3:$CO$999,89,FALSE),"unknown")</f>
        <v>Nassau</v>
      </c>
      <c r="S298" s="120" t="str">
        <f>IFERROR(VLOOKUP(Table1[RespondentID],'All Data'!$A$3:$CO$999,90,FALSE),"unknown")</f>
        <v>Baxter Estates, 11050</v>
      </c>
      <c r="T298" s="120" t="str">
        <f>IFERROR(VLOOKUP(Table1[RespondentID],'All Data'!$A$3:$CO$999,91,FALSE),"unknown")</f>
        <v>White</v>
      </c>
      <c r="U298" s="120" t="str">
        <f>IFERROR(VLOOKUP(Table1[RespondentID],'All Data'!$A$3:$CO$999,92,FALSE),"unknown")</f>
        <v>Not Hispanic or Latino</v>
      </c>
      <c r="V298" s="120" t="str">
        <f>IFERROR(VLOOKUP(Table1[RespondentID],'All Data'!$A$3:$CO$999,93,FALSE),"unknown")</f>
        <v>English</v>
      </c>
      <c r="W298" s="120" t="str">
        <f>IFERROR(VLOOKUP(Table1[RespondentID],'All Data'!$A$3:$CW$999,94,FALSE),"unknown")</f>
        <v>$75,000 to $125,000</v>
      </c>
      <c r="X298" s="120" t="str">
        <f>IFERROR(VLOOKUP(Table1[RespondentID],'All Data'!$A$3:$CW$999,95,FALSE),"unknown")</f>
        <v>Some college</v>
      </c>
      <c r="Y298" s="120" t="str">
        <f>IFERROR(VLOOKUP(Table1[RespondentID],'All Data'!$A$3:$CW$999,96,FALSE),"unknown")</f>
        <v>Employed for wages</v>
      </c>
      <c r="Z298" s="120" t="str">
        <f>IFERROR(VLOOKUP(Table1[RespondentID],'All Data'!$A$3:$CW$999,97,FALSE),"unknown")</f>
        <v>Yes</v>
      </c>
      <c r="AA298" s="120" t="str">
        <f>IFERROR(VLOOKUP(Table1[RespondentID],'All Data'!$A$3:$CW$999,98,FALSE),"unknown")</f>
        <v>Medicaid</v>
      </c>
      <c r="AB298" s="150" t="str">
        <f>IFERROR(VLOOKUP(Table1[RespondentID],'All Data'!$A$3:$CW$999,99,FALSE),"unknown")</f>
        <v>Yes</v>
      </c>
    </row>
    <row r="299" spans="1:28">
      <c r="A299" s="5">
        <v>18015976959</v>
      </c>
      <c r="B299" s="5"/>
      <c r="C299" s="5"/>
      <c r="D299" s="5"/>
      <c r="E299" s="5"/>
      <c r="F299" s="5"/>
      <c r="G299" s="5"/>
      <c r="H299" s="5"/>
      <c r="I299" s="5" t="s">
        <v>71</v>
      </c>
      <c r="J299" s="5" t="s">
        <v>72</v>
      </c>
      <c r="K299" s="5"/>
      <c r="L299" s="5"/>
      <c r="M299" s="5" t="s">
        <v>75</v>
      </c>
      <c r="N299" s="5"/>
      <c r="O299" s="148"/>
      <c r="P299" s="120" t="str">
        <f>IFERROR(VLOOKUP(Table1[RespondentID],'All Data'!$A$3:$CO$999,87,FALSE),"unknown")</f>
        <v>Woman</v>
      </c>
      <c r="Q299" s="120">
        <f>IFERROR(VLOOKUP(Table1[RespondentID],'All Data'!$A$3:$CO$999,88,FALSE),"unknown")</f>
        <v>23</v>
      </c>
      <c r="R299" s="120" t="str">
        <f>IFERROR(VLOOKUP(Table1[RespondentID],'All Data'!$A$3:$CO$999,89,FALSE),"unknown")</f>
        <v>Queens</v>
      </c>
      <c r="S299" s="120">
        <f>IFERROR(VLOOKUP(Table1[RespondentID],'All Data'!$A$3:$CO$999,90,FALSE),"unknown")</f>
        <v>11456</v>
      </c>
      <c r="T299" s="120" t="str">
        <f>IFERROR(VLOOKUP(Table1[RespondentID],'All Data'!$A$3:$CO$999,91,FALSE),"unknown")</f>
        <v>White</v>
      </c>
      <c r="U299" s="120" t="str">
        <f>IFERROR(VLOOKUP(Table1[RespondentID],'All Data'!$A$3:$CO$999,92,FALSE),"unknown")</f>
        <v>Hispanic or Latino</v>
      </c>
      <c r="V299" s="120" t="str">
        <f>IFERROR(VLOOKUP(Table1[RespondentID],'All Data'!$A$3:$CO$999,93,FALSE),"unknown")</f>
        <v>English</v>
      </c>
      <c r="W299" s="120" t="str">
        <f>IFERROR(VLOOKUP(Table1[RespondentID],'All Data'!$A$3:$CW$999,94,FALSE),"unknown")</f>
        <v>$35,000 to $49,999</v>
      </c>
      <c r="X299" s="120" t="str">
        <f>IFERROR(VLOOKUP(Table1[RespondentID],'All Data'!$A$3:$CW$999,95,FALSE),"unknown")</f>
        <v>College graduate</v>
      </c>
      <c r="Y299" s="120" t="str">
        <f>IFERROR(VLOOKUP(Table1[RespondentID],'All Data'!$A$3:$CW$999,96,FALSE),"unknown")</f>
        <v>Employed for wages</v>
      </c>
      <c r="Z299" s="120" t="str">
        <f>IFERROR(VLOOKUP(Table1[RespondentID],'All Data'!$A$3:$CW$999,97,FALSE),"unknown")</f>
        <v>Yes</v>
      </c>
      <c r="AA299" s="120" t="str">
        <f>IFERROR(VLOOKUP(Table1[RespondentID],'All Data'!$A$3:$CW$999,98,FALSE),"unknown")</f>
        <v>Medicare</v>
      </c>
      <c r="AB299" s="150" t="str">
        <f>IFERROR(VLOOKUP(Table1[RespondentID],'All Data'!$A$3:$CW$999,99,FALSE),"unknown")</f>
        <v>Yes</v>
      </c>
    </row>
    <row r="300" spans="1:28">
      <c r="A300" s="5">
        <v>18015976856</v>
      </c>
      <c r="B300" s="5" t="s">
        <v>64</v>
      </c>
      <c r="C300" s="5"/>
      <c r="D300" s="5"/>
      <c r="E300" s="5" t="s">
        <v>67</v>
      </c>
      <c r="F300" s="5"/>
      <c r="G300" s="5"/>
      <c r="H300" s="5" t="s">
        <v>70</v>
      </c>
      <c r="I300" s="5"/>
      <c r="J300" s="5"/>
      <c r="K300" s="5" t="s">
        <v>73</v>
      </c>
      <c r="L300" s="5"/>
      <c r="M300" s="5" t="s">
        <v>75</v>
      </c>
      <c r="N300" s="5"/>
      <c r="O300" s="148"/>
      <c r="P300" s="120" t="str">
        <f>IFERROR(VLOOKUP(Table1[RespondentID],'All Data'!$A$3:$CO$999,87,FALSE),"unknown")</f>
        <v>Man</v>
      </c>
      <c r="Q300" s="120">
        <f>IFERROR(VLOOKUP(Table1[RespondentID],'All Data'!$A$3:$CO$999,88,FALSE),"unknown")</f>
        <v>16</v>
      </c>
      <c r="R300" s="120" t="str">
        <f>IFERROR(VLOOKUP(Table1[RespondentID],'All Data'!$A$3:$CO$999,89,FALSE),"unknown")</f>
        <v>Suffolk</v>
      </c>
      <c r="S300" s="120" t="str">
        <f>IFERROR(VLOOKUP(Table1[RespondentID],'All Data'!$A$3:$CO$999,90,FALSE),"unknown")</f>
        <v>Head of the Harbor, 11780</v>
      </c>
      <c r="T300" s="120" t="str">
        <f>IFERROR(VLOOKUP(Table1[RespondentID],'All Data'!$A$3:$CO$999,91,FALSE),"unknown")</f>
        <v>White</v>
      </c>
      <c r="U300" s="120" t="str">
        <f>IFERROR(VLOOKUP(Table1[RespondentID],'All Data'!$A$3:$CO$999,92,FALSE),"unknown")</f>
        <v>Hispanic or Latino</v>
      </c>
      <c r="V300" s="120" t="str">
        <f>IFERROR(VLOOKUP(Table1[RespondentID],'All Data'!$A$3:$CO$999,93,FALSE),"unknown")</f>
        <v>English</v>
      </c>
      <c r="W300" s="120" t="str">
        <f>IFERROR(VLOOKUP(Table1[RespondentID],'All Data'!$A$3:$CW$999,94,FALSE),"unknown")</f>
        <v>Over $125,000</v>
      </c>
      <c r="X300" s="120" t="str">
        <f>IFERROR(VLOOKUP(Table1[RespondentID],'All Data'!$A$3:$CW$999,95,FALSE),"unknown")</f>
        <v>Some high school</v>
      </c>
      <c r="Y300" s="120" t="str">
        <f>IFERROR(VLOOKUP(Table1[RespondentID],'All Data'!$A$3:$CW$999,96,FALSE),"unknown")</f>
        <v>Employed for wages</v>
      </c>
      <c r="Z300" s="120" t="str">
        <f>IFERROR(VLOOKUP(Table1[RespondentID],'All Data'!$A$3:$CW$999,97,FALSE),"unknown")</f>
        <v>Yes</v>
      </c>
      <c r="AA300" s="120" t="str">
        <f>IFERROR(VLOOKUP(Table1[RespondentID],'All Data'!$A$3:$CW$999,98,FALSE),"unknown")</f>
        <v>Private/Commercial</v>
      </c>
      <c r="AB300" s="150" t="str">
        <f>IFERROR(VLOOKUP(Table1[RespondentID],'All Data'!$A$3:$CW$999,99,FALSE),"unknown")</f>
        <v>Yes</v>
      </c>
    </row>
    <row r="301" spans="1:28">
      <c r="A301" s="5">
        <v>18015956572</v>
      </c>
      <c r="B301" s="5"/>
      <c r="C301" s="5"/>
      <c r="D301" s="5"/>
      <c r="E301" s="5"/>
      <c r="F301" s="5"/>
      <c r="G301" s="5"/>
      <c r="H301" s="5"/>
      <c r="I301" s="5"/>
      <c r="J301" s="5"/>
      <c r="K301" s="5"/>
      <c r="L301" s="5"/>
      <c r="M301" s="5" t="s">
        <v>75</v>
      </c>
      <c r="N301" s="5"/>
      <c r="O301" s="148"/>
      <c r="P301" s="120" t="str">
        <f>IFERROR(VLOOKUP(Table1[RespondentID],'All Data'!$A$3:$CO$999,87,FALSE),"unknown")</f>
        <v>Man</v>
      </c>
      <c r="Q301" s="120">
        <f>IFERROR(VLOOKUP(Table1[RespondentID],'All Data'!$A$3:$CO$999,88,FALSE),"unknown")</f>
        <v>20</v>
      </c>
      <c r="R301" s="120" t="str">
        <f>IFERROR(VLOOKUP(Table1[RespondentID],'All Data'!$A$3:$CO$999,89,FALSE),"unknown")</f>
        <v>Nassau</v>
      </c>
      <c r="S301" s="120" t="str">
        <f>IFERROR(VLOOKUP(Table1[RespondentID],'All Data'!$A$3:$CO$999,90,FALSE),"unknown")</f>
        <v>Hempstead, 11550</v>
      </c>
      <c r="T301" s="120" t="str">
        <f>IFERROR(VLOOKUP(Table1[RespondentID],'All Data'!$A$3:$CO$999,91,FALSE),"unknown")</f>
        <v>White</v>
      </c>
      <c r="U301" s="120" t="str">
        <f>IFERROR(VLOOKUP(Table1[RespondentID],'All Data'!$A$3:$CO$999,92,FALSE),"unknown")</f>
        <v>Not Hispanic or Latino</v>
      </c>
      <c r="V301" s="120" t="str">
        <f>IFERROR(VLOOKUP(Table1[RespondentID],'All Data'!$A$3:$CO$999,93,FALSE),"unknown")</f>
        <v>Spanish</v>
      </c>
      <c r="W301" s="120" t="str">
        <f>IFERROR(VLOOKUP(Table1[RespondentID],'All Data'!$A$3:$CW$999,94,FALSE),"unknown")</f>
        <v>$20,000 to $34,999</v>
      </c>
      <c r="X301" s="120" t="str">
        <f>IFERROR(VLOOKUP(Table1[RespondentID],'All Data'!$A$3:$CW$999,95,FALSE),"unknown")</f>
        <v>Some college</v>
      </c>
      <c r="Y301" s="120" t="str">
        <f>IFERROR(VLOOKUP(Table1[RespondentID],'All Data'!$A$3:$CW$999,96,FALSE),"unknown")</f>
        <v>Student</v>
      </c>
      <c r="Z301" s="120" t="str">
        <f>IFERROR(VLOOKUP(Table1[RespondentID],'All Data'!$A$3:$CW$999,97,FALSE),"unknown")</f>
        <v>Yes</v>
      </c>
      <c r="AA301" s="120" t="str">
        <f>IFERROR(VLOOKUP(Table1[RespondentID],'All Data'!$A$3:$CW$999,98,FALSE),"unknown")</f>
        <v>Medicaid</v>
      </c>
      <c r="AB301" s="150" t="str">
        <f>IFERROR(VLOOKUP(Table1[RespondentID],'All Data'!$A$3:$CW$999,99,FALSE),"unknown")</f>
        <v>Yes</v>
      </c>
    </row>
    <row r="302" spans="1:28">
      <c r="A302" s="5">
        <v>18015878869</v>
      </c>
      <c r="B302" s="5" t="s">
        <v>64</v>
      </c>
      <c r="C302" s="5"/>
      <c r="D302" s="5"/>
      <c r="E302" s="5"/>
      <c r="F302" s="5"/>
      <c r="G302" s="5"/>
      <c r="H302" s="5"/>
      <c r="I302" s="5"/>
      <c r="J302" s="5"/>
      <c r="K302" s="5"/>
      <c r="L302" s="5"/>
      <c r="M302" s="5" t="s">
        <v>75</v>
      </c>
      <c r="N302" s="5"/>
      <c r="O302" s="148"/>
      <c r="P302" s="120" t="str">
        <f>IFERROR(VLOOKUP(Table1[RespondentID],'All Data'!$A$3:$CO$999,87,FALSE),"unknown")</f>
        <v>Woman</v>
      </c>
      <c r="Q302" s="120">
        <f>IFERROR(VLOOKUP(Table1[RespondentID],'All Data'!$A$3:$CO$999,88,FALSE),"unknown")</f>
        <v>20</v>
      </c>
      <c r="R302" s="120" t="str">
        <f>IFERROR(VLOOKUP(Table1[RespondentID],'All Data'!$A$3:$CO$999,89,FALSE),"unknown")</f>
        <v>Nassau</v>
      </c>
      <c r="S302" s="120" t="str">
        <f>IFERROR(VLOOKUP(Table1[RespondentID],'All Data'!$A$3:$CO$999,90,FALSE),"unknown")</f>
        <v>Freeport, 11520</v>
      </c>
      <c r="T302" s="120" t="str">
        <f>IFERROR(VLOOKUP(Table1[RespondentID],'All Data'!$A$3:$CO$999,91,FALSE),"unknown")</f>
        <v>Other (please specify)</v>
      </c>
      <c r="U302" s="120" t="str">
        <f>IFERROR(VLOOKUP(Table1[RespondentID],'All Data'!$A$3:$CO$999,92,FALSE),"unknown")</f>
        <v>Not Hispanic or Latino</v>
      </c>
      <c r="V302" s="120" t="str">
        <f>IFERROR(VLOOKUP(Table1[RespondentID],'All Data'!$A$3:$CO$999,93,FALSE),"unknown")</f>
        <v>English, Spanish</v>
      </c>
      <c r="W302" s="120" t="str">
        <f>IFERROR(VLOOKUP(Table1[RespondentID],'All Data'!$A$3:$CW$999,94,FALSE),"unknown")</f>
        <v>$0-$19,999</v>
      </c>
      <c r="X302" s="120" t="str">
        <f>IFERROR(VLOOKUP(Table1[RespondentID],'All Data'!$A$3:$CW$999,95,FALSE),"unknown")</f>
        <v>Some college</v>
      </c>
      <c r="Y302" s="120" t="str">
        <f>IFERROR(VLOOKUP(Table1[RespondentID],'All Data'!$A$3:$CW$999,96,FALSE),"unknown")</f>
        <v>Employed for wages</v>
      </c>
      <c r="Z302" s="120">
        <f>IFERROR(VLOOKUP(Table1[RespondentID],'All Data'!$A$3:$CW$999,97,FALSE),"unknown")</f>
        <v>0</v>
      </c>
      <c r="AA302" s="120" t="str">
        <f>IFERROR(VLOOKUP(Table1[RespondentID],'All Data'!$A$3:$CW$999,98,FALSE),"unknown")</f>
        <v>No Insurance</v>
      </c>
      <c r="AB302" s="150" t="str">
        <f>IFERROR(VLOOKUP(Table1[RespondentID],'All Data'!$A$3:$CW$999,99,FALSE),"unknown")</f>
        <v>Yes</v>
      </c>
    </row>
    <row r="303" spans="1:28">
      <c r="A303" s="5">
        <v>18015822327</v>
      </c>
      <c r="B303" s="5" t="s">
        <v>64</v>
      </c>
      <c r="C303" s="5"/>
      <c r="D303" s="5"/>
      <c r="E303" s="5"/>
      <c r="F303" s="5"/>
      <c r="G303" s="5"/>
      <c r="H303" s="5"/>
      <c r="I303" s="5"/>
      <c r="J303" s="5"/>
      <c r="K303" s="5"/>
      <c r="L303" s="5"/>
      <c r="M303" s="5"/>
      <c r="N303" s="5"/>
      <c r="O303" s="148"/>
      <c r="P303" s="120" t="str">
        <f>IFERROR(VLOOKUP(Table1[RespondentID],'All Data'!$A$3:$CO$999,87,FALSE),"unknown")</f>
        <v>Man</v>
      </c>
      <c r="Q303" s="120">
        <f>IFERROR(VLOOKUP(Table1[RespondentID],'All Data'!$A$3:$CO$999,88,FALSE),"unknown")</f>
        <v>21</v>
      </c>
      <c r="R303" s="120" t="str">
        <f>IFERROR(VLOOKUP(Table1[RespondentID],'All Data'!$A$3:$CO$999,89,FALSE),"unknown")</f>
        <v>Nassau</v>
      </c>
      <c r="S303" s="120" t="str">
        <f>IFERROR(VLOOKUP(Table1[RespondentID],'All Data'!$A$3:$CO$999,90,FALSE),"unknown")</f>
        <v>Uniondale, 11553</v>
      </c>
      <c r="T303" s="120">
        <f>IFERROR(VLOOKUP(Table1[RespondentID],'All Data'!$A$3:$CO$999,91,FALSE),"unknown")</f>
        <v>0</v>
      </c>
      <c r="U303" s="120" t="str">
        <f>IFERROR(VLOOKUP(Table1[RespondentID],'All Data'!$A$3:$CO$999,92,FALSE),"unknown")</f>
        <v>Not Hispanic or Latino</v>
      </c>
      <c r="V303" s="120" t="str">
        <f>IFERROR(VLOOKUP(Table1[RespondentID],'All Data'!$A$3:$CO$999,93,FALSE),"unknown")</f>
        <v>English, Spanish</v>
      </c>
      <c r="W303" s="120">
        <f>IFERROR(VLOOKUP(Table1[RespondentID],'All Data'!$A$3:$CW$999,94,FALSE),"unknown")</f>
        <v>0</v>
      </c>
      <c r="X303" s="120" t="str">
        <f>IFERROR(VLOOKUP(Table1[RespondentID],'All Data'!$A$3:$CW$999,95,FALSE),"unknown")</f>
        <v>High school graduate</v>
      </c>
      <c r="Y303" s="120" t="str">
        <f>IFERROR(VLOOKUP(Table1[RespondentID],'All Data'!$A$3:$CW$999,96,FALSE),"unknown")</f>
        <v>Out of work and looking for work</v>
      </c>
      <c r="Z303" s="120" t="str">
        <f>IFERROR(VLOOKUP(Table1[RespondentID],'All Data'!$A$3:$CW$999,97,FALSE),"unknown")</f>
        <v>Yes</v>
      </c>
      <c r="AA303" s="120" t="str">
        <f>IFERROR(VLOOKUP(Table1[RespondentID],'All Data'!$A$3:$CW$999,98,FALSE),"unknown")</f>
        <v>Medicaid</v>
      </c>
      <c r="AB303" s="150" t="str">
        <f>IFERROR(VLOOKUP(Table1[RespondentID],'All Data'!$A$3:$CW$999,99,FALSE),"unknown")</f>
        <v>Yes</v>
      </c>
    </row>
    <row r="304" spans="1:28">
      <c r="A304" s="5">
        <v>18015503169</v>
      </c>
      <c r="B304" s="5"/>
      <c r="C304" s="5"/>
      <c r="D304" s="5" t="s">
        <v>66</v>
      </c>
      <c r="E304" s="5" t="s">
        <v>67</v>
      </c>
      <c r="F304" s="5"/>
      <c r="G304" s="5"/>
      <c r="H304" s="5"/>
      <c r="I304" s="5" t="s">
        <v>71</v>
      </c>
      <c r="J304" s="5" t="s">
        <v>72</v>
      </c>
      <c r="K304" s="5"/>
      <c r="L304" s="5"/>
      <c r="M304" s="5" t="s">
        <v>75</v>
      </c>
      <c r="N304" s="5" t="s">
        <v>76</v>
      </c>
      <c r="O304" s="148"/>
      <c r="P304" s="120" t="str">
        <f>IFERROR(VLOOKUP(Table1[RespondentID],'All Data'!$A$3:$CO$999,87,FALSE),"unknown")</f>
        <v>Man</v>
      </c>
      <c r="Q304" s="120">
        <f>IFERROR(VLOOKUP(Table1[RespondentID],'All Data'!$A$3:$CO$999,88,FALSE),"unknown")</f>
        <v>18</v>
      </c>
      <c r="R304" s="120" t="str">
        <f>IFERROR(VLOOKUP(Table1[RespondentID],'All Data'!$A$3:$CO$999,89,FALSE),"unknown")</f>
        <v>Nassau</v>
      </c>
      <c r="S304" s="120" t="str">
        <f>IFERROR(VLOOKUP(Table1[RespondentID],'All Data'!$A$3:$CO$999,90,FALSE),"unknown")</f>
        <v>Lake Success, 11020</v>
      </c>
      <c r="T304" s="120" t="str">
        <f>IFERROR(VLOOKUP(Table1[RespondentID],'All Data'!$A$3:$CO$999,91,FALSE),"unknown")</f>
        <v>White</v>
      </c>
      <c r="U304" s="120" t="str">
        <f>IFERROR(VLOOKUP(Table1[RespondentID],'All Data'!$A$3:$CO$999,92,FALSE),"unknown")</f>
        <v>Not Hispanic or Latino</v>
      </c>
      <c r="V304" s="120" t="str">
        <f>IFERROR(VLOOKUP(Table1[RespondentID],'All Data'!$A$3:$CO$999,93,FALSE),"unknown")</f>
        <v>English</v>
      </c>
      <c r="W304" s="120" t="str">
        <f>IFERROR(VLOOKUP(Table1[RespondentID],'All Data'!$A$3:$CW$999,94,FALSE),"unknown")</f>
        <v>$0-$19,999</v>
      </c>
      <c r="X304" s="120" t="str">
        <f>IFERROR(VLOOKUP(Table1[RespondentID],'All Data'!$A$3:$CW$999,95,FALSE),"unknown")</f>
        <v>College graduate</v>
      </c>
      <c r="Y304" s="120" t="str">
        <f>IFERROR(VLOOKUP(Table1[RespondentID],'All Data'!$A$3:$CW$999,96,FALSE),"unknown")</f>
        <v>Employed for wages</v>
      </c>
      <c r="Z304" s="120" t="str">
        <f>IFERROR(VLOOKUP(Table1[RespondentID],'All Data'!$A$3:$CW$999,97,FALSE),"unknown")</f>
        <v>Yes</v>
      </c>
      <c r="AA304" s="120" t="str">
        <f>IFERROR(VLOOKUP(Table1[RespondentID],'All Data'!$A$3:$CW$999,98,FALSE),"unknown")</f>
        <v>Medicare</v>
      </c>
      <c r="AB304" s="150" t="str">
        <f>IFERROR(VLOOKUP(Table1[RespondentID],'All Data'!$A$3:$CW$999,99,FALSE),"unknown")</f>
        <v>Yes</v>
      </c>
    </row>
    <row r="305" spans="1:28">
      <c r="A305" s="5">
        <v>18015489362</v>
      </c>
      <c r="B305" s="5" t="s">
        <v>64</v>
      </c>
      <c r="C305" s="5"/>
      <c r="D305" s="5" t="s">
        <v>66</v>
      </c>
      <c r="E305" s="5"/>
      <c r="F305" s="5" t="s">
        <v>68</v>
      </c>
      <c r="G305" s="5" t="s">
        <v>69</v>
      </c>
      <c r="H305" s="5" t="s">
        <v>70</v>
      </c>
      <c r="I305" s="5"/>
      <c r="J305" s="5"/>
      <c r="K305" s="5"/>
      <c r="L305" s="5"/>
      <c r="M305" s="5" t="s">
        <v>75</v>
      </c>
      <c r="N305" s="5"/>
      <c r="O305" s="148"/>
      <c r="P305" s="120" t="str">
        <f>IFERROR(VLOOKUP(Table1[RespondentID],'All Data'!$A$3:$CO$999,87,FALSE),"unknown")</f>
        <v>Man</v>
      </c>
      <c r="Q305" s="120">
        <f>IFERROR(VLOOKUP(Table1[RespondentID],'All Data'!$A$3:$CO$999,88,FALSE),"unknown")</f>
        <v>18</v>
      </c>
      <c r="R305" s="120" t="str">
        <f>IFERROR(VLOOKUP(Table1[RespondentID],'All Data'!$A$3:$CO$999,89,FALSE),"unknown")</f>
        <v>Suffolk</v>
      </c>
      <c r="S305" s="120" t="str">
        <f>IFERROR(VLOOKUP(Table1[RespondentID],'All Data'!$A$3:$CO$999,90,FALSE),"unknown")</f>
        <v>Smithtown, 11745</v>
      </c>
      <c r="T305" s="120" t="str">
        <f>IFERROR(VLOOKUP(Table1[RespondentID],'All Data'!$A$3:$CO$999,91,FALSE),"unknown")</f>
        <v>White</v>
      </c>
      <c r="U305" s="120" t="str">
        <f>IFERROR(VLOOKUP(Table1[RespondentID],'All Data'!$A$3:$CO$999,92,FALSE),"unknown")</f>
        <v>Hispanic or Latino</v>
      </c>
      <c r="V305" s="120" t="str">
        <f>IFERROR(VLOOKUP(Table1[RespondentID],'All Data'!$A$3:$CO$999,93,FALSE),"unknown")</f>
        <v>English</v>
      </c>
      <c r="W305" s="120" t="str">
        <f>IFERROR(VLOOKUP(Table1[RespondentID],'All Data'!$A$3:$CW$999,94,FALSE),"unknown")</f>
        <v>Over $125,000</v>
      </c>
      <c r="X305" s="120" t="str">
        <f>IFERROR(VLOOKUP(Table1[RespondentID],'All Data'!$A$3:$CW$999,95,FALSE),"unknown")</f>
        <v>College graduate</v>
      </c>
      <c r="Y305" s="120" t="str">
        <f>IFERROR(VLOOKUP(Table1[RespondentID],'All Data'!$A$3:$CW$999,96,FALSE),"unknown")</f>
        <v>Employed for wages</v>
      </c>
      <c r="Z305" s="120" t="str">
        <f>IFERROR(VLOOKUP(Table1[RespondentID],'All Data'!$A$3:$CW$999,97,FALSE),"unknown")</f>
        <v>Yes</v>
      </c>
      <c r="AA305" s="120" t="str">
        <f>IFERROR(VLOOKUP(Table1[RespondentID],'All Data'!$A$3:$CW$999,98,FALSE),"unknown")</f>
        <v>Private/Commercial</v>
      </c>
      <c r="AB305" s="150" t="str">
        <f>IFERROR(VLOOKUP(Table1[RespondentID],'All Data'!$A$3:$CW$999,99,FALSE),"unknown")</f>
        <v>Yes</v>
      </c>
    </row>
    <row r="306" spans="1:28">
      <c r="A306" s="5">
        <v>18015152631</v>
      </c>
      <c r="B306" s="5" t="s">
        <v>64</v>
      </c>
      <c r="C306" s="5"/>
      <c r="D306" s="5"/>
      <c r="E306" s="5" t="s">
        <v>67</v>
      </c>
      <c r="F306" s="5"/>
      <c r="G306" s="5"/>
      <c r="H306" s="5"/>
      <c r="I306" s="5"/>
      <c r="J306" s="5"/>
      <c r="K306" s="5"/>
      <c r="L306" s="5"/>
      <c r="M306" s="5"/>
      <c r="N306" s="5"/>
      <c r="O306" s="148"/>
      <c r="P306" s="120" t="str">
        <f>IFERROR(VLOOKUP(Table1[RespondentID],'All Data'!$A$3:$CO$999,87,FALSE),"unknown")</f>
        <v>Woman</v>
      </c>
      <c r="Q306" s="120">
        <f>IFERROR(VLOOKUP(Table1[RespondentID],'All Data'!$A$3:$CO$999,88,FALSE),"unknown")</f>
        <v>31</v>
      </c>
      <c r="R306" s="120" t="str">
        <f>IFERROR(VLOOKUP(Table1[RespondentID],'All Data'!$A$3:$CO$999,89,FALSE),"unknown")</f>
        <v>Queens</v>
      </c>
      <c r="S306" s="120">
        <f>IFERROR(VLOOKUP(Table1[RespondentID],'All Data'!$A$3:$CO$999,90,FALSE),"unknown")</f>
        <v>0</v>
      </c>
      <c r="T306" s="120">
        <f>IFERROR(VLOOKUP(Table1[RespondentID],'All Data'!$A$3:$CO$999,91,FALSE),"unknown")</f>
        <v>0</v>
      </c>
      <c r="U306" s="120">
        <f>IFERROR(VLOOKUP(Table1[RespondentID],'All Data'!$A$3:$CO$999,92,FALSE),"unknown")</f>
        <v>0</v>
      </c>
      <c r="V306" s="120">
        <f>IFERROR(VLOOKUP(Table1[RespondentID],'All Data'!$A$3:$CO$999,93,FALSE),"unknown")</f>
        <v>0</v>
      </c>
      <c r="W306" s="120">
        <f>IFERROR(VLOOKUP(Table1[RespondentID],'All Data'!$A$3:$CW$999,94,FALSE),"unknown")</f>
        <v>0</v>
      </c>
      <c r="X306" s="120">
        <f>IFERROR(VLOOKUP(Table1[RespondentID],'All Data'!$A$3:$CW$999,95,FALSE),"unknown")</f>
        <v>0</v>
      </c>
      <c r="Y306" s="120">
        <f>IFERROR(VLOOKUP(Table1[RespondentID],'All Data'!$A$3:$CW$999,96,FALSE),"unknown")</f>
        <v>0</v>
      </c>
      <c r="Z306" s="120">
        <f>IFERROR(VLOOKUP(Table1[RespondentID],'All Data'!$A$3:$CW$999,97,FALSE),"unknown")</f>
        <v>0</v>
      </c>
      <c r="AA306" s="120">
        <f>IFERROR(VLOOKUP(Table1[RespondentID],'All Data'!$A$3:$CW$999,98,FALSE),"unknown")</f>
        <v>0</v>
      </c>
      <c r="AB306" s="150">
        <f>IFERROR(VLOOKUP(Table1[RespondentID],'All Data'!$A$3:$CW$999,99,FALSE),"unknown")</f>
        <v>0</v>
      </c>
    </row>
    <row r="307" spans="1:28">
      <c r="A307" s="5">
        <v>18014932720</v>
      </c>
      <c r="B307" s="5" t="s">
        <v>64</v>
      </c>
      <c r="C307" s="5"/>
      <c r="D307" s="5"/>
      <c r="E307" s="5" t="s">
        <v>67</v>
      </c>
      <c r="F307" s="5"/>
      <c r="G307" s="5"/>
      <c r="H307" s="5"/>
      <c r="I307" s="5"/>
      <c r="J307" s="5"/>
      <c r="K307" s="5"/>
      <c r="L307" s="5"/>
      <c r="M307" s="5" t="s">
        <v>75</v>
      </c>
      <c r="N307" s="5"/>
      <c r="O307" s="148"/>
      <c r="P307" s="120" t="str">
        <f>IFERROR(VLOOKUP(Table1[RespondentID],'All Data'!$A$3:$CO$999,87,FALSE),"unknown")</f>
        <v>Man</v>
      </c>
      <c r="Q307" s="120">
        <f>IFERROR(VLOOKUP(Table1[RespondentID],'All Data'!$A$3:$CO$999,88,FALSE),"unknown")</f>
        <v>45</v>
      </c>
      <c r="R307" s="120" t="str">
        <f>IFERROR(VLOOKUP(Table1[RespondentID],'All Data'!$A$3:$CO$999,89,FALSE),"unknown")</f>
        <v>Suffolk</v>
      </c>
      <c r="S307" s="120" t="str">
        <f>IFERROR(VLOOKUP(Table1[RespondentID],'All Data'!$A$3:$CO$999,90,FALSE),"unknown")</f>
        <v>Smithtown, 11787</v>
      </c>
      <c r="T307" s="120" t="str">
        <f>IFERROR(VLOOKUP(Table1[RespondentID],'All Data'!$A$3:$CO$999,91,FALSE),"unknown")</f>
        <v>American Indian and Alaska Native</v>
      </c>
      <c r="U307" s="120" t="str">
        <f>IFERROR(VLOOKUP(Table1[RespondentID],'All Data'!$A$3:$CO$999,92,FALSE),"unknown")</f>
        <v>Hispanic or Latino</v>
      </c>
      <c r="V307" s="120" t="str">
        <f>IFERROR(VLOOKUP(Table1[RespondentID],'All Data'!$A$3:$CO$999,93,FALSE),"unknown")</f>
        <v>English</v>
      </c>
      <c r="W307" s="120" t="str">
        <f>IFERROR(VLOOKUP(Table1[RespondentID],'All Data'!$A$3:$CW$999,94,FALSE),"unknown")</f>
        <v>Over $125,000</v>
      </c>
      <c r="X307" s="120" t="str">
        <f>IFERROR(VLOOKUP(Table1[RespondentID],'All Data'!$A$3:$CW$999,95,FALSE),"unknown")</f>
        <v>Doctorate</v>
      </c>
      <c r="Y307" s="120" t="str">
        <f>IFERROR(VLOOKUP(Table1[RespondentID],'All Data'!$A$3:$CW$999,96,FALSE),"unknown")</f>
        <v>Self-employed</v>
      </c>
      <c r="Z307" s="120" t="str">
        <f>IFERROR(VLOOKUP(Table1[RespondentID],'All Data'!$A$3:$CW$999,97,FALSE),"unknown")</f>
        <v>Yes</v>
      </c>
      <c r="AA307" s="120" t="str">
        <f>IFERROR(VLOOKUP(Table1[RespondentID],'All Data'!$A$3:$CW$999,98,FALSE),"unknown")</f>
        <v>Private/Commercial</v>
      </c>
      <c r="AB307" s="150" t="str">
        <f>IFERROR(VLOOKUP(Table1[RespondentID],'All Data'!$A$3:$CW$999,99,FALSE),"unknown")</f>
        <v>Yes</v>
      </c>
    </row>
    <row r="308" spans="1:28">
      <c r="A308" s="5">
        <v>18014930527</v>
      </c>
      <c r="B308" s="5"/>
      <c r="C308" s="5"/>
      <c r="D308" s="5" t="s">
        <v>66</v>
      </c>
      <c r="E308" s="5"/>
      <c r="F308" s="5"/>
      <c r="G308" s="5" t="s">
        <v>69</v>
      </c>
      <c r="H308" s="5"/>
      <c r="I308" s="5"/>
      <c r="J308" s="5"/>
      <c r="K308" s="5"/>
      <c r="L308" s="5"/>
      <c r="M308" s="5" t="s">
        <v>75</v>
      </c>
      <c r="N308" s="5"/>
      <c r="O308" s="148"/>
      <c r="P308" s="120" t="str">
        <f>IFERROR(VLOOKUP(Table1[RespondentID],'All Data'!$A$3:$CO$999,87,FALSE),"unknown")</f>
        <v>Woman</v>
      </c>
      <c r="Q308" s="120">
        <f>IFERROR(VLOOKUP(Table1[RespondentID],'All Data'!$A$3:$CO$999,88,FALSE),"unknown")</f>
        <v>44</v>
      </c>
      <c r="R308" s="120" t="str">
        <f>IFERROR(VLOOKUP(Table1[RespondentID],'All Data'!$A$3:$CO$999,89,FALSE),"unknown")</f>
        <v>Suffolk</v>
      </c>
      <c r="S308" s="120" t="str">
        <f>IFERROR(VLOOKUP(Table1[RespondentID],'All Data'!$A$3:$CO$999,90,FALSE),"unknown")</f>
        <v>Smithtown, 11787</v>
      </c>
      <c r="T308" s="120" t="str">
        <f>IFERROR(VLOOKUP(Table1[RespondentID],'All Data'!$A$3:$CO$999,91,FALSE),"unknown")</f>
        <v>American Indian and Alaska Native</v>
      </c>
      <c r="U308" s="120" t="str">
        <f>IFERROR(VLOOKUP(Table1[RespondentID],'All Data'!$A$3:$CO$999,92,FALSE),"unknown")</f>
        <v>Hispanic or Latino</v>
      </c>
      <c r="V308" s="120" t="str">
        <f>IFERROR(VLOOKUP(Table1[RespondentID],'All Data'!$A$3:$CO$999,93,FALSE),"unknown")</f>
        <v>English</v>
      </c>
      <c r="W308" s="120" t="str">
        <f>IFERROR(VLOOKUP(Table1[RespondentID],'All Data'!$A$3:$CW$999,94,FALSE),"unknown")</f>
        <v>Over $125,000</v>
      </c>
      <c r="X308" s="120" t="str">
        <f>IFERROR(VLOOKUP(Table1[RespondentID],'All Data'!$A$3:$CW$999,95,FALSE),"unknown")</f>
        <v>Doctorate</v>
      </c>
      <c r="Y308" s="120" t="str">
        <f>IFERROR(VLOOKUP(Table1[RespondentID],'All Data'!$A$3:$CW$999,96,FALSE),"unknown")</f>
        <v>Self-employed</v>
      </c>
      <c r="Z308" s="120" t="str">
        <f>IFERROR(VLOOKUP(Table1[RespondentID],'All Data'!$A$3:$CW$999,97,FALSE),"unknown")</f>
        <v>Yes</v>
      </c>
      <c r="AA308" s="120" t="str">
        <f>IFERROR(VLOOKUP(Table1[RespondentID],'All Data'!$A$3:$CW$999,98,FALSE),"unknown")</f>
        <v>Private/Commercial</v>
      </c>
      <c r="AB308" s="150" t="str">
        <f>IFERROR(VLOOKUP(Table1[RespondentID],'All Data'!$A$3:$CW$999,99,FALSE),"unknown")</f>
        <v>Yes</v>
      </c>
    </row>
    <row r="309" spans="1:28">
      <c r="A309" s="5">
        <v>18014783155</v>
      </c>
      <c r="B309" s="5" t="s">
        <v>64</v>
      </c>
      <c r="C309" s="5"/>
      <c r="D309" s="5"/>
      <c r="E309" s="5"/>
      <c r="F309" s="5"/>
      <c r="G309" s="5"/>
      <c r="H309" s="5"/>
      <c r="I309" s="5"/>
      <c r="J309" s="5"/>
      <c r="K309" s="5"/>
      <c r="L309" s="5"/>
      <c r="M309" s="5"/>
      <c r="N309" s="5"/>
      <c r="O309" s="148"/>
      <c r="P309" s="120">
        <f>IFERROR(VLOOKUP(Table1[RespondentID],'All Data'!$A$3:$CO$999,87,FALSE),"unknown")</f>
        <v>0</v>
      </c>
      <c r="Q309" s="120">
        <f>IFERROR(VLOOKUP(Table1[RespondentID],'All Data'!$A$3:$CO$999,88,FALSE),"unknown")</f>
        <v>0</v>
      </c>
      <c r="R309" s="120">
        <f>IFERROR(VLOOKUP(Table1[RespondentID],'All Data'!$A$3:$CO$999,89,FALSE),"unknown")</f>
        <v>0</v>
      </c>
      <c r="S309" s="120">
        <f>IFERROR(VLOOKUP(Table1[RespondentID],'All Data'!$A$3:$CO$999,90,FALSE),"unknown")</f>
        <v>0</v>
      </c>
      <c r="T309" s="120">
        <f>IFERROR(VLOOKUP(Table1[RespondentID],'All Data'!$A$3:$CO$999,91,FALSE),"unknown")</f>
        <v>0</v>
      </c>
      <c r="U309" s="120">
        <f>IFERROR(VLOOKUP(Table1[RespondentID],'All Data'!$A$3:$CO$999,92,FALSE),"unknown")</f>
        <v>0</v>
      </c>
      <c r="V309" s="120">
        <f>IFERROR(VLOOKUP(Table1[RespondentID],'All Data'!$A$3:$CO$999,93,FALSE),"unknown")</f>
        <v>0</v>
      </c>
      <c r="W309" s="120">
        <f>IFERROR(VLOOKUP(Table1[RespondentID],'All Data'!$A$3:$CW$999,94,FALSE),"unknown")</f>
        <v>0</v>
      </c>
      <c r="X309" s="120">
        <f>IFERROR(VLOOKUP(Table1[RespondentID],'All Data'!$A$3:$CW$999,95,FALSE),"unknown")</f>
        <v>0</v>
      </c>
      <c r="Y309" s="120">
        <f>IFERROR(VLOOKUP(Table1[RespondentID],'All Data'!$A$3:$CW$999,96,FALSE),"unknown")</f>
        <v>0</v>
      </c>
      <c r="Z309" s="120">
        <f>IFERROR(VLOOKUP(Table1[RespondentID],'All Data'!$A$3:$CW$999,97,FALSE),"unknown")</f>
        <v>0</v>
      </c>
      <c r="AA309" s="120">
        <f>IFERROR(VLOOKUP(Table1[RespondentID],'All Data'!$A$3:$CW$999,98,FALSE),"unknown")</f>
        <v>0</v>
      </c>
      <c r="AB309" s="150">
        <f>IFERROR(VLOOKUP(Table1[RespondentID],'All Data'!$A$3:$CW$999,99,FALSE),"unknown")</f>
        <v>0</v>
      </c>
    </row>
    <row r="310" spans="1:28">
      <c r="A310" s="5">
        <v>18014743256</v>
      </c>
      <c r="B310" s="5" t="s">
        <v>64</v>
      </c>
      <c r="C310" s="5"/>
      <c r="D310" s="5"/>
      <c r="E310" s="5"/>
      <c r="F310" s="5"/>
      <c r="G310" s="5"/>
      <c r="H310" s="5"/>
      <c r="I310" s="5"/>
      <c r="J310" s="5"/>
      <c r="K310" s="5"/>
      <c r="L310" s="5"/>
      <c r="M310" s="5"/>
      <c r="N310" s="5"/>
      <c r="O310" s="148"/>
      <c r="P310" s="120" t="str">
        <f>IFERROR(VLOOKUP(Table1[RespondentID],'All Data'!$A$3:$CO$999,87,FALSE),"unknown")</f>
        <v>Woman</v>
      </c>
      <c r="Q310" s="120">
        <f>IFERROR(VLOOKUP(Table1[RespondentID],'All Data'!$A$3:$CO$999,88,FALSE),"unknown")</f>
        <v>54</v>
      </c>
      <c r="R310" s="120" t="str">
        <f>IFERROR(VLOOKUP(Table1[RespondentID],'All Data'!$A$3:$CO$999,89,FALSE),"unknown")</f>
        <v>Suffolk</v>
      </c>
      <c r="S310" s="120" t="str">
        <f>IFERROR(VLOOKUP(Table1[RespondentID],'All Data'!$A$3:$CO$999,90,FALSE),"unknown")</f>
        <v>Centereach, 11720</v>
      </c>
      <c r="T310" s="120" t="str">
        <f>IFERROR(VLOOKUP(Table1[RespondentID],'All Data'!$A$3:$CO$999,91,FALSE),"unknown")</f>
        <v>White</v>
      </c>
      <c r="U310" s="120" t="str">
        <f>IFERROR(VLOOKUP(Table1[RespondentID],'All Data'!$A$3:$CO$999,92,FALSE),"unknown")</f>
        <v>Hispanic or Latino</v>
      </c>
      <c r="V310" s="120" t="str">
        <f>IFERROR(VLOOKUP(Table1[RespondentID],'All Data'!$A$3:$CO$999,93,FALSE),"unknown")</f>
        <v>English</v>
      </c>
      <c r="W310" s="120" t="str">
        <f>IFERROR(VLOOKUP(Table1[RespondentID],'All Data'!$A$3:$CW$999,94,FALSE),"unknown")</f>
        <v>Over $125,000</v>
      </c>
      <c r="X310" s="120" t="str">
        <f>IFERROR(VLOOKUP(Table1[RespondentID],'All Data'!$A$3:$CW$999,95,FALSE),"unknown")</f>
        <v>Graduate school</v>
      </c>
      <c r="Y310" s="120" t="str">
        <f>IFERROR(VLOOKUP(Table1[RespondentID],'All Data'!$A$3:$CW$999,96,FALSE),"unknown")</f>
        <v>Employed for wages</v>
      </c>
      <c r="Z310" s="120" t="str">
        <f>IFERROR(VLOOKUP(Table1[RespondentID],'All Data'!$A$3:$CW$999,97,FALSE),"unknown")</f>
        <v>Yes</v>
      </c>
      <c r="AA310" s="120" t="str">
        <f>IFERROR(VLOOKUP(Table1[RespondentID],'All Data'!$A$3:$CW$999,98,FALSE),"unknown")</f>
        <v>Private/Commercial</v>
      </c>
      <c r="AB310" s="150" t="str">
        <f>IFERROR(VLOOKUP(Table1[RespondentID],'All Data'!$A$3:$CW$999,99,FALSE),"unknown")</f>
        <v>Yes</v>
      </c>
    </row>
    <row r="311" spans="1:28">
      <c r="A311" s="5">
        <v>18014731066</v>
      </c>
      <c r="B311" s="5" t="s">
        <v>64</v>
      </c>
      <c r="C311" s="5"/>
      <c r="D311" s="5"/>
      <c r="E311" s="5"/>
      <c r="F311" s="5"/>
      <c r="G311" s="5"/>
      <c r="H311" s="5" t="s">
        <v>70</v>
      </c>
      <c r="I311" s="5"/>
      <c r="J311" s="5"/>
      <c r="K311" s="5" t="s">
        <v>73</v>
      </c>
      <c r="L311" s="5"/>
      <c r="M311" s="5"/>
      <c r="N311" s="5"/>
      <c r="O311" s="148"/>
      <c r="P311" s="120" t="str">
        <f>IFERROR(VLOOKUP(Table1[RespondentID],'All Data'!$A$3:$CO$999,87,FALSE),"unknown")</f>
        <v>Man</v>
      </c>
      <c r="Q311" s="120">
        <f>IFERROR(VLOOKUP(Table1[RespondentID],'All Data'!$A$3:$CO$999,88,FALSE),"unknown")</f>
        <v>40</v>
      </c>
      <c r="R311" s="120" t="str">
        <f>IFERROR(VLOOKUP(Table1[RespondentID],'All Data'!$A$3:$CO$999,89,FALSE),"unknown")</f>
        <v>Suffolk</v>
      </c>
      <c r="S311" s="120" t="str">
        <f>IFERROR(VLOOKUP(Table1[RespondentID],'All Data'!$A$3:$CO$999,90,FALSE),"unknown")</f>
        <v>Nesconset, 11767</v>
      </c>
      <c r="T311" s="120" t="str">
        <f>IFERROR(VLOOKUP(Table1[RespondentID],'All Data'!$A$3:$CO$999,91,FALSE),"unknown")</f>
        <v>White</v>
      </c>
      <c r="U311" s="120" t="str">
        <f>IFERROR(VLOOKUP(Table1[RespondentID],'All Data'!$A$3:$CO$999,92,FALSE),"unknown")</f>
        <v>Hispanic or Latino</v>
      </c>
      <c r="V311" s="120" t="str">
        <f>IFERROR(VLOOKUP(Table1[RespondentID],'All Data'!$A$3:$CO$999,93,FALSE),"unknown")</f>
        <v>English</v>
      </c>
      <c r="W311" s="120" t="str">
        <f>IFERROR(VLOOKUP(Table1[RespondentID],'All Data'!$A$3:$CW$999,94,FALSE),"unknown")</f>
        <v>Over $125,000</v>
      </c>
      <c r="X311" s="120" t="str">
        <f>IFERROR(VLOOKUP(Table1[RespondentID],'All Data'!$A$3:$CW$999,95,FALSE),"unknown")</f>
        <v>Graduate school</v>
      </c>
      <c r="Y311" s="120" t="str">
        <f>IFERROR(VLOOKUP(Table1[RespondentID],'All Data'!$A$3:$CW$999,96,FALSE),"unknown")</f>
        <v>Employed for wages</v>
      </c>
      <c r="Z311" s="120" t="str">
        <f>IFERROR(VLOOKUP(Table1[RespondentID],'All Data'!$A$3:$CW$999,97,FALSE),"unknown")</f>
        <v>Yes</v>
      </c>
      <c r="AA311" s="120" t="str">
        <f>IFERROR(VLOOKUP(Table1[RespondentID],'All Data'!$A$3:$CW$999,98,FALSE),"unknown")</f>
        <v>Private/Commercial</v>
      </c>
      <c r="AB311" s="150" t="str">
        <f>IFERROR(VLOOKUP(Table1[RespondentID],'All Data'!$A$3:$CW$999,99,FALSE),"unknown")</f>
        <v>Yes</v>
      </c>
    </row>
    <row r="312" spans="1:28">
      <c r="A312" s="5">
        <v>18014717463</v>
      </c>
      <c r="B312" s="5"/>
      <c r="C312" s="5"/>
      <c r="D312" s="5" t="s">
        <v>66</v>
      </c>
      <c r="E312" s="5"/>
      <c r="F312" s="5"/>
      <c r="G312" s="5" t="s">
        <v>69</v>
      </c>
      <c r="H312" s="5"/>
      <c r="I312" s="5"/>
      <c r="J312" s="5" t="s">
        <v>72</v>
      </c>
      <c r="K312" s="5"/>
      <c r="L312" s="5"/>
      <c r="M312" s="5" t="s">
        <v>75</v>
      </c>
      <c r="N312" s="5" t="s">
        <v>76</v>
      </c>
      <c r="O312" s="148"/>
      <c r="P312" s="120" t="str">
        <f>IFERROR(VLOOKUP(Table1[RespondentID],'All Data'!$A$3:$CO$999,87,FALSE),"unknown")</f>
        <v>Man</v>
      </c>
      <c r="Q312" s="120">
        <f>IFERROR(VLOOKUP(Table1[RespondentID],'All Data'!$A$3:$CO$999,88,FALSE),"unknown")</f>
        <v>36</v>
      </c>
      <c r="R312" s="120" t="str">
        <f>IFERROR(VLOOKUP(Table1[RespondentID],'All Data'!$A$3:$CO$999,89,FALSE),"unknown")</f>
        <v>Nassau</v>
      </c>
      <c r="S312" s="120" t="str">
        <f>IFERROR(VLOOKUP(Table1[RespondentID],'All Data'!$A$3:$CO$999,90,FALSE),"unknown")</f>
        <v>Alden Manor, 11003</v>
      </c>
      <c r="T312" s="120" t="str">
        <f>IFERROR(VLOOKUP(Table1[RespondentID],'All Data'!$A$3:$CO$999,91,FALSE),"unknown")</f>
        <v>American Indian and Alaska Native</v>
      </c>
      <c r="U312" s="120" t="str">
        <f>IFERROR(VLOOKUP(Table1[RespondentID],'All Data'!$A$3:$CO$999,92,FALSE),"unknown")</f>
        <v>Not Hispanic or Latino</v>
      </c>
      <c r="V312" s="120" t="str">
        <f>IFERROR(VLOOKUP(Table1[RespondentID],'All Data'!$A$3:$CO$999,93,FALSE),"unknown")</f>
        <v>English</v>
      </c>
      <c r="W312" s="120" t="str">
        <f>IFERROR(VLOOKUP(Table1[RespondentID],'All Data'!$A$3:$CW$999,94,FALSE),"unknown")</f>
        <v>$50,000 to $74,999</v>
      </c>
      <c r="X312" s="120" t="str">
        <f>IFERROR(VLOOKUP(Table1[RespondentID],'All Data'!$A$3:$CW$999,95,FALSE),"unknown")</f>
        <v>College graduate</v>
      </c>
      <c r="Y312" s="120" t="str">
        <f>IFERROR(VLOOKUP(Table1[RespondentID],'All Data'!$A$3:$CW$999,96,FALSE),"unknown")</f>
        <v>Employed for wages</v>
      </c>
      <c r="Z312" s="120" t="str">
        <f>IFERROR(VLOOKUP(Table1[RespondentID],'All Data'!$A$3:$CW$999,97,FALSE),"unknown")</f>
        <v>Yes</v>
      </c>
      <c r="AA312" s="120" t="str">
        <f>IFERROR(VLOOKUP(Table1[RespondentID],'All Data'!$A$3:$CW$999,98,FALSE),"unknown")</f>
        <v>Private/Commercial</v>
      </c>
      <c r="AB312" s="150" t="str">
        <f>IFERROR(VLOOKUP(Table1[RespondentID],'All Data'!$A$3:$CW$999,99,FALSE),"unknown")</f>
        <v>Yes</v>
      </c>
    </row>
    <row r="313" spans="1:28">
      <c r="A313" s="5">
        <v>18014645318</v>
      </c>
      <c r="B313" s="5" t="s">
        <v>64</v>
      </c>
      <c r="C313" s="5"/>
      <c r="D313" s="5"/>
      <c r="E313" s="5" t="s">
        <v>67</v>
      </c>
      <c r="F313" s="5"/>
      <c r="G313" s="5"/>
      <c r="H313" s="5"/>
      <c r="I313" s="5"/>
      <c r="J313" s="5"/>
      <c r="K313" s="5"/>
      <c r="L313" s="5"/>
      <c r="M313" s="5" t="s">
        <v>75</v>
      </c>
      <c r="N313" s="5"/>
      <c r="O313" s="148"/>
      <c r="P313" s="120" t="str">
        <f>IFERROR(VLOOKUP(Table1[RespondentID],'All Data'!$A$3:$CO$999,87,FALSE),"unknown")</f>
        <v>Man</v>
      </c>
      <c r="Q313" s="120">
        <f>IFERROR(VLOOKUP(Table1[RespondentID],'All Data'!$A$3:$CO$999,88,FALSE),"unknown")</f>
        <v>55</v>
      </c>
      <c r="R313" s="120" t="str">
        <f>IFERROR(VLOOKUP(Table1[RespondentID],'All Data'!$A$3:$CO$999,89,FALSE),"unknown")</f>
        <v>Suffolk</v>
      </c>
      <c r="S313" s="120" t="str">
        <f>IFERROR(VLOOKUP(Table1[RespondentID],'All Data'!$A$3:$CO$999,90,FALSE),"unknown")</f>
        <v>Babylon, 11702</v>
      </c>
      <c r="T313" s="120" t="str">
        <f>IFERROR(VLOOKUP(Table1[RespondentID],'All Data'!$A$3:$CO$999,91,FALSE),"unknown")</f>
        <v>White</v>
      </c>
      <c r="U313" s="120" t="str">
        <f>IFERROR(VLOOKUP(Table1[RespondentID],'All Data'!$A$3:$CO$999,92,FALSE),"unknown")</f>
        <v>Hispanic or Latino</v>
      </c>
      <c r="V313" s="120" t="str">
        <f>IFERROR(VLOOKUP(Table1[RespondentID],'All Data'!$A$3:$CO$999,93,FALSE),"unknown")</f>
        <v>English</v>
      </c>
      <c r="W313" s="120" t="str">
        <f>IFERROR(VLOOKUP(Table1[RespondentID],'All Data'!$A$3:$CW$999,94,FALSE),"unknown")</f>
        <v>$20,000 to $34,999</v>
      </c>
      <c r="X313" s="120" t="str">
        <f>IFERROR(VLOOKUP(Table1[RespondentID],'All Data'!$A$3:$CW$999,95,FALSE),"unknown")</f>
        <v>Some college</v>
      </c>
      <c r="Y313" s="120" t="str">
        <f>IFERROR(VLOOKUP(Table1[RespondentID],'All Data'!$A$3:$CW$999,96,FALSE),"unknown")</f>
        <v>Employed for wages</v>
      </c>
      <c r="Z313" s="120" t="str">
        <f>IFERROR(VLOOKUP(Table1[RespondentID],'All Data'!$A$3:$CW$999,97,FALSE),"unknown")</f>
        <v>Yes</v>
      </c>
      <c r="AA313" s="120" t="str">
        <f>IFERROR(VLOOKUP(Table1[RespondentID],'All Data'!$A$3:$CW$999,98,FALSE),"unknown")</f>
        <v>Private/Commercial</v>
      </c>
      <c r="AB313" s="150" t="str">
        <f>IFERROR(VLOOKUP(Table1[RespondentID],'All Data'!$A$3:$CW$999,99,FALSE),"unknown")</f>
        <v>Yes</v>
      </c>
    </row>
    <row r="314" spans="1:28">
      <c r="A314" s="5">
        <v>18014644097</v>
      </c>
      <c r="B314" s="5" t="s">
        <v>64</v>
      </c>
      <c r="C314" s="5"/>
      <c r="D314" s="5"/>
      <c r="E314" s="5"/>
      <c r="F314" s="5"/>
      <c r="G314" s="5"/>
      <c r="H314" s="5" t="s">
        <v>70</v>
      </c>
      <c r="I314" s="5"/>
      <c r="J314" s="5"/>
      <c r="K314" s="5" t="s">
        <v>73</v>
      </c>
      <c r="L314" s="5"/>
      <c r="M314" s="5"/>
      <c r="N314" s="5"/>
      <c r="O314" s="148"/>
      <c r="P314" s="120" t="str">
        <f>IFERROR(VLOOKUP(Table1[RespondentID],'All Data'!$A$3:$CO$999,87,FALSE),"unknown")</f>
        <v>Man</v>
      </c>
      <c r="Q314" s="120">
        <f>IFERROR(VLOOKUP(Table1[RespondentID],'All Data'!$A$3:$CO$999,88,FALSE),"unknown")</f>
        <v>73</v>
      </c>
      <c r="R314" s="120" t="str">
        <f>IFERROR(VLOOKUP(Table1[RespondentID],'All Data'!$A$3:$CO$999,89,FALSE),"unknown")</f>
        <v>Suffolk</v>
      </c>
      <c r="S314" s="120" t="str">
        <f>IFERROR(VLOOKUP(Table1[RespondentID],'All Data'!$A$3:$CO$999,90,FALSE),"unknown")</f>
        <v>Port Jefferson Station, 11776</v>
      </c>
      <c r="T314" s="120" t="str">
        <f>IFERROR(VLOOKUP(Table1[RespondentID],'All Data'!$A$3:$CO$999,91,FALSE),"unknown")</f>
        <v>White</v>
      </c>
      <c r="U314" s="120" t="str">
        <f>IFERROR(VLOOKUP(Table1[RespondentID],'All Data'!$A$3:$CO$999,92,FALSE),"unknown")</f>
        <v>Hispanic or Latino</v>
      </c>
      <c r="V314" s="120" t="str">
        <f>IFERROR(VLOOKUP(Table1[RespondentID],'All Data'!$A$3:$CO$999,93,FALSE),"unknown")</f>
        <v>English</v>
      </c>
      <c r="W314" s="120" t="str">
        <f>IFERROR(VLOOKUP(Table1[RespondentID],'All Data'!$A$3:$CW$999,94,FALSE),"unknown")</f>
        <v>$75,000 to $125,000</v>
      </c>
      <c r="X314" s="120" t="str">
        <f>IFERROR(VLOOKUP(Table1[RespondentID],'All Data'!$A$3:$CW$999,95,FALSE),"unknown")</f>
        <v>College graduate</v>
      </c>
      <c r="Y314" s="120" t="str">
        <f>IFERROR(VLOOKUP(Table1[RespondentID],'All Data'!$A$3:$CW$999,96,FALSE),"unknown")</f>
        <v>Employed for wages</v>
      </c>
      <c r="Z314" s="120" t="str">
        <f>IFERROR(VLOOKUP(Table1[RespondentID],'All Data'!$A$3:$CW$999,97,FALSE),"unknown")</f>
        <v>Yes</v>
      </c>
      <c r="AA314" s="120" t="str">
        <f>IFERROR(VLOOKUP(Table1[RespondentID],'All Data'!$A$3:$CW$999,98,FALSE),"unknown")</f>
        <v>Private/Commercial</v>
      </c>
      <c r="AB314" s="150" t="str">
        <f>IFERROR(VLOOKUP(Table1[RespondentID],'All Data'!$A$3:$CW$999,99,FALSE),"unknown")</f>
        <v>Yes</v>
      </c>
    </row>
    <row r="315" spans="1:28">
      <c r="A315" s="5">
        <v>18014642721</v>
      </c>
      <c r="B315" s="5" t="s">
        <v>64</v>
      </c>
      <c r="C315" s="5"/>
      <c r="D315" s="5"/>
      <c r="E315" s="5"/>
      <c r="F315" s="5"/>
      <c r="G315" s="5"/>
      <c r="H315" s="5"/>
      <c r="I315" s="5"/>
      <c r="J315" s="5"/>
      <c r="K315" s="5"/>
      <c r="L315" s="5"/>
      <c r="M315" s="5"/>
      <c r="N315" s="5"/>
      <c r="O315" s="148"/>
      <c r="P315" s="120" t="str">
        <f>IFERROR(VLOOKUP(Table1[RespondentID],'All Data'!$A$3:$CO$999,87,FALSE),"unknown")</f>
        <v>Woman</v>
      </c>
      <c r="Q315" s="120">
        <f>IFERROR(VLOOKUP(Table1[RespondentID],'All Data'!$A$3:$CO$999,88,FALSE),"unknown")</f>
        <v>57</v>
      </c>
      <c r="R315" s="120" t="str">
        <f>IFERROR(VLOOKUP(Table1[RespondentID],'All Data'!$A$3:$CO$999,89,FALSE),"unknown")</f>
        <v>Suffolk</v>
      </c>
      <c r="S315" s="120" t="str">
        <f>IFERROR(VLOOKUP(Table1[RespondentID],'All Data'!$A$3:$CO$999,90,FALSE),"unknown")</f>
        <v>Port Jefferson Station, 11776</v>
      </c>
      <c r="T315" s="120" t="str">
        <f>IFERROR(VLOOKUP(Table1[RespondentID],'All Data'!$A$3:$CO$999,91,FALSE),"unknown")</f>
        <v>White</v>
      </c>
      <c r="U315" s="120" t="str">
        <f>IFERROR(VLOOKUP(Table1[RespondentID],'All Data'!$A$3:$CO$999,92,FALSE),"unknown")</f>
        <v>Hispanic or Latino</v>
      </c>
      <c r="V315" s="120" t="str">
        <f>IFERROR(VLOOKUP(Table1[RespondentID],'All Data'!$A$3:$CO$999,93,FALSE),"unknown")</f>
        <v>English</v>
      </c>
      <c r="W315" s="120" t="str">
        <f>IFERROR(VLOOKUP(Table1[RespondentID],'All Data'!$A$3:$CW$999,94,FALSE),"unknown")</f>
        <v>$75,000 to $125,000</v>
      </c>
      <c r="X315" s="120" t="str">
        <f>IFERROR(VLOOKUP(Table1[RespondentID],'All Data'!$A$3:$CW$999,95,FALSE),"unknown")</f>
        <v>Some college</v>
      </c>
      <c r="Y315" s="120" t="str">
        <f>IFERROR(VLOOKUP(Table1[RespondentID],'All Data'!$A$3:$CW$999,96,FALSE),"unknown")</f>
        <v>Retired</v>
      </c>
      <c r="Z315" s="120" t="str">
        <f>IFERROR(VLOOKUP(Table1[RespondentID],'All Data'!$A$3:$CW$999,97,FALSE),"unknown")</f>
        <v>Yes</v>
      </c>
      <c r="AA315" s="120" t="str">
        <f>IFERROR(VLOOKUP(Table1[RespondentID],'All Data'!$A$3:$CW$999,98,FALSE),"unknown")</f>
        <v>Private/Commercial</v>
      </c>
      <c r="AB315" s="150" t="str">
        <f>IFERROR(VLOOKUP(Table1[RespondentID],'All Data'!$A$3:$CW$999,99,FALSE),"unknown")</f>
        <v>Yes</v>
      </c>
    </row>
    <row r="316" spans="1:28">
      <c r="A316" s="5">
        <v>18014642355</v>
      </c>
      <c r="B316" s="5" t="s">
        <v>64</v>
      </c>
      <c r="C316" s="5"/>
      <c r="D316" s="5"/>
      <c r="E316" s="5" t="s">
        <v>67</v>
      </c>
      <c r="F316" s="5"/>
      <c r="G316" s="5"/>
      <c r="H316" s="5"/>
      <c r="I316" s="5"/>
      <c r="J316" s="5"/>
      <c r="K316" s="5"/>
      <c r="L316" s="5"/>
      <c r="M316" s="5"/>
      <c r="N316" s="5"/>
      <c r="O316" s="148"/>
      <c r="P316" s="120" t="str">
        <f>IFERROR(VLOOKUP(Table1[RespondentID],'All Data'!$A$3:$CO$999,87,FALSE),"unknown")</f>
        <v>Man</v>
      </c>
      <c r="Q316" s="120">
        <f>IFERROR(VLOOKUP(Table1[RespondentID],'All Data'!$A$3:$CO$999,88,FALSE),"unknown")</f>
        <v>31</v>
      </c>
      <c r="R316" s="120" t="str">
        <f>IFERROR(VLOOKUP(Table1[RespondentID],'All Data'!$A$3:$CO$999,89,FALSE),"unknown")</f>
        <v>Suffolk</v>
      </c>
      <c r="S316" s="120" t="str">
        <f>IFERROR(VLOOKUP(Table1[RespondentID],'All Data'!$A$3:$CO$999,90,FALSE),"unknown")</f>
        <v>Port Jefferson Station, 11776</v>
      </c>
      <c r="T316" s="120" t="str">
        <f>IFERROR(VLOOKUP(Table1[RespondentID],'All Data'!$A$3:$CO$999,91,FALSE),"unknown")</f>
        <v>White</v>
      </c>
      <c r="U316" s="120" t="str">
        <f>IFERROR(VLOOKUP(Table1[RespondentID],'All Data'!$A$3:$CO$999,92,FALSE),"unknown")</f>
        <v>Hispanic or Latino</v>
      </c>
      <c r="V316" s="120" t="str">
        <f>IFERROR(VLOOKUP(Table1[RespondentID],'All Data'!$A$3:$CO$999,93,FALSE),"unknown")</f>
        <v>English</v>
      </c>
      <c r="W316" s="120" t="str">
        <f>IFERROR(VLOOKUP(Table1[RespondentID],'All Data'!$A$3:$CW$999,94,FALSE),"unknown")</f>
        <v>Over $125,000</v>
      </c>
      <c r="X316" s="120" t="str">
        <f>IFERROR(VLOOKUP(Table1[RespondentID],'All Data'!$A$3:$CW$999,95,FALSE),"unknown")</f>
        <v>College graduate</v>
      </c>
      <c r="Y316" s="120" t="str">
        <f>IFERROR(VLOOKUP(Table1[RespondentID],'All Data'!$A$3:$CW$999,96,FALSE),"unknown")</f>
        <v>Employed for wages</v>
      </c>
      <c r="Z316" s="120" t="str">
        <f>IFERROR(VLOOKUP(Table1[RespondentID],'All Data'!$A$3:$CW$999,97,FALSE),"unknown")</f>
        <v>Yes</v>
      </c>
      <c r="AA316" s="120" t="str">
        <f>IFERROR(VLOOKUP(Table1[RespondentID],'All Data'!$A$3:$CW$999,98,FALSE),"unknown")</f>
        <v>Private/Commercial</v>
      </c>
      <c r="AB316" s="150" t="str">
        <f>IFERROR(VLOOKUP(Table1[RespondentID],'All Data'!$A$3:$CW$999,99,FALSE),"unknown")</f>
        <v>Yes</v>
      </c>
    </row>
    <row r="317" spans="1:28">
      <c r="A317" s="5">
        <v>18014635603</v>
      </c>
      <c r="B317" s="5" t="s">
        <v>64</v>
      </c>
      <c r="C317" s="5"/>
      <c r="D317" s="5"/>
      <c r="E317" s="5" t="s">
        <v>67</v>
      </c>
      <c r="F317" s="5"/>
      <c r="G317" s="5"/>
      <c r="H317" s="5"/>
      <c r="I317" s="5"/>
      <c r="J317" s="5"/>
      <c r="K317" s="5"/>
      <c r="L317" s="5"/>
      <c r="M317" s="5"/>
      <c r="N317" s="5" t="s">
        <v>76</v>
      </c>
      <c r="O317" s="148"/>
      <c r="P317" s="120" t="str">
        <f>IFERROR(VLOOKUP(Table1[RespondentID],'All Data'!$A$3:$CO$999,87,FALSE),"unknown")</f>
        <v>Man</v>
      </c>
      <c r="Q317" s="120">
        <f>IFERROR(VLOOKUP(Table1[RespondentID],'All Data'!$A$3:$CO$999,88,FALSE),"unknown")</f>
        <v>18</v>
      </c>
      <c r="R317" s="120" t="str">
        <f>IFERROR(VLOOKUP(Table1[RespondentID],'All Data'!$A$3:$CO$999,89,FALSE),"unknown")</f>
        <v>Nassau</v>
      </c>
      <c r="S317" s="120" t="str">
        <f>IFERROR(VLOOKUP(Table1[RespondentID],'All Data'!$A$3:$CO$999,90,FALSE),"unknown")</f>
        <v>Malverne, 11565</v>
      </c>
      <c r="T317" s="120" t="str">
        <f>IFERROR(VLOOKUP(Table1[RespondentID],'All Data'!$A$3:$CO$999,91,FALSE),"unknown")</f>
        <v>White</v>
      </c>
      <c r="U317" s="120" t="str">
        <f>IFERROR(VLOOKUP(Table1[RespondentID],'All Data'!$A$3:$CO$999,92,FALSE),"unknown")</f>
        <v>Not Hispanic or Latino</v>
      </c>
      <c r="V317" s="120" t="str">
        <f>IFERROR(VLOOKUP(Table1[RespondentID],'All Data'!$A$3:$CO$999,93,FALSE),"unknown")</f>
        <v>English, Spanish</v>
      </c>
      <c r="W317" s="120" t="str">
        <f>IFERROR(VLOOKUP(Table1[RespondentID],'All Data'!$A$3:$CW$999,94,FALSE),"unknown")</f>
        <v>$35,000 to $49,999</v>
      </c>
      <c r="X317" s="120" t="str">
        <f>IFERROR(VLOOKUP(Table1[RespondentID],'All Data'!$A$3:$CW$999,95,FALSE),"unknown")</f>
        <v>Some college</v>
      </c>
      <c r="Y317" s="120" t="str">
        <f>IFERROR(VLOOKUP(Table1[RespondentID],'All Data'!$A$3:$CW$999,96,FALSE),"unknown")</f>
        <v>Student</v>
      </c>
      <c r="Z317" s="120" t="str">
        <f>IFERROR(VLOOKUP(Table1[RespondentID],'All Data'!$A$3:$CW$999,97,FALSE),"unknown")</f>
        <v>Yes</v>
      </c>
      <c r="AA317" s="120" t="str">
        <f>IFERROR(VLOOKUP(Table1[RespondentID],'All Data'!$A$3:$CW$999,98,FALSE),"unknown")</f>
        <v>Private/Commercial</v>
      </c>
      <c r="AB317" s="150" t="str">
        <f>IFERROR(VLOOKUP(Table1[RespondentID],'All Data'!$A$3:$CW$999,99,FALSE),"unknown")</f>
        <v>Yes</v>
      </c>
    </row>
    <row r="318" spans="1:28">
      <c r="A318" s="5">
        <v>18014599240</v>
      </c>
      <c r="B318" s="5" t="s">
        <v>64</v>
      </c>
      <c r="C318" s="5"/>
      <c r="D318" s="5" t="s">
        <v>66</v>
      </c>
      <c r="E318" s="5" t="s">
        <v>67</v>
      </c>
      <c r="F318" s="5"/>
      <c r="G318" s="5"/>
      <c r="H318" s="5" t="s">
        <v>70</v>
      </c>
      <c r="I318" s="5"/>
      <c r="J318" s="5"/>
      <c r="K318" s="5" t="s">
        <v>73</v>
      </c>
      <c r="L318" s="5"/>
      <c r="M318" s="5" t="s">
        <v>75</v>
      </c>
      <c r="N318" s="5" t="s">
        <v>76</v>
      </c>
      <c r="O318" s="148"/>
      <c r="P318" s="120" t="str">
        <f>IFERROR(VLOOKUP(Table1[RespondentID],'All Data'!$A$3:$CO$999,87,FALSE),"unknown")</f>
        <v>Man</v>
      </c>
      <c r="Q318" s="120">
        <f>IFERROR(VLOOKUP(Table1[RespondentID],'All Data'!$A$3:$CO$999,88,FALSE),"unknown")</f>
        <v>17</v>
      </c>
      <c r="R318" s="120" t="str">
        <f>IFERROR(VLOOKUP(Table1[RespondentID],'All Data'!$A$3:$CO$999,89,FALSE),"unknown")</f>
        <v>Suffolk</v>
      </c>
      <c r="S318" s="120" t="str">
        <f>IFERROR(VLOOKUP(Table1[RespondentID],'All Data'!$A$3:$CO$999,90,FALSE),"unknown")</f>
        <v>Commack, 11725</v>
      </c>
      <c r="T318" s="120" t="str">
        <f>IFERROR(VLOOKUP(Table1[RespondentID],'All Data'!$A$3:$CO$999,91,FALSE),"unknown")</f>
        <v>White</v>
      </c>
      <c r="U318" s="120" t="str">
        <f>IFERROR(VLOOKUP(Table1[RespondentID],'All Data'!$A$3:$CO$999,92,FALSE),"unknown")</f>
        <v>Hispanic or Latino</v>
      </c>
      <c r="V318" s="120" t="str">
        <f>IFERROR(VLOOKUP(Table1[RespondentID],'All Data'!$A$3:$CO$999,93,FALSE),"unknown")</f>
        <v>English</v>
      </c>
      <c r="W318" s="120" t="str">
        <f>IFERROR(VLOOKUP(Table1[RespondentID],'All Data'!$A$3:$CW$999,94,FALSE),"unknown")</f>
        <v>Over $125,000</v>
      </c>
      <c r="X318" s="120" t="str">
        <f>IFERROR(VLOOKUP(Table1[RespondentID],'All Data'!$A$3:$CW$999,95,FALSE),"unknown")</f>
        <v>High school graduate</v>
      </c>
      <c r="Y318" s="120" t="str">
        <f>IFERROR(VLOOKUP(Table1[RespondentID],'All Data'!$A$3:$CW$999,96,FALSE),"unknown")</f>
        <v>Employed for wages</v>
      </c>
      <c r="Z318" s="120" t="str">
        <f>IFERROR(VLOOKUP(Table1[RespondentID],'All Data'!$A$3:$CW$999,97,FALSE),"unknown")</f>
        <v>Yes</v>
      </c>
      <c r="AA318" s="120" t="str">
        <f>IFERROR(VLOOKUP(Table1[RespondentID],'All Data'!$A$3:$CW$999,98,FALSE),"unknown")</f>
        <v>Medicare</v>
      </c>
      <c r="AB318" s="150" t="str">
        <f>IFERROR(VLOOKUP(Table1[RespondentID],'All Data'!$A$3:$CW$999,99,FALSE),"unknown")</f>
        <v>Yes</v>
      </c>
    </row>
    <row r="319" spans="1:28">
      <c r="A319" s="5">
        <v>18014578066</v>
      </c>
      <c r="B319" s="5"/>
      <c r="C319" s="5"/>
      <c r="D319" s="5"/>
      <c r="E319" s="5"/>
      <c r="F319" s="5"/>
      <c r="G319" s="5"/>
      <c r="H319" s="5"/>
      <c r="I319" s="5"/>
      <c r="J319" s="5"/>
      <c r="K319" s="5"/>
      <c r="L319" s="5"/>
      <c r="M319" s="5" t="s">
        <v>75</v>
      </c>
      <c r="N319" s="5"/>
      <c r="O319" s="148"/>
      <c r="P319" s="120" t="str">
        <f>IFERROR(VLOOKUP(Table1[RespondentID],'All Data'!$A$3:$CO$999,87,FALSE),"unknown")</f>
        <v>Transgender</v>
      </c>
      <c r="Q319" s="120">
        <f>IFERROR(VLOOKUP(Table1[RespondentID],'All Data'!$A$3:$CO$999,88,FALSE),"unknown")</f>
        <v>24</v>
      </c>
      <c r="R319" s="120" t="str">
        <f>IFERROR(VLOOKUP(Table1[RespondentID],'All Data'!$A$3:$CO$999,89,FALSE),"unknown")</f>
        <v>Queens</v>
      </c>
      <c r="S319" s="120">
        <f>IFERROR(VLOOKUP(Table1[RespondentID],'All Data'!$A$3:$CO$999,90,FALSE),"unknown")</f>
        <v>11429</v>
      </c>
      <c r="T319" s="120" t="str">
        <f>IFERROR(VLOOKUP(Table1[RespondentID],'All Data'!$A$3:$CO$999,91,FALSE),"unknown")</f>
        <v>Native Hawaiian and Other Pacific Islander</v>
      </c>
      <c r="U319" s="120">
        <f>IFERROR(VLOOKUP(Table1[RespondentID],'All Data'!$A$3:$CO$999,92,FALSE),"unknown")</f>
        <v>0</v>
      </c>
      <c r="V319" s="120">
        <f>IFERROR(VLOOKUP(Table1[RespondentID],'All Data'!$A$3:$CO$999,93,FALSE),"unknown")</f>
        <v>0</v>
      </c>
      <c r="W319" s="120" t="str">
        <f>IFERROR(VLOOKUP(Table1[RespondentID],'All Data'!$A$3:$CW$999,94,FALSE),"unknown")</f>
        <v>Over $125,000</v>
      </c>
      <c r="X319" s="120" t="str">
        <f>IFERROR(VLOOKUP(Table1[RespondentID],'All Data'!$A$3:$CW$999,95,FALSE),"unknown")</f>
        <v>College graduate</v>
      </c>
      <c r="Y319" s="120" t="str">
        <f>IFERROR(VLOOKUP(Table1[RespondentID],'All Data'!$A$3:$CW$999,96,FALSE),"unknown")</f>
        <v>Employed for wages</v>
      </c>
      <c r="Z319" s="120" t="str">
        <f>IFERROR(VLOOKUP(Table1[RespondentID],'All Data'!$A$3:$CW$999,97,FALSE),"unknown")</f>
        <v>Yes</v>
      </c>
      <c r="AA319" s="120" t="str">
        <f>IFERROR(VLOOKUP(Table1[RespondentID],'All Data'!$A$3:$CW$999,98,FALSE),"unknown")</f>
        <v>Private/Commercial</v>
      </c>
      <c r="AB319" s="150" t="str">
        <f>IFERROR(VLOOKUP(Table1[RespondentID],'All Data'!$A$3:$CW$999,99,FALSE),"unknown")</f>
        <v>Yes</v>
      </c>
    </row>
    <row r="320" spans="1:28">
      <c r="A320" s="5">
        <v>18014577716</v>
      </c>
      <c r="B320" s="5" t="s">
        <v>64</v>
      </c>
      <c r="C320" s="5"/>
      <c r="D320" s="5"/>
      <c r="E320" s="5"/>
      <c r="F320" s="5"/>
      <c r="G320" s="5"/>
      <c r="H320" s="5"/>
      <c r="I320" s="5"/>
      <c r="J320" s="5"/>
      <c r="K320" s="5"/>
      <c r="L320" s="5"/>
      <c r="M320" s="5" t="s">
        <v>75</v>
      </c>
      <c r="N320" s="5"/>
      <c r="O320" s="148"/>
      <c r="P320" s="120" t="str">
        <f>IFERROR(VLOOKUP(Table1[RespondentID],'All Data'!$A$3:$CO$999,87,FALSE),"unknown")</f>
        <v>Man</v>
      </c>
      <c r="Q320" s="120">
        <f>IFERROR(VLOOKUP(Table1[RespondentID],'All Data'!$A$3:$CO$999,88,FALSE),"unknown")</f>
        <v>67</v>
      </c>
      <c r="R320" s="120" t="str">
        <f>IFERROR(VLOOKUP(Table1[RespondentID],'All Data'!$A$3:$CO$999,89,FALSE),"unknown")</f>
        <v>Suffolk</v>
      </c>
      <c r="S320" s="120" t="str">
        <f>IFERROR(VLOOKUP(Table1[RespondentID],'All Data'!$A$3:$CO$999,90,FALSE),"unknown")</f>
        <v>Huntington Station, 11747</v>
      </c>
      <c r="T320" s="120" t="str">
        <f>IFERROR(VLOOKUP(Table1[RespondentID],'All Data'!$A$3:$CO$999,91,FALSE),"unknown")</f>
        <v>American Indian and Alaska Native</v>
      </c>
      <c r="U320" s="120" t="str">
        <f>IFERROR(VLOOKUP(Table1[RespondentID],'All Data'!$A$3:$CO$999,92,FALSE),"unknown")</f>
        <v>Hispanic or Latino</v>
      </c>
      <c r="V320" s="120" t="str">
        <f>IFERROR(VLOOKUP(Table1[RespondentID],'All Data'!$A$3:$CO$999,93,FALSE),"unknown")</f>
        <v>English</v>
      </c>
      <c r="W320" s="120" t="str">
        <f>IFERROR(VLOOKUP(Table1[RespondentID],'All Data'!$A$3:$CW$999,94,FALSE),"unknown")</f>
        <v>$75,000 to $125,000</v>
      </c>
      <c r="X320" s="120" t="str">
        <f>IFERROR(VLOOKUP(Table1[RespondentID],'All Data'!$A$3:$CW$999,95,FALSE),"unknown")</f>
        <v>College graduate</v>
      </c>
      <c r="Y320" s="120" t="str">
        <f>IFERROR(VLOOKUP(Table1[RespondentID],'All Data'!$A$3:$CW$999,96,FALSE),"unknown")</f>
        <v>Retired</v>
      </c>
      <c r="Z320" s="120" t="str">
        <f>IFERROR(VLOOKUP(Table1[RespondentID],'All Data'!$A$3:$CW$999,97,FALSE),"unknown")</f>
        <v>Yes</v>
      </c>
      <c r="AA320" s="120" t="str">
        <f>IFERROR(VLOOKUP(Table1[RespondentID],'All Data'!$A$3:$CW$999,98,FALSE),"unknown")</f>
        <v>Medicare, Private/Commercial</v>
      </c>
      <c r="AB320" s="150" t="str">
        <f>IFERROR(VLOOKUP(Table1[RespondentID],'All Data'!$A$3:$CW$999,99,FALSE),"unknown")</f>
        <v>Yes</v>
      </c>
    </row>
    <row r="321" spans="1:28">
      <c r="A321" s="5">
        <v>18014577265</v>
      </c>
      <c r="B321" s="5" t="s">
        <v>64</v>
      </c>
      <c r="C321" s="5"/>
      <c r="D321" s="5"/>
      <c r="E321" s="5"/>
      <c r="F321" s="5"/>
      <c r="G321" s="5"/>
      <c r="H321" s="5"/>
      <c r="I321" s="5"/>
      <c r="J321" s="5"/>
      <c r="K321" s="5"/>
      <c r="L321" s="5"/>
      <c r="M321" s="5"/>
      <c r="N321" s="5"/>
      <c r="O321" s="148"/>
      <c r="P321" s="120" t="str">
        <f>IFERROR(VLOOKUP(Table1[RespondentID],'All Data'!$A$3:$CO$999,87,FALSE),"unknown")</f>
        <v>Man</v>
      </c>
      <c r="Q321" s="120">
        <f>IFERROR(VLOOKUP(Table1[RespondentID],'All Data'!$A$3:$CO$999,88,FALSE),"unknown")</f>
        <v>19</v>
      </c>
      <c r="R321" s="120" t="str">
        <f>IFERROR(VLOOKUP(Table1[RespondentID],'All Data'!$A$3:$CO$999,89,FALSE),"unknown")</f>
        <v>Nassau</v>
      </c>
      <c r="S321" s="120" t="str">
        <f>IFERROR(VLOOKUP(Table1[RespondentID],'All Data'!$A$3:$CO$999,90,FALSE),"unknown")</f>
        <v>Farmingdale, 11735</v>
      </c>
      <c r="T321" s="120" t="str">
        <f>IFERROR(VLOOKUP(Table1[RespondentID],'All Data'!$A$3:$CO$999,91,FALSE),"unknown")</f>
        <v>American Indian and Alaska Native</v>
      </c>
      <c r="U321" s="120" t="str">
        <f>IFERROR(VLOOKUP(Table1[RespondentID],'All Data'!$A$3:$CO$999,92,FALSE),"unknown")</f>
        <v>Hispanic or Latino</v>
      </c>
      <c r="V321" s="120" t="str">
        <f>IFERROR(VLOOKUP(Table1[RespondentID],'All Data'!$A$3:$CO$999,93,FALSE),"unknown")</f>
        <v>English</v>
      </c>
      <c r="W321" s="120" t="str">
        <f>IFERROR(VLOOKUP(Table1[RespondentID],'All Data'!$A$3:$CW$999,94,FALSE),"unknown")</f>
        <v>$50,000 to $74,999</v>
      </c>
      <c r="X321" s="120" t="str">
        <f>IFERROR(VLOOKUP(Table1[RespondentID],'All Data'!$A$3:$CW$999,95,FALSE),"unknown")</f>
        <v>Some college</v>
      </c>
      <c r="Y321" s="120" t="str">
        <f>IFERROR(VLOOKUP(Table1[RespondentID],'All Data'!$A$3:$CW$999,96,FALSE),"unknown")</f>
        <v>Student</v>
      </c>
      <c r="Z321" s="120" t="str">
        <f>IFERROR(VLOOKUP(Table1[RespondentID],'All Data'!$A$3:$CW$999,97,FALSE),"unknown")</f>
        <v>Yes</v>
      </c>
      <c r="AA321" s="120" t="str">
        <f>IFERROR(VLOOKUP(Table1[RespondentID],'All Data'!$A$3:$CW$999,98,FALSE),"unknown")</f>
        <v>Medicare</v>
      </c>
      <c r="AB321" s="150" t="str">
        <f>IFERROR(VLOOKUP(Table1[RespondentID],'All Data'!$A$3:$CW$999,99,FALSE),"unknown")</f>
        <v>Yes</v>
      </c>
    </row>
    <row r="322" spans="1:28">
      <c r="A322" s="5">
        <v>18014577228</v>
      </c>
      <c r="B322" s="5" t="s">
        <v>64</v>
      </c>
      <c r="C322" s="5" t="s">
        <v>65</v>
      </c>
      <c r="D322" s="5"/>
      <c r="E322" s="5"/>
      <c r="F322" s="5"/>
      <c r="G322" s="5"/>
      <c r="H322" s="5"/>
      <c r="I322" s="5"/>
      <c r="J322" s="5"/>
      <c r="K322" s="5"/>
      <c r="L322" s="5"/>
      <c r="M322" s="5" t="s">
        <v>75</v>
      </c>
      <c r="N322" s="5" t="s">
        <v>76</v>
      </c>
      <c r="O322" s="148"/>
      <c r="P322" s="120" t="str">
        <f>IFERROR(VLOOKUP(Table1[RespondentID],'All Data'!$A$3:$CO$999,87,FALSE),"unknown")</f>
        <v>Man</v>
      </c>
      <c r="Q322" s="120">
        <f>IFERROR(VLOOKUP(Table1[RespondentID],'All Data'!$A$3:$CO$999,88,FALSE),"unknown")</f>
        <v>54</v>
      </c>
      <c r="R322" s="120" t="str">
        <f>IFERROR(VLOOKUP(Table1[RespondentID],'All Data'!$A$3:$CO$999,89,FALSE),"unknown")</f>
        <v>Nassau</v>
      </c>
      <c r="S322" s="120" t="str">
        <f>IFERROR(VLOOKUP(Table1[RespondentID],'All Data'!$A$3:$CO$999,90,FALSE),"unknown")</f>
        <v>Farmingdale, 11735</v>
      </c>
      <c r="T322" s="120" t="str">
        <f>IFERROR(VLOOKUP(Table1[RespondentID],'All Data'!$A$3:$CO$999,91,FALSE),"unknown")</f>
        <v>American Indian and Alaska Native</v>
      </c>
      <c r="U322" s="120" t="str">
        <f>IFERROR(VLOOKUP(Table1[RespondentID],'All Data'!$A$3:$CO$999,92,FALSE),"unknown")</f>
        <v>Hispanic or Latino</v>
      </c>
      <c r="V322" s="120">
        <f>IFERROR(VLOOKUP(Table1[RespondentID],'All Data'!$A$3:$CO$999,93,FALSE),"unknown")</f>
        <v>0</v>
      </c>
      <c r="W322" s="120">
        <f>IFERROR(VLOOKUP(Table1[RespondentID],'All Data'!$A$3:$CW$999,94,FALSE),"unknown")</f>
        <v>0</v>
      </c>
      <c r="X322" s="120" t="str">
        <f>IFERROR(VLOOKUP(Table1[RespondentID],'All Data'!$A$3:$CW$999,95,FALSE),"unknown")</f>
        <v>College graduate</v>
      </c>
      <c r="Y322" s="120" t="str">
        <f>IFERROR(VLOOKUP(Table1[RespondentID],'All Data'!$A$3:$CW$999,96,FALSE),"unknown")</f>
        <v>Employed for wages</v>
      </c>
      <c r="Z322" s="120" t="str">
        <f>IFERROR(VLOOKUP(Table1[RespondentID],'All Data'!$A$3:$CW$999,97,FALSE),"unknown")</f>
        <v>Yes</v>
      </c>
      <c r="AA322" s="120" t="str">
        <f>IFERROR(VLOOKUP(Table1[RespondentID],'All Data'!$A$3:$CW$999,98,FALSE),"unknown")</f>
        <v>Medicaid</v>
      </c>
      <c r="AB322" s="150" t="str">
        <f>IFERROR(VLOOKUP(Table1[RespondentID],'All Data'!$A$3:$CW$999,99,FALSE),"unknown")</f>
        <v>Yes</v>
      </c>
    </row>
    <row r="323" spans="1:28">
      <c r="A323" s="5">
        <v>18014577099</v>
      </c>
      <c r="B323" s="5" t="s">
        <v>64</v>
      </c>
      <c r="C323" s="5"/>
      <c r="D323" s="5"/>
      <c r="E323" s="5" t="s">
        <v>67</v>
      </c>
      <c r="F323" s="5"/>
      <c r="G323" s="5"/>
      <c r="H323" s="5"/>
      <c r="I323" s="5"/>
      <c r="J323" s="5"/>
      <c r="K323" s="5"/>
      <c r="L323" s="5"/>
      <c r="M323" s="5" t="s">
        <v>75</v>
      </c>
      <c r="N323" s="5"/>
      <c r="O323" s="148"/>
      <c r="P323" s="120" t="str">
        <f>IFERROR(VLOOKUP(Table1[RespondentID],'All Data'!$A$3:$CO$999,87,FALSE),"unknown")</f>
        <v>Woman</v>
      </c>
      <c r="Q323" s="120">
        <f>IFERROR(VLOOKUP(Table1[RespondentID],'All Data'!$A$3:$CO$999,88,FALSE),"unknown")</f>
        <v>16</v>
      </c>
      <c r="R323" s="120" t="str">
        <f>IFERROR(VLOOKUP(Table1[RespondentID],'All Data'!$A$3:$CO$999,89,FALSE),"unknown")</f>
        <v>Suffolk</v>
      </c>
      <c r="S323" s="120" t="str">
        <f>IFERROR(VLOOKUP(Table1[RespondentID],'All Data'!$A$3:$CO$999,90,FALSE),"unknown")</f>
        <v>Smithtown, 11787</v>
      </c>
      <c r="T323" s="120">
        <f>IFERROR(VLOOKUP(Table1[RespondentID],'All Data'!$A$3:$CO$999,91,FALSE),"unknown")</f>
        <v>0</v>
      </c>
      <c r="U323" s="120">
        <f>IFERROR(VLOOKUP(Table1[RespondentID],'All Data'!$A$3:$CO$999,92,FALSE),"unknown")</f>
        <v>0</v>
      </c>
      <c r="V323" s="120">
        <f>IFERROR(VLOOKUP(Table1[RespondentID],'All Data'!$A$3:$CO$999,93,FALSE),"unknown")</f>
        <v>0</v>
      </c>
      <c r="W323" s="120">
        <f>IFERROR(VLOOKUP(Table1[RespondentID],'All Data'!$A$3:$CW$999,94,FALSE),"unknown")</f>
        <v>0</v>
      </c>
      <c r="X323" s="120">
        <f>IFERROR(VLOOKUP(Table1[RespondentID],'All Data'!$A$3:$CW$999,95,FALSE),"unknown")</f>
        <v>0</v>
      </c>
      <c r="Y323" s="120">
        <f>IFERROR(VLOOKUP(Table1[RespondentID],'All Data'!$A$3:$CW$999,96,FALSE),"unknown")</f>
        <v>0</v>
      </c>
      <c r="Z323" s="120">
        <f>IFERROR(VLOOKUP(Table1[RespondentID],'All Data'!$A$3:$CW$999,97,FALSE),"unknown")</f>
        <v>0</v>
      </c>
      <c r="AA323" s="120">
        <f>IFERROR(VLOOKUP(Table1[RespondentID],'All Data'!$A$3:$CW$999,98,FALSE),"unknown")</f>
        <v>0</v>
      </c>
      <c r="AB323" s="150">
        <f>IFERROR(VLOOKUP(Table1[RespondentID],'All Data'!$A$3:$CW$999,99,FALSE),"unknown")</f>
        <v>0</v>
      </c>
    </row>
    <row r="324" spans="1:28">
      <c r="A324" s="5">
        <v>18014577029</v>
      </c>
      <c r="B324" s="5" t="s">
        <v>64</v>
      </c>
      <c r="C324" s="5"/>
      <c r="D324" s="5"/>
      <c r="E324" s="5" t="s">
        <v>67</v>
      </c>
      <c r="F324" s="5"/>
      <c r="G324" s="5"/>
      <c r="H324" s="5"/>
      <c r="I324" s="5"/>
      <c r="J324" s="5"/>
      <c r="K324" s="5"/>
      <c r="L324" s="5" t="s">
        <v>74</v>
      </c>
      <c r="M324" s="5"/>
      <c r="N324" s="5"/>
      <c r="O324" s="148"/>
      <c r="P324" s="120" t="str">
        <f>IFERROR(VLOOKUP(Table1[RespondentID],'All Data'!$A$3:$CO$999,87,FALSE),"unknown")</f>
        <v>Woman</v>
      </c>
      <c r="Q324" s="120">
        <f>IFERROR(VLOOKUP(Table1[RespondentID],'All Data'!$A$3:$CO$999,88,FALSE),"unknown")</f>
        <v>0</v>
      </c>
      <c r="R324" s="120" t="str">
        <f>IFERROR(VLOOKUP(Table1[RespondentID],'All Data'!$A$3:$CO$999,89,FALSE),"unknown")</f>
        <v>Suffolk</v>
      </c>
      <c r="S324" s="120" t="str">
        <f>IFERROR(VLOOKUP(Table1[RespondentID],'All Data'!$A$3:$CO$999,90,FALSE),"unknown")</f>
        <v>Melville, 11747</v>
      </c>
      <c r="T324" s="120" t="str">
        <f>IFERROR(VLOOKUP(Table1[RespondentID],'All Data'!$A$3:$CO$999,91,FALSE),"unknown")</f>
        <v>American Indian and Alaska Native</v>
      </c>
      <c r="U324" s="120" t="str">
        <f>IFERROR(VLOOKUP(Table1[RespondentID],'All Data'!$A$3:$CO$999,92,FALSE),"unknown")</f>
        <v>Hispanic or Latino</v>
      </c>
      <c r="V324" s="120" t="str">
        <f>IFERROR(VLOOKUP(Table1[RespondentID],'All Data'!$A$3:$CO$999,93,FALSE),"unknown")</f>
        <v>English</v>
      </c>
      <c r="W324" s="120" t="str">
        <f>IFERROR(VLOOKUP(Table1[RespondentID],'All Data'!$A$3:$CW$999,94,FALSE),"unknown")</f>
        <v>Over $125,000</v>
      </c>
      <c r="X324" s="120" t="str">
        <f>IFERROR(VLOOKUP(Table1[RespondentID],'All Data'!$A$3:$CW$999,95,FALSE),"unknown")</f>
        <v>Graduate school</v>
      </c>
      <c r="Y324" s="120" t="str">
        <f>IFERROR(VLOOKUP(Table1[RespondentID],'All Data'!$A$3:$CW$999,96,FALSE),"unknown")</f>
        <v>Employed for wages</v>
      </c>
      <c r="Z324" s="120" t="str">
        <f>IFERROR(VLOOKUP(Table1[RespondentID],'All Data'!$A$3:$CW$999,97,FALSE),"unknown")</f>
        <v>Yes</v>
      </c>
      <c r="AA324" s="120" t="str">
        <f>IFERROR(VLOOKUP(Table1[RespondentID],'All Data'!$A$3:$CW$999,98,FALSE),"unknown")</f>
        <v>Private/Commercial</v>
      </c>
      <c r="AB324" s="150" t="str">
        <f>IFERROR(VLOOKUP(Table1[RespondentID],'All Data'!$A$3:$CW$999,99,FALSE),"unknown")</f>
        <v>Yes</v>
      </c>
    </row>
    <row r="325" spans="1:28">
      <c r="A325" s="5">
        <v>18014574170</v>
      </c>
      <c r="B325" s="5" t="s">
        <v>64</v>
      </c>
      <c r="C325" s="5"/>
      <c r="D325" s="5"/>
      <c r="E325" s="5"/>
      <c r="F325" s="5"/>
      <c r="G325" s="5" t="s">
        <v>69</v>
      </c>
      <c r="H325" s="5"/>
      <c r="I325" s="5"/>
      <c r="J325" s="5"/>
      <c r="K325" s="5"/>
      <c r="L325" s="5"/>
      <c r="M325" s="5" t="s">
        <v>75</v>
      </c>
      <c r="N325" s="5"/>
      <c r="O325" s="148"/>
      <c r="P325" s="120" t="str">
        <f>IFERROR(VLOOKUP(Table1[RespondentID],'All Data'!$A$3:$CO$999,87,FALSE),"unknown")</f>
        <v>Woman</v>
      </c>
      <c r="Q325" s="120">
        <f>IFERROR(VLOOKUP(Table1[RespondentID],'All Data'!$A$3:$CO$999,88,FALSE),"unknown")</f>
        <v>56</v>
      </c>
      <c r="R325" s="120" t="str">
        <f>IFERROR(VLOOKUP(Table1[RespondentID],'All Data'!$A$3:$CO$999,89,FALSE),"unknown")</f>
        <v>Suffolk</v>
      </c>
      <c r="S325" s="120" t="str">
        <f>IFERROR(VLOOKUP(Table1[RespondentID],'All Data'!$A$3:$CO$999,90,FALSE),"unknown")</f>
        <v>Smithtown, 11787</v>
      </c>
      <c r="T325" s="120" t="str">
        <f>IFERROR(VLOOKUP(Table1[RespondentID],'All Data'!$A$3:$CO$999,91,FALSE),"unknown")</f>
        <v>Native Hawaiian and Other Pacific Islander</v>
      </c>
      <c r="U325" s="120" t="str">
        <f>IFERROR(VLOOKUP(Table1[RespondentID],'All Data'!$A$3:$CO$999,92,FALSE),"unknown")</f>
        <v>Hispanic or Latino</v>
      </c>
      <c r="V325" s="120" t="str">
        <f>IFERROR(VLOOKUP(Table1[RespondentID],'All Data'!$A$3:$CO$999,93,FALSE),"unknown")</f>
        <v>English, Haitian Creole, French Creole</v>
      </c>
      <c r="W325" s="120" t="str">
        <f>IFERROR(VLOOKUP(Table1[RespondentID],'All Data'!$A$3:$CW$999,94,FALSE),"unknown")</f>
        <v>$50,000 to $74,999</v>
      </c>
      <c r="X325" s="120" t="str">
        <f>IFERROR(VLOOKUP(Table1[RespondentID],'All Data'!$A$3:$CW$999,95,FALSE),"unknown")</f>
        <v>Some college</v>
      </c>
      <c r="Y325" s="120" t="str">
        <f>IFERROR(VLOOKUP(Table1[RespondentID],'All Data'!$A$3:$CW$999,96,FALSE),"unknown")</f>
        <v>Employed for wages</v>
      </c>
      <c r="Z325" s="120" t="str">
        <f>IFERROR(VLOOKUP(Table1[RespondentID],'All Data'!$A$3:$CW$999,97,FALSE),"unknown")</f>
        <v>Yes</v>
      </c>
      <c r="AA325" s="120" t="str">
        <f>IFERROR(VLOOKUP(Table1[RespondentID],'All Data'!$A$3:$CW$999,98,FALSE),"unknown")</f>
        <v>Private/Commercial</v>
      </c>
      <c r="AB325" s="150" t="str">
        <f>IFERROR(VLOOKUP(Table1[RespondentID],'All Data'!$A$3:$CW$999,99,FALSE),"unknown")</f>
        <v>No</v>
      </c>
    </row>
    <row r="326" spans="1:28">
      <c r="A326" s="5">
        <v>18014573176</v>
      </c>
      <c r="B326" s="5" t="s">
        <v>64</v>
      </c>
      <c r="C326" s="5"/>
      <c r="D326" s="5"/>
      <c r="E326" s="5"/>
      <c r="F326" s="5"/>
      <c r="G326" s="5"/>
      <c r="H326" s="5"/>
      <c r="I326" s="5"/>
      <c r="J326" s="5"/>
      <c r="K326" s="5"/>
      <c r="L326" s="5"/>
      <c r="M326" s="5" t="s">
        <v>75</v>
      </c>
      <c r="N326" s="5"/>
      <c r="O326" s="148"/>
      <c r="P326" s="120" t="str">
        <f>IFERROR(VLOOKUP(Table1[RespondentID],'All Data'!$A$3:$CO$999,87,FALSE),"unknown")</f>
        <v>Woman</v>
      </c>
      <c r="Q326" s="120">
        <f>IFERROR(VLOOKUP(Table1[RespondentID],'All Data'!$A$3:$CO$999,88,FALSE),"unknown")</f>
        <v>49</v>
      </c>
      <c r="R326" s="120" t="str">
        <f>IFERROR(VLOOKUP(Table1[RespondentID],'All Data'!$A$3:$CO$999,89,FALSE),"unknown")</f>
        <v>Suffolk</v>
      </c>
      <c r="S326" s="120" t="str">
        <f>IFERROR(VLOOKUP(Table1[RespondentID],'All Data'!$A$3:$CO$999,90,FALSE),"unknown")</f>
        <v>Setauket, 11733</v>
      </c>
      <c r="T326" s="120" t="str">
        <f>IFERROR(VLOOKUP(Table1[RespondentID],'All Data'!$A$3:$CO$999,91,FALSE),"unknown")</f>
        <v>White</v>
      </c>
      <c r="U326" s="120" t="str">
        <f>IFERROR(VLOOKUP(Table1[RespondentID],'All Data'!$A$3:$CO$999,92,FALSE),"unknown")</f>
        <v>Hispanic or Latino</v>
      </c>
      <c r="V326" s="120" t="str">
        <f>IFERROR(VLOOKUP(Table1[RespondentID],'All Data'!$A$3:$CO$999,93,FALSE),"unknown")</f>
        <v>English</v>
      </c>
      <c r="W326" s="120" t="str">
        <f>IFERROR(VLOOKUP(Table1[RespondentID],'All Data'!$A$3:$CW$999,94,FALSE),"unknown")</f>
        <v>Over $125,000</v>
      </c>
      <c r="X326" s="120" t="str">
        <f>IFERROR(VLOOKUP(Table1[RespondentID],'All Data'!$A$3:$CW$999,95,FALSE),"unknown")</f>
        <v>Graduate school</v>
      </c>
      <c r="Y326" s="120" t="str">
        <f>IFERROR(VLOOKUP(Table1[RespondentID],'All Data'!$A$3:$CW$999,96,FALSE),"unknown")</f>
        <v>Employed for wages</v>
      </c>
      <c r="Z326" s="120" t="str">
        <f>IFERROR(VLOOKUP(Table1[RespondentID],'All Data'!$A$3:$CW$999,97,FALSE),"unknown")</f>
        <v>Yes</v>
      </c>
      <c r="AA326" s="120" t="str">
        <f>IFERROR(VLOOKUP(Table1[RespondentID],'All Data'!$A$3:$CW$999,98,FALSE),"unknown")</f>
        <v>Private/Commercial</v>
      </c>
      <c r="AB326" s="150" t="str">
        <f>IFERROR(VLOOKUP(Table1[RespondentID],'All Data'!$A$3:$CW$999,99,FALSE),"unknown")</f>
        <v>Yes</v>
      </c>
    </row>
    <row r="327" spans="1:28">
      <c r="A327" s="5">
        <v>18014553236</v>
      </c>
      <c r="B327" s="5"/>
      <c r="C327" s="5"/>
      <c r="D327" s="5" t="s">
        <v>66</v>
      </c>
      <c r="E327" s="5"/>
      <c r="F327" s="5"/>
      <c r="G327" s="5"/>
      <c r="H327" s="5" t="s">
        <v>70</v>
      </c>
      <c r="I327" s="5"/>
      <c r="J327" s="5"/>
      <c r="K327" s="5"/>
      <c r="L327" s="5"/>
      <c r="M327" s="5"/>
      <c r="N327" s="5" t="s">
        <v>76</v>
      </c>
      <c r="O327" s="148"/>
      <c r="P327" s="120" t="str">
        <f>IFERROR(VLOOKUP(Table1[RespondentID],'All Data'!$A$3:$CO$999,87,FALSE),"unknown")</f>
        <v>Man</v>
      </c>
      <c r="Q327" s="120">
        <f>IFERROR(VLOOKUP(Table1[RespondentID],'All Data'!$A$3:$CO$999,88,FALSE),"unknown")</f>
        <v>18</v>
      </c>
      <c r="R327" s="120" t="str">
        <f>IFERROR(VLOOKUP(Table1[RespondentID],'All Data'!$A$3:$CO$999,89,FALSE),"unknown")</f>
        <v>Suffolk</v>
      </c>
      <c r="S327" s="120" t="str">
        <f>IFERROR(VLOOKUP(Table1[RespondentID],'All Data'!$A$3:$CO$999,90,FALSE),"unknown")</f>
        <v>Smithtown, 11787</v>
      </c>
      <c r="T327" s="120" t="str">
        <f>IFERROR(VLOOKUP(Table1[RespondentID],'All Data'!$A$3:$CO$999,91,FALSE),"unknown")</f>
        <v>White</v>
      </c>
      <c r="U327" s="120" t="str">
        <f>IFERROR(VLOOKUP(Table1[RespondentID],'All Data'!$A$3:$CO$999,92,FALSE),"unknown")</f>
        <v>Not Hispanic or Latino</v>
      </c>
      <c r="V327" s="120" t="str">
        <f>IFERROR(VLOOKUP(Table1[RespondentID],'All Data'!$A$3:$CO$999,93,FALSE),"unknown")</f>
        <v>English, Spanish</v>
      </c>
      <c r="W327" s="120" t="str">
        <f>IFERROR(VLOOKUP(Table1[RespondentID],'All Data'!$A$3:$CW$999,94,FALSE),"unknown")</f>
        <v>$50,000 to $74,999</v>
      </c>
      <c r="X327" s="120" t="str">
        <f>IFERROR(VLOOKUP(Table1[RespondentID],'All Data'!$A$3:$CW$999,95,FALSE),"unknown")</f>
        <v>High school graduate</v>
      </c>
      <c r="Y327" s="120" t="str">
        <f>IFERROR(VLOOKUP(Table1[RespondentID],'All Data'!$A$3:$CW$999,96,FALSE),"unknown")</f>
        <v>Student</v>
      </c>
      <c r="Z327" s="120" t="str">
        <f>IFERROR(VLOOKUP(Table1[RespondentID],'All Data'!$A$3:$CW$999,97,FALSE),"unknown")</f>
        <v>Yes</v>
      </c>
      <c r="AA327" s="120" t="str">
        <f>IFERROR(VLOOKUP(Table1[RespondentID],'All Data'!$A$3:$CW$999,98,FALSE),"unknown")</f>
        <v>Medicaid</v>
      </c>
      <c r="AB327" s="150" t="str">
        <f>IFERROR(VLOOKUP(Table1[RespondentID],'All Data'!$A$3:$CW$999,99,FALSE),"unknown")</f>
        <v>Yes</v>
      </c>
    </row>
    <row r="328" spans="1:28">
      <c r="A328" s="5">
        <v>18014545263</v>
      </c>
      <c r="B328" s="5" t="s">
        <v>64</v>
      </c>
      <c r="C328" s="5"/>
      <c r="D328" s="5"/>
      <c r="E328" s="5"/>
      <c r="F328" s="5"/>
      <c r="G328" s="5"/>
      <c r="H328" s="5"/>
      <c r="I328" s="5"/>
      <c r="J328" s="5" t="s">
        <v>72</v>
      </c>
      <c r="K328" s="5"/>
      <c r="L328" s="5"/>
      <c r="M328" s="5"/>
      <c r="N328" s="5" t="s">
        <v>76</v>
      </c>
      <c r="O328" s="148"/>
      <c r="P328" s="120" t="str">
        <f>IFERROR(VLOOKUP(Table1[RespondentID],'All Data'!$A$3:$CO$999,87,FALSE),"unknown")</f>
        <v>Man</v>
      </c>
      <c r="Q328" s="120">
        <f>IFERROR(VLOOKUP(Table1[RespondentID],'All Data'!$A$3:$CO$999,88,FALSE),"unknown")</f>
        <v>18</v>
      </c>
      <c r="R328" s="120" t="str">
        <f>IFERROR(VLOOKUP(Table1[RespondentID],'All Data'!$A$3:$CO$999,89,FALSE),"unknown")</f>
        <v>Suffolk</v>
      </c>
      <c r="S328" s="120" t="str">
        <f>IFERROR(VLOOKUP(Table1[RespondentID],'All Data'!$A$3:$CO$999,90,FALSE),"unknown")</f>
        <v>Smithtown, 11787</v>
      </c>
      <c r="T328" s="120" t="str">
        <f>IFERROR(VLOOKUP(Table1[RespondentID],'All Data'!$A$3:$CO$999,91,FALSE),"unknown")</f>
        <v>Native Hawaiian and Other Pacific Islander</v>
      </c>
      <c r="U328" s="120" t="str">
        <f>IFERROR(VLOOKUP(Table1[RespondentID],'All Data'!$A$3:$CO$999,92,FALSE),"unknown")</f>
        <v>Hispanic or Latino</v>
      </c>
      <c r="V328" s="120" t="str">
        <f>IFERROR(VLOOKUP(Table1[RespondentID],'All Data'!$A$3:$CO$999,93,FALSE),"unknown")</f>
        <v>English</v>
      </c>
      <c r="W328" s="120" t="str">
        <f>IFERROR(VLOOKUP(Table1[RespondentID],'All Data'!$A$3:$CW$999,94,FALSE),"unknown")</f>
        <v>$35,000 to $49,999</v>
      </c>
      <c r="X328" s="120" t="str">
        <f>IFERROR(VLOOKUP(Table1[RespondentID],'All Data'!$A$3:$CW$999,95,FALSE),"unknown")</f>
        <v>High school graduate</v>
      </c>
      <c r="Y328" s="120" t="str">
        <f>IFERROR(VLOOKUP(Table1[RespondentID],'All Data'!$A$3:$CW$999,96,FALSE),"unknown")</f>
        <v>Student</v>
      </c>
      <c r="Z328" s="120" t="str">
        <f>IFERROR(VLOOKUP(Table1[RespondentID],'All Data'!$A$3:$CW$999,97,FALSE),"unknown")</f>
        <v>No</v>
      </c>
      <c r="AA328" s="120" t="str">
        <f>IFERROR(VLOOKUP(Table1[RespondentID],'All Data'!$A$3:$CW$999,98,FALSE),"unknown")</f>
        <v>No Insurance</v>
      </c>
      <c r="AB328" s="150" t="str">
        <f>IFERROR(VLOOKUP(Table1[RespondentID],'All Data'!$A$3:$CW$999,99,FALSE),"unknown")</f>
        <v>Yes</v>
      </c>
    </row>
    <row r="329" spans="1:28">
      <c r="A329" s="5">
        <v>18014444882</v>
      </c>
      <c r="B329" s="5"/>
      <c r="C329" s="5"/>
      <c r="D329" s="5"/>
      <c r="E329" s="5"/>
      <c r="F329" s="5"/>
      <c r="G329" s="5"/>
      <c r="H329" s="5"/>
      <c r="I329" s="5"/>
      <c r="J329" s="5" t="s">
        <v>72</v>
      </c>
      <c r="K329" s="5"/>
      <c r="L329" s="5"/>
      <c r="M329" s="5"/>
      <c r="N329" s="5"/>
      <c r="O329" s="148"/>
      <c r="P329" s="120" t="str">
        <f>IFERROR(VLOOKUP(Table1[RespondentID],'All Data'!$A$3:$CO$999,87,FALSE),"unknown")</f>
        <v>Woman</v>
      </c>
      <c r="Q329" s="120">
        <f>IFERROR(VLOOKUP(Table1[RespondentID],'All Data'!$A$3:$CO$999,88,FALSE),"unknown")</f>
        <v>54</v>
      </c>
      <c r="R329" s="120" t="str">
        <f>IFERROR(VLOOKUP(Table1[RespondentID],'All Data'!$A$3:$CO$999,89,FALSE),"unknown")</f>
        <v>Nassau</v>
      </c>
      <c r="S329" s="120" t="str">
        <f>IFERROR(VLOOKUP(Table1[RespondentID],'All Data'!$A$3:$CO$999,90,FALSE),"unknown")</f>
        <v>Syosset, 11791</v>
      </c>
      <c r="T329" s="120" t="str">
        <f>IFERROR(VLOOKUP(Table1[RespondentID],'All Data'!$A$3:$CO$999,91,FALSE),"unknown")</f>
        <v>American Indian and Alaska Native</v>
      </c>
      <c r="U329" s="120" t="str">
        <f>IFERROR(VLOOKUP(Table1[RespondentID],'All Data'!$A$3:$CO$999,92,FALSE),"unknown")</f>
        <v>Hispanic or Latino</v>
      </c>
      <c r="V329" s="120" t="str">
        <f>IFERROR(VLOOKUP(Table1[RespondentID],'All Data'!$A$3:$CO$999,93,FALSE),"unknown")</f>
        <v>English, Korean</v>
      </c>
      <c r="W329" s="120" t="str">
        <f>IFERROR(VLOOKUP(Table1[RespondentID],'All Data'!$A$3:$CW$999,94,FALSE),"unknown")</f>
        <v>$20,000 to $34,999</v>
      </c>
      <c r="X329" s="120" t="str">
        <f>IFERROR(VLOOKUP(Table1[RespondentID],'All Data'!$A$3:$CW$999,95,FALSE),"unknown")</f>
        <v>Doctorate</v>
      </c>
      <c r="Y329" s="120" t="str">
        <f>IFERROR(VLOOKUP(Table1[RespondentID],'All Data'!$A$3:$CW$999,96,FALSE),"unknown")</f>
        <v>Out of work and looking for work</v>
      </c>
      <c r="Z329" s="120" t="str">
        <f>IFERROR(VLOOKUP(Table1[RespondentID],'All Data'!$A$3:$CW$999,97,FALSE),"unknown")</f>
        <v>Yes</v>
      </c>
      <c r="AA329" s="120" t="str">
        <f>IFERROR(VLOOKUP(Table1[RespondentID],'All Data'!$A$3:$CW$999,98,FALSE),"unknown")</f>
        <v>Medicaid</v>
      </c>
      <c r="AB329" s="150" t="str">
        <f>IFERROR(VLOOKUP(Table1[RespondentID],'All Data'!$A$3:$CW$999,99,FALSE),"unknown")</f>
        <v>Yes</v>
      </c>
    </row>
    <row r="330" spans="1:28">
      <c r="A330" s="5">
        <v>18014407639</v>
      </c>
      <c r="B330" s="5"/>
      <c r="C330" s="5"/>
      <c r="D330" s="5"/>
      <c r="E330" s="5"/>
      <c r="F330" s="5"/>
      <c r="G330" s="5" t="s">
        <v>69</v>
      </c>
      <c r="H330" s="5" t="s">
        <v>70</v>
      </c>
      <c r="I330" s="5"/>
      <c r="J330" s="5"/>
      <c r="K330" s="5"/>
      <c r="L330" s="5" t="s">
        <v>74</v>
      </c>
      <c r="M330" s="5"/>
      <c r="N330" s="5"/>
      <c r="O330" s="148"/>
      <c r="P330" s="120" t="str">
        <f>IFERROR(VLOOKUP(Table1[RespondentID],'All Data'!$A$3:$CO$999,87,FALSE),"unknown")</f>
        <v>Man</v>
      </c>
      <c r="Q330" s="120">
        <f>IFERROR(VLOOKUP(Table1[RespondentID],'All Data'!$A$3:$CO$999,88,FALSE),"unknown")</f>
        <v>49</v>
      </c>
      <c r="R330" s="120" t="str">
        <f>IFERROR(VLOOKUP(Table1[RespondentID],'All Data'!$A$3:$CO$999,89,FALSE),"unknown")</f>
        <v>Queens</v>
      </c>
      <c r="S330" s="120">
        <f>IFERROR(VLOOKUP(Table1[RespondentID],'All Data'!$A$3:$CO$999,90,FALSE),"unknown")</f>
        <v>11003</v>
      </c>
      <c r="T330" s="120" t="str">
        <f>IFERROR(VLOOKUP(Table1[RespondentID],'All Data'!$A$3:$CO$999,91,FALSE),"unknown")</f>
        <v>Native Hawaiian and Other Pacific Islander</v>
      </c>
      <c r="U330" s="120" t="str">
        <f>IFERROR(VLOOKUP(Table1[RespondentID],'All Data'!$A$3:$CO$999,92,FALSE),"unknown")</f>
        <v>Hispanic or Latino</v>
      </c>
      <c r="V330" s="120" t="str">
        <f>IFERROR(VLOOKUP(Table1[RespondentID],'All Data'!$A$3:$CO$999,93,FALSE),"unknown")</f>
        <v>Haitian Creole, French Creole</v>
      </c>
      <c r="W330" s="120" t="str">
        <f>IFERROR(VLOOKUP(Table1[RespondentID],'All Data'!$A$3:$CW$999,94,FALSE),"unknown")</f>
        <v>$20,000 to $34,999</v>
      </c>
      <c r="X330" s="120" t="str">
        <f>IFERROR(VLOOKUP(Table1[RespondentID],'All Data'!$A$3:$CW$999,95,FALSE),"unknown")</f>
        <v>Graduate school</v>
      </c>
      <c r="Y330" s="120" t="str">
        <f>IFERROR(VLOOKUP(Table1[RespondentID],'All Data'!$A$3:$CW$999,96,FALSE),"unknown")</f>
        <v>Employed for wages</v>
      </c>
      <c r="Z330" s="120" t="str">
        <f>IFERROR(VLOOKUP(Table1[RespondentID],'All Data'!$A$3:$CW$999,97,FALSE),"unknown")</f>
        <v>Yes</v>
      </c>
      <c r="AA330" s="120" t="str">
        <f>IFERROR(VLOOKUP(Table1[RespondentID],'All Data'!$A$3:$CW$999,98,FALSE),"unknown")</f>
        <v>Medicaid</v>
      </c>
      <c r="AB330" s="150" t="str">
        <f>IFERROR(VLOOKUP(Table1[RespondentID],'All Data'!$A$3:$CW$999,99,FALSE),"unknown")</f>
        <v>Yes</v>
      </c>
    </row>
    <row r="331" spans="1:28">
      <c r="A331" s="5">
        <v>18014391810</v>
      </c>
      <c r="B331" s="5" t="s">
        <v>64</v>
      </c>
      <c r="C331" s="5"/>
      <c r="D331" s="5"/>
      <c r="E331" s="5"/>
      <c r="F331" s="5"/>
      <c r="G331" s="5"/>
      <c r="H331" s="5" t="s">
        <v>70</v>
      </c>
      <c r="I331" s="5"/>
      <c r="J331" s="5"/>
      <c r="K331" s="5" t="s">
        <v>73</v>
      </c>
      <c r="L331" s="5"/>
      <c r="M331" s="5" t="s">
        <v>75</v>
      </c>
      <c r="N331" s="5"/>
      <c r="O331" s="148"/>
      <c r="P331" s="120" t="str">
        <f>IFERROR(VLOOKUP(Table1[RespondentID],'All Data'!$A$3:$CO$999,87,FALSE),"unknown")</f>
        <v>Man</v>
      </c>
      <c r="Q331" s="120">
        <f>IFERROR(VLOOKUP(Table1[RespondentID],'All Data'!$A$3:$CO$999,88,FALSE),"unknown")</f>
        <v>50</v>
      </c>
      <c r="R331" s="120" t="str">
        <f>IFERROR(VLOOKUP(Table1[RespondentID],'All Data'!$A$3:$CO$999,89,FALSE),"unknown")</f>
        <v>Suffolk</v>
      </c>
      <c r="S331" s="120" t="str">
        <f>IFERROR(VLOOKUP(Table1[RespondentID],'All Data'!$A$3:$CO$999,90,FALSE),"unknown")</f>
        <v>Smithtown, 11787</v>
      </c>
      <c r="T331" s="120" t="str">
        <f>IFERROR(VLOOKUP(Table1[RespondentID],'All Data'!$A$3:$CO$999,91,FALSE),"unknown")</f>
        <v>Native Hawaiian and Other Pacific Islander</v>
      </c>
      <c r="U331" s="120" t="str">
        <f>IFERROR(VLOOKUP(Table1[RespondentID],'All Data'!$A$3:$CO$999,92,FALSE),"unknown")</f>
        <v>Hispanic or Latino</v>
      </c>
      <c r="V331" s="120" t="str">
        <f>IFERROR(VLOOKUP(Table1[RespondentID],'All Data'!$A$3:$CO$999,93,FALSE),"unknown")</f>
        <v>English, Haitian Creole, French Creole</v>
      </c>
      <c r="W331" s="120" t="str">
        <f>IFERROR(VLOOKUP(Table1[RespondentID],'All Data'!$A$3:$CW$999,94,FALSE),"unknown")</f>
        <v>Over $125,000</v>
      </c>
      <c r="X331" s="120" t="str">
        <f>IFERROR(VLOOKUP(Table1[RespondentID],'All Data'!$A$3:$CW$999,95,FALSE),"unknown")</f>
        <v>Other (please specify)</v>
      </c>
      <c r="Y331" s="120" t="str">
        <f>IFERROR(VLOOKUP(Table1[RespondentID],'All Data'!$A$3:$CW$999,96,FALSE),"unknown")</f>
        <v>Employed for wages</v>
      </c>
      <c r="Z331" s="120" t="str">
        <f>IFERROR(VLOOKUP(Table1[RespondentID],'All Data'!$A$3:$CW$999,97,FALSE),"unknown")</f>
        <v>Yes</v>
      </c>
      <c r="AA331" s="120" t="str">
        <f>IFERROR(VLOOKUP(Table1[RespondentID],'All Data'!$A$3:$CW$999,98,FALSE),"unknown")</f>
        <v>Private/Commercial</v>
      </c>
      <c r="AB331" s="150" t="str">
        <f>IFERROR(VLOOKUP(Table1[RespondentID],'All Data'!$A$3:$CW$999,99,FALSE),"unknown")</f>
        <v>Yes</v>
      </c>
    </row>
    <row r="332" spans="1:28">
      <c r="A332" s="5">
        <v>18014391895</v>
      </c>
      <c r="B332" s="5" t="s">
        <v>64</v>
      </c>
      <c r="C332" s="5"/>
      <c r="D332" s="5"/>
      <c r="E332" s="5"/>
      <c r="F332" s="5"/>
      <c r="G332" s="5"/>
      <c r="H332" s="5"/>
      <c r="I332" s="5"/>
      <c r="J332" s="5"/>
      <c r="K332" s="5"/>
      <c r="L332" s="5"/>
      <c r="M332" s="5"/>
      <c r="N332" s="5"/>
      <c r="O332" s="148"/>
      <c r="P332" s="120" t="str">
        <f>IFERROR(VLOOKUP(Table1[RespondentID],'All Data'!$A$3:$CO$999,87,FALSE),"unknown")</f>
        <v>Man</v>
      </c>
      <c r="Q332" s="120">
        <f>IFERROR(VLOOKUP(Table1[RespondentID],'All Data'!$A$3:$CO$999,88,FALSE),"unknown")</f>
        <v>65</v>
      </c>
      <c r="R332" s="120" t="str">
        <f>IFERROR(VLOOKUP(Table1[RespondentID],'All Data'!$A$3:$CO$999,89,FALSE),"unknown")</f>
        <v>Queens</v>
      </c>
      <c r="S332" s="120">
        <f>IFERROR(VLOOKUP(Table1[RespondentID],'All Data'!$A$3:$CO$999,90,FALSE),"unknown")</f>
        <v>11692</v>
      </c>
      <c r="T332" s="120" t="str">
        <f>IFERROR(VLOOKUP(Table1[RespondentID],'All Data'!$A$3:$CO$999,91,FALSE),"unknown")</f>
        <v>Native Hawaiian and Other Pacific Islander</v>
      </c>
      <c r="U332" s="120" t="str">
        <f>IFERROR(VLOOKUP(Table1[RespondentID],'All Data'!$A$3:$CO$999,92,FALSE),"unknown")</f>
        <v>Hispanic or Latino</v>
      </c>
      <c r="V332" s="120" t="str">
        <f>IFERROR(VLOOKUP(Table1[RespondentID],'All Data'!$A$3:$CO$999,93,FALSE),"unknown")</f>
        <v>English</v>
      </c>
      <c r="W332" s="120" t="str">
        <f>IFERROR(VLOOKUP(Table1[RespondentID],'All Data'!$A$3:$CW$999,94,FALSE),"unknown")</f>
        <v>$35,000 to $49,999</v>
      </c>
      <c r="X332" s="120" t="str">
        <f>IFERROR(VLOOKUP(Table1[RespondentID],'All Data'!$A$3:$CW$999,95,FALSE),"unknown")</f>
        <v>College graduate</v>
      </c>
      <c r="Y332" s="120" t="str">
        <f>IFERROR(VLOOKUP(Table1[RespondentID],'All Data'!$A$3:$CW$999,96,FALSE),"unknown")</f>
        <v>Employed for wages</v>
      </c>
      <c r="Z332" s="120" t="str">
        <f>IFERROR(VLOOKUP(Table1[RespondentID],'All Data'!$A$3:$CW$999,97,FALSE),"unknown")</f>
        <v>Yes</v>
      </c>
      <c r="AA332" s="120" t="str">
        <f>IFERROR(VLOOKUP(Table1[RespondentID],'All Data'!$A$3:$CW$999,98,FALSE),"unknown")</f>
        <v>Private/Commercial</v>
      </c>
      <c r="AB332" s="150" t="str">
        <f>IFERROR(VLOOKUP(Table1[RespondentID],'All Data'!$A$3:$CW$999,99,FALSE),"unknown")</f>
        <v>Yes</v>
      </c>
    </row>
    <row r="333" spans="1:28">
      <c r="A333" s="5">
        <v>18014390822</v>
      </c>
      <c r="B333" s="5" t="s">
        <v>64</v>
      </c>
      <c r="C333" s="5"/>
      <c r="D333" s="5"/>
      <c r="E333" s="5"/>
      <c r="F333" s="5" t="s">
        <v>68</v>
      </c>
      <c r="G333" s="5"/>
      <c r="H333" s="5"/>
      <c r="I333" s="5"/>
      <c r="J333" s="5"/>
      <c r="K333" s="5" t="s">
        <v>73</v>
      </c>
      <c r="L333" s="5"/>
      <c r="M333" s="5"/>
      <c r="N333" s="5"/>
      <c r="O333" s="148"/>
      <c r="P333" s="120" t="str">
        <f>IFERROR(VLOOKUP(Table1[RespondentID],'All Data'!$A$3:$CO$999,87,FALSE),"unknown")</f>
        <v>Man</v>
      </c>
      <c r="Q333" s="120">
        <f>IFERROR(VLOOKUP(Table1[RespondentID],'All Data'!$A$3:$CO$999,88,FALSE),"unknown")</f>
        <v>45</v>
      </c>
      <c r="R333" s="120" t="str">
        <f>IFERROR(VLOOKUP(Table1[RespondentID],'All Data'!$A$3:$CO$999,89,FALSE),"unknown")</f>
        <v>Queens</v>
      </c>
      <c r="S333" s="120">
        <f>IFERROR(VLOOKUP(Table1[RespondentID],'All Data'!$A$3:$CO$999,90,FALSE),"unknown")</f>
        <v>11355</v>
      </c>
      <c r="T333" s="120" t="str">
        <f>IFERROR(VLOOKUP(Table1[RespondentID],'All Data'!$A$3:$CO$999,91,FALSE),"unknown")</f>
        <v>Asian</v>
      </c>
      <c r="U333" s="120" t="str">
        <f>IFERROR(VLOOKUP(Table1[RespondentID],'All Data'!$A$3:$CO$999,92,FALSE),"unknown")</f>
        <v>Hispanic or Latino</v>
      </c>
      <c r="V333" s="120" t="str">
        <f>IFERROR(VLOOKUP(Table1[RespondentID],'All Data'!$A$3:$CO$999,93,FALSE),"unknown")</f>
        <v>English</v>
      </c>
      <c r="W333" s="120" t="str">
        <f>IFERROR(VLOOKUP(Table1[RespondentID],'All Data'!$A$3:$CW$999,94,FALSE),"unknown")</f>
        <v>$35,000 to $49,999</v>
      </c>
      <c r="X333" s="120" t="str">
        <f>IFERROR(VLOOKUP(Table1[RespondentID],'All Data'!$A$3:$CW$999,95,FALSE),"unknown")</f>
        <v>Some high school</v>
      </c>
      <c r="Y333" s="120" t="str">
        <f>IFERROR(VLOOKUP(Table1[RespondentID],'All Data'!$A$3:$CW$999,96,FALSE),"unknown")</f>
        <v>Employed for wages</v>
      </c>
      <c r="Z333" s="120" t="str">
        <f>IFERROR(VLOOKUP(Table1[RespondentID],'All Data'!$A$3:$CW$999,97,FALSE),"unknown")</f>
        <v>Yes</v>
      </c>
      <c r="AA333" s="120" t="str">
        <f>IFERROR(VLOOKUP(Table1[RespondentID],'All Data'!$A$3:$CW$999,98,FALSE),"unknown")</f>
        <v>Private/Commercial</v>
      </c>
      <c r="AB333" s="150" t="str">
        <f>IFERROR(VLOOKUP(Table1[RespondentID],'All Data'!$A$3:$CW$999,99,FALSE),"unknown")</f>
        <v>Yes</v>
      </c>
    </row>
    <row r="334" spans="1:28">
      <c r="A334" s="5">
        <v>18014390460</v>
      </c>
      <c r="B334" s="5" t="s">
        <v>64</v>
      </c>
      <c r="C334" s="5"/>
      <c r="D334" s="5"/>
      <c r="E334" s="5"/>
      <c r="F334" s="5"/>
      <c r="G334" s="5"/>
      <c r="H334" s="5" t="s">
        <v>70</v>
      </c>
      <c r="I334" s="5"/>
      <c r="J334" s="5"/>
      <c r="K334" s="5"/>
      <c r="L334" s="5"/>
      <c r="M334" s="5"/>
      <c r="N334" s="5"/>
      <c r="O334" s="148"/>
      <c r="P334" s="120" t="str">
        <f>IFERROR(VLOOKUP(Table1[RespondentID],'All Data'!$A$3:$CO$999,87,FALSE),"unknown")</f>
        <v>Woman</v>
      </c>
      <c r="Q334" s="120">
        <f>IFERROR(VLOOKUP(Table1[RespondentID],'All Data'!$A$3:$CO$999,88,FALSE),"unknown")</f>
        <v>38</v>
      </c>
      <c r="R334" s="120" t="str">
        <f>IFERROR(VLOOKUP(Table1[RespondentID],'All Data'!$A$3:$CO$999,89,FALSE),"unknown")</f>
        <v>Queens</v>
      </c>
      <c r="S334" s="120">
        <f>IFERROR(VLOOKUP(Table1[RespondentID],'All Data'!$A$3:$CO$999,90,FALSE),"unknown")</f>
        <v>11236</v>
      </c>
      <c r="T334" s="120" t="str">
        <f>IFERROR(VLOOKUP(Table1[RespondentID],'All Data'!$A$3:$CO$999,91,FALSE),"unknown")</f>
        <v>Asian</v>
      </c>
      <c r="U334" s="120" t="str">
        <f>IFERROR(VLOOKUP(Table1[RespondentID],'All Data'!$A$3:$CO$999,92,FALSE),"unknown")</f>
        <v>Not Hispanic or Latino</v>
      </c>
      <c r="V334" s="120" t="str">
        <f>IFERROR(VLOOKUP(Table1[RespondentID],'All Data'!$A$3:$CO$999,93,FALSE),"unknown")</f>
        <v>English, Haitian Creole</v>
      </c>
      <c r="W334" s="120" t="str">
        <f>IFERROR(VLOOKUP(Table1[RespondentID],'All Data'!$A$3:$CW$999,94,FALSE),"unknown")</f>
        <v>$75,000 to $125,000</v>
      </c>
      <c r="X334" s="120" t="str">
        <f>IFERROR(VLOOKUP(Table1[RespondentID],'All Data'!$A$3:$CW$999,95,FALSE),"unknown")</f>
        <v>College graduate</v>
      </c>
      <c r="Y334" s="120" t="str">
        <f>IFERROR(VLOOKUP(Table1[RespondentID],'All Data'!$A$3:$CW$999,96,FALSE),"unknown")</f>
        <v>Employed for wages</v>
      </c>
      <c r="Z334" s="120" t="str">
        <f>IFERROR(VLOOKUP(Table1[RespondentID],'All Data'!$A$3:$CW$999,97,FALSE),"unknown")</f>
        <v>No</v>
      </c>
      <c r="AA334" s="120" t="str">
        <f>IFERROR(VLOOKUP(Table1[RespondentID],'All Data'!$A$3:$CW$999,98,FALSE),"unknown")</f>
        <v>Medicaid, Medicare</v>
      </c>
      <c r="AB334" s="150" t="str">
        <f>IFERROR(VLOOKUP(Table1[RespondentID],'All Data'!$A$3:$CW$999,99,FALSE),"unknown")</f>
        <v>Yes</v>
      </c>
    </row>
    <row r="335" spans="1:28">
      <c r="A335" s="5">
        <v>18014363228</v>
      </c>
      <c r="B335" s="5"/>
      <c r="C335" s="5"/>
      <c r="D335" s="5"/>
      <c r="E335" s="5"/>
      <c r="F335" s="5"/>
      <c r="G335" s="5"/>
      <c r="H335" s="5"/>
      <c r="I335" s="5"/>
      <c r="J335" s="5"/>
      <c r="K335" s="5"/>
      <c r="L335" s="5"/>
      <c r="M335" s="5"/>
      <c r="N335" s="5"/>
      <c r="O335" s="148"/>
      <c r="P335" s="120">
        <f>IFERROR(VLOOKUP(Table1[RespondentID],'All Data'!$A$3:$CO$999,87,FALSE),"unknown")</f>
        <v>0</v>
      </c>
      <c r="Q335" s="120">
        <f>IFERROR(VLOOKUP(Table1[RespondentID],'All Data'!$A$3:$CO$999,88,FALSE),"unknown")</f>
        <v>0</v>
      </c>
      <c r="R335" s="120">
        <f>IFERROR(VLOOKUP(Table1[RespondentID],'All Data'!$A$3:$CO$999,89,FALSE),"unknown")</f>
        <v>0</v>
      </c>
      <c r="S335" s="120" t="str">
        <f>IFERROR(VLOOKUP(Table1[RespondentID],'All Data'!$A$3:$CO$999,90,FALSE),"unknown")</f>
        <v>Alden Manor, 11003</v>
      </c>
      <c r="T335" s="120">
        <f>IFERROR(VLOOKUP(Table1[RespondentID],'All Data'!$A$3:$CO$999,91,FALSE),"unknown")</f>
        <v>0</v>
      </c>
      <c r="U335" s="120">
        <f>IFERROR(VLOOKUP(Table1[RespondentID],'All Data'!$A$3:$CO$999,92,FALSE),"unknown")</f>
        <v>0</v>
      </c>
      <c r="V335" s="120">
        <f>IFERROR(VLOOKUP(Table1[RespondentID],'All Data'!$A$3:$CO$999,93,FALSE),"unknown")</f>
        <v>0</v>
      </c>
      <c r="W335" s="120">
        <f>IFERROR(VLOOKUP(Table1[RespondentID],'All Data'!$A$3:$CW$999,94,FALSE),"unknown")</f>
        <v>0</v>
      </c>
      <c r="X335" s="120">
        <f>IFERROR(VLOOKUP(Table1[RespondentID],'All Data'!$A$3:$CW$999,95,FALSE),"unknown")</f>
        <v>0</v>
      </c>
      <c r="Y335" s="120">
        <f>IFERROR(VLOOKUP(Table1[RespondentID],'All Data'!$A$3:$CW$999,96,FALSE),"unknown")</f>
        <v>0</v>
      </c>
      <c r="Z335" s="120">
        <f>IFERROR(VLOOKUP(Table1[RespondentID],'All Data'!$A$3:$CW$999,97,FALSE),"unknown")</f>
        <v>0</v>
      </c>
      <c r="AA335" s="120">
        <f>IFERROR(VLOOKUP(Table1[RespondentID],'All Data'!$A$3:$CW$999,98,FALSE),"unknown")</f>
        <v>0</v>
      </c>
      <c r="AB335" s="150">
        <f>IFERROR(VLOOKUP(Table1[RespondentID],'All Data'!$A$3:$CW$999,99,FALSE),"unknown")</f>
        <v>0</v>
      </c>
    </row>
    <row r="336" spans="1:28">
      <c r="A336" s="5">
        <v>18014090175</v>
      </c>
      <c r="B336" s="5" t="s">
        <v>64</v>
      </c>
      <c r="C336" s="5"/>
      <c r="D336" s="5"/>
      <c r="E336" s="5"/>
      <c r="F336" s="5"/>
      <c r="G336" s="5"/>
      <c r="H336" s="5"/>
      <c r="I336" s="5"/>
      <c r="J336" s="5"/>
      <c r="K336" s="5"/>
      <c r="L336" s="5"/>
      <c r="M336" s="5" t="s">
        <v>75</v>
      </c>
      <c r="N336" s="5" t="s">
        <v>76</v>
      </c>
      <c r="O336" s="148"/>
      <c r="P336" s="120" t="str">
        <f>IFERROR(VLOOKUP(Table1[RespondentID],'All Data'!$A$3:$CO$999,87,FALSE),"unknown")</f>
        <v>Man</v>
      </c>
      <c r="Q336" s="120">
        <f>IFERROR(VLOOKUP(Table1[RespondentID],'All Data'!$A$3:$CO$999,88,FALSE),"unknown")</f>
        <v>17</v>
      </c>
      <c r="R336" s="120" t="str">
        <f>IFERROR(VLOOKUP(Table1[RespondentID],'All Data'!$A$3:$CO$999,89,FALSE),"unknown")</f>
        <v>Suffolk</v>
      </c>
      <c r="S336" s="120" t="str">
        <f>IFERROR(VLOOKUP(Table1[RespondentID],'All Data'!$A$3:$CO$999,90,FALSE),"unknown")</f>
        <v>Kings Park, 11754</v>
      </c>
      <c r="T336" s="120" t="str">
        <f>IFERROR(VLOOKUP(Table1[RespondentID],'All Data'!$A$3:$CO$999,91,FALSE),"unknown")</f>
        <v>White</v>
      </c>
      <c r="U336" s="120" t="str">
        <f>IFERROR(VLOOKUP(Table1[RespondentID],'All Data'!$A$3:$CO$999,92,FALSE),"unknown")</f>
        <v>Hispanic or Latino</v>
      </c>
      <c r="V336" s="120" t="str">
        <f>IFERROR(VLOOKUP(Table1[RespondentID],'All Data'!$A$3:$CO$999,93,FALSE),"unknown")</f>
        <v>English</v>
      </c>
      <c r="W336" s="120" t="str">
        <f>IFERROR(VLOOKUP(Table1[RespondentID],'All Data'!$A$3:$CW$999,94,FALSE),"unknown")</f>
        <v>Over $125,000</v>
      </c>
      <c r="X336" s="120" t="str">
        <f>IFERROR(VLOOKUP(Table1[RespondentID],'All Data'!$A$3:$CW$999,95,FALSE),"unknown")</f>
        <v>High school graduate</v>
      </c>
      <c r="Y336" s="120" t="str">
        <f>IFERROR(VLOOKUP(Table1[RespondentID],'All Data'!$A$3:$CW$999,96,FALSE),"unknown")</f>
        <v>Student</v>
      </c>
      <c r="Z336" s="120" t="str">
        <f>IFERROR(VLOOKUP(Table1[RespondentID],'All Data'!$A$3:$CW$999,97,FALSE),"unknown")</f>
        <v>Yes</v>
      </c>
      <c r="AA336" s="120" t="str">
        <f>IFERROR(VLOOKUP(Table1[RespondentID],'All Data'!$A$3:$CW$999,98,FALSE),"unknown")</f>
        <v>Medicare</v>
      </c>
      <c r="AB336" s="150" t="str">
        <f>IFERROR(VLOOKUP(Table1[RespondentID],'All Data'!$A$3:$CW$999,99,FALSE),"unknown")</f>
        <v>Yes</v>
      </c>
    </row>
    <row r="337" spans="1:28">
      <c r="A337" s="5">
        <v>18013870170</v>
      </c>
      <c r="B337" s="5" t="s">
        <v>64</v>
      </c>
      <c r="C337" s="5"/>
      <c r="D337" s="5"/>
      <c r="E337" s="5"/>
      <c r="F337" s="5"/>
      <c r="G337" s="5"/>
      <c r="H337" s="5" t="s">
        <v>70</v>
      </c>
      <c r="I337" s="5"/>
      <c r="J337" s="5"/>
      <c r="K337" s="5"/>
      <c r="L337" s="5"/>
      <c r="M337" s="5" t="s">
        <v>75</v>
      </c>
      <c r="N337" s="5"/>
      <c r="O337" s="148"/>
      <c r="P337" s="120" t="str">
        <f>IFERROR(VLOOKUP(Table1[RespondentID],'All Data'!$A$3:$CO$999,87,FALSE),"unknown")</f>
        <v>Man</v>
      </c>
      <c r="Q337" s="120">
        <f>IFERROR(VLOOKUP(Table1[RespondentID],'All Data'!$A$3:$CO$999,88,FALSE),"unknown")</f>
        <v>53</v>
      </c>
      <c r="R337" s="120" t="str">
        <f>IFERROR(VLOOKUP(Table1[RespondentID],'All Data'!$A$3:$CO$999,89,FALSE),"unknown")</f>
        <v>Suffolk</v>
      </c>
      <c r="S337" s="120" t="str">
        <f>IFERROR(VLOOKUP(Table1[RespondentID],'All Data'!$A$3:$CO$999,90,FALSE),"unknown")</f>
        <v>Manorville, 11949</v>
      </c>
      <c r="T337" s="120" t="str">
        <f>IFERROR(VLOOKUP(Table1[RespondentID],'All Data'!$A$3:$CO$999,91,FALSE),"unknown")</f>
        <v>White</v>
      </c>
      <c r="U337" s="120" t="str">
        <f>IFERROR(VLOOKUP(Table1[RespondentID],'All Data'!$A$3:$CO$999,92,FALSE),"unknown")</f>
        <v>Hispanic or Latino</v>
      </c>
      <c r="V337" s="120" t="str">
        <f>IFERROR(VLOOKUP(Table1[RespondentID],'All Data'!$A$3:$CO$999,93,FALSE),"unknown")</f>
        <v>English</v>
      </c>
      <c r="W337" s="120" t="str">
        <f>IFERROR(VLOOKUP(Table1[RespondentID],'All Data'!$A$3:$CW$999,94,FALSE),"unknown")</f>
        <v>$75,000 to $125,000</v>
      </c>
      <c r="X337" s="120" t="str">
        <f>IFERROR(VLOOKUP(Table1[RespondentID],'All Data'!$A$3:$CW$999,95,FALSE),"unknown")</f>
        <v>College graduate</v>
      </c>
      <c r="Y337" s="120" t="str">
        <f>IFERROR(VLOOKUP(Table1[RespondentID],'All Data'!$A$3:$CW$999,96,FALSE),"unknown")</f>
        <v>Employed for wages</v>
      </c>
      <c r="Z337" s="120" t="str">
        <f>IFERROR(VLOOKUP(Table1[RespondentID],'All Data'!$A$3:$CW$999,97,FALSE),"unknown")</f>
        <v>Yes</v>
      </c>
      <c r="AA337" s="120" t="str">
        <f>IFERROR(VLOOKUP(Table1[RespondentID],'All Data'!$A$3:$CW$999,98,FALSE),"unknown")</f>
        <v>Private/Commercial</v>
      </c>
      <c r="AB337" s="150" t="str">
        <f>IFERROR(VLOOKUP(Table1[RespondentID],'All Data'!$A$3:$CW$999,99,FALSE),"unknown")</f>
        <v>Yes</v>
      </c>
    </row>
    <row r="338" spans="1:28">
      <c r="A338" s="5">
        <v>18013484831</v>
      </c>
      <c r="B338" s="5" t="s">
        <v>64</v>
      </c>
      <c r="C338" s="5"/>
      <c r="D338" s="5"/>
      <c r="E338" s="5"/>
      <c r="F338" s="5"/>
      <c r="G338" s="5"/>
      <c r="H338" s="5"/>
      <c r="I338" s="5"/>
      <c r="J338" s="5"/>
      <c r="K338" s="5"/>
      <c r="L338" s="5"/>
      <c r="M338" s="5" t="s">
        <v>75</v>
      </c>
      <c r="N338" s="5"/>
      <c r="O338" s="148"/>
      <c r="P338" s="120" t="str">
        <f>IFERROR(VLOOKUP(Table1[RespondentID],'All Data'!$A$3:$CO$999,87,FALSE),"unknown")</f>
        <v>Man</v>
      </c>
      <c r="Q338" s="120">
        <f>IFERROR(VLOOKUP(Table1[RespondentID],'All Data'!$A$3:$CO$999,88,FALSE),"unknown")</f>
        <v>83</v>
      </c>
      <c r="R338" s="120" t="str">
        <f>IFERROR(VLOOKUP(Table1[RespondentID],'All Data'!$A$3:$CO$999,89,FALSE),"unknown")</f>
        <v>Nassau</v>
      </c>
      <c r="S338" s="120" t="str">
        <f>IFERROR(VLOOKUP(Table1[RespondentID],'All Data'!$A$3:$CO$999,90,FALSE),"unknown")</f>
        <v>Syosset, 11791</v>
      </c>
      <c r="T338" s="120" t="str">
        <f>IFERROR(VLOOKUP(Table1[RespondentID],'All Data'!$A$3:$CO$999,91,FALSE),"unknown")</f>
        <v>White</v>
      </c>
      <c r="U338" s="120" t="str">
        <f>IFERROR(VLOOKUP(Table1[RespondentID],'All Data'!$A$3:$CO$999,92,FALSE),"unknown")</f>
        <v>Hispanic or Latino</v>
      </c>
      <c r="V338" s="120" t="str">
        <f>IFERROR(VLOOKUP(Table1[RespondentID],'All Data'!$A$3:$CO$999,93,FALSE),"unknown")</f>
        <v>English</v>
      </c>
      <c r="W338" s="120" t="str">
        <f>IFERROR(VLOOKUP(Table1[RespondentID],'All Data'!$A$3:$CW$999,94,FALSE),"unknown")</f>
        <v>Over $125,000</v>
      </c>
      <c r="X338" s="120" t="str">
        <f>IFERROR(VLOOKUP(Table1[RespondentID],'All Data'!$A$3:$CW$999,95,FALSE),"unknown")</f>
        <v>College graduate</v>
      </c>
      <c r="Y338" s="120" t="str">
        <f>IFERROR(VLOOKUP(Table1[RespondentID],'All Data'!$A$3:$CW$999,96,FALSE),"unknown")</f>
        <v>Retired</v>
      </c>
      <c r="Z338" s="120" t="str">
        <f>IFERROR(VLOOKUP(Table1[RespondentID],'All Data'!$A$3:$CW$999,97,FALSE),"unknown")</f>
        <v>Yes</v>
      </c>
      <c r="AA338" s="120" t="str">
        <f>IFERROR(VLOOKUP(Table1[RespondentID],'All Data'!$A$3:$CW$999,98,FALSE),"unknown")</f>
        <v>Medicare</v>
      </c>
      <c r="AB338" s="150" t="str">
        <f>IFERROR(VLOOKUP(Table1[RespondentID],'All Data'!$A$3:$CW$999,99,FALSE),"unknown")</f>
        <v>Yes</v>
      </c>
    </row>
    <row r="339" spans="1:28">
      <c r="A339" s="5">
        <v>18013472458</v>
      </c>
      <c r="B339" s="5"/>
      <c r="C339" s="5"/>
      <c r="D339" s="5"/>
      <c r="E339" s="5"/>
      <c r="F339" s="5"/>
      <c r="G339" s="5"/>
      <c r="H339" s="5"/>
      <c r="I339" s="5"/>
      <c r="J339" s="5"/>
      <c r="K339" s="5"/>
      <c r="L339" s="5"/>
      <c r="M339" s="5"/>
      <c r="N339" s="5"/>
      <c r="O339" s="148"/>
      <c r="P339" s="120">
        <f>IFERROR(VLOOKUP(Table1[RespondentID],'All Data'!$A$3:$CO$999,87,FALSE),"unknown")</f>
        <v>0</v>
      </c>
      <c r="Q339" s="120">
        <f>IFERROR(VLOOKUP(Table1[RespondentID],'All Data'!$A$3:$CO$999,88,FALSE),"unknown")</f>
        <v>0</v>
      </c>
      <c r="R339" s="120">
        <f>IFERROR(VLOOKUP(Table1[RespondentID],'All Data'!$A$3:$CO$999,89,FALSE),"unknown")</f>
        <v>0</v>
      </c>
      <c r="S339" s="120" t="str">
        <f>IFERROR(VLOOKUP(Table1[RespondentID],'All Data'!$A$3:$CO$999,90,FALSE),"unknown")</f>
        <v>East Hills, 11576</v>
      </c>
      <c r="T339" s="120">
        <f>IFERROR(VLOOKUP(Table1[RespondentID],'All Data'!$A$3:$CO$999,91,FALSE),"unknown")</f>
        <v>0</v>
      </c>
      <c r="U339" s="120">
        <f>IFERROR(VLOOKUP(Table1[RespondentID],'All Data'!$A$3:$CO$999,92,FALSE),"unknown")</f>
        <v>0</v>
      </c>
      <c r="V339" s="120">
        <f>IFERROR(VLOOKUP(Table1[RespondentID],'All Data'!$A$3:$CO$999,93,FALSE),"unknown")</f>
        <v>0</v>
      </c>
      <c r="W339" s="120">
        <f>IFERROR(VLOOKUP(Table1[RespondentID],'All Data'!$A$3:$CW$999,94,FALSE),"unknown")</f>
        <v>0</v>
      </c>
      <c r="X339" s="120">
        <f>IFERROR(VLOOKUP(Table1[RespondentID],'All Data'!$A$3:$CW$999,95,FALSE),"unknown")</f>
        <v>0</v>
      </c>
      <c r="Y339" s="120">
        <f>IFERROR(VLOOKUP(Table1[RespondentID],'All Data'!$A$3:$CW$999,96,FALSE),"unknown")</f>
        <v>0</v>
      </c>
      <c r="Z339" s="120">
        <f>IFERROR(VLOOKUP(Table1[RespondentID],'All Data'!$A$3:$CW$999,97,FALSE),"unknown")</f>
        <v>0</v>
      </c>
      <c r="AA339" s="120">
        <f>IFERROR(VLOOKUP(Table1[RespondentID],'All Data'!$A$3:$CW$999,98,FALSE),"unknown")</f>
        <v>0</v>
      </c>
      <c r="AB339" s="150">
        <f>IFERROR(VLOOKUP(Table1[RespondentID],'All Data'!$A$3:$CW$999,99,FALSE),"unknown")</f>
        <v>0</v>
      </c>
    </row>
    <row r="340" spans="1:28">
      <c r="A340" s="5">
        <v>18013326061</v>
      </c>
      <c r="B340" s="5" t="s">
        <v>64</v>
      </c>
      <c r="C340" s="5"/>
      <c r="D340" s="5"/>
      <c r="E340" s="5"/>
      <c r="F340" s="5"/>
      <c r="G340" s="5"/>
      <c r="H340" s="5"/>
      <c r="I340" s="5"/>
      <c r="J340" s="5"/>
      <c r="K340" s="5"/>
      <c r="L340" s="5"/>
      <c r="M340" s="5"/>
      <c r="N340" s="5"/>
      <c r="O340" s="148"/>
      <c r="P340" s="120" t="str">
        <f>IFERROR(VLOOKUP(Table1[RespondentID],'All Data'!$A$3:$CO$999,87,FALSE),"unknown")</f>
        <v>Man</v>
      </c>
      <c r="Q340" s="120">
        <f>IFERROR(VLOOKUP(Table1[RespondentID],'All Data'!$A$3:$CO$999,88,FALSE),"unknown")</f>
        <v>58</v>
      </c>
      <c r="R340" s="120" t="str">
        <f>IFERROR(VLOOKUP(Table1[RespondentID],'All Data'!$A$3:$CO$999,89,FALSE),"unknown")</f>
        <v>Suffolk</v>
      </c>
      <c r="S340" s="120" t="str">
        <f>IFERROR(VLOOKUP(Table1[RespondentID],'All Data'!$A$3:$CO$999,90,FALSE),"unknown")</f>
        <v>Aquebogue, 11931</v>
      </c>
      <c r="T340" s="120" t="str">
        <f>IFERROR(VLOOKUP(Table1[RespondentID],'All Data'!$A$3:$CO$999,91,FALSE),"unknown")</f>
        <v>Other (please specify)</v>
      </c>
      <c r="U340" s="120">
        <f>IFERROR(VLOOKUP(Table1[RespondentID],'All Data'!$A$3:$CO$999,92,FALSE),"unknown")</f>
        <v>0</v>
      </c>
      <c r="V340" s="120" t="str">
        <f>IFERROR(VLOOKUP(Table1[RespondentID],'All Data'!$A$3:$CO$999,93,FALSE),"unknown")</f>
        <v>English</v>
      </c>
      <c r="W340" s="120" t="str">
        <f>IFERROR(VLOOKUP(Table1[RespondentID],'All Data'!$A$3:$CW$999,94,FALSE),"unknown")</f>
        <v>$50,000 to $74,999</v>
      </c>
      <c r="X340" s="120" t="str">
        <f>IFERROR(VLOOKUP(Table1[RespondentID],'All Data'!$A$3:$CW$999,95,FALSE),"unknown")</f>
        <v>College graduate</v>
      </c>
      <c r="Y340" s="120" t="str">
        <f>IFERROR(VLOOKUP(Table1[RespondentID],'All Data'!$A$3:$CW$999,96,FALSE),"unknown")</f>
        <v>Employed for wages</v>
      </c>
      <c r="Z340" s="120" t="str">
        <f>IFERROR(VLOOKUP(Table1[RespondentID],'All Data'!$A$3:$CW$999,97,FALSE),"unknown")</f>
        <v>Yes</v>
      </c>
      <c r="AA340" s="120" t="str">
        <f>IFERROR(VLOOKUP(Table1[RespondentID],'All Data'!$A$3:$CW$999,98,FALSE),"unknown")</f>
        <v>Private/Commercial</v>
      </c>
      <c r="AB340" s="150" t="str">
        <f>IFERROR(VLOOKUP(Table1[RespondentID],'All Data'!$A$3:$CW$999,99,FALSE),"unknown")</f>
        <v>Yes</v>
      </c>
    </row>
    <row r="341" spans="1:28">
      <c r="A341" s="5">
        <v>18013301185</v>
      </c>
      <c r="B341" s="5" t="s">
        <v>64</v>
      </c>
      <c r="C341" s="5"/>
      <c r="D341" s="5" t="s">
        <v>66</v>
      </c>
      <c r="E341" s="5"/>
      <c r="F341" s="5"/>
      <c r="G341" s="5" t="s">
        <v>69</v>
      </c>
      <c r="H341" s="5"/>
      <c r="I341" s="5"/>
      <c r="J341" s="5" t="s">
        <v>72</v>
      </c>
      <c r="K341" s="5"/>
      <c r="L341" s="5"/>
      <c r="M341" s="5"/>
      <c r="N341" s="5"/>
      <c r="O341" s="148"/>
      <c r="P341" s="120" t="str">
        <f>IFERROR(VLOOKUP(Table1[RespondentID],'All Data'!$A$3:$CO$999,87,FALSE),"unknown")</f>
        <v>Man</v>
      </c>
      <c r="Q341" s="120">
        <f>IFERROR(VLOOKUP(Table1[RespondentID],'All Data'!$A$3:$CO$999,88,FALSE),"unknown")</f>
        <v>26</v>
      </c>
      <c r="R341" s="120" t="str">
        <f>IFERROR(VLOOKUP(Table1[RespondentID],'All Data'!$A$3:$CO$999,89,FALSE),"unknown")</f>
        <v>Nassau</v>
      </c>
      <c r="S341" s="120" t="str">
        <f>IFERROR(VLOOKUP(Table1[RespondentID],'All Data'!$A$3:$CO$999,90,FALSE),"unknown")</f>
        <v>Jericho, 11753</v>
      </c>
      <c r="T341" s="120" t="str">
        <f>IFERROR(VLOOKUP(Table1[RespondentID],'All Data'!$A$3:$CO$999,91,FALSE),"unknown")</f>
        <v>White</v>
      </c>
      <c r="U341" s="120" t="str">
        <f>IFERROR(VLOOKUP(Table1[RespondentID],'All Data'!$A$3:$CO$999,92,FALSE),"unknown")</f>
        <v>Hispanic or Latino</v>
      </c>
      <c r="V341" s="120" t="str">
        <f>IFERROR(VLOOKUP(Table1[RespondentID],'All Data'!$A$3:$CO$999,93,FALSE),"unknown")</f>
        <v>English</v>
      </c>
      <c r="W341" s="120" t="str">
        <f>IFERROR(VLOOKUP(Table1[RespondentID],'All Data'!$A$3:$CW$999,94,FALSE),"unknown")</f>
        <v>Over $125,000</v>
      </c>
      <c r="X341" s="120" t="str">
        <f>IFERROR(VLOOKUP(Table1[RespondentID],'All Data'!$A$3:$CW$999,95,FALSE),"unknown")</f>
        <v>Graduate school</v>
      </c>
      <c r="Y341" s="120" t="str">
        <f>IFERROR(VLOOKUP(Table1[RespondentID],'All Data'!$A$3:$CW$999,96,FALSE),"unknown")</f>
        <v>Employed for wages</v>
      </c>
      <c r="Z341" s="120" t="str">
        <f>IFERROR(VLOOKUP(Table1[RespondentID],'All Data'!$A$3:$CW$999,97,FALSE),"unknown")</f>
        <v>Yes</v>
      </c>
      <c r="AA341" s="120" t="str">
        <f>IFERROR(VLOOKUP(Table1[RespondentID],'All Data'!$A$3:$CW$999,98,FALSE),"unknown")</f>
        <v>Private/Commercial</v>
      </c>
      <c r="AB341" s="150" t="str">
        <f>IFERROR(VLOOKUP(Table1[RespondentID],'All Data'!$A$3:$CW$999,99,FALSE),"unknown")</f>
        <v>Yes</v>
      </c>
    </row>
    <row r="342" spans="1:28">
      <c r="A342" s="5">
        <v>18013187377</v>
      </c>
      <c r="B342" s="5"/>
      <c r="C342" s="5"/>
      <c r="D342" s="5"/>
      <c r="E342" s="5"/>
      <c r="F342" s="5"/>
      <c r="G342" s="5"/>
      <c r="H342" s="5"/>
      <c r="I342" s="5"/>
      <c r="J342" s="5"/>
      <c r="K342" s="5"/>
      <c r="L342" s="5"/>
      <c r="M342" s="5" t="s">
        <v>75</v>
      </c>
      <c r="N342" s="5"/>
      <c r="O342" s="148"/>
      <c r="P342" s="120" t="str">
        <f>IFERROR(VLOOKUP(Table1[RespondentID],'All Data'!$A$3:$CO$999,87,FALSE),"unknown")</f>
        <v>Man</v>
      </c>
      <c r="Q342" s="120">
        <f>IFERROR(VLOOKUP(Table1[RespondentID],'All Data'!$A$3:$CO$999,88,FALSE),"unknown")</f>
        <v>45</v>
      </c>
      <c r="R342" s="120" t="str">
        <f>IFERROR(VLOOKUP(Table1[RespondentID],'All Data'!$A$3:$CO$999,89,FALSE),"unknown")</f>
        <v>Suffolk</v>
      </c>
      <c r="S342" s="120" t="str">
        <f>IFERROR(VLOOKUP(Table1[RespondentID],'All Data'!$A$3:$CO$999,90,FALSE),"unknown")</f>
        <v>Riverhead, 11901</v>
      </c>
      <c r="T342" s="120" t="str">
        <f>IFERROR(VLOOKUP(Table1[RespondentID],'All Data'!$A$3:$CO$999,91,FALSE),"unknown")</f>
        <v>White</v>
      </c>
      <c r="U342" s="120" t="str">
        <f>IFERROR(VLOOKUP(Table1[RespondentID],'All Data'!$A$3:$CO$999,92,FALSE),"unknown")</f>
        <v>Hispanic or Latino</v>
      </c>
      <c r="V342" s="120" t="str">
        <f>IFERROR(VLOOKUP(Table1[RespondentID],'All Data'!$A$3:$CO$999,93,FALSE),"unknown")</f>
        <v>English</v>
      </c>
      <c r="W342" s="120" t="str">
        <f>IFERROR(VLOOKUP(Table1[RespondentID],'All Data'!$A$3:$CW$999,94,FALSE),"unknown")</f>
        <v>Over $125,000</v>
      </c>
      <c r="X342" s="120" t="str">
        <f>IFERROR(VLOOKUP(Table1[RespondentID],'All Data'!$A$3:$CW$999,95,FALSE),"unknown")</f>
        <v>Some college</v>
      </c>
      <c r="Y342" s="120" t="str">
        <f>IFERROR(VLOOKUP(Table1[RespondentID],'All Data'!$A$3:$CW$999,96,FALSE),"unknown")</f>
        <v>Employed for wages</v>
      </c>
      <c r="Z342" s="120" t="str">
        <f>IFERROR(VLOOKUP(Table1[RespondentID],'All Data'!$A$3:$CW$999,97,FALSE),"unknown")</f>
        <v>Yes</v>
      </c>
      <c r="AA342" s="120" t="str">
        <f>IFERROR(VLOOKUP(Table1[RespondentID],'All Data'!$A$3:$CW$999,98,FALSE),"unknown")</f>
        <v>Private/Commercial</v>
      </c>
      <c r="AB342" s="150" t="str">
        <f>IFERROR(VLOOKUP(Table1[RespondentID],'All Data'!$A$3:$CW$999,99,FALSE),"unknown")</f>
        <v>Yes</v>
      </c>
    </row>
    <row r="343" spans="1:28">
      <c r="A343" s="5">
        <v>18012940725</v>
      </c>
      <c r="B343" s="5" t="s">
        <v>64</v>
      </c>
      <c r="C343" s="5"/>
      <c r="D343" s="5"/>
      <c r="E343" s="5"/>
      <c r="F343" s="5" t="s">
        <v>68</v>
      </c>
      <c r="G343" s="5"/>
      <c r="H343" s="5"/>
      <c r="I343" s="5"/>
      <c r="J343" s="5"/>
      <c r="K343" s="5"/>
      <c r="L343" s="5"/>
      <c r="M343" s="5" t="s">
        <v>75</v>
      </c>
      <c r="N343" s="5"/>
      <c r="O343" s="148"/>
      <c r="P343" s="120" t="str">
        <f>IFERROR(VLOOKUP(Table1[RespondentID],'All Data'!$A$3:$CO$999,87,FALSE),"unknown")</f>
        <v>Man</v>
      </c>
      <c r="Q343" s="120">
        <f>IFERROR(VLOOKUP(Table1[RespondentID],'All Data'!$A$3:$CO$999,88,FALSE),"unknown")</f>
        <v>47</v>
      </c>
      <c r="R343" s="120" t="str">
        <f>IFERROR(VLOOKUP(Table1[RespondentID],'All Data'!$A$3:$CO$999,89,FALSE),"unknown")</f>
        <v>Suffolk</v>
      </c>
      <c r="S343" s="120" t="str">
        <f>IFERROR(VLOOKUP(Table1[RespondentID],'All Data'!$A$3:$CO$999,90,FALSE),"unknown")</f>
        <v>Setauket, 11733</v>
      </c>
      <c r="T343" s="120" t="str">
        <f>IFERROR(VLOOKUP(Table1[RespondentID],'All Data'!$A$3:$CO$999,91,FALSE),"unknown")</f>
        <v>White</v>
      </c>
      <c r="U343" s="120" t="str">
        <f>IFERROR(VLOOKUP(Table1[RespondentID],'All Data'!$A$3:$CO$999,92,FALSE),"unknown")</f>
        <v>Hispanic or Latino</v>
      </c>
      <c r="V343" s="120" t="str">
        <f>IFERROR(VLOOKUP(Table1[RespondentID],'All Data'!$A$3:$CO$999,93,FALSE),"unknown")</f>
        <v>English</v>
      </c>
      <c r="W343" s="120" t="str">
        <f>IFERROR(VLOOKUP(Table1[RespondentID],'All Data'!$A$3:$CW$999,94,FALSE),"unknown")</f>
        <v>Over $125,000</v>
      </c>
      <c r="X343" s="120" t="str">
        <f>IFERROR(VLOOKUP(Table1[RespondentID],'All Data'!$A$3:$CW$999,95,FALSE),"unknown")</f>
        <v>College graduate</v>
      </c>
      <c r="Y343" s="120" t="str">
        <f>IFERROR(VLOOKUP(Table1[RespondentID],'All Data'!$A$3:$CW$999,96,FALSE),"unknown")</f>
        <v>Employed for wages</v>
      </c>
      <c r="Z343" s="120" t="str">
        <f>IFERROR(VLOOKUP(Table1[RespondentID],'All Data'!$A$3:$CW$999,97,FALSE),"unknown")</f>
        <v>Yes</v>
      </c>
      <c r="AA343" s="120">
        <f>IFERROR(VLOOKUP(Table1[RespondentID],'All Data'!$A$3:$CW$999,98,FALSE),"unknown")</f>
        <v>0</v>
      </c>
      <c r="AB343" s="150" t="str">
        <f>IFERROR(VLOOKUP(Table1[RespondentID],'All Data'!$A$3:$CW$999,99,FALSE),"unknown")</f>
        <v>Yes</v>
      </c>
    </row>
    <row r="344" spans="1:28">
      <c r="A344" s="5">
        <v>18012862597</v>
      </c>
      <c r="B344" s="5" t="s">
        <v>64</v>
      </c>
      <c r="C344" s="5"/>
      <c r="D344" s="5"/>
      <c r="E344" s="5"/>
      <c r="F344" s="5"/>
      <c r="G344" s="5" t="s">
        <v>69</v>
      </c>
      <c r="H344" s="5"/>
      <c r="I344" s="5"/>
      <c r="J344" s="5"/>
      <c r="K344" s="5"/>
      <c r="L344" s="5"/>
      <c r="M344" s="5" t="s">
        <v>75</v>
      </c>
      <c r="N344" s="5"/>
      <c r="O344" s="148"/>
      <c r="P344" s="120" t="str">
        <f>IFERROR(VLOOKUP(Table1[RespondentID],'All Data'!$A$3:$CO$999,87,FALSE),"unknown")</f>
        <v>Man</v>
      </c>
      <c r="Q344" s="120">
        <f>IFERROR(VLOOKUP(Table1[RespondentID],'All Data'!$A$3:$CO$999,88,FALSE),"unknown")</f>
        <v>69</v>
      </c>
      <c r="R344" s="120" t="str">
        <f>IFERROR(VLOOKUP(Table1[RespondentID],'All Data'!$A$3:$CO$999,89,FALSE),"unknown")</f>
        <v>Nassau</v>
      </c>
      <c r="S344" s="120" t="str">
        <f>IFERROR(VLOOKUP(Table1[RespondentID],'All Data'!$A$3:$CO$999,90,FALSE),"unknown")</f>
        <v>Farmingdale, 11735</v>
      </c>
      <c r="T344" s="120" t="str">
        <f>IFERROR(VLOOKUP(Table1[RespondentID],'All Data'!$A$3:$CO$999,91,FALSE),"unknown")</f>
        <v>White</v>
      </c>
      <c r="U344" s="120" t="str">
        <f>IFERROR(VLOOKUP(Table1[RespondentID],'All Data'!$A$3:$CO$999,92,FALSE),"unknown")</f>
        <v>Hispanic or Latino</v>
      </c>
      <c r="V344" s="120" t="str">
        <f>IFERROR(VLOOKUP(Table1[RespondentID],'All Data'!$A$3:$CO$999,93,FALSE),"unknown")</f>
        <v>English</v>
      </c>
      <c r="W344" s="120" t="str">
        <f>IFERROR(VLOOKUP(Table1[RespondentID],'All Data'!$A$3:$CW$999,94,FALSE),"unknown")</f>
        <v>$50,000 to $74,999</v>
      </c>
      <c r="X344" s="120" t="str">
        <f>IFERROR(VLOOKUP(Table1[RespondentID],'All Data'!$A$3:$CW$999,95,FALSE),"unknown")</f>
        <v>Some college</v>
      </c>
      <c r="Y344" s="120" t="str">
        <f>IFERROR(VLOOKUP(Table1[RespondentID],'All Data'!$A$3:$CW$999,96,FALSE),"unknown")</f>
        <v>Employed for wages</v>
      </c>
      <c r="Z344" s="120" t="str">
        <f>IFERROR(VLOOKUP(Table1[RespondentID],'All Data'!$A$3:$CW$999,97,FALSE),"unknown")</f>
        <v>Yes</v>
      </c>
      <c r="AA344" s="120" t="str">
        <f>IFERROR(VLOOKUP(Table1[RespondentID],'All Data'!$A$3:$CW$999,98,FALSE),"unknown")</f>
        <v>Private/Commercial</v>
      </c>
      <c r="AB344" s="150" t="str">
        <f>IFERROR(VLOOKUP(Table1[RespondentID],'All Data'!$A$3:$CW$999,99,FALSE),"unknown")</f>
        <v>Yes</v>
      </c>
    </row>
    <row r="345" spans="1:28">
      <c r="A345" s="5">
        <v>18012790929</v>
      </c>
      <c r="B345" s="5" t="s">
        <v>64</v>
      </c>
      <c r="C345" s="5"/>
      <c r="D345" s="5"/>
      <c r="E345" s="5"/>
      <c r="F345" s="5" t="s">
        <v>68</v>
      </c>
      <c r="G345" s="5"/>
      <c r="H345" s="5" t="s">
        <v>70</v>
      </c>
      <c r="I345" s="5"/>
      <c r="J345" s="5"/>
      <c r="K345" s="5" t="s">
        <v>73</v>
      </c>
      <c r="L345" s="5"/>
      <c r="M345" s="5" t="s">
        <v>75</v>
      </c>
      <c r="N345" s="5" t="s">
        <v>76</v>
      </c>
      <c r="O345" s="148"/>
      <c r="P345" s="120" t="str">
        <f>IFERROR(VLOOKUP(Table1[RespondentID],'All Data'!$A$3:$CO$999,87,FALSE),"unknown")</f>
        <v>Man</v>
      </c>
      <c r="Q345" s="120">
        <f>IFERROR(VLOOKUP(Table1[RespondentID],'All Data'!$A$3:$CO$999,88,FALSE),"unknown")</f>
        <v>42</v>
      </c>
      <c r="R345" s="120" t="str">
        <f>IFERROR(VLOOKUP(Table1[RespondentID],'All Data'!$A$3:$CO$999,89,FALSE),"unknown")</f>
        <v>Suffolk</v>
      </c>
      <c r="S345" s="120" t="str">
        <f>IFERROR(VLOOKUP(Table1[RespondentID],'All Data'!$A$3:$CO$999,90,FALSE),"unknown")</f>
        <v>Nesconset, 11767</v>
      </c>
      <c r="T345" s="120" t="str">
        <f>IFERROR(VLOOKUP(Table1[RespondentID],'All Data'!$A$3:$CO$999,91,FALSE),"unknown")</f>
        <v>White</v>
      </c>
      <c r="U345" s="120" t="str">
        <f>IFERROR(VLOOKUP(Table1[RespondentID],'All Data'!$A$3:$CO$999,92,FALSE),"unknown")</f>
        <v>Hispanic or Latino</v>
      </c>
      <c r="V345" s="120" t="str">
        <f>IFERROR(VLOOKUP(Table1[RespondentID],'All Data'!$A$3:$CO$999,93,FALSE),"unknown")</f>
        <v>English</v>
      </c>
      <c r="W345" s="120" t="str">
        <f>IFERROR(VLOOKUP(Table1[RespondentID],'All Data'!$A$3:$CW$999,94,FALSE),"unknown")</f>
        <v>$0-$19,999</v>
      </c>
      <c r="X345" s="120" t="str">
        <f>IFERROR(VLOOKUP(Table1[RespondentID],'All Data'!$A$3:$CW$999,95,FALSE),"unknown")</f>
        <v>Some college</v>
      </c>
      <c r="Y345" s="120" t="str">
        <f>IFERROR(VLOOKUP(Table1[RespondentID],'All Data'!$A$3:$CW$999,96,FALSE),"unknown")</f>
        <v>Out of work and looking for work</v>
      </c>
      <c r="Z345" s="120" t="str">
        <f>IFERROR(VLOOKUP(Table1[RespondentID],'All Data'!$A$3:$CW$999,97,FALSE),"unknown")</f>
        <v>Yes</v>
      </c>
      <c r="AA345" s="120" t="str">
        <f>IFERROR(VLOOKUP(Table1[RespondentID],'All Data'!$A$3:$CW$999,98,FALSE),"unknown")</f>
        <v>Medicaid</v>
      </c>
      <c r="AB345" s="150" t="str">
        <f>IFERROR(VLOOKUP(Table1[RespondentID],'All Data'!$A$3:$CW$999,99,FALSE),"unknown")</f>
        <v>Yes</v>
      </c>
    </row>
    <row r="346" spans="1:28">
      <c r="A346" s="5">
        <v>18012747258</v>
      </c>
      <c r="B346" s="5" t="s">
        <v>64</v>
      </c>
      <c r="C346" s="5"/>
      <c r="D346" s="5"/>
      <c r="E346" s="5"/>
      <c r="F346" s="5"/>
      <c r="G346" s="5"/>
      <c r="H346" s="5" t="s">
        <v>70</v>
      </c>
      <c r="I346" s="5"/>
      <c r="J346" s="5"/>
      <c r="K346" s="5" t="s">
        <v>73</v>
      </c>
      <c r="L346" s="5"/>
      <c r="M346" s="5" t="s">
        <v>75</v>
      </c>
      <c r="N346" s="5"/>
      <c r="O346" s="148"/>
      <c r="P346" s="120" t="str">
        <f>IFERROR(VLOOKUP(Table1[RespondentID],'All Data'!$A$3:$CO$999,87,FALSE),"unknown")</f>
        <v>Man</v>
      </c>
      <c r="Q346" s="120">
        <f>IFERROR(VLOOKUP(Table1[RespondentID],'All Data'!$A$3:$CO$999,88,FALSE),"unknown")</f>
        <v>40</v>
      </c>
      <c r="R346" s="120" t="str">
        <f>IFERROR(VLOOKUP(Table1[RespondentID],'All Data'!$A$3:$CO$999,89,FALSE),"unknown")</f>
        <v>Suffolk</v>
      </c>
      <c r="S346" s="120" t="str">
        <f>IFERROR(VLOOKUP(Table1[RespondentID],'All Data'!$A$3:$CO$999,90,FALSE),"unknown")</f>
        <v>Bay Shore, 11706</v>
      </c>
      <c r="T346" s="120" t="str">
        <f>IFERROR(VLOOKUP(Table1[RespondentID],'All Data'!$A$3:$CO$999,91,FALSE),"unknown")</f>
        <v>White</v>
      </c>
      <c r="U346" s="120" t="str">
        <f>IFERROR(VLOOKUP(Table1[RespondentID],'All Data'!$A$3:$CO$999,92,FALSE),"unknown")</f>
        <v>Hispanic or Latino</v>
      </c>
      <c r="V346" s="120" t="str">
        <f>IFERROR(VLOOKUP(Table1[RespondentID],'All Data'!$A$3:$CO$999,93,FALSE),"unknown")</f>
        <v>English</v>
      </c>
      <c r="W346" s="120" t="str">
        <f>IFERROR(VLOOKUP(Table1[RespondentID],'All Data'!$A$3:$CW$999,94,FALSE),"unknown")</f>
        <v>$0-$19,999</v>
      </c>
      <c r="X346" s="120" t="str">
        <f>IFERROR(VLOOKUP(Table1[RespondentID],'All Data'!$A$3:$CW$999,95,FALSE),"unknown")</f>
        <v>High school graduate</v>
      </c>
      <c r="Y346" s="120" t="str">
        <f>IFERROR(VLOOKUP(Table1[RespondentID],'All Data'!$A$3:$CW$999,96,FALSE),"unknown")</f>
        <v>Out of work and looking for work</v>
      </c>
      <c r="Z346" s="120" t="str">
        <f>IFERROR(VLOOKUP(Table1[RespondentID],'All Data'!$A$3:$CW$999,97,FALSE),"unknown")</f>
        <v>Yes</v>
      </c>
      <c r="AA346" s="120" t="str">
        <f>IFERROR(VLOOKUP(Table1[RespondentID],'All Data'!$A$3:$CW$999,98,FALSE),"unknown")</f>
        <v>Medicaid</v>
      </c>
      <c r="AB346" s="150" t="str">
        <f>IFERROR(VLOOKUP(Table1[RespondentID],'All Data'!$A$3:$CW$999,99,FALSE),"unknown")</f>
        <v>Yes</v>
      </c>
    </row>
    <row r="347" spans="1:28">
      <c r="A347" s="149">
        <v>18022877008</v>
      </c>
      <c r="B347" s="134" t="s">
        <v>64</v>
      </c>
      <c r="C347" s="135"/>
      <c r="D347" s="135"/>
      <c r="E347" s="135"/>
      <c r="F347" s="135" t="s">
        <v>68</v>
      </c>
      <c r="G347" s="135"/>
      <c r="H347" s="135"/>
      <c r="I347" s="135"/>
      <c r="J347" s="135"/>
      <c r="K347" s="135"/>
      <c r="L347" s="135"/>
      <c r="M347" s="135" t="s">
        <v>75</v>
      </c>
      <c r="N347" s="135"/>
      <c r="O347" s="149"/>
      <c r="P347" s="120" t="str">
        <f>IFERROR(VLOOKUP(Table1[RespondentID],'All Data'!$A$3:$CO$999,87,FALSE),"unknown")</f>
        <v>Man</v>
      </c>
      <c r="Q347" s="120">
        <f>IFERROR(VLOOKUP(Table1[RespondentID],'All Data'!$A$3:$CO$999,88,FALSE),"unknown")</f>
        <v>54</v>
      </c>
      <c r="R347" s="120" t="str">
        <f>IFERROR(VLOOKUP(Table1[RespondentID],'All Data'!$A$3:$CO$999,89,FALSE),"unknown")</f>
        <v>Suffolk</v>
      </c>
      <c r="S347" s="120" t="str">
        <f>IFERROR(VLOOKUP(Table1[RespondentID],'All Data'!$A$3:$CO$999,90,FALSE),"unknown")</f>
        <v>Halesite, 11743</v>
      </c>
      <c r="T347" s="120" t="str">
        <f>IFERROR(VLOOKUP(Table1[RespondentID],'All Data'!$A$3:$CO$999,91,FALSE),"unknown")</f>
        <v>White</v>
      </c>
      <c r="U347" s="120" t="str">
        <f>IFERROR(VLOOKUP(Table1[RespondentID],'All Data'!$A$3:$CO$999,92,FALSE),"unknown")</f>
        <v>Hispanic or Latino</v>
      </c>
      <c r="V347" s="120" t="str">
        <f>IFERROR(VLOOKUP(Table1[RespondentID],'All Data'!$A$3:$CO$999,93,FALSE),"unknown")</f>
        <v>English</v>
      </c>
      <c r="W347" s="120" t="str">
        <f>IFERROR(VLOOKUP(Table1[RespondentID],'All Data'!$A$3:$CW$999,94,FALSE),"unknown")</f>
        <v>Over $125,000</v>
      </c>
      <c r="X347" s="120" t="str">
        <f>IFERROR(VLOOKUP(Table1[RespondentID],'All Data'!$A$3:$CW$999,95,FALSE),"unknown")</f>
        <v>Some college</v>
      </c>
      <c r="Y347" s="120">
        <f>IFERROR(VLOOKUP(Table1[RespondentID],'All Data'!$A$3:$CW$999,96,FALSE),"unknown")</f>
        <v>0</v>
      </c>
      <c r="Z347" s="120" t="str">
        <f>IFERROR(VLOOKUP(Table1[RespondentID],'All Data'!$A$3:$CW$999,97,FALSE),"unknown")</f>
        <v>Employed for wages</v>
      </c>
      <c r="AA347" s="120">
        <f>IFERROR(VLOOKUP(Table1[RespondentID],'All Data'!$A$3:$CW$999,98,FALSE),"unknown")</f>
        <v>0</v>
      </c>
      <c r="AB347" s="150">
        <f>IFERROR(VLOOKUP(Table1[RespondentID],'All Data'!$A$3:$CW$999,99,FALSE),"unknown")</f>
        <v>0</v>
      </c>
    </row>
    <row r="348" spans="1:28">
      <c r="A348" s="149">
        <v>18019100304</v>
      </c>
      <c r="B348" s="134"/>
      <c r="C348" s="135"/>
      <c r="D348" s="135"/>
      <c r="E348" s="135" t="s">
        <v>67</v>
      </c>
      <c r="F348" s="135"/>
      <c r="G348" s="135" t="s">
        <v>69</v>
      </c>
      <c r="H348" s="135"/>
      <c r="I348" s="135" t="s">
        <v>71</v>
      </c>
      <c r="J348" s="135"/>
      <c r="K348" s="135"/>
      <c r="L348" s="135"/>
      <c r="M348" s="135"/>
      <c r="N348" s="135"/>
      <c r="O348" s="149"/>
      <c r="P348" s="120" t="str">
        <f>IFERROR(VLOOKUP(Table1[RespondentID],'All Data'!$A$3:$CO$999,87,FALSE),"unknown")</f>
        <v>Woman</v>
      </c>
      <c r="Q348" s="120">
        <f>IFERROR(VLOOKUP(Table1[RespondentID],'All Data'!$A$3:$CO$999,88,FALSE),"unknown")</f>
        <v>16</v>
      </c>
      <c r="R348" s="120" t="str">
        <f>IFERROR(VLOOKUP(Table1[RespondentID],'All Data'!$A$3:$CO$999,89,FALSE),"unknown")</f>
        <v>Suffolk</v>
      </c>
      <c r="S348" s="120" t="str">
        <f>IFERROR(VLOOKUP(Table1[RespondentID],'All Data'!$A$3:$CO$999,90,FALSE),"unknown")</f>
        <v>Commack, 11725</v>
      </c>
      <c r="T348" s="120" t="str">
        <f>IFERROR(VLOOKUP(Table1[RespondentID],'All Data'!$A$3:$CO$999,91,FALSE),"unknown")</f>
        <v>White</v>
      </c>
      <c r="U348" s="120" t="str">
        <f>IFERROR(VLOOKUP(Table1[RespondentID],'All Data'!$A$3:$CO$999,92,FALSE),"unknown")</f>
        <v>Hispanic or Latino</v>
      </c>
      <c r="V348" s="120" t="str">
        <f>IFERROR(VLOOKUP(Table1[RespondentID],'All Data'!$A$3:$CO$999,93,FALSE),"unknown")</f>
        <v>English</v>
      </c>
      <c r="W348" s="120" t="str">
        <f>IFERROR(VLOOKUP(Table1[RespondentID],'All Data'!$A$3:$CW$999,94,FALSE),"unknown")</f>
        <v>$50,000 to $74,999</v>
      </c>
      <c r="X348" s="120" t="str">
        <f>IFERROR(VLOOKUP(Table1[RespondentID],'All Data'!$A$3:$CW$999,95,FALSE),"unknown")</f>
        <v>Some high school</v>
      </c>
      <c r="Y348" s="120">
        <f>IFERROR(VLOOKUP(Table1[RespondentID],'All Data'!$A$3:$CW$999,96,FALSE),"unknown")</f>
        <v>0</v>
      </c>
      <c r="Z348" s="120" t="str">
        <f>IFERROR(VLOOKUP(Table1[RespondentID],'All Data'!$A$3:$CW$999,97,FALSE),"unknown")</f>
        <v>Employed for wages</v>
      </c>
      <c r="AA348" s="120">
        <f>IFERROR(VLOOKUP(Table1[RespondentID],'All Data'!$A$3:$CW$999,98,FALSE),"unknown")</f>
        <v>0</v>
      </c>
      <c r="AB348" s="150">
        <f>IFERROR(VLOOKUP(Table1[RespondentID],'All Data'!$A$3:$CW$999,99,FALSE),"unknown")</f>
        <v>0</v>
      </c>
    </row>
    <row r="349" spans="1:28">
      <c r="A349" s="149">
        <v>18019100026</v>
      </c>
      <c r="B349" s="134"/>
      <c r="C349" s="135"/>
      <c r="D349" s="135" t="s">
        <v>66</v>
      </c>
      <c r="E349" s="135"/>
      <c r="F349" s="135"/>
      <c r="G349" s="135" t="s">
        <v>69</v>
      </c>
      <c r="H349" s="135"/>
      <c r="I349" s="135"/>
      <c r="J349" s="135"/>
      <c r="K349" s="135"/>
      <c r="L349" s="135"/>
      <c r="M349" s="135" t="s">
        <v>75</v>
      </c>
      <c r="N349" s="135"/>
      <c r="O349" s="149"/>
      <c r="P349" s="120" t="str">
        <f>IFERROR(VLOOKUP(Table1[RespondentID],'All Data'!$A$3:$CO$999,87,FALSE),"unknown")</f>
        <v>Woman</v>
      </c>
      <c r="Q349" s="120">
        <f>IFERROR(VLOOKUP(Table1[RespondentID],'All Data'!$A$3:$CO$999,88,FALSE),"unknown")</f>
        <v>73</v>
      </c>
      <c r="R349" s="120" t="str">
        <f>IFERROR(VLOOKUP(Table1[RespondentID],'All Data'!$A$3:$CO$999,89,FALSE),"unknown")</f>
        <v>Suffolk</v>
      </c>
      <c r="S349" s="120" t="str">
        <f>IFERROR(VLOOKUP(Table1[RespondentID],'All Data'!$A$3:$CO$999,90,FALSE),"unknown")</f>
        <v>Commack, 11725</v>
      </c>
      <c r="T349" s="120" t="str">
        <f>IFERROR(VLOOKUP(Table1[RespondentID],'All Data'!$A$3:$CO$999,91,FALSE),"unknown")</f>
        <v>Asian</v>
      </c>
      <c r="U349" s="120" t="str">
        <f>IFERROR(VLOOKUP(Table1[RespondentID],'All Data'!$A$3:$CO$999,92,FALSE),"unknown")</f>
        <v>Not Hispanic or Latino</v>
      </c>
      <c r="V349" s="120" t="str">
        <f>IFERROR(VLOOKUP(Table1[RespondentID],'All Data'!$A$3:$CO$999,93,FALSE),"unknown")</f>
        <v>English,Spanish,Italian,</v>
      </c>
      <c r="W349" s="120" t="str">
        <f>IFERROR(VLOOKUP(Table1[RespondentID],'All Data'!$A$3:$CW$999,94,FALSE),"unknown")</f>
        <v>$75,000 to $125,000</v>
      </c>
      <c r="X349" s="120" t="str">
        <f>IFERROR(VLOOKUP(Table1[RespondentID],'All Data'!$A$3:$CW$999,95,FALSE),"unknown")</f>
        <v>College graduate</v>
      </c>
      <c r="Y349" s="120">
        <f>IFERROR(VLOOKUP(Table1[RespondentID],'All Data'!$A$3:$CW$999,96,FALSE),"unknown")</f>
        <v>0</v>
      </c>
      <c r="Z349" s="120" t="str">
        <f>IFERROR(VLOOKUP(Table1[RespondentID],'All Data'!$A$3:$CW$999,97,FALSE),"unknown")</f>
        <v>Employed for wages</v>
      </c>
      <c r="AA349" s="120">
        <f>IFERROR(VLOOKUP(Table1[RespondentID],'All Data'!$A$3:$CW$999,98,FALSE),"unknown")</f>
        <v>0</v>
      </c>
      <c r="AB349" s="150">
        <f>IFERROR(VLOOKUP(Table1[RespondentID],'All Data'!$A$3:$CW$999,99,FALSE),"unknown")</f>
        <v>0</v>
      </c>
    </row>
    <row r="350" spans="1:28">
      <c r="A350" s="149">
        <v>18019099617</v>
      </c>
      <c r="B350" s="134" t="s">
        <v>64</v>
      </c>
      <c r="C350" s="135"/>
      <c r="D350" s="135"/>
      <c r="E350" s="135"/>
      <c r="F350" s="135"/>
      <c r="G350" s="135"/>
      <c r="H350" s="135"/>
      <c r="I350" s="135"/>
      <c r="J350" s="135"/>
      <c r="K350" s="135" t="s">
        <v>73</v>
      </c>
      <c r="L350" s="135"/>
      <c r="M350" s="135" t="s">
        <v>75</v>
      </c>
      <c r="N350" s="135"/>
      <c r="O350" s="149"/>
      <c r="P350" s="120" t="str">
        <f>IFERROR(VLOOKUP(Table1[RespondentID],'All Data'!$A$3:$CO$999,87,FALSE),"unknown")</f>
        <v>Man</v>
      </c>
      <c r="Q350" s="120">
        <f>IFERROR(VLOOKUP(Table1[RespondentID],'All Data'!$A$3:$CO$999,88,FALSE),"unknown")</f>
        <v>87</v>
      </c>
      <c r="R350" s="120" t="str">
        <f>IFERROR(VLOOKUP(Table1[RespondentID],'All Data'!$A$3:$CO$999,89,FALSE),"unknown")</f>
        <v>Suffolk</v>
      </c>
      <c r="S350" s="120" t="str">
        <f>IFERROR(VLOOKUP(Table1[RespondentID],'All Data'!$A$3:$CO$999,90,FALSE),"unknown")</f>
        <v>Smithtown, 11787</v>
      </c>
      <c r="T350" s="120" t="str">
        <f>IFERROR(VLOOKUP(Table1[RespondentID],'All Data'!$A$3:$CO$999,91,FALSE),"unknown")</f>
        <v>White</v>
      </c>
      <c r="U350" s="120">
        <f>IFERROR(VLOOKUP(Table1[RespondentID],'All Data'!$A$3:$CO$999,92,FALSE),"unknown")</f>
        <v>0</v>
      </c>
      <c r="V350" s="120" t="str">
        <f>IFERROR(VLOOKUP(Table1[RespondentID],'All Data'!$A$3:$CO$999,93,FALSE),"unknown")</f>
        <v>English,Spanish</v>
      </c>
      <c r="W350" s="120" t="str">
        <f>IFERROR(VLOOKUP(Table1[RespondentID],'All Data'!$A$3:$CW$999,94,FALSE),"unknown")</f>
        <v>$75,000 to $125,000</v>
      </c>
      <c r="X350" s="120" t="str">
        <f>IFERROR(VLOOKUP(Table1[RespondentID],'All Data'!$A$3:$CW$999,95,FALSE),"unknown")</f>
        <v>College graduate</v>
      </c>
      <c r="Y350" s="120">
        <f>IFERROR(VLOOKUP(Table1[RespondentID],'All Data'!$A$3:$CW$999,96,FALSE),"unknown")</f>
        <v>0</v>
      </c>
      <c r="Z350" s="120" t="str">
        <f>IFERROR(VLOOKUP(Table1[RespondentID],'All Data'!$A$3:$CW$999,97,FALSE),"unknown")</f>
        <v>Retired</v>
      </c>
      <c r="AA350" s="120">
        <f>IFERROR(VLOOKUP(Table1[RespondentID],'All Data'!$A$3:$CW$999,98,FALSE),"unknown")</f>
        <v>0</v>
      </c>
      <c r="AB350" s="150">
        <f>IFERROR(VLOOKUP(Table1[RespondentID],'All Data'!$A$3:$CW$999,99,FALSE),"unknown")</f>
        <v>0</v>
      </c>
    </row>
    <row r="351" spans="1:28">
      <c r="A351" s="149">
        <v>18019099122</v>
      </c>
      <c r="B351" s="134"/>
      <c r="C351" s="135"/>
      <c r="D351" s="135"/>
      <c r="E351" s="135"/>
      <c r="F351" s="135"/>
      <c r="G351" s="135"/>
      <c r="H351" s="135"/>
      <c r="I351" s="135"/>
      <c r="J351" s="135"/>
      <c r="K351" s="135"/>
      <c r="L351" s="135"/>
      <c r="M351" s="135"/>
      <c r="N351" s="135"/>
      <c r="O351" s="149"/>
      <c r="P351" s="120" t="str">
        <f>IFERROR(VLOOKUP(Table1[RespondentID],'All Data'!$A$3:$CO$999,87,FALSE),"unknown")</f>
        <v>Woman</v>
      </c>
      <c r="Q351" s="120">
        <f>IFERROR(VLOOKUP(Table1[RespondentID],'All Data'!$A$3:$CO$999,88,FALSE),"unknown")</f>
        <v>47</v>
      </c>
      <c r="R351" s="120" t="str">
        <f>IFERROR(VLOOKUP(Table1[RespondentID],'All Data'!$A$3:$CO$999,89,FALSE),"unknown")</f>
        <v>Suffolk</v>
      </c>
      <c r="S351" s="120" t="str">
        <f>IFERROR(VLOOKUP(Table1[RespondentID],'All Data'!$A$3:$CO$999,90,FALSE),"unknown")</f>
        <v>Smithtown, 11787</v>
      </c>
      <c r="T351" s="120" t="str">
        <f>IFERROR(VLOOKUP(Table1[RespondentID],'All Data'!$A$3:$CO$999,91,FALSE),"unknown")</f>
        <v>Asian</v>
      </c>
      <c r="U351" s="120" t="str">
        <f>IFERROR(VLOOKUP(Table1[RespondentID],'All Data'!$A$3:$CO$999,92,FALSE),"unknown")</f>
        <v>Not Hispanic or Latino</v>
      </c>
      <c r="V351" s="120" t="str">
        <f>IFERROR(VLOOKUP(Table1[RespondentID],'All Data'!$A$3:$CO$999,93,FALSE),"unknown")</f>
        <v>English,Spanish</v>
      </c>
      <c r="W351" s="120" t="str">
        <f>IFERROR(VLOOKUP(Table1[RespondentID],'All Data'!$A$3:$CW$999,94,FALSE),"unknown")</f>
        <v>$75,000 to $125,000</v>
      </c>
      <c r="X351" s="120" t="str">
        <f>IFERROR(VLOOKUP(Table1[RespondentID],'All Data'!$A$3:$CW$999,95,FALSE),"unknown")</f>
        <v>College graduate</v>
      </c>
      <c r="Y351" s="120">
        <f>IFERROR(VLOOKUP(Table1[RespondentID],'All Data'!$A$3:$CW$999,96,FALSE),"unknown")</f>
        <v>0</v>
      </c>
      <c r="Z351" s="120" t="str">
        <f>IFERROR(VLOOKUP(Table1[RespondentID],'All Data'!$A$3:$CW$999,97,FALSE),"unknown")</f>
        <v>Employed for wages</v>
      </c>
      <c r="AA351" s="120">
        <f>IFERROR(VLOOKUP(Table1[RespondentID],'All Data'!$A$3:$CW$999,98,FALSE),"unknown")</f>
        <v>0</v>
      </c>
      <c r="AB351" s="150">
        <f>IFERROR(VLOOKUP(Table1[RespondentID],'All Data'!$A$3:$CW$999,99,FALSE),"unknown")</f>
        <v>0</v>
      </c>
    </row>
    <row r="352" spans="1:28">
      <c r="A352" s="149">
        <v>18019098909</v>
      </c>
      <c r="B352" s="134" t="s">
        <v>64</v>
      </c>
      <c r="C352" s="135"/>
      <c r="D352" s="135"/>
      <c r="E352" s="135"/>
      <c r="F352" s="135"/>
      <c r="G352" s="135"/>
      <c r="H352" s="135"/>
      <c r="I352" s="135"/>
      <c r="J352" s="135"/>
      <c r="K352" s="135"/>
      <c r="L352" s="135"/>
      <c r="M352" s="135"/>
      <c r="N352" s="135"/>
      <c r="O352" s="149"/>
      <c r="P352" s="120" t="str">
        <f>IFERROR(VLOOKUP(Table1[RespondentID],'All Data'!$A$3:$CO$999,87,FALSE),"unknown")</f>
        <v>Man</v>
      </c>
      <c r="Q352" s="120">
        <f>IFERROR(VLOOKUP(Table1[RespondentID],'All Data'!$A$3:$CO$999,88,FALSE),"unknown")</f>
        <v>35</v>
      </c>
      <c r="R352" s="120" t="str">
        <f>IFERROR(VLOOKUP(Table1[RespondentID],'All Data'!$A$3:$CO$999,89,FALSE),"unknown")</f>
        <v>Suffolk</v>
      </c>
      <c r="S352" s="120" t="str">
        <f>IFERROR(VLOOKUP(Table1[RespondentID],'All Data'!$A$3:$CO$999,90,FALSE),"unknown")</f>
        <v>Middle Island, 11953</v>
      </c>
      <c r="T352" s="120" t="str">
        <f>IFERROR(VLOOKUP(Table1[RespondentID],'All Data'!$A$3:$CO$999,91,FALSE),"unknown")</f>
        <v>White</v>
      </c>
      <c r="U352" s="120" t="str">
        <f>IFERROR(VLOOKUP(Table1[RespondentID],'All Data'!$A$3:$CO$999,92,FALSE),"unknown")</f>
        <v>Hispanic or Latino</v>
      </c>
      <c r="V352" s="120" t="str">
        <f>IFERROR(VLOOKUP(Table1[RespondentID],'All Data'!$A$3:$CO$999,93,FALSE),"unknown")</f>
        <v>English,Spanish</v>
      </c>
      <c r="W352" s="120" t="str">
        <f>IFERROR(VLOOKUP(Table1[RespondentID],'All Data'!$A$3:$CW$999,94,FALSE),"unknown")</f>
        <v>Over $125,000</v>
      </c>
      <c r="X352" s="120" t="str">
        <f>IFERROR(VLOOKUP(Table1[RespondentID],'All Data'!$A$3:$CW$999,95,FALSE),"unknown")</f>
        <v>Doctorate</v>
      </c>
      <c r="Y352" s="120">
        <f>IFERROR(VLOOKUP(Table1[RespondentID],'All Data'!$A$3:$CW$999,96,FALSE),"unknown")</f>
        <v>0</v>
      </c>
      <c r="Z352" s="120" t="str">
        <f>IFERROR(VLOOKUP(Table1[RespondentID],'All Data'!$A$3:$CW$999,97,FALSE),"unknown")</f>
        <v>Employed for wages</v>
      </c>
      <c r="AA352" s="120">
        <f>IFERROR(VLOOKUP(Table1[RespondentID],'All Data'!$A$3:$CW$999,98,FALSE),"unknown")</f>
        <v>0</v>
      </c>
      <c r="AB352" s="150">
        <f>IFERROR(VLOOKUP(Table1[RespondentID],'All Data'!$A$3:$CW$999,99,FALSE),"unknown")</f>
        <v>0</v>
      </c>
    </row>
    <row r="353" spans="1:28">
      <c r="A353" s="149">
        <v>18018901331</v>
      </c>
      <c r="B353" s="134"/>
      <c r="C353" s="135"/>
      <c r="D353" s="135" t="s">
        <v>66</v>
      </c>
      <c r="E353" s="135" t="s">
        <v>67</v>
      </c>
      <c r="F353" s="135"/>
      <c r="G353" s="135"/>
      <c r="H353" s="135"/>
      <c r="I353" s="135"/>
      <c r="J353" s="135"/>
      <c r="K353" s="135"/>
      <c r="L353" s="135"/>
      <c r="M353" s="135" t="s">
        <v>75</v>
      </c>
      <c r="N353" s="135"/>
      <c r="O353" s="149"/>
      <c r="P353" s="120" t="str">
        <f>IFERROR(VLOOKUP(Table1[RespondentID],'All Data'!$A$3:$CO$999,87,FALSE),"unknown")</f>
        <v>Woman</v>
      </c>
      <c r="Q353" s="120">
        <f>IFERROR(VLOOKUP(Table1[RespondentID],'All Data'!$A$3:$CO$999,88,FALSE),"unknown")</f>
        <v>31</v>
      </c>
      <c r="R353" s="120">
        <f>IFERROR(VLOOKUP(Table1[RespondentID],'All Data'!$A$3:$CO$999,89,FALSE),"unknown")</f>
        <v>0</v>
      </c>
      <c r="S353" s="120" t="str">
        <f>IFERROR(VLOOKUP(Table1[RespondentID],'All Data'!$A$3:$CO$999,90,FALSE),"unknown")</f>
        <v>Garden City, 11536</v>
      </c>
      <c r="T353" s="120" t="str">
        <f>IFERROR(VLOOKUP(Table1[RespondentID],'All Data'!$A$3:$CO$999,91,FALSE),"unknown")</f>
        <v>White</v>
      </c>
      <c r="U353" s="120" t="str">
        <f>IFERROR(VLOOKUP(Table1[RespondentID],'All Data'!$A$3:$CO$999,92,FALSE),"unknown")</f>
        <v>Not Hispanic or Latino</v>
      </c>
      <c r="V353" s="120" t="str">
        <f>IFERROR(VLOOKUP(Table1[RespondentID],'All Data'!$A$3:$CO$999,93,FALSE),"unknown")</f>
        <v>Italian</v>
      </c>
      <c r="W353" s="120" t="str">
        <f>IFERROR(VLOOKUP(Table1[RespondentID],'All Data'!$A$3:$CW$999,94,FALSE),"unknown")</f>
        <v>$20,000 to $34,999</v>
      </c>
      <c r="X353" s="120" t="str">
        <f>IFERROR(VLOOKUP(Table1[RespondentID],'All Data'!$A$3:$CW$999,95,FALSE),"unknown")</f>
        <v>Some high school</v>
      </c>
      <c r="Y353" s="120">
        <f>IFERROR(VLOOKUP(Table1[RespondentID],'All Data'!$A$3:$CW$999,96,FALSE),"unknown")</f>
        <v>0</v>
      </c>
      <c r="Z353" s="120" t="str">
        <f>IFERROR(VLOOKUP(Table1[RespondentID],'All Data'!$A$3:$CW$999,97,FALSE),"unknown")</f>
        <v>Out of work and looking for work</v>
      </c>
      <c r="AA353" s="120">
        <f>IFERROR(VLOOKUP(Table1[RespondentID],'All Data'!$A$3:$CW$999,98,FALSE),"unknown")</f>
        <v>0</v>
      </c>
      <c r="AB353" s="150" t="str">
        <f>IFERROR(VLOOKUP(Table1[RespondentID],'All Data'!$A$3:$CW$999,99,FALSE),"unknown")</f>
        <v>No</v>
      </c>
    </row>
    <row r="354" spans="1:28">
      <c r="A354" s="149">
        <v>18018148216</v>
      </c>
      <c r="B354" s="134" t="s">
        <v>64</v>
      </c>
      <c r="C354" s="135"/>
      <c r="D354" s="135"/>
      <c r="E354" s="135" t="s">
        <v>67</v>
      </c>
      <c r="F354" s="135"/>
      <c r="G354" s="135"/>
      <c r="H354" s="135"/>
      <c r="I354" s="135"/>
      <c r="J354" s="135"/>
      <c r="K354" s="135"/>
      <c r="L354" s="135"/>
      <c r="M354" s="135"/>
      <c r="N354" s="135"/>
      <c r="O354" s="149"/>
      <c r="P354" s="120" t="str">
        <f>IFERROR(VLOOKUP(Table1[RespondentID],'All Data'!$A$3:$CO$999,87,FALSE),"unknown")</f>
        <v>Woman</v>
      </c>
      <c r="Q354" s="120">
        <f>IFERROR(VLOOKUP(Table1[RespondentID],'All Data'!$A$3:$CO$999,88,FALSE),"unknown")</f>
        <v>68</v>
      </c>
      <c r="R354" s="120">
        <f>IFERROR(VLOOKUP(Table1[RespondentID],'All Data'!$A$3:$CO$999,89,FALSE),"unknown")</f>
        <v>0</v>
      </c>
      <c r="S354" s="120">
        <f>IFERROR(VLOOKUP(Table1[RespondentID],'All Data'!$A$3:$CO$999,90,FALSE),"unknown")</f>
        <v>0</v>
      </c>
      <c r="T354" s="120">
        <f>IFERROR(VLOOKUP(Table1[RespondentID],'All Data'!$A$3:$CO$999,91,FALSE),"unknown")</f>
        <v>0</v>
      </c>
      <c r="U354" s="120">
        <f>IFERROR(VLOOKUP(Table1[RespondentID],'All Data'!$A$3:$CO$999,92,FALSE),"unknown")</f>
        <v>0</v>
      </c>
      <c r="V354" s="120">
        <f>IFERROR(VLOOKUP(Table1[RespondentID],'All Data'!$A$3:$CO$999,93,FALSE),"unknown")</f>
        <v>0</v>
      </c>
      <c r="W354" s="120">
        <f>IFERROR(VLOOKUP(Table1[RespondentID],'All Data'!$A$3:$CW$999,94,FALSE),"unknown")</f>
        <v>0</v>
      </c>
      <c r="X354" s="120">
        <f>IFERROR(VLOOKUP(Table1[RespondentID],'All Data'!$A$3:$CW$999,95,FALSE),"unknown")</f>
        <v>0</v>
      </c>
      <c r="Y354" s="120">
        <f>IFERROR(VLOOKUP(Table1[RespondentID],'All Data'!$A$3:$CW$999,96,FALSE),"unknown")</f>
        <v>0</v>
      </c>
      <c r="Z354" s="120">
        <f>IFERROR(VLOOKUP(Table1[RespondentID],'All Data'!$A$3:$CW$999,97,FALSE),"unknown")</f>
        <v>0</v>
      </c>
      <c r="AA354" s="120">
        <f>IFERROR(VLOOKUP(Table1[RespondentID],'All Data'!$A$3:$CW$999,98,FALSE),"unknown")</f>
        <v>0</v>
      </c>
      <c r="AB354" s="150">
        <f>IFERROR(VLOOKUP(Table1[RespondentID],'All Data'!$A$3:$CW$999,99,FALSE),"unknown")</f>
        <v>0</v>
      </c>
    </row>
    <row r="355" spans="1:28">
      <c r="A355" s="149">
        <v>18014643757</v>
      </c>
      <c r="B355" s="134"/>
      <c r="C355" s="135" t="s">
        <v>65</v>
      </c>
      <c r="D355" s="135"/>
      <c r="E355" s="135"/>
      <c r="F355" s="135"/>
      <c r="G355" s="135"/>
      <c r="H355" s="135"/>
      <c r="I355" s="135"/>
      <c r="J355" s="135"/>
      <c r="K355" s="135"/>
      <c r="L355" s="135"/>
      <c r="M355" s="135"/>
      <c r="N355" s="135"/>
      <c r="O355" s="149"/>
      <c r="P355" s="120">
        <f>IFERROR(VLOOKUP(Table1[RespondentID],'All Data'!$A$3:$CO$999,87,FALSE),"unknown")</f>
        <v>0</v>
      </c>
      <c r="Q355" s="120">
        <f>IFERROR(VLOOKUP(Table1[RespondentID],'All Data'!$A$3:$CO$999,88,FALSE),"unknown")</f>
        <v>0</v>
      </c>
      <c r="R355" s="120">
        <f>IFERROR(VLOOKUP(Table1[RespondentID],'All Data'!$A$3:$CO$999,89,FALSE),"unknown")</f>
        <v>0</v>
      </c>
      <c r="S355" s="120">
        <f>IFERROR(VLOOKUP(Table1[RespondentID],'All Data'!$A$3:$CO$999,90,FALSE),"unknown")</f>
        <v>0</v>
      </c>
      <c r="T355" s="120">
        <f>IFERROR(VLOOKUP(Table1[RespondentID],'All Data'!$A$3:$CO$999,91,FALSE),"unknown")</f>
        <v>0</v>
      </c>
      <c r="U355" s="120">
        <f>IFERROR(VLOOKUP(Table1[RespondentID],'All Data'!$A$3:$CO$999,92,FALSE),"unknown")</f>
        <v>0</v>
      </c>
      <c r="V355" s="120">
        <f>IFERROR(VLOOKUP(Table1[RespondentID],'All Data'!$A$3:$CO$999,93,FALSE),"unknown")</f>
        <v>0</v>
      </c>
      <c r="W355" s="120">
        <f>IFERROR(VLOOKUP(Table1[RespondentID],'All Data'!$A$3:$CW$999,94,FALSE),"unknown")</f>
        <v>0</v>
      </c>
      <c r="X355" s="120">
        <f>IFERROR(VLOOKUP(Table1[RespondentID],'All Data'!$A$3:$CW$999,95,FALSE),"unknown")</f>
        <v>0</v>
      </c>
      <c r="Y355" s="120">
        <f>IFERROR(VLOOKUP(Table1[RespondentID],'All Data'!$A$3:$CW$999,96,FALSE),"unknown")</f>
        <v>0</v>
      </c>
      <c r="Z355" s="120">
        <f>IFERROR(VLOOKUP(Table1[RespondentID],'All Data'!$A$3:$CW$999,97,FALSE),"unknown")</f>
        <v>0</v>
      </c>
      <c r="AA355" s="120">
        <f>IFERROR(VLOOKUP(Table1[RespondentID],'All Data'!$A$3:$CW$999,98,FALSE),"unknown")</f>
        <v>0</v>
      </c>
      <c r="AB355" s="150">
        <f>IFERROR(VLOOKUP(Table1[RespondentID],'All Data'!$A$3:$CW$999,99,FALSE),"unknown")</f>
        <v>0</v>
      </c>
    </row>
    <row r="356" spans="1:28">
      <c r="A356" s="149">
        <v>114107008144</v>
      </c>
      <c r="B356" s="134" t="s">
        <v>64</v>
      </c>
      <c r="C356" s="135"/>
      <c r="D356" s="135"/>
      <c r="E356" s="135"/>
      <c r="F356" s="135"/>
      <c r="G356" s="135"/>
      <c r="H356" s="135" t="s">
        <v>70</v>
      </c>
      <c r="I356" s="135"/>
      <c r="J356" s="135"/>
      <c r="K356" s="135" t="s">
        <v>73</v>
      </c>
      <c r="L356" s="135"/>
      <c r="M356" s="135" t="s">
        <v>75</v>
      </c>
      <c r="N356" s="135"/>
      <c r="O356" s="149"/>
      <c r="P356" s="120" t="str">
        <f>IFERROR(VLOOKUP(Table1[RespondentID],'All Data'!$A$3:$CO$999,87,FALSE),"unknown")</f>
        <v>Man</v>
      </c>
      <c r="Q356" s="120">
        <f>IFERROR(VLOOKUP(Table1[RespondentID],'All Data'!$A$3:$CO$999,88,FALSE),"unknown")</f>
        <v>0</v>
      </c>
      <c r="R356" s="120" t="str">
        <f>IFERROR(VLOOKUP(Table1[RespondentID],'All Data'!$A$3:$CO$999,89,FALSE),"unknown")</f>
        <v>Queens</v>
      </c>
      <c r="S356" s="120">
        <f>IFERROR(VLOOKUP(Table1[RespondentID],'All Data'!$A$3:$CO$999,90,FALSE),"unknown")</f>
        <v>22407</v>
      </c>
      <c r="T356" s="120" t="str">
        <f>IFERROR(VLOOKUP(Table1[RespondentID],'All Data'!$A$3:$CO$999,91,FALSE),"unknown")</f>
        <v>White</v>
      </c>
      <c r="U356" s="120" t="str">
        <f>IFERROR(VLOOKUP(Table1[RespondentID],'All Data'!$A$3:$CO$999,92,FALSE),"unknown")</f>
        <v>Not Hispanic or Latino</v>
      </c>
      <c r="V356" s="120" t="str">
        <f>IFERROR(VLOOKUP(Table1[RespondentID],'All Data'!$A$3:$CO$999,93,FALSE),"unknown")</f>
        <v>English</v>
      </c>
      <c r="W356" s="120" t="str">
        <f>IFERROR(VLOOKUP(Table1[RespondentID],'All Data'!$A$3:$CW$999,94,FALSE),"unknown")</f>
        <v>Over $125,000</v>
      </c>
      <c r="X356" s="120" t="str">
        <f>IFERROR(VLOOKUP(Table1[RespondentID],'All Data'!$A$3:$CW$999,95,FALSE),"unknown")</f>
        <v>College graduate</v>
      </c>
      <c r="Y356" s="120" t="str">
        <f>IFERROR(VLOOKUP(Table1[RespondentID],'All Data'!$A$3:$CW$999,96,FALSE),"unknown")</f>
        <v>Employed for wages</v>
      </c>
      <c r="Z356" s="120" t="str">
        <f>IFERROR(VLOOKUP(Table1[RespondentID],'All Data'!$A$3:$CW$999,97,FALSE),"unknown")</f>
        <v>Yes</v>
      </c>
      <c r="AA356" s="120" t="str">
        <f>IFERROR(VLOOKUP(Table1[RespondentID],'All Data'!$A$3:$CW$999,98,FALSE),"unknown")</f>
        <v>Medicaid,Medicare</v>
      </c>
      <c r="AB356" s="150" t="str">
        <f>IFERROR(VLOOKUP(Table1[RespondentID],'All Data'!$A$3:$CW$999,99,FALSE),"unknown")</f>
        <v>Yes</v>
      </c>
    </row>
    <row r="357" spans="1:28">
      <c r="A357" s="149">
        <v>114106902413</v>
      </c>
      <c r="B357" s="134"/>
      <c r="C357" s="135"/>
      <c r="D357" s="135"/>
      <c r="E357" s="135"/>
      <c r="F357" s="135"/>
      <c r="G357" s="135"/>
      <c r="H357" s="135"/>
      <c r="I357" s="135"/>
      <c r="J357" s="135"/>
      <c r="K357" s="135"/>
      <c r="L357" s="135"/>
      <c r="M357" s="135" t="s">
        <v>75</v>
      </c>
      <c r="N357" s="135"/>
      <c r="O357" s="149"/>
      <c r="P357" s="120" t="str">
        <f>IFERROR(VLOOKUP(Table1[RespondentID],'All Data'!$A$3:$CO$999,87,FALSE),"unknown")</f>
        <v>Man</v>
      </c>
      <c r="Q357" s="120">
        <f>IFERROR(VLOOKUP(Table1[RespondentID],'All Data'!$A$3:$CO$999,88,FALSE),"unknown")</f>
        <v>0</v>
      </c>
      <c r="R357" s="120" t="str">
        <f>IFERROR(VLOOKUP(Table1[RespondentID],'All Data'!$A$3:$CO$999,89,FALSE),"unknown")</f>
        <v>Suffolk</v>
      </c>
      <c r="S357" s="120" t="str">
        <f>IFERROR(VLOOKUP(Table1[RespondentID],'All Data'!$A$3:$CO$999,90,FALSE),"unknown")</f>
        <v>Babylon, 11702</v>
      </c>
      <c r="T357" s="120" t="str">
        <f>IFERROR(VLOOKUP(Table1[RespondentID],'All Data'!$A$3:$CO$999,91,FALSE),"unknown")</f>
        <v>White</v>
      </c>
      <c r="U357" s="120" t="str">
        <f>IFERROR(VLOOKUP(Table1[RespondentID],'All Data'!$A$3:$CO$999,92,FALSE),"unknown")</f>
        <v>Not Hispanic or Latino</v>
      </c>
      <c r="V357" s="120" t="str">
        <f>IFERROR(VLOOKUP(Table1[RespondentID],'All Data'!$A$3:$CO$999,93,FALSE),"unknown")</f>
        <v>English</v>
      </c>
      <c r="W357" s="120" t="str">
        <f>IFERROR(VLOOKUP(Table1[RespondentID],'All Data'!$A$3:$CW$999,94,FALSE),"unknown")</f>
        <v>$35,000 to $49,999</v>
      </c>
      <c r="X357" s="120" t="str">
        <f>IFERROR(VLOOKUP(Table1[RespondentID],'All Data'!$A$3:$CW$999,95,FALSE),"unknown")</f>
        <v>Some college</v>
      </c>
      <c r="Y357" s="120" t="str">
        <f>IFERROR(VLOOKUP(Table1[RespondentID],'All Data'!$A$3:$CW$999,96,FALSE),"unknown")</f>
        <v>Retired</v>
      </c>
      <c r="Z357" s="120" t="str">
        <f>IFERROR(VLOOKUP(Table1[RespondentID],'All Data'!$A$3:$CW$999,97,FALSE),"unknown")</f>
        <v>No</v>
      </c>
      <c r="AA357" s="120" t="str">
        <f>IFERROR(VLOOKUP(Table1[RespondentID],'All Data'!$A$3:$CW$999,98,FALSE),"unknown")</f>
        <v>No Insurance</v>
      </c>
      <c r="AB357" s="150" t="str">
        <f>IFERROR(VLOOKUP(Table1[RespondentID],'All Data'!$A$3:$CW$999,99,FALSE),"unknown")</f>
        <v>Yes</v>
      </c>
    </row>
    <row r="358" spans="1:28">
      <c r="A358" s="149">
        <v>114106901021</v>
      </c>
      <c r="B358" s="134" t="s">
        <v>64</v>
      </c>
      <c r="C358" s="135"/>
      <c r="D358" s="135"/>
      <c r="E358" s="135" t="s">
        <v>67</v>
      </c>
      <c r="F358" s="135"/>
      <c r="G358" s="135" t="s">
        <v>69</v>
      </c>
      <c r="H358" s="135"/>
      <c r="I358" s="135"/>
      <c r="J358" s="135"/>
      <c r="K358" s="135"/>
      <c r="L358" s="135"/>
      <c r="M358" s="135"/>
      <c r="N358" s="135"/>
      <c r="O358" s="149"/>
      <c r="P358" s="120" t="str">
        <f>IFERROR(VLOOKUP(Table1[RespondentID],'All Data'!$A$3:$CO$999,87,FALSE),"unknown")</f>
        <v>Man</v>
      </c>
      <c r="Q358" s="120">
        <f>IFERROR(VLOOKUP(Table1[RespondentID],'All Data'!$A$3:$CO$999,88,FALSE),"unknown")</f>
        <v>0</v>
      </c>
      <c r="R358" s="120" t="str">
        <f>IFERROR(VLOOKUP(Table1[RespondentID],'All Data'!$A$3:$CO$999,89,FALSE),"unknown")</f>
        <v>Suffolk</v>
      </c>
      <c r="S358" s="120" t="str">
        <f>IFERROR(VLOOKUP(Table1[RespondentID],'All Data'!$A$3:$CO$999,90,FALSE),"unknown")</f>
        <v>Huntington, 11743</v>
      </c>
      <c r="T358" s="120" t="str">
        <f>IFERROR(VLOOKUP(Table1[RespondentID],'All Data'!$A$3:$CO$999,91,FALSE),"unknown")</f>
        <v>White</v>
      </c>
      <c r="U358" s="120">
        <f>IFERROR(VLOOKUP(Table1[RespondentID],'All Data'!$A$3:$CO$999,92,FALSE),"unknown")</f>
        <v>0</v>
      </c>
      <c r="V358" s="120" t="str">
        <f>IFERROR(VLOOKUP(Table1[RespondentID],'All Data'!$A$3:$CO$999,93,FALSE),"unknown")</f>
        <v>English</v>
      </c>
      <c r="W358" s="120" t="str">
        <f>IFERROR(VLOOKUP(Table1[RespondentID],'All Data'!$A$3:$CW$999,94,FALSE),"unknown")</f>
        <v>$75,000 to $125,000</v>
      </c>
      <c r="X358" s="120" t="str">
        <f>IFERROR(VLOOKUP(Table1[RespondentID],'All Data'!$A$3:$CW$999,95,FALSE),"unknown")</f>
        <v>Some college</v>
      </c>
      <c r="Y358" s="120" t="str">
        <f>IFERROR(VLOOKUP(Table1[RespondentID],'All Data'!$A$3:$CW$999,96,FALSE),"unknown")</f>
        <v>Employed for wages</v>
      </c>
      <c r="Z358" s="120" t="str">
        <f>IFERROR(VLOOKUP(Table1[RespondentID],'All Data'!$A$3:$CW$999,97,FALSE),"unknown")</f>
        <v>Yes</v>
      </c>
      <c r="AA358" s="120">
        <f>IFERROR(VLOOKUP(Table1[RespondentID],'All Data'!$A$3:$CW$999,98,FALSE),"unknown")</f>
        <v>0</v>
      </c>
      <c r="AB358" s="150" t="str">
        <f>IFERROR(VLOOKUP(Table1[RespondentID],'All Data'!$A$3:$CW$999,99,FALSE),"unknown")</f>
        <v>Yes</v>
      </c>
    </row>
    <row r="359" spans="1:28">
      <c r="A359" s="149">
        <v>114106899755</v>
      </c>
      <c r="B359" s="134" t="s">
        <v>64</v>
      </c>
      <c r="C359" s="135"/>
      <c r="D359" s="135"/>
      <c r="E359" s="135"/>
      <c r="F359" s="135"/>
      <c r="G359" s="135"/>
      <c r="H359" s="135"/>
      <c r="I359" s="135"/>
      <c r="J359" s="135"/>
      <c r="K359" s="135"/>
      <c r="L359" s="135"/>
      <c r="M359" s="135"/>
      <c r="N359" s="135"/>
      <c r="O359" s="149"/>
      <c r="P359" s="120" t="str">
        <f>IFERROR(VLOOKUP(Table1[RespondentID],'All Data'!$A$3:$CO$999,87,FALSE),"unknown")</f>
        <v>Woman</v>
      </c>
      <c r="Q359" s="120">
        <f>IFERROR(VLOOKUP(Table1[RespondentID],'All Data'!$A$3:$CO$999,88,FALSE),"unknown")</f>
        <v>0</v>
      </c>
      <c r="R359" s="120" t="str">
        <f>IFERROR(VLOOKUP(Table1[RespondentID],'All Data'!$A$3:$CO$999,89,FALSE),"unknown")</f>
        <v>Suffolk</v>
      </c>
      <c r="S359" s="120" t="str">
        <f>IFERROR(VLOOKUP(Table1[RespondentID],'All Data'!$A$3:$CO$999,90,FALSE),"unknown")</f>
        <v>Babylon, 11703</v>
      </c>
      <c r="T359" s="120" t="str">
        <f>IFERROR(VLOOKUP(Table1[RespondentID],'All Data'!$A$3:$CO$999,91,FALSE),"unknown")</f>
        <v>White</v>
      </c>
      <c r="U359" s="120" t="str">
        <f>IFERROR(VLOOKUP(Table1[RespondentID],'All Data'!$A$3:$CO$999,92,FALSE),"unknown")</f>
        <v>Not Hispanic or Latino</v>
      </c>
      <c r="V359" s="120" t="str">
        <f>IFERROR(VLOOKUP(Table1[RespondentID],'All Data'!$A$3:$CO$999,93,FALSE),"unknown")</f>
        <v>English</v>
      </c>
      <c r="W359" s="120" t="str">
        <f>IFERROR(VLOOKUP(Table1[RespondentID],'All Data'!$A$3:$CW$999,94,FALSE),"unknown")</f>
        <v>$50,000 to $74,999</v>
      </c>
      <c r="X359" s="120" t="str">
        <f>IFERROR(VLOOKUP(Table1[RespondentID],'All Data'!$A$3:$CW$999,95,FALSE),"unknown")</f>
        <v>College graduate</v>
      </c>
      <c r="Y359" s="120" t="str">
        <f>IFERROR(VLOOKUP(Table1[RespondentID],'All Data'!$A$3:$CW$999,96,FALSE),"unknown")</f>
        <v>Employed for wages</v>
      </c>
      <c r="Z359" s="120" t="str">
        <f>IFERROR(VLOOKUP(Table1[RespondentID],'All Data'!$A$3:$CW$999,97,FALSE),"unknown")</f>
        <v>Yes</v>
      </c>
      <c r="AA359" s="120" t="str">
        <f>IFERROR(VLOOKUP(Table1[RespondentID],'All Data'!$A$3:$CW$999,98,FALSE),"unknown")</f>
        <v>Private/Commercial</v>
      </c>
      <c r="AB359" s="150" t="str">
        <f>IFERROR(VLOOKUP(Table1[RespondentID],'All Data'!$A$3:$CW$999,99,FALSE),"unknown")</f>
        <v>Yes</v>
      </c>
    </row>
    <row r="360" spans="1:28">
      <c r="A360" s="149">
        <v>114106893781</v>
      </c>
      <c r="B360" s="134" t="s">
        <v>64</v>
      </c>
      <c r="C360" s="135" t="s">
        <v>65</v>
      </c>
      <c r="D360" s="135"/>
      <c r="E360" s="135" t="s">
        <v>67</v>
      </c>
      <c r="F360" s="135"/>
      <c r="G360" s="135"/>
      <c r="H360" s="135"/>
      <c r="I360" s="135"/>
      <c r="J360" s="135"/>
      <c r="K360" s="135"/>
      <c r="L360" s="135"/>
      <c r="M360" s="135" t="s">
        <v>75</v>
      </c>
      <c r="N360" s="135"/>
      <c r="O360" s="149"/>
      <c r="P360" s="120" t="str">
        <f>IFERROR(VLOOKUP(Table1[RespondentID],'All Data'!$A$3:$CO$999,87,FALSE),"unknown")</f>
        <v>Man</v>
      </c>
      <c r="Q360" s="120">
        <f>IFERROR(VLOOKUP(Table1[RespondentID],'All Data'!$A$3:$CO$999,88,FALSE),"unknown")</f>
        <v>0</v>
      </c>
      <c r="R360" s="120" t="str">
        <f>IFERROR(VLOOKUP(Table1[RespondentID],'All Data'!$A$3:$CO$999,89,FALSE),"unknown")</f>
        <v>Suffolk</v>
      </c>
      <c r="S360" s="120" t="str">
        <f>IFERROR(VLOOKUP(Table1[RespondentID],'All Data'!$A$3:$CO$999,90,FALSE),"unknown")</f>
        <v>Babylon, 11703</v>
      </c>
      <c r="T360" s="120" t="str">
        <f>IFERROR(VLOOKUP(Table1[RespondentID],'All Data'!$A$3:$CO$999,91,FALSE),"unknown")</f>
        <v>White</v>
      </c>
      <c r="U360" s="120" t="str">
        <f>IFERROR(VLOOKUP(Table1[RespondentID],'All Data'!$A$3:$CO$999,92,FALSE),"unknown")</f>
        <v>Not Hispanic or Latino</v>
      </c>
      <c r="V360" s="120" t="str">
        <f>IFERROR(VLOOKUP(Table1[RespondentID],'All Data'!$A$3:$CO$999,93,FALSE),"unknown")</f>
        <v>English</v>
      </c>
      <c r="W360" s="120" t="str">
        <f>IFERROR(VLOOKUP(Table1[RespondentID],'All Data'!$A$3:$CW$999,94,FALSE),"unknown")</f>
        <v>$50,000 to $74,999</v>
      </c>
      <c r="X360" s="120" t="str">
        <f>IFERROR(VLOOKUP(Table1[RespondentID],'All Data'!$A$3:$CW$999,95,FALSE),"unknown")</f>
        <v>Some college</v>
      </c>
      <c r="Y360" s="120" t="str">
        <f>IFERROR(VLOOKUP(Table1[RespondentID],'All Data'!$A$3:$CW$999,96,FALSE),"unknown")</f>
        <v>Employed for wages</v>
      </c>
      <c r="Z360" s="120" t="str">
        <f>IFERROR(VLOOKUP(Table1[RespondentID],'All Data'!$A$3:$CW$999,97,FALSE),"unknown")</f>
        <v>Yes</v>
      </c>
      <c r="AA360" s="120" t="str">
        <f>IFERROR(VLOOKUP(Table1[RespondentID],'All Data'!$A$3:$CW$999,98,FALSE),"unknown")</f>
        <v>Private/Commercial</v>
      </c>
      <c r="AB360" s="150" t="str">
        <f>IFERROR(VLOOKUP(Table1[RespondentID],'All Data'!$A$3:$CW$999,99,FALSE),"unknown")</f>
        <v>Yes</v>
      </c>
    </row>
    <row r="361" spans="1:28">
      <c r="A361" s="149">
        <v>114098493520</v>
      </c>
      <c r="B361" s="134"/>
      <c r="C361" s="135"/>
      <c r="D361" s="135"/>
      <c r="E361" s="135"/>
      <c r="F361" s="135"/>
      <c r="G361" s="135" t="s">
        <v>69</v>
      </c>
      <c r="H361" s="135"/>
      <c r="I361" s="135"/>
      <c r="J361" s="135"/>
      <c r="K361" s="135"/>
      <c r="L361" s="135"/>
      <c r="M361" s="135" t="s">
        <v>75</v>
      </c>
      <c r="N361" s="135"/>
      <c r="O361" s="149"/>
      <c r="P361" s="120" t="str">
        <f>IFERROR(VLOOKUP(Table1[RespondentID],'All Data'!$A$3:$CO$999,87,FALSE),"unknown")</f>
        <v>Woman</v>
      </c>
      <c r="Q361" s="120">
        <f>IFERROR(VLOOKUP(Table1[RespondentID],'All Data'!$A$3:$CO$999,88,FALSE),"unknown")</f>
        <v>0</v>
      </c>
      <c r="R361" s="120" t="str">
        <f>IFERROR(VLOOKUP(Table1[RespondentID],'All Data'!$A$3:$CO$999,89,FALSE),"unknown")</f>
        <v>Suffolk</v>
      </c>
      <c r="S361" s="120" t="str">
        <f>IFERROR(VLOOKUP(Table1[RespondentID],'All Data'!$A$3:$CO$999,90,FALSE),"unknown")</f>
        <v>East Islip, 11730</v>
      </c>
      <c r="T361" s="120" t="str">
        <f>IFERROR(VLOOKUP(Table1[RespondentID],'All Data'!$A$3:$CO$999,91,FALSE),"unknown")</f>
        <v>White</v>
      </c>
      <c r="U361" s="120" t="str">
        <f>IFERROR(VLOOKUP(Table1[RespondentID],'All Data'!$A$3:$CO$999,92,FALSE),"unknown")</f>
        <v>Not Hispanic or Latino</v>
      </c>
      <c r="V361" s="120" t="str">
        <f>IFERROR(VLOOKUP(Table1[RespondentID],'All Data'!$A$3:$CO$999,93,FALSE),"unknown")</f>
        <v>English</v>
      </c>
      <c r="W361" s="120" t="str">
        <f>IFERROR(VLOOKUP(Table1[RespondentID],'All Data'!$A$3:$CW$999,94,FALSE),"unknown")</f>
        <v>$75,000 to $125,000</v>
      </c>
      <c r="X361" s="120" t="str">
        <f>IFERROR(VLOOKUP(Table1[RespondentID],'All Data'!$A$3:$CW$999,95,FALSE),"unknown")</f>
        <v>College graduate</v>
      </c>
      <c r="Y361" s="120" t="str">
        <f>IFERROR(VLOOKUP(Table1[RespondentID],'All Data'!$A$3:$CW$999,96,FALSE),"unknown")</f>
        <v>Retired</v>
      </c>
      <c r="Z361" s="120" t="str">
        <f>IFERROR(VLOOKUP(Table1[RespondentID],'All Data'!$A$3:$CW$999,97,FALSE),"unknown")</f>
        <v>Yes</v>
      </c>
      <c r="AA361" s="120" t="str">
        <f>IFERROR(VLOOKUP(Table1[RespondentID],'All Data'!$A$3:$CW$999,98,FALSE),"unknown")</f>
        <v>Medicare,Private/Commercial</v>
      </c>
      <c r="AB361" s="150" t="str">
        <f>IFERROR(VLOOKUP(Table1[RespondentID],'All Data'!$A$3:$CW$999,99,FALSE),"unknown")</f>
        <v>Yes</v>
      </c>
    </row>
    <row r="362" spans="1:28">
      <c r="A362" s="149">
        <v>114098444126</v>
      </c>
      <c r="B362" s="134" t="s">
        <v>64</v>
      </c>
      <c r="C362" s="135"/>
      <c r="D362" s="135"/>
      <c r="E362" s="135"/>
      <c r="F362" s="135"/>
      <c r="G362" s="135"/>
      <c r="H362" s="135" t="s">
        <v>70</v>
      </c>
      <c r="I362" s="135"/>
      <c r="J362" s="135" t="s">
        <v>72</v>
      </c>
      <c r="K362" s="135"/>
      <c r="L362" s="135"/>
      <c r="M362" s="135"/>
      <c r="N362" s="135"/>
      <c r="O362" s="149"/>
      <c r="P362" s="120" t="str">
        <f>IFERROR(VLOOKUP(Table1[RespondentID],'All Data'!$A$3:$CO$999,87,FALSE),"unknown")</f>
        <v>Woman</v>
      </c>
      <c r="Q362" s="120">
        <f>IFERROR(VLOOKUP(Table1[RespondentID],'All Data'!$A$3:$CO$999,88,FALSE),"unknown")</f>
        <v>0</v>
      </c>
      <c r="R362" s="120" t="str">
        <f>IFERROR(VLOOKUP(Table1[RespondentID],'All Data'!$A$3:$CO$999,89,FALSE),"unknown")</f>
        <v>Nassau</v>
      </c>
      <c r="S362" s="120" t="str">
        <f>IFERROR(VLOOKUP(Table1[RespondentID],'All Data'!$A$3:$CO$999,90,FALSE),"unknown")</f>
        <v>Massapequa, 11758</v>
      </c>
      <c r="T362" s="120" t="str">
        <f>IFERROR(VLOOKUP(Table1[RespondentID],'All Data'!$A$3:$CO$999,91,FALSE),"unknown")</f>
        <v>White</v>
      </c>
      <c r="U362" s="120" t="str">
        <f>IFERROR(VLOOKUP(Table1[RespondentID],'All Data'!$A$3:$CO$999,92,FALSE),"unknown")</f>
        <v>Not Hispanic or Latino</v>
      </c>
      <c r="V362" s="120" t="str">
        <f>IFERROR(VLOOKUP(Table1[RespondentID],'All Data'!$A$3:$CO$999,93,FALSE),"unknown")</f>
        <v>English</v>
      </c>
      <c r="W362" s="120" t="str">
        <f>IFERROR(VLOOKUP(Table1[RespondentID],'All Data'!$A$3:$CW$999,94,FALSE),"unknown")</f>
        <v>Over $125,000</v>
      </c>
      <c r="X362" s="120" t="str">
        <f>IFERROR(VLOOKUP(Table1[RespondentID],'All Data'!$A$3:$CW$999,95,FALSE),"unknown")</f>
        <v>College graduate</v>
      </c>
      <c r="Y362" s="120" t="str">
        <f>IFERROR(VLOOKUP(Table1[RespondentID],'All Data'!$A$3:$CW$999,96,FALSE),"unknown")</f>
        <v>Employed for wages</v>
      </c>
      <c r="Z362" s="120" t="str">
        <f>IFERROR(VLOOKUP(Table1[RespondentID],'All Data'!$A$3:$CW$999,97,FALSE),"unknown")</f>
        <v>Yes</v>
      </c>
      <c r="AA362" s="120" t="str">
        <f>IFERROR(VLOOKUP(Table1[RespondentID],'All Data'!$A$3:$CW$999,98,FALSE),"unknown")</f>
        <v>Private/Commercial</v>
      </c>
      <c r="AB362" s="150" t="str">
        <f>IFERROR(VLOOKUP(Table1[RespondentID],'All Data'!$A$3:$CW$999,99,FALSE),"unknown")</f>
        <v>Yes</v>
      </c>
    </row>
    <row r="363" spans="1:28">
      <c r="A363" s="149">
        <v>114097859158</v>
      </c>
      <c r="B363" s="134" t="s">
        <v>64</v>
      </c>
      <c r="C363" s="135"/>
      <c r="D363" s="135"/>
      <c r="E363" s="135"/>
      <c r="F363" s="135" t="s">
        <v>68</v>
      </c>
      <c r="G363" s="135" t="s">
        <v>69</v>
      </c>
      <c r="H363" s="135"/>
      <c r="I363" s="135"/>
      <c r="J363" s="135"/>
      <c r="K363" s="135"/>
      <c r="L363" s="135"/>
      <c r="M363" s="135"/>
      <c r="N363" s="135"/>
      <c r="O363" s="149"/>
      <c r="P363" s="120" t="str">
        <f>IFERROR(VLOOKUP(Table1[RespondentID],'All Data'!$A$3:$CO$999,87,FALSE),"unknown")</f>
        <v>Woman</v>
      </c>
      <c r="Q363" s="120">
        <f>IFERROR(VLOOKUP(Table1[RespondentID],'All Data'!$A$3:$CO$999,88,FALSE),"unknown")</f>
        <v>0</v>
      </c>
      <c r="R363" s="120" t="str">
        <f>IFERROR(VLOOKUP(Table1[RespondentID],'All Data'!$A$3:$CO$999,89,FALSE),"unknown")</f>
        <v>Suffolk</v>
      </c>
      <c r="S363" s="120" t="str">
        <f>IFERROR(VLOOKUP(Table1[RespondentID],'All Data'!$A$3:$CO$999,90,FALSE),"unknown")</f>
        <v>Lindenhurst, 11757</v>
      </c>
      <c r="T363" s="120" t="str">
        <f>IFERROR(VLOOKUP(Table1[RespondentID],'All Data'!$A$3:$CO$999,91,FALSE),"unknown")</f>
        <v>White</v>
      </c>
      <c r="U363" s="120" t="str">
        <f>IFERROR(VLOOKUP(Table1[RespondentID],'All Data'!$A$3:$CO$999,92,FALSE),"unknown")</f>
        <v>Not Hispanic or Latino</v>
      </c>
      <c r="V363" s="120" t="str">
        <f>IFERROR(VLOOKUP(Table1[RespondentID],'All Data'!$A$3:$CO$999,93,FALSE),"unknown")</f>
        <v>English</v>
      </c>
      <c r="W363" s="120">
        <f>IFERROR(VLOOKUP(Table1[RespondentID],'All Data'!$A$3:$CW$999,94,FALSE),"unknown")</f>
        <v>0</v>
      </c>
      <c r="X363" s="120" t="str">
        <f>IFERROR(VLOOKUP(Table1[RespondentID],'All Data'!$A$3:$CW$999,95,FALSE),"unknown")</f>
        <v>High school graduate</v>
      </c>
      <c r="Y363" s="120" t="str">
        <f>IFERROR(VLOOKUP(Table1[RespondentID],'All Data'!$A$3:$CW$999,96,FALSE),"unknown")</f>
        <v>Retired</v>
      </c>
      <c r="Z363" s="120" t="str">
        <f>IFERROR(VLOOKUP(Table1[RespondentID],'All Data'!$A$3:$CW$999,97,FALSE),"unknown")</f>
        <v>Yes</v>
      </c>
      <c r="AA363" s="120" t="str">
        <f>IFERROR(VLOOKUP(Table1[RespondentID],'All Data'!$A$3:$CW$999,98,FALSE),"unknown")</f>
        <v>Medicare</v>
      </c>
      <c r="AB363" s="150" t="str">
        <f>IFERROR(VLOOKUP(Table1[RespondentID],'All Data'!$A$3:$CW$999,99,FALSE),"unknown")</f>
        <v>Yes</v>
      </c>
    </row>
    <row r="364" spans="1:28">
      <c r="A364" s="149">
        <v>114097590747</v>
      </c>
      <c r="B364" s="134" t="s">
        <v>64</v>
      </c>
      <c r="C364" s="135"/>
      <c r="D364" s="135"/>
      <c r="E364" s="135"/>
      <c r="F364" s="135"/>
      <c r="G364" s="135"/>
      <c r="H364" s="135"/>
      <c r="I364" s="135"/>
      <c r="J364" s="135"/>
      <c r="K364" s="135"/>
      <c r="L364" s="135"/>
      <c r="M364" s="135"/>
      <c r="N364" s="135"/>
      <c r="O364" s="149"/>
      <c r="P364" s="120" t="str">
        <f>IFERROR(VLOOKUP(Table1[RespondentID],'All Data'!$A$3:$CO$999,87,FALSE),"unknown")</f>
        <v>Woman</v>
      </c>
      <c r="Q364" s="120">
        <f>IFERROR(VLOOKUP(Table1[RespondentID],'All Data'!$A$3:$CO$999,88,FALSE),"unknown")</f>
        <v>0</v>
      </c>
      <c r="R364" s="120" t="str">
        <f>IFERROR(VLOOKUP(Table1[RespondentID],'All Data'!$A$3:$CO$999,89,FALSE),"unknown")</f>
        <v>Suffolk</v>
      </c>
      <c r="S364" s="120" t="str">
        <f>IFERROR(VLOOKUP(Table1[RespondentID],'All Data'!$A$3:$CO$999,90,FALSE),"unknown")</f>
        <v>Bay Shore, 11706</v>
      </c>
      <c r="T364" s="120" t="str">
        <f>IFERROR(VLOOKUP(Table1[RespondentID],'All Data'!$A$3:$CO$999,91,FALSE),"unknown")</f>
        <v>White</v>
      </c>
      <c r="U364" s="120" t="str">
        <f>IFERROR(VLOOKUP(Table1[RespondentID],'All Data'!$A$3:$CO$999,92,FALSE),"unknown")</f>
        <v>Not Hispanic or Latino</v>
      </c>
      <c r="V364" s="120" t="str">
        <f>IFERROR(VLOOKUP(Table1[RespondentID],'All Data'!$A$3:$CO$999,93,FALSE),"unknown")</f>
        <v>English</v>
      </c>
      <c r="W364" s="120" t="str">
        <f>IFERROR(VLOOKUP(Table1[RespondentID],'All Data'!$A$3:$CW$999,94,FALSE),"unknown")</f>
        <v>Over $125,000</v>
      </c>
      <c r="X364" s="120" t="str">
        <f>IFERROR(VLOOKUP(Table1[RespondentID],'All Data'!$A$3:$CW$999,95,FALSE),"unknown")</f>
        <v>College graduate</v>
      </c>
      <c r="Y364" s="120" t="str">
        <f>IFERROR(VLOOKUP(Table1[RespondentID],'All Data'!$A$3:$CW$999,96,FALSE),"unknown")</f>
        <v>Employed for wages</v>
      </c>
      <c r="Z364" s="120" t="str">
        <f>IFERROR(VLOOKUP(Table1[RespondentID],'All Data'!$A$3:$CW$999,97,FALSE),"unknown")</f>
        <v>Yes</v>
      </c>
      <c r="AA364" s="120" t="str">
        <f>IFERROR(VLOOKUP(Table1[RespondentID],'All Data'!$A$3:$CW$999,98,FALSE),"unknown")</f>
        <v>Private/Commercial</v>
      </c>
      <c r="AB364" s="150" t="str">
        <f>IFERROR(VLOOKUP(Table1[RespondentID],'All Data'!$A$3:$CW$999,99,FALSE),"unknown")</f>
        <v>Yes</v>
      </c>
    </row>
    <row r="365" spans="1:28">
      <c r="A365" s="149">
        <v>114097326158</v>
      </c>
      <c r="B365" s="134"/>
      <c r="C365" s="135"/>
      <c r="D365" s="135"/>
      <c r="E365" s="135"/>
      <c r="F365" s="135" t="s">
        <v>68</v>
      </c>
      <c r="G365" s="135"/>
      <c r="H365" s="135" t="s">
        <v>70</v>
      </c>
      <c r="I365" s="135"/>
      <c r="J365" s="135"/>
      <c r="K365" s="135"/>
      <c r="L365" s="135"/>
      <c r="M365" s="135"/>
      <c r="N365" s="135"/>
      <c r="O365" s="149"/>
      <c r="P365" s="120" t="str">
        <f>IFERROR(VLOOKUP(Table1[RespondentID],'All Data'!$A$3:$CO$999,87,FALSE),"unknown")</f>
        <v>Woman</v>
      </c>
      <c r="Q365" s="120">
        <f>IFERROR(VLOOKUP(Table1[RespondentID],'All Data'!$A$3:$CO$999,88,FALSE),"unknown")</f>
        <v>0</v>
      </c>
      <c r="R365" s="120" t="str">
        <f>IFERROR(VLOOKUP(Table1[RespondentID],'All Data'!$A$3:$CO$999,89,FALSE),"unknown")</f>
        <v>Nassau</v>
      </c>
      <c r="S365" s="120" t="str">
        <f>IFERROR(VLOOKUP(Table1[RespondentID],'All Data'!$A$3:$CO$999,90,FALSE),"unknown")</f>
        <v>Alden Manor, 11003</v>
      </c>
      <c r="T365" s="120" t="str">
        <f>IFERROR(VLOOKUP(Table1[RespondentID],'All Data'!$A$3:$CO$999,91,FALSE),"unknown")</f>
        <v>American Indian and Alaska Native</v>
      </c>
      <c r="U365" s="120" t="str">
        <f>IFERROR(VLOOKUP(Table1[RespondentID],'All Data'!$A$3:$CO$999,92,FALSE),"unknown")</f>
        <v>Not Hispanic or Latino</v>
      </c>
      <c r="V365" s="120" t="str">
        <f>IFERROR(VLOOKUP(Table1[RespondentID],'All Data'!$A$3:$CO$999,93,FALSE),"unknown")</f>
        <v>English</v>
      </c>
      <c r="W365" s="120" t="str">
        <f>IFERROR(VLOOKUP(Table1[RespondentID],'All Data'!$A$3:$CW$999,94,FALSE),"unknown")</f>
        <v>$75,000 to $125,000</v>
      </c>
      <c r="X365" s="120" t="str">
        <f>IFERROR(VLOOKUP(Table1[RespondentID],'All Data'!$A$3:$CW$999,95,FALSE),"unknown")</f>
        <v>Technical school</v>
      </c>
      <c r="Y365" s="120" t="str">
        <f>IFERROR(VLOOKUP(Table1[RespondentID],'All Data'!$A$3:$CW$999,96,FALSE),"unknown")</f>
        <v>Employed for wages</v>
      </c>
      <c r="Z365" s="120">
        <f>IFERROR(VLOOKUP(Table1[RespondentID],'All Data'!$A$3:$CW$999,97,FALSE),"unknown")</f>
        <v>0</v>
      </c>
      <c r="AA365" s="120" t="str">
        <f>IFERROR(VLOOKUP(Table1[RespondentID],'All Data'!$A$3:$CW$999,98,FALSE),"unknown")</f>
        <v>Medicaid</v>
      </c>
      <c r="AB365" s="150" t="str">
        <f>IFERROR(VLOOKUP(Table1[RespondentID],'All Data'!$A$3:$CW$999,99,FALSE),"unknown")</f>
        <v>Yes</v>
      </c>
    </row>
    <row r="366" spans="1:28">
      <c r="A366" s="149">
        <v>114097224144</v>
      </c>
      <c r="B366" s="134" t="s">
        <v>64</v>
      </c>
      <c r="C366" s="135"/>
      <c r="D366" s="135"/>
      <c r="E366" s="135" t="s">
        <v>67</v>
      </c>
      <c r="F366" s="135"/>
      <c r="G366" s="135" t="s">
        <v>69</v>
      </c>
      <c r="H366" s="135"/>
      <c r="I366" s="135"/>
      <c r="J366" s="135"/>
      <c r="K366" s="135"/>
      <c r="L366" s="135"/>
      <c r="M366" s="135" t="s">
        <v>75</v>
      </c>
      <c r="N366" s="135"/>
      <c r="O366" s="149"/>
      <c r="P366" s="120" t="str">
        <f>IFERROR(VLOOKUP(Table1[RespondentID],'All Data'!$A$3:$CO$999,87,FALSE),"unknown")</f>
        <v>Woman</v>
      </c>
      <c r="Q366" s="120">
        <f>IFERROR(VLOOKUP(Table1[RespondentID],'All Data'!$A$3:$CO$999,88,FALSE),"unknown")</f>
        <v>0</v>
      </c>
      <c r="R366" s="120" t="str">
        <f>IFERROR(VLOOKUP(Table1[RespondentID],'All Data'!$A$3:$CO$999,89,FALSE),"unknown")</f>
        <v>Suffolk</v>
      </c>
      <c r="S366" s="120" t="str">
        <f>IFERROR(VLOOKUP(Table1[RespondentID],'All Data'!$A$3:$CO$999,90,FALSE),"unknown")</f>
        <v>West Islip, 11795</v>
      </c>
      <c r="T366" s="120" t="str">
        <f>IFERROR(VLOOKUP(Table1[RespondentID],'All Data'!$A$3:$CO$999,91,FALSE),"unknown")</f>
        <v>White</v>
      </c>
      <c r="U366" s="120" t="str">
        <f>IFERROR(VLOOKUP(Table1[RespondentID],'All Data'!$A$3:$CO$999,92,FALSE),"unknown")</f>
        <v>Not Hispanic or Latino</v>
      </c>
      <c r="V366" s="120" t="str">
        <f>IFERROR(VLOOKUP(Table1[RespondentID],'All Data'!$A$3:$CO$999,93,FALSE),"unknown")</f>
        <v>English</v>
      </c>
      <c r="W366" s="120" t="str">
        <f>IFERROR(VLOOKUP(Table1[RespondentID],'All Data'!$A$3:$CW$999,94,FALSE),"unknown")</f>
        <v>$75,000 to $125,000</v>
      </c>
      <c r="X366" s="120" t="str">
        <f>IFERROR(VLOOKUP(Table1[RespondentID],'All Data'!$A$3:$CW$999,95,FALSE),"unknown")</f>
        <v>High school graduate</v>
      </c>
      <c r="Y366" s="120" t="str">
        <f>IFERROR(VLOOKUP(Table1[RespondentID],'All Data'!$A$3:$CW$999,96,FALSE),"unknown")</f>
        <v>Retired</v>
      </c>
      <c r="Z366" s="120" t="str">
        <f>IFERROR(VLOOKUP(Table1[RespondentID],'All Data'!$A$3:$CW$999,97,FALSE),"unknown")</f>
        <v>Yes</v>
      </c>
      <c r="AA366" s="120" t="str">
        <f>IFERROR(VLOOKUP(Table1[RespondentID],'All Data'!$A$3:$CW$999,98,FALSE),"unknown")</f>
        <v>Medicare,Private/Commercial</v>
      </c>
      <c r="AB366" s="150" t="str">
        <f>IFERROR(VLOOKUP(Table1[RespondentID],'All Data'!$A$3:$CW$999,99,FALSE),"unknown")</f>
        <v>Yes</v>
      </c>
    </row>
    <row r="367" spans="1:28">
      <c r="A367" s="149">
        <v>114097096005</v>
      </c>
      <c r="B367" s="134" t="s">
        <v>64</v>
      </c>
      <c r="C367" s="135"/>
      <c r="D367" s="135"/>
      <c r="E367" s="135"/>
      <c r="F367" s="135" t="s">
        <v>68</v>
      </c>
      <c r="G367" s="135"/>
      <c r="H367" s="135"/>
      <c r="I367" s="135"/>
      <c r="J367" s="135"/>
      <c r="K367" s="135"/>
      <c r="L367" s="135"/>
      <c r="M367" s="135" t="s">
        <v>75</v>
      </c>
      <c r="N367" s="135"/>
      <c r="O367" s="149"/>
      <c r="P367" s="120" t="str">
        <f>IFERROR(VLOOKUP(Table1[RespondentID],'All Data'!$A$3:$CO$999,87,FALSE),"unknown")</f>
        <v>Man</v>
      </c>
      <c r="Q367" s="120">
        <f>IFERROR(VLOOKUP(Table1[RespondentID],'All Data'!$A$3:$CO$999,88,FALSE),"unknown")</f>
        <v>0</v>
      </c>
      <c r="R367" s="120" t="str">
        <f>IFERROR(VLOOKUP(Table1[RespondentID],'All Data'!$A$3:$CO$999,89,FALSE),"unknown")</f>
        <v>Suffolk</v>
      </c>
      <c r="S367" s="120" t="str">
        <f>IFERROR(VLOOKUP(Table1[RespondentID],'All Data'!$A$3:$CO$999,90,FALSE),"unknown")</f>
        <v>Lindenhurst, 11757</v>
      </c>
      <c r="T367" s="120" t="str">
        <f>IFERROR(VLOOKUP(Table1[RespondentID],'All Data'!$A$3:$CO$999,91,FALSE),"unknown")</f>
        <v>White</v>
      </c>
      <c r="U367" s="120" t="str">
        <f>IFERROR(VLOOKUP(Table1[RespondentID],'All Data'!$A$3:$CO$999,92,FALSE),"unknown")</f>
        <v>Not Hispanic or Latino</v>
      </c>
      <c r="V367" s="120" t="str">
        <f>IFERROR(VLOOKUP(Table1[RespondentID],'All Data'!$A$3:$CO$999,93,FALSE),"unknown")</f>
        <v>English</v>
      </c>
      <c r="W367" s="120" t="str">
        <f>IFERROR(VLOOKUP(Table1[RespondentID],'All Data'!$A$3:$CW$999,94,FALSE),"unknown")</f>
        <v>Over $125,000</v>
      </c>
      <c r="X367" s="120" t="str">
        <f>IFERROR(VLOOKUP(Table1[RespondentID],'All Data'!$A$3:$CW$999,95,FALSE),"unknown")</f>
        <v>College graduate</v>
      </c>
      <c r="Y367" s="120" t="str">
        <f>IFERROR(VLOOKUP(Table1[RespondentID],'All Data'!$A$3:$CW$999,96,FALSE),"unknown")</f>
        <v>Retired</v>
      </c>
      <c r="Z367" s="120" t="str">
        <f>IFERROR(VLOOKUP(Table1[RespondentID],'All Data'!$A$3:$CW$999,97,FALSE),"unknown")</f>
        <v>Yes</v>
      </c>
      <c r="AA367" s="120" t="str">
        <f>IFERROR(VLOOKUP(Table1[RespondentID],'All Data'!$A$3:$CW$999,98,FALSE),"unknown")</f>
        <v>Medicare,Private/Commercial</v>
      </c>
      <c r="AB367" s="150" t="str">
        <f>IFERROR(VLOOKUP(Table1[RespondentID],'All Data'!$A$3:$CW$999,99,FALSE),"unknown")</f>
        <v>Yes</v>
      </c>
    </row>
    <row r="368" spans="1:28">
      <c r="A368" s="149">
        <v>114097086259</v>
      </c>
      <c r="B368" s="134" t="s">
        <v>64</v>
      </c>
      <c r="C368" s="135"/>
      <c r="D368" s="135"/>
      <c r="E368" s="135"/>
      <c r="F368" s="135"/>
      <c r="G368" s="135"/>
      <c r="H368" s="135"/>
      <c r="I368" s="135"/>
      <c r="J368" s="135" t="s">
        <v>72</v>
      </c>
      <c r="K368" s="135"/>
      <c r="L368" s="135"/>
      <c r="M368" s="135"/>
      <c r="N368" s="135"/>
      <c r="O368" s="149"/>
      <c r="P368" s="120" t="str">
        <f>IFERROR(VLOOKUP(Table1[RespondentID],'All Data'!$A$3:$CO$999,87,FALSE),"unknown")</f>
        <v>Woman</v>
      </c>
      <c r="Q368" s="120">
        <f>IFERROR(VLOOKUP(Table1[RespondentID],'All Data'!$A$3:$CO$999,88,FALSE),"unknown")</f>
        <v>0</v>
      </c>
      <c r="R368" s="120" t="str">
        <f>IFERROR(VLOOKUP(Table1[RespondentID],'All Data'!$A$3:$CO$999,89,FALSE),"unknown")</f>
        <v>Nassau</v>
      </c>
      <c r="S368" s="120" t="str">
        <f>IFERROR(VLOOKUP(Table1[RespondentID],'All Data'!$A$3:$CO$999,90,FALSE),"unknown")</f>
        <v>Farmingdale, 11735</v>
      </c>
      <c r="T368" s="120" t="str">
        <f>IFERROR(VLOOKUP(Table1[RespondentID],'All Data'!$A$3:$CO$999,91,FALSE),"unknown")</f>
        <v>White</v>
      </c>
      <c r="U368" s="120" t="str">
        <f>IFERROR(VLOOKUP(Table1[RespondentID],'All Data'!$A$3:$CO$999,92,FALSE),"unknown")</f>
        <v>Not Hispanic or Latino</v>
      </c>
      <c r="V368" s="120" t="str">
        <f>IFERROR(VLOOKUP(Table1[RespondentID],'All Data'!$A$3:$CO$999,93,FALSE),"unknown")</f>
        <v>English</v>
      </c>
      <c r="W368" s="120" t="str">
        <f>IFERROR(VLOOKUP(Table1[RespondentID],'All Data'!$A$3:$CW$999,94,FALSE),"unknown")</f>
        <v>$50,000 to $74,999</v>
      </c>
      <c r="X368" s="120" t="str">
        <f>IFERROR(VLOOKUP(Table1[RespondentID],'All Data'!$A$3:$CW$999,95,FALSE),"unknown")</f>
        <v>Some college</v>
      </c>
      <c r="Y368" s="120" t="str">
        <f>IFERROR(VLOOKUP(Table1[RespondentID],'All Data'!$A$3:$CW$999,96,FALSE),"unknown")</f>
        <v>Employed for wages</v>
      </c>
      <c r="Z368" s="120" t="str">
        <f>IFERROR(VLOOKUP(Table1[RespondentID],'All Data'!$A$3:$CW$999,97,FALSE),"unknown")</f>
        <v>Yes</v>
      </c>
      <c r="AA368" s="120" t="str">
        <f>IFERROR(VLOOKUP(Table1[RespondentID],'All Data'!$A$3:$CW$999,98,FALSE),"unknown")</f>
        <v>Medicare,Private/Commercial</v>
      </c>
      <c r="AB368" s="150" t="str">
        <f>IFERROR(VLOOKUP(Table1[RespondentID],'All Data'!$A$3:$CW$999,99,FALSE),"unknown")</f>
        <v>Yes</v>
      </c>
    </row>
    <row r="369" spans="1:28">
      <c r="A369" s="149">
        <v>114096895942</v>
      </c>
      <c r="B369" s="134" t="s">
        <v>64</v>
      </c>
      <c r="C369" s="135"/>
      <c r="D369" s="135"/>
      <c r="E369" s="135"/>
      <c r="F369" s="135"/>
      <c r="G369" s="135"/>
      <c r="H369" s="135"/>
      <c r="I369" s="135"/>
      <c r="J369" s="135"/>
      <c r="K369" s="135" t="s">
        <v>73</v>
      </c>
      <c r="L369" s="135"/>
      <c r="M369" s="135"/>
      <c r="N369" s="135"/>
      <c r="O369" s="149"/>
      <c r="P369" s="120" t="str">
        <f>IFERROR(VLOOKUP(Table1[RespondentID],'All Data'!$A$3:$CO$999,87,FALSE),"unknown")</f>
        <v>Woman</v>
      </c>
      <c r="Q369" s="120">
        <f>IFERROR(VLOOKUP(Table1[RespondentID],'All Data'!$A$3:$CO$999,88,FALSE),"unknown")</f>
        <v>0</v>
      </c>
      <c r="R369" s="120" t="str">
        <f>IFERROR(VLOOKUP(Table1[RespondentID],'All Data'!$A$3:$CO$999,89,FALSE),"unknown")</f>
        <v>Suffolk</v>
      </c>
      <c r="S369" s="120" t="str">
        <f>IFERROR(VLOOKUP(Table1[RespondentID],'All Data'!$A$3:$CO$999,90,FALSE),"unknown")</f>
        <v>North Babylon, 11703</v>
      </c>
      <c r="T369" s="120" t="str">
        <f>IFERROR(VLOOKUP(Table1[RespondentID],'All Data'!$A$3:$CO$999,91,FALSE),"unknown")</f>
        <v>White</v>
      </c>
      <c r="U369" s="120" t="str">
        <f>IFERROR(VLOOKUP(Table1[RespondentID],'All Data'!$A$3:$CO$999,92,FALSE),"unknown")</f>
        <v>Not Hispanic or Latino</v>
      </c>
      <c r="V369" s="120" t="str">
        <f>IFERROR(VLOOKUP(Table1[RespondentID],'All Data'!$A$3:$CO$999,93,FALSE),"unknown")</f>
        <v>English</v>
      </c>
      <c r="W369" s="120" t="str">
        <f>IFERROR(VLOOKUP(Table1[RespondentID],'All Data'!$A$3:$CW$999,94,FALSE),"unknown")</f>
        <v>$35,000 to $49,999</v>
      </c>
      <c r="X369" s="120" t="str">
        <f>IFERROR(VLOOKUP(Table1[RespondentID],'All Data'!$A$3:$CW$999,95,FALSE),"unknown")</f>
        <v>Some college</v>
      </c>
      <c r="Y369" s="120" t="str">
        <f>IFERROR(VLOOKUP(Table1[RespondentID],'All Data'!$A$3:$CW$999,96,FALSE),"unknown")</f>
        <v>Employed for wages</v>
      </c>
      <c r="Z369" s="120" t="str">
        <f>IFERROR(VLOOKUP(Table1[RespondentID],'All Data'!$A$3:$CW$999,97,FALSE),"unknown")</f>
        <v>Yes</v>
      </c>
      <c r="AA369" s="120" t="str">
        <f>IFERROR(VLOOKUP(Table1[RespondentID],'All Data'!$A$3:$CW$999,98,FALSE),"unknown")</f>
        <v>Private/Commercial</v>
      </c>
      <c r="AB369" s="150" t="str">
        <f>IFERROR(VLOOKUP(Table1[RespondentID],'All Data'!$A$3:$CW$999,99,FALSE),"unknown")</f>
        <v>Yes</v>
      </c>
    </row>
    <row r="370" spans="1:28">
      <c r="A370" s="149">
        <v>114096869874</v>
      </c>
      <c r="B370" s="134" t="s">
        <v>64</v>
      </c>
      <c r="C370" s="135"/>
      <c r="D370" s="135"/>
      <c r="E370" s="135"/>
      <c r="F370" s="135"/>
      <c r="G370" s="135"/>
      <c r="H370" s="135" t="s">
        <v>70</v>
      </c>
      <c r="I370" s="135"/>
      <c r="J370" s="135"/>
      <c r="K370" s="135"/>
      <c r="L370" s="135"/>
      <c r="M370" s="135"/>
      <c r="N370" s="135"/>
      <c r="O370" s="149"/>
      <c r="P370" s="120" t="str">
        <f>IFERROR(VLOOKUP(Table1[RespondentID],'All Data'!$A$3:$CO$999,87,FALSE),"unknown")</f>
        <v>Woman</v>
      </c>
      <c r="Q370" s="120">
        <f>IFERROR(VLOOKUP(Table1[RespondentID],'All Data'!$A$3:$CO$999,88,FALSE),"unknown")</f>
        <v>0</v>
      </c>
      <c r="R370" s="120" t="str">
        <f>IFERROR(VLOOKUP(Table1[RespondentID],'All Data'!$A$3:$CO$999,89,FALSE),"unknown")</f>
        <v>Nassau</v>
      </c>
      <c r="S370" s="120" t="str">
        <f>IFERROR(VLOOKUP(Table1[RespondentID],'All Data'!$A$3:$CO$999,90,FALSE),"unknown")</f>
        <v>Bellmore, 11710</v>
      </c>
      <c r="T370" s="120" t="str">
        <f>IFERROR(VLOOKUP(Table1[RespondentID],'All Data'!$A$3:$CO$999,91,FALSE),"unknown")</f>
        <v>White</v>
      </c>
      <c r="U370" s="120" t="str">
        <f>IFERROR(VLOOKUP(Table1[RespondentID],'All Data'!$A$3:$CO$999,92,FALSE),"unknown")</f>
        <v>Not Hispanic or Latino</v>
      </c>
      <c r="V370" s="120" t="str">
        <f>IFERROR(VLOOKUP(Table1[RespondentID],'All Data'!$A$3:$CO$999,93,FALSE),"unknown")</f>
        <v>English</v>
      </c>
      <c r="W370" s="120" t="str">
        <f>IFERROR(VLOOKUP(Table1[RespondentID],'All Data'!$A$3:$CW$999,94,FALSE),"unknown")</f>
        <v>Over $125,000</v>
      </c>
      <c r="X370" s="120" t="str">
        <f>IFERROR(VLOOKUP(Table1[RespondentID],'All Data'!$A$3:$CW$999,95,FALSE),"unknown")</f>
        <v>College graduate</v>
      </c>
      <c r="Y370" s="120" t="str">
        <f>IFERROR(VLOOKUP(Table1[RespondentID],'All Data'!$A$3:$CW$999,96,FALSE),"unknown")</f>
        <v>Employed for wages</v>
      </c>
      <c r="Z370" s="120" t="str">
        <f>IFERROR(VLOOKUP(Table1[RespondentID],'All Data'!$A$3:$CW$999,97,FALSE),"unknown")</f>
        <v>Yes</v>
      </c>
      <c r="AA370" s="120" t="str">
        <f>IFERROR(VLOOKUP(Table1[RespondentID],'All Data'!$A$3:$CW$999,98,FALSE),"unknown")</f>
        <v>Private/Commercial</v>
      </c>
      <c r="AB370" s="150" t="str">
        <f>IFERROR(VLOOKUP(Table1[RespondentID],'All Data'!$A$3:$CW$999,99,FALSE),"unknown")</f>
        <v>Yes</v>
      </c>
    </row>
    <row r="371" spans="1:28">
      <c r="A371" s="149">
        <v>114096853684</v>
      </c>
      <c r="B371" s="134" t="s">
        <v>64</v>
      </c>
      <c r="C371" s="135"/>
      <c r="D371" s="135"/>
      <c r="E371" s="135"/>
      <c r="F371" s="135"/>
      <c r="G371" s="135"/>
      <c r="H371" s="135" t="s">
        <v>70</v>
      </c>
      <c r="I371" s="135"/>
      <c r="J371" s="135" t="s">
        <v>72</v>
      </c>
      <c r="K371" s="135" t="s">
        <v>73</v>
      </c>
      <c r="L371" s="135"/>
      <c r="M371" s="135" t="s">
        <v>75</v>
      </c>
      <c r="N371" s="135"/>
      <c r="O371" s="149"/>
      <c r="P371" s="120" t="str">
        <f>IFERROR(VLOOKUP(Table1[RespondentID],'All Data'!$A$3:$CO$999,87,FALSE),"unknown")</f>
        <v>Woman</v>
      </c>
      <c r="Q371" s="120">
        <f>IFERROR(VLOOKUP(Table1[RespondentID],'All Data'!$A$3:$CO$999,88,FALSE),"unknown")</f>
        <v>0</v>
      </c>
      <c r="R371" s="120" t="str">
        <f>IFERROR(VLOOKUP(Table1[RespondentID],'All Data'!$A$3:$CO$999,89,FALSE),"unknown")</f>
        <v>Suffolk</v>
      </c>
      <c r="S371" s="120" t="str">
        <f>IFERROR(VLOOKUP(Table1[RespondentID],'All Data'!$A$3:$CO$999,90,FALSE),"unknown")</f>
        <v>West Islip, 11795</v>
      </c>
      <c r="T371" s="120" t="str">
        <f>IFERROR(VLOOKUP(Table1[RespondentID],'All Data'!$A$3:$CO$999,91,FALSE),"unknown")</f>
        <v>White</v>
      </c>
      <c r="U371" s="120" t="str">
        <f>IFERROR(VLOOKUP(Table1[RespondentID],'All Data'!$A$3:$CO$999,92,FALSE),"unknown")</f>
        <v>Not Hispanic or Latino</v>
      </c>
      <c r="V371" s="120" t="str">
        <f>IFERROR(VLOOKUP(Table1[RespondentID],'All Data'!$A$3:$CO$999,93,FALSE),"unknown")</f>
        <v>English</v>
      </c>
      <c r="W371" s="120" t="str">
        <f>IFERROR(VLOOKUP(Table1[RespondentID],'All Data'!$A$3:$CW$999,94,FALSE),"unknown")</f>
        <v>$75,000 to $125,000</v>
      </c>
      <c r="X371" s="120" t="str">
        <f>IFERROR(VLOOKUP(Table1[RespondentID],'All Data'!$A$3:$CW$999,95,FALSE),"unknown")</f>
        <v>Some college</v>
      </c>
      <c r="Y371" s="120" t="str">
        <f>IFERROR(VLOOKUP(Table1[RespondentID],'All Data'!$A$3:$CW$999,96,FALSE),"unknown")</f>
        <v>Employed for wages</v>
      </c>
      <c r="Z371" s="120" t="str">
        <f>IFERROR(VLOOKUP(Table1[RespondentID],'All Data'!$A$3:$CW$999,97,FALSE),"unknown")</f>
        <v>Yes</v>
      </c>
      <c r="AA371" s="120" t="str">
        <f>IFERROR(VLOOKUP(Table1[RespondentID],'All Data'!$A$3:$CW$999,98,FALSE),"unknown")</f>
        <v>Private/Commercial</v>
      </c>
      <c r="AB371" s="150" t="str">
        <f>IFERROR(VLOOKUP(Table1[RespondentID],'All Data'!$A$3:$CW$999,99,FALSE),"unknown")</f>
        <v>Yes</v>
      </c>
    </row>
    <row r="372" spans="1:28">
      <c r="A372" s="149">
        <v>114096829794</v>
      </c>
      <c r="B372" s="134" t="s">
        <v>64</v>
      </c>
      <c r="C372" s="135"/>
      <c r="D372" s="135"/>
      <c r="E372" s="135"/>
      <c r="F372" s="135" t="s">
        <v>68</v>
      </c>
      <c r="G372" s="135" t="s">
        <v>69</v>
      </c>
      <c r="H372" s="135"/>
      <c r="I372" s="135"/>
      <c r="J372" s="135"/>
      <c r="K372" s="135"/>
      <c r="L372" s="135"/>
      <c r="M372" s="135" t="s">
        <v>75</v>
      </c>
      <c r="N372" s="135"/>
      <c r="O372" s="149"/>
      <c r="P372" s="120" t="str">
        <f>IFERROR(VLOOKUP(Table1[RespondentID],'All Data'!$A$3:$CO$999,87,FALSE),"unknown")</f>
        <v>Woman</v>
      </c>
      <c r="Q372" s="120">
        <f>IFERROR(VLOOKUP(Table1[RespondentID],'All Data'!$A$3:$CO$999,88,FALSE),"unknown")</f>
        <v>0</v>
      </c>
      <c r="R372" s="120" t="str">
        <f>IFERROR(VLOOKUP(Table1[RespondentID],'All Data'!$A$3:$CO$999,89,FALSE),"unknown")</f>
        <v>Suffolk</v>
      </c>
      <c r="S372" s="120" t="str">
        <f>IFERROR(VLOOKUP(Table1[RespondentID],'All Data'!$A$3:$CO$999,90,FALSE),"unknown")</f>
        <v>Sayville, 11782</v>
      </c>
      <c r="T372" s="120" t="str">
        <f>IFERROR(VLOOKUP(Table1[RespondentID],'All Data'!$A$3:$CO$999,91,FALSE),"unknown")</f>
        <v>White</v>
      </c>
      <c r="U372" s="120" t="str">
        <f>IFERROR(VLOOKUP(Table1[RespondentID],'All Data'!$A$3:$CO$999,92,FALSE),"unknown")</f>
        <v>Not Hispanic or Latino</v>
      </c>
      <c r="V372" s="120" t="str">
        <f>IFERROR(VLOOKUP(Table1[RespondentID],'All Data'!$A$3:$CO$999,93,FALSE),"unknown")</f>
        <v>English</v>
      </c>
      <c r="W372" s="120" t="str">
        <f>IFERROR(VLOOKUP(Table1[RespondentID],'All Data'!$A$3:$CW$999,94,FALSE),"unknown")</f>
        <v>$50,000 to $74,999</v>
      </c>
      <c r="X372" s="120" t="str">
        <f>IFERROR(VLOOKUP(Table1[RespondentID],'All Data'!$A$3:$CW$999,95,FALSE),"unknown")</f>
        <v>Some college</v>
      </c>
      <c r="Y372" s="120" t="str">
        <f>IFERROR(VLOOKUP(Table1[RespondentID],'All Data'!$A$3:$CW$999,96,FALSE),"unknown")</f>
        <v>Retired</v>
      </c>
      <c r="Z372" s="120" t="str">
        <f>IFERROR(VLOOKUP(Table1[RespondentID],'All Data'!$A$3:$CW$999,97,FALSE),"unknown")</f>
        <v>Yes</v>
      </c>
      <c r="AA372" s="120" t="str">
        <f>IFERROR(VLOOKUP(Table1[RespondentID],'All Data'!$A$3:$CW$999,98,FALSE),"unknown")</f>
        <v>Medicare,Private/Commercial</v>
      </c>
      <c r="AB372" s="150" t="str">
        <f>IFERROR(VLOOKUP(Table1[RespondentID],'All Data'!$A$3:$CW$999,99,FALSE),"unknown")</f>
        <v>Yes</v>
      </c>
    </row>
    <row r="373" spans="1:28">
      <c r="A373" s="149">
        <v>114096746832</v>
      </c>
      <c r="B373" s="134" t="s">
        <v>64</v>
      </c>
      <c r="C373" s="135"/>
      <c r="D373" s="135"/>
      <c r="E373" s="135"/>
      <c r="F373" s="135"/>
      <c r="G373" s="135"/>
      <c r="H373" s="135"/>
      <c r="I373" s="135"/>
      <c r="J373" s="135"/>
      <c r="K373" s="135"/>
      <c r="L373" s="135"/>
      <c r="M373" s="135"/>
      <c r="N373" s="135"/>
      <c r="O373" s="149"/>
      <c r="P373" s="120" t="str">
        <f>IFERROR(VLOOKUP(Table1[RespondentID],'All Data'!$A$3:$CO$999,87,FALSE),"unknown")</f>
        <v>Woman</v>
      </c>
      <c r="Q373" s="120">
        <f>IFERROR(VLOOKUP(Table1[RespondentID],'All Data'!$A$3:$CO$999,88,FALSE),"unknown")</f>
        <v>0</v>
      </c>
      <c r="R373" s="120" t="str">
        <f>IFERROR(VLOOKUP(Table1[RespondentID],'All Data'!$A$3:$CO$999,89,FALSE),"unknown")</f>
        <v>Suffolk</v>
      </c>
      <c r="S373" s="120" t="str">
        <f>IFERROR(VLOOKUP(Table1[RespondentID],'All Data'!$A$3:$CO$999,90,FALSE),"unknown")</f>
        <v>Babylon, 11704</v>
      </c>
      <c r="T373" s="120" t="str">
        <f>IFERROR(VLOOKUP(Table1[RespondentID],'All Data'!$A$3:$CO$999,91,FALSE),"unknown")</f>
        <v>White</v>
      </c>
      <c r="U373" s="120" t="str">
        <f>IFERROR(VLOOKUP(Table1[RespondentID],'All Data'!$A$3:$CO$999,92,FALSE),"unknown")</f>
        <v>Not Hispanic or Latino</v>
      </c>
      <c r="V373" s="120" t="str">
        <f>IFERROR(VLOOKUP(Table1[RespondentID],'All Data'!$A$3:$CO$999,93,FALSE),"unknown")</f>
        <v>English</v>
      </c>
      <c r="W373" s="120" t="str">
        <f>IFERROR(VLOOKUP(Table1[RespondentID],'All Data'!$A$3:$CW$999,94,FALSE),"unknown")</f>
        <v>$50,000 to $74,999</v>
      </c>
      <c r="X373" s="120" t="str">
        <f>IFERROR(VLOOKUP(Table1[RespondentID],'All Data'!$A$3:$CW$999,95,FALSE),"unknown")</f>
        <v>College graduate</v>
      </c>
      <c r="Y373" s="120" t="str">
        <f>IFERROR(VLOOKUP(Table1[RespondentID],'All Data'!$A$3:$CW$999,96,FALSE),"unknown")</f>
        <v>Employed for wages</v>
      </c>
      <c r="Z373" s="120" t="str">
        <f>IFERROR(VLOOKUP(Table1[RespondentID],'All Data'!$A$3:$CW$999,97,FALSE),"unknown")</f>
        <v>Yes</v>
      </c>
      <c r="AA373" s="120" t="str">
        <f>IFERROR(VLOOKUP(Table1[RespondentID],'All Data'!$A$3:$CW$999,98,FALSE),"unknown")</f>
        <v>Private/Commercial</v>
      </c>
      <c r="AB373" s="150" t="str">
        <f>IFERROR(VLOOKUP(Table1[RespondentID],'All Data'!$A$3:$CW$999,99,FALSE),"unknown")</f>
        <v>Yes</v>
      </c>
    </row>
    <row r="374" spans="1:28">
      <c r="A374" s="149">
        <v>114096742817</v>
      </c>
      <c r="B374" s="134" t="s">
        <v>64</v>
      </c>
      <c r="C374" s="135"/>
      <c r="D374" s="135"/>
      <c r="E374" s="135" t="s">
        <v>67</v>
      </c>
      <c r="F374" s="135"/>
      <c r="G374" s="135"/>
      <c r="H374" s="135"/>
      <c r="I374" s="135"/>
      <c r="J374" s="135"/>
      <c r="K374" s="135" t="s">
        <v>73</v>
      </c>
      <c r="L374" s="135"/>
      <c r="M374" s="135"/>
      <c r="N374" s="135"/>
      <c r="O374" s="149"/>
      <c r="P374" s="120" t="str">
        <f>IFERROR(VLOOKUP(Table1[RespondentID],'All Data'!$A$3:$CO$999,87,FALSE),"unknown")</f>
        <v>Woman</v>
      </c>
      <c r="Q374" s="120">
        <f>IFERROR(VLOOKUP(Table1[RespondentID],'All Data'!$A$3:$CO$999,88,FALSE),"unknown")</f>
        <v>0</v>
      </c>
      <c r="R374" s="120" t="str">
        <f>IFERROR(VLOOKUP(Table1[RespondentID],'All Data'!$A$3:$CO$999,89,FALSE),"unknown")</f>
        <v>Suffolk</v>
      </c>
      <c r="S374" s="120" t="str">
        <f>IFERROR(VLOOKUP(Table1[RespondentID],'All Data'!$A$3:$CO$999,90,FALSE),"unknown")</f>
        <v>Islip, 11751</v>
      </c>
      <c r="T374" s="120" t="str">
        <f>IFERROR(VLOOKUP(Table1[RespondentID],'All Data'!$A$3:$CO$999,91,FALSE),"unknown")</f>
        <v>White</v>
      </c>
      <c r="U374" s="120" t="str">
        <f>IFERROR(VLOOKUP(Table1[RespondentID],'All Data'!$A$3:$CO$999,92,FALSE),"unknown")</f>
        <v>Not Hispanic or Latino</v>
      </c>
      <c r="V374" s="120" t="str">
        <f>IFERROR(VLOOKUP(Table1[RespondentID],'All Data'!$A$3:$CO$999,93,FALSE),"unknown")</f>
        <v>English</v>
      </c>
      <c r="W374" s="120" t="str">
        <f>IFERROR(VLOOKUP(Table1[RespondentID],'All Data'!$A$3:$CW$999,94,FALSE),"unknown")</f>
        <v>Over $125,000</v>
      </c>
      <c r="X374" s="120" t="str">
        <f>IFERROR(VLOOKUP(Table1[RespondentID],'All Data'!$A$3:$CW$999,95,FALSE),"unknown")</f>
        <v>Graduate school</v>
      </c>
      <c r="Y374" s="120" t="str">
        <f>IFERROR(VLOOKUP(Table1[RespondentID],'All Data'!$A$3:$CW$999,96,FALSE),"unknown")</f>
        <v>Employed for wages</v>
      </c>
      <c r="Z374" s="120" t="str">
        <f>IFERROR(VLOOKUP(Table1[RespondentID],'All Data'!$A$3:$CW$999,97,FALSE),"unknown")</f>
        <v>Yes</v>
      </c>
      <c r="AA374" s="120" t="str">
        <f>IFERROR(VLOOKUP(Table1[RespondentID],'All Data'!$A$3:$CW$999,98,FALSE),"unknown")</f>
        <v>Private/Commercial</v>
      </c>
      <c r="AB374" s="150" t="str">
        <f>IFERROR(VLOOKUP(Table1[RespondentID],'All Data'!$A$3:$CW$999,99,FALSE),"unknown")</f>
        <v>Yes</v>
      </c>
    </row>
    <row r="375" spans="1:28">
      <c r="A375" s="149">
        <v>114096674095</v>
      </c>
      <c r="B375" s="134" t="s">
        <v>64</v>
      </c>
      <c r="C375" s="135"/>
      <c r="D375" s="135"/>
      <c r="E375" s="135"/>
      <c r="F375" s="135"/>
      <c r="G375" s="135"/>
      <c r="H375" s="135"/>
      <c r="I375" s="135"/>
      <c r="J375" s="135"/>
      <c r="K375" s="135"/>
      <c r="L375" s="135"/>
      <c r="M375" s="135"/>
      <c r="N375" s="135"/>
      <c r="O375" s="149"/>
      <c r="P375" s="120" t="str">
        <f>IFERROR(VLOOKUP(Table1[RespondentID],'All Data'!$A$3:$CO$999,87,FALSE),"unknown")</f>
        <v>Woman</v>
      </c>
      <c r="Q375" s="120">
        <f>IFERROR(VLOOKUP(Table1[RespondentID],'All Data'!$A$3:$CO$999,88,FALSE),"unknown")</f>
        <v>0</v>
      </c>
      <c r="R375" s="120" t="str">
        <f>IFERROR(VLOOKUP(Table1[RespondentID],'All Data'!$A$3:$CO$999,89,FALSE),"unknown")</f>
        <v>Suffolk</v>
      </c>
      <c r="S375" s="120" t="str">
        <f>IFERROR(VLOOKUP(Table1[RespondentID],'All Data'!$A$3:$CO$999,90,FALSE),"unknown")</f>
        <v>Babylon, 11702</v>
      </c>
      <c r="T375" s="120" t="str">
        <f>IFERROR(VLOOKUP(Table1[RespondentID],'All Data'!$A$3:$CO$999,91,FALSE),"unknown")</f>
        <v>White</v>
      </c>
      <c r="U375" s="120" t="str">
        <f>IFERROR(VLOOKUP(Table1[RespondentID],'All Data'!$A$3:$CO$999,92,FALSE),"unknown")</f>
        <v>Not Hispanic or Latino</v>
      </c>
      <c r="V375" s="120" t="str">
        <f>IFERROR(VLOOKUP(Table1[RespondentID],'All Data'!$A$3:$CO$999,93,FALSE),"unknown")</f>
        <v>English</v>
      </c>
      <c r="W375" s="120" t="str">
        <f>IFERROR(VLOOKUP(Table1[RespondentID],'All Data'!$A$3:$CW$999,94,FALSE),"unknown")</f>
        <v>$75,000 to $125,000</v>
      </c>
      <c r="X375" s="120" t="str">
        <f>IFERROR(VLOOKUP(Table1[RespondentID],'All Data'!$A$3:$CW$999,95,FALSE),"unknown")</f>
        <v>Some college</v>
      </c>
      <c r="Y375" s="120" t="str">
        <f>IFERROR(VLOOKUP(Table1[RespondentID],'All Data'!$A$3:$CW$999,96,FALSE),"unknown")</f>
        <v>Retired</v>
      </c>
      <c r="Z375" s="120" t="str">
        <f>IFERROR(VLOOKUP(Table1[RespondentID],'All Data'!$A$3:$CW$999,97,FALSE),"unknown")</f>
        <v>Yes</v>
      </c>
      <c r="AA375" s="120" t="str">
        <f>IFERROR(VLOOKUP(Table1[RespondentID],'All Data'!$A$3:$CW$999,98,FALSE),"unknown")</f>
        <v>Medicare</v>
      </c>
      <c r="AB375" s="150" t="str">
        <f>IFERROR(VLOOKUP(Table1[RespondentID],'All Data'!$A$3:$CW$999,99,FALSE),"unknown")</f>
        <v>Yes</v>
      </c>
    </row>
    <row r="376" spans="1:28">
      <c r="A376" s="149">
        <v>114096668073</v>
      </c>
      <c r="B376" s="134" t="s">
        <v>64</v>
      </c>
      <c r="C376" s="135"/>
      <c r="D376" s="135" t="s">
        <v>66</v>
      </c>
      <c r="E376" s="135"/>
      <c r="F376" s="135" t="s">
        <v>68</v>
      </c>
      <c r="G376" s="135"/>
      <c r="H376" s="135"/>
      <c r="I376" s="135"/>
      <c r="J376" s="135"/>
      <c r="K376" s="135"/>
      <c r="L376" s="135"/>
      <c r="M376" s="135"/>
      <c r="N376" s="135"/>
      <c r="O376" s="149"/>
      <c r="P376" s="120" t="str">
        <f>IFERROR(VLOOKUP(Table1[RespondentID],'All Data'!$A$3:$CO$999,87,FALSE),"unknown")</f>
        <v>Man</v>
      </c>
      <c r="Q376" s="120">
        <f>IFERROR(VLOOKUP(Table1[RespondentID],'All Data'!$A$3:$CO$999,88,FALSE),"unknown")</f>
        <v>0</v>
      </c>
      <c r="R376" s="120" t="str">
        <f>IFERROR(VLOOKUP(Table1[RespondentID],'All Data'!$A$3:$CO$999,89,FALSE),"unknown")</f>
        <v>Suffolk</v>
      </c>
      <c r="S376" s="120" t="str">
        <f>IFERROR(VLOOKUP(Table1[RespondentID],'All Data'!$A$3:$CO$999,90,FALSE),"unknown")</f>
        <v>Kings Park, 11754</v>
      </c>
      <c r="T376" s="120" t="str">
        <f>IFERROR(VLOOKUP(Table1[RespondentID],'All Data'!$A$3:$CO$999,91,FALSE),"unknown")</f>
        <v>White</v>
      </c>
      <c r="U376" s="120" t="str">
        <f>IFERROR(VLOOKUP(Table1[RespondentID],'All Data'!$A$3:$CO$999,92,FALSE),"unknown")</f>
        <v>Not Hispanic or Latino</v>
      </c>
      <c r="V376" s="120" t="str">
        <f>IFERROR(VLOOKUP(Table1[RespondentID],'All Data'!$A$3:$CO$999,93,FALSE),"unknown")</f>
        <v>English</v>
      </c>
      <c r="W376" s="120" t="str">
        <f>IFERROR(VLOOKUP(Table1[RespondentID],'All Data'!$A$3:$CW$999,94,FALSE),"unknown")</f>
        <v>$75,000 to $125,000</v>
      </c>
      <c r="X376" s="120" t="str">
        <f>IFERROR(VLOOKUP(Table1[RespondentID],'All Data'!$A$3:$CW$999,95,FALSE),"unknown")</f>
        <v>College graduate</v>
      </c>
      <c r="Y376" s="120" t="str">
        <f>IFERROR(VLOOKUP(Table1[RespondentID],'All Data'!$A$3:$CW$999,96,FALSE),"unknown")</f>
        <v>Retired</v>
      </c>
      <c r="Z376" s="120" t="str">
        <f>IFERROR(VLOOKUP(Table1[RespondentID],'All Data'!$A$3:$CW$999,97,FALSE),"unknown")</f>
        <v>Yes</v>
      </c>
      <c r="AA376" s="120" t="str">
        <f>IFERROR(VLOOKUP(Table1[RespondentID],'All Data'!$A$3:$CW$999,98,FALSE),"unknown")</f>
        <v>Medicare,Private/Commercial</v>
      </c>
      <c r="AB376" s="150" t="str">
        <f>IFERROR(VLOOKUP(Table1[RespondentID],'All Data'!$A$3:$CW$999,99,FALSE),"unknown")</f>
        <v>Yes</v>
      </c>
    </row>
    <row r="377" spans="1:28">
      <c r="A377" s="149">
        <v>114096661817</v>
      </c>
      <c r="B377" s="134" t="s">
        <v>64</v>
      </c>
      <c r="C377" s="135"/>
      <c r="D377" s="135"/>
      <c r="E377" s="135"/>
      <c r="F377" s="135"/>
      <c r="G377" s="135"/>
      <c r="H377" s="135"/>
      <c r="I377" s="135"/>
      <c r="J377" s="135"/>
      <c r="K377" s="135" t="s">
        <v>73</v>
      </c>
      <c r="L377" s="135"/>
      <c r="M377" s="135"/>
      <c r="N377" s="135"/>
      <c r="O377" s="149"/>
      <c r="P377" s="120" t="str">
        <f>IFERROR(VLOOKUP(Table1[RespondentID],'All Data'!$A$3:$CO$999,87,FALSE),"unknown")</f>
        <v>Woman</v>
      </c>
      <c r="Q377" s="120">
        <f>IFERROR(VLOOKUP(Table1[RespondentID],'All Data'!$A$3:$CO$999,88,FALSE),"unknown")</f>
        <v>0</v>
      </c>
      <c r="R377" s="120" t="str">
        <f>IFERROR(VLOOKUP(Table1[RespondentID],'All Data'!$A$3:$CO$999,89,FALSE),"unknown")</f>
        <v>Suffolk</v>
      </c>
      <c r="S377" s="120" t="str">
        <f>IFERROR(VLOOKUP(Table1[RespondentID],'All Data'!$A$3:$CO$999,90,FALSE),"unknown")</f>
        <v>West Islip, 11795</v>
      </c>
      <c r="T377" s="120" t="str">
        <f>IFERROR(VLOOKUP(Table1[RespondentID],'All Data'!$A$3:$CO$999,91,FALSE),"unknown")</f>
        <v>White</v>
      </c>
      <c r="U377" s="120" t="str">
        <f>IFERROR(VLOOKUP(Table1[RespondentID],'All Data'!$A$3:$CO$999,92,FALSE),"unknown")</f>
        <v>Not Hispanic or Latino</v>
      </c>
      <c r="V377" s="120" t="str">
        <f>IFERROR(VLOOKUP(Table1[RespondentID],'All Data'!$A$3:$CO$999,93,FALSE),"unknown")</f>
        <v>English</v>
      </c>
      <c r="W377" s="120" t="str">
        <f>IFERROR(VLOOKUP(Table1[RespondentID],'All Data'!$A$3:$CW$999,94,FALSE),"unknown")</f>
        <v>$35,000 to $49,999</v>
      </c>
      <c r="X377" s="120" t="str">
        <f>IFERROR(VLOOKUP(Table1[RespondentID],'All Data'!$A$3:$CW$999,95,FALSE),"unknown")</f>
        <v>High school graduate</v>
      </c>
      <c r="Y377" s="120" t="str">
        <f>IFERROR(VLOOKUP(Table1[RespondentID],'All Data'!$A$3:$CW$999,96,FALSE),"unknown")</f>
        <v>Retired</v>
      </c>
      <c r="Z377" s="120" t="str">
        <f>IFERROR(VLOOKUP(Table1[RespondentID],'All Data'!$A$3:$CW$999,97,FALSE),"unknown")</f>
        <v>Yes</v>
      </c>
      <c r="AA377" s="120" t="str">
        <f>IFERROR(VLOOKUP(Table1[RespondentID],'All Data'!$A$3:$CW$999,98,FALSE),"unknown")</f>
        <v>Medicare</v>
      </c>
      <c r="AB377" s="150" t="str">
        <f>IFERROR(VLOOKUP(Table1[RespondentID],'All Data'!$A$3:$CW$999,99,FALSE),"unknown")</f>
        <v>Yes</v>
      </c>
    </row>
    <row r="378" spans="1:28">
      <c r="A378" s="149">
        <v>114096658219</v>
      </c>
      <c r="B378" s="134" t="s">
        <v>64</v>
      </c>
      <c r="C378" s="135"/>
      <c r="D378" s="135"/>
      <c r="E378" s="135"/>
      <c r="F378" s="135"/>
      <c r="G378" s="135" t="s">
        <v>69</v>
      </c>
      <c r="H378" s="135"/>
      <c r="I378" s="135"/>
      <c r="J378" s="135"/>
      <c r="K378" s="135"/>
      <c r="L378" s="135"/>
      <c r="M378" s="135" t="s">
        <v>75</v>
      </c>
      <c r="N378" s="135"/>
      <c r="O378" s="149"/>
      <c r="P378" s="120" t="str">
        <f>IFERROR(VLOOKUP(Table1[RespondentID],'All Data'!$A$3:$CO$999,87,FALSE),"unknown")</f>
        <v>Woman</v>
      </c>
      <c r="Q378" s="120">
        <f>IFERROR(VLOOKUP(Table1[RespondentID],'All Data'!$A$3:$CO$999,88,FALSE),"unknown")</f>
        <v>0</v>
      </c>
      <c r="R378" s="120" t="str">
        <f>IFERROR(VLOOKUP(Table1[RespondentID],'All Data'!$A$3:$CO$999,89,FALSE),"unknown")</f>
        <v>Suffolk</v>
      </c>
      <c r="S378" s="120" t="str">
        <f>IFERROR(VLOOKUP(Table1[RespondentID],'All Data'!$A$3:$CO$999,90,FALSE),"unknown")</f>
        <v>Babylon, 11702</v>
      </c>
      <c r="T378" s="120" t="str">
        <f>IFERROR(VLOOKUP(Table1[RespondentID],'All Data'!$A$3:$CO$999,91,FALSE),"unknown")</f>
        <v>White</v>
      </c>
      <c r="U378" s="120" t="str">
        <f>IFERROR(VLOOKUP(Table1[RespondentID],'All Data'!$A$3:$CO$999,92,FALSE),"unknown")</f>
        <v>Not Hispanic or Latino</v>
      </c>
      <c r="V378" s="120" t="str">
        <f>IFERROR(VLOOKUP(Table1[RespondentID],'All Data'!$A$3:$CO$999,93,FALSE),"unknown")</f>
        <v>English</v>
      </c>
      <c r="W378" s="120" t="str">
        <f>IFERROR(VLOOKUP(Table1[RespondentID],'All Data'!$A$3:$CW$999,94,FALSE),"unknown")</f>
        <v>$50,000 to $74,999</v>
      </c>
      <c r="X378" s="120" t="str">
        <f>IFERROR(VLOOKUP(Table1[RespondentID],'All Data'!$A$3:$CW$999,95,FALSE),"unknown")</f>
        <v>College graduate</v>
      </c>
      <c r="Y378" s="120" t="str">
        <f>IFERROR(VLOOKUP(Table1[RespondentID],'All Data'!$A$3:$CW$999,96,FALSE),"unknown")</f>
        <v>Retired</v>
      </c>
      <c r="Z378" s="120" t="str">
        <f>IFERROR(VLOOKUP(Table1[RespondentID],'All Data'!$A$3:$CW$999,97,FALSE),"unknown")</f>
        <v>Yes</v>
      </c>
      <c r="AA378" s="120" t="str">
        <f>IFERROR(VLOOKUP(Table1[RespondentID],'All Data'!$A$3:$CW$999,98,FALSE),"unknown")</f>
        <v>Medicare,Private/Commercial</v>
      </c>
      <c r="AB378" s="150" t="str">
        <f>IFERROR(VLOOKUP(Table1[RespondentID],'All Data'!$A$3:$CW$999,99,FALSE),"unknown")</f>
        <v>Yes</v>
      </c>
    </row>
    <row r="379" spans="1:28">
      <c r="A379" s="149">
        <v>114089866335</v>
      </c>
      <c r="B379" s="134" t="s">
        <v>64</v>
      </c>
      <c r="C379" s="135"/>
      <c r="D379" s="135"/>
      <c r="E379" s="135" t="s">
        <v>67</v>
      </c>
      <c r="F379" s="135"/>
      <c r="G379" s="135"/>
      <c r="H379" s="135"/>
      <c r="I379" s="135"/>
      <c r="J379" s="135"/>
      <c r="K379" s="135"/>
      <c r="L379" s="135"/>
      <c r="M379" s="135" t="s">
        <v>75</v>
      </c>
      <c r="N379" s="135"/>
      <c r="O379" s="149"/>
      <c r="P379" s="120" t="str">
        <f>IFERROR(VLOOKUP(Table1[RespondentID],'All Data'!$A$3:$CO$999,87,FALSE),"unknown")</f>
        <v>Woman</v>
      </c>
      <c r="Q379" s="120">
        <f>IFERROR(VLOOKUP(Table1[RespondentID],'All Data'!$A$3:$CO$999,88,FALSE),"unknown")</f>
        <v>0</v>
      </c>
      <c r="R379" s="120" t="str">
        <f>IFERROR(VLOOKUP(Table1[RespondentID],'All Data'!$A$3:$CO$999,89,FALSE),"unknown")</f>
        <v>Nassau</v>
      </c>
      <c r="S379" s="120" t="str">
        <f>IFERROR(VLOOKUP(Table1[RespondentID],'All Data'!$A$3:$CO$999,90,FALSE),"unknown")</f>
        <v>East Meadow, 11554</v>
      </c>
      <c r="T379" s="120" t="str">
        <f>IFERROR(VLOOKUP(Table1[RespondentID],'All Data'!$A$3:$CO$999,91,FALSE),"unknown")</f>
        <v>Other (please specify)</v>
      </c>
      <c r="U379" s="120" t="str">
        <f>IFERROR(VLOOKUP(Table1[RespondentID],'All Data'!$A$3:$CO$999,92,FALSE),"unknown")</f>
        <v>Not Hispanic or Latino</v>
      </c>
      <c r="V379" s="120" t="str">
        <f>IFERROR(VLOOKUP(Table1[RespondentID],'All Data'!$A$3:$CO$999,93,FALSE),"unknown")</f>
        <v>English</v>
      </c>
      <c r="W379" s="120">
        <f>IFERROR(VLOOKUP(Table1[RespondentID],'All Data'!$A$3:$CW$999,94,FALSE),"unknown")</f>
        <v>0</v>
      </c>
      <c r="X379" s="120" t="str">
        <f>IFERROR(VLOOKUP(Table1[RespondentID],'All Data'!$A$3:$CW$999,95,FALSE),"unknown")</f>
        <v>College graduate</v>
      </c>
      <c r="Y379" s="120" t="str">
        <f>IFERROR(VLOOKUP(Table1[RespondentID],'All Data'!$A$3:$CW$999,96,FALSE),"unknown")</f>
        <v>Employed for wages</v>
      </c>
      <c r="Z379" s="120" t="str">
        <f>IFERROR(VLOOKUP(Table1[RespondentID],'All Data'!$A$3:$CW$999,97,FALSE),"unknown")</f>
        <v>Yes</v>
      </c>
      <c r="AA379" s="120" t="str">
        <f>IFERROR(VLOOKUP(Table1[RespondentID],'All Data'!$A$3:$CW$999,98,FALSE),"unknown")</f>
        <v>Private/Commercial</v>
      </c>
      <c r="AB379" s="150" t="str">
        <f>IFERROR(VLOOKUP(Table1[RespondentID],'All Data'!$A$3:$CW$999,99,FALSE),"unknown")</f>
        <v>Yes</v>
      </c>
    </row>
    <row r="380" spans="1:28">
      <c r="A380" s="149">
        <v>114089496497</v>
      </c>
      <c r="B380" s="134" t="s">
        <v>64</v>
      </c>
      <c r="C380" s="135"/>
      <c r="D380" s="135" t="s">
        <v>66</v>
      </c>
      <c r="E380" s="135"/>
      <c r="F380" s="135"/>
      <c r="G380" s="135" t="s">
        <v>69</v>
      </c>
      <c r="H380" s="135"/>
      <c r="I380" s="135"/>
      <c r="J380" s="135"/>
      <c r="K380" s="135" t="s">
        <v>73</v>
      </c>
      <c r="L380" s="135"/>
      <c r="M380" s="135"/>
      <c r="N380" s="135"/>
      <c r="O380" s="149"/>
      <c r="P380" s="120" t="str">
        <f>IFERROR(VLOOKUP(Table1[RespondentID],'All Data'!$A$3:$CO$999,87,FALSE),"unknown")</f>
        <v>Woman</v>
      </c>
      <c r="Q380" s="120">
        <f>IFERROR(VLOOKUP(Table1[RespondentID],'All Data'!$A$3:$CO$999,88,FALSE),"unknown")</f>
        <v>0</v>
      </c>
      <c r="R380" s="120" t="str">
        <f>IFERROR(VLOOKUP(Table1[RespondentID],'All Data'!$A$3:$CO$999,89,FALSE),"unknown")</f>
        <v>Suffolk</v>
      </c>
      <c r="S380" s="120" t="str">
        <f>IFERROR(VLOOKUP(Table1[RespondentID],'All Data'!$A$3:$CO$999,90,FALSE),"unknown")</f>
        <v>Lindenhurst, 11757</v>
      </c>
      <c r="T380" s="120" t="str">
        <f>IFERROR(VLOOKUP(Table1[RespondentID],'All Data'!$A$3:$CO$999,91,FALSE),"unknown")</f>
        <v>White</v>
      </c>
      <c r="U380" s="120" t="str">
        <f>IFERROR(VLOOKUP(Table1[RespondentID],'All Data'!$A$3:$CO$999,92,FALSE),"unknown")</f>
        <v>Not Hispanic or Latino</v>
      </c>
      <c r="V380" s="120" t="str">
        <f>IFERROR(VLOOKUP(Table1[RespondentID],'All Data'!$A$3:$CO$999,93,FALSE),"unknown")</f>
        <v>English</v>
      </c>
      <c r="W380" s="120" t="str">
        <f>IFERROR(VLOOKUP(Table1[RespondentID],'All Data'!$A$3:$CW$999,94,FALSE),"unknown")</f>
        <v>$50,000 to $74,999</v>
      </c>
      <c r="X380" s="120" t="str">
        <f>IFERROR(VLOOKUP(Table1[RespondentID],'All Data'!$A$3:$CW$999,95,FALSE),"unknown")</f>
        <v>Some college</v>
      </c>
      <c r="Y380" s="120" t="str">
        <f>IFERROR(VLOOKUP(Table1[RespondentID],'All Data'!$A$3:$CW$999,96,FALSE),"unknown")</f>
        <v>Employed for wages</v>
      </c>
      <c r="Z380" s="120" t="str">
        <f>IFERROR(VLOOKUP(Table1[RespondentID],'All Data'!$A$3:$CW$999,97,FALSE),"unknown")</f>
        <v>Yes</v>
      </c>
      <c r="AA380" s="120" t="str">
        <f>IFERROR(VLOOKUP(Table1[RespondentID],'All Data'!$A$3:$CW$999,98,FALSE),"unknown")</f>
        <v>Private/Commercial</v>
      </c>
      <c r="AB380" s="150" t="str">
        <f>IFERROR(VLOOKUP(Table1[RespondentID],'All Data'!$A$3:$CW$999,99,FALSE),"unknown")</f>
        <v>Yes</v>
      </c>
    </row>
    <row r="381" spans="1:28">
      <c r="A381" s="149">
        <v>114089303117</v>
      </c>
      <c r="B381" s="134" t="s">
        <v>64</v>
      </c>
      <c r="C381" s="135"/>
      <c r="D381" s="135"/>
      <c r="E381" s="135"/>
      <c r="F381" s="135"/>
      <c r="G381" s="135"/>
      <c r="H381" s="135" t="s">
        <v>70</v>
      </c>
      <c r="I381" s="135"/>
      <c r="J381" s="135"/>
      <c r="K381" s="135"/>
      <c r="L381" s="135"/>
      <c r="M381" s="135"/>
      <c r="N381" s="135"/>
      <c r="O381" s="149"/>
      <c r="P381" s="120" t="str">
        <f>IFERROR(VLOOKUP(Table1[RespondentID],'All Data'!$A$3:$CO$999,87,FALSE),"unknown")</f>
        <v>Woman</v>
      </c>
      <c r="Q381" s="120">
        <f>IFERROR(VLOOKUP(Table1[RespondentID],'All Data'!$A$3:$CO$999,88,FALSE),"unknown")</f>
        <v>0</v>
      </c>
      <c r="R381" s="120" t="str">
        <f>IFERROR(VLOOKUP(Table1[RespondentID],'All Data'!$A$3:$CO$999,89,FALSE),"unknown")</f>
        <v>Suffolk</v>
      </c>
      <c r="S381" s="120" t="str">
        <f>IFERROR(VLOOKUP(Table1[RespondentID],'All Data'!$A$3:$CO$999,90,FALSE),"unknown")</f>
        <v>Lindenhurst, 11757</v>
      </c>
      <c r="T381" s="120" t="str">
        <f>IFERROR(VLOOKUP(Table1[RespondentID],'All Data'!$A$3:$CO$999,91,FALSE),"unknown")</f>
        <v>White</v>
      </c>
      <c r="U381" s="120" t="str">
        <f>IFERROR(VLOOKUP(Table1[RespondentID],'All Data'!$A$3:$CO$999,92,FALSE),"unknown")</f>
        <v>Not Hispanic or Latino</v>
      </c>
      <c r="V381" s="120" t="str">
        <f>IFERROR(VLOOKUP(Table1[RespondentID],'All Data'!$A$3:$CO$999,93,FALSE),"unknown")</f>
        <v>English</v>
      </c>
      <c r="W381" s="120" t="str">
        <f>IFERROR(VLOOKUP(Table1[RespondentID],'All Data'!$A$3:$CW$999,94,FALSE),"unknown")</f>
        <v>$35,000 to $49,999</v>
      </c>
      <c r="X381" s="120" t="str">
        <f>IFERROR(VLOOKUP(Table1[RespondentID],'All Data'!$A$3:$CW$999,95,FALSE),"unknown")</f>
        <v>Some college</v>
      </c>
      <c r="Y381" s="120" t="str">
        <f>IFERROR(VLOOKUP(Table1[RespondentID],'All Data'!$A$3:$CW$999,96,FALSE),"unknown")</f>
        <v>Out of work, but not currently looking</v>
      </c>
      <c r="Z381" s="120" t="str">
        <f>IFERROR(VLOOKUP(Table1[RespondentID],'All Data'!$A$3:$CW$999,97,FALSE),"unknown")</f>
        <v>Yes</v>
      </c>
      <c r="AA381" s="120" t="str">
        <f>IFERROR(VLOOKUP(Table1[RespondentID],'All Data'!$A$3:$CW$999,98,FALSE),"unknown")</f>
        <v>Medicaid,</v>
      </c>
      <c r="AB381" s="150" t="str">
        <f>IFERROR(VLOOKUP(Table1[RespondentID],'All Data'!$A$3:$CW$999,99,FALSE),"unknown")</f>
        <v>Yes</v>
      </c>
    </row>
    <row r="382" spans="1:28">
      <c r="A382" s="149">
        <v>114088122122</v>
      </c>
      <c r="B382" s="134" t="s">
        <v>64</v>
      </c>
      <c r="C382" s="135"/>
      <c r="D382" s="135"/>
      <c r="E382" s="135"/>
      <c r="F382" s="135"/>
      <c r="G382" s="135"/>
      <c r="H382" s="135"/>
      <c r="I382" s="135"/>
      <c r="J382" s="135" t="s">
        <v>72</v>
      </c>
      <c r="K382" s="135" t="s">
        <v>73</v>
      </c>
      <c r="L382" s="135"/>
      <c r="M382" s="135" t="s">
        <v>75</v>
      </c>
      <c r="N382" s="135"/>
      <c r="O382" s="149"/>
      <c r="P382" s="120" t="str">
        <f>IFERROR(VLOOKUP(Table1[RespondentID],'All Data'!$A$3:$CO$999,87,FALSE),"unknown")</f>
        <v>Woman</v>
      </c>
      <c r="Q382" s="120">
        <f>IFERROR(VLOOKUP(Table1[RespondentID],'All Data'!$A$3:$CO$999,88,FALSE),"unknown")</f>
        <v>0</v>
      </c>
      <c r="R382" s="120" t="str">
        <f>IFERROR(VLOOKUP(Table1[RespondentID],'All Data'!$A$3:$CO$999,89,FALSE),"unknown")</f>
        <v>Suffolk</v>
      </c>
      <c r="S382" s="120" t="str">
        <f>IFERROR(VLOOKUP(Table1[RespondentID],'All Data'!$A$3:$CO$999,90,FALSE),"unknown")</f>
        <v>Bohemia, 11716</v>
      </c>
      <c r="T382" s="120" t="str">
        <f>IFERROR(VLOOKUP(Table1[RespondentID],'All Data'!$A$3:$CO$999,91,FALSE),"unknown")</f>
        <v>White</v>
      </c>
      <c r="U382" s="120" t="str">
        <f>IFERROR(VLOOKUP(Table1[RespondentID],'All Data'!$A$3:$CO$999,92,FALSE),"unknown")</f>
        <v>Not Hispanic or Latino</v>
      </c>
      <c r="V382" s="120" t="str">
        <f>IFERROR(VLOOKUP(Table1[RespondentID],'All Data'!$A$3:$CO$999,93,FALSE),"unknown")</f>
        <v>English</v>
      </c>
      <c r="W382" s="120" t="str">
        <f>IFERROR(VLOOKUP(Table1[RespondentID],'All Data'!$A$3:$CW$999,94,FALSE),"unknown")</f>
        <v>$75,000 to $125,000</v>
      </c>
      <c r="X382" s="120" t="str">
        <f>IFERROR(VLOOKUP(Table1[RespondentID],'All Data'!$A$3:$CW$999,95,FALSE),"unknown")</f>
        <v>High school graduate</v>
      </c>
      <c r="Y382" s="120" t="str">
        <f>IFERROR(VLOOKUP(Table1[RespondentID],'All Data'!$A$3:$CW$999,96,FALSE),"unknown")</f>
        <v>Employed for wages</v>
      </c>
      <c r="Z382" s="120" t="str">
        <f>IFERROR(VLOOKUP(Table1[RespondentID],'All Data'!$A$3:$CW$999,97,FALSE),"unknown")</f>
        <v>No, but I did in the past</v>
      </c>
      <c r="AA382" s="120" t="str">
        <f>IFERROR(VLOOKUP(Table1[RespondentID],'All Data'!$A$3:$CW$999,98,FALSE),"unknown")</f>
        <v>Private/Commercial</v>
      </c>
      <c r="AB382" s="150" t="str">
        <f>IFERROR(VLOOKUP(Table1[RespondentID],'All Data'!$A$3:$CW$999,99,FALSE),"unknown")</f>
        <v>Yes</v>
      </c>
    </row>
    <row r="383" spans="1:28">
      <c r="A383" s="149">
        <v>114087722061</v>
      </c>
      <c r="B383" s="134" t="s">
        <v>64</v>
      </c>
      <c r="C383" s="135"/>
      <c r="D383" s="135"/>
      <c r="E383" s="135"/>
      <c r="F383" s="135"/>
      <c r="G383" s="135"/>
      <c r="H383" s="135"/>
      <c r="I383" s="135"/>
      <c r="J383" s="135"/>
      <c r="K383" s="135" t="s">
        <v>73</v>
      </c>
      <c r="L383" s="135"/>
      <c r="M383" s="135" t="s">
        <v>75</v>
      </c>
      <c r="N383" s="135"/>
      <c r="O383" s="149"/>
      <c r="P383" s="120" t="str">
        <f>IFERROR(VLOOKUP(Table1[RespondentID],'All Data'!$A$3:$CO$999,87,FALSE),"unknown")</f>
        <v>Woman</v>
      </c>
      <c r="Q383" s="120">
        <f>IFERROR(VLOOKUP(Table1[RespondentID],'All Data'!$A$3:$CO$999,88,FALSE),"unknown")</f>
        <v>0</v>
      </c>
      <c r="R383" s="120" t="str">
        <f>IFERROR(VLOOKUP(Table1[RespondentID],'All Data'!$A$3:$CO$999,89,FALSE),"unknown")</f>
        <v>Nassau</v>
      </c>
      <c r="S383" s="120" t="str">
        <f>IFERROR(VLOOKUP(Table1[RespondentID],'All Data'!$A$3:$CO$999,90,FALSE),"unknown")</f>
        <v>Valley Stream, 11580</v>
      </c>
      <c r="T383" s="120" t="str">
        <f>IFERROR(VLOOKUP(Table1[RespondentID],'All Data'!$A$3:$CO$999,91,FALSE),"unknown")</f>
        <v>Other (please specify)</v>
      </c>
      <c r="U383" s="120" t="str">
        <f>IFERROR(VLOOKUP(Table1[RespondentID],'All Data'!$A$3:$CO$999,92,FALSE),"unknown")</f>
        <v>Unknown</v>
      </c>
      <c r="V383" s="120" t="str">
        <f>IFERROR(VLOOKUP(Table1[RespondentID],'All Data'!$A$3:$CO$999,93,FALSE),"unknown")</f>
        <v>English</v>
      </c>
      <c r="W383" s="120" t="str">
        <f>IFERROR(VLOOKUP(Table1[RespondentID],'All Data'!$A$3:$CW$999,94,FALSE),"unknown")</f>
        <v>$35,000 to $49,999</v>
      </c>
      <c r="X383" s="120" t="str">
        <f>IFERROR(VLOOKUP(Table1[RespondentID],'All Data'!$A$3:$CW$999,95,FALSE),"unknown")</f>
        <v>Some college</v>
      </c>
      <c r="Y383" s="120" t="str">
        <f>IFERROR(VLOOKUP(Table1[RespondentID],'All Data'!$A$3:$CW$999,96,FALSE),"unknown")</f>
        <v>Employed for wages</v>
      </c>
      <c r="Z383" s="120" t="str">
        <f>IFERROR(VLOOKUP(Table1[RespondentID],'All Data'!$A$3:$CW$999,97,FALSE),"unknown")</f>
        <v>Yes</v>
      </c>
      <c r="AA383" s="120" t="str">
        <f>IFERROR(VLOOKUP(Table1[RespondentID],'All Data'!$A$3:$CW$999,98,FALSE),"unknown")</f>
        <v>Private/Commercial</v>
      </c>
      <c r="AB383" s="150" t="str">
        <f>IFERROR(VLOOKUP(Table1[RespondentID],'All Data'!$A$3:$CW$999,99,FALSE),"unknown")</f>
        <v>Yes</v>
      </c>
    </row>
    <row r="384" spans="1:28">
      <c r="A384" s="149">
        <v>114087334117</v>
      </c>
      <c r="B384" s="134" t="s">
        <v>64</v>
      </c>
      <c r="C384" s="135"/>
      <c r="D384" s="135" t="s">
        <v>66</v>
      </c>
      <c r="E384" s="135" t="s">
        <v>67</v>
      </c>
      <c r="F384" s="135"/>
      <c r="G384" s="135" t="s">
        <v>69</v>
      </c>
      <c r="H384" s="135"/>
      <c r="I384" s="135" t="s">
        <v>71</v>
      </c>
      <c r="J384" s="135" t="s">
        <v>72</v>
      </c>
      <c r="K384" s="135"/>
      <c r="L384" s="135"/>
      <c r="M384" s="135" t="s">
        <v>75</v>
      </c>
      <c r="N384" s="135"/>
      <c r="O384" s="149"/>
      <c r="P384" s="120" t="str">
        <f>IFERROR(VLOOKUP(Table1[RespondentID],'All Data'!$A$3:$CO$999,87,FALSE),"unknown")</f>
        <v>Woman</v>
      </c>
      <c r="Q384" s="120">
        <f>IFERROR(VLOOKUP(Table1[RespondentID],'All Data'!$A$3:$CO$999,88,FALSE),"unknown")</f>
        <v>0</v>
      </c>
      <c r="R384" s="120" t="str">
        <f>IFERROR(VLOOKUP(Table1[RespondentID],'All Data'!$A$3:$CO$999,89,FALSE),"unknown")</f>
        <v>Nassau</v>
      </c>
      <c r="S384" s="120" t="str">
        <f>IFERROR(VLOOKUP(Table1[RespondentID],'All Data'!$A$3:$CO$999,90,FALSE),"unknown")</f>
        <v>Freeport, 11520</v>
      </c>
      <c r="T384" s="120" t="str">
        <f>IFERROR(VLOOKUP(Table1[RespondentID],'All Data'!$A$3:$CO$999,91,FALSE),"unknown")</f>
        <v>White</v>
      </c>
      <c r="U384" s="120" t="str">
        <f>IFERROR(VLOOKUP(Table1[RespondentID],'All Data'!$A$3:$CO$999,92,FALSE),"unknown")</f>
        <v>Not Hispanic or Latino</v>
      </c>
      <c r="V384" s="120" t="str">
        <f>IFERROR(VLOOKUP(Table1[RespondentID],'All Data'!$A$3:$CO$999,93,FALSE),"unknown")</f>
        <v>English</v>
      </c>
      <c r="W384" s="120" t="str">
        <f>IFERROR(VLOOKUP(Table1[RespondentID],'All Data'!$A$3:$CW$999,94,FALSE),"unknown")</f>
        <v>$75,000 to $125,000</v>
      </c>
      <c r="X384" s="120" t="str">
        <f>IFERROR(VLOOKUP(Table1[RespondentID],'All Data'!$A$3:$CW$999,95,FALSE),"unknown")</f>
        <v>Graduate school</v>
      </c>
      <c r="Y384" s="120" t="str">
        <f>IFERROR(VLOOKUP(Table1[RespondentID],'All Data'!$A$3:$CW$999,96,FALSE),"unknown")</f>
        <v>Employed for wages</v>
      </c>
      <c r="Z384" s="120" t="str">
        <f>IFERROR(VLOOKUP(Table1[RespondentID],'All Data'!$A$3:$CW$999,97,FALSE),"unknown")</f>
        <v>Yes</v>
      </c>
      <c r="AA384" s="120" t="str">
        <f>IFERROR(VLOOKUP(Table1[RespondentID],'All Data'!$A$3:$CW$999,98,FALSE),"unknown")</f>
        <v>Private/Commercial</v>
      </c>
      <c r="AB384" s="150" t="str">
        <f>IFERROR(VLOOKUP(Table1[RespondentID],'All Data'!$A$3:$CW$999,99,FALSE),"unknown")</f>
        <v>Yes</v>
      </c>
    </row>
    <row r="385" spans="1:28">
      <c r="A385" s="149">
        <v>114087289322</v>
      </c>
      <c r="B385" s="134" t="s">
        <v>64</v>
      </c>
      <c r="C385" s="135"/>
      <c r="D385" s="135"/>
      <c r="E385" s="135"/>
      <c r="F385" s="135"/>
      <c r="G385" s="135"/>
      <c r="H385" s="135"/>
      <c r="I385" s="135"/>
      <c r="J385" s="135"/>
      <c r="K385" s="135"/>
      <c r="L385" s="135"/>
      <c r="M385" s="135"/>
      <c r="N385" s="135"/>
      <c r="O385" s="149"/>
      <c r="P385" s="120" t="str">
        <f>IFERROR(VLOOKUP(Table1[RespondentID],'All Data'!$A$3:$CO$999,87,FALSE),"unknown")</f>
        <v>Woman</v>
      </c>
      <c r="Q385" s="120">
        <f>IFERROR(VLOOKUP(Table1[RespondentID],'All Data'!$A$3:$CO$999,88,FALSE),"unknown")</f>
        <v>0</v>
      </c>
      <c r="R385" s="120" t="str">
        <f>IFERROR(VLOOKUP(Table1[RespondentID],'All Data'!$A$3:$CO$999,89,FALSE),"unknown")</f>
        <v>Nassau</v>
      </c>
      <c r="S385" s="120" t="str">
        <f>IFERROR(VLOOKUP(Table1[RespondentID],'All Data'!$A$3:$CO$999,90,FALSE),"unknown")</f>
        <v>Franklin Square, 11010</v>
      </c>
      <c r="T385" s="120" t="str">
        <f>IFERROR(VLOOKUP(Table1[RespondentID],'All Data'!$A$3:$CO$999,91,FALSE),"unknown")</f>
        <v>White</v>
      </c>
      <c r="U385" s="120" t="str">
        <f>IFERROR(VLOOKUP(Table1[RespondentID],'All Data'!$A$3:$CO$999,92,FALSE),"unknown")</f>
        <v>Not Hispanic or Latino</v>
      </c>
      <c r="V385" s="120" t="str">
        <f>IFERROR(VLOOKUP(Table1[RespondentID],'All Data'!$A$3:$CO$999,93,FALSE),"unknown")</f>
        <v>English</v>
      </c>
      <c r="W385" s="120" t="str">
        <f>IFERROR(VLOOKUP(Table1[RespondentID],'All Data'!$A$3:$CW$999,94,FALSE),"unknown")</f>
        <v>Over $125,000</v>
      </c>
      <c r="X385" s="120" t="str">
        <f>IFERROR(VLOOKUP(Table1[RespondentID],'All Data'!$A$3:$CW$999,95,FALSE),"unknown")</f>
        <v>College graduate</v>
      </c>
      <c r="Y385" s="120" t="str">
        <f>IFERROR(VLOOKUP(Table1[RespondentID],'All Data'!$A$3:$CW$999,96,FALSE),"unknown")</f>
        <v>Employed for wages</v>
      </c>
      <c r="Z385" s="120" t="str">
        <f>IFERROR(VLOOKUP(Table1[RespondentID],'All Data'!$A$3:$CW$999,97,FALSE),"unknown")</f>
        <v>Yes</v>
      </c>
      <c r="AA385" s="120" t="str">
        <f>IFERROR(VLOOKUP(Table1[RespondentID],'All Data'!$A$3:$CW$999,98,FALSE),"unknown")</f>
        <v>Private/Commercial</v>
      </c>
      <c r="AB385" s="150" t="str">
        <f>IFERROR(VLOOKUP(Table1[RespondentID],'All Data'!$A$3:$CW$999,99,FALSE),"unknown")</f>
        <v>Yes</v>
      </c>
    </row>
    <row r="386" spans="1:28">
      <c r="A386" s="149">
        <v>114087207731</v>
      </c>
      <c r="B386" s="134" t="s">
        <v>64</v>
      </c>
      <c r="C386" s="135"/>
      <c r="D386" s="135"/>
      <c r="E386" s="135"/>
      <c r="F386" s="135"/>
      <c r="G386" s="135"/>
      <c r="H386" s="135" t="s">
        <v>70</v>
      </c>
      <c r="I386" s="135"/>
      <c r="J386" s="135"/>
      <c r="K386" s="135"/>
      <c r="L386" s="135"/>
      <c r="M386" s="135" t="s">
        <v>75</v>
      </c>
      <c r="N386" s="135"/>
      <c r="O386" s="149"/>
      <c r="P386" s="120" t="str">
        <f>IFERROR(VLOOKUP(Table1[RespondentID],'All Data'!$A$3:$CO$999,87,FALSE),"unknown")</f>
        <v>Woman</v>
      </c>
      <c r="Q386" s="120">
        <f>IFERROR(VLOOKUP(Table1[RespondentID],'All Data'!$A$3:$CO$999,88,FALSE),"unknown")</f>
        <v>0</v>
      </c>
      <c r="R386" s="120" t="str">
        <f>IFERROR(VLOOKUP(Table1[RespondentID],'All Data'!$A$3:$CO$999,89,FALSE),"unknown")</f>
        <v>Nassau</v>
      </c>
      <c r="S386" s="120" t="str">
        <f>IFERROR(VLOOKUP(Table1[RespondentID],'All Data'!$A$3:$CO$999,90,FALSE),"unknown")</f>
        <v>Wantagh, 11793</v>
      </c>
      <c r="T386" s="120" t="str">
        <f>IFERROR(VLOOKUP(Table1[RespondentID],'All Data'!$A$3:$CO$999,91,FALSE),"unknown")</f>
        <v>White</v>
      </c>
      <c r="U386" s="120" t="str">
        <f>IFERROR(VLOOKUP(Table1[RespondentID],'All Data'!$A$3:$CO$999,92,FALSE),"unknown")</f>
        <v>Not Hispanic or Latino</v>
      </c>
      <c r="V386" s="120" t="str">
        <f>IFERROR(VLOOKUP(Table1[RespondentID],'All Data'!$A$3:$CO$999,93,FALSE),"unknown")</f>
        <v>English</v>
      </c>
      <c r="W386" s="120" t="str">
        <f>IFERROR(VLOOKUP(Table1[RespondentID],'All Data'!$A$3:$CW$999,94,FALSE),"unknown")</f>
        <v>$75,000 to $125,000</v>
      </c>
      <c r="X386" s="120" t="str">
        <f>IFERROR(VLOOKUP(Table1[RespondentID],'All Data'!$A$3:$CW$999,95,FALSE),"unknown")</f>
        <v>College graduate</v>
      </c>
      <c r="Y386" s="120" t="str">
        <f>IFERROR(VLOOKUP(Table1[RespondentID],'All Data'!$A$3:$CW$999,96,FALSE),"unknown")</f>
        <v>Employed for wages</v>
      </c>
      <c r="Z386" s="120" t="str">
        <f>IFERROR(VLOOKUP(Table1[RespondentID],'All Data'!$A$3:$CW$999,97,FALSE),"unknown")</f>
        <v>Yes</v>
      </c>
      <c r="AA386" s="120" t="str">
        <f>IFERROR(VLOOKUP(Table1[RespondentID],'All Data'!$A$3:$CW$999,98,FALSE),"unknown")</f>
        <v>Private/Commercial</v>
      </c>
      <c r="AB386" s="150" t="str">
        <f>IFERROR(VLOOKUP(Table1[RespondentID],'All Data'!$A$3:$CW$999,99,FALSE),"unknown")</f>
        <v>Yes</v>
      </c>
    </row>
    <row r="387" spans="1:28">
      <c r="A387" s="149">
        <v>114086765018</v>
      </c>
      <c r="B387" s="134" t="s">
        <v>64</v>
      </c>
      <c r="C387" s="135"/>
      <c r="D387" s="135"/>
      <c r="E387" s="135"/>
      <c r="F387" s="135"/>
      <c r="G387" s="135"/>
      <c r="H387" s="135"/>
      <c r="I387" s="135"/>
      <c r="J387" s="135"/>
      <c r="K387" s="135"/>
      <c r="L387" s="135"/>
      <c r="M387" s="135" t="s">
        <v>75</v>
      </c>
      <c r="N387" s="135"/>
      <c r="O387" s="149"/>
      <c r="P387" s="120" t="str">
        <f>IFERROR(VLOOKUP(Table1[RespondentID],'All Data'!$A$3:$CO$999,87,FALSE),"unknown")</f>
        <v>Man</v>
      </c>
      <c r="Q387" s="120">
        <f>IFERROR(VLOOKUP(Table1[RespondentID],'All Data'!$A$3:$CO$999,88,FALSE),"unknown")</f>
        <v>0</v>
      </c>
      <c r="R387" s="120" t="str">
        <f>IFERROR(VLOOKUP(Table1[RespondentID],'All Data'!$A$3:$CO$999,89,FALSE),"unknown")</f>
        <v>Suffolk</v>
      </c>
      <c r="S387" s="120" t="str">
        <f>IFERROR(VLOOKUP(Table1[RespondentID],'All Data'!$A$3:$CO$999,90,FALSE),"unknown")</f>
        <v>West Islip, 11795</v>
      </c>
      <c r="T387" s="120" t="str">
        <f>IFERROR(VLOOKUP(Table1[RespondentID],'All Data'!$A$3:$CO$999,91,FALSE),"unknown")</f>
        <v>White</v>
      </c>
      <c r="U387" s="120" t="str">
        <f>IFERROR(VLOOKUP(Table1[RespondentID],'All Data'!$A$3:$CO$999,92,FALSE),"unknown")</f>
        <v>Not Hispanic or Latino</v>
      </c>
      <c r="V387" s="120" t="str">
        <f>IFERROR(VLOOKUP(Table1[RespondentID],'All Data'!$A$3:$CO$999,93,FALSE),"unknown")</f>
        <v>English</v>
      </c>
      <c r="W387" s="120" t="str">
        <f>IFERROR(VLOOKUP(Table1[RespondentID],'All Data'!$A$3:$CW$999,94,FALSE),"unknown")</f>
        <v>Over $125,000</v>
      </c>
      <c r="X387" s="120" t="str">
        <f>IFERROR(VLOOKUP(Table1[RespondentID],'All Data'!$A$3:$CW$999,95,FALSE),"unknown")</f>
        <v>College graduate</v>
      </c>
      <c r="Y387" s="120" t="str">
        <f>IFERROR(VLOOKUP(Table1[RespondentID],'All Data'!$A$3:$CW$999,96,FALSE),"unknown")</f>
        <v>Employed for wages</v>
      </c>
      <c r="Z387" s="120" t="str">
        <f>IFERROR(VLOOKUP(Table1[RespondentID],'All Data'!$A$3:$CW$999,97,FALSE),"unknown")</f>
        <v>Yes</v>
      </c>
      <c r="AA387" s="120" t="str">
        <f>IFERROR(VLOOKUP(Table1[RespondentID],'All Data'!$A$3:$CW$999,98,FALSE),"unknown")</f>
        <v>Private/Commercial</v>
      </c>
      <c r="AB387" s="150" t="str">
        <f>IFERROR(VLOOKUP(Table1[RespondentID],'All Data'!$A$3:$CW$999,99,FALSE),"unknown")</f>
        <v>Yes</v>
      </c>
    </row>
    <row r="388" spans="1:28">
      <c r="A388" s="149">
        <v>114086729438</v>
      </c>
      <c r="B388" s="134" t="s">
        <v>64</v>
      </c>
      <c r="C388" s="135"/>
      <c r="D388" s="135"/>
      <c r="E388" s="135"/>
      <c r="F388" s="135"/>
      <c r="G388" s="135"/>
      <c r="H388" s="135"/>
      <c r="I388" s="135"/>
      <c r="J388" s="135"/>
      <c r="K388" s="135" t="s">
        <v>73</v>
      </c>
      <c r="L388" s="135"/>
      <c r="M388" s="135"/>
      <c r="N388" s="135"/>
      <c r="O388" s="149"/>
      <c r="P388" s="120" t="str">
        <f>IFERROR(VLOOKUP(Table1[RespondentID],'All Data'!$A$3:$CO$999,87,FALSE),"unknown")</f>
        <v>Woman</v>
      </c>
      <c r="Q388" s="120">
        <f>IFERROR(VLOOKUP(Table1[RespondentID],'All Data'!$A$3:$CO$999,88,FALSE),"unknown")</f>
        <v>0</v>
      </c>
      <c r="R388" s="120" t="str">
        <f>IFERROR(VLOOKUP(Table1[RespondentID],'All Data'!$A$3:$CO$999,89,FALSE),"unknown")</f>
        <v>Nassau</v>
      </c>
      <c r="S388" s="120" t="str">
        <f>IFERROR(VLOOKUP(Table1[RespondentID],'All Data'!$A$3:$CO$999,90,FALSE),"unknown")</f>
        <v>Roslyn, 11576</v>
      </c>
      <c r="T388" s="120" t="str">
        <f>IFERROR(VLOOKUP(Table1[RespondentID],'All Data'!$A$3:$CO$999,91,FALSE),"unknown")</f>
        <v>White</v>
      </c>
      <c r="U388" s="120" t="str">
        <f>IFERROR(VLOOKUP(Table1[RespondentID],'All Data'!$A$3:$CO$999,92,FALSE),"unknown")</f>
        <v>Not Hispanic or Latino</v>
      </c>
      <c r="V388" s="120">
        <f>IFERROR(VLOOKUP(Table1[RespondentID],'All Data'!$A$3:$CO$999,93,FALSE),"unknown")</f>
        <v>0</v>
      </c>
      <c r="W388" s="120" t="str">
        <f>IFERROR(VLOOKUP(Table1[RespondentID],'All Data'!$A$3:$CW$999,94,FALSE),"unknown")</f>
        <v>$75,000 to $125,000</v>
      </c>
      <c r="X388" s="120" t="str">
        <f>IFERROR(VLOOKUP(Table1[RespondentID],'All Data'!$A$3:$CW$999,95,FALSE),"unknown")</f>
        <v>College graduate</v>
      </c>
      <c r="Y388" s="120" t="str">
        <f>IFERROR(VLOOKUP(Table1[RespondentID],'All Data'!$A$3:$CW$999,96,FALSE),"unknown")</f>
        <v>Employed for wages</v>
      </c>
      <c r="Z388" s="120" t="str">
        <f>IFERROR(VLOOKUP(Table1[RespondentID],'All Data'!$A$3:$CW$999,97,FALSE),"unknown")</f>
        <v>Yes</v>
      </c>
      <c r="AA388" s="120" t="str">
        <f>IFERROR(VLOOKUP(Table1[RespondentID],'All Data'!$A$3:$CW$999,98,FALSE),"unknown")</f>
        <v>Private/Commercial</v>
      </c>
      <c r="AB388" s="150" t="str">
        <f>IFERROR(VLOOKUP(Table1[RespondentID],'All Data'!$A$3:$CW$999,99,FALSE),"unknown")</f>
        <v>Yes</v>
      </c>
    </row>
    <row r="389" spans="1:28">
      <c r="A389" s="149">
        <v>114086716435</v>
      </c>
      <c r="B389" s="134"/>
      <c r="C389" s="135"/>
      <c r="D389" s="135" t="s">
        <v>66</v>
      </c>
      <c r="E389" s="135"/>
      <c r="F389" s="135" t="s">
        <v>68</v>
      </c>
      <c r="G389" s="135"/>
      <c r="H389" s="135"/>
      <c r="I389" s="135"/>
      <c r="J389" s="135"/>
      <c r="K389" s="135"/>
      <c r="L389" s="135"/>
      <c r="M389" s="135" t="s">
        <v>75</v>
      </c>
      <c r="N389" s="135"/>
      <c r="O389" s="149"/>
      <c r="P389" s="120" t="str">
        <f>IFERROR(VLOOKUP(Table1[RespondentID],'All Data'!$A$3:$CO$999,87,FALSE),"unknown")</f>
        <v>Woman</v>
      </c>
      <c r="Q389" s="120">
        <f>IFERROR(VLOOKUP(Table1[RespondentID],'All Data'!$A$3:$CO$999,88,FALSE),"unknown")</f>
        <v>0</v>
      </c>
      <c r="R389" s="120" t="str">
        <f>IFERROR(VLOOKUP(Table1[RespondentID],'All Data'!$A$3:$CO$999,89,FALSE),"unknown")</f>
        <v>Nassau</v>
      </c>
      <c r="S389" s="120" t="str">
        <f>IFERROR(VLOOKUP(Table1[RespondentID],'All Data'!$A$3:$CO$999,90,FALSE),"unknown")</f>
        <v>North New Hyde Park, 11040</v>
      </c>
      <c r="T389" s="120" t="str">
        <f>IFERROR(VLOOKUP(Table1[RespondentID],'All Data'!$A$3:$CO$999,91,FALSE),"unknown")</f>
        <v>Asian</v>
      </c>
      <c r="U389" s="120" t="str">
        <f>IFERROR(VLOOKUP(Table1[RespondentID],'All Data'!$A$3:$CO$999,92,FALSE),"unknown")</f>
        <v>Not Hispanic or Latino</v>
      </c>
      <c r="V389" s="120" t="str">
        <f>IFERROR(VLOOKUP(Table1[RespondentID],'All Data'!$A$3:$CO$999,93,FALSE),"unknown")</f>
        <v>English</v>
      </c>
      <c r="W389" s="120" t="str">
        <f>IFERROR(VLOOKUP(Table1[RespondentID],'All Data'!$A$3:$CW$999,94,FALSE),"unknown")</f>
        <v>$50,000 to $74,999</v>
      </c>
      <c r="X389" s="120" t="str">
        <f>IFERROR(VLOOKUP(Table1[RespondentID],'All Data'!$A$3:$CW$999,95,FALSE),"unknown")</f>
        <v>College graduate</v>
      </c>
      <c r="Y389" s="120" t="str">
        <f>IFERROR(VLOOKUP(Table1[RespondentID],'All Data'!$A$3:$CW$999,96,FALSE),"unknown")</f>
        <v>Employed for wages</v>
      </c>
      <c r="Z389" s="120" t="str">
        <f>IFERROR(VLOOKUP(Table1[RespondentID],'All Data'!$A$3:$CW$999,97,FALSE),"unknown")</f>
        <v>Yes</v>
      </c>
      <c r="AA389" s="120" t="str">
        <f>IFERROR(VLOOKUP(Table1[RespondentID],'All Data'!$A$3:$CW$999,98,FALSE),"unknown")</f>
        <v>Private/Commercial</v>
      </c>
      <c r="AB389" s="150" t="str">
        <f>IFERROR(VLOOKUP(Table1[RespondentID],'All Data'!$A$3:$CW$999,99,FALSE),"unknown")</f>
        <v>Yes</v>
      </c>
    </row>
    <row r="390" spans="1:28">
      <c r="A390" s="149">
        <v>114086712665</v>
      </c>
      <c r="B390" s="134" t="s">
        <v>64</v>
      </c>
      <c r="C390" s="135"/>
      <c r="D390" s="135"/>
      <c r="E390" s="135"/>
      <c r="F390" s="135"/>
      <c r="G390" s="135"/>
      <c r="H390" s="135"/>
      <c r="I390" s="135"/>
      <c r="J390" s="135"/>
      <c r="K390" s="135"/>
      <c r="L390" s="135"/>
      <c r="M390" s="135"/>
      <c r="N390" s="135"/>
      <c r="O390" s="149"/>
      <c r="P390" s="120" t="str">
        <f>IFERROR(VLOOKUP(Table1[RespondentID],'All Data'!$A$3:$CO$999,87,FALSE),"unknown")</f>
        <v>Woman</v>
      </c>
      <c r="Q390" s="120">
        <f>IFERROR(VLOOKUP(Table1[RespondentID],'All Data'!$A$3:$CO$999,88,FALSE),"unknown")</f>
        <v>0</v>
      </c>
      <c r="R390" s="120">
        <f>IFERROR(VLOOKUP(Table1[RespondentID],'All Data'!$A$3:$CO$999,89,FALSE),"unknown")</f>
        <v>0</v>
      </c>
      <c r="S390" s="120" t="str">
        <f>IFERROR(VLOOKUP(Table1[RespondentID],'All Data'!$A$3:$CO$999,90,FALSE),"unknown")</f>
        <v>Levittown, 11756</v>
      </c>
      <c r="T390" s="120" t="str">
        <f>IFERROR(VLOOKUP(Table1[RespondentID],'All Data'!$A$3:$CO$999,91,FALSE),"unknown")</f>
        <v>Two or more races</v>
      </c>
      <c r="U390" s="120" t="str">
        <f>IFERROR(VLOOKUP(Table1[RespondentID],'All Data'!$A$3:$CO$999,92,FALSE),"unknown")</f>
        <v>Not Hispanic or Latino</v>
      </c>
      <c r="V390" s="120">
        <f>IFERROR(VLOOKUP(Table1[RespondentID],'All Data'!$A$3:$CO$999,93,FALSE),"unknown")</f>
        <v>0</v>
      </c>
      <c r="W390" s="120" t="str">
        <f>IFERROR(VLOOKUP(Table1[RespondentID],'All Data'!$A$3:$CW$999,94,FALSE),"unknown")</f>
        <v>$75,000 to $125,000</v>
      </c>
      <c r="X390" s="120" t="str">
        <f>IFERROR(VLOOKUP(Table1[RespondentID],'All Data'!$A$3:$CW$999,95,FALSE),"unknown")</f>
        <v>College graduate</v>
      </c>
      <c r="Y390" s="120" t="str">
        <f>IFERROR(VLOOKUP(Table1[RespondentID],'All Data'!$A$3:$CW$999,96,FALSE),"unknown")</f>
        <v>Employed for wages</v>
      </c>
      <c r="Z390" s="120" t="str">
        <f>IFERROR(VLOOKUP(Table1[RespondentID],'All Data'!$A$3:$CW$999,97,FALSE),"unknown")</f>
        <v>Yes</v>
      </c>
      <c r="AA390" s="120" t="str">
        <f>IFERROR(VLOOKUP(Table1[RespondentID],'All Data'!$A$3:$CW$999,98,FALSE),"unknown")</f>
        <v>Private/Commercial</v>
      </c>
      <c r="AB390" s="150" t="str">
        <f>IFERROR(VLOOKUP(Table1[RespondentID],'All Data'!$A$3:$CW$999,99,FALSE),"unknown")</f>
        <v>Yes</v>
      </c>
    </row>
    <row r="391" spans="1:28">
      <c r="A391" s="149">
        <v>114086703421</v>
      </c>
      <c r="B391" s="134" t="s">
        <v>64</v>
      </c>
      <c r="C391" s="135"/>
      <c r="D391" s="135" t="s">
        <v>66</v>
      </c>
      <c r="E391" s="135" t="s">
        <v>67</v>
      </c>
      <c r="F391" s="135"/>
      <c r="G391" s="135" t="s">
        <v>69</v>
      </c>
      <c r="H391" s="135"/>
      <c r="I391" s="135"/>
      <c r="J391" s="135" t="s">
        <v>72</v>
      </c>
      <c r="K391" s="135"/>
      <c r="L391" s="135"/>
      <c r="M391" s="135" t="s">
        <v>75</v>
      </c>
      <c r="N391" s="135"/>
      <c r="O391" s="149"/>
      <c r="P391" s="120" t="str">
        <f>IFERROR(VLOOKUP(Table1[RespondentID],'All Data'!$A$3:$CO$999,87,FALSE),"unknown")</f>
        <v>Woman</v>
      </c>
      <c r="Q391" s="120">
        <f>IFERROR(VLOOKUP(Table1[RespondentID],'All Data'!$A$3:$CO$999,88,FALSE),"unknown")</f>
        <v>0</v>
      </c>
      <c r="R391" s="120" t="str">
        <f>IFERROR(VLOOKUP(Table1[RespondentID],'All Data'!$A$3:$CO$999,89,FALSE),"unknown")</f>
        <v>Queens</v>
      </c>
      <c r="S391" s="120">
        <f>IFERROR(VLOOKUP(Table1[RespondentID],'All Data'!$A$3:$CO$999,90,FALSE),"unknown")</f>
        <v>11367</v>
      </c>
      <c r="T391" s="120" t="str">
        <f>IFERROR(VLOOKUP(Table1[RespondentID],'All Data'!$A$3:$CO$999,91,FALSE),"unknown")</f>
        <v>White</v>
      </c>
      <c r="U391" s="120" t="str">
        <f>IFERROR(VLOOKUP(Table1[RespondentID],'All Data'!$A$3:$CO$999,92,FALSE),"unknown")</f>
        <v>Hispanic or Latino</v>
      </c>
      <c r="V391" s="120" t="str">
        <f>IFERROR(VLOOKUP(Table1[RespondentID],'All Data'!$A$3:$CO$999,93,FALSE),"unknown")</f>
        <v>English</v>
      </c>
      <c r="W391" s="120" t="str">
        <f>IFERROR(VLOOKUP(Table1[RespondentID],'All Data'!$A$3:$CW$999,94,FALSE),"unknown")</f>
        <v>Over $125,000</v>
      </c>
      <c r="X391" s="120" t="str">
        <f>IFERROR(VLOOKUP(Table1[RespondentID],'All Data'!$A$3:$CW$999,95,FALSE),"unknown")</f>
        <v>College graduate</v>
      </c>
      <c r="Y391" s="120" t="str">
        <f>IFERROR(VLOOKUP(Table1[RespondentID],'All Data'!$A$3:$CW$999,96,FALSE),"unknown")</f>
        <v>Employed for wages</v>
      </c>
      <c r="Z391" s="120" t="str">
        <f>IFERROR(VLOOKUP(Table1[RespondentID],'All Data'!$A$3:$CW$999,97,FALSE),"unknown")</f>
        <v>Yes</v>
      </c>
      <c r="AA391" s="120" t="str">
        <f>IFERROR(VLOOKUP(Table1[RespondentID],'All Data'!$A$3:$CW$999,98,FALSE),"unknown")</f>
        <v>Private/Commercial</v>
      </c>
      <c r="AB391" s="150" t="str">
        <f>IFERROR(VLOOKUP(Table1[RespondentID],'All Data'!$A$3:$CW$999,99,FALSE),"unknown")</f>
        <v>Yes</v>
      </c>
    </row>
    <row r="392" spans="1:28">
      <c r="A392" s="149">
        <v>114086547834</v>
      </c>
      <c r="B392" s="134" t="s">
        <v>64</v>
      </c>
      <c r="C392" s="135"/>
      <c r="D392" s="135"/>
      <c r="E392" s="135"/>
      <c r="F392" s="135"/>
      <c r="G392" s="135"/>
      <c r="H392" s="135"/>
      <c r="I392" s="135"/>
      <c r="J392" s="135"/>
      <c r="K392" s="135"/>
      <c r="L392" s="135"/>
      <c r="M392" s="135" t="s">
        <v>75</v>
      </c>
      <c r="N392" s="135"/>
      <c r="O392" s="149"/>
      <c r="P392" s="120" t="str">
        <f>IFERROR(VLOOKUP(Table1[RespondentID],'All Data'!$A$3:$CO$999,87,FALSE),"unknown")</f>
        <v>Woman</v>
      </c>
      <c r="Q392" s="120">
        <f>IFERROR(VLOOKUP(Table1[RespondentID],'All Data'!$A$3:$CO$999,88,FALSE),"unknown")</f>
        <v>0</v>
      </c>
      <c r="R392" s="120" t="str">
        <f>IFERROR(VLOOKUP(Table1[RespondentID],'All Data'!$A$3:$CO$999,89,FALSE),"unknown")</f>
        <v>Suffolk</v>
      </c>
      <c r="S392" s="120" t="str">
        <f>IFERROR(VLOOKUP(Table1[RespondentID],'All Data'!$A$3:$CO$999,90,FALSE),"unknown")</f>
        <v>North Babylon, 11703</v>
      </c>
      <c r="T392" s="120" t="str">
        <f>IFERROR(VLOOKUP(Table1[RespondentID],'All Data'!$A$3:$CO$999,91,FALSE),"unknown")</f>
        <v>Other (please specify)</v>
      </c>
      <c r="U392" s="120" t="str">
        <f>IFERROR(VLOOKUP(Table1[RespondentID],'All Data'!$A$3:$CO$999,92,FALSE),"unknown")</f>
        <v>Hispanic or Latino</v>
      </c>
      <c r="V392" s="120" t="str">
        <f>IFERROR(VLOOKUP(Table1[RespondentID],'All Data'!$A$3:$CO$999,93,FALSE),"unknown")</f>
        <v>English</v>
      </c>
      <c r="W392" s="120" t="str">
        <f>IFERROR(VLOOKUP(Table1[RespondentID],'All Data'!$A$3:$CW$999,94,FALSE),"unknown")</f>
        <v>Over $125,000</v>
      </c>
      <c r="X392" s="120" t="str">
        <f>IFERROR(VLOOKUP(Table1[RespondentID],'All Data'!$A$3:$CW$999,95,FALSE),"unknown")</f>
        <v>Graduate school</v>
      </c>
      <c r="Y392" s="120" t="str">
        <f>IFERROR(VLOOKUP(Table1[RespondentID],'All Data'!$A$3:$CW$999,96,FALSE),"unknown")</f>
        <v>Employed for wages</v>
      </c>
      <c r="Z392" s="120" t="str">
        <f>IFERROR(VLOOKUP(Table1[RespondentID],'All Data'!$A$3:$CW$999,97,FALSE),"unknown")</f>
        <v>Yes</v>
      </c>
      <c r="AA392" s="120" t="str">
        <f>IFERROR(VLOOKUP(Table1[RespondentID],'All Data'!$A$3:$CW$999,98,FALSE),"unknown")</f>
        <v>Private/Commercial</v>
      </c>
      <c r="AB392" s="150" t="str">
        <f>IFERROR(VLOOKUP(Table1[RespondentID],'All Data'!$A$3:$CW$999,99,FALSE),"unknown")</f>
        <v>Yes</v>
      </c>
    </row>
    <row r="393" spans="1:28">
      <c r="A393" s="149">
        <v>114086512910</v>
      </c>
      <c r="B393" s="134" t="s">
        <v>64</v>
      </c>
      <c r="C393" s="135"/>
      <c r="D393" s="135"/>
      <c r="E393" s="135"/>
      <c r="F393" s="135"/>
      <c r="G393" s="135"/>
      <c r="H393" s="135"/>
      <c r="I393" s="135"/>
      <c r="J393" s="135"/>
      <c r="K393" s="135"/>
      <c r="L393" s="135"/>
      <c r="M393" s="135" t="s">
        <v>75</v>
      </c>
      <c r="N393" s="135"/>
      <c r="O393" s="149"/>
      <c r="P393" s="120" t="str">
        <f>IFERROR(VLOOKUP(Table1[RespondentID],'All Data'!$A$3:$CO$999,87,FALSE),"unknown")</f>
        <v>Woman</v>
      </c>
      <c r="Q393" s="120">
        <f>IFERROR(VLOOKUP(Table1[RespondentID],'All Data'!$A$3:$CO$999,88,FALSE),"unknown")</f>
        <v>0</v>
      </c>
      <c r="R393" s="120" t="str">
        <f>IFERROR(VLOOKUP(Table1[RespondentID],'All Data'!$A$3:$CO$999,89,FALSE),"unknown")</f>
        <v>Suffolk</v>
      </c>
      <c r="S393" s="120" t="str">
        <f>IFERROR(VLOOKUP(Table1[RespondentID],'All Data'!$A$3:$CO$999,90,FALSE),"unknown")</f>
        <v>West Islip, 11795</v>
      </c>
      <c r="T393" s="120" t="str">
        <f>IFERROR(VLOOKUP(Table1[RespondentID],'All Data'!$A$3:$CO$999,91,FALSE),"unknown")</f>
        <v>White</v>
      </c>
      <c r="U393" s="120" t="str">
        <f>IFERROR(VLOOKUP(Table1[RespondentID],'All Data'!$A$3:$CO$999,92,FALSE),"unknown")</f>
        <v>Not Hispanic or Latino</v>
      </c>
      <c r="V393" s="120" t="str">
        <f>IFERROR(VLOOKUP(Table1[RespondentID],'All Data'!$A$3:$CO$999,93,FALSE),"unknown")</f>
        <v>English</v>
      </c>
      <c r="W393" s="120">
        <f>IFERROR(VLOOKUP(Table1[RespondentID],'All Data'!$A$3:$CW$999,94,FALSE),"unknown")</f>
        <v>0</v>
      </c>
      <c r="X393" s="120" t="str">
        <f>IFERROR(VLOOKUP(Table1[RespondentID],'All Data'!$A$3:$CW$999,95,FALSE),"unknown")</f>
        <v>Some college</v>
      </c>
      <c r="Y393" s="120" t="str">
        <f>IFERROR(VLOOKUP(Table1[RespondentID],'All Data'!$A$3:$CW$999,96,FALSE),"unknown")</f>
        <v>Employed for wages</v>
      </c>
      <c r="Z393" s="120" t="str">
        <f>IFERROR(VLOOKUP(Table1[RespondentID],'All Data'!$A$3:$CW$999,97,FALSE),"unknown")</f>
        <v>Yes</v>
      </c>
      <c r="AA393" s="120" t="str">
        <f>IFERROR(VLOOKUP(Table1[RespondentID],'All Data'!$A$3:$CW$999,98,FALSE),"unknown")</f>
        <v>Private/Commercial</v>
      </c>
      <c r="AB393" s="150" t="str">
        <f>IFERROR(VLOOKUP(Table1[RespondentID],'All Data'!$A$3:$CW$999,99,FALSE),"unknown")</f>
        <v>Yes</v>
      </c>
    </row>
    <row r="394" spans="1:28">
      <c r="A394" s="149">
        <v>114086485509</v>
      </c>
      <c r="B394" s="134" t="s">
        <v>64</v>
      </c>
      <c r="C394" s="135"/>
      <c r="D394" s="135"/>
      <c r="E394" s="135"/>
      <c r="F394" s="135"/>
      <c r="G394" s="135"/>
      <c r="H394" s="135"/>
      <c r="I394" s="135"/>
      <c r="J394" s="135"/>
      <c r="K394" s="135"/>
      <c r="L394" s="135"/>
      <c r="M394" s="135"/>
      <c r="N394" s="135"/>
      <c r="O394" s="149"/>
      <c r="P394" s="120" t="str">
        <f>IFERROR(VLOOKUP(Table1[RespondentID],'All Data'!$A$3:$CO$999,87,FALSE),"unknown")</f>
        <v>Woman</v>
      </c>
      <c r="Q394" s="120">
        <f>IFERROR(VLOOKUP(Table1[RespondentID],'All Data'!$A$3:$CO$999,88,FALSE),"unknown")</f>
        <v>0</v>
      </c>
      <c r="R394" s="120" t="str">
        <f>IFERROR(VLOOKUP(Table1[RespondentID],'All Data'!$A$3:$CO$999,89,FALSE),"unknown")</f>
        <v>Nassau</v>
      </c>
      <c r="S394" s="120" t="str">
        <f>IFERROR(VLOOKUP(Table1[RespondentID],'All Data'!$A$3:$CO$999,90,FALSE),"unknown")</f>
        <v>Massapequa, 11758</v>
      </c>
      <c r="T394" s="120" t="str">
        <f>IFERROR(VLOOKUP(Table1[RespondentID],'All Data'!$A$3:$CO$999,91,FALSE),"unknown")</f>
        <v>White</v>
      </c>
      <c r="U394" s="120" t="str">
        <f>IFERROR(VLOOKUP(Table1[RespondentID],'All Data'!$A$3:$CO$999,92,FALSE),"unknown")</f>
        <v>Not Hispanic or Latino</v>
      </c>
      <c r="V394" s="120" t="str">
        <f>IFERROR(VLOOKUP(Table1[RespondentID],'All Data'!$A$3:$CO$999,93,FALSE),"unknown")</f>
        <v>English</v>
      </c>
      <c r="W394" s="120" t="str">
        <f>IFERROR(VLOOKUP(Table1[RespondentID],'All Data'!$A$3:$CW$999,94,FALSE),"unknown")</f>
        <v>Over $125,000</v>
      </c>
      <c r="X394" s="120" t="str">
        <f>IFERROR(VLOOKUP(Table1[RespondentID],'All Data'!$A$3:$CW$999,95,FALSE),"unknown")</f>
        <v>College graduate</v>
      </c>
      <c r="Y394" s="120" t="str">
        <f>IFERROR(VLOOKUP(Table1[RespondentID],'All Data'!$A$3:$CW$999,96,FALSE),"unknown")</f>
        <v>Employed for wages</v>
      </c>
      <c r="Z394" s="120" t="str">
        <f>IFERROR(VLOOKUP(Table1[RespondentID],'All Data'!$A$3:$CW$999,97,FALSE),"unknown")</f>
        <v>Yes</v>
      </c>
      <c r="AA394" s="120" t="str">
        <f>IFERROR(VLOOKUP(Table1[RespondentID],'All Data'!$A$3:$CW$999,98,FALSE),"unknown")</f>
        <v>Private/Commercial</v>
      </c>
      <c r="AB394" s="150" t="str">
        <f>IFERROR(VLOOKUP(Table1[RespondentID],'All Data'!$A$3:$CW$999,99,FALSE),"unknown")</f>
        <v>Yes</v>
      </c>
    </row>
    <row r="395" spans="1:28">
      <c r="A395" s="149">
        <v>114086434376</v>
      </c>
      <c r="B395" s="134" t="s">
        <v>64</v>
      </c>
      <c r="C395" s="135"/>
      <c r="D395" s="135"/>
      <c r="E395" s="135"/>
      <c r="F395" s="135"/>
      <c r="G395" s="135"/>
      <c r="H395" s="135"/>
      <c r="I395" s="135"/>
      <c r="J395" s="135"/>
      <c r="K395" s="135"/>
      <c r="L395" s="135"/>
      <c r="M395" s="135" t="s">
        <v>75</v>
      </c>
      <c r="N395" s="135"/>
      <c r="O395" s="149"/>
      <c r="P395" s="120" t="str">
        <f>IFERROR(VLOOKUP(Table1[RespondentID],'All Data'!$A$3:$CO$999,87,FALSE),"unknown")</f>
        <v>Woman</v>
      </c>
      <c r="Q395" s="120">
        <f>IFERROR(VLOOKUP(Table1[RespondentID],'All Data'!$A$3:$CO$999,88,FALSE),"unknown")</f>
        <v>0</v>
      </c>
      <c r="R395" s="120" t="str">
        <f>IFERROR(VLOOKUP(Table1[RespondentID],'All Data'!$A$3:$CO$999,89,FALSE),"unknown")</f>
        <v>Nassau</v>
      </c>
      <c r="S395" s="120" t="str">
        <f>IFERROR(VLOOKUP(Table1[RespondentID],'All Data'!$A$3:$CO$999,90,FALSE),"unknown")</f>
        <v>Long Beach, 11561</v>
      </c>
      <c r="T395" s="120" t="str">
        <f>IFERROR(VLOOKUP(Table1[RespondentID],'All Data'!$A$3:$CO$999,91,FALSE),"unknown")</f>
        <v>Two or more races</v>
      </c>
      <c r="U395" s="120" t="str">
        <f>IFERROR(VLOOKUP(Table1[RespondentID],'All Data'!$A$3:$CO$999,92,FALSE),"unknown")</f>
        <v>Hispanic or Latino</v>
      </c>
      <c r="V395" s="120" t="str">
        <f>IFERROR(VLOOKUP(Table1[RespondentID],'All Data'!$A$3:$CO$999,93,FALSE),"unknown")</f>
        <v>English</v>
      </c>
      <c r="W395" s="120" t="str">
        <f>IFERROR(VLOOKUP(Table1[RespondentID],'All Data'!$A$3:$CW$999,94,FALSE),"unknown")</f>
        <v>$35,000 to $49,999</v>
      </c>
      <c r="X395" s="120" t="str">
        <f>IFERROR(VLOOKUP(Table1[RespondentID],'All Data'!$A$3:$CW$999,95,FALSE),"unknown")</f>
        <v>Other (please specify)</v>
      </c>
      <c r="Y395" s="120" t="str">
        <f>IFERROR(VLOOKUP(Table1[RespondentID],'All Data'!$A$3:$CW$999,96,FALSE),"unknown")</f>
        <v>Employed for wages</v>
      </c>
      <c r="Z395" s="120" t="str">
        <f>IFERROR(VLOOKUP(Table1[RespondentID],'All Data'!$A$3:$CW$999,97,FALSE),"unknown")</f>
        <v>Yes</v>
      </c>
      <c r="AA395" s="120" t="str">
        <f>IFERROR(VLOOKUP(Table1[RespondentID],'All Data'!$A$3:$CW$999,98,FALSE),"unknown")</f>
        <v>Private/Commercial</v>
      </c>
      <c r="AB395" s="150" t="str">
        <f>IFERROR(VLOOKUP(Table1[RespondentID],'All Data'!$A$3:$CW$999,99,FALSE),"unknown")</f>
        <v>Yes</v>
      </c>
    </row>
    <row r="396" spans="1:28">
      <c r="A396" s="149">
        <v>114086430098</v>
      </c>
      <c r="B396" s="134"/>
      <c r="C396" s="135"/>
      <c r="D396" s="135" t="s">
        <v>66</v>
      </c>
      <c r="E396" s="135"/>
      <c r="F396" s="135"/>
      <c r="G396" s="135" t="s">
        <v>69</v>
      </c>
      <c r="H396" s="135"/>
      <c r="I396" s="135"/>
      <c r="J396" s="135"/>
      <c r="K396" s="135" t="s">
        <v>73</v>
      </c>
      <c r="L396" s="135"/>
      <c r="M396" s="135" t="s">
        <v>75</v>
      </c>
      <c r="N396" s="135"/>
      <c r="O396" s="149"/>
      <c r="P396" s="120" t="str">
        <f>IFERROR(VLOOKUP(Table1[RespondentID],'All Data'!$A$3:$CO$999,87,FALSE),"unknown")</f>
        <v>Woman</v>
      </c>
      <c r="Q396" s="120">
        <f>IFERROR(VLOOKUP(Table1[RespondentID],'All Data'!$A$3:$CO$999,88,FALSE),"unknown")</f>
        <v>0</v>
      </c>
      <c r="R396" s="120" t="str">
        <f>IFERROR(VLOOKUP(Table1[RespondentID],'All Data'!$A$3:$CO$999,89,FALSE),"unknown")</f>
        <v>Nassau</v>
      </c>
      <c r="S396" s="120" t="str">
        <f>IFERROR(VLOOKUP(Table1[RespondentID],'All Data'!$A$3:$CO$999,90,FALSE),"unknown")</f>
        <v>Rockville Centre, 11570</v>
      </c>
      <c r="T396" s="120" t="str">
        <f>IFERROR(VLOOKUP(Table1[RespondentID],'All Data'!$A$3:$CO$999,91,FALSE),"unknown")</f>
        <v>Asian</v>
      </c>
      <c r="U396" s="120" t="str">
        <f>IFERROR(VLOOKUP(Table1[RespondentID],'All Data'!$A$3:$CO$999,92,FALSE),"unknown")</f>
        <v>Not Hispanic or Latino</v>
      </c>
      <c r="V396" s="120" t="str">
        <f>IFERROR(VLOOKUP(Table1[RespondentID],'All Data'!$A$3:$CO$999,93,FALSE),"unknown")</f>
        <v>English</v>
      </c>
      <c r="W396" s="120" t="str">
        <f>IFERROR(VLOOKUP(Table1[RespondentID],'All Data'!$A$3:$CW$999,94,FALSE),"unknown")</f>
        <v>$75,000 to $125,000</v>
      </c>
      <c r="X396" s="120" t="str">
        <f>IFERROR(VLOOKUP(Table1[RespondentID],'All Data'!$A$3:$CW$999,95,FALSE),"unknown")</f>
        <v>Graduate school</v>
      </c>
      <c r="Y396" s="120" t="str">
        <f>IFERROR(VLOOKUP(Table1[RespondentID],'All Data'!$A$3:$CW$999,96,FALSE),"unknown")</f>
        <v>Employed for wages</v>
      </c>
      <c r="Z396" s="120" t="str">
        <f>IFERROR(VLOOKUP(Table1[RespondentID],'All Data'!$A$3:$CW$999,97,FALSE),"unknown")</f>
        <v>Yes</v>
      </c>
      <c r="AA396" s="120" t="str">
        <f>IFERROR(VLOOKUP(Table1[RespondentID],'All Data'!$A$3:$CW$999,98,FALSE),"unknown")</f>
        <v>Private/Commercial</v>
      </c>
      <c r="AB396" s="150" t="str">
        <f>IFERROR(VLOOKUP(Table1[RespondentID],'All Data'!$A$3:$CW$999,99,FALSE),"unknown")</f>
        <v>Yes</v>
      </c>
    </row>
    <row r="397" spans="1:28">
      <c r="A397" s="149">
        <v>114086397914</v>
      </c>
      <c r="B397" s="134" t="s">
        <v>64</v>
      </c>
      <c r="C397" s="135"/>
      <c r="D397" s="135"/>
      <c r="E397" s="135"/>
      <c r="F397" s="135"/>
      <c r="G397" s="135"/>
      <c r="H397" s="135"/>
      <c r="I397" s="135"/>
      <c r="J397" s="135" t="s">
        <v>72</v>
      </c>
      <c r="K397" s="135"/>
      <c r="L397" s="135"/>
      <c r="M397" s="135" t="s">
        <v>75</v>
      </c>
      <c r="N397" s="135"/>
      <c r="O397" s="149"/>
      <c r="P397" s="120" t="str">
        <f>IFERROR(VLOOKUP(Table1[RespondentID],'All Data'!$A$3:$CO$999,87,FALSE),"unknown")</f>
        <v>Woman</v>
      </c>
      <c r="Q397" s="120">
        <f>IFERROR(VLOOKUP(Table1[RespondentID],'All Data'!$A$3:$CO$999,88,FALSE),"unknown")</f>
        <v>0</v>
      </c>
      <c r="R397" s="120" t="str">
        <f>IFERROR(VLOOKUP(Table1[RespondentID],'All Data'!$A$3:$CO$999,89,FALSE),"unknown")</f>
        <v>Suffolk</v>
      </c>
      <c r="S397" s="120" t="str">
        <f>IFERROR(VLOOKUP(Table1[RespondentID],'All Data'!$A$3:$CO$999,90,FALSE),"unknown")</f>
        <v>Deer Park, 11729</v>
      </c>
      <c r="T397" s="120" t="str">
        <f>IFERROR(VLOOKUP(Table1[RespondentID],'All Data'!$A$3:$CO$999,91,FALSE),"unknown")</f>
        <v>White</v>
      </c>
      <c r="U397" s="120" t="str">
        <f>IFERROR(VLOOKUP(Table1[RespondentID],'All Data'!$A$3:$CO$999,92,FALSE),"unknown")</f>
        <v>Unknown</v>
      </c>
      <c r="V397" s="120" t="str">
        <f>IFERROR(VLOOKUP(Table1[RespondentID],'All Data'!$A$3:$CO$999,93,FALSE),"unknown")</f>
        <v>English</v>
      </c>
      <c r="W397" s="120" t="str">
        <f>IFERROR(VLOOKUP(Table1[RespondentID],'All Data'!$A$3:$CW$999,94,FALSE),"unknown")</f>
        <v>$50,000 to $74,999</v>
      </c>
      <c r="X397" s="120" t="str">
        <f>IFERROR(VLOOKUP(Table1[RespondentID],'All Data'!$A$3:$CW$999,95,FALSE),"unknown")</f>
        <v>Technical school</v>
      </c>
      <c r="Y397" s="120" t="str">
        <f>IFERROR(VLOOKUP(Table1[RespondentID],'All Data'!$A$3:$CW$999,96,FALSE),"unknown")</f>
        <v>Employed for wages</v>
      </c>
      <c r="Z397" s="120" t="str">
        <f>IFERROR(VLOOKUP(Table1[RespondentID],'All Data'!$A$3:$CW$999,97,FALSE),"unknown")</f>
        <v>Yes</v>
      </c>
      <c r="AA397" s="120" t="str">
        <f>IFERROR(VLOOKUP(Table1[RespondentID],'All Data'!$A$3:$CW$999,98,FALSE),"unknown")</f>
        <v>Private/Commercial</v>
      </c>
      <c r="AB397" s="150" t="str">
        <f>IFERROR(VLOOKUP(Table1[RespondentID],'All Data'!$A$3:$CW$999,99,FALSE),"unknown")</f>
        <v>Yes</v>
      </c>
    </row>
    <row r="398" spans="1:28">
      <c r="A398" s="149">
        <v>114086383426</v>
      </c>
      <c r="B398" s="134" t="s">
        <v>64</v>
      </c>
      <c r="C398" s="135"/>
      <c r="D398" s="135" t="s">
        <v>66</v>
      </c>
      <c r="E398" s="135" t="s">
        <v>67</v>
      </c>
      <c r="F398" s="135"/>
      <c r="G398" s="135" t="s">
        <v>69</v>
      </c>
      <c r="H398" s="135" t="s">
        <v>70</v>
      </c>
      <c r="I398" s="135"/>
      <c r="J398" s="135"/>
      <c r="K398" s="135" t="s">
        <v>73</v>
      </c>
      <c r="L398" s="135" t="s">
        <v>74</v>
      </c>
      <c r="M398" s="135" t="s">
        <v>75</v>
      </c>
      <c r="N398" s="135"/>
      <c r="O398" s="149"/>
      <c r="P398" s="120" t="str">
        <f>IFERROR(VLOOKUP(Table1[RespondentID],'All Data'!$A$3:$CO$999,87,FALSE),"unknown")</f>
        <v>Woman</v>
      </c>
      <c r="Q398" s="120">
        <f>IFERROR(VLOOKUP(Table1[RespondentID],'All Data'!$A$3:$CO$999,88,FALSE),"unknown")</f>
        <v>0</v>
      </c>
      <c r="R398" s="120" t="str">
        <f>IFERROR(VLOOKUP(Table1[RespondentID],'All Data'!$A$3:$CO$999,89,FALSE),"unknown")</f>
        <v>Nassau</v>
      </c>
      <c r="S398" s="120" t="str">
        <f>IFERROR(VLOOKUP(Table1[RespondentID],'All Data'!$A$3:$CO$999,90,FALSE),"unknown")</f>
        <v>Lynbrook, 11563</v>
      </c>
      <c r="T398" s="120">
        <f>IFERROR(VLOOKUP(Table1[RespondentID],'All Data'!$A$3:$CO$999,91,FALSE),"unknown")</f>
        <v>0</v>
      </c>
      <c r="U398" s="120" t="str">
        <f>IFERROR(VLOOKUP(Table1[RespondentID],'All Data'!$A$3:$CO$999,92,FALSE),"unknown")</f>
        <v>Hispanic or Latino</v>
      </c>
      <c r="V398" s="120" t="str">
        <f>IFERROR(VLOOKUP(Table1[RespondentID],'All Data'!$A$3:$CO$999,93,FALSE),"unknown")</f>
        <v>English,Spanish</v>
      </c>
      <c r="W398" s="120" t="str">
        <f>IFERROR(VLOOKUP(Table1[RespondentID],'All Data'!$A$3:$CW$999,94,FALSE),"unknown")</f>
        <v>$35,000 to $49,999</v>
      </c>
      <c r="X398" s="120" t="str">
        <f>IFERROR(VLOOKUP(Table1[RespondentID],'All Data'!$A$3:$CW$999,95,FALSE),"unknown")</f>
        <v>Some college</v>
      </c>
      <c r="Y398" s="120" t="str">
        <f>IFERROR(VLOOKUP(Table1[RespondentID],'All Data'!$A$3:$CW$999,96,FALSE),"unknown")</f>
        <v>Employed for wages</v>
      </c>
      <c r="Z398" s="120" t="str">
        <f>IFERROR(VLOOKUP(Table1[RespondentID],'All Data'!$A$3:$CW$999,97,FALSE),"unknown")</f>
        <v>Yes</v>
      </c>
      <c r="AA398" s="120" t="str">
        <f>IFERROR(VLOOKUP(Table1[RespondentID],'All Data'!$A$3:$CW$999,98,FALSE),"unknown")</f>
        <v>Private/Commercial</v>
      </c>
      <c r="AB398" s="150" t="str">
        <f>IFERROR(VLOOKUP(Table1[RespondentID],'All Data'!$A$3:$CW$999,99,FALSE),"unknown")</f>
        <v>Yes</v>
      </c>
    </row>
    <row r="399" spans="1:28">
      <c r="A399" s="149">
        <v>114086379762</v>
      </c>
      <c r="B399" s="134" t="s">
        <v>64</v>
      </c>
      <c r="C399" s="135"/>
      <c r="D399" s="135"/>
      <c r="E399" s="135"/>
      <c r="F399" s="135"/>
      <c r="G399" s="135"/>
      <c r="H399" s="135"/>
      <c r="I399" s="135"/>
      <c r="J399" s="135" t="s">
        <v>72</v>
      </c>
      <c r="K399" s="135"/>
      <c r="L399" s="135"/>
      <c r="M399" s="135" t="s">
        <v>75</v>
      </c>
      <c r="N399" s="135"/>
      <c r="O399" s="149"/>
      <c r="P399" s="120" t="str">
        <f>IFERROR(VLOOKUP(Table1[RespondentID],'All Data'!$A$3:$CO$999,87,FALSE),"unknown")</f>
        <v>Woman</v>
      </c>
      <c r="Q399" s="120">
        <f>IFERROR(VLOOKUP(Table1[RespondentID],'All Data'!$A$3:$CO$999,88,FALSE),"unknown")</f>
        <v>0</v>
      </c>
      <c r="R399" s="120" t="str">
        <f>IFERROR(VLOOKUP(Table1[RespondentID],'All Data'!$A$3:$CO$999,89,FALSE),"unknown")</f>
        <v>Nassau</v>
      </c>
      <c r="S399" s="120" t="str">
        <f>IFERROR(VLOOKUP(Table1[RespondentID],'All Data'!$A$3:$CO$999,90,FALSE),"unknown")</f>
        <v>Massapequa, 11758</v>
      </c>
      <c r="T399" s="120">
        <f>IFERROR(VLOOKUP(Table1[RespondentID],'All Data'!$A$3:$CO$999,91,FALSE),"unknown")</f>
        <v>0</v>
      </c>
      <c r="U399" s="120" t="str">
        <f>IFERROR(VLOOKUP(Table1[RespondentID],'All Data'!$A$3:$CO$999,92,FALSE),"unknown")</f>
        <v>Not Hispanic or Latino</v>
      </c>
      <c r="V399" s="120" t="str">
        <f>IFERROR(VLOOKUP(Table1[RespondentID],'All Data'!$A$3:$CO$999,93,FALSE),"unknown")</f>
        <v>English</v>
      </c>
      <c r="W399" s="120" t="str">
        <f>IFERROR(VLOOKUP(Table1[RespondentID],'All Data'!$A$3:$CW$999,94,FALSE),"unknown")</f>
        <v>Over $125,000</v>
      </c>
      <c r="X399" s="120" t="str">
        <f>IFERROR(VLOOKUP(Table1[RespondentID],'All Data'!$A$3:$CW$999,95,FALSE),"unknown")</f>
        <v>Graduate school</v>
      </c>
      <c r="Y399" s="120" t="str">
        <f>IFERROR(VLOOKUP(Table1[RespondentID],'All Data'!$A$3:$CW$999,96,FALSE),"unknown")</f>
        <v>Employed for wages</v>
      </c>
      <c r="Z399" s="120" t="str">
        <f>IFERROR(VLOOKUP(Table1[RespondentID],'All Data'!$A$3:$CW$999,97,FALSE),"unknown")</f>
        <v>Yes</v>
      </c>
      <c r="AA399" s="120" t="str">
        <f>IFERROR(VLOOKUP(Table1[RespondentID],'All Data'!$A$3:$CW$999,98,FALSE),"unknown")</f>
        <v>Private/Commercial</v>
      </c>
      <c r="AB399" s="150" t="str">
        <f>IFERROR(VLOOKUP(Table1[RespondentID],'All Data'!$A$3:$CW$999,99,FALSE),"unknown")</f>
        <v>Yes</v>
      </c>
    </row>
    <row r="400" spans="1:28">
      <c r="A400" s="149">
        <v>114086370794</v>
      </c>
      <c r="B400" s="134" t="s">
        <v>64</v>
      </c>
      <c r="C400" s="135"/>
      <c r="D400" s="135" t="s">
        <v>66</v>
      </c>
      <c r="E400" s="135"/>
      <c r="F400" s="135"/>
      <c r="G400" s="135"/>
      <c r="H400" s="135"/>
      <c r="I400" s="135"/>
      <c r="J400" s="135"/>
      <c r="K400" s="135"/>
      <c r="L400" s="135"/>
      <c r="M400" s="135" t="s">
        <v>75</v>
      </c>
      <c r="N400" s="135"/>
      <c r="O400" s="149"/>
      <c r="P400" s="120" t="str">
        <f>IFERROR(VLOOKUP(Table1[RespondentID],'All Data'!$A$3:$CO$999,87,FALSE),"unknown")</f>
        <v>Woman</v>
      </c>
      <c r="Q400" s="120">
        <f>IFERROR(VLOOKUP(Table1[RespondentID],'All Data'!$A$3:$CO$999,88,FALSE),"unknown")</f>
        <v>0</v>
      </c>
      <c r="R400" s="120" t="str">
        <f>IFERROR(VLOOKUP(Table1[RespondentID],'All Data'!$A$3:$CO$999,89,FALSE),"unknown")</f>
        <v>Queens</v>
      </c>
      <c r="S400" s="120">
        <f>IFERROR(VLOOKUP(Table1[RespondentID],'All Data'!$A$3:$CO$999,90,FALSE),"unknown")</f>
        <v>11414</v>
      </c>
      <c r="T400" s="120">
        <f>IFERROR(VLOOKUP(Table1[RespondentID],'All Data'!$A$3:$CO$999,91,FALSE),"unknown")</f>
        <v>0</v>
      </c>
      <c r="U400" s="120" t="str">
        <f>IFERROR(VLOOKUP(Table1[RespondentID],'All Data'!$A$3:$CO$999,92,FALSE),"unknown")</f>
        <v>Hispanic or Latino</v>
      </c>
      <c r="V400" s="120" t="str">
        <f>IFERROR(VLOOKUP(Table1[RespondentID],'All Data'!$A$3:$CO$999,93,FALSE),"unknown")</f>
        <v>English,Spanish,Italian</v>
      </c>
      <c r="W400" s="120" t="str">
        <f>IFERROR(VLOOKUP(Table1[RespondentID],'All Data'!$A$3:$CW$999,94,FALSE),"unknown")</f>
        <v>$50,000 to $74,999</v>
      </c>
      <c r="X400" s="120" t="str">
        <f>IFERROR(VLOOKUP(Table1[RespondentID],'All Data'!$A$3:$CW$999,95,FALSE),"unknown")</f>
        <v>Some college</v>
      </c>
      <c r="Y400" s="120" t="str">
        <f>IFERROR(VLOOKUP(Table1[RespondentID],'All Data'!$A$3:$CW$999,96,FALSE),"unknown")</f>
        <v>Employed for wages</v>
      </c>
      <c r="Z400" s="120" t="str">
        <f>IFERROR(VLOOKUP(Table1[RespondentID],'All Data'!$A$3:$CW$999,97,FALSE),"unknown")</f>
        <v>No, but I did in the past</v>
      </c>
      <c r="AA400" s="120" t="str">
        <f>IFERROR(VLOOKUP(Table1[RespondentID],'All Data'!$A$3:$CW$999,98,FALSE),"unknown")</f>
        <v>No Insurance</v>
      </c>
      <c r="AB400" s="150" t="str">
        <f>IFERROR(VLOOKUP(Table1[RespondentID],'All Data'!$A$3:$CW$999,99,FALSE),"unknown")</f>
        <v>Yes</v>
      </c>
    </row>
    <row r="401" spans="1:28">
      <c r="A401" s="149">
        <v>114086141494</v>
      </c>
      <c r="B401" s="134" t="s">
        <v>64</v>
      </c>
      <c r="C401" s="135"/>
      <c r="D401" s="135"/>
      <c r="E401" s="135" t="s">
        <v>67</v>
      </c>
      <c r="F401" s="135"/>
      <c r="G401" s="135"/>
      <c r="H401" s="135"/>
      <c r="I401" s="135"/>
      <c r="J401" s="135" t="s">
        <v>72</v>
      </c>
      <c r="K401" s="135" t="s">
        <v>73</v>
      </c>
      <c r="L401" s="135"/>
      <c r="M401" s="135" t="s">
        <v>75</v>
      </c>
      <c r="N401" s="135" t="s">
        <v>76</v>
      </c>
      <c r="O401" s="149"/>
      <c r="P401" s="120" t="str">
        <f>IFERROR(VLOOKUP(Table1[RespondentID],'All Data'!$A$3:$CO$999,87,FALSE),"unknown")</f>
        <v>Man</v>
      </c>
      <c r="Q401" s="120">
        <f>IFERROR(VLOOKUP(Table1[RespondentID],'All Data'!$A$3:$CO$999,88,FALSE),"unknown")</f>
        <v>0</v>
      </c>
      <c r="R401" s="120" t="str">
        <f>IFERROR(VLOOKUP(Table1[RespondentID],'All Data'!$A$3:$CO$999,89,FALSE),"unknown")</f>
        <v>Suffolk</v>
      </c>
      <c r="S401" s="120" t="str">
        <f>IFERROR(VLOOKUP(Table1[RespondentID],'All Data'!$A$3:$CO$999,90,FALSE),"unknown")</f>
        <v>Islip, 11751</v>
      </c>
      <c r="T401" s="120">
        <f>IFERROR(VLOOKUP(Table1[RespondentID],'All Data'!$A$3:$CO$999,91,FALSE),"unknown")</f>
        <v>0</v>
      </c>
      <c r="U401" s="120" t="str">
        <f>IFERROR(VLOOKUP(Table1[RespondentID],'All Data'!$A$3:$CO$999,92,FALSE),"unknown")</f>
        <v>Not Hispanic or Latino</v>
      </c>
      <c r="V401" s="120" t="str">
        <f>IFERROR(VLOOKUP(Table1[RespondentID],'All Data'!$A$3:$CO$999,93,FALSE),"unknown")</f>
        <v>English</v>
      </c>
      <c r="W401" s="120" t="str">
        <f>IFERROR(VLOOKUP(Table1[RespondentID],'All Data'!$A$3:$CW$999,94,FALSE),"unknown")</f>
        <v>$35,000 to $49,999</v>
      </c>
      <c r="X401" s="120" t="str">
        <f>IFERROR(VLOOKUP(Table1[RespondentID],'All Data'!$A$3:$CW$999,95,FALSE),"unknown")</f>
        <v>Doctorate</v>
      </c>
      <c r="Y401" s="120" t="str">
        <f>IFERROR(VLOOKUP(Table1[RespondentID],'All Data'!$A$3:$CW$999,96,FALSE),"unknown")</f>
        <v>Employed for wages</v>
      </c>
      <c r="Z401" s="120" t="str">
        <f>IFERROR(VLOOKUP(Table1[RespondentID],'All Data'!$A$3:$CW$999,97,FALSE),"unknown")</f>
        <v>Yes</v>
      </c>
      <c r="AA401" s="120" t="str">
        <f>IFERROR(VLOOKUP(Table1[RespondentID],'All Data'!$A$3:$CW$999,98,FALSE),"unknown")</f>
        <v>Private/Commercial</v>
      </c>
      <c r="AB401" s="150" t="str">
        <f>IFERROR(VLOOKUP(Table1[RespondentID],'All Data'!$A$3:$CW$999,99,FALSE),"unknown")</f>
        <v>Yes</v>
      </c>
    </row>
    <row r="402" spans="1:28">
      <c r="A402" s="149">
        <v>114086076324</v>
      </c>
      <c r="B402" s="134" t="s">
        <v>64</v>
      </c>
      <c r="C402" s="135"/>
      <c r="D402" s="135"/>
      <c r="E402" s="135"/>
      <c r="F402" s="135"/>
      <c r="G402" s="135"/>
      <c r="H402" s="135"/>
      <c r="I402" s="135"/>
      <c r="J402" s="135"/>
      <c r="K402" s="135"/>
      <c r="L402" s="135"/>
      <c r="M402" s="135"/>
      <c r="N402" s="135"/>
      <c r="O402" s="149"/>
      <c r="P402" s="120" t="str">
        <f>IFERROR(VLOOKUP(Table1[RespondentID],'All Data'!$A$3:$CO$999,87,FALSE),"unknown")</f>
        <v>Woman</v>
      </c>
      <c r="Q402" s="120">
        <f>IFERROR(VLOOKUP(Table1[RespondentID],'All Data'!$A$3:$CO$999,88,FALSE),"unknown")</f>
        <v>0</v>
      </c>
      <c r="R402" s="120" t="str">
        <f>IFERROR(VLOOKUP(Table1[RespondentID],'All Data'!$A$3:$CO$999,89,FALSE),"unknown")</f>
        <v>Nassau</v>
      </c>
      <c r="S402" s="120" t="str">
        <f>IFERROR(VLOOKUP(Table1[RespondentID],'All Data'!$A$3:$CO$999,90,FALSE),"unknown")</f>
        <v>Seaford, 11783</v>
      </c>
      <c r="T402" s="120">
        <f>IFERROR(VLOOKUP(Table1[RespondentID],'All Data'!$A$3:$CO$999,91,FALSE),"unknown")</f>
        <v>0</v>
      </c>
      <c r="U402" s="120" t="str">
        <f>IFERROR(VLOOKUP(Table1[RespondentID],'All Data'!$A$3:$CO$999,92,FALSE),"unknown")</f>
        <v>Not Hispanic or Latino</v>
      </c>
      <c r="V402" s="120" t="str">
        <f>IFERROR(VLOOKUP(Table1[RespondentID],'All Data'!$A$3:$CO$999,93,FALSE),"unknown")</f>
        <v>English</v>
      </c>
      <c r="W402" s="120" t="str">
        <f>IFERROR(VLOOKUP(Table1[RespondentID],'All Data'!$A$3:$CW$999,94,FALSE),"unknown")</f>
        <v>Over $125,000</v>
      </c>
      <c r="X402" s="120" t="str">
        <f>IFERROR(VLOOKUP(Table1[RespondentID],'All Data'!$A$3:$CW$999,95,FALSE),"unknown")</f>
        <v>College graduate</v>
      </c>
      <c r="Y402" s="120" t="str">
        <f>IFERROR(VLOOKUP(Table1[RespondentID],'All Data'!$A$3:$CW$999,96,FALSE),"unknown")</f>
        <v>Employed for wages</v>
      </c>
      <c r="Z402" s="120" t="str">
        <f>IFERROR(VLOOKUP(Table1[RespondentID],'All Data'!$A$3:$CW$999,97,FALSE),"unknown")</f>
        <v>Yes</v>
      </c>
      <c r="AA402" s="120" t="str">
        <f>IFERROR(VLOOKUP(Table1[RespondentID],'All Data'!$A$3:$CW$999,98,FALSE),"unknown")</f>
        <v>Private/Commercial</v>
      </c>
      <c r="AB402" s="150" t="str">
        <f>IFERROR(VLOOKUP(Table1[RespondentID],'All Data'!$A$3:$CW$999,99,FALSE),"unknown")</f>
        <v>Yes</v>
      </c>
    </row>
    <row r="403" spans="1:28">
      <c r="A403" s="149">
        <v>114086069086</v>
      </c>
      <c r="B403" s="134" t="s">
        <v>64</v>
      </c>
      <c r="C403" s="135"/>
      <c r="D403" s="135"/>
      <c r="E403" s="135"/>
      <c r="F403" s="135"/>
      <c r="G403" s="135"/>
      <c r="H403" s="135"/>
      <c r="I403" s="135"/>
      <c r="J403" s="135"/>
      <c r="K403" s="135"/>
      <c r="L403" s="135"/>
      <c r="M403" s="135"/>
      <c r="N403" s="135"/>
      <c r="O403" s="149"/>
      <c r="P403" s="120" t="str">
        <f>IFERROR(VLOOKUP(Table1[RespondentID],'All Data'!$A$3:$CO$999,87,FALSE),"unknown")</f>
        <v>Woman</v>
      </c>
      <c r="Q403" s="120">
        <f>IFERROR(VLOOKUP(Table1[RespondentID],'All Data'!$A$3:$CO$999,88,FALSE),"unknown")</f>
        <v>0</v>
      </c>
      <c r="R403" s="120" t="str">
        <f>IFERROR(VLOOKUP(Table1[RespondentID],'All Data'!$A$3:$CO$999,89,FALSE),"unknown")</f>
        <v>Nassau</v>
      </c>
      <c r="S403" s="120" t="str">
        <f>IFERROR(VLOOKUP(Table1[RespondentID],'All Data'!$A$3:$CO$999,90,FALSE),"unknown")</f>
        <v>Garden City, 11530</v>
      </c>
      <c r="T403" s="120">
        <f>IFERROR(VLOOKUP(Table1[RespondentID],'All Data'!$A$3:$CO$999,91,FALSE),"unknown")</f>
        <v>0</v>
      </c>
      <c r="U403" s="120" t="str">
        <f>IFERROR(VLOOKUP(Table1[RespondentID],'All Data'!$A$3:$CO$999,92,FALSE),"unknown")</f>
        <v>Not Hispanic or Latino</v>
      </c>
      <c r="V403" s="120" t="str">
        <f>IFERROR(VLOOKUP(Table1[RespondentID],'All Data'!$A$3:$CO$999,93,FALSE),"unknown")</f>
        <v>English</v>
      </c>
      <c r="W403" s="120" t="str">
        <f>IFERROR(VLOOKUP(Table1[RespondentID],'All Data'!$A$3:$CW$999,94,FALSE),"unknown")</f>
        <v>Over $125,000</v>
      </c>
      <c r="X403" s="120" t="str">
        <f>IFERROR(VLOOKUP(Table1[RespondentID],'All Data'!$A$3:$CW$999,95,FALSE),"unknown")</f>
        <v>Graduate school</v>
      </c>
      <c r="Y403" s="120" t="str">
        <f>IFERROR(VLOOKUP(Table1[RespondentID],'All Data'!$A$3:$CW$999,96,FALSE),"unknown")</f>
        <v>Employed for wages</v>
      </c>
      <c r="Z403" s="120" t="str">
        <f>IFERROR(VLOOKUP(Table1[RespondentID],'All Data'!$A$3:$CW$999,97,FALSE),"unknown")</f>
        <v>Yes</v>
      </c>
      <c r="AA403" s="120" t="str">
        <f>IFERROR(VLOOKUP(Table1[RespondentID],'All Data'!$A$3:$CW$999,98,FALSE),"unknown")</f>
        <v>Private/Commercial</v>
      </c>
      <c r="AB403" s="150" t="str">
        <f>IFERROR(VLOOKUP(Table1[RespondentID],'All Data'!$A$3:$CW$999,99,FALSE),"unknown")</f>
        <v>Yes</v>
      </c>
    </row>
    <row r="404" spans="1:28">
      <c r="A404" s="149">
        <v>114086062451</v>
      </c>
      <c r="B404" s="134"/>
      <c r="C404" s="135"/>
      <c r="D404" s="135" t="s">
        <v>66</v>
      </c>
      <c r="E404" s="135"/>
      <c r="F404" s="135"/>
      <c r="G404" s="135"/>
      <c r="H404" s="135" t="s">
        <v>70</v>
      </c>
      <c r="I404" s="135"/>
      <c r="J404" s="135"/>
      <c r="K404" s="135"/>
      <c r="L404" s="135"/>
      <c r="M404" s="135"/>
      <c r="N404" s="135" t="s">
        <v>76</v>
      </c>
      <c r="O404" s="149"/>
      <c r="P404" s="120" t="str">
        <f>IFERROR(VLOOKUP(Table1[RespondentID],'All Data'!$A$3:$CO$999,87,FALSE),"unknown")</f>
        <v>Woman</v>
      </c>
      <c r="Q404" s="120">
        <f>IFERROR(VLOOKUP(Table1[RespondentID],'All Data'!$A$3:$CO$999,88,FALSE),"unknown")</f>
        <v>0</v>
      </c>
      <c r="R404" s="120" t="str">
        <f>IFERROR(VLOOKUP(Table1[RespondentID],'All Data'!$A$3:$CO$999,89,FALSE),"unknown")</f>
        <v>Nassau</v>
      </c>
      <c r="S404" s="120" t="str">
        <f>IFERROR(VLOOKUP(Table1[RespondentID],'All Data'!$A$3:$CO$999,90,FALSE),"unknown")</f>
        <v>Freeport, 11520</v>
      </c>
      <c r="T404" s="120">
        <f>IFERROR(VLOOKUP(Table1[RespondentID],'All Data'!$A$3:$CO$999,91,FALSE),"unknown")</f>
        <v>0</v>
      </c>
      <c r="U404" s="120" t="str">
        <f>IFERROR(VLOOKUP(Table1[RespondentID],'All Data'!$A$3:$CO$999,92,FALSE),"unknown")</f>
        <v>Not Hispanic or Latino</v>
      </c>
      <c r="V404" s="120" t="str">
        <f>IFERROR(VLOOKUP(Table1[RespondentID],'All Data'!$A$3:$CO$999,93,FALSE),"unknown")</f>
        <v>English,Haitian Creole,French Creole</v>
      </c>
      <c r="W404" s="120" t="str">
        <f>IFERROR(VLOOKUP(Table1[RespondentID],'All Data'!$A$3:$CW$999,94,FALSE),"unknown")</f>
        <v>Over $125,000</v>
      </c>
      <c r="X404" s="120" t="str">
        <f>IFERROR(VLOOKUP(Table1[RespondentID],'All Data'!$A$3:$CW$999,95,FALSE),"unknown")</f>
        <v>Doctorate</v>
      </c>
      <c r="Y404" s="120" t="str">
        <f>IFERROR(VLOOKUP(Table1[RespondentID],'All Data'!$A$3:$CW$999,96,FALSE),"unknown")</f>
        <v>Employed for wages</v>
      </c>
      <c r="Z404" s="120" t="str">
        <f>IFERROR(VLOOKUP(Table1[RespondentID],'All Data'!$A$3:$CW$999,97,FALSE),"unknown")</f>
        <v>Yes</v>
      </c>
      <c r="AA404" s="120" t="str">
        <f>IFERROR(VLOOKUP(Table1[RespondentID],'All Data'!$A$3:$CW$999,98,FALSE),"unknown")</f>
        <v>Private/Commercial</v>
      </c>
      <c r="AB404" s="150" t="str">
        <f>IFERROR(VLOOKUP(Table1[RespondentID],'All Data'!$A$3:$CW$999,99,FALSE),"unknown")</f>
        <v>Yes</v>
      </c>
    </row>
    <row r="405" spans="1:28">
      <c r="A405" s="149">
        <v>114085969464</v>
      </c>
      <c r="B405" s="134" t="s">
        <v>64</v>
      </c>
      <c r="C405" s="135"/>
      <c r="D405" s="135" t="s">
        <v>66</v>
      </c>
      <c r="E405" s="135" t="s">
        <v>67</v>
      </c>
      <c r="F405" s="135"/>
      <c r="G405" s="135"/>
      <c r="H405" s="135"/>
      <c r="I405" s="135"/>
      <c r="J405" s="135"/>
      <c r="K405" s="135"/>
      <c r="L405" s="135"/>
      <c r="M405" s="135" t="s">
        <v>75</v>
      </c>
      <c r="N405" s="135"/>
      <c r="O405" s="149"/>
      <c r="P405" s="120" t="str">
        <f>IFERROR(VLOOKUP(Table1[RespondentID],'All Data'!$A$3:$CO$999,87,FALSE),"unknown")</f>
        <v>Man</v>
      </c>
      <c r="Q405" s="120">
        <f>IFERROR(VLOOKUP(Table1[RespondentID],'All Data'!$A$3:$CO$999,88,FALSE),"unknown")</f>
        <v>0</v>
      </c>
      <c r="R405" s="120" t="str">
        <f>IFERROR(VLOOKUP(Table1[RespondentID],'All Data'!$A$3:$CO$999,89,FALSE),"unknown")</f>
        <v>Suffolk</v>
      </c>
      <c r="S405" s="120" t="str">
        <f>IFERROR(VLOOKUP(Table1[RespondentID],'All Data'!$A$3:$CO$999,90,FALSE),"unknown")</f>
        <v>Babylon, 11704</v>
      </c>
      <c r="T405" s="120">
        <f>IFERROR(VLOOKUP(Table1[RespondentID],'All Data'!$A$3:$CO$999,91,FALSE),"unknown")</f>
        <v>0</v>
      </c>
      <c r="U405" s="120">
        <f>IFERROR(VLOOKUP(Table1[RespondentID],'All Data'!$A$3:$CO$999,92,FALSE),"unknown")</f>
        <v>0</v>
      </c>
      <c r="V405" s="120" t="str">
        <f>IFERROR(VLOOKUP(Table1[RespondentID],'All Data'!$A$3:$CO$999,93,FALSE),"unknown")</f>
        <v>English</v>
      </c>
      <c r="W405" s="120" t="str">
        <f>IFERROR(VLOOKUP(Table1[RespondentID],'All Data'!$A$3:$CW$999,94,FALSE),"unknown")</f>
        <v>Over $125,000</v>
      </c>
      <c r="X405" s="120" t="str">
        <f>IFERROR(VLOOKUP(Table1[RespondentID],'All Data'!$A$3:$CW$999,95,FALSE),"unknown")</f>
        <v>College graduate</v>
      </c>
      <c r="Y405" s="120" t="str">
        <f>IFERROR(VLOOKUP(Table1[RespondentID],'All Data'!$A$3:$CW$999,96,FALSE),"unknown")</f>
        <v>Employed for wages</v>
      </c>
      <c r="Z405" s="120" t="str">
        <f>IFERROR(VLOOKUP(Table1[RespondentID],'All Data'!$A$3:$CW$999,97,FALSE),"unknown")</f>
        <v>Yes</v>
      </c>
      <c r="AA405" s="120" t="str">
        <f>IFERROR(VLOOKUP(Table1[RespondentID],'All Data'!$A$3:$CW$999,98,FALSE),"unknown")</f>
        <v>Private/Commercial</v>
      </c>
      <c r="AB405" s="150" t="str">
        <f>IFERROR(VLOOKUP(Table1[RespondentID],'All Data'!$A$3:$CW$999,99,FALSE),"unknown")</f>
        <v>Yes</v>
      </c>
    </row>
    <row r="406" spans="1:28">
      <c r="A406" s="149">
        <v>114085966921</v>
      </c>
      <c r="B406" s="134" t="s">
        <v>64</v>
      </c>
      <c r="C406" s="135"/>
      <c r="D406" s="135"/>
      <c r="E406" s="135" t="s">
        <v>67</v>
      </c>
      <c r="F406" s="135"/>
      <c r="G406" s="135"/>
      <c r="H406" s="135"/>
      <c r="I406" s="135"/>
      <c r="J406" s="135"/>
      <c r="K406" s="135"/>
      <c r="L406" s="135"/>
      <c r="M406" s="135" t="s">
        <v>75</v>
      </c>
      <c r="N406" s="135"/>
      <c r="O406" s="149"/>
      <c r="P406" s="120" t="str">
        <f>IFERROR(VLOOKUP(Table1[RespondentID],'All Data'!$A$3:$CO$999,87,FALSE),"unknown")</f>
        <v>Woman</v>
      </c>
      <c r="Q406" s="120">
        <f>IFERROR(VLOOKUP(Table1[RespondentID],'All Data'!$A$3:$CO$999,88,FALSE),"unknown")</f>
        <v>0</v>
      </c>
      <c r="R406" s="120" t="str">
        <f>IFERROR(VLOOKUP(Table1[RespondentID],'All Data'!$A$3:$CO$999,89,FALSE),"unknown")</f>
        <v>Nassau</v>
      </c>
      <c r="S406" s="120" t="str">
        <f>IFERROR(VLOOKUP(Table1[RespondentID],'All Data'!$A$3:$CO$999,90,FALSE),"unknown")</f>
        <v>Massapequa, 11758</v>
      </c>
      <c r="T406" s="120">
        <f>IFERROR(VLOOKUP(Table1[RespondentID],'All Data'!$A$3:$CO$999,91,FALSE),"unknown")</f>
        <v>0</v>
      </c>
      <c r="U406" s="120" t="str">
        <f>IFERROR(VLOOKUP(Table1[RespondentID],'All Data'!$A$3:$CO$999,92,FALSE),"unknown")</f>
        <v>Not Hispanic or Latino</v>
      </c>
      <c r="V406" s="120" t="str">
        <f>IFERROR(VLOOKUP(Table1[RespondentID],'All Data'!$A$3:$CO$999,93,FALSE),"unknown")</f>
        <v>English</v>
      </c>
      <c r="W406" s="120" t="str">
        <f>IFERROR(VLOOKUP(Table1[RespondentID],'All Data'!$A$3:$CW$999,94,FALSE),"unknown")</f>
        <v>Over $125,000</v>
      </c>
      <c r="X406" s="120" t="str">
        <f>IFERROR(VLOOKUP(Table1[RespondentID],'All Data'!$A$3:$CW$999,95,FALSE),"unknown")</f>
        <v>College graduate</v>
      </c>
      <c r="Y406" s="120" t="str">
        <f>IFERROR(VLOOKUP(Table1[RespondentID],'All Data'!$A$3:$CW$999,96,FALSE),"unknown")</f>
        <v>Employed for wages</v>
      </c>
      <c r="Z406" s="120" t="str">
        <f>IFERROR(VLOOKUP(Table1[RespondentID],'All Data'!$A$3:$CW$999,97,FALSE),"unknown")</f>
        <v>Yes</v>
      </c>
      <c r="AA406" s="120" t="str">
        <f>IFERROR(VLOOKUP(Table1[RespondentID],'All Data'!$A$3:$CW$999,98,FALSE),"unknown")</f>
        <v>Private/Commercial</v>
      </c>
      <c r="AB406" s="150" t="str">
        <f>IFERROR(VLOOKUP(Table1[RespondentID],'All Data'!$A$3:$CW$999,99,FALSE),"unknown")</f>
        <v>Yes</v>
      </c>
    </row>
    <row r="407" spans="1:28">
      <c r="A407" s="149">
        <v>114085904332</v>
      </c>
      <c r="B407" s="134" t="s">
        <v>64</v>
      </c>
      <c r="C407" s="135"/>
      <c r="D407" s="135"/>
      <c r="E407" s="135"/>
      <c r="F407" s="135"/>
      <c r="G407" s="135"/>
      <c r="H407" s="135"/>
      <c r="I407" s="135"/>
      <c r="J407" s="135"/>
      <c r="K407" s="135" t="s">
        <v>73</v>
      </c>
      <c r="L407" s="135"/>
      <c r="M407" s="135"/>
      <c r="N407" s="135"/>
      <c r="O407" s="149"/>
      <c r="P407" s="120" t="str">
        <f>IFERROR(VLOOKUP(Table1[RespondentID],'All Data'!$A$3:$CO$999,87,FALSE),"unknown")</f>
        <v>Woman</v>
      </c>
      <c r="Q407" s="120">
        <f>IFERROR(VLOOKUP(Table1[RespondentID],'All Data'!$A$3:$CO$999,88,FALSE),"unknown")</f>
        <v>0</v>
      </c>
      <c r="R407" s="120" t="str">
        <f>IFERROR(VLOOKUP(Table1[RespondentID],'All Data'!$A$3:$CO$999,89,FALSE),"unknown")</f>
        <v>Nassau</v>
      </c>
      <c r="S407" s="120" t="str">
        <f>IFERROR(VLOOKUP(Table1[RespondentID],'All Data'!$A$3:$CO$999,90,FALSE),"unknown")</f>
        <v>Hempstead, 11550</v>
      </c>
      <c r="T407" s="120">
        <f>IFERROR(VLOOKUP(Table1[RespondentID],'All Data'!$A$3:$CO$999,91,FALSE),"unknown")</f>
        <v>0</v>
      </c>
      <c r="U407" s="120">
        <f>IFERROR(VLOOKUP(Table1[RespondentID],'All Data'!$A$3:$CO$999,92,FALSE),"unknown")</f>
        <v>0</v>
      </c>
      <c r="V407" s="120">
        <f>IFERROR(VLOOKUP(Table1[RespondentID],'All Data'!$A$3:$CO$999,93,FALSE),"unknown")</f>
        <v>0</v>
      </c>
      <c r="W407" s="120">
        <f>IFERROR(VLOOKUP(Table1[RespondentID],'All Data'!$A$3:$CW$999,94,FALSE),"unknown")</f>
        <v>0</v>
      </c>
      <c r="X407" s="120">
        <f>IFERROR(VLOOKUP(Table1[RespondentID],'All Data'!$A$3:$CW$999,95,FALSE),"unknown")</f>
        <v>0</v>
      </c>
      <c r="Y407" s="120">
        <f>IFERROR(VLOOKUP(Table1[RespondentID],'All Data'!$A$3:$CW$999,96,FALSE),"unknown")</f>
        <v>0</v>
      </c>
      <c r="Z407" s="120">
        <f>IFERROR(VLOOKUP(Table1[RespondentID],'All Data'!$A$3:$CW$999,97,FALSE),"unknown")</f>
        <v>0</v>
      </c>
      <c r="AA407" s="120">
        <f>IFERROR(VLOOKUP(Table1[RespondentID],'All Data'!$A$3:$CW$999,98,FALSE),"unknown")</f>
        <v>0</v>
      </c>
      <c r="AB407" s="150">
        <f>IFERROR(VLOOKUP(Table1[RespondentID],'All Data'!$A$3:$CW$999,99,FALSE),"unknown")</f>
        <v>0</v>
      </c>
    </row>
    <row r="408" spans="1:28">
      <c r="A408" s="149">
        <v>114085903127</v>
      </c>
      <c r="B408" s="134" t="s">
        <v>64</v>
      </c>
      <c r="C408" s="135"/>
      <c r="D408" s="135"/>
      <c r="E408" s="135"/>
      <c r="F408" s="135"/>
      <c r="G408" s="135"/>
      <c r="H408" s="135"/>
      <c r="I408" s="135"/>
      <c r="J408" s="135"/>
      <c r="K408" s="135" t="s">
        <v>73</v>
      </c>
      <c r="L408" s="135"/>
      <c r="M408" s="135"/>
      <c r="N408" s="135"/>
      <c r="O408" s="149"/>
      <c r="P408" s="120" t="str">
        <f>IFERROR(VLOOKUP(Table1[RespondentID],'All Data'!$A$3:$CO$999,87,FALSE),"unknown")</f>
        <v>Woman</v>
      </c>
      <c r="Q408" s="120">
        <f>IFERROR(VLOOKUP(Table1[RespondentID],'All Data'!$A$3:$CO$999,88,FALSE),"unknown")</f>
        <v>0</v>
      </c>
      <c r="R408" s="120" t="str">
        <f>IFERROR(VLOOKUP(Table1[RespondentID],'All Data'!$A$3:$CO$999,89,FALSE),"unknown")</f>
        <v>Nassau</v>
      </c>
      <c r="S408" s="120" t="str">
        <f>IFERROR(VLOOKUP(Table1[RespondentID],'All Data'!$A$3:$CO$999,90,FALSE),"unknown")</f>
        <v>Hewlett Neck, 11598</v>
      </c>
      <c r="T408" s="120">
        <f>IFERROR(VLOOKUP(Table1[RespondentID],'All Data'!$A$3:$CO$999,91,FALSE),"unknown")</f>
        <v>0</v>
      </c>
      <c r="U408" s="120" t="str">
        <f>IFERROR(VLOOKUP(Table1[RespondentID],'All Data'!$A$3:$CO$999,92,FALSE),"unknown")</f>
        <v>Not Hispanic or Latino</v>
      </c>
      <c r="V408" s="120">
        <f>IFERROR(VLOOKUP(Table1[RespondentID],'All Data'!$A$3:$CO$999,93,FALSE),"unknown")</f>
        <v>0</v>
      </c>
      <c r="W408" s="120" t="str">
        <f>IFERROR(VLOOKUP(Table1[RespondentID],'All Data'!$A$3:$CW$999,94,FALSE),"unknown")</f>
        <v>$50,000 to $74,999</v>
      </c>
      <c r="X408" s="120" t="str">
        <f>IFERROR(VLOOKUP(Table1[RespondentID],'All Data'!$A$3:$CW$999,95,FALSE),"unknown")</f>
        <v>Graduate school</v>
      </c>
      <c r="Y408" s="120">
        <f>IFERROR(VLOOKUP(Table1[RespondentID],'All Data'!$A$3:$CW$999,96,FALSE),"unknown")</f>
        <v>0</v>
      </c>
      <c r="Z408" s="120">
        <f>IFERROR(VLOOKUP(Table1[RespondentID],'All Data'!$A$3:$CW$999,97,FALSE),"unknown")</f>
        <v>0</v>
      </c>
      <c r="AA408" s="120" t="str">
        <f>IFERROR(VLOOKUP(Table1[RespondentID],'All Data'!$A$3:$CW$999,98,FALSE),"unknown")</f>
        <v>Private/Commercial</v>
      </c>
      <c r="AB408" s="150" t="str">
        <f>IFERROR(VLOOKUP(Table1[RespondentID],'All Data'!$A$3:$CW$999,99,FALSE),"unknown")</f>
        <v>Yes</v>
      </c>
    </row>
    <row r="409" spans="1:28">
      <c r="A409" s="149">
        <v>114085875144</v>
      </c>
      <c r="B409" s="134"/>
      <c r="C409" s="135"/>
      <c r="D409" s="135"/>
      <c r="E409" s="135" t="s">
        <v>67</v>
      </c>
      <c r="F409" s="135"/>
      <c r="G409" s="135" t="s">
        <v>69</v>
      </c>
      <c r="H409" s="135"/>
      <c r="I409" s="135"/>
      <c r="J409" s="135"/>
      <c r="K409" s="135" t="s">
        <v>73</v>
      </c>
      <c r="L409" s="135"/>
      <c r="M409" s="135"/>
      <c r="N409" s="135"/>
      <c r="O409" s="149"/>
      <c r="P409" s="120" t="str">
        <f>IFERROR(VLOOKUP(Table1[RespondentID],'All Data'!$A$3:$CO$999,87,FALSE),"unknown")</f>
        <v>Woman</v>
      </c>
      <c r="Q409" s="120">
        <f>IFERROR(VLOOKUP(Table1[RespondentID],'All Data'!$A$3:$CO$999,88,FALSE),"unknown")</f>
        <v>0</v>
      </c>
      <c r="R409" s="120" t="str">
        <f>IFERROR(VLOOKUP(Table1[RespondentID],'All Data'!$A$3:$CO$999,89,FALSE),"unknown")</f>
        <v>Nassau</v>
      </c>
      <c r="S409" s="120" t="str">
        <f>IFERROR(VLOOKUP(Table1[RespondentID],'All Data'!$A$3:$CO$999,90,FALSE),"unknown")</f>
        <v>Lakeview, 11552</v>
      </c>
      <c r="T409" s="120">
        <f>IFERROR(VLOOKUP(Table1[RespondentID],'All Data'!$A$3:$CO$999,91,FALSE),"unknown")</f>
        <v>0</v>
      </c>
      <c r="U409" s="120" t="str">
        <f>IFERROR(VLOOKUP(Table1[RespondentID],'All Data'!$A$3:$CO$999,92,FALSE),"unknown")</f>
        <v>Not Hispanic or Latino</v>
      </c>
      <c r="V409" s="120" t="str">
        <f>IFERROR(VLOOKUP(Table1[RespondentID],'All Data'!$A$3:$CO$999,93,FALSE),"unknown")</f>
        <v>English</v>
      </c>
      <c r="W409" s="120" t="str">
        <f>IFERROR(VLOOKUP(Table1[RespondentID],'All Data'!$A$3:$CW$999,94,FALSE),"unknown")</f>
        <v>$50,000 to $74,999</v>
      </c>
      <c r="X409" s="120" t="str">
        <f>IFERROR(VLOOKUP(Table1[RespondentID],'All Data'!$A$3:$CW$999,95,FALSE),"unknown")</f>
        <v>College graduate</v>
      </c>
      <c r="Y409" s="120">
        <f>IFERROR(VLOOKUP(Table1[RespondentID],'All Data'!$A$3:$CW$999,96,FALSE),"unknown")</f>
        <v>0</v>
      </c>
      <c r="Z409" s="120">
        <f>IFERROR(VLOOKUP(Table1[RespondentID],'All Data'!$A$3:$CW$999,97,FALSE),"unknown")</f>
        <v>0</v>
      </c>
      <c r="AA409" s="120" t="str">
        <f>IFERROR(VLOOKUP(Table1[RespondentID],'All Data'!$A$3:$CW$999,98,FALSE),"unknown")</f>
        <v>Private/Commercial</v>
      </c>
      <c r="AB409" s="150" t="str">
        <f>IFERROR(VLOOKUP(Table1[RespondentID],'All Data'!$A$3:$CW$999,99,FALSE),"unknown")</f>
        <v>Yes</v>
      </c>
    </row>
    <row r="410" spans="1:28">
      <c r="A410" s="149">
        <v>114085855650</v>
      </c>
      <c r="B410" s="134" t="s">
        <v>64</v>
      </c>
      <c r="C410" s="135"/>
      <c r="D410" s="135"/>
      <c r="E410" s="135" t="s">
        <v>67</v>
      </c>
      <c r="F410" s="135"/>
      <c r="G410" s="135"/>
      <c r="H410" s="135"/>
      <c r="I410" s="135"/>
      <c r="J410" s="135"/>
      <c r="K410" s="135"/>
      <c r="L410" s="135"/>
      <c r="M410" s="135" t="s">
        <v>75</v>
      </c>
      <c r="N410" s="135"/>
      <c r="O410" s="149"/>
      <c r="P410" s="120" t="str">
        <f>IFERROR(VLOOKUP(Table1[RespondentID],'All Data'!$A$3:$CO$999,87,FALSE),"unknown")</f>
        <v>Man</v>
      </c>
      <c r="Q410" s="120">
        <f>IFERROR(VLOOKUP(Table1[RespondentID],'All Data'!$A$3:$CO$999,88,FALSE),"unknown")</f>
        <v>0</v>
      </c>
      <c r="R410" s="120" t="str">
        <f>IFERROR(VLOOKUP(Table1[RespondentID],'All Data'!$A$3:$CO$999,89,FALSE),"unknown")</f>
        <v>Nassau</v>
      </c>
      <c r="S410" s="120" t="str">
        <f>IFERROR(VLOOKUP(Table1[RespondentID],'All Data'!$A$3:$CO$999,90,FALSE),"unknown")</f>
        <v>Levittown, 11756</v>
      </c>
      <c r="T410" s="120">
        <f>IFERROR(VLOOKUP(Table1[RespondentID],'All Data'!$A$3:$CO$999,91,FALSE),"unknown")</f>
        <v>0</v>
      </c>
      <c r="U410" s="120" t="str">
        <f>IFERROR(VLOOKUP(Table1[RespondentID],'All Data'!$A$3:$CO$999,92,FALSE),"unknown")</f>
        <v>Not Hispanic or Latino</v>
      </c>
      <c r="V410" s="120" t="str">
        <f>IFERROR(VLOOKUP(Table1[RespondentID],'All Data'!$A$3:$CO$999,93,FALSE),"unknown")</f>
        <v>English</v>
      </c>
      <c r="W410" s="120">
        <f>IFERROR(VLOOKUP(Table1[RespondentID],'All Data'!$A$3:$CW$999,94,FALSE),"unknown")</f>
        <v>0</v>
      </c>
      <c r="X410" s="120" t="str">
        <f>IFERROR(VLOOKUP(Table1[RespondentID],'All Data'!$A$3:$CW$999,95,FALSE),"unknown")</f>
        <v>Some college</v>
      </c>
      <c r="Y410" s="120">
        <f>IFERROR(VLOOKUP(Table1[RespondentID],'All Data'!$A$3:$CW$999,96,FALSE),"unknown")</f>
        <v>0</v>
      </c>
      <c r="Z410" s="120">
        <f>IFERROR(VLOOKUP(Table1[RespondentID],'All Data'!$A$3:$CW$999,97,FALSE),"unknown")</f>
        <v>0</v>
      </c>
      <c r="AA410" s="120" t="str">
        <f>IFERROR(VLOOKUP(Table1[RespondentID],'All Data'!$A$3:$CW$999,98,FALSE),"unknown")</f>
        <v>Medicare</v>
      </c>
      <c r="AB410" s="150" t="str">
        <f>IFERROR(VLOOKUP(Table1[RespondentID],'All Data'!$A$3:$CW$999,99,FALSE),"unknown")</f>
        <v>Yes</v>
      </c>
    </row>
    <row r="411" spans="1:28">
      <c r="A411" s="149">
        <v>114085847217</v>
      </c>
      <c r="B411" s="134"/>
      <c r="C411" s="135"/>
      <c r="D411" s="135"/>
      <c r="E411" s="135" t="s">
        <v>67</v>
      </c>
      <c r="F411" s="135"/>
      <c r="G411" s="135"/>
      <c r="H411" s="135" t="s">
        <v>70</v>
      </c>
      <c r="I411" s="135"/>
      <c r="J411" s="135"/>
      <c r="K411" s="135" t="s">
        <v>73</v>
      </c>
      <c r="L411" s="135"/>
      <c r="M411" s="135" t="s">
        <v>75</v>
      </c>
      <c r="N411" s="135"/>
      <c r="O411" s="149"/>
      <c r="P411" s="120" t="str">
        <f>IFERROR(VLOOKUP(Table1[RespondentID],'All Data'!$A$3:$CO$999,87,FALSE),"unknown")</f>
        <v>Woman</v>
      </c>
      <c r="Q411" s="120">
        <f>IFERROR(VLOOKUP(Table1[RespondentID],'All Data'!$A$3:$CO$999,88,FALSE),"unknown")</f>
        <v>0</v>
      </c>
      <c r="R411" s="120" t="str">
        <f>IFERROR(VLOOKUP(Table1[RespondentID],'All Data'!$A$3:$CO$999,89,FALSE),"unknown")</f>
        <v>Nassau</v>
      </c>
      <c r="S411" s="120" t="str">
        <f>IFERROR(VLOOKUP(Table1[RespondentID],'All Data'!$A$3:$CO$999,90,FALSE),"unknown")</f>
        <v>Massapequa Park, 11762</v>
      </c>
      <c r="T411" s="120">
        <f>IFERROR(VLOOKUP(Table1[RespondentID],'All Data'!$A$3:$CO$999,91,FALSE),"unknown")</f>
        <v>0</v>
      </c>
      <c r="U411" s="120" t="str">
        <f>IFERROR(VLOOKUP(Table1[RespondentID],'All Data'!$A$3:$CO$999,92,FALSE),"unknown")</f>
        <v>Not Hispanic or Latino</v>
      </c>
      <c r="V411" s="120" t="str">
        <f>IFERROR(VLOOKUP(Table1[RespondentID],'All Data'!$A$3:$CO$999,93,FALSE),"unknown")</f>
        <v>English</v>
      </c>
      <c r="W411" s="120" t="str">
        <f>IFERROR(VLOOKUP(Table1[RespondentID],'All Data'!$A$3:$CW$999,94,FALSE),"unknown")</f>
        <v>$50,000 to $74,999</v>
      </c>
      <c r="X411" s="120" t="str">
        <f>IFERROR(VLOOKUP(Table1[RespondentID],'All Data'!$A$3:$CW$999,95,FALSE),"unknown")</f>
        <v>Graduate school</v>
      </c>
      <c r="Y411" s="120">
        <f>IFERROR(VLOOKUP(Table1[RespondentID],'All Data'!$A$3:$CW$999,96,FALSE),"unknown")</f>
        <v>0</v>
      </c>
      <c r="Z411" s="120">
        <f>IFERROR(VLOOKUP(Table1[RespondentID],'All Data'!$A$3:$CW$999,97,FALSE),"unknown")</f>
        <v>0</v>
      </c>
      <c r="AA411" s="120" t="str">
        <f>IFERROR(VLOOKUP(Table1[RespondentID],'All Data'!$A$3:$CW$999,98,FALSE),"unknown")</f>
        <v>Private/Commercial</v>
      </c>
      <c r="AB411" s="150" t="str">
        <f>IFERROR(VLOOKUP(Table1[RespondentID],'All Data'!$A$3:$CW$999,99,FALSE),"unknown")</f>
        <v>Yes</v>
      </c>
    </row>
    <row r="412" spans="1:28">
      <c r="A412" s="149">
        <v>114085845695</v>
      </c>
      <c r="B412" s="134"/>
      <c r="C412" s="135"/>
      <c r="D412" s="135"/>
      <c r="E412" s="135"/>
      <c r="F412" s="135"/>
      <c r="G412" s="135"/>
      <c r="H412" s="135"/>
      <c r="I412" s="135"/>
      <c r="J412" s="135"/>
      <c r="K412" s="135"/>
      <c r="L412" s="135"/>
      <c r="M412" s="135" t="s">
        <v>75</v>
      </c>
      <c r="N412" s="135"/>
      <c r="O412" s="149"/>
      <c r="P412" s="120" t="str">
        <f>IFERROR(VLOOKUP(Table1[RespondentID],'All Data'!$A$3:$CO$999,87,FALSE),"unknown")</f>
        <v>Woman</v>
      </c>
      <c r="Q412" s="120">
        <f>IFERROR(VLOOKUP(Table1[RespondentID],'All Data'!$A$3:$CO$999,88,FALSE),"unknown")</f>
        <v>0</v>
      </c>
      <c r="R412" s="120" t="str">
        <f>IFERROR(VLOOKUP(Table1[RespondentID],'All Data'!$A$3:$CO$999,89,FALSE),"unknown")</f>
        <v>Nassau</v>
      </c>
      <c r="S412" s="120" t="str">
        <f>IFERROR(VLOOKUP(Table1[RespondentID],'All Data'!$A$3:$CO$999,90,FALSE),"unknown")</f>
        <v>West Hempstead, 11552</v>
      </c>
      <c r="T412" s="120">
        <f>IFERROR(VLOOKUP(Table1[RespondentID],'All Data'!$A$3:$CO$999,91,FALSE),"unknown")</f>
        <v>0</v>
      </c>
      <c r="U412" s="120" t="str">
        <f>IFERROR(VLOOKUP(Table1[RespondentID],'All Data'!$A$3:$CO$999,92,FALSE),"unknown")</f>
        <v>Not Hispanic or Latino</v>
      </c>
      <c r="V412" s="120" t="str">
        <f>IFERROR(VLOOKUP(Table1[RespondentID],'All Data'!$A$3:$CO$999,93,FALSE),"unknown")</f>
        <v>English</v>
      </c>
      <c r="W412" s="120" t="str">
        <f>IFERROR(VLOOKUP(Table1[RespondentID],'All Data'!$A$3:$CW$999,94,FALSE),"unknown")</f>
        <v>$75,000 to $125,000</v>
      </c>
      <c r="X412" s="120" t="str">
        <f>IFERROR(VLOOKUP(Table1[RespondentID],'All Data'!$A$3:$CW$999,95,FALSE),"unknown")</f>
        <v>Graduate school</v>
      </c>
      <c r="Y412" s="120">
        <f>IFERROR(VLOOKUP(Table1[RespondentID],'All Data'!$A$3:$CW$999,96,FALSE),"unknown")</f>
        <v>0</v>
      </c>
      <c r="Z412" s="120">
        <f>IFERROR(VLOOKUP(Table1[RespondentID],'All Data'!$A$3:$CW$999,97,FALSE),"unknown")</f>
        <v>0</v>
      </c>
      <c r="AA412" s="120" t="str">
        <f>IFERROR(VLOOKUP(Table1[RespondentID],'All Data'!$A$3:$CW$999,98,FALSE),"unknown")</f>
        <v>Private/Commercial</v>
      </c>
      <c r="AB412" s="150" t="str">
        <f>IFERROR(VLOOKUP(Table1[RespondentID],'All Data'!$A$3:$CW$999,99,FALSE),"unknown")</f>
        <v>Yes</v>
      </c>
    </row>
    <row r="413" spans="1:28">
      <c r="A413" s="149">
        <v>114085842785</v>
      </c>
      <c r="B413" s="134" t="s">
        <v>64</v>
      </c>
      <c r="C413" s="135"/>
      <c r="D413" s="135"/>
      <c r="E413" s="135"/>
      <c r="F413" s="135"/>
      <c r="G413" s="135"/>
      <c r="H413" s="135"/>
      <c r="I413" s="135"/>
      <c r="J413" s="135"/>
      <c r="K413" s="135"/>
      <c r="L413" s="135"/>
      <c r="M413" s="135" t="s">
        <v>75</v>
      </c>
      <c r="N413" s="135"/>
      <c r="O413" s="149"/>
      <c r="P413" s="120" t="str">
        <f>IFERROR(VLOOKUP(Table1[RespondentID],'All Data'!$A$3:$CO$999,87,FALSE),"unknown")</f>
        <v>Woman</v>
      </c>
      <c r="Q413" s="120">
        <f>IFERROR(VLOOKUP(Table1[RespondentID],'All Data'!$A$3:$CO$999,88,FALSE),"unknown")</f>
        <v>0</v>
      </c>
      <c r="R413" s="120" t="str">
        <f>IFERROR(VLOOKUP(Table1[RespondentID],'All Data'!$A$3:$CO$999,89,FALSE),"unknown")</f>
        <v>Nassau</v>
      </c>
      <c r="S413" s="120" t="str">
        <f>IFERROR(VLOOKUP(Table1[RespondentID],'All Data'!$A$3:$CO$999,90,FALSE),"unknown")</f>
        <v>Bellmore, 11710</v>
      </c>
      <c r="T413" s="120">
        <f>IFERROR(VLOOKUP(Table1[RespondentID],'All Data'!$A$3:$CO$999,91,FALSE),"unknown")</f>
        <v>0</v>
      </c>
      <c r="U413" s="120" t="str">
        <f>IFERROR(VLOOKUP(Table1[RespondentID],'All Data'!$A$3:$CO$999,92,FALSE),"unknown")</f>
        <v>Not Hispanic or Latino</v>
      </c>
      <c r="V413" s="120" t="str">
        <f>IFERROR(VLOOKUP(Table1[RespondentID],'All Data'!$A$3:$CO$999,93,FALSE),"unknown")</f>
        <v>English</v>
      </c>
      <c r="W413" s="120" t="str">
        <f>IFERROR(VLOOKUP(Table1[RespondentID],'All Data'!$A$3:$CW$999,94,FALSE),"unknown")</f>
        <v>$75,000 to $125,000</v>
      </c>
      <c r="X413" s="120" t="str">
        <f>IFERROR(VLOOKUP(Table1[RespondentID],'All Data'!$A$3:$CW$999,95,FALSE),"unknown")</f>
        <v>High school graduate</v>
      </c>
      <c r="Y413" s="120">
        <f>IFERROR(VLOOKUP(Table1[RespondentID],'All Data'!$A$3:$CW$999,96,FALSE),"unknown")</f>
        <v>0</v>
      </c>
      <c r="Z413" s="120">
        <f>IFERROR(VLOOKUP(Table1[RespondentID],'All Data'!$A$3:$CW$999,97,FALSE),"unknown")</f>
        <v>0</v>
      </c>
      <c r="AA413" s="120" t="str">
        <f>IFERROR(VLOOKUP(Table1[RespondentID],'All Data'!$A$3:$CW$999,98,FALSE),"unknown")</f>
        <v>Private/Commercial</v>
      </c>
      <c r="AB413" s="150" t="str">
        <f>IFERROR(VLOOKUP(Table1[RespondentID],'All Data'!$A$3:$CW$999,99,FALSE),"unknown")</f>
        <v>Yes</v>
      </c>
    </row>
    <row r="414" spans="1:28">
      <c r="A414" s="149">
        <v>114085835907</v>
      </c>
      <c r="B414" s="134" t="s">
        <v>64</v>
      </c>
      <c r="C414" s="135"/>
      <c r="D414" s="135" t="s">
        <v>66</v>
      </c>
      <c r="E414" s="135"/>
      <c r="F414" s="135"/>
      <c r="G414" s="135" t="s">
        <v>69</v>
      </c>
      <c r="H414" s="135"/>
      <c r="I414" s="135"/>
      <c r="J414" s="135"/>
      <c r="K414" s="135"/>
      <c r="L414" s="135"/>
      <c r="M414" s="135" t="s">
        <v>75</v>
      </c>
      <c r="N414" s="135"/>
      <c r="O414" s="149"/>
      <c r="P414" s="120" t="str">
        <f>IFERROR(VLOOKUP(Table1[RespondentID],'All Data'!$A$3:$CO$999,87,FALSE),"unknown")</f>
        <v>Woman</v>
      </c>
      <c r="Q414" s="120">
        <f>IFERROR(VLOOKUP(Table1[RespondentID],'All Data'!$A$3:$CO$999,88,FALSE),"unknown")</f>
        <v>0</v>
      </c>
      <c r="R414" s="120" t="str">
        <f>IFERROR(VLOOKUP(Table1[RespondentID],'All Data'!$A$3:$CO$999,89,FALSE),"unknown")</f>
        <v>Nassau</v>
      </c>
      <c r="S414" s="120" t="str">
        <f>IFERROR(VLOOKUP(Table1[RespondentID],'All Data'!$A$3:$CO$999,90,FALSE),"unknown")</f>
        <v>Westbury, 11590</v>
      </c>
      <c r="T414" s="120">
        <f>IFERROR(VLOOKUP(Table1[RespondentID],'All Data'!$A$3:$CO$999,91,FALSE),"unknown")</f>
        <v>0</v>
      </c>
      <c r="U414" s="120" t="str">
        <f>IFERROR(VLOOKUP(Table1[RespondentID],'All Data'!$A$3:$CO$999,92,FALSE),"unknown")</f>
        <v>Not Hispanic or Latino</v>
      </c>
      <c r="V414" s="120" t="str">
        <f>IFERROR(VLOOKUP(Table1[RespondentID],'All Data'!$A$3:$CO$999,93,FALSE),"unknown")</f>
        <v>English</v>
      </c>
      <c r="W414" s="120" t="str">
        <f>IFERROR(VLOOKUP(Table1[RespondentID],'All Data'!$A$3:$CW$999,94,FALSE),"unknown")</f>
        <v>$50,000 to $74,999</v>
      </c>
      <c r="X414" s="120">
        <f>IFERROR(VLOOKUP(Table1[RespondentID],'All Data'!$A$3:$CW$999,95,FALSE),"unknown")</f>
        <v>0</v>
      </c>
      <c r="Y414" s="120">
        <f>IFERROR(VLOOKUP(Table1[RespondentID],'All Data'!$A$3:$CW$999,96,FALSE),"unknown")</f>
        <v>0</v>
      </c>
      <c r="Z414" s="120">
        <f>IFERROR(VLOOKUP(Table1[RespondentID],'All Data'!$A$3:$CW$999,97,FALSE),"unknown")</f>
        <v>0</v>
      </c>
      <c r="AA414" s="120" t="str">
        <f>IFERROR(VLOOKUP(Table1[RespondentID],'All Data'!$A$3:$CW$999,98,FALSE),"unknown")</f>
        <v>Private/Commercial</v>
      </c>
      <c r="AB414" s="150" t="str">
        <f>IFERROR(VLOOKUP(Table1[RespondentID],'All Data'!$A$3:$CW$999,99,FALSE),"unknown")</f>
        <v>Yes</v>
      </c>
    </row>
    <row r="415" spans="1:28">
      <c r="A415" s="149">
        <v>114085832464</v>
      </c>
      <c r="B415" s="134" t="s">
        <v>64</v>
      </c>
      <c r="C415" s="135"/>
      <c r="D415" s="135"/>
      <c r="E415" s="135"/>
      <c r="F415" s="135"/>
      <c r="G415" s="135"/>
      <c r="H415" s="135"/>
      <c r="I415" s="135"/>
      <c r="J415" s="135" t="s">
        <v>72</v>
      </c>
      <c r="K415" s="135" t="s">
        <v>73</v>
      </c>
      <c r="L415" s="135"/>
      <c r="M415" s="135" t="s">
        <v>75</v>
      </c>
      <c r="N415" s="135"/>
      <c r="O415" s="149"/>
      <c r="P415" s="120" t="str">
        <f>IFERROR(VLOOKUP(Table1[RespondentID],'All Data'!$A$3:$CO$999,87,FALSE),"unknown")</f>
        <v>Man</v>
      </c>
      <c r="Q415" s="120">
        <f>IFERROR(VLOOKUP(Table1[RespondentID],'All Data'!$A$3:$CO$999,88,FALSE),"unknown")</f>
        <v>0</v>
      </c>
      <c r="R415" s="120" t="str">
        <f>IFERROR(VLOOKUP(Table1[RespondentID],'All Data'!$A$3:$CO$999,89,FALSE),"unknown")</f>
        <v>Nassau</v>
      </c>
      <c r="S415" s="120" t="str">
        <f>IFERROR(VLOOKUP(Table1[RespondentID],'All Data'!$A$3:$CO$999,90,FALSE),"unknown")</f>
        <v>East Meadow, 11554</v>
      </c>
      <c r="T415" s="120">
        <f>IFERROR(VLOOKUP(Table1[RespondentID],'All Data'!$A$3:$CO$999,91,FALSE),"unknown")</f>
        <v>0</v>
      </c>
      <c r="U415" s="120" t="str">
        <f>IFERROR(VLOOKUP(Table1[RespondentID],'All Data'!$A$3:$CO$999,92,FALSE),"unknown")</f>
        <v>Not Hispanic or Latino</v>
      </c>
      <c r="V415" s="120" t="str">
        <f>IFERROR(VLOOKUP(Table1[RespondentID],'All Data'!$A$3:$CO$999,93,FALSE),"unknown")</f>
        <v>English</v>
      </c>
      <c r="W415" s="120" t="str">
        <f>IFERROR(VLOOKUP(Table1[RespondentID],'All Data'!$A$3:$CW$999,94,FALSE),"unknown")</f>
        <v>Over $125,000</v>
      </c>
      <c r="X415" s="120" t="str">
        <f>IFERROR(VLOOKUP(Table1[RespondentID],'All Data'!$A$3:$CW$999,95,FALSE),"unknown")</f>
        <v>Doctorate</v>
      </c>
      <c r="Y415" s="120">
        <f>IFERROR(VLOOKUP(Table1[RespondentID],'All Data'!$A$3:$CW$999,96,FALSE),"unknown")</f>
        <v>0</v>
      </c>
      <c r="Z415" s="120">
        <f>IFERROR(VLOOKUP(Table1[RespondentID],'All Data'!$A$3:$CW$999,97,FALSE),"unknown")</f>
        <v>0</v>
      </c>
      <c r="AA415" s="120" t="str">
        <f>IFERROR(VLOOKUP(Table1[RespondentID],'All Data'!$A$3:$CW$999,98,FALSE),"unknown")</f>
        <v>Medicare,Private/Commercial</v>
      </c>
      <c r="AB415" s="150" t="str">
        <f>IFERROR(VLOOKUP(Table1[RespondentID],'All Data'!$A$3:$CW$999,99,FALSE),"unknown")</f>
        <v>Yes</v>
      </c>
    </row>
    <row r="416" spans="1:28">
      <c r="A416" s="149">
        <v>114085828973</v>
      </c>
      <c r="B416" s="134" t="s">
        <v>64</v>
      </c>
      <c r="C416" s="135"/>
      <c r="D416" s="135"/>
      <c r="E416" s="135"/>
      <c r="F416" s="135"/>
      <c r="G416" s="135"/>
      <c r="H416" s="135"/>
      <c r="I416" s="135"/>
      <c r="J416" s="135"/>
      <c r="K416" s="135" t="s">
        <v>73</v>
      </c>
      <c r="L416" s="135"/>
      <c r="M416" s="135" t="s">
        <v>75</v>
      </c>
      <c r="N416" s="135"/>
      <c r="O416" s="149"/>
      <c r="P416" s="120" t="str">
        <f>IFERROR(VLOOKUP(Table1[RespondentID],'All Data'!$A$3:$CO$999,87,FALSE),"unknown")</f>
        <v>Woman</v>
      </c>
      <c r="Q416" s="120">
        <f>IFERROR(VLOOKUP(Table1[RespondentID],'All Data'!$A$3:$CO$999,88,FALSE),"unknown")</f>
        <v>0</v>
      </c>
      <c r="R416" s="120" t="str">
        <f>IFERROR(VLOOKUP(Table1[RespondentID],'All Data'!$A$3:$CO$999,89,FALSE),"unknown")</f>
        <v>Suffolk</v>
      </c>
      <c r="S416" s="120" t="str">
        <f>IFERROR(VLOOKUP(Table1[RespondentID],'All Data'!$A$3:$CO$999,90,FALSE),"unknown")</f>
        <v>Deer Park, 11729</v>
      </c>
      <c r="T416" s="120">
        <f>IFERROR(VLOOKUP(Table1[RespondentID],'All Data'!$A$3:$CO$999,91,FALSE),"unknown")</f>
        <v>0</v>
      </c>
      <c r="U416" s="120" t="str">
        <f>IFERROR(VLOOKUP(Table1[RespondentID],'All Data'!$A$3:$CO$999,92,FALSE),"unknown")</f>
        <v>Not Hispanic or Latino</v>
      </c>
      <c r="V416" s="120" t="str">
        <f>IFERROR(VLOOKUP(Table1[RespondentID],'All Data'!$A$3:$CO$999,93,FALSE),"unknown")</f>
        <v>English</v>
      </c>
      <c r="W416" s="120" t="str">
        <f>IFERROR(VLOOKUP(Table1[RespondentID],'All Data'!$A$3:$CW$999,94,FALSE),"unknown")</f>
        <v>$75,000 to $125,000</v>
      </c>
      <c r="X416" s="120" t="str">
        <f>IFERROR(VLOOKUP(Table1[RespondentID],'All Data'!$A$3:$CW$999,95,FALSE),"unknown")</f>
        <v>Graduate school</v>
      </c>
      <c r="Y416" s="120">
        <f>IFERROR(VLOOKUP(Table1[RespondentID],'All Data'!$A$3:$CW$999,96,FALSE),"unknown")</f>
        <v>0</v>
      </c>
      <c r="Z416" s="120">
        <f>IFERROR(VLOOKUP(Table1[RespondentID],'All Data'!$A$3:$CW$999,97,FALSE),"unknown")</f>
        <v>0</v>
      </c>
      <c r="AA416" s="120" t="str">
        <f>IFERROR(VLOOKUP(Table1[RespondentID],'All Data'!$A$3:$CW$999,98,FALSE),"unknown")</f>
        <v>Private/Commercial</v>
      </c>
      <c r="AB416" s="150" t="str">
        <f>IFERROR(VLOOKUP(Table1[RespondentID],'All Data'!$A$3:$CW$999,99,FALSE),"unknown")</f>
        <v>Yes</v>
      </c>
    </row>
    <row r="417" spans="1:28">
      <c r="A417" s="149">
        <v>114085827353</v>
      </c>
      <c r="B417" s="134" t="s">
        <v>64</v>
      </c>
      <c r="C417" s="135"/>
      <c r="D417" s="135"/>
      <c r="E417" s="135"/>
      <c r="F417" s="135"/>
      <c r="G417" s="135"/>
      <c r="H417" s="135"/>
      <c r="I417" s="135"/>
      <c r="J417" s="135"/>
      <c r="K417" s="135"/>
      <c r="L417" s="135"/>
      <c r="M417" s="135"/>
      <c r="N417" s="135"/>
      <c r="O417" s="149"/>
      <c r="P417" s="120" t="str">
        <f>IFERROR(VLOOKUP(Table1[RespondentID],'All Data'!$A$3:$CO$999,87,FALSE),"unknown")</f>
        <v>Man</v>
      </c>
      <c r="Q417" s="120">
        <f>IFERROR(VLOOKUP(Table1[RespondentID],'All Data'!$A$3:$CO$999,88,FALSE),"unknown")</f>
        <v>0</v>
      </c>
      <c r="R417" s="120" t="str">
        <f>IFERROR(VLOOKUP(Table1[RespondentID],'All Data'!$A$3:$CO$999,89,FALSE),"unknown")</f>
        <v>Nassau</v>
      </c>
      <c r="S417" s="120" t="str">
        <f>IFERROR(VLOOKUP(Table1[RespondentID],'All Data'!$A$3:$CO$999,90,FALSE),"unknown")</f>
        <v>Massapequa, 11758</v>
      </c>
      <c r="T417" s="120">
        <f>IFERROR(VLOOKUP(Table1[RespondentID],'All Data'!$A$3:$CO$999,91,FALSE),"unknown")</f>
        <v>0</v>
      </c>
      <c r="U417" s="120" t="str">
        <f>IFERROR(VLOOKUP(Table1[RespondentID],'All Data'!$A$3:$CO$999,92,FALSE),"unknown")</f>
        <v>Not Hispanic or Latino</v>
      </c>
      <c r="V417" s="120" t="str">
        <f>IFERROR(VLOOKUP(Table1[RespondentID],'All Data'!$A$3:$CO$999,93,FALSE),"unknown")</f>
        <v>English</v>
      </c>
      <c r="W417" s="120" t="str">
        <f>IFERROR(VLOOKUP(Table1[RespondentID],'All Data'!$A$3:$CW$999,94,FALSE),"unknown")</f>
        <v>Over $125,000</v>
      </c>
      <c r="X417" s="120" t="str">
        <f>IFERROR(VLOOKUP(Table1[RespondentID],'All Data'!$A$3:$CW$999,95,FALSE),"unknown")</f>
        <v>Doctorate</v>
      </c>
      <c r="Y417" s="120">
        <f>IFERROR(VLOOKUP(Table1[RespondentID],'All Data'!$A$3:$CW$999,96,FALSE),"unknown")</f>
        <v>0</v>
      </c>
      <c r="Z417" s="120">
        <f>IFERROR(VLOOKUP(Table1[RespondentID],'All Data'!$A$3:$CW$999,97,FALSE),"unknown")</f>
        <v>0</v>
      </c>
      <c r="AA417" s="120" t="str">
        <f>IFERROR(VLOOKUP(Table1[RespondentID],'All Data'!$A$3:$CW$999,98,FALSE),"unknown")</f>
        <v>Private/Commercial</v>
      </c>
      <c r="AB417" s="150" t="str">
        <f>IFERROR(VLOOKUP(Table1[RespondentID],'All Data'!$A$3:$CW$999,99,FALSE),"unknown")</f>
        <v>Yes</v>
      </c>
    </row>
    <row r="418" spans="1:28">
      <c r="A418" s="149">
        <v>114085823569</v>
      </c>
      <c r="B418" s="134" t="s">
        <v>64</v>
      </c>
      <c r="C418" s="135"/>
      <c r="D418" s="135"/>
      <c r="E418" s="135"/>
      <c r="F418" s="135" t="s">
        <v>68</v>
      </c>
      <c r="G418" s="135" t="s">
        <v>69</v>
      </c>
      <c r="H418" s="135"/>
      <c r="I418" s="135" t="s">
        <v>71</v>
      </c>
      <c r="J418" s="135"/>
      <c r="K418" s="135"/>
      <c r="L418" s="135"/>
      <c r="M418" s="135" t="s">
        <v>75</v>
      </c>
      <c r="N418" s="135"/>
      <c r="O418" s="149"/>
      <c r="P418" s="120" t="str">
        <f>IFERROR(VLOOKUP(Table1[RespondentID],'All Data'!$A$3:$CO$999,87,FALSE),"unknown")</f>
        <v>Woman</v>
      </c>
      <c r="Q418" s="120">
        <f>IFERROR(VLOOKUP(Table1[RespondentID],'All Data'!$A$3:$CO$999,88,FALSE),"unknown")</f>
        <v>0</v>
      </c>
      <c r="R418" s="120" t="str">
        <f>IFERROR(VLOOKUP(Table1[RespondentID],'All Data'!$A$3:$CO$999,89,FALSE),"unknown")</f>
        <v>Suffolk</v>
      </c>
      <c r="S418" s="120" t="str">
        <f>IFERROR(VLOOKUP(Table1[RespondentID],'All Data'!$A$3:$CO$999,90,FALSE),"unknown")</f>
        <v>Deer Park, 11729</v>
      </c>
      <c r="T418" s="120">
        <f>IFERROR(VLOOKUP(Table1[RespondentID],'All Data'!$A$3:$CO$999,91,FALSE),"unknown")</f>
        <v>0</v>
      </c>
      <c r="U418" s="120" t="str">
        <f>IFERROR(VLOOKUP(Table1[RespondentID],'All Data'!$A$3:$CO$999,92,FALSE),"unknown")</f>
        <v>Not Hispanic or Latino</v>
      </c>
      <c r="V418" s="120" t="str">
        <f>IFERROR(VLOOKUP(Table1[RespondentID],'All Data'!$A$3:$CO$999,93,FALSE),"unknown")</f>
        <v>English</v>
      </c>
      <c r="W418" s="120" t="str">
        <f>IFERROR(VLOOKUP(Table1[RespondentID],'All Data'!$A$3:$CW$999,94,FALSE),"unknown")</f>
        <v>Over $125,000</v>
      </c>
      <c r="X418" s="120" t="str">
        <f>IFERROR(VLOOKUP(Table1[RespondentID],'All Data'!$A$3:$CW$999,95,FALSE),"unknown")</f>
        <v>College graduate</v>
      </c>
      <c r="Y418" s="120">
        <f>IFERROR(VLOOKUP(Table1[RespondentID],'All Data'!$A$3:$CW$999,96,FALSE),"unknown")</f>
        <v>0</v>
      </c>
      <c r="Z418" s="120">
        <f>IFERROR(VLOOKUP(Table1[RespondentID],'All Data'!$A$3:$CW$999,97,FALSE),"unknown")</f>
        <v>0</v>
      </c>
      <c r="AA418" s="120" t="str">
        <f>IFERROR(VLOOKUP(Table1[RespondentID],'All Data'!$A$3:$CW$999,98,FALSE),"unknown")</f>
        <v>Private/Commercial</v>
      </c>
      <c r="AB418" s="150" t="str">
        <f>IFERROR(VLOOKUP(Table1[RespondentID],'All Data'!$A$3:$CW$999,99,FALSE),"unknown")</f>
        <v>Yes</v>
      </c>
    </row>
    <row r="419" spans="1:28">
      <c r="A419" s="149">
        <v>114085822022</v>
      </c>
      <c r="B419" s="134" t="s">
        <v>64</v>
      </c>
      <c r="C419" s="135"/>
      <c r="D419" s="135"/>
      <c r="E419" s="135"/>
      <c r="F419" s="135"/>
      <c r="G419" s="135"/>
      <c r="H419" s="135"/>
      <c r="I419" s="135"/>
      <c r="J419" s="135"/>
      <c r="K419" s="135"/>
      <c r="L419" s="135"/>
      <c r="M419" s="135" t="s">
        <v>75</v>
      </c>
      <c r="N419" s="135"/>
      <c r="O419" s="149"/>
      <c r="P419" s="120" t="str">
        <f>IFERROR(VLOOKUP(Table1[RespondentID],'All Data'!$A$3:$CO$999,87,FALSE),"unknown")</f>
        <v>Woman</v>
      </c>
      <c r="Q419" s="120">
        <f>IFERROR(VLOOKUP(Table1[RespondentID],'All Data'!$A$3:$CO$999,88,FALSE),"unknown")</f>
        <v>0</v>
      </c>
      <c r="R419" s="120" t="str">
        <f>IFERROR(VLOOKUP(Table1[RespondentID],'All Data'!$A$3:$CO$999,89,FALSE),"unknown")</f>
        <v>Nassau</v>
      </c>
      <c r="S419" s="120" t="str">
        <f>IFERROR(VLOOKUP(Table1[RespondentID],'All Data'!$A$3:$CO$999,90,FALSE),"unknown")</f>
        <v>Bethpage, 11714</v>
      </c>
      <c r="T419" s="120">
        <f>IFERROR(VLOOKUP(Table1[RespondentID],'All Data'!$A$3:$CO$999,91,FALSE),"unknown")</f>
        <v>0</v>
      </c>
      <c r="U419" s="120" t="str">
        <f>IFERROR(VLOOKUP(Table1[RespondentID],'All Data'!$A$3:$CO$999,92,FALSE),"unknown")</f>
        <v>Not Hispanic or Latino</v>
      </c>
      <c r="V419" s="120" t="str">
        <f>IFERROR(VLOOKUP(Table1[RespondentID],'All Data'!$A$3:$CO$999,93,FALSE),"unknown")</f>
        <v>English</v>
      </c>
      <c r="W419" s="120" t="str">
        <f>IFERROR(VLOOKUP(Table1[RespondentID],'All Data'!$A$3:$CW$999,94,FALSE),"unknown")</f>
        <v>$75,000 to $125,000</v>
      </c>
      <c r="X419" s="120" t="str">
        <f>IFERROR(VLOOKUP(Table1[RespondentID],'All Data'!$A$3:$CW$999,95,FALSE),"unknown")</f>
        <v>College graduate</v>
      </c>
      <c r="Y419" s="120">
        <f>IFERROR(VLOOKUP(Table1[RespondentID],'All Data'!$A$3:$CW$999,96,FALSE),"unknown")</f>
        <v>0</v>
      </c>
      <c r="Z419" s="120">
        <f>IFERROR(VLOOKUP(Table1[RespondentID],'All Data'!$A$3:$CW$999,97,FALSE),"unknown")</f>
        <v>0</v>
      </c>
      <c r="AA419" s="120" t="str">
        <f>IFERROR(VLOOKUP(Table1[RespondentID],'All Data'!$A$3:$CW$999,98,FALSE),"unknown")</f>
        <v>Private/Commercial</v>
      </c>
      <c r="AB419" s="150" t="str">
        <f>IFERROR(VLOOKUP(Table1[RespondentID],'All Data'!$A$3:$CW$999,99,FALSE),"unknown")</f>
        <v>Yes</v>
      </c>
    </row>
    <row r="420" spans="1:28">
      <c r="A420" s="149">
        <v>114085818088</v>
      </c>
      <c r="B420" s="134" t="s">
        <v>64</v>
      </c>
      <c r="C420" s="135"/>
      <c r="D420" s="135"/>
      <c r="E420" s="135"/>
      <c r="F420" s="135"/>
      <c r="G420" s="135"/>
      <c r="H420" s="135"/>
      <c r="I420" s="135"/>
      <c r="J420" s="135" t="s">
        <v>72</v>
      </c>
      <c r="K420" s="135"/>
      <c r="L420" s="135"/>
      <c r="M420" s="135" t="s">
        <v>75</v>
      </c>
      <c r="N420" s="135"/>
      <c r="O420" s="149"/>
      <c r="P420" s="120" t="str">
        <f>IFERROR(VLOOKUP(Table1[RespondentID],'All Data'!$A$3:$CO$999,87,FALSE),"unknown")</f>
        <v>Woman</v>
      </c>
      <c r="Q420" s="120">
        <f>IFERROR(VLOOKUP(Table1[RespondentID],'All Data'!$A$3:$CO$999,88,FALSE),"unknown")</f>
        <v>0</v>
      </c>
      <c r="R420" s="120" t="str">
        <f>IFERROR(VLOOKUP(Table1[RespondentID],'All Data'!$A$3:$CO$999,89,FALSE),"unknown")</f>
        <v>Nassau</v>
      </c>
      <c r="S420" s="120" t="str">
        <f>IFERROR(VLOOKUP(Table1[RespondentID],'All Data'!$A$3:$CO$999,90,FALSE),"unknown")</f>
        <v>New Hyde Park, 11040</v>
      </c>
      <c r="T420" s="120">
        <f>IFERROR(VLOOKUP(Table1[RespondentID],'All Data'!$A$3:$CO$999,91,FALSE),"unknown")</f>
        <v>0</v>
      </c>
      <c r="U420" s="120" t="str">
        <f>IFERROR(VLOOKUP(Table1[RespondentID],'All Data'!$A$3:$CO$999,92,FALSE),"unknown")</f>
        <v>Not Hispanic or Latino</v>
      </c>
      <c r="V420" s="120" t="str">
        <f>IFERROR(VLOOKUP(Table1[RespondentID],'All Data'!$A$3:$CO$999,93,FALSE),"unknown")</f>
        <v>English</v>
      </c>
      <c r="W420" s="120" t="str">
        <f>IFERROR(VLOOKUP(Table1[RespondentID],'All Data'!$A$3:$CW$999,94,FALSE),"unknown")</f>
        <v>Over $125,000</v>
      </c>
      <c r="X420" s="120" t="str">
        <f>IFERROR(VLOOKUP(Table1[RespondentID],'All Data'!$A$3:$CW$999,95,FALSE),"unknown")</f>
        <v>Graduate school</v>
      </c>
      <c r="Y420" s="120">
        <f>IFERROR(VLOOKUP(Table1[RespondentID],'All Data'!$A$3:$CW$999,96,FALSE),"unknown")</f>
        <v>0</v>
      </c>
      <c r="Z420" s="120">
        <f>IFERROR(VLOOKUP(Table1[RespondentID],'All Data'!$A$3:$CW$999,97,FALSE),"unknown")</f>
        <v>0</v>
      </c>
      <c r="AA420" s="120" t="str">
        <f>IFERROR(VLOOKUP(Table1[RespondentID],'All Data'!$A$3:$CW$999,98,FALSE),"unknown")</f>
        <v>Medicare,Private/Commercial</v>
      </c>
      <c r="AB420" s="150" t="str">
        <f>IFERROR(VLOOKUP(Table1[RespondentID],'All Data'!$A$3:$CW$999,99,FALSE),"unknown")</f>
        <v>Yes</v>
      </c>
    </row>
    <row r="421" spans="1:28">
      <c r="A421" s="149">
        <v>114085818365</v>
      </c>
      <c r="B421" s="134" t="s">
        <v>64</v>
      </c>
      <c r="C421" s="135"/>
      <c r="D421" s="135" t="s">
        <v>66</v>
      </c>
      <c r="E421" s="135" t="s">
        <v>67</v>
      </c>
      <c r="F421" s="135"/>
      <c r="G421" s="135" t="s">
        <v>69</v>
      </c>
      <c r="H421" s="135" t="s">
        <v>70</v>
      </c>
      <c r="I421" s="135"/>
      <c r="J421" s="135"/>
      <c r="K421" s="135"/>
      <c r="L421" s="135"/>
      <c r="M421" s="135" t="s">
        <v>75</v>
      </c>
      <c r="N421" s="135" t="s">
        <v>76</v>
      </c>
      <c r="O421" s="149"/>
      <c r="P421" s="120" t="str">
        <f>IFERROR(VLOOKUP(Table1[RespondentID],'All Data'!$A$3:$CO$999,87,FALSE),"unknown")</f>
        <v>Woman</v>
      </c>
      <c r="Q421" s="120">
        <f>IFERROR(VLOOKUP(Table1[RespondentID],'All Data'!$A$3:$CO$999,88,FALSE),"unknown")</f>
        <v>0</v>
      </c>
      <c r="R421" s="120" t="str">
        <f>IFERROR(VLOOKUP(Table1[RespondentID],'All Data'!$A$3:$CO$999,89,FALSE),"unknown")</f>
        <v>Suffolk</v>
      </c>
      <c r="S421" s="120" t="str">
        <f>IFERROR(VLOOKUP(Table1[RespondentID],'All Data'!$A$3:$CO$999,90,FALSE),"unknown")</f>
        <v>Lake Grove, 11755</v>
      </c>
      <c r="T421" s="120">
        <f>IFERROR(VLOOKUP(Table1[RespondentID],'All Data'!$A$3:$CO$999,91,FALSE),"unknown")</f>
        <v>0</v>
      </c>
      <c r="U421" s="120" t="str">
        <f>IFERROR(VLOOKUP(Table1[RespondentID],'All Data'!$A$3:$CO$999,92,FALSE),"unknown")</f>
        <v>Not Hispanic or Latino</v>
      </c>
      <c r="V421" s="120" t="str">
        <f>IFERROR(VLOOKUP(Table1[RespondentID],'All Data'!$A$3:$CO$999,93,FALSE),"unknown")</f>
        <v>English</v>
      </c>
      <c r="W421" s="120" t="str">
        <f>IFERROR(VLOOKUP(Table1[RespondentID],'All Data'!$A$3:$CW$999,94,FALSE),"unknown")</f>
        <v>Over $125,000</v>
      </c>
      <c r="X421" s="120" t="str">
        <f>IFERROR(VLOOKUP(Table1[RespondentID],'All Data'!$A$3:$CW$999,95,FALSE),"unknown")</f>
        <v>College graduate</v>
      </c>
      <c r="Y421" s="120">
        <f>IFERROR(VLOOKUP(Table1[RespondentID],'All Data'!$A$3:$CW$999,96,FALSE),"unknown")</f>
        <v>0</v>
      </c>
      <c r="Z421" s="120">
        <f>IFERROR(VLOOKUP(Table1[RespondentID],'All Data'!$A$3:$CW$999,97,FALSE),"unknown")</f>
        <v>0</v>
      </c>
      <c r="AA421" s="120" t="str">
        <f>IFERROR(VLOOKUP(Table1[RespondentID],'All Data'!$A$3:$CW$999,98,FALSE),"unknown")</f>
        <v>Private/Commercial</v>
      </c>
      <c r="AB421" s="150" t="str">
        <f>IFERROR(VLOOKUP(Table1[RespondentID],'All Data'!$A$3:$CW$999,99,FALSE),"unknown")</f>
        <v>Yes</v>
      </c>
    </row>
    <row r="422" spans="1:28">
      <c r="A422" s="149">
        <v>114085818190</v>
      </c>
      <c r="B422" s="134" t="s">
        <v>64</v>
      </c>
      <c r="C422" s="135"/>
      <c r="D422" s="135"/>
      <c r="E422" s="135"/>
      <c r="F422" s="135"/>
      <c r="G422" s="135"/>
      <c r="H422" s="135"/>
      <c r="I422" s="135"/>
      <c r="J422" s="135"/>
      <c r="K422" s="135"/>
      <c r="L422" s="135"/>
      <c r="M422" s="135" t="s">
        <v>75</v>
      </c>
      <c r="N422" s="135"/>
      <c r="O422" s="149"/>
      <c r="P422" s="120" t="str">
        <f>IFERROR(VLOOKUP(Table1[RespondentID],'All Data'!$A$3:$CO$999,87,FALSE),"unknown")</f>
        <v>Man</v>
      </c>
      <c r="Q422" s="120">
        <f>IFERROR(VLOOKUP(Table1[RespondentID],'All Data'!$A$3:$CO$999,88,FALSE),"unknown")</f>
        <v>0</v>
      </c>
      <c r="R422" s="120" t="str">
        <f>IFERROR(VLOOKUP(Table1[RespondentID],'All Data'!$A$3:$CO$999,89,FALSE),"unknown")</f>
        <v>Nassau</v>
      </c>
      <c r="S422" s="120" t="str">
        <f>IFERROR(VLOOKUP(Table1[RespondentID],'All Data'!$A$3:$CO$999,90,FALSE),"unknown")</f>
        <v>Jericho, 11753</v>
      </c>
      <c r="T422" s="120">
        <f>IFERROR(VLOOKUP(Table1[RespondentID],'All Data'!$A$3:$CO$999,91,FALSE),"unknown")</f>
        <v>0</v>
      </c>
      <c r="U422" s="120" t="str">
        <f>IFERROR(VLOOKUP(Table1[RespondentID],'All Data'!$A$3:$CO$999,92,FALSE),"unknown")</f>
        <v>Not Hispanic or Latino</v>
      </c>
      <c r="V422" s="120" t="str">
        <f>IFERROR(VLOOKUP(Table1[RespondentID],'All Data'!$A$3:$CO$999,93,FALSE),"unknown")</f>
        <v>English</v>
      </c>
      <c r="W422" s="120" t="str">
        <f>IFERROR(VLOOKUP(Table1[RespondentID],'All Data'!$A$3:$CW$999,94,FALSE),"unknown")</f>
        <v>Over $125,000</v>
      </c>
      <c r="X422" s="120" t="str">
        <f>IFERROR(VLOOKUP(Table1[RespondentID],'All Data'!$A$3:$CW$999,95,FALSE),"unknown")</f>
        <v>Doctorate</v>
      </c>
      <c r="Y422" s="120">
        <f>IFERROR(VLOOKUP(Table1[RespondentID],'All Data'!$A$3:$CW$999,96,FALSE),"unknown")</f>
        <v>0</v>
      </c>
      <c r="Z422" s="120">
        <f>IFERROR(VLOOKUP(Table1[RespondentID],'All Data'!$A$3:$CW$999,97,FALSE),"unknown")</f>
        <v>0</v>
      </c>
      <c r="AA422" s="120" t="str">
        <f>IFERROR(VLOOKUP(Table1[RespondentID],'All Data'!$A$3:$CW$999,98,FALSE),"unknown")</f>
        <v>Private/Commercial</v>
      </c>
      <c r="AB422" s="150" t="str">
        <f>IFERROR(VLOOKUP(Table1[RespondentID],'All Data'!$A$3:$CW$999,99,FALSE),"unknown")</f>
        <v>Yes</v>
      </c>
    </row>
    <row r="423" spans="1:28">
      <c r="A423" s="149">
        <v>114085817474</v>
      </c>
      <c r="B423" s="134" t="s">
        <v>64</v>
      </c>
      <c r="C423" s="135"/>
      <c r="D423" s="135"/>
      <c r="E423" s="135"/>
      <c r="F423" s="135"/>
      <c r="G423" s="135"/>
      <c r="H423" s="135"/>
      <c r="I423" s="135"/>
      <c r="J423" s="135"/>
      <c r="K423" s="135"/>
      <c r="L423" s="135"/>
      <c r="M423" s="135"/>
      <c r="N423" s="135"/>
      <c r="O423" s="149"/>
      <c r="P423" s="120" t="str">
        <f>IFERROR(VLOOKUP(Table1[RespondentID],'All Data'!$A$3:$CO$999,87,FALSE),"unknown")</f>
        <v>Woman</v>
      </c>
      <c r="Q423" s="120">
        <f>IFERROR(VLOOKUP(Table1[RespondentID],'All Data'!$A$3:$CO$999,88,FALSE),"unknown")</f>
        <v>0</v>
      </c>
      <c r="R423" s="120" t="str">
        <f>IFERROR(VLOOKUP(Table1[RespondentID],'All Data'!$A$3:$CO$999,89,FALSE),"unknown")</f>
        <v>Nassau</v>
      </c>
      <c r="S423" s="120" t="str">
        <f>IFERROR(VLOOKUP(Table1[RespondentID],'All Data'!$A$3:$CO$999,90,FALSE),"unknown")</f>
        <v>Long Beach, 11561</v>
      </c>
      <c r="T423" s="120">
        <f>IFERROR(VLOOKUP(Table1[RespondentID],'All Data'!$A$3:$CO$999,91,FALSE),"unknown")</f>
        <v>0</v>
      </c>
      <c r="U423" s="120" t="str">
        <f>IFERROR(VLOOKUP(Table1[RespondentID],'All Data'!$A$3:$CO$999,92,FALSE),"unknown")</f>
        <v>Hispanic or Latino</v>
      </c>
      <c r="V423" s="120" t="str">
        <f>IFERROR(VLOOKUP(Table1[RespondentID],'All Data'!$A$3:$CO$999,93,FALSE),"unknown")</f>
        <v>English</v>
      </c>
      <c r="W423" s="120" t="str">
        <f>IFERROR(VLOOKUP(Table1[RespondentID],'All Data'!$A$3:$CW$999,94,FALSE),"unknown")</f>
        <v>$50,000 to $74,999</v>
      </c>
      <c r="X423" s="120" t="str">
        <f>IFERROR(VLOOKUP(Table1[RespondentID],'All Data'!$A$3:$CW$999,95,FALSE),"unknown")</f>
        <v>College graduate</v>
      </c>
      <c r="Y423" s="120">
        <f>IFERROR(VLOOKUP(Table1[RespondentID],'All Data'!$A$3:$CW$999,96,FALSE),"unknown")</f>
        <v>0</v>
      </c>
      <c r="Z423" s="120">
        <f>IFERROR(VLOOKUP(Table1[RespondentID],'All Data'!$A$3:$CW$999,97,FALSE),"unknown")</f>
        <v>0</v>
      </c>
      <c r="AA423" s="120" t="str">
        <f>IFERROR(VLOOKUP(Table1[RespondentID],'All Data'!$A$3:$CW$999,98,FALSE),"unknown")</f>
        <v>Private/Commercial</v>
      </c>
      <c r="AB423" s="150" t="str">
        <f>IFERROR(VLOOKUP(Table1[RespondentID],'All Data'!$A$3:$CW$999,99,FALSE),"unknown")</f>
        <v>Yes</v>
      </c>
    </row>
    <row r="424" spans="1:28">
      <c r="A424" s="149">
        <v>114085817457</v>
      </c>
      <c r="B424" s="134"/>
      <c r="C424" s="135"/>
      <c r="D424" s="135"/>
      <c r="E424" s="135" t="s">
        <v>67</v>
      </c>
      <c r="F424" s="135" t="s">
        <v>68</v>
      </c>
      <c r="G424" s="135" t="s">
        <v>69</v>
      </c>
      <c r="H424" s="135"/>
      <c r="I424" s="135"/>
      <c r="J424" s="135"/>
      <c r="K424" s="135"/>
      <c r="L424" s="135"/>
      <c r="M424" s="135" t="s">
        <v>75</v>
      </c>
      <c r="N424" s="135"/>
      <c r="O424" s="149"/>
      <c r="P424" s="120" t="str">
        <f>IFERROR(VLOOKUP(Table1[RespondentID],'All Data'!$A$3:$CO$999,87,FALSE),"unknown")</f>
        <v>Woman</v>
      </c>
      <c r="Q424" s="120">
        <f>IFERROR(VLOOKUP(Table1[RespondentID],'All Data'!$A$3:$CO$999,88,FALSE),"unknown")</f>
        <v>0</v>
      </c>
      <c r="R424" s="120" t="str">
        <f>IFERROR(VLOOKUP(Table1[RespondentID],'All Data'!$A$3:$CO$999,89,FALSE),"unknown")</f>
        <v>Nassau</v>
      </c>
      <c r="S424" s="120" t="str">
        <f>IFERROR(VLOOKUP(Table1[RespondentID],'All Data'!$A$3:$CO$999,90,FALSE),"unknown")</f>
        <v>Uniondale, 11553</v>
      </c>
      <c r="T424" s="120">
        <f>IFERROR(VLOOKUP(Table1[RespondentID],'All Data'!$A$3:$CO$999,91,FALSE),"unknown")</f>
        <v>0</v>
      </c>
      <c r="U424" s="120" t="str">
        <f>IFERROR(VLOOKUP(Table1[RespondentID],'All Data'!$A$3:$CO$999,92,FALSE),"unknown")</f>
        <v>Not Hispanic or Latino</v>
      </c>
      <c r="V424" s="120" t="str">
        <f>IFERROR(VLOOKUP(Table1[RespondentID],'All Data'!$A$3:$CO$999,93,FALSE),"unknown")</f>
        <v>English</v>
      </c>
      <c r="W424" s="120" t="str">
        <f>IFERROR(VLOOKUP(Table1[RespondentID],'All Data'!$A$3:$CW$999,94,FALSE),"unknown")</f>
        <v>$35,000 to $49,999</v>
      </c>
      <c r="X424" s="120" t="str">
        <f>IFERROR(VLOOKUP(Table1[RespondentID],'All Data'!$A$3:$CW$999,95,FALSE),"unknown")</f>
        <v>Some college</v>
      </c>
      <c r="Y424" s="120">
        <f>IFERROR(VLOOKUP(Table1[RespondentID],'All Data'!$A$3:$CW$999,96,FALSE),"unknown")</f>
        <v>0</v>
      </c>
      <c r="Z424" s="120">
        <f>IFERROR(VLOOKUP(Table1[RespondentID],'All Data'!$A$3:$CW$999,97,FALSE),"unknown")</f>
        <v>0</v>
      </c>
      <c r="AA424" s="120" t="str">
        <f>IFERROR(VLOOKUP(Table1[RespondentID],'All Data'!$A$3:$CW$999,98,FALSE),"unknown")</f>
        <v>Private/Commercial</v>
      </c>
      <c r="AB424" s="150" t="str">
        <f>IFERROR(VLOOKUP(Table1[RespondentID],'All Data'!$A$3:$CW$999,99,FALSE),"unknown")</f>
        <v>Yes</v>
      </c>
    </row>
    <row r="425" spans="1:28">
      <c r="A425" s="149">
        <v>114085817331</v>
      </c>
      <c r="B425" s="134"/>
      <c r="C425" s="135"/>
      <c r="D425" s="135"/>
      <c r="E425" s="135"/>
      <c r="F425" s="135"/>
      <c r="G425" s="135"/>
      <c r="H425" s="135"/>
      <c r="I425" s="135"/>
      <c r="J425" s="135" t="s">
        <v>72</v>
      </c>
      <c r="K425" s="135" t="s">
        <v>73</v>
      </c>
      <c r="L425" s="135"/>
      <c r="M425" s="135"/>
      <c r="N425" s="135"/>
      <c r="O425" s="149"/>
      <c r="P425" s="120" t="str">
        <f>IFERROR(VLOOKUP(Table1[RespondentID],'All Data'!$A$3:$CO$999,87,FALSE),"unknown")</f>
        <v>Woman</v>
      </c>
      <c r="Q425" s="120">
        <f>IFERROR(VLOOKUP(Table1[RespondentID],'All Data'!$A$3:$CO$999,88,FALSE),"unknown")</f>
        <v>0</v>
      </c>
      <c r="R425" s="120" t="str">
        <f>IFERROR(VLOOKUP(Table1[RespondentID],'All Data'!$A$3:$CO$999,89,FALSE),"unknown")</f>
        <v>Nassau</v>
      </c>
      <c r="S425" s="120" t="str">
        <f>IFERROR(VLOOKUP(Table1[RespondentID],'All Data'!$A$3:$CO$999,90,FALSE),"unknown")</f>
        <v>Plainview, 11803</v>
      </c>
      <c r="T425" s="120">
        <f>IFERROR(VLOOKUP(Table1[RespondentID],'All Data'!$A$3:$CO$999,91,FALSE),"unknown")</f>
        <v>0</v>
      </c>
      <c r="U425" s="120" t="str">
        <f>IFERROR(VLOOKUP(Table1[RespondentID],'All Data'!$A$3:$CO$999,92,FALSE),"unknown")</f>
        <v>Not Hispanic or Latino</v>
      </c>
      <c r="V425" s="120" t="str">
        <f>IFERROR(VLOOKUP(Table1[RespondentID],'All Data'!$A$3:$CO$999,93,FALSE),"unknown")</f>
        <v>English</v>
      </c>
      <c r="W425" s="120" t="str">
        <f>IFERROR(VLOOKUP(Table1[RespondentID],'All Data'!$A$3:$CW$999,94,FALSE),"unknown")</f>
        <v>Over $125,000</v>
      </c>
      <c r="X425" s="120" t="str">
        <f>IFERROR(VLOOKUP(Table1[RespondentID],'All Data'!$A$3:$CW$999,95,FALSE),"unknown")</f>
        <v>Graduate school</v>
      </c>
      <c r="Y425" s="120">
        <f>IFERROR(VLOOKUP(Table1[RespondentID],'All Data'!$A$3:$CW$999,96,FALSE),"unknown")</f>
        <v>0</v>
      </c>
      <c r="Z425" s="120">
        <f>IFERROR(VLOOKUP(Table1[RespondentID],'All Data'!$A$3:$CW$999,97,FALSE),"unknown")</f>
        <v>0</v>
      </c>
      <c r="AA425" s="120" t="str">
        <f>IFERROR(VLOOKUP(Table1[RespondentID],'All Data'!$A$3:$CW$999,98,FALSE),"unknown")</f>
        <v>Private/Commercial</v>
      </c>
      <c r="AB425" s="150" t="str">
        <f>IFERROR(VLOOKUP(Table1[RespondentID],'All Data'!$A$3:$CW$999,99,FALSE),"unknown")</f>
        <v>Yes</v>
      </c>
    </row>
    <row r="426" spans="1:28">
      <c r="A426" s="149">
        <v>114085816678</v>
      </c>
      <c r="B426" s="134" t="s">
        <v>64</v>
      </c>
      <c r="C426" s="135"/>
      <c r="D426" s="135"/>
      <c r="E426" s="135"/>
      <c r="F426" s="135"/>
      <c r="G426" s="135"/>
      <c r="H426" s="135"/>
      <c r="I426" s="135"/>
      <c r="J426" s="135"/>
      <c r="K426" s="135"/>
      <c r="L426" s="135"/>
      <c r="M426" s="135"/>
      <c r="N426" s="135"/>
      <c r="O426" s="149"/>
      <c r="P426" s="120" t="str">
        <f>IFERROR(VLOOKUP(Table1[RespondentID],'All Data'!$A$3:$CO$999,87,FALSE),"unknown")</f>
        <v>Woman</v>
      </c>
      <c r="Q426" s="120">
        <f>IFERROR(VLOOKUP(Table1[RespondentID],'All Data'!$A$3:$CO$999,88,FALSE),"unknown")</f>
        <v>0</v>
      </c>
      <c r="R426" s="120" t="str">
        <f>IFERROR(VLOOKUP(Table1[RespondentID],'All Data'!$A$3:$CO$999,89,FALSE),"unknown")</f>
        <v>Nassau</v>
      </c>
      <c r="S426" s="120" t="str">
        <f>IFERROR(VLOOKUP(Table1[RespondentID],'All Data'!$A$3:$CO$999,90,FALSE),"unknown")</f>
        <v>Malverne, 11565</v>
      </c>
      <c r="T426" s="120">
        <f>IFERROR(VLOOKUP(Table1[RespondentID],'All Data'!$A$3:$CO$999,91,FALSE),"unknown")</f>
        <v>0</v>
      </c>
      <c r="U426" s="120" t="str">
        <f>IFERROR(VLOOKUP(Table1[RespondentID],'All Data'!$A$3:$CO$999,92,FALSE),"unknown")</f>
        <v>Not Hispanic or Latino</v>
      </c>
      <c r="V426" s="120" t="str">
        <f>IFERROR(VLOOKUP(Table1[RespondentID],'All Data'!$A$3:$CO$999,93,FALSE),"unknown")</f>
        <v>English</v>
      </c>
      <c r="W426" s="120" t="str">
        <f>IFERROR(VLOOKUP(Table1[RespondentID],'All Data'!$A$3:$CW$999,94,FALSE),"unknown")</f>
        <v>Over $125,000</v>
      </c>
      <c r="X426" s="120" t="str">
        <f>IFERROR(VLOOKUP(Table1[RespondentID],'All Data'!$A$3:$CW$999,95,FALSE),"unknown")</f>
        <v>College graduate</v>
      </c>
      <c r="Y426" s="120">
        <f>IFERROR(VLOOKUP(Table1[RespondentID],'All Data'!$A$3:$CW$999,96,FALSE),"unknown")</f>
        <v>0</v>
      </c>
      <c r="Z426" s="120">
        <f>IFERROR(VLOOKUP(Table1[RespondentID],'All Data'!$A$3:$CW$999,97,FALSE),"unknown")</f>
        <v>0</v>
      </c>
      <c r="AA426" s="120" t="str">
        <f>IFERROR(VLOOKUP(Table1[RespondentID],'All Data'!$A$3:$CW$999,98,FALSE),"unknown")</f>
        <v>Private/Commercial</v>
      </c>
      <c r="AB426" s="150" t="str">
        <f>IFERROR(VLOOKUP(Table1[RespondentID],'All Data'!$A$3:$CW$999,99,FALSE),"unknown")</f>
        <v>Yes</v>
      </c>
    </row>
    <row r="427" spans="1:28">
      <c r="A427" s="149">
        <v>114083656423</v>
      </c>
      <c r="B427" s="134"/>
      <c r="C427" s="135"/>
      <c r="D427" s="135"/>
      <c r="E427" s="135"/>
      <c r="F427" s="135"/>
      <c r="G427" s="135"/>
      <c r="H427" s="135"/>
      <c r="I427" s="135"/>
      <c r="J427" s="135"/>
      <c r="K427" s="135"/>
      <c r="L427" s="135"/>
      <c r="M427" s="135" t="s">
        <v>75</v>
      </c>
      <c r="N427" s="135"/>
      <c r="O427" s="149"/>
      <c r="P427" s="120" t="str">
        <f>IFERROR(VLOOKUP(Table1[RespondentID],'All Data'!$A$3:$CO$999,87,FALSE),"unknown")</f>
        <v>Woman</v>
      </c>
      <c r="Q427" s="120">
        <f>IFERROR(VLOOKUP(Table1[RespondentID],'All Data'!$A$3:$CO$999,88,FALSE),"unknown")</f>
        <v>0</v>
      </c>
      <c r="R427" s="120" t="str">
        <f>IFERROR(VLOOKUP(Table1[RespondentID],'All Data'!$A$3:$CO$999,89,FALSE),"unknown")</f>
        <v>Suffolk</v>
      </c>
      <c r="S427" s="120" t="str">
        <f>IFERROR(VLOOKUP(Table1[RespondentID],'All Data'!$A$3:$CO$999,90,FALSE),"unknown")</f>
        <v>West Islip, 11795</v>
      </c>
      <c r="T427" s="120">
        <f>IFERROR(VLOOKUP(Table1[RespondentID],'All Data'!$A$3:$CO$999,91,FALSE),"unknown")</f>
        <v>0</v>
      </c>
      <c r="U427" s="120" t="str">
        <f>IFERROR(VLOOKUP(Table1[RespondentID],'All Data'!$A$3:$CO$999,92,FALSE),"unknown")</f>
        <v>Hispanic or Latino</v>
      </c>
      <c r="V427" s="120" t="str">
        <f>IFERROR(VLOOKUP(Table1[RespondentID],'All Data'!$A$3:$CO$999,93,FALSE),"unknown")</f>
        <v>English</v>
      </c>
      <c r="W427" s="120" t="str">
        <f>IFERROR(VLOOKUP(Table1[RespondentID],'All Data'!$A$3:$CW$999,94,FALSE),"unknown")</f>
        <v>Over $125,000</v>
      </c>
      <c r="X427" s="120" t="str">
        <f>IFERROR(VLOOKUP(Table1[RespondentID],'All Data'!$A$3:$CW$999,95,FALSE),"unknown")</f>
        <v>Graduate school</v>
      </c>
      <c r="Y427" s="120">
        <f>IFERROR(VLOOKUP(Table1[RespondentID],'All Data'!$A$3:$CW$999,96,FALSE),"unknown")</f>
        <v>0</v>
      </c>
      <c r="Z427" s="120">
        <f>IFERROR(VLOOKUP(Table1[RespondentID],'All Data'!$A$3:$CW$999,97,FALSE),"unknown")</f>
        <v>0</v>
      </c>
      <c r="AA427" s="120" t="str">
        <f>IFERROR(VLOOKUP(Table1[RespondentID],'All Data'!$A$3:$CW$999,98,FALSE),"unknown")</f>
        <v>Private/Commercial</v>
      </c>
      <c r="AB427" s="150" t="str">
        <f>IFERROR(VLOOKUP(Table1[RespondentID],'All Data'!$A$3:$CW$999,99,FALSE),"unknown")</f>
        <v>Yes</v>
      </c>
    </row>
    <row r="428" spans="1:28">
      <c r="A428" s="149">
        <v>114082818594</v>
      </c>
      <c r="B428" s="134" t="s">
        <v>64</v>
      </c>
      <c r="C428" s="135"/>
      <c r="D428" s="135"/>
      <c r="E428" s="135"/>
      <c r="F428" s="135"/>
      <c r="G428" s="135"/>
      <c r="H428" s="135"/>
      <c r="I428" s="135"/>
      <c r="J428" s="135"/>
      <c r="K428" s="135"/>
      <c r="L428" s="135"/>
      <c r="M428" s="135"/>
      <c r="N428" s="135"/>
      <c r="O428" s="149"/>
      <c r="P428" s="120" t="str">
        <f>IFERROR(VLOOKUP(Table1[RespondentID],'All Data'!$A$3:$CO$999,87,FALSE),"unknown")</f>
        <v>Man</v>
      </c>
      <c r="Q428" s="120">
        <f>IFERROR(VLOOKUP(Table1[RespondentID],'All Data'!$A$3:$CO$999,88,FALSE),"unknown")</f>
        <v>0</v>
      </c>
      <c r="R428" s="120" t="str">
        <f>IFERROR(VLOOKUP(Table1[RespondentID],'All Data'!$A$3:$CO$999,89,FALSE),"unknown")</f>
        <v>Nassau</v>
      </c>
      <c r="S428" s="120" t="str">
        <f>IFERROR(VLOOKUP(Table1[RespondentID],'All Data'!$A$3:$CO$999,90,FALSE),"unknown")</f>
        <v>Merrick, 11566</v>
      </c>
      <c r="T428" s="120">
        <f>IFERROR(VLOOKUP(Table1[RespondentID],'All Data'!$A$3:$CO$999,91,FALSE),"unknown")</f>
        <v>0</v>
      </c>
      <c r="U428" s="120" t="str">
        <f>IFERROR(VLOOKUP(Table1[RespondentID],'All Data'!$A$3:$CO$999,92,FALSE),"unknown")</f>
        <v>Not Hispanic or Latino</v>
      </c>
      <c r="V428" s="120" t="str">
        <f>IFERROR(VLOOKUP(Table1[RespondentID],'All Data'!$A$3:$CO$999,93,FALSE),"unknown")</f>
        <v>English</v>
      </c>
      <c r="W428" s="120" t="str">
        <f>IFERROR(VLOOKUP(Table1[RespondentID],'All Data'!$A$3:$CW$999,94,FALSE),"unknown")</f>
        <v>Over $125,000</v>
      </c>
      <c r="X428" s="120" t="str">
        <f>IFERROR(VLOOKUP(Table1[RespondentID],'All Data'!$A$3:$CW$999,95,FALSE),"unknown")</f>
        <v>Doctorate</v>
      </c>
      <c r="Y428" s="120">
        <f>IFERROR(VLOOKUP(Table1[RespondentID],'All Data'!$A$3:$CW$999,96,FALSE),"unknown")</f>
        <v>0</v>
      </c>
      <c r="Z428" s="120">
        <f>IFERROR(VLOOKUP(Table1[RespondentID],'All Data'!$A$3:$CW$999,97,FALSE),"unknown")</f>
        <v>0</v>
      </c>
      <c r="AA428" s="120" t="str">
        <f>IFERROR(VLOOKUP(Table1[RespondentID],'All Data'!$A$3:$CW$999,98,FALSE),"unknown")</f>
        <v>Private/Commercial</v>
      </c>
      <c r="AB428" s="150" t="str">
        <f>IFERROR(VLOOKUP(Table1[RespondentID],'All Data'!$A$3:$CW$999,99,FALSE),"unknown")</f>
        <v>Yes</v>
      </c>
    </row>
    <row r="429" spans="1:28">
      <c r="A429" s="141">
        <v>114087300174</v>
      </c>
      <c r="B429" s="137" t="s">
        <v>64</v>
      </c>
      <c r="C429" s="138"/>
      <c r="D429" s="138"/>
      <c r="E429" s="138"/>
      <c r="F429" s="138" t="s">
        <v>68</v>
      </c>
      <c r="G429" s="138"/>
      <c r="H429" s="138"/>
      <c r="I429" s="138"/>
      <c r="J429" s="138" t="s">
        <v>72</v>
      </c>
      <c r="K429" s="138"/>
      <c r="L429" s="138" t="s">
        <v>74</v>
      </c>
      <c r="M429" s="138"/>
      <c r="N429" s="138"/>
      <c r="O429" s="141"/>
      <c r="P429" s="120" t="str">
        <f>IFERROR(VLOOKUP(Table1[RespondentID],'All Data'!$A$3:$CO$999,87,FALSE),"unknown")</f>
        <v>Woman</v>
      </c>
      <c r="Q429" s="120">
        <f>IFERROR(VLOOKUP(Table1[RespondentID],'All Data'!$A$3:$CO$999,88,FALSE),"unknown")</f>
        <v>0</v>
      </c>
      <c r="R429" s="120" t="str">
        <f>IFERROR(VLOOKUP(Table1[RespondentID],'All Data'!$A$3:$CO$999,89,FALSE),"unknown")</f>
        <v>Suffolk</v>
      </c>
      <c r="S429" s="120" t="str">
        <f>IFERROR(VLOOKUP(Table1[RespondentID],'All Data'!$A$3:$CO$999,90,FALSE),"unknown")</f>
        <v>Bay Shore, 11706</v>
      </c>
      <c r="T429" s="120">
        <f>IFERROR(VLOOKUP(Table1[RespondentID],'All Data'!$A$3:$CO$999,91,FALSE),"unknown")</f>
        <v>0</v>
      </c>
      <c r="U429" s="120" t="str">
        <f>IFERROR(VLOOKUP(Table1[RespondentID],'All Data'!$A$3:$CO$999,92,FALSE),"unknown")</f>
        <v>Hispanic or Latino</v>
      </c>
      <c r="V429" s="120" t="str">
        <f>IFERROR(VLOOKUP(Table1[RespondentID],'All Data'!$A$3:$CO$999,93,FALSE),"unknown")</f>
        <v>English,Spanish</v>
      </c>
      <c r="W429" s="120" t="str">
        <f>IFERROR(VLOOKUP(Table1[RespondentID],'All Data'!$A$3:$CW$999,94,FALSE),"unknown")</f>
        <v>$50,000 to $74,999</v>
      </c>
      <c r="X429" s="120" t="str">
        <f>IFERROR(VLOOKUP(Table1[RespondentID],'All Data'!$A$3:$CW$999,95,FALSE),"unknown")</f>
        <v>College graduate</v>
      </c>
      <c r="Y429" s="120">
        <f>IFERROR(VLOOKUP(Table1[RespondentID],'All Data'!$A$3:$CW$999,96,FALSE),"unknown")</f>
        <v>0</v>
      </c>
      <c r="Z429" s="120" t="str">
        <f>IFERROR(VLOOKUP(Table1[RespondentID],'All Data'!$A$3:$CW$999,97,FALSE),"unknown")</f>
        <v>Yes</v>
      </c>
      <c r="AA429" s="120">
        <f>IFERROR(VLOOKUP(Table1[RespondentID],'All Data'!$A$3:$CW$999,98,FALSE),"unknown")</f>
        <v>0</v>
      </c>
      <c r="AB429" s="150" t="str">
        <f>IFERROR(VLOOKUP(Table1[RespondentID],'All Data'!$A$3:$CW$999,99,FALSE),"unknown")</f>
        <v>Yes</v>
      </c>
    </row>
    <row r="430" spans="1:28">
      <c r="A430" s="149">
        <v>114201599852</v>
      </c>
      <c r="B430" s="187" t="s">
        <v>64</v>
      </c>
      <c r="C430" s="188"/>
      <c r="D430" s="188"/>
      <c r="E430" s="188"/>
      <c r="F430" s="188" t="s">
        <v>68</v>
      </c>
      <c r="G430" s="188"/>
      <c r="H430" s="188"/>
      <c r="I430" s="188"/>
      <c r="J430" s="188"/>
      <c r="K430" s="188"/>
      <c r="L430" s="188"/>
      <c r="M430" s="188" t="s">
        <v>75</v>
      </c>
      <c r="N430" s="188"/>
      <c r="O430" s="188"/>
      <c r="P430" s="143" t="str">
        <f>IFERROR(VLOOKUP(Table1[RespondentID],'All Data'!$A$3:$CO$999,87,FALSE),"unknown")</f>
        <v>Woman</v>
      </c>
      <c r="Q430" s="183">
        <f>IFERROR(VLOOKUP(Table1[RespondentID],'All Data'!$A$3:$CO$999,88,FALSE),"unknown")</f>
        <v>66</v>
      </c>
      <c r="R430" s="143" t="str">
        <f>IFERROR(VLOOKUP(Table1[RespondentID],'All Data'!$A$3:$CO$999,89,FALSE),"unknown")</f>
        <v>Suffolk</v>
      </c>
      <c r="S430" s="143" t="str">
        <f>IFERROR(VLOOKUP(Table1[RespondentID],'All Data'!$A$3:$CO$999,90,FALSE),"unknown")</f>
        <v>Centerport, 11721</v>
      </c>
      <c r="T430" s="143" t="str">
        <f>IFERROR(VLOOKUP(Table1[RespondentID],'All Data'!$A$3:$CO$999,91,FALSE),"unknown")</f>
        <v>White</v>
      </c>
      <c r="U430" s="143" t="str">
        <f>IFERROR(VLOOKUP(Table1[RespondentID],'All Data'!$A$3:$CO$999,92,FALSE),"unknown")</f>
        <v>Not Hispanic or Latino</v>
      </c>
      <c r="V430" s="143" t="str">
        <f>IFERROR(VLOOKUP(Table1[RespondentID],'All Data'!$A$3:$CO$999,93,FALSE),"unknown")</f>
        <v>English</v>
      </c>
      <c r="W430" s="143" t="str">
        <f>IFERROR(VLOOKUP(Table1[RespondentID],'All Data'!$A$3:$CW$999,94,FALSE),"unknown")</f>
        <v>Over $125,000</v>
      </c>
      <c r="X430" s="143" t="str">
        <f>IFERROR(VLOOKUP(Table1[RespondentID],'All Data'!$A$3:$CW$999,95,FALSE),"unknown")</f>
        <v>Graduate school</v>
      </c>
      <c r="Y430" s="143" t="str">
        <f>IFERROR(VLOOKUP(Table1[RespondentID],'All Data'!$A$3:$CW$999,96,FALSE),"unknown")</f>
        <v>Employed for wages</v>
      </c>
      <c r="Z430" s="143" t="str">
        <f>IFERROR(VLOOKUP(Table1[RespondentID],'All Data'!$A$3:$CW$999,97,FALSE),"unknown")</f>
        <v>Yes</v>
      </c>
      <c r="AA430" s="143" t="str">
        <f>IFERROR(VLOOKUP(Table1[RespondentID],'All Data'!$A$3:$CW$999,98,FALSE),"unknown")</f>
        <v>Private/Commercial</v>
      </c>
      <c r="AB430" s="143" t="str">
        <f>IFERROR(VLOOKUP(Table1[RespondentID],'All Data'!$A$3:$CW$999,99,FALSE),"unknown")</f>
        <v>Yes</v>
      </c>
    </row>
    <row r="431" spans="1:28">
      <c r="A431" s="149">
        <v>114187605562</v>
      </c>
      <c r="B431" s="187" t="s">
        <v>64</v>
      </c>
      <c r="C431" s="188"/>
      <c r="D431" s="188"/>
      <c r="E431" s="188" t="s">
        <v>67</v>
      </c>
      <c r="F431" s="188"/>
      <c r="G431" s="188"/>
      <c r="H431" s="188"/>
      <c r="I431" s="188"/>
      <c r="J431" s="188"/>
      <c r="K431" s="188"/>
      <c r="L431" s="188"/>
      <c r="M431" s="188"/>
      <c r="N431" s="188"/>
      <c r="O431" s="188"/>
      <c r="P431" s="143" t="str">
        <f>IFERROR(VLOOKUP(Table1[RespondentID],'All Data'!$A$3:$CO$999,87,FALSE),"unknown")</f>
        <v>Man</v>
      </c>
      <c r="Q431" s="183">
        <f>IFERROR(VLOOKUP(Table1[RespondentID],'All Data'!$A$3:$CO$999,88,FALSE),"unknown")</f>
        <v>53</v>
      </c>
      <c r="R431" s="143" t="str">
        <f>IFERROR(VLOOKUP(Table1[RespondentID],'All Data'!$A$3:$CO$999,89,FALSE),"unknown")</f>
        <v>Nassau</v>
      </c>
      <c r="S431" s="143" t="str">
        <f>IFERROR(VLOOKUP(Table1[RespondentID],'All Data'!$A$3:$CO$999,90,FALSE),"unknown")</f>
        <v>Merrick, 11566</v>
      </c>
      <c r="T431" s="143" t="str">
        <f>IFERROR(VLOOKUP(Table1[RespondentID],'All Data'!$A$3:$CO$999,91,FALSE),"unknown")</f>
        <v>White</v>
      </c>
      <c r="U431" s="143" t="str">
        <f>IFERROR(VLOOKUP(Table1[RespondentID],'All Data'!$A$3:$CO$999,92,FALSE),"unknown")</f>
        <v>Not Hispanic or Latino</v>
      </c>
      <c r="V431" s="143" t="str">
        <f>IFERROR(VLOOKUP(Table1[RespondentID],'All Data'!$A$3:$CO$999,93,FALSE),"unknown")</f>
        <v>English</v>
      </c>
      <c r="W431" s="143" t="str">
        <f>IFERROR(VLOOKUP(Table1[RespondentID],'All Data'!$A$3:$CW$999,94,FALSE),"unknown")</f>
        <v>Over $125,000</v>
      </c>
      <c r="X431" s="143" t="str">
        <f>IFERROR(VLOOKUP(Table1[RespondentID],'All Data'!$A$3:$CW$999,95,FALSE),"unknown")</f>
        <v>Doctorate</v>
      </c>
      <c r="Y431" s="143" t="str">
        <f>IFERROR(VLOOKUP(Table1[RespondentID],'All Data'!$A$3:$CW$999,96,FALSE),"unknown")</f>
        <v>Employed for wages</v>
      </c>
      <c r="Z431" s="143" t="str">
        <f>IFERROR(VLOOKUP(Table1[RespondentID],'All Data'!$A$3:$CW$999,97,FALSE),"unknown")</f>
        <v>Yes</v>
      </c>
      <c r="AA431" s="143" t="str">
        <f>IFERROR(VLOOKUP(Table1[RespondentID],'All Data'!$A$3:$CW$999,98,FALSE),"unknown")</f>
        <v>Private/Commercial</v>
      </c>
      <c r="AB431" s="143" t="str">
        <f>IFERROR(VLOOKUP(Table1[RespondentID],'All Data'!$A$3:$CW$999,99,FALSE),"unknown")</f>
        <v>Yes</v>
      </c>
    </row>
    <row r="432" spans="1:28">
      <c r="A432" s="149">
        <v>114178252865</v>
      </c>
      <c r="B432" s="187"/>
      <c r="C432" s="188"/>
      <c r="D432" s="188"/>
      <c r="E432" s="188"/>
      <c r="F432" s="188"/>
      <c r="G432" s="188"/>
      <c r="H432" s="188"/>
      <c r="I432" s="188"/>
      <c r="J432" s="188"/>
      <c r="K432" s="188"/>
      <c r="L432" s="188"/>
      <c r="M432" s="188"/>
      <c r="N432" s="188"/>
      <c r="O432" s="188"/>
      <c r="P432" s="143">
        <f>IFERROR(VLOOKUP(Table1[RespondentID],'All Data'!$A$3:$CO$999,87,FALSE),"unknown")</f>
        <v>0</v>
      </c>
      <c r="Q432" s="183">
        <f>IFERROR(VLOOKUP(Table1[RespondentID],'All Data'!$A$3:$CO$999,88,FALSE),"unknown")</f>
        <v>15</v>
      </c>
      <c r="R432" s="143">
        <f>IFERROR(VLOOKUP(Table1[RespondentID],'All Data'!$A$3:$CO$999,89,FALSE),"unknown")</f>
        <v>0</v>
      </c>
      <c r="S432" s="143">
        <f>IFERROR(VLOOKUP(Table1[RespondentID],'All Data'!$A$3:$CO$999,90,FALSE),"unknown")</f>
        <v>0</v>
      </c>
      <c r="T432" s="143">
        <f>IFERROR(VLOOKUP(Table1[RespondentID],'All Data'!$A$3:$CO$999,91,FALSE),"unknown")</f>
        <v>0</v>
      </c>
      <c r="U432" s="143">
        <f>IFERROR(VLOOKUP(Table1[RespondentID],'All Data'!$A$3:$CO$999,92,FALSE),"unknown")</f>
        <v>0</v>
      </c>
      <c r="V432" s="143">
        <f>IFERROR(VLOOKUP(Table1[RespondentID],'All Data'!$A$3:$CO$999,93,FALSE),"unknown")</f>
        <v>0</v>
      </c>
      <c r="W432" s="143">
        <f>IFERROR(VLOOKUP(Table1[RespondentID],'All Data'!$A$3:$CW$999,94,FALSE),"unknown")</f>
        <v>0</v>
      </c>
      <c r="X432" s="143">
        <f>IFERROR(VLOOKUP(Table1[RespondentID],'All Data'!$A$3:$CW$999,95,FALSE),"unknown")</f>
        <v>0</v>
      </c>
      <c r="Y432" s="143">
        <f>IFERROR(VLOOKUP(Table1[RespondentID],'All Data'!$A$3:$CW$999,96,FALSE),"unknown")</f>
        <v>0</v>
      </c>
      <c r="Z432" s="143">
        <f>IFERROR(VLOOKUP(Table1[RespondentID],'All Data'!$A$3:$CW$999,97,FALSE),"unknown")</f>
        <v>0</v>
      </c>
      <c r="AA432" s="143">
        <f>IFERROR(VLOOKUP(Table1[RespondentID],'All Data'!$A$3:$CW$999,98,FALSE),"unknown")</f>
        <v>0</v>
      </c>
      <c r="AB432" s="143">
        <f>IFERROR(VLOOKUP(Table1[RespondentID],'All Data'!$A$3:$CW$999,99,FALSE),"unknown")</f>
        <v>0</v>
      </c>
    </row>
    <row r="433" spans="1:28">
      <c r="A433" s="149">
        <v>114155044650</v>
      </c>
      <c r="B433" s="187" t="s">
        <v>64</v>
      </c>
      <c r="C433" s="188"/>
      <c r="D433" s="188"/>
      <c r="E433" s="188"/>
      <c r="F433" s="188"/>
      <c r="G433" s="188"/>
      <c r="H433" s="188"/>
      <c r="I433" s="188"/>
      <c r="J433" s="188"/>
      <c r="K433" s="188"/>
      <c r="L433" s="188"/>
      <c r="M433" s="188"/>
      <c r="N433" s="188"/>
      <c r="O433" s="188"/>
      <c r="P433" s="143" t="str">
        <f>IFERROR(VLOOKUP(Table1[RespondentID],'All Data'!$A$3:$CO$999,87,FALSE),"unknown")</f>
        <v>Woman</v>
      </c>
      <c r="Q433" s="183">
        <f>IFERROR(VLOOKUP(Table1[RespondentID],'All Data'!$A$3:$CO$999,88,FALSE),"unknown")</f>
        <v>66</v>
      </c>
      <c r="R433" s="143" t="str">
        <f>IFERROR(VLOOKUP(Table1[RespondentID],'All Data'!$A$3:$CO$999,89,FALSE),"unknown")</f>
        <v>Nassau</v>
      </c>
      <c r="S433" s="143" t="str">
        <f>IFERROR(VLOOKUP(Table1[RespondentID],'All Data'!$A$3:$CO$999,90,FALSE),"unknown")</f>
        <v>Hempstead, 11550</v>
      </c>
      <c r="T433" s="143">
        <f>IFERROR(VLOOKUP(Table1[RespondentID],'All Data'!$A$3:$CO$999,91,FALSE),"unknown")</f>
        <v>0</v>
      </c>
      <c r="U433" s="143" t="str">
        <f>IFERROR(VLOOKUP(Table1[RespondentID],'All Data'!$A$3:$CO$999,92,FALSE),"unknown")</f>
        <v>Hispanic or Latino</v>
      </c>
      <c r="V433" s="143" t="str">
        <f>IFERROR(VLOOKUP(Table1[RespondentID],'All Data'!$A$3:$CO$999,93,FALSE),"unknown")</f>
        <v>Spanish</v>
      </c>
      <c r="W433" s="143" t="str">
        <f>IFERROR(VLOOKUP(Table1[RespondentID],'All Data'!$A$3:$CW$999,94,FALSE),"unknown")</f>
        <v>$20,000 to $34,999</v>
      </c>
      <c r="X433" s="143" t="str">
        <f>IFERROR(VLOOKUP(Table1[RespondentID],'All Data'!$A$3:$CW$999,95,FALSE),"unknown")</f>
        <v>K-8 grade</v>
      </c>
      <c r="Y433" s="143" t="str">
        <f>IFERROR(VLOOKUP(Table1[RespondentID],'All Data'!$A$3:$CW$999,96,FALSE),"unknown")</f>
        <v>Out of work and looking for work</v>
      </c>
      <c r="Z433" s="143" t="str">
        <f>IFERROR(VLOOKUP(Table1[RespondentID],'All Data'!$A$3:$CW$999,97,FALSE),"unknown")</f>
        <v>No</v>
      </c>
      <c r="AA433" s="143">
        <f>IFERROR(VLOOKUP(Table1[RespondentID],'All Data'!$A$3:$CW$999,98,FALSE),"unknown")</f>
        <v>0</v>
      </c>
      <c r="AB433" s="143" t="str">
        <f>IFERROR(VLOOKUP(Table1[RespondentID],'All Data'!$A$3:$CW$999,99,FALSE),"unknown")</f>
        <v>No</v>
      </c>
    </row>
    <row r="434" spans="1:28">
      <c r="A434" s="149">
        <v>114138224772</v>
      </c>
      <c r="B434" s="187"/>
      <c r="C434" s="188"/>
      <c r="D434" s="188"/>
      <c r="E434" s="188" t="s">
        <v>67</v>
      </c>
      <c r="F434" s="188"/>
      <c r="G434" s="188"/>
      <c r="H434" s="188"/>
      <c r="I434" s="188"/>
      <c r="J434" s="188"/>
      <c r="K434" s="188"/>
      <c r="L434" s="188"/>
      <c r="M434" s="188" t="s">
        <v>75</v>
      </c>
      <c r="N434" s="188"/>
      <c r="O434" s="188"/>
      <c r="P434" s="143" t="str">
        <f>IFERROR(VLOOKUP(Table1[RespondentID],'All Data'!$A$3:$CO$999,87,FALSE),"unknown")</f>
        <v>Man</v>
      </c>
      <c r="Q434" s="183">
        <f>IFERROR(VLOOKUP(Table1[RespondentID],'All Data'!$A$3:$CO$999,88,FALSE),"unknown")</f>
        <v>19</v>
      </c>
      <c r="R434" s="143" t="str">
        <f>IFERROR(VLOOKUP(Table1[RespondentID],'All Data'!$A$3:$CO$999,89,FALSE),"unknown")</f>
        <v>Nassau</v>
      </c>
      <c r="S434" s="143" t="str">
        <f>IFERROR(VLOOKUP(Table1[RespondentID],'All Data'!$A$3:$CO$999,90,FALSE),"unknown")</f>
        <v>Plainview, 11803</v>
      </c>
      <c r="T434" s="143">
        <f>IFERROR(VLOOKUP(Table1[RespondentID],'All Data'!$A$3:$CO$999,91,FALSE),"unknown")</f>
        <v>0</v>
      </c>
      <c r="U434" s="143" t="str">
        <f>IFERROR(VLOOKUP(Table1[RespondentID],'All Data'!$A$3:$CO$999,92,FALSE),"unknown")</f>
        <v>Hispanic or Latino</v>
      </c>
      <c r="V434" s="143" t="str">
        <f>IFERROR(VLOOKUP(Table1[RespondentID],'All Data'!$A$3:$CO$999,93,FALSE),"unknown")</f>
        <v>English</v>
      </c>
      <c r="W434" s="143" t="str">
        <f>IFERROR(VLOOKUP(Table1[RespondentID],'All Data'!$A$3:$CW$999,94,FALSE),"unknown")</f>
        <v>$20,000 to $34,999</v>
      </c>
      <c r="X434" s="143" t="str">
        <f>IFERROR(VLOOKUP(Table1[RespondentID],'All Data'!$A$3:$CW$999,95,FALSE),"unknown")</f>
        <v>Some college</v>
      </c>
      <c r="Y434" s="143" t="str">
        <f>IFERROR(VLOOKUP(Table1[RespondentID],'All Data'!$A$3:$CW$999,96,FALSE),"unknown")</f>
        <v>Employed for wages</v>
      </c>
      <c r="Z434" s="143" t="str">
        <f>IFERROR(VLOOKUP(Table1[RespondentID],'All Data'!$A$3:$CW$999,97,FALSE),"unknown")</f>
        <v>Yes</v>
      </c>
      <c r="AA434" s="143" t="str">
        <f>IFERROR(VLOOKUP(Table1[RespondentID],'All Data'!$A$3:$CW$999,98,FALSE),"unknown")</f>
        <v>Private/Commercial</v>
      </c>
      <c r="AB434" s="143" t="str">
        <f>IFERROR(VLOOKUP(Table1[RespondentID],'All Data'!$A$3:$CW$999,99,FALSE),"unknown")</f>
        <v>Yes</v>
      </c>
    </row>
    <row r="435" spans="1:28">
      <c r="A435" s="149">
        <v>114137567525</v>
      </c>
      <c r="B435" s="187"/>
      <c r="C435" s="188"/>
      <c r="D435" s="188"/>
      <c r="E435" s="188"/>
      <c r="F435" s="188"/>
      <c r="G435" s="188"/>
      <c r="H435" s="188"/>
      <c r="I435" s="188"/>
      <c r="J435" s="188"/>
      <c r="K435" s="188"/>
      <c r="L435" s="188"/>
      <c r="M435" s="188"/>
      <c r="N435" s="188"/>
      <c r="O435" s="188"/>
      <c r="P435" s="143">
        <f>IFERROR(VLOOKUP(Table1[RespondentID],'All Data'!$A$3:$CO$999,87,FALSE),"unknown")</f>
        <v>0</v>
      </c>
      <c r="Q435" s="183">
        <f>IFERROR(VLOOKUP(Table1[RespondentID],'All Data'!$A$3:$CO$999,88,FALSE),"unknown")</f>
        <v>0</v>
      </c>
      <c r="R435" s="143">
        <f>IFERROR(VLOOKUP(Table1[RespondentID],'All Data'!$A$3:$CO$999,89,FALSE),"unknown")</f>
        <v>0</v>
      </c>
      <c r="S435" s="143" t="str">
        <f>IFERROR(VLOOKUP(Table1[RespondentID],'All Data'!$A$3:$CO$999,90,FALSE),"unknown")</f>
        <v>Atlantic Beach, 11509</v>
      </c>
      <c r="T435" s="143">
        <f>IFERROR(VLOOKUP(Table1[RespondentID],'All Data'!$A$3:$CO$999,91,FALSE),"unknown")</f>
        <v>0</v>
      </c>
      <c r="U435" s="143">
        <f>IFERROR(VLOOKUP(Table1[RespondentID],'All Data'!$A$3:$CO$999,92,FALSE),"unknown")</f>
        <v>0</v>
      </c>
      <c r="V435" s="143">
        <f>IFERROR(VLOOKUP(Table1[RespondentID],'All Data'!$A$3:$CO$999,93,FALSE),"unknown")</f>
        <v>0</v>
      </c>
      <c r="W435" s="143">
        <f>IFERROR(VLOOKUP(Table1[RespondentID],'All Data'!$A$3:$CW$999,94,FALSE),"unknown")</f>
        <v>0</v>
      </c>
      <c r="X435" s="143">
        <f>IFERROR(VLOOKUP(Table1[RespondentID],'All Data'!$A$3:$CW$999,95,FALSE),"unknown")</f>
        <v>0</v>
      </c>
      <c r="Y435" s="143">
        <f>IFERROR(VLOOKUP(Table1[RespondentID],'All Data'!$A$3:$CW$999,96,FALSE),"unknown")</f>
        <v>0</v>
      </c>
      <c r="Z435" s="143">
        <f>IFERROR(VLOOKUP(Table1[RespondentID],'All Data'!$A$3:$CW$999,97,FALSE),"unknown")</f>
        <v>0</v>
      </c>
      <c r="AA435" s="143">
        <f>IFERROR(VLOOKUP(Table1[RespondentID],'All Data'!$A$3:$CW$999,98,FALSE),"unknown")</f>
        <v>0</v>
      </c>
      <c r="AB435" s="143">
        <f>IFERROR(VLOOKUP(Table1[RespondentID],'All Data'!$A$3:$CW$999,99,FALSE),"unknown")</f>
        <v>0</v>
      </c>
    </row>
    <row r="436" spans="1:28">
      <c r="A436" s="149">
        <v>114131712001</v>
      </c>
      <c r="B436" s="187"/>
      <c r="C436" s="188"/>
      <c r="D436" s="188" t="s">
        <v>66</v>
      </c>
      <c r="E436" s="188" t="s">
        <v>67</v>
      </c>
      <c r="F436" s="188"/>
      <c r="G436" s="188" t="s">
        <v>69</v>
      </c>
      <c r="H436" s="188"/>
      <c r="I436" s="188"/>
      <c r="J436" s="188"/>
      <c r="K436" s="188"/>
      <c r="L436" s="188"/>
      <c r="M436" s="188"/>
      <c r="N436" s="188" t="s">
        <v>76</v>
      </c>
      <c r="O436" s="188"/>
      <c r="P436" s="143" t="str">
        <f>IFERROR(VLOOKUP(Table1[RespondentID],'All Data'!$A$3:$CO$999,87,FALSE),"unknown")</f>
        <v>Woman</v>
      </c>
      <c r="Q436" s="183">
        <f>IFERROR(VLOOKUP(Table1[RespondentID],'All Data'!$A$3:$CO$999,88,FALSE),"unknown")</f>
        <v>23</v>
      </c>
      <c r="R436" s="143" t="str">
        <f>IFERROR(VLOOKUP(Table1[RespondentID],'All Data'!$A$3:$CO$999,89,FALSE),"unknown")</f>
        <v>Nassau</v>
      </c>
      <c r="S436" s="143" t="str">
        <f>IFERROR(VLOOKUP(Table1[RespondentID],'All Data'!$A$3:$CO$999,90,FALSE),"unknown")</f>
        <v>Valley Stream, 11580</v>
      </c>
      <c r="T436" s="143">
        <f>IFERROR(VLOOKUP(Table1[RespondentID],'All Data'!$A$3:$CO$999,91,FALSE),"unknown")</f>
        <v>0</v>
      </c>
      <c r="U436" s="143">
        <f>IFERROR(VLOOKUP(Table1[RespondentID],'All Data'!$A$3:$CO$999,92,FALSE),"unknown")</f>
        <v>0</v>
      </c>
      <c r="V436" s="143">
        <f>IFERROR(VLOOKUP(Table1[RespondentID],'All Data'!$A$3:$CO$999,93,FALSE),"unknown")</f>
        <v>0</v>
      </c>
      <c r="W436" s="143">
        <f>IFERROR(VLOOKUP(Table1[RespondentID],'All Data'!$A$3:$CW$999,94,FALSE),"unknown")</f>
        <v>0</v>
      </c>
      <c r="X436" s="143">
        <f>IFERROR(VLOOKUP(Table1[RespondentID],'All Data'!$A$3:$CW$999,95,FALSE),"unknown")</f>
        <v>0</v>
      </c>
      <c r="Y436" s="143">
        <f>IFERROR(VLOOKUP(Table1[RespondentID],'All Data'!$A$3:$CW$999,96,FALSE),"unknown")</f>
        <v>0</v>
      </c>
      <c r="Z436" s="143">
        <f>IFERROR(VLOOKUP(Table1[RespondentID],'All Data'!$A$3:$CW$999,97,FALSE),"unknown")</f>
        <v>0</v>
      </c>
      <c r="AA436" s="143">
        <f>IFERROR(VLOOKUP(Table1[RespondentID],'All Data'!$A$3:$CW$999,98,FALSE),"unknown")</f>
        <v>0</v>
      </c>
      <c r="AB436" s="143">
        <f>IFERROR(VLOOKUP(Table1[RespondentID],'All Data'!$A$3:$CW$999,99,FALSE),"unknown")</f>
        <v>0</v>
      </c>
    </row>
    <row r="437" spans="1:28">
      <c r="A437" s="149">
        <v>114119758093</v>
      </c>
      <c r="B437" s="187" t="s">
        <v>64</v>
      </c>
      <c r="C437" s="188"/>
      <c r="D437" s="188"/>
      <c r="E437" s="188"/>
      <c r="F437" s="188"/>
      <c r="G437" s="188"/>
      <c r="H437" s="188"/>
      <c r="I437" s="188"/>
      <c r="J437" s="188"/>
      <c r="K437" s="188"/>
      <c r="L437" s="188"/>
      <c r="M437" s="188" t="s">
        <v>75</v>
      </c>
      <c r="N437" s="188"/>
      <c r="O437" s="188"/>
      <c r="P437" s="143" t="str">
        <f>IFERROR(VLOOKUP(Table1[RespondentID],'All Data'!$A$3:$CO$999,87,FALSE),"unknown")</f>
        <v>Woman</v>
      </c>
      <c r="Q437" s="183">
        <f>IFERROR(VLOOKUP(Table1[RespondentID],'All Data'!$A$3:$CO$999,88,FALSE),"unknown")</f>
        <v>56</v>
      </c>
      <c r="R437" s="143" t="str">
        <f>IFERROR(VLOOKUP(Table1[RespondentID],'All Data'!$A$3:$CO$999,89,FALSE),"unknown")</f>
        <v>Suffolk</v>
      </c>
      <c r="S437" s="143" t="str">
        <f>IFERROR(VLOOKUP(Table1[RespondentID],'All Data'!$A$3:$CO$999,90,FALSE),"unknown")</f>
        <v>West Islip, 11795</v>
      </c>
      <c r="T437" s="143" t="str">
        <f>IFERROR(VLOOKUP(Table1[RespondentID],'All Data'!$A$3:$CO$999,91,FALSE),"unknown")</f>
        <v>White</v>
      </c>
      <c r="U437" s="143" t="str">
        <f>IFERROR(VLOOKUP(Table1[RespondentID],'All Data'!$A$3:$CO$999,92,FALSE),"unknown")</f>
        <v>Not Hispanic or Latino</v>
      </c>
      <c r="V437" s="143" t="str">
        <f>IFERROR(VLOOKUP(Table1[RespondentID],'All Data'!$A$3:$CO$999,93,FALSE),"unknown")</f>
        <v>English</v>
      </c>
      <c r="W437" s="143">
        <f>IFERROR(VLOOKUP(Table1[RespondentID],'All Data'!$A$3:$CW$999,94,FALSE),"unknown")</f>
        <v>0</v>
      </c>
      <c r="X437" s="143" t="str">
        <f>IFERROR(VLOOKUP(Table1[RespondentID],'All Data'!$A$3:$CW$999,95,FALSE),"unknown")</f>
        <v>Some college</v>
      </c>
      <c r="Y437" s="143" t="str">
        <f>IFERROR(VLOOKUP(Table1[RespondentID],'All Data'!$A$3:$CW$999,96,FALSE),"unknown")</f>
        <v>Employed for wages</v>
      </c>
      <c r="Z437" s="143" t="str">
        <f>IFERROR(VLOOKUP(Table1[RespondentID],'All Data'!$A$3:$CW$999,97,FALSE),"unknown")</f>
        <v>Yes</v>
      </c>
      <c r="AA437" s="143" t="str">
        <f>IFERROR(VLOOKUP(Table1[RespondentID],'All Data'!$A$3:$CW$999,98,FALSE),"unknown")</f>
        <v>Private/Commercial</v>
      </c>
      <c r="AB437" s="143" t="str">
        <f>IFERROR(VLOOKUP(Table1[RespondentID],'All Data'!$A$3:$CW$999,99,FALSE),"unknown")</f>
        <v>Yes</v>
      </c>
    </row>
    <row r="438" spans="1:28">
      <c r="A438" s="149">
        <v>114117609524</v>
      </c>
      <c r="B438" s="187"/>
      <c r="C438" s="188"/>
      <c r="D438" s="188" t="s">
        <v>66</v>
      </c>
      <c r="E438" s="188"/>
      <c r="F438" s="188" t="s">
        <v>68</v>
      </c>
      <c r="G438" s="188"/>
      <c r="H438" s="188"/>
      <c r="I438" s="188"/>
      <c r="J438" s="188"/>
      <c r="K438" s="188"/>
      <c r="L438" s="188"/>
      <c r="M438" s="188" t="s">
        <v>75</v>
      </c>
      <c r="N438" s="188"/>
      <c r="O438" s="188"/>
      <c r="P438" s="143" t="str">
        <f>IFERROR(VLOOKUP(Table1[RespondentID],'All Data'!$A$3:$CO$999,87,FALSE),"unknown")</f>
        <v>Man</v>
      </c>
      <c r="Q438" s="183">
        <f>IFERROR(VLOOKUP(Table1[RespondentID],'All Data'!$A$3:$CO$999,88,FALSE),"unknown")</f>
        <v>66</v>
      </c>
      <c r="R438" s="143" t="str">
        <f>IFERROR(VLOOKUP(Table1[RespondentID],'All Data'!$A$3:$CO$999,89,FALSE),"unknown")</f>
        <v>Suffolk</v>
      </c>
      <c r="S438" s="143" t="str">
        <f>IFERROR(VLOOKUP(Table1[RespondentID],'All Data'!$A$3:$CO$999,90,FALSE),"unknown")</f>
        <v>Babylon, 11704</v>
      </c>
      <c r="T438" s="143" t="str">
        <f>IFERROR(VLOOKUP(Table1[RespondentID],'All Data'!$A$3:$CO$999,91,FALSE),"unknown")</f>
        <v>White</v>
      </c>
      <c r="U438" s="143" t="str">
        <f>IFERROR(VLOOKUP(Table1[RespondentID],'All Data'!$A$3:$CO$999,92,FALSE),"unknown")</f>
        <v>Hispanic or Latino</v>
      </c>
      <c r="V438" s="143" t="str">
        <f>IFERROR(VLOOKUP(Table1[RespondentID],'All Data'!$A$3:$CO$999,93,FALSE),"unknown")</f>
        <v>English,Spanish</v>
      </c>
      <c r="W438" s="143" t="str">
        <f>IFERROR(VLOOKUP(Table1[RespondentID],'All Data'!$A$3:$CW$999,94,FALSE),"unknown")</f>
        <v>$20,000 to $34,999</v>
      </c>
      <c r="X438" s="143" t="str">
        <f>IFERROR(VLOOKUP(Table1[RespondentID],'All Data'!$A$3:$CW$999,95,FALSE),"unknown")</f>
        <v>Some college</v>
      </c>
      <c r="Y438" s="143" t="str">
        <f>IFERROR(VLOOKUP(Table1[RespondentID],'All Data'!$A$3:$CW$999,96,FALSE),"unknown")</f>
        <v>Retired</v>
      </c>
      <c r="Z438" s="143" t="str">
        <f>IFERROR(VLOOKUP(Table1[RespondentID],'All Data'!$A$3:$CW$999,97,FALSE),"unknown")</f>
        <v>Yes</v>
      </c>
      <c r="AA438" s="143" t="str">
        <f>IFERROR(VLOOKUP(Table1[RespondentID],'All Data'!$A$3:$CW$999,98,FALSE),"unknown")</f>
        <v>Medicare</v>
      </c>
      <c r="AB438" s="143" t="str">
        <f>IFERROR(VLOOKUP(Table1[RespondentID],'All Data'!$A$3:$CW$999,99,FALSE),"unknown")</f>
        <v>Yes</v>
      </c>
    </row>
    <row r="439" spans="1:28">
      <c r="A439" s="149">
        <v>114117487074</v>
      </c>
      <c r="B439" s="187" t="s">
        <v>64</v>
      </c>
      <c r="C439" s="188"/>
      <c r="D439" s="188" t="s">
        <v>66</v>
      </c>
      <c r="E439" s="188" t="s">
        <v>67</v>
      </c>
      <c r="F439" s="188" t="s">
        <v>68</v>
      </c>
      <c r="G439" s="188"/>
      <c r="H439" s="188"/>
      <c r="I439" s="188"/>
      <c r="J439" s="188"/>
      <c r="K439" s="188"/>
      <c r="L439" s="188" t="s">
        <v>74</v>
      </c>
      <c r="M439" s="188" t="s">
        <v>75</v>
      </c>
      <c r="N439" s="188"/>
      <c r="O439" s="188"/>
      <c r="P439" s="143" t="str">
        <f>IFERROR(VLOOKUP(Table1[RespondentID],'All Data'!$A$3:$CO$999,87,FALSE),"unknown")</f>
        <v>Man</v>
      </c>
      <c r="Q439" s="183">
        <f>IFERROR(VLOOKUP(Table1[RespondentID],'All Data'!$A$3:$CO$999,88,FALSE),"unknown")</f>
        <v>66</v>
      </c>
      <c r="R439" s="143" t="str">
        <f>IFERROR(VLOOKUP(Table1[RespondentID],'All Data'!$A$3:$CO$999,89,FALSE),"unknown")</f>
        <v>Suffolk</v>
      </c>
      <c r="S439" s="143" t="str">
        <f>IFERROR(VLOOKUP(Table1[RespondentID],'All Data'!$A$3:$CO$999,90,FALSE),"unknown")</f>
        <v>North Babylon, 11703</v>
      </c>
      <c r="T439" s="143" t="str">
        <f>IFERROR(VLOOKUP(Table1[RespondentID],'All Data'!$A$3:$CO$999,91,FALSE),"unknown")</f>
        <v>White</v>
      </c>
      <c r="U439" s="143" t="str">
        <f>IFERROR(VLOOKUP(Table1[RespondentID],'All Data'!$A$3:$CO$999,92,FALSE),"unknown")</f>
        <v>Not Hispanic or Latino</v>
      </c>
      <c r="V439" s="143" t="str">
        <f>IFERROR(VLOOKUP(Table1[RespondentID],'All Data'!$A$3:$CO$999,93,FALSE),"unknown")</f>
        <v>English</v>
      </c>
      <c r="W439" s="143" t="str">
        <f>IFERROR(VLOOKUP(Table1[RespondentID],'All Data'!$A$3:$CW$999,94,FALSE),"unknown")</f>
        <v>$50,000 to $74,999</v>
      </c>
      <c r="X439" s="143" t="str">
        <f>IFERROR(VLOOKUP(Table1[RespondentID],'All Data'!$A$3:$CW$999,95,FALSE),"unknown")</f>
        <v>Some college</v>
      </c>
      <c r="Y439" s="143" t="str">
        <f>IFERROR(VLOOKUP(Table1[RespondentID],'All Data'!$A$3:$CW$999,96,FALSE),"unknown")</f>
        <v>Retired</v>
      </c>
      <c r="Z439" s="143" t="str">
        <f>IFERROR(VLOOKUP(Table1[RespondentID],'All Data'!$A$3:$CW$999,97,FALSE),"unknown")</f>
        <v>Yes</v>
      </c>
      <c r="AA439" s="143" t="str">
        <f>IFERROR(VLOOKUP(Table1[RespondentID],'All Data'!$A$3:$CW$999,98,FALSE),"unknown")</f>
        <v>Medicare,Private/Commercial</v>
      </c>
      <c r="AB439" s="143" t="str">
        <f>IFERROR(VLOOKUP(Table1[RespondentID],'All Data'!$A$3:$CW$999,99,FALSE),"unknown")</f>
        <v>Yes</v>
      </c>
    </row>
    <row r="440" spans="1:28">
      <c r="A440" s="149">
        <v>114112557543</v>
      </c>
      <c r="B440" s="187" t="s">
        <v>64</v>
      </c>
      <c r="C440" s="188" t="s">
        <v>65</v>
      </c>
      <c r="D440" s="188" t="s">
        <v>66</v>
      </c>
      <c r="E440" s="188" t="s">
        <v>67</v>
      </c>
      <c r="F440" s="188" t="s">
        <v>68</v>
      </c>
      <c r="G440" s="188" t="s">
        <v>69</v>
      </c>
      <c r="H440" s="188" t="s">
        <v>70</v>
      </c>
      <c r="I440" s="188" t="s">
        <v>71</v>
      </c>
      <c r="J440" s="188" t="s">
        <v>72</v>
      </c>
      <c r="K440" s="188" t="s">
        <v>73</v>
      </c>
      <c r="L440" s="188"/>
      <c r="M440" s="188" t="s">
        <v>75</v>
      </c>
      <c r="N440" s="188" t="s">
        <v>76</v>
      </c>
      <c r="O440" s="188"/>
      <c r="P440" s="143" t="str">
        <f>IFERROR(VLOOKUP(Table1[RespondentID],'All Data'!$A$3:$CO$999,87,FALSE),"unknown")</f>
        <v>Woman</v>
      </c>
      <c r="Q440" s="183">
        <f>IFERROR(VLOOKUP(Table1[RespondentID],'All Data'!$A$3:$CO$999,88,FALSE),"unknown")</f>
        <v>63</v>
      </c>
      <c r="R440" s="143" t="str">
        <f>IFERROR(VLOOKUP(Table1[RespondentID],'All Data'!$A$3:$CO$999,89,FALSE),"unknown")</f>
        <v>Suffolk</v>
      </c>
      <c r="S440" s="143" t="str">
        <f>IFERROR(VLOOKUP(Table1[RespondentID],'All Data'!$A$3:$CO$999,90,FALSE),"unknown")</f>
        <v>West Islip, 11795</v>
      </c>
      <c r="T440" s="143" t="str">
        <f>IFERROR(VLOOKUP(Table1[RespondentID],'All Data'!$A$3:$CO$999,91,FALSE),"unknown")</f>
        <v>White</v>
      </c>
      <c r="U440" s="143" t="str">
        <f>IFERROR(VLOOKUP(Table1[RespondentID],'All Data'!$A$3:$CO$999,92,FALSE),"unknown")</f>
        <v>Not Hispanic or Latino</v>
      </c>
      <c r="V440" s="143" t="str">
        <f>IFERROR(VLOOKUP(Table1[RespondentID],'All Data'!$A$3:$CO$999,93,FALSE),"unknown")</f>
        <v>English</v>
      </c>
      <c r="W440" s="143" t="str">
        <f>IFERROR(VLOOKUP(Table1[RespondentID],'All Data'!$A$3:$CW$999,94,FALSE),"unknown")</f>
        <v>Over $125,000</v>
      </c>
      <c r="X440" s="143" t="str">
        <f>IFERROR(VLOOKUP(Table1[RespondentID],'All Data'!$A$3:$CW$999,95,FALSE),"unknown")</f>
        <v>College graduate</v>
      </c>
      <c r="Y440" s="143" t="str">
        <f>IFERROR(VLOOKUP(Table1[RespondentID],'All Data'!$A$3:$CW$999,96,FALSE),"unknown")</f>
        <v>Employed for wages</v>
      </c>
      <c r="Z440" s="143" t="str">
        <f>IFERROR(VLOOKUP(Table1[RespondentID],'All Data'!$A$3:$CW$999,97,FALSE),"unknown")</f>
        <v>Yes</v>
      </c>
      <c r="AA440" s="143" t="str">
        <f>IFERROR(VLOOKUP(Table1[RespondentID],'All Data'!$A$3:$CW$999,98,FALSE),"unknown")</f>
        <v>Private/Commercial</v>
      </c>
      <c r="AB440" s="143" t="str">
        <f>IFERROR(VLOOKUP(Table1[RespondentID],'All Data'!$A$3:$CW$999,99,FALSE),"unknown")</f>
        <v>Yes</v>
      </c>
    </row>
    <row r="441" spans="1:28">
      <c r="A441" s="149">
        <v>114112353426</v>
      </c>
      <c r="B441" s="187" t="s">
        <v>64</v>
      </c>
      <c r="C441" s="188"/>
      <c r="D441" s="188"/>
      <c r="E441" s="188"/>
      <c r="F441" s="188"/>
      <c r="G441" s="188"/>
      <c r="H441" s="188"/>
      <c r="I441" s="188"/>
      <c r="J441" s="188"/>
      <c r="K441" s="188"/>
      <c r="L441" s="188"/>
      <c r="M441" s="188" t="s">
        <v>75</v>
      </c>
      <c r="N441" s="188"/>
      <c r="O441" s="188"/>
      <c r="P441" s="143" t="str">
        <f>IFERROR(VLOOKUP(Table1[RespondentID],'All Data'!$A$3:$CO$999,87,FALSE),"unknown")</f>
        <v>Woman</v>
      </c>
      <c r="Q441" s="183">
        <f>IFERROR(VLOOKUP(Table1[RespondentID],'All Data'!$A$3:$CO$999,88,FALSE),"unknown")</f>
        <v>66</v>
      </c>
      <c r="R441" s="143" t="str">
        <f>IFERROR(VLOOKUP(Table1[RespondentID],'All Data'!$A$3:$CO$999,89,FALSE),"unknown")</f>
        <v>Suffolk</v>
      </c>
      <c r="S441" s="143" t="str">
        <f>IFERROR(VLOOKUP(Table1[RespondentID],'All Data'!$A$3:$CO$999,90,FALSE),"unknown")</f>
        <v>Lindenhurst, 11757</v>
      </c>
      <c r="T441" s="143" t="str">
        <f>IFERROR(VLOOKUP(Table1[RespondentID],'All Data'!$A$3:$CO$999,91,FALSE),"unknown")</f>
        <v>White</v>
      </c>
      <c r="U441" s="143" t="str">
        <f>IFERROR(VLOOKUP(Table1[RespondentID],'All Data'!$A$3:$CO$999,92,FALSE),"unknown")</f>
        <v>Not Hispanic or Latino</v>
      </c>
      <c r="V441" s="143" t="str">
        <f>IFERROR(VLOOKUP(Table1[RespondentID],'All Data'!$A$3:$CO$999,93,FALSE),"unknown")</f>
        <v>English</v>
      </c>
      <c r="W441" s="143">
        <f>IFERROR(VLOOKUP(Table1[RespondentID],'All Data'!$A$3:$CW$999,94,FALSE),"unknown")</f>
        <v>0</v>
      </c>
      <c r="X441" s="143" t="str">
        <f>IFERROR(VLOOKUP(Table1[RespondentID],'All Data'!$A$3:$CW$999,95,FALSE),"unknown")</f>
        <v>College graduate</v>
      </c>
      <c r="Y441" s="143" t="str">
        <f>IFERROR(VLOOKUP(Table1[RespondentID],'All Data'!$A$3:$CW$999,96,FALSE),"unknown")</f>
        <v>Retired</v>
      </c>
      <c r="Z441" s="143">
        <f>IFERROR(VLOOKUP(Table1[RespondentID],'All Data'!$A$3:$CW$999,97,FALSE),"unknown")</f>
        <v>0</v>
      </c>
      <c r="AA441" s="143" t="str">
        <f>IFERROR(VLOOKUP(Table1[RespondentID],'All Data'!$A$3:$CW$999,98,FALSE),"unknown")</f>
        <v>Medicare</v>
      </c>
      <c r="AB441" s="143" t="str">
        <f>IFERROR(VLOOKUP(Table1[RespondentID],'All Data'!$A$3:$CW$999,99,FALSE),"unknown")</f>
        <v>Yes</v>
      </c>
    </row>
    <row r="442" spans="1:28">
      <c r="A442" s="149">
        <v>114112316241</v>
      </c>
      <c r="B442" s="187" t="s">
        <v>64</v>
      </c>
      <c r="C442" s="188"/>
      <c r="D442" s="188"/>
      <c r="E442" s="188"/>
      <c r="F442" s="188" t="s">
        <v>68</v>
      </c>
      <c r="G442" s="188"/>
      <c r="H442" s="188"/>
      <c r="I442" s="188"/>
      <c r="J442" s="188"/>
      <c r="K442" s="188"/>
      <c r="L442" s="188"/>
      <c r="M442" s="188"/>
      <c r="N442" s="188"/>
      <c r="O442" s="188"/>
      <c r="P442" s="143" t="str">
        <f>IFERROR(VLOOKUP(Table1[RespondentID],'All Data'!$A$3:$CO$999,87,FALSE),"unknown")</f>
        <v>Woman</v>
      </c>
      <c r="Q442" s="183">
        <f>IFERROR(VLOOKUP(Table1[RespondentID],'All Data'!$A$3:$CO$999,88,FALSE),"unknown")</f>
        <v>66</v>
      </c>
      <c r="R442" s="143" t="str">
        <f>IFERROR(VLOOKUP(Table1[RespondentID],'All Data'!$A$3:$CO$999,89,FALSE),"unknown")</f>
        <v>Suffolk</v>
      </c>
      <c r="S442" s="143" t="str">
        <f>IFERROR(VLOOKUP(Table1[RespondentID],'All Data'!$A$3:$CO$999,90,FALSE),"unknown")</f>
        <v>Oakdale, 11769</v>
      </c>
      <c r="T442" s="143" t="str">
        <f>IFERROR(VLOOKUP(Table1[RespondentID],'All Data'!$A$3:$CO$999,91,FALSE),"unknown")</f>
        <v>White</v>
      </c>
      <c r="U442" s="143" t="str">
        <f>IFERROR(VLOOKUP(Table1[RespondentID],'All Data'!$A$3:$CO$999,92,FALSE),"unknown")</f>
        <v>Not Hispanic or Latino</v>
      </c>
      <c r="V442" s="143" t="str">
        <f>IFERROR(VLOOKUP(Table1[RespondentID],'All Data'!$A$3:$CO$999,93,FALSE),"unknown")</f>
        <v>English</v>
      </c>
      <c r="W442" s="143" t="str">
        <f>IFERROR(VLOOKUP(Table1[RespondentID],'All Data'!$A$3:$CW$999,94,FALSE),"unknown")</f>
        <v>$20,000 to $34,999</v>
      </c>
      <c r="X442" s="143" t="str">
        <f>IFERROR(VLOOKUP(Table1[RespondentID],'All Data'!$A$3:$CW$999,95,FALSE),"unknown")</f>
        <v>High school graduate</v>
      </c>
      <c r="Y442" s="143" t="str">
        <f>IFERROR(VLOOKUP(Table1[RespondentID],'All Data'!$A$3:$CW$999,96,FALSE),"unknown")</f>
        <v>Retired</v>
      </c>
      <c r="Z442" s="143" t="str">
        <f>IFERROR(VLOOKUP(Table1[RespondentID],'All Data'!$A$3:$CW$999,97,FALSE),"unknown")</f>
        <v>Yes</v>
      </c>
      <c r="AA442" s="143" t="str">
        <f>IFERROR(VLOOKUP(Table1[RespondentID],'All Data'!$A$3:$CW$999,98,FALSE),"unknown")</f>
        <v>Medicare,Private/Commercial</v>
      </c>
      <c r="AB442" s="143" t="str">
        <f>IFERROR(VLOOKUP(Table1[RespondentID],'All Data'!$A$3:$CW$999,99,FALSE),"unknown")</f>
        <v>Yes</v>
      </c>
    </row>
    <row r="443" spans="1:28">
      <c r="A443" s="149">
        <v>114112302057</v>
      </c>
      <c r="B443" s="187" t="s">
        <v>64</v>
      </c>
      <c r="C443" s="188"/>
      <c r="D443" s="188"/>
      <c r="E443" s="188"/>
      <c r="F443" s="188" t="s">
        <v>68</v>
      </c>
      <c r="G443" s="188" t="s">
        <v>69</v>
      </c>
      <c r="H443" s="188"/>
      <c r="I443" s="188"/>
      <c r="J443" s="188"/>
      <c r="K443" s="188"/>
      <c r="L443" s="188"/>
      <c r="M443" s="188" t="s">
        <v>75</v>
      </c>
      <c r="N443" s="188"/>
      <c r="O443" s="188"/>
      <c r="P443" s="143" t="str">
        <f>IFERROR(VLOOKUP(Table1[RespondentID],'All Data'!$A$3:$CO$999,87,FALSE),"unknown")</f>
        <v>Woman</v>
      </c>
      <c r="Q443" s="183">
        <f>IFERROR(VLOOKUP(Table1[RespondentID],'All Data'!$A$3:$CO$999,88,FALSE),"unknown")</f>
        <v>66</v>
      </c>
      <c r="R443" s="143" t="str">
        <f>IFERROR(VLOOKUP(Table1[RespondentID],'All Data'!$A$3:$CO$999,89,FALSE),"unknown")</f>
        <v>Suffolk</v>
      </c>
      <c r="S443" s="143" t="str">
        <f>IFERROR(VLOOKUP(Table1[RespondentID],'All Data'!$A$3:$CO$999,90,FALSE),"unknown")</f>
        <v>Babylon, 11702</v>
      </c>
      <c r="T443" s="143" t="str">
        <f>IFERROR(VLOOKUP(Table1[RespondentID],'All Data'!$A$3:$CO$999,91,FALSE),"unknown")</f>
        <v>White</v>
      </c>
      <c r="U443" s="143" t="str">
        <f>IFERROR(VLOOKUP(Table1[RespondentID],'All Data'!$A$3:$CO$999,92,FALSE),"unknown")</f>
        <v>Not Hispanic or Latino</v>
      </c>
      <c r="V443" s="143" t="str">
        <f>IFERROR(VLOOKUP(Table1[RespondentID],'All Data'!$A$3:$CO$999,93,FALSE),"unknown")</f>
        <v>English</v>
      </c>
      <c r="W443" s="143" t="str">
        <f>IFERROR(VLOOKUP(Table1[RespondentID],'All Data'!$A$3:$CW$999,94,FALSE),"unknown")</f>
        <v>$35,000 to $49,999</v>
      </c>
      <c r="X443" s="143" t="str">
        <f>IFERROR(VLOOKUP(Table1[RespondentID],'All Data'!$A$3:$CW$999,95,FALSE),"unknown")</f>
        <v>Some college</v>
      </c>
      <c r="Y443" s="143" t="str">
        <f>IFERROR(VLOOKUP(Table1[RespondentID],'All Data'!$A$3:$CW$999,96,FALSE),"unknown")</f>
        <v>Retired</v>
      </c>
      <c r="Z443" s="143" t="str">
        <f>IFERROR(VLOOKUP(Table1[RespondentID],'All Data'!$A$3:$CW$999,97,FALSE),"unknown")</f>
        <v>Yes</v>
      </c>
      <c r="AA443" s="143" t="str">
        <f>IFERROR(VLOOKUP(Table1[RespondentID],'All Data'!$A$3:$CW$999,98,FALSE),"unknown")</f>
        <v>Medicare</v>
      </c>
      <c r="AB443" s="143" t="str">
        <f>IFERROR(VLOOKUP(Table1[RespondentID],'All Data'!$A$3:$CW$999,99,FALSE),"unknown")</f>
        <v>Yes</v>
      </c>
    </row>
    <row r="444" spans="1:28">
      <c r="A444" s="149">
        <v>114112230825</v>
      </c>
      <c r="B444" s="187" t="s">
        <v>64</v>
      </c>
      <c r="C444" s="188"/>
      <c r="D444" s="188"/>
      <c r="E444" s="188"/>
      <c r="F444" s="188"/>
      <c r="G444" s="188"/>
      <c r="H444" s="188"/>
      <c r="I444" s="188"/>
      <c r="J444" s="188"/>
      <c r="K444" s="188"/>
      <c r="L444" s="188"/>
      <c r="M444" s="188"/>
      <c r="N444" s="188"/>
      <c r="O444" s="188"/>
      <c r="P444" s="143" t="str">
        <f>IFERROR(VLOOKUP(Table1[RespondentID],'All Data'!$A$3:$CO$999,87,FALSE),"unknown")</f>
        <v>Woman</v>
      </c>
      <c r="Q444" s="183">
        <f>IFERROR(VLOOKUP(Table1[RespondentID],'All Data'!$A$3:$CO$999,88,FALSE),"unknown")</f>
        <v>36</v>
      </c>
      <c r="R444" s="143" t="str">
        <f>IFERROR(VLOOKUP(Table1[RespondentID],'All Data'!$A$3:$CO$999,89,FALSE),"unknown")</f>
        <v>Suffolk</v>
      </c>
      <c r="S444" s="143" t="str">
        <f>IFERROR(VLOOKUP(Table1[RespondentID],'All Data'!$A$3:$CO$999,90,FALSE),"unknown")</f>
        <v>Babylon, 11702</v>
      </c>
      <c r="T444" s="143" t="str">
        <f>IFERROR(VLOOKUP(Table1[RespondentID],'All Data'!$A$3:$CO$999,91,FALSE),"unknown")</f>
        <v>White</v>
      </c>
      <c r="U444" s="143" t="str">
        <f>IFERROR(VLOOKUP(Table1[RespondentID],'All Data'!$A$3:$CO$999,92,FALSE),"unknown")</f>
        <v>Not Hispanic or Latino</v>
      </c>
      <c r="V444" s="143" t="str">
        <f>IFERROR(VLOOKUP(Table1[RespondentID],'All Data'!$A$3:$CO$999,93,FALSE),"unknown")</f>
        <v>English</v>
      </c>
      <c r="W444" s="143" t="str">
        <f>IFERROR(VLOOKUP(Table1[RespondentID],'All Data'!$A$3:$CW$999,94,FALSE),"unknown")</f>
        <v>$75,000 to $125,000</v>
      </c>
      <c r="X444" s="143" t="str">
        <f>IFERROR(VLOOKUP(Table1[RespondentID],'All Data'!$A$3:$CW$999,95,FALSE),"unknown")</f>
        <v>College graduate</v>
      </c>
      <c r="Y444" s="143" t="str">
        <f>IFERROR(VLOOKUP(Table1[RespondentID],'All Data'!$A$3:$CW$999,96,FALSE),"unknown")</f>
        <v>Employed for wages</v>
      </c>
      <c r="Z444" s="143" t="str">
        <f>IFERROR(VLOOKUP(Table1[RespondentID],'All Data'!$A$3:$CW$999,97,FALSE),"unknown")</f>
        <v>Yes</v>
      </c>
      <c r="AA444" s="143" t="str">
        <f>IFERROR(VLOOKUP(Table1[RespondentID],'All Data'!$A$3:$CW$999,98,FALSE),"unknown")</f>
        <v>Private/Commercial</v>
      </c>
      <c r="AB444" s="143" t="str">
        <f>IFERROR(VLOOKUP(Table1[RespondentID],'All Data'!$A$3:$CW$999,99,FALSE),"unknown")</f>
        <v>Yes</v>
      </c>
    </row>
    <row r="445" spans="1:28">
      <c r="A445" s="149">
        <v>114112163696</v>
      </c>
      <c r="B445" s="187" t="s">
        <v>64</v>
      </c>
      <c r="C445" s="188"/>
      <c r="D445" s="188"/>
      <c r="E445" s="188" t="s">
        <v>67</v>
      </c>
      <c r="F445" s="188"/>
      <c r="G445" s="188"/>
      <c r="H445" s="188"/>
      <c r="I445" s="188"/>
      <c r="J445" s="188"/>
      <c r="K445" s="188"/>
      <c r="L445" s="188"/>
      <c r="M445" s="188" t="s">
        <v>75</v>
      </c>
      <c r="N445" s="188"/>
      <c r="O445" s="188"/>
      <c r="P445" s="143" t="str">
        <f>IFERROR(VLOOKUP(Table1[RespondentID],'All Data'!$A$3:$CO$999,87,FALSE),"unknown")</f>
        <v>Woman</v>
      </c>
      <c r="Q445" s="183">
        <f>IFERROR(VLOOKUP(Table1[RespondentID],'All Data'!$A$3:$CO$999,88,FALSE),"unknown")</f>
        <v>66</v>
      </c>
      <c r="R445" s="143" t="str">
        <f>IFERROR(VLOOKUP(Table1[RespondentID],'All Data'!$A$3:$CO$999,89,FALSE),"unknown")</f>
        <v>Suffolk</v>
      </c>
      <c r="S445" s="143" t="str">
        <f>IFERROR(VLOOKUP(Table1[RespondentID],'All Data'!$A$3:$CO$999,90,FALSE),"unknown")</f>
        <v>Babylon, 11702</v>
      </c>
      <c r="T445" s="143" t="str">
        <f>IFERROR(VLOOKUP(Table1[RespondentID],'All Data'!$A$3:$CO$999,91,FALSE),"unknown")</f>
        <v>White</v>
      </c>
      <c r="U445" s="143" t="str">
        <f>IFERROR(VLOOKUP(Table1[RespondentID],'All Data'!$A$3:$CO$999,92,FALSE),"unknown")</f>
        <v>Not Hispanic or Latino</v>
      </c>
      <c r="V445" s="143" t="str">
        <f>IFERROR(VLOOKUP(Table1[RespondentID],'All Data'!$A$3:$CO$999,93,FALSE),"unknown")</f>
        <v>English</v>
      </c>
      <c r="W445" s="143" t="str">
        <f>IFERROR(VLOOKUP(Table1[RespondentID],'All Data'!$A$3:$CW$999,94,FALSE),"unknown")</f>
        <v>Over $125,000</v>
      </c>
      <c r="X445" s="143" t="str">
        <f>IFERROR(VLOOKUP(Table1[RespondentID],'All Data'!$A$3:$CW$999,95,FALSE),"unknown")</f>
        <v>College graduate</v>
      </c>
      <c r="Y445" s="143" t="str">
        <f>IFERROR(VLOOKUP(Table1[RespondentID],'All Data'!$A$3:$CW$999,96,FALSE),"unknown")</f>
        <v>Retired</v>
      </c>
      <c r="Z445" s="143" t="str">
        <f>IFERROR(VLOOKUP(Table1[RespondentID],'All Data'!$A$3:$CW$999,97,FALSE),"unknown")</f>
        <v>Yes</v>
      </c>
      <c r="AA445" s="143" t="str">
        <f>IFERROR(VLOOKUP(Table1[RespondentID],'All Data'!$A$3:$CW$999,98,FALSE),"unknown")</f>
        <v>Medicare</v>
      </c>
      <c r="AB445" s="143" t="str">
        <f>IFERROR(VLOOKUP(Table1[RespondentID],'All Data'!$A$3:$CW$999,99,FALSE),"unknown")</f>
        <v>Yes</v>
      </c>
    </row>
    <row r="446" spans="1:28">
      <c r="A446" s="149">
        <v>114112120887</v>
      </c>
      <c r="B446" s="187" t="s">
        <v>64</v>
      </c>
      <c r="C446" s="188"/>
      <c r="D446" s="188"/>
      <c r="E446" s="188"/>
      <c r="F446" s="188"/>
      <c r="G446" s="188"/>
      <c r="H446" s="188"/>
      <c r="I446" s="188"/>
      <c r="J446" s="188"/>
      <c r="K446" s="188"/>
      <c r="L446" s="188" t="s">
        <v>74</v>
      </c>
      <c r="M446" s="188"/>
      <c r="N446" s="188"/>
      <c r="O446" s="188" t="s">
        <v>486</v>
      </c>
      <c r="P446" s="143" t="str">
        <f>IFERROR(VLOOKUP(Table1[RespondentID],'All Data'!$A$3:$CO$999,87,FALSE),"unknown")</f>
        <v>Woman</v>
      </c>
      <c r="Q446" s="183">
        <f>IFERROR(VLOOKUP(Table1[RespondentID],'All Data'!$A$3:$CO$999,88,FALSE),"unknown")</f>
        <v>63</v>
      </c>
      <c r="R446" s="143" t="str">
        <f>IFERROR(VLOOKUP(Table1[RespondentID],'All Data'!$A$3:$CO$999,89,FALSE),"unknown")</f>
        <v>Suffolk</v>
      </c>
      <c r="S446" s="143" t="str">
        <f>IFERROR(VLOOKUP(Table1[RespondentID],'All Data'!$A$3:$CO$999,90,FALSE),"unknown")</f>
        <v>Patchogue, 11772</v>
      </c>
      <c r="T446" s="143" t="str">
        <f>IFERROR(VLOOKUP(Table1[RespondentID],'All Data'!$A$3:$CO$999,91,FALSE),"unknown")</f>
        <v>White</v>
      </c>
      <c r="U446" s="143" t="str">
        <f>IFERROR(VLOOKUP(Table1[RespondentID],'All Data'!$A$3:$CO$999,92,FALSE),"unknown")</f>
        <v>Not Hispanic or Latino</v>
      </c>
      <c r="V446" s="143" t="str">
        <f>IFERROR(VLOOKUP(Table1[RespondentID],'All Data'!$A$3:$CO$999,93,FALSE),"unknown")</f>
        <v>English</v>
      </c>
      <c r="W446" s="143" t="str">
        <f>IFERROR(VLOOKUP(Table1[RespondentID],'All Data'!$A$3:$CW$999,94,FALSE),"unknown")</f>
        <v>$50,000 to $74,999</v>
      </c>
      <c r="X446" s="143" t="str">
        <f>IFERROR(VLOOKUP(Table1[RespondentID],'All Data'!$A$3:$CW$999,95,FALSE),"unknown")</f>
        <v>Technical school</v>
      </c>
      <c r="Y446" s="143" t="str">
        <f>IFERROR(VLOOKUP(Table1[RespondentID],'All Data'!$A$3:$CW$999,96,FALSE),"unknown")</f>
        <v>Employed for wages</v>
      </c>
      <c r="Z446" s="143" t="str">
        <f>IFERROR(VLOOKUP(Table1[RespondentID],'All Data'!$A$3:$CW$999,97,FALSE),"unknown")</f>
        <v>Yes</v>
      </c>
      <c r="AA446" s="143" t="str">
        <f>IFERROR(VLOOKUP(Table1[RespondentID],'All Data'!$A$3:$CW$999,98,FALSE),"unknown")</f>
        <v>Private/Commercial</v>
      </c>
      <c r="AB446" s="143" t="str">
        <f>IFERROR(VLOOKUP(Table1[RespondentID],'All Data'!$A$3:$CW$999,99,FALSE),"unknown")</f>
        <v>Yes</v>
      </c>
    </row>
    <row r="447" spans="1:28">
      <c r="A447" s="149">
        <v>114112097119</v>
      </c>
      <c r="B447" s="187" t="s">
        <v>64</v>
      </c>
      <c r="C447" s="188"/>
      <c r="D447" s="188"/>
      <c r="E447" s="188" t="s">
        <v>67</v>
      </c>
      <c r="F447" s="188"/>
      <c r="G447" s="188"/>
      <c r="H447" s="188"/>
      <c r="I447" s="188"/>
      <c r="J447" s="188"/>
      <c r="K447" s="188"/>
      <c r="L447" s="188"/>
      <c r="M447" s="188" t="s">
        <v>75</v>
      </c>
      <c r="N447" s="188"/>
      <c r="O447" s="188"/>
      <c r="P447" s="143" t="str">
        <f>IFERROR(VLOOKUP(Table1[RespondentID],'All Data'!$A$3:$CO$999,87,FALSE),"unknown")</f>
        <v>Woman</v>
      </c>
      <c r="Q447" s="183">
        <f>IFERROR(VLOOKUP(Table1[RespondentID],'All Data'!$A$3:$CO$999,88,FALSE),"unknown")</f>
        <v>66</v>
      </c>
      <c r="R447" s="143" t="str">
        <f>IFERROR(VLOOKUP(Table1[RespondentID],'All Data'!$A$3:$CO$999,89,FALSE),"unknown")</f>
        <v>Suffolk</v>
      </c>
      <c r="S447" s="143" t="str">
        <f>IFERROR(VLOOKUP(Table1[RespondentID],'All Data'!$A$3:$CO$999,90,FALSE),"unknown")</f>
        <v>West Islip, 11795</v>
      </c>
      <c r="T447" s="143" t="str">
        <f>IFERROR(VLOOKUP(Table1[RespondentID],'All Data'!$A$3:$CO$999,91,FALSE),"unknown")</f>
        <v>White</v>
      </c>
      <c r="U447" s="143" t="str">
        <f>IFERROR(VLOOKUP(Table1[RespondentID],'All Data'!$A$3:$CO$999,92,FALSE),"unknown")</f>
        <v>Not Hispanic or Latino</v>
      </c>
      <c r="V447" s="143" t="str">
        <f>IFERROR(VLOOKUP(Table1[RespondentID],'All Data'!$A$3:$CO$999,93,FALSE),"unknown")</f>
        <v>English</v>
      </c>
      <c r="W447" s="143" t="str">
        <f>IFERROR(VLOOKUP(Table1[RespondentID],'All Data'!$A$3:$CW$999,94,FALSE),"unknown")</f>
        <v>$35,000 to $49,999</v>
      </c>
      <c r="X447" s="143" t="str">
        <f>IFERROR(VLOOKUP(Table1[RespondentID],'All Data'!$A$3:$CW$999,95,FALSE),"unknown")</f>
        <v>High school graduate</v>
      </c>
      <c r="Y447" s="143" t="str">
        <f>IFERROR(VLOOKUP(Table1[RespondentID],'All Data'!$A$3:$CW$999,96,FALSE),"unknown")</f>
        <v>Retired</v>
      </c>
      <c r="Z447" s="143" t="str">
        <f>IFERROR(VLOOKUP(Table1[RespondentID],'All Data'!$A$3:$CW$999,97,FALSE),"unknown")</f>
        <v>Yes</v>
      </c>
      <c r="AA447" s="143" t="str">
        <f>IFERROR(VLOOKUP(Table1[RespondentID],'All Data'!$A$3:$CW$999,98,FALSE),"unknown")</f>
        <v>Private/Commercial</v>
      </c>
      <c r="AB447" s="143" t="str">
        <f>IFERROR(VLOOKUP(Table1[RespondentID],'All Data'!$A$3:$CW$999,99,FALSE),"unknown")</f>
        <v>Yes</v>
      </c>
    </row>
    <row r="448" spans="1:28">
      <c r="A448" s="149">
        <v>114112093865</v>
      </c>
      <c r="B448" s="187"/>
      <c r="C448" s="188"/>
      <c r="D448" s="188"/>
      <c r="E448" s="188"/>
      <c r="F448" s="188"/>
      <c r="G448" s="188"/>
      <c r="H448" s="188"/>
      <c r="I448" s="188"/>
      <c r="J448" s="188"/>
      <c r="K448" s="188"/>
      <c r="L448" s="188"/>
      <c r="M448" s="188" t="s">
        <v>75</v>
      </c>
      <c r="N448" s="188"/>
      <c r="O448" s="188"/>
      <c r="P448" s="143" t="str">
        <f>IFERROR(VLOOKUP(Table1[RespondentID],'All Data'!$A$3:$CO$999,87,FALSE),"unknown")</f>
        <v>Woman</v>
      </c>
      <c r="Q448" s="183">
        <f>IFERROR(VLOOKUP(Table1[RespondentID],'All Data'!$A$3:$CO$999,88,FALSE),"unknown")</f>
        <v>63</v>
      </c>
      <c r="R448" s="143" t="str">
        <f>IFERROR(VLOOKUP(Table1[RespondentID],'All Data'!$A$3:$CO$999,89,FALSE),"unknown")</f>
        <v>Suffolk</v>
      </c>
      <c r="S448" s="143" t="str">
        <f>IFERROR(VLOOKUP(Table1[RespondentID],'All Data'!$A$3:$CO$999,90,FALSE),"unknown")</f>
        <v>Lindenhurst, 11757</v>
      </c>
      <c r="T448" s="143" t="str">
        <f>IFERROR(VLOOKUP(Table1[RespondentID],'All Data'!$A$3:$CO$999,91,FALSE),"unknown")</f>
        <v>White</v>
      </c>
      <c r="U448" s="143" t="str">
        <f>IFERROR(VLOOKUP(Table1[RespondentID],'All Data'!$A$3:$CO$999,92,FALSE),"unknown")</f>
        <v>Not Hispanic or Latino</v>
      </c>
      <c r="V448" s="143" t="str">
        <f>IFERROR(VLOOKUP(Table1[RespondentID],'All Data'!$A$3:$CO$999,93,FALSE),"unknown")</f>
        <v>English</v>
      </c>
      <c r="W448" s="143" t="str">
        <f>IFERROR(VLOOKUP(Table1[RespondentID],'All Data'!$A$3:$CW$999,94,FALSE),"unknown")</f>
        <v>$50,000 to $74,999</v>
      </c>
      <c r="X448" s="143" t="str">
        <f>IFERROR(VLOOKUP(Table1[RespondentID],'All Data'!$A$3:$CW$999,95,FALSE),"unknown")</f>
        <v>Some college</v>
      </c>
      <c r="Y448" s="143" t="str">
        <f>IFERROR(VLOOKUP(Table1[RespondentID],'All Data'!$A$3:$CW$999,96,FALSE),"unknown")</f>
        <v>Employed for wages</v>
      </c>
      <c r="Z448" s="143" t="str">
        <f>IFERROR(VLOOKUP(Table1[RespondentID],'All Data'!$A$3:$CW$999,97,FALSE),"unknown")</f>
        <v>No, but I did in the past</v>
      </c>
      <c r="AA448" s="143" t="str">
        <f>IFERROR(VLOOKUP(Table1[RespondentID],'All Data'!$A$3:$CW$999,98,FALSE),"unknown")</f>
        <v>No Insurance</v>
      </c>
      <c r="AB448" s="143" t="str">
        <f>IFERROR(VLOOKUP(Table1[RespondentID],'All Data'!$A$3:$CW$999,99,FALSE),"unknown")</f>
        <v>Yes</v>
      </c>
    </row>
    <row r="449" spans="1:28">
      <c r="A449" s="149">
        <v>114108705734</v>
      </c>
      <c r="B449" s="187" t="s">
        <v>64</v>
      </c>
      <c r="C449" s="188"/>
      <c r="D449" s="188"/>
      <c r="E449" s="188"/>
      <c r="F449" s="188"/>
      <c r="G449" s="188"/>
      <c r="H449" s="188"/>
      <c r="I449" s="188"/>
      <c r="J449" s="188"/>
      <c r="K449" s="188"/>
      <c r="L449" s="188"/>
      <c r="M449" s="188" t="s">
        <v>75</v>
      </c>
      <c r="N449" s="188"/>
      <c r="O449" s="188"/>
      <c r="P449" s="143">
        <f>IFERROR(VLOOKUP(Table1[RespondentID],'All Data'!$A$3:$CO$999,87,FALSE),"unknown")</f>
        <v>0</v>
      </c>
      <c r="Q449" s="183">
        <f>IFERROR(VLOOKUP(Table1[RespondentID],'All Data'!$A$3:$CO$999,88,FALSE),"unknown")</f>
        <v>0</v>
      </c>
      <c r="R449" s="143">
        <f>IFERROR(VLOOKUP(Table1[RespondentID],'All Data'!$A$3:$CO$999,89,FALSE),"unknown")</f>
        <v>0</v>
      </c>
      <c r="S449" s="143">
        <f>IFERROR(VLOOKUP(Table1[RespondentID],'All Data'!$A$3:$CO$999,90,FALSE),"unknown")</f>
        <v>0</v>
      </c>
      <c r="T449" s="143">
        <f>IFERROR(VLOOKUP(Table1[RespondentID],'All Data'!$A$3:$CO$999,91,FALSE),"unknown")</f>
        <v>0</v>
      </c>
      <c r="U449" s="143">
        <f>IFERROR(VLOOKUP(Table1[RespondentID],'All Data'!$A$3:$CO$999,92,FALSE),"unknown")</f>
        <v>0</v>
      </c>
      <c r="V449" s="143">
        <f>IFERROR(VLOOKUP(Table1[RespondentID],'All Data'!$A$3:$CO$999,93,FALSE),"unknown")</f>
        <v>0</v>
      </c>
      <c r="W449" s="143">
        <f>IFERROR(VLOOKUP(Table1[RespondentID],'All Data'!$A$3:$CW$999,94,FALSE),"unknown")</f>
        <v>0</v>
      </c>
      <c r="X449" s="143">
        <f>IFERROR(VLOOKUP(Table1[RespondentID],'All Data'!$A$3:$CW$999,95,FALSE),"unknown")</f>
        <v>0</v>
      </c>
      <c r="Y449" s="143">
        <f>IFERROR(VLOOKUP(Table1[RespondentID],'All Data'!$A$3:$CW$999,96,FALSE),"unknown")</f>
        <v>0</v>
      </c>
      <c r="Z449" s="143">
        <f>IFERROR(VLOOKUP(Table1[RespondentID],'All Data'!$A$3:$CW$999,97,FALSE),"unknown")</f>
        <v>0</v>
      </c>
      <c r="AA449" s="143">
        <f>IFERROR(VLOOKUP(Table1[RespondentID],'All Data'!$A$3:$CW$999,98,FALSE),"unknown")</f>
        <v>0</v>
      </c>
      <c r="AB449" s="143">
        <f>IFERROR(VLOOKUP(Table1[RespondentID],'All Data'!$A$3:$CW$999,99,FALSE),"unknown")</f>
        <v>0</v>
      </c>
    </row>
    <row r="450" spans="1:28">
      <c r="A450" s="149">
        <v>18032059967</v>
      </c>
      <c r="B450" s="187" t="s">
        <v>64</v>
      </c>
      <c r="C450" s="188"/>
      <c r="D450" s="188"/>
      <c r="E450" s="188" t="s">
        <v>67</v>
      </c>
      <c r="F450" s="188" t="s">
        <v>68</v>
      </c>
      <c r="G450" s="188" t="s">
        <v>69</v>
      </c>
      <c r="H450" s="188"/>
      <c r="I450" s="188" t="s">
        <v>71</v>
      </c>
      <c r="J450" s="188"/>
      <c r="K450" s="188"/>
      <c r="L450" s="188"/>
      <c r="M450" s="188" t="s">
        <v>75</v>
      </c>
      <c r="N450" s="188"/>
      <c r="O450" s="188" t="s">
        <v>489</v>
      </c>
      <c r="P450" s="143" t="str">
        <f>IFERROR(VLOOKUP(Table1[RespondentID],'All Data'!$A$3:$CO$999,87,FALSE),"unknown")</f>
        <v>Man</v>
      </c>
      <c r="Q450" s="183">
        <f>IFERROR(VLOOKUP(Table1[RespondentID],'All Data'!$A$3:$CO$999,88,FALSE),"unknown")</f>
        <v>67</v>
      </c>
      <c r="R450" s="143" t="str">
        <f>IFERROR(VLOOKUP(Table1[RespondentID],'All Data'!$A$3:$CO$999,89,FALSE),"unknown")</f>
        <v>Nassau</v>
      </c>
      <c r="S450" s="143" t="str">
        <f>IFERROR(VLOOKUP(Table1[RespondentID],'All Data'!$A$3:$CO$999,90,FALSE),"unknown")</f>
        <v>Hicksville, 11801</v>
      </c>
      <c r="T450" s="143" t="str">
        <f>IFERROR(VLOOKUP(Table1[RespondentID],'All Data'!$A$3:$CO$999,91,FALSE),"unknown")</f>
        <v>White</v>
      </c>
      <c r="U450" s="143" t="str">
        <f>IFERROR(VLOOKUP(Table1[RespondentID],'All Data'!$A$3:$CO$999,92,FALSE),"unknown")</f>
        <v>Not Hispanic or Latino</v>
      </c>
      <c r="V450" s="143" t="str">
        <f>IFERROR(VLOOKUP(Table1[RespondentID],'All Data'!$A$3:$CO$999,93,FALSE),"unknown")</f>
        <v>English</v>
      </c>
      <c r="W450" s="143" t="str">
        <f>IFERROR(VLOOKUP(Table1[RespondentID],'All Data'!$A$3:$CW$999,94,FALSE),"unknown")</f>
        <v>$75,000 to $125,000</v>
      </c>
      <c r="X450" s="143" t="str">
        <f>IFERROR(VLOOKUP(Table1[RespondentID],'All Data'!$A$3:$CW$999,95,FALSE),"unknown")</f>
        <v>Some college</v>
      </c>
      <c r="Y450" s="143" t="str">
        <f>IFERROR(VLOOKUP(Table1[RespondentID],'All Data'!$A$3:$CW$999,96,FALSE),"unknown")</f>
        <v>Retired</v>
      </c>
      <c r="Z450" s="143" t="str">
        <f>IFERROR(VLOOKUP(Table1[RespondentID],'All Data'!$A$3:$CW$999,97,FALSE),"unknown")</f>
        <v>Yes</v>
      </c>
      <c r="AA450" s="143" t="str">
        <f>IFERROR(VLOOKUP(Table1[RespondentID],'All Data'!$A$3:$CW$999,98,FALSE),"unknown")</f>
        <v>Medicare</v>
      </c>
      <c r="AB450" s="143" t="str">
        <f>IFERROR(VLOOKUP(Table1[RespondentID],'All Data'!$A$3:$CW$999,99,FALSE),"unknown")</f>
        <v>Yes</v>
      </c>
    </row>
    <row r="451" spans="1:28">
      <c r="A451" s="149">
        <v>18032014754</v>
      </c>
      <c r="B451" s="187" t="s">
        <v>64</v>
      </c>
      <c r="C451" s="188"/>
      <c r="D451" s="188" t="s">
        <v>66</v>
      </c>
      <c r="E451" s="188"/>
      <c r="F451" s="188" t="s">
        <v>68</v>
      </c>
      <c r="G451" s="188" t="s">
        <v>69</v>
      </c>
      <c r="H451" s="188"/>
      <c r="I451" s="188"/>
      <c r="J451" s="188"/>
      <c r="K451" s="188"/>
      <c r="L451" s="188"/>
      <c r="M451" s="188" t="s">
        <v>75</v>
      </c>
      <c r="N451" s="188"/>
      <c r="O451" s="188"/>
      <c r="P451" s="143" t="str">
        <f>IFERROR(VLOOKUP(Table1[RespondentID],'All Data'!$A$3:$CO$999,87,FALSE),"unknown")</f>
        <v>Woman</v>
      </c>
      <c r="Q451" s="183">
        <f>IFERROR(VLOOKUP(Table1[RespondentID],'All Data'!$A$3:$CO$999,88,FALSE),"unknown")</f>
        <v>16</v>
      </c>
      <c r="R451" s="143" t="str">
        <f>IFERROR(VLOOKUP(Table1[RespondentID],'All Data'!$A$3:$CO$999,89,FALSE),"unknown")</f>
        <v>Suffolk</v>
      </c>
      <c r="S451" s="143" t="str">
        <f>IFERROR(VLOOKUP(Table1[RespondentID],'All Data'!$A$3:$CO$999,90,FALSE),"unknown")</f>
        <v>Melville, 11747</v>
      </c>
      <c r="T451" s="143" t="str">
        <f>IFERROR(VLOOKUP(Table1[RespondentID],'All Data'!$A$3:$CO$999,91,FALSE),"unknown")</f>
        <v>White</v>
      </c>
      <c r="U451" s="143" t="str">
        <f>IFERROR(VLOOKUP(Table1[RespondentID],'All Data'!$A$3:$CO$999,92,FALSE),"unknown")</f>
        <v>Not Hispanic or Latino</v>
      </c>
      <c r="V451" s="143" t="str">
        <f>IFERROR(VLOOKUP(Table1[RespondentID],'All Data'!$A$3:$CO$999,93,FALSE),"unknown")</f>
        <v>English</v>
      </c>
      <c r="W451" s="143" t="str">
        <f>IFERROR(VLOOKUP(Table1[RespondentID],'All Data'!$A$3:$CW$999,94,FALSE),"unknown")</f>
        <v>$50,000 to $74,999</v>
      </c>
      <c r="X451" s="143" t="str">
        <f>IFERROR(VLOOKUP(Table1[RespondentID],'All Data'!$A$3:$CW$999,95,FALSE),"unknown")</f>
        <v>Some high school</v>
      </c>
      <c r="Y451" s="143" t="str">
        <f>IFERROR(VLOOKUP(Table1[RespondentID],'All Data'!$A$3:$CW$999,96,FALSE),"unknown")</f>
        <v>Student</v>
      </c>
      <c r="Z451" s="143" t="str">
        <f>IFERROR(VLOOKUP(Table1[RespondentID],'All Data'!$A$3:$CW$999,97,FALSE),"unknown")</f>
        <v>Yes</v>
      </c>
      <c r="AA451" s="143" t="str">
        <f>IFERROR(VLOOKUP(Table1[RespondentID],'All Data'!$A$3:$CW$999,98,FALSE),"unknown")</f>
        <v>Private/Commercial</v>
      </c>
      <c r="AB451" s="143" t="str">
        <f>IFERROR(VLOOKUP(Table1[RespondentID],'All Data'!$A$3:$CW$999,99,FALSE),"unknown")</f>
        <v>Yes</v>
      </c>
    </row>
    <row r="452" spans="1:28">
      <c r="A452" s="149">
        <v>18031752968</v>
      </c>
      <c r="B452" s="187"/>
      <c r="C452" s="188"/>
      <c r="D452" s="188"/>
      <c r="E452" s="188" t="s">
        <v>67</v>
      </c>
      <c r="F452" s="188"/>
      <c r="G452" s="188" t="s">
        <v>69</v>
      </c>
      <c r="H452" s="188"/>
      <c r="I452" s="188"/>
      <c r="J452" s="188"/>
      <c r="K452" s="188"/>
      <c r="L452" s="188"/>
      <c r="M452" s="188" t="s">
        <v>75</v>
      </c>
      <c r="N452" s="188"/>
      <c r="O452" s="188"/>
      <c r="P452" s="143" t="str">
        <f>IFERROR(VLOOKUP(Table1[RespondentID],'All Data'!$A$3:$CO$999,87,FALSE),"unknown")</f>
        <v>Man</v>
      </c>
      <c r="Q452" s="183">
        <f>IFERROR(VLOOKUP(Table1[RespondentID],'All Data'!$A$3:$CO$999,88,FALSE),"unknown")</f>
        <v>0</v>
      </c>
      <c r="R452" s="143" t="str">
        <f>IFERROR(VLOOKUP(Table1[RespondentID],'All Data'!$A$3:$CO$999,89,FALSE),"unknown")</f>
        <v>Nassau</v>
      </c>
      <c r="S452" s="143" t="str">
        <f>IFERROR(VLOOKUP(Table1[RespondentID],'All Data'!$A$3:$CO$999,90,FALSE),"unknown")</f>
        <v>Farmingdale, 11735</v>
      </c>
      <c r="T452" s="143" t="str">
        <f>IFERROR(VLOOKUP(Table1[RespondentID],'All Data'!$A$3:$CO$999,91,FALSE),"unknown")</f>
        <v>White</v>
      </c>
      <c r="U452" s="143" t="str">
        <f>IFERROR(VLOOKUP(Table1[RespondentID],'All Data'!$A$3:$CO$999,92,FALSE),"unknown")</f>
        <v>Not Hispanic or Latino</v>
      </c>
      <c r="V452" s="143" t="str">
        <f>IFERROR(VLOOKUP(Table1[RespondentID],'All Data'!$A$3:$CO$999,93,FALSE),"unknown")</f>
        <v>English</v>
      </c>
      <c r="W452" s="143">
        <f>IFERROR(VLOOKUP(Table1[RespondentID],'All Data'!$A$3:$CW$999,94,FALSE),"unknown")</f>
        <v>0</v>
      </c>
      <c r="X452" s="143" t="str">
        <f>IFERROR(VLOOKUP(Table1[RespondentID],'All Data'!$A$3:$CW$999,95,FALSE),"unknown")</f>
        <v>Graduate school</v>
      </c>
      <c r="Y452" s="143">
        <f>IFERROR(VLOOKUP(Table1[RespondentID],'All Data'!$A$3:$CW$999,96,FALSE),"unknown")</f>
        <v>0</v>
      </c>
      <c r="Z452" s="143">
        <f>IFERROR(VLOOKUP(Table1[RespondentID],'All Data'!$A$3:$CW$999,97,FALSE),"unknown")</f>
        <v>0</v>
      </c>
      <c r="AA452" s="143">
        <f>IFERROR(VLOOKUP(Table1[RespondentID],'All Data'!$A$3:$CW$999,98,FALSE),"unknown")</f>
        <v>0</v>
      </c>
      <c r="AB452" s="143">
        <f>IFERROR(VLOOKUP(Table1[RespondentID],'All Data'!$A$3:$CW$999,99,FALSE),"unknown")</f>
        <v>0</v>
      </c>
    </row>
    <row r="453" spans="1:28">
      <c r="A453" s="149">
        <v>18031752783</v>
      </c>
      <c r="B453" s="187"/>
      <c r="C453" s="188"/>
      <c r="D453" s="188"/>
      <c r="E453" s="188" t="s">
        <v>67</v>
      </c>
      <c r="F453" s="188"/>
      <c r="G453" s="188" t="s">
        <v>69</v>
      </c>
      <c r="H453" s="188"/>
      <c r="I453" s="188"/>
      <c r="J453" s="188"/>
      <c r="K453" s="188"/>
      <c r="L453" s="188" t="s">
        <v>74</v>
      </c>
      <c r="M453" s="188"/>
      <c r="N453" s="188" t="s">
        <v>76</v>
      </c>
      <c r="O453" s="188"/>
      <c r="P453" s="143" t="str">
        <f>IFERROR(VLOOKUP(Table1[RespondentID],'All Data'!$A$3:$CO$999,87,FALSE),"unknown")</f>
        <v>Man</v>
      </c>
      <c r="Q453" s="183">
        <f>IFERROR(VLOOKUP(Table1[RespondentID],'All Data'!$A$3:$CO$999,88,FALSE),"unknown")</f>
        <v>58</v>
      </c>
      <c r="R453" s="143" t="str">
        <f>IFERROR(VLOOKUP(Table1[RespondentID],'All Data'!$A$3:$CO$999,89,FALSE),"unknown")</f>
        <v>Nassau</v>
      </c>
      <c r="S453" s="143" t="str">
        <f>IFERROR(VLOOKUP(Table1[RespondentID],'All Data'!$A$3:$CO$999,90,FALSE),"unknown")</f>
        <v>Farmingdale, 11735</v>
      </c>
      <c r="T453" s="143" t="str">
        <f>IFERROR(VLOOKUP(Table1[RespondentID],'All Data'!$A$3:$CO$999,91,FALSE),"unknown")</f>
        <v>White</v>
      </c>
      <c r="U453" s="143">
        <f>IFERROR(VLOOKUP(Table1[RespondentID],'All Data'!$A$3:$CO$999,92,FALSE),"unknown")</f>
        <v>0</v>
      </c>
      <c r="V453" s="143" t="str">
        <f>IFERROR(VLOOKUP(Table1[RespondentID],'All Data'!$A$3:$CO$999,93,FALSE),"unknown")</f>
        <v>English</v>
      </c>
      <c r="W453" s="143" t="str">
        <f>IFERROR(VLOOKUP(Table1[RespondentID],'All Data'!$A$3:$CW$999,94,FALSE),"unknown")</f>
        <v>$20,000 to $34,999</v>
      </c>
      <c r="X453" s="143" t="str">
        <f>IFERROR(VLOOKUP(Table1[RespondentID],'All Data'!$A$3:$CW$999,95,FALSE),"unknown")</f>
        <v>Graduate school</v>
      </c>
      <c r="Y453" s="143" t="str">
        <f>IFERROR(VLOOKUP(Table1[RespondentID],'All Data'!$A$3:$CW$999,96,FALSE),"unknown")</f>
        <v>Self-employed</v>
      </c>
      <c r="Z453" s="143" t="str">
        <f>IFERROR(VLOOKUP(Table1[RespondentID],'All Data'!$A$3:$CW$999,97,FALSE),"unknown")</f>
        <v>No</v>
      </c>
      <c r="AA453" s="143" t="str">
        <f>IFERROR(VLOOKUP(Table1[RespondentID],'All Data'!$A$3:$CW$999,98,FALSE),"unknown")</f>
        <v>No Insurance</v>
      </c>
      <c r="AB453" s="143" t="str">
        <f>IFERROR(VLOOKUP(Table1[RespondentID],'All Data'!$A$3:$CW$999,99,FALSE),"unknown")</f>
        <v>No</v>
      </c>
    </row>
    <row r="454" spans="1:28">
      <c r="A454" s="149">
        <v>18031752813</v>
      </c>
      <c r="B454" s="187" t="s">
        <v>64</v>
      </c>
      <c r="C454" s="188"/>
      <c r="D454" s="188"/>
      <c r="E454" s="188" t="s">
        <v>67</v>
      </c>
      <c r="F454" s="188"/>
      <c r="G454" s="188"/>
      <c r="H454" s="188"/>
      <c r="I454" s="188"/>
      <c r="J454" s="188"/>
      <c r="K454" s="188"/>
      <c r="L454" s="188"/>
      <c r="M454" s="188" t="s">
        <v>75</v>
      </c>
      <c r="N454" s="188"/>
      <c r="O454" s="188"/>
      <c r="P454" s="143" t="str">
        <f>IFERROR(VLOOKUP(Table1[RespondentID],'All Data'!$A$3:$CO$999,87,FALSE),"unknown")</f>
        <v>Man</v>
      </c>
      <c r="Q454" s="183">
        <f>IFERROR(VLOOKUP(Table1[RespondentID],'All Data'!$A$3:$CO$999,88,FALSE),"unknown")</f>
        <v>28</v>
      </c>
      <c r="R454" s="143" t="str">
        <f>IFERROR(VLOOKUP(Table1[RespondentID],'All Data'!$A$3:$CO$999,89,FALSE),"unknown")</f>
        <v>Suffolk</v>
      </c>
      <c r="S454" s="143" t="str">
        <f>IFERROR(VLOOKUP(Table1[RespondentID],'All Data'!$A$3:$CO$999,90,FALSE),"unknown")</f>
        <v>Port Jefferson Station, 11776</v>
      </c>
      <c r="T454" s="143" t="str">
        <f>IFERROR(VLOOKUP(Table1[RespondentID],'All Data'!$A$3:$CO$999,91,FALSE),"unknown")</f>
        <v>White</v>
      </c>
      <c r="U454" s="143" t="str">
        <f>IFERROR(VLOOKUP(Table1[RespondentID],'All Data'!$A$3:$CO$999,92,FALSE),"unknown")</f>
        <v>Not Hispanic or Latino</v>
      </c>
      <c r="V454" s="143" t="str">
        <f>IFERROR(VLOOKUP(Table1[RespondentID],'All Data'!$A$3:$CO$999,93,FALSE),"unknown")</f>
        <v>English</v>
      </c>
      <c r="W454" s="143" t="str">
        <f>IFERROR(VLOOKUP(Table1[RespondentID],'All Data'!$A$3:$CW$999,94,FALSE),"unknown")</f>
        <v>$75,000 to $125,000</v>
      </c>
      <c r="X454" s="143" t="str">
        <f>IFERROR(VLOOKUP(Table1[RespondentID],'All Data'!$A$3:$CW$999,95,FALSE),"unknown")</f>
        <v>Graduate school</v>
      </c>
      <c r="Y454" s="143" t="str">
        <f>IFERROR(VLOOKUP(Table1[RespondentID],'All Data'!$A$3:$CW$999,96,FALSE),"unknown")</f>
        <v>Employed for wages</v>
      </c>
      <c r="Z454" s="143" t="str">
        <f>IFERROR(VLOOKUP(Table1[RespondentID],'All Data'!$A$3:$CW$999,97,FALSE),"unknown")</f>
        <v>Yes</v>
      </c>
      <c r="AA454" s="143" t="str">
        <f>IFERROR(VLOOKUP(Table1[RespondentID],'All Data'!$A$3:$CW$999,98,FALSE),"unknown")</f>
        <v>Private/Commercial</v>
      </c>
      <c r="AB454" s="143" t="str">
        <f>IFERROR(VLOOKUP(Table1[RespondentID],'All Data'!$A$3:$CW$999,99,FALSE),"unknown")</f>
        <v>Yes</v>
      </c>
    </row>
    <row r="455" spans="1:28">
      <c r="A455" s="149">
        <v>18031752705</v>
      </c>
      <c r="B455" s="187" t="s">
        <v>64</v>
      </c>
      <c r="C455" s="188"/>
      <c r="D455" s="188"/>
      <c r="E455" s="188" t="s">
        <v>67</v>
      </c>
      <c r="F455" s="188"/>
      <c r="G455" s="188"/>
      <c r="H455" s="188"/>
      <c r="I455" s="188"/>
      <c r="J455" s="188"/>
      <c r="K455" s="188"/>
      <c r="L455" s="188"/>
      <c r="M455" s="188"/>
      <c r="N455" s="188"/>
      <c r="O455" s="188"/>
      <c r="P455" s="143" t="str">
        <f>IFERROR(VLOOKUP(Table1[RespondentID],'All Data'!$A$3:$CO$999,87,FALSE),"unknown")</f>
        <v>Man</v>
      </c>
      <c r="Q455" s="183">
        <f>IFERROR(VLOOKUP(Table1[RespondentID],'All Data'!$A$3:$CO$999,88,FALSE),"unknown")</f>
        <v>91</v>
      </c>
      <c r="R455" s="143" t="str">
        <f>IFERROR(VLOOKUP(Table1[RespondentID],'All Data'!$A$3:$CO$999,89,FALSE),"unknown")</f>
        <v>Nassau</v>
      </c>
      <c r="S455" s="143" t="str">
        <f>IFERROR(VLOOKUP(Table1[RespondentID],'All Data'!$A$3:$CO$999,90,FALSE),"unknown")</f>
        <v>Farmingdale, 11735</v>
      </c>
      <c r="T455" s="143" t="str">
        <f>IFERROR(VLOOKUP(Table1[RespondentID],'All Data'!$A$3:$CO$999,91,FALSE),"unknown")</f>
        <v>White</v>
      </c>
      <c r="U455" s="143" t="str">
        <f>IFERROR(VLOOKUP(Table1[RespondentID],'All Data'!$A$3:$CO$999,92,FALSE),"unknown")</f>
        <v>Not Hispanic or Latino</v>
      </c>
      <c r="V455" s="143" t="str">
        <f>IFERROR(VLOOKUP(Table1[RespondentID],'All Data'!$A$3:$CO$999,93,FALSE),"unknown")</f>
        <v>English</v>
      </c>
      <c r="W455" s="143" t="str">
        <f>IFERROR(VLOOKUP(Table1[RespondentID],'All Data'!$A$3:$CW$999,94,FALSE),"unknown")</f>
        <v>$35,000 to $49,999</v>
      </c>
      <c r="X455" s="143" t="str">
        <f>IFERROR(VLOOKUP(Table1[RespondentID],'All Data'!$A$3:$CW$999,95,FALSE),"unknown")</f>
        <v>Some college</v>
      </c>
      <c r="Y455" s="143" t="str">
        <f>IFERROR(VLOOKUP(Table1[RespondentID],'All Data'!$A$3:$CW$999,96,FALSE),"unknown")</f>
        <v>Retired</v>
      </c>
      <c r="Z455" s="143" t="str">
        <f>IFERROR(VLOOKUP(Table1[RespondentID],'All Data'!$A$3:$CW$999,97,FALSE),"unknown")</f>
        <v>Yes</v>
      </c>
      <c r="AA455" s="143" t="str">
        <f>IFERROR(VLOOKUP(Table1[RespondentID],'All Data'!$A$3:$CW$999,98,FALSE),"unknown")</f>
        <v>Medicare</v>
      </c>
      <c r="AB455" s="143" t="str">
        <f>IFERROR(VLOOKUP(Table1[RespondentID],'All Data'!$A$3:$CW$999,99,FALSE),"unknown")</f>
        <v>Yes</v>
      </c>
    </row>
    <row r="456" spans="1:28">
      <c r="A456" s="149">
        <v>18031752630</v>
      </c>
      <c r="B456" s="187" t="s">
        <v>64</v>
      </c>
      <c r="C456" s="188"/>
      <c r="D456" s="188"/>
      <c r="E456" s="188"/>
      <c r="F456" s="188"/>
      <c r="G456" s="188"/>
      <c r="H456" s="188"/>
      <c r="I456" s="188"/>
      <c r="J456" s="188"/>
      <c r="K456" s="188"/>
      <c r="L456" s="188" t="s">
        <v>74</v>
      </c>
      <c r="M456" s="188" t="s">
        <v>75</v>
      </c>
      <c r="N456" s="188"/>
      <c r="O456" s="188"/>
      <c r="P456" s="143" t="str">
        <f>IFERROR(VLOOKUP(Table1[RespondentID],'All Data'!$A$3:$CO$999,87,FALSE),"unknown")</f>
        <v>Man</v>
      </c>
      <c r="Q456" s="183">
        <f>IFERROR(VLOOKUP(Table1[RespondentID],'All Data'!$A$3:$CO$999,88,FALSE),"unknown")</f>
        <v>68</v>
      </c>
      <c r="R456" s="143" t="str">
        <f>IFERROR(VLOOKUP(Table1[RespondentID],'All Data'!$A$3:$CO$999,89,FALSE),"unknown")</f>
        <v>Nassau</v>
      </c>
      <c r="S456" s="143" t="str">
        <f>IFERROR(VLOOKUP(Table1[RespondentID],'All Data'!$A$3:$CO$999,90,FALSE),"unknown")</f>
        <v>Farmingdale, 11735</v>
      </c>
      <c r="T456" s="143" t="str">
        <f>IFERROR(VLOOKUP(Table1[RespondentID],'All Data'!$A$3:$CO$999,91,FALSE),"unknown")</f>
        <v>White</v>
      </c>
      <c r="U456" s="143" t="str">
        <f>IFERROR(VLOOKUP(Table1[RespondentID],'All Data'!$A$3:$CO$999,92,FALSE),"unknown")</f>
        <v>Not Hispanic or Latino</v>
      </c>
      <c r="V456" s="143" t="str">
        <f>IFERROR(VLOOKUP(Table1[RespondentID],'All Data'!$A$3:$CO$999,93,FALSE),"unknown")</f>
        <v>English</v>
      </c>
      <c r="W456" s="143" t="str">
        <f>IFERROR(VLOOKUP(Table1[RespondentID],'All Data'!$A$3:$CW$999,94,FALSE),"unknown")</f>
        <v>$50,000 to $74,999</v>
      </c>
      <c r="X456" s="143" t="str">
        <f>IFERROR(VLOOKUP(Table1[RespondentID],'All Data'!$A$3:$CW$999,95,FALSE),"unknown")</f>
        <v>Some college</v>
      </c>
      <c r="Y456" s="143" t="str">
        <f>IFERROR(VLOOKUP(Table1[RespondentID],'All Data'!$A$3:$CW$999,96,FALSE),"unknown")</f>
        <v>Retired</v>
      </c>
      <c r="Z456" s="143" t="str">
        <f>IFERROR(VLOOKUP(Table1[RespondentID],'All Data'!$A$3:$CW$999,97,FALSE),"unknown")</f>
        <v>Yes</v>
      </c>
      <c r="AA456" s="143" t="str">
        <f>IFERROR(VLOOKUP(Table1[RespondentID],'All Data'!$A$3:$CW$999,98,FALSE),"unknown")</f>
        <v>Medicare</v>
      </c>
      <c r="AB456" s="143" t="str">
        <f>IFERROR(VLOOKUP(Table1[RespondentID],'All Data'!$A$3:$CW$999,99,FALSE),"unknown")</f>
        <v>Yes</v>
      </c>
    </row>
    <row r="457" spans="1:28">
      <c r="A457" s="149">
        <v>18031752588</v>
      </c>
      <c r="B457" s="187"/>
      <c r="C457" s="188"/>
      <c r="D457" s="188"/>
      <c r="E457" s="188"/>
      <c r="F457" s="188"/>
      <c r="G457" s="188"/>
      <c r="H457" s="188"/>
      <c r="I457" s="188"/>
      <c r="J457" s="188"/>
      <c r="K457" s="188"/>
      <c r="L457" s="188"/>
      <c r="M457" s="188"/>
      <c r="N457" s="188"/>
      <c r="O457" s="188"/>
      <c r="P457" s="143">
        <f>IFERROR(VLOOKUP(Table1[RespondentID],'All Data'!$A$3:$CO$999,87,FALSE),"unknown")</f>
        <v>0</v>
      </c>
      <c r="Q457" s="183">
        <f>IFERROR(VLOOKUP(Table1[RespondentID],'All Data'!$A$3:$CO$999,88,FALSE),"unknown")</f>
        <v>0</v>
      </c>
      <c r="R457" s="143">
        <f>IFERROR(VLOOKUP(Table1[RespondentID],'All Data'!$A$3:$CO$999,89,FALSE),"unknown")</f>
        <v>0</v>
      </c>
      <c r="S457" s="143">
        <f>IFERROR(VLOOKUP(Table1[RespondentID],'All Data'!$A$3:$CO$999,90,FALSE),"unknown")</f>
        <v>0</v>
      </c>
      <c r="T457" s="143">
        <f>IFERROR(VLOOKUP(Table1[RespondentID],'All Data'!$A$3:$CO$999,91,FALSE),"unknown")</f>
        <v>0</v>
      </c>
      <c r="U457" s="143">
        <f>IFERROR(VLOOKUP(Table1[RespondentID],'All Data'!$A$3:$CO$999,92,FALSE),"unknown")</f>
        <v>0</v>
      </c>
      <c r="V457" s="143">
        <f>IFERROR(VLOOKUP(Table1[RespondentID],'All Data'!$A$3:$CO$999,93,FALSE),"unknown")</f>
        <v>0</v>
      </c>
      <c r="W457" s="143">
        <f>IFERROR(VLOOKUP(Table1[RespondentID],'All Data'!$A$3:$CW$999,94,FALSE),"unknown")</f>
        <v>0</v>
      </c>
      <c r="X457" s="143">
        <f>IFERROR(VLOOKUP(Table1[RespondentID],'All Data'!$A$3:$CW$999,95,FALSE),"unknown")</f>
        <v>0</v>
      </c>
      <c r="Y457" s="143">
        <f>IFERROR(VLOOKUP(Table1[RespondentID],'All Data'!$A$3:$CW$999,96,FALSE),"unknown")</f>
        <v>0</v>
      </c>
      <c r="Z457" s="143">
        <f>IFERROR(VLOOKUP(Table1[RespondentID],'All Data'!$A$3:$CW$999,97,FALSE),"unknown")</f>
        <v>0</v>
      </c>
      <c r="AA457" s="143">
        <f>IFERROR(VLOOKUP(Table1[RespondentID],'All Data'!$A$3:$CW$999,98,FALSE),"unknown")</f>
        <v>0</v>
      </c>
      <c r="AB457" s="143">
        <f>IFERROR(VLOOKUP(Table1[RespondentID],'All Data'!$A$3:$CW$999,99,FALSE),"unknown")</f>
        <v>0</v>
      </c>
    </row>
    <row r="458" spans="1:28">
      <c r="A458" s="149">
        <v>18031752510</v>
      </c>
      <c r="B458" s="187" t="s">
        <v>64</v>
      </c>
      <c r="C458" s="188"/>
      <c r="D458" s="188" t="s">
        <v>66</v>
      </c>
      <c r="E458" s="188"/>
      <c r="F458" s="188"/>
      <c r="G458" s="188"/>
      <c r="H458" s="188"/>
      <c r="I458" s="188"/>
      <c r="J458" s="188"/>
      <c r="K458" s="188"/>
      <c r="L458" s="188"/>
      <c r="M458" s="188"/>
      <c r="N458" s="188"/>
      <c r="O458" s="188"/>
      <c r="P458" s="143" t="str">
        <f>IFERROR(VLOOKUP(Table1[RespondentID],'All Data'!$A$3:$CO$999,87,FALSE),"unknown")</f>
        <v>Man</v>
      </c>
      <c r="Q458" s="183">
        <f>IFERROR(VLOOKUP(Table1[RespondentID],'All Data'!$A$3:$CO$999,88,FALSE),"unknown")</f>
        <v>19</v>
      </c>
      <c r="R458" s="143" t="str">
        <f>IFERROR(VLOOKUP(Table1[RespondentID],'All Data'!$A$3:$CO$999,89,FALSE),"unknown")</f>
        <v>Nassau</v>
      </c>
      <c r="S458" s="143" t="str">
        <f>IFERROR(VLOOKUP(Table1[RespondentID],'All Data'!$A$3:$CO$999,90,FALSE),"unknown")</f>
        <v>Uniondale, 11553</v>
      </c>
      <c r="T458" s="143">
        <f>IFERROR(VLOOKUP(Table1[RespondentID],'All Data'!$A$3:$CO$999,91,FALSE),"unknown")</f>
        <v>0</v>
      </c>
      <c r="U458" s="143" t="str">
        <f>IFERROR(VLOOKUP(Table1[RespondentID],'All Data'!$A$3:$CO$999,92,FALSE),"unknown")</f>
        <v>Hispanic or Latino</v>
      </c>
      <c r="V458" s="143" t="str">
        <f>IFERROR(VLOOKUP(Table1[RespondentID],'All Data'!$A$3:$CO$999,93,FALSE),"unknown")</f>
        <v>English,Spanish</v>
      </c>
      <c r="W458" s="143">
        <f>IFERROR(VLOOKUP(Table1[RespondentID],'All Data'!$A$3:$CW$999,94,FALSE),"unknown")</f>
        <v>0</v>
      </c>
      <c r="X458" s="143" t="str">
        <f>IFERROR(VLOOKUP(Table1[RespondentID],'All Data'!$A$3:$CW$999,95,FALSE),"unknown")</f>
        <v>High school graduate</v>
      </c>
      <c r="Y458" s="143" t="str">
        <f>IFERROR(VLOOKUP(Table1[RespondentID],'All Data'!$A$3:$CW$999,96,FALSE),"unknown")</f>
        <v>Employed for wages</v>
      </c>
      <c r="Z458" s="143" t="str">
        <f>IFERROR(VLOOKUP(Table1[RespondentID],'All Data'!$A$3:$CW$999,97,FALSE),"unknown")</f>
        <v>Yes</v>
      </c>
      <c r="AA458" s="143">
        <f>IFERROR(VLOOKUP(Table1[RespondentID],'All Data'!$A$3:$CW$999,98,FALSE),"unknown")</f>
        <v>0</v>
      </c>
      <c r="AB458" s="143" t="str">
        <f>IFERROR(VLOOKUP(Table1[RespondentID],'All Data'!$A$3:$CW$999,99,FALSE),"unknown")</f>
        <v>Yes</v>
      </c>
    </row>
    <row r="459" spans="1:28">
      <c r="A459" s="149">
        <v>18031752417</v>
      </c>
      <c r="B459" s="187" t="s">
        <v>64</v>
      </c>
      <c r="C459" s="188"/>
      <c r="D459" s="188"/>
      <c r="E459" s="188"/>
      <c r="F459" s="188"/>
      <c r="G459" s="188"/>
      <c r="H459" s="188"/>
      <c r="I459" s="188"/>
      <c r="J459" s="188"/>
      <c r="K459" s="188"/>
      <c r="L459" s="188"/>
      <c r="M459" s="188"/>
      <c r="N459" s="188"/>
      <c r="O459" s="188"/>
      <c r="P459" s="143" t="str">
        <f>IFERROR(VLOOKUP(Table1[RespondentID],'All Data'!$A$3:$CO$999,87,FALSE),"unknown")</f>
        <v>Woman</v>
      </c>
      <c r="Q459" s="183">
        <f>IFERROR(VLOOKUP(Table1[RespondentID],'All Data'!$A$3:$CO$999,88,FALSE),"unknown")</f>
        <v>0</v>
      </c>
      <c r="R459" s="143">
        <f>IFERROR(VLOOKUP(Table1[RespondentID],'All Data'!$A$3:$CO$999,89,FALSE),"unknown")</f>
        <v>0</v>
      </c>
      <c r="S459" s="143">
        <f>IFERROR(VLOOKUP(Table1[RespondentID],'All Data'!$A$3:$CO$999,90,FALSE),"unknown")</f>
        <v>0</v>
      </c>
      <c r="T459" s="143">
        <f>IFERROR(VLOOKUP(Table1[RespondentID],'All Data'!$A$3:$CO$999,91,FALSE),"unknown")</f>
        <v>0</v>
      </c>
      <c r="U459" s="143">
        <f>IFERROR(VLOOKUP(Table1[RespondentID],'All Data'!$A$3:$CO$999,92,FALSE),"unknown")</f>
        <v>0</v>
      </c>
      <c r="V459" s="143" t="str">
        <f>IFERROR(VLOOKUP(Table1[RespondentID],'All Data'!$A$3:$CO$999,93,FALSE),"unknown")</f>
        <v>Chinese</v>
      </c>
      <c r="W459" s="143" t="str">
        <f>IFERROR(VLOOKUP(Table1[RespondentID],'All Data'!$A$3:$CW$999,94,FALSE),"unknown")</f>
        <v>$75,000 to $125,000</v>
      </c>
      <c r="X459" s="143" t="str">
        <f>IFERROR(VLOOKUP(Table1[RespondentID],'All Data'!$A$3:$CW$999,95,FALSE),"unknown")</f>
        <v>College graduate</v>
      </c>
      <c r="Y459" s="143" t="str">
        <f>IFERROR(VLOOKUP(Table1[RespondentID],'All Data'!$A$3:$CW$999,96,FALSE),"unknown")</f>
        <v>Retired</v>
      </c>
      <c r="Z459" s="143" t="str">
        <f>IFERROR(VLOOKUP(Table1[RespondentID],'All Data'!$A$3:$CW$999,97,FALSE),"unknown")</f>
        <v>Yes</v>
      </c>
      <c r="AA459" s="143" t="str">
        <f>IFERROR(VLOOKUP(Table1[RespondentID],'All Data'!$A$3:$CW$999,98,FALSE),"unknown")</f>
        <v>Medicaid</v>
      </c>
      <c r="AB459" s="143" t="str">
        <f>IFERROR(VLOOKUP(Table1[RespondentID],'All Data'!$A$3:$CW$999,99,FALSE),"unknown")</f>
        <v>Yes</v>
      </c>
    </row>
    <row r="460" spans="1:28">
      <c r="A460" s="149">
        <v>18031752360</v>
      </c>
      <c r="B460" s="187"/>
      <c r="C460" s="188" t="s">
        <v>65</v>
      </c>
      <c r="D460" s="188"/>
      <c r="E460" s="188"/>
      <c r="F460" s="188"/>
      <c r="G460" s="188"/>
      <c r="H460" s="188"/>
      <c r="I460" s="188"/>
      <c r="J460" s="188"/>
      <c r="K460" s="188"/>
      <c r="L460" s="188"/>
      <c r="M460" s="188"/>
      <c r="N460" s="188"/>
      <c r="O460" s="188" t="s">
        <v>505</v>
      </c>
      <c r="P460" s="143" t="str">
        <f>IFERROR(VLOOKUP(Table1[RespondentID],'All Data'!$A$3:$CO$999,87,FALSE),"unknown")</f>
        <v>Man</v>
      </c>
      <c r="Q460" s="183">
        <f>IFERROR(VLOOKUP(Table1[RespondentID],'All Data'!$A$3:$CO$999,88,FALSE),"unknown")</f>
        <v>89</v>
      </c>
      <c r="R460" s="143" t="str">
        <f>IFERROR(VLOOKUP(Table1[RespondentID],'All Data'!$A$3:$CO$999,89,FALSE),"unknown")</f>
        <v>Nassau</v>
      </c>
      <c r="S460" s="143" t="str">
        <f>IFERROR(VLOOKUP(Table1[RespondentID],'All Data'!$A$3:$CO$999,90,FALSE),"unknown")</f>
        <v>New Hyde Park, 11040</v>
      </c>
      <c r="T460" s="143" t="str">
        <f>IFERROR(VLOOKUP(Table1[RespondentID],'All Data'!$A$3:$CO$999,91,FALSE),"unknown")</f>
        <v>White</v>
      </c>
      <c r="U460" s="143">
        <f>IFERROR(VLOOKUP(Table1[RespondentID],'All Data'!$A$3:$CO$999,92,FALSE),"unknown")</f>
        <v>0</v>
      </c>
      <c r="V460" s="143" t="str">
        <f>IFERROR(VLOOKUP(Table1[RespondentID],'All Data'!$A$3:$CO$999,93,FALSE),"unknown")</f>
        <v>English</v>
      </c>
      <c r="W460" s="143">
        <f>IFERROR(VLOOKUP(Table1[RespondentID],'All Data'!$A$3:$CW$999,94,FALSE),"unknown")</f>
        <v>0</v>
      </c>
      <c r="X460" s="143" t="str">
        <f>IFERROR(VLOOKUP(Table1[RespondentID],'All Data'!$A$3:$CW$999,95,FALSE),"unknown")</f>
        <v>Some high school</v>
      </c>
      <c r="Y460" s="143" t="str">
        <f>IFERROR(VLOOKUP(Table1[RespondentID],'All Data'!$A$3:$CW$999,96,FALSE),"unknown")</f>
        <v>Retired</v>
      </c>
      <c r="Z460" s="143" t="str">
        <f>IFERROR(VLOOKUP(Table1[RespondentID],'All Data'!$A$3:$CW$999,97,FALSE),"unknown")</f>
        <v>Yes</v>
      </c>
      <c r="AA460" s="143" t="str">
        <f>IFERROR(VLOOKUP(Table1[RespondentID],'All Data'!$A$3:$CW$999,98,FALSE),"unknown")</f>
        <v>Medicare</v>
      </c>
      <c r="AB460" s="143" t="str">
        <f>IFERROR(VLOOKUP(Table1[RespondentID],'All Data'!$A$3:$CW$999,99,FALSE),"unknown")</f>
        <v>No</v>
      </c>
    </row>
    <row r="461" spans="1:28">
      <c r="A461" s="149">
        <v>18031752309</v>
      </c>
      <c r="B461" s="187"/>
      <c r="C461" s="188" t="s">
        <v>65</v>
      </c>
      <c r="D461" s="188"/>
      <c r="E461" s="188"/>
      <c r="F461" s="188"/>
      <c r="G461" s="188"/>
      <c r="H461" s="188"/>
      <c r="I461" s="188"/>
      <c r="J461" s="188"/>
      <c r="K461" s="188"/>
      <c r="L461" s="188"/>
      <c r="M461" s="188"/>
      <c r="N461" s="188"/>
      <c r="O461" s="188" t="s">
        <v>505</v>
      </c>
      <c r="P461" s="143" t="str">
        <f>IFERROR(VLOOKUP(Table1[RespondentID],'All Data'!$A$3:$CO$999,87,FALSE),"unknown")</f>
        <v>Woman</v>
      </c>
      <c r="Q461" s="183">
        <f>IFERROR(VLOOKUP(Table1[RespondentID],'All Data'!$A$3:$CO$999,88,FALSE),"unknown")</f>
        <v>0</v>
      </c>
      <c r="R461" s="143">
        <f>IFERROR(VLOOKUP(Table1[RespondentID],'All Data'!$A$3:$CO$999,89,FALSE),"unknown")</f>
        <v>0</v>
      </c>
      <c r="S461" s="143">
        <f>IFERROR(VLOOKUP(Table1[RespondentID],'All Data'!$A$3:$CO$999,90,FALSE),"unknown")</f>
        <v>0</v>
      </c>
      <c r="T461" s="143" t="str">
        <f>IFERROR(VLOOKUP(Table1[RespondentID],'All Data'!$A$3:$CO$999,91,FALSE),"unknown")</f>
        <v>White</v>
      </c>
      <c r="U461" s="143" t="str">
        <f>IFERROR(VLOOKUP(Table1[RespondentID],'All Data'!$A$3:$CO$999,92,FALSE),"unknown")</f>
        <v>Not Hispanic or Latino</v>
      </c>
      <c r="V461" s="143" t="str">
        <f>IFERROR(VLOOKUP(Table1[RespondentID],'All Data'!$A$3:$CO$999,93,FALSE),"unknown")</f>
        <v>English</v>
      </c>
      <c r="W461" s="143">
        <f>IFERROR(VLOOKUP(Table1[RespondentID],'All Data'!$A$3:$CW$999,94,FALSE),"unknown")</f>
        <v>0</v>
      </c>
      <c r="X461" s="143" t="str">
        <f>IFERROR(VLOOKUP(Table1[RespondentID],'All Data'!$A$3:$CW$999,95,FALSE),"unknown")</f>
        <v>High school graduate</v>
      </c>
      <c r="Y461" s="143" t="str">
        <f>IFERROR(VLOOKUP(Table1[RespondentID],'All Data'!$A$3:$CW$999,96,FALSE),"unknown")</f>
        <v>Retired</v>
      </c>
      <c r="Z461" s="143" t="str">
        <f>IFERROR(VLOOKUP(Table1[RespondentID],'All Data'!$A$3:$CW$999,97,FALSE),"unknown")</f>
        <v>Yes</v>
      </c>
      <c r="AA461" s="143" t="str">
        <f>IFERROR(VLOOKUP(Table1[RespondentID],'All Data'!$A$3:$CW$999,98,FALSE),"unknown")</f>
        <v>Medicare</v>
      </c>
      <c r="AB461" s="143">
        <f>IFERROR(VLOOKUP(Table1[RespondentID],'All Data'!$A$3:$CW$999,99,FALSE),"unknown")</f>
        <v>0</v>
      </c>
    </row>
    <row r="462" spans="1:28">
      <c r="A462" s="149">
        <v>18031752239</v>
      </c>
      <c r="B462" s="187" t="s">
        <v>64</v>
      </c>
      <c r="C462" s="188"/>
      <c r="D462" s="188"/>
      <c r="E462" s="188" t="s">
        <v>67</v>
      </c>
      <c r="F462" s="188"/>
      <c r="G462" s="188"/>
      <c r="H462" s="188"/>
      <c r="I462" s="188"/>
      <c r="J462" s="188"/>
      <c r="K462" s="188"/>
      <c r="L462" s="188"/>
      <c r="M462" s="188" t="s">
        <v>75</v>
      </c>
      <c r="N462" s="188"/>
      <c r="O462" s="188"/>
      <c r="P462" s="143" t="str">
        <f>IFERROR(VLOOKUP(Table1[RespondentID],'All Data'!$A$3:$CO$999,87,FALSE),"unknown")</f>
        <v>Woman</v>
      </c>
      <c r="Q462" s="183">
        <f>IFERROR(VLOOKUP(Table1[RespondentID],'All Data'!$A$3:$CO$999,88,FALSE),"unknown")</f>
        <v>77</v>
      </c>
      <c r="R462" s="143" t="str">
        <f>IFERROR(VLOOKUP(Table1[RespondentID],'All Data'!$A$3:$CO$999,89,FALSE),"unknown")</f>
        <v>Nassau</v>
      </c>
      <c r="S462" s="143" t="str">
        <f>IFERROR(VLOOKUP(Table1[RespondentID],'All Data'!$A$3:$CO$999,90,FALSE),"unknown")</f>
        <v>Carle Place, 11514</v>
      </c>
      <c r="T462" s="143" t="str">
        <f>IFERROR(VLOOKUP(Table1[RespondentID],'All Data'!$A$3:$CO$999,91,FALSE),"unknown")</f>
        <v>White</v>
      </c>
      <c r="U462" s="143" t="str">
        <f>IFERROR(VLOOKUP(Table1[RespondentID],'All Data'!$A$3:$CO$999,92,FALSE),"unknown")</f>
        <v>Not Hispanic or Latino</v>
      </c>
      <c r="V462" s="143" t="str">
        <f>IFERROR(VLOOKUP(Table1[RespondentID],'All Data'!$A$3:$CO$999,93,FALSE),"unknown")</f>
        <v>English</v>
      </c>
      <c r="W462" s="143">
        <f>IFERROR(VLOOKUP(Table1[RespondentID],'All Data'!$A$3:$CW$999,94,FALSE),"unknown")</f>
        <v>0</v>
      </c>
      <c r="X462" s="143">
        <f>IFERROR(VLOOKUP(Table1[RespondentID],'All Data'!$A$3:$CW$999,95,FALSE),"unknown")</f>
        <v>0</v>
      </c>
      <c r="Y462" s="143" t="str">
        <f>IFERROR(VLOOKUP(Table1[RespondentID],'All Data'!$A$3:$CW$999,96,FALSE),"unknown")</f>
        <v>Retired</v>
      </c>
      <c r="Z462" s="143" t="str">
        <f>IFERROR(VLOOKUP(Table1[RespondentID],'All Data'!$A$3:$CW$999,97,FALSE),"unknown")</f>
        <v>Yes</v>
      </c>
      <c r="AA462" s="143" t="str">
        <f>IFERROR(VLOOKUP(Table1[RespondentID],'All Data'!$A$3:$CW$999,98,FALSE),"unknown")</f>
        <v>Medicare,Private/Commercial</v>
      </c>
      <c r="AB462" s="143" t="str">
        <f>IFERROR(VLOOKUP(Table1[RespondentID],'All Data'!$A$3:$CW$999,99,FALSE),"unknown")</f>
        <v>Yes</v>
      </c>
    </row>
    <row r="463" spans="1:28">
      <c r="A463" s="149">
        <v>18031752178</v>
      </c>
      <c r="B463" s="187" t="s">
        <v>64</v>
      </c>
      <c r="C463" s="188"/>
      <c r="D463" s="188"/>
      <c r="E463" s="188"/>
      <c r="F463" s="188"/>
      <c r="G463" s="188"/>
      <c r="H463" s="188"/>
      <c r="I463" s="188"/>
      <c r="J463" s="188"/>
      <c r="K463" s="188"/>
      <c r="L463" s="188"/>
      <c r="M463" s="188"/>
      <c r="N463" s="188"/>
      <c r="O463" s="188"/>
      <c r="P463" s="143" t="str">
        <f>IFERROR(VLOOKUP(Table1[RespondentID],'All Data'!$A$3:$CO$999,87,FALSE),"unknown")</f>
        <v>Woman</v>
      </c>
      <c r="Q463" s="183">
        <f>IFERROR(VLOOKUP(Table1[RespondentID],'All Data'!$A$3:$CO$999,88,FALSE),"unknown")</f>
        <v>73</v>
      </c>
      <c r="R463" s="143" t="str">
        <f>IFERROR(VLOOKUP(Table1[RespondentID],'All Data'!$A$3:$CO$999,89,FALSE),"unknown")</f>
        <v>Nassau</v>
      </c>
      <c r="S463" s="143" t="str">
        <f>IFERROR(VLOOKUP(Table1[RespondentID],'All Data'!$A$3:$CO$999,90,FALSE),"unknown")</f>
        <v>New Cassel, 11590</v>
      </c>
      <c r="T463" s="143" t="str">
        <f>IFERROR(VLOOKUP(Table1[RespondentID],'All Data'!$A$3:$CO$999,91,FALSE),"unknown")</f>
        <v>White</v>
      </c>
      <c r="U463" s="143" t="str">
        <f>IFERROR(VLOOKUP(Table1[RespondentID],'All Data'!$A$3:$CO$999,92,FALSE),"unknown")</f>
        <v>Not Hispanic or Latino</v>
      </c>
      <c r="V463" s="143" t="str">
        <f>IFERROR(VLOOKUP(Table1[RespondentID],'All Data'!$A$3:$CO$999,93,FALSE),"unknown")</f>
        <v>English</v>
      </c>
      <c r="W463" s="143" t="str">
        <f>IFERROR(VLOOKUP(Table1[RespondentID],'All Data'!$A$3:$CW$999,94,FALSE),"unknown")</f>
        <v>$75,000 to $125,000</v>
      </c>
      <c r="X463" s="143" t="str">
        <f>IFERROR(VLOOKUP(Table1[RespondentID],'All Data'!$A$3:$CW$999,95,FALSE),"unknown")</f>
        <v>College graduate</v>
      </c>
      <c r="Y463" s="143" t="str">
        <f>IFERROR(VLOOKUP(Table1[RespondentID],'All Data'!$A$3:$CW$999,96,FALSE),"unknown")</f>
        <v>Retired</v>
      </c>
      <c r="Z463" s="143" t="str">
        <f>IFERROR(VLOOKUP(Table1[RespondentID],'All Data'!$A$3:$CW$999,97,FALSE),"unknown")</f>
        <v>Yes</v>
      </c>
      <c r="AA463" s="143" t="str">
        <f>IFERROR(VLOOKUP(Table1[RespondentID],'All Data'!$A$3:$CW$999,98,FALSE),"unknown")</f>
        <v>Medicare</v>
      </c>
      <c r="AB463" s="143" t="str">
        <f>IFERROR(VLOOKUP(Table1[RespondentID],'All Data'!$A$3:$CW$999,99,FALSE),"unknown")</f>
        <v>Yes</v>
      </c>
    </row>
    <row r="464" spans="1:28">
      <c r="A464" s="149">
        <v>18031752106</v>
      </c>
      <c r="B464" s="187" t="s">
        <v>64</v>
      </c>
      <c r="C464" s="188"/>
      <c r="D464" s="188" t="s">
        <v>66</v>
      </c>
      <c r="E464" s="188"/>
      <c r="F464" s="188"/>
      <c r="G464" s="188" t="s">
        <v>69</v>
      </c>
      <c r="H464" s="188"/>
      <c r="I464" s="188"/>
      <c r="J464" s="188"/>
      <c r="K464" s="188"/>
      <c r="L464" s="188"/>
      <c r="M464" s="188"/>
      <c r="N464" s="188"/>
      <c r="O464" s="188"/>
      <c r="P464" s="143" t="str">
        <f>IFERROR(VLOOKUP(Table1[RespondentID],'All Data'!$A$3:$CO$999,87,FALSE),"unknown")</f>
        <v>Man</v>
      </c>
      <c r="Q464" s="183">
        <f>IFERROR(VLOOKUP(Table1[RespondentID],'All Data'!$A$3:$CO$999,88,FALSE),"unknown")</f>
        <v>74</v>
      </c>
      <c r="R464" s="143" t="str">
        <f>IFERROR(VLOOKUP(Table1[RespondentID],'All Data'!$A$3:$CO$999,89,FALSE),"unknown")</f>
        <v>Nassau</v>
      </c>
      <c r="S464" s="143" t="str">
        <f>IFERROR(VLOOKUP(Table1[RespondentID],'All Data'!$A$3:$CO$999,90,FALSE),"unknown")</f>
        <v>Westbury, 11590</v>
      </c>
      <c r="T464" s="143" t="str">
        <f>IFERROR(VLOOKUP(Table1[RespondentID],'All Data'!$A$3:$CO$999,91,FALSE),"unknown")</f>
        <v>White</v>
      </c>
      <c r="U464" s="143">
        <f>IFERROR(VLOOKUP(Table1[RespondentID],'All Data'!$A$3:$CO$999,92,FALSE),"unknown")</f>
        <v>0</v>
      </c>
      <c r="V464" s="143" t="str">
        <f>IFERROR(VLOOKUP(Table1[RespondentID],'All Data'!$A$3:$CO$999,93,FALSE),"unknown")</f>
        <v>English</v>
      </c>
      <c r="W464" s="143" t="str">
        <f>IFERROR(VLOOKUP(Table1[RespondentID],'All Data'!$A$3:$CW$999,94,FALSE),"unknown")</f>
        <v>Over $125,000</v>
      </c>
      <c r="X464" s="143" t="str">
        <f>IFERROR(VLOOKUP(Table1[RespondentID],'All Data'!$A$3:$CW$999,95,FALSE),"unknown")</f>
        <v>Graduate school</v>
      </c>
      <c r="Y464" s="143" t="str">
        <f>IFERROR(VLOOKUP(Table1[RespondentID],'All Data'!$A$3:$CW$999,96,FALSE),"unknown")</f>
        <v>Retired</v>
      </c>
      <c r="Z464" s="143" t="str">
        <f>IFERROR(VLOOKUP(Table1[RespondentID],'All Data'!$A$3:$CW$999,97,FALSE),"unknown")</f>
        <v>Yes</v>
      </c>
      <c r="AA464" s="143" t="str">
        <f>IFERROR(VLOOKUP(Table1[RespondentID],'All Data'!$A$3:$CW$999,98,FALSE),"unknown")</f>
        <v>Medicare,Private/Commercial</v>
      </c>
      <c r="AB464" s="143" t="str">
        <f>IFERROR(VLOOKUP(Table1[RespondentID],'All Data'!$A$3:$CW$999,99,FALSE),"unknown")</f>
        <v>Yes</v>
      </c>
    </row>
    <row r="465" spans="1:28">
      <c r="A465" s="149">
        <v>18031752041</v>
      </c>
      <c r="B465" s="187" t="s">
        <v>64</v>
      </c>
      <c r="C465" s="188"/>
      <c r="D465" s="188"/>
      <c r="E465" s="188"/>
      <c r="F465" s="188"/>
      <c r="G465" s="188"/>
      <c r="H465" s="188"/>
      <c r="I465" s="188"/>
      <c r="J465" s="188"/>
      <c r="K465" s="188"/>
      <c r="L465" s="188"/>
      <c r="M465" s="188"/>
      <c r="N465" s="188"/>
      <c r="O465" s="188"/>
      <c r="P465" s="143" t="str">
        <f>IFERROR(VLOOKUP(Table1[RespondentID],'All Data'!$A$3:$CO$999,87,FALSE),"unknown")</f>
        <v>Woman</v>
      </c>
      <c r="Q465" s="183">
        <f>IFERROR(VLOOKUP(Table1[RespondentID],'All Data'!$A$3:$CO$999,88,FALSE),"unknown")</f>
        <v>63</v>
      </c>
      <c r="R465" s="143" t="str">
        <f>IFERROR(VLOOKUP(Table1[RespondentID],'All Data'!$A$3:$CO$999,89,FALSE),"unknown")</f>
        <v>Nassau</v>
      </c>
      <c r="S465" s="143" t="str">
        <f>IFERROR(VLOOKUP(Table1[RespondentID],'All Data'!$A$3:$CO$999,90,FALSE),"unknown")</f>
        <v>North Massapequa, 11758</v>
      </c>
      <c r="T465" s="143" t="str">
        <f>IFERROR(VLOOKUP(Table1[RespondentID],'All Data'!$A$3:$CO$999,91,FALSE),"unknown")</f>
        <v>White</v>
      </c>
      <c r="U465" s="143" t="str">
        <f>IFERROR(VLOOKUP(Table1[RespondentID],'All Data'!$A$3:$CO$999,92,FALSE),"unknown")</f>
        <v>Not Hispanic or Latino</v>
      </c>
      <c r="V465" s="143" t="str">
        <f>IFERROR(VLOOKUP(Table1[RespondentID],'All Data'!$A$3:$CO$999,93,FALSE),"unknown")</f>
        <v>English</v>
      </c>
      <c r="W465" s="143">
        <f>IFERROR(VLOOKUP(Table1[RespondentID],'All Data'!$A$3:$CW$999,94,FALSE),"unknown")</f>
        <v>0</v>
      </c>
      <c r="X465" s="143" t="str">
        <f>IFERROR(VLOOKUP(Table1[RespondentID],'All Data'!$A$3:$CW$999,95,FALSE),"unknown")</f>
        <v>College graduate</v>
      </c>
      <c r="Y465" s="143" t="str">
        <f>IFERROR(VLOOKUP(Table1[RespondentID],'All Data'!$A$3:$CW$999,96,FALSE),"unknown")</f>
        <v>Retired</v>
      </c>
      <c r="Z465" s="143" t="str">
        <f>IFERROR(VLOOKUP(Table1[RespondentID],'All Data'!$A$3:$CW$999,97,FALSE),"unknown")</f>
        <v>Yes</v>
      </c>
      <c r="AA465" s="143" t="str">
        <f>IFERROR(VLOOKUP(Table1[RespondentID],'All Data'!$A$3:$CW$999,98,FALSE),"unknown")</f>
        <v>Private/Commercial</v>
      </c>
      <c r="AB465" s="143" t="str">
        <f>IFERROR(VLOOKUP(Table1[RespondentID],'All Data'!$A$3:$CW$999,99,FALSE),"unknown")</f>
        <v>Yes</v>
      </c>
    </row>
    <row r="466" spans="1:28">
      <c r="A466" s="149">
        <v>18031751982</v>
      </c>
      <c r="B466" s="187" t="s">
        <v>64</v>
      </c>
      <c r="C466" s="188"/>
      <c r="D466" s="188"/>
      <c r="E466" s="188"/>
      <c r="F466" s="188"/>
      <c r="G466" s="188"/>
      <c r="H466" s="188"/>
      <c r="I466" s="188"/>
      <c r="J466" s="188"/>
      <c r="K466" s="188"/>
      <c r="L466" s="188"/>
      <c r="M466" s="188"/>
      <c r="N466" s="188"/>
      <c r="O466" s="188"/>
      <c r="P466" s="143" t="str">
        <f>IFERROR(VLOOKUP(Table1[RespondentID],'All Data'!$A$3:$CO$999,87,FALSE),"unknown")</f>
        <v>Woman</v>
      </c>
      <c r="Q466" s="183">
        <f>IFERROR(VLOOKUP(Table1[RespondentID],'All Data'!$A$3:$CO$999,88,FALSE),"unknown")</f>
        <v>0</v>
      </c>
      <c r="R466" s="143" t="str">
        <f>IFERROR(VLOOKUP(Table1[RespondentID],'All Data'!$A$3:$CO$999,89,FALSE),"unknown")</f>
        <v>Suffolk</v>
      </c>
      <c r="S466" s="143" t="str">
        <f>IFERROR(VLOOKUP(Table1[RespondentID],'All Data'!$A$3:$CO$999,90,FALSE),"unknown")</f>
        <v>West Babylon, 11704</v>
      </c>
      <c r="T466" s="143" t="str">
        <f>IFERROR(VLOOKUP(Table1[RespondentID],'All Data'!$A$3:$CO$999,91,FALSE),"unknown")</f>
        <v>White</v>
      </c>
      <c r="U466" s="143" t="str">
        <f>IFERROR(VLOOKUP(Table1[RespondentID],'All Data'!$A$3:$CO$999,92,FALSE),"unknown")</f>
        <v>Not Hispanic or Latino</v>
      </c>
      <c r="V466" s="143" t="str">
        <f>IFERROR(VLOOKUP(Table1[RespondentID],'All Data'!$A$3:$CO$999,93,FALSE),"unknown")</f>
        <v>English</v>
      </c>
      <c r="W466" s="143" t="str">
        <f>IFERROR(VLOOKUP(Table1[RespondentID],'All Data'!$A$3:$CW$999,94,FALSE),"unknown")</f>
        <v>Over $125,000</v>
      </c>
      <c r="X466" s="143" t="str">
        <f>IFERROR(VLOOKUP(Table1[RespondentID],'All Data'!$A$3:$CW$999,95,FALSE),"unknown")</f>
        <v>Graduate school</v>
      </c>
      <c r="Y466" s="143" t="str">
        <f>IFERROR(VLOOKUP(Table1[RespondentID],'All Data'!$A$3:$CW$999,96,FALSE),"unknown")</f>
        <v>Employed for wages</v>
      </c>
      <c r="Z466" s="143" t="str">
        <f>IFERROR(VLOOKUP(Table1[RespondentID],'All Data'!$A$3:$CW$999,97,FALSE),"unknown")</f>
        <v>Yes</v>
      </c>
      <c r="AA466" s="143" t="str">
        <f>IFERROR(VLOOKUP(Table1[RespondentID],'All Data'!$A$3:$CW$999,98,FALSE),"unknown")</f>
        <v>Private/Commercial</v>
      </c>
      <c r="AB466" s="143" t="str">
        <f>IFERROR(VLOOKUP(Table1[RespondentID],'All Data'!$A$3:$CW$999,99,FALSE),"unknown")</f>
        <v>Yes</v>
      </c>
    </row>
    <row r="467" spans="1:28">
      <c r="A467" s="149">
        <v>18031751744</v>
      </c>
      <c r="B467" s="187" t="s">
        <v>64</v>
      </c>
      <c r="C467" s="188"/>
      <c r="D467" s="188"/>
      <c r="E467" s="188" t="s">
        <v>67</v>
      </c>
      <c r="F467" s="188" t="s">
        <v>68</v>
      </c>
      <c r="G467" s="188"/>
      <c r="H467" s="188" t="s">
        <v>70</v>
      </c>
      <c r="I467" s="188"/>
      <c r="J467" s="188"/>
      <c r="K467" s="188" t="s">
        <v>73</v>
      </c>
      <c r="L467" s="188"/>
      <c r="M467" s="188"/>
      <c r="N467" s="188"/>
      <c r="O467" s="188"/>
      <c r="P467" s="143" t="str">
        <f>IFERROR(VLOOKUP(Table1[RespondentID],'All Data'!$A$3:$CO$999,87,FALSE),"unknown")</f>
        <v>Man</v>
      </c>
      <c r="Q467" s="183">
        <f>IFERROR(VLOOKUP(Table1[RespondentID],'All Data'!$A$3:$CO$999,88,FALSE),"unknown")</f>
        <v>59</v>
      </c>
      <c r="R467" s="143" t="str">
        <f>IFERROR(VLOOKUP(Table1[RespondentID],'All Data'!$A$3:$CO$999,89,FALSE),"unknown")</f>
        <v>Suffolk</v>
      </c>
      <c r="S467" s="143" t="str">
        <f>IFERROR(VLOOKUP(Table1[RespondentID],'All Data'!$A$3:$CO$999,90,FALSE),"unknown")</f>
        <v>Huntington Station, 11746</v>
      </c>
      <c r="T467" s="143" t="str">
        <f>IFERROR(VLOOKUP(Table1[RespondentID],'All Data'!$A$3:$CO$999,91,FALSE),"unknown")</f>
        <v>Asian</v>
      </c>
      <c r="U467" s="143" t="str">
        <f>IFERROR(VLOOKUP(Table1[RespondentID],'All Data'!$A$3:$CO$999,92,FALSE),"unknown")</f>
        <v>Not Hispanic or Latino</v>
      </c>
      <c r="V467" s="143" t="str">
        <f>IFERROR(VLOOKUP(Table1[RespondentID],'All Data'!$A$3:$CO$999,93,FALSE),"unknown")</f>
        <v>English</v>
      </c>
      <c r="W467" s="143" t="str">
        <f>IFERROR(VLOOKUP(Table1[RespondentID],'All Data'!$A$3:$CW$999,94,FALSE),"unknown")</f>
        <v>Over $125,000</v>
      </c>
      <c r="X467" s="143" t="str">
        <f>IFERROR(VLOOKUP(Table1[RespondentID],'All Data'!$A$3:$CW$999,95,FALSE),"unknown")</f>
        <v>Graduate school</v>
      </c>
      <c r="Y467" s="143" t="str">
        <f>IFERROR(VLOOKUP(Table1[RespondentID],'All Data'!$A$3:$CW$999,96,FALSE),"unknown")</f>
        <v>Self-employed</v>
      </c>
      <c r="Z467" s="143" t="str">
        <f>IFERROR(VLOOKUP(Table1[RespondentID],'All Data'!$A$3:$CW$999,97,FALSE),"unknown")</f>
        <v>Yes</v>
      </c>
      <c r="AA467" s="143" t="str">
        <f>IFERROR(VLOOKUP(Table1[RespondentID],'All Data'!$A$3:$CW$999,98,FALSE),"unknown")</f>
        <v>Private/Commercial</v>
      </c>
      <c r="AB467" s="143" t="str">
        <f>IFERROR(VLOOKUP(Table1[RespondentID],'All Data'!$A$3:$CW$999,99,FALSE),"unknown")</f>
        <v>Yes</v>
      </c>
    </row>
    <row r="468" spans="1:28">
      <c r="A468" s="149">
        <v>18031751661</v>
      </c>
      <c r="B468" s="187" t="s">
        <v>64</v>
      </c>
      <c r="C468" s="188"/>
      <c r="D468" s="188"/>
      <c r="E468" s="188" t="s">
        <v>67</v>
      </c>
      <c r="F468" s="188"/>
      <c r="G468" s="188"/>
      <c r="H468" s="188"/>
      <c r="I468" s="188"/>
      <c r="J468" s="188"/>
      <c r="K468" s="188"/>
      <c r="L468" s="188"/>
      <c r="M468" s="188"/>
      <c r="N468" s="188"/>
      <c r="O468" s="188"/>
      <c r="P468" s="143" t="str">
        <f>IFERROR(VLOOKUP(Table1[RespondentID],'All Data'!$A$3:$CO$999,87,FALSE),"unknown")</f>
        <v>Woman</v>
      </c>
      <c r="Q468" s="183">
        <f>IFERROR(VLOOKUP(Table1[RespondentID],'All Data'!$A$3:$CO$999,88,FALSE),"unknown")</f>
        <v>71</v>
      </c>
      <c r="R468" s="143" t="str">
        <f>IFERROR(VLOOKUP(Table1[RespondentID],'All Data'!$A$3:$CO$999,89,FALSE),"unknown")</f>
        <v>Nassau</v>
      </c>
      <c r="S468" s="143" t="str">
        <f>IFERROR(VLOOKUP(Table1[RespondentID],'All Data'!$A$3:$CO$999,90,FALSE),"unknown")</f>
        <v>Bethpage, 11714</v>
      </c>
      <c r="T468" s="143" t="str">
        <f>IFERROR(VLOOKUP(Table1[RespondentID],'All Data'!$A$3:$CO$999,91,FALSE),"unknown")</f>
        <v>White</v>
      </c>
      <c r="U468" s="143" t="str">
        <f>IFERROR(VLOOKUP(Table1[RespondentID],'All Data'!$A$3:$CO$999,92,FALSE),"unknown")</f>
        <v>Not Hispanic or Latino</v>
      </c>
      <c r="V468" s="143" t="str">
        <f>IFERROR(VLOOKUP(Table1[RespondentID],'All Data'!$A$3:$CO$999,93,FALSE),"unknown")</f>
        <v>English</v>
      </c>
      <c r="W468" s="143" t="str">
        <f>IFERROR(VLOOKUP(Table1[RespondentID],'All Data'!$A$3:$CW$999,94,FALSE),"unknown")</f>
        <v>$35,000 to $49,999</v>
      </c>
      <c r="X468" s="143" t="str">
        <f>IFERROR(VLOOKUP(Table1[RespondentID],'All Data'!$A$3:$CW$999,95,FALSE),"unknown")</f>
        <v>High school graduate</v>
      </c>
      <c r="Y468" s="143" t="str">
        <f>IFERROR(VLOOKUP(Table1[RespondentID],'All Data'!$A$3:$CW$999,96,FALSE),"unknown")</f>
        <v>Retired</v>
      </c>
      <c r="Z468" s="143" t="str">
        <f>IFERROR(VLOOKUP(Table1[RespondentID],'All Data'!$A$3:$CW$999,97,FALSE),"unknown")</f>
        <v>Yes</v>
      </c>
      <c r="AA468" s="143" t="str">
        <f>IFERROR(VLOOKUP(Table1[RespondentID],'All Data'!$A$3:$CW$999,98,FALSE),"unknown")</f>
        <v>Medicare</v>
      </c>
      <c r="AB468" s="143" t="str">
        <f>IFERROR(VLOOKUP(Table1[RespondentID],'All Data'!$A$3:$CW$999,99,FALSE),"unknown")</f>
        <v>Yes</v>
      </c>
    </row>
    <row r="469" spans="1:28">
      <c r="A469" s="149">
        <v>18031751575</v>
      </c>
      <c r="B469" s="187" t="s">
        <v>64</v>
      </c>
      <c r="C469" s="188"/>
      <c r="D469" s="188"/>
      <c r="E469" s="188" t="s">
        <v>67</v>
      </c>
      <c r="F469" s="188"/>
      <c r="G469" s="188"/>
      <c r="H469" s="188"/>
      <c r="I469" s="188"/>
      <c r="J469" s="188"/>
      <c r="K469" s="188"/>
      <c r="L469" s="188"/>
      <c r="M469" s="188"/>
      <c r="N469" s="188"/>
      <c r="O469" s="188"/>
      <c r="P469" s="143" t="str">
        <f>IFERROR(VLOOKUP(Table1[RespondentID],'All Data'!$A$3:$CO$999,87,FALSE),"unknown")</f>
        <v>Man</v>
      </c>
      <c r="Q469" s="183">
        <f>IFERROR(VLOOKUP(Table1[RespondentID],'All Data'!$A$3:$CO$999,88,FALSE),"unknown")</f>
        <v>71</v>
      </c>
      <c r="R469" s="143" t="str">
        <f>IFERROR(VLOOKUP(Table1[RespondentID],'All Data'!$A$3:$CO$999,89,FALSE),"unknown")</f>
        <v>Nassau</v>
      </c>
      <c r="S469" s="143" t="str">
        <f>IFERROR(VLOOKUP(Table1[RespondentID],'All Data'!$A$3:$CO$999,90,FALSE),"unknown")</f>
        <v>Bethpage, 11714</v>
      </c>
      <c r="T469" s="143" t="str">
        <f>IFERROR(VLOOKUP(Table1[RespondentID],'All Data'!$A$3:$CO$999,91,FALSE),"unknown")</f>
        <v>White</v>
      </c>
      <c r="U469" s="143" t="str">
        <f>IFERROR(VLOOKUP(Table1[RespondentID],'All Data'!$A$3:$CO$999,92,FALSE),"unknown")</f>
        <v>Not Hispanic or Latino</v>
      </c>
      <c r="V469" s="143" t="str">
        <f>IFERROR(VLOOKUP(Table1[RespondentID],'All Data'!$A$3:$CO$999,93,FALSE),"unknown")</f>
        <v>English</v>
      </c>
      <c r="W469" s="143" t="str">
        <f>IFERROR(VLOOKUP(Table1[RespondentID],'All Data'!$A$3:$CW$999,94,FALSE),"unknown")</f>
        <v>$50,000 to $74,999</v>
      </c>
      <c r="X469" s="143" t="str">
        <f>IFERROR(VLOOKUP(Table1[RespondentID],'All Data'!$A$3:$CW$999,95,FALSE),"unknown")</f>
        <v>Some high school</v>
      </c>
      <c r="Y469" s="143" t="str">
        <f>IFERROR(VLOOKUP(Table1[RespondentID],'All Data'!$A$3:$CW$999,96,FALSE),"unknown")</f>
        <v>Retired</v>
      </c>
      <c r="Z469" s="143" t="str">
        <f>IFERROR(VLOOKUP(Table1[RespondentID],'All Data'!$A$3:$CW$999,97,FALSE),"unknown")</f>
        <v>Yes</v>
      </c>
      <c r="AA469" s="143" t="str">
        <f>IFERROR(VLOOKUP(Table1[RespondentID],'All Data'!$A$3:$CW$999,98,FALSE),"unknown")</f>
        <v>Medicare</v>
      </c>
      <c r="AB469" s="143" t="str">
        <f>IFERROR(VLOOKUP(Table1[RespondentID],'All Data'!$A$3:$CW$999,99,FALSE),"unknown")</f>
        <v>Yes</v>
      </c>
    </row>
    <row r="470" spans="1:28">
      <c r="A470" s="149">
        <v>18031751500</v>
      </c>
      <c r="B470" s="187" t="s">
        <v>64</v>
      </c>
      <c r="C470" s="188"/>
      <c r="D470" s="188"/>
      <c r="E470" s="188"/>
      <c r="F470" s="188"/>
      <c r="G470" s="188"/>
      <c r="H470" s="188"/>
      <c r="I470" s="188"/>
      <c r="J470" s="188"/>
      <c r="K470" s="188"/>
      <c r="L470" s="188"/>
      <c r="M470" s="188" t="s">
        <v>75</v>
      </c>
      <c r="N470" s="188"/>
      <c r="O470" s="188"/>
      <c r="P470" s="143" t="str">
        <f>IFERROR(VLOOKUP(Table1[RespondentID],'All Data'!$A$3:$CO$999,87,FALSE),"unknown")</f>
        <v>Woman</v>
      </c>
      <c r="Q470" s="183">
        <f>IFERROR(VLOOKUP(Table1[RespondentID],'All Data'!$A$3:$CO$999,88,FALSE),"unknown")</f>
        <v>65</v>
      </c>
      <c r="R470" s="143" t="str">
        <f>IFERROR(VLOOKUP(Table1[RespondentID],'All Data'!$A$3:$CO$999,89,FALSE),"unknown")</f>
        <v>Suffolk</v>
      </c>
      <c r="S470" s="143" t="str">
        <f>IFERROR(VLOOKUP(Table1[RespondentID],'All Data'!$A$3:$CO$999,90,FALSE),"unknown")</f>
        <v>Northport, 11768</v>
      </c>
      <c r="T470" s="143" t="str">
        <f>IFERROR(VLOOKUP(Table1[RespondentID],'All Data'!$A$3:$CO$999,91,FALSE),"unknown")</f>
        <v>Black or African American</v>
      </c>
      <c r="U470" s="143">
        <f>IFERROR(VLOOKUP(Table1[RespondentID],'All Data'!$A$3:$CO$999,92,FALSE),"unknown")</f>
        <v>0</v>
      </c>
      <c r="V470" s="143" t="str">
        <f>IFERROR(VLOOKUP(Table1[RespondentID],'All Data'!$A$3:$CO$999,93,FALSE),"unknown")</f>
        <v>English</v>
      </c>
      <c r="W470" s="143" t="str">
        <f>IFERROR(VLOOKUP(Table1[RespondentID],'All Data'!$A$3:$CW$999,94,FALSE),"unknown")</f>
        <v>Over $125,000</v>
      </c>
      <c r="X470" s="143" t="str">
        <f>IFERROR(VLOOKUP(Table1[RespondentID],'All Data'!$A$3:$CW$999,95,FALSE),"unknown")</f>
        <v>College graduate</v>
      </c>
      <c r="Y470" s="143" t="str">
        <f>IFERROR(VLOOKUP(Table1[RespondentID],'All Data'!$A$3:$CW$999,96,FALSE),"unknown")</f>
        <v>Employed for wages</v>
      </c>
      <c r="Z470" s="143" t="str">
        <f>IFERROR(VLOOKUP(Table1[RespondentID],'All Data'!$A$3:$CW$999,97,FALSE),"unknown")</f>
        <v>Yes</v>
      </c>
      <c r="AA470" s="143" t="str">
        <f>IFERROR(VLOOKUP(Table1[RespondentID],'All Data'!$A$3:$CW$999,98,FALSE),"unknown")</f>
        <v>Private/Commercial</v>
      </c>
      <c r="AB470" s="143" t="str">
        <f>IFERROR(VLOOKUP(Table1[RespondentID],'All Data'!$A$3:$CW$999,99,FALSE),"unknown")</f>
        <v>Yes</v>
      </c>
    </row>
    <row r="471" spans="1:28">
      <c r="A471" s="149">
        <v>18031751432</v>
      </c>
      <c r="B471" s="187"/>
      <c r="C471" s="188"/>
      <c r="D471" s="188"/>
      <c r="E471" s="188" t="s">
        <v>67</v>
      </c>
      <c r="F471" s="188"/>
      <c r="G471" s="188"/>
      <c r="H471" s="188"/>
      <c r="I471" s="188"/>
      <c r="J471" s="188"/>
      <c r="K471" s="188"/>
      <c r="L471" s="188" t="s">
        <v>74</v>
      </c>
      <c r="M471" s="188"/>
      <c r="N471" s="188"/>
      <c r="O471" s="188"/>
      <c r="P471" s="143" t="str">
        <f>IFERROR(VLOOKUP(Table1[RespondentID],'All Data'!$A$3:$CO$999,87,FALSE),"unknown")</f>
        <v>Woman</v>
      </c>
      <c r="Q471" s="183">
        <f>IFERROR(VLOOKUP(Table1[RespondentID],'All Data'!$A$3:$CO$999,88,FALSE),"unknown")</f>
        <v>72</v>
      </c>
      <c r="R471" s="143" t="str">
        <f>IFERROR(VLOOKUP(Table1[RespondentID],'All Data'!$A$3:$CO$999,89,FALSE),"unknown")</f>
        <v>Suffolk</v>
      </c>
      <c r="S471" s="143" t="str">
        <f>IFERROR(VLOOKUP(Table1[RespondentID],'All Data'!$A$3:$CO$999,90,FALSE),"unknown")</f>
        <v>Amityville, 11701</v>
      </c>
      <c r="T471" s="143" t="str">
        <f>IFERROR(VLOOKUP(Table1[RespondentID],'All Data'!$A$3:$CO$999,91,FALSE),"unknown")</f>
        <v>White</v>
      </c>
      <c r="U471" s="143" t="str">
        <f>IFERROR(VLOOKUP(Table1[RespondentID],'All Data'!$A$3:$CO$999,92,FALSE),"unknown")</f>
        <v>Not Hispanic or Latino</v>
      </c>
      <c r="V471" s="143" t="str">
        <f>IFERROR(VLOOKUP(Table1[RespondentID],'All Data'!$A$3:$CO$999,93,FALSE),"unknown")</f>
        <v>English</v>
      </c>
      <c r="W471" s="143" t="str">
        <f>IFERROR(VLOOKUP(Table1[RespondentID],'All Data'!$A$3:$CW$999,94,FALSE),"unknown")</f>
        <v>$35,000 to $49,999</v>
      </c>
      <c r="X471" s="143" t="str">
        <f>IFERROR(VLOOKUP(Table1[RespondentID],'All Data'!$A$3:$CW$999,95,FALSE),"unknown")</f>
        <v>High school graduate</v>
      </c>
      <c r="Y471" s="143" t="str">
        <f>IFERROR(VLOOKUP(Table1[RespondentID],'All Data'!$A$3:$CW$999,96,FALSE),"unknown")</f>
        <v>Retired</v>
      </c>
      <c r="Z471" s="143" t="str">
        <f>IFERROR(VLOOKUP(Table1[RespondentID],'All Data'!$A$3:$CW$999,97,FALSE),"unknown")</f>
        <v>Yes</v>
      </c>
      <c r="AA471" s="143" t="str">
        <f>IFERROR(VLOOKUP(Table1[RespondentID],'All Data'!$A$3:$CW$999,98,FALSE),"unknown")</f>
        <v>Medicare,Private/Commercial</v>
      </c>
      <c r="AB471" s="143" t="str">
        <f>IFERROR(VLOOKUP(Table1[RespondentID],'All Data'!$A$3:$CW$999,99,FALSE),"unknown")</f>
        <v>Yes</v>
      </c>
    </row>
    <row r="472" spans="1:28">
      <c r="A472" s="149">
        <v>18031751329</v>
      </c>
      <c r="B472" s="187" t="s">
        <v>64</v>
      </c>
      <c r="C472" s="188"/>
      <c r="D472" s="188"/>
      <c r="E472" s="188"/>
      <c r="F472" s="188"/>
      <c r="G472" s="188"/>
      <c r="H472" s="188"/>
      <c r="I472" s="188"/>
      <c r="J472" s="188"/>
      <c r="K472" s="188"/>
      <c r="L472" s="188"/>
      <c r="M472" s="188" t="s">
        <v>75</v>
      </c>
      <c r="N472" s="188"/>
      <c r="O472" s="188"/>
      <c r="P472" s="143" t="str">
        <f>IFERROR(VLOOKUP(Table1[RespondentID],'All Data'!$A$3:$CO$999,87,FALSE),"unknown")</f>
        <v>Woman</v>
      </c>
      <c r="Q472" s="183">
        <f>IFERROR(VLOOKUP(Table1[RespondentID],'All Data'!$A$3:$CO$999,88,FALSE),"unknown")</f>
        <v>0</v>
      </c>
      <c r="R472" s="143" t="str">
        <f>IFERROR(VLOOKUP(Table1[RespondentID],'All Data'!$A$3:$CO$999,89,FALSE),"unknown")</f>
        <v>Nassau</v>
      </c>
      <c r="S472" s="143" t="str">
        <f>IFERROR(VLOOKUP(Table1[RespondentID],'All Data'!$A$3:$CO$999,90,FALSE),"unknown")</f>
        <v>Plainview, 11803</v>
      </c>
      <c r="T472" s="143" t="str">
        <f>IFERROR(VLOOKUP(Table1[RespondentID],'All Data'!$A$3:$CO$999,91,FALSE),"unknown")</f>
        <v>White</v>
      </c>
      <c r="U472" s="143" t="str">
        <f>IFERROR(VLOOKUP(Table1[RespondentID],'All Data'!$A$3:$CO$999,92,FALSE),"unknown")</f>
        <v>Not Hispanic or Latino</v>
      </c>
      <c r="V472" s="143" t="str">
        <f>IFERROR(VLOOKUP(Table1[RespondentID],'All Data'!$A$3:$CO$999,93,FALSE),"unknown")</f>
        <v>English</v>
      </c>
      <c r="W472" s="143" t="str">
        <f>IFERROR(VLOOKUP(Table1[RespondentID],'All Data'!$A$3:$CW$999,94,FALSE),"unknown")</f>
        <v>$20,000 to $34,999</v>
      </c>
      <c r="X472" s="143">
        <f>IFERROR(VLOOKUP(Table1[RespondentID],'All Data'!$A$3:$CW$999,95,FALSE),"unknown")</f>
        <v>0</v>
      </c>
      <c r="Y472" s="143" t="str">
        <f>IFERROR(VLOOKUP(Table1[RespondentID],'All Data'!$A$3:$CW$999,96,FALSE),"unknown")</f>
        <v>Out of work, but not currently looking</v>
      </c>
      <c r="Z472" s="143" t="str">
        <f>IFERROR(VLOOKUP(Table1[RespondentID],'All Data'!$A$3:$CW$999,97,FALSE),"unknown")</f>
        <v>Yes</v>
      </c>
      <c r="AA472" s="143" t="str">
        <f>IFERROR(VLOOKUP(Table1[RespondentID],'All Data'!$A$3:$CW$999,98,FALSE),"unknown")</f>
        <v>Medicare</v>
      </c>
      <c r="AB472" s="143" t="str">
        <f>IFERROR(VLOOKUP(Table1[RespondentID],'All Data'!$A$3:$CW$999,99,FALSE),"unknown")</f>
        <v>Yes</v>
      </c>
    </row>
    <row r="473" spans="1:28">
      <c r="A473" s="149">
        <v>18031751209</v>
      </c>
      <c r="B473" s="187" t="s">
        <v>64</v>
      </c>
      <c r="C473" s="188"/>
      <c r="D473" s="188"/>
      <c r="E473" s="188"/>
      <c r="F473" s="188"/>
      <c r="G473" s="188"/>
      <c r="H473" s="188"/>
      <c r="I473" s="188"/>
      <c r="J473" s="188"/>
      <c r="K473" s="188"/>
      <c r="L473" s="188"/>
      <c r="M473" s="188"/>
      <c r="N473" s="188"/>
      <c r="O473" s="188"/>
      <c r="P473" s="143" t="str">
        <f>IFERROR(VLOOKUP(Table1[RespondentID],'All Data'!$A$3:$CO$999,87,FALSE),"unknown")</f>
        <v>Man</v>
      </c>
      <c r="Q473" s="183">
        <f>IFERROR(VLOOKUP(Table1[RespondentID],'All Data'!$A$3:$CO$999,88,FALSE),"unknown")</f>
        <v>81</v>
      </c>
      <c r="R473" s="143" t="str">
        <f>IFERROR(VLOOKUP(Table1[RespondentID],'All Data'!$A$3:$CO$999,89,FALSE),"unknown")</f>
        <v>Nassau</v>
      </c>
      <c r="S473" s="143" t="str">
        <f>IFERROR(VLOOKUP(Table1[RespondentID],'All Data'!$A$3:$CO$999,90,FALSE),"unknown")</f>
        <v>Lido Beach, 11561</v>
      </c>
      <c r="T473" s="143" t="str">
        <f>IFERROR(VLOOKUP(Table1[RespondentID],'All Data'!$A$3:$CO$999,91,FALSE),"unknown")</f>
        <v>White</v>
      </c>
      <c r="U473" s="143" t="str">
        <f>IFERROR(VLOOKUP(Table1[RespondentID],'All Data'!$A$3:$CO$999,92,FALSE),"unknown")</f>
        <v>Not Hispanic or Latino</v>
      </c>
      <c r="V473" s="143" t="str">
        <f>IFERROR(VLOOKUP(Table1[RespondentID],'All Data'!$A$3:$CO$999,93,FALSE),"unknown")</f>
        <v>English</v>
      </c>
      <c r="W473" s="143" t="str">
        <f>IFERROR(VLOOKUP(Table1[RespondentID],'All Data'!$A$3:$CW$999,94,FALSE),"unknown")</f>
        <v>$75,000 to $125,000</v>
      </c>
      <c r="X473" s="143" t="str">
        <f>IFERROR(VLOOKUP(Table1[RespondentID],'All Data'!$A$3:$CW$999,95,FALSE),"unknown")</f>
        <v>Some high school</v>
      </c>
      <c r="Y473" s="143" t="str">
        <f>IFERROR(VLOOKUP(Table1[RespondentID],'All Data'!$A$3:$CW$999,96,FALSE),"unknown")</f>
        <v>Employed for wages</v>
      </c>
      <c r="Z473" s="143" t="str">
        <f>IFERROR(VLOOKUP(Table1[RespondentID],'All Data'!$A$3:$CW$999,97,FALSE),"unknown")</f>
        <v>Yes</v>
      </c>
      <c r="AA473" s="143" t="str">
        <f>IFERROR(VLOOKUP(Table1[RespondentID],'All Data'!$A$3:$CW$999,98,FALSE),"unknown")</f>
        <v>Medicare,Private/Commercial</v>
      </c>
      <c r="AB473" s="143" t="str">
        <f>IFERROR(VLOOKUP(Table1[RespondentID],'All Data'!$A$3:$CW$999,99,FALSE),"unknown")</f>
        <v>Yes</v>
      </c>
    </row>
    <row r="474" spans="1:28">
      <c r="A474" s="149">
        <v>18031751111</v>
      </c>
      <c r="B474" s="187" t="s">
        <v>64</v>
      </c>
      <c r="C474" s="188"/>
      <c r="D474" s="188"/>
      <c r="E474" s="188"/>
      <c r="F474" s="188"/>
      <c r="G474" s="188" t="s">
        <v>69</v>
      </c>
      <c r="H474" s="188" t="s">
        <v>70</v>
      </c>
      <c r="I474" s="188" t="s">
        <v>71</v>
      </c>
      <c r="J474" s="188"/>
      <c r="K474" s="188"/>
      <c r="L474" s="188"/>
      <c r="M474" s="188"/>
      <c r="N474" s="188"/>
      <c r="O474" s="188"/>
      <c r="P474" s="143" t="str">
        <f>IFERROR(VLOOKUP(Table1[RespondentID],'All Data'!$A$3:$CO$999,87,FALSE),"unknown")</f>
        <v>Woman</v>
      </c>
      <c r="Q474" s="183">
        <f>IFERROR(VLOOKUP(Table1[RespondentID],'All Data'!$A$3:$CO$999,88,FALSE),"unknown")</f>
        <v>61</v>
      </c>
      <c r="R474" s="143" t="str">
        <f>IFERROR(VLOOKUP(Table1[RespondentID],'All Data'!$A$3:$CO$999,89,FALSE),"unknown")</f>
        <v>Nassau</v>
      </c>
      <c r="S474" s="143" t="str">
        <f>IFERROR(VLOOKUP(Table1[RespondentID],'All Data'!$A$3:$CO$999,90,FALSE),"unknown")</f>
        <v>Garden City, 11530</v>
      </c>
      <c r="T474" s="143" t="str">
        <f>IFERROR(VLOOKUP(Table1[RespondentID],'All Data'!$A$3:$CO$999,91,FALSE),"unknown")</f>
        <v>White</v>
      </c>
      <c r="U474" s="143" t="str">
        <f>IFERROR(VLOOKUP(Table1[RespondentID],'All Data'!$A$3:$CO$999,92,FALSE),"unknown")</f>
        <v>Not Hispanic or Latino</v>
      </c>
      <c r="V474" s="143" t="str">
        <f>IFERROR(VLOOKUP(Table1[RespondentID],'All Data'!$A$3:$CO$999,93,FALSE),"unknown")</f>
        <v>English</v>
      </c>
      <c r="W474" s="143" t="str">
        <f>IFERROR(VLOOKUP(Table1[RespondentID],'All Data'!$A$3:$CW$999,94,FALSE),"unknown")</f>
        <v>$50,000 to $74,999</v>
      </c>
      <c r="X474" s="143" t="str">
        <f>IFERROR(VLOOKUP(Table1[RespondentID],'All Data'!$A$3:$CW$999,95,FALSE),"unknown")</f>
        <v>Graduate school</v>
      </c>
      <c r="Y474" s="143" t="str">
        <f>IFERROR(VLOOKUP(Table1[RespondentID],'All Data'!$A$3:$CW$999,96,FALSE),"unknown")</f>
        <v>Employed for wages</v>
      </c>
      <c r="Z474" s="143" t="str">
        <f>IFERROR(VLOOKUP(Table1[RespondentID],'All Data'!$A$3:$CW$999,97,FALSE),"unknown")</f>
        <v>No</v>
      </c>
      <c r="AA474" s="143" t="str">
        <f>IFERROR(VLOOKUP(Table1[RespondentID],'All Data'!$A$3:$CW$999,98,FALSE),"unknown")</f>
        <v>No Insurance</v>
      </c>
      <c r="AB474" s="143" t="str">
        <f>IFERROR(VLOOKUP(Table1[RespondentID],'All Data'!$A$3:$CW$999,99,FALSE),"unknown")</f>
        <v>Yes</v>
      </c>
    </row>
    <row r="475" spans="1:28">
      <c r="A475" s="149">
        <v>18031750983</v>
      </c>
      <c r="B475" s="187"/>
      <c r="C475" s="188"/>
      <c r="D475" s="188"/>
      <c r="E475" s="188"/>
      <c r="F475" s="188"/>
      <c r="G475" s="188"/>
      <c r="H475" s="188"/>
      <c r="I475" s="188"/>
      <c r="J475" s="188"/>
      <c r="K475" s="188"/>
      <c r="L475" s="188"/>
      <c r="M475" s="188"/>
      <c r="N475" s="188"/>
      <c r="O475" s="188"/>
      <c r="P475" s="143" t="str">
        <f>IFERROR(VLOOKUP(Table1[RespondentID],'All Data'!$A$3:$CO$999,87,FALSE),"unknown")</f>
        <v>Man</v>
      </c>
      <c r="Q475" s="183">
        <f>IFERROR(VLOOKUP(Table1[RespondentID],'All Data'!$A$3:$CO$999,88,FALSE),"unknown")</f>
        <v>61</v>
      </c>
      <c r="R475" s="143" t="str">
        <f>IFERROR(VLOOKUP(Table1[RespondentID],'All Data'!$A$3:$CO$999,89,FALSE),"unknown")</f>
        <v>Nassau</v>
      </c>
      <c r="S475" s="143" t="str">
        <f>IFERROR(VLOOKUP(Table1[RespondentID],'All Data'!$A$3:$CO$999,90,FALSE),"unknown")</f>
        <v>Woodbury, 11797</v>
      </c>
      <c r="T475" s="143" t="str">
        <f>IFERROR(VLOOKUP(Table1[RespondentID],'All Data'!$A$3:$CO$999,91,FALSE),"unknown")</f>
        <v>White</v>
      </c>
      <c r="U475" s="143" t="str">
        <f>IFERROR(VLOOKUP(Table1[RespondentID],'All Data'!$A$3:$CO$999,92,FALSE),"unknown")</f>
        <v>Not Hispanic or Latino</v>
      </c>
      <c r="V475" s="143" t="str">
        <f>IFERROR(VLOOKUP(Table1[RespondentID],'All Data'!$A$3:$CO$999,93,FALSE),"unknown")</f>
        <v>English</v>
      </c>
      <c r="W475" s="143">
        <f>IFERROR(VLOOKUP(Table1[RespondentID],'All Data'!$A$3:$CW$999,94,FALSE),"unknown")</f>
        <v>0</v>
      </c>
      <c r="X475" s="143" t="str">
        <f>IFERROR(VLOOKUP(Table1[RespondentID],'All Data'!$A$3:$CW$999,95,FALSE),"unknown")</f>
        <v>College graduate</v>
      </c>
      <c r="Y475" s="143" t="str">
        <f>IFERROR(VLOOKUP(Table1[RespondentID],'All Data'!$A$3:$CW$999,96,FALSE),"unknown")</f>
        <v>Employed for wages</v>
      </c>
      <c r="Z475" s="143" t="str">
        <f>IFERROR(VLOOKUP(Table1[RespondentID],'All Data'!$A$3:$CW$999,97,FALSE),"unknown")</f>
        <v>Yes</v>
      </c>
      <c r="AA475" s="143" t="str">
        <f>IFERROR(VLOOKUP(Table1[RespondentID],'All Data'!$A$3:$CW$999,98,FALSE),"unknown")</f>
        <v>Private/Commercial</v>
      </c>
      <c r="AB475" s="143" t="str">
        <f>IFERROR(VLOOKUP(Table1[RespondentID],'All Data'!$A$3:$CW$999,99,FALSE),"unknown")</f>
        <v>Yes</v>
      </c>
    </row>
    <row r="476" spans="1:28">
      <c r="A476" s="149">
        <v>18031750464</v>
      </c>
      <c r="B476" s="187" t="s">
        <v>64</v>
      </c>
      <c r="C476" s="188"/>
      <c r="D476" s="188"/>
      <c r="E476" s="188"/>
      <c r="F476" s="188"/>
      <c r="G476" s="188"/>
      <c r="H476" s="188"/>
      <c r="I476" s="188"/>
      <c r="J476" s="188"/>
      <c r="K476" s="188"/>
      <c r="L476" s="188"/>
      <c r="M476" s="188"/>
      <c r="N476" s="188"/>
      <c r="O476" s="188"/>
      <c r="P476" s="143" t="str">
        <f>IFERROR(VLOOKUP(Table1[RespondentID],'All Data'!$A$3:$CO$999,87,FALSE),"unknown")</f>
        <v>Woman</v>
      </c>
      <c r="Q476" s="183">
        <f>IFERROR(VLOOKUP(Table1[RespondentID],'All Data'!$A$3:$CO$999,88,FALSE),"unknown")</f>
        <v>74</v>
      </c>
      <c r="R476" s="143" t="str">
        <f>IFERROR(VLOOKUP(Table1[RespondentID],'All Data'!$A$3:$CO$999,89,FALSE),"unknown")</f>
        <v>Nassau</v>
      </c>
      <c r="S476" s="143" t="str">
        <f>IFERROR(VLOOKUP(Table1[RespondentID],'All Data'!$A$3:$CO$999,90,FALSE),"unknown")</f>
        <v>Farmingdale, 11735</v>
      </c>
      <c r="T476" s="143" t="str">
        <f>IFERROR(VLOOKUP(Table1[RespondentID],'All Data'!$A$3:$CO$999,91,FALSE),"unknown")</f>
        <v>White</v>
      </c>
      <c r="U476" s="143" t="str">
        <f>IFERROR(VLOOKUP(Table1[RespondentID],'All Data'!$A$3:$CO$999,92,FALSE),"unknown")</f>
        <v>Not Hispanic or Latino</v>
      </c>
      <c r="V476" s="143" t="str">
        <f>IFERROR(VLOOKUP(Table1[RespondentID],'All Data'!$A$3:$CO$999,93,FALSE),"unknown")</f>
        <v>English</v>
      </c>
      <c r="W476" s="143" t="str">
        <f>IFERROR(VLOOKUP(Table1[RespondentID],'All Data'!$A$3:$CW$999,94,FALSE),"unknown")</f>
        <v>$75,000 to $125,000</v>
      </c>
      <c r="X476" s="143" t="str">
        <f>IFERROR(VLOOKUP(Table1[RespondentID],'All Data'!$A$3:$CW$999,95,FALSE),"unknown")</f>
        <v>Graduate school</v>
      </c>
      <c r="Y476" s="143" t="str">
        <f>IFERROR(VLOOKUP(Table1[RespondentID],'All Data'!$A$3:$CW$999,96,FALSE),"unknown")</f>
        <v>Self-employed</v>
      </c>
      <c r="Z476" s="143" t="str">
        <f>IFERROR(VLOOKUP(Table1[RespondentID],'All Data'!$A$3:$CW$999,97,FALSE),"unknown")</f>
        <v>Yes</v>
      </c>
      <c r="AA476" s="143" t="str">
        <f>IFERROR(VLOOKUP(Table1[RespondentID],'All Data'!$A$3:$CW$999,98,FALSE),"unknown")</f>
        <v>Medicare,Private/Commercial</v>
      </c>
      <c r="AB476" s="143" t="str">
        <f>IFERROR(VLOOKUP(Table1[RespondentID],'All Data'!$A$3:$CW$999,99,FALSE),"unknown")</f>
        <v>Yes</v>
      </c>
    </row>
    <row r="477" spans="1:28">
      <c r="A477" s="149">
        <v>18031749512</v>
      </c>
      <c r="B477" s="187" t="s">
        <v>64</v>
      </c>
      <c r="C477" s="188"/>
      <c r="D477" s="188"/>
      <c r="E477" s="188"/>
      <c r="F477" s="188"/>
      <c r="G477" s="188"/>
      <c r="H477" s="188"/>
      <c r="I477" s="188"/>
      <c r="J477" s="188"/>
      <c r="K477" s="188"/>
      <c r="L477" s="188"/>
      <c r="M477" s="188"/>
      <c r="N477" s="188"/>
      <c r="O477" s="188"/>
      <c r="P477" s="143" t="str">
        <f>IFERROR(VLOOKUP(Table1[RespondentID],'All Data'!$A$3:$CO$999,87,FALSE),"unknown")</f>
        <v>Woman</v>
      </c>
      <c r="Q477" s="183">
        <f>IFERROR(VLOOKUP(Table1[RespondentID],'All Data'!$A$3:$CO$999,88,FALSE),"unknown")</f>
        <v>70</v>
      </c>
      <c r="R477" s="143" t="str">
        <f>IFERROR(VLOOKUP(Table1[RespondentID],'All Data'!$A$3:$CO$999,89,FALSE),"unknown")</f>
        <v>Nassau</v>
      </c>
      <c r="S477" s="143" t="str">
        <f>IFERROR(VLOOKUP(Table1[RespondentID],'All Data'!$A$3:$CO$999,90,FALSE),"unknown")</f>
        <v>Oceanside, 11572</v>
      </c>
      <c r="T477" s="143" t="str">
        <f>IFERROR(VLOOKUP(Table1[RespondentID],'All Data'!$A$3:$CO$999,91,FALSE),"unknown")</f>
        <v>White</v>
      </c>
      <c r="U477" s="143" t="str">
        <f>IFERROR(VLOOKUP(Table1[RespondentID],'All Data'!$A$3:$CO$999,92,FALSE),"unknown")</f>
        <v>Not Hispanic or Latino</v>
      </c>
      <c r="V477" s="143" t="str">
        <f>IFERROR(VLOOKUP(Table1[RespondentID],'All Data'!$A$3:$CO$999,93,FALSE),"unknown")</f>
        <v>English</v>
      </c>
      <c r="W477" s="143" t="str">
        <f>IFERROR(VLOOKUP(Table1[RespondentID],'All Data'!$A$3:$CW$999,94,FALSE),"unknown")</f>
        <v>$75,000 to $125,000</v>
      </c>
      <c r="X477" s="143" t="str">
        <f>IFERROR(VLOOKUP(Table1[RespondentID],'All Data'!$A$3:$CW$999,95,FALSE),"unknown")</f>
        <v>Graduate school</v>
      </c>
      <c r="Y477" s="143" t="str">
        <f>IFERROR(VLOOKUP(Table1[RespondentID],'All Data'!$A$3:$CW$999,96,FALSE),"unknown")</f>
        <v>Retired</v>
      </c>
      <c r="Z477" s="143" t="str">
        <f>IFERROR(VLOOKUP(Table1[RespondentID],'All Data'!$A$3:$CW$999,97,FALSE),"unknown")</f>
        <v>Yes</v>
      </c>
      <c r="AA477" s="143" t="str">
        <f>IFERROR(VLOOKUP(Table1[RespondentID],'All Data'!$A$3:$CW$999,98,FALSE),"unknown")</f>
        <v>Medicare,Private/Commercial</v>
      </c>
      <c r="AB477" s="143" t="str">
        <f>IFERROR(VLOOKUP(Table1[RespondentID],'All Data'!$A$3:$CW$999,99,FALSE),"unknown")</f>
        <v>Yes</v>
      </c>
    </row>
    <row r="478" spans="1:28">
      <c r="A478" s="149">
        <v>18031749227</v>
      </c>
      <c r="B478" s="187" t="s">
        <v>64</v>
      </c>
      <c r="C478" s="188"/>
      <c r="D478" s="188"/>
      <c r="E478" s="188"/>
      <c r="F478" s="188"/>
      <c r="G478" s="188"/>
      <c r="H478" s="188"/>
      <c r="I478" s="188"/>
      <c r="J478" s="188"/>
      <c r="K478" s="188"/>
      <c r="L478" s="188"/>
      <c r="M478" s="188"/>
      <c r="N478" s="188"/>
      <c r="O478" s="188"/>
      <c r="P478" s="143" t="str">
        <f>IFERROR(VLOOKUP(Table1[RespondentID],'All Data'!$A$3:$CO$999,87,FALSE),"unknown")</f>
        <v>Woman</v>
      </c>
      <c r="Q478" s="183">
        <f>IFERROR(VLOOKUP(Table1[RespondentID],'All Data'!$A$3:$CO$999,88,FALSE),"unknown")</f>
        <v>40</v>
      </c>
      <c r="R478" s="143" t="str">
        <f>IFERROR(VLOOKUP(Table1[RespondentID],'All Data'!$A$3:$CO$999,89,FALSE),"unknown")</f>
        <v>Nassau</v>
      </c>
      <c r="S478" s="143" t="str">
        <f>IFERROR(VLOOKUP(Table1[RespondentID],'All Data'!$A$3:$CO$999,90,FALSE),"unknown")</f>
        <v>Oceanside, 11572</v>
      </c>
      <c r="T478" s="143" t="str">
        <f>IFERROR(VLOOKUP(Table1[RespondentID],'All Data'!$A$3:$CO$999,91,FALSE),"unknown")</f>
        <v>White</v>
      </c>
      <c r="U478" s="143" t="str">
        <f>IFERROR(VLOOKUP(Table1[RespondentID],'All Data'!$A$3:$CO$999,92,FALSE),"unknown")</f>
        <v>Not Hispanic or Latino</v>
      </c>
      <c r="V478" s="143" t="str">
        <f>IFERROR(VLOOKUP(Table1[RespondentID],'All Data'!$A$3:$CO$999,93,FALSE),"unknown")</f>
        <v>English</v>
      </c>
      <c r="W478" s="143">
        <f>IFERROR(VLOOKUP(Table1[RespondentID],'All Data'!$A$3:$CW$999,94,FALSE),"unknown")</f>
        <v>0</v>
      </c>
      <c r="X478" s="143" t="str">
        <f>IFERROR(VLOOKUP(Table1[RespondentID],'All Data'!$A$3:$CW$999,95,FALSE),"unknown")</f>
        <v>College graduate</v>
      </c>
      <c r="Y478" s="143" t="str">
        <f>IFERROR(VLOOKUP(Table1[RespondentID],'All Data'!$A$3:$CW$999,96,FALSE),"unknown")</f>
        <v>Out of work and looking for work</v>
      </c>
      <c r="Z478" s="143" t="str">
        <f>IFERROR(VLOOKUP(Table1[RespondentID],'All Data'!$A$3:$CW$999,97,FALSE),"unknown")</f>
        <v>Yes</v>
      </c>
      <c r="AA478" s="143" t="str">
        <f>IFERROR(VLOOKUP(Table1[RespondentID],'All Data'!$A$3:$CW$999,98,FALSE),"unknown")</f>
        <v>Private/Commercial</v>
      </c>
      <c r="AB478" s="143" t="str">
        <f>IFERROR(VLOOKUP(Table1[RespondentID],'All Data'!$A$3:$CW$999,99,FALSE),"unknown")</f>
        <v>Yes</v>
      </c>
    </row>
    <row r="479" spans="1:28">
      <c r="A479" s="149">
        <v>18031749129</v>
      </c>
      <c r="B479" s="187" t="s">
        <v>64</v>
      </c>
      <c r="C479" s="188"/>
      <c r="D479" s="188"/>
      <c r="E479" s="188"/>
      <c r="F479" s="188"/>
      <c r="G479" s="188"/>
      <c r="H479" s="188"/>
      <c r="I479" s="188"/>
      <c r="J479" s="188"/>
      <c r="K479" s="188"/>
      <c r="L479" s="188"/>
      <c r="M479" s="188"/>
      <c r="N479" s="188"/>
      <c r="O479" s="188"/>
      <c r="P479" s="143" t="str">
        <f>IFERROR(VLOOKUP(Table1[RespondentID],'All Data'!$A$3:$CO$999,87,FALSE),"unknown")</f>
        <v>Woman</v>
      </c>
      <c r="Q479" s="183">
        <f>IFERROR(VLOOKUP(Table1[RespondentID],'All Data'!$A$3:$CO$999,88,FALSE),"unknown")</f>
        <v>75</v>
      </c>
      <c r="R479" s="143" t="str">
        <f>IFERROR(VLOOKUP(Table1[RespondentID],'All Data'!$A$3:$CO$999,89,FALSE),"unknown")</f>
        <v>Suffolk</v>
      </c>
      <c r="S479" s="143" t="str">
        <f>IFERROR(VLOOKUP(Table1[RespondentID],'All Data'!$A$3:$CO$999,90,FALSE),"unknown")</f>
        <v>East Northport, 11731</v>
      </c>
      <c r="T479" s="143" t="str">
        <f>IFERROR(VLOOKUP(Table1[RespondentID],'All Data'!$A$3:$CO$999,91,FALSE),"unknown")</f>
        <v>White</v>
      </c>
      <c r="U479" s="143" t="str">
        <f>IFERROR(VLOOKUP(Table1[RespondentID],'All Data'!$A$3:$CO$999,92,FALSE),"unknown")</f>
        <v>Not Hispanic or Latino</v>
      </c>
      <c r="V479" s="143" t="str">
        <f>IFERROR(VLOOKUP(Table1[RespondentID],'All Data'!$A$3:$CO$999,93,FALSE),"unknown")</f>
        <v>English</v>
      </c>
      <c r="W479" s="143" t="str">
        <f>IFERROR(VLOOKUP(Table1[RespondentID],'All Data'!$A$3:$CW$999,94,FALSE),"unknown")</f>
        <v>$75,000 to $125,000</v>
      </c>
      <c r="X479" s="143" t="str">
        <f>IFERROR(VLOOKUP(Table1[RespondentID],'All Data'!$A$3:$CW$999,95,FALSE),"unknown")</f>
        <v>Graduate school</v>
      </c>
      <c r="Y479" s="143" t="str">
        <f>IFERROR(VLOOKUP(Table1[RespondentID],'All Data'!$A$3:$CW$999,96,FALSE),"unknown")</f>
        <v>Retired</v>
      </c>
      <c r="Z479" s="143" t="str">
        <f>IFERROR(VLOOKUP(Table1[RespondentID],'All Data'!$A$3:$CW$999,97,FALSE),"unknown")</f>
        <v>Yes</v>
      </c>
      <c r="AA479" s="143" t="str">
        <f>IFERROR(VLOOKUP(Table1[RespondentID],'All Data'!$A$3:$CW$999,98,FALSE),"unknown")</f>
        <v>Medicare,Private/Commercial</v>
      </c>
      <c r="AB479" s="143" t="str">
        <f>IFERROR(VLOOKUP(Table1[RespondentID],'All Data'!$A$3:$CW$999,99,FALSE),"unknown")</f>
        <v>Yes</v>
      </c>
    </row>
    <row r="480" spans="1:28">
      <c r="A480" s="149">
        <v>18031748998</v>
      </c>
      <c r="B480" s="187" t="s">
        <v>64</v>
      </c>
      <c r="C480" s="188"/>
      <c r="D480" s="188"/>
      <c r="E480" s="188"/>
      <c r="F480" s="188"/>
      <c r="G480" s="188"/>
      <c r="H480" s="188"/>
      <c r="I480" s="188"/>
      <c r="J480" s="188"/>
      <c r="K480" s="188" t="s">
        <v>73</v>
      </c>
      <c r="L480" s="188"/>
      <c r="M480" s="188"/>
      <c r="N480" s="188"/>
      <c r="O480" s="188"/>
      <c r="P480" s="143" t="str">
        <f>IFERROR(VLOOKUP(Table1[RespondentID],'All Data'!$A$3:$CO$999,87,FALSE),"unknown")</f>
        <v>Woman</v>
      </c>
      <c r="Q480" s="183">
        <f>IFERROR(VLOOKUP(Table1[RespondentID],'All Data'!$A$3:$CO$999,88,FALSE),"unknown")</f>
        <v>0</v>
      </c>
      <c r="R480" s="143" t="str">
        <f>IFERROR(VLOOKUP(Table1[RespondentID],'All Data'!$A$3:$CO$999,89,FALSE),"unknown")</f>
        <v>Nassau</v>
      </c>
      <c r="S480" s="143" t="str">
        <f>IFERROR(VLOOKUP(Table1[RespondentID],'All Data'!$A$3:$CO$999,90,FALSE),"unknown")</f>
        <v>Westbury, 11590</v>
      </c>
      <c r="T480" s="143" t="str">
        <f>IFERROR(VLOOKUP(Table1[RespondentID],'All Data'!$A$3:$CO$999,91,FALSE),"unknown")</f>
        <v>Asian</v>
      </c>
      <c r="U480" s="143" t="str">
        <f>IFERROR(VLOOKUP(Table1[RespondentID],'All Data'!$A$3:$CO$999,92,FALSE),"unknown")</f>
        <v>Not Hispanic or Latino</v>
      </c>
      <c r="V480" s="143" t="str">
        <f>IFERROR(VLOOKUP(Table1[RespondentID],'All Data'!$A$3:$CO$999,93,FALSE),"unknown")</f>
        <v>English</v>
      </c>
      <c r="W480" s="143" t="str">
        <f>IFERROR(VLOOKUP(Table1[RespondentID],'All Data'!$A$3:$CW$999,94,FALSE),"unknown")</f>
        <v>$50,000 to $74,999</v>
      </c>
      <c r="X480" s="143" t="str">
        <f>IFERROR(VLOOKUP(Table1[RespondentID],'All Data'!$A$3:$CW$999,95,FALSE),"unknown")</f>
        <v>Graduate school</v>
      </c>
      <c r="Y480" s="143" t="str">
        <f>IFERROR(VLOOKUP(Table1[RespondentID],'All Data'!$A$3:$CW$999,96,FALSE),"unknown")</f>
        <v>Employed for wages</v>
      </c>
      <c r="Z480" s="143" t="str">
        <f>IFERROR(VLOOKUP(Table1[RespondentID],'All Data'!$A$3:$CW$999,97,FALSE),"unknown")</f>
        <v>Yes</v>
      </c>
      <c r="AA480" s="143" t="str">
        <f>IFERROR(VLOOKUP(Table1[RespondentID],'All Data'!$A$3:$CW$999,98,FALSE),"unknown")</f>
        <v>Private/Commercial</v>
      </c>
      <c r="AB480" s="143">
        <f>IFERROR(VLOOKUP(Table1[RespondentID],'All Data'!$A$3:$CW$999,99,FALSE),"unknown")</f>
        <v>0</v>
      </c>
    </row>
    <row r="481" spans="1:28">
      <c r="A481" s="149">
        <v>18031748776</v>
      </c>
      <c r="B481" s="187" t="s">
        <v>64</v>
      </c>
      <c r="C481" s="188"/>
      <c r="D481" s="188"/>
      <c r="E481" s="188" t="s">
        <v>67</v>
      </c>
      <c r="F481" s="188"/>
      <c r="G481" s="188"/>
      <c r="H481" s="188"/>
      <c r="I481" s="188"/>
      <c r="J481" s="188"/>
      <c r="K481" s="188" t="s">
        <v>73</v>
      </c>
      <c r="L481" s="188"/>
      <c r="M481" s="188"/>
      <c r="N481" s="188"/>
      <c r="O481" s="188"/>
      <c r="P481" s="143" t="str">
        <f>IFERROR(VLOOKUP(Table1[RespondentID],'All Data'!$A$3:$CO$999,87,FALSE),"unknown")</f>
        <v>Woman</v>
      </c>
      <c r="Q481" s="183">
        <f>IFERROR(VLOOKUP(Table1[RespondentID],'All Data'!$A$3:$CO$999,88,FALSE),"unknown")</f>
        <v>82</v>
      </c>
      <c r="R481" s="143" t="str">
        <f>IFERROR(VLOOKUP(Table1[RespondentID],'All Data'!$A$3:$CO$999,89,FALSE),"unknown")</f>
        <v>Nassau</v>
      </c>
      <c r="S481" s="143" t="str">
        <f>IFERROR(VLOOKUP(Table1[RespondentID],'All Data'!$A$3:$CO$999,90,FALSE),"unknown")</f>
        <v>Manhasset, 11030</v>
      </c>
      <c r="T481" s="143" t="str">
        <f>IFERROR(VLOOKUP(Table1[RespondentID],'All Data'!$A$3:$CO$999,91,FALSE),"unknown")</f>
        <v>Two or more races</v>
      </c>
      <c r="U481" s="143" t="str">
        <f>IFERROR(VLOOKUP(Table1[RespondentID],'All Data'!$A$3:$CO$999,92,FALSE),"unknown")</f>
        <v>Not Hispanic or Latino</v>
      </c>
      <c r="V481" s="143" t="str">
        <f>IFERROR(VLOOKUP(Table1[RespondentID],'All Data'!$A$3:$CO$999,93,FALSE),"unknown")</f>
        <v>English</v>
      </c>
      <c r="W481" s="143" t="str">
        <f>IFERROR(VLOOKUP(Table1[RespondentID],'All Data'!$A$3:$CW$999,94,FALSE),"unknown")</f>
        <v>$20,000 to $34,999</v>
      </c>
      <c r="X481" s="143" t="str">
        <f>IFERROR(VLOOKUP(Table1[RespondentID],'All Data'!$A$3:$CW$999,95,FALSE),"unknown")</f>
        <v>High school graduate</v>
      </c>
      <c r="Y481" s="143" t="str">
        <f>IFERROR(VLOOKUP(Table1[RespondentID],'All Data'!$A$3:$CW$999,96,FALSE),"unknown")</f>
        <v>Retired</v>
      </c>
      <c r="Z481" s="143" t="str">
        <f>IFERROR(VLOOKUP(Table1[RespondentID],'All Data'!$A$3:$CW$999,97,FALSE),"unknown")</f>
        <v>Yes</v>
      </c>
      <c r="AA481" s="143" t="str">
        <f>IFERROR(VLOOKUP(Table1[RespondentID],'All Data'!$A$3:$CW$999,98,FALSE),"unknown")</f>
        <v>Medicare</v>
      </c>
      <c r="AB481" s="143" t="str">
        <f>IFERROR(VLOOKUP(Table1[RespondentID],'All Data'!$A$3:$CW$999,99,FALSE),"unknown")</f>
        <v>Yes</v>
      </c>
    </row>
    <row r="482" spans="1:28">
      <c r="A482" s="149">
        <v>18031748295</v>
      </c>
      <c r="B482" s="187" t="s">
        <v>64</v>
      </c>
      <c r="C482" s="188"/>
      <c r="D482" s="188" t="s">
        <v>66</v>
      </c>
      <c r="E482" s="188"/>
      <c r="F482" s="188"/>
      <c r="G482" s="188"/>
      <c r="H482" s="188"/>
      <c r="I482" s="188"/>
      <c r="J482" s="188"/>
      <c r="K482" s="188"/>
      <c r="L482" s="188"/>
      <c r="M482" s="188"/>
      <c r="N482" s="188"/>
      <c r="O482" s="188"/>
      <c r="P482" s="143" t="str">
        <f>IFERROR(VLOOKUP(Table1[RespondentID],'All Data'!$A$3:$CO$999,87,FALSE),"unknown")</f>
        <v>Woman</v>
      </c>
      <c r="Q482" s="183">
        <f>IFERROR(VLOOKUP(Table1[RespondentID],'All Data'!$A$3:$CO$999,88,FALSE),"unknown")</f>
        <v>64</v>
      </c>
      <c r="R482" s="143" t="str">
        <f>IFERROR(VLOOKUP(Table1[RespondentID],'All Data'!$A$3:$CO$999,89,FALSE),"unknown")</f>
        <v>Queens</v>
      </c>
      <c r="S482" s="143">
        <f>IFERROR(VLOOKUP(Table1[RespondentID],'All Data'!$A$3:$CO$999,90,FALSE),"unknown")</f>
        <v>0</v>
      </c>
      <c r="T482" s="143" t="str">
        <f>IFERROR(VLOOKUP(Table1[RespondentID],'All Data'!$A$3:$CO$999,91,FALSE),"unknown")</f>
        <v>Black or African American</v>
      </c>
      <c r="U482" s="143" t="str">
        <f>IFERROR(VLOOKUP(Table1[RespondentID],'All Data'!$A$3:$CO$999,92,FALSE),"unknown")</f>
        <v>Not Hispanic or Latino</v>
      </c>
      <c r="V482" s="143" t="str">
        <f>IFERROR(VLOOKUP(Table1[RespondentID],'All Data'!$A$3:$CO$999,93,FALSE),"unknown")</f>
        <v>English</v>
      </c>
      <c r="W482" s="143" t="str">
        <f>IFERROR(VLOOKUP(Table1[RespondentID],'All Data'!$A$3:$CW$999,94,FALSE),"unknown")</f>
        <v>$50,000 to $74,999</v>
      </c>
      <c r="X482" s="143" t="str">
        <f>IFERROR(VLOOKUP(Table1[RespondentID],'All Data'!$A$3:$CW$999,95,FALSE),"unknown")</f>
        <v>Some college</v>
      </c>
      <c r="Y482" s="143" t="str">
        <f>IFERROR(VLOOKUP(Table1[RespondentID],'All Data'!$A$3:$CW$999,96,FALSE),"unknown")</f>
        <v>Employed for wages</v>
      </c>
      <c r="Z482" s="143" t="str">
        <f>IFERROR(VLOOKUP(Table1[RespondentID],'All Data'!$A$3:$CW$999,97,FALSE),"unknown")</f>
        <v>Yes</v>
      </c>
      <c r="AA482" s="143" t="str">
        <f>IFERROR(VLOOKUP(Table1[RespondentID],'All Data'!$A$3:$CW$999,98,FALSE),"unknown")</f>
        <v>Medicare</v>
      </c>
      <c r="AB482" s="143" t="str">
        <f>IFERROR(VLOOKUP(Table1[RespondentID],'All Data'!$A$3:$CW$999,99,FALSE),"unknown")</f>
        <v>Yes</v>
      </c>
    </row>
    <row r="483" spans="1:28">
      <c r="A483" s="149">
        <v>18031748212</v>
      </c>
      <c r="B483" s="187" t="s">
        <v>64</v>
      </c>
      <c r="C483" s="188"/>
      <c r="D483" s="188"/>
      <c r="E483" s="188" t="s">
        <v>67</v>
      </c>
      <c r="F483" s="188"/>
      <c r="G483" s="188"/>
      <c r="H483" s="188"/>
      <c r="I483" s="188"/>
      <c r="J483" s="188"/>
      <c r="K483" s="188"/>
      <c r="L483" s="188"/>
      <c r="M483" s="188"/>
      <c r="N483" s="188"/>
      <c r="O483" s="188"/>
      <c r="P483" s="143" t="str">
        <f>IFERROR(VLOOKUP(Table1[RespondentID],'All Data'!$A$3:$CO$999,87,FALSE),"unknown")</f>
        <v>Woman</v>
      </c>
      <c r="Q483" s="183">
        <f>IFERROR(VLOOKUP(Table1[RespondentID],'All Data'!$A$3:$CO$999,88,FALSE),"unknown")</f>
        <v>50</v>
      </c>
      <c r="R483" s="143" t="str">
        <f>IFERROR(VLOOKUP(Table1[RespondentID],'All Data'!$A$3:$CO$999,89,FALSE),"unknown")</f>
        <v>Nassau</v>
      </c>
      <c r="S483" s="143" t="str">
        <f>IFERROR(VLOOKUP(Table1[RespondentID],'All Data'!$A$3:$CO$999,90,FALSE),"unknown")</f>
        <v>New Hyde Park, 11040</v>
      </c>
      <c r="T483" s="143" t="str">
        <f>IFERROR(VLOOKUP(Table1[RespondentID],'All Data'!$A$3:$CO$999,91,FALSE),"unknown")</f>
        <v>Asian</v>
      </c>
      <c r="U483" s="143" t="str">
        <f>IFERROR(VLOOKUP(Table1[RespondentID],'All Data'!$A$3:$CO$999,92,FALSE),"unknown")</f>
        <v>Not Hispanic or Latino</v>
      </c>
      <c r="V483" s="143" t="str">
        <f>IFERROR(VLOOKUP(Table1[RespondentID],'All Data'!$A$3:$CO$999,93,FALSE),"unknown")</f>
        <v>English,Chinese</v>
      </c>
      <c r="W483" s="143" t="str">
        <f>IFERROR(VLOOKUP(Table1[RespondentID],'All Data'!$A$3:$CW$999,94,FALSE),"unknown")</f>
        <v>Over $125,000</v>
      </c>
      <c r="X483" s="143" t="str">
        <f>IFERROR(VLOOKUP(Table1[RespondentID],'All Data'!$A$3:$CW$999,95,FALSE),"unknown")</f>
        <v>College graduate</v>
      </c>
      <c r="Y483" s="143" t="str">
        <f>IFERROR(VLOOKUP(Table1[RespondentID],'All Data'!$A$3:$CW$999,96,FALSE),"unknown")</f>
        <v>Employed for wages</v>
      </c>
      <c r="Z483" s="143" t="str">
        <f>IFERROR(VLOOKUP(Table1[RespondentID],'All Data'!$A$3:$CW$999,97,FALSE),"unknown")</f>
        <v>Yes</v>
      </c>
      <c r="AA483" s="143" t="str">
        <f>IFERROR(VLOOKUP(Table1[RespondentID],'All Data'!$A$3:$CW$999,98,FALSE),"unknown")</f>
        <v>Private/Commercial</v>
      </c>
      <c r="AB483" s="143" t="str">
        <f>IFERROR(VLOOKUP(Table1[RespondentID],'All Data'!$A$3:$CW$999,99,FALSE),"unknown")</f>
        <v>Yes</v>
      </c>
    </row>
    <row r="484" spans="1:28">
      <c r="A484" s="149">
        <v>18031748123</v>
      </c>
      <c r="B484" s="187" t="s">
        <v>64</v>
      </c>
      <c r="C484" s="188"/>
      <c r="D484" s="188"/>
      <c r="E484" s="188"/>
      <c r="F484" s="188"/>
      <c r="G484" s="188"/>
      <c r="H484" s="188"/>
      <c r="I484" s="188"/>
      <c r="J484" s="188"/>
      <c r="K484" s="188"/>
      <c r="L484" s="188"/>
      <c r="M484" s="188"/>
      <c r="N484" s="188"/>
      <c r="O484" s="188"/>
      <c r="P484" s="143" t="str">
        <f>IFERROR(VLOOKUP(Table1[RespondentID],'All Data'!$A$3:$CO$999,87,FALSE),"unknown")</f>
        <v>Woman</v>
      </c>
      <c r="Q484" s="183">
        <f>IFERROR(VLOOKUP(Table1[RespondentID],'All Data'!$A$3:$CO$999,88,FALSE),"unknown")</f>
        <v>81</v>
      </c>
      <c r="R484" s="143" t="str">
        <f>IFERROR(VLOOKUP(Table1[RespondentID],'All Data'!$A$3:$CO$999,89,FALSE),"unknown")</f>
        <v>Nassau</v>
      </c>
      <c r="S484" s="143" t="str">
        <f>IFERROR(VLOOKUP(Table1[RespondentID],'All Data'!$A$3:$CO$999,90,FALSE),"unknown")</f>
        <v>Manhasset, 11030</v>
      </c>
      <c r="T484" s="143" t="str">
        <f>IFERROR(VLOOKUP(Table1[RespondentID],'All Data'!$A$3:$CO$999,91,FALSE),"unknown")</f>
        <v>Black or African American</v>
      </c>
      <c r="U484" s="143" t="str">
        <f>IFERROR(VLOOKUP(Table1[RespondentID],'All Data'!$A$3:$CO$999,92,FALSE),"unknown")</f>
        <v>Not Hispanic or Latino</v>
      </c>
      <c r="V484" s="143" t="str">
        <f>IFERROR(VLOOKUP(Table1[RespondentID],'All Data'!$A$3:$CO$999,93,FALSE),"unknown")</f>
        <v>English</v>
      </c>
      <c r="W484" s="143">
        <f>IFERROR(VLOOKUP(Table1[RespondentID],'All Data'!$A$3:$CW$999,94,FALSE),"unknown")</f>
        <v>0</v>
      </c>
      <c r="X484" s="143" t="str">
        <f>IFERROR(VLOOKUP(Table1[RespondentID],'All Data'!$A$3:$CW$999,95,FALSE),"unknown")</f>
        <v>High school graduate</v>
      </c>
      <c r="Y484" s="143" t="str">
        <f>IFERROR(VLOOKUP(Table1[RespondentID],'All Data'!$A$3:$CW$999,96,FALSE),"unknown")</f>
        <v>Retired</v>
      </c>
      <c r="Z484" s="143" t="str">
        <f>IFERROR(VLOOKUP(Table1[RespondentID],'All Data'!$A$3:$CW$999,97,FALSE),"unknown")</f>
        <v>Yes</v>
      </c>
      <c r="AA484" s="143" t="str">
        <f>IFERROR(VLOOKUP(Table1[RespondentID],'All Data'!$A$3:$CW$999,98,FALSE),"unknown")</f>
        <v>Medicare</v>
      </c>
      <c r="AB484" s="143" t="str">
        <f>IFERROR(VLOOKUP(Table1[RespondentID],'All Data'!$A$3:$CW$999,99,FALSE),"unknown")</f>
        <v>No</v>
      </c>
    </row>
    <row r="485" spans="1:28">
      <c r="A485" s="149">
        <v>18031747963</v>
      </c>
      <c r="B485" s="187" t="s">
        <v>64</v>
      </c>
      <c r="C485" s="188"/>
      <c r="D485" s="188"/>
      <c r="E485" s="188"/>
      <c r="F485" s="188" t="s">
        <v>68</v>
      </c>
      <c r="G485" s="188"/>
      <c r="H485" s="188"/>
      <c r="I485" s="188"/>
      <c r="J485" s="188"/>
      <c r="K485" s="188"/>
      <c r="L485" s="188"/>
      <c r="M485" s="188"/>
      <c r="N485" s="188"/>
      <c r="O485" s="188"/>
      <c r="P485" s="143" t="str">
        <f>IFERROR(VLOOKUP(Table1[RespondentID],'All Data'!$A$3:$CO$999,87,FALSE),"unknown")</f>
        <v>Man</v>
      </c>
      <c r="Q485" s="183">
        <f>IFERROR(VLOOKUP(Table1[RespondentID],'All Data'!$A$3:$CO$999,88,FALSE),"unknown")</f>
        <v>79</v>
      </c>
      <c r="R485" s="143">
        <f>IFERROR(VLOOKUP(Table1[RespondentID],'All Data'!$A$3:$CO$999,89,FALSE),"unknown")</f>
        <v>0</v>
      </c>
      <c r="S485" s="143">
        <f>IFERROR(VLOOKUP(Table1[RespondentID],'All Data'!$A$3:$CO$999,90,FALSE),"unknown")</f>
        <v>0</v>
      </c>
      <c r="T485" s="143" t="str">
        <f>IFERROR(VLOOKUP(Table1[RespondentID],'All Data'!$A$3:$CO$999,91,FALSE),"unknown")</f>
        <v>White</v>
      </c>
      <c r="U485" s="143" t="str">
        <f>IFERROR(VLOOKUP(Table1[RespondentID],'All Data'!$A$3:$CO$999,92,FALSE),"unknown")</f>
        <v>Not Hispanic or Latino</v>
      </c>
      <c r="V485" s="143" t="str">
        <f>IFERROR(VLOOKUP(Table1[RespondentID],'All Data'!$A$3:$CO$999,93,FALSE),"unknown")</f>
        <v>English</v>
      </c>
      <c r="W485" s="143" t="str">
        <f>IFERROR(VLOOKUP(Table1[RespondentID],'All Data'!$A$3:$CW$999,94,FALSE),"unknown")</f>
        <v>$75,000 to $125,000</v>
      </c>
      <c r="X485" s="143" t="str">
        <f>IFERROR(VLOOKUP(Table1[RespondentID],'All Data'!$A$3:$CW$999,95,FALSE),"unknown")</f>
        <v>College graduate</v>
      </c>
      <c r="Y485" s="143" t="str">
        <f>IFERROR(VLOOKUP(Table1[RespondentID],'All Data'!$A$3:$CW$999,96,FALSE),"unknown")</f>
        <v>Retired</v>
      </c>
      <c r="Z485" s="143" t="str">
        <f>IFERROR(VLOOKUP(Table1[RespondentID],'All Data'!$A$3:$CW$999,97,FALSE),"unknown")</f>
        <v>Yes</v>
      </c>
      <c r="AA485" s="143" t="str">
        <f>IFERROR(VLOOKUP(Table1[RespondentID],'All Data'!$A$3:$CW$999,98,FALSE),"unknown")</f>
        <v>Medicare</v>
      </c>
      <c r="AB485" s="143" t="str">
        <f>IFERROR(VLOOKUP(Table1[RespondentID],'All Data'!$A$3:$CW$999,99,FALSE),"unknown")</f>
        <v>Yes</v>
      </c>
    </row>
    <row r="486" spans="1:28">
      <c r="A486" s="149">
        <v>18031747878</v>
      </c>
      <c r="B486" s="187" t="s">
        <v>64</v>
      </c>
      <c r="C486" s="188"/>
      <c r="D486" s="188"/>
      <c r="E486" s="188"/>
      <c r="F486" s="188"/>
      <c r="G486" s="188"/>
      <c r="H486" s="188"/>
      <c r="I486" s="188"/>
      <c r="J486" s="188"/>
      <c r="K486" s="188"/>
      <c r="L486" s="188"/>
      <c r="M486" s="188"/>
      <c r="N486" s="188"/>
      <c r="O486" s="188"/>
      <c r="P486" s="143" t="str">
        <f>IFERROR(VLOOKUP(Table1[RespondentID],'All Data'!$A$3:$CO$999,87,FALSE),"unknown")</f>
        <v>Woman</v>
      </c>
      <c r="Q486" s="183">
        <f>IFERROR(VLOOKUP(Table1[RespondentID],'All Data'!$A$3:$CO$999,88,FALSE),"unknown")</f>
        <v>86</v>
      </c>
      <c r="R486" s="143" t="str">
        <f>IFERROR(VLOOKUP(Table1[RespondentID],'All Data'!$A$3:$CO$999,89,FALSE),"unknown")</f>
        <v>Nassau</v>
      </c>
      <c r="S486" s="143" t="str">
        <f>IFERROR(VLOOKUP(Table1[RespondentID],'All Data'!$A$3:$CO$999,90,FALSE),"unknown")</f>
        <v>New Hyde Park, 11040</v>
      </c>
      <c r="T486" s="143" t="str">
        <f>IFERROR(VLOOKUP(Table1[RespondentID],'All Data'!$A$3:$CO$999,91,FALSE),"unknown")</f>
        <v>White</v>
      </c>
      <c r="U486" s="143" t="str">
        <f>IFERROR(VLOOKUP(Table1[RespondentID],'All Data'!$A$3:$CO$999,92,FALSE),"unknown")</f>
        <v>Not Hispanic or Latino</v>
      </c>
      <c r="V486" s="143" t="str">
        <f>IFERROR(VLOOKUP(Table1[RespondentID],'All Data'!$A$3:$CO$999,93,FALSE),"unknown")</f>
        <v>English</v>
      </c>
      <c r="W486" s="143">
        <f>IFERROR(VLOOKUP(Table1[RespondentID],'All Data'!$A$3:$CW$999,94,FALSE),"unknown")</f>
        <v>0</v>
      </c>
      <c r="X486" s="143" t="str">
        <f>IFERROR(VLOOKUP(Table1[RespondentID],'All Data'!$A$3:$CW$999,95,FALSE),"unknown")</f>
        <v>High school graduate</v>
      </c>
      <c r="Y486" s="143" t="str">
        <f>IFERROR(VLOOKUP(Table1[RespondentID],'All Data'!$A$3:$CW$999,96,FALSE),"unknown")</f>
        <v>Retired</v>
      </c>
      <c r="Z486" s="143" t="str">
        <f>IFERROR(VLOOKUP(Table1[RespondentID],'All Data'!$A$3:$CW$999,97,FALSE),"unknown")</f>
        <v>Yes</v>
      </c>
      <c r="AA486" s="143" t="str">
        <f>IFERROR(VLOOKUP(Table1[RespondentID],'All Data'!$A$3:$CW$999,98,FALSE),"unknown")</f>
        <v>Medicare</v>
      </c>
      <c r="AB486" s="143" t="str">
        <f>IFERROR(VLOOKUP(Table1[RespondentID],'All Data'!$A$3:$CW$999,99,FALSE),"unknown")</f>
        <v>No</v>
      </c>
    </row>
    <row r="487" spans="1:28">
      <c r="A487" s="149">
        <v>18031747796</v>
      </c>
      <c r="B487" s="187"/>
      <c r="C487" s="188"/>
      <c r="D487" s="188"/>
      <c r="E487" s="188"/>
      <c r="F487" s="188"/>
      <c r="G487" s="188" t="s">
        <v>69</v>
      </c>
      <c r="H487" s="188"/>
      <c r="I487" s="188" t="s">
        <v>71</v>
      </c>
      <c r="J487" s="188"/>
      <c r="K487" s="188"/>
      <c r="L487" s="188"/>
      <c r="M487" s="188"/>
      <c r="N487" s="188"/>
      <c r="O487" s="188"/>
      <c r="P487" s="143" t="str">
        <f>IFERROR(VLOOKUP(Table1[RespondentID],'All Data'!$A$3:$CO$999,87,FALSE),"unknown")</f>
        <v>Man</v>
      </c>
      <c r="Q487" s="183">
        <f>IFERROR(VLOOKUP(Table1[RespondentID],'All Data'!$A$3:$CO$999,88,FALSE),"unknown")</f>
        <v>56</v>
      </c>
      <c r="R487" s="143" t="str">
        <f>IFERROR(VLOOKUP(Table1[RespondentID],'All Data'!$A$3:$CO$999,89,FALSE),"unknown")</f>
        <v>Nassau</v>
      </c>
      <c r="S487" s="143" t="str">
        <f>IFERROR(VLOOKUP(Table1[RespondentID],'All Data'!$A$3:$CO$999,90,FALSE),"unknown")</f>
        <v>Manhasset, 11030</v>
      </c>
      <c r="T487" s="143" t="str">
        <f>IFERROR(VLOOKUP(Table1[RespondentID],'All Data'!$A$3:$CO$999,91,FALSE),"unknown")</f>
        <v>White</v>
      </c>
      <c r="U487" s="143" t="str">
        <f>IFERROR(VLOOKUP(Table1[RespondentID],'All Data'!$A$3:$CO$999,92,FALSE),"unknown")</f>
        <v>Not Hispanic or Latino</v>
      </c>
      <c r="V487" s="143" t="str">
        <f>IFERROR(VLOOKUP(Table1[RespondentID],'All Data'!$A$3:$CO$999,93,FALSE),"unknown")</f>
        <v>English</v>
      </c>
      <c r="W487" s="143" t="str">
        <f>IFERROR(VLOOKUP(Table1[RespondentID],'All Data'!$A$3:$CW$999,94,FALSE),"unknown")</f>
        <v>$0-$19,999</v>
      </c>
      <c r="X487" s="143" t="str">
        <f>IFERROR(VLOOKUP(Table1[RespondentID],'All Data'!$A$3:$CW$999,95,FALSE),"unknown")</f>
        <v>Some college</v>
      </c>
      <c r="Y487" s="143" t="str">
        <f>IFERROR(VLOOKUP(Table1[RespondentID],'All Data'!$A$3:$CW$999,96,FALSE),"unknown")</f>
        <v>Out of work, but not currently looking</v>
      </c>
      <c r="Z487" s="143" t="str">
        <f>IFERROR(VLOOKUP(Table1[RespondentID],'All Data'!$A$3:$CW$999,97,FALSE),"unknown")</f>
        <v>Yes</v>
      </c>
      <c r="AA487" s="143" t="str">
        <f>IFERROR(VLOOKUP(Table1[RespondentID],'All Data'!$A$3:$CW$999,98,FALSE),"unknown")</f>
        <v>Medicaid</v>
      </c>
      <c r="AB487" s="143" t="str">
        <f>IFERROR(VLOOKUP(Table1[RespondentID],'All Data'!$A$3:$CW$999,99,FALSE),"unknown")</f>
        <v>No</v>
      </c>
    </row>
    <row r="488" spans="1:28">
      <c r="A488" s="149">
        <v>18031747661</v>
      </c>
      <c r="B488" s="187" t="s">
        <v>64</v>
      </c>
      <c r="C488" s="188"/>
      <c r="D488" s="188"/>
      <c r="E488" s="188"/>
      <c r="F488" s="188"/>
      <c r="G488" s="188"/>
      <c r="H488" s="188"/>
      <c r="I488" s="188"/>
      <c r="J488" s="188"/>
      <c r="K488" s="188"/>
      <c r="L488" s="188"/>
      <c r="M488" s="188"/>
      <c r="N488" s="188"/>
      <c r="O488" s="188"/>
      <c r="P488" s="143" t="str">
        <f>IFERROR(VLOOKUP(Table1[RespondentID],'All Data'!$A$3:$CO$999,87,FALSE),"unknown")</f>
        <v>Woman</v>
      </c>
      <c r="Q488" s="183">
        <f>IFERROR(VLOOKUP(Table1[RespondentID],'All Data'!$A$3:$CO$999,88,FALSE),"unknown")</f>
        <v>62</v>
      </c>
      <c r="R488" s="143" t="str">
        <f>IFERROR(VLOOKUP(Table1[RespondentID],'All Data'!$A$3:$CO$999,89,FALSE),"unknown")</f>
        <v>Nassau</v>
      </c>
      <c r="S488" s="143" t="str">
        <f>IFERROR(VLOOKUP(Table1[RespondentID],'All Data'!$A$3:$CO$999,90,FALSE),"unknown")</f>
        <v>Franklin Square, 11010</v>
      </c>
      <c r="T488" s="143" t="str">
        <f>IFERROR(VLOOKUP(Table1[RespondentID],'All Data'!$A$3:$CO$999,91,FALSE),"unknown")</f>
        <v>White</v>
      </c>
      <c r="U488" s="143">
        <f>IFERROR(VLOOKUP(Table1[RespondentID],'All Data'!$A$3:$CO$999,92,FALSE),"unknown")</f>
        <v>0</v>
      </c>
      <c r="V488" s="143" t="str">
        <f>IFERROR(VLOOKUP(Table1[RespondentID],'All Data'!$A$3:$CO$999,93,FALSE),"unknown")</f>
        <v>English</v>
      </c>
      <c r="W488" s="143" t="str">
        <f>IFERROR(VLOOKUP(Table1[RespondentID],'All Data'!$A$3:$CW$999,94,FALSE),"unknown")</f>
        <v>$75,000 to $125,000</v>
      </c>
      <c r="X488" s="143" t="str">
        <f>IFERROR(VLOOKUP(Table1[RespondentID],'All Data'!$A$3:$CW$999,95,FALSE),"unknown")</f>
        <v>High school graduate</v>
      </c>
      <c r="Y488" s="143" t="str">
        <f>IFERROR(VLOOKUP(Table1[RespondentID],'All Data'!$A$3:$CW$999,96,FALSE),"unknown")</f>
        <v>Employed for wages</v>
      </c>
      <c r="Z488" s="143" t="str">
        <f>IFERROR(VLOOKUP(Table1[RespondentID],'All Data'!$A$3:$CW$999,97,FALSE),"unknown")</f>
        <v>Yes</v>
      </c>
      <c r="AA488" s="143" t="str">
        <f>IFERROR(VLOOKUP(Table1[RespondentID],'All Data'!$A$3:$CW$999,98,FALSE),"unknown")</f>
        <v>Private/Commercial</v>
      </c>
      <c r="AB488" s="143" t="str">
        <f>IFERROR(VLOOKUP(Table1[RespondentID],'All Data'!$A$3:$CW$999,99,FALSE),"unknown")</f>
        <v>Yes</v>
      </c>
    </row>
    <row r="489" spans="1:28">
      <c r="A489" s="149">
        <v>18031747461</v>
      </c>
      <c r="B489" s="187" t="s">
        <v>64</v>
      </c>
      <c r="C489" s="188"/>
      <c r="D489" s="188"/>
      <c r="E489" s="188"/>
      <c r="F489" s="188"/>
      <c r="G489" s="188"/>
      <c r="H489" s="188"/>
      <c r="I489" s="188"/>
      <c r="J489" s="188"/>
      <c r="K489" s="188"/>
      <c r="L489" s="188"/>
      <c r="M489" s="188"/>
      <c r="N489" s="188"/>
      <c r="O489" s="188"/>
      <c r="P489" s="143">
        <f>IFERROR(VLOOKUP(Table1[RespondentID],'All Data'!$A$3:$CO$999,87,FALSE),"unknown")</f>
        <v>0</v>
      </c>
      <c r="Q489" s="183">
        <f>IFERROR(VLOOKUP(Table1[RespondentID],'All Data'!$A$3:$CO$999,88,FALSE),"unknown")</f>
        <v>0</v>
      </c>
      <c r="R489" s="143" t="str">
        <f>IFERROR(VLOOKUP(Table1[RespondentID],'All Data'!$A$3:$CO$999,89,FALSE),"unknown")</f>
        <v>Suffolk</v>
      </c>
      <c r="S489" s="143" t="str">
        <f>IFERROR(VLOOKUP(Table1[RespondentID],'All Data'!$A$3:$CO$999,90,FALSE),"unknown")</f>
        <v>Centerport, 11721</v>
      </c>
      <c r="T489" s="143" t="str">
        <f>IFERROR(VLOOKUP(Table1[RespondentID],'All Data'!$A$3:$CO$999,91,FALSE),"unknown")</f>
        <v>White</v>
      </c>
      <c r="U489" s="143">
        <f>IFERROR(VLOOKUP(Table1[RespondentID],'All Data'!$A$3:$CO$999,92,FALSE),"unknown")</f>
        <v>0</v>
      </c>
      <c r="V489" s="143" t="str">
        <f>IFERROR(VLOOKUP(Table1[RespondentID],'All Data'!$A$3:$CO$999,93,FALSE),"unknown")</f>
        <v>English</v>
      </c>
      <c r="W489" s="143">
        <f>IFERROR(VLOOKUP(Table1[RespondentID],'All Data'!$A$3:$CW$999,94,FALSE),"unknown")</f>
        <v>0</v>
      </c>
      <c r="X489" s="143" t="str">
        <f>IFERROR(VLOOKUP(Table1[RespondentID],'All Data'!$A$3:$CW$999,95,FALSE),"unknown")</f>
        <v>College graduate</v>
      </c>
      <c r="Y489" s="143" t="str">
        <f>IFERROR(VLOOKUP(Table1[RespondentID],'All Data'!$A$3:$CW$999,96,FALSE),"unknown")</f>
        <v>Out of work and looking for work</v>
      </c>
      <c r="Z489" s="143" t="str">
        <f>IFERROR(VLOOKUP(Table1[RespondentID],'All Data'!$A$3:$CW$999,97,FALSE),"unknown")</f>
        <v>Yes</v>
      </c>
      <c r="AA489" s="143">
        <f>IFERROR(VLOOKUP(Table1[RespondentID],'All Data'!$A$3:$CW$999,98,FALSE),"unknown")</f>
        <v>0</v>
      </c>
      <c r="AB489" s="143" t="str">
        <f>IFERROR(VLOOKUP(Table1[RespondentID],'All Data'!$A$3:$CW$999,99,FALSE),"unknown")</f>
        <v>Yes</v>
      </c>
    </row>
    <row r="490" spans="1:28">
      <c r="A490" s="149">
        <v>18031747331</v>
      </c>
      <c r="B490" s="187" t="s">
        <v>64</v>
      </c>
      <c r="C490" s="188"/>
      <c r="D490" s="188"/>
      <c r="E490" s="188"/>
      <c r="F490" s="188"/>
      <c r="G490" s="188"/>
      <c r="H490" s="188"/>
      <c r="I490" s="188"/>
      <c r="J490" s="188"/>
      <c r="K490" s="188"/>
      <c r="L490" s="188"/>
      <c r="M490" s="188" t="s">
        <v>75</v>
      </c>
      <c r="N490" s="188"/>
      <c r="O490" s="188"/>
      <c r="P490" s="143" t="str">
        <f>IFERROR(VLOOKUP(Table1[RespondentID],'All Data'!$A$3:$CO$999,87,FALSE),"unknown")</f>
        <v>Woman</v>
      </c>
      <c r="Q490" s="183">
        <f>IFERROR(VLOOKUP(Table1[RespondentID],'All Data'!$A$3:$CO$999,88,FALSE),"unknown")</f>
        <v>69</v>
      </c>
      <c r="R490" s="143" t="str">
        <f>IFERROR(VLOOKUP(Table1[RespondentID],'All Data'!$A$3:$CO$999,89,FALSE),"unknown")</f>
        <v>Nassau</v>
      </c>
      <c r="S490" s="143" t="str">
        <f>IFERROR(VLOOKUP(Table1[RespondentID],'All Data'!$A$3:$CO$999,90,FALSE),"unknown")</f>
        <v>Bellerose Terrace, 11001</v>
      </c>
      <c r="T490" s="143" t="str">
        <f>IFERROR(VLOOKUP(Table1[RespondentID],'All Data'!$A$3:$CO$999,91,FALSE),"unknown")</f>
        <v>White</v>
      </c>
      <c r="U490" s="143" t="str">
        <f>IFERROR(VLOOKUP(Table1[RespondentID],'All Data'!$A$3:$CO$999,92,FALSE),"unknown")</f>
        <v>Not Hispanic or Latino</v>
      </c>
      <c r="V490" s="143" t="str">
        <f>IFERROR(VLOOKUP(Table1[RespondentID],'All Data'!$A$3:$CO$999,93,FALSE),"unknown")</f>
        <v>English</v>
      </c>
      <c r="W490" s="143" t="str">
        <f>IFERROR(VLOOKUP(Table1[RespondentID],'All Data'!$A$3:$CW$999,94,FALSE),"unknown")</f>
        <v>$35,000 to $49,999</v>
      </c>
      <c r="X490" s="143" t="str">
        <f>IFERROR(VLOOKUP(Table1[RespondentID],'All Data'!$A$3:$CW$999,95,FALSE),"unknown")</f>
        <v>Graduate school</v>
      </c>
      <c r="Y490" s="143" t="str">
        <f>IFERROR(VLOOKUP(Table1[RespondentID],'All Data'!$A$3:$CW$999,96,FALSE),"unknown")</f>
        <v>Retired</v>
      </c>
      <c r="Z490" s="143" t="str">
        <f>IFERROR(VLOOKUP(Table1[RespondentID],'All Data'!$A$3:$CW$999,97,FALSE),"unknown")</f>
        <v>Yes</v>
      </c>
      <c r="AA490" s="143" t="str">
        <f>IFERROR(VLOOKUP(Table1[RespondentID],'All Data'!$A$3:$CW$999,98,FALSE),"unknown")</f>
        <v>Medicare</v>
      </c>
      <c r="AB490" s="143" t="str">
        <f>IFERROR(VLOOKUP(Table1[RespondentID],'All Data'!$A$3:$CW$999,99,FALSE),"unknown")</f>
        <v>Yes</v>
      </c>
    </row>
    <row r="491" spans="1:28">
      <c r="A491" s="149">
        <v>18031747137</v>
      </c>
      <c r="B491" s="187" t="s">
        <v>64</v>
      </c>
      <c r="C491" s="188"/>
      <c r="D491" s="188"/>
      <c r="E491" s="188"/>
      <c r="F491" s="188"/>
      <c r="G491" s="188"/>
      <c r="H491" s="188"/>
      <c r="I491" s="188"/>
      <c r="J491" s="188"/>
      <c r="K491" s="188"/>
      <c r="L491" s="188"/>
      <c r="M491" s="188"/>
      <c r="N491" s="188"/>
      <c r="O491" s="188"/>
      <c r="P491" s="143" t="str">
        <f>IFERROR(VLOOKUP(Table1[RespondentID],'All Data'!$A$3:$CO$999,87,FALSE),"unknown")</f>
        <v>Man</v>
      </c>
      <c r="Q491" s="183">
        <f>IFERROR(VLOOKUP(Table1[RespondentID],'All Data'!$A$3:$CO$999,88,FALSE),"unknown")</f>
        <v>57</v>
      </c>
      <c r="R491" s="143" t="str">
        <f>IFERROR(VLOOKUP(Table1[RespondentID],'All Data'!$A$3:$CO$999,89,FALSE),"unknown")</f>
        <v>Nassau</v>
      </c>
      <c r="S491" s="143" t="str">
        <f>IFERROR(VLOOKUP(Table1[RespondentID],'All Data'!$A$3:$CO$999,90,FALSE),"unknown")</f>
        <v>Floral Park, 11001</v>
      </c>
      <c r="T491" s="143" t="str">
        <f>IFERROR(VLOOKUP(Table1[RespondentID],'All Data'!$A$3:$CO$999,91,FALSE),"unknown")</f>
        <v>White</v>
      </c>
      <c r="U491" s="143" t="str">
        <f>IFERROR(VLOOKUP(Table1[RespondentID],'All Data'!$A$3:$CO$999,92,FALSE),"unknown")</f>
        <v>Not Hispanic or Latino</v>
      </c>
      <c r="V491" s="143" t="str">
        <f>IFERROR(VLOOKUP(Table1[RespondentID],'All Data'!$A$3:$CO$999,93,FALSE),"unknown")</f>
        <v>English</v>
      </c>
      <c r="W491" s="143" t="str">
        <f>IFERROR(VLOOKUP(Table1[RespondentID],'All Data'!$A$3:$CW$999,94,FALSE),"unknown")</f>
        <v>$75,000 to $125,000</v>
      </c>
      <c r="X491" s="143" t="str">
        <f>IFERROR(VLOOKUP(Table1[RespondentID],'All Data'!$A$3:$CW$999,95,FALSE),"unknown")</f>
        <v>High school graduate</v>
      </c>
      <c r="Y491" s="143" t="str">
        <f>IFERROR(VLOOKUP(Table1[RespondentID],'All Data'!$A$3:$CW$999,96,FALSE),"unknown")</f>
        <v>Retired</v>
      </c>
      <c r="Z491" s="143" t="str">
        <f>IFERROR(VLOOKUP(Table1[RespondentID],'All Data'!$A$3:$CW$999,97,FALSE),"unknown")</f>
        <v>Yes</v>
      </c>
      <c r="AA491" s="143" t="str">
        <f>IFERROR(VLOOKUP(Table1[RespondentID],'All Data'!$A$3:$CW$999,98,FALSE),"unknown")</f>
        <v>Private/Commercial</v>
      </c>
      <c r="AB491" s="143" t="str">
        <f>IFERROR(VLOOKUP(Table1[RespondentID],'All Data'!$A$3:$CW$999,99,FALSE),"unknown")</f>
        <v>Yes</v>
      </c>
    </row>
    <row r="492" spans="1:28">
      <c r="A492" s="149">
        <v>18031747033</v>
      </c>
      <c r="B492" s="187" t="s">
        <v>64</v>
      </c>
      <c r="C492" s="188"/>
      <c r="D492" s="188"/>
      <c r="E492" s="188"/>
      <c r="F492" s="188"/>
      <c r="G492" s="188"/>
      <c r="H492" s="188"/>
      <c r="I492" s="188"/>
      <c r="J492" s="188"/>
      <c r="K492" s="188"/>
      <c r="L492" s="188"/>
      <c r="M492" s="188" t="s">
        <v>75</v>
      </c>
      <c r="N492" s="188"/>
      <c r="O492" s="188"/>
      <c r="P492" s="143" t="str">
        <f>IFERROR(VLOOKUP(Table1[RespondentID],'All Data'!$A$3:$CO$999,87,FALSE),"unknown")</f>
        <v>Woman</v>
      </c>
      <c r="Q492" s="183">
        <f>IFERROR(VLOOKUP(Table1[RespondentID],'All Data'!$A$3:$CO$999,88,FALSE),"unknown")</f>
        <v>56</v>
      </c>
      <c r="R492" s="143" t="str">
        <f>IFERROR(VLOOKUP(Table1[RespondentID],'All Data'!$A$3:$CO$999,89,FALSE),"unknown")</f>
        <v>Nassau</v>
      </c>
      <c r="S492" s="143" t="str">
        <f>IFERROR(VLOOKUP(Table1[RespondentID],'All Data'!$A$3:$CO$999,90,FALSE),"unknown")</f>
        <v>Floral Park, 11002</v>
      </c>
      <c r="T492" s="143">
        <f>IFERROR(VLOOKUP(Table1[RespondentID],'All Data'!$A$3:$CO$999,91,FALSE),"unknown")</f>
        <v>0</v>
      </c>
      <c r="U492" s="143" t="str">
        <f>IFERROR(VLOOKUP(Table1[RespondentID],'All Data'!$A$3:$CO$999,92,FALSE),"unknown")</f>
        <v>Hispanic or Latino</v>
      </c>
      <c r="V492" s="143" t="str">
        <f>IFERROR(VLOOKUP(Table1[RespondentID],'All Data'!$A$3:$CO$999,93,FALSE),"unknown")</f>
        <v>English,Spanish</v>
      </c>
      <c r="W492" s="143" t="str">
        <f>IFERROR(VLOOKUP(Table1[RespondentID],'All Data'!$A$3:$CW$999,94,FALSE),"unknown")</f>
        <v>$75,000 to $125,000</v>
      </c>
      <c r="X492" s="143" t="str">
        <f>IFERROR(VLOOKUP(Table1[RespondentID],'All Data'!$A$3:$CW$999,95,FALSE),"unknown")</f>
        <v>College graduate</v>
      </c>
      <c r="Y492" s="143" t="str">
        <f>IFERROR(VLOOKUP(Table1[RespondentID],'All Data'!$A$3:$CW$999,96,FALSE),"unknown")</f>
        <v>Employed for wages</v>
      </c>
      <c r="Z492" s="143" t="str">
        <f>IFERROR(VLOOKUP(Table1[RespondentID],'All Data'!$A$3:$CW$999,97,FALSE),"unknown")</f>
        <v>Yes</v>
      </c>
      <c r="AA492" s="143" t="str">
        <f>IFERROR(VLOOKUP(Table1[RespondentID],'All Data'!$A$3:$CW$999,98,FALSE),"unknown")</f>
        <v>Private/Commercial</v>
      </c>
      <c r="AB492" s="143" t="str">
        <f>IFERROR(VLOOKUP(Table1[RespondentID],'All Data'!$A$3:$CW$999,99,FALSE),"unknown")</f>
        <v>Yes</v>
      </c>
    </row>
    <row r="493" spans="1:28">
      <c r="A493" s="149">
        <v>18031743094</v>
      </c>
      <c r="B493" s="187" t="s">
        <v>64</v>
      </c>
      <c r="C493" s="188"/>
      <c r="D493" s="188"/>
      <c r="E493" s="188"/>
      <c r="F493" s="188"/>
      <c r="G493" s="188"/>
      <c r="H493" s="188"/>
      <c r="I493" s="188"/>
      <c r="J493" s="188"/>
      <c r="K493" s="188"/>
      <c r="L493" s="188"/>
      <c r="M493" s="188" t="s">
        <v>75</v>
      </c>
      <c r="N493" s="188"/>
      <c r="O493" s="188"/>
      <c r="P493" s="143" t="str">
        <f>IFERROR(VLOOKUP(Table1[RespondentID],'All Data'!$A$3:$CO$999,87,FALSE),"unknown")</f>
        <v>Man</v>
      </c>
      <c r="Q493" s="183">
        <f>IFERROR(VLOOKUP(Table1[RespondentID],'All Data'!$A$3:$CO$999,88,FALSE),"unknown")</f>
        <v>78</v>
      </c>
      <c r="R493" s="143" t="str">
        <f>IFERROR(VLOOKUP(Table1[RespondentID],'All Data'!$A$3:$CO$999,89,FALSE),"unknown")</f>
        <v>Suffolk</v>
      </c>
      <c r="S493" s="143" t="str">
        <f>IFERROR(VLOOKUP(Table1[RespondentID],'All Data'!$A$3:$CO$999,90,FALSE),"unknown")</f>
        <v>Coram, 11727</v>
      </c>
      <c r="T493" s="143" t="str">
        <f>IFERROR(VLOOKUP(Table1[RespondentID],'All Data'!$A$3:$CO$999,91,FALSE),"unknown")</f>
        <v>White</v>
      </c>
      <c r="U493" s="143" t="str">
        <f>IFERROR(VLOOKUP(Table1[RespondentID],'All Data'!$A$3:$CO$999,92,FALSE),"unknown")</f>
        <v>Not Hispanic or Latino</v>
      </c>
      <c r="V493" s="143" t="str">
        <f>IFERROR(VLOOKUP(Table1[RespondentID],'All Data'!$A$3:$CO$999,93,FALSE),"unknown")</f>
        <v>English,Italian</v>
      </c>
      <c r="W493" s="143" t="str">
        <f>IFERROR(VLOOKUP(Table1[RespondentID],'All Data'!$A$3:$CW$999,94,FALSE),"unknown")</f>
        <v>$50,000 to $74,999</v>
      </c>
      <c r="X493" s="143" t="str">
        <f>IFERROR(VLOOKUP(Table1[RespondentID],'All Data'!$A$3:$CW$999,95,FALSE),"unknown")</f>
        <v>Doctorate</v>
      </c>
      <c r="Y493" s="143" t="str">
        <f>IFERROR(VLOOKUP(Table1[RespondentID],'All Data'!$A$3:$CW$999,96,FALSE),"unknown")</f>
        <v>Retired</v>
      </c>
      <c r="Z493" s="143" t="str">
        <f>IFERROR(VLOOKUP(Table1[RespondentID],'All Data'!$A$3:$CW$999,97,FALSE),"unknown")</f>
        <v>Yes</v>
      </c>
      <c r="AA493" s="143" t="str">
        <f>IFERROR(VLOOKUP(Table1[RespondentID],'All Data'!$A$3:$CW$999,98,FALSE),"unknown")</f>
        <v>Private/Commercial</v>
      </c>
      <c r="AB493" s="143" t="str">
        <f>IFERROR(VLOOKUP(Table1[RespondentID],'All Data'!$A$3:$CW$999,99,FALSE),"unknown")</f>
        <v>Yes</v>
      </c>
    </row>
    <row r="494" spans="1:28">
      <c r="A494" s="149">
        <v>18031732007</v>
      </c>
      <c r="B494" s="187" t="s">
        <v>64</v>
      </c>
      <c r="C494" s="188"/>
      <c r="D494" s="188"/>
      <c r="E494" s="188" t="s">
        <v>67</v>
      </c>
      <c r="F494" s="188"/>
      <c r="G494" s="188"/>
      <c r="H494" s="188"/>
      <c r="I494" s="188"/>
      <c r="J494" s="188"/>
      <c r="K494" s="188" t="s">
        <v>73</v>
      </c>
      <c r="L494" s="188"/>
      <c r="M494" s="188" t="s">
        <v>75</v>
      </c>
      <c r="N494" s="188"/>
      <c r="O494" s="188"/>
      <c r="P494" s="143" t="str">
        <f>IFERROR(VLOOKUP(Table1[RespondentID],'All Data'!$A$3:$CO$999,87,FALSE),"unknown")</f>
        <v>Man</v>
      </c>
      <c r="Q494" s="183">
        <f>IFERROR(VLOOKUP(Table1[RespondentID],'All Data'!$A$3:$CO$999,88,FALSE),"unknown")</f>
        <v>26</v>
      </c>
      <c r="R494" s="143" t="str">
        <f>IFERROR(VLOOKUP(Table1[RespondentID],'All Data'!$A$3:$CO$999,89,FALSE),"unknown")</f>
        <v>Suffolk</v>
      </c>
      <c r="S494" s="143" t="str">
        <f>IFERROR(VLOOKUP(Table1[RespondentID],'All Data'!$A$3:$CO$999,90,FALSE),"unknown")</f>
        <v>Northport, 11768</v>
      </c>
      <c r="T494" s="143" t="str">
        <f>IFERROR(VLOOKUP(Table1[RespondentID],'All Data'!$A$3:$CO$999,91,FALSE),"unknown")</f>
        <v>White</v>
      </c>
      <c r="U494" s="143" t="str">
        <f>IFERROR(VLOOKUP(Table1[RespondentID],'All Data'!$A$3:$CO$999,92,FALSE),"unknown")</f>
        <v>Not Hispanic or Latino</v>
      </c>
      <c r="V494" s="143" t="str">
        <f>IFERROR(VLOOKUP(Table1[RespondentID],'All Data'!$A$3:$CO$999,93,FALSE),"unknown")</f>
        <v>English</v>
      </c>
      <c r="W494" s="143" t="str">
        <f>IFERROR(VLOOKUP(Table1[RespondentID],'All Data'!$A$3:$CW$999,94,FALSE),"unknown")</f>
        <v>$50,000 to $74,999</v>
      </c>
      <c r="X494" s="143" t="str">
        <f>IFERROR(VLOOKUP(Table1[RespondentID],'All Data'!$A$3:$CW$999,95,FALSE),"unknown")</f>
        <v>Graduate school</v>
      </c>
      <c r="Y494" s="143" t="str">
        <f>IFERROR(VLOOKUP(Table1[RespondentID],'All Data'!$A$3:$CW$999,96,FALSE),"unknown")</f>
        <v>Employed for wages</v>
      </c>
      <c r="Z494" s="143" t="str">
        <f>IFERROR(VLOOKUP(Table1[RespondentID],'All Data'!$A$3:$CW$999,97,FALSE),"unknown")</f>
        <v>Yes</v>
      </c>
      <c r="AA494" s="143" t="str">
        <f>IFERROR(VLOOKUP(Table1[RespondentID],'All Data'!$A$3:$CW$999,98,FALSE),"unknown")</f>
        <v>Private/Commercial</v>
      </c>
      <c r="AB494" s="143" t="str">
        <f>IFERROR(VLOOKUP(Table1[RespondentID],'All Data'!$A$3:$CW$999,99,FALSE),"unknown")</f>
        <v>Yes</v>
      </c>
    </row>
    <row r="495" spans="1:28">
      <c r="A495" s="149">
        <v>18031555405</v>
      </c>
      <c r="B495" s="187" t="s">
        <v>64</v>
      </c>
      <c r="C495" s="188"/>
      <c r="D495" s="188" t="s">
        <v>66</v>
      </c>
      <c r="E495" s="188" t="s">
        <v>67</v>
      </c>
      <c r="F495" s="188" t="s">
        <v>68</v>
      </c>
      <c r="G495" s="188" t="s">
        <v>69</v>
      </c>
      <c r="H495" s="188"/>
      <c r="I495" s="188"/>
      <c r="J495" s="188"/>
      <c r="K495" s="188"/>
      <c r="L495" s="188"/>
      <c r="M495" s="188" t="s">
        <v>75</v>
      </c>
      <c r="N495" s="188" t="s">
        <v>76</v>
      </c>
      <c r="O495" s="188"/>
      <c r="P495" s="143" t="str">
        <f>IFERROR(VLOOKUP(Table1[RespondentID],'All Data'!$A$3:$CO$999,87,FALSE),"unknown")</f>
        <v>Woman</v>
      </c>
      <c r="Q495" s="183">
        <f>IFERROR(VLOOKUP(Table1[RespondentID],'All Data'!$A$3:$CO$999,88,FALSE),"unknown")</f>
        <v>16</v>
      </c>
      <c r="R495" s="143" t="str">
        <f>IFERROR(VLOOKUP(Table1[RespondentID],'All Data'!$A$3:$CO$999,89,FALSE),"unknown")</f>
        <v>Suffolk</v>
      </c>
      <c r="S495" s="143" t="str">
        <f>IFERROR(VLOOKUP(Table1[RespondentID],'All Data'!$A$3:$CO$999,90,FALSE),"unknown")</f>
        <v>Port Jefferson Station, 11776</v>
      </c>
      <c r="T495" s="143">
        <f>IFERROR(VLOOKUP(Table1[RespondentID],'All Data'!$A$3:$CO$999,91,FALSE),"unknown")</f>
        <v>0</v>
      </c>
      <c r="U495" s="143" t="str">
        <f>IFERROR(VLOOKUP(Table1[RespondentID],'All Data'!$A$3:$CO$999,92,FALSE),"unknown")</f>
        <v>Hispanic or Latino</v>
      </c>
      <c r="V495" s="143" t="str">
        <f>IFERROR(VLOOKUP(Table1[RespondentID],'All Data'!$A$3:$CO$999,93,FALSE),"unknown")</f>
        <v>English,Spanish</v>
      </c>
      <c r="W495" s="143" t="str">
        <f>IFERROR(VLOOKUP(Table1[RespondentID],'All Data'!$A$3:$CW$999,94,FALSE),"unknown")</f>
        <v>$0-$19,999</v>
      </c>
      <c r="X495" s="143" t="str">
        <f>IFERROR(VLOOKUP(Table1[RespondentID],'All Data'!$A$3:$CW$999,95,FALSE),"unknown")</f>
        <v>Some high school</v>
      </c>
      <c r="Y495" s="143" t="str">
        <f>IFERROR(VLOOKUP(Table1[RespondentID],'All Data'!$A$3:$CW$999,96,FALSE),"unknown")</f>
        <v>Out of work and looking for work</v>
      </c>
      <c r="Z495" s="143" t="str">
        <f>IFERROR(VLOOKUP(Table1[RespondentID],'All Data'!$A$3:$CW$999,97,FALSE),"unknown")</f>
        <v>Yes</v>
      </c>
      <c r="AA495" s="143" t="str">
        <f>IFERROR(VLOOKUP(Table1[RespondentID],'All Data'!$A$3:$CW$999,98,FALSE),"unknown")</f>
        <v>Medicaid</v>
      </c>
      <c r="AB495" s="143" t="str">
        <f>IFERROR(VLOOKUP(Table1[RespondentID],'All Data'!$A$3:$CW$999,99,FALSE),"unknown")</f>
        <v>Yes</v>
      </c>
    </row>
    <row r="496" spans="1:28">
      <c r="A496" s="149">
        <v>18031341675</v>
      </c>
      <c r="B496" s="187" t="s">
        <v>64</v>
      </c>
      <c r="C496" s="188" t="s">
        <v>65</v>
      </c>
      <c r="D496" s="188"/>
      <c r="E496" s="188"/>
      <c r="F496" s="188"/>
      <c r="G496" s="188"/>
      <c r="H496" s="188" t="s">
        <v>70</v>
      </c>
      <c r="I496" s="188"/>
      <c r="J496" s="188"/>
      <c r="K496" s="188" t="s">
        <v>73</v>
      </c>
      <c r="L496" s="188"/>
      <c r="M496" s="188"/>
      <c r="N496" s="188"/>
      <c r="O496" s="188" t="s">
        <v>506</v>
      </c>
      <c r="P496" s="143" t="str">
        <f>IFERROR(VLOOKUP(Table1[RespondentID],'All Data'!$A$3:$CO$999,87,FALSE),"unknown")</f>
        <v>Woman</v>
      </c>
      <c r="Q496" s="183">
        <f>IFERROR(VLOOKUP(Table1[RespondentID],'All Data'!$A$3:$CO$999,88,FALSE),"unknown")</f>
        <v>28</v>
      </c>
      <c r="R496" s="143" t="str">
        <f>IFERROR(VLOOKUP(Table1[RespondentID],'All Data'!$A$3:$CO$999,89,FALSE),"unknown")</f>
        <v>Nassau</v>
      </c>
      <c r="S496" s="143" t="str">
        <f>IFERROR(VLOOKUP(Table1[RespondentID],'All Data'!$A$3:$CO$999,90,FALSE),"unknown")</f>
        <v>Albertson, 11507</v>
      </c>
      <c r="T496" s="143" t="str">
        <f>IFERROR(VLOOKUP(Table1[RespondentID],'All Data'!$A$3:$CO$999,91,FALSE),"unknown")</f>
        <v>White</v>
      </c>
      <c r="U496" s="143" t="str">
        <f>IFERROR(VLOOKUP(Table1[RespondentID],'All Data'!$A$3:$CO$999,92,FALSE),"unknown")</f>
        <v>Not Hispanic or Latino</v>
      </c>
      <c r="V496" s="143" t="str">
        <f>IFERROR(VLOOKUP(Table1[RespondentID],'All Data'!$A$3:$CO$999,93,FALSE),"unknown")</f>
        <v>English</v>
      </c>
      <c r="W496" s="143" t="str">
        <f>IFERROR(VLOOKUP(Table1[RespondentID],'All Data'!$A$3:$CW$999,94,FALSE),"unknown")</f>
        <v>$0-$19,999</v>
      </c>
      <c r="X496" s="143" t="str">
        <f>IFERROR(VLOOKUP(Table1[RespondentID],'All Data'!$A$3:$CW$999,95,FALSE),"unknown")</f>
        <v>Doctorate</v>
      </c>
      <c r="Y496" s="143" t="str">
        <f>IFERROR(VLOOKUP(Table1[RespondentID],'All Data'!$A$3:$CW$999,96,FALSE),"unknown")</f>
        <v>Employed for wages</v>
      </c>
      <c r="Z496" s="143" t="str">
        <f>IFERROR(VLOOKUP(Table1[RespondentID],'All Data'!$A$3:$CW$999,97,FALSE),"unknown")</f>
        <v>Yes</v>
      </c>
      <c r="AA496" s="143" t="str">
        <f>IFERROR(VLOOKUP(Table1[RespondentID],'All Data'!$A$3:$CW$999,98,FALSE),"unknown")</f>
        <v>Medicaid,Private/Commercial</v>
      </c>
      <c r="AB496" s="143" t="str">
        <f>IFERROR(VLOOKUP(Table1[RespondentID],'All Data'!$A$3:$CW$999,99,FALSE),"unknown")</f>
        <v>Yes</v>
      </c>
    </row>
    <row r="497" spans="1:28">
      <c r="A497" s="149">
        <v>18029657257</v>
      </c>
      <c r="B497" s="187"/>
      <c r="C497" s="188"/>
      <c r="D497" s="188"/>
      <c r="E497" s="188"/>
      <c r="F497" s="188"/>
      <c r="G497" s="188"/>
      <c r="H497" s="188"/>
      <c r="I497" s="188"/>
      <c r="J497" s="188"/>
      <c r="K497" s="188"/>
      <c r="L497" s="188"/>
      <c r="M497" s="188"/>
      <c r="N497" s="188"/>
      <c r="O497" s="188" t="s">
        <v>507</v>
      </c>
      <c r="P497" s="143" t="str">
        <f>IFERROR(VLOOKUP(Table1[RespondentID],'All Data'!$A$3:$CO$999,87,FALSE),"unknown")</f>
        <v>Woman</v>
      </c>
      <c r="Q497" s="183">
        <f>IFERROR(VLOOKUP(Table1[RespondentID],'All Data'!$A$3:$CO$999,88,FALSE),"unknown")</f>
        <v>43</v>
      </c>
      <c r="R497" s="143" t="str">
        <f>IFERROR(VLOOKUP(Table1[RespondentID],'All Data'!$A$3:$CO$999,89,FALSE),"unknown")</f>
        <v>Nassau</v>
      </c>
      <c r="S497" s="143" t="str">
        <f>IFERROR(VLOOKUP(Table1[RespondentID],'All Data'!$A$3:$CO$999,90,FALSE),"unknown")</f>
        <v>Woodsburgh, 11598</v>
      </c>
      <c r="T497" s="143">
        <f>IFERROR(VLOOKUP(Table1[RespondentID],'All Data'!$A$3:$CO$999,91,FALSE),"unknown")</f>
        <v>0</v>
      </c>
      <c r="U497" s="143">
        <f>IFERROR(VLOOKUP(Table1[RespondentID],'All Data'!$A$3:$CO$999,92,FALSE),"unknown")</f>
        <v>0</v>
      </c>
      <c r="V497" s="143">
        <f>IFERROR(VLOOKUP(Table1[RespondentID],'All Data'!$A$3:$CO$999,93,FALSE),"unknown")</f>
        <v>0</v>
      </c>
      <c r="W497" s="143">
        <f>IFERROR(VLOOKUP(Table1[RespondentID],'All Data'!$A$3:$CW$999,94,FALSE),"unknown")</f>
        <v>0</v>
      </c>
      <c r="X497" s="143">
        <f>IFERROR(VLOOKUP(Table1[RespondentID],'All Data'!$A$3:$CW$999,95,FALSE),"unknown")</f>
        <v>0</v>
      </c>
      <c r="Y497" s="143">
        <f>IFERROR(VLOOKUP(Table1[RespondentID],'All Data'!$A$3:$CW$999,96,FALSE),"unknown")</f>
        <v>0</v>
      </c>
      <c r="Z497" s="143">
        <f>IFERROR(VLOOKUP(Table1[RespondentID],'All Data'!$A$3:$CW$999,97,FALSE),"unknown")</f>
        <v>0</v>
      </c>
      <c r="AA497" s="143">
        <f>IFERROR(VLOOKUP(Table1[RespondentID],'All Data'!$A$3:$CW$999,98,FALSE),"unknown")</f>
        <v>0</v>
      </c>
      <c r="AB497" s="143">
        <f>IFERROR(VLOOKUP(Table1[RespondentID],'All Data'!$A$3:$CW$999,99,FALSE),"unknown")</f>
        <v>0</v>
      </c>
    </row>
    <row r="498" spans="1:28">
      <c r="A498" s="149">
        <v>18029332229</v>
      </c>
      <c r="B498" s="187" t="s">
        <v>64</v>
      </c>
      <c r="C498" s="188"/>
      <c r="D498" s="188"/>
      <c r="E498" s="188"/>
      <c r="F498" s="188"/>
      <c r="G498" s="188"/>
      <c r="H498" s="188"/>
      <c r="I498" s="188"/>
      <c r="J498" s="188"/>
      <c r="K498" s="188"/>
      <c r="L498" s="188"/>
      <c r="M498" s="188"/>
      <c r="N498" s="188" t="s">
        <v>76</v>
      </c>
      <c r="O498" s="188"/>
      <c r="P498" s="143" t="str">
        <f>IFERROR(VLOOKUP(Table1[RespondentID],'All Data'!$A$3:$CO$999,87,FALSE),"unknown")</f>
        <v>Man</v>
      </c>
      <c r="Q498" s="183">
        <f>IFERROR(VLOOKUP(Table1[RespondentID],'All Data'!$A$3:$CO$999,88,FALSE),"unknown")</f>
        <v>65</v>
      </c>
      <c r="R498" s="143" t="str">
        <f>IFERROR(VLOOKUP(Table1[RespondentID],'All Data'!$A$3:$CO$999,89,FALSE),"unknown")</f>
        <v>Nassau</v>
      </c>
      <c r="S498" s="143" t="str">
        <f>IFERROR(VLOOKUP(Table1[RespondentID],'All Data'!$A$3:$CO$999,90,FALSE),"unknown")</f>
        <v>Bellmore, 11710</v>
      </c>
      <c r="T498" s="143" t="str">
        <f>IFERROR(VLOOKUP(Table1[RespondentID],'All Data'!$A$3:$CO$999,91,FALSE),"unknown")</f>
        <v>Two or more races</v>
      </c>
      <c r="U498" s="143">
        <f>IFERROR(VLOOKUP(Table1[RespondentID],'All Data'!$A$3:$CO$999,92,FALSE),"unknown")</f>
        <v>0</v>
      </c>
      <c r="V498" s="143" t="str">
        <f>IFERROR(VLOOKUP(Table1[RespondentID],'All Data'!$A$3:$CO$999,93,FALSE),"unknown")</f>
        <v>English</v>
      </c>
      <c r="W498" s="143" t="str">
        <f>IFERROR(VLOOKUP(Table1[RespondentID],'All Data'!$A$3:$CW$999,94,FALSE),"unknown")</f>
        <v>Over $125,000</v>
      </c>
      <c r="X498" s="143" t="str">
        <f>IFERROR(VLOOKUP(Table1[RespondentID],'All Data'!$A$3:$CW$999,95,FALSE),"unknown")</f>
        <v>College graduate</v>
      </c>
      <c r="Y498" s="143" t="str">
        <f>IFERROR(VLOOKUP(Table1[RespondentID],'All Data'!$A$3:$CW$999,96,FALSE),"unknown")</f>
        <v>Employed for wages</v>
      </c>
      <c r="Z498" s="143" t="str">
        <f>IFERROR(VLOOKUP(Table1[RespondentID],'All Data'!$A$3:$CW$999,97,FALSE),"unknown")</f>
        <v>Yes</v>
      </c>
      <c r="AA498" s="143" t="str">
        <f>IFERROR(VLOOKUP(Table1[RespondentID],'All Data'!$A$3:$CW$999,98,FALSE),"unknown")</f>
        <v>Private/Commercial</v>
      </c>
      <c r="AB498" s="143" t="str">
        <f>IFERROR(VLOOKUP(Table1[RespondentID],'All Data'!$A$3:$CW$999,99,FALSE),"unknown")</f>
        <v>Yes</v>
      </c>
    </row>
    <row r="499" spans="1:28">
      <c r="A499" s="149">
        <v>18028570366</v>
      </c>
      <c r="B499" s="187" t="s">
        <v>64</v>
      </c>
      <c r="C499" s="188"/>
      <c r="D499" s="188"/>
      <c r="E499" s="188"/>
      <c r="F499" s="188"/>
      <c r="G499" s="188"/>
      <c r="H499" s="188"/>
      <c r="I499" s="188"/>
      <c r="J499" s="188"/>
      <c r="K499" s="188" t="s">
        <v>73</v>
      </c>
      <c r="L499" s="188"/>
      <c r="M499" s="188" t="s">
        <v>75</v>
      </c>
      <c r="N499" s="188"/>
      <c r="O499" s="188"/>
      <c r="P499" s="143" t="str">
        <f>IFERROR(VLOOKUP(Table1[RespondentID],'All Data'!$A$3:$CO$999,87,FALSE),"unknown")</f>
        <v>Man</v>
      </c>
      <c r="Q499" s="183">
        <f>IFERROR(VLOOKUP(Table1[RespondentID],'All Data'!$A$3:$CO$999,88,FALSE),"unknown")</f>
        <v>75</v>
      </c>
      <c r="R499" s="143" t="str">
        <f>IFERROR(VLOOKUP(Table1[RespondentID],'All Data'!$A$3:$CO$999,89,FALSE),"unknown")</f>
        <v>Nassau</v>
      </c>
      <c r="S499" s="143" t="str">
        <f>IFERROR(VLOOKUP(Table1[RespondentID],'All Data'!$A$3:$CO$999,90,FALSE),"unknown")</f>
        <v>Lawrence, 11559</v>
      </c>
      <c r="T499" s="143" t="str">
        <f>IFERROR(VLOOKUP(Table1[RespondentID],'All Data'!$A$3:$CO$999,91,FALSE),"unknown")</f>
        <v>White</v>
      </c>
      <c r="U499" s="143" t="str">
        <f>IFERROR(VLOOKUP(Table1[RespondentID],'All Data'!$A$3:$CO$999,92,FALSE),"unknown")</f>
        <v>Not Hispanic or Latino</v>
      </c>
      <c r="V499" s="143" t="str">
        <f>IFERROR(VLOOKUP(Table1[RespondentID],'All Data'!$A$3:$CO$999,93,FALSE),"unknown")</f>
        <v>English</v>
      </c>
      <c r="W499" s="143">
        <f>IFERROR(VLOOKUP(Table1[RespondentID],'All Data'!$A$3:$CW$999,94,FALSE),"unknown")</f>
        <v>0</v>
      </c>
      <c r="X499" s="143" t="str">
        <f>IFERROR(VLOOKUP(Table1[RespondentID],'All Data'!$A$3:$CW$999,95,FALSE),"unknown")</f>
        <v>Graduate school</v>
      </c>
      <c r="Y499" s="143" t="str">
        <f>IFERROR(VLOOKUP(Table1[RespondentID],'All Data'!$A$3:$CW$999,96,FALSE),"unknown")</f>
        <v>Self-employed</v>
      </c>
      <c r="Z499" s="143" t="str">
        <f>IFERROR(VLOOKUP(Table1[RespondentID],'All Data'!$A$3:$CW$999,97,FALSE),"unknown")</f>
        <v>Yes</v>
      </c>
      <c r="AA499" s="143" t="str">
        <f>IFERROR(VLOOKUP(Table1[RespondentID],'All Data'!$A$3:$CW$999,98,FALSE),"unknown")</f>
        <v>Medicare</v>
      </c>
      <c r="AB499" s="143">
        <f>IFERROR(VLOOKUP(Table1[RespondentID],'All Data'!$A$3:$CW$999,99,FALSE),"unknown")</f>
        <v>0</v>
      </c>
    </row>
    <row r="500" spans="1:28">
      <c r="A500" s="149">
        <v>18028478878</v>
      </c>
      <c r="B500" s="187"/>
      <c r="C500" s="188"/>
      <c r="D500" s="188"/>
      <c r="E500" s="188"/>
      <c r="F500" s="188"/>
      <c r="G500" s="188"/>
      <c r="H500" s="188"/>
      <c r="I500" s="188"/>
      <c r="J500" s="188"/>
      <c r="K500" s="188"/>
      <c r="L500" s="188"/>
      <c r="M500" s="188"/>
      <c r="N500" s="188"/>
      <c r="O500" s="188"/>
      <c r="P500" s="143">
        <f>IFERROR(VLOOKUP(Table1[RespondentID],'All Data'!$A$3:$CO$999,87,FALSE),"unknown")</f>
        <v>0</v>
      </c>
      <c r="Q500" s="183">
        <f>IFERROR(VLOOKUP(Table1[RespondentID],'All Data'!$A$3:$CO$999,88,FALSE),"unknown")</f>
        <v>0</v>
      </c>
      <c r="R500" s="143">
        <f>IFERROR(VLOOKUP(Table1[RespondentID],'All Data'!$A$3:$CO$999,89,FALSE),"unknown")</f>
        <v>0</v>
      </c>
      <c r="S500" s="143" t="str">
        <f>IFERROR(VLOOKUP(Table1[RespondentID],'All Data'!$A$3:$CO$999,90,FALSE),"unknown")</f>
        <v>Atlantic Beach, 11509</v>
      </c>
      <c r="T500" s="143">
        <f>IFERROR(VLOOKUP(Table1[RespondentID],'All Data'!$A$3:$CO$999,91,FALSE),"unknown")</f>
        <v>0</v>
      </c>
      <c r="U500" s="143">
        <f>IFERROR(VLOOKUP(Table1[RespondentID],'All Data'!$A$3:$CO$999,92,FALSE),"unknown")</f>
        <v>0</v>
      </c>
      <c r="V500" s="143">
        <f>IFERROR(VLOOKUP(Table1[RespondentID],'All Data'!$A$3:$CO$999,93,FALSE),"unknown")</f>
        <v>0</v>
      </c>
      <c r="W500" s="143">
        <f>IFERROR(VLOOKUP(Table1[RespondentID],'All Data'!$A$3:$CW$999,94,FALSE),"unknown")</f>
        <v>0</v>
      </c>
      <c r="X500" s="143">
        <f>IFERROR(VLOOKUP(Table1[RespondentID],'All Data'!$A$3:$CW$999,95,FALSE),"unknown")</f>
        <v>0</v>
      </c>
      <c r="Y500" s="143">
        <f>IFERROR(VLOOKUP(Table1[RespondentID],'All Data'!$A$3:$CW$999,96,FALSE),"unknown")</f>
        <v>0</v>
      </c>
      <c r="Z500" s="143">
        <f>IFERROR(VLOOKUP(Table1[RespondentID],'All Data'!$A$3:$CW$999,97,FALSE),"unknown")</f>
        <v>0</v>
      </c>
      <c r="AA500" s="143">
        <f>IFERROR(VLOOKUP(Table1[RespondentID],'All Data'!$A$3:$CW$999,98,FALSE),"unknown")</f>
        <v>0</v>
      </c>
      <c r="AB500" s="143">
        <f>IFERROR(VLOOKUP(Table1[RespondentID],'All Data'!$A$3:$CW$999,99,FALSE),"unknown")</f>
        <v>0</v>
      </c>
    </row>
    <row r="501" spans="1:28">
      <c r="A501" s="149">
        <v>18027546776</v>
      </c>
      <c r="B501" s="187"/>
      <c r="C501" s="188"/>
      <c r="D501" s="188"/>
      <c r="E501" s="188"/>
      <c r="F501" s="188"/>
      <c r="G501" s="188"/>
      <c r="H501" s="188" t="s">
        <v>70</v>
      </c>
      <c r="I501" s="188"/>
      <c r="J501" s="188"/>
      <c r="K501" s="188"/>
      <c r="L501" s="188"/>
      <c r="M501" s="188" t="s">
        <v>75</v>
      </c>
      <c r="N501" s="188"/>
      <c r="O501" s="188"/>
      <c r="P501" s="143">
        <f>IFERROR(VLOOKUP(Table1[RespondentID],'All Data'!$A$3:$CO$999,87,FALSE),"unknown")</f>
        <v>0</v>
      </c>
      <c r="Q501" s="183">
        <f>IFERROR(VLOOKUP(Table1[RespondentID],'All Data'!$A$3:$CO$999,88,FALSE),"unknown")</f>
        <v>0</v>
      </c>
      <c r="R501" s="143" t="str">
        <f>IFERROR(VLOOKUP(Table1[RespondentID],'All Data'!$A$3:$CO$999,89,FALSE),"unknown")</f>
        <v>Nassau</v>
      </c>
      <c r="S501" s="143" t="str">
        <f>IFERROR(VLOOKUP(Table1[RespondentID],'All Data'!$A$3:$CO$999,90,FALSE),"unknown")</f>
        <v>Massapequa, 11758</v>
      </c>
      <c r="T501" s="143" t="str">
        <f>IFERROR(VLOOKUP(Table1[RespondentID],'All Data'!$A$3:$CO$999,91,FALSE),"unknown")</f>
        <v>White</v>
      </c>
      <c r="U501" s="143" t="str">
        <f>IFERROR(VLOOKUP(Table1[RespondentID],'All Data'!$A$3:$CO$999,92,FALSE),"unknown")</f>
        <v>Not Hispanic or Latino</v>
      </c>
      <c r="V501" s="143" t="str">
        <f>IFERROR(VLOOKUP(Table1[RespondentID],'All Data'!$A$3:$CO$999,93,FALSE),"unknown")</f>
        <v>English</v>
      </c>
      <c r="W501" s="143">
        <f>IFERROR(VLOOKUP(Table1[RespondentID],'All Data'!$A$3:$CW$999,94,FALSE),"unknown")</f>
        <v>0</v>
      </c>
      <c r="X501" s="143" t="str">
        <f>IFERROR(VLOOKUP(Table1[RespondentID],'All Data'!$A$3:$CW$999,95,FALSE),"unknown")</f>
        <v>Graduate school</v>
      </c>
      <c r="Y501" s="143" t="str">
        <f>IFERROR(VLOOKUP(Table1[RespondentID],'All Data'!$A$3:$CW$999,96,FALSE),"unknown")</f>
        <v>Employed for wages</v>
      </c>
      <c r="Z501" s="143" t="str">
        <f>IFERROR(VLOOKUP(Table1[RespondentID],'All Data'!$A$3:$CW$999,97,FALSE),"unknown")</f>
        <v>Yes</v>
      </c>
      <c r="AA501" s="143" t="str">
        <f>IFERROR(VLOOKUP(Table1[RespondentID],'All Data'!$A$3:$CW$999,98,FALSE),"unknown")</f>
        <v>Private/Commercial</v>
      </c>
      <c r="AB501" s="143">
        <f>IFERROR(VLOOKUP(Table1[RespondentID],'All Data'!$A$3:$CW$999,99,FALSE),"unknown")</f>
        <v>0</v>
      </c>
    </row>
    <row r="502" spans="1:28">
      <c r="A502" s="149">
        <v>18027489857</v>
      </c>
      <c r="B502" s="187" t="s">
        <v>64</v>
      </c>
      <c r="C502" s="188"/>
      <c r="D502" s="188"/>
      <c r="E502" s="188" t="s">
        <v>67</v>
      </c>
      <c r="F502" s="188"/>
      <c r="G502" s="188"/>
      <c r="H502" s="188"/>
      <c r="I502" s="188"/>
      <c r="J502" s="188"/>
      <c r="K502" s="188"/>
      <c r="L502" s="188"/>
      <c r="M502" s="188"/>
      <c r="N502" s="188"/>
      <c r="O502" s="188"/>
      <c r="P502" s="143" t="str">
        <f>IFERROR(VLOOKUP(Table1[RespondentID],'All Data'!$A$3:$CO$999,87,FALSE),"unknown")</f>
        <v>Woman</v>
      </c>
      <c r="Q502" s="183">
        <f>IFERROR(VLOOKUP(Table1[RespondentID],'All Data'!$A$3:$CO$999,88,FALSE),"unknown")</f>
        <v>25</v>
      </c>
      <c r="R502" s="143" t="str">
        <f>IFERROR(VLOOKUP(Table1[RespondentID],'All Data'!$A$3:$CO$999,89,FALSE),"unknown")</f>
        <v>Nassau</v>
      </c>
      <c r="S502" s="143" t="str">
        <f>IFERROR(VLOOKUP(Table1[RespondentID],'All Data'!$A$3:$CO$999,90,FALSE),"unknown")</f>
        <v>Massapequa Park, 11762</v>
      </c>
      <c r="T502" s="143" t="str">
        <f>IFERROR(VLOOKUP(Table1[RespondentID],'All Data'!$A$3:$CO$999,91,FALSE),"unknown")</f>
        <v>White</v>
      </c>
      <c r="U502" s="143" t="str">
        <f>IFERROR(VLOOKUP(Table1[RespondentID],'All Data'!$A$3:$CO$999,92,FALSE),"unknown")</f>
        <v>Not Hispanic or Latino</v>
      </c>
      <c r="V502" s="143">
        <f>IFERROR(VLOOKUP(Table1[RespondentID],'All Data'!$A$3:$CO$999,93,FALSE),"unknown")</f>
        <v>0</v>
      </c>
      <c r="W502" s="143" t="str">
        <f>IFERROR(VLOOKUP(Table1[RespondentID],'All Data'!$A$3:$CW$999,94,FALSE),"unknown")</f>
        <v>$50,000 to $74,999</v>
      </c>
      <c r="X502" s="143" t="str">
        <f>IFERROR(VLOOKUP(Table1[RespondentID],'All Data'!$A$3:$CW$999,95,FALSE),"unknown")</f>
        <v>College graduate</v>
      </c>
      <c r="Y502" s="143" t="str">
        <f>IFERROR(VLOOKUP(Table1[RespondentID],'All Data'!$A$3:$CW$999,96,FALSE),"unknown")</f>
        <v>Employed for wages</v>
      </c>
      <c r="Z502" s="143" t="str">
        <f>IFERROR(VLOOKUP(Table1[RespondentID],'All Data'!$A$3:$CW$999,97,FALSE),"unknown")</f>
        <v>Yes</v>
      </c>
      <c r="AA502" s="143" t="str">
        <f>IFERROR(VLOOKUP(Table1[RespondentID],'All Data'!$A$3:$CW$999,98,FALSE),"unknown")</f>
        <v>Private/Commercial</v>
      </c>
      <c r="AB502" s="143" t="str">
        <f>IFERROR(VLOOKUP(Table1[RespondentID],'All Data'!$A$3:$CW$999,99,FALSE),"unknown")</f>
        <v>Yes</v>
      </c>
    </row>
    <row r="503" spans="1:28">
      <c r="A503" s="149">
        <v>18027026943</v>
      </c>
      <c r="B503" s="187" t="s">
        <v>64</v>
      </c>
      <c r="C503" s="188"/>
      <c r="D503" s="188"/>
      <c r="E503" s="188"/>
      <c r="F503" s="188"/>
      <c r="G503" s="188"/>
      <c r="H503" s="188"/>
      <c r="I503" s="188"/>
      <c r="J503" s="188"/>
      <c r="K503" s="188"/>
      <c r="L503" s="188"/>
      <c r="M503" s="188"/>
      <c r="N503" s="188"/>
      <c r="O503" s="188"/>
      <c r="P503" s="143" t="str">
        <f>IFERROR(VLOOKUP(Table1[RespondentID],'All Data'!$A$3:$CO$999,87,FALSE),"unknown")</f>
        <v>Woman</v>
      </c>
      <c r="Q503" s="183">
        <f>IFERROR(VLOOKUP(Table1[RespondentID],'All Data'!$A$3:$CO$999,88,FALSE),"unknown")</f>
        <v>47</v>
      </c>
      <c r="R503" s="143" t="str">
        <f>IFERROR(VLOOKUP(Table1[RespondentID],'All Data'!$A$3:$CO$999,89,FALSE),"unknown")</f>
        <v>Nassau</v>
      </c>
      <c r="S503" s="143" t="str">
        <f>IFERROR(VLOOKUP(Table1[RespondentID],'All Data'!$A$3:$CO$999,90,FALSE),"unknown")</f>
        <v>Wantagh, 11793</v>
      </c>
      <c r="T503" s="143" t="str">
        <f>IFERROR(VLOOKUP(Table1[RespondentID],'All Data'!$A$3:$CO$999,91,FALSE),"unknown")</f>
        <v>White</v>
      </c>
      <c r="U503" s="143" t="str">
        <f>IFERROR(VLOOKUP(Table1[RespondentID],'All Data'!$A$3:$CO$999,92,FALSE),"unknown")</f>
        <v>Not Hispanic or Latino</v>
      </c>
      <c r="V503" s="143" t="str">
        <f>IFERROR(VLOOKUP(Table1[RespondentID],'All Data'!$A$3:$CO$999,93,FALSE),"unknown")</f>
        <v>English</v>
      </c>
      <c r="W503" s="143" t="str">
        <f>IFERROR(VLOOKUP(Table1[RespondentID],'All Data'!$A$3:$CW$999,94,FALSE),"unknown")</f>
        <v>$75,000 to $125,000</v>
      </c>
      <c r="X503" s="143" t="str">
        <f>IFERROR(VLOOKUP(Table1[RespondentID],'All Data'!$A$3:$CW$999,95,FALSE),"unknown")</f>
        <v>Some college</v>
      </c>
      <c r="Y503" s="143" t="str">
        <f>IFERROR(VLOOKUP(Table1[RespondentID],'All Data'!$A$3:$CW$999,96,FALSE),"unknown")</f>
        <v>Out of work, but not currently looking</v>
      </c>
      <c r="Z503" s="143">
        <f>IFERROR(VLOOKUP(Table1[RespondentID],'All Data'!$A$3:$CW$999,97,FALSE),"unknown")</f>
        <v>0</v>
      </c>
      <c r="AA503" s="143" t="str">
        <f>IFERROR(VLOOKUP(Table1[RespondentID],'All Data'!$A$3:$CW$999,98,FALSE),"unknown")</f>
        <v>Medicaid</v>
      </c>
      <c r="AB503" s="143" t="str">
        <f>IFERROR(VLOOKUP(Table1[RespondentID],'All Data'!$A$3:$CW$999,99,FALSE),"unknown")</f>
        <v>Yes</v>
      </c>
    </row>
    <row r="504" spans="1:28">
      <c r="A504" s="149">
        <v>18026792737</v>
      </c>
      <c r="B504" s="187" t="s">
        <v>64</v>
      </c>
      <c r="C504" s="188"/>
      <c r="D504" s="188"/>
      <c r="E504" s="188"/>
      <c r="F504" s="188" t="s">
        <v>68</v>
      </c>
      <c r="G504" s="188"/>
      <c r="H504" s="188"/>
      <c r="I504" s="188"/>
      <c r="J504" s="188"/>
      <c r="K504" s="188"/>
      <c r="L504" s="188"/>
      <c r="M504" s="188" t="s">
        <v>75</v>
      </c>
      <c r="N504" s="188"/>
      <c r="O504" s="188"/>
      <c r="P504" s="143" t="str">
        <f>IFERROR(VLOOKUP(Table1[RespondentID],'All Data'!$A$3:$CO$999,87,FALSE),"unknown")</f>
        <v>Man</v>
      </c>
      <c r="Q504" s="183">
        <f>IFERROR(VLOOKUP(Table1[RespondentID],'All Data'!$A$3:$CO$999,88,FALSE),"unknown")</f>
        <v>74</v>
      </c>
      <c r="R504" s="143" t="str">
        <f>IFERROR(VLOOKUP(Table1[RespondentID],'All Data'!$A$3:$CO$999,89,FALSE),"unknown")</f>
        <v>Nassau</v>
      </c>
      <c r="S504" s="143" t="str">
        <f>IFERROR(VLOOKUP(Table1[RespondentID],'All Data'!$A$3:$CO$999,90,FALSE),"unknown")</f>
        <v>Mineola, 11501</v>
      </c>
      <c r="T504" s="143">
        <f>IFERROR(VLOOKUP(Table1[RespondentID],'All Data'!$A$3:$CO$999,91,FALSE),"unknown")</f>
        <v>0</v>
      </c>
      <c r="U504" s="143" t="str">
        <f>IFERROR(VLOOKUP(Table1[RespondentID],'All Data'!$A$3:$CO$999,92,FALSE),"unknown")</f>
        <v>Not Hispanic or Latino</v>
      </c>
      <c r="V504" s="143">
        <f>IFERROR(VLOOKUP(Table1[RespondentID],'All Data'!$A$3:$CO$999,93,FALSE),"unknown")</f>
        <v>0</v>
      </c>
      <c r="W504" s="143">
        <f>IFERROR(VLOOKUP(Table1[RespondentID],'All Data'!$A$3:$CW$999,94,FALSE),"unknown")</f>
        <v>0</v>
      </c>
      <c r="X504" s="143">
        <f>IFERROR(VLOOKUP(Table1[RespondentID],'All Data'!$A$3:$CW$999,95,FALSE),"unknown")</f>
        <v>0</v>
      </c>
      <c r="Y504" s="143">
        <f>IFERROR(VLOOKUP(Table1[RespondentID],'All Data'!$A$3:$CW$999,96,FALSE),"unknown")</f>
        <v>0</v>
      </c>
      <c r="Z504" s="143">
        <f>IFERROR(VLOOKUP(Table1[RespondentID],'All Data'!$A$3:$CW$999,97,FALSE),"unknown")</f>
        <v>0</v>
      </c>
      <c r="AA504" s="143">
        <f>IFERROR(VLOOKUP(Table1[RespondentID],'All Data'!$A$3:$CW$999,98,FALSE),"unknown")</f>
        <v>0</v>
      </c>
      <c r="AB504" s="143">
        <f>IFERROR(VLOOKUP(Table1[RespondentID],'All Data'!$A$3:$CW$999,99,FALSE),"unknown")</f>
        <v>0</v>
      </c>
    </row>
    <row r="505" spans="1:28">
      <c r="A505" s="149">
        <v>18026792525</v>
      </c>
      <c r="B505" s="187" t="s">
        <v>64</v>
      </c>
      <c r="C505" s="188"/>
      <c r="D505" s="188"/>
      <c r="E505" s="188"/>
      <c r="F505" s="188"/>
      <c r="G505" s="188"/>
      <c r="H505" s="188"/>
      <c r="I505" s="188"/>
      <c r="J505" s="188"/>
      <c r="K505" s="188"/>
      <c r="L505" s="188"/>
      <c r="M505" s="188" t="s">
        <v>75</v>
      </c>
      <c r="N505" s="188"/>
      <c r="O505" s="188"/>
      <c r="P505" s="143" t="str">
        <f>IFERROR(VLOOKUP(Table1[RespondentID],'All Data'!$A$3:$CO$999,87,FALSE),"unknown")</f>
        <v>Woman</v>
      </c>
      <c r="Q505" s="183">
        <f>IFERROR(VLOOKUP(Table1[RespondentID],'All Data'!$A$3:$CO$999,88,FALSE),"unknown")</f>
        <v>63</v>
      </c>
      <c r="R505" s="143" t="str">
        <f>IFERROR(VLOOKUP(Table1[RespondentID],'All Data'!$A$3:$CO$999,89,FALSE),"unknown")</f>
        <v>Nassau</v>
      </c>
      <c r="S505" s="143" t="str">
        <f>IFERROR(VLOOKUP(Table1[RespondentID],'All Data'!$A$3:$CO$999,90,FALSE),"unknown")</f>
        <v>Mineola, 11501</v>
      </c>
      <c r="T505" s="143" t="str">
        <f>IFERROR(VLOOKUP(Table1[RespondentID],'All Data'!$A$3:$CO$999,91,FALSE),"unknown")</f>
        <v>White</v>
      </c>
      <c r="U505" s="143" t="str">
        <f>IFERROR(VLOOKUP(Table1[RespondentID],'All Data'!$A$3:$CO$999,92,FALSE),"unknown")</f>
        <v>Not Hispanic or Latino</v>
      </c>
      <c r="V505" s="143" t="str">
        <f>IFERROR(VLOOKUP(Table1[RespondentID],'All Data'!$A$3:$CO$999,93,FALSE),"unknown")</f>
        <v>English</v>
      </c>
      <c r="W505" s="143" t="str">
        <f>IFERROR(VLOOKUP(Table1[RespondentID],'All Data'!$A$3:$CW$999,94,FALSE),"unknown")</f>
        <v>$20,000 to $34,999</v>
      </c>
      <c r="X505" s="143" t="str">
        <f>IFERROR(VLOOKUP(Table1[RespondentID],'All Data'!$A$3:$CW$999,95,FALSE),"unknown")</f>
        <v>Graduate school</v>
      </c>
      <c r="Y505" s="143" t="str">
        <f>IFERROR(VLOOKUP(Table1[RespondentID],'All Data'!$A$3:$CW$999,96,FALSE),"unknown")</f>
        <v>Retired</v>
      </c>
      <c r="Z505" s="143" t="str">
        <f>IFERROR(VLOOKUP(Table1[RespondentID],'All Data'!$A$3:$CW$999,97,FALSE),"unknown")</f>
        <v>No</v>
      </c>
      <c r="AA505" s="143" t="str">
        <f>IFERROR(VLOOKUP(Table1[RespondentID],'All Data'!$A$3:$CW$999,98,FALSE),"unknown")</f>
        <v>No Insurance</v>
      </c>
      <c r="AB505" s="143" t="str">
        <f>IFERROR(VLOOKUP(Table1[RespondentID],'All Data'!$A$3:$CW$999,99,FALSE),"unknown")</f>
        <v>Yes</v>
      </c>
    </row>
    <row r="506" spans="1:28">
      <c r="A506" s="149">
        <v>18026792379</v>
      </c>
      <c r="B506" s="187" t="s">
        <v>64</v>
      </c>
      <c r="C506" s="188"/>
      <c r="D506" s="188"/>
      <c r="E506" s="188"/>
      <c r="F506" s="188"/>
      <c r="G506" s="188" t="s">
        <v>69</v>
      </c>
      <c r="H506" s="188"/>
      <c r="I506" s="188"/>
      <c r="J506" s="188"/>
      <c r="K506" s="188"/>
      <c r="L506" s="188"/>
      <c r="M506" s="188"/>
      <c r="N506" s="188"/>
      <c r="O506" s="188"/>
      <c r="P506" s="143" t="str">
        <f>IFERROR(VLOOKUP(Table1[RespondentID],'All Data'!$A$3:$CO$999,87,FALSE),"unknown")</f>
        <v>Woman</v>
      </c>
      <c r="Q506" s="183">
        <f>IFERROR(VLOOKUP(Table1[RespondentID],'All Data'!$A$3:$CO$999,88,FALSE),"unknown")</f>
        <v>71</v>
      </c>
      <c r="R506" s="143" t="str">
        <f>IFERROR(VLOOKUP(Table1[RespondentID],'All Data'!$A$3:$CO$999,89,FALSE),"unknown")</f>
        <v>Nassau</v>
      </c>
      <c r="S506" s="143" t="str">
        <f>IFERROR(VLOOKUP(Table1[RespondentID],'All Data'!$A$3:$CO$999,90,FALSE),"unknown")</f>
        <v>Mineola, 11501</v>
      </c>
      <c r="T506" s="143" t="str">
        <f>IFERROR(VLOOKUP(Table1[RespondentID],'All Data'!$A$3:$CO$999,91,FALSE),"unknown")</f>
        <v>White</v>
      </c>
      <c r="U506" s="143" t="str">
        <f>IFERROR(VLOOKUP(Table1[RespondentID],'All Data'!$A$3:$CO$999,92,FALSE),"unknown")</f>
        <v>Not Hispanic or Latino</v>
      </c>
      <c r="V506" s="143" t="str">
        <f>IFERROR(VLOOKUP(Table1[RespondentID],'All Data'!$A$3:$CO$999,93,FALSE),"unknown")</f>
        <v>English</v>
      </c>
      <c r="W506" s="143" t="str">
        <f>IFERROR(VLOOKUP(Table1[RespondentID],'All Data'!$A$3:$CW$999,94,FALSE),"unknown")</f>
        <v>$20,000 to $34,999</v>
      </c>
      <c r="X506" s="143" t="str">
        <f>IFERROR(VLOOKUP(Table1[RespondentID],'All Data'!$A$3:$CW$999,95,FALSE),"unknown")</f>
        <v>High school graduate</v>
      </c>
      <c r="Y506" s="143" t="str">
        <f>IFERROR(VLOOKUP(Table1[RespondentID],'All Data'!$A$3:$CW$999,96,FALSE),"unknown")</f>
        <v>Retired</v>
      </c>
      <c r="Z506" s="143" t="str">
        <f>IFERROR(VLOOKUP(Table1[RespondentID],'All Data'!$A$3:$CW$999,97,FALSE),"unknown")</f>
        <v>Yes</v>
      </c>
      <c r="AA506" s="143" t="str">
        <f>IFERROR(VLOOKUP(Table1[RespondentID],'All Data'!$A$3:$CW$999,98,FALSE),"unknown")</f>
        <v>Medicare</v>
      </c>
      <c r="AB506" s="143" t="str">
        <f>IFERROR(VLOOKUP(Table1[RespondentID],'All Data'!$A$3:$CW$999,99,FALSE),"unknown")</f>
        <v>No</v>
      </c>
    </row>
    <row r="507" spans="1:28">
      <c r="A507" s="149">
        <v>18026792254</v>
      </c>
      <c r="B507" s="187" t="s">
        <v>64</v>
      </c>
      <c r="C507" s="188"/>
      <c r="D507" s="188"/>
      <c r="E507" s="188" t="s">
        <v>67</v>
      </c>
      <c r="F507" s="188" t="s">
        <v>68</v>
      </c>
      <c r="G507" s="188" t="s">
        <v>69</v>
      </c>
      <c r="H507" s="188"/>
      <c r="I507" s="188"/>
      <c r="J507" s="188"/>
      <c r="K507" s="188"/>
      <c r="L507" s="188"/>
      <c r="M507" s="188"/>
      <c r="N507" s="188"/>
      <c r="O507" s="188"/>
      <c r="P507" s="143" t="str">
        <f>IFERROR(VLOOKUP(Table1[RespondentID],'All Data'!$A$3:$CO$999,87,FALSE),"unknown")</f>
        <v>Woman</v>
      </c>
      <c r="Q507" s="183">
        <f>IFERROR(VLOOKUP(Table1[RespondentID],'All Data'!$A$3:$CO$999,88,FALSE),"unknown")</f>
        <v>72</v>
      </c>
      <c r="R507" s="143" t="str">
        <f>IFERROR(VLOOKUP(Table1[RespondentID],'All Data'!$A$3:$CO$999,89,FALSE),"unknown")</f>
        <v>Nassau</v>
      </c>
      <c r="S507" s="143" t="str">
        <f>IFERROR(VLOOKUP(Table1[RespondentID],'All Data'!$A$3:$CO$999,90,FALSE),"unknown")</f>
        <v>Williston Park, 11596</v>
      </c>
      <c r="T507" s="143" t="str">
        <f>IFERROR(VLOOKUP(Table1[RespondentID],'All Data'!$A$3:$CO$999,91,FALSE),"unknown")</f>
        <v>White</v>
      </c>
      <c r="U507" s="143" t="str">
        <f>IFERROR(VLOOKUP(Table1[RespondentID],'All Data'!$A$3:$CO$999,92,FALSE),"unknown")</f>
        <v>Not Hispanic or Latino</v>
      </c>
      <c r="V507" s="143" t="str">
        <f>IFERROR(VLOOKUP(Table1[RespondentID],'All Data'!$A$3:$CO$999,93,FALSE),"unknown")</f>
        <v>English</v>
      </c>
      <c r="W507" s="143" t="str">
        <f>IFERROR(VLOOKUP(Table1[RespondentID],'All Data'!$A$3:$CW$999,94,FALSE),"unknown")</f>
        <v>$75,000 to $125,000</v>
      </c>
      <c r="X507" s="143" t="str">
        <f>IFERROR(VLOOKUP(Table1[RespondentID],'All Data'!$A$3:$CW$999,95,FALSE),"unknown")</f>
        <v>Graduate school</v>
      </c>
      <c r="Y507" s="143" t="str">
        <f>IFERROR(VLOOKUP(Table1[RespondentID],'All Data'!$A$3:$CW$999,96,FALSE),"unknown")</f>
        <v>Retired</v>
      </c>
      <c r="Z507" s="143" t="str">
        <f>IFERROR(VLOOKUP(Table1[RespondentID],'All Data'!$A$3:$CW$999,97,FALSE),"unknown")</f>
        <v>Yes</v>
      </c>
      <c r="AA507" s="143" t="str">
        <f>IFERROR(VLOOKUP(Table1[RespondentID],'All Data'!$A$3:$CW$999,98,FALSE),"unknown")</f>
        <v>Medicare,Private/Commercial</v>
      </c>
      <c r="AB507" s="143" t="str">
        <f>IFERROR(VLOOKUP(Table1[RespondentID],'All Data'!$A$3:$CW$999,99,FALSE),"unknown")</f>
        <v>Yes</v>
      </c>
    </row>
    <row r="508" spans="1:28">
      <c r="A508" s="149">
        <v>18026792090</v>
      </c>
      <c r="B508" s="187" t="s">
        <v>64</v>
      </c>
      <c r="C508" s="188"/>
      <c r="D508" s="188"/>
      <c r="E508" s="188"/>
      <c r="F508" s="188"/>
      <c r="G508" s="188"/>
      <c r="H508" s="188"/>
      <c r="I508" s="188"/>
      <c r="J508" s="188"/>
      <c r="K508" s="188"/>
      <c r="L508" s="188"/>
      <c r="M508" s="188"/>
      <c r="N508" s="188"/>
      <c r="O508" s="188"/>
      <c r="P508" s="143" t="str">
        <f>IFERROR(VLOOKUP(Table1[RespondentID],'All Data'!$A$3:$CO$999,87,FALSE),"unknown")</f>
        <v>Woman</v>
      </c>
      <c r="Q508" s="183">
        <f>IFERROR(VLOOKUP(Table1[RespondentID],'All Data'!$A$3:$CO$999,88,FALSE),"unknown")</f>
        <v>69</v>
      </c>
      <c r="R508" s="143" t="str">
        <f>IFERROR(VLOOKUP(Table1[RespondentID],'All Data'!$A$3:$CO$999,89,FALSE),"unknown")</f>
        <v>Nassau</v>
      </c>
      <c r="S508" s="143" t="str">
        <f>IFERROR(VLOOKUP(Table1[RespondentID],'All Data'!$A$3:$CO$999,90,FALSE),"unknown")</f>
        <v>Williston Park, 11596</v>
      </c>
      <c r="T508" s="143" t="str">
        <f>IFERROR(VLOOKUP(Table1[RespondentID],'All Data'!$A$3:$CO$999,91,FALSE),"unknown")</f>
        <v>White</v>
      </c>
      <c r="U508" s="143" t="str">
        <f>IFERROR(VLOOKUP(Table1[RespondentID],'All Data'!$A$3:$CO$999,92,FALSE),"unknown")</f>
        <v>Not Hispanic or Latino</v>
      </c>
      <c r="V508" s="143">
        <f>IFERROR(VLOOKUP(Table1[RespondentID],'All Data'!$A$3:$CO$999,93,FALSE),"unknown")</f>
        <v>0</v>
      </c>
      <c r="W508" s="143">
        <f>IFERROR(VLOOKUP(Table1[RespondentID],'All Data'!$A$3:$CW$999,94,FALSE),"unknown")</f>
        <v>0</v>
      </c>
      <c r="X508" s="143" t="str">
        <f>IFERROR(VLOOKUP(Table1[RespondentID],'All Data'!$A$3:$CW$999,95,FALSE),"unknown")</f>
        <v>College graduate</v>
      </c>
      <c r="Y508" s="143" t="str">
        <f>IFERROR(VLOOKUP(Table1[RespondentID],'All Data'!$A$3:$CW$999,96,FALSE),"unknown")</f>
        <v>Retired</v>
      </c>
      <c r="Z508" s="143" t="str">
        <f>IFERROR(VLOOKUP(Table1[RespondentID],'All Data'!$A$3:$CW$999,97,FALSE),"unknown")</f>
        <v>Yes</v>
      </c>
      <c r="AA508" s="143" t="str">
        <f>IFERROR(VLOOKUP(Table1[RespondentID],'All Data'!$A$3:$CW$999,98,FALSE),"unknown")</f>
        <v>Medicare</v>
      </c>
      <c r="AB508" s="143" t="str">
        <f>IFERROR(VLOOKUP(Table1[RespondentID],'All Data'!$A$3:$CW$999,99,FALSE),"unknown")</f>
        <v>Yes</v>
      </c>
    </row>
    <row r="509" spans="1:28">
      <c r="A509" s="149">
        <v>18026791962</v>
      </c>
      <c r="B509" s="187" t="s">
        <v>64</v>
      </c>
      <c r="C509" s="188"/>
      <c r="D509" s="188"/>
      <c r="E509" s="188"/>
      <c r="F509" s="188"/>
      <c r="G509" s="188"/>
      <c r="H509" s="188"/>
      <c r="I509" s="188"/>
      <c r="J509" s="188"/>
      <c r="K509" s="188"/>
      <c r="L509" s="188"/>
      <c r="M509" s="188"/>
      <c r="N509" s="188"/>
      <c r="O509" s="188"/>
      <c r="P509" s="143" t="str">
        <f>IFERROR(VLOOKUP(Table1[RespondentID],'All Data'!$A$3:$CO$999,87,FALSE),"unknown")</f>
        <v>Woman</v>
      </c>
      <c r="Q509" s="183">
        <f>IFERROR(VLOOKUP(Table1[RespondentID],'All Data'!$A$3:$CO$999,88,FALSE),"unknown")</f>
        <v>35</v>
      </c>
      <c r="R509" s="143" t="str">
        <f>IFERROR(VLOOKUP(Table1[RespondentID],'All Data'!$A$3:$CO$999,89,FALSE),"unknown")</f>
        <v>Nassau</v>
      </c>
      <c r="S509" s="143" t="str">
        <f>IFERROR(VLOOKUP(Table1[RespondentID],'All Data'!$A$3:$CO$999,90,FALSE),"unknown")</f>
        <v>Williston Park, 11596</v>
      </c>
      <c r="T509" s="143" t="str">
        <f>IFERROR(VLOOKUP(Table1[RespondentID],'All Data'!$A$3:$CO$999,91,FALSE),"unknown")</f>
        <v>Asian</v>
      </c>
      <c r="U509" s="143" t="str">
        <f>IFERROR(VLOOKUP(Table1[RespondentID],'All Data'!$A$3:$CO$999,92,FALSE),"unknown")</f>
        <v>Not Hispanic or Latino</v>
      </c>
      <c r="V509" s="143" t="str">
        <f>IFERROR(VLOOKUP(Table1[RespondentID],'All Data'!$A$3:$CO$999,93,FALSE),"unknown")</f>
        <v>English</v>
      </c>
      <c r="W509" s="143">
        <f>IFERROR(VLOOKUP(Table1[RespondentID],'All Data'!$A$3:$CW$999,94,FALSE),"unknown")</f>
        <v>0</v>
      </c>
      <c r="X509" s="143" t="str">
        <f>IFERROR(VLOOKUP(Table1[RespondentID],'All Data'!$A$3:$CW$999,95,FALSE),"unknown")</f>
        <v>College graduate</v>
      </c>
      <c r="Y509" s="143" t="str">
        <f>IFERROR(VLOOKUP(Table1[RespondentID],'All Data'!$A$3:$CW$999,96,FALSE),"unknown")</f>
        <v>Out of work, but not currently looking</v>
      </c>
      <c r="Z509" s="143" t="str">
        <f>IFERROR(VLOOKUP(Table1[RespondentID],'All Data'!$A$3:$CW$999,97,FALSE),"unknown")</f>
        <v>Yes</v>
      </c>
      <c r="AA509" s="143" t="str">
        <f>IFERROR(VLOOKUP(Table1[RespondentID],'All Data'!$A$3:$CW$999,98,FALSE),"unknown")</f>
        <v>Private/Commercial</v>
      </c>
      <c r="AB509" s="143" t="str">
        <f>IFERROR(VLOOKUP(Table1[RespondentID],'All Data'!$A$3:$CW$999,99,FALSE),"unknown")</f>
        <v>Yes</v>
      </c>
    </row>
    <row r="510" spans="1:28">
      <c r="A510" s="149">
        <v>18026791810</v>
      </c>
      <c r="B510" s="187"/>
      <c r="C510" s="188"/>
      <c r="D510" s="188"/>
      <c r="E510" s="188" t="s">
        <v>67</v>
      </c>
      <c r="F510" s="188"/>
      <c r="G510" s="188"/>
      <c r="H510" s="188"/>
      <c r="I510" s="188"/>
      <c r="J510" s="188"/>
      <c r="K510" s="188"/>
      <c r="L510" s="188"/>
      <c r="M510" s="188"/>
      <c r="N510" s="188"/>
      <c r="O510" s="188"/>
      <c r="P510" s="143" t="str">
        <f>IFERROR(VLOOKUP(Table1[RespondentID],'All Data'!$A$3:$CO$999,87,FALSE),"unknown")</f>
        <v>Woman</v>
      </c>
      <c r="Q510" s="183">
        <f>IFERROR(VLOOKUP(Table1[RespondentID],'All Data'!$A$3:$CO$999,88,FALSE),"unknown")</f>
        <v>85</v>
      </c>
      <c r="R510" s="143" t="str">
        <f>IFERROR(VLOOKUP(Table1[RespondentID],'All Data'!$A$3:$CO$999,89,FALSE),"unknown")</f>
        <v>Nassau</v>
      </c>
      <c r="S510" s="143" t="str">
        <f>IFERROR(VLOOKUP(Table1[RespondentID],'All Data'!$A$3:$CO$999,90,FALSE),"unknown")</f>
        <v>Massapequa, 11758</v>
      </c>
      <c r="T510" s="143" t="str">
        <f>IFERROR(VLOOKUP(Table1[RespondentID],'All Data'!$A$3:$CO$999,91,FALSE),"unknown")</f>
        <v>White</v>
      </c>
      <c r="U510" s="143">
        <f>IFERROR(VLOOKUP(Table1[RespondentID],'All Data'!$A$3:$CO$999,92,FALSE),"unknown")</f>
        <v>0</v>
      </c>
      <c r="V510" s="143" t="str">
        <f>IFERROR(VLOOKUP(Table1[RespondentID],'All Data'!$A$3:$CO$999,93,FALSE),"unknown")</f>
        <v>English</v>
      </c>
      <c r="W510" s="143" t="str">
        <f>IFERROR(VLOOKUP(Table1[RespondentID],'All Data'!$A$3:$CW$999,94,FALSE),"unknown")</f>
        <v>$20,000 to $34,999</v>
      </c>
      <c r="X510" s="143" t="str">
        <f>IFERROR(VLOOKUP(Table1[RespondentID],'All Data'!$A$3:$CW$999,95,FALSE),"unknown")</f>
        <v>College graduate</v>
      </c>
      <c r="Y510" s="143" t="str">
        <f>IFERROR(VLOOKUP(Table1[RespondentID],'All Data'!$A$3:$CW$999,96,FALSE),"unknown")</f>
        <v>Retired</v>
      </c>
      <c r="Z510" s="143" t="str">
        <f>IFERROR(VLOOKUP(Table1[RespondentID],'All Data'!$A$3:$CW$999,97,FALSE),"unknown")</f>
        <v>Yes</v>
      </c>
      <c r="AA510" s="143" t="str">
        <f>IFERROR(VLOOKUP(Table1[RespondentID],'All Data'!$A$3:$CW$999,98,FALSE),"unknown")</f>
        <v>Medicare</v>
      </c>
      <c r="AB510" s="143" t="str">
        <f>IFERROR(VLOOKUP(Table1[RespondentID],'All Data'!$A$3:$CW$999,99,FALSE),"unknown")</f>
        <v>No</v>
      </c>
    </row>
    <row r="511" spans="1:28">
      <c r="A511" s="149">
        <v>18026791613</v>
      </c>
      <c r="B511" s="187" t="s">
        <v>64</v>
      </c>
      <c r="C511" s="188"/>
      <c r="D511" s="188"/>
      <c r="E511" s="188"/>
      <c r="F511" s="188"/>
      <c r="G511" s="188"/>
      <c r="H511" s="188"/>
      <c r="I511" s="188"/>
      <c r="J511" s="188"/>
      <c r="K511" s="188"/>
      <c r="L511" s="188"/>
      <c r="M511" s="188" t="s">
        <v>75</v>
      </c>
      <c r="N511" s="188"/>
      <c r="O511" s="188"/>
      <c r="P511" s="143" t="str">
        <f>IFERROR(VLOOKUP(Table1[RespondentID],'All Data'!$A$3:$CO$999,87,FALSE),"unknown")</f>
        <v>Man</v>
      </c>
      <c r="Q511" s="183">
        <f>IFERROR(VLOOKUP(Table1[RespondentID],'All Data'!$A$3:$CO$999,88,FALSE),"unknown")</f>
        <v>68</v>
      </c>
      <c r="R511" s="143" t="str">
        <f>IFERROR(VLOOKUP(Table1[RespondentID],'All Data'!$A$3:$CO$999,89,FALSE),"unknown")</f>
        <v>Nassau</v>
      </c>
      <c r="S511" s="143" t="str">
        <f>IFERROR(VLOOKUP(Table1[RespondentID],'All Data'!$A$3:$CO$999,90,FALSE),"unknown")</f>
        <v>Farmingdale, 11735</v>
      </c>
      <c r="T511" s="143" t="str">
        <f>IFERROR(VLOOKUP(Table1[RespondentID],'All Data'!$A$3:$CO$999,91,FALSE),"unknown")</f>
        <v>White</v>
      </c>
      <c r="U511" s="143">
        <f>IFERROR(VLOOKUP(Table1[RespondentID],'All Data'!$A$3:$CO$999,92,FALSE),"unknown")</f>
        <v>0</v>
      </c>
      <c r="V511" s="143" t="str">
        <f>IFERROR(VLOOKUP(Table1[RespondentID],'All Data'!$A$3:$CO$999,93,FALSE),"unknown")</f>
        <v>English</v>
      </c>
      <c r="W511" s="143">
        <f>IFERROR(VLOOKUP(Table1[RespondentID],'All Data'!$A$3:$CW$999,94,FALSE),"unknown")</f>
        <v>0</v>
      </c>
      <c r="X511" s="143" t="str">
        <f>IFERROR(VLOOKUP(Table1[RespondentID],'All Data'!$A$3:$CW$999,95,FALSE),"unknown")</f>
        <v>Some college</v>
      </c>
      <c r="Y511" s="143" t="str">
        <f>IFERROR(VLOOKUP(Table1[RespondentID],'All Data'!$A$3:$CW$999,96,FALSE),"unknown")</f>
        <v>Retired</v>
      </c>
      <c r="Z511" s="143">
        <f>IFERROR(VLOOKUP(Table1[RespondentID],'All Data'!$A$3:$CW$999,97,FALSE),"unknown")</f>
        <v>0</v>
      </c>
      <c r="AA511" s="143" t="str">
        <f>IFERROR(VLOOKUP(Table1[RespondentID],'All Data'!$A$3:$CW$999,98,FALSE),"unknown")</f>
        <v>Medicare</v>
      </c>
      <c r="AB511" s="143">
        <f>IFERROR(VLOOKUP(Table1[RespondentID],'All Data'!$A$3:$CW$999,99,FALSE),"unknown")</f>
        <v>0</v>
      </c>
    </row>
    <row r="512" spans="1:28">
      <c r="A512" s="149">
        <v>18026791463</v>
      </c>
      <c r="B512" s="187" t="s">
        <v>64</v>
      </c>
      <c r="C512" s="188"/>
      <c r="D512" s="188" t="s">
        <v>66</v>
      </c>
      <c r="E512" s="188"/>
      <c r="F512" s="188" t="s">
        <v>68</v>
      </c>
      <c r="G512" s="188"/>
      <c r="H512" s="188"/>
      <c r="I512" s="188"/>
      <c r="J512" s="188"/>
      <c r="K512" s="188"/>
      <c r="L512" s="188"/>
      <c r="M512" s="188"/>
      <c r="N512" s="188"/>
      <c r="O512" s="188"/>
      <c r="P512" s="143" t="str">
        <f>IFERROR(VLOOKUP(Table1[RespondentID],'All Data'!$A$3:$CO$999,87,FALSE),"unknown")</f>
        <v>Woman</v>
      </c>
      <c r="Q512" s="183">
        <f>IFERROR(VLOOKUP(Table1[RespondentID],'All Data'!$A$3:$CO$999,88,FALSE),"unknown")</f>
        <v>75</v>
      </c>
      <c r="R512" s="143" t="str">
        <f>IFERROR(VLOOKUP(Table1[RespondentID],'All Data'!$A$3:$CO$999,89,FALSE),"unknown")</f>
        <v>Nassau</v>
      </c>
      <c r="S512" s="143" t="str">
        <f>IFERROR(VLOOKUP(Table1[RespondentID],'All Data'!$A$3:$CO$999,90,FALSE),"unknown")</f>
        <v>Farmingdale, 11735</v>
      </c>
      <c r="T512" s="143" t="str">
        <f>IFERROR(VLOOKUP(Table1[RespondentID],'All Data'!$A$3:$CO$999,91,FALSE),"unknown")</f>
        <v>White</v>
      </c>
      <c r="U512" s="143" t="str">
        <f>IFERROR(VLOOKUP(Table1[RespondentID],'All Data'!$A$3:$CO$999,92,FALSE),"unknown")</f>
        <v>Not Hispanic or Latino</v>
      </c>
      <c r="V512" s="143" t="str">
        <f>IFERROR(VLOOKUP(Table1[RespondentID],'All Data'!$A$3:$CO$999,93,FALSE),"unknown")</f>
        <v>English</v>
      </c>
      <c r="W512" s="143" t="str">
        <f>IFERROR(VLOOKUP(Table1[RespondentID],'All Data'!$A$3:$CW$999,94,FALSE),"unknown")</f>
        <v>$20,000 to $34,999</v>
      </c>
      <c r="X512" s="143" t="str">
        <f>IFERROR(VLOOKUP(Table1[RespondentID],'All Data'!$A$3:$CW$999,95,FALSE),"unknown")</f>
        <v>Some college</v>
      </c>
      <c r="Y512" s="143" t="str">
        <f>IFERROR(VLOOKUP(Table1[RespondentID],'All Data'!$A$3:$CW$999,96,FALSE),"unknown")</f>
        <v>Retired</v>
      </c>
      <c r="Z512" s="143" t="str">
        <f>IFERROR(VLOOKUP(Table1[RespondentID],'All Data'!$A$3:$CW$999,97,FALSE),"unknown")</f>
        <v>Yes</v>
      </c>
      <c r="AA512" s="143" t="str">
        <f>IFERROR(VLOOKUP(Table1[RespondentID],'All Data'!$A$3:$CW$999,98,FALSE),"unknown")</f>
        <v>Medicare</v>
      </c>
      <c r="AB512" s="143">
        <f>IFERROR(VLOOKUP(Table1[RespondentID],'All Data'!$A$3:$CW$999,99,FALSE),"unknown")</f>
        <v>0</v>
      </c>
    </row>
    <row r="513" spans="1:28">
      <c r="A513" s="149">
        <v>18026791236</v>
      </c>
      <c r="B513" s="187" t="s">
        <v>64</v>
      </c>
      <c r="C513" s="188"/>
      <c r="D513" s="188"/>
      <c r="E513" s="188"/>
      <c r="F513" s="188"/>
      <c r="G513" s="188"/>
      <c r="H513" s="188"/>
      <c r="I513" s="188"/>
      <c r="J513" s="188"/>
      <c r="K513" s="188"/>
      <c r="L513" s="188"/>
      <c r="M513" s="188"/>
      <c r="N513" s="188"/>
      <c r="O513" s="188"/>
      <c r="P513" s="143" t="str">
        <f>IFERROR(VLOOKUP(Table1[RespondentID],'All Data'!$A$3:$CO$999,87,FALSE),"unknown")</f>
        <v>Man</v>
      </c>
      <c r="Q513" s="183">
        <f>IFERROR(VLOOKUP(Table1[RespondentID],'All Data'!$A$3:$CO$999,88,FALSE),"unknown")</f>
        <v>92</v>
      </c>
      <c r="R513" s="143" t="str">
        <f>IFERROR(VLOOKUP(Table1[RespondentID],'All Data'!$A$3:$CO$999,89,FALSE),"unknown")</f>
        <v>Nassau</v>
      </c>
      <c r="S513" s="143" t="str">
        <f>IFERROR(VLOOKUP(Table1[RespondentID],'All Data'!$A$3:$CO$999,90,FALSE),"unknown")</f>
        <v>Massapequa, 11758</v>
      </c>
      <c r="T513" s="143" t="str">
        <f>IFERROR(VLOOKUP(Table1[RespondentID],'All Data'!$A$3:$CO$999,91,FALSE),"unknown")</f>
        <v>White</v>
      </c>
      <c r="U513" s="143" t="str">
        <f>IFERROR(VLOOKUP(Table1[RespondentID],'All Data'!$A$3:$CO$999,92,FALSE),"unknown")</f>
        <v>Not Hispanic or Latino</v>
      </c>
      <c r="V513" s="143" t="str">
        <f>IFERROR(VLOOKUP(Table1[RespondentID],'All Data'!$A$3:$CO$999,93,FALSE),"unknown")</f>
        <v>English</v>
      </c>
      <c r="W513" s="143" t="str">
        <f>IFERROR(VLOOKUP(Table1[RespondentID],'All Data'!$A$3:$CW$999,94,FALSE),"unknown")</f>
        <v>$50,000 to $74,999</v>
      </c>
      <c r="X513" s="143" t="str">
        <f>IFERROR(VLOOKUP(Table1[RespondentID],'All Data'!$A$3:$CW$999,95,FALSE),"unknown")</f>
        <v>Some college</v>
      </c>
      <c r="Y513" s="143" t="str">
        <f>IFERROR(VLOOKUP(Table1[RespondentID],'All Data'!$A$3:$CW$999,96,FALSE),"unknown")</f>
        <v>Retired</v>
      </c>
      <c r="Z513" s="143" t="str">
        <f>IFERROR(VLOOKUP(Table1[RespondentID],'All Data'!$A$3:$CW$999,97,FALSE),"unknown")</f>
        <v>Yes</v>
      </c>
      <c r="AA513" s="143" t="str">
        <f>IFERROR(VLOOKUP(Table1[RespondentID],'All Data'!$A$3:$CW$999,98,FALSE),"unknown")</f>
        <v>Medicare,Private/Commercial</v>
      </c>
      <c r="AB513" s="143">
        <f>IFERROR(VLOOKUP(Table1[RespondentID],'All Data'!$A$3:$CW$999,99,FALSE),"unknown")</f>
        <v>0</v>
      </c>
    </row>
    <row r="514" spans="1:28">
      <c r="A514" s="149">
        <v>18026547733</v>
      </c>
      <c r="B514" s="187" t="s">
        <v>64</v>
      </c>
      <c r="C514" s="188"/>
      <c r="D514" s="188"/>
      <c r="E514" s="188"/>
      <c r="F514" s="188"/>
      <c r="G514" s="188" t="s">
        <v>69</v>
      </c>
      <c r="H514" s="188" t="s">
        <v>70</v>
      </c>
      <c r="I514" s="188" t="s">
        <v>71</v>
      </c>
      <c r="J514" s="188"/>
      <c r="K514" s="188" t="s">
        <v>73</v>
      </c>
      <c r="L514" s="188"/>
      <c r="M514" s="188"/>
      <c r="N514" s="188"/>
      <c r="O514" s="188"/>
      <c r="P514" s="143" t="str">
        <f>IFERROR(VLOOKUP(Table1[RespondentID],'All Data'!$A$3:$CO$999,87,FALSE),"unknown")</f>
        <v>Woman</v>
      </c>
      <c r="Q514" s="183">
        <f>IFERROR(VLOOKUP(Table1[RespondentID],'All Data'!$A$3:$CO$999,88,FALSE),"unknown")</f>
        <v>49</v>
      </c>
      <c r="R514" s="143" t="str">
        <f>IFERROR(VLOOKUP(Table1[RespondentID],'All Data'!$A$3:$CO$999,89,FALSE),"unknown")</f>
        <v>Suffolk</v>
      </c>
      <c r="S514" s="143" t="str">
        <f>IFERROR(VLOOKUP(Table1[RespondentID],'All Data'!$A$3:$CO$999,90,FALSE),"unknown")</f>
        <v>Lake Ronkonkoma, 11779</v>
      </c>
      <c r="T514" s="143" t="str">
        <f>IFERROR(VLOOKUP(Table1[RespondentID],'All Data'!$A$3:$CO$999,91,FALSE),"unknown")</f>
        <v>White</v>
      </c>
      <c r="U514" s="143" t="str">
        <f>IFERROR(VLOOKUP(Table1[RespondentID],'All Data'!$A$3:$CO$999,92,FALSE),"unknown")</f>
        <v>Not Hispanic or Latino</v>
      </c>
      <c r="V514" s="143" t="str">
        <f>IFERROR(VLOOKUP(Table1[RespondentID],'All Data'!$A$3:$CO$999,93,FALSE),"unknown")</f>
        <v>English</v>
      </c>
      <c r="W514" s="143" t="str">
        <f>IFERROR(VLOOKUP(Table1[RespondentID],'All Data'!$A$3:$CW$999,94,FALSE),"unknown")</f>
        <v>Over $125,000</v>
      </c>
      <c r="X514" s="143" t="str">
        <f>IFERROR(VLOOKUP(Table1[RespondentID],'All Data'!$A$3:$CW$999,95,FALSE),"unknown")</f>
        <v>College graduate</v>
      </c>
      <c r="Y514" s="143" t="str">
        <f>IFERROR(VLOOKUP(Table1[RespondentID],'All Data'!$A$3:$CW$999,96,FALSE),"unknown")</f>
        <v>Employed for wages</v>
      </c>
      <c r="Z514" s="143" t="str">
        <f>IFERROR(VLOOKUP(Table1[RespondentID],'All Data'!$A$3:$CW$999,97,FALSE),"unknown")</f>
        <v>Yes</v>
      </c>
      <c r="AA514" s="143" t="str">
        <f>IFERROR(VLOOKUP(Table1[RespondentID],'All Data'!$A$3:$CW$999,98,FALSE),"unknown")</f>
        <v>Private/Commercial</v>
      </c>
      <c r="AB514" s="143" t="str">
        <f>IFERROR(VLOOKUP(Table1[RespondentID],'All Data'!$A$3:$CW$999,99,FALSE),"unknown")</f>
        <v>Yes</v>
      </c>
    </row>
    <row r="515" spans="1:28">
      <c r="A515" s="149">
        <v>18026539753</v>
      </c>
      <c r="B515" s="187" t="s">
        <v>64</v>
      </c>
      <c r="C515" s="188"/>
      <c r="D515" s="188"/>
      <c r="E515" s="188"/>
      <c r="F515" s="188"/>
      <c r="G515" s="188"/>
      <c r="H515" s="188"/>
      <c r="I515" s="188"/>
      <c r="J515" s="188"/>
      <c r="K515" s="188"/>
      <c r="L515" s="188"/>
      <c r="M515" s="188" t="s">
        <v>75</v>
      </c>
      <c r="N515" s="188"/>
      <c r="O515" s="188"/>
      <c r="P515" s="143" t="str">
        <f>IFERROR(VLOOKUP(Table1[RespondentID],'All Data'!$A$3:$CO$999,87,FALSE),"unknown")</f>
        <v>Woman</v>
      </c>
      <c r="Q515" s="183">
        <f>IFERROR(VLOOKUP(Table1[RespondentID],'All Data'!$A$3:$CO$999,88,FALSE),"unknown")</f>
        <v>30</v>
      </c>
      <c r="R515" s="143" t="str">
        <f>IFERROR(VLOOKUP(Table1[RespondentID],'All Data'!$A$3:$CO$999,89,FALSE),"unknown")</f>
        <v>Suffolk</v>
      </c>
      <c r="S515" s="143" t="str">
        <f>IFERROR(VLOOKUP(Table1[RespondentID],'All Data'!$A$3:$CO$999,90,FALSE),"unknown")</f>
        <v>East Islip, 11730</v>
      </c>
      <c r="T515" s="143" t="str">
        <f>IFERROR(VLOOKUP(Table1[RespondentID],'All Data'!$A$3:$CO$999,91,FALSE),"unknown")</f>
        <v>White</v>
      </c>
      <c r="U515" s="143" t="str">
        <f>IFERROR(VLOOKUP(Table1[RespondentID],'All Data'!$A$3:$CO$999,92,FALSE),"unknown")</f>
        <v>Not Hispanic or Latino</v>
      </c>
      <c r="V515" s="143" t="str">
        <f>IFERROR(VLOOKUP(Table1[RespondentID],'All Data'!$A$3:$CO$999,93,FALSE),"unknown")</f>
        <v>English</v>
      </c>
      <c r="W515" s="143" t="str">
        <f>IFERROR(VLOOKUP(Table1[RespondentID],'All Data'!$A$3:$CW$999,94,FALSE),"unknown")</f>
        <v>$75,000 to $125,000</v>
      </c>
      <c r="X515" s="143" t="str">
        <f>IFERROR(VLOOKUP(Table1[RespondentID],'All Data'!$A$3:$CW$999,95,FALSE),"unknown")</f>
        <v>College graduate</v>
      </c>
      <c r="Y515" s="143" t="str">
        <f>IFERROR(VLOOKUP(Table1[RespondentID],'All Data'!$A$3:$CW$999,96,FALSE),"unknown")</f>
        <v>Employed for wages</v>
      </c>
      <c r="Z515" s="143" t="str">
        <f>IFERROR(VLOOKUP(Table1[RespondentID],'All Data'!$A$3:$CW$999,97,FALSE),"unknown")</f>
        <v>Yes</v>
      </c>
      <c r="AA515" s="143" t="str">
        <f>IFERROR(VLOOKUP(Table1[RespondentID],'All Data'!$A$3:$CW$999,98,FALSE),"unknown")</f>
        <v>Private/Commercial</v>
      </c>
      <c r="AB515" s="143" t="str">
        <f>IFERROR(VLOOKUP(Table1[RespondentID],'All Data'!$A$3:$CW$999,99,FALSE),"unknown")</f>
        <v>Yes</v>
      </c>
    </row>
    <row r="516" spans="1:28">
      <c r="A516" s="149">
        <v>18026486994</v>
      </c>
      <c r="B516" s="187" t="s">
        <v>64</v>
      </c>
      <c r="C516" s="188"/>
      <c r="D516" s="188"/>
      <c r="E516" s="188"/>
      <c r="F516" s="188"/>
      <c r="G516" s="188"/>
      <c r="H516" s="188"/>
      <c r="I516" s="188"/>
      <c r="J516" s="188"/>
      <c r="K516" s="188"/>
      <c r="L516" s="188"/>
      <c r="M516" s="188"/>
      <c r="N516" s="188"/>
      <c r="O516" s="188"/>
      <c r="P516" s="143" t="str">
        <f>IFERROR(VLOOKUP(Table1[RespondentID],'All Data'!$A$3:$CO$999,87,FALSE),"unknown")</f>
        <v>Woman</v>
      </c>
      <c r="Q516" s="183">
        <f>IFERROR(VLOOKUP(Table1[RespondentID],'All Data'!$A$3:$CO$999,88,FALSE),"unknown")</f>
        <v>64</v>
      </c>
      <c r="R516" s="143" t="str">
        <f>IFERROR(VLOOKUP(Table1[RespondentID],'All Data'!$A$3:$CO$999,89,FALSE),"unknown")</f>
        <v>Nassau</v>
      </c>
      <c r="S516" s="143" t="str">
        <f>IFERROR(VLOOKUP(Table1[RespondentID],'All Data'!$A$3:$CO$999,90,FALSE),"unknown")</f>
        <v>Westbury, 11590</v>
      </c>
      <c r="T516" s="143" t="str">
        <f>IFERROR(VLOOKUP(Table1[RespondentID],'All Data'!$A$3:$CO$999,91,FALSE),"unknown")</f>
        <v>White</v>
      </c>
      <c r="U516" s="143" t="str">
        <f>IFERROR(VLOOKUP(Table1[RespondentID],'All Data'!$A$3:$CO$999,92,FALSE),"unknown")</f>
        <v>Not Hispanic or Latino</v>
      </c>
      <c r="V516" s="143" t="str">
        <f>IFERROR(VLOOKUP(Table1[RespondentID],'All Data'!$A$3:$CO$999,93,FALSE),"unknown")</f>
        <v>English</v>
      </c>
      <c r="W516" s="143" t="str">
        <f>IFERROR(VLOOKUP(Table1[RespondentID],'All Data'!$A$3:$CW$999,94,FALSE),"unknown")</f>
        <v>Over $125,000</v>
      </c>
      <c r="X516" s="143" t="str">
        <f>IFERROR(VLOOKUP(Table1[RespondentID],'All Data'!$A$3:$CW$999,95,FALSE),"unknown")</f>
        <v>College graduate</v>
      </c>
      <c r="Y516" s="143" t="str">
        <f>IFERROR(VLOOKUP(Table1[RespondentID],'All Data'!$A$3:$CW$999,96,FALSE),"unknown")</f>
        <v>Retired</v>
      </c>
      <c r="Z516" s="143" t="str">
        <f>IFERROR(VLOOKUP(Table1[RespondentID],'All Data'!$A$3:$CW$999,97,FALSE),"unknown")</f>
        <v>Yes</v>
      </c>
      <c r="AA516" s="143" t="str">
        <f>IFERROR(VLOOKUP(Table1[RespondentID],'All Data'!$A$3:$CW$999,98,FALSE),"unknown")</f>
        <v>Private/Commercial</v>
      </c>
      <c r="AB516" s="143" t="str">
        <f>IFERROR(VLOOKUP(Table1[RespondentID],'All Data'!$A$3:$CW$999,99,FALSE),"unknown")</f>
        <v>Yes</v>
      </c>
    </row>
    <row r="517" spans="1:28">
      <c r="A517" s="149">
        <v>18026481858</v>
      </c>
      <c r="B517" s="187" t="s">
        <v>64</v>
      </c>
      <c r="C517" s="188"/>
      <c r="D517" s="188" t="s">
        <v>66</v>
      </c>
      <c r="E517" s="188" t="s">
        <v>67</v>
      </c>
      <c r="F517" s="188" t="s">
        <v>68</v>
      </c>
      <c r="G517" s="188" t="s">
        <v>69</v>
      </c>
      <c r="H517" s="188" t="s">
        <v>70</v>
      </c>
      <c r="I517" s="188"/>
      <c r="J517" s="188"/>
      <c r="K517" s="188" t="s">
        <v>73</v>
      </c>
      <c r="L517" s="188"/>
      <c r="M517" s="188" t="s">
        <v>75</v>
      </c>
      <c r="N517" s="188" t="s">
        <v>76</v>
      </c>
      <c r="O517" s="188"/>
      <c r="P517" s="143" t="str">
        <f>IFERROR(VLOOKUP(Table1[RespondentID],'All Data'!$A$3:$CO$999,87,FALSE),"unknown")</f>
        <v>Man</v>
      </c>
      <c r="Q517" s="183">
        <f>IFERROR(VLOOKUP(Table1[RespondentID],'All Data'!$A$3:$CO$999,88,FALSE),"unknown")</f>
        <v>37</v>
      </c>
      <c r="R517" s="143" t="str">
        <f>IFERROR(VLOOKUP(Table1[RespondentID],'All Data'!$A$3:$CO$999,89,FALSE),"unknown")</f>
        <v>Suffolk</v>
      </c>
      <c r="S517" s="143" t="str">
        <f>IFERROR(VLOOKUP(Table1[RespondentID],'All Data'!$A$3:$CO$999,90,FALSE),"unknown")</f>
        <v>Stony Brook, 11790</v>
      </c>
      <c r="T517" s="143" t="str">
        <f>IFERROR(VLOOKUP(Table1[RespondentID],'All Data'!$A$3:$CO$999,91,FALSE),"unknown")</f>
        <v>White</v>
      </c>
      <c r="U517" s="143" t="str">
        <f>IFERROR(VLOOKUP(Table1[RespondentID],'All Data'!$A$3:$CO$999,92,FALSE),"unknown")</f>
        <v>Not Hispanic or Latino</v>
      </c>
      <c r="V517" s="143">
        <f>IFERROR(VLOOKUP(Table1[RespondentID],'All Data'!$A$3:$CO$999,93,FALSE),"unknown")</f>
        <v>0</v>
      </c>
      <c r="W517" s="143" t="str">
        <f>IFERROR(VLOOKUP(Table1[RespondentID],'All Data'!$A$3:$CW$999,94,FALSE),"unknown")</f>
        <v>$20,000 to $34,999</v>
      </c>
      <c r="X517" s="143" t="str">
        <f>IFERROR(VLOOKUP(Table1[RespondentID],'All Data'!$A$3:$CW$999,95,FALSE),"unknown")</f>
        <v>College graduate</v>
      </c>
      <c r="Y517" s="143" t="str">
        <f>IFERROR(VLOOKUP(Table1[RespondentID],'All Data'!$A$3:$CW$999,96,FALSE),"unknown")</f>
        <v>Out of work and looking for work</v>
      </c>
      <c r="Z517" s="143" t="str">
        <f>IFERROR(VLOOKUP(Table1[RespondentID],'All Data'!$A$3:$CW$999,97,FALSE),"unknown")</f>
        <v>Yes</v>
      </c>
      <c r="AA517" s="143" t="str">
        <f>IFERROR(VLOOKUP(Table1[RespondentID],'All Data'!$A$3:$CW$999,98,FALSE),"unknown")</f>
        <v>Medicaid,Medicare</v>
      </c>
      <c r="AB517" s="143" t="str">
        <f>IFERROR(VLOOKUP(Table1[RespondentID],'All Data'!$A$3:$CW$999,99,FALSE),"unknown")</f>
        <v>Yes</v>
      </c>
    </row>
    <row r="518" spans="1:28">
      <c r="A518" s="149">
        <v>18026458777</v>
      </c>
      <c r="B518" s="187" t="s">
        <v>64</v>
      </c>
      <c r="C518" s="188"/>
      <c r="D518" s="188"/>
      <c r="E518" s="188"/>
      <c r="F518" s="188"/>
      <c r="G518" s="188" t="s">
        <v>69</v>
      </c>
      <c r="H518" s="188"/>
      <c r="I518" s="188"/>
      <c r="J518" s="188"/>
      <c r="K518" s="188" t="s">
        <v>73</v>
      </c>
      <c r="L518" s="188"/>
      <c r="M518" s="188"/>
      <c r="N518" s="188"/>
      <c r="O518" s="188"/>
      <c r="P518" s="143" t="str">
        <f>IFERROR(VLOOKUP(Table1[RespondentID],'All Data'!$A$3:$CO$999,87,FALSE),"unknown")</f>
        <v>Woman</v>
      </c>
      <c r="Q518" s="183">
        <f>IFERROR(VLOOKUP(Table1[RespondentID],'All Data'!$A$3:$CO$999,88,FALSE),"unknown")</f>
        <v>55</v>
      </c>
      <c r="R518" s="143" t="str">
        <f>IFERROR(VLOOKUP(Table1[RespondentID],'All Data'!$A$3:$CO$999,89,FALSE),"unknown")</f>
        <v>Suffolk</v>
      </c>
      <c r="S518" s="143" t="str">
        <f>IFERROR(VLOOKUP(Table1[RespondentID],'All Data'!$A$3:$CO$999,90,FALSE),"unknown")</f>
        <v>Port Jefferson Station, 11776</v>
      </c>
      <c r="T518" s="143" t="str">
        <f>IFERROR(VLOOKUP(Table1[RespondentID],'All Data'!$A$3:$CO$999,91,FALSE),"unknown")</f>
        <v>White</v>
      </c>
      <c r="U518" s="143" t="str">
        <f>IFERROR(VLOOKUP(Table1[RespondentID],'All Data'!$A$3:$CO$999,92,FALSE),"unknown")</f>
        <v>Not Hispanic or Latino</v>
      </c>
      <c r="V518" s="143" t="str">
        <f>IFERROR(VLOOKUP(Table1[RespondentID],'All Data'!$A$3:$CO$999,93,FALSE),"unknown")</f>
        <v>English</v>
      </c>
      <c r="W518" s="143" t="str">
        <f>IFERROR(VLOOKUP(Table1[RespondentID],'All Data'!$A$3:$CW$999,94,FALSE),"unknown")</f>
        <v>Over $125,000</v>
      </c>
      <c r="X518" s="143" t="str">
        <f>IFERROR(VLOOKUP(Table1[RespondentID],'All Data'!$A$3:$CW$999,95,FALSE),"unknown")</f>
        <v>Graduate school</v>
      </c>
      <c r="Y518" s="143" t="str">
        <f>IFERROR(VLOOKUP(Table1[RespondentID],'All Data'!$A$3:$CW$999,96,FALSE),"unknown")</f>
        <v>Employed for wages</v>
      </c>
      <c r="Z518" s="143" t="str">
        <f>IFERROR(VLOOKUP(Table1[RespondentID],'All Data'!$A$3:$CW$999,97,FALSE),"unknown")</f>
        <v>Yes</v>
      </c>
      <c r="AA518" s="143" t="str">
        <f>IFERROR(VLOOKUP(Table1[RespondentID],'All Data'!$A$3:$CW$999,98,FALSE),"unknown")</f>
        <v>Private/Commercial</v>
      </c>
      <c r="AB518" s="143" t="str">
        <f>IFERROR(VLOOKUP(Table1[RespondentID],'All Data'!$A$3:$CW$999,99,FALSE),"unknown")</f>
        <v>Yes</v>
      </c>
    </row>
    <row r="519" spans="1:28">
      <c r="A519" s="149">
        <v>18031750233</v>
      </c>
      <c r="B519" s="187"/>
      <c r="C519" s="188"/>
      <c r="D519" s="188" t="s">
        <v>66</v>
      </c>
      <c r="E519" s="188"/>
      <c r="F519" s="188"/>
      <c r="G519" s="188"/>
      <c r="H519" s="188"/>
      <c r="I519" s="188"/>
      <c r="J519" s="188"/>
      <c r="K519" s="188"/>
      <c r="L519" s="188" t="s">
        <v>74</v>
      </c>
      <c r="M519" s="188" t="s">
        <v>75</v>
      </c>
      <c r="N519" s="188"/>
      <c r="O519" s="188"/>
      <c r="P519" s="143" t="str">
        <f>IFERROR(VLOOKUP(Table1[RespondentID],'All Data'!$A$3:$CO$999,87,FALSE),"unknown")</f>
        <v>Woman</v>
      </c>
      <c r="Q519" s="183">
        <f>IFERROR(VLOOKUP(Table1[RespondentID],'All Data'!$A$3:$CO$999,88,FALSE),"unknown")</f>
        <v>37</v>
      </c>
      <c r="R519" s="143" t="str">
        <f>IFERROR(VLOOKUP(Table1[RespondentID],'All Data'!$A$3:$CO$999,89,FALSE),"unknown")</f>
        <v>Suffolk</v>
      </c>
      <c r="S519" s="143" t="str">
        <f>IFERROR(VLOOKUP(Table1[RespondentID],'All Data'!$A$3:$CO$999,90,FALSE),"unknown")</f>
        <v>Huntington, 11743</v>
      </c>
      <c r="T519" s="143">
        <f>IFERROR(VLOOKUP(Table1[RespondentID],'All Data'!$A$3:$CO$999,91,FALSE),"unknown")</f>
        <v>0</v>
      </c>
      <c r="U519" s="143" t="str">
        <f>IFERROR(VLOOKUP(Table1[RespondentID],'All Data'!$A$3:$CO$999,92,FALSE),"unknown")</f>
        <v>Hispanic or Latino</v>
      </c>
      <c r="V519" s="143" t="str">
        <f>IFERROR(VLOOKUP(Table1[RespondentID],'All Data'!$A$3:$CO$999,93,FALSE),"unknown")</f>
        <v>Spanish</v>
      </c>
      <c r="W519" s="143" t="str">
        <f>IFERROR(VLOOKUP(Table1[RespondentID],'All Data'!$A$3:$CW$999,94,FALSE),"unknown")</f>
        <v>$20,000 to $34,999</v>
      </c>
      <c r="X519" s="143" t="str">
        <f>IFERROR(VLOOKUP(Table1[RespondentID],'All Data'!$A$3:$CW$999,95,FALSE),"unknown")</f>
        <v>K-8 grade</v>
      </c>
      <c r="Y519" s="143" t="str">
        <f>IFERROR(VLOOKUP(Table1[RespondentID],'All Data'!$A$3:$CW$999,96,FALSE),"unknown")</f>
        <v>Self-employed</v>
      </c>
      <c r="Z519" s="143" t="str">
        <f>IFERROR(VLOOKUP(Table1[RespondentID],'All Data'!$A$3:$CW$999,97,FALSE),"unknown")</f>
        <v>Yes</v>
      </c>
      <c r="AA519" s="143" t="str">
        <f>IFERROR(VLOOKUP(Table1[RespondentID],'All Data'!$A$3:$CW$999,98,FALSE),"unknown")</f>
        <v>Private/Commercial</v>
      </c>
      <c r="AB519" s="143" t="str">
        <f>IFERROR(VLOOKUP(Table1[RespondentID],'All Data'!$A$3:$CW$999,99,FALSE),"unknown")</f>
        <v>Yes</v>
      </c>
    </row>
    <row r="520" spans="1:28">
      <c r="A520" s="149">
        <v>18031750066</v>
      </c>
      <c r="B520" s="187"/>
      <c r="C520" s="188"/>
      <c r="D520" s="188"/>
      <c r="E520" s="188" t="s">
        <v>67</v>
      </c>
      <c r="F520" s="188"/>
      <c r="G520" s="188"/>
      <c r="H520" s="188"/>
      <c r="I520" s="188"/>
      <c r="J520" s="188"/>
      <c r="K520" s="188"/>
      <c r="L520" s="188"/>
      <c r="M520" s="188"/>
      <c r="N520" s="188"/>
      <c r="O520" s="188"/>
      <c r="P520" s="143" t="str">
        <f>IFERROR(VLOOKUP(Table1[RespondentID],'All Data'!$A$3:$CO$999,87,FALSE),"unknown")</f>
        <v>Man</v>
      </c>
      <c r="Q520" s="183">
        <f>IFERROR(VLOOKUP(Table1[RespondentID],'All Data'!$A$3:$CO$999,88,FALSE),"unknown")</f>
        <v>44</v>
      </c>
      <c r="R520" s="143" t="str">
        <f>IFERROR(VLOOKUP(Table1[RespondentID],'All Data'!$A$3:$CO$999,89,FALSE),"unknown")</f>
        <v>Suffolk</v>
      </c>
      <c r="S520" s="143" t="str">
        <f>IFERROR(VLOOKUP(Table1[RespondentID],'All Data'!$A$3:$CO$999,90,FALSE),"unknown")</f>
        <v>Huntington, 11743</v>
      </c>
      <c r="T520" s="143" t="str">
        <f>IFERROR(VLOOKUP(Table1[RespondentID],'All Data'!$A$3:$CO$999,91,FALSE),"unknown")</f>
        <v>White</v>
      </c>
      <c r="U520" s="143" t="str">
        <f>IFERROR(VLOOKUP(Table1[RespondentID],'All Data'!$A$3:$CO$999,92,FALSE),"unknown")</f>
        <v>Hispanic or Latino</v>
      </c>
      <c r="V520" s="143" t="str">
        <f>IFERROR(VLOOKUP(Table1[RespondentID],'All Data'!$A$3:$CO$999,93,FALSE),"unknown")</f>
        <v>Spanish</v>
      </c>
      <c r="W520" s="143" t="str">
        <f>IFERROR(VLOOKUP(Table1[RespondentID],'All Data'!$A$3:$CW$999,94,FALSE),"unknown")</f>
        <v>$20,000 to $34,999</v>
      </c>
      <c r="X520" s="143" t="str">
        <f>IFERROR(VLOOKUP(Table1[RespondentID],'All Data'!$A$3:$CW$999,95,FALSE),"unknown")</f>
        <v>Some high school</v>
      </c>
      <c r="Y520" s="143" t="str">
        <f>IFERROR(VLOOKUP(Table1[RespondentID],'All Data'!$A$3:$CW$999,96,FALSE),"unknown")</f>
        <v>Employed for wages</v>
      </c>
      <c r="Z520" s="143" t="str">
        <f>IFERROR(VLOOKUP(Table1[RespondentID],'All Data'!$A$3:$CW$999,97,FALSE),"unknown")</f>
        <v>No</v>
      </c>
      <c r="AA520" s="143" t="str">
        <f>IFERROR(VLOOKUP(Table1[RespondentID],'All Data'!$A$3:$CW$999,98,FALSE),"unknown")</f>
        <v>No Insurance</v>
      </c>
      <c r="AB520" s="143" t="str">
        <f>IFERROR(VLOOKUP(Table1[RespondentID],'All Data'!$A$3:$CW$999,99,FALSE),"unknown")</f>
        <v>Yes</v>
      </c>
    </row>
    <row r="521" spans="1:28">
      <c r="A521" s="149">
        <v>18031749313</v>
      </c>
      <c r="B521" s="187"/>
      <c r="C521" s="188"/>
      <c r="D521" s="188"/>
      <c r="E521" s="188"/>
      <c r="F521" s="188"/>
      <c r="G521" s="188"/>
      <c r="H521" s="188" t="s">
        <v>70</v>
      </c>
      <c r="I521" s="188"/>
      <c r="J521" s="188"/>
      <c r="K521" s="188"/>
      <c r="L521" s="188"/>
      <c r="M521" s="188" t="s">
        <v>75</v>
      </c>
      <c r="N521" s="188"/>
      <c r="O521" s="188"/>
      <c r="P521" s="143">
        <f>IFERROR(VLOOKUP(Table1[RespondentID],'All Data'!$A$3:$CO$999,87,FALSE),"unknown")</f>
        <v>0</v>
      </c>
      <c r="Q521" s="183">
        <f>IFERROR(VLOOKUP(Table1[RespondentID],'All Data'!$A$3:$CO$999,88,FALSE),"unknown")</f>
        <v>0</v>
      </c>
      <c r="R521" s="143">
        <f>IFERROR(VLOOKUP(Table1[RespondentID],'All Data'!$A$3:$CO$999,89,FALSE),"unknown")</f>
        <v>0</v>
      </c>
      <c r="S521" s="143">
        <f>IFERROR(VLOOKUP(Table1[RespondentID],'All Data'!$A$3:$CO$999,90,FALSE),"unknown")</f>
        <v>0</v>
      </c>
      <c r="T521" s="143">
        <f>IFERROR(VLOOKUP(Table1[RespondentID],'All Data'!$A$3:$CO$999,91,FALSE),"unknown")</f>
        <v>0</v>
      </c>
      <c r="U521" s="143" t="str">
        <f>IFERROR(VLOOKUP(Table1[RespondentID],'All Data'!$A$3:$CO$999,92,FALSE),"unknown")</f>
        <v>Hispanic or Latino</v>
      </c>
      <c r="V521" s="143" t="str">
        <f>IFERROR(VLOOKUP(Table1[RespondentID],'All Data'!$A$3:$CO$999,93,FALSE),"unknown")</f>
        <v>Spanish</v>
      </c>
      <c r="W521" s="143" t="str">
        <f>IFERROR(VLOOKUP(Table1[RespondentID],'All Data'!$A$3:$CW$999,94,FALSE),"unknown")</f>
        <v>$20,000 to $34,999</v>
      </c>
      <c r="X521" s="143" t="str">
        <f>IFERROR(VLOOKUP(Table1[RespondentID],'All Data'!$A$3:$CW$999,95,FALSE),"unknown")</f>
        <v>Some high school</v>
      </c>
      <c r="Y521" s="143">
        <f>IFERROR(VLOOKUP(Table1[RespondentID],'All Data'!$A$3:$CW$999,96,FALSE),"unknown")</f>
        <v>0</v>
      </c>
      <c r="Z521" s="143" t="str">
        <f>IFERROR(VLOOKUP(Table1[RespondentID],'All Data'!$A$3:$CW$999,97,FALSE),"unknown")</f>
        <v>No</v>
      </c>
      <c r="AA521" s="143" t="str">
        <f>IFERROR(VLOOKUP(Table1[RespondentID],'All Data'!$A$3:$CW$999,98,FALSE),"unknown")</f>
        <v>No Insurance</v>
      </c>
      <c r="AB521" s="143" t="str">
        <f>IFERROR(VLOOKUP(Table1[RespondentID],'All Data'!$A$3:$CW$999,99,FALSE),"unknown")</f>
        <v>Yes</v>
      </c>
    </row>
    <row r="522" spans="1:28">
      <c r="A522" s="149">
        <v>18031746891</v>
      </c>
      <c r="B522" s="187" t="s">
        <v>64</v>
      </c>
      <c r="C522" s="188"/>
      <c r="D522" s="188"/>
      <c r="E522" s="188"/>
      <c r="F522" s="188"/>
      <c r="G522" s="188"/>
      <c r="H522" s="188"/>
      <c r="I522" s="188"/>
      <c r="J522" s="188"/>
      <c r="K522" s="188"/>
      <c r="L522" s="188"/>
      <c r="M522" s="188"/>
      <c r="N522" s="188"/>
      <c r="O522" s="188"/>
      <c r="P522" s="143" t="str">
        <f>IFERROR(VLOOKUP(Table1[RespondentID],'All Data'!$A$3:$CO$999,87,FALSE),"unknown")</f>
        <v>Woman</v>
      </c>
      <c r="Q522" s="183">
        <f>IFERROR(VLOOKUP(Table1[RespondentID],'All Data'!$A$3:$CO$999,88,FALSE),"unknown")</f>
        <v>65</v>
      </c>
      <c r="R522" s="143" t="str">
        <f>IFERROR(VLOOKUP(Table1[RespondentID],'All Data'!$A$3:$CO$999,89,FALSE),"unknown")</f>
        <v>Nassau</v>
      </c>
      <c r="S522" s="143" t="str">
        <f>IFERROR(VLOOKUP(Table1[RespondentID],'All Data'!$A$3:$CO$999,90,FALSE),"unknown")</f>
        <v>Freeport, 11520</v>
      </c>
      <c r="T522" s="143">
        <f>IFERROR(VLOOKUP(Table1[RespondentID],'All Data'!$A$3:$CO$999,91,FALSE),"unknown")</f>
        <v>0</v>
      </c>
      <c r="U522" s="143" t="str">
        <f>IFERROR(VLOOKUP(Table1[RespondentID],'All Data'!$A$3:$CO$999,92,FALSE),"unknown")</f>
        <v>Hispanic or Latino</v>
      </c>
      <c r="V522" s="143" t="str">
        <f>IFERROR(VLOOKUP(Table1[RespondentID],'All Data'!$A$3:$CO$999,93,FALSE),"unknown")</f>
        <v>Spanish</v>
      </c>
      <c r="W522" s="143">
        <f>IFERROR(VLOOKUP(Table1[RespondentID],'All Data'!$A$3:$CW$999,94,FALSE),"unknown")</f>
        <v>0</v>
      </c>
      <c r="X522" s="143">
        <f>IFERROR(VLOOKUP(Table1[RespondentID],'All Data'!$A$3:$CW$999,95,FALSE),"unknown")</f>
        <v>0</v>
      </c>
      <c r="Y522" s="143" t="str">
        <f>IFERROR(VLOOKUP(Table1[RespondentID],'All Data'!$A$3:$CW$999,96,FALSE),"unknown")</f>
        <v>Retired</v>
      </c>
      <c r="Z522" s="143" t="str">
        <f>IFERROR(VLOOKUP(Table1[RespondentID],'All Data'!$A$3:$CW$999,97,FALSE),"unknown")</f>
        <v>Yes</v>
      </c>
      <c r="AA522" s="143" t="str">
        <f>IFERROR(VLOOKUP(Table1[RespondentID],'All Data'!$A$3:$CW$999,98,FALSE),"unknown")</f>
        <v>Medicaid,Medicare</v>
      </c>
      <c r="AB522" s="143" t="str">
        <f>IFERROR(VLOOKUP(Table1[RespondentID],'All Data'!$A$3:$CW$999,99,FALSE),"unknown")</f>
        <v>Yes</v>
      </c>
    </row>
    <row r="523" spans="1:28">
      <c r="A523" s="149">
        <v>18031746567</v>
      </c>
      <c r="B523" s="187" t="s">
        <v>64</v>
      </c>
      <c r="C523" s="188"/>
      <c r="D523" s="188"/>
      <c r="E523" s="188"/>
      <c r="F523" s="188"/>
      <c r="G523" s="188"/>
      <c r="H523" s="188"/>
      <c r="I523" s="188"/>
      <c r="J523" s="188"/>
      <c r="K523" s="188"/>
      <c r="L523" s="188"/>
      <c r="M523" s="188"/>
      <c r="N523" s="188"/>
      <c r="O523" s="188"/>
      <c r="P523" s="143" t="str">
        <f>IFERROR(VLOOKUP(Table1[RespondentID],'All Data'!$A$3:$CO$999,87,FALSE),"unknown")</f>
        <v>Woman</v>
      </c>
      <c r="Q523" s="183">
        <f>IFERROR(VLOOKUP(Table1[RespondentID],'All Data'!$A$3:$CO$999,88,FALSE),"unknown")</f>
        <v>65</v>
      </c>
      <c r="R523" s="143" t="str">
        <f>IFERROR(VLOOKUP(Table1[RespondentID],'All Data'!$A$3:$CO$999,89,FALSE),"unknown")</f>
        <v>Nassau</v>
      </c>
      <c r="S523" s="143" t="str">
        <f>IFERROR(VLOOKUP(Table1[RespondentID],'All Data'!$A$3:$CO$999,90,FALSE),"unknown")</f>
        <v>Freeport, 11520</v>
      </c>
      <c r="T523" s="143">
        <f>IFERROR(VLOOKUP(Table1[RespondentID],'All Data'!$A$3:$CO$999,91,FALSE),"unknown")</f>
        <v>0</v>
      </c>
      <c r="U523" s="143">
        <f>IFERROR(VLOOKUP(Table1[RespondentID],'All Data'!$A$3:$CO$999,92,FALSE),"unknown")</f>
        <v>0</v>
      </c>
      <c r="V523" s="143">
        <f>IFERROR(VLOOKUP(Table1[RespondentID],'All Data'!$A$3:$CO$999,93,FALSE),"unknown")</f>
        <v>0</v>
      </c>
      <c r="W523" s="143">
        <f>IFERROR(VLOOKUP(Table1[RespondentID],'All Data'!$A$3:$CW$999,94,FALSE),"unknown")</f>
        <v>0</v>
      </c>
      <c r="X523" s="143">
        <f>IFERROR(VLOOKUP(Table1[RespondentID],'All Data'!$A$3:$CW$999,95,FALSE),"unknown")</f>
        <v>0</v>
      </c>
      <c r="Y523" s="143">
        <f>IFERROR(VLOOKUP(Table1[RespondentID],'All Data'!$A$3:$CW$999,96,FALSE),"unknown")</f>
        <v>0</v>
      </c>
      <c r="Z523" s="143">
        <f>IFERROR(VLOOKUP(Table1[RespondentID],'All Data'!$A$3:$CW$999,97,FALSE),"unknown")</f>
        <v>0</v>
      </c>
      <c r="AA523" s="143">
        <f>IFERROR(VLOOKUP(Table1[RespondentID],'All Data'!$A$3:$CW$999,98,FALSE),"unknown")</f>
        <v>0</v>
      </c>
      <c r="AB523" s="143">
        <f>IFERROR(VLOOKUP(Table1[RespondentID],'All Data'!$A$3:$CW$999,99,FALSE),"unknown")</f>
        <v>0</v>
      </c>
    </row>
    <row r="524" spans="1:28">
      <c r="A524" s="149">
        <v>18031743313</v>
      </c>
      <c r="B524" s="187" t="s">
        <v>64</v>
      </c>
      <c r="C524" s="188"/>
      <c r="D524" s="188"/>
      <c r="E524" s="188"/>
      <c r="F524" s="188"/>
      <c r="G524" s="188"/>
      <c r="H524" s="188"/>
      <c r="I524" s="188"/>
      <c r="J524" s="188"/>
      <c r="K524" s="188"/>
      <c r="L524" s="188"/>
      <c r="M524" s="188"/>
      <c r="N524" s="188"/>
      <c r="O524" s="188"/>
      <c r="P524" s="143" t="str">
        <f>IFERROR(VLOOKUP(Table1[RespondentID],'All Data'!$A$3:$CO$999,87,FALSE),"unknown")</f>
        <v>Woman</v>
      </c>
      <c r="Q524" s="183">
        <f>IFERROR(VLOOKUP(Table1[RespondentID],'All Data'!$A$3:$CO$999,88,FALSE),"unknown")</f>
        <v>65</v>
      </c>
      <c r="R524" s="143" t="str">
        <f>IFERROR(VLOOKUP(Table1[RespondentID],'All Data'!$A$3:$CO$999,89,FALSE),"unknown")</f>
        <v>Nassau</v>
      </c>
      <c r="S524" s="143" t="str">
        <f>IFERROR(VLOOKUP(Table1[RespondentID],'All Data'!$A$3:$CO$999,90,FALSE),"unknown")</f>
        <v>Freeport, 11520</v>
      </c>
      <c r="T524" s="143">
        <f>IFERROR(VLOOKUP(Table1[RespondentID],'All Data'!$A$3:$CO$999,91,FALSE),"unknown")</f>
        <v>0</v>
      </c>
      <c r="U524" s="143">
        <f>IFERROR(VLOOKUP(Table1[RespondentID],'All Data'!$A$3:$CO$999,92,FALSE),"unknown")</f>
        <v>0</v>
      </c>
      <c r="V524" s="143">
        <f>IFERROR(VLOOKUP(Table1[RespondentID],'All Data'!$A$3:$CO$999,93,FALSE),"unknown")</f>
        <v>0</v>
      </c>
      <c r="W524" s="143">
        <f>IFERROR(VLOOKUP(Table1[RespondentID],'All Data'!$A$3:$CW$999,94,FALSE),"unknown")</f>
        <v>0</v>
      </c>
      <c r="X524" s="143">
        <f>IFERROR(VLOOKUP(Table1[RespondentID],'All Data'!$A$3:$CW$999,95,FALSE),"unknown")</f>
        <v>0</v>
      </c>
      <c r="Y524" s="143">
        <f>IFERROR(VLOOKUP(Table1[RespondentID],'All Data'!$A$3:$CW$999,96,FALSE),"unknown")</f>
        <v>0</v>
      </c>
      <c r="Z524" s="143">
        <f>IFERROR(VLOOKUP(Table1[RespondentID],'All Data'!$A$3:$CW$999,97,FALSE),"unknown")</f>
        <v>0</v>
      </c>
      <c r="AA524" s="143">
        <f>IFERROR(VLOOKUP(Table1[RespondentID],'All Data'!$A$3:$CW$999,98,FALSE),"unknown")</f>
        <v>0</v>
      </c>
      <c r="AB524" s="143">
        <f>IFERROR(VLOOKUP(Table1[RespondentID],'All Data'!$A$3:$CW$999,99,FALSE),"unknown")</f>
        <v>0</v>
      </c>
    </row>
    <row r="525" spans="1:28">
      <c r="A525" s="149">
        <v>18031103447</v>
      </c>
      <c r="B525" s="187"/>
      <c r="C525" s="188"/>
      <c r="D525" s="188"/>
      <c r="E525" s="188"/>
      <c r="F525" s="188"/>
      <c r="G525" s="188"/>
      <c r="H525" s="188"/>
      <c r="I525" s="188"/>
      <c r="J525" s="188"/>
      <c r="K525" s="188"/>
      <c r="L525" s="188"/>
      <c r="M525" s="188"/>
      <c r="N525" s="188"/>
      <c r="O525" s="188"/>
      <c r="P525" s="143">
        <f>IFERROR(VLOOKUP(Table1[RespondentID],'All Data'!$A$3:$CO$999,87,FALSE),"unknown")</f>
        <v>0</v>
      </c>
      <c r="Q525" s="183">
        <f>IFERROR(VLOOKUP(Table1[RespondentID],'All Data'!$A$3:$CO$999,88,FALSE),"unknown")</f>
        <v>0</v>
      </c>
      <c r="R525" s="143">
        <f>IFERROR(VLOOKUP(Table1[RespondentID],'All Data'!$A$3:$CO$999,89,FALSE),"unknown")</f>
        <v>0</v>
      </c>
      <c r="S525" s="143">
        <f>IFERROR(VLOOKUP(Table1[RespondentID],'All Data'!$A$3:$CO$999,90,FALSE),"unknown")</f>
        <v>0</v>
      </c>
      <c r="T525" s="143">
        <f>IFERROR(VLOOKUP(Table1[RespondentID],'All Data'!$A$3:$CO$999,91,FALSE),"unknown")</f>
        <v>0</v>
      </c>
      <c r="U525" s="143">
        <f>IFERROR(VLOOKUP(Table1[RespondentID],'All Data'!$A$3:$CO$999,92,FALSE),"unknown")</f>
        <v>0</v>
      </c>
      <c r="V525" s="143">
        <f>IFERROR(VLOOKUP(Table1[RespondentID],'All Data'!$A$3:$CO$999,93,FALSE),"unknown")</f>
        <v>0</v>
      </c>
      <c r="W525" s="143">
        <f>IFERROR(VLOOKUP(Table1[RespondentID],'All Data'!$A$3:$CW$999,94,FALSE),"unknown")</f>
        <v>0</v>
      </c>
      <c r="X525" s="143">
        <f>IFERROR(VLOOKUP(Table1[RespondentID],'All Data'!$A$3:$CW$999,95,FALSE),"unknown")</f>
        <v>0</v>
      </c>
      <c r="Y525" s="143">
        <f>IFERROR(VLOOKUP(Table1[RespondentID],'All Data'!$A$3:$CW$999,96,FALSE),"unknown")</f>
        <v>0</v>
      </c>
      <c r="Z525" s="143">
        <f>IFERROR(VLOOKUP(Table1[RespondentID],'All Data'!$A$3:$CW$999,97,FALSE),"unknown")</f>
        <v>0</v>
      </c>
      <c r="AA525" s="143">
        <f>IFERROR(VLOOKUP(Table1[RespondentID],'All Data'!$A$3:$CW$999,98,FALSE),"unknown")</f>
        <v>0</v>
      </c>
      <c r="AB525" s="143">
        <f>IFERROR(VLOOKUP(Table1[RespondentID],'All Data'!$A$3:$CW$999,99,FALSE),"unknown")</f>
        <v>0</v>
      </c>
    </row>
    <row r="526" spans="1:28">
      <c r="A526" s="149">
        <v>18030570632</v>
      </c>
      <c r="B526" s="187" t="s">
        <v>64</v>
      </c>
      <c r="C526" s="188"/>
      <c r="D526" s="188"/>
      <c r="E526" s="188" t="s">
        <v>67</v>
      </c>
      <c r="F526" s="188" t="s">
        <v>68</v>
      </c>
      <c r="G526" s="188"/>
      <c r="H526" s="188"/>
      <c r="I526" s="188" t="s">
        <v>71</v>
      </c>
      <c r="J526" s="188" t="s">
        <v>72</v>
      </c>
      <c r="K526" s="188"/>
      <c r="L526" s="188"/>
      <c r="M526" s="188"/>
      <c r="N526" s="188" t="s">
        <v>76</v>
      </c>
      <c r="O526" s="188"/>
      <c r="P526" s="143" t="str">
        <f>IFERROR(VLOOKUP(Table1[RespondentID],'All Data'!$A$3:$CO$999,87,FALSE),"unknown")</f>
        <v>Man</v>
      </c>
      <c r="Q526" s="183">
        <f>IFERROR(VLOOKUP(Table1[RespondentID],'All Data'!$A$3:$CO$999,88,FALSE),"unknown")</f>
        <v>0</v>
      </c>
      <c r="R526" s="143">
        <f>IFERROR(VLOOKUP(Table1[RespondentID],'All Data'!$A$3:$CO$999,89,FALSE),"unknown")</f>
        <v>0</v>
      </c>
      <c r="S526" s="143" t="str">
        <f>IFERROR(VLOOKUP(Table1[RespondentID],'All Data'!$A$3:$CO$999,90,FALSE),"unknown")</f>
        <v>Hempstead, 11549</v>
      </c>
      <c r="T526" s="143" t="str">
        <f>IFERROR(VLOOKUP(Table1[RespondentID],'All Data'!$A$3:$CO$999,91,FALSE),"unknown")</f>
        <v>Black/African American</v>
      </c>
      <c r="U526" s="143">
        <f>IFERROR(VLOOKUP(Table1[RespondentID],'All Data'!$A$3:$CO$999,92,FALSE),"unknown")</f>
        <v>0</v>
      </c>
      <c r="V526" s="143" t="str">
        <f>IFERROR(VLOOKUP(Table1[RespondentID],'All Data'!$A$3:$CO$999,93,FALSE),"unknown")</f>
        <v>Farsi,Polish</v>
      </c>
      <c r="W526" s="143" t="str">
        <f>IFERROR(VLOOKUP(Table1[RespondentID],'All Data'!$A$3:$CW$999,94,FALSE),"unknown")</f>
        <v>$0-$19,999</v>
      </c>
      <c r="X526" s="143" t="str">
        <f>IFERROR(VLOOKUP(Table1[RespondentID],'All Data'!$A$3:$CW$999,95,FALSE),"unknown")</f>
        <v>Graduate school</v>
      </c>
      <c r="Y526" s="143" t="str">
        <f>IFERROR(VLOOKUP(Table1[RespondentID],'All Data'!$A$3:$CW$999,96,FALSE),"unknown")</f>
        <v>Retired</v>
      </c>
      <c r="Z526" s="143" t="str">
        <f>IFERROR(VLOOKUP(Table1[RespondentID],'All Data'!$A$3:$CW$999,97,FALSE),"unknown")</f>
        <v>No, but I did in the past</v>
      </c>
      <c r="AA526" s="143">
        <f>IFERROR(VLOOKUP(Table1[RespondentID],'All Data'!$A$3:$CW$999,98,FALSE),"unknown")</f>
        <v>0</v>
      </c>
      <c r="AB526" s="143" t="str">
        <f>IFERROR(VLOOKUP(Table1[RespondentID],'All Data'!$A$3:$CW$999,99,FALSE),"unknown")</f>
        <v>Yes</v>
      </c>
    </row>
    <row r="527" spans="1:28">
      <c r="A527" s="149">
        <v>18030570608</v>
      </c>
      <c r="B527" s="187"/>
      <c r="C527" s="188"/>
      <c r="D527" s="188"/>
      <c r="E527" s="188" t="s">
        <v>67</v>
      </c>
      <c r="F527" s="188"/>
      <c r="G527" s="188"/>
      <c r="H527" s="188"/>
      <c r="I527" s="188"/>
      <c r="J527" s="188" t="s">
        <v>72</v>
      </c>
      <c r="K527" s="188"/>
      <c r="L527" s="188"/>
      <c r="M527" s="188"/>
      <c r="N527" s="188" t="s">
        <v>76</v>
      </c>
      <c r="O527" s="188"/>
      <c r="P527" s="143" t="str">
        <f>IFERROR(VLOOKUP(Table1[RespondentID],'All Data'!$A$3:$CO$999,87,FALSE),"unknown")</f>
        <v>Man</v>
      </c>
      <c r="Q527" s="183">
        <f>IFERROR(VLOOKUP(Table1[RespondentID],'All Data'!$A$3:$CO$999,88,FALSE),"unknown")</f>
        <v>26</v>
      </c>
      <c r="R527" s="143" t="str">
        <f>IFERROR(VLOOKUP(Table1[RespondentID],'All Data'!$A$3:$CO$999,89,FALSE),"unknown")</f>
        <v>Nassau</v>
      </c>
      <c r="S527" s="143">
        <f>IFERROR(VLOOKUP(Table1[RespondentID],'All Data'!$A$3:$CO$999,90,FALSE),"unknown")</f>
        <v>0</v>
      </c>
      <c r="T527" s="143">
        <f>IFERROR(VLOOKUP(Table1[RespondentID],'All Data'!$A$3:$CO$999,91,FALSE),"unknown")</f>
        <v>0</v>
      </c>
      <c r="U527" s="143">
        <f>IFERROR(VLOOKUP(Table1[RespondentID],'All Data'!$A$3:$CO$999,92,FALSE),"unknown")</f>
        <v>0</v>
      </c>
      <c r="V527" s="143">
        <f>IFERROR(VLOOKUP(Table1[RespondentID],'All Data'!$A$3:$CO$999,93,FALSE),"unknown")</f>
        <v>0</v>
      </c>
      <c r="W527" s="143">
        <f>IFERROR(VLOOKUP(Table1[RespondentID],'All Data'!$A$3:$CW$999,94,FALSE),"unknown")</f>
        <v>0</v>
      </c>
      <c r="X527" s="143">
        <f>IFERROR(VLOOKUP(Table1[RespondentID],'All Data'!$A$3:$CW$999,95,FALSE),"unknown")</f>
        <v>0</v>
      </c>
      <c r="Y527" s="143">
        <f>IFERROR(VLOOKUP(Table1[RespondentID],'All Data'!$A$3:$CW$999,96,FALSE),"unknown")</f>
        <v>0</v>
      </c>
      <c r="Z527" s="143">
        <f>IFERROR(VLOOKUP(Table1[RespondentID],'All Data'!$A$3:$CW$999,97,FALSE),"unknown")</f>
        <v>0</v>
      </c>
      <c r="AA527" s="143">
        <f>IFERROR(VLOOKUP(Table1[RespondentID],'All Data'!$A$3:$CW$999,98,FALSE),"unknown")</f>
        <v>0</v>
      </c>
      <c r="AB527" s="143">
        <f>IFERROR(VLOOKUP(Table1[RespondentID],'All Data'!$A$3:$CW$999,99,FALSE),"unknown")</f>
        <v>0</v>
      </c>
    </row>
    <row r="528" spans="1:28">
      <c r="A528" s="149">
        <v>18030569067</v>
      </c>
      <c r="B528" s="187"/>
      <c r="C528" s="188"/>
      <c r="D528" s="188"/>
      <c r="E528" s="188"/>
      <c r="F528" s="188"/>
      <c r="G528" s="188"/>
      <c r="H528" s="188" t="s">
        <v>70</v>
      </c>
      <c r="I528" s="188"/>
      <c r="J528" s="188"/>
      <c r="K528" s="188"/>
      <c r="L528" s="188"/>
      <c r="M528" s="188" t="s">
        <v>75</v>
      </c>
      <c r="N528" s="188"/>
      <c r="O528" s="188"/>
      <c r="P528" s="143">
        <f>IFERROR(VLOOKUP(Table1[RespondentID],'All Data'!$A$3:$CO$999,87,FALSE),"unknown")</f>
        <v>0</v>
      </c>
      <c r="Q528" s="183">
        <f>IFERROR(VLOOKUP(Table1[RespondentID],'All Data'!$A$3:$CO$999,88,FALSE),"unknown")</f>
        <v>0</v>
      </c>
      <c r="R528" s="143">
        <f>IFERROR(VLOOKUP(Table1[RespondentID],'All Data'!$A$3:$CO$999,89,FALSE),"unknown")</f>
        <v>0</v>
      </c>
      <c r="S528" s="143">
        <f>IFERROR(VLOOKUP(Table1[RespondentID],'All Data'!$A$3:$CO$999,90,FALSE),"unknown")</f>
        <v>0</v>
      </c>
      <c r="T528" s="143">
        <f>IFERROR(VLOOKUP(Table1[RespondentID],'All Data'!$A$3:$CO$999,91,FALSE),"unknown")</f>
        <v>0</v>
      </c>
      <c r="U528" s="143">
        <f>IFERROR(VLOOKUP(Table1[RespondentID],'All Data'!$A$3:$CO$999,92,FALSE),"unknown")</f>
        <v>0</v>
      </c>
      <c r="V528" s="143">
        <f>IFERROR(VLOOKUP(Table1[RespondentID],'All Data'!$A$3:$CO$999,93,FALSE),"unknown")</f>
        <v>0</v>
      </c>
      <c r="W528" s="143">
        <f>IFERROR(VLOOKUP(Table1[RespondentID],'All Data'!$A$3:$CW$999,94,FALSE),"unknown")</f>
        <v>0</v>
      </c>
      <c r="X528" s="143">
        <f>IFERROR(VLOOKUP(Table1[RespondentID],'All Data'!$A$3:$CW$999,95,FALSE),"unknown")</f>
        <v>0</v>
      </c>
      <c r="Y528" s="143">
        <f>IFERROR(VLOOKUP(Table1[RespondentID],'All Data'!$A$3:$CW$999,96,FALSE),"unknown")</f>
        <v>0</v>
      </c>
      <c r="Z528" s="143">
        <f>IFERROR(VLOOKUP(Table1[RespondentID],'All Data'!$A$3:$CW$999,97,FALSE),"unknown")</f>
        <v>0</v>
      </c>
      <c r="AA528" s="143">
        <f>IFERROR(VLOOKUP(Table1[RespondentID],'All Data'!$A$3:$CW$999,98,FALSE),"unknown")</f>
        <v>0</v>
      </c>
      <c r="AB528" s="143">
        <f>IFERROR(VLOOKUP(Table1[RespondentID],'All Data'!$A$3:$CW$999,99,FALSE),"unknown")</f>
        <v>0</v>
      </c>
    </row>
    <row r="529" spans="1:28">
      <c r="A529" s="149">
        <v>18030545755</v>
      </c>
      <c r="B529" s="187"/>
      <c r="C529" s="188"/>
      <c r="D529" s="188" t="s">
        <v>66</v>
      </c>
      <c r="E529" s="188"/>
      <c r="F529" s="188"/>
      <c r="G529" s="188" t="s">
        <v>69</v>
      </c>
      <c r="H529" s="188"/>
      <c r="I529" s="188"/>
      <c r="J529" s="188"/>
      <c r="K529" s="188"/>
      <c r="L529" s="188"/>
      <c r="M529" s="188" t="s">
        <v>75</v>
      </c>
      <c r="N529" s="188"/>
      <c r="O529" s="188"/>
      <c r="P529" s="143" t="str">
        <f>IFERROR(VLOOKUP(Table1[RespondentID],'All Data'!$A$3:$CO$999,87,FALSE),"unknown")</f>
        <v>Woman</v>
      </c>
      <c r="Q529" s="183">
        <f>IFERROR(VLOOKUP(Table1[RespondentID],'All Data'!$A$3:$CO$999,88,FALSE),"unknown")</f>
        <v>0</v>
      </c>
      <c r="R529" s="143" t="str">
        <f>IFERROR(VLOOKUP(Table1[RespondentID],'All Data'!$A$3:$CO$999,89,FALSE),"unknown")</f>
        <v>Nassau</v>
      </c>
      <c r="S529" s="143">
        <f>IFERROR(VLOOKUP(Table1[RespondentID],'All Data'!$A$3:$CO$999,90,FALSE),"unknown")</f>
        <v>0</v>
      </c>
      <c r="T529" s="143">
        <f>IFERROR(VLOOKUP(Table1[RespondentID],'All Data'!$A$3:$CO$999,91,FALSE),"unknown")</f>
        <v>0</v>
      </c>
      <c r="U529" s="143">
        <f>IFERROR(VLOOKUP(Table1[RespondentID],'All Data'!$A$3:$CO$999,92,FALSE),"unknown")</f>
        <v>0</v>
      </c>
      <c r="V529" s="143">
        <f>IFERROR(VLOOKUP(Table1[RespondentID],'All Data'!$A$3:$CO$999,93,FALSE),"unknown")</f>
        <v>0</v>
      </c>
      <c r="W529" s="143">
        <f>IFERROR(VLOOKUP(Table1[RespondentID],'All Data'!$A$3:$CW$999,94,FALSE),"unknown")</f>
        <v>0</v>
      </c>
      <c r="X529" s="143">
        <f>IFERROR(VLOOKUP(Table1[RespondentID],'All Data'!$A$3:$CW$999,95,FALSE),"unknown")</f>
        <v>0</v>
      </c>
      <c r="Y529" s="143">
        <f>IFERROR(VLOOKUP(Table1[RespondentID],'All Data'!$A$3:$CW$999,96,FALSE),"unknown")</f>
        <v>0</v>
      </c>
      <c r="Z529" s="143">
        <f>IFERROR(VLOOKUP(Table1[RespondentID],'All Data'!$A$3:$CW$999,97,FALSE),"unknown")</f>
        <v>0</v>
      </c>
      <c r="AA529" s="143">
        <f>IFERROR(VLOOKUP(Table1[RespondentID],'All Data'!$A$3:$CW$999,98,FALSE),"unknown")</f>
        <v>0</v>
      </c>
      <c r="AB529" s="143">
        <f>IFERROR(VLOOKUP(Table1[RespondentID],'All Data'!$A$3:$CW$999,99,FALSE),"unknown")</f>
        <v>0</v>
      </c>
    </row>
    <row r="530" spans="1:28">
      <c r="A530" s="141">
        <v>18029414524</v>
      </c>
      <c r="B530" s="180"/>
      <c r="C530" s="181"/>
      <c r="D530" s="181"/>
      <c r="E530" s="181"/>
      <c r="F530" s="181"/>
      <c r="G530" s="181"/>
      <c r="H530" s="181"/>
      <c r="I530" s="181"/>
      <c r="J530" s="181"/>
      <c r="K530" s="181"/>
      <c r="L530" s="181"/>
      <c r="M530" s="181"/>
      <c r="N530" s="181"/>
      <c r="O530" s="181"/>
      <c r="P530" s="144">
        <f>IFERROR(VLOOKUP(Table1[RespondentID],'All Data'!$A$3:$CO$999,87,FALSE),"unknown")</f>
        <v>0</v>
      </c>
      <c r="Q530" s="186">
        <f>IFERROR(VLOOKUP(Table1[RespondentID],'All Data'!$A$3:$CO$999,88,FALSE),"unknown")</f>
        <v>0</v>
      </c>
      <c r="R530" s="144">
        <f>IFERROR(VLOOKUP(Table1[RespondentID],'All Data'!$A$3:$CO$999,89,FALSE),"unknown")</f>
        <v>0</v>
      </c>
      <c r="S530" s="144" t="str">
        <f>IFERROR(VLOOKUP(Table1[RespondentID],'All Data'!$A$3:$CO$999,90,FALSE),"unknown")</f>
        <v>Floral Park, 11001</v>
      </c>
      <c r="T530" s="144">
        <f>IFERROR(VLOOKUP(Table1[RespondentID],'All Data'!$A$3:$CO$999,91,FALSE),"unknown")</f>
        <v>0</v>
      </c>
      <c r="U530" s="144">
        <f>IFERROR(VLOOKUP(Table1[RespondentID],'All Data'!$A$3:$CO$999,92,FALSE),"unknown")</f>
        <v>0</v>
      </c>
      <c r="V530" s="144">
        <f>IFERROR(VLOOKUP(Table1[RespondentID],'All Data'!$A$3:$CO$999,93,FALSE),"unknown")</f>
        <v>0</v>
      </c>
      <c r="W530" s="144">
        <f>IFERROR(VLOOKUP(Table1[RespondentID],'All Data'!$A$3:$CW$999,94,FALSE),"unknown")</f>
        <v>0</v>
      </c>
      <c r="X530" s="144">
        <f>IFERROR(VLOOKUP(Table1[RespondentID],'All Data'!$A$3:$CW$999,95,FALSE),"unknown")</f>
        <v>0</v>
      </c>
      <c r="Y530" s="144">
        <f>IFERROR(VLOOKUP(Table1[RespondentID],'All Data'!$A$3:$CW$999,96,FALSE),"unknown")</f>
        <v>0</v>
      </c>
      <c r="Z530" s="144">
        <f>IFERROR(VLOOKUP(Table1[RespondentID],'All Data'!$A$3:$CW$999,97,FALSE),"unknown")</f>
        <v>0</v>
      </c>
      <c r="AA530" s="144">
        <f>IFERROR(VLOOKUP(Table1[RespondentID],'All Data'!$A$3:$CW$999,98,FALSE),"unknown")</f>
        <v>0</v>
      </c>
      <c r="AB530" s="144">
        <f>IFERROR(VLOOKUP(Table1[RespondentID],'All Data'!$A$3:$CW$999,99,FALSE),"unknown")</f>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0"/>
  <sheetViews>
    <sheetView tabSelected="1" zoomScale="90" zoomScaleNormal="90" workbookViewId="0">
      <selection sqref="A1:AN1"/>
    </sheetView>
  </sheetViews>
  <sheetFormatPr defaultRowHeight="14.5"/>
  <cols>
    <col min="1" max="1" width="28.81640625" customWidth="1"/>
    <col min="11" max="11" width="28.81640625" customWidth="1"/>
    <col min="21" max="21" width="35" bestFit="1" customWidth="1"/>
    <col min="22" max="22" width="11.7265625" customWidth="1"/>
    <col min="31" max="31" width="28.81640625" customWidth="1"/>
    <col min="41" max="41" width="27.453125" bestFit="1" customWidth="1"/>
    <col min="42" max="42" width="7" customWidth="1"/>
  </cols>
  <sheetData>
    <row r="1" spans="1:42" ht="25">
      <c r="A1" s="195" t="s">
        <v>524</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row>
    <row r="2" spans="1:42" ht="16">
      <c r="A2" s="193" t="s">
        <v>329</v>
      </c>
      <c r="B2" s="194"/>
      <c r="C2" s="51"/>
      <c r="D2" s="51"/>
      <c r="E2" s="51"/>
      <c r="F2" s="51"/>
      <c r="G2" s="51"/>
      <c r="H2" s="51"/>
      <c r="I2" s="51"/>
      <c r="J2" s="51"/>
      <c r="K2" s="193" t="s">
        <v>333</v>
      </c>
      <c r="L2" s="194"/>
      <c r="M2" s="51"/>
      <c r="N2" s="51"/>
      <c r="O2" s="51"/>
      <c r="P2" s="51"/>
      <c r="Q2" s="51"/>
      <c r="R2" s="51"/>
      <c r="S2" s="51"/>
      <c r="T2" s="51"/>
      <c r="U2" s="193" t="s">
        <v>341</v>
      </c>
      <c r="V2" s="194"/>
      <c r="W2" s="51"/>
      <c r="X2" s="51"/>
      <c r="Y2" s="51"/>
      <c r="Z2" s="51"/>
      <c r="AA2" s="51"/>
      <c r="AB2" s="51"/>
      <c r="AC2" s="51"/>
      <c r="AD2" s="51"/>
      <c r="AE2" s="193" t="s">
        <v>411</v>
      </c>
      <c r="AF2" s="199"/>
      <c r="AG2" s="51"/>
      <c r="AH2" s="51"/>
      <c r="AI2" s="51"/>
      <c r="AJ2" s="51"/>
      <c r="AK2" s="51"/>
      <c r="AL2" s="51"/>
      <c r="AM2" s="51"/>
      <c r="AN2" s="51"/>
      <c r="AO2" s="193" t="s">
        <v>344</v>
      </c>
      <c r="AP2" s="194"/>
    </row>
    <row r="3" spans="1:42" ht="16">
      <c r="A3" s="38" t="s">
        <v>80</v>
      </c>
      <c r="B3" s="47">
        <f>COUNTIF('Q1'!$AN:$AN,"Nassau")</f>
        <v>125</v>
      </c>
      <c r="C3" s="51"/>
      <c r="D3" s="51"/>
      <c r="E3" s="51"/>
      <c r="F3" s="51"/>
      <c r="G3" s="51"/>
      <c r="H3" s="51"/>
      <c r="I3" s="51"/>
      <c r="J3" s="51"/>
      <c r="K3" s="44" t="s">
        <v>414</v>
      </c>
      <c r="L3" s="52">
        <f>COUNTIF('Q1'!AL:AL,"Man")</f>
        <v>246</v>
      </c>
      <c r="M3" s="51"/>
      <c r="N3" s="51"/>
      <c r="O3" s="51"/>
      <c r="P3" s="51"/>
      <c r="Q3" s="51"/>
      <c r="R3" s="51"/>
      <c r="S3" s="51"/>
      <c r="T3" s="51"/>
      <c r="U3" s="38" t="s">
        <v>86</v>
      </c>
      <c r="V3" s="47">
        <f>COUNTIF('Q1'!$AV:$AV,"Yes")</f>
        <v>410</v>
      </c>
      <c r="W3" s="51"/>
      <c r="X3" s="51"/>
      <c r="Y3" s="51"/>
      <c r="Z3" s="51"/>
      <c r="AA3" s="51"/>
      <c r="AB3" s="51"/>
      <c r="AC3" s="51"/>
      <c r="AD3" s="51"/>
      <c r="AE3" s="44" t="s">
        <v>387</v>
      </c>
      <c r="AF3" s="52">
        <f>COUNTIF('Q1'!AW:AW,"Medicaid")</f>
        <v>27</v>
      </c>
      <c r="AG3" s="51"/>
      <c r="AH3" s="51"/>
      <c r="AI3" s="51"/>
      <c r="AJ3" s="51"/>
      <c r="AK3" s="51"/>
      <c r="AL3" s="51"/>
      <c r="AM3" s="51"/>
      <c r="AN3" s="51"/>
      <c r="AO3" s="38" t="s">
        <v>345</v>
      </c>
      <c r="AP3" s="47">
        <f>COUNTIF('Q1'!$AU:$AU,"Employed for wages")</f>
        <v>252</v>
      </c>
    </row>
    <row r="4" spans="1:42" ht="16.5" thickBot="1">
      <c r="A4" s="39" t="s">
        <v>141</v>
      </c>
      <c r="B4" s="53">
        <f>COUNTIF('Q1'!$AN:$AN,"Suffolk")</f>
        <v>353</v>
      </c>
      <c r="C4" s="51"/>
      <c r="D4" s="51"/>
      <c r="E4" s="51"/>
      <c r="F4" s="51"/>
      <c r="G4" s="51"/>
      <c r="H4" s="51"/>
      <c r="I4" s="51"/>
      <c r="J4" s="51"/>
      <c r="K4" s="38" t="s">
        <v>417</v>
      </c>
      <c r="L4" s="47">
        <f>COUNTIF('Q1'!AL:AL,"Woman")</f>
        <v>249</v>
      </c>
      <c r="M4" s="51"/>
      <c r="N4" s="51"/>
      <c r="O4" s="51"/>
      <c r="P4" s="51"/>
      <c r="Q4" s="51"/>
      <c r="R4" s="51"/>
      <c r="S4" s="51"/>
      <c r="T4" s="51"/>
      <c r="U4" s="38" t="s">
        <v>81</v>
      </c>
      <c r="V4" s="47">
        <f>COUNTIF('Q1'!$AV:$AV,"No")</f>
        <v>24</v>
      </c>
      <c r="W4" s="51"/>
      <c r="X4" s="51"/>
      <c r="Y4" s="51"/>
      <c r="Z4" s="51"/>
      <c r="AA4" s="51"/>
      <c r="AB4" s="51"/>
      <c r="AC4" s="51"/>
      <c r="AD4" s="51"/>
      <c r="AE4" s="38" t="s">
        <v>391</v>
      </c>
      <c r="AF4" s="47">
        <f>COUNTIF('Q1'!AW:AW,"Medicaid,Medicare")</f>
        <v>3</v>
      </c>
      <c r="AG4" s="51"/>
      <c r="AH4" s="51"/>
      <c r="AI4" s="51"/>
      <c r="AJ4" s="51"/>
      <c r="AK4" s="51"/>
      <c r="AL4" s="51"/>
      <c r="AM4" s="51"/>
      <c r="AN4" s="51"/>
      <c r="AO4" s="38" t="s">
        <v>105</v>
      </c>
      <c r="AP4" s="47">
        <f>COUNTIF('Q1'!$AU:$AU,"self-employed")</f>
        <v>34</v>
      </c>
    </row>
    <row r="5" spans="1:42" ht="16.5" thickBot="1">
      <c r="A5" s="42" t="s">
        <v>330</v>
      </c>
      <c r="B5" s="50">
        <f>SUM(B4+B3)</f>
        <v>478</v>
      </c>
      <c r="C5" s="51"/>
      <c r="D5" s="51"/>
      <c r="E5" s="51"/>
      <c r="F5" s="51"/>
      <c r="G5" s="51"/>
      <c r="H5" s="51"/>
      <c r="I5" s="51"/>
      <c r="J5" s="51"/>
      <c r="K5" s="38" t="s">
        <v>434</v>
      </c>
      <c r="L5" s="47">
        <f>COUNTIF('Q1'!AL:AL,"Transgender")</f>
        <v>3</v>
      </c>
      <c r="M5" s="51"/>
      <c r="N5" s="51"/>
      <c r="O5" s="51"/>
      <c r="P5" s="51"/>
      <c r="Q5" s="51"/>
      <c r="R5" s="51"/>
      <c r="S5" s="51"/>
      <c r="T5" s="51"/>
      <c r="U5" s="38" t="s">
        <v>342</v>
      </c>
      <c r="V5" s="47">
        <f>COUNTIF('Q1'!$AV:$AV,"No, but I did in the past")</f>
        <v>11</v>
      </c>
      <c r="W5" s="51"/>
      <c r="X5" s="51"/>
      <c r="Y5" s="51"/>
      <c r="Z5" s="51"/>
      <c r="AA5" s="51"/>
      <c r="AB5" s="51"/>
      <c r="AC5" s="51"/>
      <c r="AD5" s="51"/>
      <c r="AE5" s="38" t="s">
        <v>390</v>
      </c>
      <c r="AF5" s="47">
        <f>COUNTIF('Q1'!AW:AW,"Medicaid,Medicare,Private/Commercial")</f>
        <v>0</v>
      </c>
      <c r="AG5" s="51"/>
      <c r="AH5" s="51"/>
      <c r="AI5" s="51"/>
      <c r="AJ5" s="51"/>
      <c r="AK5" s="51"/>
      <c r="AL5" s="51"/>
      <c r="AM5" s="51"/>
      <c r="AN5" s="51"/>
      <c r="AO5" s="38" t="s">
        <v>89</v>
      </c>
      <c r="AP5" s="47">
        <f>COUNTIF('Q1'!$AU:$AU,"student")</f>
        <v>55</v>
      </c>
    </row>
    <row r="6" spans="1:42" ht="16.5" thickBot="1">
      <c r="A6" s="40" t="s">
        <v>331</v>
      </c>
      <c r="B6" s="41">
        <f>B5/529</f>
        <v>0.9035916824196597</v>
      </c>
      <c r="C6" s="51"/>
      <c r="D6" s="51"/>
      <c r="E6" s="51"/>
      <c r="F6" s="51"/>
      <c r="G6" s="51"/>
      <c r="H6" s="51"/>
      <c r="I6" s="51"/>
      <c r="J6" s="51"/>
      <c r="K6" s="45" t="s">
        <v>107</v>
      </c>
      <c r="L6" s="47">
        <f>COUNTIF('Q1'!AL:AL,"Other")</f>
        <v>0</v>
      </c>
      <c r="M6" s="51"/>
      <c r="N6" s="51"/>
      <c r="O6" s="51"/>
      <c r="P6" s="51"/>
      <c r="Q6" s="51"/>
      <c r="R6" s="51"/>
      <c r="S6" s="51"/>
      <c r="T6" s="51"/>
      <c r="U6" s="42" t="s">
        <v>330</v>
      </c>
      <c r="V6" s="50">
        <f>SUM(V3:V5)</f>
        <v>445</v>
      </c>
      <c r="W6" s="51"/>
      <c r="X6" s="51"/>
      <c r="Y6" s="51"/>
      <c r="Z6" s="51"/>
      <c r="AA6" s="51"/>
      <c r="AB6" s="51"/>
      <c r="AC6" s="51"/>
      <c r="AD6" s="51"/>
      <c r="AE6" s="38" t="s">
        <v>392</v>
      </c>
      <c r="AF6" s="47">
        <f>COUNTIF('Q1'!AW:AW,"Medicaid,Private/Commercial")</f>
        <v>1</v>
      </c>
      <c r="AG6" s="51"/>
      <c r="AH6" s="51"/>
      <c r="AI6" s="51"/>
      <c r="AJ6" s="51"/>
      <c r="AK6" s="51"/>
      <c r="AL6" s="51"/>
      <c r="AM6" s="51"/>
      <c r="AN6" s="51"/>
      <c r="AO6" s="38" t="s">
        <v>99</v>
      </c>
      <c r="AP6" s="47">
        <f>COUNTIF('Q1'!$AU:$AU,"retired")</f>
        <v>74</v>
      </c>
    </row>
    <row r="7" spans="1:42" ht="16.5" thickBot="1">
      <c r="A7" s="51"/>
      <c r="B7" s="51"/>
      <c r="C7" s="51"/>
      <c r="D7" s="51"/>
      <c r="E7" s="51"/>
      <c r="F7" s="51"/>
      <c r="G7" s="51"/>
      <c r="H7" s="51"/>
      <c r="I7" s="51"/>
      <c r="J7" s="51"/>
      <c r="K7" s="42" t="s">
        <v>330</v>
      </c>
      <c r="L7" s="50">
        <f>SUM(L3:L6)</f>
        <v>498</v>
      </c>
      <c r="M7" s="51"/>
      <c r="N7" s="51"/>
      <c r="O7" s="51"/>
      <c r="P7" s="51"/>
      <c r="Q7" s="51"/>
      <c r="R7" s="51"/>
      <c r="S7" s="51"/>
      <c r="T7" s="51"/>
      <c r="U7" s="42" t="s">
        <v>331</v>
      </c>
      <c r="V7" s="41">
        <f>V6/529</f>
        <v>0.8412098298676749</v>
      </c>
      <c r="W7" s="51"/>
      <c r="X7" s="51"/>
      <c r="Y7" s="51"/>
      <c r="Z7" s="51"/>
      <c r="AA7" s="51"/>
      <c r="AB7" s="51"/>
      <c r="AC7" s="51"/>
      <c r="AD7" s="51"/>
      <c r="AE7" s="38" t="s">
        <v>385</v>
      </c>
      <c r="AF7" s="47">
        <f>COUNTIF('Q1'!AW:AW,"Medicaid")</f>
        <v>27</v>
      </c>
      <c r="AG7" s="51"/>
      <c r="AH7" s="51"/>
      <c r="AI7" s="51"/>
      <c r="AJ7" s="51"/>
      <c r="AK7" s="51"/>
      <c r="AL7" s="51"/>
      <c r="AM7" s="51"/>
      <c r="AN7" s="51"/>
      <c r="AO7" s="38" t="s">
        <v>346</v>
      </c>
      <c r="AP7" s="47">
        <f>COUNTIF('Q1'!$AU:$AU,"Military")</f>
        <v>1</v>
      </c>
    </row>
    <row r="8" spans="1:42" ht="16.5" thickBot="1">
      <c r="A8" s="51"/>
      <c r="B8" s="51"/>
      <c r="C8" s="51"/>
      <c r="D8" s="51"/>
      <c r="E8" s="51"/>
      <c r="F8" s="51"/>
      <c r="G8" s="51"/>
      <c r="H8" s="51"/>
      <c r="I8" s="51"/>
      <c r="J8" s="51"/>
      <c r="K8" s="59" t="s">
        <v>331</v>
      </c>
      <c r="L8" s="56">
        <f>L7/529</f>
        <v>0.94139886578449905</v>
      </c>
      <c r="M8" s="51"/>
      <c r="N8" s="51"/>
      <c r="O8" s="51"/>
      <c r="P8" s="51"/>
      <c r="Q8" s="51"/>
      <c r="R8" s="51"/>
      <c r="S8" s="51"/>
      <c r="T8" s="51"/>
      <c r="U8" s="198" t="s">
        <v>410</v>
      </c>
      <c r="V8" s="198"/>
      <c r="W8" s="51"/>
      <c r="X8" s="51"/>
      <c r="Y8" s="51"/>
      <c r="Z8" s="51"/>
      <c r="AA8" s="51"/>
      <c r="AB8" s="51"/>
      <c r="AC8" s="51"/>
      <c r="AD8" s="51"/>
      <c r="AE8" s="38" t="s">
        <v>389</v>
      </c>
      <c r="AF8" s="47">
        <f>COUNTIF('Q1'!AW:AW,"Medicare,No Insurance")</f>
        <v>0</v>
      </c>
      <c r="AG8" s="51"/>
      <c r="AH8" s="51"/>
      <c r="AI8" s="51"/>
      <c r="AJ8" s="51"/>
      <c r="AK8" s="51"/>
      <c r="AL8" s="51"/>
      <c r="AM8" s="51"/>
      <c r="AN8" s="51"/>
      <c r="AO8" s="38" t="s">
        <v>347</v>
      </c>
      <c r="AP8" s="47">
        <f>COUNTIF('Q1'!$AU:$AU,"Out of work and looking for work")</f>
        <v>18</v>
      </c>
    </row>
    <row r="9" spans="1:42" ht="16.5" thickBot="1">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38" t="s">
        <v>386</v>
      </c>
      <c r="AF9" s="47">
        <f>COUNTIF('Q1'!AW:AW,"Medicare,Private/Commercial")</f>
        <v>20</v>
      </c>
      <c r="AG9" s="51"/>
      <c r="AH9" s="51"/>
      <c r="AI9" s="51"/>
      <c r="AJ9" s="51"/>
      <c r="AK9" s="51"/>
      <c r="AL9" s="51"/>
      <c r="AM9" s="51"/>
      <c r="AN9" s="51"/>
      <c r="AO9" s="38" t="s">
        <v>348</v>
      </c>
      <c r="AP9" s="47">
        <f>COUNTIF('Q1'!$AU:$AU,"Out of work, but not currently looking")</f>
        <v>17</v>
      </c>
    </row>
    <row r="10" spans="1:42" ht="16.5" thickBot="1">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38" t="s">
        <v>296</v>
      </c>
      <c r="AF10" s="47">
        <f>COUNTIF('Q1'!AW:AW,"No Insurance")</f>
        <v>14</v>
      </c>
      <c r="AG10" s="51"/>
      <c r="AH10" s="51"/>
      <c r="AI10" s="51"/>
      <c r="AJ10" s="51"/>
      <c r="AK10" s="51"/>
      <c r="AL10" s="51"/>
      <c r="AM10" s="51"/>
      <c r="AN10" s="51"/>
      <c r="AO10" s="42" t="s">
        <v>330</v>
      </c>
      <c r="AP10" s="50">
        <f>SUM(AP3:AP9)</f>
        <v>451</v>
      </c>
    </row>
    <row r="11" spans="1:42" ht="16.5" thickBo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38" t="s">
        <v>384</v>
      </c>
      <c r="AF11" s="47">
        <f>COUNTIF('Q1'!AW:AW,"Private/Commercial")</f>
        <v>180</v>
      </c>
      <c r="AG11" s="51"/>
      <c r="AH11" s="51"/>
      <c r="AI11" s="51"/>
      <c r="AJ11" s="51"/>
      <c r="AK11" s="51"/>
      <c r="AL11" s="51"/>
      <c r="AM11" s="51"/>
      <c r="AN11" s="51"/>
      <c r="AO11" s="55" t="s">
        <v>331</v>
      </c>
      <c r="AP11" s="56">
        <f>AP10/529</f>
        <v>0.85255198487712669</v>
      </c>
    </row>
    <row r="12" spans="1:42" ht="16.5" thickBo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42" t="s">
        <v>330</v>
      </c>
      <c r="AF12" s="50">
        <f>SUM(AF3:AF11)</f>
        <v>272</v>
      </c>
      <c r="AG12" s="51"/>
      <c r="AH12" s="51"/>
      <c r="AI12" s="51"/>
      <c r="AJ12" s="51"/>
      <c r="AK12" s="51"/>
      <c r="AL12" s="51"/>
      <c r="AM12" s="51"/>
      <c r="AN12" s="51"/>
    </row>
    <row r="13" spans="1:42" ht="16.5" thickBo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42" t="s">
        <v>331</v>
      </c>
      <c r="AF13" s="41">
        <f>AF12/529</f>
        <v>0.51417769376181477</v>
      </c>
      <c r="AG13" s="51"/>
      <c r="AH13" s="51"/>
      <c r="AI13" s="51"/>
      <c r="AJ13" s="51"/>
      <c r="AK13" s="51"/>
      <c r="AL13" s="51"/>
      <c r="AM13" s="51"/>
      <c r="AN13" s="51"/>
    </row>
    <row r="14" spans="1:42" ht="16">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row>
    <row r="15" spans="1:42" ht="16">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row>
    <row r="16" spans="1:42" ht="16">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row>
    <row r="17" spans="1:42" ht="16">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row>
    <row r="18" spans="1:42" ht="16">
      <c r="A18" s="193" t="s">
        <v>332</v>
      </c>
      <c r="B18" s="194"/>
      <c r="C18" s="51"/>
      <c r="D18" s="51"/>
      <c r="E18" s="51"/>
      <c r="F18" s="51"/>
      <c r="G18" s="51"/>
      <c r="H18" s="51"/>
      <c r="I18" s="51"/>
      <c r="J18" s="51"/>
      <c r="K18" s="193" t="s">
        <v>334</v>
      </c>
      <c r="L18" s="194"/>
      <c r="M18" s="51"/>
      <c r="N18" s="51"/>
      <c r="O18" s="51"/>
      <c r="P18" s="51"/>
      <c r="Q18" s="51"/>
      <c r="R18" s="51"/>
      <c r="S18" s="51"/>
      <c r="T18" s="51"/>
      <c r="U18" s="193" t="s">
        <v>343</v>
      </c>
      <c r="V18" s="194"/>
      <c r="W18" s="51"/>
      <c r="X18" s="51"/>
      <c r="Y18" s="51"/>
      <c r="Z18" s="51"/>
      <c r="AA18" s="51"/>
      <c r="AB18" s="51"/>
      <c r="AC18" s="51"/>
      <c r="AD18" s="51"/>
      <c r="AE18" s="193" t="s">
        <v>349</v>
      </c>
      <c r="AF18" s="194"/>
      <c r="AG18" s="51"/>
      <c r="AH18" s="51"/>
      <c r="AI18" s="51"/>
      <c r="AJ18" s="51"/>
      <c r="AK18" s="51"/>
      <c r="AL18" s="51"/>
      <c r="AM18" s="51"/>
      <c r="AN18" s="51"/>
      <c r="AO18" s="193" t="s">
        <v>479</v>
      </c>
      <c r="AP18" s="194"/>
    </row>
    <row r="19" spans="1:42" ht="16">
      <c r="A19" s="54" t="s">
        <v>87</v>
      </c>
      <c r="B19" s="52">
        <f>COUNTIF('Q1'!$AS:$AS,"$0-$19,999")</f>
        <v>21</v>
      </c>
      <c r="C19" s="51"/>
      <c r="D19" s="51"/>
      <c r="E19" s="51"/>
      <c r="F19" s="51"/>
      <c r="G19" s="51"/>
      <c r="H19" s="51"/>
      <c r="I19" s="51"/>
      <c r="J19" s="51"/>
      <c r="K19" s="38" t="s">
        <v>335</v>
      </c>
      <c r="L19" s="47">
        <f>COUNTIFS('Q1'!$AM:$AM,"&gt;17",'Q1'!$AM:$AM,"&lt;25")</f>
        <v>71</v>
      </c>
      <c r="M19" s="51"/>
      <c r="N19" s="51"/>
      <c r="O19" s="51"/>
      <c r="P19" s="51"/>
      <c r="Q19" s="51"/>
      <c r="R19" s="51"/>
      <c r="S19" s="51"/>
      <c r="T19" s="51"/>
      <c r="U19" s="46" t="s">
        <v>418</v>
      </c>
      <c r="V19" s="47">
        <f>COUNTIF('Q1'!AP:AP,"White")</f>
        <v>330</v>
      </c>
      <c r="W19" s="51"/>
      <c r="X19" s="51"/>
      <c r="Y19" s="51"/>
      <c r="Z19" s="51"/>
      <c r="AA19" s="51"/>
      <c r="AB19" s="51"/>
      <c r="AC19" s="51"/>
      <c r="AD19" s="51"/>
      <c r="AE19" s="44" t="s">
        <v>350</v>
      </c>
      <c r="AF19" s="52">
        <f>COUNTIF('Q1'!$AT:$AT,"k-8 grade")</f>
        <v>3</v>
      </c>
      <c r="AG19" s="51"/>
      <c r="AH19" s="51"/>
      <c r="AI19" s="51"/>
      <c r="AJ19" s="51"/>
      <c r="AK19" s="51"/>
      <c r="AL19" s="51"/>
      <c r="AM19" s="51"/>
      <c r="AN19" s="51"/>
      <c r="AO19" s="38" t="s">
        <v>86</v>
      </c>
      <c r="AP19" s="47">
        <f>COUNTIF('Q1'!$AX:$AX,"Yes")</f>
        <v>253</v>
      </c>
    </row>
    <row r="20" spans="1:42" ht="16.5" thickBot="1">
      <c r="A20" s="46" t="s">
        <v>90</v>
      </c>
      <c r="B20" s="47">
        <f>COUNTIF('Q1'!$AS:$AS,"$20,000 to $34,999")</f>
        <v>35</v>
      </c>
      <c r="C20" s="51"/>
      <c r="D20" s="51"/>
      <c r="E20" s="51"/>
      <c r="F20" s="51"/>
      <c r="G20" s="51"/>
      <c r="H20" s="51"/>
      <c r="I20" s="51"/>
      <c r="J20" s="51"/>
      <c r="K20" s="38" t="s">
        <v>336</v>
      </c>
      <c r="L20" s="47">
        <f>COUNTIFS('Q1'!AM:AM,"&gt;24",'Q1'!AM:AM,"&lt;35")</f>
        <v>37</v>
      </c>
      <c r="M20" s="51"/>
      <c r="N20" s="51"/>
      <c r="O20" s="51"/>
      <c r="P20" s="51"/>
      <c r="Q20" s="51"/>
      <c r="R20" s="51"/>
      <c r="S20" s="51"/>
      <c r="T20" s="51"/>
      <c r="U20" s="46" t="s">
        <v>91</v>
      </c>
      <c r="V20" s="47">
        <f>COUNTIF('Q1'!AP:AP,"Black or African American")</f>
        <v>10</v>
      </c>
      <c r="W20" s="51"/>
      <c r="X20" s="51"/>
      <c r="Y20" s="51"/>
      <c r="Z20" s="51"/>
      <c r="AA20" s="51"/>
      <c r="AB20" s="51"/>
      <c r="AC20" s="51"/>
      <c r="AD20" s="51"/>
      <c r="AE20" s="38" t="s">
        <v>104</v>
      </c>
      <c r="AF20" s="47">
        <f>COUNTIF('Q1'!$AT:$AT,"Some high school")</f>
        <v>45</v>
      </c>
      <c r="AG20" s="51"/>
      <c r="AH20" s="51"/>
      <c r="AI20" s="51"/>
      <c r="AJ20" s="51"/>
      <c r="AK20" s="51"/>
      <c r="AL20" s="51"/>
      <c r="AM20" s="51"/>
      <c r="AN20" s="51"/>
      <c r="AO20" s="38" t="s">
        <v>81</v>
      </c>
      <c r="AP20" s="47">
        <f>COUNTIF('Q1'!$AX:$AX,"No")</f>
        <v>14</v>
      </c>
    </row>
    <row r="21" spans="1:42" ht="16.5" thickBot="1">
      <c r="A21" s="46" t="s">
        <v>97</v>
      </c>
      <c r="B21" s="47">
        <f>COUNTIF('Q1'!$AS:$AS,"$35,000 to $49,999")</f>
        <v>39</v>
      </c>
      <c r="C21" s="51"/>
      <c r="D21" s="51"/>
      <c r="E21" s="51"/>
      <c r="F21" s="51"/>
      <c r="G21" s="51"/>
      <c r="H21" s="51"/>
      <c r="I21" s="51"/>
      <c r="J21" s="51"/>
      <c r="K21" s="38" t="s">
        <v>337</v>
      </c>
      <c r="L21" s="47">
        <f>COUNTIFS('Q1'!AM:AM,"&gt;34",'Q1'!AM:AM,"&lt;45")</f>
        <v>55</v>
      </c>
      <c r="M21" s="51"/>
      <c r="N21" s="51"/>
      <c r="O21" s="51"/>
      <c r="P21" s="51"/>
      <c r="Q21" s="51"/>
      <c r="R21" s="51"/>
      <c r="S21" s="51"/>
      <c r="T21" s="51"/>
      <c r="U21" s="46" t="s">
        <v>439</v>
      </c>
      <c r="V21" s="47">
        <f>COUNTIF('Q1'!AP:AP,"Native Hawaiian and Other Pacific Islander")</f>
        <v>16</v>
      </c>
      <c r="W21" s="51"/>
      <c r="X21" s="51"/>
      <c r="Y21" s="51"/>
      <c r="Z21" s="51"/>
      <c r="AA21" s="51"/>
      <c r="AB21" s="51"/>
      <c r="AC21" s="51"/>
      <c r="AD21" s="51"/>
      <c r="AE21" s="38" t="s">
        <v>95</v>
      </c>
      <c r="AF21" s="47">
        <f>COUNTIF('Q1'!$AT:$AT,"High school graduate")</f>
        <v>64</v>
      </c>
      <c r="AG21" s="51"/>
      <c r="AH21" s="51"/>
      <c r="AI21" s="51"/>
      <c r="AJ21" s="51"/>
      <c r="AK21" s="51"/>
      <c r="AL21" s="51"/>
      <c r="AM21" s="51"/>
      <c r="AN21" s="51"/>
      <c r="AO21" s="42" t="s">
        <v>330</v>
      </c>
      <c r="AP21" s="50">
        <f>SUM(AP19:AP20)</f>
        <v>267</v>
      </c>
    </row>
    <row r="22" spans="1:42" ht="16.5" thickBot="1">
      <c r="A22" s="46" t="s">
        <v>93</v>
      </c>
      <c r="B22" s="47">
        <f>COUNTIF('Q1'!$AS:$AS,"$50,000 to $74,999")</f>
        <v>70</v>
      </c>
      <c r="C22" s="51"/>
      <c r="D22" s="51"/>
      <c r="E22" s="51"/>
      <c r="F22" s="51"/>
      <c r="G22" s="51"/>
      <c r="H22" s="51"/>
      <c r="I22" s="51"/>
      <c r="J22" s="51"/>
      <c r="K22" s="38" t="s">
        <v>338</v>
      </c>
      <c r="L22" s="47">
        <f>COUNTIFS('Q1'!AM:AM,"&gt;44",'Q1'!AM:AM,"&lt;55")</f>
        <v>78</v>
      </c>
      <c r="M22" s="51"/>
      <c r="N22" s="51"/>
      <c r="O22" s="51"/>
      <c r="P22" s="51"/>
      <c r="Q22" s="51"/>
      <c r="R22" s="51"/>
      <c r="S22" s="51"/>
      <c r="T22" s="51"/>
      <c r="U22" s="46" t="s">
        <v>436</v>
      </c>
      <c r="V22" s="47">
        <f>COUNTIF('Q1'!AP:AP,"American Indian and Alaska Native")</f>
        <v>30</v>
      </c>
      <c r="W22" s="51"/>
      <c r="X22" s="51"/>
      <c r="Y22" s="51"/>
      <c r="Z22" s="51"/>
      <c r="AA22" s="51"/>
      <c r="AB22" s="51"/>
      <c r="AC22" s="51"/>
      <c r="AD22" s="51"/>
      <c r="AE22" s="38" t="s">
        <v>102</v>
      </c>
      <c r="AF22" s="47">
        <f>COUNTIF('Q1'!$AT:$AT,"Technical School")</f>
        <v>14</v>
      </c>
      <c r="AG22" s="51"/>
      <c r="AH22" s="51"/>
      <c r="AI22" s="51"/>
      <c r="AJ22" s="51"/>
      <c r="AK22" s="51"/>
      <c r="AL22" s="51"/>
      <c r="AM22" s="51"/>
      <c r="AN22" s="51"/>
      <c r="AO22" s="42" t="s">
        <v>331</v>
      </c>
      <c r="AP22" s="41">
        <f>AP21/529</f>
        <v>0.50472589792060496</v>
      </c>
    </row>
    <row r="23" spans="1:42" ht="16">
      <c r="A23" s="46" t="s">
        <v>94</v>
      </c>
      <c r="B23" s="47">
        <f>COUNTIF('Q1'!$AS:$AS,"$75,000 to $125,000")</f>
        <v>104</v>
      </c>
      <c r="C23" s="51"/>
      <c r="D23" s="51"/>
      <c r="E23" s="51"/>
      <c r="F23" s="51"/>
      <c r="G23" s="51"/>
      <c r="H23" s="51"/>
      <c r="I23" s="51"/>
      <c r="J23" s="51"/>
      <c r="K23" s="45" t="s">
        <v>339</v>
      </c>
      <c r="L23" s="47">
        <f>COUNTIFS('Q1'!AM:AM,"&gt;54",'Q1'!AM:AM,"&lt;65")</f>
        <v>37</v>
      </c>
      <c r="M23" s="51"/>
      <c r="N23" s="51"/>
      <c r="O23" s="51"/>
      <c r="P23" s="51"/>
      <c r="Q23" s="51"/>
      <c r="R23" s="51"/>
      <c r="S23" s="51"/>
      <c r="T23" s="51"/>
      <c r="U23" s="46" t="s">
        <v>100</v>
      </c>
      <c r="V23" s="47">
        <f>COUNTIF('Q1'!AP:AP,"Two or more races")</f>
        <v>11</v>
      </c>
      <c r="W23" s="51"/>
      <c r="X23" s="51"/>
      <c r="Y23" s="51"/>
      <c r="Z23" s="51"/>
      <c r="AA23" s="51"/>
      <c r="AB23" s="51"/>
      <c r="AC23" s="51"/>
      <c r="AD23" s="51"/>
      <c r="AE23" s="38" t="s">
        <v>88</v>
      </c>
      <c r="AF23" s="47">
        <f>COUNTIF('Q1'!$AT:$AT,"Some college")</f>
        <v>84</v>
      </c>
      <c r="AG23" s="51"/>
      <c r="AH23" s="51"/>
      <c r="AI23" s="51"/>
      <c r="AJ23" s="51"/>
      <c r="AK23" s="51"/>
      <c r="AL23" s="51"/>
      <c r="AM23" s="51"/>
      <c r="AN23" s="51"/>
    </row>
    <row r="24" spans="1:42" ht="16.5" thickBot="1">
      <c r="A24" s="46" t="s">
        <v>83</v>
      </c>
      <c r="B24" s="47">
        <f>COUNTIF('Q1'!$AS:$AS,"Over $125,000")</f>
        <v>184</v>
      </c>
      <c r="C24" s="51"/>
      <c r="D24" s="51"/>
      <c r="E24" s="51"/>
      <c r="F24" s="51"/>
      <c r="G24" s="51"/>
      <c r="H24" s="51"/>
      <c r="I24" s="51"/>
      <c r="J24" s="51"/>
      <c r="K24" s="38" t="s">
        <v>340</v>
      </c>
      <c r="L24" s="47">
        <f>COUNTIF('Q1'!AM:AM,"&gt;64")</f>
        <v>24</v>
      </c>
      <c r="M24" s="51"/>
      <c r="N24" s="51"/>
      <c r="O24" s="51"/>
      <c r="P24" s="51"/>
      <c r="Q24" s="51"/>
      <c r="R24" s="51"/>
      <c r="S24" s="51"/>
      <c r="T24" s="51"/>
      <c r="U24" s="48" t="s">
        <v>107</v>
      </c>
      <c r="V24" s="47">
        <f>COUNTIF('Q1'!AP:AP,"Other (please specify)")</f>
        <v>11</v>
      </c>
      <c r="W24" s="51"/>
      <c r="X24" s="51"/>
      <c r="Y24" s="51"/>
      <c r="Z24" s="51"/>
      <c r="AA24" s="51"/>
      <c r="AB24" s="51"/>
      <c r="AC24" s="51"/>
      <c r="AD24" s="51"/>
      <c r="AE24" s="38" t="s">
        <v>84</v>
      </c>
      <c r="AF24" s="47">
        <f>COUNTIF('Q1'!$AT:$AT,"College graduate")</f>
        <v>145</v>
      </c>
      <c r="AG24" s="51"/>
      <c r="AH24" s="51"/>
      <c r="AI24" s="51"/>
      <c r="AJ24" s="51"/>
      <c r="AK24" s="51"/>
      <c r="AL24" s="51"/>
      <c r="AM24" s="51"/>
      <c r="AN24" s="51"/>
    </row>
    <row r="25" spans="1:42" ht="16.5" thickBot="1">
      <c r="A25" s="42" t="s">
        <v>330</v>
      </c>
      <c r="B25" s="50">
        <f>SUM(B19:B24)</f>
        <v>453</v>
      </c>
      <c r="C25" s="51"/>
      <c r="D25" s="51"/>
      <c r="E25" s="51"/>
      <c r="F25" s="51"/>
      <c r="G25" s="51"/>
      <c r="H25" s="51"/>
      <c r="I25" s="51"/>
      <c r="J25" s="51"/>
      <c r="K25" s="42" t="s">
        <v>330</v>
      </c>
      <c r="L25" s="50">
        <f>SUM(L19:L24)</f>
        <v>302</v>
      </c>
      <c r="M25" s="51"/>
      <c r="N25" s="51"/>
      <c r="O25" s="51"/>
      <c r="P25" s="51"/>
      <c r="Q25" s="51"/>
      <c r="R25" s="51"/>
      <c r="S25" s="51"/>
      <c r="T25" s="51"/>
      <c r="U25" s="49" t="s">
        <v>330</v>
      </c>
      <c r="V25" s="50">
        <f>SUM(V19:V24)</f>
        <v>408</v>
      </c>
      <c r="W25" s="51"/>
      <c r="X25" s="51"/>
      <c r="Y25" s="51"/>
      <c r="Z25" s="51"/>
      <c r="AA25" s="51"/>
      <c r="AB25" s="51"/>
      <c r="AC25" s="51"/>
      <c r="AD25" s="51"/>
      <c r="AE25" s="38" t="s">
        <v>103</v>
      </c>
      <c r="AF25" s="47">
        <f>COUNTIF('Q1'!$AT:$AT,"Graduate School")</f>
        <v>93</v>
      </c>
      <c r="AG25" s="51"/>
      <c r="AH25" s="51"/>
      <c r="AI25" s="51"/>
      <c r="AJ25" s="51"/>
      <c r="AK25" s="51"/>
      <c r="AL25" s="51"/>
      <c r="AM25" s="51"/>
      <c r="AN25" s="51"/>
    </row>
    <row r="26" spans="1:42" ht="16.5" thickBot="1">
      <c r="A26" s="42" t="s">
        <v>331</v>
      </c>
      <c r="B26" s="41">
        <f>B25/529</f>
        <v>0.85633270321361055</v>
      </c>
      <c r="C26" s="51"/>
      <c r="D26" s="51"/>
      <c r="E26" s="51"/>
      <c r="F26" s="51"/>
      <c r="G26" s="51"/>
      <c r="H26" s="51"/>
      <c r="I26" s="51"/>
      <c r="J26" s="51"/>
      <c r="K26" s="40" t="s">
        <v>331</v>
      </c>
      <c r="L26" s="41">
        <f>L25/529</f>
        <v>0.57088846880907373</v>
      </c>
      <c r="M26" s="51"/>
      <c r="N26" s="51"/>
      <c r="O26" s="51"/>
      <c r="P26" s="51"/>
      <c r="Q26" s="51"/>
      <c r="R26" s="51"/>
      <c r="S26" s="51"/>
      <c r="T26" s="51"/>
      <c r="U26" s="49" t="s">
        <v>331</v>
      </c>
      <c r="V26" s="41">
        <f>V25/529</f>
        <v>0.77126654064272215</v>
      </c>
      <c r="W26" s="51"/>
      <c r="X26" s="51"/>
      <c r="Y26" s="51"/>
      <c r="Z26" s="51"/>
      <c r="AA26" s="51"/>
      <c r="AB26" s="51"/>
      <c r="AC26" s="51"/>
      <c r="AD26" s="51"/>
      <c r="AE26" s="38" t="s">
        <v>111</v>
      </c>
      <c r="AF26" s="47">
        <f>COUNTIF('Q1'!$AT:$AT,"Doctorate")</f>
        <v>28</v>
      </c>
      <c r="AG26" s="51"/>
      <c r="AH26" s="51"/>
      <c r="AI26" s="51"/>
      <c r="AJ26" s="51"/>
      <c r="AK26" s="51"/>
      <c r="AL26" s="51"/>
      <c r="AM26" s="51"/>
      <c r="AN26" s="51"/>
    </row>
    <row r="27" spans="1:42" ht="16">
      <c r="A27" s="196" t="s">
        <v>412</v>
      </c>
      <c r="B27" s="196"/>
      <c r="C27" s="51"/>
      <c r="D27" s="51"/>
      <c r="E27" s="51"/>
      <c r="F27" s="51"/>
      <c r="G27" s="51"/>
      <c r="H27" s="51"/>
      <c r="I27" s="51"/>
      <c r="J27" s="51"/>
      <c r="K27" s="51"/>
      <c r="L27" s="51"/>
      <c r="M27" s="51"/>
      <c r="N27" s="51"/>
      <c r="O27" s="51"/>
      <c r="P27" s="51"/>
      <c r="Q27" s="51"/>
      <c r="R27" s="51"/>
      <c r="S27" s="51"/>
      <c r="T27" s="51"/>
      <c r="U27" s="192" t="s">
        <v>527</v>
      </c>
      <c r="V27" s="192"/>
      <c r="W27" s="51"/>
      <c r="X27" s="51"/>
      <c r="Y27" s="51"/>
      <c r="Z27" s="51"/>
      <c r="AA27" s="51"/>
      <c r="AB27" s="51"/>
      <c r="AC27" s="51"/>
      <c r="AD27" s="51"/>
      <c r="AE27" s="38" t="s">
        <v>109</v>
      </c>
      <c r="AF27" s="47">
        <f>COUNTIF('Q1'!$AT:$AT,"GED")</f>
        <v>0</v>
      </c>
      <c r="AG27" s="51"/>
      <c r="AH27" s="51"/>
      <c r="AI27" s="51"/>
      <c r="AJ27" s="51"/>
      <c r="AK27" s="51"/>
      <c r="AL27" s="51"/>
      <c r="AM27" s="51"/>
      <c r="AN27" s="51"/>
    </row>
    <row r="28" spans="1:42" ht="16.5" thickBot="1">
      <c r="A28" s="197"/>
      <c r="B28" s="197"/>
      <c r="C28" s="51"/>
      <c r="D28" s="51"/>
      <c r="E28" s="51"/>
      <c r="F28" s="51"/>
      <c r="G28" s="51"/>
      <c r="H28" s="51"/>
      <c r="I28" s="51"/>
      <c r="J28" s="51"/>
      <c r="K28" s="51"/>
      <c r="L28" s="51"/>
      <c r="M28" s="51"/>
      <c r="N28" s="51"/>
      <c r="O28" s="51"/>
      <c r="P28" s="51"/>
      <c r="Q28" s="51"/>
      <c r="R28" s="51"/>
      <c r="S28" s="51"/>
      <c r="T28" s="51"/>
      <c r="U28" s="118">
        <f>(COUNTIF('Q1'!AQ:AQ,"Yes")/529)</f>
        <v>0</v>
      </c>
      <c r="V28" s="51"/>
      <c r="W28" s="51"/>
      <c r="X28" s="51"/>
      <c r="Y28" s="51"/>
      <c r="Z28" s="51"/>
      <c r="AA28" s="51"/>
      <c r="AB28" s="51"/>
      <c r="AC28" s="51"/>
      <c r="AD28" s="51"/>
      <c r="AE28" s="38" t="s">
        <v>140</v>
      </c>
      <c r="AF28" s="58">
        <f>COUNTIF('Q1'!$AT:$AT,"None")</f>
        <v>0</v>
      </c>
      <c r="AG28" s="51"/>
      <c r="AH28" s="51"/>
      <c r="AI28" s="51"/>
      <c r="AJ28" s="51"/>
      <c r="AK28" s="51"/>
      <c r="AL28" s="51"/>
      <c r="AM28" s="51"/>
      <c r="AN28" s="51"/>
    </row>
    <row r="29" spans="1:42" ht="16.5" thickBot="1">
      <c r="U29" s="5"/>
      <c r="AE29" s="42" t="s">
        <v>330</v>
      </c>
      <c r="AF29" s="50">
        <f>SUM(AF19:AF28)</f>
        <v>476</v>
      </c>
      <c r="AG29" s="51"/>
    </row>
    <row r="30" spans="1:42" ht="16.5" thickBot="1">
      <c r="AE30" s="55" t="s">
        <v>331</v>
      </c>
      <c r="AF30" s="56">
        <f>AF29/529</f>
        <v>0.89981096408317585</v>
      </c>
    </row>
  </sheetData>
  <mergeCells count="14">
    <mergeCell ref="U27:V27"/>
    <mergeCell ref="AO2:AP2"/>
    <mergeCell ref="AE18:AF18"/>
    <mergeCell ref="A1:AN1"/>
    <mergeCell ref="A2:B2"/>
    <mergeCell ref="A18:B18"/>
    <mergeCell ref="A27:B28"/>
    <mergeCell ref="K2:L2"/>
    <mergeCell ref="K18:L18"/>
    <mergeCell ref="U2:V2"/>
    <mergeCell ref="U8:V8"/>
    <mergeCell ref="U18:V18"/>
    <mergeCell ref="AE2:AF2"/>
    <mergeCell ref="AO18:AP1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1"/>
  <sheetViews>
    <sheetView zoomScale="90" zoomScaleNormal="90" workbookViewId="0">
      <selection sqref="A1:AF1"/>
    </sheetView>
  </sheetViews>
  <sheetFormatPr defaultRowHeight="14.5"/>
  <cols>
    <col min="1" max="1" width="28.81640625" customWidth="1"/>
    <col min="11" max="11" width="28.81640625" customWidth="1"/>
    <col min="21" max="21" width="35" bestFit="1" customWidth="1"/>
    <col min="22" max="22" width="11.7265625" customWidth="1"/>
    <col min="31" max="31" width="28.81640625" customWidth="1"/>
    <col min="41" max="41" width="27.453125" bestFit="1" customWidth="1"/>
  </cols>
  <sheetData>
    <row r="1" spans="1:42" ht="21">
      <c r="A1" s="200" t="s">
        <v>525</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42" ht="16">
      <c r="A2" s="193" t="s">
        <v>333</v>
      </c>
      <c r="B2" s="194"/>
      <c r="C2" s="51"/>
      <c r="D2" s="51"/>
      <c r="E2" s="51"/>
      <c r="F2" s="51"/>
      <c r="G2" s="51"/>
      <c r="H2" s="51"/>
      <c r="I2" s="51"/>
      <c r="J2" s="51"/>
      <c r="K2" s="193" t="s">
        <v>334</v>
      </c>
      <c r="L2" s="194"/>
      <c r="M2" s="51"/>
      <c r="N2" s="51"/>
      <c r="O2" s="51"/>
      <c r="P2" s="51"/>
      <c r="Q2" s="51"/>
      <c r="R2" s="51"/>
      <c r="S2" s="51"/>
      <c r="T2" s="51"/>
      <c r="U2" s="193" t="s">
        <v>341</v>
      </c>
      <c r="V2" s="194"/>
      <c r="W2" s="51"/>
      <c r="X2" s="51"/>
      <c r="Y2" s="51"/>
      <c r="Z2" s="51"/>
      <c r="AA2" s="51"/>
      <c r="AB2" s="51"/>
      <c r="AC2" s="51"/>
      <c r="AD2" s="51"/>
      <c r="AE2" s="193" t="s">
        <v>411</v>
      </c>
      <c r="AF2" s="199"/>
      <c r="AG2" s="51"/>
      <c r="AH2" s="51"/>
      <c r="AI2" s="51"/>
      <c r="AJ2" s="60"/>
      <c r="AK2" s="60"/>
      <c r="AO2" s="193" t="s">
        <v>480</v>
      </c>
      <c r="AP2" s="194"/>
    </row>
    <row r="3" spans="1:42" ht="16">
      <c r="A3" s="44" t="s">
        <v>414</v>
      </c>
      <c r="B3" s="52">
        <f>COUNTIFS('Q1'!AN:AN,"Nassau",'Q1'!AL:AL,"Man")</f>
        <v>45</v>
      </c>
      <c r="C3" s="51"/>
      <c r="D3" s="51"/>
      <c r="E3" s="51"/>
      <c r="F3" s="51"/>
      <c r="G3" s="51"/>
      <c r="H3" s="51"/>
      <c r="I3" s="51"/>
      <c r="J3" s="51"/>
      <c r="K3" s="38" t="s">
        <v>335</v>
      </c>
      <c r="L3" s="47">
        <f>COUNTIFS('Q1'!AN:AN,"Nassau",'Q1'!AM:AM,"&gt;17",'Q1'!AM:AM,"&lt;25")</f>
        <v>9</v>
      </c>
      <c r="M3" s="51"/>
      <c r="N3" s="51"/>
      <c r="O3" s="51"/>
      <c r="P3" s="51"/>
      <c r="Q3" s="51"/>
      <c r="R3" s="51"/>
      <c r="S3" s="51"/>
      <c r="T3" s="51"/>
      <c r="U3" s="38" t="s">
        <v>86</v>
      </c>
      <c r="V3" s="47">
        <f>COUNTIFS('Q1'!AN:AN,"Nassau",'Q1'!AV:AV,"Yes")</f>
        <v>87</v>
      </c>
      <c r="W3" s="51"/>
      <c r="X3" s="51"/>
      <c r="Y3" s="51"/>
      <c r="Z3" s="51"/>
      <c r="AA3" s="51"/>
      <c r="AB3" s="51"/>
      <c r="AC3" s="51"/>
      <c r="AD3" s="51"/>
      <c r="AE3" s="44" t="s">
        <v>387</v>
      </c>
      <c r="AF3" s="52">
        <f>COUNTIFS('Q1'!AN:AN,"Nassau",'Q1'!AW:AW,"Medicaid")</f>
        <v>9</v>
      </c>
      <c r="AG3" s="51"/>
      <c r="AH3" s="51"/>
      <c r="AI3" s="51"/>
      <c r="AJ3" s="60"/>
      <c r="AK3" s="60"/>
      <c r="AO3" s="38" t="s">
        <v>86</v>
      </c>
      <c r="AP3" s="47">
        <f>COUNTIFS('Q1'!AN:AN,"Nassau",'Q1'!AX:AX,"Yes")</f>
        <v>91</v>
      </c>
    </row>
    <row r="4" spans="1:42" ht="16.5" thickBot="1">
      <c r="A4" s="38" t="s">
        <v>417</v>
      </c>
      <c r="B4" s="47">
        <f>COUNTIFS('Q1'!AN:AN,"Nassau",'Q1'!AL:AL,"Woman")</f>
        <v>78</v>
      </c>
      <c r="C4" s="51"/>
      <c r="D4" s="51"/>
      <c r="E4" s="51"/>
      <c r="F4" s="51"/>
      <c r="G4" s="51"/>
      <c r="H4" s="51"/>
      <c r="I4" s="51"/>
      <c r="J4" s="51"/>
      <c r="K4" s="38" t="s">
        <v>336</v>
      </c>
      <c r="L4" s="47">
        <f>COUNTIFS('Q1'!AN:AN,"Nassau",'Q1'!AM:AM,"&gt;24",'Q1'!AM:AM,"&lt;35")</f>
        <v>4</v>
      </c>
      <c r="M4" s="51"/>
      <c r="N4" s="51"/>
      <c r="O4" s="51"/>
      <c r="P4" s="51"/>
      <c r="Q4" s="51"/>
      <c r="R4" s="51"/>
      <c r="S4" s="51"/>
      <c r="T4" s="51"/>
      <c r="U4" s="38" t="s">
        <v>81</v>
      </c>
      <c r="V4" s="47">
        <f>COUNTIFS('Q1'!AN:AN,"Nassau",'Q1'!AV:AV,"No")</f>
        <v>4</v>
      </c>
      <c r="W4" s="51"/>
      <c r="X4" s="51"/>
      <c r="Y4" s="51"/>
      <c r="Z4" s="51"/>
      <c r="AA4" s="51"/>
      <c r="AB4" s="51"/>
      <c r="AC4" s="51"/>
      <c r="AD4" s="51"/>
      <c r="AE4" s="38" t="s">
        <v>391</v>
      </c>
      <c r="AF4" s="47">
        <f>COUNTIFS('Q1'!AN:AN,"Nassau",'Q1'!AW:AW,"Medicaid,Medicare")</f>
        <v>1</v>
      </c>
      <c r="AG4" s="51"/>
      <c r="AH4" s="51"/>
      <c r="AI4" s="51"/>
      <c r="AJ4" s="60"/>
      <c r="AK4" s="60"/>
      <c r="AO4" s="38" t="s">
        <v>81</v>
      </c>
      <c r="AP4" s="47">
        <f>COUNTIFS('Q1'!AN:AN,"Nassau",'Q1'!AX:AX,"No")</f>
        <v>8</v>
      </c>
    </row>
    <row r="5" spans="1:42" ht="16.5" thickBot="1">
      <c r="A5" t="s">
        <v>434</v>
      </c>
      <c r="B5" s="47">
        <f>COUNTIFS('Q1'!AN:AN,"Nassau",'Q1'!AL:AL,"Transgender")</f>
        <v>0</v>
      </c>
      <c r="C5" s="51"/>
      <c r="D5" s="51"/>
      <c r="E5" s="51"/>
      <c r="F5" s="51"/>
      <c r="G5" s="51"/>
      <c r="H5" s="51"/>
      <c r="I5" s="51"/>
      <c r="J5" s="51"/>
      <c r="K5" s="38" t="s">
        <v>337</v>
      </c>
      <c r="L5" s="47">
        <f>COUNTIFS('Q1'!AN:AN,"Nassau",'Q1'!AM:AM,"&gt;34",'Q1'!AM:AM,"&lt;45")</f>
        <v>6</v>
      </c>
      <c r="M5" s="51"/>
      <c r="N5" s="51"/>
      <c r="O5" s="51"/>
      <c r="P5" s="51"/>
      <c r="Q5" s="51"/>
      <c r="R5" s="51"/>
      <c r="S5" s="51"/>
      <c r="T5" s="51"/>
      <c r="U5" s="38" t="s">
        <v>342</v>
      </c>
      <c r="V5" s="47">
        <f>COUNTIFS('Q1'!AN:AN,"Nassau",'Q1'!AV:AV,"No, but I did in the past")</f>
        <v>2</v>
      </c>
      <c r="W5" s="51"/>
      <c r="X5" s="51"/>
      <c r="Y5" s="51"/>
      <c r="Z5" s="51"/>
      <c r="AA5" s="51"/>
      <c r="AB5" s="51"/>
      <c r="AC5" s="51"/>
      <c r="AD5" s="51"/>
      <c r="AE5" s="38" t="s">
        <v>390</v>
      </c>
      <c r="AF5" s="47">
        <f>COUNTIFS('Q1'!AN:AN,"Nassau",'Q1'!AW:AW,"Medicaid,Medicare,Private/Commercial")</f>
        <v>0</v>
      </c>
      <c r="AG5" s="51"/>
      <c r="AH5" s="51"/>
      <c r="AI5" s="51"/>
      <c r="AJ5" s="60"/>
      <c r="AK5" s="60"/>
      <c r="AO5" s="42" t="s">
        <v>330</v>
      </c>
      <c r="AP5" s="50">
        <f>SUM(AP3:AP4)</f>
        <v>99</v>
      </c>
    </row>
    <row r="6" spans="1:42" ht="16.5" thickBot="1">
      <c r="A6" s="38" t="s">
        <v>107</v>
      </c>
      <c r="B6" s="47">
        <f>COUNTIFS('Q1'!AN:AN,"Nassau",'Q1'!AL:AL,"Other")</f>
        <v>0</v>
      </c>
      <c r="C6" s="51"/>
      <c r="D6" s="51"/>
      <c r="E6" s="51"/>
      <c r="F6" s="51"/>
      <c r="G6" s="51"/>
      <c r="H6" s="51"/>
      <c r="I6" s="51"/>
      <c r="J6" s="51"/>
      <c r="K6" s="38" t="s">
        <v>338</v>
      </c>
      <c r="L6" s="47">
        <f>COUNTIFS('Q1'!AN:AN,"Nassau",'Q1'!AM:AM,"&gt;44",'Q1'!AM:AM,"&lt;55")</f>
        <v>5</v>
      </c>
      <c r="M6" s="51"/>
      <c r="N6" s="51"/>
      <c r="O6" s="51"/>
      <c r="P6" s="51"/>
      <c r="Q6" s="51"/>
      <c r="R6" s="51"/>
      <c r="S6" s="51"/>
      <c r="T6" s="51"/>
      <c r="U6" s="42" t="s">
        <v>330</v>
      </c>
      <c r="V6" s="50">
        <f>SUM(V3:V5)</f>
        <v>93</v>
      </c>
      <c r="W6" s="51"/>
      <c r="X6" s="51"/>
      <c r="Y6" s="51"/>
      <c r="Z6" s="51"/>
      <c r="AA6" s="51"/>
      <c r="AB6" s="51"/>
      <c r="AC6" s="51"/>
      <c r="AD6" s="51"/>
      <c r="AE6" s="38" t="s">
        <v>392</v>
      </c>
      <c r="AF6" s="47">
        <f>COUNTIFS('Q1'!AN:AN,"Nassau",'Q1'!AW:AW,"Medicaid,Private/Commercial")</f>
        <v>1</v>
      </c>
      <c r="AG6" s="51"/>
      <c r="AH6" s="51"/>
      <c r="AI6" s="51"/>
      <c r="AJ6" s="60"/>
      <c r="AK6" s="60"/>
      <c r="AO6" s="42" t="s">
        <v>331</v>
      </c>
      <c r="AP6" s="41">
        <f>AP5/125</f>
        <v>0.79200000000000004</v>
      </c>
    </row>
    <row r="7" spans="1:42" ht="16.5" thickBot="1">
      <c r="A7" s="42" t="s">
        <v>330</v>
      </c>
      <c r="B7" s="50">
        <f>SUM(B3:B6)</f>
        <v>123</v>
      </c>
      <c r="C7" s="51"/>
      <c r="D7" s="51"/>
      <c r="E7" s="51"/>
      <c r="F7" s="51"/>
      <c r="G7" s="51"/>
      <c r="H7" s="51"/>
      <c r="I7" s="51"/>
      <c r="J7" s="51"/>
      <c r="K7" s="45" t="s">
        <v>339</v>
      </c>
      <c r="L7" s="47">
        <f>COUNTIFS('Q1'!AN:AN,"Nassau",'Q1'!AM:AM,"&gt;54",'Q1'!AM:AM,"&lt;65")</f>
        <v>1</v>
      </c>
      <c r="M7" s="51"/>
      <c r="N7" s="51"/>
      <c r="O7" s="51"/>
      <c r="P7" s="51"/>
      <c r="Q7" s="51"/>
      <c r="R7" s="51"/>
      <c r="S7" s="51"/>
      <c r="T7" s="51"/>
      <c r="U7" s="42" t="s">
        <v>331</v>
      </c>
      <c r="V7" s="41">
        <f>V6/125</f>
        <v>0.74399999999999999</v>
      </c>
      <c r="W7" s="51"/>
      <c r="X7" s="51"/>
      <c r="Y7" s="51"/>
      <c r="Z7" s="51"/>
      <c r="AA7" s="51"/>
      <c r="AB7" s="51"/>
      <c r="AC7" s="51"/>
      <c r="AD7" s="51"/>
      <c r="AE7" s="38" t="s">
        <v>385</v>
      </c>
      <c r="AF7" s="47">
        <f>COUNTIFS('Q1'!AN:AN,"Nassau",'Q1'!AW:AW,"Medicaid")</f>
        <v>9</v>
      </c>
      <c r="AG7" s="51"/>
      <c r="AH7" s="51"/>
      <c r="AI7" s="51"/>
      <c r="AJ7" s="60"/>
      <c r="AK7" s="60"/>
    </row>
    <row r="8" spans="1:42" ht="16.5" thickBot="1">
      <c r="A8" s="59" t="s">
        <v>331</v>
      </c>
      <c r="B8" s="56">
        <f>B7/125</f>
        <v>0.98399999999999999</v>
      </c>
      <c r="C8" s="51"/>
      <c r="D8" s="51"/>
      <c r="E8" s="51"/>
      <c r="F8" s="51"/>
      <c r="G8" s="51"/>
      <c r="H8" s="51"/>
      <c r="I8" s="51"/>
      <c r="J8" s="51"/>
      <c r="K8" s="38" t="s">
        <v>340</v>
      </c>
      <c r="L8" s="47">
        <f>COUNTIFS('Q1'!AN:AN,"Nassau",'Q1'!AM:AM,"&gt;64")</f>
        <v>4</v>
      </c>
      <c r="M8" s="51"/>
      <c r="N8" s="51"/>
      <c r="O8" s="51"/>
      <c r="P8" s="51"/>
      <c r="Q8" s="51"/>
      <c r="R8" s="51"/>
      <c r="S8" s="51"/>
      <c r="T8" s="51"/>
      <c r="U8" s="198" t="s">
        <v>410</v>
      </c>
      <c r="V8" s="198"/>
      <c r="W8" s="51"/>
      <c r="X8" s="51"/>
      <c r="Y8" s="51"/>
      <c r="Z8" s="51"/>
      <c r="AA8" s="51"/>
      <c r="AB8" s="51"/>
      <c r="AC8" s="51"/>
      <c r="AD8" s="51"/>
      <c r="AE8" s="38" t="s">
        <v>389</v>
      </c>
      <c r="AF8" s="47">
        <f>COUNTIFS('Q1'!AN:AN,"Nassau",'Q1'!AW:AW,"Medicare,No Insurance")</f>
        <v>0</v>
      </c>
      <c r="AG8" s="51"/>
      <c r="AH8" s="51"/>
      <c r="AI8" s="51"/>
      <c r="AJ8" s="60"/>
      <c r="AK8" s="60"/>
    </row>
    <row r="9" spans="1:42" ht="16.5" thickBot="1">
      <c r="A9" s="51"/>
      <c r="B9" s="51"/>
      <c r="C9" s="51"/>
      <c r="D9" s="51"/>
      <c r="E9" s="51"/>
      <c r="F9" s="51"/>
      <c r="G9" s="51"/>
      <c r="H9" s="51"/>
      <c r="I9" s="51"/>
      <c r="J9" s="51"/>
      <c r="K9" s="42" t="s">
        <v>330</v>
      </c>
      <c r="L9" s="50">
        <f>SUM(L3:L8)</f>
        <v>29</v>
      </c>
      <c r="M9" s="51"/>
      <c r="N9" s="51"/>
      <c r="O9" s="51"/>
      <c r="P9" s="51"/>
      <c r="Q9" s="51"/>
      <c r="R9" s="51"/>
      <c r="S9" s="51"/>
      <c r="T9" s="51"/>
      <c r="U9" s="51"/>
      <c r="V9" s="51"/>
      <c r="W9" s="51"/>
      <c r="X9" s="51"/>
      <c r="Y9" s="51"/>
      <c r="Z9" s="51"/>
      <c r="AA9" s="51"/>
      <c r="AB9" s="51"/>
      <c r="AC9" s="51"/>
      <c r="AD9" s="51"/>
      <c r="AE9" s="38" t="s">
        <v>386</v>
      </c>
      <c r="AF9" s="47">
        <f>COUNTIFS('Q1'!AN:AN,"Nassau",'Q1'!AW:AW,"Medicare,Private/Commercial")</f>
        <v>10</v>
      </c>
      <c r="AG9" s="51"/>
      <c r="AH9" s="51"/>
      <c r="AI9" s="51"/>
      <c r="AJ9" s="60"/>
      <c r="AK9" s="60"/>
    </row>
    <row r="10" spans="1:42" ht="16.5" thickBot="1">
      <c r="A10" s="51"/>
      <c r="B10" s="51"/>
      <c r="C10" s="51"/>
      <c r="D10" s="51"/>
      <c r="E10" s="51"/>
      <c r="F10" s="51"/>
      <c r="G10" s="51"/>
      <c r="H10" s="51"/>
      <c r="I10" s="51"/>
      <c r="J10" s="51"/>
      <c r="K10" s="40" t="s">
        <v>331</v>
      </c>
      <c r="L10" s="41">
        <f>L9/125</f>
        <v>0.23200000000000001</v>
      </c>
      <c r="M10" s="51"/>
      <c r="N10" s="51"/>
      <c r="O10" s="51"/>
      <c r="P10" s="51"/>
      <c r="Q10" s="51"/>
      <c r="R10" s="51"/>
      <c r="S10" s="51"/>
      <c r="T10" s="51"/>
      <c r="U10" s="51"/>
      <c r="V10" s="51"/>
      <c r="W10" s="51"/>
      <c r="X10" s="51"/>
      <c r="Y10" s="51"/>
      <c r="Z10" s="51"/>
      <c r="AA10" s="51"/>
      <c r="AB10" s="51"/>
      <c r="AC10" s="51"/>
      <c r="AD10" s="51"/>
      <c r="AE10" s="38" t="s">
        <v>296</v>
      </c>
      <c r="AF10" s="47">
        <f>COUNTIFS('Q1'!AN:AN,"Nassau",'Q1'!AW:AW,"No Insurance")</f>
        <v>4</v>
      </c>
      <c r="AG10" s="51"/>
      <c r="AH10" s="51"/>
      <c r="AI10" s="51"/>
      <c r="AJ10" s="60"/>
      <c r="AK10" s="60"/>
    </row>
    <row r="11" spans="1:42" ht="16.5" thickBo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38" t="s">
        <v>384</v>
      </c>
      <c r="AF11" s="47">
        <f>COUNTIFS('Q1'!AN:AN,"Nassau",'Q1'!AW:AW,"Private/Commercial")</f>
        <v>57</v>
      </c>
      <c r="AG11" s="51"/>
      <c r="AH11" s="51"/>
      <c r="AI11" s="51"/>
      <c r="AJ11" s="60"/>
      <c r="AK11" s="60"/>
    </row>
    <row r="12" spans="1:42" ht="16.5" thickBo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42" t="s">
        <v>330</v>
      </c>
      <c r="AF12" s="50">
        <f>SUM(AF3:AF11)</f>
        <v>91</v>
      </c>
      <c r="AG12" s="51"/>
      <c r="AH12" s="51"/>
      <c r="AI12" s="51"/>
      <c r="AJ12" s="60"/>
      <c r="AK12" s="60"/>
    </row>
    <row r="13" spans="1:42" ht="16.5" thickBo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42" t="s">
        <v>331</v>
      </c>
      <c r="AF13" s="41">
        <f>AF12/125</f>
        <v>0.72799999999999998</v>
      </c>
      <c r="AG13" s="51"/>
      <c r="AH13" s="51"/>
      <c r="AI13" s="51"/>
      <c r="AJ13" s="60"/>
      <c r="AK13" s="60"/>
    </row>
    <row r="14" spans="1:42" ht="16">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G14" s="51"/>
      <c r="AH14" s="51"/>
      <c r="AI14" s="51"/>
      <c r="AJ14" s="60"/>
      <c r="AK14" s="60"/>
    </row>
    <row r="15" spans="1:42" ht="16">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60"/>
      <c r="AK15" s="60"/>
    </row>
    <row r="16" spans="1:42" ht="16">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60"/>
      <c r="AK16" s="60"/>
    </row>
    <row r="17" spans="1:37" ht="16">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60"/>
      <c r="AK17" s="60"/>
    </row>
    <row r="18" spans="1:37" ht="16">
      <c r="A18" s="193" t="s">
        <v>332</v>
      </c>
      <c r="B18" s="199"/>
      <c r="C18" s="51"/>
      <c r="D18" s="51"/>
      <c r="E18" s="51"/>
      <c r="F18" s="51"/>
      <c r="G18" s="51"/>
      <c r="H18" s="51"/>
      <c r="I18" s="51"/>
      <c r="J18" s="51"/>
      <c r="K18" s="193" t="s">
        <v>344</v>
      </c>
      <c r="L18" s="194"/>
      <c r="M18" s="51"/>
      <c r="N18" s="51"/>
      <c r="O18" s="51"/>
      <c r="P18" s="51"/>
      <c r="Q18" s="51"/>
      <c r="R18" s="51"/>
      <c r="S18" s="51"/>
      <c r="T18" s="51"/>
      <c r="U18" s="193" t="s">
        <v>343</v>
      </c>
      <c r="V18" s="194"/>
      <c r="W18" s="51"/>
      <c r="X18" s="51"/>
      <c r="Y18" s="51"/>
      <c r="Z18" s="51"/>
      <c r="AA18" s="51"/>
      <c r="AB18" s="51"/>
      <c r="AC18" s="51"/>
      <c r="AD18" s="51"/>
      <c r="AE18" s="193" t="s">
        <v>349</v>
      </c>
      <c r="AF18" s="199"/>
      <c r="AG18" s="51"/>
      <c r="AH18" s="51"/>
      <c r="AI18" s="51"/>
      <c r="AJ18" s="60"/>
      <c r="AK18" s="60"/>
    </row>
    <row r="19" spans="1:37" ht="16">
      <c r="A19" s="54" t="s">
        <v>87</v>
      </c>
      <c r="B19" s="52">
        <f>COUNTIFS('Q1'!AN:AN,"Nassau",'Q1'!AS:AS,"$0-$19,999")</f>
        <v>4</v>
      </c>
      <c r="C19" s="51"/>
      <c r="D19" s="51"/>
      <c r="E19" s="51"/>
      <c r="F19" s="51"/>
      <c r="G19" s="51"/>
      <c r="H19" s="51"/>
      <c r="I19" s="51"/>
      <c r="J19" s="51"/>
      <c r="K19" s="38" t="s">
        <v>345</v>
      </c>
      <c r="L19" s="47">
        <f>COUNTIFS('Q1'!AN:AN,"Nassau",'Q1'!AU:AU,"Employed for wages")</f>
        <v>50</v>
      </c>
      <c r="M19" s="51"/>
      <c r="N19" s="51"/>
      <c r="O19" s="51"/>
      <c r="P19" s="51"/>
      <c r="Q19" s="51"/>
      <c r="R19" s="51"/>
      <c r="S19" s="51"/>
      <c r="T19" s="51"/>
      <c r="U19" s="46" t="s">
        <v>418</v>
      </c>
      <c r="V19" s="47">
        <f>COUNTIFS('Q1'!AN:AN,"Nassau",'Q1'!AP:AP,"White")</f>
        <v>66</v>
      </c>
      <c r="W19" s="51"/>
      <c r="X19" s="51"/>
      <c r="Y19" s="51"/>
      <c r="Z19" s="51"/>
      <c r="AA19" s="51"/>
      <c r="AB19" s="51"/>
      <c r="AC19" s="51"/>
      <c r="AD19" s="51"/>
      <c r="AE19" s="44" t="s">
        <v>350</v>
      </c>
      <c r="AF19" s="52">
        <f>COUNTIFS('Q1'!AN:AN,"Nassau",'Q1'!AT:AT,"K-8 grade")</f>
        <v>1</v>
      </c>
      <c r="AG19" s="51"/>
      <c r="AH19" s="51"/>
      <c r="AI19" s="51"/>
      <c r="AJ19" s="60"/>
      <c r="AK19" s="60"/>
    </row>
    <row r="20" spans="1:37" ht="16">
      <c r="A20" s="46" t="s">
        <v>90</v>
      </c>
      <c r="B20" s="47">
        <f>COUNTIFS('Q1'!AN:AN,"Nassau",'Q1'!AS:AS,"$20,000 to $34,999")</f>
        <v>11</v>
      </c>
      <c r="C20" s="51"/>
      <c r="D20" s="51"/>
      <c r="E20" s="51"/>
      <c r="F20" s="51"/>
      <c r="G20" s="51"/>
      <c r="H20" s="51"/>
      <c r="I20" s="51"/>
      <c r="J20" s="51"/>
      <c r="K20" s="38" t="s">
        <v>105</v>
      </c>
      <c r="L20" s="47">
        <f>COUNTIFS('Q1'!AN:AN,"Nassau",'Q1'!AU:AU,"Self-employed")</f>
        <v>4</v>
      </c>
      <c r="M20" s="51"/>
      <c r="N20" s="51"/>
      <c r="O20" s="51"/>
      <c r="P20" s="51"/>
      <c r="Q20" s="51"/>
      <c r="R20" s="51"/>
      <c r="S20" s="51"/>
      <c r="T20" s="51"/>
      <c r="U20" s="46" t="s">
        <v>91</v>
      </c>
      <c r="V20" s="47">
        <f>COUNTIFS('Q1'!AN:AN,"Nassau",'Q1'!AP:AP,"Black or African American")</f>
        <v>1</v>
      </c>
      <c r="W20" s="51"/>
      <c r="X20" s="51"/>
      <c r="Y20" s="51"/>
      <c r="Z20" s="51"/>
      <c r="AA20" s="51"/>
      <c r="AB20" s="51"/>
      <c r="AC20" s="51"/>
      <c r="AD20" s="51"/>
      <c r="AE20" s="38" t="s">
        <v>104</v>
      </c>
      <c r="AF20" s="47">
        <f>COUNTIFS('Q1'!AN:AN,"Nassau",'Q1'!AT:AT,"Some high school")</f>
        <v>5</v>
      </c>
      <c r="AG20" s="51"/>
      <c r="AH20" s="51"/>
      <c r="AI20" s="51"/>
      <c r="AJ20" s="60"/>
      <c r="AK20" s="60"/>
    </row>
    <row r="21" spans="1:37" ht="16">
      <c r="A21" s="46" t="s">
        <v>97</v>
      </c>
      <c r="B21" s="47">
        <f>COUNTIFS('Q1'!AN:AN,"Nassau",'Q1'!AS:AS,"$35,000 to $49,999")</f>
        <v>10</v>
      </c>
      <c r="C21" s="51"/>
      <c r="D21" s="51"/>
      <c r="E21" s="51"/>
      <c r="F21" s="51"/>
      <c r="G21" s="51"/>
      <c r="H21" s="51"/>
      <c r="I21" s="51"/>
      <c r="J21" s="51"/>
      <c r="K21" s="38" t="s">
        <v>89</v>
      </c>
      <c r="L21" s="47">
        <f>COUNTIFS('Q1'!AN:AN,"Nassau",'Q1'!AU:AU,"Student")</f>
        <v>6</v>
      </c>
      <c r="M21" s="51"/>
      <c r="N21" s="51"/>
      <c r="O21" s="51"/>
      <c r="P21" s="51"/>
      <c r="Q21" s="51"/>
      <c r="R21" s="51"/>
      <c r="S21" s="51"/>
      <c r="T21" s="51"/>
      <c r="U21" s="46" t="s">
        <v>439</v>
      </c>
      <c r="V21" s="47">
        <f>COUNTIFS('Q1'!AN:AN,"Nassau",'Q1'!AP:AP,"Native Hawaiian and Other Pacific Islander")</f>
        <v>0</v>
      </c>
      <c r="W21" s="51"/>
      <c r="X21" s="51"/>
      <c r="Y21" s="51"/>
      <c r="Z21" s="51"/>
      <c r="AA21" s="51"/>
      <c r="AB21" s="51"/>
      <c r="AC21" s="51"/>
      <c r="AD21" s="51"/>
      <c r="AE21" s="38" t="s">
        <v>95</v>
      </c>
      <c r="AF21" s="47">
        <f>COUNTIFS('Q1'!AN:AN,"Nassau",'Q1'!AT:AT,"High school graduate")</f>
        <v>11</v>
      </c>
      <c r="AG21" s="51"/>
      <c r="AH21" s="51"/>
      <c r="AI21" s="51"/>
      <c r="AJ21" s="60"/>
      <c r="AK21" s="60"/>
    </row>
    <row r="22" spans="1:37" ht="16">
      <c r="A22" s="46" t="s">
        <v>93</v>
      </c>
      <c r="B22" s="47">
        <f>COUNTIFS('Q1'!AN:AN,"Nassau",'Q1'!AS:AS,"$50,000 to $74,999")</f>
        <v>18</v>
      </c>
      <c r="C22" s="51"/>
      <c r="D22" s="51"/>
      <c r="E22" s="51"/>
      <c r="F22" s="51"/>
      <c r="G22" s="51"/>
      <c r="H22" s="51"/>
      <c r="I22" s="51"/>
      <c r="J22" s="51"/>
      <c r="K22" s="38" t="s">
        <v>99</v>
      </c>
      <c r="L22" s="47">
        <f>COUNTIFS('Q1'!AN:AN,"Nassau",'Q1'!AU:AU,"retired")</f>
        <v>28</v>
      </c>
      <c r="M22" s="51"/>
      <c r="N22" s="51"/>
      <c r="O22" s="51"/>
      <c r="P22" s="51"/>
      <c r="Q22" s="51"/>
      <c r="R22" s="51"/>
      <c r="S22" s="51"/>
      <c r="T22" s="51"/>
      <c r="U22" s="46" t="s">
        <v>436</v>
      </c>
      <c r="V22" s="47">
        <f>COUNTIFS('Q1'!AN:AN,"Nassau",'Q1'!AP:AP,"American Indian and Alaska Native")</f>
        <v>7</v>
      </c>
      <c r="W22" s="51"/>
      <c r="X22" s="51"/>
      <c r="Y22" s="51"/>
      <c r="Z22" s="51"/>
      <c r="AA22" s="51"/>
      <c r="AB22" s="51"/>
      <c r="AC22" s="51"/>
      <c r="AD22" s="51"/>
      <c r="AE22" s="38" t="s">
        <v>102</v>
      </c>
      <c r="AF22" s="47">
        <f>COUNTIFS('Q1'!AN:AN,"Nassau",'Q1'!AT:AT,"Technical school")</f>
        <v>1</v>
      </c>
      <c r="AG22" s="51"/>
      <c r="AH22" s="51"/>
      <c r="AI22" s="51"/>
      <c r="AJ22" s="60"/>
      <c r="AK22" s="60"/>
    </row>
    <row r="23" spans="1:37" ht="16">
      <c r="A23" s="46" t="s">
        <v>94</v>
      </c>
      <c r="B23" s="47">
        <f>COUNTIFS('Q1'!AN:AN,"Nassau",'Q1'!AS:AS,"$75,000 to $125,000")</f>
        <v>23</v>
      </c>
      <c r="C23" s="51"/>
      <c r="D23" s="51"/>
      <c r="E23" s="51"/>
      <c r="F23" s="51"/>
      <c r="G23" s="51"/>
      <c r="H23" s="51"/>
      <c r="I23" s="51"/>
      <c r="J23" s="51"/>
      <c r="K23" s="38" t="s">
        <v>346</v>
      </c>
      <c r="L23" s="47">
        <f>COUNTIFS('Q1'!AN:AN,"Nassau",'Q1'!AU:AU,"Military")</f>
        <v>0</v>
      </c>
      <c r="M23" s="51"/>
      <c r="N23" s="51"/>
      <c r="O23" s="51"/>
      <c r="P23" s="51"/>
      <c r="Q23" s="51"/>
      <c r="R23" s="51"/>
      <c r="S23" s="51"/>
      <c r="T23" s="51"/>
      <c r="U23" s="46" t="s">
        <v>100</v>
      </c>
      <c r="V23" s="47">
        <f>COUNTIFS('Q1'!AN:AN,"Nassau",'Q1'!AP:AP,"Two or more races")</f>
        <v>3</v>
      </c>
      <c r="W23" s="51"/>
      <c r="X23" s="51"/>
      <c r="Y23" s="51"/>
      <c r="Z23" s="51"/>
      <c r="AA23" s="51"/>
      <c r="AB23" s="51"/>
      <c r="AC23" s="51"/>
      <c r="AD23" s="51"/>
      <c r="AE23" s="38" t="s">
        <v>88</v>
      </c>
      <c r="AF23" s="47">
        <f>COUNTIFS('Q1'!AN:AN,"Nassau",'Q1'!AT:AT,"Some college")</f>
        <v>21</v>
      </c>
      <c r="AG23" s="51"/>
      <c r="AH23" s="51"/>
      <c r="AI23" s="51"/>
      <c r="AJ23" s="60"/>
      <c r="AK23" s="60"/>
    </row>
    <row r="24" spans="1:37" ht="16.5" thickBot="1">
      <c r="A24" s="46" t="s">
        <v>83</v>
      </c>
      <c r="B24" s="47">
        <f>COUNTIFS('Q1'!AN:AN,"Nassau",'Q1'!AS:AS,"Over $125,000")</f>
        <v>30</v>
      </c>
      <c r="C24" s="51"/>
      <c r="D24" s="51"/>
      <c r="E24" s="51"/>
      <c r="F24" s="51"/>
      <c r="G24" s="51"/>
      <c r="H24" s="51"/>
      <c r="I24" s="51"/>
      <c r="J24" s="51"/>
      <c r="K24" s="38" t="s">
        <v>347</v>
      </c>
      <c r="L24" s="47">
        <f>COUNTIFS('Q1'!AN:AN,"Nassau",'Q1'!AU:AU,"Out of work and looking for work")</f>
        <v>5</v>
      </c>
      <c r="M24" s="51"/>
      <c r="N24" s="51"/>
      <c r="O24" s="51"/>
      <c r="P24" s="51"/>
      <c r="Q24" s="51"/>
      <c r="R24" s="51"/>
      <c r="S24" s="51"/>
      <c r="T24" s="51"/>
      <c r="U24" s="48" t="s">
        <v>107</v>
      </c>
      <c r="V24" s="47">
        <f>COUNTIFS('Q1'!AN:AN,"Nassau",'Q1'!AP:AP,"Other (please specify)")</f>
        <v>3</v>
      </c>
      <c r="W24" s="51"/>
      <c r="X24" s="51"/>
      <c r="Y24" s="51"/>
      <c r="Z24" s="51"/>
      <c r="AA24" s="51"/>
      <c r="AB24" s="51"/>
      <c r="AC24" s="51"/>
      <c r="AD24" s="51"/>
      <c r="AE24" s="38" t="s">
        <v>84</v>
      </c>
      <c r="AF24" s="47">
        <f>COUNTIFS('Q1'!AN:AN,"Nassau",'Q1'!AT:AT,"College graduate")</f>
        <v>34</v>
      </c>
      <c r="AG24" s="51"/>
      <c r="AH24" s="51"/>
      <c r="AI24" s="51"/>
      <c r="AJ24" s="60"/>
      <c r="AK24" s="60"/>
    </row>
    <row r="25" spans="1:37" ht="16.5" thickBot="1">
      <c r="A25" s="42" t="s">
        <v>330</v>
      </c>
      <c r="B25" s="50">
        <f>SUM(B19:B24)</f>
        <v>96</v>
      </c>
      <c r="C25" s="51"/>
      <c r="D25" s="51"/>
      <c r="E25" s="51"/>
      <c r="F25" s="51"/>
      <c r="G25" s="51"/>
      <c r="H25" s="51"/>
      <c r="I25" s="51"/>
      <c r="J25" s="51"/>
      <c r="K25" s="38" t="s">
        <v>348</v>
      </c>
      <c r="L25" s="47">
        <f>COUNTIFS('Q1'!AN:AN,"Nassau",'Q1'!AU:AU,"Out of work, but not currently looking")</f>
        <v>4</v>
      </c>
      <c r="M25" s="51"/>
      <c r="N25" s="51"/>
      <c r="O25" s="51"/>
      <c r="P25" s="51"/>
      <c r="Q25" s="51"/>
      <c r="R25" s="51"/>
      <c r="S25" s="51"/>
      <c r="T25" s="51"/>
      <c r="U25" s="49" t="s">
        <v>330</v>
      </c>
      <c r="V25" s="50">
        <f>SUM(V19:V24)</f>
        <v>80</v>
      </c>
      <c r="W25" s="51"/>
      <c r="X25" s="51"/>
      <c r="Y25" s="51"/>
      <c r="Z25" s="51"/>
      <c r="AA25" s="51"/>
      <c r="AB25" s="51"/>
      <c r="AC25" s="51"/>
      <c r="AD25" s="51"/>
      <c r="AE25" s="38" t="s">
        <v>103</v>
      </c>
      <c r="AF25" s="47">
        <f>COUNTIFS('Q1'!AN:AN,"Nassau",'Q1'!AT:AT,"Graduate school")</f>
        <v>26</v>
      </c>
      <c r="AG25" s="51"/>
      <c r="AH25" s="51"/>
      <c r="AI25" s="51"/>
      <c r="AJ25" s="60"/>
      <c r="AK25" s="60"/>
    </row>
    <row r="26" spans="1:37" ht="16.5" thickBot="1">
      <c r="A26" s="42" t="s">
        <v>331</v>
      </c>
      <c r="B26" s="41">
        <f>B25/125</f>
        <v>0.76800000000000002</v>
      </c>
      <c r="C26" s="51"/>
      <c r="D26" s="51"/>
      <c r="E26" s="51"/>
      <c r="F26" s="51"/>
      <c r="G26" s="51"/>
      <c r="H26" s="51"/>
      <c r="I26" s="51"/>
      <c r="J26" s="51"/>
      <c r="K26" s="42" t="s">
        <v>330</v>
      </c>
      <c r="L26" s="50">
        <f>SUM(L19:L25)</f>
        <v>97</v>
      </c>
      <c r="M26" s="51"/>
      <c r="N26" s="51"/>
      <c r="O26" s="51"/>
      <c r="P26" s="51"/>
      <c r="Q26" s="51"/>
      <c r="R26" s="51"/>
      <c r="S26" s="51"/>
      <c r="T26" s="51"/>
      <c r="U26" s="49" t="s">
        <v>331</v>
      </c>
      <c r="V26" s="41">
        <f>V25/125</f>
        <v>0.64</v>
      </c>
      <c r="W26" s="51"/>
      <c r="X26" s="51"/>
      <c r="Y26" s="51"/>
      <c r="Z26" s="51"/>
      <c r="AA26" s="51"/>
      <c r="AB26" s="51"/>
      <c r="AC26" s="51"/>
      <c r="AD26" s="51"/>
      <c r="AE26" s="38" t="s">
        <v>111</v>
      </c>
      <c r="AF26" s="47">
        <f>COUNTIFS('Q1'!AN:AN,"Nassau",'Q1'!AT:AT,"Doctorate")</f>
        <v>11</v>
      </c>
      <c r="AG26" s="51"/>
      <c r="AH26" s="51"/>
      <c r="AI26" s="51"/>
      <c r="AJ26" s="60"/>
      <c r="AK26" s="60"/>
    </row>
    <row r="27" spans="1:37" ht="16.5" customHeight="1" thickBot="1">
      <c r="A27" s="196" t="s">
        <v>412</v>
      </c>
      <c r="B27" s="196"/>
      <c r="C27" s="51"/>
      <c r="D27" s="51"/>
      <c r="E27" s="51"/>
      <c r="F27" s="51"/>
      <c r="G27" s="51"/>
      <c r="H27" s="51"/>
      <c r="I27" s="51"/>
      <c r="J27" s="51"/>
      <c r="K27" s="55" t="s">
        <v>331</v>
      </c>
      <c r="L27" s="56">
        <f>L26/125</f>
        <v>0.77600000000000002</v>
      </c>
      <c r="M27" s="51"/>
      <c r="N27" s="51"/>
      <c r="O27" s="51"/>
      <c r="P27" s="51"/>
      <c r="Q27" s="51"/>
      <c r="R27" s="51"/>
      <c r="S27" s="51"/>
      <c r="T27" s="51"/>
      <c r="U27" s="192" t="s">
        <v>528</v>
      </c>
      <c r="V27" s="192"/>
      <c r="W27" s="51"/>
      <c r="X27" s="51"/>
      <c r="Y27" s="51"/>
      <c r="Z27" s="51"/>
      <c r="AA27" s="51"/>
      <c r="AB27" s="51"/>
      <c r="AC27" s="51"/>
      <c r="AD27" s="51"/>
      <c r="AE27" s="38" t="s">
        <v>109</v>
      </c>
      <c r="AF27" s="47">
        <f>COUNTIFS('Q1'!AN:AN,"Nassau",'Q1'!AT:AT,"GED")</f>
        <v>0</v>
      </c>
      <c r="AG27" s="51"/>
      <c r="AH27" s="51"/>
      <c r="AI27" s="51"/>
      <c r="AJ27" s="60"/>
      <c r="AK27" s="60"/>
    </row>
    <row r="28" spans="1:37" ht="16.5" thickBot="1">
      <c r="A28" s="197"/>
      <c r="B28" s="197"/>
      <c r="C28" s="51"/>
      <c r="D28" s="51"/>
      <c r="E28" s="51"/>
      <c r="F28" s="51"/>
      <c r="G28" s="51"/>
      <c r="H28" s="51"/>
      <c r="I28" s="51"/>
      <c r="J28" s="51"/>
      <c r="K28" s="51"/>
      <c r="L28" s="51"/>
      <c r="M28" s="51"/>
      <c r="N28" s="51"/>
      <c r="O28" s="51"/>
      <c r="P28" s="51"/>
      <c r="Q28" s="51"/>
      <c r="R28" s="51"/>
      <c r="S28" s="51"/>
      <c r="T28" s="51"/>
      <c r="U28" s="118">
        <f>COUNTIFS('Q1'!AN:AN,"Nassau",'Q1'!AQ:AQ,"Yes")/125</f>
        <v>0</v>
      </c>
      <c r="V28" s="51"/>
      <c r="W28" s="51"/>
      <c r="X28" s="51"/>
      <c r="Y28" s="51"/>
      <c r="Z28" s="51"/>
      <c r="AA28" s="51"/>
      <c r="AB28" s="51"/>
      <c r="AC28" s="51"/>
      <c r="AD28" s="51"/>
      <c r="AE28" s="38" t="s">
        <v>140</v>
      </c>
      <c r="AF28" s="58">
        <f>COUNTIFS('Q1'!AN:AN,"Nassau",'Q1'!AT:AT,"None")</f>
        <v>0</v>
      </c>
      <c r="AG28" s="51"/>
      <c r="AH28" s="51"/>
      <c r="AI28" s="51"/>
      <c r="AJ28" s="60"/>
      <c r="AK28" s="60"/>
    </row>
    <row r="29" spans="1:37" ht="16.5" thickBot="1">
      <c r="A29" s="51"/>
      <c r="B29" s="51"/>
      <c r="C29" s="51"/>
      <c r="D29" s="51"/>
      <c r="E29" s="51"/>
      <c r="F29" s="51"/>
      <c r="G29" s="51"/>
      <c r="H29" s="51"/>
      <c r="I29" s="51"/>
      <c r="J29" s="51"/>
      <c r="K29" s="51"/>
      <c r="L29" s="51"/>
      <c r="M29" s="51"/>
      <c r="N29" s="51"/>
      <c r="O29" s="51"/>
      <c r="P29" s="51"/>
      <c r="Q29" s="51"/>
      <c r="R29" s="51"/>
      <c r="S29" s="51"/>
      <c r="T29" s="51"/>
      <c r="V29" s="51"/>
      <c r="W29" s="51"/>
      <c r="X29" s="51"/>
      <c r="Y29" s="51"/>
      <c r="Z29" s="51"/>
      <c r="AA29" s="51"/>
      <c r="AB29" s="51"/>
      <c r="AC29" s="51"/>
      <c r="AD29" s="51"/>
      <c r="AE29" s="42" t="s">
        <v>330</v>
      </c>
      <c r="AF29" s="50">
        <f>SUM(AF19:AF28)</f>
        <v>110</v>
      </c>
      <c r="AG29" s="51"/>
      <c r="AH29" s="51"/>
      <c r="AI29" s="51"/>
      <c r="AJ29" s="60"/>
      <c r="AK29" s="60"/>
    </row>
    <row r="30" spans="1:37" ht="16.5" thickBot="1">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42" t="s">
        <v>331</v>
      </c>
      <c r="AF30" s="41">
        <f>AF29/125</f>
        <v>0.88</v>
      </c>
      <c r="AG30" s="51"/>
      <c r="AH30" s="51"/>
      <c r="AI30" s="51"/>
      <c r="AJ30" s="60"/>
      <c r="AK30" s="60"/>
    </row>
    <row r="31" spans="1:37">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row>
  </sheetData>
  <mergeCells count="13">
    <mergeCell ref="AO2:AP2"/>
    <mergeCell ref="U27:V27"/>
    <mergeCell ref="AE18:AF18"/>
    <mergeCell ref="A2:B2"/>
    <mergeCell ref="A1:AF1"/>
    <mergeCell ref="A18:B18"/>
    <mergeCell ref="A27:B28"/>
    <mergeCell ref="K2:L2"/>
    <mergeCell ref="K18:L18"/>
    <mergeCell ref="U2:V2"/>
    <mergeCell ref="U8:V8"/>
    <mergeCell ref="U18:V18"/>
    <mergeCell ref="AE2:AF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0"/>
  <sheetViews>
    <sheetView zoomScale="90" zoomScaleNormal="90" workbookViewId="0">
      <selection sqref="A1:AF1"/>
    </sheetView>
  </sheetViews>
  <sheetFormatPr defaultRowHeight="14.5"/>
  <cols>
    <col min="1" max="1" width="28.81640625" customWidth="1"/>
    <col min="11" max="11" width="28.81640625" customWidth="1"/>
    <col min="21" max="21" width="35" bestFit="1" customWidth="1"/>
    <col min="22" max="22" width="11.7265625" customWidth="1"/>
    <col min="31" max="31" width="28.81640625" customWidth="1"/>
    <col min="41" max="41" width="27.453125" bestFit="1" customWidth="1"/>
  </cols>
  <sheetData>
    <row r="1" spans="1:42" ht="21">
      <c r="A1" s="200" t="s">
        <v>526</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42" ht="16">
      <c r="A2" s="193" t="s">
        <v>333</v>
      </c>
      <c r="B2" s="194"/>
      <c r="C2" s="51"/>
      <c r="D2" s="51"/>
      <c r="E2" s="51"/>
      <c r="F2" s="51"/>
      <c r="G2" s="51"/>
      <c r="H2" s="51"/>
      <c r="I2" s="51"/>
      <c r="J2" s="51"/>
      <c r="K2" s="193" t="s">
        <v>334</v>
      </c>
      <c r="L2" s="194"/>
      <c r="U2" s="193" t="s">
        <v>341</v>
      </c>
      <c r="V2" s="194"/>
      <c r="AE2" s="193" t="s">
        <v>411</v>
      </c>
      <c r="AF2" s="199"/>
      <c r="AO2" s="193" t="s">
        <v>479</v>
      </c>
      <c r="AP2" s="194"/>
    </row>
    <row r="3" spans="1:42" ht="16">
      <c r="A3" s="44" t="s">
        <v>414</v>
      </c>
      <c r="B3" s="52">
        <f>COUNTIFS('Q1'!AN:AN,"Suffolk",'Q1'!AL:AL,"Man")</f>
        <v>190</v>
      </c>
      <c r="C3" s="51"/>
      <c r="D3" s="51"/>
      <c r="E3" s="51"/>
      <c r="F3" s="51"/>
      <c r="G3" s="51"/>
      <c r="H3" s="51"/>
      <c r="I3" s="51"/>
      <c r="J3" s="51"/>
      <c r="K3" s="38" t="s">
        <v>335</v>
      </c>
      <c r="L3" s="47">
        <f>COUNTIFS('Q1'!AN:AN,"Suffolk",'Q1'!AM:AM,"&gt;17",'Q1'!AM:AM,"&lt;25")</f>
        <v>58</v>
      </c>
      <c r="U3" s="38" t="s">
        <v>86</v>
      </c>
      <c r="V3" s="15">
        <f>COUNTIFS('Q1'!AN:AN,"Suffolk",'Q1'!AV:AV,"Yes")</f>
        <v>305</v>
      </c>
      <c r="AE3" s="44" t="s">
        <v>387</v>
      </c>
      <c r="AF3" s="52">
        <f>COUNTIFS('Q1'!AN:AN,"Suffolk",'Q1'!AW:AW,"Medicaid")</f>
        <v>15</v>
      </c>
      <c r="AO3" s="38" t="s">
        <v>86</v>
      </c>
      <c r="AP3" s="15">
        <f>COUNTIFS('Q1'!AN:AN,"Suffolk",'Q1'!AX:AX,"Yes")</f>
        <v>142</v>
      </c>
    </row>
    <row r="4" spans="1:42" ht="16.5" thickBot="1">
      <c r="A4" s="38" t="s">
        <v>417</v>
      </c>
      <c r="B4" s="47">
        <f>COUNTIFS('Q1'!AN:AN,"Suffolk",'Q1'!AL:AL,"Woman")</f>
        <v>156</v>
      </c>
      <c r="C4" s="51"/>
      <c r="D4" s="51"/>
      <c r="E4" s="51"/>
      <c r="F4" s="51"/>
      <c r="G4" s="51"/>
      <c r="H4" s="51"/>
      <c r="I4" s="51"/>
      <c r="J4" s="51"/>
      <c r="K4" s="38" t="s">
        <v>336</v>
      </c>
      <c r="L4" s="47">
        <f>COUNTIFS('Q1'!AN:AN,"Suffolk",'Q1'!AM:AM,"&gt;24",'Q1'!AM:AM,"&lt;35")</f>
        <v>29</v>
      </c>
      <c r="U4" s="38" t="s">
        <v>81</v>
      </c>
      <c r="V4" s="15">
        <f>COUNTIFS('Q1'!AN:AN,"Suffolk",'Q1'!AV:AV,"No")</f>
        <v>18</v>
      </c>
      <c r="AE4" s="38" t="s">
        <v>391</v>
      </c>
      <c r="AF4" s="47">
        <f>COUNTIFS('Q1'!AN:AN,"Suffolk",'Q1'!AW:AW,"Medicaid,Medicare")</f>
        <v>1</v>
      </c>
      <c r="AO4" s="38" t="s">
        <v>81</v>
      </c>
      <c r="AP4" s="15">
        <f>COUNTIFS('Q1'!AN:AN,"Suffolk",'Q1'!AX:AX,"No")</f>
        <v>4</v>
      </c>
    </row>
    <row r="5" spans="1:42" ht="16.5" thickBot="1">
      <c r="A5" t="s">
        <v>434</v>
      </c>
      <c r="B5" s="47">
        <f>COUNTIFS('Q1'!AN:AN,"Suffolk",'Q1'!AL:AL,"Transgender")</f>
        <v>2</v>
      </c>
      <c r="C5" s="51"/>
      <c r="D5" s="51"/>
      <c r="E5" s="51"/>
      <c r="F5" s="51"/>
      <c r="G5" s="51"/>
      <c r="H5" s="51"/>
      <c r="I5" s="51"/>
      <c r="J5" s="51"/>
      <c r="K5" s="38" t="s">
        <v>337</v>
      </c>
      <c r="L5" s="47">
        <f>COUNTIFS('Q1'!AN:AN,"Suffolk",'Q1'!AM:AM,"&gt;34",'Q1'!AM:AM,"&lt;45")</f>
        <v>47</v>
      </c>
      <c r="U5" s="38" t="s">
        <v>342</v>
      </c>
      <c r="V5" s="15">
        <f>COUNTIFS('Q1'!AN:AN,"Suffolk",'Q1'!AV:AV,"No, but I did in the past")</f>
        <v>6</v>
      </c>
      <c r="AE5" s="38" t="s">
        <v>390</v>
      </c>
      <c r="AF5" s="47">
        <f>COUNTIFS('Q1'!AN:AN,"Suffolk",'Q1'!AW:AW,"Medicaid,Medicare,Private/Commercial")</f>
        <v>0</v>
      </c>
      <c r="AO5" s="42" t="s">
        <v>330</v>
      </c>
      <c r="AP5" s="43">
        <f>SUM(AP3:AP4)</f>
        <v>146</v>
      </c>
    </row>
    <row r="6" spans="1:42" ht="16.5" thickBot="1">
      <c r="A6" s="38" t="s">
        <v>107</v>
      </c>
      <c r="B6" s="47">
        <f>COUNTIFS('Q1'!AN:AN,"Suffolk",'Q1'!AL:AL,"Other")</f>
        <v>0</v>
      </c>
      <c r="C6" s="51"/>
      <c r="D6" s="51"/>
      <c r="E6" s="51"/>
      <c r="F6" s="51"/>
      <c r="G6" s="51"/>
      <c r="H6" s="51"/>
      <c r="I6" s="51"/>
      <c r="J6" s="51"/>
      <c r="K6" s="38" t="s">
        <v>338</v>
      </c>
      <c r="L6" s="47">
        <f>COUNTIFS('Q1'!AN:AN,"Suffolk",'Q1'!AM:AM,"&gt;44",'Q1'!AM:AM,"&lt;55")</f>
        <v>70</v>
      </c>
      <c r="U6" s="42" t="s">
        <v>330</v>
      </c>
      <c r="V6" s="43">
        <f>SUM(V3:V5)</f>
        <v>329</v>
      </c>
      <c r="AE6" s="38" t="s">
        <v>392</v>
      </c>
      <c r="AF6" s="47">
        <f>COUNTIFS('Q1'!AN:AN,"Suffolk",'Q1'!AW:AW,"Medicaid,Private/Commercial")</f>
        <v>0</v>
      </c>
      <c r="AO6" s="42" t="s">
        <v>331</v>
      </c>
      <c r="AP6" s="41">
        <f>AP5/353</f>
        <v>0.41359773371104813</v>
      </c>
    </row>
    <row r="7" spans="1:42" ht="16.5" thickBot="1">
      <c r="A7" s="42" t="s">
        <v>330</v>
      </c>
      <c r="B7" s="50">
        <f>SUM(B3:B6)</f>
        <v>348</v>
      </c>
      <c r="C7" s="51"/>
      <c r="D7" s="51"/>
      <c r="E7" s="51"/>
      <c r="F7" s="51"/>
      <c r="G7" s="51"/>
      <c r="H7" s="51"/>
      <c r="I7" s="51"/>
      <c r="J7" s="51"/>
      <c r="K7" s="45" t="s">
        <v>339</v>
      </c>
      <c r="L7" s="47">
        <f>COUNTIFS('Q1'!AN:AN,"Suffolk",'Q1'!AM:AM,"&gt;54",'Q1'!AM:AM,"&lt;65")</f>
        <v>34</v>
      </c>
      <c r="U7" s="42" t="s">
        <v>331</v>
      </c>
      <c r="V7" s="41">
        <f>V6/353</f>
        <v>0.93201133144475923</v>
      </c>
      <c r="AE7" s="38" t="s">
        <v>385</v>
      </c>
      <c r="AF7" s="47">
        <f>COUNTIFS('Q1'!AN:AN,"Suffolk",'Q1'!AW:AW,"Medicaid")</f>
        <v>15</v>
      </c>
    </row>
    <row r="8" spans="1:42" ht="16.5" thickBot="1">
      <c r="A8" s="59" t="s">
        <v>331</v>
      </c>
      <c r="B8" s="56">
        <f>B7/353</f>
        <v>0.98583569405099147</v>
      </c>
      <c r="C8" s="51"/>
      <c r="D8" s="51"/>
      <c r="E8" s="51"/>
      <c r="F8" s="51"/>
      <c r="G8" s="51"/>
      <c r="H8" s="51"/>
      <c r="I8" s="51"/>
      <c r="J8" s="51"/>
      <c r="K8" s="38" t="s">
        <v>340</v>
      </c>
      <c r="L8" s="47">
        <f>COUNTIFS('Q1'!AN:AN,"Suffolk",'Q1'!AM:AM,"&gt;64")</f>
        <v>17</v>
      </c>
      <c r="U8" s="198" t="s">
        <v>410</v>
      </c>
      <c r="V8" s="198"/>
      <c r="AE8" s="38" t="s">
        <v>389</v>
      </c>
      <c r="AF8" s="47">
        <f>COUNTIFS('Q1'!AN:AN,"Suffolk",'Q1'!AW:AW,"Medicare,No Insurance")</f>
        <v>0</v>
      </c>
    </row>
    <row r="9" spans="1:42" ht="16.5" thickBot="1">
      <c r="A9" s="51"/>
      <c r="B9" s="51"/>
      <c r="C9" s="51"/>
      <c r="D9" s="51"/>
      <c r="E9" s="51"/>
      <c r="F9" s="51"/>
      <c r="G9" s="51"/>
      <c r="H9" s="51"/>
      <c r="I9" s="51"/>
      <c r="J9" s="51"/>
      <c r="K9" s="42" t="s">
        <v>330</v>
      </c>
      <c r="L9" s="50">
        <f>SUM(L3:L8)</f>
        <v>255</v>
      </c>
      <c r="AE9" s="38" t="s">
        <v>386</v>
      </c>
      <c r="AF9" s="47">
        <f>COUNTIFS('Q1'!AN:AN,"Suffolk",'Q1'!AW:AW,"Medicare,Private/Commercial")</f>
        <v>10</v>
      </c>
    </row>
    <row r="10" spans="1:42" ht="16.5" thickBot="1">
      <c r="A10" s="51"/>
      <c r="B10" s="51"/>
      <c r="C10" s="51"/>
      <c r="D10" s="51"/>
      <c r="E10" s="51"/>
      <c r="F10" s="51"/>
      <c r="G10" s="51"/>
      <c r="H10" s="51"/>
      <c r="I10" s="51"/>
      <c r="J10" s="51"/>
      <c r="K10" s="40" t="s">
        <v>331</v>
      </c>
      <c r="L10" s="41">
        <f>L9/353</f>
        <v>0.72237960339943341</v>
      </c>
      <c r="AE10" s="38" t="s">
        <v>296</v>
      </c>
      <c r="AF10" s="47">
        <f>COUNTIFS('Q1'!AN:AN,"Suffolk",'Q1'!AW:AW,"No Insurance")</f>
        <v>8</v>
      </c>
    </row>
    <row r="11" spans="1:42" ht="16.5" thickBot="1">
      <c r="A11" s="51"/>
      <c r="B11" s="51"/>
      <c r="C11" s="51"/>
      <c r="D11" s="51"/>
      <c r="E11" s="51"/>
      <c r="F11" s="51"/>
      <c r="G11" s="51"/>
      <c r="H11" s="51"/>
      <c r="I11" s="51"/>
      <c r="J11" s="51"/>
      <c r="K11" s="51"/>
      <c r="L11" s="51"/>
      <c r="AE11" s="38" t="s">
        <v>384</v>
      </c>
      <c r="AF11" s="47">
        <f>COUNTIFS('Q1'!AN:AN,"Suffolk",'Q1'!AW:AW,"Private/Commercial")</f>
        <v>116</v>
      </c>
    </row>
    <row r="12" spans="1:42" ht="16.5" thickBot="1">
      <c r="A12" s="51"/>
      <c r="B12" s="51"/>
      <c r="C12" s="51"/>
      <c r="D12" s="51"/>
      <c r="E12" s="51"/>
      <c r="F12" s="51"/>
      <c r="G12" s="51"/>
      <c r="H12" s="51"/>
      <c r="I12" s="51"/>
      <c r="J12" s="51"/>
      <c r="K12" s="51"/>
      <c r="L12" s="51"/>
      <c r="AE12" s="42" t="s">
        <v>330</v>
      </c>
      <c r="AF12" s="50">
        <f>SUM(AF3:AF11)</f>
        <v>165</v>
      </c>
    </row>
    <row r="13" spans="1:42" ht="16.5" thickBot="1">
      <c r="A13" s="51"/>
      <c r="B13" s="51"/>
      <c r="C13" s="51"/>
      <c r="D13" s="51"/>
      <c r="E13" s="51"/>
      <c r="F13" s="51"/>
      <c r="G13" s="51"/>
      <c r="H13" s="51"/>
      <c r="I13" s="51"/>
      <c r="J13" s="51"/>
      <c r="K13" s="51"/>
      <c r="L13" s="51"/>
      <c r="AE13" s="42" t="s">
        <v>331</v>
      </c>
      <c r="AF13" s="41">
        <f>AF12/353</f>
        <v>0.46742209631728043</v>
      </c>
    </row>
    <row r="14" spans="1:42" ht="16">
      <c r="A14" s="51"/>
      <c r="B14" s="51"/>
      <c r="C14" s="51"/>
      <c r="D14" s="51"/>
      <c r="E14" s="51"/>
      <c r="F14" s="51"/>
      <c r="G14" s="51"/>
      <c r="H14" s="51"/>
      <c r="I14" s="51"/>
      <c r="J14" s="51"/>
      <c r="K14" s="51"/>
      <c r="L14" s="51"/>
    </row>
    <row r="15" spans="1:42" ht="16">
      <c r="A15" s="51"/>
      <c r="B15" s="51"/>
      <c r="C15" s="51"/>
      <c r="D15" s="51"/>
      <c r="E15" s="51"/>
      <c r="F15" s="51"/>
      <c r="G15" s="51"/>
      <c r="H15" s="51"/>
      <c r="I15" s="51"/>
      <c r="J15" s="51"/>
      <c r="K15" s="51"/>
      <c r="L15" s="51"/>
    </row>
    <row r="16" spans="1:42" ht="16">
      <c r="A16" s="51"/>
      <c r="B16" s="51"/>
      <c r="C16" s="51"/>
      <c r="D16" s="51"/>
      <c r="E16" s="51"/>
      <c r="F16" s="51"/>
      <c r="G16" s="51"/>
      <c r="H16" s="51"/>
      <c r="I16" s="51"/>
      <c r="J16" s="51"/>
      <c r="K16" s="51"/>
      <c r="L16" s="51"/>
    </row>
    <row r="17" spans="1:32" ht="16">
      <c r="A17" s="51"/>
      <c r="B17" s="51"/>
      <c r="C17" s="51"/>
      <c r="D17" s="51"/>
      <c r="E17" s="51"/>
      <c r="F17" s="51"/>
      <c r="G17" s="51"/>
      <c r="H17" s="51"/>
      <c r="I17" s="51"/>
      <c r="J17" s="51"/>
      <c r="K17" s="51"/>
      <c r="L17" s="51"/>
    </row>
    <row r="18" spans="1:32" ht="16">
      <c r="A18" s="193" t="s">
        <v>332</v>
      </c>
      <c r="B18" s="199"/>
      <c r="C18" s="51"/>
      <c r="D18" s="51"/>
      <c r="E18" s="51"/>
      <c r="F18" s="51"/>
      <c r="G18" s="51"/>
      <c r="H18" s="51"/>
      <c r="I18" s="51"/>
      <c r="J18" s="51"/>
      <c r="K18" s="193" t="s">
        <v>344</v>
      </c>
      <c r="L18" s="194"/>
      <c r="U18" s="193" t="s">
        <v>343</v>
      </c>
      <c r="V18" s="194"/>
      <c r="AE18" s="193" t="s">
        <v>349</v>
      </c>
      <c r="AF18" s="199"/>
    </row>
    <row r="19" spans="1:32" ht="16">
      <c r="A19" s="54" t="s">
        <v>87</v>
      </c>
      <c r="B19" s="52">
        <f>COUNTIFS('Q1'!AN:AN,"Suffolk",'Q1'!AS:AS,"$0-$19,999")</f>
        <v>15</v>
      </c>
      <c r="C19" s="51"/>
      <c r="D19" s="51"/>
      <c r="E19" s="51"/>
      <c r="F19" s="51"/>
      <c r="G19" s="51"/>
      <c r="H19" s="51"/>
      <c r="I19" s="51"/>
      <c r="J19" s="51"/>
      <c r="K19" s="38" t="s">
        <v>345</v>
      </c>
      <c r="L19" s="47">
        <f>COUNTIFS('Q1'!AN:AN,"Suffolk",'Q1'!AU:AU,"Employed for wages")</f>
        <v>185</v>
      </c>
      <c r="U19" s="46" t="s">
        <v>418</v>
      </c>
      <c r="V19" s="47">
        <f>COUNTIFS('Q1'!AN:AN,"Suffolk",'Q1'!AP:AP,"White")</f>
        <v>254</v>
      </c>
      <c r="AE19" s="44" t="s">
        <v>350</v>
      </c>
      <c r="AF19" s="52">
        <f>COUNTIFS('Q1'!AN:AN,"Suffolk",'Q1'!AT:AT,"K-8 grade")</f>
        <v>2</v>
      </c>
    </row>
    <row r="20" spans="1:32" ht="16">
      <c r="A20" s="46" t="s">
        <v>90</v>
      </c>
      <c r="B20" s="47">
        <f>COUNTIFS('Q1'!AN:AN,"Suffolk",'Q1'!AS:AS,"$20,000 to $34,999")</f>
        <v>21</v>
      </c>
      <c r="C20" s="51"/>
      <c r="D20" s="51"/>
      <c r="E20" s="51"/>
      <c r="F20" s="51"/>
      <c r="G20" s="51"/>
      <c r="H20" s="51"/>
      <c r="I20" s="51"/>
      <c r="J20" s="51"/>
      <c r="K20" s="38" t="s">
        <v>105</v>
      </c>
      <c r="L20" s="47">
        <f>COUNTIFS('Q1'!AN:AN,"Suffolk",'Q1'!AU:AU,"Self-employed")</f>
        <v>30</v>
      </c>
      <c r="U20" s="46" t="s">
        <v>91</v>
      </c>
      <c r="V20" s="47">
        <f>COUNTIFS('Q1'!AN:AN,"Suffolk",'Q1'!AP:AP,"Black or African American")</f>
        <v>8</v>
      </c>
      <c r="AE20" s="38" t="s">
        <v>104</v>
      </c>
      <c r="AF20" s="47">
        <f>COUNTIFS('Q1'!AN:AN,"Suffolk",'Q1'!AT:AT,"Some high school")</f>
        <v>36</v>
      </c>
    </row>
    <row r="21" spans="1:32" ht="16">
      <c r="A21" s="46" t="s">
        <v>97</v>
      </c>
      <c r="B21" s="47">
        <f>COUNTIFS('Q1'!AN:AN,"Suffolk",'Q1'!AS:AS,"$35,000 to $49,999")</f>
        <v>24</v>
      </c>
      <c r="C21" s="51"/>
      <c r="D21" s="51"/>
      <c r="E21" s="51"/>
      <c r="F21" s="51"/>
      <c r="G21" s="51"/>
      <c r="H21" s="51"/>
      <c r="I21" s="51"/>
      <c r="J21" s="51"/>
      <c r="K21" s="38" t="s">
        <v>89</v>
      </c>
      <c r="L21" s="47">
        <f>COUNTIFS('Q1'!AN:AN,"Suffolk",'Q1'!AU:AU,"Student")</f>
        <v>49</v>
      </c>
      <c r="U21" s="46" t="s">
        <v>439</v>
      </c>
      <c r="V21" s="47">
        <f>COUNTIFS('Q1'!AN:AN,"Suffolk",'Q1'!AP:AP,"Native Hawaiian and Other Pacific Islander")</f>
        <v>13</v>
      </c>
      <c r="AE21" s="38" t="s">
        <v>95</v>
      </c>
      <c r="AF21" s="47">
        <f>COUNTIFS('Q1'!AN:AN,"Suffolk",'Q1'!AT:AT,"High school graduate")</f>
        <v>52</v>
      </c>
    </row>
    <row r="22" spans="1:32" ht="16">
      <c r="A22" s="46" t="s">
        <v>93</v>
      </c>
      <c r="B22" s="47">
        <f>COUNTIFS('Q1'!AN:AN,"Suffolk",'Q1'!AS:AS,"$50,000 to $74,999")</f>
        <v>50</v>
      </c>
      <c r="C22" s="51"/>
      <c r="D22" s="51"/>
      <c r="E22" s="51"/>
      <c r="F22" s="51"/>
      <c r="G22" s="51"/>
      <c r="H22" s="51"/>
      <c r="I22" s="51"/>
      <c r="J22" s="51"/>
      <c r="K22" s="38" t="s">
        <v>99</v>
      </c>
      <c r="L22" s="47">
        <f>COUNTIFS('Q1'!AN:AN,"Suffolk",'Q1'!AU:AU,"retired")</f>
        <v>42</v>
      </c>
      <c r="U22" s="46" t="s">
        <v>436</v>
      </c>
      <c r="V22" s="47">
        <f>COUNTIFS('Q1'!AN:AN,"Suffolk",'Q1'!AP:AP,"American Indian and Alaska Native")</f>
        <v>21</v>
      </c>
      <c r="AE22" s="38" t="s">
        <v>102</v>
      </c>
      <c r="AF22" s="47">
        <f>COUNTIFS('Q1'!AN:AN,"Suffolk",'Q1'!AT:AT,"Technical school")</f>
        <v>13</v>
      </c>
    </row>
    <row r="23" spans="1:32" ht="16">
      <c r="A23" s="46" t="s">
        <v>94</v>
      </c>
      <c r="B23" s="47">
        <f>COUNTIFS('Q1'!AN:AN,"Suffolk",'Q1'!AS:AS,"$75,000 to $125,000")</f>
        <v>74</v>
      </c>
      <c r="C23" s="51"/>
      <c r="D23" s="51"/>
      <c r="E23" s="51"/>
      <c r="F23" s="51"/>
      <c r="G23" s="51"/>
      <c r="H23" s="51"/>
      <c r="I23" s="51"/>
      <c r="J23" s="51"/>
      <c r="K23" s="38" t="s">
        <v>346</v>
      </c>
      <c r="L23" s="47">
        <f>COUNTIFS('Q1'!AN:AN,"Suffolk",'Q1'!AU:AU,"Military")</f>
        <v>0</v>
      </c>
      <c r="U23" s="46" t="s">
        <v>100</v>
      </c>
      <c r="V23" s="47">
        <f>COUNTIFS('Q1'!AN:AN,"Suffolk",'Q1'!AP:AP,"Two or more races")</f>
        <v>7</v>
      </c>
      <c r="AE23" s="38" t="s">
        <v>88</v>
      </c>
      <c r="AF23" s="47">
        <f>COUNTIFS('Q1'!AN:AN,"Suffolk",'Q1'!AT:AT,"Some college")</f>
        <v>59</v>
      </c>
    </row>
    <row r="24" spans="1:32" ht="16.5" thickBot="1">
      <c r="A24" s="46" t="s">
        <v>83</v>
      </c>
      <c r="B24" s="47">
        <f>COUNTIFS('Q1'!AN:AN,"Suffolk",'Q1'!AS:AS,"Over $125,000")</f>
        <v>150</v>
      </c>
      <c r="C24" s="51"/>
      <c r="D24" s="51"/>
      <c r="E24" s="51"/>
      <c r="F24" s="51"/>
      <c r="G24" s="51"/>
      <c r="H24" s="51"/>
      <c r="I24" s="51"/>
      <c r="J24" s="51"/>
      <c r="K24" s="38" t="s">
        <v>347</v>
      </c>
      <c r="L24" s="47">
        <f>COUNTIFS('Q1'!AN:AN,"Suffolk",'Q1'!AU:AU,"Out of work and looking for work")</f>
        <v>13</v>
      </c>
      <c r="U24" s="48" t="s">
        <v>107</v>
      </c>
      <c r="V24" s="47">
        <f>COUNTIFS('Q1'!AN:AN,"Suffolk",'Q1'!AP:AP,"Other (please specify)")</f>
        <v>8</v>
      </c>
      <c r="AE24" s="38" t="s">
        <v>84</v>
      </c>
      <c r="AF24" s="47">
        <f>COUNTIFS('Q1'!AN:AN,"Suffolk",'Q1'!AT:AT,"College graduate")</f>
        <v>99</v>
      </c>
    </row>
    <row r="25" spans="1:32" ht="16.5" thickBot="1">
      <c r="A25" s="42" t="s">
        <v>330</v>
      </c>
      <c r="B25" s="50">
        <f>SUM(B19:B24)</f>
        <v>334</v>
      </c>
      <c r="C25" s="51"/>
      <c r="D25" s="51"/>
      <c r="E25" s="51"/>
      <c r="F25" s="51"/>
      <c r="G25" s="51"/>
      <c r="H25" s="51"/>
      <c r="I25" s="51"/>
      <c r="J25" s="51"/>
      <c r="K25" s="38" t="s">
        <v>348</v>
      </c>
      <c r="L25" s="47">
        <f>COUNTIFS('Q1'!AN:AN,"Suffolk",'Q1'!AU:AU,"Out of work, but not currently looking")</f>
        <v>13</v>
      </c>
      <c r="U25" s="49" t="s">
        <v>330</v>
      </c>
      <c r="V25" s="50">
        <f>SUM(V19:V24)</f>
        <v>311</v>
      </c>
      <c r="AE25" s="38" t="s">
        <v>103</v>
      </c>
      <c r="AF25" s="47">
        <f>COUNTIFS('Q1'!AN:AN,"Suffok",'Q1'!AT:AT,"Graduate school")</f>
        <v>0</v>
      </c>
    </row>
    <row r="26" spans="1:32" ht="16.5" thickBot="1">
      <c r="A26" s="42" t="s">
        <v>331</v>
      </c>
      <c r="B26" s="41">
        <f>B25/353</f>
        <v>0.94617563739376775</v>
      </c>
      <c r="C26" s="51"/>
      <c r="D26" s="51"/>
      <c r="E26" s="51"/>
      <c r="F26" s="51"/>
      <c r="G26" s="51"/>
      <c r="H26" s="51"/>
      <c r="I26" s="51"/>
      <c r="J26" s="51"/>
      <c r="K26" s="42" t="s">
        <v>330</v>
      </c>
      <c r="L26" s="50">
        <f>SUM(L19:L25)</f>
        <v>332</v>
      </c>
      <c r="U26" s="49" t="s">
        <v>331</v>
      </c>
      <c r="V26" s="41">
        <f>V25/353</f>
        <v>0.88101983002832862</v>
      </c>
      <c r="AE26" s="38" t="s">
        <v>111</v>
      </c>
      <c r="AF26" s="47">
        <f>COUNTIFS('Q1'!AN:AN,"Suffolk",'Q1'!AT:AT,"Doctorate")</f>
        <v>16</v>
      </c>
    </row>
    <row r="27" spans="1:32" ht="16.5" customHeight="1" thickBot="1">
      <c r="A27" s="196" t="s">
        <v>412</v>
      </c>
      <c r="B27" s="196"/>
      <c r="C27" s="51"/>
      <c r="D27" s="51"/>
      <c r="E27" s="51"/>
      <c r="F27" s="51"/>
      <c r="G27" s="51"/>
      <c r="H27" s="51"/>
      <c r="I27" s="51"/>
      <c r="J27" s="51"/>
      <c r="K27" s="55" t="s">
        <v>331</v>
      </c>
      <c r="L27" s="56">
        <f>L26/353</f>
        <v>0.94050991501416425</v>
      </c>
      <c r="U27" s="192" t="s">
        <v>529</v>
      </c>
      <c r="V27" s="192"/>
      <c r="AE27" s="38" t="s">
        <v>109</v>
      </c>
      <c r="AF27" s="47">
        <f>COUNTIFS('Q1'!AN:AN,"Suffolk",'Q1'!AT:AT,"GED")</f>
        <v>0</v>
      </c>
    </row>
    <row r="28" spans="1:32" ht="16.5" thickBot="1">
      <c r="A28" s="197"/>
      <c r="B28" s="197"/>
      <c r="C28" s="51"/>
      <c r="D28" s="51"/>
      <c r="E28" s="51"/>
      <c r="F28" s="51"/>
      <c r="G28" s="51"/>
      <c r="H28" s="51"/>
      <c r="I28" s="51"/>
      <c r="J28" s="51"/>
      <c r="K28" s="51"/>
      <c r="L28" s="51"/>
      <c r="U28" s="118">
        <f>COUNTIFS('Q1'!AN:AN,"Suffolk",'Q1'!AQ:AQ,"Yes")/353</f>
        <v>0</v>
      </c>
      <c r="AE28" s="38" t="s">
        <v>140</v>
      </c>
      <c r="AF28" s="58">
        <f>COUNTIFS('Q1'!AN:AN,"Suffolk",'Q1'!AT:AT,"None")</f>
        <v>0</v>
      </c>
    </row>
    <row r="29" spans="1:32" ht="16.5" thickBot="1">
      <c r="A29" s="51"/>
      <c r="B29" s="51"/>
      <c r="C29" s="51"/>
      <c r="D29" s="51"/>
      <c r="E29" s="51"/>
      <c r="F29" s="51"/>
      <c r="G29" s="51"/>
      <c r="H29" s="51"/>
      <c r="I29" s="51"/>
      <c r="J29" s="51"/>
      <c r="K29" s="51"/>
      <c r="L29" s="51"/>
      <c r="AE29" s="42" t="s">
        <v>330</v>
      </c>
      <c r="AF29" s="50">
        <f>SUM(AF19:AF28)</f>
        <v>277</v>
      </c>
    </row>
    <row r="30" spans="1:32" ht="16.5" thickBot="1">
      <c r="AE30" s="42" t="s">
        <v>331</v>
      </c>
      <c r="AF30" s="41">
        <f>AF29/353</f>
        <v>0.7847025495750708</v>
      </c>
    </row>
  </sheetData>
  <mergeCells count="13">
    <mergeCell ref="AO2:AP2"/>
    <mergeCell ref="U27:V27"/>
    <mergeCell ref="AE18:AF18"/>
    <mergeCell ref="A1:AF1"/>
    <mergeCell ref="A2:B2"/>
    <mergeCell ref="A18:B18"/>
    <mergeCell ref="A27:B28"/>
    <mergeCell ref="K2:L2"/>
    <mergeCell ref="K18:L18"/>
    <mergeCell ref="U2:V2"/>
    <mergeCell ref="U8:V8"/>
    <mergeCell ref="U18:V18"/>
    <mergeCell ref="AE2:AF2"/>
  </mergeCells>
  <pageMargins left="0.7" right="0.7" top="0.75" bottom="0.75" header="0.3" footer="0.3"/>
  <pageSetup orientation="portrait" horizontalDpi="200"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70"/>
  <sheetViews>
    <sheetView workbookViewId="0">
      <selection activeCell="A2" sqref="A2"/>
    </sheetView>
  </sheetViews>
  <sheetFormatPr defaultRowHeight="14.5"/>
  <cols>
    <col min="2" max="2" width="24.81640625" customWidth="1"/>
    <col min="3" max="3" width="16.54296875" customWidth="1"/>
    <col min="4" max="4" width="7.453125" style="5" customWidth="1"/>
    <col min="5" max="5" width="6.81640625" customWidth="1"/>
    <col min="6" max="6" width="11.26953125" customWidth="1"/>
    <col min="7" max="7" width="12.36328125" customWidth="1"/>
    <col min="8" max="8" width="8.08984375" customWidth="1"/>
    <col min="9" max="9" width="6.81640625" customWidth="1"/>
    <col min="10" max="10" width="20.453125" customWidth="1"/>
    <col min="11" max="11" width="28" bestFit="1" customWidth="1"/>
    <col min="12" max="12" width="26.90625" customWidth="1"/>
    <col min="13" max="13" width="10.36328125" customWidth="1"/>
    <col min="14" max="14" width="10.08984375" customWidth="1"/>
    <col min="15" max="15" width="16.7265625" customWidth="1"/>
    <col min="16" max="16" width="23.54296875" bestFit="1" customWidth="1"/>
    <col min="17" max="17" width="23.54296875" customWidth="1"/>
    <col min="18" max="18" width="23.453125" customWidth="1"/>
    <col min="19" max="19" width="24.54296875" bestFit="1" customWidth="1"/>
    <col min="20" max="20" width="19.6328125" customWidth="1"/>
    <col min="21" max="21" width="9" customWidth="1"/>
    <col min="22" max="25" width="11.08984375" customWidth="1"/>
    <col min="26" max="26" width="7.36328125" customWidth="1"/>
    <col min="27" max="27" width="9.08984375" customWidth="1"/>
    <col min="28" max="28" width="10.453125" customWidth="1"/>
    <col min="29" max="29" width="15.6328125" customWidth="1"/>
    <col min="30" max="30" width="6.81640625" customWidth="1"/>
    <col min="31" max="31" width="11.90625" customWidth="1"/>
    <col min="32" max="32" width="14.54296875" customWidth="1"/>
    <col min="33" max="33" width="14.7265625" customWidth="1"/>
    <col min="34" max="34" width="9.26953125" customWidth="1"/>
    <col min="35" max="35" width="4.81640625" customWidth="1"/>
    <col min="36" max="36" width="18.1796875" bestFit="1" customWidth="1"/>
    <col min="37" max="37" width="12.7265625" customWidth="1"/>
    <col min="38" max="38" width="7.453125" customWidth="1"/>
    <col min="39" max="39" width="6.90625" customWidth="1"/>
    <col min="40" max="40" width="7.26953125" customWidth="1"/>
    <col min="41" max="41" width="22.08984375" bestFit="1" customWidth="1"/>
    <col min="42" max="42" width="22" bestFit="1" customWidth="1"/>
    <col min="43" max="43" width="18.453125" customWidth="1"/>
    <col min="44" max="44" width="18" customWidth="1"/>
    <col min="45" max="45" width="24.7265625" customWidth="1"/>
    <col min="46" max="46" width="8.6328125" customWidth="1"/>
    <col min="47" max="47" width="8.453125" customWidth="1"/>
    <col min="48" max="48" width="17.6328125" customWidth="1"/>
    <col min="49" max="49" width="10.7265625" customWidth="1"/>
  </cols>
  <sheetData>
    <row r="1" spans="1:56" ht="23.5">
      <c r="A1" s="209" t="s">
        <v>587</v>
      </c>
    </row>
    <row r="12" spans="1:56" ht="16.5" thickBot="1">
      <c r="B12" s="202" t="s">
        <v>544</v>
      </c>
      <c r="C12" s="202"/>
      <c r="AV12" s="151"/>
      <c r="AW12" s="151"/>
      <c r="AX12" s="151"/>
      <c r="AY12" s="151"/>
      <c r="AZ12" s="151"/>
      <c r="BA12" s="151"/>
      <c r="BB12" s="151"/>
    </row>
    <row r="13" spans="1:56" ht="15" thickBot="1">
      <c r="A13" s="5"/>
      <c r="B13" s="5"/>
      <c r="D13" s="189" t="s">
        <v>547</v>
      </c>
      <c r="E13" s="190"/>
      <c r="F13" s="190"/>
      <c r="G13" s="191"/>
      <c r="H13" s="206" t="s">
        <v>548</v>
      </c>
      <c r="I13" s="189" t="s">
        <v>549</v>
      </c>
      <c r="J13" s="190"/>
      <c r="K13" s="190"/>
      <c r="L13" s="190"/>
      <c r="M13" s="190"/>
      <c r="N13" s="191"/>
      <c r="O13" s="189" t="s">
        <v>550</v>
      </c>
      <c r="P13" s="190"/>
      <c r="Q13" s="190"/>
      <c r="R13" s="190"/>
      <c r="S13" s="190"/>
      <c r="T13" s="191"/>
      <c r="U13" s="189" t="s">
        <v>551</v>
      </c>
      <c r="V13" s="190"/>
      <c r="W13" s="190"/>
      <c r="X13" s="190"/>
      <c r="Y13" s="190"/>
      <c r="Z13" s="191"/>
      <c r="AA13" s="189" t="s">
        <v>552</v>
      </c>
      <c r="AB13" s="190"/>
      <c r="AC13" s="190"/>
      <c r="AD13" s="190"/>
      <c r="AE13" s="190"/>
      <c r="AF13" s="190"/>
      <c r="AG13" s="190"/>
      <c r="AH13" s="190"/>
      <c r="AI13" s="191"/>
      <c r="AJ13" s="189" t="s">
        <v>553</v>
      </c>
      <c r="AK13" s="190"/>
      <c r="AL13" s="190"/>
      <c r="AM13" s="190"/>
      <c r="AN13" s="190"/>
      <c r="AO13" s="190"/>
      <c r="AP13" s="191"/>
      <c r="AQ13" s="189" t="s">
        <v>554</v>
      </c>
      <c r="AR13" s="190"/>
      <c r="AS13" s="191"/>
      <c r="AT13" s="189" t="s">
        <v>411</v>
      </c>
      <c r="AU13" s="190"/>
      <c r="AV13" s="190"/>
      <c r="AW13" s="191"/>
      <c r="AX13" s="204"/>
      <c r="AY13" s="204"/>
      <c r="AZ13" s="204"/>
      <c r="BA13" s="204"/>
      <c r="BB13" s="204"/>
      <c r="BC13" s="204"/>
      <c r="BD13" s="205"/>
    </row>
    <row r="14" spans="1:56">
      <c r="B14" s="207" t="s">
        <v>586</v>
      </c>
      <c r="C14" s="5" t="s">
        <v>585</v>
      </c>
      <c r="D14" s="5" t="s">
        <v>417</v>
      </c>
      <c r="E14" s="5" t="s">
        <v>414</v>
      </c>
      <c r="F14" s="5" t="s">
        <v>434</v>
      </c>
      <c r="G14" s="5" t="s">
        <v>555</v>
      </c>
      <c r="H14" s="5" t="s">
        <v>548</v>
      </c>
      <c r="I14" s="5" t="s">
        <v>418</v>
      </c>
      <c r="J14" s="5" t="s">
        <v>91</v>
      </c>
      <c r="K14" s="5" t="s">
        <v>556</v>
      </c>
      <c r="L14" s="5" t="s">
        <v>557</v>
      </c>
      <c r="M14" s="5" t="s">
        <v>100</v>
      </c>
      <c r="N14" s="5" t="s">
        <v>558</v>
      </c>
      <c r="O14" s="5" t="s">
        <v>559</v>
      </c>
      <c r="P14" s="5" t="s">
        <v>560</v>
      </c>
      <c r="Q14" s="5" t="s">
        <v>561</v>
      </c>
      <c r="R14" s="5" t="s">
        <v>562</v>
      </c>
      <c r="S14" s="5" t="s">
        <v>563</v>
      </c>
      <c r="T14" s="5" t="s">
        <v>564</v>
      </c>
      <c r="U14" s="5" t="s">
        <v>565</v>
      </c>
      <c r="V14" s="5" t="s">
        <v>566</v>
      </c>
      <c r="W14" s="5" t="s">
        <v>567</v>
      </c>
      <c r="X14" s="5" t="s">
        <v>568</v>
      </c>
      <c r="Y14" s="5" t="s">
        <v>569</v>
      </c>
      <c r="Z14" s="5" t="s">
        <v>570</v>
      </c>
      <c r="AA14" s="5" t="s">
        <v>571</v>
      </c>
      <c r="AB14" s="5" t="s">
        <v>572</v>
      </c>
      <c r="AC14" s="5" t="s">
        <v>573</v>
      </c>
      <c r="AD14" s="5" t="s">
        <v>574</v>
      </c>
      <c r="AE14" s="5" t="s">
        <v>575</v>
      </c>
      <c r="AF14" s="5" t="s">
        <v>576</v>
      </c>
      <c r="AG14" s="5" t="s">
        <v>577</v>
      </c>
      <c r="AH14" s="5" t="s">
        <v>111</v>
      </c>
      <c r="AI14" s="5" t="s">
        <v>109</v>
      </c>
      <c r="AJ14" s="5" t="s">
        <v>345</v>
      </c>
      <c r="AK14" s="5" t="s">
        <v>105</v>
      </c>
      <c r="AL14" s="5" t="s">
        <v>89</v>
      </c>
      <c r="AM14" s="5" t="s">
        <v>99</v>
      </c>
      <c r="AN14" s="5" t="s">
        <v>346</v>
      </c>
      <c r="AO14" s="5" t="s">
        <v>578</v>
      </c>
      <c r="AP14" s="5" t="s">
        <v>579</v>
      </c>
      <c r="AQ14" s="5" t="s">
        <v>580</v>
      </c>
      <c r="AR14" s="5" t="s">
        <v>581</v>
      </c>
      <c r="AS14" s="5" t="s">
        <v>582</v>
      </c>
      <c r="AT14" s="5" t="s">
        <v>385</v>
      </c>
      <c r="AU14" s="5" t="s">
        <v>387</v>
      </c>
      <c r="AV14" s="5" t="s">
        <v>583</v>
      </c>
      <c r="AW14" s="5" t="s">
        <v>584</v>
      </c>
      <c r="AX14" s="151"/>
      <c r="AY14" s="151"/>
      <c r="AZ14" s="151"/>
      <c r="BA14" s="151"/>
      <c r="BB14" s="151"/>
    </row>
    <row r="15" spans="1:56">
      <c r="B15" s="91" t="s">
        <v>530</v>
      </c>
      <c r="C15" s="18">
        <v>2</v>
      </c>
      <c r="D15" s="208">
        <v>1</v>
      </c>
      <c r="E15" s="208">
        <v>0</v>
      </c>
      <c r="F15" s="208">
        <v>0</v>
      </c>
      <c r="G15" s="208">
        <v>0</v>
      </c>
      <c r="H15" s="208">
        <v>0.5</v>
      </c>
      <c r="I15" s="208">
        <v>1</v>
      </c>
      <c r="J15" s="208">
        <v>0</v>
      </c>
      <c r="K15" s="208">
        <v>0</v>
      </c>
      <c r="L15" s="208">
        <v>0</v>
      </c>
      <c r="M15" s="208">
        <v>0</v>
      </c>
      <c r="N15" s="208">
        <v>0</v>
      </c>
      <c r="O15" s="208">
        <v>0</v>
      </c>
      <c r="P15" s="208">
        <v>0</v>
      </c>
      <c r="Q15" s="208">
        <v>1</v>
      </c>
      <c r="R15" s="208">
        <v>0</v>
      </c>
      <c r="S15" s="208">
        <v>0</v>
      </c>
      <c r="T15" s="208">
        <v>0</v>
      </c>
      <c r="U15" s="208">
        <v>0</v>
      </c>
      <c r="V15" s="208">
        <v>0.5</v>
      </c>
      <c r="W15" s="208">
        <v>0</v>
      </c>
      <c r="X15" s="208">
        <v>0</v>
      </c>
      <c r="Y15" s="208">
        <v>0.5</v>
      </c>
      <c r="Z15" s="208">
        <v>0</v>
      </c>
      <c r="AA15" s="208">
        <v>0</v>
      </c>
      <c r="AB15" s="208">
        <v>0</v>
      </c>
      <c r="AC15" s="208">
        <v>0.5</v>
      </c>
      <c r="AD15" s="208">
        <v>0.5</v>
      </c>
      <c r="AE15" s="208">
        <v>0</v>
      </c>
      <c r="AF15" s="208">
        <v>0</v>
      </c>
      <c r="AG15" s="208">
        <v>0</v>
      </c>
      <c r="AH15" s="208">
        <v>0</v>
      </c>
      <c r="AI15" s="208">
        <v>0</v>
      </c>
      <c r="AJ15" s="208">
        <v>1</v>
      </c>
      <c r="AK15" s="208">
        <v>0</v>
      </c>
      <c r="AL15" s="208">
        <v>0</v>
      </c>
      <c r="AM15" s="208">
        <v>0</v>
      </c>
      <c r="AN15" s="208">
        <v>0</v>
      </c>
      <c r="AO15" s="208">
        <v>0</v>
      </c>
      <c r="AP15" s="208">
        <v>0</v>
      </c>
      <c r="AQ15" s="208">
        <v>1</v>
      </c>
      <c r="AR15" s="208">
        <v>0</v>
      </c>
      <c r="AS15" s="208">
        <v>0</v>
      </c>
      <c r="AT15" s="208">
        <v>0</v>
      </c>
      <c r="AU15" s="208">
        <v>0.5</v>
      </c>
      <c r="AV15" s="208">
        <v>0</v>
      </c>
      <c r="AW15" s="208">
        <v>0</v>
      </c>
    </row>
    <row r="16" spans="1:56">
      <c r="B16" s="91" t="s">
        <v>531</v>
      </c>
      <c r="C16" s="18">
        <v>1</v>
      </c>
      <c r="D16" s="208">
        <v>0</v>
      </c>
      <c r="E16" s="208">
        <v>1</v>
      </c>
      <c r="F16" s="208">
        <v>0</v>
      </c>
      <c r="G16" s="208">
        <v>0</v>
      </c>
      <c r="H16" s="208">
        <v>1</v>
      </c>
      <c r="I16" s="208">
        <v>0</v>
      </c>
      <c r="J16" s="208">
        <v>0</v>
      </c>
      <c r="K16" s="208">
        <v>1</v>
      </c>
      <c r="L16" s="208">
        <v>0</v>
      </c>
      <c r="M16" s="208">
        <v>0</v>
      </c>
      <c r="N16" s="208">
        <v>0</v>
      </c>
      <c r="O16" s="208">
        <v>0</v>
      </c>
      <c r="P16" s="208">
        <v>1</v>
      </c>
      <c r="Q16" s="208">
        <v>0</v>
      </c>
      <c r="R16" s="208">
        <v>0</v>
      </c>
      <c r="S16" s="208">
        <v>0</v>
      </c>
      <c r="T16" s="208">
        <v>0</v>
      </c>
      <c r="U16" s="208">
        <v>0</v>
      </c>
      <c r="V16" s="208">
        <v>0</v>
      </c>
      <c r="W16" s="208">
        <v>0</v>
      </c>
      <c r="X16" s="208">
        <v>1</v>
      </c>
      <c r="Y16" s="208">
        <v>0</v>
      </c>
      <c r="Z16" s="208">
        <v>0</v>
      </c>
      <c r="AA16" s="208">
        <v>0</v>
      </c>
      <c r="AB16" s="208">
        <v>0</v>
      </c>
      <c r="AC16" s="208">
        <v>0</v>
      </c>
      <c r="AD16" s="208">
        <v>0</v>
      </c>
      <c r="AE16" s="208">
        <v>0</v>
      </c>
      <c r="AF16" s="208">
        <v>0</v>
      </c>
      <c r="AG16" s="208">
        <v>1</v>
      </c>
      <c r="AH16" s="208">
        <v>0</v>
      </c>
      <c r="AI16" s="208">
        <v>0</v>
      </c>
      <c r="AJ16" s="208">
        <v>1</v>
      </c>
      <c r="AK16" s="208">
        <v>0</v>
      </c>
      <c r="AL16" s="208">
        <v>0</v>
      </c>
      <c r="AM16" s="208">
        <v>0</v>
      </c>
      <c r="AN16" s="208">
        <v>0</v>
      </c>
      <c r="AO16" s="208">
        <v>0</v>
      </c>
      <c r="AP16" s="208">
        <v>0</v>
      </c>
      <c r="AQ16" s="208">
        <v>1</v>
      </c>
      <c r="AR16" s="208">
        <v>0</v>
      </c>
      <c r="AS16" s="208">
        <v>0</v>
      </c>
      <c r="AT16" s="208">
        <v>0</v>
      </c>
      <c r="AU16" s="208">
        <v>1</v>
      </c>
      <c r="AV16" s="208">
        <v>0</v>
      </c>
      <c r="AW16" s="208">
        <v>0</v>
      </c>
    </row>
    <row r="17" spans="2:49">
      <c r="B17" s="91" t="s">
        <v>532</v>
      </c>
      <c r="C17" s="18">
        <v>1</v>
      </c>
      <c r="D17" s="208">
        <v>0</v>
      </c>
      <c r="E17" s="208">
        <v>1</v>
      </c>
      <c r="F17" s="208">
        <v>0</v>
      </c>
      <c r="G17" s="208">
        <v>0</v>
      </c>
      <c r="H17" s="208">
        <v>1</v>
      </c>
      <c r="I17" s="208">
        <v>1</v>
      </c>
      <c r="J17" s="208">
        <v>0</v>
      </c>
      <c r="K17" s="208">
        <v>0</v>
      </c>
      <c r="L17" s="208">
        <v>0</v>
      </c>
      <c r="M17" s="208">
        <v>0</v>
      </c>
      <c r="N17" s="208">
        <v>0</v>
      </c>
      <c r="O17" s="208">
        <v>0</v>
      </c>
      <c r="P17" s="208">
        <v>0</v>
      </c>
      <c r="Q17" s="208">
        <v>0</v>
      </c>
      <c r="R17" s="208">
        <v>0</v>
      </c>
      <c r="S17" s="208">
        <v>1</v>
      </c>
      <c r="T17" s="208">
        <v>0</v>
      </c>
      <c r="U17" s="208">
        <v>0</v>
      </c>
      <c r="V17" s="208">
        <v>1</v>
      </c>
      <c r="W17" s="208">
        <v>0</v>
      </c>
      <c r="X17" s="208">
        <v>0</v>
      </c>
      <c r="Y17" s="208">
        <v>0</v>
      </c>
      <c r="Z17" s="208">
        <v>0</v>
      </c>
      <c r="AA17" s="208">
        <v>0</v>
      </c>
      <c r="AB17" s="208">
        <v>0</v>
      </c>
      <c r="AC17" s="208">
        <v>0</v>
      </c>
      <c r="AD17" s="208">
        <v>1</v>
      </c>
      <c r="AE17" s="208">
        <v>0</v>
      </c>
      <c r="AF17" s="208">
        <v>0</v>
      </c>
      <c r="AG17" s="208">
        <v>0</v>
      </c>
      <c r="AH17" s="208">
        <v>0</v>
      </c>
      <c r="AI17" s="208">
        <v>0</v>
      </c>
      <c r="AJ17" s="208">
        <v>1</v>
      </c>
      <c r="AK17" s="208">
        <v>0</v>
      </c>
      <c r="AL17" s="208">
        <v>0</v>
      </c>
      <c r="AM17" s="208">
        <v>0</v>
      </c>
      <c r="AN17" s="208">
        <v>0</v>
      </c>
      <c r="AO17" s="208">
        <v>0</v>
      </c>
      <c r="AP17" s="208">
        <v>0</v>
      </c>
      <c r="AQ17" s="208">
        <v>1</v>
      </c>
      <c r="AR17" s="208">
        <v>0</v>
      </c>
      <c r="AS17" s="208">
        <v>0</v>
      </c>
      <c r="AT17" s="208">
        <v>0</v>
      </c>
      <c r="AU17" s="208">
        <v>0</v>
      </c>
      <c r="AV17" s="208">
        <v>1</v>
      </c>
      <c r="AW17" s="208">
        <v>0</v>
      </c>
    </row>
    <row r="18" spans="2:49">
      <c r="B18" s="91" t="s">
        <v>533</v>
      </c>
      <c r="C18" s="18">
        <v>1</v>
      </c>
      <c r="D18" s="208">
        <v>1</v>
      </c>
      <c r="E18" s="208">
        <v>0</v>
      </c>
      <c r="F18" s="208">
        <v>0</v>
      </c>
      <c r="G18" s="208">
        <v>0</v>
      </c>
      <c r="H18" s="208">
        <v>0</v>
      </c>
      <c r="I18" s="208">
        <v>0</v>
      </c>
      <c r="J18" s="208">
        <v>0</v>
      </c>
      <c r="K18" s="208">
        <v>0</v>
      </c>
      <c r="L18" s="208">
        <v>0</v>
      </c>
      <c r="M18" s="208">
        <v>0</v>
      </c>
      <c r="N18" s="208">
        <v>0</v>
      </c>
      <c r="O18" s="208">
        <v>0</v>
      </c>
      <c r="P18" s="208">
        <v>0</v>
      </c>
      <c r="Q18" s="208">
        <v>0</v>
      </c>
      <c r="R18" s="208">
        <v>0</v>
      </c>
      <c r="S18" s="208">
        <v>1</v>
      </c>
      <c r="T18" s="208">
        <v>0</v>
      </c>
      <c r="U18" s="208">
        <v>0</v>
      </c>
      <c r="V18" s="208">
        <v>0</v>
      </c>
      <c r="W18" s="208">
        <v>1</v>
      </c>
      <c r="X18" s="208">
        <v>0</v>
      </c>
      <c r="Y18" s="208">
        <v>0</v>
      </c>
      <c r="Z18" s="208">
        <v>0</v>
      </c>
      <c r="AA18" s="208">
        <v>0</v>
      </c>
      <c r="AB18" s="208">
        <v>0</v>
      </c>
      <c r="AC18" s="208">
        <v>0</v>
      </c>
      <c r="AD18" s="208">
        <v>1</v>
      </c>
      <c r="AE18" s="208">
        <v>0</v>
      </c>
      <c r="AF18" s="208">
        <v>0</v>
      </c>
      <c r="AG18" s="208">
        <v>0</v>
      </c>
      <c r="AH18" s="208">
        <v>0</v>
      </c>
      <c r="AI18" s="208">
        <v>0</v>
      </c>
      <c r="AJ18" s="208">
        <v>1</v>
      </c>
      <c r="AK18" s="208">
        <v>0</v>
      </c>
      <c r="AL18" s="208">
        <v>0</v>
      </c>
      <c r="AM18" s="208">
        <v>0</v>
      </c>
      <c r="AN18" s="208">
        <v>0</v>
      </c>
      <c r="AO18" s="208">
        <v>0</v>
      </c>
      <c r="AP18" s="208">
        <v>0</v>
      </c>
      <c r="AQ18" s="208">
        <v>0</v>
      </c>
      <c r="AR18" s="208">
        <v>1</v>
      </c>
      <c r="AS18" s="208">
        <v>0</v>
      </c>
      <c r="AT18" s="208">
        <v>0</v>
      </c>
      <c r="AU18" s="208">
        <v>0</v>
      </c>
      <c r="AV18" s="208">
        <v>0</v>
      </c>
      <c r="AW18" s="208">
        <v>0</v>
      </c>
    </row>
    <row r="19" spans="2:49">
      <c r="B19" s="91" t="s">
        <v>534</v>
      </c>
      <c r="C19" s="18">
        <v>1</v>
      </c>
      <c r="D19" s="208">
        <v>0</v>
      </c>
      <c r="E19" s="208">
        <v>1</v>
      </c>
      <c r="F19" s="208">
        <v>0</v>
      </c>
      <c r="G19" s="208">
        <v>0</v>
      </c>
      <c r="H19" s="208">
        <v>1</v>
      </c>
      <c r="I19" s="208">
        <v>0</v>
      </c>
      <c r="J19" s="208">
        <v>0</v>
      </c>
      <c r="K19" s="208">
        <v>0</v>
      </c>
      <c r="L19" s="208">
        <v>0</v>
      </c>
      <c r="M19" s="208">
        <v>0</v>
      </c>
      <c r="N19" s="208">
        <v>0</v>
      </c>
      <c r="O19" s="208">
        <v>0</v>
      </c>
      <c r="P19" s="208">
        <v>0</v>
      </c>
      <c r="Q19" s="208">
        <v>1</v>
      </c>
      <c r="R19" s="208">
        <v>0</v>
      </c>
      <c r="S19" s="208">
        <v>0</v>
      </c>
      <c r="T19" s="208">
        <v>0</v>
      </c>
      <c r="U19" s="208">
        <v>0</v>
      </c>
      <c r="V19" s="208">
        <v>0</v>
      </c>
      <c r="W19" s="208">
        <v>0</v>
      </c>
      <c r="X19" s="208">
        <v>1</v>
      </c>
      <c r="Y19" s="208">
        <v>0</v>
      </c>
      <c r="Z19" s="208">
        <v>0</v>
      </c>
      <c r="AA19" s="208">
        <v>0</v>
      </c>
      <c r="AB19" s="208">
        <v>0</v>
      </c>
      <c r="AC19" s="208">
        <v>1</v>
      </c>
      <c r="AD19" s="208">
        <v>0</v>
      </c>
      <c r="AE19" s="208">
        <v>0</v>
      </c>
      <c r="AF19" s="208">
        <v>0</v>
      </c>
      <c r="AG19" s="208">
        <v>0</v>
      </c>
      <c r="AH19" s="208">
        <v>0</v>
      </c>
      <c r="AI19" s="208">
        <v>0</v>
      </c>
      <c r="AJ19" s="208">
        <v>1</v>
      </c>
      <c r="AK19" s="208">
        <v>0</v>
      </c>
      <c r="AL19" s="208">
        <v>0</v>
      </c>
      <c r="AM19" s="208">
        <v>0</v>
      </c>
      <c r="AN19" s="208">
        <v>0</v>
      </c>
      <c r="AO19" s="208">
        <v>0</v>
      </c>
      <c r="AP19" s="208">
        <v>0</v>
      </c>
      <c r="AQ19" s="208">
        <v>1</v>
      </c>
      <c r="AR19" s="208">
        <v>0</v>
      </c>
      <c r="AS19" s="208">
        <v>0</v>
      </c>
      <c r="AT19" s="208">
        <v>0</v>
      </c>
      <c r="AU19" s="208">
        <v>0</v>
      </c>
      <c r="AV19" s="208">
        <v>1</v>
      </c>
      <c r="AW19" s="208">
        <v>0</v>
      </c>
    </row>
    <row r="20" spans="2:49">
      <c r="B20" s="91" t="s">
        <v>535</v>
      </c>
      <c r="C20" s="18">
        <v>1</v>
      </c>
      <c r="D20" s="208">
        <v>1</v>
      </c>
      <c r="E20" s="208">
        <v>0</v>
      </c>
      <c r="F20" s="208">
        <v>0</v>
      </c>
      <c r="G20" s="208">
        <v>0</v>
      </c>
      <c r="H20" s="208">
        <v>1</v>
      </c>
      <c r="I20" s="208">
        <v>1</v>
      </c>
      <c r="J20" s="208">
        <v>0</v>
      </c>
      <c r="K20" s="208">
        <v>0</v>
      </c>
      <c r="L20" s="208">
        <v>0</v>
      </c>
      <c r="M20" s="208">
        <v>0</v>
      </c>
      <c r="N20" s="208">
        <v>0</v>
      </c>
      <c r="O20" s="208">
        <v>0</v>
      </c>
      <c r="P20" s="208">
        <v>0</v>
      </c>
      <c r="Q20" s="208">
        <v>0</v>
      </c>
      <c r="R20" s="208">
        <v>0</v>
      </c>
      <c r="S20" s="208">
        <v>0</v>
      </c>
      <c r="T20" s="208">
        <v>1</v>
      </c>
      <c r="U20" s="208">
        <v>0</v>
      </c>
      <c r="V20" s="208">
        <v>0</v>
      </c>
      <c r="W20" s="208">
        <v>0</v>
      </c>
      <c r="X20" s="208">
        <v>0</v>
      </c>
      <c r="Y20" s="208">
        <v>0</v>
      </c>
      <c r="Z20" s="208">
        <v>0</v>
      </c>
      <c r="AA20" s="208">
        <v>0</v>
      </c>
      <c r="AB20" s="208">
        <v>0</v>
      </c>
      <c r="AC20" s="208">
        <v>0</v>
      </c>
      <c r="AD20" s="208">
        <v>1</v>
      </c>
      <c r="AE20" s="208">
        <v>0</v>
      </c>
      <c r="AF20" s="208">
        <v>0</v>
      </c>
      <c r="AG20" s="208">
        <v>0</v>
      </c>
      <c r="AH20" s="208">
        <v>0</v>
      </c>
      <c r="AI20" s="208">
        <v>0</v>
      </c>
      <c r="AJ20" s="208">
        <v>1</v>
      </c>
      <c r="AK20" s="208">
        <v>0</v>
      </c>
      <c r="AL20" s="208">
        <v>0</v>
      </c>
      <c r="AM20" s="208">
        <v>0</v>
      </c>
      <c r="AN20" s="208">
        <v>0</v>
      </c>
      <c r="AO20" s="208">
        <v>0</v>
      </c>
      <c r="AP20" s="208">
        <v>0</v>
      </c>
      <c r="AQ20" s="208">
        <v>1</v>
      </c>
      <c r="AR20" s="208">
        <v>0</v>
      </c>
      <c r="AS20" s="208">
        <v>0</v>
      </c>
      <c r="AT20" s="208">
        <v>0</v>
      </c>
      <c r="AU20" s="208">
        <v>0</v>
      </c>
      <c r="AV20" s="208">
        <v>1</v>
      </c>
      <c r="AW20" s="208">
        <v>0</v>
      </c>
    </row>
    <row r="21" spans="2:49">
      <c r="B21" s="91" t="s">
        <v>536</v>
      </c>
      <c r="C21" s="18">
        <v>2</v>
      </c>
      <c r="D21" s="208">
        <v>0.5</v>
      </c>
      <c r="E21" s="208">
        <v>0.5</v>
      </c>
      <c r="F21" s="208">
        <v>0</v>
      </c>
      <c r="G21" s="208">
        <v>0</v>
      </c>
      <c r="H21" s="208">
        <v>0.5</v>
      </c>
      <c r="I21" s="208">
        <v>0</v>
      </c>
      <c r="J21" s="208">
        <v>0</v>
      </c>
      <c r="K21" s="208">
        <v>0</v>
      </c>
      <c r="L21" s="208">
        <v>0.5</v>
      </c>
      <c r="M21" s="208">
        <v>0</v>
      </c>
      <c r="N21" s="208">
        <v>0</v>
      </c>
      <c r="O21" s="208">
        <v>0</v>
      </c>
      <c r="P21" s="208">
        <v>0</v>
      </c>
      <c r="Q21" s="208">
        <v>0</v>
      </c>
      <c r="R21" s="208">
        <v>0</v>
      </c>
      <c r="S21" s="208">
        <v>1</v>
      </c>
      <c r="T21" s="208">
        <v>0</v>
      </c>
      <c r="U21" s="208">
        <v>0</v>
      </c>
      <c r="V21" s="208">
        <v>0</v>
      </c>
      <c r="W21" s="208">
        <v>0</v>
      </c>
      <c r="X21" s="208">
        <v>0.5</v>
      </c>
      <c r="Y21" s="208">
        <v>0.5</v>
      </c>
      <c r="Z21" s="208">
        <v>0</v>
      </c>
      <c r="AA21" s="208">
        <v>0</v>
      </c>
      <c r="AB21" s="208">
        <v>0</v>
      </c>
      <c r="AC21" s="208">
        <v>0</v>
      </c>
      <c r="AD21" s="208">
        <v>0.5</v>
      </c>
      <c r="AE21" s="208">
        <v>0.5</v>
      </c>
      <c r="AF21" s="208">
        <v>0</v>
      </c>
      <c r="AG21" s="208">
        <v>0</v>
      </c>
      <c r="AH21" s="208">
        <v>0</v>
      </c>
      <c r="AI21" s="208">
        <v>0</v>
      </c>
      <c r="AJ21" s="208">
        <v>1</v>
      </c>
      <c r="AK21" s="208">
        <v>0</v>
      </c>
      <c r="AL21" s="208">
        <v>0</v>
      </c>
      <c r="AM21" s="208">
        <v>0</v>
      </c>
      <c r="AN21" s="208">
        <v>0</v>
      </c>
      <c r="AO21" s="208">
        <v>0</v>
      </c>
      <c r="AP21" s="208">
        <v>0</v>
      </c>
      <c r="AQ21" s="208">
        <v>1</v>
      </c>
      <c r="AR21" s="208">
        <v>0</v>
      </c>
      <c r="AS21" s="208">
        <v>0</v>
      </c>
      <c r="AT21" s="208">
        <v>0</v>
      </c>
      <c r="AU21" s="208">
        <v>0</v>
      </c>
      <c r="AV21" s="208">
        <v>0</v>
      </c>
      <c r="AW21" s="208">
        <v>0</v>
      </c>
    </row>
    <row r="22" spans="2:49">
      <c r="B22" s="91" t="s">
        <v>537</v>
      </c>
      <c r="C22" s="18">
        <v>1</v>
      </c>
      <c r="D22" s="208">
        <v>1</v>
      </c>
      <c r="E22" s="208">
        <v>0</v>
      </c>
      <c r="F22" s="208">
        <v>0</v>
      </c>
      <c r="G22" s="208">
        <v>0</v>
      </c>
      <c r="H22" s="208">
        <v>1</v>
      </c>
      <c r="I22" s="208">
        <v>0</v>
      </c>
      <c r="J22" s="208">
        <v>0</v>
      </c>
      <c r="K22" s="208">
        <v>0</v>
      </c>
      <c r="L22" s="208">
        <v>1</v>
      </c>
      <c r="M22" s="208">
        <v>0</v>
      </c>
      <c r="N22" s="208">
        <v>0</v>
      </c>
      <c r="O22" s="208">
        <v>0</v>
      </c>
      <c r="P22" s="208">
        <v>0</v>
      </c>
      <c r="Q22" s="208">
        <v>0</v>
      </c>
      <c r="R22" s="208">
        <v>0</v>
      </c>
      <c r="S22" s="208">
        <v>0</v>
      </c>
      <c r="T22" s="208">
        <v>1</v>
      </c>
      <c r="U22" s="208">
        <v>0</v>
      </c>
      <c r="V22" s="208">
        <v>0</v>
      </c>
      <c r="W22" s="208">
        <v>1</v>
      </c>
      <c r="X22" s="208">
        <v>0</v>
      </c>
      <c r="Y22" s="208">
        <v>0</v>
      </c>
      <c r="Z22" s="208">
        <v>0</v>
      </c>
      <c r="AA22" s="208">
        <v>0</v>
      </c>
      <c r="AB22" s="208">
        <v>0</v>
      </c>
      <c r="AC22" s="208">
        <v>0</v>
      </c>
      <c r="AD22" s="208">
        <v>0</v>
      </c>
      <c r="AE22" s="208">
        <v>0</v>
      </c>
      <c r="AF22" s="208">
        <v>0</v>
      </c>
      <c r="AG22" s="208">
        <v>0</v>
      </c>
      <c r="AH22" s="208">
        <v>1</v>
      </c>
      <c r="AI22" s="208">
        <v>0</v>
      </c>
      <c r="AJ22" s="208">
        <v>1</v>
      </c>
      <c r="AK22" s="208">
        <v>0</v>
      </c>
      <c r="AL22" s="208">
        <v>0</v>
      </c>
      <c r="AM22" s="208">
        <v>0</v>
      </c>
      <c r="AN22" s="208">
        <v>0</v>
      </c>
      <c r="AO22" s="208">
        <v>0</v>
      </c>
      <c r="AP22" s="208">
        <v>0</v>
      </c>
      <c r="AQ22" s="208">
        <v>1</v>
      </c>
      <c r="AR22" s="208">
        <v>0</v>
      </c>
      <c r="AS22" s="208">
        <v>0</v>
      </c>
      <c r="AT22" s="208">
        <v>0</v>
      </c>
      <c r="AU22" s="208">
        <v>0</v>
      </c>
      <c r="AV22" s="208">
        <v>1</v>
      </c>
      <c r="AW22" s="208">
        <v>0</v>
      </c>
    </row>
    <row r="23" spans="2:49">
      <c r="B23" s="91" t="s">
        <v>538</v>
      </c>
      <c r="C23" s="18">
        <v>1</v>
      </c>
      <c r="D23" s="208">
        <v>1</v>
      </c>
      <c r="E23" s="208">
        <v>0</v>
      </c>
      <c r="F23" s="208">
        <v>0</v>
      </c>
      <c r="G23" s="208">
        <v>0</v>
      </c>
      <c r="H23" s="208">
        <v>1</v>
      </c>
      <c r="I23" s="208">
        <v>0</v>
      </c>
      <c r="J23" s="208">
        <v>0</v>
      </c>
      <c r="K23" s="208">
        <v>0</v>
      </c>
      <c r="L23" s="208">
        <v>0</v>
      </c>
      <c r="M23" s="208">
        <v>0</v>
      </c>
      <c r="N23" s="208">
        <v>0</v>
      </c>
      <c r="O23" s="208">
        <v>0</v>
      </c>
      <c r="P23" s="208">
        <v>0</v>
      </c>
      <c r="Q23" s="208">
        <v>0</v>
      </c>
      <c r="R23" s="208">
        <v>1</v>
      </c>
      <c r="S23" s="208">
        <v>0</v>
      </c>
      <c r="T23" s="208">
        <v>0</v>
      </c>
      <c r="U23" s="208">
        <v>0</v>
      </c>
      <c r="V23" s="208">
        <v>0</v>
      </c>
      <c r="W23" s="208">
        <v>0</v>
      </c>
      <c r="X23" s="208">
        <v>0</v>
      </c>
      <c r="Y23" s="208">
        <v>0</v>
      </c>
      <c r="Z23" s="208">
        <v>0</v>
      </c>
      <c r="AA23" s="208">
        <v>0</v>
      </c>
      <c r="AB23" s="208">
        <v>0</v>
      </c>
      <c r="AC23" s="208">
        <v>0</v>
      </c>
      <c r="AD23" s="208">
        <v>0</v>
      </c>
      <c r="AE23" s="208">
        <v>1</v>
      </c>
      <c r="AF23" s="208">
        <v>0</v>
      </c>
      <c r="AG23" s="208">
        <v>0</v>
      </c>
      <c r="AH23" s="208">
        <v>0</v>
      </c>
      <c r="AI23" s="208">
        <v>0</v>
      </c>
      <c r="AJ23" s="208">
        <v>1</v>
      </c>
      <c r="AK23" s="208">
        <v>0</v>
      </c>
      <c r="AL23" s="208">
        <v>0</v>
      </c>
      <c r="AM23" s="208">
        <v>0</v>
      </c>
      <c r="AN23" s="208">
        <v>0</v>
      </c>
      <c r="AO23" s="208">
        <v>0</v>
      </c>
      <c r="AP23" s="208">
        <v>0</v>
      </c>
      <c r="AQ23" s="208">
        <v>0</v>
      </c>
      <c r="AR23" s="208">
        <v>0</v>
      </c>
      <c r="AS23" s="208">
        <v>1</v>
      </c>
      <c r="AT23" s="208">
        <v>0</v>
      </c>
      <c r="AU23" s="208">
        <v>0</v>
      </c>
      <c r="AV23" s="208">
        <v>0</v>
      </c>
      <c r="AW23" s="208">
        <v>1</v>
      </c>
    </row>
    <row r="24" spans="2:49">
      <c r="B24" s="91" t="s">
        <v>539</v>
      </c>
      <c r="C24" s="18">
        <v>1</v>
      </c>
      <c r="D24" s="208">
        <v>0</v>
      </c>
      <c r="E24" s="208">
        <v>1</v>
      </c>
      <c r="F24" s="208">
        <v>0</v>
      </c>
      <c r="G24" s="208">
        <v>0</v>
      </c>
      <c r="H24" s="208">
        <v>1</v>
      </c>
      <c r="I24" s="208">
        <v>1</v>
      </c>
      <c r="J24" s="208">
        <v>0</v>
      </c>
      <c r="K24" s="208">
        <v>0</v>
      </c>
      <c r="L24" s="208">
        <v>0</v>
      </c>
      <c r="M24" s="208">
        <v>0</v>
      </c>
      <c r="N24" s="208">
        <v>0</v>
      </c>
      <c r="O24" s="208">
        <v>1</v>
      </c>
      <c r="P24" s="208">
        <v>0</v>
      </c>
      <c r="Q24" s="208">
        <v>0</v>
      </c>
      <c r="R24" s="208">
        <v>0</v>
      </c>
      <c r="S24" s="208">
        <v>0</v>
      </c>
      <c r="T24" s="208">
        <v>0</v>
      </c>
      <c r="U24" s="208">
        <v>1</v>
      </c>
      <c r="V24" s="208">
        <v>0</v>
      </c>
      <c r="W24" s="208">
        <v>0</v>
      </c>
      <c r="X24" s="208">
        <v>0</v>
      </c>
      <c r="Y24" s="208">
        <v>0</v>
      </c>
      <c r="Z24" s="208">
        <v>0</v>
      </c>
      <c r="AA24" s="208">
        <v>0</v>
      </c>
      <c r="AB24" s="208">
        <v>0</v>
      </c>
      <c r="AC24" s="208">
        <v>0</v>
      </c>
      <c r="AD24" s="208">
        <v>0</v>
      </c>
      <c r="AE24" s="208">
        <v>1</v>
      </c>
      <c r="AF24" s="208">
        <v>0</v>
      </c>
      <c r="AG24" s="208">
        <v>0</v>
      </c>
      <c r="AH24" s="208">
        <v>0</v>
      </c>
      <c r="AI24" s="208">
        <v>0</v>
      </c>
      <c r="AJ24" s="208">
        <v>0</v>
      </c>
      <c r="AK24" s="208">
        <v>0</v>
      </c>
      <c r="AL24" s="208">
        <v>0</v>
      </c>
      <c r="AM24" s="208">
        <v>0</v>
      </c>
      <c r="AN24" s="208">
        <v>1</v>
      </c>
      <c r="AO24" s="208">
        <v>0</v>
      </c>
      <c r="AP24" s="208">
        <v>0</v>
      </c>
      <c r="AQ24" s="208">
        <v>0</v>
      </c>
      <c r="AR24" s="208">
        <v>0</v>
      </c>
      <c r="AS24" s="208">
        <v>1</v>
      </c>
      <c r="AT24" s="208">
        <v>1</v>
      </c>
      <c r="AU24" s="208">
        <v>0</v>
      </c>
      <c r="AV24" s="208">
        <v>0</v>
      </c>
      <c r="AW24" s="208">
        <v>0</v>
      </c>
    </row>
    <row r="25" spans="2:49">
      <c r="B25" s="91" t="s">
        <v>540</v>
      </c>
      <c r="C25" s="18">
        <v>1</v>
      </c>
      <c r="D25" s="208">
        <v>0</v>
      </c>
      <c r="E25" s="208">
        <v>0</v>
      </c>
      <c r="F25" s="208">
        <v>1</v>
      </c>
      <c r="G25" s="208">
        <v>0</v>
      </c>
      <c r="H25" s="208">
        <v>0</v>
      </c>
      <c r="I25" s="208">
        <v>0</v>
      </c>
      <c r="J25" s="208">
        <v>0</v>
      </c>
      <c r="K25" s="208">
        <v>1</v>
      </c>
      <c r="L25" s="208">
        <v>0</v>
      </c>
      <c r="M25" s="208">
        <v>0</v>
      </c>
      <c r="N25" s="208">
        <v>0</v>
      </c>
      <c r="O25" s="208">
        <v>0</v>
      </c>
      <c r="P25" s="208">
        <v>0</v>
      </c>
      <c r="Q25" s="208">
        <v>0</v>
      </c>
      <c r="R25" s="208">
        <v>0</v>
      </c>
      <c r="S25" s="208">
        <v>0</v>
      </c>
      <c r="T25" s="208">
        <v>1</v>
      </c>
      <c r="U25" s="208">
        <v>1</v>
      </c>
      <c r="V25" s="208">
        <v>0</v>
      </c>
      <c r="W25" s="208">
        <v>0</v>
      </c>
      <c r="X25" s="208">
        <v>0</v>
      </c>
      <c r="Y25" s="208">
        <v>0</v>
      </c>
      <c r="Z25" s="208">
        <v>0</v>
      </c>
      <c r="AA25" s="208">
        <v>0</v>
      </c>
      <c r="AB25" s="208">
        <v>0</v>
      </c>
      <c r="AC25" s="208">
        <v>0</v>
      </c>
      <c r="AD25" s="208">
        <v>1</v>
      </c>
      <c r="AE25" s="208">
        <v>0</v>
      </c>
      <c r="AF25" s="208">
        <v>0</v>
      </c>
      <c r="AG25" s="208">
        <v>0</v>
      </c>
      <c r="AH25" s="208">
        <v>0</v>
      </c>
      <c r="AI25" s="208">
        <v>0</v>
      </c>
      <c r="AJ25" s="208">
        <v>1</v>
      </c>
      <c r="AK25" s="208">
        <v>0</v>
      </c>
      <c r="AL25" s="208">
        <v>0</v>
      </c>
      <c r="AM25" s="208">
        <v>0</v>
      </c>
      <c r="AN25" s="208">
        <v>0</v>
      </c>
      <c r="AO25" s="208">
        <v>0</v>
      </c>
      <c r="AP25" s="208">
        <v>0</v>
      </c>
      <c r="AQ25" s="208">
        <v>1</v>
      </c>
      <c r="AR25" s="208">
        <v>0</v>
      </c>
      <c r="AS25" s="208">
        <v>0</v>
      </c>
      <c r="AT25" s="208">
        <v>0</v>
      </c>
      <c r="AU25" s="208">
        <v>0</v>
      </c>
      <c r="AV25" s="208">
        <v>1</v>
      </c>
      <c r="AW25" s="208">
        <v>0</v>
      </c>
    </row>
    <row r="26" spans="2:49">
      <c r="B26" s="91" t="s">
        <v>541</v>
      </c>
      <c r="C26" s="18">
        <v>1</v>
      </c>
      <c r="D26" s="208">
        <v>1</v>
      </c>
      <c r="E26" s="208">
        <v>0</v>
      </c>
      <c r="F26" s="208">
        <v>0</v>
      </c>
      <c r="G26" s="208">
        <v>0</v>
      </c>
      <c r="H26" s="208">
        <v>1</v>
      </c>
      <c r="I26" s="208">
        <v>1</v>
      </c>
      <c r="J26" s="208">
        <v>0</v>
      </c>
      <c r="K26" s="208">
        <v>0</v>
      </c>
      <c r="L26" s="208">
        <v>0</v>
      </c>
      <c r="M26" s="208">
        <v>0</v>
      </c>
      <c r="N26" s="208">
        <v>0</v>
      </c>
      <c r="O26" s="208">
        <v>0</v>
      </c>
      <c r="P26" s="208">
        <v>0</v>
      </c>
      <c r="Q26" s="208">
        <v>1</v>
      </c>
      <c r="R26" s="208">
        <v>0</v>
      </c>
      <c r="S26" s="208">
        <v>0</v>
      </c>
      <c r="T26" s="208">
        <v>0</v>
      </c>
      <c r="U26" s="208">
        <v>1</v>
      </c>
      <c r="V26" s="208">
        <v>0</v>
      </c>
      <c r="W26" s="208">
        <v>0</v>
      </c>
      <c r="X26" s="208">
        <v>0</v>
      </c>
      <c r="Y26" s="208">
        <v>0</v>
      </c>
      <c r="Z26" s="208">
        <v>0</v>
      </c>
      <c r="AA26" s="208">
        <v>0</v>
      </c>
      <c r="AB26" s="208">
        <v>0</v>
      </c>
      <c r="AC26" s="208">
        <v>0</v>
      </c>
      <c r="AD26" s="208">
        <v>1</v>
      </c>
      <c r="AE26" s="208">
        <v>0</v>
      </c>
      <c r="AF26" s="208">
        <v>0</v>
      </c>
      <c r="AG26" s="208">
        <v>0</v>
      </c>
      <c r="AH26" s="208">
        <v>0</v>
      </c>
      <c r="AI26" s="208">
        <v>0</v>
      </c>
      <c r="AJ26" s="208">
        <v>1</v>
      </c>
      <c r="AK26" s="208">
        <v>0</v>
      </c>
      <c r="AL26" s="208">
        <v>0</v>
      </c>
      <c r="AM26" s="208">
        <v>0</v>
      </c>
      <c r="AN26" s="208">
        <v>0</v>
      </c>
      <c r="AO26" s="208">
        <v>0</v>
      </c>
      <c r="AP26" s="208">
        <v>0</v>
      </c>
      <c r="AQ26" s="208">
        <v>1</v>
      </c>
      <c r="AR26" s="208">
        <v>0</v>
      </c>
      <c r="AS26" s="208">
        <v>0</v>
      </c>
      <c r="AT26" s="208">
        <v>1</v>
      </c>
      <c r="AU26" s="208">
        <v>0</v>
      </c>
      <c r="AV26" s="208">
        <v>0</v>
      </c>
      <c r="AW26" s="208">
        <v>0</v>
      </c>
    </row>
    <row r="27" spans="2:49">
      <c r="B27" s="91" t="s">
        <v>542</v>
      </c>
      <c r="C27" s="18">
        <v>1</v>
      </c>
      <c r="D27" s="208">
        <v>0</v>
      </c>
      <c r="E27" s="208">
        <v>1</v>
      </c>
      <c r="F27" s="208">
        <v>0</v>
      </c>
      <c r="G27" s="208">
        <v>0</v>
      </c>
      <c r="H27" s="208">
        <v>1</v>
      </c>
      <c r="I27" s="208">
        <v>0</v>
      </c>
      <c r="J27" s="208">
        <v>0</v>
      </c>
      <c r="K27" s="208">
        <v>1</v>
      </c>
      <c r="L27" s="208">
        <v>0</v>
      </c>
      <c r="M27" s="208">
        <v>0</v>
      </c>
      <c r="N27" s="208">
        <v>0</v>
      </c>
      <c r="O27" s="208">
        <v>0</v>
      </c>
      <c r="P27" s="208">
        <v>0</v>
      </c>
      <c r="Q27" s="208">
        <v>1</v>
      </c>
      <c r="R27" s="208">
        <v>0</v>
      </c>
      <c r="S27" s="208">
        <v>0</v>
      </c>
      <c r="T27" s="208">
        <v>0</v>
      </c>
      <c r="U27" s="208">
        <v>0</v>
      </c>
      <c r="V27" s="208">
        <v>0</v>
      </c>
      <c r="W27" s="208">
        <v>0</v>
      </c>
      <c r="X27" s="208">
        <v>0</v>
      </c>
      <c r="Y27" s="208">
        <v>0</v>
      </c>
      <c r="Z27" s="208">
        <v>1</v>
      </c>
      <c r="AA27" s="208">
        <v>0</v>
      </c>
      <c r="AB27" s="208">
        <v>0</v>
      </c>
      <c r="AC27" s="208">
        <v>0</v>
      </c>
      <c r="AD27" s="208">
        <v>1</v>
      </c>
      <c r="AE27" s="208">
        <v>0</v>
      </c>
      <c r="AF27" s="208">
        <v>0</v>
      </c>
      <c r="AG27" s="208">
        <v>0</v>
      </c>
      <c r="AH27" s="208">
        <v>0</v>
      </c>
      <c r="AI27" s="208">
        <v>0</v>
      </c>
      <c r="AJ27" s="208">
        <v>1</v>
      </c>
      <c r="AK27" s="208">
        <v>0</v>
      </c>
      <c r="AL27" s="208">
        <v>0</v>
      </c>
      <c r="AM27" s="208">
        <v>0</v>
      </c>
      <c r="AN27" s="208">
        <v>0</v>
      </c>
      <c r="AO27" s="208">
        <v>0</v>
      </c>
      <c r="AP27" s="208">
        <v>0</v>
      </c>
      <c r="AQ27" s="208">
        <v>1</v>
      </c>
      <c r="AR27" s="208">
        <v>0</v>
      </c>
      <c r="AS27" s="208">
        <v>0</v>
      </c>
      <c r="AT27" s="208">
        <v>0</v>
      </c>
      <c r="AU27" s="208">
        <v>0</v>
      </c>
      <c r="AV27" s="208">
        <v>1</v>
      </c>
      <c r="AW27" s="208">
        <v>0</v>
      </c>
    </row>
    <row r="28" spans="2:49">
      <c r="B28" s="91" t="s">
        <v>543</v>
      </c>
      <c r="C28" s="18">
        <v>1</v>
      </c>
      <c r="D28" s="208">
        <v>0</v>
      </c>
      <c r="E28" s="208">
        <v>1</v>
      </c>
      <c r="F28" s="208">
        <v>0</v>
      </c>
      <c r="G28" s="208">
        <v>0</v>
      </c>
      <c r="H28" s="208">
        <v>0</v>
      </c>
      <c r="I28" s="208">
        <v>1</v>
      </c>
      <c r="J28" s="208">
        <v>0</v>
      </c>
      <c r="K28" s="208">
        <v>0</v>
      </c>
      <c r="L28" s="208">
        <v>0</v>
      </c>
      <c r="M28" s="208">
        <v>0</v>
      </c>
      <c r="N28" s="208">
        <v>0</v>
      </c>
      <c r="O28" s="208">
        <v>0</v>
      </c>
      <c r="P28" s="208">
        <v>0</v>
      </c>
      <c r="Q28" s="208">
        <v>0</v>
      </c>
      <c r="R28" s="208">
        <v>0</v>
      </c>
      <c r="S28" s="208">
        <v>0</v>
      </c>
      <c r="T28" s="208">
        <v>1</v>
      </c>
      <c r="U28" s="208">
        <v>0</v>
      </c>
      <c r="V28" s="208">
        <v>0</v>
      </c>
      <c r="W28" s="208">
        <v>0</v>
      </c>
      <c r="X28" s="208">
        <v>0</v>
      </c>
      <c r="Y28" s="208">
        <v>0</v>
      </c>
      <c r="Z28" s="208">
        <v>0</v>
      </c>
      <c r="AA28" s="208">
        <v>0</v>
      </c>
      <c r="AB28" s="208">
        <v>0</v>
      </c>
      <c r="AC28" s="208">
        <v>0</v>
      </c>
      <c r="AD28" s="208">
        <v>1</v>
      </c>
      <c r="AE28" s="208">
        <v>0</v>
      </c>
      <c r="AF28" s="208">
        <v>0</v>
      </c>
      <c r="AG28" s="208">
        <v>0</v>
      </c>
      <c r="AH28" s="208">
        <v>0</v>
      </c>
      <c r="AI28" s="208">
        <v>0</v>
      </c>
      <c r="AJ28" s="208">
        <v>1</v>
      </c>
      <c r="AK28" s="208">
        <v>0</v>
      </c>
      <c r="AL28" s="208">
        <v>0</v>
      </c>
      <c r="AM28" s="208">
        <v>0</v>
      </c>
      <c r="AN28" s="208">
        <v>0</v>
      </c>
      <c r="AO28" s="208">
        <v>0</v>
      </c>
      <c r="AP28" s="208">
        <v>0</v>
      </c>
      <c r="AQ28" s="208">
        <v>1</v>
      </c>
      <c r="AR28" s="208">
        <v>0</v>
      </c>
      <c r="AS28" s="208">
        <v>0</v>
      </c>
      <c r="AT28" s="208">
        <v>0</v>
      </c>
      <c r="AU28" s="208">
        <v>0</v>
      </c>
      <c r="AV28" s="208">
        <v>0</v>
      </c>
      <c r="AW28" s="208">
        <v>0</v>
      </c>
    </row>
    <row r="29" spans="2:49">
      <c r="B29" s="91" t="s">
        <v>364</v>
      </c>
      <c r="C29" s="18">
        <v>1</v>
      </c>
      <c r="D29" s="208">
        <v>1</v>
      </c>
      <c r="E29" s="208">
        <v>0</v>
      </c>
      <c r="F29" s="208">
        <v>0</v>
      </c>
      <c r="G29" s="208">
        <v>0</v>
      </c>
      <c r="H29" s="208">
        <v>0</v>
      </c>
      <c r="I29" s="208">
        <v>1</v>
      </c>
      <c r="J29" s="208">
        <v>0</v>
      </c>
      <c r="K29" s="208">
        <v>0</v>
      </c>
      <c r="L29" s="208">
        <v>0</v>
      </c>
      <c r="M29" s="208">
        <v>0</v>
      </c>
      <c r="N29" s="208">
        <v>0</v>
      </c>
      <c r="O29" s="208">
        <v>1</v>
      </c>
      <c r="P29" s="208">
        <v>0</v>
      </c>
      <c r="Q29" s="208">
        <v>0</v>
      </c>
      <c r="R29" s="208">
        <v>0</v>
      </c>
      <c r="S29" s="208">
        <v>0</v>
      </c>
      <c r="T29" s="208">
        <v>0</v>
      </c>
      <c r="U29" s="208">
        <v>0</v>
      </c>
      <c r="V29" s="208">
        <v>0</v>
      </c>
      <c r="W29" s="208">
        <v>0</v>
      </c>
      <c r="X29" s="208">
        <v>0</v>
      </c>
      <c r="Y29" s="208">
        <v>0</v>
      </c>
      <c r="Z29" s="208">
        <v>0</v>
      </c>
      <c r="AA29" s="208">
        <v>0</v>
      </c>
      <c r="AB29" s="208">
        <v>0</v>
      </c>
      <c r="AC29" s="208">
        <v>0</v>
      </c>
      <c r="AD29" s="208">
        <v>0</v>
      </c>
      <c r="AE29" s="208">
        <v>0</v>
      </c>
      <c r="AF29" s="208">
        <v>0</v>
      </c>
      <c r="AG29" s="208">
        <v>0</v>
      </c>
      <c r="AH29" s="208">
        <v>1</v>
      </c>
      <c r="AI29" s="208">
        <v>0</v>
      </c>
      <c r="AJ29" s="208">
        <v>1</v>
      </c>
      <c r="AK29" s="208">
        <v>0</v>
      </c>
      <c r="AL29" s="208">
        <v>0</v>
      </c>
      <c r="AM29" s="208">
        <v>0</v>
      </c>
      <c r="AN29" s="208">
        <v>0</v>
      </c>
      <c r="AO29" s="208">
        <v>0</v>
      </c>
      <c r="AP29" s="208">
        <v>0</v>
      </c>
      <c r="AQ29" s="208">
        <v>1</v>
      </c>
      <c r="AR29" s="208">
        <v>0</v>
      </c>
      <c r="AS29" s="208">
        <v>0</v>
      </c>
      <c r="AT29" s="208">
        <v>0</v>
      </c>
      <c r="AU29" s="208">
        <v>0</v>
      </c>
      <c r="AV29" s="208">
        <v>0</v>
      </c>
      <c r="AW29" s="208">
        <v>0</v>
      </c>
    </row>
    <row r="30" spans="2:49">
      <c r="B30" s="91" t="s">
        <v>128</v>
      </c>
      <c r="C30" s="18">
        <v>2</v>
      </c>
      <c r="D30" s="208">
        <v>0.5</v>
      </c>
      <c r="E30" s="208">
        <v>0.5</v>
      </c>
      <c r="F30" s="208">
        <v>0</v>
      </c>
      <c r="G30" s="208">
        <v>0</v>
      </c>
      <c r="H30" s="208">
        <v>0</v>
      </c>
      <c r="I30" s="208">
        <v>0</v>
      </c>
      <c r="J30" s="208">
        <v>0</v>
      </c>
      <c r="K30" s="208">
        <v>0</v>
      </c>
      <c r="L30" s="208">
        <v>1</v>
      </c>
      <c r="M30" s="208">
        <v>0</v>
      </c>
      <c r="N30" s="208">
        <v>0</v>
      </c>
      <c r="O30" s="208">
        <v>0</v>
      </c>
      <c r="P30" s="208">
        <v>0</v>
      </c>
      <c r="Q30" s="208">
        <v>0</v>
      </c>
      <c r="R30" s="208">
        <v>0.5</v>
      </c>
      <c r="S30" s="208">
        <v>0.5</v>
      </c>
      <c r="T30" s="208">
        <v>0</v>
      </c>
      <c r="U30" s="208">
        <v>0</v>
      </c>
      <c r="V30" s="208">
        <v>0</v>
      </c>
      <c r="W30" s="208">
        <v>0.5</v>
      </c>
      <c r="X30" s="208">
        <v>0</v>
      </c>
      <c r="Y30" s="208">
        <v>0</v>
      </c>
      <c r="Z30" s="208">
        <v>0</v>
      </c>
      <c r="AA30" s="208">
        <v>0</v>
      </c>
      <c r="AB30" s="208">
        <v>0</v>
      </c>
      <c r="AC30" s="208">
        <v>0</v>
      </c>
      <c r="AD30" s="208">
        <v>0.5</v>
      </c>
      <c r="AE30" s="208">
        <v>0</v>
      </c>
      <c r="AF30" s="208">
        <v>0.5</v>
      </c>
      <c r="AG30" s="208">
        <v>0</v>
      </c>
      <c r="AH30" s="208">
        <v>0</v>
      </c>
      <c r="AI30" s="208">
        <v>0</v>
      </c>
      <c r="AJ30" s="208">
        <v>1</v>
      </c>
      <c r="AK30" s="208">
        <v>0</v>
      </c>
      <c r="AL30" s="208">
        <v>0</v>
      </c>
      <c r="AM30" s="208">
        <v>0</v>
      </c>
      <c r="AN30" s="208">
        <v>0</v>
      </c>
      <c r="AO30" s="208">
        <v>0</v>
      </c>
      <c r="AP30" s="208">
        <v>0</v>
      </c>
      <c r="AQ30" s="208">
        <v>0.5</v>
      </c>
      <c r="AR30" s="208">
        <v>0</v>
      </c>
      <c r="AS30" s="208">
        <v>0</v>
      </c>
      <c r="AT30" s="208">
        <v>0</v>
      </c>
      <c r="AU30" s="208">
        <v>0.5</v>
      </c>
      <c r="AV30" s="208">
        <v>0.5</v>
      </c>
      <c r="AW30" s="208">
        <v>0</v>
      </c>
    </row>
    <row r="31" spans="2:49">
      <c r="B31" s="91" t="s">
        <v>187</v>
      </c>
      <c r="C31" s="18">
        <v>1</v>
      </c>
      <c r="D31" s="208">
        <v>1</v>
      </c>
      <c r="E31" s="208">
        <v>0</v>
      </c>
      <c r="F31" s="208">
        <v>0</v>
      </c>
      <c r="G31" s="208">
        <v>0</v>
      </c>
      <c r="H31" s="208">
        <v>1</v>
      </c>
      <c r="I31" s="208">
        <v>1</v>
      </c>
      <c r="J31" s="208">
        <v>0</v>
      </c>
      <c r="K31" s="208">
        <v>0</v>
      </c>
      <c r="L31" s="208">
        <v>0</v>
      </c>
      <c r="M31" s="208">
        <v>0</v>
      </c>
      <c r="N31" s="208">
        <v>0</v>
      </c>
      <c r="O31" s="208">
        <v>0</v>
      </c>
      <c r="P31" s="208">
        <v>0</v>
      </c>
      <c r="Q31" s="208">
        <v>1</v>
      </c>
      <c r="R31" s="208">
        <v>0</v>
      </c>
      <c r="S31" s="208">
        <v>0</v>
      </c>
      <c r="T31" s="208">
        <v>0</v>
      </c>
      <c r="U31" s="208">
        <v>0</v>
      </c>
      <c r="V31" s="208">
        <v>0</v>
      </c>
      <c r="W31" s="208">
        <v>0</v>
      </c>
      <c r="X31" s="208">
        <v>0</v>
      </c>
      <c r="Y31" s="208">
        <v>0</v>
      </c>
      <c r="Z31" s="208">
        <v>0</v>
      </c>
      <c r="AA31" s="208">
        <v>0</v>
      </c>
      <c r="AB31" s="208">
        <v>0</v>
      </c>
      <c r="AC31" s="208">
        <v>0</v>
      </c>
      <c r="AD31" s="208">
        <v>0</v>
      </c>
      <c r="AE31" s="208">
        <v>0</v>
      </c>
      <c r="AF31" s="208">
        <v>0</v>
      </c>
      <c r="AG31" s="208">
        <v>1</v>
      </c>
      <c r="AH31" s="208">
        <v>0</v>
      </c>
      <c r="AI31" s="208">
        <v>0</v>
      </c>
      <c r="AJ31" s="208">
        <v>1</v>
      </c>
      <c r="AK31" s="208">
        <v>0</v>
      </c>
      <c r="AL31" s="208">
        <v>0</v>
      </c>
      <c r="AM31" s="208">
        <v>0</v>
      </c>
      <c r="AN31" s="208">
        <v>0</v>
      </c>
      <c r="AO31" s="208">
        <v>0</v>
      </c>
      <c r="AP31" s="208">
        <v>0</v>
      </c>
      <c r="AQ31" s="208">
        <v>1</v>
      </c>
      <c r="AR31" s="208">
        <v>0</v>
      </c>
      <c r="AS31" s="208">
        <v>0</v>
      </c>
      <c r="AT31" s="208">
        <v>0</v>
      </c>
      <c r="AU31" s="208">
        <v>1</v>
      </c>
      <c r="AV31" s="208">
        <v>0</v>
      </c>
      <c r="AW31" s="208">
        <v>0</v>
      </c>
    </row>
    <row r="32" spans="2:49">
      <c r="B32" s="91" t="s">
        <v>182</v>
      </c>
      <c r="C32" s="18">
        <v>2</v>
      </c>
      <c r="D32" s="208">
        <v>0.5</v>
      </c>
      <c r="E32" s="208">
        <v>0.5</v>
      </c>
      <c r="F32" s="208">
        <v>0</v>
      </c>
      <c r="G32" s="208">
        <v>0</v>
      </c>
      <c r="H32" s="208">
        <v>0</v>
      </c>
      <c r="I32" s="208">
        <v>0.5</v>
      </c>
      <c r="J32" s="208">
        <v>0.5</v>
      </c>
      <c r="K32" s="208">
        <v>0</v>
      </c>
      <c r="L32" s="208">
        <v>0</v>
      </c>
      <c r="M32" s="208">
        <v>0</v>
      </c>
      <c r="N32" s="208">
        <v>0</v>
      </c>
      <c r="O32" s="208">
        <v>0</v>
      </c>
      <c r="P32" s="208">
        <v>0.5</v>
      </c>
      <c r="Q32" s="208">
        <v>0.5</v>
      </c>
      <c r="R32" s="208">
        <v>0</v>
      </c>
      <c r="S32" s="208">
        <v>0</v>
      </c>
      <c r="T32" s="208">
        <v>0</v>
      </c>
      <c r="U32" s="208">
        <v>0</v>
      </c>
      <c r="V32" s="208">
        <v>0</v>
      </c>
      <c r="W32" s="208">
        <v>0</v>
      </c>
      <c r="X32" s="208">
        <v>0</v>
      </c>
      <c r="Y32" s="208">
        <v>0</v>
      </c>
      <c r="Z32" s="208">
        <v>0</v>
      </c>
      <c r="AA32" s="208">
        <v>0</v>
      </c>
      <c r="AB32" s="208">
        <v>0.5</v>
      </c>
      <c r="AC32" s="208">
        <v>0</v>
      </c>
      <c r="AD32" s="208">
        <v>0</v>
      </c>
      <c r="AE32" s="208">
        <v>0</v>
      </c>
      <c r="AF32" s="208">
        <v>0</v>
      </c>
      <c r="AG32" s="208">
        <v>0.5</v>
      </c>
      <c r="AH32" s="208">
        <v>0</v>
      </c>
      <c r="AI32" s="208">
        <v>0</v>
      </c>
      <c r="AJ32" s="208">
        <v>0.5</v>
      </c>
      <c r="AK32" s="208">
        <v>0</v>
      </c>
      <c r="AL32" s="208">
        <v>0</v>
      </c>
      <c r="AM32" s="208">
        <v>0.5</v>
      </c>
      <c r="AN32" s="208">
        <v>0</v>
      </c>
      <c r="AO32" s="208">
        <v>0</v>
      </c>
      <c r="AP32" s="208">
        <v>0</v>
      </c>
      <c r="AQ32" s="208">
        <v>1</v>
      </c>
      <c r="AR32" s="208">
        <v>0</v>
      </c>
      <c r="AS32" s="208">
        <v>0</v>
      </c>
      <c r="AT32" s="208">
        <v>0.5</v>
      </c>
      <c r="AU32" s="208">
        <v>0</v>
      </c>
      <c r="AV32" s="208">
        <v>0</v>
      </c>
      <c r="AW32" s="208">
        <v>0</v>
      </c>
    </row>
    <row r="33" spans="2:49">
      <c r="B33" s="91" t="s">
        <v>442</v>
      </c>
      <c r="C33" s="18">
        <v>1</v>
      </c>
      <c r="D33" s="208">
        <v>0</v>
      </c>
      <c r="E33" s="208">
        <v>1</v>
      </c>
      <c r="F33" s="208">
        <v>0</v>
      </c>
      <c r="G33" s="208">
        <v>0</v>
      </c>
      <c r="H33" s="208">
        <v>0</v>
      </c>
      <c r="I33" s="208">
        <v>0</v>
      </c>
      <c r="J33" s="208">
        <v>0</v>
      </c>
      <c r="K33" s="208">
        <v>1</v>
      </c>
      <c r="L33" s="208">
        <v>0</v>
      </c>
      <c r="M33" s="208">
        <v>0</v>
      </c>
      <c r="N33" s="208">
        <v>0</v>
      </c>
      <c r="O33" s="208">
        <v>0</v>
      </c>
      <c r="P33" s="208">
        <v>0</v>
      </c>
      <c r="Q33" s="208">
        <v>0</v>
      </c>
      <c r="R33" s="208">
        <v>0</v>
      </c>
      <c r="S33" s="208">
        <v>1</v>
      </c>
      <c r="T33" s="208">
        <v>0</v>
      </c>
      <c r="U33" s="208">
        <v>0</v>
      </c>
      <c r="V33" s="208">
        <v>0</v>
      </c>
      <c r="W33" s="208">
        <v>0</v>
      </c>
      <c r="X33" s="208">
        <v>0</v>
      </c>
      <c r="Y33" s="208">
        <v>0</v>
      </c>
      <c r="Z33" s="208">
        <v>0</v>
      </c>
      <c r="AA33" s="208">
        <v>0</v>
      </c>
      <c r="AB33" s="208">
        <v>1</v>
      </c>
      <c r="AC33" s="208">
        <v>0</v>
      </c>
      <c r="AD33" s="208">
        <v>0</v>
      </c>
      <c r="AE33" s="208">
        <v>0</v>
      </c>
      <c r="AF33" s="208">
        <v>0</v>
      </c>
      <c r="AG33" s="208">
        <v>0</v>
      </c>
      <c r="AH33" s="208">
        <v>0</v>
      </c>
      <c r="AI33" s="208">
        <v>0</v>
      </c>
      <c r="AJ33" s="208">
        <v>0</v>
      </c>
      <c r="AK33" s="208">
        <v>1</v>
      </c>
      <c r="AL33" s="208">
        <v>0</v>
      </c>
      <c r="AM33" s="208">
        <v>0</v>
      </c>
      <c r="AN33" s="208">
        <v>0</v>
      </c>
      <c r="AO33" s="208">
        <v>0</v>
      </c>
      <c r="AP33" s="208">
        <v>0</v>
      </c>
      <c r="AQ33" s="208">
        <v>1</v>
      </c>
      <c r="AR33" s="208">
        <v>0</v>
      </c>
      <c r="AS33" s="208">
        <v>0</v>
      </c>
      <c r="AT33" s="208">
        <v>0</v>
      </c>
      <c r="AU33" s="208">
        <v>1</v>
      </c>
      <c r="AV33" s="208">
        <v>0</v>
      </c>
      <c r="AW33" s="208">
        <v>0</v>
      </c>
    </row>
    <row r="34" spans="2:49">
      <c r="B34" s="91" t="s">
        <v>463</v>
      </c>
      <c r="C34" s="18">
        <v>1</v>
      </c>
      <c r="D34" s="208">
        <v>0</v>
      </c>
      <c r="E34" s="208">
        <v>1</v>
      </c>
      <c r="F34" s="208">
        <v>0</v>
      </c>
      <c r="G34" s="208">
        <v>0</v>
      </c>
      <c r="H34" s="208">
        <v>0</v>
      </c>
      <c r="I34" s="208">
        <v>0</v>
      </c>
      <c r="J34" s="208">
        <v>0</v>
      </c>
      <c r="K34" s="208">
        <v>0</v>
      </c>
      <c r="L34" s="208">
        <v>0</v>
      </c>
      <c r="M34" s="208">
        <v>0</v>
      </c>
      <c r="N34" s="208">
        <v>1</v>
      </c>
      <c r="O34" s="208">
        <v>0</v>
      </c>
      <c r="P34" s="208">
        <v>0</v>
      </c>
      <c r="Q34" s="208">
        <v>0</v>
      </c>
      <c r="R34" s="208">
        <v>1</v>
      </c>
      <c r="S34" s="208">
        <v>0</v>
      </c>
      <c r="T34" s="208">
        <v>0</v>
      </c>
      <c r="U34" s="208">
        <v>0</v>
      </c>
      <c r="V34" s="208">
        <v>0</v>
      </c>
      <c r="W34" s="208">
        <v>0</v>
      </c>
      <c r="X34" s="208">
        <v>0</v>
      </c>
      <c r="Y34" s="208">
        <v>1</v>
      </c>
      <c r="Z34" s="208">
        <v>0</v>
      </c>
      <c r="AA34" s="208">
        <v>0</v>
      </c>
      <c r="AB34" s="208">
        <v>0</v>
      </c>
      <c r="AC34" s="208">
        <v>0</v>
      </c>
      <c r="AD34" s="208">
        <v>1</v>
      </c>
      <c r="AE34" s="208">
        <v>0</v>
      </c>
      <c r="AF34" s="208">
        <v>0</v>
      </c>
      <c r="AG34" s="208">
        <v>0</v>
      </c>
      <c r="AH34" s="208">
        <v>0</v>
      </c>
      <c r="AI34" s="208">
        <v>0</v>
      </c>
      <c r="AJ34" s="208">
        <v>1</v>
      </c>
      <c r="AK34" s="208">
        <v>0</v>
      </c>
      <c r="AL34" s="208">
        <v>0</v>
      </c>
      <c r="AM34" s="208">
        <v>0</v>
      </c>
      <c r="AN34" s="208">
        <v>0</v>
      </c>
      <c r="AO34" s="208">
        <v>0</v>
      </c>
      <c r="AP34" s="208">
        <v>0</v>
      </c>
      <c r="AQ34" s="208">
        <v>1</v>
      </c>
      <c r="AR34" s="208">
        <v>0</v>
      </c>
      <c r="AS34" s="208">
        <v>0</v>
      </c>
      <c r="AT34" s="208">
        <v>0</v>
      </c>
      <c r="AU34" s="208">
        <v>0</v>
      </c>
      <c r="AV34" s="208">
        <v>1</v>
      </c>
      <c r="AW34" s="208">
        <v>0</v>
      </c>
    </row>
    <row r="35" spans="2:49">
      <c r="B35" s="91" t="s">
        <v>172</v>
      </c>
      <c r="C35" s="18">
        <v>7</v>
      </c>
      <c r="D35" s="208">
        <v>0.7142857142857143</v>
      </c>
      <c r="E35" s="208">
        <v>0.2857142857142857</v>
      </c>
      <c r="F35" s="208">
        <v>0</v>
      </c>
      <c r="G35" s="208">
        <v>0</v>
      </c>
      <c r="H35" s="208">
        <v>0.14285714285714285</v>
      </c>
      <c r="I35" s="208">
        <v>1</v>
      </c>
      <c r="J35" s="208">
        <v>0</v>
      </c>
      <c r="K35" s="208">
        <v>0</v>
      </c>
      <c r="L35" s="208">
        <v>0</v>
      </c>
      <c r="M35" s="208">
        <v>0</v>
      </c>
      <c r="N35" s="208">
        <v>0</v>
      </c>
      <c r="O35" s="208">
        <v>0</v>
      </c>
      <c r="P35" s="208">
        <v>0.14285714285714285</v>
      </c>
      <c r="Q35" s="208">
        <v>0.2857142857142857</v>
      </c>
      <c r="R35" s="208">
        <v>0.14285714285714285</v>
      </c>
      <c r="S35" s="208">
        <v>0.2857142857142857</v>
      </c>
      <c r="T35" s="208">
        <v>0.14285714285714285</v>
      </c>
      <c r="U35" s="208">
        <v>0</v>
      </c>
      <c r="V35" s="208">
        <v>0</v>
      </c>
      <c r="W35" s="208">
        <v>0</v>
      </c>
      <c r="X35" s="208">
        <v>0</v>
      </c>
      <c r="Y35" s="208">
        <v>0.14285714285714285</v>
      </c>
      <c r="Z35" s="208">
        <v>0</v>
      </c>
      <c r="AA35" s="208">
        <v>0</v>
      </c>
      <c r="AB35" s="208">
        <v>0</v>
      </c>
      <c r="AC35" s="208">
        <v>0</v>
      </c>
      <c r="AD35" s="208">
        <v>0.42857142857142855</v>
      </c>
      <c r="AE35" s="208">
        <v>0.5714285714285714</v>
      </c>
      <c r="AF35" s="208">
        <v>0</v>
      </c>
      <c r="AG35" s="208">
        <v>0</v>
      </c>
      <c r="AH35" s="208">
        <v>0</v>
      </c>
      <c r="AI35" s="208">
        <v>0</v>
      </c>
      <c r="AJ35" s="208">
        <v>0.2857142857142857</v>
      </c>
      <c r="AK35" s="208">
        <v>0</v>
      </c>
      <c r="AL35" s="208">
        <v>0</v>
      </c>
      <c r="AM35" s="208">
        <v>0.7142857142857143</v>
      </c>
      <c r="AN35" s="208">
        <v>0</v>
      </c>
      <c r="AO35" s="208">
        <v>0</v>
      </c>
      <c r="AP35" s="208">
        <v>0</v>
      </c>
      <c r="AQ35" s="208">
        <v>0.8571428571428571</v>
      </c>
      <c r="AR35" s="208">
        <v>0.14285714285714285</v>
      </c>
      <c r="AS35" s="208">
        <v>0</v>
      </c>
      <c r="AT35" s="208">
        <v>0.42857142857142855</v>
      </c>
      <c r="AU35" s="208">
        <v>0</v>
      </c>
      <c r="AV35" s="208">
        <v>0.2857142857142857</v>
      </c>
      <c r="AW35" s="208">
        <v>0.14285714285714285</v>
      </c>
    </row>
    <row r="36" spans="2:49">
      <c r="B36" s="91" t="s">
        <v>453</v>
      </c>
      <c r="C36" s="18">
        <v>3</v>
      </c>
      <c r="D36" s="208">
        <v>0.33333333333333331</v>
      </c>
      <c r="E36" s="208">
        <v>0.66666666666666663</v>
      </c>
      <c r="F36" s="208">
        <v>0</v>
      </c>
      <c r="G36" s="208">
        <v>0</v>
      </c>
      <c r="H36" s="208">
        <v>0.33333333333333331</v>
      </c>
      <c r="I36" s="208">
        <v>1</v>
      </c>
      <c r="J36" s="208">
        <v>0</v>
      </c>
      <c r="K36" s="208">
        <v>0</v>
      </c>
      <c r="L36" s="208">
        <v>0</v>
      </c>
      <c r="M36" s="208">
        <v>0</v>
      </c>
      <c r="N36" s="208">
        <v>0</v>
      </c>
      <c r="O36" s="208">
        <v>0</v>
      </c>
      <c r="P36" s="208">
        <v>0</v>
      </c>
      <c r="Q36" s="208">
        <v>0</v>
      </c>
      <c r="R36" s="208">
        <v>1</v>
      </c>
      <c r="S36" s="208">
        <v>0</v>
      </c>
      <c r="T36" s="208">
        <v>0</v>
      </c>
      <c r="U36" s="208">
        <v>0</v>
      </c>
      <c r="V36" s="208">
        <v>0</v>
      </c>
      <c r="W36" s="208">
        <v>0.33333333333333331</v>
      </c>
      <c r="X36" s="208">
        <v>0</v>
      </c>
      <c r="Y36" s="208">
        <v>0</v>
      </c>
      <c r="Z36" s="208">
        <v>0</v>
      </c>
      <c r="AA36" s="208">
        <v>0</v>
      </c>
      <c r="AB36" s="208">
        <v>0</v>
      </c>
      <c r="AC36" s="208">
        <v>0</v>
      </c>
      <c r="AD36" s="208">
        <v>0.33333333333333331</v>
      </c>
      <c r="AE36" s="208">
        <v>0.66666666666666663</v>
      </c>
      <c r="AF36" s="208">
        <v>0</v>
      </c>
      <c r="AG36" s="208">
        <v>0</v>
      </c>
      <c r="AH36" s="208">
        <v>0</v>
      </c>
      <c r="AI36" s="208">
        <v>0</v>
      </c>
      <c r="AJ36" s="208">
        <v>0.66666666666666663</v>
      </c>
      <c r="AK36" s="208">
        <v>0</v>
      </c>
      <c r="AL36" s="208">
        <v>0</v>
      </c>
      <c r="AM36" s="208">
        <v>0</v>
      </c>
      <c r="AN36" s="208">
        <v>0</v>
      </c>
      <c r="AO36" s="208">
        <v>0.33333333333333331</v>
      </c>
      <c r="AP36" s="208">
        <v>0</v>
      </c>
      <c r="AQ36" s="208">
        <v>1</v>
      </c>
      <c r="AR36" s="208">
        <v>0</v>
      </c>
      <c r="AS36" s="208">
        <v>0</v>
      </c>
      <c r="AT36" s="208">
        <v>0</v>
      </c>
      <c r="AU36" s="208">
        <v>0.33333333333333331</v>
      </c>
      <c r="AV36" s="208">
        <v>0.66666666666666663</v>
      </c>
      <c r="AW36" s="208">
        <v>0</v>
      </c>
    </row>
    <row r="37" spans="2:49">
      <c r="B37" s="91" t="s">
        <v>159</v>
      </c>
      <c r="C37" s="18">
        <v>3</v>
      </c>
      <c r="D37" s="208">
        <v>0.33333333333333331</v>
      </c>
      <c r="E37" s="208">
        <v>0.66666666666666663</v>
      </c>
      <c r="F37" s="208">
        <v>0</v>
      </c>
      <c r="G37" s="208">
        <v>0</v>
      </c>
      <c r="H37" s="208">
        <v>0.33333333333333331</v>
      </c>
      <c r="I37" s="208">
        <v>0.66666666666666663</v>
      </c>
      <c r="J37" s="208">
        <v>0</v>
      </c>
      <c r="K37" s="208">
        <v>0</v>
      </c>
      <c r="L37" s="208">
        <v>0</v>
      </c>
      <c r="M37" s="208">
        <v>0</v>
      </c>
      <c r="N37" s="208">
        <v>0</v>
      </c>
      <c r="O37" s="208">
        <v>0</v>
      </c>
      <c r="P37" s="208">
        <v>0.33333333333333331</v>
      </c>
      <c r="Q37" s="208">
        <v>0</v>
      </c>
      <c r="R37" s="208">
        <v>0.33333333333333331</v>
      </c>
      <c r="S37" s="208">
        <v>0</v>
      </c>
      <c r="T37" s="208">
        <v>0.33333333333333331</v>
      </c>
      <c r="U37" s="208">
        <v>0</v>
      </c>
      <c r="V37" s="208">
        <v>0</v>
      </c>
      <c r="W37" s="208">
        <v>0</v>
      </c>
      <c r="X37" s="208">
        <v>0</v>
      </c>
      <c r="Y37" s="208">
        <v>0</v>
      </c>
      <c r="Z37" s="208">
        <v>0</v>
      </c>
      <c r="AA37" s="208">
        <v>0</v>
      </c>
      <c r="AB37" s="208">
        <v>0</v>
      </c>
      <c r="AC37" s="208">
        <v>0</v>
      </c>
      <c r="AD37" s="208">
        <v>0.66666666666666663</v>
      </c>
      <c r="AE37" s="208">
        <v>0.33333333333333331</v>
      </c>
      <c r="AF37" s="208">
        <v>0</v>
      </c>
      <c r="AG37" s="208">
        <v>0</v>
      </c>
      <c r="AH37" s="208">
        <v>0</v>
      </c>
      <c r="AI37" s="208">
        <v>0</v>
      </c>
      <c r="AJ37" s="208">
        <v>0.66666666666666663</v>
      </c>
      <c r="AK37" s="208">
        <v>0</v>
      </c>
      <c r="AL37" s="208">
        <v>0</v>
      </c>
      <c r="AM37" s="208">
        <v>0.33333333333333331</v>
      </c>
      <c r="AN37" s="208">
        <v>0</v>
      </c>
      <c r="AO37" s="208">
        <v>0</v>
      </c>
      <c r="AP37" s="208">
        <v>0</v>
      </c>
      <c r="AQ37" s="208">
        <v>1</v>
      </c>
      <c r="AR37" s="208">
        <v>0</v>
      </c>
      <c r="AS37" s="208">
        <v>0</v>
      </c>
      <c r="AT37" s="208">
        <v>0.33333333333333331</v>
      </c>
      <c r="AU37" s="208">
        <v>0</v>
      </c>
      <c r="AV37" s="208">
        <v>0.66666666666666663</v>
      </c>
      <c r="AW37" s="208">
        <v>0</v>
      </c>
    </row>
    <row r="38" spans="2:49">
      <c r="B38" s="91" t="s">
        <v>421</v>
      </c>
      <c r="C38" s="18">
        <v>2</v>
      </c>
      <c r="D38" s="208">
        <v>1</v>
      </c>
      <c r="E38" s="208">
        <v>0</v>
      </c>
      <c r="F38" s="208">
        <v>0</v>
      </c>
      <c r="G38" s="208">
        <v>0</v>
      </c>
      <c r="H38" s="208">
        <v>0</v>
      </c>
      <c r="I38" s="208">
        <v>1</v>
      </c>
      <c r="J38" s="208">
        <v>0</v>
      </c>
      <c r="K38" s="208">
        <v>0</v>
      </c>
      <c r="L38" s="208">
        <v>0</v>
      </c>
      <c r="M38" s="208">
        <v>0</v>
      </c>
      <c r="N38" s="208">
        <v>0</v>
      </c>
      <c r="O38" s="208">
        <v>0</v>
      </c>
      <c r="P38" s="208">
        <v>0</v>
      </c>
      <c r="Q38" s="208">
        <v>0</v>
      </c>
      <c r="R38" s="208">
        <v>0</v>
      </c>
      <c r="S38" s="208">
        <v>0</v>
      </c>
      <c r="T38" s="208">
        <v>1</v>
      </c>
      <c r="U38" s="208">
        <v>0</v>
      </c>
      <c r="V38" s="208">
        <v>0</v>
      </c>
      <c r="W38" s="208">
        <v>1</v>
      </c>
      <c r="X38" s="208">
        <v>0</v>
      </c>
      <c r="Y38" s="208">
        <v>0</v>
      </c>
      <c r="Z38" s="208">
        <v>0</v>
      </c>
      <c r="AA38" s="208">
        <v>0</v>
      </c>
      <c r="AB38" s="208">
        <v>0</v>
      </c>
      <c r="AC38" s="208">
        <v>0</v>
      </c>
      <c r="AD38" s="208">
        <v>0</v>
      </c>
      <c r="AE38" s="208">
        <v>0.5</v>
      </c>
      <c r="AF38" s="208">
        <v>0</v>
      </c>
      <c r="AG38" s="208">
        <v>0</v>
      </c>
      <c r="AH38" s="208">
        <v>0</v>
      </c>
      <c r="AI38" s="208">
        <v>0</v>
      </c>
      <c r="AJ38" s="208">
        <v>1</v>
      </c>
      <c r="AK38" s="208">
        <v>0</v>
      </c>
      <c r="AL38" s="208">
        <v>0</v>
      </c>
      <c r="AM38" s="208">
        <v>0</v>
      </c>
      <c r="AN38" s="208">
        <v>0</v>
      </c>
      <c r="AO38" s="208">
        <v>0</v>
      </c>
      <c r="AP38" s="208">
        <v>0</v>
      </c>
      <c r="AQ38" s="208">
        <v>0.5</v>
      </c>
      <c r="AR38" s="208">
        <v>0.5</v>
      </c>
      <c r="AS38" s="208">
        <v>0</v>
      </c>
      <c r="AT38" s="208">
        <v>0</v>
      </c>
      <c r="AU38" s="208">
        <v>0</v>
      </c>
      <c r="AV38" s="208">
        <v>0.5</v>
      </c>
      <c r="AW38" s="208">
        <v>0</v>
      </c>
    </row>
    <row r="39" spans="2:49">
      <c r="B39" s="91" t="s">
        <v>456</v>
      </c>
      <c r="C39" s="18">
        <v>1</v>
      </c>
      <c r="D39" s="208">
        <v>1</v>
      </c>
      <c r="E39" s="208">
        <v>0</v>
      </c>
      <c r="F39" s="208">
        <v>0</v>
      </c>
      <c r="G39" s="208">
        <v>0</v>
      </c>
      <c r="H39" s="208">
        <v>0</v>
      </c>
      <c r="I39" s="208">
        <v>1</v>
      </c>
      <c r="J39" s="208">
        <v>0</v>
      </c>
      <c r="K39" s="208">
        <v>0</v>
      </c>
      <c r="L39" s="208">
        <v>0</v>
      </c>
      <c r="M39" s="208">
        <v>0</v>
      </c>
      <c r="N39" s="208">
        <v>0</v>
      </c>
      <c r="O39" s="208">
        <v>0</v>
      </c>
      <c r="P39" s="208">
        <v>0</v>
      </c>
      <c r="Q39" s="208">
        <v>0</v>
      </c>
      <c r="R39" s="208">
        <v>0</v>
      </c>
      <c r="S39" s="208">
        <v>1</v>
      </c>
      <c r="T39" s="208">
        <v>0</v>
      </c>
      <c r="U39" s="208">
        <v>0</v>
      </c>
      <c r="V39" s="208">
        <v>1</v>
      </c>
      <c r="W39" s="208">
        <v>0</v>
      </c>
      <c r="X39" s="208">
        <v>0</v>
      </c>
      <c r="Y39" s="208">
        <v>0</v>
      </c>
      <c r="Z39" s="208">
        <v>0</v>
      </c>
      <c r="AA39" s="208">
        <v>0</v>
      </c>
      <c r="AB39" s="208">
        <v>0</v>
      </c>
      <c r="AC39" s="208">
        <v>0</v>
      </c>
      <c r="AD39" s="208">
        <v>0</v>
      </c>
      <c r="AE39" s="208">
        <v>1</v>
      </c>
      <c r="AF39" s="208">
        <v>0</v>
      </c>
      <c r="AG39" s="208">
        <v>0</v>
      </c>
      <c r="AH39" s="208">
        <v>0</v>
      </c>
      <c r="AI39" s="208">
        <v>0</v>
      </c>
      <c r="AJ39" s="208">
        <v>1</v>
      </c>
      <c r="AK39" s="208">
        <v>0</v>
      </c>
      <c r="AL39" s="208">
        <v>0</v>
      </c>
      <c r="AM39" s="208">
        <v>0</v>
      </c>
      <c r="AN39" s="208">
        <v>0</v>
      </c>
      <c r="AO39" s="208">
        <v>0</v>
      </c>
      <c r="AP39" s="208">
        <v>0</v>
      </c>
      <c r="AQ39" s="208">
        <v>1</v>
      </c>
      <c r="AR39" s="208">
        <v>0</v>
      </c>
      <c r="AS39" s="208">
        <v>0</v>
      </c>
      <c r="AT39" s="208">
        <v>0</v>
      </c>
      <c r="AU39" s="208">
        <v>1</v>
      </c>
      <c r="AV39" s="208">
        <v>0</v>
      </c>
      <c r="AW39" s="208">
        <v>0</v>
      </c>
    </row>
    <row r="40" spans="2:49">
      <c r="B40" s="91" t="s">
        <v>163</v>
      </c>
      <c r="C40" s="18">
        <v>3</v>
      </c>
      <c r="D40" s="208">
        <v>0.66666666666666663</v>
      </c>
      <c r="E40" s="208">
        <v>0.33333333333333331</v>
      </c>
      <c r="F40" s="208">
        <v>0</v>
      </c>
      <c r="G40" s="208">
        <v>0</v>
      </c>
      <c r="H40" s="208">
        <v>0.66666666666666663</v>
      </c>
      <c r="I40" s="208">
        <v>0.66666666666666663</v>
      </c>
      <c r="J40" s="208">
        <v>0</v>
      </c>
      <c r="K40" s="208">
        <v>0</v>
      </c>
      <c r="L40" s="208">
        <v>0</v>
      </c>
      <c r="M40" s="208">
        <v>0</v>
      </c>
      <c r="N40" s="208">
        <v>0</v>
      </c>
      <c r="O40" s="208">
        <v>0.33333333333333331</v>
      </c>
      <c r="P40" s="208">
        <v>0</v>
      </c>
      <c r="Q40" s="208">
        <v>0</v>
      </c>
      <c r="R40" s="208">
        <v>0.33333333333333331</v>
      </c>
      <c r="S40" s="208">
        <v>0</v>
      </c>
      <c r="T40" s="208">
        <v>0.33333333333333331</v>
      </c>
      <c r="U40" s="208">
        <v>0</v>
      </c>
      <c r="V40" s="208">
        <v>0</v>
      </c>
      <c r="W40" s="208">
        <v>0.33333333333333331</v>
      </c>
      <c r="X40" s="208">
        <v>0</v>
      </c>
      <c r="Y40" s="208">
        <v>0</v>
      </c>
      <c r="Z40" s="208">
        <v>0</v>
      </c>
      <c r="AA40" s="208">
        <v>0</v>
      </c>
      <c r="AB40" s="208">
        <v>0.33333333333333331</v>
      </c>
      <c r="AC40" s="208">
        <v>0</v>
      </c>
      <c r="AD40" s="208">
        <v>0.66666666666666663</v>
      </c>
      <c r="AE40" s="208">
        <v>0</v>
      </c>
      <c r="AF40" s="208">
        <v>0</v>
      </c>
      <c r="AG40" s="208">
        <v>0</v>
      </c>
      <c r="AH40" s="208">
        <v>0</v>
      </c>
      <c r="AI40" s="208">
        <v>0</v>
      </c>
      <c r="AJ40" s="208">
        <v>0.33333333333333331</v>
      </c>
      <c r="AK40" s="208">
        <v>0</v>
      </c>
      <c r="AL40" s="208">
        <v>0</v>
      </c>
      <c r="AM40" s="208">
        <v>0</v>
      </c>
      <c r="AN40" s="208">
        <v>0</v>
      </c>
      <c r="AO40" s="208">
        <v>0.33333333333333331</v>
      </c>
      <c r="AP40" s="208">
        <v>0</v>
      </c>
      <c r="AQ40" s="208">
        <v>1</v>
      </c>
      <c r="AR40" s="208">
        <v>0</v>
      </c>
      <c r="AS40" s="208">
        <v>0</v>
      </c>
      <c r="AT40" s="208">
        <v>0</v>
      </c>
      <c r="AU40" s="208">
        <v>0.33333333333333331</v>
      </c>
      <c r="AV40" s="208">
        <v>0.33333333333333331</v>
      </c>
      <c r="AW40" s="208">
        <v>0</v>
      </c>
    </row>
    <row r="41" spans="2:49">
      <c r="B41" s="91" t="s">
        <v>515</v>
      </c>
      <c r="C41" s="18">
        <v>1</v>
      </c>
      <c r="D41" s="208">
        <v>1</v>
      </c>
      <c r="E41" s="208">
        <v>0</v>
      </c>
      <c r="F41" s="208">
        <v>0</v>
      </c>
      <c r="G41" s="208">
        <v>0</v>
      </c>
      <c r="H41" s="208">
        <v>0</v>
      </c>
      <c r="I41" s="208">
        <v>1</v>
      </c>
      <c r="J41" s="208">
        <v>0</v>
      </c>
      <c r="K41" s="208">
        <v>0</v>
      </c>
      <c r="L41" s="208">
        <v>0</v>
      </c>
      <c r="M41" s="208">
        <v>0</v>
      </c>
      <c r="N41" s="208">
        <v>0</v>
      </c>
      <c r="O41" s="208">
        <v>0</v>
      </c>
      <c r="P41" s="208">
        <v>0</v>
      </c>
      <c r="Q41" s="208">
        <v>1</v>
      </c>
      <c r="R41" s="208">
        <v>0</v>
      </c>
      <c r="S41" s="208">
        <v>0</v>
      </c>
      <c r="T41" s="208">
        <v>0</v>
      </c>
      <c r="U41" s="208">
        <v>0</v>
      </c>
      <c r="V41" s="208">
        <v>0</v>
      </c>
      <c r="W41" s="208">
        <v>0</v>
      </c>
      <c r="X41" s="208">
        <v>0</v>
      </c>
      <c r="Y41" s="208">
        <v>0</v>
      </c>
      <c r="Z41" s="208">
        <v>0</v>
      </c>
      <c r="AA41" s="208">
        <v>0</v>
      </c>
      <c r="AB41" s="208">
        <v>0</v>
      </c>
      <c r="AC41" s="208">
        <v>0</v>
      </c>
      <c r="AD41" s="208">
        <v>0</v>
      </c>
      <c r="AE41" s="208">
        <v>0</v>
      </c>
      <c r="AF41" s="208">
        <v>0</v>
      </c>
      <c r="AG41" s="208">
        <v>1</v>
      </c>
      <c r="AH41" s="208">
        <v>0</v>
      </c>
      <c r="AI41" s="208">
        <v>0</v>
      </c>
      <c r="AJ41" s="208">
        <v>0</v>
      </c>
      <c r="AK41" s="208">
        <v>0</v>
      </c>
      <c r="AL41" s="208">
        <v>0</v>
      </c>
      <c r="AM41" s="208">
        <v>1</v>
      </c>
      <c r="AN41" s="208">
        <v>0</v>
      </c>
      <c r="AO41" s="208">
        <v>0</v>
      </c>
      <c r="AP41" s="208">
        <v>0</v>
      </c>
      <c r="AQ41" s="208">
        <v>1</v>
      </c>
      <c r="AR41" s="208">
        <v>0</v>
      </c>
      <c r="AS41" s="208">
        <v>0</v>
      </c>
      <c r="AT41" s="208">
        <v>1</v>
      </c>
      <c r="AU41" s="208">
        <v>0</v>
      </c>
      <c r="AV41" s="208">
        <v>0</v>
      </c>
      <c r="AW41" s="208">
        <v>0</v>
      </c>
    </row>
    <row r="42" spans="2:49">
      <c r="B42" s="91" t="s">
        <v>134</v>
      </c>
      <c r="C42" s="18">
        <v>3</v>
      </c>
      <c r="D42" s="208">
        <v>0.66666666666666663</v>
      </c>
      <c r="E42" s="208">
        <v>0.33333333333333331</v>
      </c>
      <c r="F42" s="208">
        <v>0</v>
      </c>
      <c r="G42" s="208">
        <v>0</v>
      </c>
      <c r="H42" s="208">
        <v>0</v>
      </c>
      <c r="I42" s="208">
        <v>0.33333333333333331</v>
      </c>
      <c r="J42" s="208">
        <v>0</v>
      </c>
      <c r="K42" s="208">
        <v>0</v>
      </c>
      <c r="L42" s="208">
        <v>0</v>
      </c>
      <c r="M42" s="208">
        <v>0.33333333333333331</v>
      </c>
      <c r="N42" s="208">
        <v>0</v>
      </c>
      <c r="O42" s="208">
        <v>0</v>
      </c>
      <c r="P42" s="208">
        <v>0</v>
      </c>
      <c r="Q42" s="208">
        <v>0</v>
      </c>
      <c r="R42" s="208">
        <v>0</v>
      </c>
      <c r="S42" s="208">
        <v>0.33333333333333331</v>
      </c>
      <c r="T42" s="208">
        <v>0.66666666666666663</v>
      </c>
      <c r="U42" s="208">
        <v>0</v>
      </c>
      <c r="V42" s="208">
        <v>0</v>
      </c>
      <c r="W42" s="208">
        <v>0</v>
      </c>
      <c r="X42" s="208">
        <v>0</v>
      </c>
      <c r="Y42" s="208">
        <v>0</v>
      </c>
      <c r="Z42" s="208">
        <v>0</v>
      </c>
      <c r="AA42" s="208">
        <v>0</v>
      </c>
      <c r="AB42" s="208">
        <v>0.33333333333333331</v>
      </c>
      <c r="AC42" s="208">
        <v>0</v>
      </c>
      <c r="AD42" s="208">
        <v>0.66666666666666663</v>
      </c>
      <c r="AE42" s="208">
        <v>0</v>
      </c>
      <c r="AF42" s="208">
        <v>0</v>
      </c>
      <c r="AG42" s="208">
        <v>0</v>
      </c>
      <c r="AH42" s="208">
        <v>0</v>
      </c>
      <c r="AI42" s="208">
        <v>0</v>
      </c>
      <c r="AJ42" s="208">
        <v>0.66666666666666663</v>
      </c>
      <c r="AK42" s="208">
        <v>0</v>
      </c>
      <c r="AL42" s="208">
        <v>0</v>
      </c>
      <c r="AM42" s="208">
        <v>0</v>
      </c>
      <c r="AN42" s="208">
        <v>0</v>
      </c>
      <c r="AO42" s="208">
        <v>0</v>
      </c>
      <c r="AP42" s="208">
        <v>0</v>
      </c>
      <c r="AQ42" s="208">
        <v>0.66666666666666663</v>
      </c>
      <c r="AR42" s="208">
        <v>0</v>
      </c>
      <c r="AS42" s="208">
        <v>0</v>
      </c>
      <c r="AT42" s="208">
        <v>0</v>
      </c>
      <c r="AU42" s="208">
        <v>0</v>
      </c>
      <c r="AV42" s="208">
        <v>1</v>
      </c>
      <c r="AW42" s="208">
        <v>0</v>
      </c>
    </row>
    <row r="43" spans="2:49">
      <c r="B43" s="91" t="s">
        <v>116</v>
      </c>
      <c r="C43" s="18">
        <v>4</v>
      </c>
      <c r="D43" s="208">
        <v>0.5</v>
      </c>
      <c r="E43" s="208">
        <v>0.5</v>
      </c>
      <c r="F43" s="208">
        <v>0</v>
      </c>
      <c r="G43" s="208">
        <v>0</v>
      </c>
      <c r="H43" s="208">
        <v>0.25</v>
      </c>
      <c r="I43" s="208">
        <v>0.75</v>
      </c>
      <c r="J43" s="208">
        <v>0</v>
      </c>
      <c r="K43" s="208">
        <v>0</v>
      </c>
      <c r="L43" s="208">
        <v>0</v>
      </c>
      <c r="M43" s="208">
        <v>0</v>
      </c>
      <c r="N43" s="208">
        <v>0</v>
      </c>
      <c r="O43" s="208">
        <v>0</v>
      </c>
      <c r="P43" s="208">
        <v>0</v>
      </c>
      <c r="Q43" s="208">
        <v>0.25</v>
      </c>
      <c r="R43" s="208">
        <v>0.25</v>
      </c>
      <c r="S43" s="208">
        <v>0.25</v>
      </c>
      <c r="T43" s="208">
        <v>0.25</v>
      </c>
      <c r="U43" s="208">
        <v>0</v>
      </c>
      <c r="V43" s="208">
        <v>0</v>
      </c>
      <c r="W43" s="208">
        <v>0</v>
      </c>
      <c r="X43" s="208">
        <v>0.25</v>
      </c>
      <c r="Y43" s="208">
        <v>0</v>
      </c>
      <c r="Z43" s="208">
        <v>0</v>
      </c>
      <c r="AA43" s="208">
        <v>0</v>
      </c>
      <c r="AB43" s="208">
        <v>0.25</v>
      </c>
      <c r="AC43" s="208">
        <v>0.25</v>
      </c>
      <c r="AD43" s="208">
        <v>0.25</v>
      </c>
      <c r="AE43" s="208">
        <v>0</v>
      </c>
      <c r="AF43" s="208">
        <v>0</v>
      </c>
      <c r="AG43" s="208">
        <v>0.25</v>
      </c>
      <c r="AH43" s="208">
        <v>0</v>
      </c>
      <c r="AI43" s="208">
        <v>0</v>
      </c>
      <c r="AJ43" s="208">
        <v>0.25</v>
      </c>
      <c r="AK43" s="208">
        <v>0</v>
      </c>
      <c r="AL43" s="208">
        <v>0</v>
      </c>
      <c r="AM43" s="208">
        <v>0.5</v>
      </c>
      <c r="AN43" s="208">
        <v>0</v>
      </c>
      <c r="AO43" s="208">
        <v>0</v>
      </c>
      <c r="AP43" s="208">
        <v>0</v>
      </c>
      <c r="AQ43" s="208">
        <v>0.75</v>
      </c>
      <c r="AR43" s="208">
        <v>0</v>
      </c>
      <c r="AS43" s="208">
        <v>0</v>
      </c>
      <c r="AT43" s="208">
        <v>0.5</v>
      </c>
      <c r="AU43" s="208">
        <v>0</v>
      </c>
      <c r="AV43" s="208">
        <v>0.25</v>
      </c>
      <c r="AW43" s="208">
        <v>0</v>
      </c>
    </row>
    <row r="44" spans="2:49">
      <c r="B44" s="91" t="s">
        <v>167</v>
      </c>
      <c r="C44" s="18">
        <v>1</v>
      </c>
      <c r="D44" s="208">
        <v>1</v>
      </c>
      <c r="E44" s="208">
        <v>0</v>
      </c>
      <c r="F44" s="208">
        <v>0</v>
      </c>
      <c r="G44" s="208">
        <v>0</v>
      </c>
      <c r="H44" s="208">
        <v>0</v>
      </c>
      <c r="I44" s="208">
        <v>1</v>
      </c>
      <c r="J44" s="208">
        <v>0</v>
      </c>
      <c r="K44" s="208">
        <v>0</v>
      </c>
      <c r="L44" s="208">
        <v>0</v>
      </c>
      <c r="M44" s="208">
        <v>0</v>
      </c>
      <c r="N44" s="208">
        <v>0</v>
      </c>
      <c r="O44" s="208">
        <v>0</v>
      </c>
      <c r="P44" s="208">
        <v>0</v>
      </c>
      <c r="Q44" s="208">
        <v>0</v>
      </c>
      <c r="R44" s="208">
        <v>0</v>
      </c>
      <c r="S44" s="208">
        <v>1</v>
      </c>
      <c r="T44" s="208">
        <v>0</v>
      </c>
      <c r="U44" s="208">
        <v>0</v>
      </c>
      <c r="V44" s="208">
        <v>0</v>
      </c>
      <c r="W44" s="208">
        <v>0</v>
      </c>
      <c r="X44" s="208">
        <v>0</v>
      </c>
      <c r="Y44" s="208">
        <v>0</v>
      </c>
      <c r="Z44" s="208">
        <v>0</v>
      </c>
      <c r="AA44" s="208">
        <v>0</v>
      </c>
      <c r="AB44" s="208">
        <v>1</v>
      </c>
      <c r="AC44" s="208">
        <v>0</v>
      </c>
      <c r="AD44" s="208">
        <v>0</v>
      </c>
      <c r="AE44" s="208">
        <v>0</v>
      </c>
      <c r="AF44" s="208">
        <v>0</v>
      </c>
      <c r="AG44" s="208">
        <v>0</v>
      </c>
      <c r="AH44" s="208">
        <v>0</v>
      </c>
      <c r="AI44" s="208">
        <v>0</v>
      </c>
      <c r="AJ44" s="208">
        <v>1</v>
      </c>
      <c r="AK44" s="208">
        <v>0</v>
      </c>
      <c r="AL44" s="208">
        <v>0</v>
      </c>
      <c r="AM44" s="208">
        <v>0</v>
      </c>
      <c r="AN44" s="208">
        <v>0</v>
      </c>
      <c r="AO44" s="208">
        <v>0</v>
      </c>
      <c r="AP44" s="208">
        <v>0</v>
      </c>
      <c r="AQ44" s="208">
        <v>0</v>
      </c>
      <c r="AR44" s="208">
        <v>0</v>
      </c>
      <c r="AS44" s="208">
        <v>1</v>
      </c>
      <c r="AT44" s="208">
        <v>0</v>
      </c>
      <c r="AU44" s="208">
        <v>0</v>
      </c>
      <c r="AV44" s="208">
        <v>1</v>
      </c>
      <c r="AW44" s="208">
        <v>0</v>
      </c>
    </row>
    <row r="45" spans="2:49">
      <c r="B45" s="91" t="s">
        <v>149</v>
      </c>
      <c r="C45" s="18">
        <v>1</v>
      </c>
      <c r="D45" s="208">
        <v>1</v>
      </c>
      <c r="E45" s="208">
        <v>0</v>
      </c>
      <c r="F45" s="208">
        <v>0</v>
      </c>
      <c r="G45" s="208">
        <v>0</v>
      </c>
      <c r="H45" s="208">
        <v>0</v>
      </c>
      <c r="I45" s="208">
        <v>0</v>
      </c>
      <c r="J45" s="208">
        <v>0</v>
      </c>
      <c r="K45" s="208">
        <v>0</v>
      </c>
      <c r="L45" s="208">
        <v>0</v>
      </c>
      <c r="M45" s="208">
        <v>1</v>
      </c>
      <c r="N45" s="208">
        <v>0</v>
      </c>
      <c r="O45" s="208">
        <v>0</v>
      </c>
      <c r="P45" s="208">
        <v>0</v>
      </c>
      <c r="Q45" s="208">
        <v>1</v>
      </c>
      <c r="R45" s="208">
        <v>0</v>
      </c>
      <c r="S45" s="208">
        <v>0</v>
      </c>
      <c r="T45" s="208">
        <v>0</v>
      </c>
      <c r="U45" s="208">
        <v>1</v>
      </c>
      <c r="V45" s="208">
        <v>0</v>
      </c>
      <c r="W45" s="208">
        <v>0</v>
      </c>
      <c r="X45" s="208">
        <v>0</v>
      </c>
      <c r="Y45" s="208">
        <v>0</v>
      </c>
      <c r="Z45" s="208">
        <v>0</v>
      </c>
      <c r="AA45" s="208">
        <v>0</v>
      </c>
      <c r="AB45" s="208">
        <v>0</v>
      </c>
      <c r="AC45" s="208">
        <v>0</v>
      </c>
      <c r="AD45" s="208">
        <v>1</v>
      </c>
      <c r="AE45" s="208">
        <v>0</v>
      </c>
      <c r="AF45" s="208">
        <v>0</v>
      </c>
      <c r="AG45" s="208">
        <v>0</v>
      </c>
      <c r="AH45" s="208">
        <v>0</v>
      </c>
      <c r="AI45" s="208">
        <v>0</v>
      </c>
      <c r="AJ45" s="208">
        <v>1</v>
      </c>
      <c r="AK45" s="208">
        <v>0</v>
      </c>
      <c r="AL45" s="208">
        <v>0</v>
      </c>
      <c r="AM45" s="208">
        <v>0</v>
      </c>
      <c r="AN45" s="208">
        <v>0</v>
      </c>
      <c r="AO45" s="208">
        <v>0</v>
      </c>
      <c r="AP45" s="208">
        <v>0</v>
      </c>
      <c r="AQ45" s="208">
        <v>1</v>
      </c>
      <c r="AR45" s="208">
        <v>0</v>
      </c>
      <c r="AS45" s="208">
        <v>0</v>
      </c>
      <c r="AT45" s="208">
        <v>0</v>
      </c>
      <c r="AU45" s="208">
        <v>0</v>
      </c>
      <c r="AV45" s="208">
        <v>1</v>
      </c>
      <c r="AW45" s="208">
        <v>0</v>
      </c>
    </row>
    <row r="46" spans="2:49">
      <c r="B46" s="91" t="s">
        <v>429</v>
      </c>
      <c r="C46" s="18">
        <v>1</v>
      </c>
      <c r="D46" s="208">
        <v>1</v>
      </c>
      <c r="E46" s="208">
        <v>0</v>
      </c>
      <c r="F46" s="208">
        <v>0</v>
      </c>
      <c r="G46" s="208">
        <v>0</v>
      </c>
      <c r="H46" s="208">
        <v>0</v>
      </c>
      <c r="I46" s="208">
        <v>1</v>
      </c>
      <c r="J46" s="208">
        <v>0</v>
      </c>
      <c r="K46" s="208">
        <v>0</v>
      </c>
      <c r="L46" s="208">
        <v>0</v>
      </c>
      <c r="M46" s="208">
        <v>0</v>
      </c>
      <c r="N46" s="208">
        <v>0</v>
      </c>
      <c r="O46" s="208">
        <v>0</v>
      </c>
      <c r="P46" s="208">
        <v>0</v>
      </c>
      <c r="Q46" s="208">
        <v>0</v>
      </c>
      <c r="R46" s="208">
        <v>0</v>
      </c>
      <c r="S46" s="208">
        <v>1</v>
      </c>
      <c r="T46" s="208">
        <v>0</v>
      </c>
      <c r="U46" s="208">
        <v>0</v>
      </c>
      <c r="V46" s="208">
        <v>0</v>
      </c>
      <c r="W46" s="208">
        <v>0</v>
      </c>
      <c r="X46" s="208">
        <v>1</v>
      </c>
      <c r="Y46" s="208">
        <v>0</v>
      </c>
      <c r="Z46" s="208">
        <v>0</v>
      </c>
      <c r="AA46" s="208">
        <v>0</v>
      </c>
      <c r="AB46" s="208">
        <v>0</v>
      </c>
      <c r="AC46" s="208">
        <v>0</v>
      </c>
      <c r="AD46" s="208">
        <v>0</v>
      </c>
      <c r="AE46" s="208">
        <v>0</v>
      </c>
      <c r="AF46" s="208">
        <v>0</v>
      </c>
      <c r="AG46" s="208">
        <v>1</v>
      </c>
      <c r="AH46" s="208">
        <v>0</v>
      </c>
      <c r="AI46" s="208">
        <v>0</v>
      </c>
      <c r="AJ46" s="208">
        <v>1</v>
      </c>
      <c r="AK46" s="208">
        <v>0</v>
      </c>
      <c r="AL46" s="208">
        <v>0</v>
      </c>
      <c r="AM46" s="208">
        <v>0</v>
      </c>
      <c r="AN46" s="208">
        <v>0</v>
      </c>
      <c r="AO46" s="208">
        <v>0</v>
      </c>
      <c r="AP46" s="208">
        <v>0</v>
      </c>
      <c r="AQ46" s="208">
        <v>1</v>
      </c>
      <c r="AR46" s="208">
        <v>0</v>
      </c>
      <c r="AS46" s="208">
        <v>0</v>
      </c>
      <c r="AT46" s="208">
        <v>0</v>
      </c>
      <c r="AU46" s="208">
        <v>0</v>
      </c>
      <c r="AV46" s="208">
        <v>0</v>
      </c>
      <c r="AW46" s="208">
        <v>0</v>
      </c>
    </row>
    <row r="47" spans="2:49">
      <c r="B47" s="91" t="s">
        <v>508</v>
      </c>
      <c r="C47" s="18">
        <v>1</v>
      </c>
      <c r="D47" s="208">
        <v>1</v>
      </c>
      <c r="E47" s="208">
        <v>0</v>
      </c>
      <c r="F47" s="208">
        <v>0</v>
      </c>
      <c r="G47" s="208">
        <v>0</v>
      </c>
      <c r="H47" s="208">
        <v>0</v>
      </c>
      <c r="I47" s="208">
        <v>1</v>
      </c>
      <c r="J47" s="208">
        <v>0</v>
      </c>
      <c r="K47" s="208">
        <v>0</v>
      </c>
      <c r="L47" s="208">
        <v>0</v>
      </c>
      <c r="M47" s="208">
        <v>0</v>
      </c>
      <c r="N47" s="208">
        <v>0</v>
      </c>
      <c r="O47" s="208">
        <v>0</v>
      </c>
      <c r="P47" s="208">
        <v>0</v>
      </c>
      <c r="Q47" s="208">
        <v>0</v>
      </c>
      <c r="R47" s="208">
        <v>0</v>
      </c>
      <c r="S47" s="208">
        <v>0</v>
      </c>
      <c r="T47" s="208">
        <v>0</v>
      </c>
      <c r="U47" s="208">
        <v>0</v>
      </c>
      <c r="V47" s="208">
        <v>0</v>
      </c>
      <c r="W47" s="208">
        <v>0</v>
      </c>
      <c r="X47" s="208">
        <v>0</v>
      </c>
      <c r="Y47" s="208">
        <v>0</v>
      </c>
      <c r="Z47" s="208">
        <v>0</v>
      </c>
      <c r="AA47" s="208">
        <v>0</v>
      </c>
      <c r="AB47" s="208">
        <v>0</v>
      </c>
      <c r="AC47" s="208">
        <v>0</v>
      </c>
      <c r="AD47" s="208">
        <v>0</v>
      </c>
      <c r="AE47" s="208">
        <v>0</v>
      </c>
      <c r="AF47" s="208">
        <v>0</v>
      </c>
      <c r="AG47" s="208">
        <v>0</v>
      </c>
      <c r="AH47" s="208">
        <v>0</v>
      </c>
      <c r="AI47" s="208">
        <v>0</v>
      </c>
      <c r="AJ47" s="208">
        <v>0</v>
      </c>
      <c r="AK47" s="208">
        <v>0</v>
      </c>
      <c r="AL47" s="208">
        <v>0</v>
      </c>
      <c r="AM47" s="208">
        <v>1</v>
      </c>
      <c r="AN47" s="208">
        <v>0</v>
      </c>
      <c r="AO47" s="208">
        <v>0</v>
      </c>
      <c r="AP47" s="208">
        <v>0</v>
      </c>
      <c r="AQ47" s="208">
        <v>1</v>
      </c>
      <c r="AR47" s="208">
        <v>0</v>
      </c>
      <c r="AS47" s="208">
        <v>0</v>
      </c>
      <c r="AT47" s="208">
        <v>0</v>
      </c>
      <c r="AU47" s="208">
        <v>0</v>
      </c>
      <c r="AV47" s="208">
        <v>0</v>
      </c>
      <c r="AW47" s="208">
        <v>0</v>
      </c>
    </row>
    <row r="48" spans="2:49">
      <c r="B48" s="91" t="s">
        <v>179</v>
      </c>
      <c r="C48" s="18">
        <v>2</v>
      </c>
      <c r="D48" s="208">
        <v>0.5</v>
      </c>
      <c r="E48" s="208">
        <v>0.5</v>
      </c>
      <c r="F48" s="208">
        <v>0</v>
      </c>
      <c r="G48" s="208">
        <v>0</v>
      </c>
      <c r="H48" s="208">
        <v>1</v>
      </c>
      <c r="I48" s="208">
        <v>1</v>
      </c>
      <c r="J48" s="208">
        <v>0</v>
      </c>
      <c r="K48" s="208">
        <v>0</v>
      </c>
      <c r="L48" s="208">
        <v>0</v>
      </c>
      <c r="M48" s="208">
        <v>0</v>
      </c>
      <c r="N48" s="208">
        <v>0</v>
      </c>
      <c r="O48" s="208">
        <v>0</v>
      </c>
      <c r="P48" s="208">
        <v>0</v>
      </c>
      <c r="Q48" s="208">
        <v>0</v>
      </c>
      <c r="R48" s="208">
        <v>0</v>
      </c>
      <c r="S48" s="208">
        <v>0.5</v>
      </c>
      <c r="T48" s="208">
        <v>0.5</v>
      </c>
      <c r="U48" s="208">
        <v>0.5</v>
      </c>
      <c r="V48" s="208">
        <v>0</v>
      </c>
      <c r="W48" s="208">
        <v>0</v>
      </c>
      <c r="X48" s="208">
        <v>0.5</v>
      </c>
      <c r="Y48" s="208">
        <v>0</v>
      </c>
      <c r="Z48" s="208">
        <v>0</v>
      </c>
      <c r="AA48" s="208">
        <v>0</v>
      </c>
      <c r="AB48" s="208">
        <v>0</v>
      </c>
      <c r="AC48" s="208">
        <v>0</v>
      </c>
      <c r="AD48" s="208">
        <v>0.5</v>
      </c>
      <c r="AE48" s="208">
        <v>0</v>
      </c>
      <c r="AF48" s="208">
        <v>0</v>
      </c>
      <c r="AG48" s="208">
        <v>0.5</v>
      </c>
      <c r="AH48" s="208">
        <v>0</v>
      </c>
      <c r="AI48" s="208">
        <v>0</v>
      </c>
      <c r="AJ48" s="208">
        <v>0.5</v>
      </c>
      <c r="AK48" s="208">
        <v>0</v>
      </c>
      <c r="AL48" s="208">
        <v>0.5</v>
      </c>
      <c r="AM48" s="208">
        <v>0</v>
      </c>
      <c r="AN48" s="208">
        <v>0</v>
      </c>
      <c r="AO48" s="208">
        <v>0</v>
      </c>
      <c r="AP48" s="208">
        <v>0</v>
      </c>
      <c r="AQ48" s="208">
        <v>1</v>
      </c>
      <c r="AR48" s="208">
        <v>0</v>
      </c>
      <c r="AS48" s="208">
        <v>0</v>
      </c>
      <c r="AT48" s="208">
        <v>0</v>
      </c>
      <c r="AU48" s="208">
        <v>0</v>
      </c>
      <c r="AV48" s="208">
        <v>0.5</v>
      </c>
      <c r="AW48" s="208">
        <v>0</v>
      </c>
    </row>
    <row r="49" spans="2:49">
      <c r="B49" s="91" t="s">
        <v>377</v>
      </c>
      <c r="C49" s="18">
        <v>14</v>
      </c>
      <c r="D49" s="208">
        <v>0.2857142857142857</v>
      </c>
      <c r="E49" s="208">
        <v>0.6428571428571429</v>
      </c>
      <c r="F49" s="208">
        <v>0</v>
      </c>
      <c r="G49" s="208">
        <v>0</v>
      </c>
      <c r="H49" s="208">
        <v>0.21428571428571427</v>
      </c>
      <c r="I49" s="208">
        <v>0.9285714285714286</v>
      </c>
      <c r="J49" s="208">
        <v>0</v>
      </c>
      <c r="K49" s="208">
        <v>7.1428571428571425E-2</v>
      </c>
      <c r="L49" s="208">
        <v>0</v>
      </c>
      <c r="M49" s="208">
        <v>0</v>
      </c>
      <c r="N49" s="208">
        <v>0</v>
      </c>
      <c r="O49" s="208">
        <v>0</v>
      </c>
      <c r="P49" s="208">
        <v>0</v>
      </c>
      <c r="Q49" s="208">
        <v>7.1428571428571425E-2</v>
      </c>
      <c r="R49" s="208">
        <v>0</v>
      </c>
      <c r="S49" s="208">
        <v>0.35714285714285715</v>
      </c>
      <c r="T49" s="208">
        <v>0.5</v>
      </c>
      <c r="U49" s="208">
        <v>0.35714285714285715</v>
      </c>
      <c r="V49" s="208">
        <v>7.1428571428571425E-2</v>
      </c>
      <c r="W49" s="208">
        <v>0</v>
      </c>
      <c r="X49" s="208">
        <v>7.1428571428571425E-2</v>
      </c>
      <c r="Y49" s="208">
        <v>0.21428571428571427</v>
      </c>
      <c r="Z49" s="208">
        <v>0</v>
      </c>
      <c r="AA49" s="208">
        <v>0</v>
      </c>
      <c r="AB49" s="208">
        <v>0.14285714285714285</v>
      </c>
      <c r="AC49" s="208">
        <v>0.14285714285714285</v>
      </c>
      <c r="AD49" s="208">
        <v>0.21428571428571427</v>
      </c>
      <c r="AE49" s="208">
        <v>0.21428571428571427</v>
      </c>
      <c r="AF49" s="208">
        <v>0</v>
      </c>
      <c r="AG49" s="208">
        <v>7.1428571428571425E-2</v>
      </c>
      <c r="AH49" s="208">
        <v>0.21428571428571427</v>
      </c>
      <c r="AI49" s="208">
        <v>0</v>
      </c>
      <c r="AJ49" s="208">
        <v>0.2857142857142857</v>
      </c>
      <c r="AK49" s="208">
        <v>0.14285714285714285</v>
      </c>
      <c r="AL49" s="208">
        <v>0.5</v>
      </c>
      <c r="AM49" s="208">
        <v>0</v>
      </c>
      <c r="AN49" s="208">
        <v>0</v>
      </c>
      <c r="AO49" s="208">
        <v>7.1428571428571425E-2</v>
      </c>
      <c r="AP49" s="208">
        <v>0</v>
      </c>
      <c r="AQ49" s="208">
        <v>0.8571428571428571</v>
      </c>
      <c r="AR49" s="208">
        <v>7.1428571428571425E-2</v>
      </c>
      <c r="AS49" s="208">
        <v>0</v>
      </c>
      <c r="AT49" s="208">
        <v>0</v>
      </c>
      <c r="AU49" s="208">
        <v>0</v>
      </c>
      <c r="AV49" s="208">
        <v>0.14285714285714285</v>
      </c>
      <c r="AW49" s="208">
        <v>0</v>
      </c>
    </row>
    <row r="50" spans="2:49">
      <c r="B50" s="91" t="s">
        <v>154</v>
      </c>
      <c r="C50" s="18">
        <v>1</v>
      </c>
      <c r="D50" s="208">
        <v>0</v>
      </c>
      <c r="E50" s="208">
        <v>1</v>
      </c>
      <c r="F50" s="208">
        <v>0</v>
      </c>
      <c r="G50" s="208">
        <v>0</v>
      </c>
      <c r="H50" s="208">
        <v>0</v>
      </c>
      <c r="I50" s="208">
        <v>0</v>
      </c>
      <c r="J50" s="208">
        <v>0</v>
      </c>
      <c r="K50" s="208">
        <v>0</v>
      </c>
      <c r="L50" s="208">
        <v>0</v>
      </c>
      <c r="M50" s="208">
        <v>0</v>
      </c>
      <c r="N50" s="208">
        <v>0</v>
      </c>
      <c r="O50" s="208">
        <v>0</v>
      </c>
      <c r="P50" s="208">
        <v>1</v>
      </c>
      <c r="Q50" s="208">
        <v>0</v>
      </c>
      <c r="R50" s="208">
        <v>0</v>
      </c>
      <c r="S50" s="208">
        <v>0</v>
      </c>
      <c r="T50" s="208">
        <v>0</v>
      </c>
      <c r="U50" s="208">
        <v>1</v>
      </c>
      <c r="V50" s="208">
        <v>0</v>
      </c>
      <c r="W50" s="208">
        <v>0</v>
      </c>
      <c r="X50" s="208">
        <v>0</v>
      </c>
      <c r="Y50" s="208">
        <v>0</v>
      </c>
      <c r="Z50" s="208">
        <v>0</v>
      </c>
      <c r="AA50" s="208">
        <v>0</v>
      </c>
      <c r="AB50" s="208">
        <v>0</v>
      </c>
      <c r="AC50" s="208">
        <v>0</v>
      </c>
      <c r="AD50" s="208">
        <v>0</v>
      </c>
      <c r="AE50" s="208">
        <v>1</v>
      </c>
      <c r="AF50" s="208">
        <v>0</v>
      </c>
      <c r="AG50" s="208">
        <v>0</v>
      </c>
      <c r="AH50" s="208">
        <v>0</v>
      </c>
      <c r="AI50" s="208">
        <v>0</v>
      </c>
      <c r="AJ50" s="208">
        <v>1</v>
      </c>
      <c r="AK50" s="208">
        <v>0</v>
      </c>
      <c r="AL50" s="208">
        <v>0</v>
      </c>
      <c r="AM50" s="208">
        <v>0</v>
      </c>
      <c r="AN50" s="208">
        <v>0</v>
      </c>
      <c r="AO50" s="208">
        <v>0</v>
      </c>
      <c r="AP50" s="208">
        <v>0</v>
      </c>
      <c r="AQ50" s="208">
        <v>1</v>
      </c>
      <c r="AR50" s="208">
        <v>0</v>
      </c>
      <c r="AS50" s="208">
        <v>0</v>
      </c>
      <c r="AT50" s="208">
        <v>0</v>
      </c>
      <c r="AU50" s="208">
        <v>0</v>
      </c>
      <c r="AV50" s="208">
        <v>0</v>
      </c>
      <c r="AW50" s="208">
        <v>0</v>
      </c>
    </row>
    <row r="51" spans="2:49">
      <c r="B51" s="91" t="s">
        <v>425</v>
      </c>
      <c r="C51" s="18">
        <v>1</v>
      </c>
      <c r="D51" s="208">
        <v>0</v>
      </c>
      <c r="E51" s="208">
        <v>1</v>
      </c>
      <c r="F51" s="208">
        <v>0</v>
      </c>
      <c r="G51" s="208">
        <v>0</v>
      </c>
      <c r="H51" s="208">
        <v>0</v>
      </c>
      <c r="I51" s="208">
        <v>1</v>
      </c>
      <c r="J51" s="208">
        <v>0</v>
      </c>
      <c r="K51" s="208">
        <v>0</v>
      </c>
      <c r="L51" s="208">
        <v>0</v>
      </c>
      <c r="M51" s="208">
        <v>0</v>
      </c>
      <c r="N51" s="208">
        <v>0</v>
      </c>
      <c r="O51" s="208">
        <v>0</v>
      </c>
      <c r="P51" s="208">
        <v>0</v>
      </c>
      <c r="Q51" s="208">
        <v>1</v>
      </c>
      <c r="R51" s="208">
        <v>0</v>
      </c>
      <c r="S51" s="208">
        <v>0</v>
      </c>
      <c r="T51" s="208">
        <v>0</v>
      </c>
      <c r="U51" s="208">
        <v>0</v>
      </c>
      <c r="V51" s="208">
        <v>0</v>
      </c>
      <c r="W51" s="208">
        <v>1</v>
      </c>
      <c r="X51" s="208">
        <v>0</v>
      </c>
      <c r="Y51" s="208">
        <v>0</v>
      </c>
      <c r="Z51" s="208">
        <v>0</v>
      </c>
      <c r="AA51" s="208">
        <v>0</v>
      </c>
      <c r="AB51" s="208">
        <v>0</v>
      </c>
      <c r="AC51" s="208">
        <v>0</v>
      </c>
      <c r="AD51" s="208">
        <v>1</v>
      </c>
      <c r="AE51" s="208">
        <v>0</v>
      </c>
      <c r="AF51" s="208">
        <v>0</v>
      </c>
      <c r="AG51" s="208">
        <v>0</v>
      </c>
      <c r="AH51" s="208">
        <v>0</v>
      </c>
      <c r="AI51" s="208">
        <v>0</v>
      </c>
      <c r="AJ51" s="208">
        <v>1</v>
      </c>
      <c r="AK51" s="208">
        <v>0</v>
      </c>
      <c r="AL51" s="208">
        <v>0</v>
      </c>
      <c r="AM51" s="208">
        <v>0</v>
      </c>
      <c r="AN51" s="208">
        <v>0</v>
      </c>
      <c r="AO51" s="208">
        <v>0</v>
      </c>
      <c r="AP51" s="208">
        <v>0</v>
      </c>
      <c r="AQ51" s="208">
        <v>1</v>
      </c>
      <c r="AR51" s="208">
        <v>0</v>
      </c>
      <c r="AS51" s="208">
        <v>0</v>
      </c>
      <c r="AT51" s="208">
        <v>0</v>
      </c>
      <c r="AU51" s="208">
        <v>0</v>
      </c>
      <c r="AV51" s="208">
        <v>0</v>
      </c>
      <c r="AW51" s="208">
        <v>0</v>
      </c>
    </row>
    <row r="52" spans="2:49">
      <c r="B52" s="91" t="s">
        <v>171</v>
      </c>
      <c r="C52" s="18">
        <v>51</v>
      </c>
      <c r="D52" s="208">
        <v>0.45098039215686275</v>
      </c>
      <c r="E52" s="208">
        <v>0.50980392156862742</v>
      </c>
      <c r="F52" s="208">
        <v>3.9215686274509803E-2</v>
      </c>
      <c r="G52" s="208">
        <v>0</v>
      </c>
      <c r="H52" s="208">
        <v>0.74509803921568629</v>
      </c>
      <c r="I52" s="208">
        <v>0.60784313725490191</v>
      </c>
      <c r="J52" s="208">
        <v>5.8823529411764705E-2</v>
      </c>
      <c r="K52" s="208">
        <v>3.9215686274509803E-2</v>
      </c>
      <c r="L52" s="208">
        <v>0.17647058823529413</v>
      </c>
      <c r="M52" s="208">
        <v>0</v>
      </c>
      <c r="N52" s="208">
        <v>0</v>
      </c>
      <c r="O52" s="208">
        <v>1.9607843137254902E-2</v>
      </c>
      <c r="P52" s="208">
        <v>0.11764705882352941</v>
      </c>
      <c r="Q52" s="208">
        <v>9.8039215686274508E-2</v>
      </c>
      <c r="R52" s="208">
        <v>0.13725490196078433</v>
      </c>
      <c r="S52" s="208">
        <v>0.13725490196078433</v>
      </c>
      <c r="T52" s="208">
        <v>0.41176470588235292</v>
      </c>
      <c r="U52" s="208">
        <v>0.37254901960784315</v>
      </c>
      <c r="V52" s="208">
        <v>3.9215686274509803E-2</v>
      </c>
      <c r="W52" s="208">
        <v>0.11764705882352941</v>
      </c>
      <c r="X52" s="208">
        <v>0.19607843137254902</v>
      </c>
      <c r="Y52" s="208">
        <v>5.8823529411764705E-2</v>
      </c>
      <c r="Z52" s="208">
        <v>7.8431372549019607E-2</v>
      </c>
      <c r="AA52" s="208">
        <v>0</v>
      </c>
      <c r="AB52" s="208">
        <v>0.21568627450980393</v>
      </c>
      <c r="AC52" s="208">
        <v>0.21568627450980393</v>
      </c>
      <c r="AD52" s="208">
        <v>0.25490196078431371</v>
      </c>
      <c r="AE52" s="208">
        <v>0.11764705882352941</v>
      </c>
      <c r="AF52" s="208">
        <v>0</v>
      </c>
      <c r="AG52" s="208">
        <v>0.15686274509803921</v>
      </c>
      <c r="AH52" s="208">
        <v>1.9607843137254902E-2</v>
      </c>
      <c r="AI52" s="208">
        <v>0</v>
      </c>
      <c r="AJ52" s="208">
        <v>0.45098039215686275</v>
      </c>
      <c r="AK52" s="208">
        <v>5.8823529411764705E-2</v>
      </c>
      <c r="AL52" s="208">
        <v>0.25490196078431371</v>
      </c>
      <c r="AM52" s="208">
        <v>9.8039215686274508E-2</v>
      </c>
      <c r="AN52" s="208">
        <v>0</v>
      </c>
      <c r="AO52" s="208">
        <v>1.9607843137254902E-2</v>
      </c>
      <c r="AP52" s="208">
        <v>3.9215686274509803E-2</v>
      </c>
      <c r="AQ52" s="208">
        <v>0.82352941176470584</v>
      </c>
      <c r="AR52" s="208">
        <v>7.8431372549019607E-2</v>
      </c>
      <c r="AS52" s="208">
        <v>1.9607843137254902E-2</v>
      </c>
      <c r="AT52" s="208">
        <v>9.8039215686274508E-2</v>
      </c>
      <c r="AU52" s="208">
        <v>3.9215686274509803E-2</v>
      </c>
      <c r="AV52" s="208">
        <v>1.9607843137254902E-2</v>
      </c>
      <c r="AW52" s="208">
        <v>3.9215686274509803E-2</v>
      </c>
    </row>
    <row r="53" spans="2:49">
      <c r="B53" s="91" t="s">
        <v>144</v>
      </c>
      <c r="C53" s="18">
        <v>1</v>
      </c>
      <c r="D53" s="208">
        <v>0</v>
      </c>
      <c r="E53" s="208">
        <v>1</v>
      </c>
      <c r="F53" s="208">
        <v>0</v>
      </c>
      <c r="G53" s="208">
        <v>0</v>
      </c>
      <c r="H53" s="208">
        <v>0</v>
      </c>
      <c r="I53" s="208">
        <v>0</v>
      </c>
      <c r="J53" s="208">
        <v>0</v>
      </c>
      <c r="K53" s="208">
        <v>0</v>
      </c>
      <c r="L53" s="208">
        <v>0</v>
      </c>
      <c r="M53" s="208">
        <v>0</v>
      </c>
      <c r="N53" s="208">
        <v>1</v>
      </c>
      <c r="O53" s="208">
        <v>0</v>
      </c>
      <c r="P53" s="208">
        <v>0</v>
      </c>
      <c r="Q53" s="208">
        <v>0</v>
      </c>
      <c r="R53" s="208">
        <v>0</v>
      </c>
      <c r="S53" s="208">
        <v>0</v>
      </c>
      <c r="T53" s="208">
        <v>1</v>
      </c>
      <c r="U53" s="208">
        <v>0</v>
      </c>
      <c r="V53" s="208">
        <v>0</v>
      </c>
      <c r="W53" s="208">
        <v>0</v>
      </c>
      <c r="X53" s="208">
        <v>1</v>
      </c>
      <c r="Y53" s="208">
        <v>0</v>
      </c>
      <c r="Z53" s="208">
        <v>0</v>
      </c>
      <c r="AA53" s="208">
        <v>0</v>
      </c>
      <c r="AB53" s="208">
        <v>0</v>
      </c>
      <c r="AC53" s="208">
        <v>0</v>
      </c>
      <c r="AD53" s="208">
        <v>1</v>
      </c>
      <c r="AE53" s="208">
        <v>0</v>
      </c>
      <c r="AF53" s="208">
        <v>0</v>
      </c>
      <c r="AG53" s="208">
        <v>0</v>
      </c>
      <c r="AH53" s="208">
        <v>0</v>
      </c>
      <c r="AI53" s="208">
        <v>0</v>
      </c>
      <c r="AJ53" s="208">
        <v>1</v>
      </c>
      <c r="AK53" s="208">
        <v>0</v>
      </c>
      <c r="AL53" s="208">
        <v>0</v>
      </c>
      <c r="AM53" s="208">
        <v>0</v>
      </c>
      <c r="AN53" s="208">
        <v>0</v>
      </c>
      <c r="AO53" s="208">
        <v>0</v>
      </c>
      <c r="AP53" s="208">
        <v>0</v>
      </c>
      <c r="AQ53" s="208">
        <v>1</v>
      </c>
      <c r="AR53" s="208">
        <v>0</v>
      </c>
      <c r="AS53" s="208">
        <v>0</v>
      </c>
      <c r="AT53" s="208">
        <v>0</v>
      </c>
      <c r="AU53" s="208">
        <v>0</v>
      </c>
      <c r="AV53" s="208">
        <v>1</v>
      </c>
      <c r="AW53" s="208">
        <v>0</v>
      </c>
    </row>
    <row r="54" spans="2:49">
      <c r="B54" s="91" t="s">
        <v>174</v>
      </c>
      <c r="C54" s="18">
        <v>4</v>
      </c>
      <c r="D54" s="208">
        <v>0.25</v>
      </c>
      <c r="E54" s="208">
        <v>0.75</v>
      </c>
      <c r="F54" s="208">
        <v>0</v>
      </c>
      <c r="G54" s="208">
        <v>0</v>
      </c>
      <c r="H54" s="208">
        <v>0.25</v>
      </c>
      <c r="I54" s="208">
        <v>1</v>
      </c>
      <c r="J54" s="208">
        <v>0</v>
      </c>
      <c r="K54" s="208">
        <v>0</v>
      </c>
      <c r="L54" s="208">
        <v>0</v>
      </c>
      <c r="M54" s="208">
        <v>0</v>
      </c>
      <c r="N54" s="208">
        <v>0</v>
      </c>
      <c r="O54" s="208">
        <v>0</v>
      </c>
      <c r="P54" s="208">
        <v>0</v>
      </c>
      <c r="Q54" s="208">
        <v>0</v>
      </c>
      <c r="R54" s="208">
        <v>0.25</v>
      </c>
      <c r="S54" s="208">
        <v>0.5</v>
      </c>
      <c r="T54" s="208">
        <v>0.25</v>
      </c>
      <c r="U54" s="208">
        <v>0.25</v>
      </c>
      <c r="V54" s="208">
        <v>0</v>
      </c>
      <c r="W54" s="208">
        <v>0.25</v>
      </c>
      <c r="X54" s="208">
        <v>0.25</v>
      </c>
      <c r="Y54" s="208">
        <v>0</v>
      </c>
      <c r="Z54" s="208">
        <v>0</v>
      </c>
      <c r="AA54" s="208">
        <v>0</v>
      </c>
      <c r="AB54" s="208">
        <v>0</v>
      </c>
      <c r="AC54" s="208">
        <v>0</v>
      </c>
      <c r="AD54" s="208">
        <v>0.75</v>
      </c>
      <c r="AE54" s="208">
        <v>0</v>
      </c>
      <c r="AF54" s="208">
        <v>0</v>
      </c>
      <c r="AG54" s="208">
        <v>0</v>
      </c>
      <c r="AH54" s="208">
        <v>0.25</v>
      </c>
      <c r="AI54" s="208">
        <v>0</v>
      </c>
      <c r="AJ54" s="208">
        <v>0.75</v>
      </c>
      <c r="AK54" s="208">
        <v>0</v>
      </c>
      <c r="AL54" s="208">
        <v>0</v>
      </c>
      <c r="AM54" s="208">
        <v>0.25</v>
      </c>
      <c r="AN54" s="208">
        <v>0</v>
      </c>
      <c r="AO54" s="208">
        <v>0</v>
      </c>
      <c r="AP54" s="208">
        <v>0</v>
      </c>
      <c r="AQ54" s="208">
        <v>1</v>
      </c>
      <c r="AR54" s="208">
        <v>0</v>
      </c>
      <c r="AS54" s="208">
        <v>0</v>
      </c>
      <c r="AT54" s="208">
        <v>0</v>
      </c>
      <c r="AU54" s="208">
        <v>0</v>
      </c>
      <c r="AV54" s="208">
        <v>0.5</v>
      </c>
      <c r="AW54" s="208">
        <v>0</v>
      </c>
    </row>
    <row r="55" spans="2:49">
      <c r="B55" s="91" t="s">
        <v>145</v>
      </c>
      <c r="C55" s="18">
        <v>7</v>
      </c>
      <c r="D55" s="208">
        <v>0.7142857142857143</v>
      </c>
      <c r="E55" s="208">
        <v>0.2857142857142857</v>
      </c>
      <c r="F55" s="208">
        <v>0</v>
      </c>
      <c r="G55" s="208">
        <v>0</v>
      </c>
      <c r="H55" s="208">
        <v>0.2857142857142857</v>
      </c>
      <c r="I55" s="208">
        <v>0.42857142857142855</v>
      </c>
      <c r="J55" s="208">
        <v>0</v>
      </c>
      <c r="K55" s="208">
        <v>0</v>
      </c>
      <c r="L55" s="208">
        <v>0</v>
      </c>
      <c r="M55" s="208">
        <v>0</v>
      </c>
      <c r="N55" s="208">
        <v>0</v>
      </c>
      <c r="O55" s="208">
        <v>0</v>
      </c>
      <c r="P55" s="208">
        <v>0</v>
      </c>
      <c r="Q55" s="208">
        <v>0</v>
      </c>
      <c r="R55" s="208">
        <v>0.2857142857142857</v>
      </c>
      <c r="S55" s="208">
        <v>0.42857142857142855</v>
      </c>
      <c r="T55" s="208">
        <v>0.2857142857142857</v>
      </c>
      <c r="U55" s="208">
        <v>0</v>
      </c>
      <c r="V55" s="208">
        <v>0.14285714285714285</v>
      </c>
      <c r="W55" s="208">
        <v>0.2857142857142857</v>
      </c>
      <c r="X55" s="208">
        <v>0</v>
      </c>
      <c r="Y55" s="208">
        <v>0.14285714285714285</v>
      </c>
      <c r="Z55" s="208">
        <v>0</v>
      </c>
      <c r="AA55" s="208">
        <v>0</v>
      </c>
      <c r="AB55" s="208">
        <v>0</v>
      </c>
      <c r="AC55" s="208">
        <v>0</v>
      </c>
      <c r="AD55" s="208">
        <v>0.2857142857142857</v>
      </c>
      <c r="AE55" s="208">
        <v>0.14285714285714285</v>
      </c>
      <c r="AF55" s="208">
        <v>0.14285714285714285</v>
      </c>
      <c r="AG55" s="208">
        <v>0.42857142857142855</v>
      </c>
      <c r="AH55" s="208">
        <v>0</v>
      </c>
      <c r="AI55" s="208">
        <v>0</v>
      </c>
      <c r="AJ55" s="208">
        <v>0.5714285714285714</v>
      </c>
      <c r="AK55" s="208">
        <v>0.14285714285714285</v>
      </c>
      <c r="AL55" s="208">
        <v>0</v>
      </c>
      <c r="AM55" s="208">
        <v>0</v>
      </c>
      <c r="AN55" s="208">
        <v>0</v>
      </c>
      <c r="AO55" s="208">
        <v>0</v>
      </c>
      <c r="AP55" s="208">
        <v>0</v>
      </c>
      <c r="AQ55" s="208">
        <v>0.7142857142857143</v>
      </c>
      <c r="AR55" s="208">
        <v>0</v>
      </c>
      <c r="AS55" s="208">
        <v>0</v>
      </c>
      <c r="AT55" s="208">
        <v>0</v>
      </c>
      <c r="AU55" s="208">
        <v>0</v>
      </c>
      <c r="AV55" s="208">
        <v>0.7142857142857143</v>
      </c>
      <c r="AW55" s="208">
        <v>0</v>
      </c>
    </row>
    <row r="56" spans="2:49">
      <c r="B56" s="91" t="s">
        <v>161</v>
      </c>
      <c r="C56" s="18">
        <v>7</v>
      </c>
      <c r="D56" s="208">
        <v>0.2857142857142857</v>
      </c>
      <c r="E56" s="208">
        <v>0.7142857142857143</v>
      </c>
      <c r="F56" s="208">
        <v>0</v>
      </c>
      <c r="G56" s="208">
        <v>0</v>
      </c>
      <c r="H56" s="208">
        <v>0.8571428571428571</v>
      </c>
      <c r="I56" s="208">
        <v>0.42857142857142855</v>
      </c>
      <c r="J56" s="208">
        <v>0</v>
      </c>
      <c r="K56" s="208">
        <v>0</v>
      </c>
      <c r="L56" s="208">
        <v>0.5714285714285714</v>
      </c>
      <c r="M56" s="208">
        <v>0</v>
      </c>
      <c r="N56" s="208">
        <v>0</v>
      </c>
      <c r="O56" s="208">
        <v>0</v>
      </c>
      <c r="P56" s="208">
        <v>0</v>
      </c>
      <c r="Q56" s="208">
        <v>0</v>
      </c>
      <c r="R56" s="208">
        <v>0.42857142857142855</v>
      </c>
      <c r="S56" s="208">
        <v>0.2857142857142857</v>
      </c>
      <c r="T56" s="208">
        <v>0.2857142857142857</v>
      </c>
      <c r="U56" s="208">
        <v>0.42857142857142855</v>
      </c>
      <c r="V56" s="208">
        <v>0</v>
      </c>
      <c r="W56" s="208">
        <v>0</v>
      </c>
      <c r="X56" s="208">
        <v>0.2857142857142857</v>
      </c>
      <c r="Y56" s="208">
        <v>0</v>
      </c>
      <c r="Z56" s="208">
        <v>0.14285714285714285</v>
      </c>
      <c r="AA56" s="208">
        <v>0</v>
      </c>
      <c r="AB56" s="208">
        <v>0.2857142857142857</v>
      </c>
      <c r="AC56" s="208">
        <v>0.42857142857142855</v>
      </c>
      <c r="AD56" s="208">
        <v>0</v>
      </c>
      <c r="AE56" s="208">
        <v>0.2857142857142857</v>
      </c>
      <c r="AF56" s="208">
        <v>0</v>
      </c>
      <c r="AG56" s="208">
        <v>0</v>
      </c>
      <c r="AH56" s="208">
        <v>0</v>
      </c>
      <c r="AI56" s="208">
        <v>0</v>
      </c>
      <c r="AJ56" s="208">
        <v>0.2857142857142857</v>
      </c>
      <c r="AK56" s="208">
        <v>0.14285714285714285</v>
      </c>
      <c r="AL56" s="208">
        <v>0.2857142857142857</v>
      </c>
      <c r="AM56" s="208">
        <v>0.14285714285714285</v>
      </c>
      <c r="AN56" s="208">
        <v>0</v>
      </c>
      <c r="AO56" s="208">
        <v>0</v>
      </c>
      <c r="AP56" s="208">
        <v>0</v>
      </c>
      <c r="AQ56" s="208">
        <v>1</v>
      </c>
      <c r="AR56" s="208">
        <v>0</v>
      </c>
      <c r="AS56" s="208">
        <v>0</v>
      </c>
      <c r="AT56" s="208">
        <v>0</v>
      </c>
      <c r="AU56" s="208">
        <v>0.14285714285714285</v>
      </c>
      <c r="AV56" s="208">
        <v>0</v>
      </c>
      <c r="AW56" s="208">
        <v>0</v>
      </c>
    </row>
    <row r="57" spans="2:49">
      <c r="B57" s="91" t="s">
        <v>157</v>
      </c>
      <c r="C57" s="18">
        <v>2</v>
      </c>
      <c r="D57" s="208">
        <v>1</v>
      </c>
      <c r="E57" s="208">
        <v>0</v>
      </c>
      <c r="F57" s="208">
        <v>0</v>
      </c>
      <c r="G57" s="208">
        <v>0</v>
      </c>
      <c r="H57" s="208">
        <v>0</v>
      </c>
      <c r="I57" s="208">
        <v>1</v>
      </c>
      <c r="J57" s="208">
        <v>0</v>
      </c>
      <c r="K57" s="208">
        <v>0</v>
      </c>
      <c r="L57" s="208">
        <v>0</v>
      </c>
      <c r="M57" s="208">
        <v>0</v>
      </c>
      <c r="N57" s="208">
        <v>0</v>
      </c>
      <c r="O57" s="208">
        <v>0</v>
      </c>
      <c r="P57" s="208">
        <v>0</v>
      </c>
      <c r="Q57" s="208">
        <v>0</v>
      </c>
      <c r="R57" s="208">
        <v>0</v>
      </c>
      <c r="S57" s="208">
        <v>1</v>
      </c>
      <c r="T57" s="208">
        <v>0</v>
      </c>
      <c r="U57" s="208">
        <v>0</v>
      </c>
      <c r="V57" s="208">
        <v>0</v>
      </c>
      <c r="W57" s="208">
        <v>0</v>
      </c>
      <c r="X57" s="208">
        <v>0</v>
      </c>
      <c r="Y57" s="208">
        <v>0</v>
      </c>
      <c r="Z57" s="208">
        <v>0</v>
      </c>
      <c r="AA57" s="208">
        <v>0</v>
      </c>
      <c r="AB57" s="208">
        <v>0</v>
      </c>
      <c r="AC57" s="208">
        <v>0</v>
      </c>
      <c r="AD57" s="208">
        <v>1</v>
      </c>
      <c r="AE57" s="208">
        <v>0</v>
      </c>
      <c r="AF57" s="208">
        <v>0</v>
      </c>
      <c r="AG57" s="208">
        <v>0</v>
      </c>
      <c r="AH57" s="208">
        <v>0</v>
      </c>
      <c r="AI57" s="208">
        <v>0</v>
      </c>
      <c r="AJ57" s="208">
        <v>0.5</v>
      </c>
      <c r="AK57" s="208">
        <v>0</v>
      </c>
      <c r="AL57" s="208">
        <v>0</v>
      </c>
      <c r="AM57" s="208">
        <v>0.5</v>
      </c>
      <c r="AN57" s="208">
        <v>0</v>
      </c>
      <c r="AO57" s="208">
        <v>0</v>
      </c>
      <c r="AP57" s="208">
        <v>0</v>
      </c>
      <c r="AQ57" s="208">
        <v>1</v>
      </c>
      <c r="AR57" s="208">
        <v>0</v>
      </c>
      <c r="AS57" s="208">
        <v>0</v>
      </c>
      <c r="AT57" s="208">
        <v>0</v>
      </c>
      <c r="AU57" s="208">
        <v>0</v>
      </c>
      <c r="AV57" s="208">
        <v>0.5</v>
      </c>
      <c r="AW57" s="208">
        <v>0</v>
      </c>
    </row>
    <row r="58" spans="2:49">
      <c r="B58" s="91" t="s">
        <v>135</v>
      </c>
      <c r="C58" s="18">
        <v>2</v>
      </c>
      <c r="D58" s="208">
        <v>0.5</v>
      </c>
      <c r="E58" s="208">
        <v>0.5</v>
      </c>
      <c r="F58" s="208">
        <v>0</v>
      </c>
      <c r="G58" s="208">
        <v>0</v>
      </c>
      <c r="H58" s="208">
        <v>0</v>
      </c>
      <c r="I58" s="208">
        <v>0</v>
      </c>
      <c r="J58" s="208">
        <v>0</v>
      </c>
      <c r="K58" s="208">
        <v>0</v>
      </c>
      <c r="L58" s="208">
        <v>0</v>
      </c>
      <c r="M58" s="208">
        <v>0</v>
      </c>
      <c r="N58" s="208">
        <v>0.5</v>
      </c>
      <c r="O58" s="208">
        <v>0</v>
      </c>
      <c r="P58" s="208">
        <v>0</v>
      </c>
      <c r="Q58" s="208">
        <v>0</v>
      </c>
      <c r="R58" s="208">
        <v>0</v>
      </c>
      <c r="S58" s="208">
        <v>0</v>
      </c>
      <c r="T58" s="208">
        <v>0.5</v>
      </c>
      <c r="U58" s="208">
        <v>0</v>
      </c>
      <c r="V58" s="208">
        <v>0</v>
      </c>
      <c r="W58" s="208">
        <v>0</v>
      </c>
      <c r="X58" s="208">
        <v>0</v>
      </c>
      <c r="Y58" s="208">
        <v>0</v>
      </c>
      <c r="Z58" s="208">
        <v>0</v>
      </c>
      <c r="AA58" s="208">
        <v>0</v>
      </c>
      <c r="AB58" s="208">
        <v>0</v>
      </c>
      <c r="AC58" s="208">
        <v>0</v>
      </c>
      <c r="AD58" s="208">
        <v>0.5</v>
      </c>
      <c r="AE58" s="208">
        <v>0</v>
      </c>
      <c r="AF58" s="208">
        <v>0</v>
      </c>
      <c r="AG58" s="208">
        <v>0</v>
      </c>
      <c r="AH58" s="208">
        <v>0.5</v>
      </c>
      <c r="AI58" s="208">
        <v>0</v>
      </c>
      <c r="AJ58" s="208">
        <v>0.5</v>
      </c>
      <c r="AK58" s="208">
        <v>0</v>
      </c>
      <c r="AL58" s="208">
        <v>0</v>
      </c>
      <c r="AM58" s="208">
        <v>0</v>
      </c>
      <c r="AN58" s="208">
        <v>0</v>
      </c>
      <c r="AO58" s="208">
        <v>0</v>
      </c>
      <c r="AP58" s="208">
        <v>0</v>
      </c>
      <c r="AQ58" s="208">
        <v>0.5</v>
      </c>
      <c r="AR58" s="208">
        <v>0</v>
      </c>
      <c r="AS58" s="208">
        <v>0</v>
      </c>
      <c r="AT58" s="208">
        <v>0</v>
      </c>
      <c r="AU58" s="208">
        <v>0</v>
      </c>
      <c r="AV58" s="208">
        <v>0.5</v>
      </c>
      <c r="AW58" s="208">
        <v>0</v>
      </c>
    </row>
    <row r="59" spans="2:49">
      <c r="B59" s="91" t="s">
        <v>156</v>
      </c>
      <c r="C59" s="18">
        <v>13</v>
      </c>
      <c r="D59" s="208">
        <v>0.46153846153846156</v>
      </c>
      <c r="E59" s="208">
        <v>0.53846153846153844</v>
      </c>
      <c r="F59" s="208">
        <v>0</v>
      </c>
      <c r="G59" s="208">
        <v>0</v>
      </c>
      <c r="H59" s="208">
        <v>0.46153846153846156</v>
      </c>
      <c r="I59" s="208">
        <v>0.53846153846153844</v>
      </c>
      <c r="J59" s="208">
        <v>0</v>
      </c>
      <c r="K59" s="208">
        <v>0</v>
      </c>
      <c r="L59" s="208">
        <v>7.6923076923076927E-2</v>
      </c>
      <c r="M59" s="208">
        <v>0</v>
      </c>
      <c r="N59" s="208">
        <v>0</v>
      </c>
      <c r="O59" s="208">
        <v>7.6923076923076927E-2</v>
      </c>
      <c r="P59" s="208">
        <v>0</v>
      </c>
      <c r="Q59" s="208">
        <v>0</v>
      </c>
      <c r="R59" s="208">
        <v>0.15384615384615385</v>
      </c>
      <c r="S59" s="208">
        <v>0.15384615384615385</v>
      </c>
      <c r="T59" s="208">
        <v>0.46153846153846156</v>
      </c>
      <c r="U59" s="208">
        <v>0.30769230769230771</v>
      </c>
      <c r="V59" s="208">
        <v>0</v>
      </c>
      <c r="W59" s="208">
        <v>7.6923076923076927E-2</v>
      </c>
      <c r="X59" s="208">
        <v>0.23076923076923078</v>
      </c>
      <c r="Y59" s="208">
        <v>0.15384615384615385</v>
      </c>
      <c r="Z59" s="208">
        <v>0</v>
      </c>
      <c r="AA59" s="208">
        <v>0</v>
      </c>
      <c r="AB59" s="208">
        <v>7.6923076923076927E-2</v>
      </c>
      <c r="AC59" s="208">
        <v>0.15384615384615385</v>
      </c>
      <c r="AD59" s="208">
        <v>0.30769230769230771</v>
      </c>
      <c r="AE59" s="208">
        <v>0.15384615384615385</v>
      </c>
      <c r="AF59" s="208">
        <v>0</v>
      </c>
      <c r="AG59" s="208">
        <v>0.30769230769230771</v>
      </c>
      <c r="AH59" s="208">
        <v>0</v>
      </c>
      <c r="AI59" s="208">
        <v>0</v>
      </c>
      <c r="AJ59" s="208">
        <v>0.46153846153846156</v>
      </c>
      <c r="AK59" s="208">
        <v>0.15384615384615385</v>
      </c>
      <c r="AL59" s="208">
        <v>0.23076923076923078</v>
      </c>
      <c r="AM59" s="208">
        <v>7.6923076923076927E-2</v>
      </c>
      <c r="AN59" s="208">
        <v>0</v>
      </c>
      <c r="AO59" s="208">
        <v>0</v>
      </c>
      <c r="AP59" s="208">
        <v>7.6923076923076927E-2</v>
      </c>
      <c r="AQ59" s="208">
        <v>0.84615384615384615</v>
      </c>
      <c r="AR59" s="208">
        <v>7.6923076923076927E-2</v>
      </c>
      <c r="AS59" s="208">
        <v>0</v>
      </c>
      <c r="AT59" s="208">
        <v>0</v>
      </c>
      <c r="AU59" s="208">
        <v>0</v>
      </c>
      <c r="AV59" s="208">
        <v>0.15384615384615385</v>
      </c>
      <c r="AW59" s="208">
        <v>7.6923076923076927E-2</v>
      </c>
    </row>
    <row r="60" spans="2:49">
      <c r="B60" s="91" t="s">
        <v>121</v>
      </c>
      <c r="C60" s="18">
        <v>11</v>
      </c>
      <c r="D60" s="208">
        <v>0.27272727272727271</v>
      </c>
      <c r="E60" s="208">
        <v>0.72727272727272729</v>
      </c>
      <c r="F60" s="208">
        <v>0</v>
      </c>
      <c r="G60" s="208">
        <v>0</v>
      </c>
      <c r="H60" s="208">
        <v>0.27272727272727271</v>
      </c>
      <c r="I60" s="208">
        <v>0.81818181818181823</v>
      </c>
      <c r="J60" s="208">
        <v>0</v>
      </c>
      <c r="K60" s="208">
        <v>0</v>
      </c>
      <c r="L60" s="208">
        <v>0.18181818181818182</v>
      </c>
      <c r="M60" s="208">
        <v>0</v>
      </c>
      <c r="N60" s="208">
        <v>0</v>
      </c>
      <c r="O60" s="208">
        <v>0</v>
      </c>
      <c r="P60" s="208">
        <v>0.18181818181818182</v>
      </c>
      <c r="Q60" s="208">
        <v>9.0909090909090912E-2</v>
      </c>
      <c r="R60" s="208">
        <v>0.36363636363636365</v>
      </c>
      <c r="S60" s="208">
        <v>9.0909090909090912E-2</v>
      </c>
      <c r="T60" s="208">
        <v>0</v>
      </c>
      <c r="U60" s="208">
        <v>9.0909090909090912E-2</v>
      </c>
      <c r="V60" s="208">
        <v>0</v>
      </c>
      <c r="W60" s="208">
        <v>0</v>
      </c>
      <c r="X60" s="208">
        <v>9.0909090909090912E-2</v>
      </c>
      <c r="Y60" s="208">
        <v>0</v>
      </c>
      <c r="Z60" s="208">
        <v>9.0909090909090912E-2</v>
      </c>
      <c r="AA60" s="208">
        <v>0</v>
      </c>
      <c r="AB60" s="208">
        <v>0</v>
      </c>
      <c r="AC60" s="208">
        <v>0</v>
      </c>
      <c r="AD60" s="208">
        <v>9.0909090909090912E-2</v>
      </c>
      <c r="AE60" s="208">
        <v>0.63636363636363635</v>
      </c>
      <c r="AF60" s="208">
        <v>0</v>
      </c>
      <c r="AG60" s="208">
        <v>0.27272727272727271</v>
      </c>
      <c r="AH60" s="208">
        <v>0</v>
      </c>
      <c r="AI60" s="208">
        <v>0</v>
      </c>
      <c r="AJ60" s="208">
        <v>0.27272727272727271</v>
      </c>
      <c r="AK60" s="208">
        <v>0.18181818181818182</v>
      </c>
      <c r="AL60" s="208">
        <v>9.0909090909090912E-2</v>
      </c>
      <c r="AM60" s="208">
        <v>0.36363636363636365</v>
      </c>
      <c r="AN60" s="208">
        <v>0</v>
      </c>
      <c r="AO60" s="208">
        <v>0</v>
      </c>
      <c r="AP60" s="208">
        <v>0</v>
      </c>
      <c r="AQ60" s="208">
        <v>0.72727272727272729</v>
      </c>
      <c r="AR60" s="208">
        <v>9.0909090909090912E-2</v>
      </c>
      <c r="AS60" s="208">
        <v>0</v>
      </c>
      <c r="AT60" s="208">
        <v>0.45454545454545453</v>
      </c>
      <c r="AU60" s="208">
        <v>9.0909090909090912E-2</v>
      </c>
      <c r="AV60" s="208">
        <v>9.0909090909090912E-2</v>
      </c>
      <c r="AW60" s="208">
        <v>9.0909090909090912E-2</v>
      </c>
    </row>
    <row r="61" spans="2:49">
      <c r="B61" s="91" t="s">
        <v>153</v>
      </c>
      <c r="C61" s="18">
        <v>2</v>
      </c>
      <c r="D61" s="208">
        <v>0.5</v>
      </c>
      <c r="E61" s="208">
        <v>0.5</v>
      </c>
      <c r="F61" s="208">
        <v>0</v>
      </c>
      <c r="G61" s="208">
        <v>0</v>
      </c>
      <c r="H61" s="208">
        <v>0</v>
      </c>
      <c r="I61" s="208">
        <v>0.5</v>
      </c>
      <c r="J61" s="208">
        <v>0</v>
      </c>
      <c r="K61" s="208">
        <v>0</v>
      </c>
      <c r="L61" s="208">
        <v>0</v>
      </c>
      <c r="M61" s="208">
        <v>0</v>
      </c>
      <c r="N61" s="208">
        <v>0</v>
      </c>
      <c r="O61" s="208">
        <v>0</v>
      </c>
      <c r="P61" s="208">
        <v>0</v>
      </c>
      <c r="Q61" s="208">
        <v>0</v>
      </c>
      <c r="R61" s="208">
        <v>0.5</v>
      </c>
      <c r="S61" s="208">
        <v>0.5</v>
      </c>
      <c r="T61" s="208">
        <v>0</v>
      </c>
      <c r="U61" s="208">
        <v>0.5</v>
      </c>
      <c r="V61" s="208">
        <v>0</v>
      </c>
      <c r="W61" s="208">
        <v>0</v>
      </c>
      <c r="X61" s="208">
        <v>0</v>
      </c>
      <c r="Y61" s="208">
        <v>0.5</v>
      </c>
      <c r="Z61" s="208">
        <v>0</v>
      </c>
      <c r="AA61" s="208">
        <v>0</v>
      </c>
      <c r="AB61" s="208">
        <v>0</v>
      </c>
      <c r="AC61" s="208">
        <v>0</v>
      </c>
      <c r="AD61" s="208">
        <v>0</v>
      </c>
      <c r="AE61" s="208">
        <v>0.5</v>
      </c>
      <c r="AF61" s="208">
        <v>0</v>
      </c>
      <c r="AG61" s="208">
        <v>0.5</v>
      </c>
      <c r="AH61" s="208">
        <v>0</v>
      </c>
      <c r="AI61" s="208">
        <v>0</v>
      </c>
      <c r="AJ61" s="208">
        <v>0</v>
      </c>
      <c r="AK61" s="208">
        <v>0</v>
      </c>
      <c r="AL61" s="208">
        <v>0.5</v>
      </c>
      <c r="AM61" s="208">
        <v>0.5</v>
      </c>
      <c r="AN61" s="208">
        <v>0</v>
      </c>
      <c r="AO61" s="208">
        <v>0</v>
      </c>
      <c r="AP61" s="208">
        <v>0</v>
      </c>
      <c r="AQ61" s="208">
        <v>1</v>
      </c>
      <c r="AR61" s="208">
        <v>0</v>
      </c>
      <c r="AS61" s="208">
        <v>0</v>
      </c>
      <c r="AT61" s="208">
        <v>1</v>
      </c>
      <c r="AU61" s="208">
        <v>0</v>
      </c>
      <c r="AV61" s="208">
        <v>0</v>
      </c>
      <c r="AW61" s="208">
        <v>0</v>
      </c>
    </row>
    <row r="62" spans="2:49">
      <c r="B62" s="91" t="s">
        <v>113</v>
      </c>
      <c r="C62" s="18">
        <v>2</v>
      </c>
      <c r="D62" s="208">
        <v>0</v>
      </c>
      <c r="E62" s="208">
        <v>0.5</v>
      </c>
      <c r="F62" s="208">
        <v>0</v>
      </c>
      <c r="G62" s="208">
        <v>0</v>
      </c>
      <c r="H62" s="208">
        <v>0</v>
      </c>
      <c r="I62" s="208">
        <v>1</v>
      </c>
      <c r="J62" s="208">
        <v>0</v>
      </c>
      <c r="K62" s="208">
        <v>0</v>
      </c>
      <c r="L62" s="208">
        <v>0</v>
      </c>
      <c r="M62" s="208">
        <v>0</v>
      </c>
      <c r="N62" s="208">
        <v>0</v>
      </c>
      <c r="O62" s="208">
        <v>0</v>
      </c>
      <c r="P62" s="208">
        <v>0</v>
      </c>
      <c r="Q62" s="208">
        <v>0</v>
      </c>
      <c r="R62" s="208">
        <v>0.5</v>
      </c>
      <c r="S62" s="208">
        <v>0.5</v>
      </c>
      <c r="T62" s="208">
        <v>0</v>
      </c>
      <c r="U62" s="208">
        <v>0</v>
      </c>
      <c r="V62" s="208">
        <v>0</v>
      </c>
      <c r="W62" s="208">
        <v>0</v>
      </c>
      <c r="X62" s="208">
        <v>0</v>
      </c>
      <c r="Y62" s="208">
        <v>0</v>
      </c>
      <c r="Z62" s="208">
        <v>0.5</v>
      </c>
      <c r="AA62" s="208">
        <v>0</v>
      </c>
      <c r="AB62" s="208">
        <v>0.5</v>
      </c>
      <c r="AC62" s="208">
        <v>0</v>
      </c>
      <c r="AD62" s="208">
        <v>0.5</v>
      </c>
      <c r="AE62" s="208">
        <v>0</v>
      </c>
      <c r="AF62" s="208">
        <v>0</v>
      </c>
      <c r="AG62" s="208">
        <v>0</v>
      </c>
      <c r="AH62" s="208">
        <v>0</v>
      </c>
      <c r="AI62" s="208">
        <v>0</v>
      </c>
      <c r="AJ62" s="208">
        <v>0</v>
      </c>
      <c r="AK62" s="208">
        <v>0</v>
      </c>
      <c r="AL62" s="208">
        <v>0</v>
      </c>
      <c r="AM62" s="208">
        <v>1</v>
      </c>
      <c r="AN62" s="208">
        <v>0</v>
      </c>
      <c r="AO62" s="208">
        <v>0</v>
      </c>
      <c r="AP62" s="208">
        <v>0</v>
      </c>
      <c r="AQ62" s="208">
        <v>1</v>
      </c>
      <c r="AR62" s="208">
        <v>0</v>
      </c>
      <c r="AS62" s="208">
        <v>0</v>
      </c>
      <c r="AT62" s="208">
        <v>0</v>
      </c>
      <c r="AU62" s="208">
        <v>0</v>
      </c>
      <c r="AV62" s="208">
        <v>1</v>
      </c>
      <c r="AW62" s="208">
        <v>0</v>
      </c>
    </row>
    <row r="63" spans="2:49">
      <c r="B63" s="91" t="s">
        <v>516</v>
      </c>
      <c r="C63" s="18">
        <v>1</v>
      </c>
      <c r="D63" s="208">
        <v>1</v>
      </c>
      <c r="E63" s="208">
        <v>0</v>
      </c>
      <c r="F63" s="208">
        <v>0</v>
      </c>
      <c r="G63" s="208">
        <v>0</v>
      </c>
      <c r="H63" s="208">
        <v>1</v>
      </c>
      <c r="I63" s="208">
        <v>0</v>
      </c>
      <c r="J63" s="208">
        <v>0</v>
      </c>
      <c r="K63" s="208">
        <v>0</v>
      </c>
      <c r="L63" s="208">
        <v>0</v>
      </c>
      <c r="M63" s="208">
        <v>0</v>
      </c>
      <c r="N63" s="208">
        <v>0</v>
      </c>
      <c r="O63" s="208">
        <v>0</v>
      </c>
      <c r="P63" s="208">
        <v>0</v>
      </c>
      <c r="Q63" s="208">
        <v>0</v>
      </c>
      <c r="R63" s="208">
        <v>0</v>
      </c>
      <c r="S63" s="208">
        <v>1</v>
      </c>
      <c r="T63" s="208">
        <v>0</v>
      </c>
      <c r="U63" s="208">
        <v>0</v>
      </c>
      <c r="V63" s="208">
        <v>0</v>
      </c>
      <c r="W63" s="208">
        <v>0</v>
      </c>
      <c r="X63" s="208">
        <v>0</v>
      </c>
      <c r="Y63" s="208">
        <v>0</v>
      </c>
      <c r="Z63" s="208">
        <v>0</v>
      </c>
      <c r="AA63" s="208">
        <v>0</v>
      </c>
      <c r="AB63" s="208">
        <v>0</v>
      </c>
      <c r="AC63" s="208">
        <v>0</v>
      </c>
      <c r="AD63" s="208">
        <v>1</v>
      </c>
      <c r="AE63" s="208">
        <v>0</v>
      </c>
      <c r="AF63" s="208">
        <v>0</v>
      </c>
      <c r="AG63" s="208">
        <v>0</v>
      </c>
      <c r="AH63" s="208">
        <v>0</v>
      </c>
      <c r="AI63" s="208">
        <v>0</v>
      </c>
      <c r="AJ63" s="208">
        <v>1</v>
      </c>
      <c r="AK63" s="208">
        <v>0</v>
      </c>
      <c r="AL63" s="208">
        <v>0</v>
      </c>
      <c r="AM63" s="208">
        <v>0</v>
      </c>
      <c r="AN63" s="208">
        <v>0</v>
      </c>
      <c r="AO63" s="208">
        <v>0</v>
      </c>
      <c r="AP63" s="208">
        <v>0</v>
      </c>
      <c r="AQ63" s="208">
        <v>1</v>
      </c>
      <c r="AR63" s="208">
        <v>0</v>
      </c>
      <c r="AS63" s="208">
        <v>0</v>
      </c>
      <c r="AT63" s="208">
        <v>0</v>
      </c>
      <c r="AU63" s="208">
        <v>0</v>
      </c>
      <c r="AV63" s="208">
        <v>1</v>
      </c>
      <c r="AW63" s="208">
        <v>0</v>
      </c>
    </row>
    <row r="64" spans="2:49">
      <c r="B64" s="91" t="s">
        <v>470</v>
      </c>
      <c r="C64" s="18">
        <v>2</v>
      </c>
      <c r="D64" s="208">
        <v>1</v>
      </c>
      <c r="E64" s="208">
        <v>0</v>
      </c>
      <c r="F64" s="208">
        <v>0</v>
      </c>
      <c r="G64" s="208">
        <v>0</v>
      </c>
      <c r="H64" s="208">
        <v>0</v>
      </c>
      <c r="I64" s="208">
        <v>1</v>
      </c>
      <c r="J64" s="208">
        <v>0</v>
      </c>
      <c r="K64" s="208">
        <v>0</v>
      </c>
      <c r="L64" s="208">
        <v>0</v>
      </c>
      <c r="M64" s="208">
        <v>0</v>
      </c>
      <c r="N64" s="208">
        <v>0</v>
      </c>
      <c r="O64" s="208">
        <v>0</v>
      </c>
      <c r="P64" s="208">
        <v>0</v>
      </c>
      <c r="Q64" s="208">
        <v>0</v>
      </c>
      <c r="R64" s="208">
        <v>0</v>
      </c>
      <c r="S64" s="208">
        <v>0.5</v>
      </c>
      <c r="T64" s="208">
        <v>0.5</v>
      </c>
      <c r="U64" s="208">
        <v>0</v>
      </c>
      <c r="V64" s="208">
        <v>0</v>
      </c>
      <c r="W64" s="208">
        <v>0</v>
      </c>
      <c r="X64" s="208">
        <v>0</v>
      </c>
      <c r="Y64" s="208">
        <v>0</v>
      </c>
      <c r="Z64" s="208">
        <v>0</v>
      </c>
      <c r="AA64" s="208">
        <v>0</v>
      </c>
      <c r="AB64" s="208">
        <v>0.5</v>
      </c>
      <c r="AC64" s="208">
        <v>0</v>
      </c>
      <c r="AD64" s="208">
        <v>0.5</v>
      </c>
      <c r="AE64" s="208">
        <v>0</v>
      </c>
      <c r="AF64" s="208">
        <v>0</v>
      </c>
      <c r="AG64" s="208">
        <v>0</v>
      </c>
      <c r="AH64" s="208">
        <v>0</v>
      </c>
      <c r="AI64" s="208">
        <v>0</v>
      </c>
      <c r="AJ64" s="208">
        <v>1</v>
      </c>
      <c r="AK64" s="208">
        <v>0</v>
      </c>
      <c r="AL64" s="208">
        <v>0</v>
      </c>
      <c r="AM64" s="208">
        <v>0</v>
      </c>
      <c r="AN64" s="208">
        <v>0</v>
      </c>
      <c r="AO64" s="208">
        <v>0</v>
      </c>
      <c r="AP64" s="208">
        <v>0</v>
      </c>
      <c r="AQ64" s="208">
        <v>1</v>
      </c>
      <c r="AR64" s="208">
        <v>0</v>
      </c>
      <c r="AS64" s="208">
        <v>0</v>
      </c>
      <c r="AT64" s="208">
        <v>0</v>
      </c>
      <c r="AU64" s="208">
        <v>0</v>
      </c>
      <c r="AV64" s="208">
        <v>1</v>
      </c>
      <c r="AW64" s="208">
        <v>0</v>
      </c>
    </row>
    <row r="65" spans="2:49">
      <c r="B65" s="91" t="s">
        <v>124</v>
      </c>
      <c r="C65" s="18">
        <v>6</v>
      </c>
      <c r="D65" s="208">
        <v>1</v>
      </c>
      <c r="E65" s="208">
        <v>0</v>
      </c>
      <c r="F65" s="208">
        <v>0</v>
      </c>
      <c r="G65" s="208">
        <v>0</v>
      </c>
      <c r="H65" s="208">
        <v>0.16666666666666666</v>
      </c>
      <c r="I65" s="208">
        <v>0.16666666666666666</v>
      </c>
      <c r="J65" s="208">
        <v>0</v>
      </c>
      <c r="K65" s="208">
        <v>0</v>
      </c>
      <c r="L65" s="208">
        <v>0</v>
      </c>
      <c r="M65" s="208">
        <v>0</v>
      </c>
      <c r="N65" s="208">
        <v>0.16666666666666666</v>
      </c>
      <c r="O65" s="208">
        <v>0.16666666666666666</v>
      </c>
      <c r="P65" s="208">
        <v>0</v>
      </c>
      <c r="Q65" s="208">
        <v>0</v>
      </c>
      <c r="R65" s="208">
        <v>0</v>
      </c>
      <c r="S65" s="208">
        <v>0.16666666666666666</v>
      </c>
      <c r="T65" s="208">
        <v>0.16666666666666666</v>
      </c>
      <c r="U65" s="208">
        <v>0.16666666666666666</v>
      </c>
      <c r="V65" s="208">
        <v>0</v>
      </c>
      <c r="W65" s="208">
        <v>0</v>
      </c>
      <c r="X65" s="208">
        <v>0</v>
      </c>
      <c r="Y65" s="208">
        <v>0</v>
      </c>
      <c r="Z65" s="208">
        <v>0</v>
      </c>
      <c r="AA65" s="208">
        <v>0</v>
      </c>
      <c r="AB65" s="208">
        <v>0</v>
      </c>
      <c r="AC65" s="208">
        <v>0</v>
      </c>
      <c r="AD65" s="208">
        <v>0</v>
      </c>
      <c r="AE65" s="208">
        <v>0.16666666666666666</v>
      </c>
      <c r="AF65" s="208">
        <v>0</v>
      </c>
      <c r="AG65" s="208">
        <v>0.16666666666666666</v>
      </c>
      <c r="AH65" s="208">
        <v>0.16666666666666666</v>
      </c>
      <c r="AI65" s="208">
        <v>0</v>
      </c>
      <c r="AJ65" s="208">
        <v>0.5</v>
      </c>
      <c r="AK65" s="208">
        <v>0</v>
      </c>
      <c r="AL65" s="208">
        <v>0</v>
      </c>
      <c r="AM65" s="208">
        <v>0.16666666666666666</v>
      </c>
      <c r="AN65" s="208">
        <v>0</v>
      </c>
      <c r="AO65" s="208">
        <v>0</v>
      </c>
      <c r="AP65" s="208">
        <v>0</v>
      </c>
      <c r="AQ65" s="208">
        <v>0.5</v>
      </c>
      <c r="AR65" s="208">
        <v>0</v>
      </c>
      <c r="AS65" s="208">
        <v>0</v>
      </c>
      <c r="AT65" s="208">
        <v>0</v>
      </c>
      <c r="AU65" s="208">
        <v>0</v>
      </c>
      <c r="AV65" s="208">
        <v>0.33333333333333331</v>
      </c>
      <c r="AW65" s="208">
        <v>0.16666666666666666</v>
      </c>
    </row>
    <row r="66" spans="2:49">
      <c r="B66" s="91" t="s">
        <v>371</v>
      </c>
      <c r="C66" s="18">
        <v>2</v>
      </c>
      <c r="D66" s="208">
        <v>1</v>
      </c>
      <c r="E66" s="208">
        <v>0</v>
      </c>
      <c r="F66" s="208">
        <v>0</v>
      </c>
      <c r="G66" s="208">
        <v>0</v>
      </c>
      <c r="H66" s="208">
        <v>0</v>
      </c>
      <c r="I66" s="208">
        <v>0.5</v>
      </c>
      <c r="J66" s="208">
        <v>0</v>
      </c>
      <c r="K66" s="208">
        <v>0</v>
      </c>
      <c r="L66" s="208">
        <v>0</v>
      </c>
      <c r="M66" s="208">
        <v>0</v>
      </c>
      <c r="N66" s="208">
        <v>0</v>
      </c>
      <c r="O66" s="208">
        <v>0</v>
      </c>
      <c r="P66" s="208">
        <v>0</v>
      </c>
      <c r="Q66" s="208">
        <v>0</v>
      </c>
      <c r="R66" s="208">
        <v>0.5</v>
      </c>
      <c r="S66" s="208">
        <v>0</v>
      </c>
      <c r="T66" s="208">
        <v>0.5</v>
      </c>
      <c r="U66" s="208">
        <v>0</v>
      </c>
      <c r="V66" s="208">
        <v>0</v>
      </c>
      <c r="W66" s="208">
        <v>0</v>
      </c>
      <c r="X66" s="208">
        <v>0</v>
      </c>
      <c r="Y66" s="208">
        <v>0</v>
      </c>
      <c r="Z66" s="208">
        <v>0</v>
      </c>
      <c r="AA66" s="208">
        <v>0</v>
      </c>
      <c r="AB66" s="208">
        <v>0</v>
      </c>
      <c r="AC66" s="208">
        <v>0</v>
      </c>
      <c r="AD66" s="208">
        <v>0</v>
      </c>
      <c r="AE66" s="208">
        <v>0</v>
      </c>
      <c r="AF66" s="208">
        <v>0</v>
      </c>
      <c r="AG66" s="208">
        <v>1</v>
      </c>
      <c r="AH66" s="208">
        <v>0</v>
      </c>
      <c r="AI66" s="208">
        <v>0</v>
      </c>
      <c r="AJ66" s="208">
        <v>1</v>
      </c>
      <c r="AK66" s="208">
        <v>0</v>
      </c>
      <c r="AL66" s="208">
        <v>0</v>
      </c>
      <c r="AM66" s="208">
        <v>0</v>
      </c>
      <c r="AN66" s="208">
        <v>0</v>
      </c>
      <c r="AO66" s="208">
        <v>0</v>
      </c>
      <c r="AP66" s="208">
        <v>0</v>
      </c>
      <c r="AQ66" s="208">
        <v>0.5</v>
      </c>
      <c r="AR66" s="208">
        <v>0.5</v>
      </c>
      <c r="AS66" s="208">
        <v>0</v>
      </c>
      <c r="AT66" s="208">
        <v>0</v>
      </c>
      <c r="AU66" s="208">
        <v>0</v>
      </c>
      <c r="AV66" s="208">
        <v>0.5</v>
      </c>
      <c r="AW66" s="208">
        <v>0.5</v>
      </c>
    </row>
    <row r="67" spans="2:49">
      <c r="B67" s="91" t="s">
        <v>445</v>
      </c>
      <c r="C67" s="18">
        <v>1</v>
      </c>
      <c r="D67" s="208">
        <v>1</v>
      </c>
      <c r="E67" s="208">
        <v>0</v>
      </c>
      <c r="F67" s="208">
        <v>0</v>
      </c>
      <c r="G67" s="208">
        <v>0</v>
      </c>
      <c r="H67" s="208">
        <v>0</v>
      </c>
      <c r="I67" s="208">
        <v>0</v>
      </c>
      <c r="J67" s="208">
        <v>0</v>
      </c>
      <c r="K67" s="208">
        <v>0</v>
      </c>
      <c r="L67" s="208">
        <v>0</v>
      </c>
      <c r="M67" s="208">
        <v>0</v>
      </c>
      <c r="N67" s="208">
        <v>0</v>
      </c>
      <c r="O67" s="208">
        <v>0</v>
      </c>
      <c r="P67" s="208">
        <v>0</v>
      </c>
      <c r="Q67" s="208">
        <v>0</v>
      </c>
      <c r="R67" s="208">
        <v>0</v>
      </c>
      <c r="S67" s="208">
        <v>0</v>
      </c>
      <c r="T67" s="208">
        <v>0</v>
      </c>
      <c r="U67" s="208">
        <v>1</v>
      </c>
      <c r="V67" s="208">
        <v>0</v>
      </c>
      <c r="W67" s="208">
        <v>0</v>
      </c>
      <c r="X67" s="208">
        <v>0</v>
      </c>
      <c r="Y67" s="208">
        <v>0</v>
      </c>
      <c r="Z67" s="208">
        <v>0</v>
      </c>
      <c r="AA67" s="208">
        <v>0</v>
      </c>
      <c r="AB67" s="208">
        <v>0</v>
      </c>
      <c r="AC67" s="208">
        <v>0</v>
      </c>
      <c r="AD67" s="208">
        <v>0</v>
      </c>
      <c r="AE67" s="208">
        <v>0</v>
      </c>
      <c r="AF67" s="208">
        <v>0</v>
      </c>
      <c r="AG67" s="208">
        <v>0</v>
      </c>
      <c r="AH67" s="208">
        <v>0</v>
      </c>
      <c r="AI67" s="208">
        <v>0</v>
      </c>
      <c r="AJ67" s="208">
        <v>0</v>
      </c>
      <c r="AK67" s="208">
        <v>0</v>
      </c>
      <c r="AL67" s="208">
        <v>0</v>
      </c>
      <c r="AM67" s="208">
        <v>0</v>
      </c>
      <c r="AN67" s="208">
        <v>0</v>
      </c>
      <c r="AO67" s="208">
        <v>0</v>
      </c>
      <c r="AP67" s="208">
        <v>0</v>
      </c>
      <c r="AQ67" s="208">
        <v>0</v>
      </c>
      <c r="AR67" s="208">
        <v>0</v>
      </c>
      <c r="AS67" s="208">
        <v>0</v>
      </c>
      <c r="AT67" s="208">
        <v>0</v>
      </c>
      <c r="AU67" s="208">
        <v>0</v>
      </c>
      <c r="AV67" s="208">
        <v>0</v>
      </c>
      <c r="AW67" s="208">
        <v>0</v>
      </c>
    </row>
    <row r="68" spans="2:49">
      <c r="B68" s="91" t="s">
        <v>454</v>
      </c>
      <c r="C68" s="18">
        <v>1</v>
      </c>
      <c r="D68" s="208">
        <v>0</v>
      </c>
      <c r="E68" s="208">
        <v>1</v>
      </c>
      <c r="F68" s="208">
        <v>0</v>
      </c>
      <c r="G68" s="208">
        <v>0</v>
      </c>
      <c r="H68" s="208">
        <v>1</v>
      </c>
      <c r="I68" s="208">
        <v>1</v>
      </c>
      <c r="J68" s="208">
        <v>0</v>
      </c>
      <c r="K68" s="208">
        <v>0</v>
      </c>
      <c r="L68" s="208">
        <v>0</v>
      </c>
      <c r="M68" s="208">
        <v>0</v>
      </c>
      <c r="N68" s="208">
        <v>0</v>
      </c>
      <c r="O68" s="208">
        <v>0</v>
      </c>
      <c r="P68" s="208">
        <v>0</v>
      </c>
      <c r="Q68" s="208">
        <v>0</v>
      </c>
      <c r="R68" s="208">
        <v>0</v>
      </c>
      <c r="S68" s="208">
        <v>1</v>
      </c>
      <c r="T68" s="208">
        <v>0</v>
      </c>
      <c r="U68" s="208">
        <v>0</v>
      </c>
      <c r="V68" s="208">
        <v>1</v>
      </c>
      <c r="W68" s="208">
        <v>0</v>
      </c>
      <c r="X68" s="208">
        <v>0</v>
      </c>
      <c r="Y68" s="208">
        <v>0</v>
      </c>
      <c r="Z68" s="208">
        <v>0</v>
      </c>
      <c r="AA68" s="208">
        <v>0</v>
      </c>
      <c r="AB68" s="208">
        <v>0</v>
      </c>
      <c r="AC68" s="208">
        <v>0</v>
      </c>
      <c r="AD68" s="208">
        <v>1</v>
      </c>
      <c r="AE68" s="208">
        <v>0</v>
      </c>
      <c r="AF68" s="208">
        <v>0</v>
      </c>
      <c r="AG68" s="208">
        <v>0</v>
      </c>
      <c r="AH68" s="208">
        <v>0</v>
      </c>
      <c r="AI68" s="208">
        <v>0</v>
      </c>
      <c r="AJ68" s="208">
        <v>1</v>
      </c>
      <c r="AK68" s="208">
        <v>0</v>
      </c>
      <c r="AL68" s="208">
        <v>0</v>
      </c>
      <c r="AM68" s="208">
        <v>0</v>
      </c>
      <c r="AN68" s="208">
        <v>0</v>
      </c>
      <c r="AO68" s="208">
        <v>0</v>
      </c>
      <c r="AP68" s="208">
        <v>0</v>
      </c>
      <c r="AQ68" s="208">
        <v>1</v>
      </c>
      <c r="AR68" s="208">
        <v>0</v>
      </c>
      <c r="AS68" s="208">
        <v>0</v>
      </c>
      <c r="AT68" s="208">
        <v>0</v>
      </c>
      <c r="AU68" s="208">
        <v>1</v>
      </c>
      <c r="AV68" s="208">
        <v>0</v>
      </c>
      <c r="AW68" s="208">
        <v>0</v>
      </c>
    </row>
    <row r="69" spans="2:49">
      <c r="B69" s="91" t="s">
        <v>379</v>
      </c>
      <c r="C69" s="18">
        <v>6</v>
      </c>
      <c r="D69" s="208">
        <v>0.33333333333333331</v>
      </c>
      <c r="E69" s="208">
        <v>0.5</v>
      </c>
      <c r="F69" s="208">
        <v>0</v>
      </c>
      <c r="G69" s="208">
        <v>0</v>
      </c>
      <c r="H69" s="208">
        <v>0.5</v>
      </c>
      <c r="I69" s="208">
        <v>0.66666666666666663</v>
      </c>
      <c r="J69" s="208">
        <v>0.16666666666666666</v>
      </c>
      <c r="K69" s="208">
        <v>0</v>
      </c>
      <c r="L69" s="208">
        <v>0</v>
      </c>
      <c r="M69" s="208">
        <v>0.16666666666666666</v>
      </c>
      <c r="N69" s="208">
        <v>0</v>
      </c>
      <c r="O69" s="208">
        <v>0</v>
      </c>
      <c r="P69" s="208">
        <v>0</v>
      </c>
      <c r="Q69" s="208">
        <v>0</v>
      </c>
      <c r="R69" s="208">
        <v>0.33333333333333331</v>
      </c>
      <c r="S69" s="208">
        <v>0.16666666666666666</v>
      </c>
      <c r="T69" s="208">
        <v>0.5</v>
      </c>
      <c r="U69" s="208">
        <v>0</v>
      </c>
      <c r="V69" s="208">
        <v>0.5</v>
      </c>
      <c r="W69" s="208">
        <v>0</v>
      </c>
      <c r="X69" s="208">
        <v>0.16666666666666666</v>
      </c>
      <c r="Y69" s="208">
        <v>0.33333333333333331</v>
      </c>
      <c r="Z69" s="208">
        <v>0</v>
      </c>
      <c r="AA69" s="208">
        <v>0</v>
      </c>
      <c r="AB69" s="208">
        <v>0</v>
      </c>
      <c r="AC69" s="208">
        <v>0</v>
      </c>
      <c r="AD69" s="208">
        <v>0.66666666666666663</v>
      </c>
      <c r="AE69" s="208">
        <v>0.16666666666666666</v>
      </c>
      <c r="AF69" s="208">
        <v>0</v>
      </c>
      <c r="AG69" s="208">
        <v>0.16666666666666666</v>
      </c>
      <c r="AH69" s="208">
        <v>0</v>
      </c>
      <c r="AI69" s="208">
        <v>0</v>
      </c>
      <c r="AJ69" s="208">
        <v>0.5</v>
      </c>
      <c r="AK69" s="208">
        <v>0.16666666666666666</v>
      </c>
      <c r="AL69" s="208">
        <v>0</v>
      </c>
      <c r="AM69" s="208">
        <v>0.16666666666666666</v>
      </c>
      <c r="AN69" s="208">
        <v>0</v>
      </c>
      <c r="AO69" s="208">
        <v>0.16666666666666666</v>
      </c>
      <c r="AP69" s="208">
        <v>0</v>
      </c>
      <c r="AQ69" s="208">
        <v>0.83333333333333337</v>
      </c>
      <c r="AR69" s="208">
        <v>0</v>
      </c>
      <c r="AS69" s="208">
        <v>0</v>
      </c>
      <c r="AT69" s="208">
        <v>0</v>
      </c>
      <c r="AU69" s="208">
        <v>0</v>
      </c>
      <c r="AV69" s="208">
        <v>0.16666666666666666</v>
      </c>
      <c r="AW69" s="208">
        <v>0</v>
      </c>
    </row>
    <row r="70" spans="2:49">
      <c r="B70" s="91" t="s">
        <v>464</v>
      </c>
      <c r="C70" s="18">
        <v>1</v>
      </c>
      <c r="D70" s="208">
        <v>0</v>
      </c>
      <c r="E70" s="208">
        <v>1</v>
      </c>
      <c r="F70" s="208">
        <v>0</v>
      </c>
      <c r="G70" s="208">
        <v>0</v>
      </c>
      <c r="H70" s="208">
        <v>1</v>
      </c>
      <c r="I70" s="208">
        <v>1</v>
      </c>
      <c r="J70" s="208">
        <v>0</v>
      </c>
      <c r="K70" s="208">
        <v>0</v>
      </c>
      <c r="L70" s="208">
        <v>0</v>
      </c>
      <c r="M70" s="208">
        <v>0</v>
      </c>
      <c r="N70" s="208">
        <v>0</v>
      </c>
      <c r="O70" s="208">
        <v>0</v>
      </c>
      <c r="P70" s="208">
        <v>0</v>
      </c>
      <c r="Q70" s="208">
        <v>0</v>
      </c>
      <c r="R70" s="208">
        <v>0</v>
      </c>
      <c r="S70" s="208">
        <v>0</v>
      </c>
      <c r="T70" s="208">
        <v>1</v>
      </c>
      <c r="U70" s="208">
        <v>0</v>
      </c>
      <c r="V70" s="208">
        <v>0</v>
      </c>
      <c r="W70" s="208">
        <v>0</v>
      </c>
      <c r="X70" s="208">
        <v>1</v>
      </c>
      <c r="Y70" s="208">
        <v>0</v>
      </c>
      <c r="Z70" s="208">
        <v>0</v>
      </c>
      <c r="AA70" s="208">
        <v>0</v>
      </c>
      <c r="AB70" s="208">
        <v>0</v>
      </c>
      <c r="AC70" s="208">
        <v>0</v>
      </c>
      <c r="AD70" s="208">
        <v>0</v>
      </c>
      <c r="AE70" s="208">
        <v>1</v>
      </c>
      <c r="AF70" s="208">
        <v>0</v>
      </c>
      <c r="AG70" s="208">
        <v>0</v>
      </c>
      <c r="AH70" s="208">
        <v>0</v>
      </c>
      <c r="AI70" s="208">
        <v>0</v>
      </c>
      <c r="AJ70" s="208">
        <v>0</v>
      </c>
      <c r="AK70" s="208">
        <v>0</v>
      </c>
      <c r="AL70" s="208">
        <v>0</v>
      </c>
      <c r="AM70" s="208">
        <v>0</v>
      </c>
      <c r="AN70" s="208">
        <v>0</v>
      </c>
      <c r="AO70" s="208">
        <v>0</v>
      </c>
      <c r="AP70" s="208">
        <v>0</v>
      </c>
      <c r="AQ70" s="208">
        <v>0</v>
      </c>
      <c r="AR70" s="208">
        <v>0</v>
      </c>
      <c r="AS70" s="208">
        <v>0</v>
      </c>
      <c r="AT70" s="208">
        <v>0</v>
      </c>
      <c r="AU70" s="208">
        <v>0</v>
      </c>
      <c r="AV70" s="208">
        <v>0</v>
      </c>
      <c r="AW70" s="208">
        <v>0</v>
      </c>
    </row>
    <row r="71" spans="2:49">
      <c r="B71" s="91" t="s">
        <v>362</v>
      </c>
      <c r="C71" s="18">
        <v>3</v>
      </c>
      <c r="D71" s="208">
        <v>0.66666666666666663</v>
      </c>
      <c r="E71" s="208">
        <v>0.33333333333333331</v>
      </c>
      <c r="F71" s="208">
        <v>0</v>
      </c>
      <c r="G71" s="208">
        <v>0</v>
      </c>
      <c r="H71" s="208">
        <v>0.66666666666666663</v>
      </c>
      <c r="I71" s="208">
        <v>1</v>
      </c>
      <c r="J71" s="208">
        <v>0</v>
      </c>
      <c r="K71" s="208">
        <v>0</v>
      </c>
      <c r="L71" s="208">
        <v>0</v>
      </c>
      <c r="M71" s="208">
        <v>0</v>
      </c>
      <c r="N71" s="208">
        <v>0</v>
      </c>
      <c r="O71" s="208">
        <v>0</v>
      </c>
      <c r="P71" s="208">
        <v>0</v>
      </c>
      <c r="Q71" s="208">
        <v>0</v>
      </c>
      <c r="R71" s="208">
        <v>0.33333333333333331</v>
      </c>
      <c r="S71" s="208">
        <v>0</v>
      </c>
      <c r="T71" s="208">
        <v>0.66666666666666663</v>
      </c>
      <c r="U71" s="208">
        <v>0</v>
      </c>
      <c r="V71" s="208">
        <v>0.33333333333333331</v>
      </c>
      <c r="W71" s="208">
        <v>0.33333333333333331</v>
      </c>
      <c r="X71" s="208">
        <v>0.33333333333333331</v>
      </c>
      <c r="Y71" s="208">
        <v>0</v>
      </c>
      <c r="Z71" s="208">
        <v>0</v>
      </c>
      <c r="AA71" s="208">
        <v>0</v>
      </c>
      <c r="AB71" s="208">
        <v>0</v>
      </c>
      <c r="AC71" s="208">
        <v>0</v>
      </c>
      <c r="AD71" s="208">
        <v>0.66666666666666663</v>
      </c>
      <c r="AE71" s="208">
        <v>0</v>
      </c>
      <c r="AF71" s="208">
        <v>0</v>
      </c>
      <c r="AG71" s="208">
        <v>0.33333333333333331</v>
      </c>
      <c r="AH71" s="208">
        <v>0</v>
      </c>
      <c r="AI71" s="208">
        <v>0</v>
      </c>
      <c r="AJ71" s="208">
        <v>0.66666666666666663</v>
      </c>
      <c r="AK71" s="208">
        <v>0.33333333333333331</v>
      </c>
      <c r="AL71" s="208">
        <v>0</v>
      </c>
      <c r="AM71" s="208">
        <v>0</v>
      </c>
      <c r="AN71" s="208">
        <v>0</v>
      </c>
      <c r="AO71" s="208">
        <v>0</v>
      </c>
      <c r="AP71" s="208">
        <v>0</v>
      </c>
      <c r="AQ71" s="208">
        <v>1</v>
      </c>
      <c r="AR71" s="208">
        <v>0</v>
      </c>
      <c r="AS71" s="208">
        <v>0</v>
      </c>
      <c r="AT71" s="208">
        <v>0</v>
      </c>
      <c r="AU71" s="208">
        <v>0</v>
      </c>
      <c r="AV71" s="208">
        <v>1</v>
      </c>
      <c r="AW71" s="208">
        <v>0</v>
      </c>
    </row>
    <row r="72" spans="2:49">
      <c r="B72" s="91" t="s">
        <v>457</v>
      </c>
      <c r="C72" s="18">
        <v>1</v>
      </c>
      <c r="D72" s="208">
        <v>0</v>
      </c>
      <c r="E72" s="208">
        <v>1</v>
      </c>
      <c r="F72" s="208">
        <v>0</v>
      </c>
      <c r="G72" s="208">
        <v>0</v>
      </c>
      <c r="H72" s="208">
        <v>1</v>
      </c>
      <c r="I72" s="208">
        <v>1</v>
      </c>
      <c r="J72" s="208">
        <v>0</v>
      </c>
      <c r="K72" s="208">
        <v>0</v>
      </c>
      <c r="L72" s="208">
        <v>0</v>
      </c>
      <c r="M72" s="208">
        <v>0</v>
      </c>
      <c r="N72" s="208">
        <v>0</v>
      </c>
      <c r="O72" s="208">
        <v>0</v>
      </c>
      <c r="P72" s="208">
        <v>0</v>
      </c>
      <c r="Q72" s="208">
        <v>0</v>
      </c>
      <c r="R72" s="208">
        <v>0</v>
      </c>
      <c r="S72" s="208">
        <v>0</v>
      </c>
      <c r="T72" s="208">
        <v>1</v>
      </c>
      <c r="U72" s="208">
        <v>0</v>
      </c>
      <c r="V72" s="208">
        <v>0</v>
      </c>
      <c r="W72" s="208">
        <v>0</v>
      </c>
      <c r="X72" s="208">
        <v>0</v>
      </c>
      <c r="Y72" s="208">
        <v>0</v>
      </c>
      <c r="Z72" s="208">
        <v>0</v>
      </c>
      <c r="AA72" s="208">
        <v>0</v>
      </c>
      <c r="AB72" s="208">
        <v>0</v>
      </c>
      <c r="AC72" s="208">
        <v>1</v>
      </c>
      <c r="AD72" s="208">
        <v>0</v>
      </c>
      <c r="AE72" s="208">
        <v>0</v>
      </c>
      <c r="AF72" s="208">
        <v>0</v>
      </c>
      <c r="AG72" s="208">
        <v>0</v>
      </c>
      <c r="AH72" s="208">
        <v>0</v>
      </c>
      <c r="AI72" s="208">
        <v>0</v>
      </c>
      <c r="AJ72" s="208">
        <v>1</v>
      </c>
      <c r="AK72" s="208">
        <v>0</v>
      </c>
      <c r="AL72" s="208">
        <v>0</v>
      </c>
      <c r="AM72" s="208">
        <v>0</v>
      </c>
      <c r="AN72" s="208">
        <v>0</v>
      </c>
      <c r="AO72" s="208">
        <v>0</v>
      </c>
      <c r="AP72" s="208">
        <v>0</v>
      </c>
      <c r="AQ72" s="208">
        <v>1</v>
      </c>
      <c r="AR72" s="208">
        <v>0</v>
      </c>
      <c r="AS72" s="208">
        <v>0</v>
      </c>
      <c r="AT72" s="208">
        <v>0</v>
      </c>
      <c r="AU72" s="208">
        <v>0</v>
      </c>
      <c r="AV72" s="208">
        <v>1</v>
      </c>
      <c r="AW72" s="208">
        <v>0</v>
      </c>
    </row>
    <row r="73" spans="2:49">
      <c r="B73" s="91" t="s">
        <v>126</v>
      </c>
      <c r="C73" s="18">
        <v>3</v>
      </c>
      <c r="D73" s="208">
        <v>0.66666666666666663</v>
      </c>
      <c r="E73" s="208">
        <v>0.33333333333333331</v>
      </c>
      <c r="F73" s="208">
        <v>0</v>
      </c>
      <c r="G73" s="208">
        <v>0</v>
      </c>
      <c r="H73" s="208">
        <v>0.33333333333333331</v>
      </c>
      <c r="I73" s="208">
        <v>0.33333333333333331</v>
      </c>
      <c r="J73" s="208">
        <v>0</v>
      </c>
      <c r="K73" s="208">
        <v>0</v>
      </c>
      <c r="L73" s="208">
        <v>0</v>
      </c>
      <c r="M73" s="208">
        <v>0</v>
      </c>
      <c r="N73" s="208">
        <v>0</v>
      </c>
      <c r="O73" s="208">
        <v>0</v>
      </c>
      <c r="P73" s="208">
        <v>0.66666666666666663</v>
      </c>
      <c r="Q73" s="208">
        <v>0</v>
      </c>
      <c r="R73" s="208">
        <v>0</v>
      </c>
      <c r="S73" s="208">
        <v>0</v>
      </c>
      <c r="T73" s="208">
        <v>0</v>
      </c>
      <c r="U73" s="208">
        <v>0.33333333333333331</v>
      </c>
      <c r="V73" s="208">
        <v>0</v>
      </c>
      <c r="W73" s="208">
        <v>0</v>
      </c>
      <c r="X73" s="208">
        <v>0</v>
      </c>
      <c r="Y73" s="208">
        <v>0</v>
      </c>
      <c r="Z73" s="208">
        <v>0</v>
      </c>
      <c r="AA73" s="208">
        <v>0.33333333333333331</v>
      </c>
      <c r="AB73" s="208">
        <v>0</v>
      </c>
      <c r="AC73" s="208">
        <v>0</v>
      </c>
      <c r="AD73" s="208">
        <v>0</v>
      </c>
      <c r="AE73" s="208">
        <v>0.33333333333333331</v>
      </c>
      <c r="AF73" s="208">
        <v>0</v>
      </c>
      <c r="AG73" s="208">
        <v>0</v>
      </c>
      <c r="AH73" s="208">
        <v>0</v>
      </c>
      <c r="AI73" s="208">
        <v>0</v>
      </c>
      <c r="AJ73" s="208">
        <v>0</v>
      </c>
      <c r="AK73" s="208">
        <v>0</v>
      </c>
      <c r="AL73" s="208">
        <v>0.33333333333333331</v>
      </c>
      <c r="AM73" s="208">
        <v>0</v>
      </c>
      <c r="AN73" s="208">
        <v>0</v>
      </c>
      <c r="AO73" s="208">
        <v>0.33333333333333331</v>
      </c>
      <c r="AP73" s="208">
        <v>0</v>
      </c>
      <c r="AQ73" s="208">
        <v>0.33333333333333331</v>
      </c>
      <c r="AR73" s="208">
        <v>0.33333333333333331</v>
      </c>
      <c r="AS73" s="208">
        <v>0</v>
      </c>
      <c r="AT73" s="208">
        <v>0</v>
      </c>
      <c r="AU73" s="208">
        <v>0.33333333333333331</v>
      </c>
      <c r="AV73" s="208">
        <v>0</v>
      </c>
      <c r="AW73" s="208">
        <v>0</v>
      </c>
    </row>
    <row r="74" spans="2:49">
      <c r="B74" s="91" t="s">
        <v>444</v>
      </c>
      <c r="C74" s="18">
        <v>1</v>
      </c>
      <c r="D74" s="208">
        <v>1</v>
      </c>
      <c r="E74" s="208">
        <v>0</v>
      </c>
      <c r="F74" s="208">
        <v>0</v>
      </c>
      <c r="G74" s="208">
        <v>0</v>
      </c>
      <c r="H74" s="208">
        <v>1</v>
      </c>
      <c r="I74" s="208">
        <v>0</v>
      </c>
      <c r="J74" s="208">
        <v>0</v>
      </c>
      <c r="K74" s="208">
        <v>0</v>
      </c>
      <c r="L74" s="208">
        <v>1</v>
      </c>
      <c r="M74" s="208">
        <v>0</v>
      </c>
      <c r="N74" s="208">
        <v>0</v>
      </c>
      <c r="O74" s="208">
        <v>0</v>
      </c>
      <c r="P74" s="208">
        <v>0</v>
      </c>
      <c r="Q74" s="208">
        <v>0</v>
      </c>
      <c r="R74" s="208">
        <v>0</v>
      </c>
      <c r="S74" s="208">
        <v>1</v>
      </c>
      <c r="T74" s="208">
        <v>0</v>
      </c>
      <c r="U74" s="208">
        <v>0</v>
      </c>
      <c r="V74" s="208">
        <v>0</v>
      </c>
      <c r="W74" s="208">
        <v>1</v>
      </c>
      <c r="X74" s="208">
        <v>0</v>
      </c>
      <c r="Y74" s="208">
        <v>0</v>
      </c>
      <c r="Z74" s="208">
        <v>0</v>
      </c>
      <c r="AA74" s="208">
        <v>0</v>
      </c>
      <c r="AB74" s="208">
        <v>0</v>
      </c>
      <c r="AC74" s="208">
        <v>0</v>
      </c>
      <c r="AD74" s="208">
        <v>1</v>
      </c>
      <c r="AE74" s="208">
        <v>0</v>
      </c>
      <c r="AF74" s="208">
        <v>0</v>
      </c>
      <c r="AG74" s="208">
        <v>0</v>
      </c>
      <c r="AH74" s="208">
        <v>0</v>
      </c>
      <c r="AI74" s="208">
        <v>0</v>
      </c>
      <c r="AJ74" s="208">
        <v>1</v>
      </c>
      <c r="AK74" s="208">
        <v>0</v>
      </c>
      <c r="AL74" s="208">
        <v>0</v>
      </c>
      <c r="AM74" s="208">
        <v>0</v>
      </c>
      <c r="AN74" s="208">
        <v>0</v>
      </c>
      <c r="AO74" s="208">
        <v>0</v>
      </c>
      <c r="AP74" s="208">
        <v>0</v>
      </c>
      <c r="AQ74" s="208">
        <v>1</v>
      </c>
      <c r="AR74" s="208">
        <v>0</v>
      </c>
      <c r="AS74" s="208">
        <v>0</v>
      </c>
      <c r="AT74" s="208">
        <v>0</v>
      </c>
      <c r="AU74" s="208">
        <v>0</v>
      </c>
      <c r="AV74" s="208">
        <v>1</v>
      </c>
      <c r="AW74" s="208">
        <v>0</v>
      </c>
    </row>
    <row r="75" spans="2:49">
      <c r="B75" s="91" t="s">
        <v>474</v>
      </c>
      <c r="C75" s="18">
        <v>1</v>
      </c>
      <c r="D75" s="208">
        <v>1</v>
      </c>
      <c r="E75" s="208">
        <v>0</v>
      </c>
      <c r="F75" s="208">
        <v>0</v>
      </c>
      <c r="G75" s="208">
        <v>0</v>
      </c>
      <c r="H75" s="208">
        <v>0</v>
      </c>
      <c r="I75" s="208">
        <v>0</v>
      </c>
      <c r="J75" s="208">
        <v>0</v>
      </c>
      <c r="K75" s="208">
        <v>0</v>
      </c>
      <c r="L75" s="208">
        <v>0</v>
      </c>
      <c r="M75" s="208">
        <v>0</v>
      </c>
      <c r="N75" s="208">
        <v>0</v>
      </c>
      <c r="O75" s="208">
        <v>0</v>
      </c>
      <c r="P75" s="208">
        <v>0</v>
      </c>
      <c r="Q75" s="208">
        <v>0</v>
      </c>
      <c r="R75" s="208">
        <v>1</v>
      </c>
      <c r="S75" s="208">
        <v>0</v>
      </c>
      <c r="T75" s="208">
        <v>0</v>
      </c>
      <c r="U75" s="208">
        <v>0</v>
      </c>
      <c r="V75" s="208">
        <v>0</v>
      </c>
      <c r="W75" s="208">
        <v>0</v>
      </c>
      <c r="X75" s="208">
        <v>0</v>
      </c>
      <c r="Y75" s="208">
        <v>0</v>
      </c>
      <c r="Z75" s="208">
        <v>0</v>
      </c>
      <c r="AA75" s="208">
        <v>0</v>
      </c>
      <c r="AB75" s="208">
        <v>0</v>
      </c>
      <c r="AC75" s="208">
        <v>0</v>
      </c>
      <c r="AD75" s="208">
        <v>0</v>
      </c>
      <c r="AE75" s="208">
        <v>0</v>
      </c>
      <c r="AF75" s="208">
        <v>0</v>
      </c>
      <c r="AG75" s="208">
        <v>1</v>
      </c>
      <c r="AH75" s="208">
        <v>0</v>
      </c>
      <c r="AI75" s="208">
        <v>0</v>
      </c>
      <c r="AJ75" s="208">
        <v>0</v>
      </c>
      <c r="AK75" s="208">
        <v>0</v>
      </c>
      <c r="AL75" s="208">
        <v>0</v>
      </c>
      <c r="AM75" s="208">
        <v>0</v>
      </c>
      <c r="AN75" s="208">
        <v>0</v>
      </c>
      <c r="AO75" s="208">
        <v>0</v>
      </c>
      <c r="AP75" s="208">
        <v>0</v>
      </c>
      <c r="AQ75" s="208">
        <v>0</v>
      </c>
      <c r="AR75" s="208">
        <v>0</v>
      </c>
      <c r="AS75" s="208">
        <v>0</v>
      </c>
      <c r="AT75" s="208">
        <v>0</v>
      </c>
      <c r="AU75" s="208">
        <v>0</v>
      </c>
      <c r="AV75" s="208">
        <v>1</v>
      </c>
      <c r="AW75" s="208">
        <v>0</v>
      </c>
    </row>
    <row r="76" spans="2:49">
      <c r="B76" s="91" t="s">
        <v>119</v>
      </c>
      <c r="C76" s="18">
        <v>2</v>
      </c>
      <c r="D76" s="208">
        <v>0</v>
      </c>
      <c r="E76" s="208">
        <v>1</v>
      </c>
      <c r="F76" s="208">
        <v>0</v>
      </c>
      <c r="G76" s="208">
        <v>0</v>
      </c>
      <c r="H76" s="208">
        <v>0</v>
      </c>
      <c r="I76" s="208">
        <v>1</v>
      </c>
      <c r="J76" s="208">
        <v>0</v>
      </c>
      <c r="K76" s="208">
        <v>0</v>
      </c>
      <c r="L76" s="208">
        <v>0</v>
      </c>
      <c r="M76" s="208">
        <v>0</v>
      </c>
      <c r="N76" s="208">
        <v>0</v>
      </c>
      <c r="O76" s="208">
        <v>0</v>
      </c>
      <c r="P76" s="208">
        <v>0</v>
      </c>
      <c r="Q76" s="208">
        <v>0.5</v>
      </c>
      <c r="R76" s="208">
        <v>0</v>
      </c>
      <c r="S76" s="208">
        <v>0.5</v>
      </c>
      <c r="T76" s="208">
        <v>0</v>
      </c>
      <c r="U76" s="208">
        <v>0.5</v>
      </c>
      <c r="V76" s="208">
        <v>0</v>
      </c>
      <c r="W76" s="208">
        <v>0</v>
      </c>
      <c r="X76" s="208">
        <v>0</v>
      </c>
      <c r="Y76" s="208">
        <v>0</v>
      </c>
      <c r="Z76" s="208">
        <v>0</v>
      </c>
      <c r="AA76" s="208">
        <v>0</v>
      </c>
      <c r="AB76" s="208">
        <v>0</v>
      </c>
      <c r="AC76" s="208">
        <v>0</v>
      </c>
      <c r="AD76" s="208">
        <v>0</v>
      </c>
      <c r="AE76" s="208">
        <v>1</v>
      </c>
      <c r="AF76" s="208">
        <v>0</v>
      </c>
      <c r="AG76" s="208">
        <v>0</v>
      </c>
      <c r="AH76" s="208">
        <v>0</v>
      </c>
      <c r="AI76" s="208">
        <v>0</v>
      </c>
      <c r="AJ76" s="208">
        <v>0</v>
      </c>
      <c r="AK76" s="208">
        <v>0</v>
      </c>
      <c r="AL76" s="208">
        <v>0.5</v>
      </c>
      <c r="AM76" s="208">
        <v>0.5</v>
      </c>
      <c r="AN76" s="208">
        <v>0</v>
      </c>
      <c r="AO76" s="208">
        <v>0</v>
      </c>
      <c r="AP76" s="208">
        <v>0</v>
      </c>
      <c r="AQ76" s="208">
        <v>1</v>
      </c>
      <c r="AR76" s="208">
        <v>0</v>
      </c>
      <c r="AS76" s="208">
        <v>0</v>
      </c>
      <c r="AT76" s="208">
        <v>0.5</v>
      </c>
      <c r="AU76" s="208">
        <v>0</v>
      </c>
      <c r="AV76" s="208">
        <v>0.5</v>
      </c>
      <c r="AW76" s="208">
        <v>0</v>
      </c>
    </row>
    <row r="77" spans="2:49">
      <c r="B77" s="91" t="s">
        <v>146</v>
      </c>
      <c r="C77" s="18">
        <v>1</v>
      </c>
      <c r="D77" s="208">
        <v>0</v>
      </c>
      <c r="E77" s="208">
        <v>1</v>
      </c>
      <c r="F77" s="208">
        <v>0</v>
      </c>
      <c r="G77" s="208">
        <v>0</v>
      </c>
      <c r="H77" s="208">
        <v>1</v>
      </c>
      <c r="I77" s="208">
        <v>1</v>
      </c>
      <c r="J77" s="208">
        <v>0</v>
      </c>
      <c r="K77" s="208">
        <v>0</v>
      </c>
      <c r="L77" s="208">
        <v>0</v>
      </c>
      <c r="M77" s="208">
        <v>0</v>
      </c>
      <c r="N77" s="208">
        <v>0</v>
      </c>
      <c r="O77" s="208">
        <v>0</v>
      </c>
      <c r="P77" s="208">
        <v>0</v>
      </c>
      <c r="Q77" s="208">
        <v>0</v>
      </c>
      <c r="R77" s="208">
        <v>0</v>
      </c>
      <c r="S77" s="208">
        <v>1</v>
      </c>
      <c r="T77" s="208">
        <v>0</v>
      </c>
      <c r="U77" s="208">
        <v>0</v>
      </c>
      <c r="V77" s="208">
        <v>0</v>
      </c>
      <c r="W77" s="208">
        <v>0</v>
      </c>
      <c r="X77" s="208">
        <v>0</v>
      </c>
      <c r="Y77" s="208">
        <v>1</v>
      </c>
      <c r="Z77" s="208">
        <v>0</v>
      </c>
      <c r="AA77" s="208">
        <v>0</v>
      </c>
      <c r="AB77" s="208">
        <v>0</v>
      </c>
      <c r="AC77" s="208">
        <v>0</v>
      </c>
      <c r="AD77" s="208">
        <v>0</v>
      </c>
      <c r="AE77" s="208">
        <v>0</v>
      </c>
      <c r="AF77" s="208">
        <v>1</v>
      </c>
      <c r="AG77" s="208">
        <v>0</v>
      </c>
      <c r="AH77" s="208">
        <v>0</v>
      </c>
      <c r="AI77" s="208">
        <v>0</v>
      </c>
      <c r="AJ77" s="208">
        <v>1</v>
      </c>
      <c r="AK77" s="208">
        <v>0</v>
      </c>
      <c r="AL77" s="208">
        <v>0</v>
      </c>
      <c r="AM77" s="208">
        <v>0</v>
      </c>
      <c r="AN77" s="208">
        <v>0</v>
      </c>
      <c r="AO77" s="208">
        <v>0</v>
      </c>
      <c r="AP77" s="208">
        <v>0</v>
      </c>
      <c r="AQ77" s="208">
        <v>1</v>
      </c>
      <c r="AR77" s="208">
        <v>0</v>
      </c>
      <c r="AS77" s="208">
        <v>0</v>
      </c>
      <c r="AT77" s="208">
        <v>0</v>
      </c>
      <c r="AU77" s="208">
        <v>0</v>
      </c>
      <c r="AV77" s="208">
        <v>0</v>
      </c>
      <c r="AW77" s="208">
        <v>0</v>
      </c>
    </row>
    <row r="78" spans="2:49">
      <c r="B78" s="91" t="s">
        <v>176</v>
      </c>
      <c r="C78" s="18">
        <v>4</v>
      </c>
      <c r="D78" s="208">
        <v>0.25</v>
      </c>
      <c r="E78" s="208">
        <v>0.75</v>
      </c>
      <c r="F78" s="208">
        <v>0</v>
      </c>
      <c r="G78" s="208">
        <v>0</v>
      </c>
      <c r="H78" s="208">
        <v>0.75</v>
      </c>
      <c r="I78" s="208">
        <v>0.75</v>
      </c>
      <c r="J78" s="208">
        <v>0</v>
      </c>
      <c r="K78" s="208">
        <v>0</v>
      </c>
      <c r="L78" s="208">
        <v>0</v>
      </c>
      <c r="M78" s="208">
        <v>0</v>
      </c>
      <c r="N78" s="208">
        <v>0</v>
      </c>
      <c r="O78" s="208">
        <v>0</v>
      </c>
      <c r="P78" s="208">
        <v>0</v>
      </c>
      <c r="Q78" s="208">
        <v>0</v>
      </c>
      <c r="R78" s="208">
        <v>0</v>
      </c>
      <c r="S78" s="208">
        <v>0</v>
      </c>
      <c r="T78" s="208">
        <v>1</v>
      </c>
      <c r="U78" s="208">
        <v>0.25</v>
      </c>
      <c r="V78" s="208">
        <v>0</v>
      </c>
      <c r="W78" s="208">
        <v>0</v>
      </c>
      <c r="X78" s="208">
        <v>0.5</v>
      </c>
      <c r="Y78" s="208">
        <v>0</v>
      </c>
      <c r="Z78" s="208">
        <v>0</v>
      </c>
      <c r="AA78" s="208">
        <v>0</v>
      </c>
      <c r="AB78" s="208">
        <v>0.25</v>
      </c>
      <c r="AC78" s="208">
        <v>0</v>
      </c>
      <c r="AD78" s="208">
        <v>0.25</v>
      </c>
      <c r="AE78" s="208">
        <v>0</v>
      </c>
      <c r="AF78" s="208">
        <v>0</v>
      </c>
      <c r="AG78" s="208">
        <v>0.5</v>
      </c>
      <c r="AH78" s="208">
        <v>0</v>
      </c>
      <c r="AI78" s="208">
        <v>0</v>
      </c>
      <c r="AJ78" s="208">
        <v>0.5</v>
      </c>
      <c r="AK78" s="208">
        <v>0.25</v>
      </c>
      <c r="AL78" s="208">
        <v>0</v>
      </c>
      <c r="AM78" s="208">
        <v>0</v>
      </c>
      <c r="AN78" s="208">
        <v>0</v>
      </c>
      <c r="AO78" s="208">
        <v>0</v>
      </c>
      <c r="AP78" s="208">
        <v>0.25</v>
      </c>
      <c r="AQ78" s="208">
        <v>1</v>
      </c>
      <c r="AR78" s="208">
        <v>0</v>
      </c>
      <c r="AS78" s="208">
        <v>0</v>
      </c>
      <c r="AT78" s="208">
        <v>0</v>
      </c>
      <c r="AU78" s="208">
        <v>0.25</v>
      </c>
      <c r="AV78" s="208">
        <v>0.75</v>
      </c>
      <c r="AW78" s="208">
        <v>0</v>
      </c>
    </row>
    <row r="79" spans="2:49">
      <c r="B79" s="91" t="s">
        <v>378</v>
      </c>
      <c r="C79" s="18">
        <v>1</v>
      </c>
      <c r="D79" s="208">
        <v>0</v>
      </c>
      <c r="E79" s="208">
        <v>1</v>
      </c>
      <c r="F79" s="208">
        <v>0</v>
      </c>
      <c r="G79" s="208">
        <v>0</v>
      </c>
      <c r="H79" s="208">
        <v>1</v>
      </c>
      <c r="I79" s="208">
        <v>0</v>
      </c>
      <c r="J79" s="208">
        <v>0</v>
      </c>
      <c r="K79" s="208">
        <v>0</v>
      </c>
      <c r="L79" s="208">
        <v>1</v>
      </c>
      <c r="M79" s="208">
        <v>0</v>
      </c>
      <c r="N79" s="208">
        <v>0</v>
      </c>
      <c r="O79" s="208">
        <v>0</v>
      </c>
      <c r="P79" s="208">
        <v>0</v>
      </c>
      <c r="Q79" s="208">
        <v>0</v>
      </c>
      <c r="R79" s="208">
        <v>0</v>
      </c>
      <c r="S79" s="208">
        <v>1</v>
      </c>
      <c r="T79" s="208">
        <v>0</v>
      </c>
      <c r="U79" s="208">
        <v>0</v>
      </c>
      <c r="V79" s="208">
        <v>0</v>
      </c>
      <c r="W79" s="208">
        <v>0</v>
      </c>
      <c r="X79" s="208">
        <v>0</v>
      </c>
      <c r="Y79" s="208">
        <v>0</v>
      </c>
      <c r="Z79" s="208">
        <v>1</v>
      </c>
      <c r="AA79" s="208">
        <v>0</v>
      </c>
      <c r="AB79" s="208">
        <v>0</v>
      </c>
      <c r="AC79" s="208">
        <v>0</v>
      </c>
      <c r="AD79" s="208">
        <v>1</v>
      </c>
      <c r="AE79" s="208">
        <v>0</v>
      </c>
      <c r="AF79" s="208">
        <v>0</v>
      </c>
      <c r="AG79" s="208">
        <v>0</v>
      </c>
      <c r="AH79" s="208">
        <v>0</v>
      </c>
      <c r="AI79" s="208">
        <v>0</v>
      </c>
      <c r="AJ79" s="208">
        <v>0</v>
      </c>
      <c r="AK79" s="208">
        <v>0</v>
      </c>
      <c r="AL79" s="208">
        <v>0</v>
      </c>
      <c r="AM79" s="208">
        <v>1</v>
      </c>
      <c r="AN79" s="208">
        <v>0</v>
      </c>
      <c r="AO79" s="208">
        <v>0</v>
      </c>
      <c r="AP79" s="208">
        <v>0</v>
      </c>
      <c r="AQ79" s="208">
        <v>1</v>
      </c>
      <c r="AR79" s="208">
        <v>0</v>
      </c>
      <c r="AS79" s="208">
        <v>0</v>
      </c>
      <c r="AT79" s="208">
        <v>0</v>
      </c>
      <c r="AU79" s="208">
        <v>0</v>
      </c>
      <c r="AV79" s="208">
        <v>0</v>
      </c>
      <c r="AW79" s="208">
        <v>0</v>
      </c>
    </row>
    <row r="80" spans="2:49">
      <c r="B80" s="91" t="s">
        <v>155</v>
      </c>
      <c r="C80" s="18">
        <v>10</v>
      </c>
      <c r="D80" s="208">
        <v>0.4</v>
      </c>
      <c r="E80" s="208">
        <v>0.6</v>
      </c>
      <c r="F80" s="208">
        <v>0</v>
      </c>
      <c r="G80" s="208">
        <v>0</v>
      </c>
      <c r="H80" s="208">
        <v>0.4</v>
      </c>
      <c r="I80" s="208">
        <v>0.4</v>
      </c>
      <c r="J80" s="208">
        <v>0</v>
      </c>
      <c r="K80" s="208">
        <v>0.1</v>
      </c>
      <c r="L80" s="208">
        <v>0</v>
      </c>
      <c r="M80" s="208">
        <v>0</v>
      </c>
      <c r="N80" s="208">
        <v>0</v>
      </c>
      <c r="O80" s="208">
        <v>0</v>
      </c>
      <c r="P80" s="208">
        <v>0.3</v>
      </c>
      <c r="Q80" s="208">
        <v>0.1</v>
      </c>
      <c r="R80" s="208">
        <v>0.2</v>
      </c>
      <c r="S80" s="208">
        <v>0.2</v>
      </c>
      <c r="T80" s="208">
        <v>0.1</v>
      </c>
      <c r="U80" s="208">
        <v>0.1</v>
      </c>
      <c r="V80" s="208">
        <v>0.2</v>
      </c>
      <c r="W80" s="208">
        <v>0.2</v>
      </c>
      <c r="X80" s="208">
        <v>0.1</v>
      </c>
      <c r="Y80" s="208">
        <v>0</v>
      </c>
      <c r="Z80" s="208">
        <v>0.1</v>
      </c>
      <c r="AA80" s="208">
        <v>0.1</v>
      </c>
      <c r="AB80" s="208">
        <v>0.1</v>
      </c>
      <c r="AC80" s="208">
        <v>0.2</v>
      </c>
      <c r="AD80" s="208">
        <v>0.2</v>
      </c>
      <c r="AE80" s="208">
        <v>0.2</v>
      </c>
      <c r="AF80" s="208">
        <v>0.1</v>
      </c>
      <c r="AG80" s="208">
        <v>0.1</v>
      </c>
      <c r="AH80" s="208">
        <v>0</v>
      </c>
      <c r="AI80" s="208">
        <v>0</v>
      </c>
      <c r="AJ80" s="208">
        <v>0.6</v>
      </c>
      <c r="AK80" s="208">
        <v>0.2</v>
      </c>
      <c r="AL80" s="208">
        <v>0</v>
      </c>
      <c r="AM80" s="208">
        <v>0</v>
      </c>
      <c r="AN80" s="208">
        <v>0</v>
      </c>
      <c r="AO80" s="208">
        <v>0.2</v>
      </c>
      <c r="AP80" s="208">
        <v>0</v>
      </c>
      <c r="AQ80" s="208">
        <v>0.7</v>
      </c>
      <c r="AR80" s="208">
        <v>0.3</v>
      </c>
      <c r="AS80" s="208">
        <v>0</v>
      </c>
      <c r="AT80" s="208">
        <v>0</v>
      </c>
      <c r="AU80" s="208">
        <v>0</v>
      </c>
      <c r="AV80" s="208">
        <v>0.2</v>
      </c>
      <c r="AW80" s="208">
        <v>0.1</v>
      </c>
    </row>
    <row r="81" spans="2:49">
      <c r="B81" s="91" t="s">
        <v>376</v>
      </c>
      <c r="C81" s="18">
        <v>1</v>
      </c>
      <c r="D81" s="208">
        <v>0</v>
      </c>
      <c r="E81" s="208">
        <v>1</v>
      </c>
      <c r="F81" s="208">
        <v>0</v>
      </c>
      <c r="G81" s="208">
        <v>0</v>
      </c>
      <c r="H81" s="208">
        <v>1</v>
      </c>
      <c r="I81" s="208">
        <v>1</v>
      </c>
      <c r="J81" s="208">
        <v>0</v>
      </c>
      <c r="K81" s="208">
        <v>0</v>
      </c>
      <c r="L81" s="208">
        <v>0</v>
      </c>
      <c r="M81" s="208">
        <v>0</v>
      </c>
      <c r="N81" s="208">
        <v>0</v>
      </c>
      <c r="O81" s="208">
        <v>0</v>
      </c>
      <c r="P81" s="208">
        <v>0</v>
      </c>
      <c r="Q81" s="208">
        <v>0</v>
      </c>
      <c r="R81" s="208">
        <v>0</v>
      </c>
      <c r="S81" s="208">
        <v>1</v>
      </c>
      <c r="T81" s="208">
        <v>0</v>
      </c>
      <c r="U81" s="208">
        <v>0</v>
      </c>
      <c r="V81" s="208">
        <v>0</v>
      </c>
      <c r="W81" s="208">
        <v>0</v>
      </c>
      <c r="X81" s="208">
        <v>0</v>
      </c>
      <c r="Y81" s="208">
        <v>0</v>
      </c>
      <c r="Z81" s="208">
        <v>1</v>
      </c>
      <c r="AA81" s="208">
        <v>0</v>
      </c>
      <c r="AB81" s="208">
        <v>0</v>
      </c>
      <c r="AC81" s="208">
        <v>0</v>
      </c>
      <c r="AD81" s="208">
        <v>1</v>
      </c>
      <c r="AE81" s="208">
        <v>0</v>
      </c>
      <c r="AF81" s="208">
        <v>0</v>
      </c>
      <c r="AG81" s="208">
        <v>0</v>
      </c>
      <c r="AH81" s="208">
        <v>0</v>
      </c>
      <c r="AI81" s="208">
        <v>0</v>
      </c>
      <c r="AJ81" s="208">
        <v>0</v>
      </c>
      <c r="AK81" s="208">
        <v>0</v>
      </c>
      <c r="AL81" s="208">
        <v>0</v>
      </c>
      <c r="AM81" s="208">
        <v>1</v>
      </c>
      <c r="AN81" s="208">
        <v>0</v>
      </c>
      <c r="AO81" s="208">
        <v>0</v>
      </c>
      <c r="AP81" s="208">
        <v>0</v>
      </c>
      <c r="AQ81" s="208">
        <v>1</v>
      </c>
      <c r="AR81" s="208">
        <v>0</v>
      </c>
      <c r="AS81" s="208">
        <v>0</v>
      </c>
      <c r="AT81" s="208">
        <v>0</v>
      </c>
      <c r="AU81" s="208">
        <v>0</v>
      </c>
      <c r="AV81" s="208">
        <v>0</v>
      </c>
      <c r="AW81" s="208">
        <v>0</v>
      </c>
    </row>
    <row r="82" spans="2:49">
      <c r="B82" s="91" t="s">
        <v>178</v>
      </c>
      <c r="C82" s="18">
        <v>2</v>
      </c>
      <c r="D82" s="208">
        <v>0.5</v>
      </c>
      <c r="E82" s="208">
        <v>0.5</v>
      </c>
      <c r="F82" s="208">
        <v>0</v>
      </c>
      <c r="G82" s="208">
        <v>0</v>
      </c>
      <c r="H82" s="208">
        <v>0</v>
      </c>
      <c r="I82" s="208">
        <v>0.5</v>
      </c>
      <c r="J82" s="208">
        <v>0</v>
      </c>
      <c r="K82" s="208">
        <v>0</v>
      </c>
      <c r="L82" s="208">
        <v>0</v>
      </c>
      <c r="M82" s="208">
        <v>0</v>
      </c>
      <c r="N82" s="208">
        <v>0</v>
      </c>
      <c r="O82" s="208">
        <v>0</v>
      </c>
      <c r="P82" s="208">
        <v>0</v>
      </c>
      <c r="Q82" s="208">
        <v>0.5</v>
      </c>
      <c r="R82" s="208">
        <v>0</v>
      </c>
      <c r="S82" s="208">
        <v>0</v>
      </c>
      <c r="T82" s="208">
        <v>0.5</v>
      </c>
      <c r="U82" s="208">
        <v>0</v>
      </c>
      <c r="V82" s="208">
        <v>0</v>
      </c>
      <c r="W82" s="208">
        <v>0</v>
      </c>
      <c r="X82" s="208">
        <v>0</v>
      </c>
      <c r="Y82" s="208">
        <v>0</v>
      </c>
      <c r="Z82" s="208">
        <v>0</v>
      </c>
      <c r="AA82" s="208">
        <v>0</v>
      </c>
      <c r="AB82" s="208">
        <v>0</v>
      </c>
      <c r="AC82" s="208">
        <v>0</v>
      </c>
      <c r="AD82" s="208">
        <v>0</v>
      </c>
      <c r="AE82" s="208">
        <v>0</v>
      </c>
      <c r="AF82" s="208">
        <v>0</v>
      </c>
      <c r="AG82" s="208">
        <v>0.5</v>
      </c>
      <c r="AH82" s="208">
        <v>0.5</v>
      </c>
      <c r="AI82" s="208">
        <v>0</v>
      </c>
      <c r="AJ82" s="208">
        <v>1</v>
      </c>
      <c r="AK82" s="208">
        <v>0</v>
      </c>
      <c r="AL82" s="208">
        <v>0</v>
      </c>
      <c r="AM82" s="208">
        <v>0</v>
      </c>
      <c r="AN82" s="208">
        <v>0</v>
      </c>
      <c r="AO82" s="208">
        <v>0</v>
      </c>
      <c r="AP82" s="208">
        <v>0</v>
      </c>
      <c r="AQ82" s="208">
        <v>1</v>
      </c>
      <c r="AR82" s="208">
        <v>0</v>
      </c>
      <c r="AS82" s="208">
        <v>0</v>
      </c>
      <c r="AT82" s="208">
        <v>0</v>
      </c>
      <c r="AU82" s="208">
        <v>0</v>
      </c>
      <c r="AV82" s="208">
        <v>1</v>
      </c>
      <c r="AW82" s="208">
        <v>0</v>
      </c>
    </row>
    <row r="83" spans="2:49">
      <c r="B83" s="91" t="s">
        <v>139</v>
      </c>
      <c r="C83" s="18">
        <v>3</v>
      </c>
      <c r="D83" s="208">
        <v>0</v>
      </c>
      <c r="E83" s="208">
        <v>1</v>
      </c>
      <c r="F83" s="208">
        <v>0</v>
      </c>
      <c r="G83" s="208">
        <v>0</v>
      </c>
      <c r="H83" s="208">
        <v>0.33333333333333331</v>
      </c>
      <c r="I83" s="208">
        <v>0.33333333333333331</v>
      </c>
      <c r="J83" s="208">
        <v>0</v>
      </c>
      <c r="K83" s="208">
        <v>0</v>
      </c>
      <c r="L83" s="208">
        <v>0</v>
      </c>
      <c r="M83" s="208">
        <v>0</v>
      </c>
      <c r="N83" s="208">
        <v>0</v>
      </c>
      <c r="O83" s="208">
        <v>0</v>
      </c>
      <c r="P83" s="208">
        <v>0</v>
      </c>
      <c r="Q83" s="208">
        <v>0</v>
      </c>
      <c r="R83" s="208">
        <v>0.33333333333333331</v>
      </c>
      <c r="S83" s="208">
        <v>0</v>
      </c>
      <c r="T83" s="208">
        <v>0.66666666666666663</v>
      </c>
      <c r="U83" s="208">
        <v>0</v>
      </c>
      <c r="V83" s="208">
        <v>0.33333333333333331</v>
      </c>
      <c r="W83" s="208">
        <v>0.33333333333333331</v>
      </c>
      <c r="X83" s="208">
        <v>0</v>
      </c>
      <c r="Y83" s="208">
        <v>0</v>
      </c>
      <c r="Z83" s="208">
        <v>0</v>
      </c>
      <c r="AA83" s="208">
        <v>0</v>
      </c>
      <c r="AB83" s="208">
        <v>0.33333333333333331</v>
      </c>
      <c r="AC83" s="208">
        <v>0</v>
      </c>
      <c r="AD83" s="208">
        <v>0</v>
      </c>
      <c r="AE83" s="208">
        <v>0</v>
      </c>
      <c r="AF83" s="208">
        <v>0</v>
      </c>
      <c r="AG83" s="208">
        <v>0.33333333333333331</v>
      </c>
      <c r="AH83" s="208">
        <v>0.33333333333333331</v>
      </c>
      <c r="AI83" s="208">
        <v>0</v>
      </c>
      <c r="AJ83" s="208">
        <v>0.33333333333333331</v>
      </c>
      <c r="AK83" s="208">
        <v>0.33333333333333331</v>
      </c>
      <c r="AL83" s="208">
        <v>0</v>
      </c>
      <c r="AM83" s="208">
        <v>0</v>
      </c>
      <c r="AN83" s="208">
        <v>0</v>
      </c>
      <c r="AO83" s="208">
        <v>0</v>
      </c>
      <c r="AP83" s="208">
        <v>0</v>
      </c>
      <c r="AQ83" s="208">
        <v>0.66666666666666663</v>
      </c>
      <c r="AR83" s="208">
        <v>0</v>
      </c>
      <c r="AS83" s="208">
        <v>0</v>
      </c>
      <c r="AT83" s="208">
        <v>0</v>
      </c>
      <c r="AU83" s="208">
        <v>0</v>
      </c>
      <c r="AV83" s="208">
        <v>0.66666666666666663</v>
      </c>
      <c r="AW83" s="208">
        <v>0</v>
      </c>
    </row>
    <row r="84" spans="2:49">
      <c r="B84" s="91" t="s">
        <v>150</v>
      </c>
      <c r="C84" s="18">
        <v>19</v>
      </c>
      <c r="D84" s="208">
        <v>0.31578947368421051</v>
      </c>
      <c r="E84" s="208">
        <v>0.63157894736842102</v>
      </c>
      <c r="F84" s="208">
        <v>0</v>
      </c>
      <c r="G84" s="208">
        <v>0</v>
      </c>
      <c r="H84" s="208">
        <v>0.73684210526315785</v>
      </c>
      <c r="I84" s="208">
        <v>0.84210526315789469</v>
      </c>
      <c r="J84" s="208">
        <v>0</v>
      </c>
      <c r="K84" s="208">
        <v>0</v>
      </c>
      <c r="L84" s="208">
        <v>5.2631578947368418E-2</v>
      </c>
      <c r="M84" s="208">
        <v>5.2631578947368418E-2</v>
      </c>
      <c r="N84" s="208">
        <v>0</v>
      </c>
      <c r="O84" s="208">
        <v>5.2631578947368418E-2</v>
      </c>
      <c r="P84" s="208">
        <v>0</v>
      </c>
      <c r="Q84" s="208">
        <v>0</v>
      </c>
      <c r="R84" s="208">
        <v>0</v>
      </c>
      <c r="S84" s="208">
        <v>0.15789473684210525</v>
      </c>
      <c r="T84" s="208">
        <v>0.68421052631578949</v>
      </c>
      <c r="U84" s="208">
        <v>0.31578947368421051</v>
      </c>
      <c r="V84" s="208">
        <v>5.2631578947368418E-2</v>
      </c>
      <c r="W84" s="208">
        <v>5.2631578947368418E-2</v>
      </c>
      <c r="X84" s="208">
        <v>0.26315789473684209</v>
      </c>
      <c r="Y84" s="208">
        <v>0.15789473684210525</v>
      </c>
      <c r="Z84" s="208">
        <v>5.2631578947368418E-2</v>
      </c>
      <c r="AA84" s="208">
        <v>0</v>
      </c>
      <c r="AB84" s="208">
        <v>0.42105263157894735</v>
      </c>
      <c r="AC84" s="208">
        <v>0.10526315789473684</v>
      </c>
      <c r="AD84" s="208">
        <v>5.2631578947368418E-2</v>
      </c>
      <c r="AE84" s="208">
        <v>5.2631578947368418E-2</v>
      </c>
      <c r="AF84" s="208">
        <v>0</v>
      </c>
      <c r="AG84" s="208">
        <v>0.21052631578947367</v>
      </c>
      <c r="AH84" s="208">
        <v>5.2631578947368418E-2</v>
      </c>
      <c r="AI84" s="208">
        <v>0</v>
      </c>
      <c r="AJ84" s="208">
        <v>0.42105263157894735</v>
      </c>
      <c r="AK84" s="208">
        <v>0.10526315789473684</v>
      </c>
      <c r="AL84" s="208">
        <v>0.10526315789473684</v>
      </c>
      <c r="AM84" s="208">
        <v>0.15789473684210525</v>
      </c>
      <c r="AN84" s="208">
        <v>0</v>
      </c>
      <c r="AO84" s="208">
        <v>0</v>
      </c>
      <c r="AP84" s="208">
        <v>0.15789473684210525</v>
      </c>
      <c r="AQ84" s="208">
        <v>0.84210526315789469</v>
      </c>
      <c r="AR84" s="208">
        <v>0</v>
      </c>
      <c r="AS84" s="208">
        <v>0</v>
      </c>
      <c r="AT84" s="208">
        <v>0.21052631578947367</v>
      </c>
      <c r="AU84" s="208">
        <v>0</v>
      </c>
      <c r="AV84" s="208">
        <v>0.36842105263157893</v>
      </c>
      <c r="AW84" s="208">
        <v>0</v>
      </c>
    </row>
    <row r="85" spans="2:49">
      <c r="B85" s="91" t="s">
        <v>185</v>
      </c>
      <c r="C85" s="18">
        <v>5</v>
      </c>
      <c r="D85" s="208">
        <v>0.4</v>
      </c>
      <c r="E85" s="208">
        <v>0.6</v>
      </c>
      <c r="F85" s="208">
        <v>0</v>
      </c>
      <c r="G85" s="208">
        <v>0</v>
      </c>
      <c r="H85" s="208">
        <v>0</v>
      </c>
      <c r="I85" s="208">
        <v>0</v>
      </c>
      <c r="J85" s="208">
        <v>0.2</v>
      </c>
      <c r="K85" s="208">
        <v>0.4</v>
      </c>
      <c r="L85" s="208">
        <v>0</v>
      </c>
      <c r="M85" s="208">
        <v>0</v>
      </c>
      <c r="N85" s="208">
        <v>0.2</v>
      </c>
      <c r="O85" s="208">
        <v>0</v>
      </c>
      <c r="P85" s="208">
        <v>0</v>
      </c>
      <c r="Q85" s="208">
        <v>0</v>
      </c>
      <c r="R85" s="208">
        <v>0.2</v>
      </c>
      <c r="S85" s="208">
        <v>0</v>
      </c>
      <c r="T85" s="208">
        <v>0.4</v>
      </c>
      <c r="U85" s="208">
        <v>0.2</v>
      </c>
      <c r="V85" s="208">
        <v>0.4</v>
      </c>
      <c r="W85" s="208">
        <v>0.2</v>
      </c>
      <c r="X85" s="208">
        <v>0</v>
      </c>
      <c r="Y85" s="208">
        <v>0</v>
      </c>
      <c r="Z85" s="208">
        <v>0</v>
      </c>
      <c r="AA85" s="208">
        <v>0</v>
      </c>
      <c r="AB85" s="208">
        <v>0</v>
      </c>
      <c r="AC85" s="208">
        <v>0.2</v>
      </c>
      <c r="AD85" s="208">
        <v>0.2</v>
      </c>
      <c r="AE85" s="208">
        <v>0</v>
      </c>
      <c r="AF85" s="208">
        <v>0.4</v>
      </c>
      <c r="AG85" s="208">
        <v>0</v>
      </c>
      <c r="AH85" s="208">
        <v>0</v>
      </c>
      <c r="AI85" s="208">
        <v>0</v>
      </c>
      <c r="AJ85" s="208">
        <v>0.2</v>
      </c>
      <c r="AK85" s="208">
        <v>0</v>
      </c>
      <c r="AL85" s="208">
        <v>0</v>
      </c>
      <c r="AM85" s="208">
        <v>0</v>
      </c>
      <c r="AN85" s="208">
        <v>0</v>
      </c>
      <c r="AO85" s="208">
        <v>0</v>
      </c>
      <c r="AP85" s="208">
        <v>0</v>
      </c>
      <c r="AQ85" s="208">
        <v>0.2</v>
      </c>
      <c r="AR85" s="208">
        <v>0</v>
      </c>
      <c r="AS85" s="208">
        <v>0.6</v>
      </c>
      <c r="AT85" s="208">
        <v>0</v>
      </c>
      <c r="AU85" s="208">
        <v>0</v>
      </c>
      <c r="AV85" s="208">
        <v>0.4</v>
      </c>
      <c r="AW85" s="208">
        <v>0</v>
      </c>
    </row>
    <row r="86" spans="2:49">
      <c r="B86" s="91" t="s">
        <v>175</v>
      </c>
      <c r="C86" s="18">
        <v>2</v>
      </c>
      <c r="D86" s="208">
        <v>1</v>
      </c>
      <c r="E86" s="208">
        <v>0</v>
      </c>
      <c r="F86" s="208">
        <v>0</v>
      </c>
      <c r="G86" s="208">
        <v>0</v>
      </c>
      <c r="H86" s="208">
        <v>0.5</v>
      </c>
      <c r="I86" s="208">
        <v>1</v>
      </c>
      <c r="J86" s="208">
        <v>0</v>
      </c>
      <c r="K86" s="208">
        <v>0</v>
      </c>
      <c r="L86" s="208">
        <v>0</v>
      </c>
      <c r="M86" s="208">
        <v>0</v>
      </c>
      <c r="N86" s="208">
        <v>0</v>
      </c>
      <c r="O86" s="208">
        <v>0</v>
      </c>
      <c r="P86" s="208">
        <v>0</v>
      </c>
      <c r="Q86" s="208">
        <v>0</v>
      </c>
      <c r="R86" s="208">
        <v>0.5</v>
      </c>
      <c r="S86" s="208">
        <v>0</v>
      </c>
      <c r="T86" s="208">
        <v>0.5</v>
      </c>
      <c r="U86" s="208">
        <v>0</v>
      </c>
      <c r="V86" s="208">
        <v>0</v>
      </c>
      <c r="W86" s="208">
        <v>0</v>
      </c>
      <c r="X86" s="208">
        <v>0</v>
      </c>
      <c r="Y86" s="208">
        <v>0.5</v>
      </c>
      <c r="Z86" s="208">
        <v>0</v>
      </c>
      <c r="AA86" s="208">
        <v>0</v>
      </c>
      <c r="AB86" s="208">
        <v>0</v>
      </c>
      <c r="AC86" s="208">
        <v>0</v>
      </c>
      <c r="AD86" s="208">
        <v>0.5</v>
      </c>
      <c r="AE86" s="208">
        <v>0.5</v>
      </c>
      <c r="AF86" s="208">
        <v>0</v>
      </c>
      <c r="AG86" s="208">
        <v>0</v>
      </c>
      <c r="AH86" s="208">
        <v>0</v>
      </c>
      <c r="AI86" s="208">
        <v>0</v>
      </c>
      <c r="AJ86" s="208">
        <v>1</v>
      </c>
      <c r="AK86" s="208">
        <v>0</v>
      </c>
      <c r="AL86" s="208">
        <v>0</v>
      </c>
      <c r="AM86" s="208">
        <v>0</v>
      </c>
      <c r="AN86" s="208">
        <v>0</v>
      </c>
      <c r="AO86" s="208">
        <v>0</v>
      </c>
      <c r="AP86" s="208">
        <v>0</v>
      </c>
      <c r="AQ86" s="208">
        <v>0.5</v>
      </c>
      <c r="AR86" s="208">
        <v>0.5</v>
      </c>
      <c r="AS86" s="208">
        <v>0</v>
      </c>
      <c r="AT86" s="208">
        <v>0</v>
      </c>
      <c r="AU86" s="208">
        <v>0</v>
      </c>
      <c r="AV86" s="208">
        <v>0.5</v>
      </c>
      <c r="AW86" s="208">
        <v>0</v>
      </c>
    </row>
    <row r="87" spans="2:49">
      <c r="B87" s="91" t="s">
        <v>458</v>
      </c>
      <c r="C87" s="18">
        <v>1</v>
      </c>
      <c r="D87" s="208">
        <v>0</v>
      </c>
      <c r="E87" s="208">
        <v>1</v>
      </c>
      <c r="F87" s="208">
        <v>0</v>
      </c>
      <c r="G87" s="208">
        <v>0</v>
      </c>
      <c r="H87" s="208">
        <v>0</v>
      </c>
      <c r="I87" s="208">
        <v>1</v>
      </c>
      <c r="J87" s="208">
        <v>0</v>
      </c>
      <c r="K87" s="208">
        <v>0</v>
      </c>
      <c r="L87" s="208">
        <v>0</v>
      </c>
      <c r="M87" s="208">
        <v>0</v>
      </c>
      <c r="N87" s="208">
        <v>0</v>
      </c>
      <c r="O87" s="208">
        <v>1</v>
      </c>
      <c r="P87" s="208">
        <v>0</v>
      </c>
      <c r="Q87" s="208">
        <v>0</v>
      </c>
      <c r="R87" s="208">
        <v>0</v>
      </c>
      <c r="S87" s="208">
        <v>0</v>
      </c>
      <c r="T87" s="208">
        <v>0</v>
      </c>
      <c r="U87" s="208">
        <v>1</v>
      </c>
      <c r="V87" s="208">
        <v>0</v>
      </c>
      <c r="W87" s="208">
        <v>0</v>
      </c>
      <c r="X87" s="208">
        <v>0</v>
      </c>
      <c r="Y87" s="208">
        <v>0</v>
      </c>
      <c r="Z87" s="208">
        <v>0</v>
      </c>
      <c r="AA87" s="208">
        <v>0</v>
      </c>
      <c r="AB87" s="208">
        <v>0</v>
      </c>
      <c r="AC87" s="208">
        <v>0</v>
      </c>
      <c r="AD87" s="208">
        <v>1</v>
      </c>
      <c r="AE87" s="208">
        <v>0</v>
      </c>
      <c r="AF87" s="208">
        <v>0</v>
      </c>
      <c r="AG87" s="208">
        <v>0</v>
      </c>
      <c r="AH87" s="208">
        <v>0</v>
      </c>
      <c r="AI87" s="208">
        <v>0</v>
      </c>
      <c r="AJ87" s="208">
        <v>1</v>
      </c>
      <c r="AK87" s="208">
        <v>0</v>
      </c>
      <c r="AL87" s="208">
        <v>0</v>
      </c>
      <c r="AM87" s="208">
        <v>0</v>
      </c>
      <c r="AN87" s="208">
        <v>0</v>
      </c>
      <c r="AO87" s="208">
        <v>0</v>
      </c>
      <c r="AP87" s="208">
        <v>0</v>
      </c>
      <c r="AQ87" s="208">
        <v>1</v>
      </c>
      <c r="AR87" s="208">
        <v>0</v>
      </c>
      <c r="AS87" s="208">
        <v>0</v>
      </c>
      <c r="AT87" s="208">
        <v>1</v>
      </c>
      <c r="AU87" s="208">
        <v>0</v>
      </c>
      <c r="AV87" s="208">
        <v>0</v>
      </c>
      <c r="AW87" s="208">
        <v>0</v>
      </c>
    </row>
    <row r="88" spans="2:49">
      <c r="B88" s="91" t="s">
        <v>475</v>
      </c>
      <c r="C88" s="18">
        <v>1</v>
      </c>
      <c r="D88" s="208">
        <v>1</v>
      </c>
      <c r="E88" s="208">
        <v>0</v>
      </c>
      <c r="F88" s="208">
        <v>0</v>
      </c>
      <c r="G88" s="208">
        <v>0</v>
      </c>
      <c r="H88" s="208">
        <v>0</v>
      </c>
      <c r="I88" s="208">
        <v>0</v>
      </c>
      <c r="J88" s="208">
        <v>0</v>
      </c>
      <c r="K88" s="208">
        <v>0</v>
      </c>
      <c r="L88" s="208">
        <v>0</v>
      </c>
      <c r="M88" s="208">
        <v>0</v>
      </c>
      <c r="N88" s="208">
        <v>0</v>
      </c>
      <c r="O88" s="208">
        <v>0</v>
      </c>
      <c r="P88" s="208">
        <v>0</v>
      </c>
      <c r="Q88" s="208">
        <v>0</v>
      </c>
      <c r="R88" s="208">
        <v>1</v>
      </c>
      <c r="S88" s="208">
        <v>0</v>
      </c>
      <c r="T88" s="208">
        <v>0</v>
      </c>
      <c r="U88" s="208">
        <v>0</v>
      </c>
      <c r="V88" s="208">
        <v>0</v>
      </c>
      <c r="W88" s="208">
        <v>0</v>
      </c>
      <c r="X88" s="208">
        <v>0</v>
      </c>
      <c r="Y88" s="208">
        <v>0</v>
      </c>
      <c r="Z88" s="208">
        <v>0</v>
      </c>
      <c r="AA88" s="208">
        <v>0</v>
      </c>
      <c r="AB88" s="208">
        <v>0</v>
      </c>
      <c r="AC88" s="208">
        <v>0</v>
      </c>
      <c r="AD88" s="208">
        <v>1</v>
      </c>
      <c r="AE88" s="208">
        <v>0</v>
      </c>
      <c r="AF88" s="208">
        <v>0</v>
      </c>
      <c r="AG88" s="208">
        <v>0</v>
      </c>
      <c r="AH88" s="208">
        <v>0</v>
      </c>
      <c r="AI88" s="208">
        <v>0</v>
      </c>
      <c r="AJ88" s="208">
        <v>0</v>
      </c>
      <c r="AK88" s="208">
        <v>0</v>
      </c>
      <c r="AL88" s="208">
        <v>0</v>
      </c>
      <c r="AM88" s="208">
        <v>0</v>
      </c>
      <c r="AN88" s="208">
        <v>0</v>
      </c>
      <c r="AO88" s="208">
        <v>0</v>
      </c>
      <c r="AP88" s="208">
        <v>0</v>
      </c>
      <c r="AQ88" s="208">
        <v>0</v>
      </c>
      <c r="AR88" s="208">
        <v>0</v>
      </c>
      <c r="AS88" s="208">
        <v>0</v>
      </c>
      <c r="AT88" s="208">
        <v>0</v>
      </c>
      <c r="AU88" s="208">
        <v>0</v>
      </c>
      <c r="AV88" s="208">
        <v>1</v>
      </c>
      <c r="AW88" s="208">
        <v>0</v>
      </c>
    </row>
    <row r="89" spans="2:49">
      <c r="B89" s="91" t="s">
        <v>519</v>
      </c>
      <c r="C89" s="18">
        <v>1</v>
      </c>
      <c r="D89" s="208">
        <v>0</v>
      </c>
      <c r="E89" s="208">
        <v>1</v>
      </c>
      <c r="F89" s="208">
        <v>0</v>
      </c>
      <c r="G89" s="208">
        <v>0</v>
      </c>
      <c r="H89" s="208">
        <v>0</v>
      </c>
      <c r="I89" s="208">
        <v>1</v>
      </c>
      <c r="J89" s="208">
        <v>0</v>
      </c>
      <c r="K89" s="208">
        <v>0</v>
      </c>
      <c r="L89" s="208">
        <v>0</v>
      </c>
      <c r="M89" s="208">
        <v>0</v>
      </c>
      <c r="N89" s="208">
        <v>0</v>
      </c>
      <c r="O89" s="208">
        <v>0</v>
      </c>
      <c r="P89" s="208">
        <v>0</v>
      </c>
      <c r="Q89" s="208">
        <v>0</v>
      </c>
      <c r="R89" s="208">
        <v>0</v>
      </c>
      <c r="S89" s="208">
        <v>0</v>
      </c>
      <c r="T89" s="208">
        <v>0</v>
      </c>
      <c r="U89" s="208">
        <v>0</v>
      </c>
      <c r="V89" s="208">
        <v>0</v>
      </c>
      <c r="W89" s="208">
        <v>0</v>
      </c>
      <c r="X89" s="208">
        <v>0</v>
      </c>
      <c r="Y89" s="208">
        <v>0</v>
      </c>
      <c r="Z89" s="208">
        <v>0</v>
      </c>
      <c r="AA89" s="208">
        <v>0</v>
      </c>
      <c r="AB89" s="208">
        <v>0</v>
      </c>
      <c r="AC89" s="208">
        <v>0</v>
      </c>
      <c r="AD89" s="208">
        <v>0</v>
      </c>
      <c r="AE89" s="208">
        <v>0</v>
      </c>
      <c r="AF89" s="208">
        <v>0</v>
      </c>
      <c r="AG89" s="208">
        <v>1</v>
      </c>
      <c r="AH89" s="208">
        <v>0</v>
      </c>
      <c r="AI89" s="208">
        <v>0</v>
      </c>
      <c r="AJ89" s="208">
        <v>0</v>
      </c>
      <c r="AK89" s="208">
        <v>1</v>
      </c>
      <c r="AL89" s="208">
        <v>0</v>
      </c>
      <c r="AM89" s="208">
        <v>0</v>
      </c>
      <c r="AN89" s="208">
        <v>0</v>
      </c>
      <c r="AO89" s="208">
        <v>0</v>
      </c>
      <c r="AP89" s="208">
        <v>0</v>
      </c>
      <c r="AQ89" s="208">
        <v>1</v>
      </c>
      <c r="AR89" s="208">
        <v>0</v>
      </c>
      <c r="AS89" s="208">
        <v>0</v>
      </c>
      <c r="AT89" s="208">
        <v>1</v>
      </c>
      <c r="AU89" s="208">
        <v>0</v>
      </c>
      <c r="AV89" s="208">
        <v>0</v>
      </c>
      <c r="AW89" s="208">
        <v>0</v>
      </c>
    </row>
    <row r="90" spans="2:49">
      <c r="B90" s="91" t="s">
        <v>132</v>
      </c>
      <c r="C90" s="18">
        <v>1</v>
      </c>
      <c r="D90" s="208">
        <v>0</v>
      </c>
      <c r="E90" s="208">
        <v>1</v>
      </c>
      <c r="F90" s="208">
        <v>0</v>
      </c>
      <c r="G90" s="208">
        <v>0</v>
      </c>
      <c r="H90" s="208">
        <v>0</v>
      </c>
      <c r="I90" s="208">
        <v>0</v>
      </c>
      <c r="J90" s="208">
        <v>0</v>
      </c>
      <c r="K90" s="208">
        <v>0</v>
      </c>
      <c r="L90" s="208">
        <v>0</v>
      </c>
      <c r="M90" s="208">
        <v>0</v>
      </c>
      <c r="N90" s="208">
        <v>0</v>
      </c>
      <c r="O90" s="208">
        <v>0</v>
      </c>
      <c r="P90" s="208">
        <v>0</v>
      </c>
      <c r="Q90" s="208">
        <v>0</v>
      </c>
      <c r="R90" s="208">
        <v>0</v>
      </c>
      <c r="S90" s="208">
        <v>0</v>
      </c>
      <c r="T90" s="208">
        <v>0</v>
      </c>
      <c r="U90" s="208">
        <v>0</v>
      </c>
      <c r="V90" s="208">
        <v>0</v>
      </c>
      <c r="W90" s="208">
        <v>0</v>
      </c>
      <c r="X90" s="208">
        <v>0</v>
      </c>
      <c r="Y90" s="208">
        <v>0</v>
      </c>
      <c r="Z90" s="208">
        <v>0</v>
      </c>
      <c r="AA90" s="208">
        <v>0</v>
      </c>
      <c r="AB90" s="208">
        <v>0</v>
      </c>
      <c r="AC90" s="208">
        <v>0</v>
      </c>
      <c r="AD90" s="208">
        <v>0</v>
      </c>
      <c r="AE90" s="208">
        <v>1</v>
      </c>
      <c r="AF90" s="208">
        <v>0</v>
      </c>
      <c r="AG90" s="208">
        <v>0</v>
      </c>
      <c r="AH90" s="208">
        <v>0</v>
      </c>
      <c r="AI90" s="208">
        <v>0</v>
      </c>
      <c r="AJ90" s="208">
        <v>0</v>
      </c>
      <c r="AK90" s="208">
        <v>0</v>
      </c>
      <c r="AL90" s="208">
        <v>0</v>
      </c>
      <c r="AM90" s="208">
        <v>0</v>
      </c>
      <c r="AN90" s="208">
        <v>0</v>
      </c>
      <c r="AO90" s="208">
        <v>0</v>
      </c>
      <c r="AP90" s="208">
        <v>0</v>
      </c>
      <c r="AQ90" s="208">
        <v>0</v>
      </c>
      <c r="AR90" s="208">
        <v>0</v>
      </c>
      <c r="AS90" s="208">
        <v>0</v>
      </c>
      <c r="AT90" s="208">
        <v>1</v>
      </c>
      <c r="AU90" s="208">
        <v>0</v>
      </c>
      <c r="AV90" s="208">
        <v>0</v>
      </c>
      <c r="AW90" s="208">
        <v>0</v>
      </c>
    </row>
    <row r="91" spans="2:49">
      <c r="B91" s="91" t="s">
        <v>511</v>
      </c>
      <c r="C91" s="18">
        <v>1</v>
      </c>
      <c r="D91" s="208">
        <v>0</v>
      </c>
      <c r="E91" s="208">
        <v>1</v>
      </c>
      <c r="F91" s="208">
        <v>0</v>
      </c>
      <c r="G91" s="208">
        <v>0</v>
      </c>
      <c r="H91" s="208">
        <v>0</v>
      </c>
      <c r="I91" s="208">
        <v>1</v>
      </c>
      <c r="J91" s="208">
        <v>0</v>
      </c>
      <c r="K91" s="208">
        <v>0</v>
      </c>
      <c r="L91" s="208">
        <v>0</v>
      </c>
      <c r="M91" s="208">
        <v>0</v>
      </c>
      <c r="N91" s="208">
        <v>0</v>
      </c>
      <c r="O91" s="208">
        <v>0</v>
      </c>
      <c r="P91" s="208">
        <v>0</v>
      </c>
      <c r="Q91" s="208">
        <v>0</v>
      </c>
      <c r="R91" s="208">
        <v>0</v>
      </c>
      <c r="S91" s="208">
        <v>1</v>
      </c>
      <c r="T91" s="208">
        <v>0</v>
      </c>
      <c r="U91" s="208">
        <v>0</v>
      </c>
      <c r="V91" s="208">
        <v>0</v>
      </c>
      <c r="W91" s="208">
        <v>0</v>
      </c>
      <c r="X91" s="208">
        <v>0</v>
      </c>
      <c r="Y91" s="208">
        <v>0</v>
      </c>
      <c r="Z91" s="208">
        <v>0</v>
      </c>
      <c r="AA91" s="208">
        <v>0</v>
      </c>
      <c r="AB91" s="208">
        <v>0</v>
      </c>
      <c r="AC91" s="208">
        <v>1</v>
      </c>
      <c r="AD91" s="208">
        <v>0</v>
      </c>
      <c r="AE91" s="208">
        <v>0</v>
      </c>
      <c r="AF91" s="208">
        <v>0</v>
      </c>
      <c r="AG91" s="208">
        <v>0</v>
      </c>
      <c r="AH91" s="208">
        <v>0</v>
      </c>
      <c r="AI91" s="208">
        <v>0</v>
      </c>
      <c r="AJ91" s="208">
        <v>1</v>
      </c>
      <c r="AK91" s="208">
        <v>0</v>
      </c>
      <c r="AL91" s="208">
        <v>0</v>
      </c>
      <c r="AM91" s="208">
        <v>0</v>
      </c>
      <c r="AN91" s="208">
        <v>0</v>
      </c>
      <c r="AO91" s="208">
        <v>0</v>
      </c>
      <c r="AP91" s="208">
        <v>0</v>
      </c>
      <c r="AQ91" s="208">
        <v>1</v>
      </c>
      <c r="AR91" s="208">
        <v>0</v>
      </c>
      <c r="AS91" s="208">
        <v>0</v>
      </c>
      <c r="AT91" s="208">
        <v>0</v>
      </c>
      <c r="AU91" s="208">
        <v>0</v>
      </c>
      <c r="AV91" s="208">
        <v>0</v>
      </c>
      <c r="AW91" s="208">
        <v>0</v>
      </c>
    </row>
    <row r="92" spans="2:49">
      <c r="B92" s="91" t="s">
        <v>148</v>
      </c>
      <c r="C92" s="18">
        <v>8</v>
      </c>
      <c r="D92" s="208">
        <v>0.625</v>
      </c>
      <c r="E92" s="208">
        <v>0.375</v>
      </c>
      <c r="F92" s="208">
        <v>0</v>
      </c>
      <c r="G92" s="208">
        <v>0</v>
      </c>
      <c r="H92" s="208">
        <v>0</v>
      </c>
      <c r="I92" s="208">
        <v>0.875</v>
      </c>
      <c r="J92" s="208">
        <v>0</v>
      </c>
      <c r="K92" s="208">
        <v>0</v>
      </c>
      <c r="L92" s="208">
        <v>0</v>
      </c>
      <c r="M92" s="208">
        <v>0</v>
      </c>
      <c r="N92" s="208">
        <v>0.125</v>
      </c>
      <c r="O92" s="208">
        <v>0</v>
      </c>
      <c r="P92" s="208">
        <v>0</v>
      </c>
      <c r="Q92" s="208">
        <v>0.125</v>
      </c>
      <c r="R92" s="208">
        <v>0.25</v>
      </c>
      <c r="S92" s="208">
        <v>0.25</v>
      </c>
      <c r="T92" s="208">
        <v>0.125</v>
      </c>
      <c r="U92" s="208">
        <v>0.125</v>
      </c>
      <c r="V92" s="208">
        <v>0</v>
      </c>
      <c r="W92" s="208">
        <v>0.125</v>
      </c>
      <c r="X92" s="208">
        <v>0</v>
      </c>
      <c r="Y92" s="208">
        <v>0</v>
      </c>
      <c r="Z92" s="208">
        <v>0</v>
      </c>
      <c r="AA92" s="208">
        <v>0</v>
      </c>
      <c r="AB92" s="208">
        <v>0.125</v>
      </c>
      <c r="AC92" s="208">
        <v>0</v>
      </c>
      <c r="AD92" s="208">
        <v>0.375</v>
      </c>
      <c r="AE92" s="208">
        <v>0.5</v>
      </c>
      <c r="AF92" s="208">
        <v>0</v>
      </c>
      <c r="AG92" s="208">
        <v>0</v>
      </c>
      <c r="AH92" s="208">
        <v>0</v>
      </c>
      <c r="AI92" s="208">
        <v>0</v>
      </c>
      <c r="AJ92" s="208">
        <v>0.375</v>
      </c>
      <c r="AK92" s="208">
        <v>0</v>
      </c>
      <c r="AL92" s="208">
        <v>0.125</v>
      </c>
      <c r="AM92" s="208">
        <v>0.375</v>
      </c>
      <c r="AN92" s="208">
        <v>0</v>
      </c>
      <c r="AO92" s="208">
        <v>0</v>
      </c>
      <c r="AP92" s="208">
        <v>0.125</v>
      </c>
      <c r="AQ92" s="208">
        <v>0.75</v>
      </c>
      <c r="AR92" s="208">
        <v>0</v>
      </c>
      <c r="AS92" s="208">
        <v>0.125</v>
      </c>
      <c r="AT92" s="208">
        <v>0.375</v>
      </c>
      <c r="AU92" s="208">
        <v>0</v>
      </c>
      <c r="AV92" s="208">
        <v>0.25</v>
      </c>
      <c r="AW92" s="208">
        <v>0.125</v>
      </c>
    </row>
    <row r="93" spans="2:49">
      <c r="B93" s="91" t="s">
        <v>131</v>
      </c>
      <c r="C93" s="18">
        <v>3</v>
      </c>
      <c r="D93" s="208">
        <v>1</v>
      </c>
      <c r="E93" s="208">
        <v>0</v>
      </c>
      <c r="F93" s="208">
        <v>0</v>
      </c>
      <c r="G93" s="208">
        <v>0</v>
      </c>
      <c r="H93" s="208">
        <v>1</v>
      </c>
      <c r="I93" s="208">
        <v>0.33333333333333331</v>
      </c>
      <c r="J93" s="208">
        <v>0</v>
      </c>
      <c r="K93" s="208">
        <v>0</v>
      </c>
      <c r="L93" s="208">
        <v>0</v>
      </c>
      <c r="M93" s="208">
        <v>0.33333333333333331</v>
      </c>
      <c r="N93" s="208">
        <v>0</v>
      </c>
      <c r="O93" s="208">
        <v>0</v>
      </c>
      <c r="P93" s="208">
        <v>0</v>
      </c>
      <c r="Q93" s="208">
        <v>0.33333333333333331</v>
      </c>
      <c r="R93" s="208">
        <v>0.33333333333333331</v>
      </c>
      <c r="S93" s="208">
        <v>0</v>
      </c>
      <c r="T93" s="208">
        <v>0.33333333333333331</v>
      </c>
      <c r="U93" s="208">
        <v>0</v>
      </c>
      <c r="V93" s="208">
        <v>0</v>
      </c>
      <c r="W93" s="208">
        <v>0</v>
      </c>
      <c r="X93" s="208">
        <v>0.33333333333333331</v>
      </c>
      <c r="Y93" s="208">
        <v>0</v>
      </c>
      <c r="Z93" s="208">
        <v>0</v>
      </c>
      <c r="AA93" s="208">
        <v>0</v>
      </c>
      <c r="AB93" s="208">
        <v>0</v>
      </c>
      <c r="AC93" s="208">
        <v>0</v>
      </c>
      <c r="AD93" s="208">
        <v>0.33333333333333331</v>
      </c>
      <c r="AE93" s="208">
        <v>0</v>
      </c>
      <c r="AF93" s="208">
        <v>0</v>
      </c>
      <c r="AG93" s="208">
        <v>0.33333333333333331</v>
      </c>
      <c r="AH93" s="208">
        <v>0</v>
      </c>
      <c r="AI93" s="208">
        <v>0</v>
      </c>
      <c r="AJ93" s="208">
        <v>0.66666666666666663</v>
      </c>
      <c r="AK93" s="208">
        <v>0</v>
      </c>
      <c r="AL93" s="208">
        <v>0</v>
      </c>
      <c r="AM93" s="208">
        <v>0</v>
      </c>
      <c r="AN93" s="208">
        <v>0</v>
      </c>
      <c r="AO93" s="208">
        <v>0</v>
      </c>
      <c r="AP93" s="208">
        <v>0</v>
      </c>
      <c r="AQ93" s="208">
        <v>0.66666666666666663</v>
      </c>
      <c r="AR93" s="208">
        <v>0</v>
      </c>
      <c r="AS93" s="208">
        <v>0</v>
      </c>
      <c r="AT93" s="208">
        <v>0</v>
      </c>
      <c r="AU93" s="208">
        <v>0</v>
      </c>
      <c r="AV93" s="208">
        <v>0.66666666666666663</v>
      </c>
      <c r="AW93" s="208">
        <v>0</v>
      </c>
    </row>
    <row r="94" spans="2:49">
      <c r="B94" s="91" t="s">
        <v>136</v>
      </c>
      <c r="C94" s="18">
        <v>1</v>
      </c>
      <c r="D94" s="208">
        <v>1</v>
      </c>
      <c r="E94" s="208">
        <v>0</v>
      </c>
      <c r="F94" s="208">
        <v>0</v>
      </c>
      <c r="G94" s="208">
        <v>0</v>
      </c>
      <c r="H94" s="208">
        <v>1</v>
      </c>
      <c r="I94" s="208">
        <v>0</v>
      </c>
      <c r="J94" s="208">
        <v>0</v>
      </c>
      <c r="K94" s="208">
        <v>0</v>
      </c>
      <c r="L94" s="208">
        <v>0</v>
      </c>
      <c r="M94" s="208">
        <v>0</v>
      </c>
      <c r="N94" s="208">
        <v>0</v>
      </c>
      <c r="O94" s="208">
        <v>0</v>
      </c>
      <c r="P94" s="208">
        <v>0</v>
      </c>
      <c r="Q94" s="208">
        <v>1</v>
      </c>
      <c r="R94" s="208">
        <v>0</v>
      </c>
      <c r="S94" s="208">
        <v>0</v>
      </c>
      <c r="T94" s="208">
        <v>0</v>
      </c>
      <c r="U94" s="208">
        <v>0</v>
      </c>
      <c r="V94" s="208">
        <v>0</v>
      </c>
      <c r="W94" s="208">
        <v>0</v>
      </c>
      <c r="X94" s="208">
        <v>0</v>
      </c>
      <c r="Y94" s="208">
        <v>0</v>
      </c>
      <c r="Z94" s="208">
        <v>0</v>
      </c>
      <c r="AA94" s="208">
        <v>0</v>
      </c>
      <c r="AB94" s="208">
        <v>0</v>
      </c>
      <c r="AC94" s="208">
        <v>0</v>
      </c>
      <c r="AD94" s="208">
        <v>0</v>
      </c>
      <c r="AE94" s="208">
        <v>1</v>
      </c>
      <c r="AF94" s="208">
        <v>0</v>
      </c>
      <c r="AG94" s="208">
        <v>0</v>
      </c>
      <c r="AH94" s="208">
        <v>0</v>
      </c>
      <c r="AI94" s="208">
        <v>0</v>
      </c>
      <c r="AJ94" s="208">
        <v>1</v>
      </c>
      <c r="AK94" s="208">
        <v>0</v>
      </c>
      <c r="AL94" s="208">
        <v>0</v>
      </c>
      <c r="AM94" s="208">
        <v>0</v>
      </c>
      <c r="AN94" s="208">
        <v>0</v>
      </c>
      <c r="AO94" s="208">
        <v>0</v>
      </c>
      <c r="AP94" s="208">
        <v>0</v>
      </c>
      <c r="AQ94" s="208">
        <v>1</v>
      </c>
      <c r="AR94" s="208">
        <v>0</v>
      </c>
      <c r="AS94" s="208">
        <v>0</v>
      </c>
      <c r="AT94" s="208">
        <v>0</v>
      </c>
      <c r="AU94" s="208">
        <v>0</v>
      </c>
      <c r="AV94" s="208">
        <v>1</v>
      </c>
      <c r="AW94" s="208">
        <v>0</v>
      </c>
    </row>
    <row r="95" spans="2:49">
      <c r="B95" s="91" t="s">
        <v>127</v>
      </c>
      <c r="C95" s="18">
        <v>2</v>
      </c>
      <c r="D95" s="208">
        <v>0.5</v>
      </c>
      <c r="E95" s="208">
        <v>0.5</v>
      </c>
      <c r="F95" s="208">
        <v>0</v>
      </c>
      <c r="G95" s="208">
        <v>0</v>
      </c>
      <c r="H95" s="208">
        <v>0</v>
      </c>
      <c r="I95" s="208">
        <v>0.5</v>
      </c>
      <c r="J95" s="208">
        <v>0</v>
      </c>
      <c r="K95" s="208">
        <v>0</v>
      </c>
      <c r="L95" s="208">
        <v>0</v>
      </c>
      <c r="M95" s="208">
        <v>0</v>
      </c>
      <c r="N95" s="208">
        <v>0</v>
      </c>
      <c r="O95" s="208">
        <v>0</v>
      </c>
      <c r="P95" s="208">
        <v>0</v>
      </c>
      <c r="Q95" s="208">
        <v>0.5</v>
      </c>
      <c r="R95" s="208">
        <v>0</v>
      </c>
      <c r="S95" s="208">
        <v>0</v>
      </c>
      <c r="T95" s="208">
        <v>0.5</v>
      </c>
      <c r="U95" s="208">
        <v>0.5</v>
      </c>
      <c r="V95" s="208">
        <v>0</v>
      </c>
      <c r="W95" s="208">
        <v>0</v>
      </c>
      <c r="X95" s="208">
        <v>0</v>
      </c>
      <c r="Y95" s="208">
        <v>0</v>
      </c>
      <c r="Z95" s="208">
        <v>0</v>
      </c>
      <c r="AA95" s="208">
        <v>0</v>
      </c>
      <c r="AB95" s="208">
        <v>0</v>
      </c>
      <c r="AC95" s="208">
        <v>0</v>
      </c>
      <c r="AD95" s="208">
        <v>0.5</v>
      </c>
      <c r="AE95" s="208">
        <v>0.5</v>
      </c>
      <c r="AF95" s="208">
        <v>0</v>
      </c>
      <c r="AG95" s="208">
        <v>0</v>
      </c>
      <c r="AH95" s="208">
        <v>0</v>
      </c>
      <c r="AI95" s="208">
        <v>0</v>
      </c>
      <c r="AJ95" s="208">
        <v>0</v>
      </c>
      <c r="AK95" s="208">
        <v>0</v>
      </c>
      <c r="AL95" s="208">
        <v>0.5</v>
      </c>
      <c r="AM95" s="208">
        <v>0</v>
      </c>
      <c r="AN95" s="208">
        <v>0</v>
      </c>
      <c r="AO95" s="208">
        <v>0</v>
      </c>
      <c r="AP95" s="208">
        <v>0</v>
      </c>
      <c r="AQ95" s="208">
        <v>0.5</v>
      </c>
      <c r="AR95" s="208">
        <v>0</v>
      </c>
      <c r="AS95" s="208">
        <v>0</v>
      </c>
      <c r="AT95" s="208">
        <v>0</v>
      </c>
      <c r="AU95" s="208">
        <v>0</v>
      </c>
      <c r="AV95" s="208">
        <v>1</v>
      </c>
      <c r="AW95" s="208">
        <v>0</v>
      </c>
    </row>
    <row r="96" spans="2:49">
      <c r="B96" s="91" t="s">
        <v>115</v>
      </c>
      <c r="C96" s="18">
        <v>4</v>
      </c>
      <c r="D96" s="208">
        <v>0.5</v>
      </c>
      <c r="E96" s="208">
        <v>0.5</v>
      </c>
      <c r="F96" s="208">
        <v>0</v>
      </c>
      <c r="G96" s="208">
        <v>0</v>
      </c>
      <c r="H96" s="208">
        <v>0.25</v>
      </c>
      <c r="I96" s="208">
        <v>0.5</v>
      </c>
      <c r="J96" s="208">
        <v>0.25</v>
      </c>
      <c r="K96" s="208">
        <v>0</v>
      </c>
      <c r="L96" s="208">
        <v>0</v>
      </c>
      <c r="M96" s="208">
        <v>0.25</v>
      </c>
      <c r="N96" s="208">
        <v>0</v>
      </c>
      <c r="O96" s="208">
        <v>0.25</v>
      </c>
      <c r="P96" s="208">
        <v>0.25</v>
      </c>
      <c r="Q96" s="208">
        <v>0</v>
      </c>
      <c r="R96" s="208">
        <v>0</v>
      </c>
      <c r="S96" s="208">
        <v>0</v>
      </c>
      <c r="T96" s="208">
        <v>0.25</v>
      </c>
      <c r="U96" s="208">
        <v>0</v>
      </c>
      <c r="V96" s="208">
        <v>0</v>
      </c>
      <c r="W96" s="208">
        <v>0</v>
      </c>
      <c r="X96" s="208">
        <v>0.25</v>
      </c>
      <c r="Y96" s="208">
        <v>0</v>
      </c>
      <c r="Z96" s="208">
        <v>0</v>
      </c>
      <c r="AA96" s="208">
        <v>0</v>
      </c>
      <c r="AB96" s="208">
        <v>0.5</v>
      </c>
      <c r="AC96" s="208">
        <v>0</v>
      </c>
      <c r="AD96" s="208">
        <v>0</v>
      </c>
      <c r="AE96" s="208">
        <v>0.25</v>
      </c>
      <c r="AF96" s="208">
        <v>0</v>
      </c>
      <c r="AG96" s="208">
        <v>0.25</v>
      </c>
      <c r="AH96" s="208">
        <v>0</v>
      </c>
      <c r="AI96" s="208">
        <v>0</v>
      </c>
      <c r="AJ96" s="208">
        <v>0.25</v>
      </c>
      <c r="AK96" s="208">
        <v>0</v>
      </c>
      <c r="AL96" s="208">
        <v>0</v>
      </c>
      <c r="AM96" s="208">
        <v>0.5</v>
      </c>
      <c r="AN96" s="208">
        <v>0</v>
      </c>
      <c r="AO96" s="208">
        <v>0</v>
      </c>
      <c r="AP96" s="208">
        <v>0.25</v>
      </c>
      <c r="AQ96" s="208">
        <v>1</v>
      </c>
      <c r="AR96" s="208">
        <v>0</v>
      </c>
      <c r="AS96" s="208">
        <v>0</v>
      </c>
      <c r="AT96" s="208">
        <v>0.5</v>
      </c>
      <c r="AU96" s="208">
        <v>0.25</v>
      </c>
      <c r="AV96" s="208">
        <v>0.25</v>
      </c>
      <c r="AW96" s="208">
        <v>0</v>
      </c>
    </row>
    <row r="97" spans="2:49">
      <c r="B97" s="91" t="s">
        <v>166</v>
      </c>
      <c r="C97" s="18">
        <v>1</v>
      </c>
      <c r="D97" s="208">
        <v>0</v>
      </c>
      <c r="E97" s="208">
        <v>1</v>
      </c>
      <c r="F97" s="208">
        <v>0</v>
      </c>
      <c r="G97" s="208">
        <v>0</v>
      </c>
      <c r="H97" s="208">
        <v>1</v>
      </c>
      <c r="I97" s="208">
        <v>1</v>
      </c>
      <c r="J97" s="208">
        <v>0</v>
      </c>
      <c r="K97" s="208">
        <v>0</v>
      </c>
      <c r="L97" s="208">
        <v>0</v>
      </c>
      <c r="M97" s="208">
        <v>0</v>
      </c>
      <c r="N97" s="208">
        <v>0</v>
      </c>
      <c r="O97" s="208">
        <v>0</v>
      </c>
      <c r="P97" s="208">
        <v>0</v>
      </c>
      <c r="Q97" s="208">
        <v>0</v>
      </c>
      <c r="R97" s="208">
        <v>0</v>
      </c>
      <c r="S97" s="208">
        <v>1</v>
      </c>
      <c r="T97" s="208">
        <v>0</v>
      </c>
      <c r="U97" s="208">
        <v>0</v>
      </c>
      <c r="V97" s="208">
        <v>0</v>
      </c>
      <c r="W97" s="208">
        <v>0</v>
      </c>
      <c r="X97" s="208">
        <v>1</v>
      </c>
      <c r="Y97" s="208">
        <v>0</v>
      </c>
      <c r="Z97" s="208">
        <v>0</v>
      </c>
      <c r="AA97" s="208">
        <v>0</v>
      </c>
      <c r="AB97" s="208">
        <v>0</v>
      </c>
      <c r="AC97" s="208">
        <v>0</v>
      </c>
      <c r="AD97" s="208">
        <v>1</v>
      </c>
      <c r="AE97" s="208">
        <v>0</v>
      </c>
      <c r="AF97" s="208">
        <v>0</v>
      </c>
      <c r="AG97" s="208">
        <v>0</v>
      </c>
      <c r="AH97" s="208">
        <v>0</v>
      </c>
      <c r="AI97" s="208">
        <v>0</v>
      </c>
      <c r="AJ97" s="208">
        <v>1</v>
      </c>
      <c r="AK97" s="208">
        <v>0</v>
      </c>
      <c r="AL97" s="208">
        <v>0</v>
      </c>
      <c r="AM97" s="208">
        <v>0</v>
      </c>
      <c r="AN97" s="208">
        <v>0</v>
      </c>
      <c r="AO97" s="208">
        <v>0</v>
      </c>
      <c r="AP97" s="208">
        <v>0</v>
      </c>
      <c r="AQ97" s="208">
        <v>1</v>
      </c>
      <c r="AR97" s="208">
        <v>0</v>
      </c>
      <c r="AS97" s="208">
        <v>0</v>
      </c>
      <c r="AT97" s="208">
        <v>0</v>
      </c>
      <c r="AU97" s="208">
        <v>0</v>
      </c>
      <c r="AV97" s="208">
        <v>1</v>
      </c>
      <c r="AW97" s="208">
        <v>0</v>
      </c>
    </row>
    <row r="98" spans="2:49">
      <c r="B98" s="91" t="s">
        <v>125</v>
      </c>
      <c r="C98" s="18">
        <v>2</v>
      </c>
      <c r="D98" s="208">
        <v>1</v>
      </c>
      <c r="E98" s="208">
        <v>0</v>
      </c>
      <c r="F98" s="208">
        <v>0</v>
      </c>
      <c r="G98" s="208">
        <v>0</v>
      </c>
      <c r="H98" s="208">
        <v>0</v>
      </c>
      <c r="I98" s="208">
        <v>0.5</v>
      </c>
      <c r="J98" s="208">
        <v>0</v>
      </c>
      <c r="K98" s="208">
        <v>0</v>
      </c>
      <c r="L98" s="208">
        <v>0</v>
      </c>
      <c r="M98" s="208">
        <v>0</v>
      </c>
      <c r="N98" s="208">
        <v>0</v>
      </c>
      <c r="O98" s="208">
        <v>0</v>
      </c>
      <c r="P98" s="208">
        <v>0</v>
      </c>
      <c r="Q98" s="208">
        <v>0</v>
      </c>
      <c r="R98" s="208">
        <v>1</v>
      </c>
      <c r="S98" s="208">
        <v>0</v>
      </c>
      <c r="T98" s="208">
        <v>0</v>
      </c>
      <c r="U98" s="208">
        <v>0</v>
      </c>
      <c r="V98" s="208">
        <v>0</v>
      </c>
      <c r="W98" s="208">
        <v>0</v>
      </c>
      <c r="X98" s="208">
        <v>0</v>
      </c>
      <c r="Y98" s="208">
        <v>0</v>
      </c>
      <c r="Z98" s="208">
        <v>0</v>
      </c>
      <c r="AA98" s="208">
        <v>0</v>
      </c>
      <c r="AB98" s="208">
        <v>0</v>
      </c>
      <c r="AC98" s="208">
        <v>0</v>
      </c>
      <c r="AD98" s="208">
        <v>0.5</v>
      </c>
      <c r="AE98" s="208">
        <v>0</v>
      </c>
      <c r="AF98" s="208">
        <v>0</v>
      </c>
      <c r="AG98" s="208">
        <v>0.5</v>
      </c>
      <c r="AH98" s="208">
        <v>0</v>
      </c>
      <c r="AI98" s="208">
        <v>0</v>
      </c>
      <c r="AJ98" s="208">
        <v>0.5</v>
      </c>
      <c r="AK98" s="208">
        <v>0</v>
      </c>
      <c r="AL98" s="208">
        <v>0</v>
      </c>
      <c r="AM98" s="208">
        <v>0</v>
      </c>
      <c r="AN98" s="208">
        <v>0</v>
      </c>
      <c r="AO98" s="208">
        <v>0</v>
      </c>
      <c r="AP98" s="208">
        <v>0</v>
      </c>
      <c r="AQ98" s="208">
        <v>0.5</v>
      </c>
      <c r="AR98" s="208">
        <v>0</v>
      </c>
      <c r="AS98" s="208">
        <v>0</v>
      </c>
      <c r="AT98" s="208">
        <v>0</v>
      </c>
      <c r="AU98" s="208">
        <v>0</v>
      </c>
      <c r="AV98" s="208">
        <v>1</v>
      </c>
      <c r="AW98" s="208">
        <v>0</v>
      </c>
    </row>
    <row r="99" spans="2:49">
      <c r="B99" s="91" t="s">
        <v>117</v>
      </c>
      <c r="C99" s="18">
        <v>8</v>
      </c>
      <c r="D99" s="208">
        <v>0.625</v>
      </c>
      <c r="E99" s="208">
        <v>0.25</v>
      </c>
      <c r="F99" s="208">
        <v>0</v>
      </c>
      <c r="G99" s="208">
        <v>0</v>
      </c>
      <c r="H99" s="208">
        <v>0</v>
      </c>
      <c r="I99" s="208">
        <v>0.625</v>
      </c>
      <c r="J99" s="208">
        <v>0</v>
      </c>
      <c r="K99" s="208">
        <v>0</v>
      </c>
      <c r="L99" s="208">
        <v>0</v>
      </c>
      <c r="M99" s="208">
        <v>0</v>
      </c>
      <c r="N99" s="208">
        <v>0</v>
      </c>
      <c r="O99" s="208">
        <v>0</v>
      </c>
      <c r="P99" s="208">
        <v>0.125</v>
      </c>
      <c r="Q99" s="208">
        <v>0</v>
      </c>
      <c r="R99" s="208">
        <v>0.125</v>
      </c>
      <c r="S99" s="208">
        <v>0</v>
      </c>
      <c r="T99" s="208">
        <v>0.625</v>
      </c>
      <c r="U99" s="208">
        <v>0</v>
      </c>
      <c r="V99" s="208">
        <v>0</v>
      </c>
      <c r="W99" s="208">
        <v>0</v>
      </c>
      <c r="X99" s="208">
        <v>0</v>
      </c>
      <c r="Y99" s="208">
        <v>0</v>
      </c>
      <c r="Z99" s="208">
        <v>0</v>
      </c>
      <c r="AA99" s="208">
        <v>0</v>
      </c>
      <c r="AB99" s="208">
        <v>0</v>
      </c>
      <c r="AC99" s="208">
        <v>0</v>
      </c>
      <c r="AD99" s="208">
        <v>0.5</v>
      </c>
      <c r="AE99" s="208">
        <v>0.125</v>
      </c>
      <c r="AF99" s="208">
        <v>0</v>
      </c>
      <c r="AG99" s="208">
        <v>0.25</v>
      </c>
      <c r="AH99" s="208">
        <v>0.125</v>
      </c>
      <c r="AI99" s="208">
        <v>0</v>
      </c>
      <c r="AJ99" s="208">
        <v>0.625</v>
      </c>
      <c r="AK99" s="208">
        <v>0</v>
      </c>
      <c r="AL99" s="208">
        <v>0</v>
      </c>
      <c r="AM99" s="208">
        <v>0.25</v>
      </c>
      <c r="AN99" s="208">
        <v>0</v>
      </c>
      <c r="AO99" s="208">
        <v>0</v>
      </c>
      <c r="AP99" s="208">
        <v>0</v>
      </c>
      <c r="AQ99" s="208">
        <v>0.875</v>
      </c>
      <c r="AR99" s="208">
        <v>0</v>
      </c>
      <c r="AS99" s="208">
        <v>0</v>
      </c>
      <c r="AT99" s="208">
        <v>0.125</v>
      </c>
      <c r="AU99" s="208">
        <v>0</v>
      </c>
      <c r="AV99" s="208">
        <v>0.75</v>
      </c>
      <c r="AW99" s="208">
        <v>0</v>
      </c>
    </row>
    <row r="100" spans="2:49">
      <c r="B100" s="91" t="s">
        <v>168</v>
      </c>
      <c r="C100" s="18">
        <v>2</v>
      </c>
      <c r="D100" s="208">
        <v>0.5</v>
      </c>
      <c r="E100" s="208">
        <v>0.5</v>
      </c>
      <c r="F100" s="208">
        <v>0</v>
      </c>
      <c r="G100" s="208">
        <v>0</v>
      </c>
      <c r="H100" s="208">
        <v>1</v>
      </c>
      <c r="I100" s="208">
        <v>1</v>
      </c>
      <c r="J100" s="208">
        <v>0</v>
      </c>
      <c r="K100" s="208">
        <v>0</v>
      </c>
      <c r="L100" s="208">
        <v>0</v>
      </c>
      <c r="M100" s="208">
        <v>0</v>
      </c>
      <c r="N100" s="208">
        <v>0</v>
      </c>
      <c r="O100" s="208">
        <v>0</v>
      </c>
      <c r="P100" s="208">
        <v>0</v>
      </c>
      <c r="Q100" s="208">
        <v>0</v>
      </c>
      <c r="R100" s="208">
        <v>0</v>
      </c>
      <c r="S100" s="208">
        <v>0.5</v>
      </c>
      <c r="T100" s="208">
        <v>0.5</v>
      </c>
      <c r="U100" s="208">
        <v>0</v>
      </c>
      <c r="V100" s="208">
        <v>0.5</v>
      </c>
      <c r="W100" s="208">
        <v>0</v>
      </c>
      <c r="X100" s="208">
        <v>0.5</v>
      </c>
      <c r="Y100" s="208">
        <v>0</v>
      </c>
      <c r="Z100" s="208">
        <v>0</v>
      </c>
      <c r="AA100" s="208">
        <v>0</v>
      </c>
      <c r="AB100" s="208">
        <v>0</v>
      </c>
      <c r="AC100" s="208">
        <v>0</v>
      </c>
      <c r="AD100" s="208">
        <v>1</v>
      </c>
      <c r="AE100" s="208">
        <v>0</v>
      </c>
      <c r="AF100" s="208">
        <v>0</v>
      </c>
      <c r="AG100" s="208">
        <v>0</v>
      </c>
      <c r="AH100" s="208">
        <v>0</v>
      </c>
      <c r="AI100" s="208">
        <v>0</v>
      </c>
      <c r="AJ100" s="208">
        <v>1</v>
      </c>
      <c r="AK100" s="208">
        <v>0</v>
      </c>
      <c r="AL100" s="208">
        <v>0</v>
      </c>
      <c r="AM100" s="208">
        <v>0</v>
      </c>
      <c r="AN100" s="208">
        <v>0</v>
      </c>
      <c r="AO100" s="208">
        <v>0</v>
      </c>
      <c r="AP100" s="208">
        <v>0</v>
      </c>
      <c r="AQ100" s="208">
        <v>1</v>
      </c>
      <c r="AR100" s="208">
        <v>0</v>
      </c>
      <c r="AS100" s="208">
        <v>0</v>
      </c>
      <c r="AT100" s="208">
        <v>0</v>
      </c>
      <c r="AU100" s="208">
        <v>0</v>
      </c>
      <c r="AV100" s="208">
        <v>0.5</v>
      </c>
      <c r="AW100" s="208">
        <v>0</v>
      </c>
    </row>
    <row r="101" spans="2:49">
      <c r="B101" s="91" t="s">
        <v>170</v>
      </c>
      <c r="C101" s="18">
        <v>1</v>
      </c>
      <c r="D101" s="208">
        <v>0</v>
      </c>
      <c r="E101" s="208">
        <v>1</v>
      </c>
      <c r="F101" s="208">
        <v>0</v>
      </c>
      <c r="G101" s="208">
        <v>0</v>
      </c>
      <c r="H101" s="208">
        <v>1</v>
      </c>
      <c r="I101" s="208">
        <v>1</v>
      </c>
      <c r="J101" s="208">
        <v>0</v>
      </c>
      <c r="K101" s="208">
        <v>0</v>
      </c>
      <c r="L101" s="208">
        <v>0</v>
      </c>
      <c r="M101" s="208">
        <v>0</v>
      </c>
      <c r="N101" s="208">
        <v>0</v>
      </c>
      <c r="O101" s="208">
        <v>0</v>
      </c>
      <c r="P101" s="208">
        <v>0</v>
      </c>
      <c r="Q101" s="208">
        <v>0</v>
      </c>
      <c r="R101" s="208">
        <v>0</v>
      </c>
      <c r="S101" s="208">
        <v>0</v>
      </c>
      <c r="T101" s="208">
        <v>1</v>
      </c>
      <c r="U101" s="208">
        <v>0</v>
      </c>
      <c r="V101" s="208">
        <v>0</v>
      </c>
      <c r="W101" s="208">
        <v>1</v>
      </c>
      <c r="X101" s="208">
        <v>0</v>
      </c>
      <c r="Y101" s="208">
        <v>0</v>
      </c>
      <c r="Z101" s="208">
        <v>0</v>
      </c>
      <c r="AA101" s="208">
        <v>0</v>
      </c>
      <c r="AB101" s="208">
        <v>0</v>
      </c>
      <c r="AC101" s="208">
        <v>0</v>
      </c>
      <c r="AD101" s="208">
        <v>0</v>
      </c>
      <c r="AE101" s="208">
        <v>0</v>
      </c>
      <c r="AF101" s="208">
        <v>0</v>
      </c>
      <c r="AG101" s="208">
        <v>1</v>
      </c>
      <c r="AH101" s="208">
        <v>0</v>
      </c>
      <c r="AI101" s="208">
        <v>0</v>
      </c>
      <c r="AJ101" s="208">
        <v>1</v>
      </c>
      <c r="AK101" s="208">
        <v>0</v>
      </c>
      <c r="AL101" s="208">
        <v>0</v>
      </c>
      <c r="AM101" s="208">
        <v>0</v>
      </c>
      <c r="AN101" s="208">
        <v>0</v>
      </c>
      <c r="AO101" s="208">
        <v>0</v>
      </c>
      <c r="AP101" s="208">
        <v>0</v>
      </c>
      <c r="AQ101" s="208">
        <v>1</v>
      </c>
      <c r="AR101" s="208">
        <v>0</v>
      </c>
      <c r="AS101" s="208">
        <v>0</v>
      </c>
      <c r="AT101" s="208">
        <v>0</v>
      </c>
      <c r="AU101" s="208">
        <v>0</v>
      </c>
      <c r="AV101" s="208">
        <v>0</v>
      </c>
      <c r="AW101" s="208">
        <v>0</v>
      </c>
    </row>
    <row r="102" spans="2:49">
      <c r="B102" s="91" t="s">
        <v>158</v>
      </c>
      <c r="C102" s="18">
        <v>4</v>
      </c>
      <c r="D102" s="208">
        <v>0.5</v>
      </c>
      <c r="E102" s="208">
        <v>0.5</v>
      </c>
      <c r="F102" s="208">
        <v>0</v>
      </c>
      <c r="G102" s="208">
        <v>0</v>
      </c>
      <c r="H102" s="208">
        <v>0.25</v>
      </c>
      <c r="I102" s="208">
        <v>0.75</v>
      </c>
      <c r="J102" s="208">
        <v>0</v>
      </c>
      <c r="K102" s="208">
        <v>0</v>
      </c>
      <c r="L102" s="208">
        <v>0.25</v>
      </c>
      <c r="M102" s="208">
        <v>0</v>
      </c>
      <c r="N102" s="208">
        <v>0</v>
      </c>
      <c r="O102" s="208">
        <v>0</v>
      </c>
      <c r="P102" s="208">
        <v>0</v>
      </c>
      <c r="Q102" s="208">
        <v>0</v>
      </c>
      <c r="R102" s="208">
        <v>0.25</v>
      </c>
      <c r="S102" s="208">
        <v>0.25</v>
      </c>
      <c r="T102" s="208">
        <v>0.5</v>
      </c>
      <c r="U102" s="208">
        <v>0.25</v>
      </c>
      <c r="V102" s="208">
        <v>0</v>
      </c>
      <c r="W102" s="208">
        <v>0</v>
      </c>
      <c r="X102" s="208">
        <v>0.25</v>
      </c>
      <c r="Y102" s="208">
        <v>0</v>
      </c>
      <c r="Z102" s="208">
        <v>0</v>
      </c>
      <c r="AA102" s="208">
        <v>0</v>
      </c>
      <c r="AB102" s="208">
        <v>0</v>
      </c>
      <c r="AC102" s="208">
        <v>0.25</v>
      </c>
      <c r="AD102" s="208">
        <v>0</v>
      </c>
      <c r="AE102" s="208">
        <v>0.25</v>
      </c>
      <c r="AF102" s="208">
        <v>0</v>
      </c>
      <c r="AG102" s="208">
        <v>0.5</v>
      </c>
      <c r="AH102" s="208">
        <v>0</v>
      </c>
      <c r="AI102" s="208">
        <v>0</v>
      </c>
      <c r="AJ102" s="208">
        <v>0.75</v>
      </c>
      <c r="AK102" s="208">
        <v>0</v>
      </c>
      <c r="AL102" s="208">
        <v>0.25</v>
      </c>
      <c r="AM102" s="208">
        <v>0</v>
      </c>
      <c r="AN102" s="208">
        <v>0</v>
      </c>
      <c r="AO102" s="208">
        <v>0</v>
      </c>
      <c r="AP102" s="208">
        <v>0</v>
      </c>
      <c r="AQ102" s="208">
        <v>1</v>
      </c>
      <c r="AR102" s="208">
        <v>0</v>
      </c>
      <c r="AS102" s="208">
        <v>0</v>
      </c>
      <c r="AT102" s="208">
        <v>0</v>
      </c>
      <c r="AU102" s="208">
        <v>0</v>
      </c>
      <c r="AV102" s="208">
        <v>1</v>
      </c>
      <c r="AW102" s="208">
        <v>0</v>
      </c>
    </row>
    <row r="103" spans="2:49">
      <c r="B103" s="91" t="s">
        <v>129</v>
      </c>
      <c r="C103" s="18">
        <v>3</v>
      </c>
      <c r="D103" s="208">
        <v>0</v>
      </c>
      <c r="E103" s="208">
        <v>1</v>
      </c>
      <c r="F103" s="208">
        <v>0</v>
      </c>
      <c r="G103" s="208">
        <v>0</v>
      </c>
      <c r="H103" s="208">
        <v>0.33333333333333331</v>
      </c>
      <c r="I103" s="208">
        <v>0.66666666666666663</v>
      </c>
      <c r="J103" s="208">
        <v>0</v>
      </c>
      <c r="K103" s="208">
        <v>0</v>
      </c>
      <c r="L103" s="208">
        <v>0</v>
      </c>
      <c r="M103" s="208">
        <v>0</v>
      </c>
      <c r="N103" s="208">
        <v>0</v>
      </c>
      <c r="O103" s="208">
        <v>0</v>
      </c>
      <c r="P103" s="208">
        <v>0</v>
      </c>
      <c r="Q103" s="208">
        <v>0</v>
      </c>
      <c r="R103" s="208">
        <v>0</v>
      </c>
      <c r="S103" s="208">
        <v>0</v>
      </c>
      <c r="T103" s="208">
        <v>1</v>
      </c>
      <c r="U103" s="208">
        <v>0</v>
      </c>
      <c r="V103" s="208">
        <v>0</v>
      </c>
      <c r="W103" s="208">
        <v>0</v>
      </c>
      <c r="X103" s="208">
        <v>0</v>
      </c>
      <c r="Y103" s="208">
        <v>0</v>
      </c>
      <c r="Z103" s="208">
        <v>0.33333333333333331</v>
      </c>
      <c r="AA103" s="208">
        <v>0</v>
      </c>
      <c r="AB103" s="208">
        <v>0</v>
      </c>
      <c r="AC103" s="208">
        <v>0</v>
      </c>
      <c r="AD103" s="208">
        <v>0</v>
      </c>
      <c r="AE103" s="208">
        <v>0</v>
      </c>
      <c r="AF103" s="208">
        <v>0</v>
      </c>
      <c r="AG103" s="208">
        <v>0.33333333333333331</v>
      </c>
      <c r="AH103" s="208">
        <v>0.66666666666666663</v>
      </c>
      <c r="AI103" s="208">
        <v>0</v>
      </c>
      <c r="AJ103" s="208">
        <v>0.66666666666666663</v>
      </c>
      <c r="AK103" s="208">
        <v>0</v>
      </c>
      <c r="AL103" s="208">
        <v>0</v>
      </c>
      <c r="AM103" s="208">
        <v>0</v>
      </c>
      <c r="AN103" s="208">
        <v>0</v>
      </c>
      <c r="AO103" s="208">
        <v>0</v>
      </c>
      <c r="AP103" s="208">
        <v>0</v>
      </c>
      <c r="AQ103" s="208">
        <v>0.66666666666666663</v>
      </c>
      <c r="AR103" s="208">
        <v>0</v>
      </c>
      <c r="AS103" s="208">
        <v>0</v>
      </c>
      <c r="AT103" s="208">
        <v>0</v>
      </c>
      <c r="AU103" s="208">
        <v>0</v>
      </c>
      <c r="AV103" s="208">
        <v>0.66666666666666663</v>
      </c>
      <c r="AW103" s="208">
        <v>0</v>
      </c>
    </row>
    <row r="104" spans="2:49">
      <c r="B104" s="91" t="s">
        <v>181</v>
      </c>
      <c r="C104" s="18">
        <v>4</v>
      </c>
      <c r="D104" s="208">
        <v>0.5</v>
      </c>
      <c r="E104" s="208">
        <v>0.5</v>
      </c>
      <c r="F104" s="208">
        <v>0</v>
      </c>
      <c r="G104" s="208">
        <v>0</v>
      </c>
      <c r="H104" s="208">
        <v>0.5</v>
      </c>
      <c r="I104" s="208">
        <v>0.5</v>
      </c>
      <c r="J104" s="208">
        <v>0</v>
      </c>
      <c r="K104" s="208">
        <v>0</v>
      </c>
      <c r="L104" s="208">
        <v>0</v>
      </c>
      <c r="M104" s="208">
        <v>0</v>
      </c>
      <c r="N104" s="208">
        <v>0.5</v>
      </c>
      <c r="O104" s="208">
        <v>0.25</v>
      </c>
      <c r="P104" s="208">
        <v>0.5</v>
      </c>
      <c r="Q104" s="208">
        <v>0</v>
      </c>
      <c r="R104" s="208">
        <v>0</v>
      </c>
      <c r="S104" s="208">
        <v>0</v>
      </c>
      <c r="T104" s="208">
        <v>0.25</v>
      </c>
      <c r="U104" s="208">
        <v>0</v>
      </c>
      <c r="V104" s="208">
        <v>0</v>
      </c>
      <c r="W104" s="208">
        <v>0.5</v>
      </c>
      <c r="X104" s="208">
        <v>0.5</v>
      </c>
      <c r="Y104" s="208">
        <v>0</v>
      </c>
      <c r="Z104" s="208">
        <v>0</v>
      </c>
      <c r="AA104" s="208">
        <v>0</v>
      </c>
      <c r="AB104" s="208">
        <v>0</v>
      </c>
      <c r="AC104" s="208">
        <v>0</v>
      </c>
      <c r="AD104" s="208">
        <v>0.5</v>
      </c>
      <c r="AE104" s="208">
        <v>0</v>
      </c>
      <c r="AF104" s="208">
        <v>0.25</v>
      </c>
      <c r="AG104" s="208">
        <v>0</v>
      </c>
      <c r="AH104" s="208">
        <v>0.25</v>
      </c>
      <c r="AI104" s="208">
        <v>0</v>
      </c>
      <c r="AJ104" s="208">
        <v>0</v>
      </c>
      <c r="AK104" s="208">
        <v>0.5</v>
      </c>
      <c r="AL104" s="208">
        <v>0</v>
      </c>
      <c r="AM104" s="208">
        <v>0</v>
      </c>
      <c r="AN104" s="208">
        <v>0</v>
      </c>
      <c r="AO104" s="208">
        <v>0.25</v>
      </c>
      <c r="AP104" s="208">
        <v>0</v>
      </c>
      <c r="AQ104" s="208">
        <v>0.75</v>
      </c>
      <c r="AR104" s="208">
        <v>0</v>
      </c>
      <c r="AS104" s="208">
        <v>0</v>
      </c>
      <c r="AT104" s="208">
        <v>0.25</v>
      </c>
      <c r="AU104" s="208">
        <v>0.5</v>
      </c>
      <c r="AV104" s="208">
        <v>0</v>
      </c>
      <c r="AW104" s="208">
        <v>0</v>
      </c>
    </row>
    <row r="105" spans="2:49">
      <c r="B105" s="91" t="s">
        <v>357</v>
      </c>
      <c r="C105" s="18">
        <v>3</v>
      </c>
      <c r="D105" s="208">
        <v>0.66666666666666663</v>
      </c>
      <c r="E105" s="208">
        <v>0.33333333333333331</v>
      </c>
      <c r="F105" s="208">
        <v>0</v>
      </c>
      <c r="G105" s="208">
        <v>0</v>
      </c>
      <c r="H105" s="208">
        <v>1</v>
      </c>
      <c r="I105" s="208">
        <v>1</v>
      </c>
      <c r="J105" s="208">
        <v>0</v>
      </c>
      <c r="K105" s="208">
        <v>0</v>
      </c>
      <c r="L105" s="208">
        <v>0</v>
      </c>
      <c r="M105" s="208">
        <v>0</v>
      </c>
      <c r="N105" s="208">
        <v>0</v>
      </c>
      <c r="O105" s="208">
        <v>0</v>
      </c>
      <c r="P105" s="208">
        <v>0</v>
      </c>
      <c r="Q105" s="208">
        <v>0</v>
      </c>
      <c r="R105" s="208">
        <v>0</v>
      </c>
      <c r="S105" s="208">
        <v>0.33333333333333331</v>
      </c>
      <c r="T105" s="208">
        <v>0.66666666666666663</v>
      </c>
      <c r="U105" s="208">
        <v>0</v>
      </c>
      <c r="V105" s="208">
        <v>0.33333333333333331</v>
      </c>
      <c r="W105" s="208">
        <v>0.33333333333333331</v>
      </c>
      <c r="X105" s="208">
        <v>0.33333333333333331</v>
      </c>
      <c r="Y105" s="208">
        <v>0</v>
      </c>
      <c r="Z105" s="208">
        <v>0</v>
      </c>
      <c r="AA105" s="208">
        <v>0</v>
      </c>
      <c r="AB105" s="208">
        <v>0</v>
      </c>
      <c r="AC105" s="208">
        <v>0</v>
      </c>
      <c r="AD105" s="208">
        <v>0.66666666666666663</v>
      </c>
      <c r="AE105" s="208">
        <v>0</v>
      </c>
      <c r="AF105" s="208">
        <v>0</v>
      </c>
      <c r="AG105" s="208">
        <v>0.33333333333333331</v>
      </c>
      <c r="AH105" s="208">
        <v>0</v>
      </c>
      <c r="AI105" s="208">
        <v>0</v>
      </c>
      <c r="AJ105" s="208">
        <v>1</v>
      </c>
      <c r="AK105" s="208">
        <v>0</v>
      </c>
      <c r="AL105" s="208">
        <v>0</v>
      </c>
      <c r="AM105" s="208">
        <v>0</v>
      </c>
      <c r="AN105" s="208">
        <v>0</v>
      </c>
      <c r="AO105" s="208">
        <v>0</v>
      </c>
      <c r="AP105" s="208">
        <v>0</v>
      </c>
      <c r="AQ105" s="208">
        <v>1</v>
      </c>
      <c r="AR105" s="208">
        <v>0</v>
      </c>
      <c r="AS105" s="208">
        <v>0</v>
      </c>
      <c r="AT105" s="208">
        <v>0</v>
      </c>
      <c r="AU105" s="208">
        <v>0</v>
      </c>
      <c r="AV105" s="208">
        <v>1</v>
      </c>
      <c r="AW105" s="208">
        <v>0</v>
      </c>
    </row>
    <row r="106" spans="2:49">
      <c r="B106" s="91" t="s">
        <v>520</v>
      </c>
      <c r="C106" s="18">
        <v>3</v>
      </c>
      <c r="D106" s="208">
        <v>0.66666666666666663</v>
      </c>
      <c r="E106" s="208">
        <v>0.33333333333333331</v>
      </c>
      <c r="F106" s="208">
        <v>0</v>
      </c>
      <c r="G106" s="208">
        <v>0</v>
      </c>
      <c r="H106" s="208">
        <v>0</v>
      </c>
      <c r="I106" s="208">
        <v>0.66666666666666663</v>
      </c>
      <c r="J106" s="208">
        <v>0</v>
      </c>
      <c r="K106" s="208">
        <v>0</v>
      </c>
      <c r="L106" s="208">
        <v>0</v>
      </c>
      <c r="M106" s="208">
        <v>0</v>
      </c>
      <c r="N106" s="208">
        <v>0</v>
      </c>
      <c r="O106" s="208">
        <v>0</v>
      </c>
      <c r="P106" s="208">
        <v>0.66666666666666663</v>
      </c>
      <c r="Q106" s="208">
        <v>0</v>
      </c>
      <c r="R106" s="208">
        <v>0</v>
      </c>
      <c r="S106" s="208">
        <v>0</v>
      </c>
      <c r="T106" s="208">
        <v>0</v>
      </c>
      <c r="U106" s="208">
        <v>0</v>
      </c>
      <c r="V106" s="208">
        <v>0</v>
      </c>
      <c r="W106" s="208">
        <v>0</v>
      </c>
      <c r="X106" s="208">
        <v>0</v>
      </c>
      <c r="Y106" s="208">
        <v>0</v>
      </c>
      <c r="Z106" s="208">
        <v>0</v>
      </c>
      <c r="AA106" s="208">
        <v>0</v>
      </c>
      <c r="AB106" s="208">
        <v>0.33333333333333331</v>
      </c>
      <c r="AC106" s="208">
        <v>0</v>
      </c>
      <c r="AD106" s="208">
        <v>0</v>
      </c>
      <c r="AE106" s="208">
        <v>0</v>
      </c>
      <c r="AF106" s="208">
        <v>0</v>
      </c>
      <c r="AG106" s="208">
        <v>0.33333333333333331</v>
      </c>
      <c r="AH106" s="208">
        <v>0</v>
      </c>
      <c r="AI106" s="208">
        <v>0</v>
      </c>
      <c r="AJ106" s="208">
        <v>0</v>
      </c>
      <c r="AK106" s="208">
        <v>0</v>
      </c>
      <c r="AL106" s="208">
        <v>0</v>
      </c>
      <c r="AM106" s="208">
        <v>0.66666666666666663</v>
      </c>
      <c r="AN106" s="208">
        <v>0</v>
      </c>
      <c r="AO106" s="208">
        <v>0</v>
      </c>
      <c r="AP106" s="208">
        <v>0</v>
      </c>
      <c r="AQ106" s="208">
        <v>0.33333333333333331</v>
      </c>
      <c r="AR106" s="208">
        <v>0.33333333333333331</v>
      </c>
      <c r="AS106" s="208">
        <v>0</v>
      </c>
      <c r="AT106" s="208">
        <v>0.33333333333333331</v>
      </c>
      <c r="AU106" s="208">
        <v>0</v>
      </c>
      <c r="AV106" s="208">
        <v>0</v>
      </c>
      <c r="AW106" s="208">
        <v>0.33333333333333331</v>
      </c>
    </row>
    <row r="107" spans="2:49">
      <c r="B107" s="91" t="s">
        <v>432</v>
      </c>
      <c r="C107" s="18">
        <v>1</v>
      </c>
      <c r="D107" s="208">
        <v>0</v>
      </c>
      <c r="E107" s="208">
        <v>1</v>
      </c>
      <c r="F107" s="208">
        <v>0</v>
      </c>
      <c r="G107" s="208">
        <v>0</v>
      </c>
      <c r="H107" s="208">
        <v>1</v>
      </c>
      <c r="I107" s="208">
        <v>1</v>
      </c>
      <c r="J107" s="208">
        <v>0</v>
      </c>
      <c r="K107" s="208">
        <v>0</v>
      </c>
      <c r="L107" s="208">
        <v>0</v>
      </c>
      <c r="M107" s="208">
        <v>0</v>
      </c>
      <c r="N107" s="208">
        <v>0</v>
      </c>
      <c r="O107" s="208">
        <v>0</v>
      </c>
      <c r="P107" s="208">
        <v>0</v>
      </c>
      <c r="Q107" s="208">
        <v>0</v>
      </c>
      <c r="R107" s="208">
        <v>0</v>
      </c>
      <c r="S107" s="208">
        <v>0</v>
      </c>
      <c r="T107" s="208">
        <v>1</v>
      </c>
      <c r="U107" s="208">
        <v>0</v>
      </c>
      <c r="V107" s="208">
        <v>1</v>
      </c>
      <c r="W107" s="208">
        <v>0</v>
      </c>
      <c r="X107" s="208">
        <v>0</v>
      </c>
      <c r="Y107" s="208">
        <v>0</v>
      </c>
      <c r="Z107" s="208">
        <v>0</v>
      </c>
      <c r="AA107" s="208">
        <v>0</v>
      </c>
      <c r="AB107" s="208">
        <v>0</v>
      </c>
      <c r="AC107" s="208">
        <v>0</v>
      </c>
      <c r="AD107" s="208">
        <v>0</v>
      </c>
      <c r="AE107" s="208">
        <v>0</v>
      </c>
      <c r="AF107" s="208">
        <v>1</v>
      </c>
      <c r="AG107" s="208">
        <v>0</v>
      </c>
      <c r="AH107" s="208">
        <v>0</v>
      </c>
      <c r="AI107" s="208">
        <v>0</v>
      </c>
      <c r="AJ107" s="208">
        <v>1</v>
      </c>
      <c r="AK107" s="208">
        <v>0</v>
      </c>
      <c r="AL107" s="208">
        <v>0</v>
      </c>
      <c r="AM107" s="208">
        <v>0</v>
      </c>
      <c r="AN107" s="208">
        <v>0</v>
      </c>
      <c r="AO107" s="208">
        <v>0</v>
      </c>
      <c r="AP107" s="208">
        <v>0</v>
      </c>
      <c r="AQ107" s="208">
        <v>1</v>
      </c>
      <c r="AR107" s="208">
        <v>0</v>
      </c>
      <c r="AS107" s="208">
        <v>0</v>
      </c>
      <c r="AT107" s="208">
        <v>0</v>
      </c>
      <c r="AU107" s="208">
        <v>0</v>
      </c>
      <c r="AV107" s="208">
        <v>0</v>
      </c>
      <c r="AW107" s="208">
        <v>0</v>
      </c>
    </row>
    <row r="108" spans="2:49">
      <c r="B108" s="91" t="s">
        <v>173</v>
      </c>
      <c r="C108" s="18">
        <v>19</v>
      </c>
      <c r="D108" s="208">
        <v>0.15789473684210525</v>
      </c>
      <c r="E108" s="208">
        <v>0.84210526315789469</v>
      </c>
      <c r="F108" s="208">
        <v>0</v>
      </c>
      <c r="G108" s="208">
        <v>0</v>
      </c>
      <c r="H108" s="208">
        <v>0.89473684210526316</v>
      </c>
      <c r="I108" s="208">
        <v>0.94736842105263153</v>
      </c>
      <c r="J108" s="208">
        <v>0</v>
      </c>
      <c r="K108" s="208">
        <v>0</v>
      </c>
      <c r="L108" s="208">
        <v>5.2631578947368418E-2</v>
      </c>
      <c r="M108" s="208">
        <v>0</v>
      </c>
      <c r="N108" s="208">
        <v>0</v>
      </c>
      <c r="O108" s="208">
        <v>0.10526315789473684</v>
      </c>
      <c r="P108" s="208">
        <v>0</v>
      </c>
      <c r="Q108" s="208">
        <v>0</v>
      </c>
      <c r="R108" s="208">
        <v>0</v>
      </c>
      <c r="S108" s="208">
        <v>0.10526315789473684</v>
      </c>
      <c r="T108" s="208">
        <v>0.78947368421052633</v>
      </c>
      <c r="U108" s="208">
        <v>0</v>
      </c>
      <c r="V108" s="208">
        <v>0</v>
      </c>
      <c r="W108" s="208">
        <v>0.26315789473684209</v>
      </c>
      <c r="X108" s="208">
        <v>5.2631578947368418E-2</v>
      </c>
      <c r="Y108" s="208">
        <v>0</v>
      </c>
      <c r="Z108" s="208">
        <v>0</v>
      </c>
      <c r="AA108" s="208">
        <v>0</v>
      </c>
      <c r="AB108" s="208">
        <v>0.10526315789473684</v>
      </c>
      <c r="AC108" s="208">
        <v>0.42105263157894735</v>
      </c>
      <c r="AD108" s="208">
        <v>0.10526315789473684</v>
      </c>
      <c r="AE108" s="208">
        <v>0.10526315789473684</v>
      </c>
      <c r="AF108" s="208">
        <v>0</v>
      </c>
      <c r="AG108" s="208">
        <v>0.15789473684210525</v>
      </c>
      <c r="AH108" s="208">
        <v>0.10526315789473684</v>
      </c>
      <c r="AI108" s="208">
        <v>0</v>
      </c>
      <c r="AJ108" s="208">
        <v>0.21052631578947367</v>
      </c>
      <c r="AK108" s="208">
        <v>5.2631578947368418E-2</v>
      </c>
      <c r="AL108" s="208">
        <v>0.63157894736842102</v>
      </c>
      <c r="AM108" s="208">
        <v>0</v>
      </c>
      <c r="AN108" s="208">
        <v>0</v>
      </c>
      <c r="AO108" s="208">
        <v>5.2631578947368418E-2</v>
      </c>
      <c r="AP108" s="208">
        <v>5.2631578947368418E-2</v>
      </c>
      <c r="AQ108" s="208">
        <v>1</v>
      </c>
      <c r="AR108" s="208">
        <v>0</v>
      </c>
      <c r="AS108" s="208">
        <v>0</v>
      </c>
      <c r="AT108" s="208">
        <v>0</v>
      </c>
      <c r="AU108" s="208">
        <v>0.10526315789473684</v>
      </c>
      <c r="AV108" s="208">
        <v>0.73684210526315785</v>
      </c>
      <c r="AW108" s="208">
        <v>0</v>
      </c>
    </row>
    <row r="109" spans="2:49">
      <c r="B109" s="91" t="s">
        <v>509</v>
      </c>
      <c r="C109" s="18">
        <v>1</v>
      </c>
      <c r="D109" s="208">
        <v>1</v>
      </c>
      <c r="E109" s="208">
        <v>0</v>
      </c>
      <c r="F109" s="208">
        <v>0</v>
      </c>
      <c r="G109" s="208">
        <v>0</v>
      </c>
      <c r="H109" s="208">
        <v>0</v>
      </c>
      <c r="I109" s="208">
        <v>1</v>
      </c>
      <c r="J109" s="208">
        <v>0</v>
      </c>
      <c r="K109" s="208">
        <v>0</v>
      </c>
      <c r="L109" s="208">
        <v>0</v>
      </c>
      <c r="M109" s="208">
        <v>0</v>
      </c>
      <c r="N109" s="208">
        <v>0</v>
      </c>
      <c r="O109" s="208">
        <v>0</v>
      </c>
      <c r="P109" s="208">
        <v>0</v>
      </c>
      <c r="Q109" s="208">
        <v>0</v>
      </c>
      <c r="R109" s="208">
        <v>0</v>
      </c>
      <c r="S109" s="208">
        <v>1</v>
      </c>
      <c r="T109" s="208">
        <v>0</v>
      </c>
      <c r="U109" s="208">
        <v>0</v>
      </c>
      <c r="V109" s="208">
        <v>0</v>
      </c>
      <c r="W109" s="208">
        <v>0</v>
      </c>
      <c r="X109" s="208">
        <v>0</v>
      </c>
      <c r="Y109" s="208">
        <v>0</v>
      </c>
      <c r="Z109" s="208">
        <v>0</v>
      </c>
      <c r="AA109" s="208">
        <v>0</v>
      </c>
      <c r="AB109" s="208">
        <v>0</v>
      </c>
      <c r="AC109" s="208">
        <v>0</v>
      </c>
      <c r="AD109" s="208">
        <v>1</v>
      </c>
      <c r="AE109" s="208">
        <v>0</v>
      </c>
      <c r="AF109" s="208">
        <v>0</v>
      </c>
      <c r="AG109" s="208">
        <v>0</v>
      </c>
      <c r="AH109" s="208">
        <v>0</v>
      </c>
      <c r="AI109" s="208">
        <v>0</v>
      </c>
      <c r="AJ109" s="208">
        <v>0</v>
      </c>
      <c r="AK109" s="208">
        <v>0</v>
      </c>
      <c r="AL109" s="208">
        <v>0</v>
      </c>
      <c r="AM109" s="208">
        <v>1</v>
      </c>
      <c r="AN109" s="208">
        <v>0</v>
      </c>
      <c r="AO109" s="208">
        <v>0</v>
      </c>
      <c r="AP109" s="208">
        <v>0</v>
      </c>
      <c r="AQ109" s="208">
        <v>1</v>
      </c>
      <c r="AR109" s="208">
        <v>0</v>
      </c>
      <c r="AS109" s="208">
        <v>0</v>
      </c>
      <c r="AT109" s="208">
        <v>1</v>
      </c>
      <c r="AU109" s="208">
        <v>0</v>
      </c>
      <c r="AV109" s="208">
        <v>0</v>
      </c>
      <c r="AW109" s="208">
        <v>0</v>
      </c>
    </row>
    <row r="110" spans="2:49">
      <c r="B110" s="91" t="s">
        <v>130</v>
      </c>
      <c r="C110" s="18">
        <v>4</v>
      </c>
      <c r="D110" s="208">
        <v>0.75</v>
      </c>
      <c r="E110" s="208">
        <v>0.25</v>
      </c>
      <c r="F110" s="208">
        <v>0</v>
      </c>
      <c r="G110" s="208">
        <v>0</v>
      </c>
      <c r="H110" s="208">
        <v>0</v>
      </c>
      <c r="I110" s="208">
        <v>0.5</v>
      </c>
      <c r="J110" s="208">
        <v>0</v>
      </c>
      <c r="K110" s="208">
        <v>0</v>
      </c>
      <c r="L110" s="208">
        <v>0</v>
      </c>
      <c r="M110" s="208">
        <v>0</v>
      </c>
      <c r="N110" s="208">
        <v>0</v>
      </c>
      <c r="O110" s="208">
        <v>0</v>
      </c>
      <c r="P110" s="208">
        <v>0</v>
      </c>
      <c r="Q110" s="208">
        <v>0</v>
      </c>
      <c r="R110" s="208">
        <v>0</v>
      </c>
      <c r="S110" s="208">
        <v>0</v>
      </c>
      <c r="T110" s="208">
        <v>0.5</v>
      </c>
      <c r="U110" s="208">
        <v>0</v>
      </c>
      <c r="V110" s="208">
        <v>0</v>
      </c>
      <c r="W110" s="208">
        <v>0</v>
      </c>
      <c r="X110" s="208">
        <v>0</v>
      </c>
      <c r="Y110" s="208">
        <v>0</v>
      </c>
      <c r="Z110" s="208">
        <v>0</v>
      </c>
      <c r="AA110" s="208">
        <v>0</v>
      </c>
      <c r="AB110" s="208">
        <v>0.25</v>
      </c>
      <c r="AC110" s="208">
        <v>0.25</v>
      </c>
      <c r="AD110" s="208">
        <v>0.25</v>
      </c>
      <c r="AE110" s="208">
        <v>0</v>
      </c>
      <c r="AF110" s="208">
        <v>0</v>
      </c>
      <c r="AG110" s="208">
        <v>0.25</v>
      </c>
      <c r="AH110" s="208">
        <v>0</v>
      </c>
      <c r="AI110" s="208">
        <v>0</v>
      </c>
      <c r="AJ110" s="208">
        <v>0.25</v>
      </c>
      <c r="AK110" s="208">
        <v>0</v>
      </c>
      <c r="AL110" s="208">
        <v>0</v>
      </c>
      <c r="AM110" s="208">
        <v>0.5</v>
      </c>
      <c r="AN110" s="208">
        <v>0</v>
      </c>
      <c r="AO110" s="208">
        <v>0</v>
      </c>
      <c r="AP110" s="208">
        <v>0</v>
      </c>
      <c r="AQ110" s="208">
        <v>0.75</v>
      </c>
      <c r="AR110" s="208">
        <v>0</v>
      </c>
      <c r="AS110" s="208">
        <v>0</v>
      </c>
      <c r="AT110" s="208">
        <v>0.5</v>
      </c>
      <c r="AU110" s="208">
        <v>0</v>
      </c>
      <c r="AV110" s="208">
        <v>0.25</v>
      </c>
      <c r="AW110" s="208">
        <v>0</v>
      </c>
    </row>
    <row r="111" spans="2:49">
      <c r="B111" s="91" t="s">
        <v>183</v>
      </c>
      <c r="C111" s="18">
        <v>5</v>
      </c>
      <c r="D111" s="208">
        <v>0.8</v>
      </c>
      <c r="E111" s="208">
        <v>0.2</v>
      </c>
      <c r="F111" s="208">
        <v>0</v>
      </c>
      <c r="G111" s="208">
        <v>0</v>
      </c>
      <c r="H111" s="208">
        <v>0.4</v>
      </c>
      <c r="I111" s="208">
        <v>0.8</v>
      </c>
      <c r="J111" s="208">
        <v>0</v>
      </c>
      <c r="K111" s="208">
        <v>0</v>
      </c>
      <c r="L111" s="208">
        <v>0</v>
      </c>
      <c r="M111" s="208">
        <v>0</v>
      </c>
      <c r="N111" s="208">
        <v>0.2</v>
      </c>
      <c r="O111" s="208">
        <v>0</v>
      </c>
      <c r="P111" s="208">
        <v>0</v>
      </c>
      <c r="Q111" s="208">
        <v>0.2</v>
      </c>
      <c r="R111" s="208">
        <v>0.2</v>
      </c>
      <c r="S111" s="208">
        <v>0</v>
      </c>
      <c r="T111" s="208">
        <v>0.6</v>
      </c>
      <c r="U111" s="208">
        <v>0</v>
      </c>
      <c r="V111" s="208">
        <v>0.2</v>
      </c>
      <c r="W111" s="208">
        <v>0</v>
      </c>
      <c r="X111" s="208">
        <v>0.2</v>
      </c>
      <c r="Y111" s="208">
        <v>0</v>
      </c>
      <c r="Z111" s="208">
        <v>0</v>
      </c>
      <c r="AA111" s="208">
        <v>0</v>
      </c>
      <c r="AB111" s="208">
        <v>0</v>
      </c>
      <c r="AC111" s="208">
        <v>0</v>
      </c>
      <c r="AD111" s="208">
        <v>0.2</v>
      </c>
      <c r="AE111" s="208">
        <v>0.4</v>
      </c>
      <c r="AF111" s="208">
        <v>0</v>
      </c>
      <c r="AG111" s="208">
        <v>0.4</v>
      </c>
      <c r="AH111" s="208">
        <v>0</v>
      </c>
      <c r="AI111" s="208">
        <v>0</v>
      </c>
      <c r="AJ111" s="208">
        <v>0.8</v>
      </c>
      <c r="AK111" s="208">
        <v>0</v>
      </c>
      <c r="AL111" s="208">
        <v>0</v>
      </c>
      <c r="AM111" s="208">
        <v>0.2</v>
      </c>
      <c r="AN111" s="208">
        <v>0</v>
      </c>
      <c r="AO111" s="208">
        <v>0</v>
      </c>
      <c r="AP111" s="208">
        <v>0</v>
      </c>
      <c r="AQ111" s="208">
        <v>1</v>
      </c>
      <c r="AR111" s="208">
        <v>0</v>
      </c>
      <c r="AS111" s="208">
        <v>0</v>
      </c>
      <c r="AT111" s="208">
        <v>0</v>
      </c>
      <c r="AU111" s="208">
        <v>0</v>
      </c>
      <c r="AV111" s="208">
        <v>0.4</v>
      </c>
      <c r="AW111" s="208">
        <v>0</v>
      </c>
    </row>
    <row r="112" spans="2:49">
      <c r="B112" s="91" t="s">
        <v>510</v>
      </c>
      <c r="C112" s="18">
        <v>1</v>
      </c>
      <c r="D112" s="208">
        <v>1</v>
      </c>
      <c r="E112" s="208">
        <v>0</v>
      </c>
      <c r="F112" s="208">
        <v>0</v>
      </c>
      <c r="G112" s="208">
        <v>0</v>
      </c>
      <c r="H112" s="208">
        <v>0</v>
      </c>
      <c r="I112" s="208">
        <v>1</v>
      </c>
      <c r="J112" s="208">
        <v>0</v>
      </c>
      <c r="K112" s="208">
        <v>0</v>
      </c>
      <c r="L112" s="208">
        <v>0</v>
      </c>
      <c r="M112" s="208">
        <v>0</v>
      </c>
      <c r="N112" s="208">
        <v>0</v>
      </c>
      <c r="O112" s="208">
        <v>0</v>
      </c>
      <c r="P112" s="208">
        <v>0</v>
      </c>
      <c r="Q112" s="208">
        <v>0</v>
      </c>
      <c r="R112" s="208">
        <v>0</v>
      </c>
      <c r="S112" s="208">
        <v>0</v>
      </c>
      <c r="T112" s="208">
        <v>0</v>
      </c>
      <c r="U112" s="208">
        <v>0</v>
      </c>
      <c r="V112" s="208">
        <v>0</v>
      </c>
      <c r="W112" s="208">
        <v>0</v>
      </c>
      <c r="X112" s="208">
        <v>0</v>
      </c>
      <c r="Y112" s="208">
        <v>0</v>
      </c>
      <c r="Z112" s="208">
        <v>0</v>
      </c>
      <c r="AA112" s="208">
        <v>0</v>
      </c>
      <c r="AB112" s="208">
        <v>0</v>
      </c>
      <c r="AC112" s="208">
        <v>0</v>
      </c>
      <c r="AD112" s="208">
        <v>1</v>
      </c>
      <c r="AE112" s="208">
        <v>0</v>
      </c>
      <c r="AF112" s="208">
        <v>0</v>
      </c>
      <c r="AG112" s="208">
        <v>0</v>
      </c>
      <c r="AH112" s="208">
        <v>0</v>
      </c>
      <c r="AI112" s="208">
        <v>0</v>
      </c>
      <c r="AJ112" s="208">
        <v>0</v>
      </c>
      <c r="AK112" s="208">
        <v>0</v>
      </c>
      <c r="AL112" s="208">
        <v>0</v>
      </c>
      <c r="AM112" s="208">
        <v>1</v>
      </c>
      <c r="AN112" s="208">
        <v>0</v>
      </c>
      <c r="AO112" s="208">
        <v>0</v>
      </c>
      <c r="AP112" s="208">
        <v>0</v>
      </c>
      <c r="AQ112" s="208">
        <v>1</v>
      </c>
      <c r="AR112" s="208">
        <v>0</v>
      </c>
      <c r="AS112" s="208">
        <v>0</v>
      </c>
      <c r="AT112" s="208">
        <v>0</v>
      </c>
      <c r="AU112" s="208">
        <v>0</v>
      </c>
      <c r="AV112" s="208">
        <v>1</v>
      </c>
      <c r="AW112" s="208">
        <v>0</v>
      </c>
    </row>
    <row r="113" spans="2:49">
      <c r="B113" s="91" t="s">
        <v>472</v>
      </c>
      <c r="C113" s="18">
        <v>1</v>
      </c>
      <c r="D113" s="208">
        <v>1</v>
      </c>
      <c r="E113" s="208">
        <v>0</v>
      </c>
      <c r="F113" s="208">
        <v>0</v>
      </c>
      <c r="G113" s="208">
        <v>0</v>
      </c>
      <c r="H113" s="208">
        <v>0</v>
      </c>
      <c r="I113" s="208">
        <v>0</v>
      </c>
      <c r="J113" s="208">
        <v>0</v>
      </c>
      <c r="K113" s="208">
        <v>0</v>
      </c>
      <c r="L113" s="208">
        <v>0</v>
      </c>
      <c r="M113" s="208">
        <v>0</v>
      </c>
      <c r="N113" s="208">
        <v>0</v>
      </c>
      <c r="O113" s="208">
        <v>0</v>
      </c>
      <c r="P113" s="208">
        <v>0</v>
      </c>
      <c r="Q113" s="208">
        <v>0</v>
      </c>
      <c r="R113" s="208">
        <v>1</v>
      </c>
      <c r="S113" s="208">
        <v>0</v>
      </c>
      <c r="T113" s="208">
        <v>0</v>
      </c>
      <c r="U113" s="208">
        <v>0</v>
      </c>
      <c r="V113" s="208">
        <v>0</v>
      </c>
      <c r="W113" s="208">
        <v>0</v>
      </c>
      <c r="X113" s="208">
        <v>0</v>
      </c>
      <c r="Y113" s="208">
        <v>0</v>
      </c>
      <c r="Z113" s="208">
        <v>0</v>
      </c>
      <c r="AA113" s="208">
        <v>0</v>
      </c>
      <c r="AB113" s="208">
        <v>0</v>
      </c>
      <c r="AC113" s="208">
        <v>0</v>
      </c>
      <c r="AD113" s="208">
        <v>1</v>
      </c>
      <c r="AE113" s="208">
        <v>0</v>
      </c>
      <c r="AF113" s="208">
        <v>0</v>
      </c>
      <c r="AG113" s="208">
        <v>0</v>
      </c>
      <c r="AH113" s="208">
        <v>0</v>
      </c>
      <c r="AI113" s="208">
        <v>0</v>
      </c>
      <c r="AJ113" s="208">
        <v>1</v>
      </c>
      <c r="AK113" s="208">
        <v>0</v>
      </c>
      <c r="AL113" s="208">
        <v>0</v>
      </c>
      <c r="AM113" s="208">
        <v>0</v>
      </c>
      <c r="AN113" s="208">
        <v>0</v>
      </c>
      <c r="AO113" s="208">
        <v>0</v>
      </c>
      <c r="AP113" s="208">
        <v>0</v>
      </c>
      <c r="AQ113" s="208">
        <v>1</v>
      </c>
      <c r="AR113" s="208">
        <v>0</v>
      </c>
      <c r="AS113" s="208">
        <v>0</v>
      </c>
      <c r="AT113" s="208">
        <v>0</v>
      </c>
      <c r="AU113" s="208">
        <v>0</v>
      </c>
      <c r="AV113" s="208">
        <v>1</v>
      </c>
      <c r="AW113" s="208">
        <v>0</v>
      </c>
    </row>
    <row r="114" spans="2:49">
      <c r="B114" s="91" t="s">
        <v>177</v>
      </c>
      <c r="C114" s="18">
        <v>5</v>
      </c>
      <c r="D114" s="208">
        <v>0.4</v>
      </c>
      <c r="E114" s="208">
        <v>0.6</v>
      </c>
      <c r="F114" s="208">
        <v>0</v>
      </c>
      <c r="G114" s="208">
        <v>0</v>
      </c>
      <c r="H114" s="208">
        <v>0.4</v>
      </c>
      <c r="I114" s="208">
        <v>0.8</v>
      </c>
      <c r="J114" s="208">
        <v>0.2</v>
      </c>
      <c r="K114" s="208">
        <v>0</v>
      </c>
      <c r="L114" s="208">
        <v>0</v>
      </c>
      <c r="M114" s="208">
        <v>0</v>
      </c>
      <c r="N114" s="208">
        <v>0</v>
      </c>
      <c r="O114" s="208">
        <v>0</v>
      </c>
      <c r="P114" s="208">
        <v>0</v>
      </c>
      <c r="Q114" s="208">
        <v>0</v>
      </c>
      <c r="R114" s="208">
        <v>0.2</v>
      </c>
      <c r="S114" s="208">
        <v>0</v>
      </c>
      <c r="T114" s="208">
        <v>0.8</v>
      </c>
      <c r="U114" s="208">
        <v>0</v>
      </c>
      <c r="V114" s="208">
        <v>0</v>
      </c>
      <c r="W114" s="208">
        <v>0.2</v>
      </c>
      <c r="X114" s="208">
        <v>0.2</v>
      </c>
      <c r="Y114" s="208">
        <v>0.2</v>
      </c>
      <c r="Z114" s="208">
        <v>0</v>
      </c>
      <c r="AA114" s="208">
        <v>0</v>
      </c>
      <c r="AB114" s="208">
        <v>0</v>
      </c>
      <c r="AC114" s="208">
        <v>0</v>
      </c>
      <c r="AD114" s="208">
        <v>0.2</v>
      </c>
      <c r="AE114" s="208">
        <v>0</v>
      </c>
      <c r="AF114" s="208">
        <v>0</v>
      </c>
      <c r="AG114" s="208">
        <v>0.8</v>
      </c>
      <c r="AH114" s="208">
        <v>0</v>
      </c>
      <c r="AI114" s="208">
        <v>0</v>
      </c>
      <c r="AJ114" s="208">
        <v>1</v>
      </c>
      <c r="AK114" s="208">
        <v>0</v>
      </c>
      <c r="AL114" s="208">
        <v>0</v>
      </c>
      <c r="AM114" s="208">
        <v>0</v>
      </c>
      <c r="AN114" s="208">
        <v>0</v>
      </c>
      <c r="AO114" s="208">
        <v>0</v>
      </c>
      <c r="AP114" s="208">
        <v>0</v>
      </c>
      <c r="AQ114" s="208">
        <v>1</v>
      </c>
      <c r="AR114" s="208">
        <v>0</v>
      </c>
      <c r="AS114" s="208">
        <v>0</v>
      </c>
      <c r="AT114" s="208">
        <v>0</v>
      </c>
      <c r="AU114" s="208">
        <v>0</v>
      </c>
      <c r="AV114" s="208">
        <v>0.6</v>
      </c>
      <c r="AW114" s="208">
        <v>0</v>
      </c>
    </row>
    <row r="115" spans="2:49">
      <c r="B115" s="91" t="s">
        <v>488</v>
      </c>
      <c r="C115" s="18">
        <v>1</v>
      </c>
      <c r="D115" s="208">
        <v>1</v>
      </c>
      <c r="E115" s="208">
        <v>0</v>
      </c>
      <c r="F115" s="208">
        <v>0</v>
      </c>
      <c r="G115" s="208">
        <v>0</v>
      </c>
      <c r="H115" s="208">
        <v>0</v>
      </c>
      <c r="I115" s="208">
        <v>1</v>
      </c>
      <c r="J115" s="208">
        <v>0</v>
      </c>
      <c r="K115" s="208">
        <v>0</v>
      </c>
      <c r="L115" s="208">
        <v>0</v>
      </c>
      <c r="M115" s="208">
        <v>0</v>
      </c>
      <c r="N115" s="208">
        <v>0</v>
      </c>
      <c r="O115" s="208">
        <v>0</v>
      </c>
      <c r="P115" s="208">
        <v>1</v>
      </c>
      <c r="Q115" s="208">
        <v>0</v>
      </c>
      <c r="R115" s="208">
        <v>0</v>
      </c>
      <c r="S115" s="208">
        <v>0</v>
      </c>
      <c r="T115" s="208">
        <v>0</v>
      </c>
      <c r="U115" s="208">
        <v>0</v>
      </c>
      <c r="V115" s="208">
        <v>0</v>
      </c>
      <c r="W115" s="208">
        <v>0</v>
      </c>
      <c r="X115" s="208">
        <v>0</v>
      </c>
      <c r="Y115" s="208">
        <v>0</v>
      </c>
      <c r="Z115" s="208">
        <v>0</v>
      </c>
      <c r="AA115" s="208">
        <v>0</v>
      </c>
      <c r="AB115" s="208">
        <v>1</v>
      </c>
      <c r="AC115" s="208">
        <v>0</v>
      </c>
      <c r="AD115" s="208">
        <v>0</v>
      </c>
      <c r="AE115" s="208">
        <v>0</v>
      </c>
      <c r="AF115" s="208">
        <v>0</v>
      </c>
      <c r="AG115" s="208">
        <v>0</v>
      </c>
      <c r="AH115" s="208">
        <v>0</v>
      </c>
      <c r="AI115" s="208">
        <v>0</v>
      </c>
      <c r="AJ115" s="208">
        <v>0</v>
      </c>
      <c r="AK115" s="208">
        <v>0</v>
      </c>
      <c r="AL115" s="208">
        <v>0</v>
      </c>
      <c r="AM115" s="208">
        <v>1</v>
      </c>
      <c r="AN115" s="208">
        <v>0</v>
      </c>
      <c r="AO115" s="208">
        <v>0</v>
      </c>
      <c r="AP115" s="208">
        <v>0</v>
      </c>
      <c r="AQ115" s="208">
        <v>1</v>
      </c>
      <c r="AR115" s="208">
        <v>0</v>
      </c>
      <c r="AS115" s="208">
        <v>0</v>
      </c>
      <c r="AT115" s="208">
        <v>0</v>
      </c>
      <c r="AU115" s="208">
        <v>0</v>
      </c>
      <c r="AV115" s="208">
        <v>0</v>
      </c>
      <c r="AW115" s="208">
        <v>0</v>
      </c>
    </row>
    <row r="116" spans="2:49">
      <c r="B116" s="91" t="s">
        <v>513</v>
      </c>
      <c r="C116" s="18">
        <v>2</v>
      </c>
      <c r="D116" s="208">
        <v>1</v>
      </c>
      <c r="E116" s="208">
        <v>0</v>
      </c>
      <c r="F116" s="208">
        <v>0</v>
      </c>
      <c r="G116" s="208">
        <v>0</v>
      </c>
      <c r="H116" s="208">
        <v>0</v>
      </c>
      <c r="I116" s="208">
        <v>1</v>
      </c>
      <c r="J116" s="208">
        <v>0</v>
      </c>
      <c r="K116" s="208">
        <v>0</v>
      </c>
      <c r="L116" s="208">
        <v>0</v>
      </c>
      <c r="M116" s="208">
        <v>0</v>
      </c>
      <c r="N116" s="208">
        <v>0</v>
      </c>
      <c r="O116" s="208">
        <v>0</v>
      </c>
      <c r="P116" s="208">
        <v>0</v>
      </c>
      <c r="Q116" s="208">
        <v>0</v>
      </c>
      <c r="R116" s="208">
        <v>0</v>
      </c>
      <c r="S116" s="208">
        <v>0.5</v>
      </c>
      <c r="T116" s="208">
        <v>0</v>
      </c>
      <c r="U116" s="208">
        <v>0</v>
      </c>
      <c r="V116" s="208">
        <v>0</v>
      </c>
      <c r="W116" s="208">
        <v>0</v>
      </c>
      <c r="X116" s="208">
        <v>0</v>
      </c>
      <c r="Y116" s="208">
        <v>0</v>
      </c>
      <c r="Z116" s="208">
        <v>0</v>
      </c>
      <c r="AA116" s="208">
        <v>0</v>
      </c>
      <c r="AB116" s="208">
        <v>0</v>
      </c>
      <c r="AC116" s="208">
        <v>0</v>
      </c>
      <c r="AD116" s="208">
        <v>0.5</v>
      </c>
      <c r="AE116" s="208">
        <v>0</v>
      </c>
      <c r="AF116" s="208">
        <v>0</v>
      </c>
      <c r="AG116" s="208">
        <v>0.5</v>
      </c>
      <c r="AH116" s="208">
        <v>0</v>
      </c>
      <c r="AI116" s="208">
        <v>0</v>
      </c>
      <c r="AJ116" s="208">
        <v>0</v>
      </c>
      <c r="AK116" s="208">
        <v>0</v>
      </c>
      <c r="AL116" s="208">
        <v>0</v>
      </c>
      <c r="AM116" s="208">
        <v>0.5</v>
      </c>
      <c r="AN116" s="208">
        <v>0</v>
      </c>
      <c r="AO116" s="208">
        <v>0.5</v>
      </c>
      <c r="AP116" s="208">
        <v>0</v>
      </c>
      <c r="AQ116" s="208">
        <v>1</v>
      </c>
      <c r="AR116" s="208">
        <v>0</v>
      </c>
      <c r="AS116" s="208">
        <v>0</v>
      </c>
      <c r="AT116" s="208">
        <v>0</v>
      </c>
      <c r="AU116" s="208">
        <v>0</v>
      </c>
      <c r="AV116" s="208">
        <v>0.5</v>
      </c>
      <c r="AW116" s="208">
        <v>0</v>
      </c>
    </row>
    <row r="117" spans="2:49">
      <c r="B117" s="91" t="s">
        <v>143</v>
      </c>
      <c r="C117" s="18">
        <v>2</v>
      </c>
      <c r="D117" s="208">
        <v>1</v>
      </c>
      <c r="E117" s="208">
        <v>0</v>
      </c>
      <c r="F117" s="208">
        <v>0</v>
      </c>
      <c r="G117" s="208">
        <v>0</v>
      </c>
      <c r="H117" s="208">
        <v>0</v>
      </c>
      <c r="I117" s="208">
        <v>1</v>
      </c>
      <c r="J117" s="208">
        <v>0</v>
      </c>
      <c r="K117" s="208">
        <v>0</v>
      </c>
      <c r="L117" s="208">
        <v>0</v>
      </c>
      <c r="M117" s="208">
        <v>0</v>
      </c>
      <c r="N117" s="208">
        <v>0</v>
      </c>
      <c r="O117" s="208">
        <v>0</v>
      </c>
      <c r="P117" s="208">
        <v>0</v>
      </c>
      <c r="Q117" s="208">
        <v>0</v>
      </c>
      <c r="R117" s="208">
        <v>0.5</v>
      </c>
      <c r="S117" s="208">
        <v>0</v>
      </c>
      <c r="T117" s="208">
        <v>0.5</v>
      </c>
      <c r="U117" s="208">
        <v>0</v>
      </c>
      <c r="V117" s="208">
        <v>0.5</v>
      </c>
      <c r="W117" s="208">
        <v>0</v>
      </c>
      <c r="X117" s="208">
        <v>0</v>
      </c>
      <c r="Y117" s="208">
        <v>0</v>
      </c>
      <c r="Z117" s="208">
        <v>0</v>
      </c>
      <c r="AA117" s="208">
        <v>0</v>
      </c>
      <c r="AB117" s="208">
        <v>0</v>
      </c>
      <c r="AC117" s="208">
        <v>0</v>
      </c>
      <c r="AD117" s="208">
        <v>0.5</v>
      </c>
      <c r="AE117" s="208">
        <v>0</v>
      </c>
      <c r="AF117" s="208">
        <v>0.5</v>
      </c>
      <c r="AG117" s="208">
        <v>0</v>
      </c>
      <c r="AH117" s="208">
        <v>0</v>
      </c>
      <c r="AI117" s="208">
        <v>0</v>
      </c>
      <c r="AJ117" s="208">
        <v>1</v>
      </c>
      <c r="AK117" s="208">
        <v>0</v>
      </c>
      <c r="AL117" s="208">
        <v>0</v>
      </c>
      <c r="AM117" s="208">
        <v>0</v>
      </c>
      <c r="AN117" s="208">
        <v>0</v>
      </c>
      <c r="AO117" s="208">
        <v>0</v>
      </c>
      <c r="AP117" s="208">
        <v>0</v>
      </c>
      <c r="AQ117" s="208">
        <v>1</v>
      </c>
      <c r="AR117" s="208">
        <v>0</v>
      </c>
      <c r="AS117" s="208">
        <v>0</v>
      </c>
      <c r="AT117" s="208">
        <v>0</v>
      </c>
      <c r="AU117" s="208">
        <v>0</v>
      </c>
      <c r="AV117" s="208">
        <v>1</v>
      </c>
      <c r="AW117" s="208">
        <v>0</v>
      </c>
    </row>
    <row r="118" spans="2:49">
      <c r="B118" s="91" t="s">
        <v>422</v>
      </c>
      <c r="C118" s="18">
        <v>1</v>
      </c>
      <c r="D118" s="208">
        <v>1</v>
      </c>
      <c r="E118" s="208">
        <v>0</v>
      </c>
      <c r="F118" s="208">
        <v>0</v>
      </c>
      <c r="G118" s="208">
        <v>0</v>
      </c>
      <c r="H118" s="208">
        <v>0</v>
      </c>
      <c r="I118" s="208">
        <v>0</v>
      </c>
      <c r="J118" s="208">
        <v>0</v>
      </c>
      <c r="K118" s="208">
        <v>0</v>
      </c>
      <c r="L118" s="208">
        <v>0</v>
      </c>
      <c r="M118" s="208">
        <v>1</v>
      </c>
      <c r="N118" s="208">
        <v>0</v>
      </c>
      <c r="O118" s="208">
        <v>0</v>
      </c>
      <c r="P118" s="208">
        <v>0</v>
      </c>
      <c r="Q118" s="208">
        <v>0</v>
      </c>
      <c r="R118" s="208">
        <v>0</v>
      </c>
      <c r="S118" s="208">
        <v>1</v>
      </c>
      <c r="T118" s="208">
        <v>0</v>
      </c>
      <c r="U118" s="208">
        <v>1</v>
      </c>
      <c r="V118" s="208">
        <v>0</v>
      </c>
      <c r="W118" s="208">
        <v>0</v>
      </c>
      <c r="X118" s="208">
        <v>0</v>
      </c>
      <c r="Y118" s="208">
        <v>0</v>
      </c>
      <c r="Z118" s="208">
        <v>0</v>
      </c>
      <c r="AA118" s="208">
        <v>0</v>
      </c>
      <c r="AB118" s="208">
        <v>0</v>
      </c>
      <c r="AC118" s="208">
        <v>0</v>
      </c>
      <c r="AD118" s="208">
        <v>0</v>
      </c>
      <c r="AE118" s="208">
        <v>0</v>
      </c>
      <c r="AF118" s="208">
        <v>0</v>
      </c>
      <c r="AG118" s="208">
        <v>0</v>
      </c>
      <c r="AH118" s="208">
        <v>1</v>
      </c>
      <c r="AI118" s="208">
        <v>0</v>
      </c>
      <c r="AJ118" s="208">
        <v>1</v>
      </c>
      <c r="AK118" s="208">
        <v>0</v>
      </c>
      <c r="AL118" s="208">
        <v>0</v>
      </c>
      <c r="AM118" s="208">
        <v>0</v>
      </c>
      <c r="AN118" s="208">
        <v>0</v>
      </c>
      <c r="AO118" s="208">
        <v>0</v>
      </c>
      <c r="AP118" s="208">
        <v>0</v>
      </c>
      <c r="AQ118" s="208">
        <v>1</v>
      </c>
      <c r="AR118" s="208">
        <v>0</v>
      </c>
      <c r="AS118" s="208">
        <v>0</v>
      </c>
      <c r="AT118" s="208">
        <v>0</v>
      </c>
      <c r="AU118" s="208">
        <v>0</v>
      </c>
      <c r="AV118" s="208">
        <v>0</v>
      </c>
      <c r="AW118" s="208">
        <v>0</v>
      </c>
    </row>
    <row r="119" spans="2:49">
      <c r="B119" s="91" t="s">
        <v>112</v>
      </c>
      <c r="C119" s="18">
        <v>3</v>
      </c>
      <c r="D119" s="208">
        <v>0.66666666666666663</v>
      </c>
      <c r="E119" s="208">
        <v>0.33333333333333331</v>
      </c>
      <c r="F119" s="208">
        <v>0</v>
      </c>
      <c r="G119" s="208">
        <v>0</v>
      </c>
      <c r="H119" s="208">
        <v>0.33333333333333331</v>
      </c>
      <c r="I119" s="208">
        <v>0.33333333333333331</v>
      </c>
      <c r="J119" s="208">
        <v>0</v>
      </c>
      <c r="K119" s="208">
        <v>0</v>
      </c>
      <c r="L119" s="208">
        <v>0</v>
      </c>
      <c r="M119" s="208">
        <v>0</v>
      </c>
      <c r="N119" s="208">
        <v>0</v>
      </c>
      <c r="O119" s="208">
        <v>0</v>
      </c>
      <c r="P119" s="208">
        <v>0.66666666666666663</v>
      </c>
      <c r="Q119" s="208">
        <v>0</v>
      </c>
      <c r="R119" s="208">
        <v>0</v>
      </c>
      <c r="S119" s="208">
        <v>0</v>
      </c>
      <c r="T119" s="208">
        <v>0.33333333333333331</v>
      </c>
      <c r="U119" s="208">
        <v>0</v>
      </c>
      <c r="V119" s="208">
        <v>0</v>
      </c>
      <c r="W119" s="208">
        <v>0</v>
      </c>
      <c r="X119" s="208">
        <v>0</v>
      </c>
      <c r="Y119" s="208">
        <v>0</v>
      </c>
      <c r="Z119" s="208">
        <v>0</v>
      </c>
      <c r="AA119" s="208">
        <v>0</v>
      </c>
      <c r="AB119" s="208">
        <v>0</v>
      </c>
      <c r="AC119" s="208">
        <v>0</v>
      </c>
      <c r="AD119" s="208">
        <v>0</v>
      </c>
      <c r="AE119" s="208">
        <v>0.33333333333333331</v>
      </c>
      <c r="AF119" s="208">
        <v>0</v>
      </c>
      <c r="AG119" s="208">
        <v>0.33333333333333331</v>
      </c>
      <c r="AH119" s="208">
        <v>0</v>
      </c>
      <c r="AI119" s="208">
        <v>0</v>
      </c>
      <c r="AJ119" s="208">
        <v>0.33333333333333331</v>
      </c>
      <c r="AK119" s="208">
        <v>0</v>
      </c>
      <c r="AL119" s="208">
        <v>0</v>
      </c>
      <c r="AM119" s="208">
        <v>0</v>
      </c>
      <c r="AN119" s="208">
        <v>0</v>
      </c>
      <c r="AO119" s="208">
        <v>0</v>
      </c>
      <c r="AP119" s="208">
        <v>0.33333333333333331</v>
      </c>
      <c r="AQ119" s="208">
        <v>0.66666666666666663</v>
      </c>
      <c r="AR119" s="208">
        <v>0</v>
      </c>
      <c r="AS119" s="208">
        <v>0</v>
      </c>
      <c r="AT119" s="208">
        <v>0.33333333333333331</v>
      </c>
      <c r="AU119" s="208">
        <v>0</v>
      </c>
      <c r="AV119" s="208">
        <v>0.66666666666666663</v>
      </c>
      <c r="AW119" s="208">
        <v>0</v>
      </c>
    </row>
    <row r="120" spans="2:49">
      <c r="B120" s="91" t="s">
        <v>184</v>
      </c>
      <c r="C120" s="18">
        <v>9</v>
      </c>
      <c r="D120" s="208">
        <v>0.33333333333333331</v>
      </c>
      <c r="E120" s="208">
        <v>0.66666666666666663</v>
      </c>
      <c r="F120" s="208">
        <v>0</v>
      </c>
      <c r="G120" s="208">
        <v>0</v>
      </c>
      <c r="H120" s="208">
        <v>0.77777777777777779</v>
      </c>
      <c r="I120" s="208">
        <v>0.77777777777777779</v>
      </c>
      <c r="J120" s="208">
        <v>0</v>
      </c>
      <c r="K120" s="208">
        <v>0</v>
      </c>
      <c r="L120" s="208">
        <v>0</v>
      </c>
      <c r="M120" s="208">
        <v>0</v>
      </c>
      <c r="N120" s="208">
        <v>0.1111111111111111</v>
      </c>
      <c r="O120" s="208">
        <v>0.1111111111111111</v>
      </c>
      <c r="P120" s="208">
        <v>0</v>
      </c>
      <c r="Q120" s="208">
        <v>0</v>
      </c>
      <c r="R120" s="208">
        <v>0</v>
      </c>
      <c r="S120" s="208">
        <v>0.44444444444444442</v>
      </c>
      <c r="T120" s="208">
        <v>0.44444444444444442</v>
      </c>
      <c r="U120" s="208">
        <v>0</v>
      </c>
      <c r="V120" s="208">
        <v>0.22222222222222221</v>
      </c>
      <c r="W120" s="208">
        <v>0.22222222222222221</v>
      </c>
      <c r="X120" s="208">
        <v>0</v>
      </c>
      <c r="Y120" s="208">
        <v>0.1111111111111111</v>
      </c>
      <c r="Z120" s="208">
        <v>0.1111111111111111</v>
      </c>
      <c r="AA120" s="208">
        <v>0</v>
      </c>
      <c r="AB120" s="208">
        <v>0</v>
      </c>
      <c r="AC120" s="208">
        <v>0.1111111111111111</v>
      </c>
      <c r="AD120" s="208">
        <v>0.33333333333333331</v>
      </c>
      <c r="AE120" s="208">
        <v>0.22222222222222221</v>
      </c>
      <c r="AF120" s="208">
        <v>0</v>
      </c>
      <c r="AG120" s="208">
        <v>0.33333333333333331</v>
      </c>
      <c r="AH120" s="208">
        <v>0</v>
      </c>
      <c r="AI120" s="208">
        <v>0</v>
      </c>
      <c r="AJ120" s="208">
        <v>0.66666666666666663</v>
      </c>
      <c r="AK120" s="208">
        <v>0</v>
      </c>
      <c r="AL120" s="208">
        <v>0</v>
      </c>
      <c r="AM120" s="208">
        <v>0.1111111111111111</v>
      </c>
      <c r="AN120" s="208">
        <v>0</v>
      </c>
      <c r="AO120" s="208">
        <v>0.22222222222222221</v>
      </c>
      <c r="AP120" s="208">
        <v>0</v>
      </c>
      <c r="AQ120" s="208">
        <v>1</v>
      </c>
      <c r="AR120" s="208">
        <v>0</v>
      </c>
      <c r="AS120" s="208">
        <v>0</v>
      </c>
      <c r="AT120" s="208">
        <v>0</v>
      </c>
      <c r="AU120" s="208">
        <v>0.1111111111111111</v>
      </c>
      <c r="AV120" s="208">
        <v>0.55555555555555558</v>
      </c>
      <c r="AW120" s="208">
        <v>0</v>
      </c>
    </row>
    <row r="121" spans="2:49">
      <c r="B121" s="91" t="s">
        <v>368</v>
      </c>
      <c r="C121" s="18">
        <v>11</v>
      </c>
      <c r="D121" s="208">
        <v>0.54545454545454541</v>
      </c>
      <c r="E121" s="208">
        <v>0.36363636363636365</v>
      </c>
      <c r="F121" s="208">
        <v>0</v>
      </c>
      <c r="G121" s="208">
        <v>0</v>
      </c>
      <c r="H121" s="208">
        <v>0</v>
      </c>
      <c r="I121" s="208">
        <v>0.36363636363636365</v>
      </c>
      <c r="J121" s="208">
        <v>0</v>
      </c>
      <c r="K121" s="208">
        <v>0</v>
      </c>
      <c r="L121" s="208">
        <v>0</v>
      </c>
      <c r="M121" s="208">
        <v>9.0909090909090912E-2</v>
      </c>
      <c r="N121" s="208">
        <v>0</v>
      </c>
      <c r="O121" s="208">
        <v>0.27272727272727271</v>
      </c>
      <c r="P121" s="208">
        <v>9.0909090909090912E-2</v>
      </c>
      <c r="Q121" s="208">
        <v>0</v>
      </c>
      <c r="R121" s="208">
        <v>0.27272727272727271</v>
      </c>
      <c r="S121" s="208">
        <v>9.0909090909090912E-2</v>
      </c>
      <c r="T121" s="208">
        <v>0.27272727272727271</v>
      </c>
      <c r="U121" s="208">
        <v>9.0909090909090912E-2</v>
      </c>
      <c r="V121" s="208">
        <v>0.18181818181818182</v>
      </c>
      <c r="W121" s="208">
        <v>0.27272727272727271</v>
      </c>
      <c r="X121" s="208">
        <v>0.18181818181818182</v>
      </c>
      <c r="Y121" s="208">
        <v>9.0909090909090912E-2</v>
      </c>
      <c r="Z121" s="208">
        <v>9.0909090909090912E-2</v>
      </c>
      <c r="AA121" s="208">
        <v>0</v>
      </c>
      <c r="AB121" s="208">
        <v>0.36363636363636365</v>
      </c>
      <c r="AC121" s="208">
        <v>9.0909090909090912E-2</v>
      </c>
      <c r="AD121" s="208">
        <v>9.0909090909090912E-2</v>
      </c>
      <c r="AE121" s="208">
        <v>9.0909090909090912E-2</v>
      </c>
      <c r="AF121" s="208">
        <v>0</v>
      </c>
      <c r="AG121" s="208">
        <v>0.18181818181818182</v>
      </c>
      <c r="AH121" s="208">
        <v>0</v>
      </c>
      <c r="AI121" s="208">
        <v>0</v>
      </c>
      <c r="AJ121" s="208">
        <v>9.0909090909090912E-2</v>
      </c>
      <c r="AK121" s="208">
        <v>0.27272727272727271</v>
      </c>
      <c r="AL121" s="208">
        <v>9.0909090909090912E-2</v>
      </c>
      <c r="AM121" s="208">
        <v>0.27272727272727271</v>
      </c>
      <c r="AN121" s="208">
        <v>0</v>
      </c>
      <c r="AO121" s="208">
        <v>9.0909090909090912E-2</v>
      </c>
      <c r="AP121" s="208">
        <v>9.0909090909090912E-2</v>
      </c>
      <c r="AQ121" s="208">
        <v>0.90909090909090906</v>
      </c>
      <c r="AR121" s="208">
        <v>0</v>
      </c>
      <c r="AS121" s="208">
        <v>0</v>
      </c>
      <c r="AT121" s="208">
        <v>0.54545454545454541</v>
      </c>
      <c r="AU121" s="208">
        <v>0</v>
      </c>
      <c r="AV121" s="208">
        <v>0.45454545454545453</v>
      </c>
      <c r="AW121" s="208">
        <v>0</v>
      </c>
    </row>
    <row r="122" spans="2:49">
      <c r="B122" s="91" t="s">
        <v>169</v>
      </c>
      <c r="C122" s="18">
        <v>1</v>
      </c>
      <c r="D122" s="208">
        <v>0</v>
      </c>
      <c r="E122" s="208">
        <v>1</v>
      </c>
      <c r="F122" s="208">
        <v>0</v>
      </c>
      <c r="G122" s="208">
        <v>0</v>
      </c>
      <c r="H122" s="208">
        <v>1</v>
      </c>
      <c r="I122" s="208">
        <v>1</v>
      </c>
      <c r="J122" s="208">
        <v>0</v>
      </c>
      <c r="K122" s="208">
        <v>0</v>
      </c>
      <c r="L122" s="208">
        <v>0</v>
      </c>
      <c r="M122" s="208">
        <v>0</v>
      </c>
      <c r="N122" s="208">
        <v>0</v>
      </c>
      <c r="O122" s="208">
        <v>0</v>
      </c>
      <c r="P122" s="208">
        <v>0</v>
      </c>
      <c r="Q122" s="208">
        <v>0</v>
      </c>
      <c r="R122" s="208">
        <v>0</v>
      </c>
      <c r="S122" s="208">
        <v>0</v>
      </c>
      <c r="T122" s="208">
        <v>1</v>
      </c>
      <c r="U122" s="208">
        <v>0</v>
      </c>
      <c r="V122" s="208">
        <v>0</v>
      </c>
      <c r="W122" s="208">
        <v>0</v>
      </c>
      <c r="X122" s="208">
        <v>1</v>
      </c>
      <c r="Y122" s="208">
        <v>0</v>
      </c>
      <c r="Z122" s="208">
        <v>0</v>
      </c>
      <c r="AA122" s="208">
        <v>0</v>
      </c>
      <c r="AB122" s="208">
        <v>0</v>
      </c>
      <c r="AC122" s="208">
        <v>0</v>
      </c>
      <c r="AD122" s="208">
        <v>0</v>
      </c>
      <c r="AE122" s="208">
        <v>1</v>
      </c>
      <c r="AF122" s="208">
        <v>0</v>
      </c>
      <c r="AG122" s="208">
        <v>0</v>
      </c>
      <c r="AH122" s="208">
        <v>0</v>
      </c>
      <c r="AI122" s="208">
        <v>0</v>
      </c>
      <c r="AJ122" s="208">
        <v>1</v>
      </c>
      <c r="AK122" s="208">
        <v>0</v>
      </c>
      <c r="AL122" s="208">
        <v>0</v>
      </c>
      <c r="AM122" s="208">
        <v>0</v>
      </c>
      <c r="AN122" s="208">
        <v>0</v>
      </c>
      <c r="AO122" s="208">
        <v>0</v>
      </c>
      <c r="AP122" s="208">
        <v>0</v>
      </c>
      <c r="AQ122" s="208">
        <v>1</v>
      </c>
      <c r="AR122" s="208">
        <v>0</v>
      </c>
      <c r="AS122" s="208">
        <v>0</v>
      </c>
      <c r="AT122" s="208">
        <v>0</v>
      </c>
      <c r="AU122" s="208">
        <v>0</v>
      </c>
      <c r="AV122" s="208">
        <v>1</v>
      </c>
      <c r="AW122" s="208">
        <v>0</v>
      </c>
    </row>
    <row r="123" spans="2:49">
      <c r="B123" s="91" t="s">
        <v>137</v>
      </c>
      <c r="C123" s="18">
        <v>1</v>
      </c>
      <c r="D123" s="208">
        <v>1</v>
      </c>
      <c r="E123" s="208">
        <v>0</v>
      </c>
      <c r="F123" s="208">
        <v>0</v>
      </c>
      <c r="G123" s="208">
        <v>0</v>
      </c>
      <c r="H123" s="208">
        <v>0</v>
      </c>
      <c r="I123" s="208">
        <v>0</v>
      </c>
      <c r="J123" s="208">
        <v>0</v>
      </c>
      <c r="K123" s="208">
        <v>0</v>
      </c>
      <c r="L123" s="208">
        <v>0</v>
      </c>
      <c r="M123" s="208">
        <v>0</v>
      </c>
      <c r="N123" s="208">
        <v>0</v>
      </c>
      <c r="O123" s="208">
        <v>0</v>
      </c>
      <c r="P123" s="208">
        <v>0</v>
      </c>
      <c r="Q123" s="208">
        <v>0</v>
      </c>
      <c r="R123" s="208">
        <v>0</v>
      </c>
      <c r="S123" s="208">
        <v>1</v>
      </c>
      <c r="T123" s="208">
        <v>0</v>
      </c>
      <c r="U123" s="208">
        <v>0</v>
      </c>
      <c r="V123" s="208">
        <v>0</v>
      </c>
      <c r="W123" s="208">
        <v>0</v>
      </c>
      <c r="X123" s="208">
        <v>0</v>
      </c>
      <c r="Y123" s="208">
        <v>0</v>
      </c>
      <c r="Z123" s="208">
        <v>0</v>
      </c>
      <c r="AA123" s="208">
        <v>0</v>
      </c>
      <c r="AB123" s="208">
        <v>0</v>
      </c>
      <c r="AC123" s="208">
        <v>0</v>
      </c>
      <c r="AD123" s="208">
        <v>0</v>
      </c>
      <c r="AE123" s="208">
        <v>0</v>
      </c>
      <c r="AF123" s="208">
        <v>0</v>
      </c>
      <c r="AG123" s="208">
        <v>1</v>
      </c>
      <c r="AH123" s="208">
        <v>0</v>
      </c>
      <c r="AI123" s="208">
        <v>0</v>
      </c>
      <c r="AJ123" s="208">
        <v>1</v>
      </c>
      <c r="AK123" s="208">
        <v>0</v>
      </c>
      <c r="AL123" s="208">
        <v>0</v>
      </c>
      <c r="AM123" s="208">
        <v>0</v>
      </c>
      <c r="AN123" s="208">
        <v>0</v>
      </c>
      <c r="AO123" s="208">
        <v>0</v>
      </c>
      <c r="AP123" s="208">
        <v>0</v>
      </c>
      <c r="AQ123" s="208">
        <v>1</v>
      </c>
      <c r="AR123" s="208">
        <v>0</v>
      </c>
      <c r="AS123" s="208">
        <v>0</v>
      </c>
      <c r="AT123" s="208">
        <v>0</v>
      </c>
      <c r="AU123" s="208">
        <v>0</v>
      </c>
      <c r="AV123" s="208">
        <v>1</v>
      </c>
      <c r="AW123" s="208">
        <v>0</v>
      </c>
    </row>
    <row r="124" spans="2:49">
      <c r="B124" s="91" t="s">
        <v>370</v>
      </c>
      <c r="C124" s="18">
        <v>2</v>
      </c>
      <c r="D124" s="208">
        <v>0</v>
      </c>
      <c r="E124" s="208">
        <v>1</v>
      </c>
      <c r="F124" s="208">
        <v>0</v>
      </c>
      <c r="G124" s="208">
        <v>0</v>
      </c>
      <c r="H124" s="208">
        <v>1</v>
      </c>
      <c r="I124" s="208">
        <v>1</v>
      </c>
      <c r="J124" s="208">
        <v>0</v>
      </c>
      <c r="K124" s="208">
        <v>0</v>
      </c>
      <c r="L124" s="208">
        <v>0</v>
      </c>
      <c r="M124" s="208">
        <v>0</v>
      </c>
      <c r="N124" s="208">
        <v>0</v>
      </c>
      <c r="O124" s="208">
        <v>0</v>
      </c>
      <c r="P124" s="208">
        <v>0</v>
      </c>
      <c r="Q124" s="208">
        <v>0</v>
      </c>
      <c r="R124" s="208">
        <v>0.5</v>
      </c>
      <c r="S124" s="208">
        <v>0</v>
      </c>
      <c r="T124" s="208">
        <v>0</v>
      </c>
      <c r="U124" s="208">
        <v>0</v>
      </c>
      <c r="V124" s="208">
        <v>0.5</v>
      </c>
      <c r="W124" s="208">
        <v>0.5</v>
      </c>
      <c r="X124" s="208">
        <v>0</v>
      </c>
      <c r="Y124" s="208">
        <v>0</v>
      </c>
      <c r="Z124" s="208">
        <v>0</v>
      </c>
      <c r="AA124" s="208">
        <v>0</v>
      </c>
      <c r="AB124" s="208">
        <v>0</v>
      </c>
      <c r="AC124" s="208">
        <v>0</v>
      </c>
      <c r="AD124" s="208">
        <v>0.5</v>
      </c>
      <c r="AE124" s="208">
        <v>0</v>
      </c>
      <c r="AF124" s="208">
        <v>0</v>
      </c>
      <c r="AG124" s="208">
        <v>0.5</v>
      </c>
      <c r="AH124" s="208">
        <v>0</v>
      </c>
      <c r="AI124" s="208">
        <v>0</v>
      </c>
      <c r="AJ124" s="208">
        <v>1</v>
      </c>
      <c r="AK124" s="208">
        <v>0</v>
      </c>
      <c r="AL124" s="208">
        <v>0</v>
      </c>
      <c r="AM124" s="208">
        <v>0</v>
      </c>
      <c r="AN124" s="208">
        <v>0</v>
      </c>
      <c r="AO124" s="208">
        <v>0</v>
      </c>
      <c r="AP124" s="208">
        <v>0</v>
      </c>
      <c r="AQ124" s="208">
        <v>1</v>
      </c>
      <c r="AR124" s="208">
        <v>0</v>
      </c>
      <c r="AS124" s="208">
        <v>0</v>
      </c>
      <c r="AT124" s="208">
        <v>0</v>
      </c>
      <c r="AU124" s="208">
        <v>0</v>
      </c>
      <c r="AV124" s="208">
        <v>0</v>
      </c>
      <c r="AW124" s="208">
        <v>0</v>
      </c>
    </row>
    <row r="125" spans="2:49">
      <c r="B125" s="91" t="s">
        <v>147</v>
      </c>
      <c r="C125" s="18">
        <v>3</v>
      </c>
      <c r="D125" s="208">
        <v>0.66666666666666663</v>
      </c>
      <c r="E125" s="208">
        <v>0.33333333333333331</v>
      </c>
      <c r="F125" s="208">
        <v>0</v>
      </c>
      <c r="G125" s="208">
        <v>0</v>
      </c>
      <c r="H125" s="208">
        <v>0.66666666666666663</v>
      </c>
      <c r="I125" s="208">
        <v>0.66666666666666663</v>
      </c>
      <c r="J125" s="208">
        <v>0</v>
      </c>
      <c r="K125" s="208">
        <v>0</v>
      </c>
      <c r="L125" s="208">
        <v>0</v>
      </c>
      <c r="M125" s="208">
        <v>0.33333333333333331</v>
      </c>
      <c r="N125" s="208">
        <v>0</v>
      </c>
      <c r="O125" s="208">
        <v>0</v>
      </c>
      <c r="P125" s="208">
        <v>0</v>
      </c>
      <c r="Q125" s="208">
        <v>0</v>
      </c>
      <c r="R125" s="208">
        <v>0.66666666666666663</v>
      </c>
      <c r="S125" s="208">
        <v>0</v>
      </c>
      <c r="T125" s="208">
        <v>0.33333333333333331</v>
      </c>
      <c r="U125" s="208">
        <v>0</v>
      </c>
      <c r="V125" s="208">
        <v>0</v>
      </c>
      <c r="W125" s="208">
        <v>0.33333333333333331</v>
      </c>
      <c r="X125" s="208">
        <v>0.33333333333333331</v>
      </c>
      <c r="Y125" s="208">
        <v>0.33333333333333331</v>
      </c>
      <c r="Z125" s="208">
        <v>0</v>
      </c>
      <c r="AA125" s="208">
        <v>0</v>
      </c>
      <c r="AB125" s="208">
        <v>0.33333333333333331</v>
      </c>
      <c r="AC125" s="208">
        <v>0</v>
      </c>
      <c r="AD125" s="208">
        <v>0</v>
      </c>
      <c r="AE125" s="208">
        <v>0</v>
      </c>
      <c r="AF125" s="208">
        <v>0.66666666666666663</v>
      </c>
      <c r="AG125" s="208">
        <v>0</v>
      </c>
      <c r="AH125" s="208">
        <v>0</v>
      </c>
      <c r="AI125" s="208">
        <v>0</v>
      </c>
      <c r="AJ125" s="208">
        <v>1</v>
      </c>
      <c r="AK125" s="208">
        <v>0</v>
      </c>
      <c r="AL125" s="208">
        <v>0</v>
      </c>
      <c r="AM125" s="208">
        <v>0</v>
      </c>
      <c r="AN125" s="208">
        <v>0</v>
      </c>
      <c r="AO125" s="208">
        <v>0</v>
      </c>
      <c r="AP125" s="208">
        <v>0</v>
      </c>
      <c r="AQ125" s="208">
        <v>1</v>
      </c>
      <c r="AR125" s="208">
        <v>0</v>
      </c>
      <c r="AS125" s="208">
        <v>0</v>
      </c>
      <c r="AT125" s="208">
        <v>0</v>
      </c>
      <c r="AU125" s="208">
        <v>0</v>
      </c>
      <c r="AV125" s="208">
        <v>0.33333333333333331</v>
      </c>
      <c r="AW125" s="208">
        <v>0</v>
      </c>
    </row>
    <row r="126" spans="2:49">
      <c r="B126" s="91" t="s">
        <v>471</v>
      </c>
      <c r="C126" s="18">
        <v>1</v>
      </c>
      <c r="D126" s="208">
        <v>1</v>
      </c>
      <c r="E126" s="208">
        <v>0</v>
      </c>
      <c r="F126" s="208">
        <v>0</v>
      </c>
      <c r="G126" s="208">
        <v>0</v>
      </c>
      <c r="H126" s="208">
        <v>0</v>
      </c>
      <c r="I126" s="208">
        <v>1</v>
      </c>
      <c r="J126" s="208">
        <v>0</v>
      </c>
      <c r="K126" s="208">
        <v>0</v>
      </c>
      <c r="L126" s="208">
        <v>0</v>
      </c>
      <c r="M126" s="208">
        <v>0</v>
      </c>
      <c r="N126" s="208">
        <v>0</v>
      </c>
      <c r="O126" s="208">
        <v>0</v>
      </c>
      <c r="P126" s="208">
        <v>0</v>
      </c>
      <c r="Q126" s="208">
        <v>0</v>
      </c>
      <c r="R126" s="208">
        <v>0</v>
      </c>
      <c r="S126" s="208">
        <v>1</v>
      </c>
      <c r="T126" s="208">
        <v>0</v>
      </c>
      <c r="U126" s="208">
        <v>0</v>
      </c>
      <c r="V126" s="208">
        <v>0</v>
      </c>
      <c r="W126" s="208">
        <v>0</v>
      </c>
      <c r="X126" s="208">
        <v>0</v>
      </c>
      <c r="Y126" s="208">
        <v>0</v>
      </c>
      <c r="Z126" s="208">
        <v>0</v>
      </c>
      <c r="AA126" s="208">
        <v>0</v>
      </c>
      <c r="AB126" s="208">
        <v>0</v>
      </c>
      <c r="AC126" s="208">
        <v>0</v>
      </c>
      <c r="AD126" s="208">
        <v>1</v>
      </c>
      <c r="AE126" s="208">
        <v>0</v>
      </c>
      <c r="AF126" s="208">
        <v>0</v>
      </c>
      <c r="AG126" s="208">
        <v>0</v>
      </c>
      <c r="AH126" s="208">
        <v>0</v>
      </c>
      <c r="AI126" s="208">
        <v>0</v>
      </c>
      <c r="AJ126" s="208">
        <v>1</v>
      </c>
      <c r="AK126" s="208">
        <v>0</v>
      </c>
      <c r="AL126" s="208">
        <v>0</v>
      </c>
      <c r="AM126" s="208">
        <v>0</v>
      </c>
      <c r="AN126" s="208">
        <v>0</v>
      </c>
      <c r="AO126" s="208">
        <v>0</v>
      </c>
      <c r="AP126" s="208">
        <v>0</v>
      </c>
      <c r="AQ126" s="208">
        <v>1</v>
      </c>
      <c r="AR126" s="208">
        <v>0</v>
      </c>
      <c r="AS126" s="208">
        <v>0</v>
      </c>
      <c r="AT126" s="208">
        <v>0</v>
      </c>
      <c r="AU126" s="208">
        <v>0</v>
      </c>
      <c r="AV126" s="208">
        <v>1</v>
      </c>
      <c r="AW126" s="208">
        <v>0</v>
      </c>
    </row>
    <row r="127" spans="2:49">
      <c r="B127" s="91" t="s">
        <v>186</v>
      </c>
      <c r="C127" s="18">
        <v>11</v>
      </c>
      <c r="D127" s="208">
        <v>0.27272727272727271</v>
      </c>
      <c r="E127" s="208">
        <v>0.63636363636363635</v>
      </c>
      <c r="F127" s="208">
        <v>0</v>
      </c>
      <c r="G127" s="208">
        <v>0</v>
      </c>
      <c r="H127" s="208">
        <v>0.54545454545454541</v>
      </c>
      <c r="I127" s="208">
        <v>1</v>
      </c>
      <c r="J127" s="208">
        <v>0</v>
      </c>
      <c r="K127" s="208">
        <v>0</v>
      </c>
      <c r="L127" s="208">
        <v>0</v>
      </c>
      <c r="M127" s="208">
        <v>0</v>
      </c>
      <c r="N127" s="208">
        <v>0</v>
      </c>
      <c r="O127" s="208">
        <v>9.0909090909090912E-2</v>
      </c>
      <c r="P127" s="208">
        <v>9.0909090909090912E-2</v>
      </c>
      <c r="Q127" s="208">
        <v>0</v>
      </c>
      <c r="R127" s="208">
        <v>9.0909090909090912E-2</v>
      </c>
      <c r="S127" s="208">
        <v>0.27272727272727271</v>
      </c>
      <c r="T127" s="208">
        <v>0.45454545454545453</v>
      </c>
      <c r="U127" s="208">
        <v>0.18181818181818182</v>
      </c>
      <c r="V127" s="208">
        <v>9.0909090909090912E-2</v>
      </c>
      <c r="W127" s="208">
        <v>9.0909090909090912E-2</v>
      </c>
      <c r="X127" s="208">
        <v>0.54545454545454541</v>
      </c>
      <c r="Y127" s="208">
        <v>9.0909090909090912E-2</v>
      </c>
      <c r="Z127" s="208">
        <v>0</v>
      </c>
      <c r="AA127" s="208">
        <v>0</v>
      </c>
      <c r="AB127" s="208">
        <v>0.18181818181818182</v>
      </c>
      <c r="AC127" s="208">
        <v>0</v>
      </c>
      <c r="AD127" s="208">
        <v>0.27272727272727271</v>
      </c>
      <c r="AE127" s="208">
        <v>9.0909090909090912E-2</v>
      </c>
      <c r="AF127" s="208">
        <v>9.0909090909090912E-2</v>
      </c>
      <c r="AG127" s="208">
        <v>0.36363636363636365</v>
      </c>
      <c r="AH127" s="208">
        <v>0</v>
      </c>
      <c r="AI127" s="208">
        <v>0</v>
      </c>
      <c r="AJ127" s="208">
        <v>0.81818181818181823</v>
      </c>
      <c r="AK127" s="208">
        <v>9.0909090909090912E-2</v>
      </c>
      <c r="AL127" s="208">
        <v>0</v>
      </c>
      <c r="AM127" s="208">
        <v>0</v>
      </c>
      <c r="AN127" s="208">
        <v>0</v>
      </c>
      <c r="AO127" s="208">
        <v>0</v>
      </c>
      <c r="AP127" s="208">
        <v>9.0909090909090912E-2</v>
      </c>
      <c r="AQ127" s="208">
        <v>0.90909090909090906</v>
      </c>
      <c r="AR127" s="208">
        <v>9.0909090909090912E-2</v>
      </c>
      <c r="AS127" s="208">
        <v>0</v>
      </c>
      <c r="AT127" s="208">
        <v>0</v>
      </c>
      <c r="AU127" s="208">
        <v>0</v>
      </c>
      <c r="AV127" s="208">
        <v>0.27272727272727271</v>
      </c>
      <c r="AW127" s="208">
        <v>0</v>
      </c>
    </row>
    <row r="128" spans="2:49">
      <c r="B128" s="91" t="s">
        <v>361</v>
      </c>
      <c r="C128" s="18">
        <v>2</v>
      </c>
      <c r="D128" s="208">
        <v>0.5</v>
      </c>
      <c r="E128" s="208">
        <v>0.5</v>
      </c>
      <c r="F128" s="208">
        <v>0</v>
      </c>
      <c r="G128" s="208">
        <v>0</v>
      </c>
      <c r="H128" s="208">
        <v>0.5</v>
      </c>
      <c r="I128" s="208">
        <v>1</v>
      </c>
      <c r="J128" s="208">
        <v>0</v>
      </c>
      <c r="K128" s="208">
        <v>0</v>
      </c>
      <c r="L128" s="208">
        <v>0</v>
      </c>
      <c r="M128" s="208">
        <v>0</v>
      </c>
      <c r="N128" s="208">
        <v>0</v>
      </c>
      <c r="O128" s="208">
        <v>0</v>
      </c>
      <c r="P128" s="208">
        <v>0</v>
      </c>
      <c r="Q128" s="208">
        <v>0</v>
      </c>
      <c r="R128" s="208">
        <v>0.5</v>
      </c>
      <c r="S128" s="208">
        <v>0.5</v>
      </c>
      <c r="T128" s="208">
        <v>0</v>
      </c>
      <c r="U128" s="208">
        <v>0</v>
      </c>
      <c r="V128" s="208">
        <v>0</v>
      </c>
      <c r="W128" s="208">
        <v>0</v>
      </c>
      <c r="X128" s="208">
        <v>0</v>
      </c>
      <c r="Y128" s="208">
        <v>0</v>
      </c>
      <c r="Z128" s="208">
        <v>0.5</v>
      </c>
      <c r="AA128" s="208">
        <v>0</v>
      </c>
      <c r="AB128" s="208">
        <v>0</v>
      </c>
      <c r="AC128" s="208">
        <v>0</v>
      </c>
      <c r="AD128" s="208">
        <v>0.5</v>
      </c>
      <c r="AE128" s="208">
        <v>0.5</v>
      </c>
      <c r="AF128" s="208">
        <v>0</v>
      </c>
      <c r="AG128" s="208">
        <v>0</v>
      </c>
      <c r="AH128" s="208">
        <v>0</v>
      </c>
      <c r="AI128" s="208">
        <v>0</v>
      </c>
      <c r="AJ128" s="208">
        <v>0</v>
      </c>
      <c r="AK128" s="208">
        <v>0</v>
      </c>
      <c r="AL128" s="208">
        <v>0</v>
      </c>
      <c r="AM128" s="208">
        <v>1</v>
      </c>
      <c r="AN128" s="208">
        <v>0</v>
      </c>
      <c r="AO128" s="208">
        <v>0</v>
      </c>
      <c r="AP128" s="208">
        <v>0</v>
      </c>
      <c r="AQ128" s="208">
        <v>1</v>
      </c>
      <c r="AR128" s="208">
        <v>0</v>
      </c>
      <c r="AS128" s="208">
        <v>0</v>
      </c>
      <c r="AT128" s="208">
        <v>0</v>
      </c>
      <c r="AU128" s="208">
        <v>0</v>
      </c>
      <c r="AV128" s="208">
        <v>0</v>
      </c>
      <c r="AW128" s="208">
        <v>0</v>
      </c>
    </row>
    <row r="129" spans="2:49">
      <c r="B129" s="91" t="s">
        <v>118</v>
      </c>
      <c r="C129" s="18">
        <v>2</v>
      </c>
      <c r="D129" s="208">
        <v>1</v>
      </c>
      <c r="E129" s="208">
        <v>0</v>
      </c>
      <c r="F129" s="208">
        <v>0</v>
      </c>
      <c r="G129" s="208">
        <v>0</v>
      </c>
      <c r="H129" s="208">
        <v>0</v>
      </c>
      <c r="I129" s="208">
        <v>0.5</v>
      </c>
      <c r="J129" s="208">
        <v>0</v>
      </c>
      <c r="K129" s="208">
        <v>0</v>
      </c>
      <c r="L129" s="208">
        <v>0</v>
      </c>
      <c r="M129" s="208">
        <v>0</v>
      </c>
      <c r="N129" s="208">
        <v>0</v>
      </c>
      <c r="O129" s="208">
        <v>0</v>
      </c>
      <c r="P129" s="208">
        <v>0</v>
      </c>
      <c r="Q129" s="208">
        <v>0.5</v>
      </c>
      <c r="R129" s="208">
        <v>0</v>
      </c>
      <c r="S129" s="208">
        <v>0</v>
      </c>
      <c r="T129" s="208">
        <v>0.5</v>
      </c>
      <c r="U129" s="208">
        <v>0</v>
      </c>
      <c r="V129" s="208">
        <v>0</v>
      </c>
      <c r="W129" s="208">
        <v>0</v>
      </c>
      <c r="X129" s="208">
        <v>0</v>
      </c>
      <c r="Y129" s="208">
        <v>0.5</v>
      </c>
      <c r="Z129" s="208">
        <v>0</v>
      </c>
      <c r="AA129" s="208">
        <v>0</v>
      </c>
      <c r="AB129" s="208">
        <v>0</v>
      </c>
      <c r="AC129" s="208">
        <v>0</v>
      </c>
      <c r="AD129" s="208">
        <v>0.5</v>
      </c>
      <c r="AE129" s="208">
        <v>0</v>
      </c>
      <c r="AF129" s="208">
        <v>0</v>
      </c>
      <c r="AG129" s="208">
        <v>0</v>
      </c>
      <c r="AH129" s="208">
        <v>0.5</v>
      </c>
      <c r="AI129" s="208">
        <v>0</v>
      </c>
      <c r="AJ129" s="208">
        <v>0.5</v>
      </c>
      <c r="AK129" s="208">
        <v>0</v>
      </c>
      <c r="AL129" s="208">
        <v>0</v>
      </c>
      <c r="AM129" s="208">
        <v>0</v>
      </c>
      <c r="AN129" s="208">
        <v>0</v>
      </c>
      <c r="AO129" s="208">
        <v>0.5</v>
      </c>
      <c r="AP129" s="208">
        <v>0</v>
      </c>
      <c r="AQ129" s="208">
        <v>1</v>
      </c>
      <c r="AR129" s="208">
        <v>0</v>
      </c>
      <c r="AS129" s="208">
        <v>0</v>
      </c>
      <c r="AT129" s="208">
        <v>0</v>
      </c>
      <c r="AU129" s="208">
        <v>0</v>
      </c>
      <c r="AV129" s="208">
        <v>1</v>
      </c>
      <c r="AW129" s="208">
        <v>0</v>
      </c>
    </row>
    <row r="130" spans="2:49">
      <c r="B130" s="91" t="s">
        <v>151</v>
      </c>
      <c r="C130" s="18">
        <v>4</v>
      </c>
      <c r="D130" s="208">
        <v>0.5</v>
      </c>
      <c r="E130" s="208">
        <v>0.5</v>
      </c>
      <c r="F130" s="208">
        <v>0</v>
      </c>
      <c r="G130" s="208">
        <v>0</v>
      </c>
      <c r="H130" s="208">
        <v>0.75</v>
      </c>
      <c r="I130" s="208">
        <v>0.5</v>
      </c>
      <c r="J130" s="208">
        <v>0</v>
      </c>
      <c r="K130" s="208">
        <v>0.25</v>
      </c>
      <c r="L130" s="208">
        <v>0</v>
      </c>
      <c r="M130" s="208">
        <v>0</v>
      </c>
      <c r="N130" s="208">
        <v>0</v>
      </c>
      <c r="O130" s="208">
        <v>0.25</v>
      </c>
      <c r="P130" s="208">
        <v>0</v>
      </c>
      <c r="Q130" s="208">
        <v>0.25</v>
      </c>
      <c r="R130" s="208">
        <v>0.25</v>
      </c>
      <c r="S130" s="208">
        <v>0.25</v>
      </c>
      <c r="T130" s="208">
        <v>0</v>
      </c>
      <c r="U130" s="208">
        <v>0.5</v>
      </c>
      <c r="V130" s="208">
        <v>0</v>
      </c>
      <c r="W130" s="208">
        <v>0.25</v>
      </c>
      <c r="X130" s="208">
        <v>0</v>
      </c>
      <c r="Y130" s="208">
        <v>0</v>
      </c>
      <c r="Z130" s="208">
        <v>0.25</v>
      </c>
      <c r="AA130" s="208">
        <v>0</v>
      </c>
      <c r="AB130" s="208">
        <v>0</v>
      </c>
      <c r="AC130" s="208">
        <v>0</v>
      </c>
      <c r="AD130" s="208">
        <v>0.5</v>
      </c>
      <c r="AE130" s="208">
        <v>0.25</v>
      </c>
      <c r="AF130" s="208">
        <v>0.25</v>
      </c>
      <c r="AG130" s="208">
        <v>0</v>
      </c>
      <c r="AH130" s="208">
        <v>0</v>
      </c>
      <c r="AI130" s="208">
        <v>0</v>
      </c>
      <c r="AJ130" s="208">
        <v>0.5</v>
      </c>
      <c r="AK130" s="208">
        <v>0</v>
      </c>
      <c r="AL130" s="208">
        <v>0.25</v>
      </c>
      <c r="AM130" s="208">
        <v>0.25</v>
      </c>
      <c r="AN130" s="208">
        <v>0</v>
      </c>
      <c r="AO130" s="208">
        <v>0</v>
      </c>
      <c r="AP130" s="208">
        <v>0</v>
      </c>
      <c r="AQ130" s="208">
        <v>1</v>
      </c>
      <c r="AR130" s="208">
        <v>0</v>
      </c>
      <c r="AS130" s="208">
        <v>0</v>
      </c>
      <c r="AT130" s="208">
        <v>0.5</v>
      </c>
      <c r="AU130" s="208">
        <v>0</v>
      </c>
      <c r="AV130" s="208">
        <v>0.25</v>
      </c>
      <c r="AW130" s="208">
        <v>0</v>
      </c>
    </row>
    <row r="131" spans="2:49">
      <c r="B131" s="91" t="s">
        <v>358</v>
      </c>
      <c r="C131" s="18">
        <v>3</v>
      </c>
      <c r="D131" s="208">
        <v>0.33333333333333331</v>
      </c>
      <c r="E131" s="208">
        <v>0.66666666666666663</v>
      </c>
      <c r="F131" s="208">
        <v>0</v>
      </c>
      <c r="G131" s="208">
        <v>0</v>
      </c>
      <c r="H131" s="208">
        <v>0.66666666666666663</v>
      </c>
      <c r="I131" s="208">
        <v>1</v>
      </c>
      <c r="J131" s="208">
        <v>0</v>
      </c>
      <c r="K131" s="208">
        <v>0</v>
      </c>
      <c r="L131" s="208">
        <v>0</v>
      </c>
      <c r="M131" s="208">
        <v>0</v>
      </c>
      <c r="N131" s="208">
        <v>0</v>
      </c>
      <c r="O131" s="208">
        <v>0</v>
      </c>
      <c r="P131" s="208">
        <v>0</v>
      </c>
      <c r="Q131" s="208">
        <v>0</v>
      </c>
      <c r="R131" s="208">
        <v>0</v>
      </c>
      <c r="S131" s="208">
        <v>0</v>
      </c>
      <c r="T131" s="208">
        <v>0.66666666666666663</v>
      </c>
      <c r="U131" s="208">
        <v>0</v>
      </c>
      <c r="V131" s="208">
        <v>0</v>
      </c>
      <c r="W131" s="208">
        <v>0</v>
      </c>
      <c r="X131" s="208">
        <v>0.66666666666666663</v>
      </c>
      <c r="Y131" s="208">
        <v>0.33333333333333331</v>
      </c>
      <c r="Z131" s="208">
        <v>0</v>
      </c>
      <c r="AA131" s="208">
        <v>0</v>
      </c>
      <c r="AB131" s="208">
        <v>0</v>
      </c>
      <c r="AC131" s="208">
        <v>0</v>
      </c>
      <c r="AD131" s="208">
        <v>0.33333333333333331</v>
      </c>
      <c r="AE131" s="208">
        <v>0.33333333333333331</v>
      </c>
      <c r="AF131" s="208">
        <v>0</v>
      </c>
      <c r="AG131" s="208">
        <v>0.33333333333333331</v>
      </c>
      <c r="AH131" s="208">
        <v>0</v>
      </c>
      <c r="AI131" s="208">
        <v>0</v>
      </c>
      <c r="AJ131" s="208">
        <v>0.66666666666666663</v>
      </c>
      <c r="AK131" s="208">
        <v>0</v>
      </c>
      <c r="AL131" s="208">
        <v>0</v>
      </c>
      <c r="AM131" s="208">
        <v>0.33333333333333331</v>
      </c>
      <c r="AN131" s="208">
        <v>0</v>
      </c>
      <c r="AO131" s="208">
        <v>0</v>
      </c>
      <c r="AP131" s="208">
        <v>0</v>
      </c>
      <c r="AQ131" s="208">
        <v>1</v>
      </c>
      <c r="AR131" s="208">
        <v>0</v>
      </c>
      <c r="AS131" s="208">
        <v>0</v>
      </c>
      <c r="AT131" s="208">
        <v>0</v>
      </c>
      <c r="AU131" s="208">
        <v>0</v>
      </c>
      <c r="AV131" s="208">
        <v>0.33333333333333331</v>
      </c>
      <c r="AW131" s="208">
        <v>0</v>
      </c>
    </row>
    <row r="132" spans="2:49">
      <c r="B132" s="91" t="s">
        <v>162</v>
      </c>
      <c r="C132" s="18">
        <v>1</v>
      </c>
      <c r="D132" s="208">
        <v>0</v>
      </c>
      <c r="E132" s="208">
        <v>1</v>
      </c>
      <c r="F132" s="208">
        <v>0</v>
      </c>
      <c r="G132" s="208">
        <v>0</v>
      </c>
      <c r="H132" s="208">
        <v>1</v>
      </c>
      <c r="I132" s="208">
        <v>1</v>
      </c>
      <c r="J132" s="208">
        <v>0</v>
      </c>
      <c r="K132" s="208">
        <v>0</v>
      </c>
      <c r="L132" s="208">
        <v>0</v>
      </c>
      <c r="M132" s="208">
        <v>0</v>
      </c>
      <c r="N132" s="208">
        <v>0</v>
      </c>
      <c r="O132" s="208">
        <v>1</v>
      </c>
      <c r="P132" s="208">
        <v>0</v>
      </c>
      <c r="Q132" s="208">
        <v>0</v>
      </c>
      <c r="R132" s="208">
        <v>0</v>
      </c>
      <c r="S132" s="208">
        <v>0</v>
      </c>
      <c r="T132" s="208">
        <v>0</v>
      </c>
      <c r="U132" s="208">
        <v>0</v>
      </c>
      <c r="V132" s="208">
        <v>0</v>
      </c>
      <c r="W132" s="208">
        <v>0</v>
      </c>
      <c r="X132" s="208">
        <v>1</v>
      </c>
      <c r="Y132" s="208">
        <v>0</v>
      </c>
      <c r="Z132" s="208">
        <v>0</v>
      </c>
      <c r="AA132" s="208">
        <v>0</v>
      </c>
      <c r="AB132" s="208">
        <v>1</v>
      </c>
      <c r="AC132" s="208">
        <v>0</v>
      </c>
      <c r="AD132" s="208">
        <v>0</v>
      </c>
      <c r="AE132" s="208">
        <v>0</v>
      </c>
      <c r="AF132" s="208">
        <v>0</v>
      </c>
      <c r="AG132" s="208">
        <v>0</v>
      </c>
      <c r="AH132" s="208">
        <v>0</v>
      </c>
      <c r="AI132" s="208">
        <v>0</v>
      </c>
      <c r="AJ132" s="208">
        <v>0</v>
      </c>
      <c r="AK132" s="208">
        <v>0</v>
      </c>
      <c r="AL132" s="208">
        <v>0</v>
      </c>
      <c r="AM132" s="208">
        <v>0</v>
      </c>
      <c r="AN132" s="208">
        <v>0</v>
      </c>
      <c r="AO132" s="208">
        <v>0</v>
      </c>
      <c r="AP132" s="208">
        <v>1</v>
      </c>
      <c r="AQ132" s="208">
        <v>1</v>
      </c>
      <c r="AR132" s="208">
        <v>0</v>
      </c>
      <c r="AS132" s="208">
        <v>0</v>
      </c>
      <c r="AT132" s="208">
        <v>0</v>
      </c>
      <c r="AU132" s="208">
        <v>0</v>
      </c>
      <c r="AV132" s="208">
        <v>0</v>
      </c>
      <c r="AW132" s="208">
        <v>0</v>
      </c>
    </row>
    <row r="133" spans="2:49">
      <c r="B133" s="91" t="s">
        <v>459</v>
      </c>
      <c r="C133" s="18">
        <v>1</v>
      </c>
      <c r="D133" s="208">
        <v>0</v>
      </c>
      <c r="E133" s="208">
        <v>1</v>
      </c>
      <c r="F133" s="208">
        <v>0</v>
      </c>
      <c r="G133" s="208">
        <v>0</v>
      </c>
      <c r="H133" s="208">
        <v>1</v>
      </c>
      <c r="I133" s="208">
        <v>1</v>
      </c>
      <c r="J133" s="208">
        <v>0</v>
      </c>
      <c r="K133" s="208">
        <v>0</v>
      </c>
      <c r="L133" s="208">
        <v>0</v>
      </c>
      <c r="M133" s="208">
        <v>0</v>
      </c>
      <c r="N133" s="208">
        <v>0</v>
      </c>
      <c r="O133" s="208">
        <v>0</v>
      </c>
      <c r="P133" s="208">
        <v>0</v>
      </c>
      <c r="Q133" s="208">
        <v>0</v>
      </c>
      <c r="R133" s="208">
        <v>0</v>
      </c>
      <c r="S133" s="208">
        <v>0</v>
      </c>
      <c r="T133" s="208">
        <v>1</v>
      </c>
      <c r="U133" s="208">
        <v>1</v>
      </c>
      <c r="V133" s="208">
        <v>0</v>
      </c>
      <c r="W133" s="208">
        <v>0</v>
      </c>
      <c r="X133" s="208">
        <v>0</v>
      </c>
      <c r="Y133" s="208">
        <v>0</v>
      </c>
      <c r="Z133" s="208">
        <v>0</v>
      </c>
      <c r="AA133" s="208">
        <v>0</v>
      </c>
      <c r="AB133" s="208">
        <v>0</v>
      </c>
      <c r="AC133" s="208">
        <v>0</v>
      </c>
      <c r="AD133" s="208">
        <v>1</v>
      </c>
      <c r="AE133" s="208">
        <v>0</v>
      </c>
      <c r="AF133" s="208">
        <v>0</v>
      </c>
      <c r="AG133" s="208">
        <v>0</v>
      </c>
      <c r="AH133" s="208">
        <v>0</v>
      </c>
      <c r="AI133" s="208">
        <v>0</v>
      </c>
      <c r="AJ133" s="208">
        <v>1</v>
      </c>
      <c r="AK133" s="208">
        <v>0</v>
      </c>
      <c r="AL133" s="208">
        <v>0</v>
      </c>
      <c r="AM133" s="208">
        <v>0</v>
      </c>
      <c r="AN133" s="208">
        <v>0</v>
      </c>
      <c r="AO133" s="208">
        <v>0</v>
      </c>
      <c r="AP133" s="208">
        <v>0</v>
      </c>
      <c r="AQ133" s="208">
        <v>1</v>
      </c>
      <c r="AR133" s="208">
        <v>0</v>
      </c>
      <c r="AS133" s="208">
        <v>0</v>
      </c>
      <c r="AT133" s="208">
        <v>0</v>
      </c>
      <c r="AU133" s="208">
        <v>0</v>
      </c>
      <c r="AV133" s="208">
        <v>1</v>
      </c>
      <c r="AW133" s="208">
        <v>0</v>
      </c>
    </row>
    <row r="134" spans="2:49">
      <c r="B134" s="91" t="s">
        <v>164</v>
      </c>
      <c r="C134" s="18">
        <v>39</v>
      </c>
      <c r="D134" s="208">
        <v>0.4358974358974359</v>
      </c>
      <c r="E134" s="208">
        <v>0.5641025641025641</v>
      </c>
      <c r="F134" s="208">
        <v>0</v>
      </c>
      <c r="G134" s="208">
        <v>0</v>
      </c>
      <c r="H134" s="208">
        <v>0.61538461538461542</v>
      </c>
      <c r="I134" s="208">
        <v>0.66666666666666663</v>
      </c>
      <c r="J134" s="208">
        <v>2.564102564102564E-2</v>
      </c>
      <c r="K134" s="208">
        <v>0.12820512820512819</v>
      </c>
      <c r="L134" s="208">
        <v>7.6923076923076927E-2</v>
      </c>
      <c r="M134" s="208">
        <v>0</v>
      </c>
      <c r="N134" s="208">
        <v>0</v>
      </c>
      <c r="O134" s="208">
        <v>2.564102564102564E-2</v>
      </c>
      <c r="P134" s="208">
        <v>5.128205128205128E-2</v>
      </c>
      <c r="Q134" s="208">
        <v>0.10256410256410256</v>
      </c>
      <c r="R134" s="208">
        <v>7.6923076923076927E-2</v>
      </c>
      <c r="S134" s="208">
        <v>0.30769230769230771</v>
      </c>
      <c r="T134" s="208">
        <v>0.41025641025641024</v>
      </c>
      <c r="U134" s="208">
        <v>0.10256410256410256</v>
      </c>
      <c r="V134" s="208">
        <v>7.6923076923076927E-2</v>
      </c>
      <c r="W134" s="208">
        <v>0.12820512820512819</v>
      </c>
      <c r="X134" s="208">
        <v>0.35897435897435898</v>
      </c>
      <c r="Y134" s="208">
        <v>0.12820512820512819</v>
      </c>
      <c r="Z134" s="208">
        <v>0.10256410256410256</v>
      </c>
      <c r="AA134" s="208">
        <v>2.564102564102564E-2</v>
      </c>
      <c r="AB134" s="208">
        <v>0.15384615384615385</v>
      </c>
      <c r="AC134" s="208">
        <v>2.564102564102564E-2</v>
      </c>
      <c r="AD134" s="208">
        <v>0.25641025641025639</v>
      </c>
      <c r="AE134" s="208">
        <v>0.15384615384615385</v>
      </c>
      <c r="AF134" s="208">
        <v>2.564102564102564E-2</v>
      </c>
      <c r="AG134" s="208">
        <v>0.15384615384615385</v>
      </c>
      <c r="AH134" s="208">
        <v>0.12820512820512819</v>
      </c>
      <c r="AI134" s="208">
        <v>0</v>
      </c>
      <c r="AJ134" s="208">
        <v>0.5641025641025641</v>
      </c>
      <c r="AK134" s="208">
        <v>0.12820512820512819</v>
      </c>
      <c r="AL134" s="208">
        <v>0.10256410256410256</v>
      </c>
      <c r="AM134" s="208">
        <v>7.6923076923076927E-2</v>
      </c>
      <c r="AN134" s="208">
        <v>0</v>
      </c>
      <c r="AO134" s="208">
        <v>0</v>
      </c>
      <c r="AP134" s="208">
        <v>2.564102564102564E-2</v>
      </c>
      <c r="AQ134" s="208">
        <v>0.71794871794871795</v>
      </c>
      <c r="AR134" s="208">
        <v>0.12820512820512819</v>
      </c>
      <c r="AS134" s="208">
        <v>0</v>
      </c>
      <c r="AT134" s="208">
        <v>0</v>
      </c>
      <c r="AU134" s="208">
        <v>5.128205128205128E-2</v>
      </c>
      <c r="AV134" s="208">
        <v>0.15384615384615385</v>
      </c>
      <c r="AW134" s="208">
        <v>5.128205128205128E-2</v>
      </c>
    </row>
    <row r="135" spans="2:49">
      <c r="B135" s="91" t="s">
        <v>430</v>
      </c>
      <c r="C135" s="18">
        <v>1</v>
      </c>
      <c r="D135" s="208">
        <v>1</v>
      </c>
      <c r="E135" s="208">
        <v>0</v>
      </c>
      <c r="F135" s="208">
        <v>0</v>
      </c>
      <c r="G135" s="208">
        <v>0</v>
      </c>
      <c r="H135" s="208">
        <v>0</v>
      </c>
      <c r="I135" s="208">
        <v>0</v>
      </c>
      <c r="J135" s="208">
        <v>0</v>
      </c>
      <c r="K135" s="208">
        <v>0</v>
      </c>
      <c r="L135" s="208">
        <v>0</v>
      </c>
      <c r="M135" s="208">
        <v>0</v>
      </c>
      <c r="N135" s="208">
        <v>0</v>
      </c>
      <c r="O135" s="208">
        <v>0</v>
      </c>
      <c r="P135" s="208">
        <v>0</v>
      </c>
      <c r="Q135" s="208">
        <v>0</v>
      </c>
      <c r="R135" s="208">
        <v>0</v>
      </c>
      <c r="S135" s="208">
        <v>1</v>
      </c>
      <c r="T135" s="208">
        <v>0</v>
      </c>
      <c r="U135" s="208">
        <v>0</v>
      </c>
      <c r="V135" s="208">
        <v>0</v>
      </c>
      <c r="W135" s="208">
        <v>1</v>
      </c>
      <c r="X135" s="208">
        <v>0</v>
      </c>
      <c r="Y135" s="208">
        <v>0</v>
      </c>
      <c r="Z135" s="208">
        <v>0</v>
      </c>
      <c r="AA135" s="208">
        <v>0</v>
      </c>
      <c r="AB135" s="208">
        <v>0</v>
      </c>
      <c r="AC135" s="208">
        <v>0</v>
      </c>
      <c r="AD135" s="208">
        <v>1</v>
      </c>
      <c r="AE135" s="208">
        <v>0</v>
      </c>
      <c r="AF135" s="208">
        <v>0</v>
      </c>
      <c r="AG135" s="208">
        <v>0</v>
      </c>
      <c r="AH135" s="208">
        <v>0</v>
      </c>
      <c r="AI135" s="208">
        <v>0</v>
      </c>
      <c r="AJ135" s="208">
        <v>1</v>
      </c>
      <c r="AK135" s="208">
        <v>0</v>
      </c>
      <c r="AL135" s="208">
        <v>0</v>
      </c>
      <c r="AM135" s="208">
        <v>0</v>
      </c>
      <c r="AN135" s="208">
        <v>0</v>
      </c>
      <c r="AO135" s="208">
        <v>0</v>
      </c>
      <c r="AP135" s="208">
        <v>0</v>
      </c>
      <c r="AQ135" s="208">
        <v>1</v>
      </c>
      <c r="AR135" s="208">
        <v>0</v>
      </c>
      <c r="AS135" s="208">
        <v>0</v>
      </c>
      <c r="AT135" s="208">
        <v>0</v>
      </c>
      <c r="AU135" s="208">
        <v>0</v>
      </c>
      <c r="AV135" s="208">
        <v>0</v>
      </c>
      <c r="AW135" s="208">
        <v>0</v>
      </c>
    </row>
    <row r="136" spans="2:49">
      <c r="B136" s="91" t="s">
        <v>160</v>
      </c>
      <c r="C136" s="18">
        <v>3</v>
      </c>
      <c r="D136" s="208">
        <v>0</v>
      </c>
      <c r="E136" s="208">
        <v>1</v>
      </c>
      <c r="F136" s="208">
        <v>0</v>
      </c>
      <c r="G136" s="208">
        <v>0</v>
      </c>
      <c r="H136" s="208">
        <v>0.66666666666666663</v>
      </c>
      <c r="I136" s="208">
        <v>1</v>
      </c>
      <c r="J136" s="208">
        <v>0</v>
      </c>
      <c r="K136" s="208">
        <v>0</v>
      </c>
      <c r="L136" s="208">
        <v>0</v>
      </c>
      <c r="M136" s="208">
        <v>0</v>
      </c>
      <c r="N136" s="208">
        <v>0</v>
      </c>
      <c r="O136" s="208">
        <v>0</v>
      </c>
      <c r="P136" s="208">
        <v>0.33333333333333331</v>
      </c>
      <c r="Q136" s="208">
        <v>0.33333333333333331</v>
      </c>
      <c r="R136" s="208">
        <v>0</v>
      </c>
      <c r="S136" s="208">
        <v>0</v>
      </c>
      <c r="T136" s="208">
        <v>0.33333333333333331</v>
      </c>
      <c r="U136" s="208">
        <v>0</v>
      </c>
      <c r="V136" s="208">
        <v>0.33333333333333331</v>
      </c>
      <c r="W136" s="208">
        <v>0</v>
      </c>
      <c r="X136" s="208">
        <v>0.33333333333333331</v>
      </c>
      <c r="Y136" s="208">
        <v>0</v>
      </c>
      <c r="Z136" s="208">
        <v>0</v>
      </c>
      <c r="AA136" s="208">
        <v>0</v>
      </c>
      <c r="AB136" s="208">
        <v>0</v>
      </c>
      <c r="AC136" s="208">
        <v>0</v>
      </c>
      <c r="AD136" s="208">
        <v>0.33333333333333331</v>
      </c>
      <c r="AE136" s="208">
        <v>0.33333333333333331</v>
      </c>
      <c r="AF136" s="208">
        <v>0</v>
      </c>
      <c r="AG136" s="208">
        <v>0.33333333333333331</v>
      </c>
      <c r="AH136" s="208">
        <v>0</v>
      </c>
      <c r="AI136" s="208">
        <v>0</v>
      </c>
      <c r="AJ136" s="208">
        <v>0.66666666666666663</v>
      </c>
      <c r="AK136" s="208">
        <v>0</v>
      </c>
      <c r="AL136" s="208">
        <v>0</v>
      </c>
      <c r="AM136" s="208">
        <v>0</v>
      </c>
      <c r="AN136" s="208">
        <v>0</v>
      </c>
      <c r="AO136" s="208">
        <v>0.33333333333333331</v>
      </c>
      <c r="AP136" s="208">
        <v>0</v>
      </c>
      <c r="AQ136" s="208">
        <v>1</v>
      </c>
      <c r="AR136" s="208">
        <v>0</v>
      </c>
      <c r="AS136" s="208">
        <v>0</v>
      </c>
      <c r="AT136" s="208">
        <v>0</v>
      </c>
      <c r="AU136" s="208">
        <v>0</v>
      </c>
      <c r="AV136" s="208">
        <v>0.33333333333333331</v>
      </c>
      <c r="AW136" s="208">
        <v>0</v>
      </c>
    </row>
    <row r="137" spans="2:49">
      <c r="B137" s="91" t="s">
        <v>441</v>
      </c>
      <c r="C137" s="18">
        <v>1</v>
      </c>
      <c r="D137" s="208">
        <v>0</v>
      </c>
      <c r="E137" s="208">
        <v>1</v>
      </c>
      <c r="F137" s="208">
        <v>0</v>
      </c>
      <c r="G137" s="208">
        <v>0</v>
      </c>
      <c r="H137" s="208">
        <v>0</v>
      </c>
      <c r="I137" s="208">
        <v>1</v>
      </c>
      <c r="J137" s="208">
        <v>0</v>
      </c>
      <c r="K137" s="208">
        <v>0</v>
      </c>
      <c r="L137" s="208">
        <v>0</v>
      </c>
      <c r="M137" s="208">
        <v>0</v>
      </c>
      <c r="N137" s="208">
        <v>0</v>
      </c>
      <c r="O137" s="208">
        <v>0</v>
      </c>
      <c r="P137" s="208">
        <v>0</v>
      </c>
      <c r="Q137" s="208">
        <v>0</v>
      </c>
      <c r="R137" s="208">
        <v>0</v>
      </c>
      <c r="S137" s="208">
        <v>1</v>
      </c>
      <c r="T137" s="208">
        <v>0</v>
      </c>
      <c r="U137" s="208">
        <v>1</v>
      </c>
      <c r="V137" s="208">
        <v>0</v>
      </c>
      <c r="W137" s="208">
        <v>0</v>
      </c>
      <c r="X137" s="208">
        <v>0</v>
      </c>
      <c r="Y137" s="208">
        <v>0</v>
      </c>
      <c r="Z137" s="208">
        <v>0</v>
      </c>
      <c r="AA137" s="208">
        <v>0</v>
      </c>
      <c r="AB137" s="208">
        <v>0</v>
      </c>
      <c r="AC137" s="208">
        <v>1</v>
      </c>
      <c r="AD137" s="208">
        <v>0</v>
      </c>
      <c r="AE137" s="208">
        <v>0</v>
      </c>
      <c r="AF137" s="208">
        <v>0</v>
      </c>
      <c r="AG137" s="208">
        <v>0</v>
      </c>
      <c r="AH137" s="208">
        <v>0</v>
      </c>
      <c r="AI137" s="208">
        <v>0</v>
      </c>
      <c r="AJ137" s="208">
        <v>0</v>
      </c>
      <c r="AK137" s="208">
        <v>0</v>
      </c>
      <c r="AL137" s="208">
        <v>1</v>
      </c>
      <c r="AM137" s="208">
        <v>0</v>
      </c>
      <c r="AN137" s="208">
        <v>0</v>
      </c>
      <c r="AO137" s="208">
        <v>0</v>
      </c>
      <c r="AP137" s="208">
        <v>0</v>
      </c>
      <c r="AQ137" s="208">
        <v>0</v>
      </c>
      <c r="AR137" s="208">
        <v>0</v>
      </c>
      <c r="AS137" s="208">
        <v>1</v>
      </c>
      <c r="AT137" s="208">
        <v>0</v>
      </c>
      <c r="AU137" s="208">
        <v>0</v>
      </c>
      <c r="AV137" s="208">
        <v>0</v>
      </c>
      <c r="AW137" s="208">
        <v>0</v>
      </c>
    </row>
    <row r="138" spans="2:49">
      <c r="B138" s="91" t="s">
        <v>138</v>
      </c>
      <c r="C138" s="18">
        <v>3</v>
      </c>
      <c r="D138" s="208">
        <v>0.66666666666666663</v>
      </c>
      <c r="E138" s="208">
        <v>0.33333333333333331</v>
      </c>
      <c r="F138" s="208">
        <v>0</v>
      </c>
      <c r="G138" s="208">
        <v>0</v>
      </c>
      <c r="H138" s="208">
        <v>0.66666666666666663</v>
      </c>
      <c r="I138" s="208">
        <v>0.66666666666666663</v>
      </c>
      <c r="J138" s="208">
        <v>0</v>
      </c>
      <c r="K138" s="208">
        <v>0</v>
      </c>
      <c r="L138" s="208">
        <v>0.33333333333333331</v>
      </c>
      <c r="M138" s="208">
        <v>0</v>
      </c>
      <c r="N138" s="208">
        <v>0</v>
      </c>
      <c r="O138" s="208">
        <v>0</v>
      </c>
      <c r="P138" s="208">
        <v>0.33333333333333331</v>
      </c>
      <c r="Q138" s="208">
        <v>0</v>
      </c>
      <c r="R138" s="208">
        <v>0</v>
      </c>
      <c r="S138" s="208">
        <v>0.33333333333333331</v>
      </c>
      <c r="T138" s="208">
        <v>0.33333333333333331</v>
      </c>
      <c r="U138" s="208">
        <v>0</v>
      </c>
      <c r="V138" s="208">
        <v>0</v>
      </c>
      <c r="W138" s="208">
        <v>0</v>
      </c>
      <c r="X138" s="208">
        <v>0.33333333333333331</v>
      </c>
      <c r="Y138" s="208">
        <v>0</v>
      </c>
      <c r="Z138" s="208">
        <v>0.33333333333333331</v>
      </c>
      <c r="AA138" s="208">
        <v>0</v>
      </c>
      <c r="AB138" s="208">
        <v>0</v>
      </c>
      <c r="AC138" s="208">
        <v>0.33333333333333331</v>
      </c>
      <c r="AD138" s="208">
        <v>0.33333333333333331</v>
      </c>
      <c r="AE138" s="208">
        <v>0</v>
      </c>
      <c r="AF138" s="208">
        <v>0</v>
      </c>
      <c r="AG138" s="208">
        <v>0</v>
      </c>
      <c r="AH138" s="208">
        <v>0.33333333333333331</v>
      </c>
      <c r="AI138" s="208">
        <v>0</v>
      </c>
      <c r="AJ138" s="208">
        <v>0</v>
      </c>
      <c r="AK138" s="208">
        <v>0</v>
      </c>
      <c r="AL138" s="208">
        <v>0.33333333333333331</v>
      </c>
      <c r="AM138" s="208">
        <v>0.33333333333333331</v>
      </c>
      <c r="AN138" s="208">
        <v>0</v>
      </c>
      <c r="AO138" s="208">
        <v>0.33333333333333331</v>
      </c>
      <c r="AP138" s="208">
        <v>0</v>
      </c>
      <c r="AQ138" s="208">
        <v>0.66666666666666663</v>
      </c>
      <c r="AR138" s="208">
        <v>0</v>
      </c>
      <c r="AS138" s="208">
        <v>0.33333333333333331</v>
      </c>
      <c r="AT138" s="208">
        <v>0.33333333333333331</v>
      </c>
      <c r="AU138" s="208">
        <v>0.33333333333333331</v>
      </c>
      <c r="AV138" s="208">
        <v>0</v>
      </c>
      <c r="AW138" s="208">
        <v>0</v>
      </c>
    </row>
    <row r="139" spans="2:49">
      <c r="B139" s="91" t="s">
        <v>120</v>
      </c>
      <c r="C139" s="18">
        <v>3</v>
      </c>
      <c r="D139" s="208">
        <v>0.33333333333333331</v>
      </c>
      <c r="E139" s="208">
        <v>0.66666666666666663</v>
      </c>
      <c r="F139" s="208">
        <v>0</v>
      </c>
      <c r="G139" s="208">
        <v>0</v>
      </c>
      <c r="H139" s="208">
        <v>0.33333333333333331</v>
      </c>
      <c r="I139" s="208">
        <v>0</v>
      </c>
      <c r="J139" s="208">
        <v>0</v>
      </c>
      <c r="K139" s="208">
        <v>0</v>
      </c>
      <c r="L139" s="208">
        <v>0</v>
      </c>
      <c r="M139" s="208">
        <v>0</v>
      </c>
      <c r="N139" s="208">
        <v>0</v>
      </c>
      <c r="O139" s="208">
        <v>0</v>
      </c>
      <c r="P139" s="208">
        <v>0</v>
      </c>
      <c r="Q139" s="208">
        <v>0.33333333333333331</v>
      </c>
      <c r="R139" s="208">
        <v>0</v>
      </c>
      <c r="S139" s="208">
        <v>0</v>
      </c>
      <c r="T139" s="208">
        <v>0</v>
      </c>
      <c r="U139" s="208">
        <v>0.33333333333333331</v>
      </c>
      <c r="V139" s="208">
        <v>0</v>
      </c>
      <c r="W139" s="208">
        <v>0</v>
      </c>
      <c r="X139" s="208">
        <v>0</v>
      </c>
      <c r="Y139" s="208">
        <v>0</v>
      </c>
      <c r="Z139" s="208">
        <v>0</v>
      </c>
      <c r="AA139" s="208">
        <v>0</v>
      </c>
      <c r="AB139" s="208">
        <v>0.66666666666666663</v>
      </c>
      <c r="AC139" s="208">
        <v>0</v>
      </c>
      <c r="AD139" s="208">
        <v>0</v>
      </c>
      <c r="AE139" s="208">
        <v>0.33333333333333331</v>
      </c>
      <c r="AF139" s="208">
        <v>0</v>
      </c>
      <c r="AG139" s="208">
        <v>0</v>
      </c>
      <c r="AH139" s="208">
        <v>0</v>
      </c>
      <c r="AI139" s="208">
        <v>0</v>
      </c>
      <c r="AJ139" s="208">
        <v>0.33333333333333331</v>
      </c>
      <c r="AK139" s="208">
        <v>0</v>
      </c>
      <c r="AL139" s="208">
        <v>0</v>
      </c>
      <c r="AM139" s="208">
        <v>0</v>
      </c>
      <c r="AN139" s="208">
        <v>0</v>
      </c>
      <c r="AO139" s="208">
        <v>0.33333333333333331</v>
      </c>
      <c r="AP139" s="208">
        <v>0</v>
      </c>
      <c r="AQ139" s="208">
        <v>0.66666666666666663</v>
      </c>
      <c r="AR139" s="208">
        <v>0</v>
      </c>
      <c r="AS139" s="208">
        <v>0</v>
      </c>
      <c r="AT139" s="208">
        <v>0</v>
      </c>
      <c r="AU139" s="208">
        <v>0.33333333333333331</v>
      </c>
      <c r="AV139" s="208">
        <v>0.33333333333333331</v>
      </c>
      <c r="AW139" s="208">
        <v>0</v>
      </c>
    </row>
    <row r="140" spans="2:49">
      <c r="B140" s="91" t="s">
        <v>123</v>
      </c>
      <c r="C140" s="18">
        <v>2</v>
      </c>
      <c r="D140" s="208">
        <v>1</v>
      </c>
      <c r="E140" s="208">
        <v>0</v>
      </c>
      <c r="F140" s="208">
        <v>0</v>
      </c>
      <c r="G140" s="208">
        <v>0</v>
      </c>
      <c r="H140" s="208">
        <v>0</v>
      </c>
      <c r="I140" s="208">
        <v>0</v>
      </c>
      <c r="J140" s="208">
        <v>0</v>
      </c>
      <c r="K140" s="208">
        <v>0</v>
      </c>
      <c r="L140" s="208">
        <v>0</v>
      </c>
      <c r="M140" s="208">
        <v>0</v>
      </c>
      <c r="N140" s="208">
        <v>0.5</v>
      </c>
      <c r="O140" s="208">
        <v>0</v>
      </c>
      <c r="P140" s="208">
        <v>0</v>
      </c>
      <c r="Q140" s="208">
        <v>0.5</v>
      </c>
      <c r="R140" s="208">
        <v>0</v>
      </c>
      <c r="S140" s="208">
        <v>0</v>
      </c>
      <c r="T140" s="208">
        <v>0</v>
      </c>
      <c r="U140" s="208">
        <v>0</v>
      </c>
      <c r="V140" s="208">
        <v>0</v>
      </c>
      <c r="W140" s="208">
        <v>0</v>
      </c>
      <c r="X140" s="208">
        <v>0</v>
      </c>
      <c r="Y140" s="208">
        <v>0</v>
      </c>
      <c r="Z140" s="208">
        <v>0</v>
      </c>
      <c r="AA140" s="208">
        <v>0</v>
      </c>
      <c r="AB140" s="208">
        <v>0</v>
      </c>
      <c r="AC140" s="208">
        <v>0</v>
      </c>
      <c r="AD140" s="208">
        <v>0</v>
      </c>
      <c r="AE140" s="208">
        <v>0.5</v>
      </c>
      <c r="AF140" s="208">
        <v>0</v>
      </c>
      <c r="AG140" s="208">
        <v>0</v>
      </c>
      <c r="AH140" s="208">
        <v>0</v>
      </c>
      <c r="AI140" s="208">
        <v>0</v>
      </c>
      <c r="AJ140" s="208">
        <v>0.5</v>
      </c>
      <c r="AK140" s="208">
        <v>0</v>
      </c>
      <c r="AL140" s="208">
        <v>0</v>
      </c>
      <c r="AM140" s="208">
        <v>0</v>
      </c>
      <c r="AN140" s="208">
        <v>0</v>
      </c>
      <c r="AO140" s="208">
        <v>0</v>
      </c>
      <c r="AP140" s="208">
        <v>0</v>
      </c>
      <c r="AQ140" s="208">
        <v>0.5</v>
      </c>
      <c r="AR140" s="208">
        <v>0</v>
      </c>
      <c r="AS140" s="208">
        <v>0</v>
      </c>
      <c r="AT140" s="208">
        <v>0</v>
      </c>
      <c r="AU140" s="208">
        <v>0</v>
      </c>
      <c r="AV140" s="208">
        <v>0.5</v>
      </c>
      <c r="AW140" s="208">
        <v>0</v>
      </c>
    </row>
    <row r="141" spans="2:49">
      <c r="B141" s="91" t="s">
        <v>359</v>
      </c>
      <c r="C141" s="18">
        <v>1</v>
      </c>
      <c r="D141" s="208">
        <v>0</v>
      </c>
      <c r="E141" s="208">
        <v>1</v>
      </c>
      <c r="F141" s="208">
        <v>0</v>
      </c>
      <c r="G141" s="208">
        <v>0</v>
      </c>
      <c r="H141" s="208">
        <v>1</v>
      </c>
      <c r="I141" s="208">
        <v>0</v>
      </c>
      <c r="J141" s="208">
        <v>0</v>
      </c>
      <c r="K141" s="208">
        <v>0</v>
      </c>
      <c r="L141" s="208">
        <v>0</v>
      </c>
      <c r="M141" s="208">
        <v>1</v>
      </c>
      <c r="N141" s="208">
        <v>0</v>
      </c>
      <c r="O141" s="208">
        <v>0</v>
      </c>
      <c r="P141" s="208">
        <v>0</v>
      </c>
      <c r="Q141" s="208">
        <v>0</v>
      </c>
      <c r="R141" s="208">
        <v>1</v>
      </c>
      <c r="S141" s="208">
        <v>0</v>
      </c>
      <c r="T141" s="208">
        <v>0</v>
      </c>
      <c r="U141" s="208">
        <v>0</v>
      </c>
      <c r="V141" s="208">
        <v>0</v>
      </c>
      <c r="W141" s="208">
        <v>1</v>
      </c>
      <c r="X141" s="208">
        <v>0</v>
      </c>
      <c r="Y141" s="208">
        <v>0</v>
      </c>
      <c r="Z141" s="208">
        <v>0</v>
      </c>
      <c r="AA141" s="208">
        <v>0</v>
      </c>
      <c r="AB141" s="208">
        <v>0</v>
      </c>
      <c r="AC141" s="208">
        <v>0</v>
      </c>
      <c r="AD141" s="208">
        <v>1</v>
      </c>
      <c r="AE141" s="208">
        <v>0</v>
      </c>
      <c r="AF141" s="208">
        <v>0</v>
      </c>
      <c r="AG141" s="208">
        <v>0</v>
      </c>
      <c r="AH141" s="208">
        <v>0</v>
      </c>
      <c r="AI141" s="208">
        <v>0</v>
      </c>
      <c r="AJ141" s="208">
        <v>0</v>
      </c>
      <c r="AK141" s="208">
        <v>1</v>
      </c>
      <c r="AL141" s="208">
        <v>0</v>
      </c>
      <c r="AM141" s="208">
        <v>0</v>
      </c>
      <c r="AN141" s="208">
        <v>0</v>
      </c>
      <c r="AO141" s="208">
        <v>0</v>
      </c>
      <c r="AP141" s="208">
        <v>0</v>
      </c>
      <c r="AQ141" s="208">
        <v>1</v>
      </c>
      <c r="AR141" s="208">
        <v>0</v>
      </c>
      <c r="AS141" s="208">
        <v>0</v>
      </c>
      <c r="AT141" s="208">
        <v>0</v>
      </c>
      <c r="AU141" s="208">
        <v>0</v>
      </c>
      <c r="AV141" s="208">
        <v>1</v>
      </c>
      <c r="AW141" s="208">
        <v>0</v>
      </c>
    </row>
    <row r="142" spans="2:49">
      <c r="B142" s="91" t="s">
        <v>122</v>
      </c>
      <c r="C142" s="18">
        <v>2</v>
      </c>
      <c r="D142" s="208">
        <v>1</v>
      </c>
      <c r="E142" s="208">
        <v>0</v>
      </c>
      <c r="F142" s="208">
        <v>0</v>
      </c>
      <c r="G142" s="208">
        <v>0</v>
      </c>
      <c r="H142" s="208">
        <v>0</v>
      </c>
      <c r="I142" s="208">
        <v>1</v>
      </c>
      <c r="J142" s="208">
        <v>0</v>
      </c>
      <c r="K142" s="208">
        <v>0</v>
      </c>
      <c r="L142" s="208">
        <v>0</v>
      </c>
      <c r="M142" s="208">
        <v>0</v>
      </c>
      <c r="N142" s="208">
        <v>0</v>
      </c>
      <c r="O142" s="208">
        <v>0</v>
      </c>
      <c r="P142" s="208">
        <v>0</v>
      </c>
      <c r="Q142" s="208">
        <v>0</v>
      </c>
      <c r="R142" s="208">
        <v>0</v>
      </c>
      <c r="S142" s="208">
        <v>1</v>
      </c>
      <c r="T142" s="208">
        <v>0</v>
      </c>
      <c r="U142" s="208">
        <v>0</v>
      </c>
      <c r="V142" s="208">
        <v>0</v>
      </c>
      <c r="W142" s="208">
        <v>0</v>
      </c>
      <c r="X142" s="208">
        <v>0</v>
      </c>
      <c r="Y142" s="208">
        <v>0</v>
      </c>
      <c r="Z142" s="208">
        <v>0</v>
      </c>
      <c r="AA142" s="208">
        <v>0</v>
      </c>
      <c r="AB142" s="208">
        <v>0</v>
      </c>
      <c r="AC142" s="208">
        <v>0</v>
      </c>
      <c r="AD142" s="208">
        <v>0.5</v>
      </c>
      <c r="AE142" s="208">
        <v>0.5</v>
      </c>
      <c r="AF142" s="208">
        <v>0</v>
      </c>
      <c r="AG142" s="208">
        <v>0</v>
      </c>
      <c r="AH142" s="208">
        <v>0</v>
      </c>
      <c r="AI142" s="208">
        <v>0</v>
      </c>
      <c r="AJ142" s="208">
        <v>0.5</v>
      </c>
      <c r="AK142" s="208">
        <v>0</v>
      </c>
      <c r="AL142" s="208">
        <v>0</v>
      </c>
      <c r="AM142" s="208">
        <v>0</v>
      </c>
      <c r="AN142" s="208">
        <v>0</v>
      </c>
      <c r="AO142" s="208">
        <v>0</v>
      </c>
      <c r="AP142" s="208">
        <v>0.5</v>
      </c>
      <c r="AQ142" s="208">
        <v>0.5</v>
      </c>
      <c r="AR142" s="208">
        <v>0</v>
      </c>
      <c r="AS142" s="208">
        <v>0</v>
      </c>
      <c r="AT142" s="208">
        <v>0</v>
      </c>
      <c r="AU142" s="208">
        <v>0.5</v>
      </c>
      <c r="AV142" s="208">
        <v>0.5</v>
      </c>
      <c r="AW142" s="208">
        <v>0</v>
      </c>
    </row>
    <row r="143" spans="2:49">
      <c r="B143" s="91" t="s">
        <v>152</v>
      </c>
      <c r="C143" s="18">
        <v>3</v>
      </c>
      <c r="D143" s="208">
        <v>0.66666666666666663</v>
      </c>
      <c r="E143" s="208">
        <v>0.33333333333333331</v>
      </c>
      <c r="F143" s="208">
        <v>0</v>
      </c>
      <c r="G143" s="208">
        <v>0</v>
      </c>
      <c r="H143" s="208">
        <v>0.33333333333333331</v>
      </c>
      <c r="I143" s="208">
        <v>1</v>
      </c>
      <c r="J143" s="208">
        <v>0</v>
      </c>
      <c r="K143" s="208">
        <v>0</v>
      </c>
      <c r="L143" s="208">
        <v>0</v>
      </c>
      <c r="M143" s="208">
        <v>0</v>
      </c>
      <c r="N143" s="208">
        <v>0</v>
      </c>
      <c r="O143" s="208">
        <v>0</v>
      </c>
      <c r="P143" s="208">
        <v>0</v>
      </c>
      <c r="Q143" s="208">
        <v>0</v>
      </c>
      <c r="R143" s="208">
        <v>0</v>
      </c>
      <c r="S143" s="208">
        <v>0</v>
      </c>
      <c r="T143" s="208">
        <v>1</v>
      </c>
      <c r="U143" s="208">
        <v>0</v>
      </c>
      <c r="V143" s="208">
        <v>0</v>
      </c>
      <c r="W143" s="208">
        <v>0</v>
      </c>
      <c r="X143" s="208">
        <v>0</v>
      </c>
      <c r="Y143" s="208">
        <v>0.66666666666666663</v>
      </c>
      <c r="Z143" s="208">
        <v>0</v>
      </c>
      <c r="AA143" s="208">
        <v>0</v>
      </c>
      <c r="AB143" s="208">
        <v>0</v>
      </c>
      <c r="AC143" s="208">
        <v>0</v>
      </c>
      <c r="AD143" s="208">
        <v>0</v>
      </c>
      <c r="AE143" s="208">
        <v>0.66666666666666663</v>
      </c>
      <c r="AF143" s="208">
        <v>0</v>
      </c>
      <c r="AG143" s="208">
        <v>0.33333333333333331</v>
      </c>
      <c r="AH143" s="208">
        <v>0</v>
      </c>
      <c r="AI143" s="208">
        <v>0</v>
      </c>
      <c r="AJ143" s="208">
        <v>1</v>
      </c>
      <c r="AK143" s="208">
        <v>0</v>
      </c>
      <c r="AL143" s="208">
        <v>0</v>
      </c>
      <c r="AM143" s="208">
        <v>0</v>
      </c>
      <c r="AN143" s="208">
        <v>0</v>
      </c>
      <c r="AO143" s="208">
        <v>0</v>
      </c>
      <c r="AP143" s="208">
        <v>0</v>
      </c>
      <c r="AQ143" s="208">
        <v>1</v>
      </c>
      <c r="AR143" s="208">
        <v>0</v>
      </c>
      <c r="AS143" s="208">
        <v>0</v>
      </c>
      <c r="AT143" s="208">
        <v>0</v>
      </c>
      <c r="AU143" s="208">
        <v>0</v>
      </c>
      <c r="AV143" s="208">
        <v>0.33333333333333331</v>
      </c>
      <c r="AW143" s="208">
        <v>0</v>
      </c>
    </row>
    <row r="144" spans="2:49">
      <c r="B144" s="91" t="s">
        <v>476</v>
      </c>
      <c r="C144" s="18">
        <v>1</v>
      </c>
      <c r="D144" s="208">
        <v>1</v>
      </c>
      <c r="E144" s="208">
        <v>0</v>
      </c>
      <c r="F144" s="208">
        <v>0</v>
      </c>
      <c r="G144" s="208">
        <v>0</v>
      </c>
      <c r="H144" s="208">
        <v>0</v>
      </c>
      <c r="I144" s="208">
        <v>0</v>
      </c>
      <c r="J144" s="208">
        <v>0</v>
      </c>
      <c r="K144" s="208">
        <v>0</v>
      </c>
      <c r="L144" s="208">
        <v>0</v>
      </c>
      <c r="M144" s="208">
        <v>0</v>
      </c>
      <c r="N144" s="208">
        <v>0</v>
      </c>
      <c r="O144" s="208">
        <v>0</v>
      </c>
      <c r="P144" s="208">
        <v>0</v>
      </c>
      <c r="Q144" s="208">
        <v>0</v>
      </c>
      <c r="R144" s="208">
        <v>0</v>
      </c>
      <c r="S144" s="208">
        <v>1</v>
      </c>
      <c r="T144" s="208">
        <v>0</v>
      </c>
      <c r="U144" s="208">
        <v>0</v>
      </c>
      <c r="V144" s="208">
        <v>0</v>
      </c>
      <c r="W144" s="208">
        <v>0</v>
      </c>
      <c r="X144" s="208">
        <v>0</v>
      </c>
      <c r="Y144" s="208">
        <v>0</v>
      </c>
      <c r="Z144" s="208">
        <v>0</v>
      </c>
      <c r="AA144" s="208">
        <v>0</v>
      </c>
      <c r="AB144" s="208">
        <v>0</v>
      </c>
      <c r="AC144" s="208">
        <v>0</v>
      </c>
      <c r="AD144" s="208">
        <v>0</v>
      </c>
      <c r="AE144" s="208">
        <v>0</v>
      </c>
      <c r="AF144" s="208">
        <v>0</v>
      </c>
      <c r="AG144" s="208">
        <v>1</v>
      </c>
      <c r="AH144" s="208">
        <v>0</v>
      </c>
      <c r="AI144" s="208">
        <v>0</v>
      </c>
      <c r="AJ144" s="208">
        <v>0</v>
      </c>
      <c r="AK144" s="208">
        <v>0</v>
      </c>
      <c r="AL144" s="208">
        <v>0</v>
      </c>
      <c r="AM144" s="208">
        <v>0</v>
      </c>
      <c r="AN144" s="208">
        <v>0</v>
      </c>
      <c r="AO144" s="208">
        <v>0</v>
      </c>
      <c r="AP144" s="208">
        <v>0</v>
      </c>
      <c r="AQ144" s="208">
        <v>0</v>
      </c>
      <c r="AR144" s="208">
        <v>0</v>
      </c>
      <c r="AS144" s="208">
        <v>0</v>
      </c>
      <c r="AT144" s="208">
        <v>0</v>
      </c>
      <c r="AU144" s="208">
        <v>0</v>
      </c>
      <c r="AV144" s="208">
        <v>1</v>
      </c>
      <c r="AW144" s="208">
        <v>0</v>
      </c>
    </row>
    <row r="145" spans="2:49">
      <c r="B145" s="91" t="s">
        <v>165</v>
      </c>
      <c r="C145" s="18">
        <v>12</v>
      </c>
      <c r="D145" s="208">
        <v>0.83333333333333337</v>
      </c>
      <c r="E145" s="208">
        <v>0.16666666666666666</v>
      </c>
      <c r="F145" s="208">
        <v>0</v>
      </c>
      <c r="G145" s="208">
        <v>0</v>
      </c>
      <c r="H145" s="208">
        <v>0.25</v>
      </c>
      <c r="I145" s="208">
        <v>0.91666666666666663</v>
      </c>
      <c r="J145" s="208">
        <v>0</v>
      </c>
      <c r="K145" s="208">
        <v>0</v>
      </c>
      <c r="L145" s="208">
        <v>0</v>
      </c>
      <c r="M145" s="208">
        <v>0</v>
      </c>
      <c r="N145" s="208">
        <v>0</v>
      </c>
      <c r="O145" s="208">
        <v>0</v>
      </c>
      <c r="P145" s="208">
        <v>0</v>
      </c>
      <c r="Q145" s="208">
        <v>0.16666666666666666</v>
      </c>
      <c r="R145" s="208">
        <v>8.3333333333333329E-2</v>
      </c>
      <c r="S145" s="208">
        <v>0.16666666666666666</v>
      </c>
      <c r="T145" s="208">
        <v>0.41666666666666669</v>
      </c>
      <c r="U145" s="208">
        <v>0</v>
      </c>
      <c r="V145" s="208">
        <v>8.3333333333333329E-2</v>
      </c>
      <c r="W145" s="208">
        <v>0</v>
      </c>
      <c r="X145" s="208">
        <v>0.16666666666666666</v>
      </c>
      <c r="Y145" s="208">
        <v>0</v>
      </c>
      <c r="Z145" s="208">
        <v>0</v>
      </c>
      <c r="AA145" s="208">
        <v>0</v>
      </c>
      <c r="AB145" s="208">
        <v>0.25</v>
      </c>
      <c r="AC145" s="208">
        <v>0</v>
      </c>
      <c r="AD145" s="208">
        <v>0.33333333333333331</v>
      </c>
      <c r="AE145" s="208">
        <v>0.25</v>
      </c>
      <c r="AF145" s="208">
        <v>0</v>
      </c>
      <c r="AG145" s="208">
        <v>0.16666666666666666</v>
      </c>
      <c r="AH145" s="208">
        <v>0</v>
      </c>
      <c r="AI145" s="208">
        <v>0</v>
      </c>
      <c r="AJ145" s="208">
        <v>0.66666666666666663</v>
      </c>
      <c r="AK145" s="208">
        <v>0</v>
      </c>
      <c r="AL145" s="208">
        <v>0</v>
      </c>
      <c r="AM145" s="208">
        <v>0.25</v>
      </c>
      <c r="AN145" s="208">
        <v>0</v>
      </c>
      <c r="AO145" s="208">
        <v>0</v>
      </c>
      <c r="AP145" s="208">
        <v>0</v>
      </c>
      <c r="AQ145" s="208">
        <v>0.91666666666666663</v>
      </c>
      <c r="AR145" s="208">
        <v>0</v>
      </c>
      <c r="AS145" s="208">
        <v>0</v>
      </c>
      <c r="AT145" s="208">
        <v>8.3333333333333329E-2</v>
      </c>
      <c r="AU145" s="208">
        <v>0</v>
      </c>
      <c r="AV145" s="208">
        <v>0.58333333333333337</v>
      </c>
      <c r="AW145" s="208">
        <v>0</v>
      </c>
    </row>
    <row r="146" spans="2:49">
      <c r="B146" s="91" t="s">
        <v>360</v>
      </c>
      <c r="C146" s="18">
        <v>1</v>
      </c>
      <c r="D146" s="208">
        <v>1</v>
      </c>
      <c r="E146" s="208">
        <v>0</v>
      </c>
      <c r="F146" s="208">
        <v>0</v>
      </c>
      <c r="G146" s="208">
        <v>0</v>
      </c>
      <c r="H146" s="208">
        <v>1</v>
      </c>
      <c r="I146" s="208">
        <v>1</v>
      </c>
      <c r="J146" s="208">
        <v>0</v>
      </c>
      <c r="K146" s="208">
        <v>0</v>
      </c>
      <c r="L146" s="208">
        <v>0</v>
      </c>
      <c r="M146" s="208">
        <v>0</v>
      </c>
      <c r="N146" s="208">
        <v>0</v>
      </c>
      <c r="O146" s="208">
        <v>0</v>
      </c>
      <c r="P146" s="208">
        <v>0</v>
      </c>
      <c r="Q146" s="208">
        <v>0</v>
      </c>
      <c r="R146" s="208">
        <v>0</v>
      </c>
      <c r="S146" s="208">
        <v>1</v>
      </c>
      <c r="T146" s="208">
        <v>0</v>
      </c>
      <c r="U146" s="208">
        <v>0</v>
      </c>
      <c r="V146" s="208">
        <v>0</v>
      </c>
      <c r="W146" s="208">
        <v>0</v>
      </c>
      <c r="X146" s="208">
        <v>0</v>
      </c>
      <c r="Y146" s="208">
        <v>1</v>
      </c>
      <c r="Z146" s="208">
        <v>0</v>
      </c>
      <c r="AA146" s="208">
        <v>0</v>
      </c>
      <c r="AB146" s="208">
        <v>1</v>
      </c>
      <c r="AC146" s="208">
        <v>0</v>
      </c>
      <c r="AD146" s="208">
        <v>0</v>
      </c>
      <c r="AE146" s="208">
        <v>0</v>
      </c>
      <c r="AF146" s="208">
        <v>0</v>
      </c>
      <c r="AG146" s="208">
        <v>0</v>
      </c>
      <c r="AH146" s="208">
        <v>0</v>
      </c>
      <c r="AI146" s="208">
        <v>0</v>
      </c>
      <c r="AJ146" s="208">
        <v>1</v>
      </c>
      <c r="AK146" s="208">
        <v>0</v>
      </c>
      <c r="AL146" s="208">
        <v>0</v>
      </c>
      <c r="AM146" s="208">
        <v>0</v>
      </c>
      <c r="AN146" s="208">
        <v>0</v>
      </c>
      <c r="AO146" s="208">
        <v>0</v>
      </c>
      <c r="AP146" s="208">
        <v>0</v>
      </c>
      <c r="AQ146" s="208">
        <v>1</v>
      </c>
      <c r="AR146" s="208">
        <v>0</v>
      </c>
      <c r="AS146" s="208">
        <v>0</v>
      </c>
      <c r="AT146" s="208">
        <v>0</v>
      </c>
      <c r="AU146" s="208">
        <v>0</v>
      </c>
      <c r="AV146" s="208">
        <v>1</v>
      </c>
      <c r="AW146" s="208">
        <v>0</v>
      </c>
    </row>
    <row r="147" spans="2:49">
      <c r="B147" s="91" t="s">
        <v>114</v>
      </c>
      <c r="C147" s="18">
        <v>6</v>
      </c>
      <c r="D147" s="208">
        <v>0.83333333333333337</v>
      </c>
      <c r="E147" s="208">
        <v>0.16666666666666666</v>
      </c>
      <c r="F147" s="208">
        <v>0</v>
      </c>
      <c r="G147" s="208">
        <v>0</v>
      </c>
      <c r="H147" s="208">
        <v>0.16666666666666666</v>
      </c>
      <c r="I147" s="208">
        <v>0.66666666666666663</v>
      </c>
      <c r="J147" s="208">
        <v>0</v>
      </c>
      <c r="K147" s="208">
        <v>0</v>
      </c>
      <c r="L147" s="208">
        <v>0</v>
      </c>
      <c r="M147" s="208">
        <v>0</v>
      </c>
      <c r="N147" s="208">
        <v>0</v>
      </c>
      <c r="O147" s="208">
        <v>0</v>
      </c>
      <c r="P147" s="208">
        <v>0</v>
      </c>
      <c r="Q147" s="208">
        <v>0</v>
      </c>
      <c r="R147" s="208">
        <v>0.33333333333333331</v>
      </c>
      <c r="S147" s="208">
        <v>0</v>
      </c>
      <c r="T147" s="208">
        <v>0.66666666666666663</v>
      </c>
      <c r="U147" s="208">
        <v>0</v>
      </c>
      <c r="V147" s="208">
        <v>0</v>
      </c>
      <c r="W147" s="208">
        <v>0.33333333333333331</v>
      </c>
      <c r="X147" s="208">
        <v>0</v>
      </c>
      <c r="Y147" s="208">
        <v>0</v>
      </c>
      <c r="Z147" s="208">
        <v>0</v>
      </c>
      <c r="AA147" s="208">
        <v>0</v>
      </c>
      <c r="AB147" s="208">
        <v>0</v>
      </c>
      <c r="AC147" s="208">
        <v>0</v>
      </c>
      <c r="AD147" s="208">
        <v>0.16666666666666666</v>
      </c>
      <c r="AE147" s="208">
        <v>0</v>
      </c>
      <c r="AF147" s="208">
        <v>0</v>
      </c>
      <c r="AG147" s="208">
        <v>0.33333333333333331</v>
      </c>
      <c r="AH147" s="208">
        <v>0.33333333333333331</v>
      </c>
      <c r="AI147" s="208">
        <v>0</v>
      </c>
      <c r="AJ147" s="208">
        <v>0.5</v>
      </c>
      <c r="AK147" s="208">
        <v>0</v>
      </c>
      <c r="AL147" s="208">
        <v>0</v>
      </c>
      <c r="AM147" s="208">
        <v>0.33333333333333331</v>
      </c>
      <c r="AN147" s="208">
        <v>0</v>
      </c>
      <c r="AO147" s="208">
        <v>0</v>
      </c>
      <c r="AP147" s="208">
        <v>0</v>
      </c>
      <c r="AQ147" s="208">
        <v>0.83333333333333337</v>
      </c>
      <c r="AR147" s="208">
        <v>0</v>
      </c>
      <c r="AS147" s="208">
        <v>0</v>
      </c>
      <c r="AT147" s="208">
        <v>0</v>
      </c>
      <c r="AU147" s="208">
        <v>0</v>
      </c>
      <c r="AV147" s="208">
        <v>0.5</v>
      </c>
      <c r="AW147" s="208">
        <v>0</v>
      </c>
    </row>
    <row r="148" spans="2:49">
      <c r="B148" s="91" t="s">
        <v>110</v>
      </c>
      <c r="C148" s="18">
        <v>4</v>
      </c>
      <c r="D148" s="208">
        <v>0.75</v>
      </c>
      <c r="E148" s="208">
        <v>0.25</v>
      </c>
      <c r="F148" s="208">
        <v>0</v>
      </c>
      <c r="G148" s="208">
        <v>0</v>
      </c>
      <c r="H148" s="208">
        <v>0.25</v>
      </c>
      <c r="I148" s="208">
        <v>0.5</v>
      </c>
      <c r="J148" s="208">
        <v>0</v>
      </c>
      <c r="K148" s="208">
        <v>0</v>
      </c>
      <c r="L148" s="208">
        <v>0.25</v>
      </c>
      <c r="M148" s="208">
        <v>0</v>
      </c>
      <c r="N148" s="208">
        <v>0</v>
      </c>
      <c r="O148" s="208">
        <v>0</v>
      </c>
      <c r="P148" s="208">
        <v>0</v>
      </c>
      <c r="Q148" s="208">
        <v>0</v>
      </c>
      <c r="R148" s="208">
        <v>0</v>
      </c>
      <c r="S148" s="208">
        <v>0.25</v>
      </c>
      <c r="T148" s="208">
        <v>0.25</v>
      </c>
      <c r="U148" s="208">
        <v>0</v>
      </c>
      <c r="V148" s="208">
        <v>0</v>
      </c>
      <c r="W148" s="208">
        <v>0.25</v>
      </c>
      <c r="X148" s="208">
        <v>0</v>
      </c>
      <c r="Y148" s="208">
        <v>0</v>
      </c>
      <c r="Z148" s="208">
        <v>0</v>
      </c>
      <c r="AA148" s="208">
        <v>0</v>
      </c>
      <c r="AB148" s="208">
        <v>0</v>
      </c>
      <c r="AC148" s="208">
        <v>0</v>
      </c>
      <c r="AD148" s="208">
        <v>0.75</v>
      </c>
      <c r="AE148" s="208">
        <v>0</v>
      </c>
      <c r="AF148" s="208">
        <v>0</v>
      </c>
      <c r="AG148" s="208">
        <v>0.25</v>
      </c>
      <c r="AH148" s="208">
        <v>0</v>
      </c>
      <c r="AI148" s="208">
        <v>0</v>
      </c>
      <c r="AJ148" s="208">
        <v>0.25</v>
      </c>
      <c r="AK148" s="208">
        <v>0</v>
      </c>
      <c r="AL148" s="208">
        <v>0</v>
      </c>
      <c r="AM148" s="208">
        <v>0.5</v>
      </c>
      <c r="AN148" s="208">
        <v>0</v>
      </c>
      <c r="AO148" s="208">
        <v>0</v>
      </c>
      <c r="AP148" s="208">
        <v>0.25</v>
      </c>
      <c r="AQ148" s="208">
        <v>1</v>
      </c>
      <c r="AR148" s="208">
        <v>0</v>
      </c>
      <c r="AS148" s="208">
        <v>0</v>
      </c>
      <c r="AT148" s="208">
        <v>0.25</v>
      </c>
      <c r="AU148" s="208">
        <v>0</v>
      </c>
      <c r="AV148" s="208">
        <v>0.5</v>
      </c>
      <c r="AW148" s="208">
        <v>0</v>
      </c>
    </row>
    <row r="149" spans="2:49">
      <c r="B149" s="91" t="s">
        <v>512</v>
      </c>
      <c r="C149" s="18">
        <v>1</v>
      </c>
      <c r="D149" s="208">
        <v>0</v>
      </c>
      <c r="E149" s="208">
        <v>1</v>
      </c>
      <c r="F149" s="208">
        <v>0</v>
      </c>
      <c r="G149" s="208">
        <v>0</v>
      </c>
      <c r="H149" s="208">
        <v>0</v>
      </c>
      <c r="I149" s="208">
        <v>1</v>
      </c>
      <c r="J149" s="208">
        <v>0</v>
      </c>
      <c r="K149" s="208">
        <v>0</v>
      </c>
      <c r="L149" s="208">
        <v>0</v>
      </c>
      <c r="M149" s="208">
        <v>0</v>
      </c>
      <c r="N149" s="208">
        <v>0</v>
      </c>
      <c r="O149" s="208">
        <v>0</v>
      </c>
      <c r="P149" s="208">
        <v>0</v>
      </c>
      <c r="Q149" s="208">
        <v>0</v>
      </c>
      <c r="R149" s="208">
        <v>0</v>
      </c>
      <c r="S149" s="208">
        <v>0</v>
      </c>
      <c r="T149" s="208">
        <v>0</v>
      </c>
      <c r="U149" s="208">
        <v>0</v>
      </c>
      <c r="V149" s="208">
        <v>0</v>
      </c>
      <c r="W149" s="208">
        <v>0</v>
      </c>
      <c r="X149" s="208">
        <v>0</v>
      </c>
      <c r="Y149" s="208">
        <v>0</v>
      </c>
      <c r="Z149" s="208">
        <v>0</v>
      </c>
      <c r="AA149" s="208">
        <v>0</v>
      </c>
      <c r="AB149" s="208">
        <v>0</v>
      </c>
      <c r="AC149" s="208">
        <v>0</v>
      </c>
      <c r="AD149" s="208">
        <v>1</v>
      </c>
      <c r="AE149" s="208">
        <v>0</v>
      </c>
      <c r="AF149" s="208">
        <v>0</v>
      </c>
      <c r="AG149" s="208">
        <v>0</v>
      </c>
      <c r="AH149" s="208">
        <v>0</v>
      </c>
      <c r="AI149" s="208">
        <v>0</v>
      </c>
      <c r="AJ149" s="208">
        <v>1</v>
      </c>
      <c r="AK149" s="208">
        <v>0</v>
      </c>
      <c r="AL149" s="208">
        <v>0</v>
      </c>
      <c r="AM149" s="208">
        <v>0</v>
      </c>
      <c r="AN149" s="208">
        <v>0</v>
      </c>
      <c r="AO149" s="208">
        <v>0</v>
      </c>
      <c r="AP149" s="208">
        <v>0</v>
      </c>
      <c r="AQ149" s="208">
        <v>1</v>
      </c>
      <c r="AR149" s="208">
        <v>0</v>
      </c>
      <c r="AS149" s="208">
        <v>0</v>
      </c>
      <c r="AT149" s="208">
        <v>0</v>
      </c>
      <c r="AU149" s="208">
        <v>0</v>
      </c>
      <c r="AV149" s="208">
        <v>1</v>
      </c>
      <c r="AW149" s="208">
        <v>0</v>
      </c>
    </row>
    <row r="150" spans="2:49">
      <c r="B150" s="91" t="s">
        <v>518</v>
      </c>
      <c r="C150" s="18">
        <v>1</v>
      </c>
      <c r="D150" s="208">
        <v>1</v>
      </c>
      <c r="E150" s="208">
        <v>0</v>
      </c>
      <c r="F150" s="208">
        <v>0</v>
      </c>
      <c r="G150" s="208">
        <v>0</v>
      </c>
      <c r="H150" s="208">
        <v>0</v>
      </c>
      <c r="I150" s="208">
        <v>0</v>
      </c>
      <c r="J150" s="208">
        <v>0</v>
      </c>
      <c r="K150" s="208">
        <v>0</v>
      </c>
      <c r="L150" s="208">
        <v>0</v>
      </c>
      <c r="M150" s="208">
        <v>0</v>
      </c>
      <c r="N150" s="208">
        <v>0</v>
      </c>
      <c r="O150" s="208">
        <v>0</v>
      </c>
      <c r="P150" s="208">
        <v>0</v>
      </c>
      <c r="Q150" s="208">
        <v>0</v>
      </c>
      <c r="R150" s="208">
        <v>0</v>
      </c>
      <c r="S150" s="208">
        <v>0</v>
      </c>
      <c r="T150" s="208">
        <v>0</v>
      </c>
      <c r="U150" s="208">
        <v>0</v>
      </c>
      <c r="V150" s="208">
        <v>0</v>
      </c>
      <c r="W150" s="208">
        <v>0</v>
      </c>
      <c r="X150" s="208">
        <v>0</v>
      </c>
      <c r="Y150" s="208">
        <v>0</v>
      </c>
      <c r="Z150" s="208">
        <v>0</v>
      </c>
      <c r="AA150" s="208">
        <v>0</v>
      </c>
      <c r="AB150" s="208">
        <v>0</v>
      </c>
      <c r="AC150" s="208">
        <v>0</v>
      </c>
      <c r="AD150" s="208">
        <v>0</v>
      </c>
      <c r="AE150" s="208">
        <v>0</v>
      </c>
      <c r="AF150" s="208">
        <v>0</v>
      </c>
      <c r="AG150" s="208">
        <v>0</v>
      </c>
      <c r="AH150" s="208">
        <v>0</v>
      </c>
      <c r="AI150" s="208">
        <v>0</v>
      </c>
      <c r="AJ150" s="208">
        <v>0</v>
      </c>
      <c r="AK150" s="208">
        <v>0</v>
      </c>
      <c r="AL150" s="208">
        <v>0</v>
      </c>
      <c r="AM150" s="208">
        <v>0</v>
      </c>
      <c r="AN150" s="208">
        <v>0</v>
      </c>
      <c r="AO150" s="208">
        <v>0</v>
      </c>
      <c r="AP150" s="208">
        <v>0</v>
      </c>
      <c r="AQ150" s="208">
        <v>0</v>
      </c>
      <c r="AR150" s="208">
        <v>0</v>
      </c>
      <c r="AS150" s="208">
        <v>0</v>
      </c>
      <c r="AT150" s="208">
        <v>0</v>
      </c>
      <c r="AU150" s="208">
        <v>0</v>
      </c>
      <c r="AV150" s="208">
        <v>0</v>
      </c>
      <c r="AW150" s="208">
        <v>0</v>
      </c>
    </row>
    <row r="151" spans="2:49">
      <c r="B151" s="91" t="s">
        <v>180</v>
      </c>
      <c r="C151" s="18">
        <v>1</v>
      </c>
      <c r="D151" s="208">
        <v>1</v>
      </c>
      <c r="E151" s="208">
        <v>0</v>
      </c>
      <c r="F151" s="208">
        <v>0</v>
      </c>
      <c r="G151" s="208">
        <v>0</v>
      </c>
      <c r="H151" s="208">
        <v>1</v>
      </c>
      <c r="I151" s="208">
        <v>1</v>
      </c>
      <c r="J151" s="208">
        <v>0</v>
      </c>
      <c r="K151" s="208">
        <v>0</v>
      </c>
      <c r="L151" s="208">
        <v>0</v>
      </c>
      <c r="M151" s="208">
        <v>0</v>
      </c>
      <c r="N151" s="208">
        <v>0</v>
      </c>
      <c r="O151" s="208">
        <v>0</v>
      </c>
      <c r="P151" s="208">
        <v>0</v>
      </c>
      <c r="Q151" s="208">
        <v>0</v>
      </c>
      <c r="R151" s="208">
        <v>0</v>
      </c>
      <c r="S151" s="208">
        <v>0</v>
      </c>
      <c r="T151" s="208">
        <v>1</v>
      </c>
      <c r="U151" s="208">
        <v>0</v>
      </c>
      <c r="V151" s="208">
        <v>0</v>
      </c>
      <c r="W151" s="208">
        <v>0</v>
      </c>
      <c r="X151" s="208">
        <v>0</v>
      </c>
      <c r="Y151" s="208">
        <v>1</v>
      </c>
      <c r="Z151" s="208">
        <v>0</v>
      </c>
      <c r="AA151" s="208">
        <v>0</v>
      </c>
      <c r="AB151" s="208">
        <v>0</v>
      </c>
      <c r="AC151" s="208">
        <v>0</v>
      </c>
      <c r="AD151" s="208">
        <v>0</v>
      </c>
      <c r="AE151" s="208">
        <v>0</v>
      </c>
      <c r="AF151" s="208">
        <v>0</v>
      </c>
      <c r="AG151" s="208">
        <v>0</v>
      </c>
      <c r="AH151" s="208">
        <v>0</v>
      </c>
      <c r="AI151" s="208">
        <v>0</v>
      </c>
      <c r="AJ151" s="208">
        <v>1</v>
      </c>
      <c r="AK151" s="208">
        <v>0</v>
      </c>
      <c r="AL151" s="208">
        <v>0</v>
      </c>
      <c r="AM151" s="208">
        <v>0</v>
      </c>
      <c r="AN151" s="208">
        <v>0</v>
      </c>
      <c r="AO151" s="208">
        <v>0</v>
      </c>
      <c r="AP151" s="208">
        <v>0</v>
      </c>
      <c r="AQ151" s="208">
        <v>1</v>
      </c>
      <c r="AR151" s="208">
        <v>0</v>
      </c>
      <c r="AS151" s="208">
        <v>0</v>
      </c>
      <c r="AT151" s="208">
        <v>0</v>
      </c>
      <c r="AU151" s="208">
        <v>0</v>
      </c>
      <c r="AV151" s="208">
        <v>1</v>
      </c>
      <c r="AW151" s="208">
        <v>0</v>
      </c>
    </row>
    <row r="152" spans="2:49">
      <c r="B152" s="91" t="s">
        <v>279</v>
      </c>
      <c r="C152" s="18">
        <v>491</v>
      </c>
      <c r="D152" s="208">
        <v>0.49083503054989819</v>
      </c>
      <c r="E152" s="208">
        <v>0.48879837067209775</v>
      </c>
      <c r="F152" s="208">
        <v>6.1099796334012219E-3</v>
      </c>
      <c r="G152" s="208">
        <v>0</v>
      </c>
      <c r="H152" s="208">
        <v>0.44806517311608962</v>
      </c>
      <c r="I152" s="208">
        <v>0.66598778004073322</v>
      </c>
      <c r="J152" s="208">
        <v>1.8329938900203666E-2</v>
      </c>
      <c r="K152" s="208">
        <v>3.2586558044806514E-2</v>
      </c>
      <c r="L152" s="208">
        <v>6.1099796334012219E-2</v>
      </c>
      <c r="M152" s="208">
        <v>2.0366598778004074E-2</v>
      </c>
      <c r="N152" s="208">
        <v>2.2403258655804479E-2</v>
      </c>
      <c r="O152" s="208">
        <v>4.0733197556008148E-2</v>
      </c>
      <c r="P152" s="208">
        <v>6.720977596741344E-2</v>
      </c>
      <c r="Q152" s="208">
        <v>7.9429735234215884E-2</v>
      </c>
      <c r="R152" s="208">
        <v>0.14052953156822812</v>
      </c>
      <c r="S152" s="208">
        <v>0.20570264765784113</v>
      </c>
      <c r="T152" s="208">
        <v>0.37474541751527496</v>
      </c>
      <c r="U152" s="208">
        <v>0.1425661914460285</v>
      </c>
      <c r="V152" s="208">
        <v>6.9246435845213852E-2</v>
      </c>
      <c r="W152" s="208">
        <v>0.11201629327902241</v>
      </c>
      <c r="X152" s="208">
        <v>0.15885947046843177</v>
      </c>
      <c r="Y152" s="208">
        <v>7.5356415478615074E-2</v>
      </c>
      <c r="Z152" s="208">
        <v>4.4806517311608958E-2</v>
      </c>
      <c r="AA152" s="208">
        <v>6.1099796334012219E-3</v>
      </c>
      <c r="AB152" s="208">
        <v>0.12830957230142567</v>
      </c>
      <c r="AC152" s="208">
        <v>8.7576374745417518E-2</v>
      </c>
      <c r="AD152" s="208">
        <v>0.28920570264765783</v>
      </c>
      <c r="AE152" s="208">
        <v>0.1690427698574338</v>
      </c>
      <c r="AF152" s="208">
        <v>2.8513238289205704E-2</v>
      </c>
      <c r="AG152" s="208">
        <v>0.18737270875763748</v>
      </c>
      <c r="AH152" s="208">
        <v>5.7026476578411409E-2</v>
      </c>
      <c r="AI152" s="208">
        <v>0</v>
      </c>
      <c r="AJ152" s="208">
        <v>0.50916496945010181</v>
      </c>
      <c r="AK152" s="208">
        <v>6.9246435845213852E-2</v>
      </c>
      <c r="AL152" s="208">
        <v>0.11201629327902241</v>
      </c>
      <c r="AM152" s="208">
        <v>0.1425661914460285</v>
      </c>
      <c r="AN152" s="208">
        <v>2.0366598778004071E-3</v>
      </c>
      <c r="AO152" s="208">
        <v>3.6659877800407331E-2</v>
      </c>
      <c r="AP152" s="208">
        <v>3.4623217922606926E-2</v>
      </c>
      <c r="AQ152" s="208">
        <v>0.82484725050916496</v>
      </c>
      <c r="AR152" s="208">
        <v>4.684317718940937E-2</v>
      </c>
      <c r="AS152" s="208">
        <v>2.0366598778004074E-2</v>
      </c>
      <c r="AT152" s="208">
        <v>0.1079429735234216</v>
      </c>
      <c r="AU152" s="208">
        <v>5.2953156822810592E-2</v>
      </c>
      <c r="AV152" s="208">
        <v>0.36456211812627293</v>
      </c>
      <c r="AW152" s="208">
        <v>2.6476578411405296E-2</v>
      </c>
    </row>
    <row r="153" spans="2:49">
      <c r="D153"/>
    </row>
    <row r="154" spans="2:49">
      <c r="D154"/>
    </row>
    <row r="155" spans="2:49">
      <c r="D155"/>
    </row>
    <row r="156" spans="2:49">
      <c r="D156"/>
    </row>
    <row r="157" spans="2:49">
      <c r="D157"/>
    </row>
    <row r="158" spans="2:49">
      <c r="D158"/>
    </row>
    <row r="159" spans="2:49">
      <c r="D159"/>
    </row>
    <row r="160" spans="2:49">
      <c r="D160"/>
    </row>
    <row r="161" spans="4:4">
      <c r="D161"/>
    </row>
    <row r="162" spans="4:4">
      <c r="D162"/>
    </row>
    <row r="163" spans="4:4">
      <c r="D163"/>
    </row>
    <row r="164" spans="4:4">
      <c r="D164"/>
    </row>
    <row r="165" spans="4:4">
      <c r="D165"/>
    </row>
    <row r="166" spans="4:4">
      <c r="D166"/>
    </row>
    <row r="167" spans="4:4">
      <c r="D167"/>
    </row>
    <row r="168" spans="4:4">
      <c r="D168"/>
    </row>
    <row r="169" spans="4:4">
      <c r="D169"/>
    </row>
    <row r="170" spans="4:4">
      <c r="D170"/>
    </row>
  </sheetData>
  <mergeCells count="9">
    <mergeCell ref="B12:C12"/>
    <mergeCell ref="D13:G13"/>
    <mergeCell ref="I13:N13"/>
    <mergeCell ref="O13:T13"/>
    <mergeCell ref="U13:Z13"/>
    <mergeCell ref="AA13:AI13"/>
    <mergeCell ref="AJ13:AP13"/>
    <mergeCell ref="AQ13:AS13"/>
    <mergeCell ref="AT13:AW13"/>
  </mergeCells>
  <pageMargins left="0.7" right="0.7" top="0.75" bottom="0.75" header="0.3" footer="0.3"/>
  <pageSetup orientation="portrait" horizontalDpi="200" verticalDpi="200" r:id="rId2"/>
  <drawing r:id="rId3"/>
  <extLst>
    <ext xmlns:x14="http://schemas.microsoft.com/office/spreadsheetml/2009/9/main" uri="{A8765BA9-456A-4dab-B4F3-ACF838C121DE}">
      <x14:slicerList>
        <x14:slicer r:id="rId4"/>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workbookViewId="0">
      <pane xSplit="3" ySplit="12" topLeftCell="D13" activePane="bottomRight" state="frozen"/>
      <selection pane="topRight" activeCell="D1" sqref="D1"/>
      <selection pane="bottomLeft" activeCell="A13" sqref="A13"/>
      <selection pane="bottomRight" activeCell="A2" sqref="A2:B2"/>
    </sheetView>
  </sheetViews>
  <sheetFormatPr defaultRowHeight="14.5"/>
  <cols>
    <col min="2" max="2" width="29.7265625" customWidth="1"/>
    <col min="3" max="3" width="24.81640625" customWidth="1"/>
    <col min="4" max="4" width="19.6328125" customWidth="1"/>
    <col min="5" max="5" width="19" customWidth="1"/>
    <col min="6" max="6" width="6.54296875" customWidth="1"/>
    <col min="7" max="7" width="21.08984375" customWidth="1"/>
    <col min="8" max="8" width="8.1796875" customWidth="1"/>
    <col min="9" max="9" width="20" customWidth="1"/>
    <col min="10" max="10" width="20.453125" customWidth="1"/>
    <col min="11" max="11" width="20.36328125" customWidth="1"/>
    <col min="12" max="12" width="15" customWidth="1"/>
    <col min="13" max="13" width="29.7265625" customWidth="1"/>
    <col min="14" max="14" width="23.81640625" customWidth="1"/>
    <col min="15" max="15" width="6" customWidth="1"/>
    <col min="16" max="16" width="25.7265625" customWidth="1"/>
    <col min="17" max="18" width="24.90625" customWidth="1"/>
  </cols>
  <sheetData>
    <row r="1" spans="1:17" ht="35">
      <c r="A1" s="201" t="s">
        <v>1</v>
      </c>
      <c r="B1" s="201"/>
      <c r="C1" s="201"/>
      <c r="D1" s="201"/>
      <c r="E1" s="201"/>
      <c r="F1" s="201"/>
      <c r="G1" s="201"/>
      <c r="H1" s="201"/>
      <c r="I1" s="201"/>
      <c r="J1" s="201"/>
      <c r="K1" s="201"/>
      <c r="L1" s="201"/>
      <c r="M1" s="201"/>
      <c r="N1" s="201"/>
      <c r="O1" s="201"/>
      <c r="P1" s="201"/>
    </row>
    <row r="2" spans="1:17" ht="16">
      <c r="A2" s="202" t="s">
        <v>544</v>
      </c>
      <c r="B2" s="202"/>
    </row>
    <row r="7" spans="1:17">
      <c r="I7" s="156"/>
    </row>
    <row r="13" spans="1:17">
      <c r="C13" s="17" t="s">
        <v>288</v>
      </c>
      <c r="D13" s="5" t="s">
        <v>280</v>
      </c>
      <c r="E13" s="5" t="s">
        <v>289</v>
      </c>
      <c r="F13" s="5" t="s">
        <v>17</v>
      </c>
      <c r="G13" s="5" t="s">
        <v>281</v>
      </c>
      <c r="H13" s="5" t="s">
        <v>24</v>
      </c>
      <c r="I13" s="5" t="s">
        <v>282</v>
      </c>
      <c r="J13" s="5" t="s">
        <v>277</v>
      </c>
      <c r="K13" s="5" t="s">
        <v>283</v>
      </c>
      <c r="L13" s="5" t="s">
        <v>284</v>
      </c>
      <c r="M13" s="5" t="s">
        <v>285</v>
      </c>
      <c r="N13" s="5" t="s">
        <v>286</v>
      </c>
      <c r="O13" s="5" t="s">
        <v>19</v>
      </c>
      <c r="P13" s="5" t="s">
        <v>278</v>
      </c>
      <c r="Q13" s="15" t="s">
        <v>287</v>
      </c>
    </row>
    <row r="14" spans="1:17">
      <c r="C14" s="20" t="s">
        <v>477</v>
      </c>
      <c r="D14" s="18">
        <v>23</v>
      </c>
      <c r="E14" s="19">
        <v>2.6</v>
      </c>
      <c r="F14" s="19">
        <v>5.6</v>
      </c>
      <c r="G14" s="19">
        <v>0</v>
      </c>
      <c r="H14" s="19">
        <v>5.2</v>
      </c>
      <c r="I14" s="19">
        <v>5</v>
      </c>
      <c r="J14" s="19">
        <v>1.6</v>
      </c>
      <c r="K14" s="19">
        <v>5.2</v>
      </c>
      <c r="L14" s="19">
        <v>3</v>
      </c>
      <c r="M14" s="19">
        <v>4.5999999999999996</v>
      </c>
      <c r="N14" s="19">
        <v>5.6</v>
      </c>
      <c r="O14" s="19">
        <v>0</v>
      </c>
      <c r="P14" s="19">
        <v>1</v>
      </c>
      <c r="Q14" s="16">
        <v>1.6</v>
      </c>
    </row>
    <row r="15" spans="1:17">
      <c r="C15" s="20" t="s">
        <v>530</v>
      </c>
      <c r="D15" s="18">
        <v>2</v>
      </c>
      <c r="E15" s="19">
        <v>0</v>
      </c>
      <c r="F15" s="19">
        <v>0</v>
      </c>
      <c r="G15" s="19">
        <v>0</v>
      </c>
      <c r="H15" s="19">
        <v>0</v>
      </c>
      <c r="I15" s="19">
        <v>0</v>
      </c>
      <c r="J15" s="19">
        <v>0</v>
      </c>
      <c r="K15" s="19">
        <v>0</v>
      </c>
      <c r="L15" s="19">
        <v>0</v>
      </c>
      <c r="M15" s="19">
        <v>1</v>
      </c>
      <c r="N15" s="19">
        <v>1</v>
      </c>
      <c r="O15" s="19">
        <v>1</v>
      </c>
      <c r="P15" s="19">
        <v>0</v>
      </c>
      <c r="Q15" s="16">
        <v>1</v>
      </c>
    </row>
    <row r="16" spans="1:17">
      <c r="C16" s="20" t="s">
        <v>531</v>
      </c>
      <c r="D16" s="18">
        <v>1</v>
      </c>
      <c r="E16" s="19">
        <v>0</v>
      </c>
      <c r="F16" s="19">
        <v>0</v>
      </c>
      <c r="G16" s="19">
        <v>0</v>
      </c>
      <c r="H16" s="19">
        <v>0</v>
      </c>
      <c r="I16" s="19">
        <v>0</v>
      </c>
      <c r="J16" s="19">
        <v>1</v>
      </c>
      <c r="K16" s="19">
        <v>0</v>
      </c>
      <c r="L16" s="19">
        <v>0</v>
      </c>
      <c r="M16" s="19">
        <v>0</v>
      </c>
      <c r="N16" s="19">
        <v>0</v>
      </c>
      <c r="O16" s="19">
        <v>1</v>
      </c>
      <c r="P16" s="19">
        <v>1</v>
      </c>
      <c r="Q16" s="16">
        <v>0</v>
      </c>
    </row>
    <row r="17" spans="3:17">
      <c r="C17" s="20" t="s">
        <v>532</v>
      </c>
      <c r="D17" s="18">
        <v>1</v>
      </c>
      <c r="E17" s="19">
        <v>0</v>
      </c>
      <c r="F17" s="19">
        <v>0</v>
      </c>
      <c r="G17" s="19">
        <v>0</v>
      </c>
      <c r="H17" s="19">
        <v>0</v>
      </c>
      <c r="I17" s="19">
        <v>0</v>
      </c>
      <c r="J17" s="19">
        <v>0</v>
      </c>
      <c r="K17" s="19">
        <v>1</v>
      </c>
      <c r="L17" s="19">
        <v>0</v>
      </c>
      <c r="M17" s="19">
        <v>1</v>
      </c>
      <c r="N17" s="19">
        <v>0</v>
      </c>
      <c r="O17" s="19">
        <v>1</v>
      </c>
      <c r="P17" s="19">
        <v>0</v>
      </c>
      <c r="Q17" s="16">
        <v>0</v>
      </c>
    </row>
    <row r="18" spans="3:17">
      <c r="C18" s="20" t="s">
        <v>533</v>
      </c>
      <c r="D18" s="18">
        <v>1</v>
      </c>
      <c r="E18" s="19">
        <v>0</v>
      </c>
      <c r="F18" s="19">
        <v>0</v>
      </c>
      <c r="G18" s="19">
        <v>0</v>
      </c>
      <c r="H18" s="19">
        <v>0</v>
      </c>
      <c r="I18" s="19">
        <v>1</v>
      </c>
      <c r="J18" s="19">
        <v>0</v>
      </c>
      <c r="K18" s="19">
        <v>0</v>
      </c>
      <c r="L18" s="19">
        <v>0</v>
      </c>
      <c r="M18" s="19">
        <v>0</v>
      </c>
      <c r="N18" s="19">
        <v>0</v>
      </c>
      <c r="O18" s="19">
        <v>0</v>
      </c>
      <c r="P18" s="19">
        <v>0</v>
      </c>
      <c r="Q18" s="16">
        <v>0</v>
      </c>
    </row>
    <row r="19" spans="3:17">
      <c r="C19" s="20" t="s">
        <v>534</v>
      </c>
      <c r="D19" s="18">
        <v>1</v>
      </c>
      <c r="E19" s="19">
        <v>0</v>
      </c>
      <c r="F19" s="19">
        <v>0</v>
      </c>
      <c r="G19" s="19">
        <v>0</v>
      </c>
      <c r="H19" s="19">
        <v>0</v>
      </c>
      <c r="I19" s="19">
        <v>1</v>
      </c>
      <c r="J19" s="19">
        <v>0</v>
      </c>
      <c r="K19" s="19">
        <v>0</v>
      </c>
      <c r="L19" s="19">
        <v>0</v>
      </c>
      <c r="M19" s="19">
        <v>1</v>
      </c>
      <c r="N19" s="19">
        <v>0</v>
      </c>
      <c r="O19" s="19">
        <v>1</v>
      </c>
      <c r="P19" s="19">
        <v>0</v>
      </c>
      <c r="Q19" s="16">
        <v>0</v>
      </c>
    </row>
    <row r="20" spans="3:17">
      <c r="C20" s="20" t="s">
        <v>535</v>
      </c>
      <c r="D20" s="18">
        <v>1</v>
      </c>
      <c r="E20" s="19">
        <v>0.42857142857142855</v>
      </c>
      <c r="F20" s="19">
        <v>0.42857142857142855</v>
      </c>
      <c r="G20" s="19">
        <v>0.42857142857142855</v>
      </c>
      <c r="H20" s="19">
        <v>0.42857142857142855</v>
      </c>
      <c r="I20" s="19">
        <v>0</v>
      </c>
      <c r="J20" s="19">
        <v>0</v>
      </c>
      <c r="K20" s="19">
        <v>0.42857142857142855</v>
      </c>
      <c r="L20" s="19">
        <v>0</v>
      </c>
      <c r="M20" s="19">
        <v>0.42857142857142855</v>
      </c>
      <c r="N20" s="19">
        <v>0.42857142857142855</v>
      </c>
      <c r="O20" s="19">
        <v>0</v>
      </c>
      <c r="P20" s="19">
        <v>0</v>
      </c>
      <c r="Q20" s="16">
        <v>0</v>
      </c>
    </row>
    <row r="21" spans="3:17">
      <c r="C21" s="20" t="s">
        <v>536</v>
      </c>
      <c r="D21" s="18">
        <v>2</v>
      </c>
      <c r="E21" s="19">
        <v>0</v>
      </c>
      <c r="F21" s="19">
        <v>0</v>
      </c>
      <c r="G21" s="19">
        <v>2</v>
      </c>
      <c r="H21" s="19">
        <v>0</v>
      </c>
      <c r="I21" s="19">
        <v>0</v>
      </c>
      <c r="J21" s="19">
        <v>0</v>
      </c>
      <c r="K21" s="19">
        <v>0</v>
      </c>
      <c r="L21" s="19">
        <v>0</v>
      </c>
      <c r="M21" s="19">
        <v>2</v>
      </c>
      <c r="N21" s="19">
        <v>2</v>
      </c>
      <c r="O21" s="19">
        <v>0</v>
      </c>
      <c r="P21" s="19">
        <v>0</v>
      </c>
      <c r="Q21" s="16">
        <v>0</v>
      </c>
    </row>
    <row r="22" spans="3:17">
      <c r="C22" s="20" t="s">
        <v>537</v>
      </c>
      <c r="D22" s="18">
        <v>1</v>
      </c>
      <c r="E22" s="19">
        <v>0</v>
      </c>
      <c r="F22" s="19">
        <v>0</v>
      </c>
      <c r="G22" s="19">
        <v>0</v>
      </c>
      <c r="H22" s="19">
        <v>0</v>
      </c>
      <c r="I22" s="19">
        <v>0</v>
      </c>
      <c r="J22" s="19">
        <v>0</v>
      </c>
      <c r="K22" s="19">
        <v>0</v>
      </c>
      <c r="L22" s="19">
        <v>0</v>
      </c>
      <c r="M22" s="19">
        <v>0</v>
      </c>
      <c r="N22" s="19">
        <v>1</v>
      </c>
      <c r="O22" s="19">
        <v>1</v>
      </c>
      <c r="P22" s="19">
        <v>1</v>
      </c>
      <c r="Q22" s="16">
        <v>0</v>
      </c>
    </row>
    <row r="23" spans="3:17">
      <c r="C23" s="20" t="s">
        <v>538</v>
      </c>
      <c r="D23" s="18">
        <v>1</v>
      </c>
      <c r="E23" s="19">
        <v>0</v>
      </c>
      <c r="F23" s="19">
        <v>1</v>
      </c>
      <c r="G23" s="19">
        <v>0</v>
      </c>
      <c r="H23" s="19">
        <v>0</v>
      </c>
      <c r="I23" s="19">
        <v>1</v>
      </c>
      <c r="J23" s="19">
        <v>0</v>
      </c>
      <c r="K23" s="19">
        <v>0</v>
      </c>
      <c r="L23" s="19">
        <v>0</v>
      </c>
      <c r="M23" s="19">
        <v>0</v>
      </c>
      <c r="N23" s="19">
        <v>1</v>
      </c>
      <c r="O23" s="19">
        <v>0</v>
      </c>
      <c r="P23" s="19">
        <v>0</v>
      </c>
      <c r="Q23" s="16">
        <v>0</v>
      </c>
    </row>
    <row r="24" spans="3:17">
      <c r="C24" s="20" t="s">
        <v>539</v>
      </c>
      <c r="D24" s="18">
        <v>1</v>
      </c>
      <c r="E24" s="19">
        <v>0.75</v>
      </c>
      <c r="F24" s="19">
        <v>0.75</v>
      </c>
      <c r="G24" s="19">
        <v>0.75</v>
      </c>
      <c r="H24" s="19">
        <v>0.75</v>
      </c>
      <c r="I24" s="19">
        <v>0</v>
      </c>
      <c r="J24" s="19">
        <v>0</v>
      </c>
      <c r="K24" s="19">
        <v>0</v>
      </c>
      <c r="L24" s="19">
        <v>0</v>
      </c>
      <c r="M24" s="19">
        <v>0</v>
      </c>
      <c r="N24" s="19">
        <v>0</v>
      </c>
      <c r="O24" s="19">
        <v>0</v>
      </c>
      <c r="P24" s="19">
        <v>0</v>
      </c>
      <c r="Q24" s="16">
        <v>0</v>
      </c>
    </row>
    <row r="25" spans="3:17">
      <c r="C25" s="20" t="s">
        <v>540</v>
      </c>
      <c r="D25" s="18">
        <v>1</v>
      </c>
      <c r="E25" s="19">
        <v>0</v>
      </c>
      <c r="F25" s="19">
        <v>0</v>
      </c>
      <c r="G25" s="19">
        <v>0</v>
      </c>
      <c r="H25" s="19">
        <v>0</v>
      </c>
      <c r="I25" s="19">
        <v>1</v>
      </c>
      <c r="J25" s="19">
        <v>0</v>
      </c>
      <c r="K25" s="19">
        <v>0</v>
      </c>
      <c r="L25" s="19">
        <v>0</v>
      </c>
      <c r="M25" s="19">
        <v>1</v>
      </c>
      <c r="N25" s="19">
        <v>0</v>
      </c>
      <c r="O25" s="19">
        <v>1</v>
      </c>
      <c r="P25" s="19">
        <v>0</v>
      </c>
      <c r="Q25" s="16">
        <v>0</v>
      </c>
    </row>
    <row r="26" spans="3:17">
      <c r="C26" s="20" t="s">
        <v>541</v>
      </c>
      <c r="D26" s="18">
        <v>1</v>
      </c>
      <c r="E26" s="19">
        <v>0</v>
      </c>
      <c r="F26" s="19">
        <v>1</v>
      </c>
      <c r="G26" s="19">
        <v>1</v>
      </c>
      <c r="H26" s="19">
        <v>1</v>
      </c>
      <c r="I26" s="19">
        <v>0</v>
      </c>
      <c r="J26" s="19">
        <v>0</v>
      </c>
      <c r="K26" s="19">
        <v>0</v>
      </c>
      <c r="L26" s="19">
        <v>0</v>
      </c>
      <c r="M26" s="19">
        <v>0</v>
      </c>
      <c r="N26" s="19">
        <v>0</v>
      </c>
      <c r="O26" s="19">
        <v>0</v>
      </c>
      <c r="P26" s="19">
        <v>0</v>
      </c>
      <c r="Q26" s="16">
        <v>0</v>
      </c>
    </row>
    <row r="27" spans="3:17">
      <c r="C27" s="20" t="s">
        <v>542</v>
      </c>
      <c r="D27" s="18">
        <v>1</v>
      </c>
      <c r="E27" s="19">
        <v>0.27272727272727271</v>
      </c>
      <c r="F27" s="19">
        <v>0.27272727272727271</v>
      </c>
      <c r="G27" s="19">
        <v>0.27272727272727271</v>
      </c>
      <c r="H27" s="19">
        <v>0.27272727272727271</v>
      </c>
      <c r="I27" s="19">
        <v>0.27272727272727271</v>
      </c>
      <c r="J27" s="19">
        <v>0.27272727272727271</v>
      </c>
      <c r="K27" s="19">
        <v>0.27272727272727271</v>
      </c>
      <c r="L27" s="19">
        <v>0.27272727272727271</v>
      </c>
      <c r="M27" s="19">
        <v>0.27272727272727271</v>
      </c>
      <c r="N27" s="19">
        <v>0</v>
      </c>
      <c r="O27" s="19">
        <v>0</v>
      </c>
      <c r="P27" s="19">
        <v>0.27272727272727271</v>
      </c>
      <c r="Q27" s="16">
        <v>0.27272727272727271</v>
      </c>
    </row>
    <row r="28" spans="3:17">
      <c r="C28" s="20" t="s">
        <v>543</v>
      </c>
      <c r="D28" s="18">
        <v>1</v>
      </c>
      <c r="E28" s="19">
        <v>0</v>
      </c>
      <c r="F28" s="19">
        <v>0.75</v>
      </c>
      <c r="G28" s="19">
        <v>0.75</v>
      </c>
      <c r="H28" s="19">
        <v>0</v>
      </c>
      <c r="I28" s="19">
        <v>0.75</v>
      </c>
      <c r="J28" s="19">
        <v>0</v>
      </c>
      <c r="K28" s="19">
        <v>0</v>
      </c>
      <c r="L28" s="19">
        <v>0</v>
      </c>
      <c r="M28" s="19">
        <v>0.75</v>
      </c>
      <c r="N28" s="19">
        <v>0</v>
      </c>
      <c r="O28" s="19">
        <v>0</v>
      </c>
      <c r="P28" s="19">
        <v>0</v>
      </c>
      <c r="Q28" s="16">
        <v>0</v>
      </c>
    </row>
    <row r="29" spans="3:17">
      <c r="C29" s="20" t="s">
        <v>364</v>
      </c>
      <c r="D29" s="18">
        <v>3</v>
      </c>
      <c r="E29" s="19">
        <v>0</v>
      </c>
      <c r="F29" s="19">
        <v>0.375</v>
      </c>
      <c r="G29" s="19">
        <v>0</v>
      </c>
      <c r="H29" s="19">
        <v>0</v>
      </c>
      <c r="I29" s="19">
        <v>0</v>
      </c>
      <c r="J29" s="19">
        <v>0.375</v>
      </c>
      <c r="K29" s="19">
        <v>0.375</v>
      </c>
      <c r="L29" s="19">
        <v>0</v>
      </c>
      <c r="M29" s="19">
        <v>0.375</v>
      </c>
      <c r="N29" s="19">
        <v>0.375</v>
      </c>
      <c r="O29" s="19">
        <v>0.375</v>
      </c>
      <c r="P29" s="19">
        <v>0.375</v>
      </c>
      <c r="Q29" s="16">
        <v>0.375</v>
      </c>
    </row>
    <row r="30" spans="3:17">
      <c r="C30" s="20" t="s">
        <v>128</v>
      </c>
      <c r="D30" s="18">
        <v>4</v>
      </c>
      <c r="E30" s="19">
        <v>0</v>
      </c>
      <c r="F30" s="19">
        <v>1</v>
      </c>
      <c r="G30" s="19">
        <v>2</v>
      </c>
      <c r="H30" s="19">
        <v>0</v>
      </c>
      <c r="I30" s="19">
        <v>0</v>
      </c>
      <c r="J30" s="19">
        <v>0</v>
      </c>
      <c r="K30" s="19">
        <v>1</v>
      </c>
      <c r="L30" s="19">
        <v>0</v>
      </c>
      <c r="M30" s="19">
        <v>0</v>
      </c>
      <c r="N30" s="19">
        <v>1</v>
      </c>
      <c r="O30" s="19">
        <v>0</v>
      </c>
      <c r="P30" s="19">
        <v>0</v>
      </c>
      <c r="Q30" s="16">
        <v>0</v>
      </c>
    </row>
    <row r="31" spans="3:17">
      <c r="C31" s="20" t="s">
        <v>363</v>
      </c>
      <c r="D31" s="18">
        <v>1</v>
      </c>
      <c r="E31" s="19">
        <v>0</v>
      </c>
      <c r="F31" s="19">
        <v>0</v>
      </c>
      <c r="G31" s="19">
        <v>0</v>
      </c>
      <c r="H31" s="19">
        <v>0</v>
      </c>
      <c r="I31" s="19">
        <v>0</v>
      </c>
      <c r="J31" s="19">
        <v>0</v>
      </c>
      <c r="K31" s="19">
        <v>0</v>
      </c>
      <c r="L31" s="19">
        <v>0</v>
      </c>
      <c r="M31" s="19">
        <v>0</v>
      </c>
      <c r="N31" s="19">
        <v>0</v>
      </c>
      <c r="O31" s="19">
        <v>0</v>
      </c>
      <c r="P31" s="19">
        <v>0</v>
      </c>
      <c r="Q31" s="16">
        <v>0</v>
      </c>
    </row>
    <row r="32" spans="3:17">
      <c r="C32" s="20" t="s">
        <v>187</v>
      </c>
      <c r="D32" s="18">
        <v>1</v>
      </c>
      <c r="E32" s="19">
        <v>1</v>
      </c>
      <c r="F32" s="19">
        <v>1</v>
      </c>
      <c r="G32" s="19">
        <v>0</v>
      </c>
      <c r="H32" s="19">
        <v>0</v>
      </c>
      <c r="I32" s="19">
        <v>0</v>
      </c>
      <c r="J32" s="19">
        <v>0</v>
      </c>
      <c r="K32" s="19">
        <v>0</v>
      </c>
      <c r="L32" s="19">
        <v>1</v>
      </c>
      <c r="M32" s="19">
        <v>0</v>
      </c>
      <c r="N32" s="19">
        <v>0</v>
      </c>
      <c r="O32" s="19">
        <v>0</v>
      </c>
      <c r="P32" s="19">
        <v>0</v>
      </c>
      <c r="Q32" s="16">
        <v>0</v>
      </c>
    </row>
    <row r="33" spans="3:17">
      <c r="C33" s="20" t="s">
        <v>182</v>
      </c>
      <c r="D33" s="18">
        <v>2</v>
      </c>
      <c r="E33" s="19">
        <v>0</v>
      </c>
      <c r="F33" s="19">
        <v>0</v>
      </c>
      <c r="G33" s="19">
        <v>0</v>
      </c>
      <c r="H33" s="19">
        <v>1</v>
      </c>
      <c r="I33" s="19">
        <v>2</v>
      </c>
      <c r="J33" s="19">
        <v>0</v>
      </c>
      <c r="K33" s="19">
        <v>2</v>
      </c>
      <c r="L33" s="19">
        <v>0</v>
      </c>
      <c r="M33" s="19">
        <v>0</v>
      </c>
      <c r="N33" s="19">
        <v>0</v>
      </c>
      <c r="O33" s="19">
        <v>1</v>
      </c>
      <c r="P33" s="19">
        <v>0</v>
      </c>
      <c r="Q33" s="16">
        <v>0</v>
      </c>
    </row>
    <row r="34" spans="3:17">
      <c r="C34" s="20" t="s">
        <v>442</v>
      </c>
      <c r="D34" s="18">
        <v>1</v>
      </c>
      <c r="E34" s="19">
        <v>0</v>
      </c>
      <c r="F34" s="19">
        <v>0</v>
      </c>
      <c r="G34" s="19">
        <v>0</v>
      </c>
      <c r="H34" s="19">
        <v>1</v>
      </c>
      <c r="I34" s="19">
        <v>0</v>
      </c>
      <c r="J34" s="19">
        <v>0</v>
      </c>
      <c r="K34" s="19">
        <v>1</v>
      </c>
      <c r="L34" s="19">
        <v>1</v>
      </c>
      <c r="M34" s="19">
        <v>0</v>
      </c>
      <c r="N34" s="19">
        <v>0</v>
      </c>
      <c r="O34" s="19">
        <v>0</v>
      </c>
      <c r="P34" s="19">
        <v>0</v>
      </c>
      <c r="Q34" s="16">
        <v>0</v>
      </c>
    </row>
    <row r="35" spans="3:17">
      <c r="C35" s="20" t="s">
        <v>463</v>
      </c>
      <c r="D35" s="18">
        <v>1</v>
      </c>
      <c r="E35" s="19">
        <v>0</v>
      </c>
      <c r="F35" s="19">
        <v>0</v>
      </c>
      <c r="G35" s="19">
        <v>1</v>
      </c>
      <c r="H35" s="19">
        <v>0</v>
      </c>
      <c r="I35" s="19">
        <v>0</v>
      </c>
      <c r="J35" s="19">
        <v>0</v>
      </c>
      <c r="K35" s="19">
        <v>0</v>
      </c>
      <c r="L35" s="19">
        <v>0</v>
      </c>
      <c r="M35" s="19">
        <v>0</v>
      </c>
      <c r="N35" s="19">
        <v>0</v>
      </c>
      <c r="O35" s="19">
        <v>0</v>
      </c>
      <c r="P35" s="19">
        <v>1</v>
      </c>
      <c r="Q35" s="16">
        <v>0</v>
      </c>
    </row>
    <row r="36" spans="3:17">
      <c r="C36" s="20" t="s">
        <v>487</v>
      </c>
      <c r="D36" s="18">
        <v>2</v>
      </c>
      <c r="E36" s="19">
        <v>0</v>
      </c>
      <c r="F36" s="19">
        <v>0</v>
      </c>
      <c r="G36" s="19">
        <v>0</v>
      </c>
      <c r="H36" s="19">
        <v>0</v>
      </c>
      <c r="I36" s="19">
        <v>0</v>
      </c>
      <c r="J36" s="19">
        <v>0</v>
      </c>
      <c r="K36" s="19">
        <v>0</v>
      </c>
      <c r="L36" s="19">
        <v>0</v>
      </c>
      <c r="M36" s="19">
        <v>0</v>
      </c>
      <c r="N36" s="19">
        <v>0</v>
      </c>
      <c r="O36" s="19">
        <v>0</v>
      </c>
      <c r="P36" s="19">
        <v>0</v>
      </c>
      <c r="Q36" s="16">
        <v>0</v>
      </c>
    </row>
    <row r="37" spans="3:17">
      <c r="C37" s="20" t="s">
        <v>172</v>
      </c>
      <c r="D37" s="18">
        <v>7</v>
      </c>
      <c r="E37" s="19">
        <v>0</v>
      </c>
      <c r="F37" s="19">
        <v>3.75</v>
      </c>
      <c r="G37" s="19">
        <v>1</v>
      </c>
      <c r="H37" s="19">
        <v>3</v>
      </c>
      <c r="I37" s="19">
        <v>2.75</v>
      </c>
      <c r="J37" s="19">
        <v>0</v>
      </c>
      <c r="K37" s="19">
        <v>2.75</v>
      </c>
      <c r="L37" s="19">
        <v>0</v>
      </c>
      <c r="M37" s="19">
        <v>1.75</v>
      </c>
      <c r="N37" s="19">
        <v>1</v>
      </c>
      <c r="O37" s="19">
        <v>0</v>
      </c>
      <c r="P37" s="19">
        <v>0</v>
      </c>
      <c r="Q37" s="16">
        <v>0</v>
      </c>
    </row>
    <row r="38" spans="3:17">
      <c r="C38" s="20" t="s">
        <v>453</v>
      </c>
      <c r="D38" s="18">
        <v>3</v>
      </c>
      <c r="E38" s="19">
        <v>0.5</v>
      </c>
      <c r="F38" s="19">
        <v>2</v>
      </c>
      <c r="G38" s="19">
        <v>0</v>
      </c>
      <c r="H38" s="19">
        <v>0</v>
      </c>
      <c r="I38" s="19">
        <v>1.5</v>
      </c>
      <c r="J38" s="19">
        <v>0</v>
      </c>
      <c r="K38" s="19">
        <v>1.5</v>
      </c>
      <c r="L38" s="19">
        <v>1</v>
      </c>
      <c r="M38" s="19">
        <v>1.5</v>
      </c>
      <c r="N38" s="19">
        <v>0.5</v>
      </c>
      <c r="O38" s="19">
        <v>0.5</v>
      </c>
      <c r="P38" s="19">
        <v>0</v>
      </c>
      <c r="Q38" s="16">
        <v>0</v>
      </c>
    </row>
    <row r="39" spans="3:17">
      <c r="C39" s="20" t="s">
        <v>159</v>
      </c>
      <c r="D39" s="18">
        <v>3</v>
      </c>
      <c r="E39" s="19">
        <v>0.375</v>
      </c>
      <c r="F39" s="19">
        <v>0.375</v>
      </c>
      <c r="G39" s="19">
        <v>0</v>
      </c>
      <c r="H39" s="19">
        <v>0.375</v>
      </c>
      <c r="I39" s="19">
        <v>2.375</v>
      </c>
      <c r="J39" s="19">
        <v>1.375</v>
      </c>
      <c r="K39" s="19">
        <v>0.375</v>
      </c>
      <c r="L39" s="19">
        <v>0</v>
      </c>
      <c r="M39" s="19">
        <v>1.375</v>
      </c>
      <c r="N39" s="19">
        <v>0.375</v>
      </c>
      <c r="O39" s="19">
        <v>0</v>
      </c>
      <c r="P39" s="19">
        <v>1</v>
      </c>
      <c r="Q39" s="16">
        <v>0</v>
      </c>
    </row>
    <row r="40" spans="3:17">
      <c r="C40" s="20" t="s">
        <v>421</v>
      </c>
      <c r="D40" s="18">
        <v>2</v>
      </c>
      <c r="E40" s="19">
        <v>0</v>
      </c>
      <c r="F40" s="19">
        <v>0</v>
      </c>
      <c r="G40" s="19">
        <v>1</v>
      </c>
      <c r="H40" s="19">
        <v>0</v>
      </c>
      <c r="I40" s="19">
        <v>1</v>
      </c>
      <c r="J40" s="19">
        <v>0</v>
      </c>
      <c r="K40" s="19">
        <v>0</v>
      </c>
      <c r="L40" s="19">
        <v>0</v>
      </c>
      <c r="M40" s="19">
        <v>1</v>
      </c>
      <c r="N40" s="19">
        <v>0</v>
      </c>
      <c r="O40" s="19">
        <v>1</v>
      </c>
      <c r="P40" s="19">
        <v>0</v>
      </c>
      <c r="Q40" s="16">
        <v>0</v>
      </c>
    </row>
    <row r="41" spans="3:17">
      <c r="C41" s="20" t="s">
        <v>456</v>
      </c>
      <c r="D41" s="18">
        <v>1</v>
      </c>
      <c r="E41" s="19">
        <v>0</v>
      </c>
      <c r="F41" s="19">
        <v>0</v>
      </c>
      <c r="G41" s="19">
        <v>0</v>
      </c>
      <c r="H41" s="19">
        <v>1</v>
      </c>
      <c r="I41" s="19">
        <v>0</v>
      </c>
      <c r="J41" s="19">
        <v>1</v>
      </c>
      <c r="K41" s="19">
        <v>0</v>
      </c>
      <c r="L41" s="19">
        <v>0</v>
      </c>
      <c r="M41" s="19">
        <v>0</v>
      </c>
      <c r="N41" s="19">
        <v>0</v>
      </c>
      <c r="O41" s="19">
        <v>0</v>
      </c>
      <c r="P41" s="19">
        <v>1</v>
      </c>
      <c r="Q41" s="16">
        <v>0</v>
      </c>
    </row>
    <row r="42" spans="3:17">
      <c r="C42" s="20" t="s">
        <v>163</v>
      </c>
      <c r="D42" s="18">
        <v>3</v>
      </c>
      <c r="E42" s="19">
        <v>1</v>
      </c>
      <c r="F42" s="19">
        <v>1.5</v>
      </c>
      <c r="G42" s="19">
        <v>0</v>
      </c>
      <c r="H42" s="19">
        <v>0.5</v>
      </c>
      <c r="I42" s="19">
        <v>2.5</v>
      </c>
      <c r="J42" s="19">
        <v>0</v>
      </c>
      <c r="K42" s="19">
        <v>0.5</v>
      </c>
      <c r="L42" s="19">
        <v>0</v>
      </c>
      <c r="M42" s="19">
        <v>2.5</v>
      </c>
      <c r="N42" s="19">
        <v>0.5</v>
      </c>
      <c r="O42" s="19">
        <v>0</v>
      </c>
      <c r="P42" s="19">
        <v>0</v>
      </c>
      <c r="Q42" s="16">
        <v>0</v>
      </c>
    </row>
    <row r="43" spans="3:17">
      <c r="C43" s="20" t="s">
        <v>515</v>
      </c>
      <c r="D43" s="18">
        <v>1</v>
      </c>
      <c r="E43" s="19">
        <v>0</v>
      </c>
      <c r="F43" s="19">
        <v>0</v>
      </c>
      <c r="G43" s="19">
        <v>0</v>
      </c>
      <c r="H43" s="19">
        <v>0</v>
      </c>
      <c r="I43" s="19">
        <v>0</v>
      </c>
      <c r="J43" s="19">
        <v>0</v>
      </c>
      <c r="K43" s="19">
        <v>0</v>
      </c>
      <c r="L43" s="19">
        <v>0</v>
      </c>
      <c r="M43" s="19">
        <v>0</v>
      </c>
      <c r="N43" s="19">
        <v>1</v>
      </c>
      <c r="O43" s="19">
        <v>0</v>
      </c>
      <c r="P43" s="19">
        <v>0</v>
      </c>
      <c r="Q43" s="16">
        <v>0</v>
      </c>
    </row>
    <row r="44" spans="3:17">
      <c r="C44" s="20" t="s">
        <v>134</v>
      </c>
      <c r="D44" s="18">
        <v>3</v>
      </c>
      <c r="E44" s="19">
        <v>0</v>
      </c>
      <c r="F44" s="19">
        <v>2</v>
      </c>
      <c r="G44" s="19">
        <v>0</v>
      </c>
      <c r="H44" s="19">
        <v>1</v>
      </c>
      <c r="I44" s="19">
        <v>2</v>
      </c>
      <c r="J44" s="19">
        <v>0</v>
      </c>
      <c r="K44" s="19">
        <v>1</v>
      </c>
      <c r="L44" s="19">
        <v>0</v>
      </c>
      <c r="M44" s="19">
        <v>1</v>
      </c>
      <c r="N44" s="19">
        <v>1</v>
      </c>
      <c r="O44" s="19">
        <v>1</v>
      </c>
      <c r="P44" s="19">
        <v>0</v>
      </c>
      <c r="Q44" s="16">
        <v>0</v>
      </c>
    </row>
    <row r="45" spans="3:17">
      <c r="C45" s="20" t="s">
        <v>116</v>
      </c>
      <c r="D45" s="18">
        <v>4</v>
      </c>
      <c r="E45" s="19">
        <v>0.6</v>
      </c>
      <c r="F45" s="19">
        <v>3.6</v>
      </c>
      <c r="G45" s="19">
        <v>0</v>
      </c>
      <c r="H45" s="19">
        <v>1</v>
      </c>
      <c r="I45" s="19">
        <v>0</v>
      </c>
      <c r="J45" s="19">
        <v>2.6</v>
      </c>
      <c r="K45" s="19">
        <v>2</v>
      </c>
      <c r="L45" s="19">
        <v>0</v>
      </c>
      <c r="M45" s="19">
        <v>0.6</v>
      </c>
      <c r="N45" s="19">
        <v>0.6</v>
      </c>
      <c r="O45" s="19">
        <v>1</v>
      </c>
      <c r="P45" s="19">
        <v>0</v>
      </c>
      <c r="Q45" s="16">
        <v>0</v>
      </c>
    </row>
    <row r="46" spans="3:17">
      <c r="C46" s="20" t="s">
        <v>167</v>
      </c>
      <c r="D46" s="18">
        <v>1</v>
      </c>
      <c r="E46" s="19">
        <v>0</v>
      </c>
      <c r="F46" s="19">
        <v>1</v>
      </c>
      <c r="G46" s="19">
        <v>0</v>
      </c>
      <c r="H46" s="19">
        <v>0</v>
      </c>
      <c r="I46" s="19">
        <v>1</v>
      </c>
      <c r="J46" s="19">
        <v>1</v>
      </c>
      <c r="K46" s="19">
        <v>0</v>
      </c>
      <c r="L46" s="19">
        <v>0</v>
      </c>
      <c r="M46" s="19">
        <v>0</v>
      </c>
      <c r="N46" s="19">
        <v>0</v>
      </c>
      <c r="O46" s="19">
        <v>0</v>
      </c>
      <c r="P46" s="19">
        <v>0</v>
      </c>
      <c r="Q46" s="16">
        <v>0</v>
      </c>
    </row>
    <row r="47" spans="3:17">
      <c r="C47" s="20" t="s">
        <v>149</v>
      </c>
      <c r="D47" s="18">
        <v>1</v>
      </c>
      <c r="E47" s="19">
        <v>0</v>
      </c>
      <c r="F47" s="19">
        <v>0</v>
      </c>
      <c r="G47" s="19">
        <v>0</v>
      </c>
      <c r="H47" s="19">
        <v>0</v>
      </c>
      <c r="I47" s="19">
        <v>0</v>
      </c>
      <c r="J47" s="19">
        <v>0</v>
      </c>
      <c r="K47" s="19">
        <v>0</v>
      </c>
      <c r="L47" s="19">
        <v>0</v>
      </c>
      <c r="M47" s="19">
        <v>1</v>
      </c>
      <c r="N47" s="19">
        <v>0</v>
      </c>
      <c r="O47" s="19">
        <v>0</v>
      </c>
      <c r="P47" s="19">
        <v>0</v>
      </c>
      <c r="Q47" s="16">
        <v>0</v>
      </c>
    </row>
    <row r="48" spans="3:17">
      <c r="C48" s="20" t="s">
        <v>429</v>
      </c>
      <c r="D48" s="18">
        <v>1</v>
      </c>
      <c r="E48" s="19">
        <v>0</v>
      </c>
      <c r="F48" s="19">
        <v>0</v>
      </c>
      <c r="G48" s="19">
        <v>0.75</v>
      </c>
      <c r="H48" s="19">
        <v>0</v>
      </c>
      <c r="I48" s="19">
        <v>0.75</v>
      </c>
      <c r="J48" s="19">
        <v>0</v>
      </c>
      <c r="K48" s="19">
        <v>0</v>
      </c>
      <c r="L48" s="19">
        <v>0</v>
      </c>
      <c r="M48" s="19">
        <v>0.75</v>
      </c>
      <c r="N48" s="19">
        <v>0</v>
      </c>
      <c r="O48" s="19">
        <v>0</v>
      </c>
      <c r="P48" s="19">
        <v>0</v>
      </c>
      <c r="Q48" s="16">
        <v>0.75</v>
      </c>
    </row>
    <row r="49" spans="3:17">
      <c r="C49" s="20" t="s">
        <v>367</v>
      </c>
      <c r="D49" s="18">
        <v>1</v>
      </c>
      <c r="E49" s="19">
        <v>0</v>
      </c>
      <c r="F49" s="19">
        <v>0</v>
      </c>
      <c r="G49" s="19">
        <v>0</v>
      </c>
      <c r="H49" s="19">
        <v>0</v>
      </c>
      <c r="I49" s="19">
        <v>0</v>
      </c>
      <c r="J49" s="19">
        <v>0</v>
      </c>
      <c r="K49" s="19">
        <v>0</v>
      </c>
      <c r="L49" s="19">
        <v>0</v>
      </c>
      <c r="M49" s="19">
        <v>0</v>
      </c>
      <c r="N49" s="19">
        <v>0</v>
      </c>
      <c r="O49" s="19">
        <v>0</v>
      </c>
      <c r="P49" s="19">
        <v>0</v>
      </c>
      <c r="Q49" s="16">
        <v>0</v>
      </c>
    </row>
    <row r="50" spans="3:17">
      <c r="C50" s="20" t="s">
        <v>508</v>
      </c>
      <c r="D50" s="18">
        <v>1</v>
      </c>
      <c r="E50" s="19">
        <v>0</v>
      </c>
      <c r="F50" s="19">
        <v>1</v>
      </c>
      <c r="G50" s="19">
        <v>0</v>
      </c>
      <c r="H50" s="19">
        <v>0</v>
      </c>
      <c r="I50" s="19">
        <v>0</v>
      </c>
      <c r="J50" s="19">
        <v>0</v>
      </c>
      <c r="K50" s="19">
        <v>1</v>
      </c>
      <c r="L50" s="19">
        <v>0</v>
      </c>
      <c r="M50" s="19">
        <v>0</v>
      </c>
      <c r="N50" s="19">
        <v>0</v>
      </c>
      <c r="O50" s="19">
        <v>0</v>
      </c>
      <c r="P50" s="19">
        <v>0</v>
      </c>
      <c r="Q50" s="16">
        <v>0</v>
      </c>
    </row>
    <row r="51" spans="3:17">
      <c r="C51" s="20" t="s">
        <v>179</v>
      </c>
      <c r="D51" s="18">
        <v>2</v>
      </c>
      <c r="E51" s="19">
        <v>0</v>
      </c>
      <c r="F51" s="19">
        <v>1</v>
      </c>
      <c r="G51" s="19">
        <v>1</v>
      </c>
      <c r="H51" s="19">
        <v>0</v>
      </c>
      <c r="I51" s="19">
        <v>1</v>
      </c>
      <c r="J51" s="19">
        <v>0</v>
      </c>
      <c r="K51" s="19">
        <v>0</v>
      </c>
      <c r="L51" s="19">
        <v>0</v>
      </c>
      <c r="M51" s="19">
        <v>1</v>
      </c>
      <c r="N51" s="19">
        <v>1</v>
      </c>
      <c r="O51" s="19">
        <v>0</v>
      </c>
      <c r="P51" s="19">
        <v>0</v>
      </c>
      <c r="Q51" s="16">
        <v>1</v>
      </c>
    </row>
    <row r="52" spans="3:17">
      <c r="C52" s="20" t="s">
        <v>377</v>
      </c>
      <c r="D52" s="18">
        <v>14</v>
      </c>
      <c r="E52" s="19">
        <v>3.6</v>
      </c>
      <c r="F52" s="19">
        <v>9.1999999999999993</v>
      </c>
      <c r="G52" s="19">
        <v>1.2</v>
      </c>
      <c r="H52" s="19">
        <v>0</v>
      </c>
      <c r="I52" s="19">
        <v>2</v>
      </c>
      <c r="J52" s="19">
        <v>5.6</v>
      </c>
      <c r="K52" s="19">
        <v>1</v>
      </c>
      <c r="L52" s="19">
        <v>1</v>
      </c>
      <c r="M52" s="19">
        <v>7.1999999999999993</v>
      </c>
      <c r="N52" s="19">
        <v>1</v>
      </c>
      <c r="O52" s="19">
        <v>3.6</v>
      </c>
      <c r="P52" s="19">
        <v>1</v>
      </c>
      <c r="Q52" s="16">
        <v>1.6</v>
      </c>
    </row>
    <row r="53" spans="3:17">
      <c r="C53" s="20" t="s">
        <v>154</v>
      </c>
      <c r="D53" s="18">
        <v>1</v>
      </c>
      <c r="E53" s="19">
        <v>0</v>
      </c>
      <c r="F53" s="19">
        <v>0</v>
      </c>
      <c r="G53" s="19">
        <v>0</v>
      </c>
      <c r="H53" s="19">
        <v>0</v>
      </c>
      <c r="I53" s="19">
        <v>1</v>
      </c>
      <c r="J53" s="19">
        <v>0</v>
      </c>
      <c r="K53" s="19">
        <v>1</v>
      </c>
      <c r="L53" s="19">
        <v>0</v>
      </c>
      <c r="M53" s="19">
        <v>0</v>
      </c>
      <c r="N53" s="19">
        <v>1</v>
      </c>
      <c r="O53" s="19">
        <v>0</v>
      </c>
      <c r="P53" s="19">
        <v>0</v>
      </c>
      <c r="Q53" s="16">
        <v>0</v>
      </c>
    </row>
    <row r="54" spans="3:17">
      <c r="C54" s="20" t="s">
        <v>425</v>
      </c>
      <c r="D54" s="18">
        <v>1</v>
      </c>
      <c r="E54" s="19">
        <v>0</v>
      </c>
      <c r="F54" s="19">
        <v>0</v>
      </c>
      <c r="G54" s="19">
        <v>0</v>
      </c>
      <c r="H54" s="19">
        <v>1</v>
      </c>
      <c r="I54" s="19">
        <v>0</v>
      </c>
      <c r="J54" s="19">
        <v>0</v>
      </c>
      <c r="K54" s="19">
        <v>0</v>
      </c>
      <c r="L54" s="19">
        <v>0</v>
      </c>
      <c r="M54" s="19">
        <v>1</v>
      </c>
      <c r="N54" s="19">
        <v>1</v>
      </c>
      <c r="O54" s="19">
        <v>0</v>
      </c>
      <c r="P54" s="19">
        <v>0</v>
      </c>
      <c r="Q54" s="16">
        <v>0</v>
      </c>
    </row>
    <row r="55" spans="3:17">
      <c r="C55" s="20" t="s">
        <v>171</v>
      </c>
      <c r="D55" s="18">
        <v>51</v>
      </c>
      <c r="E55" s="19">
        <v>5</v>
      </c>
      <c r="F55" s="19">
        <v>15.25</v>
      </c>
      <c r="G55" s="19">
        <v>8.75</v>
      </c>
      <c r="H55" s="19">
        <v>10.25</v>
      </c>
      <c r="I55" s="19">
        <v>23.25</v>
      </c>
      <c r="J55" s="19">
        <v>7</v>
      </c>
      <c r="K55" s="19">
        <v>8.75</v>
      </c>
      <c r="L55" s="19">
        <v>6</v>
      </c>
      <c r="M55" s="19">
        <v>25.5</v>
      </c>
      <c r="N55" s="19">
        <v>10</v>
      </c>
      <c r="O55" s="19">
        <v>8</v>
      </c>
      <c r="P55" s="19">
        <v>7.75</v>
      </c>
      <c r="Q55" s="16">
        <v>8.5</v>
      </c>
    </row>
    <row r="56" spans="3:17">
      <c r="C56" s="20" t="s">
        <v>144</v>
      </c>
      <c r="D56" s="18">
        <v>1</v>
      </c>
      <c r="E56" s="19">
        <v>0</v>
      </c>
      <c r="F56" s="19">
        <v>0</v>
      </c>
      <c r="G56" s="19">
        <v>1</v>
      </c>
      <c r="H56" s="19">
        <v>0</v>
      </c>
      <c r="I56" s="19">
        <v>0</v>
      </c>
      <c r="J56" s="19">
        <v>0</v>
      </c>
      <c r="K56" s="19">
        <v>0</v>
      </c>
      <c r="L56" s="19">
        <v>0</v>
      </c>
      <c r="M56" s="19">
        <v>1</v>
      </c>
      <c r="N56" s="19">
        <v>0</v>
      </c>
      <c r="O56" s="19">
        <v>0</v>
      </c>
      <c r="P56" s="19">
        <v>0</v>
      </c>
      <c r="Q56" s="16">
        <v>1</v>
      </c>
    </row>
    <row r="57" spans="3:17">
      <c r="C57" s="20" t="s">
        <v>174</v>
      </c>
      <c r="D57" s="18">
        <v>4</v>
      </c>
      <c r="E57" s="19">
        <v>0</v>
      </c>
      <c r="F57" s="19">
        <v>0.75</v>
      </c>
      <c r="G57" s="19">
        <v>0.75</v>
      </c>
      <c r="H57" s="19">
        <v>0.75</v>
      </c>
      <c r="I57" s="19">
        <v>3</v>
      </c>
      <c r="J57" s="19">
        <v>0</v>
      </c>
      <c r="K57" s="19">
        <v>1.75</v>
      </c>
      <c r="L57" s="19">
        <v>0</v>
      </c>
      <c r="M57" s="19">
        <v>3</v>
      </c>
      <c r="N57" s="19">
        <v>0</v>
      </c>
      <c r="O57" s="19">
        <v>1</v>
      </c>
      <c r="P57" s="19">
        <v>0</v>
      </c>
      <c r="Q57" s="16">
        <v>0</v>
      </c>
    </row>
    <row r="58" spans="3:17">
      <c r="C58" s="20" t="s">
        <v>145</v>
      </c>
      <c r="D58" s="18">
        <v>7</v>
      </c>
      <c r="E58" s="19">
        <v>0</v>
      </c>
      <c r="F58" s="19">
        <v>2</v>
      </c>
      <c r="G58" s="19">
        <v>0</v>
      </c>
      <c r="H58" s="19">
        <v>3.75</v>
      </c>
      <c r="I58" s="19">
        <v>2</v>
      </c>
      <c r="J58" s="19">
        <v>1</v>
      </c>
      <c r="K58" s="19">
        <v>4</v>
      </c>
      <c r="L58" s="19">
        <v>0</v>
      </c>
      <c r="M58" s="19">
        <v>2.75</v>
      </c>
      <c r="N58" s="19">
        <v>1.75</v>
      </c>
      <c r="O58" s="19">
        <v>1</v>
      </c>
      <c r="P58" s="19">
        <v>2.75</v>
      </c>
      <c r="Q58" s="16">
        <v>0</v>
      </c>
    </row>
    <row r="59" spans="3:17">
      <c r="C59" s="20" t="s">
        <v>161</v>
      </c>
      <c r="D59" s="18">
        <v>7</v>
      </c>
      <c r="E59" s="19">
        <v>1</v>
      </c>
      <c r="F59" s="19">
        <v>2</v>
      </c>
      <c r="G59" s="19">
        <v>1</v>
      </c>
      <c r="H59" s="19">
        <v>1</v>
      </c>
      <c r="I59" s="19">
        <v>2.75</v>
      </c>
      <c r="J59" s="19">
        <v>1</v>
      </c>
      <c r="K59" s="19">
        <v>0.75</v>
      </c>
      <c r="L59" s="19">
        <v>0</v>
      </c>
      <c r="M59" s="19">
        <v>5.5</v>
      </c>
      <c r="N59" s="19">
        <v>2.5</v>
      </c>
      <c r="O59" s="19">
        <v>0.75</v>
      </c>
      <c r="P59" s="19">
        <v>2</v>
      </c>
      <c r="Q59" s="16">
        <v>0.75</v>
      </c>
    </row>
    <row r="60" spans="3:17">
      <c r="C60" s="20" t="s">
        <v>462</v>
      </c>
      <c r="D60" s="18">
        <v>1</v>
      </c>
      <c r="E60" s="19">
        <v>0</v>
      </c>
      <c r="F60" s="19">
        <v>0</v>
      </c>
      <c r="G60" s="19">
        <v>0</v>
      </c>
      <c r="H60" s="19">
        <v>0</v>
      </c>
      <c r="I60" s="19">
        <v>0</v>
      </c>
      <c r="J60" s="19">
        <v>0</v>
      </c>
      <c r="K60" s="19">
        <v>0</v>
      </c>
      <c r="L60" s="19">
        <v>0</v>
      </c>
      <c r="M60" s="19">
        <v>0</v>
      </c>
      <c r="N60" s="19">
        <v>0</v>
      </c>
      <c r="O60" s="19">
        <v>0</v>
      </c>
      <c r="P60" s="19">
        <v>0</v>
      </c>
      <c r="Q60" s="16">
        <v>0</v>
      </c>
    </row>
    <row r="61" spans="3:17">
      <c r="C61" s="20" t="s">
        <v>157</v>
      </c>
      <c r="D61" s="18">
        <v>2</v>
      </c>
      <c r="E61" s="19">
        <v>0</v>
      </c>
      <c r="F61" s="19">
        <v>1</v>
      </c>
      <c r="G61" s="19">
        <v>0</v>
      </c>
      <c r="H61" s="19">
        <v>1</v>
      </c>
      <c r="I61" s="19">
        <v>1</v>
      </c>
      <c r="J61" s="19">
        <v>1</v>
      </c>
      <c r="K61" s="19">
        <v>0</v>
      </c>
      <c r="L61" s="19">
        <v>0</v>
      </c>
      <c r="M61" s="19">
        <v>1</v>
      </c>
      <c r="N61" s="19">
        <v>1</v>
      </c>
      <c r="O61" s="19">
        <v>0</v>
      </c>
      <c r="P61" s="19">
        <v>0</v>
      </c>
      <c r="Q61" s="16">
        <v>0</v>
      </c>
    </row>
    <row r="62" spans="3:17">
      <c r="C62" s="20" t="s">
        <v>135</v>
      </c>
      <c r="D62" s="18">
        <v>2</v>
      </c>
      <c r="E62" s="19">
        <v>0</v>
      </c>
      <c r="F62" s="19">
        <v>0.5</v>
      </c>
      <c r="G62" s="19">
        <v>0</v>
      </c>
      <c r="H62" s="19">
        <v>1.5</v>
      </c>
      <c r="I62" s="19">
        <v>0.5</v>
      </c>
      <c r="J62" s="19">
        <v>0</v>
      </c>
      <c r="K62" s="19">
        <v>0.5</v>
      </c>
      <c r="L62" s="19">
        <v>0</v>
      </c>
      <c r="M62" s="19">
        <v>1.5</v>
      </c>
      <c r="N62" s="19">
        <v>0</v>
      </c>
      <c r="O62" s="19">
        <v>0</v>
      </c>
      <c r="P62" s="19">
        <v>0.5</v>
      </c>
      <c r="Q62" s="16">
        <v>1</v>
      </c>
    </row>
    <row r="63" spans="3:17">
      <c r="C63" s="20" t="s">
        <v>156</v>
      </c>
      <c r="D63" s="18">
        <v>13</v>
      </c>
      <c r="E63" s="19">
        <v>1</v>
      </c>
      <c r="F63" s="19">
        <v>5</v>
      </c>
      <c r="G63" s="19">
        <v>1.75</v>
      </c>
      <c r="H63" s="19">
        <v>2.75</v>
      </c>
      <c r="I63" s="19">
        <v>7</v>
      </c>
      <c r="J63" s="19">
        <v>1</v>
      </c>
      <c r="K63" s="19">
        <v>2.75</v>
      </c>
      <c r="L63" s="19">
        <v>1</v>
      </c>
      <c r="M63" s="19">
        <v>6</v>
      </c>
      <c r="N63" s="19">
        <v>1.75</v>
      </c>
      <c r="O63" s="19">
        <v>0</v>
      </c>
      <c r="P63" s="19">
        <v>4</v>
      </c>
      <c r="Q63" s="16">
        <v>0</v>
      </c>
    </row>
    <row r="64" spans="3:17">
      <c r="C64" s="20" t="s">
        <v>121</v>
      </c>
      <c r="D64" s="18">
        <v>11</v>
      </c>
      <c r="E64" s="19">
        <v>0</v>
      </c>
      <c r="F64" s="19">
        <v>2.8</v>
      </c>
      <c r="G64" s="19">
        <v>0.3</v>
      </c>
      <c r="H64" s="19">
        <v>1.3</v>
      </c>
      <c r="I64" s="19">
        <v>3.8</v>
      </c>
      <c r="J64" s="19">
        <v>1.8</v>
      </c>
      <c r="K64" s="19">
        <v>3.8</v>
      </c>
      <c r="L64" s="19">
        <v>0</v>
      </c>
      <c r="M64" s="19">
        <v>2.8</v>
      </c>
      <c r="N64" s="19">
        <v>2.5</v>
      </c>
      <c r="O64" s="19">
        <v>4.3</v>
      </c>
      <c r="P64" s="19">
        <v>2.2999999999999998</v>
      </c>
      <c r="Q64" s="16">
        <v>3.3</v>
      </c>
    </row>
    <row r="65" spans="3:17">
      <c r="C65" s="20" t="s">
        <v>153</v>
      </c>
      <c r="D65" s="18">
        <v>2</v>
      </c>
      <c r="E65" s="19">
        <v>0</v>
      </c>
      <c r="F65" s="19">
        <v>1</v>
      </c>
      <c r="G65" s="19">
        <v>0</v>
      </c>
      <c r="H65" s="19">
        <v>1</v>
      </c>
      <c r="I65" s="19">
        <v>1</v>
      </c>
      <c r="J65" s="19">
        <v>0</v>
      </c>
      <c r="K65" s="19">
        <v>0</v>
      </c>
      <c r="L65" s="19">
        <v>0</v>
      </c>
      <c r="M65" s="19">
        <v>1</v>
      </c>
      <c r="N65" s="19">
        <v>1</v>
      </c>
      <c r="O65" s="19">
        <v>1</v>
      </c>
      <c r="P65" s="19">
        <v>0</v>
      </c>
      <c r="Q65" s="16">
        <v>0</v>
      </c>
    </row>
    <row r="66" spans="3:17">
      <c r="C66" s="20" t="s">
        <v>113</v>
      </c>
      <c r="D66" s="18">
        <v>3</v>
      </c>
      <c r="E66" s="19">
        <v>0</v>
      </c>
      <c r="F66" s="19">
        <v>0</v>
      </c>
      <c r="G66" s="19">
        <v>0</v>
      </c>
      <c r="H66" s="19">
        <v>0</v>
      </c>
      <c r="I66" s="19">
        <v>1</v>
      </c>
      <c r="J66" s="19">
        <v>1</v>
      </c>
      <c r="K66" s="19">
        <v>0</v>
      </c>
      <c r="L66" s="19">
        <v>0</v>
      </c>
      <c r="M66" s="19">
        <v>0</v>
      </c>
      <c r="N66" s="19">
        <v>1</v>
      </c>
      <c r="O66" s="19">
        <v>0</v>
      </c>
      <c r="P66" s="19">
        <v>0</v>
      </c>
      <c r="Q66" s="16">
        <v>0</v>
      </c>
    </row>
    <row r="67" spans="3:17">
      <c r="C67" s="20" t="s">
        <v>516</v>
      </c>
      <c r="D67" s="18">
        <v>1</v>
      </c>
      <c r="E67" s="19">
        <v>1</v>
      </c>
      <c r="F67" s="19">
        <v>1</v>
      </c>
      <c r="G67" s="19">
        <v>0</v>
      </c>
      <c r="H67" s="19">
        <v>0</v>
      </c>
      <c r="I67" s="19">
        <v>0</v>
      </c>
      <c r="J67" s="19">
        <v>0</v>
      </c>
      <c r="K67" s="19">
        <v>0</v>
      </c>
      <c r="L67" s="19">
        <v>0</v>
      </c>
      <c r="M67" s="19">
        <v>0</v>
      </c>
      <c r="N67" s="19">
        <v>1</v>
      </c>
      <c r="O67" s="19">
        <v>0</v>
      </c>
      <c r="P67" s="19">
        <v>0</v>
      </c>
      <c r="Q67" s="16">
        <v>0</v>
      </c>
    </row>
    <row r="68" spans="3:17">
      <c r="C68" s="20" t="s">
        <v>470</v>
      </c>
      <c r="D68" s="18">
        <v>2</v>
      </c>
      <c r="E68" s="19">
        <v>0</v>
      </c>
      <c r="F68" s="19">
        <v>1</v>
      </c>
      <c r="G68" s="19">
        <v>0</v>
      </c>
      <c r="H68" s="19">
        <v>0</v>
      </c>
      <c r="I68" s="19">
        <v>1</v>
      </c>
      <c r="J68" s="19">
        <v>1</v>
      </c>
      <c r="K68" s="19">
        <v>0</v>
      </c>
      <c r="L68" s="19">
        <v>0</v>
      </c>
      <c r="M68" s="19">
        <v>1</v>
      </c>
      <c r="N68" s="19">
        <v>0</v>
      </c>
      <c r="O68" s="19">
        <v>1</v>
      </c>
      <c r="P68" s="19">
        <v>0</v>
      </c>
      <c r="Q68" s="16">
        <v>1</v>
      </c>
    </row>
    <row r="69" spans="3:17">
      <c r="C69" s="20" t="s">
        <v>124</v>
      </c>
      <c r="D69" s="18">
        <v>6</v>
      </c>
      <c r="E69" s="19">
        <v>0</v>
      </c>
      <c r="F69" s="19">
        <v>1</v>
      </c>
      <c r="G69" s="19">
        <v>0</v>
      </c>
      <c r="H69" s="19">
        <v>4</v>
      </c>
      <c r="I69" s="19">
        <v>2</v>
      </c>
      <c r="J69" s="19">
        <v>0</v>
      </c>
      <c r="K69" s="19">
        <v>3</v>
      </c>
      <c r="L69" s="19">
        <v>0</v>
      </c>
      <c r="M69" s="19">
        <v>2</v>
      </c>
      <c r="N69" s="19">
        <v>4</v>
      </c>
      <c r="O69" s="19">
        <v>0</v>
      </c>
      <c r="P69" s="19">
        <v>1</v>
      </c>
      <c r="Q69" s="16">
        <v>0</v>
      </c>
    </row>
    <row r="70" spans="3:17">
      <c r="C70" s="20" t="s">
        <v>381</v>
      </c>
      <c r="D70" s="18">
        <v>1</v>
      </c>
      <c r="E70" s="19">
        <v>0</v>
      </c>
      <c r="F70" s="19">
        <v>0</v>
      </c>
      <c r="G70" s="19">
        <v>0</v>
      </c>
      <c r="H70" s="19">
        <v>0</v>
      </c>
      <c r="I70" s="19">
        <v>1</v>
      </c>
      <c r="J70" s="19">
        <v>0</v>
      </c>
      <c r="K70" s="19">
        <v>0</v>
      </c>
      <c r="L70" s="19">
        <v>0</v>
      </c>
      <c r="M70" s="19">
        <v>1</v>
      </c>
      <c r="N70" s="19">
        <v>0</v>
      </c>
      <c r="O70" s="19">
        <v>0</v>
      </c>
      <c r="P70" s="19">
        <v>0</v>
      </c>
      <c r="Q70" s="16">
        <v>0</v>
      </c>
    </row>
    <row r="71" spans="3:17">
      <c r="C71" s="20" t="s">
        <v>371</v>
      </c>
      <c r="D71" s="18">
        <v>2</v>
      </c>
      <c r="E71" s="19">
        <v>0</v>
      </c>
      <c r="F71" s="19">
        <v>1.75</v>
      </c>
      <c r="G71" s="19">
        <v>0</v>
      </c>
      <c r="H71" s="19">
        <v>0.75</v>
      </c>
      <c r="I71" s="19">
        <v>0</v>
      </c>
      <c r="J71" s="19">
        <v>0</v>
      </c>
      <c r="K71" s="19">
        <v>0.75</v>
      </c>
      <c r="L71" s="19">
        <v>0</v>
      </c>
      <c r="M71" s="19">
        <v>0</v>
      </c>
      <c r="N71" s="19">
        <v>0</v>
      </c>
      <c r="O71" s="19">
        <v>0</v>
      </c>
      <c r="P71" s="19">
        <v>1</v>
      </c>
      <c r="Q71" s="16">
        <v>1.75</v>
      </c>
    </row>
    <row r="72" spans="3:17">
      <c r="C72" s="20" t="s">
        <v>445</v>
      </c>
      <c r="D72" s="18">
        <v>1</v>
      </c>
      <c r="E72" s="19">
        <v>1</v>
      </c>
      <c r="F72" s="19">
        <v>1</v>
      </c>
      <c r="G72" s="19">
        <v>0</v>
      </c>
      <c r="H72" s="19">
        <v>0</v>
      </c>
      <c r="I72" s="19">
        <v>0</v>
      </c>
      <c r="J72" s="19">
        <v>0</v>
      </c>
      <c r="K72" s="19">
        <v>0</v>
      </c>
      <c r="L72" s="19">
        <v>0</v>
      </c>
      <c r="M72" s="19">
        <v>0</v>
      </c>
      <c r="N72" s="19">
        <v>0</v>
      </c>
      <c r="O72" s="19">
        <v>1</v>
      </c>
      <c r="P72" s="19">
        <v>0</v>
      </c>
      <c r="Q72" s="16">
        <v>0</v>
      </c>
    </row>
    <row r="73" spans="3:17">
      <c r="C73" s="20" t="s">
        <v>380</v>
      </c>
      <c r="D73" s="18">
        <v>1</v>
      </c>
      <c r="E73" s="19">
        <v>0</v>
      </c>
      <c r="F73" s="19">
        <v>1</v>
      </c>
      <c r="G73" s="19">
        <v>0</v>
      </c>
      <c r="H73" s="19">
        <v>1</v>
      </c>
      <c r="I73" s="19">
        <v>0</v>
      </c>
      <c r="J73" s="19">
        <v>0</v>
      </c>
      <c r="K73" s="19">
        <v>0</v>
      </c>
      <c r="L73" s="19">
        <v>0</v>
      </c>
      <c r="M73" s="19">
        <v>0</v>
      </c>
      <c r="N73" s="19">
        <v>0</v>
      </c>
      <c r="O73" s="19">
        <v>0</v>
      </c>
      <c r="P73" s="19">
        <v>0</v>
      </c>
      <c r="Q73" s="16">
        <v>1</v>
      </c>
    </row>
    <row r="74" spans="3:17">
      <c r="C74" s="20" t="s">
        <v>454</v>
      </c>
      <c r="D74" s="18">
        <v>1</v>
      </c>
      <c r="E74" s="19">
        <v>0</v>
      </c>
      <c r="F74" s="19">
        <v>1</v>
      </c>
      <c r="G74" s="19">
        <v>0</v>
      </c>
      <c r="H74" s="19">
        <v>0</v>
      </c>
      <c r="I74" s="19">
        <v>0</v>
      </c>
      <c r="J74" s="19">
        <v>0</v>
      </c>
      <c r="K74" s="19">
        <v>0</v>
      </c>
      <c r="L74" s="19">
        <v>0</v>
      </c>
      <c r="M74" s="19">
        <v>1</v>
      </c>
      <c r="N74" s="19">
        <v>1</v>
      </c>
      <c r="O74" s="19">
        <v>0</v>
      </c>
      <c r="P74" s="19">
        <v>0</v>
      </c>
      <c r="Q74" s="16">
        <v>0</v>
      </c>
    </row>
    <row r="75" spans="3:17">
      <c r="C75" s="20" t="s">
        <v>379</v>
      </c>
      <c r="D75" s="18">
        <v>6</v>
      </c>
      <c r="E75" s="19">
        <v>1</v>
      </c>
      <c r="F75" s="19">
        <v>2</v>
      </c>
      <c r="G75" s="19">
        <v>2</v>
      </c>
      <c r="H75" s="19">
        <v>0</v>
      </c>
      <c r="I75" s="19">
        <v>3</v>
      </c>
      <c r="J75" s="19">
        <v>0</v>
      </c>
      <c r="K75" s="19">
        <v>0</v>
      </c>
      <c r="L75" s="19">
        <v>0</v>
      </c>
      <c r="M75" s="19">
        <v>3</v>
      </c>
      <c r="N75" s="19">
        <v>0</v>
      </c>
      <c r="O75" s="19">
        <v>2</v>
      </c>
      <c r="P75" s="19">
        <v>1</v>
      </c>
      <c r="Q75" s="16">
        <v>1</v>
      </c>
    </row>
    <row r="76" spans="3:17">
      <c r="C76" s="20" t="s">
        <v>464</v>
      </c>
      <c r="D76" s="18">
        <v>1</v>
      </c>
      <c r="E76" s="19">
        <v>0</v>
      </c>
      <c r="F76" s="19">
        <v>0.75</v>
      </c>
      <c r="G76" s="19">
        <v>0.75</v>
      </c>
      <c r="H76" s="19">
        <v>0</v>
      </c>
      <c r="I76" s="19">
        <v>0</v>
      </c>
      <c r="J76" s="19">
        <v>0.75</v>
      </c>
      <c r="K76" s="19">
        <v>0</v>
      </c>
      <c r="L76" s="19">
        <v>0</v>
      </c>
      <c r="M76" s="19">
        <v>0.75</v>
      </c>
      <c r="N76" s="19">
        <v>0</v>
      </c>
      <c r="O76" s="19">
        <v>0</v>
      </c>
      <c r="P76" s="19">
        <v>0</v>
      </c>
      <c r="Q76" s="16">
        <v>0</v>
      </c>
    </row>
    <row r="77" spans="3:17">
      <c r="C77" s="20" t="s">
        <v>362</v>
      </c>
      <c r="D77" s="18">
        <v>3</v>
      </c>
      <c r="E77" s="19">
        <v>0</v>
      </c>
      <c r="F77" s="19">
        <v>2</v>
      </c>
      <c r="G77" s="19">
        <v>0</v>
      </c>
      <c r="H77" s="19">
        <v>0</v>
      </c>
      <c r="I77" s="19">
        <v>0</v>
      </c>
      <c r="J77" s="19">
        <v>0</v>
      </c>
      <c r="K77" s="19">
        <v>0</v>
      </c>
      <c r="L77" s="19">
        <v>0</v>
      </c>
      <c r="M77" s="19">
        <v>2</v>
      </c>
      <c r="N77" s="19">
        <v>1</v>
      </c>
      <c r="O77" s="19">
        <v>0</v>
      </c>
      <c r="P77" s="19">
        <v>1</v>
      </c>
      <c r="Q77" s="16">
        <v>0</v>
      </c>
    </row>
    <row r="78" spans="3:17">
      <c r="C78" s="20" t="s">
        <v>457</v>
      </c>
      <c r="D78" s="18">
        <v>1</v>
      </c>
      <c r="E78" s="19">
        <v>1</v>
      </c>
      <c r="F78" s="19">
        <v>0</v>
      </c>
      <c r="G78" s="19">
        <v>0</v>
      </c>
      <c r="H78" s="19">
        <v>1</v>
      </c>
      <c r="I78" s="19">
        <v>1</v>
      </c>
      <c r="J78" s="19">
        <v>0</v>
      </c>
      <c r="K78" s="19">
        <v>0</v>
      </c>
      <c r="L78" s="19">
        <v>0</v>
      </c>
      <c r="M78" s="19">
        <v>0</v>
      </c>
      <c r="N78" s="19">
        <v>0</v>
      </c>
      <c r="O78" s="19">
        <v>0</v>
      </c>
      <c r="P78" s="19">
        <v>0</v>
      </c>
      <c r="Q78" s="16">
        <v>0</v>
      </c>
    </row>
    <row r="79" spans="3:17">
      <c r="C79" s="20" t="s">
        <v>522</v>
      </c>
      <c r="D79" s="18">
        <v>1</v>
      </c>
      <c r="E79" s="19">
        <v>0</v>
      </c>
      <c r="F79" s="19">
        <v>0.75</v>
      </c>
      <c r="G79" s="19">
        <v>0</v>
      </c>
      <c r="H79" s="19">
        <v>0.75</v>
      </c>
      <c r="I79" s="19">
        <v>0</v>
      </c>
      <c r="J79" s="19">
        <v>0.75</v>
      </c>
      <c r="K79" s="19">
        <v>0.75</v>
      </c>
      <c r="L79" s="19">
        <v>0</v>
      </c>
      <c r="M79" s="19">
        <v>0</v>
      </c>
      <c r="N79" s="19">
        <v>0</v>
      </c>
      <c r="O79" s="19">
        <v>0</v>
      </c>
      <c r="P79" s="19">
        <v>0</v>
      </c>
      <c r="Q79" s="16">
        <v>0</v>
      </c>
    </row>
    <row r="80" spans="3:17">
      <c r="C80" s="20" t="s">
        <v>126</v>
      </c>
      <c r="D80" s="18">
        <v>3</v>
      </c>
      <c r="E80" s="19">
        <v>0</v>
      </c>
      <c r="F80" s="19">
        <v>0</v>
      </c>
      <c r="G80" s="19">
        <v>0.375</v>
      </c>
      <c r="H80" s="19">
        <v>0.375</v>
      </c>
      <c r="I80" s="19">
        <v>1.375</v>
      </c>
      <c r="J80" s="19">
        <v>0</v>
      </c>
      <c r="K80" s="19">
        <v>0.375</v>
      </c>
      <c r="L80" s="19">
        <v>0</v>
      </c>
      <c r="M80" s="19">
        <v>1.375</v>
      </c>
      <c r="N80" s="19">
        <v>1.375</v>
      </c>
      <c r="O80" s="19">
        <v>0</v>
      </c>
      <c r="P80" s="19">
        <v>1.375</v>
      </c>
      <c r="Q80" s="16">
        <v>1.375</v>
      </c>
    </row>
    <row r="81" spans="3:17">
      <c r="C81" s="20" t="s">
        <v>444</v>
      </c>
      <c r="D81" s="18">
        <v>1</v>
      </c>
      <c r="E81" s="19">
        <v>0</v>
      </c>
      <c r="F81" s="19">
        <v>1</v>
      </c>
      <c r="G81" s="19">
        <v>1</v>
      </c>
      <c r="H81" s="19">
        <v>1</v>
      </c>
      <c r="I81" s="19">
        <v>0</v>
      </c>
      <c r="J81" s="19">
        <v>0</v>
      </c>
      <c r="K81" s="19">
        <v>0</v>
      </c>
      <c r="L81" s="19">
        <v>0</v>
      </c>
      <c r="M81" s="19">
        <v>0</v>
      </c>
      <c r="N81" s="19">
        <v>0</v>
      </c>
      <c r="O81" s="19">
        <v>0</v>
      </c>
      <c r="P81" s="19">
        <v>0</v>
      </c>
      <c r="Q81" s="16">
        <v>0</v>
      </c>
    </row>
    <row r="82" spans="3:17">
      <c r="C82" s="20" t="s">
        <v>474</v>
      </c>
      <c r="D82" s="18">
        <v>1</v>
      </c>
      <c r="E82" s="19">
        <v>0</v>
      </c>
      <c r="F82" s="19">
        <v>0</v>
      </c>
      <c r="G82" s="19">
        <v>0.5</v>
      </c>
      <c r="H82" s="19">
        <v>0.5</v>
      </c>
      <c r="I82" s="19">
        <v>0</v>
      </c>
      <c r="J82" s="19">
        <v>0</v>
      </c>
      <c r="K82" s="19">
        <v>0</v>
      </c>
      <c r="L82" s="19">
        <v>0</v>
      </c>
      <c r="M82" s="19">
        <v>0.5</v>
      </c>
      <c r="N82" s="19">
        <v>0.5</v>
      </c>
      <c r="O82" s="19">
        <v>0</v>
      </c>
      <c r="P82" s="19">
        <v>0.5</v>
      </c>
      <c r="Q82" s="16">
        <v>0.5</v>
      </c>
    </row>
    <row r="83" spans="3:17">
      <c r="C83" s="20" t="s">
        <v>119</v>
      </c>
      <c r="D83" s="18">
        <v>2</v>
      </c>
      <c r="E83" s="19">
        <v>0</v>
      </c>
      <c r="F83" s="19">
        <v>0</v>
      </c>
      <c r="G83" s="19">
        <v>0</v>
      </c>
      <c r="H83" s="19">
        <v>1</v>
      </c>
      <c r="I83" s="19">
        <v>0.75</v>
      </c>
      <c r="J83" s="19">
        <v>0</v>
      </c>
      <c r="K83" s="19">
        <v>0</v>
      </c>
      <c r="L83" s="19">
        <v>0.75</v>
      </c>
      <c r="M83" s="19">
        <v>0.75</v>
      </c>
      <c r="N83" s="19">
        <v>0</v>
      </c>
      <c r="O83" s="19">
        <v>0.75</v>
      </c>
      <c r="P83" s="19">
        <v>1</v>
      </c>
      <c r="Q83" s="16">
        <v>0</v>
      </c>
    </row>
    <row r="84" spans="3:17">
      <c r="C84" s="20" t="s">
        <v>146</v>
      </c>
      <c r="D84" s="18">
        <v>1</v>
      </c>
      <c r="E84" s="19">
        <v>0</v>
      </c>
      <c r="F84" s="19">
        <v>0</v>
      </c>
      <c r="G84" s="19">
        <v>0</v>
      </c>
      <c r="H84" s="19">
        <v>0</v>
      </c>
      <c r="I84" s="19">
        <v>1</v>
      </c>
      <c r="J84" s="19">
        <v>0</v>
      </c>
      <c r="K84" s="19">
        <v>0</v>
      </c>
      <c r="L84" s="19">
        <v>0</v>
      </c>
      <c r="M84" s="19">
        <v>1</v>
      </c>
      <c r="N84" s="19">
        <v>0</v>
      </c>
      <c r="O84" s="19">
        <v>0</v>
      </c>
      <c r="P84" s="19">
        <v>0</v>
      </c>
      <c r="Q84" s="16">
        <v>0</v>
      </c>
    </row>
    <row r="85" spans="3:17">
      <c r="C85" s="20" t="s">
        <v>176</v>
      </c>
      <c r="D85" s="18">
        <v>4</v>
      </c>
      <c r="E85" s="19">
        <v>0</v>
      </c>
      <c r="F85" s="19">
        <v>1</v>
      </c>
      <c r="G85" s="19">
        <v>1</v>
      </c>
      <c r="H85" s="19">
        <v>0.75</v>
      </c>
      <c r="I85" s="19">
        <v>2.75</v>
      </c>
      <c r="J85" s="19">
        <v>0</v>
      </c>
      <c r="K85" s="19">
        <v>0.75</v>
      </c>
      <c r="L85" s="19">
        <v>0</v>
      </c>
      <c r="M85" s="19">
        <v>3.75</v>
      </c>
      <c r="N85" s="19">
        <v>0</v>
      </c>
      <c r="O85" s="19">
        <v>0</v>
      </c>
      <c r="P85" s="19">
        <v>1</v>
      </c>
      <c r="Q85" s="16">
        <v>0</v>
      </c>
    </row>
    <row r="86" spans="3:17">
      <c r="C86" s="20" t="s">
        <v>378</v>
      </c>
      <c r="D86" s="18">
        <v>1</v>
      </c>
      <c r="E86" s="19">
        <v>0</v>
      </c>
      <c r="F86" s="19">
        <v>1</v>
      </c>
      <c r="G86" s="19">
        <v>0</v>
      </c>
      <c r="H86" s="19">
        <v>1</v>
      </c>
      <c r="I86" s="19">
        <v>0</v>
      </c>
      <c r="J86" s="19">
        <v>0</v>
      </c>
      <c r="K86" s="19">
        <v>0</v>
      </c>
      <c r="L86" s="19">
        <v>0</v>
      </c>
      <c r="M86" s="19">
        <v>0</v>
      </c>
      <c r="N86" s="19">
        <v>1</v>
      </c>
      <c r="O86" s="19">
        <v>0</v>
      </c>
      <c r="P86" s="19">
        <v>0</v>
      </c>
      <c r="Q86" s="16">
        <v>0</v>
      </c>
    </row>
    <row r="87" spans="3:17">
      <c r="C87" s="20" t="s">
        <v>155</v>
      </c>
      <c r="D87" s="18">
        <v>10</v>
      </c>
      <c r="E87" s="19">
        <v>2.2307692307692308</v>
      </c>
      <c r="F87" s="19">
        <v>5.9807692307692308</v>
      </c>
      <c r="G87" s="19">
        <v>2.9807692307692308</v>
      </c>
      <c r="H87" s="19">
        <v>2.2307692307692308</v>
      </c>
      <c r="I87" s="19">
        <v>1.2307692307692308</v>
      </c>
      <c r="J87" s="19">
        <v>0.98076923076923084</v>
      </c>
      <c r="K87" s="19">
        <v>0.23076923076923078</v>
      </c>
      <c r="L87" s="19">
        <v>1.2307692307692308</v>
      </c>
      <c r="M87" s="19">
        <v>5.9807692307692308</v>
      </c>
      <c r="N87" s="19">
        <v>1.2307692307692308</v>
      </c>
      <c r="O87" s="19">
        <v>2.2307692307692308</v>
      </c>
      <c r="P87" s="19">
        <v>0.23076923076923078</v>
      </c>
      <c r="Q87" s="16">
        <v>0.23076923076923078</v>
      </c>
    </row>
    <row r="88" spans="3:17">
      <c r="C88" s="20" t="s">
        <v>376</v>
      </c>
      <c r="D88" s="18">
        <v>1</v>
      </c>
      <c r="E88" s="19">
        <v>0</v>
      </c>
      <c r="F88" s="19">
        <v>1</v>
      </c>
      <c r="G88" s="19">
        <v>0</v>
      </c>
      <c r="H88" s="19">
        <v>0</v>
      </c>
      <c r="I88" s="19">
        <v>1</v>
      </c>
      <c r="J88" s="19">
        <v>0</v>
      </c>
      <c r="K88" s="19">
        <v>0</v>
      </c>
      <c r="L88" s="19">
        <v>0</v>
      </c>
      <c r="M88" s="19">
        <v>1</v>
      </c>
      <c r="N88" s="19">
        <v>0</v>
      </c>
      <c r="O88" s="19">
        <v>0</v>
      </c>
      <c r="P88" s="19">
        <v>0</v>
      </c>
      <c r="Q88" s="16">
        <v>0</v>
      </c>
    </row>
    <row r="89" spans="3:17">
      <c r="C89" s="20" t="s">
        <v>178</v>
      </c>
      <c r="D89" s="18">
        <v>2</v>
      </c>
      <c r="E89" s="19">
        <v>0</v>
      </c>
      <c r="F89" s="19">
        <v>1.6</v>
      </c>
      <c r="G89" s="19">
        <v>0</v>
      </c>
      <c r="H89" s="19">
        <v>1</v>
      </c>
      <c r="I89" s="19">
        <v>0.6</v>
      </c>
      <c r="J89" s="19">
        <v>0</v>
      </c>
      <c r="K89" s="19">
        <v>1.6</v>
      </c>
      <c r="L89" s="19">
        <v>0</v>
      </c>
      <c r="M89" s="19">
        <v>0.6</v>
      </c>
      <c r="N89" s="19">
        <v>0.6</v>
      </c>
      <c r="O89" s="19">
        <v>0</v>
      </c>
      <c r="P89" s="19">
        <v>0</v>
      </c>
      <c r="Q89" s="16">
        <v>0</v>
      </c>
    </row>
    <row r="90" spans="3:17">
      <c r="C90" s="20" t="s">
        <v>139</v>
      </c>
      <c r="D90" s="18">
        <v>3</v>
      </c>
      <c r="E90" s="19">
        <v>0</v>
      </c>
      <c r="F90" s="19">
        <v>0.75</v>
      </c>
      <c r="G90" s="19">
        <v>0</v>
      </c>
      <c r="H90" s="19">
        <v>0.75</v>
      </c>
      <c r="I90" s="19">
        <v>1.75</v>
      </c>
      <c r="J90" s="19">
        <v>0</v>
      </c>
      <c r="K90" s="19">
        <v>2.5</v>
      </c>
      <c r="L90" s="19">
        <v>0</v>
      </c>
      <c r="M90" s="19">
        <v>2.5</v>
      </c>
      <c r="N90" s="19">
        <v>0</v>
      </c>
      <c r="O90" s="19">
        <v>0</v>
      </c>
      <c r="P90" s="19">
        <v>0</v>
      </c>
      <c r="Q90" s="16">
        <v>0.75</v>
      </c>
    </row>
    <row r="91" spans="3:17">
      <c r="C91" s="20" t="s">
        <v>150</v>
      </c>
      <c r="D91" s="18">
        <v>19</v>
      </c>
      <c r="E91" s="19">
        <v>1.5</v>
      </c>
      <c r="F91" s="19">
        <v>8.85</v>
      </c>
      <c r="G91" s="19">
        <v>0.5</v>
      </c>
      <c r="H91" s="19">
        <v>1</v>
      </c>
      <c r="I91" s="19">
        <v>8.1</v>
      </c>
      <c r="J91" s="19">
        <v>1.75</v>
      </c>
      <c r="K91" s="19">
        <v>5.6</v>
      </c>
      <c r="L91" s="19">
        <v>1</v>
      </c>
      <c r="M91" s="19">
        <v>11.85</v>
      </c>
      <c r="N91" s="19">
        <v>3.35</v>
      </c>
      <c r="O91" s="19">
        <v>2</v>
      </c>
      <c r="P91" s="19">
        <v>2.5</v>
      </c>
      <c r="Q91" s="16">
        <v>1</v>
      </c>
    </row>
    <row r="92" spans="3:17">
      <c r="C92" s="20" t="s">
        <v>185</v>
      </c>
      <c r="D92" s="18">
        <v>5</v>
      </c>
      <c r="E92" s="19">
        <v>0</v>
      </c>
      <c r="F92" s="19">
        <v>1.5</v>
      </c>
      <c r="G92" s="19">
        <v>0</v>
      </c>
      <c r="H92" s="19">
        <v>0</v>
      </c>
      <c r="I92" s="19">
        <v>0.5</v>
      </c>
      <c r="J92" s="19">
        <v>0.5</v>
      </c>
      <c r="K92" s="19">
        <v>1</v>
      </c>
      <c r="L92" s="19">
        <v>2</v>
      </c>
      <c r="M92" s="19">
        <v>3.5</v>
      </c>
      <c r="N92" s="19">
        <v>0</v>
      </c>
      <c r="O92" s="19">
        <v>1</v>
      </c>
      <c r="P92" s="19">
        <v>0.5</v>
      </c>
      <c r="Q92" s="16">
        <v>0.5</v>
      </c>
    </row>
    <row r="93" spans="3:17">
      <c r="C93" s="20" t="s">
        <v>175</v>
      </c>
      <c r="D93" s="18">
        <v>2</v>
      </c>
      <c r="E93" s="19">
        <v>0</v>
      </c>
      <c r="F93" s="19">
        <v>0</v>
      </c>
      <c r="G93" s="19">
        <v>0</v>
      </c>
      <c r="H93" s="19">
        <v>0</v>
      </c>
      <c r="I93" s="19">
        <v>0</v>
      </c>
      <c r="J93" s="19">
        <v>0</v>
      </c>
      <c r="K93" s="19">
        <v>1</v>
      </c>
      <c r="L93" s="19">
        <v>0</v>
      </c>
      <c r="M93" s="19">
        <v>1</v>
      </c>
      <c r="N93" s="19">
        <v>1</v>
      </c>
      <c r="O93" s="19">
        <v>0</v>
      </c>
      <c r="P93" s="19">
        <v>1</v>
      </c>
      <c r="Q93" s="16">
        <v>2</v>
      </c>
    </row>
    <row r="94" spans="3:17">
      <c r="C94" s="20" t="s">
        <v>458</v>
      </c>
      <c r="D94" s="18">
        <v>1</v>
      </c>
      <c r="E94" s="19">
        <v>1</v>
      </c>
      <c r="F94" s="19">
        <v>0</v>
      </c>
      <c r="G94" s="19">
        <v>1</v>
      </c>
      <c r="H94" s="19">
        <v>0</v>
      </c>
      <c r="I94" s="19">
        <v>0</v>
      </c>
      <c r="J94" s="19">
        <v>1</v>
      </c>
      <c r="K94" s="19">
        <v>0</v>
      </c>
      <c r="L94" s="19">
        <v>0</v>
      </c>
      <c r="M94" s="19">
        <v>0</v>
      </c>
      <c r="N94" s="19">
        <v>0</v>
      </c>
      <c r="O94" s="19">
        <v>0</v>
      </c>
      <c r="P94" s="19">
        <v>0</v>
      </c>
      <c r="Q94" s="16">
        <v>0</v>
      </c>
    </row>
    <row r="95" spans="3:17">
      <c r="C95" s="20" t="s">
        <v>475</v>
      </c>
      <c r="D95" s="18">
        <v>1</v>
      </c>
      <c r="E95" s="19">
        <v>0</v>
      </c>
      <c r="F95" s="19">
        <v>0</v>
      </c>
      <c r="G95" s="19">
        <v>0</v>
      </c>
      <c r="H95" s="19">
        <v>1</v>
      </c>
      <c r="I95" s="19">
        <v>0</v>
      </c>
      <c r="J95" s="19">
        <v>0</v>
      </c>
      <c r="K95" s="19">
        <v>1</v>
      </c>
      <c r="L95" s="19">
        <v>0</v>
      </c>
      <c r="M95" s="19">
        <v>0</v>
      </c>
      <c r="N95" s="19">
        <v>0</v>
      </c>
      <c r="O95" s="19">
        <v>0</v>
      </c>
      <c r="P95" s="19">
        <v>0</v>
      </c>
      <c r="Q95" s="16">
        <v>1</v>
      </c>
    </row>
    <row r="96" spans="3:17">
      <c r="C96" s="20" t="s">
        <v>519</v>
      </c>
      <c r="D96" s="18">
        <v>1</v>
      </c>
      <c r="E96" s="19">
        <v>0</v>
      </c>
      <c r="F96" s="19">
        <v>1</v>
      </c>
      <c r="G96" s="19">
        <v>0</v>
      </c>
      <c r="H96" s="19">
        <v>0</v>
      </c>
      <c r="I96" s="19">
        <v>0</v>
      </c>
      <c r="J96" s="19">
        <v>1</v>
      </c>
      <c r="K96" s="19">
        <v>0</v>
      </c>
      <c r="L96" s="19">
        <v>0</v>
      </c>
      <c r="M96" s="19">
        <v>0</v>
      </c>
      <c r="N96" s="19">
        <v>0</v>
      </c>
      <c r="O96" s="19">
        <v>0</v>
      </c>
      <c r="P96" s="19">
        <v>1</v>
      </c>
      <c r="Q96" s="16">
        <v>0</v>
      </c>
    </row>
    <row r="97" spans="3:17">
      <c r="C97" s="20" t="s">
        <v>132</v>
      </c>
      <c r="D97" s="18">
        <v>3</v>
      </c>
      <c r="E97" s="19">
        <v>0</v>
      </c>
      <c r="F97" s="19">
        <v>1</v>
      </c>
      <c r="G97" s="19">
        <v>0</v>
      </c>
      <c r="H97" s="19">
        <v>0</v>
      </c>
      <c r="I97" s="19">
        <v>2</v>
      </c>
      <c r="J97" s="19">
        <v>1</v>
      </c>
      <c r="K97" s="19">
        <v>1</v>
      </c>
      <c r="L97" s="19">
        <v>0</v>
      </c>
      <c r="M97" s="19">
        <v>0</v>
      </c>
      <c r="N97" s="19">
        <v>0</v>
      </c>
      <c r="O97" s="19">
        <v>1</v>
      </c>
      <c r="P97" s="19">
        <v>0</v>
      </c>
      <c r="Q97" s="16">
        <v>0</v>
      </c>
    </row>
    <row r="98" spans="3:17">
      <c r="C98" s="20" t="s">
        <v>511</v>
      </c>
      <c r="D98" s="18">
        <v>1</v>
      </c>
      <c r="E98" s="19">
        <v>0</v>
      </c>
      <c r="F98" s="19">
        <v>1</v>
      </c>
      <c r="G98" s="19">
        <v>0</v>
      </c>
      <c r="H98" s="19">
        <v>0</v>
      </c>
      <c r="I98" s="19">
        <v>0</v>
      </c>
      <c r="J98" s="19">
        <v>0</v>
      </c>
      <c r="K98" s="19">
        <v>0</v>
      </c>
      <c r="L98" s="19">
        <v>0</v>
      </c>
      <c r="M98" s="19">
        <v>0</v>
      </c>
      <c r="N98" s="19">
        <v>0</v>
      </c>
      <c r="O98" s="19">
        <v>0</v>
      </c>
      <c r="P98" s="19">
        <v>0</v>
      </c>
      <c r="Q98" s="16">
        <v>0</v>
      </c>
    </row>
    <row r="99" spans="3:17">
      <c r="C99" s="20" t="s">
        <v>148</v>
      </c>
      <c r="D99" s="18">
        <v>8</v>
      </c>
      <c r="E99" s="19">
        <v>0.6</v>
      </c>
      <c r="F99" s="19">
        <v>3</v>
      </c>
      <c r="G99" s="19">
        <v>1.6</v>
      </c>
      <c r="H99" s="19">
        <v>0</v>
      </c>
      <c r="I99" s="19">
        <v>4.5999999999999996</v>
      </c>
      <c r="J99" s="19">
        <v>0</v>
      </c>
      <c r="K99" s="19">
        <v>1</v>
      </c>
      <c r="L99" s="19">
        <v>0</v>
      </c>
      <c r="M99" s="19">
        <v>1.6</v>
      </c>
      <c r="N99" s="19">
        <v>3</v>
      </c>
      <c r="O99" s="19">
        <v>2</v>
      </c>
      <c r="P99" s="19">
        <v>2</v>
      </c>
      <c r="Q99" s="16">
        <v>1.6</v>
      </c>
    </row>
    <row r="100" spans="3:17">
      <c r="C100" s="20" t="s">
        <v>131</v>
      </c>
      <c r="D100" s="18">
        <v>3</v>
      </c>
      <c r="E100" s="19">
        <v>0</v>
      </c>
      <c r="F100" s="19">
        <v>0</v>
      </c>
      <c r="G100" s="19">
        <v>0</v>
      </c>
      <c r="H100" s="19">
        <v>0</v>
      </c>
      <c r="I100" s="19">
        <v>2</v>
      </c>
      <c r="J100" s="19">
        <v>0</v>
      </c>
      <c r="K100" s="19">
        <v>1</v>
      </c>
      <c r="L100" s="19">
        <v>0</v>
      </c>
      <c r="M100" s="19">
        <v>2</v>
      </c>
      <c r="N100" s="19">
        <v>1</v>
      </c>
      <c r="O100" s="19">
        <v>1</v>
      </c>
      <c r="P100" s="19">
        <v>0</v>
      </c>
      <c r="Q100" s="16">
        <v>0</v>
      </c>
    </row>
    <row r="101" spans="3:17">
      <c r="C101" s="20" t="s">
        <v>136</v>
      </c>
      <c r="D101" s="18">
        <v>1</v>
      </c>
      <c r="E101" s="19">
        <v>0.3</v>
      </c>
      <c r="F101" s="19">
        <v>0</v>
      </c>
      <c r="G101" s="19">
        <v>0.3</v>
      </c>
      <c r="H101" s="19">
        <v>0.3</v>
      </c>
      <c r="I101" s="19">
        <v>0.3</v>
      </c>
      <c r="J101" s="19">
        <v>0</v>
      </c>
      <c r="K101" s="19">
        <v>0.3</v>
      </c>
      <c r="L101" s="19">
        <v>0.3</v>
      </c>
      <c r="M101" s="19">
        <v>0.3</v>
      </c>
      <c r="N101" s="19">
        <v>0.3</v>
      </c>
      <c r="O101" s="19">
        <v>0</v>
      </c>
      <c r="P101" s="19">
        <v>0.3</v>
      </c>
      <c r="Q101" s="16">
        <v>0.3</v>
      </c>
    </row>
    <row r="102" spans="3:17">
      <c r="C102" s="20" t="s">
        <v>127</v>
      </c>
      <c r="D102" s="18">
        <v>2</v>
      </c>
      <c r="E102" s="19">
        <v>1</v>
      </c>
      <c r="F102" s="19">
        <v>0</v>
      </c>
      <c r="G102" s="19">
        <v>1</v>
      </c>
      <c r="H102" s="19">
        <v>0</v>
      </c>
      <c r="I102" s="19">
        <v>1</v>
      </c>
      <c r="J102" s="19">
        <v>0</v>
      </c>
      <c r="K102" s="19">
        <v>1</v>
      </c>
      <c r="L102" s="19">
        <v>0</v>
      </c>
      <c r="M102" s="19">
        <v>1</v>
      </c>
      <c r="N102" s="19">
        <v>0</v>
      </c>
      <c r="O102" s="19">
        <v>1</v>
      </c>
      <c r="P102" s="19">
        <v>0</v>
      </c>
      <c r="Q102" s="16">
        <v>0</v>
      </c>
    </row>
    <row r="103" spans="3:17">
      <c r="C103" s="20" t="s">
        <v>115</v>
      </c>
      <c r="D103" s="18">
        <v>4</v>
      </c>
      <c r="E103" s="19">
        <v>0</v>
      </c>
      <c r="F103" s="19">
        <v>0</v>
      </c>
      <c r="G103" s="19">
        <v>0</v>
      </c>
      <c r="H103" s="19">
        <v>1</v>
      </c>
      <c r="I103" s="19">
        <v>0</v>
      </c>
      <c r="J103" s="19">
        <v>1</v>
      </c>
      <c r="K103" s="19">
        <v>0</v>
      </c>
      <c r="L103" s="19">
        <v>0</v>
      </c>
      <c r="M103" s="19">
        <v>1</v>
      </c>
      <c r="N103" s="19">
        <v>2</v>
      </c>
      <c r="O103" s="19">
        <v>0</v>
      </c>
      <c r="P103" s="19">
        <v>0</v>
      </c>
      <c r="Q103" s="16">
        <v>0</v>
      </c>
    </row>
    <row r="104" spans="3:17">
      <c r="C104" s="20" t="s">
        <v>166</v>
      </c>
      <c r="D104" s="18">
        <v>1</v>
      </c>
      <c r="E104" s="19">
        <v>0</v>
      </c>
      <c r="F104" s="19">
        <v>1</v>
      </c>
      <c r="G104" s="19">
        <v>0</v>
      </c>
      <c r="H104" s="19">
        <v>0</v>
      </c>
      <c r="I104" s="19">
        <v>1</v>
      </c>
      <c r="J104" s="19">
        <v>0</v>
      </c>
      <c r="K104" s="19">
        <v>0</v>
      </c>
      <c r="L104" s="19">
        <v>0</v>
      </c>
      <c r="M104" s="19">
        <v>1</v>
      </c>
      <c r="N104" s="19">
        <v>0</v>
      </c>
      <c r="O104" s="19">
        <v>0</v>
      </c>
      <c r="P104" s="19">
        <v>0</v>
      </c>
      <c r="Q104" s="16">
        <v>0</v>
      </c>
    </row>
    <row r="105" spans="3:17">
      <c r="C105" s="20" t="s">
        <v>125</v>
      </c>
      <c r="D105" s="18">
        <v>2</v>
      </c>
      <c r="E105" s="19">
        <v>0</v>
      </c>
      <c r="F105" s="19">
        <v>1</v>
      </c>
      <c r="G105" s="19">
        <v>0</v>
      </c>
      <c r="H105" s="19">
        <v>1</v>
      </c>
      <c r="I105" s="19">
        <v>0</v>
      </c>
      <c r="J105" s="19">
        <v>1</v>
      </c>
      <c r="K105" s="19">
        <v>0</v>
      </c>
      <c r="L105" s="19">
        <v>0</v>
      </c>
      <c r="M105" s="19">
        <v>1</v>
      </c>
      <c r="N105" s="19">
        <v>0</v>
      </c>
      <c r="O105" s="19">
        <v>1</v>
      </c>
      <c r="P105" s="19">
        <v>0</v>
      </c>
      <c r="Q105" s="16">
        <v>0</v>
      </c>
    </row>
    <row r="106" spans="3:17">
      <c r="C106" s="20" t="s">
        <v>117</v>
      </c>
      <c r="D106" s="18">
        <v>8</v>
      </c>
      <c r="E106" s="19">
        <v>1</v>
      </c>
      <c r="F106" s="19">
        <v>2.4285714285714288</v>
      </c>
      <c r="G106" s="19">
        <v>1</v>
      </c>
      <c r="H106" s="19">
        <v>1.4285714285714286</v>
      </c>
      <c r="I106" s="19">
        <v>5.4285714285714288</v>
      </c>
      <c r="J106" s="19">
        <v>1.4285714285714286</v>
      </c>
      <c r="K106" s="19">
        <v>0.42857142857142855</v>
      </c>
      <c r="L106" s="19">
        <v>0</v>
      </c>
      <c r="M106" s="19">
        <v>3.4285714285714284</v>
      </c>
      <c r="N106" s="19">
        <v>0</v>
      </c>
      <c r="O106" s="19">
        <v>1</v>
      </c>
      <c r="P106" s="19">
        <v>0.42857142857142855</v>
      </c>
      <c r="Q106" s="16">
        <v>1</v>
      </c>
    </row>
    <row r="107" spans="3:17">
      <c r="C107" s="20" t="s">
        <v>168</v>
      </c>
      <c r="D107" s="18">
        <v>2</v>
      </c>
      <c r="E107" s="19">
        <v>0</v>
      </c>
      <c r="F107" s="19">
        <v>2</v>
      </c>
      <c r="G107" s="19">
        <v>0</v>
      </c>
      <c r="H107" s="19">
        <v>1</v>
      </c>
      <c r="I107" s="19">
        <v>1</v>
      </c>
      <c r="J107" s="19">
        <v>0</v>
      </c>
      <c r="K107" s="19">
        <v>1</v>
      </c>
      <c r="L107" s="19">
        <v>0</v>
      </c>
      <c r="M107" s="19">
        <v>1</v>
      </c>
      <c r="N107" s="19">
        <v>0</v>
      </c>
      <c r="O107" s="19">
        <v>0</v>
      </c>
      <c r="P107" s="19">
        <v>0</v>
      </c>
      <c r="Q107" s="16">
        <v>0</v>
      </c>
    </row>
    <row r="108" spans="3:17">
      <c r="C108" s="20" t="s">
        <v>170</v>
      </c>
      <c r="D108" s="18">
        <v>1</v>
      </c>
      <c r="E108" s="19">
        <v>0</v>
      </c>
      <c r="F108" s="19">
        <v>1</v>
      </c>
      <c r="G108" s="19">
        <v>0</v>
      </c>
      <c r="H108" s="19">
        <v>0</v>
      </c>
      <c r="I108" s="19">
        <v>0</v>
      </c>
      <c r="J108" s="19">
        <v>0</v>
      </c>
      <c r="K108" s="19">
        <v>0</v>
      </c>
      <c r="L108" s="19">
        <v>0</v>
      </c>
      <c r="M108" s="19">
        <v>0</v>
      </c>
      <c r="N108" s="19">
        <v>0</v>
      </c>
      <c r="O108" s="19">
        <v>0</v>
      </c>
      <c r="P108" s="19">
        <v>0</v>
      </c>
      <c r="Q108" s="16">
        <v>0</v>
      </c>
    </row>
    <row r="109" spans="3:17">
      <c r="C109" s="20" t="s">
        <v>158</v>
      </c>
      <c r="D109" s="18">
        <v>4</v>
      </c>
      <c r="E109" s="19">
        <v>0</v>
      </c>
      <c r="F109" s="19">
        <v>1</v>
      </c>
      <c r="G109" s="19">
        <v>0</v>
      </c>
      <c r="H109" s="19">
        <v>0.75</v>
      </c>
      <c r="I109" s="19">
        <v>0</v>
      </c>
      <c r="J109" s="19">
        <v>2</v>
      </c>
      <c r="K109" s="19">
        <v>0.75</v>
      </c>
      <c r="L109" s="19">
        <v>0</v>
      </c>
      <c r="M109" s="19">
        <v>3</v>
      </c>
      <c r="N109" s="19">
        <v>0.75</v>
      </c>
      <c r="O109" s="19">
        <v>1</v>
      </c>
      <c r="P109" s="19">
        <v>1.75</v>
      </c>
      <c r="Q109" s="16">
        <v>0</v>
      </c>
    </row>
    <row r="110" spans="3:17">
      <c r="C110" s="20" t="s">
        <v>129</v>
      </c>
      <c r="D110" s="18">
        <v>3</v>
      </c>
      <c r="E110" s="19">
        <v>0</v>
      </c>
      <c r="F110" s="19">
        <v>1</v>
      </c>
      <c r="G110" s="19">
        <v>0</v>
      </c>
      <c r="H110" s="19">
        <v>1</v>
      </c>
      <c r="I110" s="19">
        <v>2</v>
      </c>
      <c r="J110" s="19">
        <v>0</v>
      </c>
      <c r="K110" s="19">
        <v>1</v>
      </c>
      <c r="L110" s="19">
        <v>0</v>
      </c>
      <c r="M110" s="19">
        <v>1</v>
      </c>
      <c r="N110" s="19">
        <v>1</v>
      </c>
      <c r="O110" s="19">
        <v>2</v>
      </c>
      <c r="P110" s="19">
        <v>0</v>
      </c>
      <c r="Q110" s="16">
        <v>0</v>
      </c>
    </row>
    <row r="111" spans="3:17">
      <c r="C111" s="20" t="s">
        <v>181</v>
      </c>
      <c r="D111" s="18">
        <v>4</v>
      </c>
      <c r="E111" s="19">
        <v>1</v>
      </c>
      <c r="F111" s="19">
        <v>1</v>
      </c>
      <c r="G111" s="19">
        <v>0</v>
      </c>
      <c r="H111" s="19">
        <v>1</v>
      </c>
      <c r="I111" s="19">
        <v>1</v>
      </c>
      <c r="J111" s="19">
        <v>0</v>
      </c>
      <c r="K111" s="19">
        <v>1</v>
      </c>
      <c r="L111" s="19">
        <v>0</v>
      </c>
      <c r="M111" s="19">
        <v>1</v>
      </c>
      <c r="N111" s="19">
        <v>0</v>
      </c>
      <c r="O111" s="19">
        <v>1</v>
      </c>
      <c r="P111" s="19">
        <v>0</v>
      </c>
      <c r="Q111" s="16">
        <v>1</v>
      </c>
    </row>
    <row r="112" spans="3:17">
      <c r="C112" s="20" t="s">
        <v>357</v>
      </c>
      <c r="D112" s="18">
        <v>3</v>
      </c>
      <c r="E112" s="19">
        <v>0</v>
      </c>
      <c r="F112" s="19">
        <v>2</v>
      </c>
      <c r="G112" s="19">
        <v>0</v>
      </c>
      <c r="H112" s="19">
        <v>0</v>
      </c>
      <c r="I112" s="19">
        <v>2</v>
      </c>
      <c r="J112" s="19">
        <v>0</v>
      </c>
      <c r="K112" s="19">
        <v>0</v>
      </c>
      <c r="L112" s="19">
        <v>0</v>
      </c>
      <c r="M112" s="19">
        <v>3</v>
      </c>
      <c r="N112" s="19">
        <v>0</v>
      </c>
      <c r="O112" s="19">
        <v>0</v>
      </c>
      <c r="P112" s="19">
        <v>2</v>
      </c>
      <c r="Q112" s="16">
        <v>0</v>
      </c>
    </row>
    <row r="113" spans="3:17">
      <c r="C113" s="20" t="s">
        <v>520</v>
      </c>
      <c r="D113" s="18">
        <v>3</v>
      </c>
      <c r="E113" s="19">
        <v>0</v>
      </c>
      <c r="F113" s="19">
        <v>0</v>
      </c>
      <c r="G113" s="19">
        <v>0</v>
      </c>
      <c r="H113" s="19">
        <v>1</v>
      </c>
      <c r="I113" s="19">
        <v>1</v>
      </c>
      <c r="J113" s="19">
        <v>0</v>
      </c>
      <c r="K113" s="19">
        <v>1</v>
      </c>
      <c r="L113" s="19">
        <v>0</v>
      </c>
      <c r="M113" s="19">
        <v>2</v>
      </c>
      <c r="N113" s="19">
        <v>2</v>
      </c>
      <c r="O113" s="19">
        <v>0</v>
      </c>
      <c r="P113" s="19">
        <v>1</v>
      </c>
      <c r="Q113" s="16">
        <v>1</v>
      </c>
    </row>
    <row r="114" spans="3:17">
      <c r="C114" s="20" t="s">
        <v>432</v>
      </c>
      <c r="D114" s="18">
        <v>1</v>
      </c>
      <c r="E114" s="19">
        <v>0</v>
      </c>
      <c r="F114" s="19">
        <v>1</v>
      </c>
      <c r="G114" s="19">
        <v>0</v>
      </c>
      <c r="H114" s="19">
        <v>0</v>
      </c>
      <c r="I114" s="19">
        <v>0</v>
      </c>
      <c r="J114" s="19">
        <v>0</v>
      </c>
      <c r="K114" s="19">
        <v>0</v>
      </c>
      <c r="L114" s="19">
        <v>0</v>
      </c>
      <c r="M114" s="19">
        <v>1</v>
      </c>
      <c r="N114" s="19">
        <v>1</v>
      </c>
      <c r="O114" s="19">
        <v>0</v>
      </c>
      <c r="P114" s="19">
        <v>0</v>
      </c>
      <c r="Q114" s="16">
        <v>0</v>
      </c>
    </row>
    <row r="115" spans="3:17">
      <c r="C115" s="20" t="s">
        <v>173</v>
      </c>
      <c r="D115" s="18">
        <v>19</v>
      </c>
      <c r="E115" s="19">
        <v>1</v>
      </c>
      <c r="F115" s="19">
        <v>12.75</v>
      </c>
      <c r="G115" s="19">
        <v>0</v>
      </c>
      <c r="H115" s="19">
        <v>3.75</v>
      </c>
      <c r="I115" s="19">
        <v>11</v>
      </c>
      <c r="J115" s="19">
        <v>0</v>
      </c>
      <c r="K115" s="19">
        <v>0</v>
      </c>
      <c r="L115" s="19">
        <v>1</v>
      </c>
      <c r="M115" s="19">
        <v>14.75</v>
      </c>
      <c r="N115" s="19">
        <v>2</v>
      </c>
      <c r="O115" s="19">
        <v>3</v>
      </c>
      <c r="P115" s="19">
        <v>1.75</v>
      </c>
      <c r="Q115" s="16">
        <v>1</v>
      </c>
    </row>
    <row r="116" spans="3:17">
      <c r="C116" s="20" t="s">
        <v>509</v>
      </c>
      <c r="D116" s="18">
        <v>1</v>
      </c>
      <c r="E116" s="19">
        <v>0</v>
      </c>
      <c r="F116" s="19">
        <v>0</v>
      </c>
      <c r="G116" s="19">
        <v>0</v>
      </c>
      <c r="H116" s="19">
        <v>0</v>
      </c>
      <c r="I116" s="19">
        <v>0</v>
      </c>
      <c r="J116" s="19">
        <v>0.5</v>
      </c>
      <c r="K116" s="19">
        <v>0</v>
      </c>
      <c r="L116" s="19">
        <v>0</v>
      </c>
      <c r="M116" s="19">
        <v>0.5</v>
      </c>
      <c r="N116" s="19">
        <v>0.5</v>
      </c>
      <c r="O116" s="19">
        <v>0.5</v>
      </c>
      <c r="P116" s="19">
        <v>0.5</v>
      </c>
      <c r="Q116" s="16">
        <v>0.5</v>
      </c>
    </row>
    <row r="117" spans="3:17">
      <c r="C117" s="20" t="s">
        <v>130</v>
      </c>
      <c r="D117" s="18">
        <v>4</v>
      </c>
      <c r="E117" s="19">
        <v>0</v>
      </c>
      <c r="F117" s="19">
        <v>2</v>
      </c>
      <c r="G117" s="19">
        <v>0</v>
      </c>
      <c r="H117" s="19">
        <v>1</v>
      </c>
      <c r="I117" s="19">
        <v>0</v>
      </c>
      <c r="J117" s="19">
        <v>0</v>
      </c>
      <c r="K117" s="19">
        <v>1</v>
      </c>
      <c r="L117" s="19">
        <v>0</v>
      </c>
      <c r="M117" s="19">
        <v>1</v>
      </c>
      <c r="N117" s="19">
        <v>1</v>
      </c>
      <c r="O117" s="19">
        <v>1</v>
      </c>
      <c r="P117" s="19">
        <v>1</v>
      </c>
      <c r="Q117" s="16">
        <v>0</v>
      </c>
    </row>
    <row r="118" spans="3:17">
      <c r="C118" s="20" t="s">
        <v>183</v>
      </c>
      <c r="D118" s="18">
        <v>5</v>
      </c>
      <c r="E118" s="19">
        <v>0</v>
      </c>
      <c r="F118" s="19">
        <v>2.75</v>
      </c>
      <c r="G118" s="19">
        <v>0</v>
      </c>
      <c r="H118" s="19">
        <v>0.75</v>
      </c>
      <c r="I118" s="19">
        <v>3</v>
      </c>
      <c r="J118" s="19">
        <v>0</v>
      </c>
      <c r="K118" s="19">
        <v>1.75</v>
      </c>
      <c r="L118" s="19">
        <v>0</v>
      </c>
      <c r="M118" s="19">
        <v>3.75</v>
      </c>
      <c r="N118" s="19">
        <v>1</v>
      </c>
      <c r="O118" s="19">
        <v>2</v>
      </c>
      <c r="P118" s="19">
        <v>0</v>
      </c>
      <c r="Q118" s="16">
        <v>0</v>
      </c>
    </row>
    <row r="119" spans="3:17">
      <c r="C119" s="20" t="s">
        <v>510</v>
      </c>
      <c r="D119" s="18">
        <v>1</v>
      </c>
      <c r="E119" s="19">
        <v>0</v>
      </c>
      <c r="F119" s="19">
        <v>1</v>
      </c>
      <c r="G119" s="19">
        <v>0</v>
      </c>
      <c r="H119" s="19">
        <v>0</v>
      </c>
      <c r="I119" s="19">
        <v>1</v>
      </c>
      <c r="J119" s="19">
        <v>1</v>
      </c>
      <c r="K119" s="19">
        <v>0</v>
      </c>
      <c r="L119" s="19">
        <v>0</v>
      </c>
      <c r="M119" s="19">
        <v>0</v>
      </c>
      <c r="N119" s="19">
        <v>0</v>
      </c>
      <c r="O119" s="19">
        <v>0</v>
      </c>
      <c r="P119" s="19">
        <v>0</v>
      </c>
      <c r="Q119" s="16">
        <v>0</v>
      </c>
    </row>
    <row r="120" spans="3:17">
      <c r="C120" s="20" t="s">
        <v>472</v>
      </c>
      <c r="D120" s="18">
        <v>1</v>
      </c>
      <c r="E120" s="19">
        <v>0.42857142857142855</v>
      </c>
      <c r="F120" s="19">
        <v>0.42857142857142855</v>
      </c>
      <c r="G120" s="19">
        <v>0.42857142857142855</v>
      </c>
      <c r="H120" s="19">
        <v>0.42857142857142855</v>
      </c>
      <c r="I120" s="19">
        <v>0</v>
      </c>
      <c r="J120" s="19">
        <v>0</v>
      </c>
      <c r="K120" s="19">
        <v>0.42857142857142855</v>
      </c>
      <c r="L120" s="19">
        <v>0</v>
      </c>
      <c r="M120" s="19">
        <v>0</v>
      </c>
      <c r="N120" s="19">
        <v>0.42857142857142855</v>
      </c>
      <c r="O120" s="19">
        <v>0</v>
      </c>
      <c r="P120" s="19">
        <v>0</v>
      </c>
      <c r="Q120" s="16">
        <v>0.42857142857142855</v>
      </c>
    </row>
    <row r="121" spans="3:17">
      <c r="C121" s="20" t="s">
        <v>177</v>
      </c>
      <c r="D121" s="18">
        <v>5</v>
      </c>
      <c r="E121" s="19">
        <v>0</v>
      </c>
      <c r="F121" s="19">
        <v>2.75</v>
      </c>
      <c r="G121" s="19">
        <v>0</v>
      </c>
      <c r="H121" s="19">
        <v>1</v>
      </c>
      <c r="I121" s="19">
        <v>1.75</v>
      </c>
      <c r="J121" s="19">
        <v>1</v>
      </c>
      <c r="K121" s="19">
        <v>0</v>
      </c>
      <c r="L121" s="19">
        <v>0</v>
      </c>
      <c r="M121" s="19">
        <v>1.75</v>
      </c>
      <c r="N121" s="19">
        <v>0.75</v>
      </c>
      <c r="O121" s="19">
        <v>2</v>
      </c>
      <c r="P121" s="19">
        <v>2</v>
      </c>
      <c r="Q121" s="16">
        <v>0</v>
      </c>
    </row>
    <row r="122" spans="3:17">
      <c r="C122" s="20" t="s">
        <v>488</v>
      </c>
      <c r="D122" s="18">
        <v>1</v>
      </c>
      <c r="E122" s="19">
        <v>0</v>
      </c>
      <c r="F122" s="19">
        <v>1</v>
      </c>
      <c r="G122" s="19">
        <v>0</v>
      </c>
      <c r="H122" s="19">
        <v>0</v>
      </c>
      <c r="I122" s="19">
        <v>0</v>
      </c>
      <c r="J122" s="19">
        <v>1</v>
      </c>
      <c r="K122" s="19">
        <v>1</v>
      </c>
      <c r="L122" s="19">
        <v>0</v>
      </c>
      <c r="M122" s="19">
        <v>0</v>
      </c>
      <c r="N122" s="19">
        <v>0</v>
      </c>
      <c r="O122" s="19">
        <v>0</v>
      </c>
      <c r="P122" s="19">
        <v>0</v>
      </c>
      <c r="Q122" s="16">
        <v>0</v>
      </c>
    </row>
    <row r="123" spans="3:17">
      <c r="C123" s="20" t="s">
        <v>513</v>
      </c>
      <c r="D123" s="18">
        <v>2</v>
      </c>
      <c r="E123" s="19">
        <v>0</v>
      </c>
      <c r="F123" s="19">
        <v>2</v>
      </c>
      <c r="G123" s="19">
        <v>0</v>
      </c>
      <c r="H123" s="19">
        <v>0</v>
      </c>
      <c r="I123" s="19">
        <v>0</v>
      </c>
      <c r="J123" s="19">
        <v>0</v>
      </c>
      <c r="K123" s="19">
        <v>1</v>
      </c>
      <c r="L123" s="19">
        <v>0</v>
      </c>
      <c r="M123" s="19">
        <v>1</v>
      </c>
      <c r="N123" s="19">
        <v>1</v>
      </c>
      <c r="O123" s="19">
        <v>0</v>
      </c>
      <c r="P123" s="19">
        <v>0</v>
      </c>
      <c r="Q123" s="16">
        <v>0</v>
      </c>
    </row>
    <row r="124" spans="3:17">
      <c r="C124" s="20" t="s">
        <v>143</v>
      </c>
      <c r="D124" s="18">
        <v>2</v>
      </c>
      <c r="E124" s="19">
        <v>1</v>
      </c>
      <c r="F124" s="19">
        <v>0.6</v>
      </c>
      <c r="G124" s="19">
        <v>0</v>
      </c>
      <c r="H124" s="19">
        <v>0</v>
      </c>
      <c r="I124" s="19">
        <v>0.6</v>
      </c>
      <c r="J124" s="19">
        <v>1</v>
      </c>
      <c r="K124" s="19">
        <v>0</v>
      </c>
      <c r="L124" s="19">
        <v>0</v>
      </c>
      <c r="M124" s="19">
        <v>1.6</v>
      </c>
      <c r="N124" s="19">
        <v>0.6</v>
      </c>
      <c r="O124" s="19">
        <v>0.6</v>
      </c>
      <c r="P124" s="19">
        <v>0</v>
      </c>
      <c r="Q124" s="16">
        <v>0</v>
      </c>
    </row>
    <row r="125" spans="3:17">
      <c r="C125" s="20" t="s">
        <v>422</v>
      </c>
      <c r="D125" s="18">
        <v>1</v>
      </c>
      <c r="E125" s="19">
        <v>0</v>
      </c>
      <c r="F125" s="19">
        <v>0</v>
      </c>
      <c r="G125" s="19">
        <v>0</v>
      </c>
      <c r="H125" s="19">
        <v>0</v>
      </c>
      <c r="I125" s="19">
        <v>1</v>
      </c>
      <c r="J125" s="19">
        <v>0</v>
      </c>
      <c r="K125" s="19">
        <v>0</v>
      </c>
      <c r="L125" s="19">
        <v>0</v>
      </c>
      <c r="M125" s="19">
        <v>1</v>
      </c>
      <c r="N125" s="19">
        <v>0</v>
      </c>
      <c r="O125" s="19">
        <v>0</v>
      </c>
      <c r="P125" s="19">
        <v>0</v>
      </c>
      <c r="Q125" s="16">
        <v>0</v>
      </c>
    </row>
    <row r="126" spans="3:17">
      <c r="C126" s="20" t="s">
        <v>112</v>
      </c>
      <c r="D126" s="18">
        <v>3</v>
      </c>
      <c r="E126" s="19">
        <v>0</v>
      </c>
      <c r="F126" s="19">
        <v>0</v>
      </c>
      <c r="G126" s="19">
        <v>0</v>
      </c>
      <c r="H126" s="19">
        <v>0.75</v>
      </c>
      <c r="I126" s="19">
        <v>2</v>
      </c>
      <c r="J126" s="19">
        <v>0.75</v>
      </c>
      <c r="K126" s="19">
        <v>0</v>
      </c>
      <c r="L126" s="19">
        <v>0</v>
      </c>
      <c r="M126" s="19">
        <v>2.75</v>
      </c>
      <c r="N126" s="19">
        <v>0.75</v>
      </c>
      <c r="O126" s="19">
        <v>1</v>
      </c>
      <c r="P126" s="19">
        <v>0</v>
      </c>
      <c r="Q126" s="16">
        <v>0</v>
      </c>
    </row>
    <row r="127" spans="3:17">
      <c r="C127" s="20" t="s">
        <v>184</v>
      </c>
      <c r="D127" s="18">
        <v>9</v>
      </c>
      <c r="E127" s="19">
        <v>0</v>
      </c>
      <c r="F127" s="19">
        <v>2.6</v>
      </c>
      <c r="G127" s="19">
        <v>1.75</v>
      </c>
      <c r="H127" s="19">
        <v>0.75</v>
      </c>
      <c r="I127" s="19">
        <v>5.6</v>
      </c>
      <c r="J127" s="19">
        <v>0.75</v>
      </c>
      <c r="K127" s="19">
        <v>0</v>
      </c>
      <c r="L127" s="19">
        <v>0</v>
      </c>
      <c r="M127" s="19">
        <v>5.6</v>
      </c>
      <c r="N127" s="19">
        <v>5.75</v>
      </c>
      <c r="O127" s="19">
        <v>1.6</v>
      </c>
      <c r="P127" s="19">
        <v>1</v>
      </c>
      <c r="Q127" s="16">
        <v>1.6</v>
      </c>
    </row>
    <row r="128" spans="3:17">
      <c r="C128" s="20" t="s">
        <v>368</v>
      </c>
      <c r="D128" s="18">
        <v>11</v>
      </c>
      <c r="E128" s="19">
        <v>0</v>
      </c>
      <c r="F128" s="19">
        <v>0</v>
      </c>
      <c r="G128" s="19">
        <v>1.75</v>
      </c>
      <c r="H128" s="19">
        <v>1</v>
      </c>
      <c r="I128" s="19">
        <v>2.75</v>
      </c>
      <c r="J128" s="19">
        <v>2</v>
      </c>
      <c r="K128" s="19">
        <v>1</v>
      </c>
      <c r="L128" s="19">
        <v>0</v>
      </c>
      <c r="M128" s="19">
        <v>2</v>
      </c>
      <c r="N128" s="19">
        <v>2</v>
      </c>
      <c r="O128" s="19">
        <v>4.75</v>
      </c>
      <c r="P128" s="19">
        <v>1.75</v>
      </c>
      <c r="Q128" s="16">
        <v>2</v>
      </c>
    </row>
    <row r="129" spans="3:17">
      <c r="C129" s="20" t="s">
        <v>169</v>
      </c>
      <c r="D129" s="18">
        <v>1</v>
      </c>
      <c r="E129" s="19">
        <v>0</v>
      </c>
      <c r="F129" s="19">
        <v>0</v>
      </c>
      <c r="G129" s="19">
        <v>0</v>
      </c>
      <c r="H129" s="19">
        <v>1</v>
      </c>
      <c r="I129" s="19">
        <v>1</v>
      </c>
      <c r="J129" s="19">
        <v>0</v>
      </c>
      <c r="K129" s="19">
        <v>0</v>
      </c>
      <c r="L129" s="19">
        <v>0</v>
      </c>
      <c r="M129" s="19">
        <v>0</v>
      </c>
      <c r="N129" s="19">
        <v>1</v>
      </c>
      <c r="O129" s="19">
        <v>0</v>
      </c>
      <c r="P129" s="19">
        <v>0</v>
      </c>
      <c r="Q129" s="16">
        <v>0</v>
      </c>
    </row>
    <row r="130" spans="3:17">
      <c r="C130" s="20" t="s">
        <v>137</v>
      </c>
      <c r="D130" s="18">
        <v>1</v>
      </c>
      <c r="E130" s="19">
        <v>0</v>
      </c>
      <c r="F130" s="19">
        <v>0</v>
      </c>
      <c r="G130" s="19">
        <v>0</v>
      </c>
      <c r="H130" s="19">
        <v>0</v>
      </c>
      <c r="I130" s="19">
        <v>0</v>
      </c>
      <c r="J130" s="19">
        <v>0</v>
      </c>
      <c r="K130" s="19">
        <v>0</v>
      </c>
      <c r="L130" s="19">
        <v>0</v>
      </c>
      <c r="M130" s="19">
        <v>1</v>
      </c>
      <c r="N130" s="19">
        <v>1</v>
      </c>
      <c r="O130" s="19">
        <v>0</v>
      </c>
      <c r="P130" s="19">
        <v>0</v>
      </c>
      <c r="Q130" s="16">
        <v>0</v>
      </c>
    </row>
    <row r="131" spans="3:17">
      <c r="C131" s="20" t="s">
        <v>370</v>
      </c>
      <c r="D131" s="18">
        <v>2</v>
      </c>
      <c r="E131" s="19">
        <v>1</v>
      </c>
      <c r="F131" s="19">
        <v>1</v>
      </c>
      <c r="G131" s="19">
        <v>0</v>
      </c>
      <c r="H131" s="19">
        <v>0</v>
      </c>
      <c r="I131" s="19">
        <v>1</v>
      </c>
      <c r="J131" s="19">
        <v>0</v>
      </c>
      <c r="K131" s="19">
        <v>0</v>
      </c>
      <c r="L131" s="19">
        <v>0</v>
      </c>
      <c r="M131" s="19">
        <v>0</v>
      </c>
      <c r="N131" s="19">
        <v>0</v>
      </c>
      <c r="O131" s="19">
        <v>0</v>
      </c>
      <c r="P131" s="19">
        <v>0</v>
      </c>
      <c r="Q131" s="16">
        <v>0</v>
      </c>
    </row>
    <row r="132" spans="3:17">
      <c r="C132" s="20" t="s">
        <v>147</v>
      </c>
      <c r="D132" s="18">
        <v>3</v>
      </c>
      <c r="E132" s="19">
        <v>0</v>
      </c>
      <c r="F132" s="19">
        <v>1</v>
      </c>
      <c r="G132" s="19">
        <v>0</v>
      </c>
      <c r="H132" s="19">
        <v>0</v>
      </c>
      <c r="I132" s="19">
        <v>1</v>
      </c>
      <c r="J132" s="19">
        <v>1</v>
      </c>
      <c r="K132" s="19">
        <v>0</v>
      </c>
      <c r="L132" s="19">
        <v>0</v>
      </c>
      <c r="M132" s="19">
        <v>2</v>
      </c>
      <c r="N132" s="19">
        <v>1</v>
      </c>
      <c r="O132" s="19">
        <v>2</v>
      </c>
      <c r="P132" s="19">
        <v>1</v>
      </c>
      <c r="Q132" s="16">
        <v>0</v>
      </c>
    </row>
    <row r="133" spans="3:17">
      <c r="C133" s="20" t="s">
        <v>471</v>
      </c>
      <c r="D133" s="18">
        <v>1</v>
      </c>
      <c r="E133" s="19">
        <v>0</v>
      </c>
      <c r="F133" s="19">
        <v>1</v>
      </c>
      <c r="G133" s="19">
        <v>0</v>
      </c>
      <c r="H133" s="19">
        <v>0</v>
      </c>
      <c r="I133" s="19">
        <v>0</v>
      </c>
      <c r="J133" s="19">
        <v>0</v>
      </c>
      <c r="K133" s="19">
        <v>0</v>
      </c>
      <c r="L133" s="19">
        <v>0</v>
      </c>
      <c r="M133" s="19">
        <v>1</v>
      </c>
      <c r="N133" s="19">
        <v>0</v>
      </c>
      <c r="O133" s="19">
        <v>0</v>
      </c>
      <c r="P133" s="19">
        <v>1</v>
      </c>
      <c r="Q133" s="16">
        <v>0</v>
      </c>
    </row>
    <row r="134" spans="3:17">
      <c r="C134" s="20" t="s">
        <v>186</v>
      </c>
      <c r="D134" s="18">
        <v>11</v>
      </c>
      <c r="E134" s="19">
        <v>2</v>
      </c>
      <c r="F134" s="19">
        <v>6</v>
      </c>
      <c r="G134" s="19">
        <v>1</v>
      </c>
      <c r="H134" s="19">
        <v>0</v>
      </c>
      <c r="I134" s="19">
        <v>6</v>
      </c>
      <c r="J134" s="19">
        <v>1</v>
      </c>
      <c r="K134" s="19">
        <v>2</v>
      </c>
      <c r="L134" s="19">
        <v>0</v>
      </c>
      <c r="M134" s="19">
        <v>6</v>
      </c>
      <c r="N134" s="19">
        <v>2</v>
      </c>
      <c r="O134" s="19">
        <v>0</v>
      </c>
      <c r="P134" s="19">
        <v>2</v>
      </c>
      <c r="Q134" s="16">
        <v>0</v>
      </c>
    </row>
    <row r="135" spans="3:17">
      <c r="C135" s="20" t="s">
        <v>361</v>
      </c>
      <c r="D135" s="18">
        <v>2</v>
      </c>
      <c r="E135" s="19">
        <v>0</v>
      </c>
      <c r="F135" s="19">
        <v>2</v>
      </c>
      <c r="G135" s="19">
        <v>0</v>
      </c>
      <c r="H135" s="19">
        <v>0</v>
      </c>
      <c r="I135" s="19">
        <v>0</v>
      </c>
      <c r="J135" s="19">
        <v>1</v>
      </c>
      <c r="K135" s="19">
        <v>0</v>
      </c>
      <c r="L135" s="19">
        <v>0</v>
      </c>
      <c r="M135" s="19">
        <v>2</v>
      </c>
      <c r="N135" s="19">
        <v>0</v>
      </c>
      <c r="O135" s="19">
        <v>0</v>
      </c>
      <c r="P135" s="19">
        <v>0</v>
      </c>
      <c r="Q135" s="16">
        <v>0</v>
      </c>
    </row>
    <row r="136" spans="3:17">
      <c r="C136" s="20" t="s">
        <v>118</v>
      </c>
      <c r="D136" s="18">
        <v>2</v>
      </c>
      <c r="E136" s="19">
        <v>0</v>
      </c>
      <c r="F136" s="19">
        <v>1</v>
      </c>
      <c r="G136" s="19">
        <v>0</v>
      </c>
      <c r="H136" s="19">
        <v>0</v>
      </c>
      <c r="I136" s="19">
        <v>0</v>
      </c>
      <c r="J136" s="19">
        <v>0</v>
      </c>
      <c r="K136" s="19">
        <v>0</v>
      </c>
      <c r="L136" s="19">
        <v>0</v>
      </c>
      <c r="M136" s="19">
        <v>0</v>
      </c>
      <c r="N136" s="19">
        <v>0</v>
      </c>
      <c r="O136" s="19">
        <v>0</v>
      </c>
      <c r="P136" s="19">
        <v>0</v>
      </c>
      <c r="Q136" s="16">
        <v>0</v>
      </c>
    </row>
    <row r="137" spans="3:17">
      <c r="C137" s="20" t="s">
        <v>151</v>
      </c>
      <c r="D137" s="18">
        <v>4</v>
      </c>
      <c r="E137" s="19">
        <v>0</v>
      </c>
      <c r="F137" s="19">
        <v>1</v>
      </c>
      <c r="G137" s="19">
        <v>0</v>
      </c>
      <c r="H137" s="19">
        <v>0</v>
      </c>
      <c r="I137" s="19">
        <v>1</v>
      </c>
      <c r="J137" s="19">
        <v>0</v>
      </c>
      <c r="K137" s="19">
        <v>0</v>
      </c>
      <c r="L137" s="19">
        <v>1</v>
      </c>
      <c r="M137" s="19">
        <v>3</v>
      </c>
      <c r="N137" s="19">
        <v>2</v>
      </c>
      <c r="O137" s="19">
        <v>1</v>
      </c>
      <c r="P137" s="19">
        <v>0</v>
      </c>
      <c r="Q137" s="16">
        <v>1</v>
      </c>
    </row>
    <row r="138" spans="3:17">
      <c r="C138" s="20" t="s">
        <v>358</v>
      </c>
      <c r="D138" s="18">
        <v>3</v>
      </c>
      <c r="E138" s="19">
        <v>0</v>
      </c>
      <c r="F138" s="19">
        <v>2</v>
      </c>
      <c r="G138" s="19">
        <v>1</v>
      </c>
      <c r="H138" s="19">
        <v>0</v>
      </c>
      <c r="I138" s="19">
        <v>3</v>
      </c>
      <c r="J138" s="19">
        <v>0</v>
      </c>
      <c r="K138" s="19">
        <v>1</v>
      </c>
      <c r="L138" s="19">
        <v>0</v>
      </c>
      <c r="M138" s="19">
        <v>2</v>
      </c>
      <c r="N138" s="19">
        <v>0</v>
      </c>
      <c r="O138" s="19">
        <v>0</v>
      </c>
      <c r="P138" s="19">
        <v>0</v>
      </c>
      <c r="Q138" s="16">
        <v>0</v>
      </c>
    </row>
    <row r="139" spans="3:17">
      <c r="C139" s="20" t="s">
        <v>162</v>
      </c>
      <c r="D139" s="18">
        <v>1</v>
      </c>
      <c r="E139" s="19">
        <v>0</v>
      </c>
      <c r="F139" s="19">
        <v>1</v>
      </c>
      <c r="G139" s="19">
        <v>0</v>
      </c>
      <c r="H139" s="19">
        <v>0</v>
      </c>
      <c r="I139" s="19">
        <v>0</v>
      </c>
      <c r="J139" s="19">
        <v>0</v>
      </c>
      <c r="K139" s="19">
        <v>1</v>
      </c>
      <c r="L139" s="19">
        <v>0</v>
      </c>
      <c r="M139" s="19">
        <v>1</v>
      </c>
      <c r="N139" s="19">
        <v>0</v>
      </c>
      <c r="O139" s="19">
        <v>0</v>
      </c>
      <c r="P139" s="19">
        <v>0</v>
      </c>
      <c r="Q139" s="16">
        <v>0</v>
      </c>
    </row>
    <row r="140" spans="3:17">
      <c r="C140" s="20" t="s">
        <v>459</v>
      </c>
      <c r="D140" s="18">
        <v>1</v>
      </c>
      <c r="E140" s="19">
        <v>0</v>
      </c>
      <c r="F140" s="19">
        <v>0</v>
      </c>
      <c r="G140" s="19">
        <v>0</v>
      </c>
      <c r="H140" s="19">
        <v>1</v>
      </c>
      <c r="I140" s="19">
        <v>1</v>
      </c>
      <c r="J140" s="19">
        <v>0</v>
      </c>
      <c r="K140" s="19">
        <v>0</v>
      </c>
      <c r="L140" s="19">
        <v>0</v>
      </c>
      <c r="M140" s="19">
        <v>1</v>
      </c>
      <c r="N140" s="19">
        <v>0</v>
      </c>
      <c r="O140" s="19">
        <v>0</v>
      </c>
      <c r="P140" s="19">
        <v>0</v>
      </c>
      <c r="Q140" s="16">
        <v>0</v>
      </c>
    </row>
    <row r="141" spans="3:17">
      <c r="C141" s="20" t="s">
        <v>164</v>
      </c>
      <c r="D141" s="18">
        <v>39</v>
      </c>
      <c r="E141" s="19">
        <v>5.75</v>
      </c>
      <c r="F141" s="19">
        <v>16.25</v>
      </c>
      <c r="G141" s="19">
        <v>3.75</v>
      </c>
      <c r="H141" s="19">
        <v>1.75</v>
      </c>
      <c r="I141" s="19">
        <v>20.5</v>
      </c>
      <c r="J141" s="19">
        <v>4.75</v>
      </c>
      <c r="K141" s="19">
        <v>9.75</v>
      </c>
      <c r="L141" s="19">
        <v>3</v>
      </c>
      <c r="M141" s="19">
        <v>16.75</v>
      </c>
      <c r="N141" s="19">
        <v>8.75</v>
      </c>
      <c r="O141" s="19">
        <v>8</v>
      </c>
      <c r="P141" s="19">
        <v>6</v>
      </c>
      <c r="Q141" s="16">
        <v>0</v>
      </c>
    </row>
    <row r="142" spans="3:17">
      <c r="C142" s="20" t="s">
        <v>430</v>
      </c>
      <c r="D142" s="18">
        <v>1</v>
      </c>
      <c r="E142" s="19">
        <v>0</v>
      </c>
      <c r="F142" s="19">
        <v>0</v>
      </c>
      <c r="G142" s="19">
        <v>1</v>
      </c>
      <c r="H142" s="19">
        <v>0</v>
      </c>
      <c r="I142" s="19">
        <v>0</v>
      </c>
      <c r="J142" s="19">
        <v>0</v>
      </c>
      <c r="K142" s="19">
        <v>0</v>
      </c>
      <c r="L142" s="19">
        <v>0</v>
      </c>
      <c r="M142" s="19">
        <v>1</v>
      </c>
      <c r="N142" s="19">
        <v>0</v>
      </c>
      <c r="O142" s="19">
        <v>1</v>
      </c>
      <c r="P142" s="19">
        <v>0</v>
      </c>
      <c r="Q142" s="16">
        <v>0</v>
      </c>
    </row>
    <row r="143" spans="3:17">
      <c r="C143" s="20" t="s">
        <v>160</v>
      </c>
      <c r="D143" s="18">
        <v>3</v>
      </c>
      <c r="E143" s="19">
        <v>0</v>
      </c>
      <c r="F143" s="19">
        <v>2</v>
      </c>
      <c r="G143" s="19">
        <v>0</v>
      </c>
      <c r="H143" s="19">
        <v>0</v>
      </c>
      <c r="I143" s="19">
        <v>0</v>
      </c>
      <c r="J143" s="19">
        <v>1</v>
      </c>
      <c r="K143" s="19">
        <v>1</v>
      </c>
      <c r="L143" s="19">
        <v>0</v>
      </c>
      <c r="M143" s="19">
        <v>2</v>
      </c>
      <c r="N143" s="19">
        <v>0</v>
      </c>
      <c r="O143" s="19">
        <v>0</v>
      </c>
      <c r="P143" s="19">
        <v>2</v>
      </c>
      <c r="Q143" s="16">
        <v>0</v>
      </c>
    </row>
    <row r="144" spans="3:17">
      <c r="C144" s="20" t="s">
        <v>441</v>
      </c>
      <c r="D144" s="18">
        <v>1</v>
      </c>
      <c r="E144" s="19">
        <v>0</v>
      </c>
      <c r="F144" s="19">
        <v>0</v>
      </c>
      <c r="G144" s="19">
        <v>0</v>
      </c>
      <c r="H144" s="19">
        <v>0</v>
      </c>
      <c r="I144" s="19">
        <v>0</v>
      </c>
      <c r="J144" s="19">
        <v>0</v>
      </c>
      <c r="K144" s="19">
        <v>0</v>
      </c>
      <c r="L144" s="19">
        <v>0</v>
      </c>
      <c r="M144" s="19">
        <v>1</v>
      </c>
      <c r="N144" s="19">
        <v>0</v>
      </c>
      <c r="O144" s="19">
        <v>0</v>
      </c>
      <c r="P144" s="19">
        <v>1</v>
      </c>
      <c r="Q144" s="16">
        <v>0</v>
      </c>
    </row>
    <row r="145" spans="3:17">
      <c r="C145" s="20" t="s">
        <v>138</v>
      </c>
      <c r="D145" s="18">
        <v>3</v>
      </c>
      <c r="E145" s="19">
        <v>0</v>
      </c>
      <c r="F145" s="19">
        <v>1</v>
      </c>
      <c r="G145" s="19">
        <v>1</v>
      </c>
      <c r="H145" s="19">
        <v>2</v>
      </c>
      <c r="I145" s="19">
        <v>0</v>
      </c>
      <c r="J145" s="19">
        <v>0</v>
      </c>
      <c r="K145" s="19">
        <v>1</v>
      </c>
      <c r="L145" s="19">
        <v>1</v>
      </c>
      <c r="M145" s="19">
        <v>1</v>
      </c>
      <c r="N145" s="19">
        <v>0</v>
      </c>
      <c r="O145" s="19">
        <v>0</v>
      </c>
      <c r="P145" s="19">
        <v>0</v>
      </c>
      <c r="Q145" s="16">
        <v>0</v>
      </c>
    </row>
    <row r="146" spans="3:17">
      <c r="C146" s="20" t="s">
        <v>120</v>
      </c>
      <c r="D146" s="18">
        <v>3</v>
      </c>
      <c r="E146" s="19">
        <v>0</v>
      </c>
      <c r="F146" s="19">
        <v>0</v>
      </c>
      <c r="G146" s="19">
        <v>0.6</v>
      </c>
      <c r="H146" s="19">
        <v>0</v>
      </c>
      <c r="I146" s="19">
        <v>0.6</v>
      </c>
      <c r="J146" s="19">
        <v>0</v>
      </c>
      <c r="K146" s="19">
        <v>0</v>
      </c>
      <c r="L146" s="19">
        <v>0</v>
      </c>
      <c r="M146" s="19">
        <v>1.6</v>
      </c>
      <c r="N146" s="19">
        <v>2.6</v>
      </c>
      <c r="O146" s="19">
        <v>2</v>
      </c>
      <c r="P146" s="19">
        <v>0</v>
      </c>
      <c r="Q146" s="16">
        <v>1.6</v>
      </c>
    </row>
    <row r="147" spans="3:17">
      <c r="C147" s="20" t="s">
        <v>123</v>
      </c>
      <c r="D147" s="18">
        <v>2</v>
      </c>
      <c r="E147" s="19">
        <v>0</v>
      </c>
      <c r="F147" s="19">
        <v>0.6</v>
      </c>
      <c r="G147" s="19">
        <v>0.6</v>
      </c>
      <c r="H147" s="19">
        <v>0</v>
      </c>
      <c r="I147" s="19">
        <v>1.6</v>
      </c>
      <c r="J147" s="19">
        <v>0</v>
      </c>
      <c r="K147" s="19">
        <v>0</v>
      </c>
      <c r="L147" s="19">
        <v>0</v>
      </c>
      <c r="M147" s="19">
        <v>1.6</v>
      </c>
      <c r="N147" s="19">
        <v>1</v>
      </c>
      <c r="O147" s="19">
        <v>0</v>
      </c>
      <c r="P147" s="19">
        <v>0.6</v>
      </c>
      <c r="Q147" s="16">
        <v>0</v>
      </c>
    </row>
    <row r="148" spans="3:17">
      <c r="C148" s="20" t="s">
        <v>359</v>
      </c>
      <c r="D148" s="18">
        <v>1</v>
      </c>
      <c r="E148" s="19">
        <v>0</v>
      </c>
      <c r="F148" s="19">
        <v>0.6</v>
      </c>
      <c r="G148" s="19">
        <v>0</v>
      </c>
      <c r="H148" s="19">
        <v>0.6</v>
      </c>
      <c r="I148" s="19">
        <v>0.6</v>
      </c>
      <c r="J148" s="19">
        <v>0</v>
      </c>
      <c r="K148" s="19">
        <v>0</v>
      </c>
      <c r="L148" s="19">
        <v>0</v>
      </c>
      <c r="M148" s="19">
        <v>0.6</v>
      </c>
      <c r="N148" s="19">
        <v>0.6</v>
      </c>
      <c r="O148" s="19">
        <v>0</v>
      </c>
      <c r="P148" s="19">
        <v>0</v>
      </c>
      <c r="Q148" s="16">
        <v>0</v>
      </c>
    </row>
    <row r="149" spans="3:17">
      <c r="C149" s="20" t="s">
        <v>122</v>
      </c>
      <c r="D149" s="18">
        <v>2</v>
      </c>
      <c r="E149" s="19">
        <v>0</v>
      </c>
      <c r="F149" s="19">
        <v>0.6</v>
      </c>
      <c r="G149" s="19">
        <v>0</v>
      </c>
      <c r="H149" s="19">
        <v>0.6</v>
      </c>
      <c r="I149" s="19">
        <v>0</v>
      </c>
      <c r="J149" s="19">
        <v>0</v>
      </c>
      <c r="K149" s="19">
        <v>0.6</v>
      </c>
      <c r="L149" s="19">
        <v>0</v>
      </c>
      <c r="M149" s="19">
        <v>0.6</v>
      </c>
      <c r="N149" s="19">
        <v>0</v>
      </c>
      <c r="O149" s="19">
        <v>0</v>
      </c>
      <c r="P149" s="19">
        <v>0.6</v>
      </c>
      <c r="Q149" s="16">
        <v>1</v>
      </c>
    </row>
    <row r="150" spans="3:17">
      <c r="C150" s="20" t="s">
        <v>152</v>
      </c>
      <c r="D150" s="18">
        <v>3</v>
      </c>
      <c r="E150" s="19">
        <v>1.5</v>
      </c>
      <c r="F150" s="19">
        <v>2.5</v>
      </c>
      <c r="G150" s="19">
        <v>0</v>
      </c>
      <c r="H150" s="19">
        <v>2.5</v>
      </c>
      <c r="I150" s="19">
        <v>0</v>
      </c>
      <c r="J150" s="19">
        <v>0</v>
      </c>
      <c r="K150" s="19">
        <v>2.5</v>
      </c>
      <c r="L150" s="19">
        <v>0</v>
      </c>
      <c r="M150" s="19">
        <v>0</v>
      </c>
      <c r="N150" s="19">
        <v>0</v>
      </c>
      <c r="O150" s="19">
        <v>0</v>
      </c>
      <c r="P150" s="19">
        <v>0</v>
      </c>
      <c r="Q150" s="16">
        <v>0</v>
      </c>
    </row>
    <row r="151" spans="3:17">
      <c r="C151" s="20" t="s">
        <v>476</v>
      </c>
      <c r="D151" s="18">
        <v>1</v>
      </c>
      <c r="E151" s="19">
        <v>0</v>
      </c>
      <c r="F151" s="19">
        <v>1</v>
      </c>
      <c r="G151" s="19">
        <v>0</v>
      </c>
      <c r="H151" s="19">
        <v>0</v>
      </c>
      <c r="I151" s="19">
        <v>0</v>
      </c>
      <c r="J151" s="19">
        <v>0</v>
      </c>
      <c r="K151" s="19">
        <v>1</v>
      </c>
      <c r="L151" s="19">
        <v>0</v>
      </c>
      <c r="M151" s="19">
        <v>1</v>
      </c>
      <c r="N151" s="19">
        <v>0</v>
      </c>
      <c r="O151" s="19">
        <v>0</v>
      </c>
      <c r="P151" s="19">
        <v>0</v>
      </c>
      <c r="Q151" s="16">
        <v>0</v>
      </c>
    </row>
    <row r="152" spans="3:17">
      <c r="C152" s="20" t="s">
        <v>165</v>
      </c>
      <c r="D152" s="18">
        <v>12</v>
      </c>
      <c r="E152" s="19">
        <v>2</v>
      </c>
      <c r="F152" s="19">
        <v>6.75</v>
      </c>
      <c r="G152" s="19">
        <v>2.75</v>
      </c>
      <c r="H152" s="19">
        <v>1</v>
      </c>
      <c r="I152" s="19">
        <v>3.75</v>
      </c>
      <c r="J152" s="19">
        <v>3</v>
      </c>
      <c r="K152" s="19">
        <v>5</v>
      </c>
      <c r="L152" s="19">
        <v>0</v>
      </c>
      <c r="M152" s="19">
        <v>5.75</v>
      </c>
      <c r="N152" s="19">
        <v>0</v>
      </c>
      <c r="O152" s="19">
        <v>0</v>
      </c>
      <c r="P152" s="19">
        <v>0</v>
      </c>
      <c r="Q152" s="16">
        <v>4</v>
      </c>
    </row>
    <row r="153" spans="3:17">
      <c r="C153" s="20" t="s">
        <v>360</v>
      </c>
      <c r="D153" s="18">
        <v>1</v>
      </c>
      <c r="E153" s="19">
        <v>0</v>
      </c>
      <c r="F153" s="19">
        <v>0</v>
      </c>
      <c r="G153" s="19">
        <v>0.75</v>
      </c>
      <c r="H153" s="19">
        <v>0.75</v>
      </c>
      <c r="I153" s="19">
        <v>0.75</v>
      </c>
      <c r="J153" s="19">
        <v>0</v>
      </c>
      <c r="K153" s="19">
        <v>0.75</v>
      </c>
      <c r="L153" s="19">
        <v>0</v>
      </c>
      <c r="M153" s="19">
        <v>0</v>
      </c>
      <c r="N153" s="19">
        <v>0</v>
      </c>
      <c r="O153" s="19">
        <v>0</v>
      </c>
      <c r="P153" s="19">
        <v>0</v>
      </c>
      <c r="Q153" s="16">
        <v>0</v>
      </c>
    </row>
    <row r="154" spans="3:17">
      <c r="C154" s="20" t="s">
        <v>114</v>
      </c>
      <c r="D154" s="18">
        <v>6</v>
      </c>
      <c r="E154" s="19">
        <v>1</v>
      </c>
      <c r="F154" s="19">
        <v>1</v>
      </c>
      <c r="G154" s="19">
        <v>0</v>
      </c>
      <c r="H154" s="19">
        <v>1.75</v>
      </c>
      <c r="I154" s="19">
        <v>2.75</v>
      </c>
      <c r="J154" s="19">
        <v>0</v>
      </c>
      <c r="K154" s="19">
        <v>1</v>
      </c>
      <c r="L154" s="19">
        <v>0</v>
      </c>
      <c r="M154" s="19">
        <v>3.75</v>
      </c>
      <c r="N154" s="19">
        <v>2</v>
      </c>
      <c r="O154" s="19">
        <v>1</v>
      </c>
      <c r="P154" s="19">
        <v>2.75</v>
      </c>
      <c r="Q154" s="16">
        <v>0</v>
      </c>
    </row>
    <row r="155" spans="3:17">
      <c r="C155" s="20" t="s">
        <v>110</v>
      </c>
      <c r="D155" s="18">
        <v>4</v>
      </c>
      <c r="E155" s="19">
        <v>0.42857142857142855</v>
      </c>
      <c r="F155" s="19">
        <v>1.4285714285714286</v>
      </c>
      <c r="G155" s="19">
        <v>0</v>
      </c>
      <c r="H155" s="19">
        <v>2.4285714285714288</v>
      </c>
      <c r="I155" s="19">
        <v>0</v>
      </c>
      <c r="J155" s="19">
        <v>0</v>
      </c>
      <c r="K155" s="19">
        <v>3.4285714285714288</v>
      </c>
      <c r="L155" s="19">
        <v>0</v>
      </c>
      <c r="M155" s="19">
        <v>0</v>
      </c>
      <c r="N155" s="19">
        <v>2.4285714285714288</v>
      </c>
      <c r="O155" s="19">
        <v>1.4285714285714286</v>
      </c>
      <c r="P155" s="19">
        <v>0</v>
      </c>
      <c r="Q155" s="16">
        <v>0.42857142857142855</v>
      </c>
    </row>
    <row r="156" spans="3:17">
      <c r="C156" s="20" t="s">
        <v>512</v>
      </c>
      <c r="D156" s="18">
        <v>1</v>
      </c>
      <c r="E156" s="19">
        <v>0</v>
      </c>
      <c r="F156" s="19">
        <v>0</v>
      </c>
      <c r="G156" s="19">
        <v>0</v>
      </c>
      <c r="H156" s="19">
        <v>0.75</v>
      </c>
      <c r="I156" s="19">
        <v>0</v>
      </c>
      <c r="J156" s="19">
        <v>0.75</v>
      </c>
      <c r="K156" s="19">
        <v>0.75</v>
      </c>
      <c r="L156" s="19">
        <v>0</v>
      </c>
      <c r="M156" s="19">
        <v>0</v>
      </c>
      <c r="N156" s="19">
        <v>0</v>
      </c>
      <c r="O156" s="19">
        <v>0.75</v>
      </c>
      <c r="P156" s="19">
        <v>0</v>
      </c>
      <c r="Q156" s="16">
        <v>0</v>
      </c>
    </row>
    <row r="157" spans="3:17">
      <c r="C157" s="20" t="s">
        <v>518</v>
      </c>
      <c r="D157" s="18">
        <v>1</v>
      </c>
      <c r="E157" s="19">
        <v>0</v>
      </c>
      <c r="F157" s="19">
        <v>0</v>
      </c>
      <c r="G157" s="19">
        <v>0</v>
      </c>
      <c r="H157" s="19">
        <v>0</v>
      </c>
      <c r="I157" s="19">
        <v>0</v>
      </c>
      <c r="J157" s="19">
        <v>0</v>
      </c>
      <c r="K157" s="19">
        <v>0</v>
      </c>
      <c r="L157" s="19">
        <v>0</v>
      </c>
      <c r="M157" s="19">
        <v>0</v>
      </c>
      <c r="N157" s="19">
        <v>0</v>
      </c>
      <c r="O157" s="19">
        <v>0</v>
      </c>
      <c r="P157" s="19">
        <v>0</v>
      </c>
      <c r="Q157" s="16">
        <v>0</v>
      </c>
    </row>
    <row r="158" spans="3:17">
      <c r="C158" s="20" t="s">
        <v>180</v>
      </c>
      <c r="D158" s="18">
        <v>1</v>
      </c>
      <c r="E158" s="19">
        <v>0</v>
      </c>
      <c r="F158" s="19">
        <v>0</v>
      </c>
      <c r="G158" s="19">
        <v>0</v>
      </c>
      <c r="H158" s="19">
        <v>0</v>
      </c>
      <c r="I158" s="19">
        <v>0</v>
      </c>
      <c r="J158" s="19">
        <v>0</v>
      </c>
      <c r="K158" s="19">
        <v>0</v>
      </c>
      <c r="L158" s="19">
        <v>1</v>
      </c>
      <c r="M158" s="19">
        <v>1</v>
      </c>
      <c r="N158" s="19">
        <v>0</v>
      </c>
      <c r="O158" s="19">
        <v>0</v>
      </c>
      <c r="P158" s="19">
        <v>1</v>
      </c>
      <c r="Q158" s="16">
        <v>0</v>
      </c>
    </row>
    <row r="159" spans="3:17">
      <c r="C159" s="23" t="s">
        <v>279</v>
      </c>
      <c r="D159" s="24">
        <v>529</v>
      </c>
      <c r="E159" s="21">
        <v>46.864210789210802</v>
      </c>
      <c r="F159" s="21">
        <v>200.86778221778212</v>
      </c>
      <c r="G159" s="21">
        <v>57.085639360639369</v>
      </c>
      <c r="H159" s="21">
        <v>92.967782217782215</v>
      </c>
      <c r="I159" s="21">
        <v>198.8320679320679</v>
      </c>
      <c r="J159" s="21">
        <v>63.282067932067939</v>
      </c>
      <c r="K159" s="21">
        <v>109.69278221778221</v>
      </c>
      <c r="L159" s="21">
        <v>26.553496503496504</v>
      </c>
      <c r="M159" s="21">
        <v>243.38563936063932</v>
      </c>
      <c r="N159" s="21">
        <v>110.14148351648349</v>
      </c>
      <c r="O159" s="21">
        <v>85.134340659340651</v>
      </c>
      <c r="P159" s="21">
        <v>73.482067932067935</v>
      </c>
      <c r="Q159" s="22">
        <v>51.710639360639377</v>
      </c>
    </row>
  </sheetData>
  <mergeCells count="2">
    <mergeCell ref="A1:P1"/>
    <mergeCell ref="A2:B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workbookViewId="0">
      <pane xSplit="3" ySplit="12" topLeftCell="D13" activePane="bottomRight" state="frozen"/>
      <selection pane="topRight" activeCell="D1" sqref="D1"/>
      <selection pane="bottomLeft" activeCell="A13" sqref="A13"/>
      <selection pane="bottomRight" activeCell="A3" sqref="A3"/>
    </sheetView>
  </sheetViews>
  <sheetFormatPr defaultRowHeight="14.5"/>
  <cols>
    <col min="2" max="2" width="29.7265625" customWidth="1"/>
    <col min="3" max="3" width="24.81640625" customWidth="1"/>
    <col min="4" max="4" width="19.6328125" customWidth="1"/>
    <col min="5" max="5" width="19" customWidth="1"/>
    <col min="6" max="6" width="6.54296875" customWidth="1"/>
    <col min="7" max="7" width="21.08984375" customWidth="1"/>
    <col min="8" max="8" width="8.1796875" customWidth="1"/>
    <col min="9" max="9" width="20" customWidth="1"/>
    <col min="10" max="10" width="20.453125" customWidth="1"/>
    <col min="11" max="11" width="20.36328125" customWidth="1"/>
    <col min="12" max="12" width="15" customWidth="1"/>
    <col min="13" max="13" width="29.7265625" customWidth="1"/>
    <col min="14" max="14" width="23.81640625" customWidth="1"/>
    <col min="15" max="15" width="6.36328125" customWidth="1"/>
    <col min="16" max="16" width="25.7265625" customWidth="1"/>
    <col min="17" max="18" width="24.90625" customWidth="1"/>
  </cols>
  <sheetData>
    <row r="1" spans="1:17" ht="35">
      <c r="A1" s="201" t="s">
        <v>2</v>
      </c>
      <c r="B1" s="201"/>
      <c r="C1" s="201"/>
      <c r="D1" s="201"/>
      <c r="E1" s="201"/>
      <c r="F1" s="201"/>
      <c r="G1" s="201"/>
      <c r="H1" s="201"/>
      <c r="I1" s="201"/>
      <c r="J1" s="201"/>
      <c r="K1" s="201"/>
      <c r="L1" s="201"/>
      <c r="M1" s="201"/>
      <c r="N1" s="201"/>
      <c r="O1" s="201"/>
      <c r="P1" s="201"/>
      <c r="Q1" s="201"/>
    </row>
    <row r="2" spans="1:17" ht="16">
      <c r="A2" s="202" t="s">
        <v>544</v>
      </c>
      <c r="B2" s="202"/>
    </row>
    <row r="13" spans="1:17">
      <c r="C13" s="17" t="s">
        <v>288</v>
      </c>
      <c r="D13" s="5" t="s">
        <v>280</v>
      </c>
      <c r="E13" s="5" t="s">
        <v>289</v>
      </c>
      <c r="F13" s="5" t="s">
        <v>17</v>
      </c>
      <c r="G13" s="5" t="s">
        <v>281</v>
      </c>
      <c r="H13" s="5" t="s">
        <v>24</v>
      </c>
      <c r="I13" s="5" t="s">
        <v>282</v>
      </c>
      <c r="J13" s="5" t="s">
        <v>277</v>
      </c>
      <c r="K13" s="5" t="s">
        <v>283</v>
      </c>
      <c r="L13" s="5" t="s">
        <v>284</v>
      </c>
      <c r="M13" s="5" t="s">
        <v>285</v>
      </c>
      <c r="N13" s="5" t="s">
        <v>286</v>
      </c>
      <c r="O13" s="5" t="s">
        <v>19</v>
      </c>
      <c r="P13" s="5" t="s">
        <v>278</v>
      </c>
      <c r="Q13" s="15" t="s">
        <v>287</v>
      </c>
    </row>
    <row r="14" spans="1:17">
      <c r="C14" s="20" t="s">
        <v>477</v>
      </c>
      <c r="D14" s="18">
        <v>23</v>
      </c>
      <c r="E14" s="19">
        <v>2.75</v>
      </c>
      <c r="F14" s="19">
        <v>3.75</v>
      </c>
      <c r="G14" s="19">
        <v>1</v>
      </c>
      <c r="H14" s="19">
        <v>5.75</v>
      </c>
      <c r="I14" s="19">
        <v>1</v>
      </c>
      <c r="J14" s="19">
        <v>2</v>
      </c>
      <c r="K14" s="19">
        <v>5.75</v>
      </c>
      <c r="L14" s="19">
        <v>0</v>
      </c>
      <c r="M14" s="19">
        <v>7</v>
      </c>
      <c r="N14" s="19">
        <v>4</v>
      </c>
      <c r="O14" s="19">
        <v>2</v>
      </c>
      <c r="P14" s="19">
        <v>0</v>
      </c>
      <c r="Q14" s="16">
        <v>0</v>
      </c>
    </row>
    <row r="15" spans="1:17">
      <c r="C15" s="20" t="s">
        <v>530</v>
      </c>
      <c r="D15" s="18">
        <v>2</v>
      </c>
      <c r="E15" s="19">
        <v>0</v>
      </c>
      <c r="F15" s="19">
        <v>0</v>
      </c>
      <c r="G15" s="19">
        <v>0</v>
      </c>
      <c r="H15" s="19">
        <v>0</v>
      </c>
      <c r="I15" s="19">
        <v>1</v>
      </c>
      <c r="J15" s="19">
        <v>1</v>
      </c>
      <c r="K15" s="19">
        <v>0</v>
      </c>
      <c r="L15" s="19">
        <v>0</v>
      </c>
      <c r="M15" s="19">
        <v>1</v>
      </c>
      <c r="N15" s="19">
        <v>0</v>
      </c>
      <c r="O15" s="19">
        <v>0</v>
      </c>
      <c r="P15" s="19">
        <v>0</v>
      </c>
      <c r="Q15" s="16">
        <v>1</v>
      </c>
    </row>
    <row r="16" spans="1:17">
      <c r="C16" s="20" t="s">
        <v>531</v>
      </c>
      <c r="D16" s="18">
        <v>1</v>
      </c>
      <c r="E16" s="19">
        <v>0</v>
      </c>
      <c r="F16" s="19">
        <v>0</v>
      </c>
      <c r="G16" s="19">
        <v>0</v>
      </c>
      <c r="H16" s="19">
        <v>0</v>
      </c>
      <c r="I16" s="19">
        <v>0</v>
      </c>
      <c r="J16" s="19">
        <v>0</v>
      </c>
      <c r="K16" s="19">
        <v>0</v>
      </c>
      <c r="L16" s="19">
        <v>0</v>
      </c>
      <c r="M16" s="19">
        <v>1</v>
      </c>
      <c r="N16" s="19">
        <v>0</v>
      </c>
      <c r="O16" s="19">
        <v>0</v>
      </c>
      <c r="P16" s="19">
        <v>1</v>
      </c>
      <c r="Q16" s="16">
        <v>1</v>
      </c>
    </row>
    <row r="17" spans="3:17">
      <c r="C17" s="20" t="s">
        <v>532</v>
      </c>
      <c r="D17" s="18">
        <v>1</v>
      </c>
      <c r="E17" s="19">
        <v>1</v>
      </c>
      <c r="F17" s="19">
        <v>0</v>
      </c>
      <c r="G17" s="19">
        <v>0</v>
      </c>
      <c r="H17" s="19">
        <v>0</v>
      </c>
      <c r="I17" s="19">
        <v>0</v>
      </c>
      <c r="J17" s="19">
        <v>0</v>
      </c>
      <c r="K17" s="19">
        <v>0</v>
      </c>
      <c r="L17" s="19">
        <v>0</v>
      </c>
      <c r="M17" s="19">
        <v>1</v>
      </c>
      <c r="N17" s="19">
        <v>0</v>
      </c>
      <c r="O17" s="19">
        <v>1</v>
      </c>
      <c r="P17" s="19">
        <v>0</v>
      </c>
      <c r="Q17" s="16">
        <v>0</v>
      </c>
    </row>
    <row r="18" spans="3:17">
      <c r="C18" s="20" t="s">
        <v>533</v>
      </c>
      <c r="D18" s="18">
        <v>1</v>
      </c>
      <c r="E18" s="19">
        <v>0</v>
      </c>
      <c r="F18" s="19">
        <v>0</v>
      </c>
      <c r="G18" s="19">
        <v>0</v>
      </c>
      <c r="H18" s="19">
        <v>0</v>
      </c>
      <c r="I18" s="19">
        <v>0</v>
      </c>
      <c r="J18" s="19">
        <v>0</v>
      </c>
      <c r="K18" s="19">
        <v>1</v>
      </c>
      <c r="L18" s="19">
        <v>0</v>
      </c>
      <c r="M18" s="19">
        <v>0</v>
      </c>
      <c r="N18" s="19">
        <v>0</v>
      </c>
      <c r="O18" s="19">
        <v>0</v>
      </c>
      <c r="P18" s="19">
        <v>0</v>
      </c>
      <c r="Q18" s="16">
        <v>0</v>
      </c>
    </row>
    <row r="19" spans="3:17">
      <c r="C19" s="20" t="s">
        <v>534</v>
      </c>
      <c r="D19" s="18">
        <v>1</v>
      </c>
      <c r="E19" s="19">
        <v>0</v>
      </c>
      <c r="F19" s="19">
        <v>0</v>
      </c>
      <c r="G19" s="19">
        <v>1</v>
      </c>
      <c r="H19" s="19">
        <v>0</v>
      </c>
      <c r="I19" s="19">
        <v>1</v>
      </c>
      <c r="J19" s="19">
        <v>0</v>
      </c>
      <c r="K19" s="19">
        <v>0</v>
      </c>
      <c r="L19" s="19">
        <v>0</v>
      </c>
      <c r="M19" s="19">
        <v>0</v>
      </c>
      <c r="N19" s="19">
        <v>0</v>
      </c>
      <c r="O19" s="19">
        <v>1</v>
      </c>
      <c r="P19" s="19">
        <v>0</v>
      </c>
      <c r="Q19" s="16">
        <v>0</v>
      </c>
    </row>
    <row r="20" spans="3:17">
      <c r="C20" s="20" t="s">
        <v>535</v>
      </c>
      <c r="D20" s="18">
        <v>1</v>
      </c>
      <c r="E20" s="19">
        <v>0</v>
      </c>
      <c r="F20" s="19">
        <v>0.75</v>
      </c>
      <c r="G20" s="19">
        <v>0</v>
      </c>
      <c r="H20" s="19">
        <v>0</v>
      </c>
      <c r="I20" s="19">
        <v>0</v>
      </c>
      <c r="J20" s="19">
        <v>0</v>
      </c>
      <c r="K20" s="19">
        <v>0</v>
      </c>
      <c r="L20" s="19">
        <v>0</v>
      </c>
      <c r="M20" s="19">
        <v>0.75</v>
      </c>
      <c r="N20" s="19">
        <v>0.75</v>
      </c>
      <c r="O20" s="19">
        <v>0</v>
      </c>
      <c r="P20" s="19">
        <v>0</v>
      </c>
      <c r="Q20" s="16">
        <v>0.75</v>
      </c>
    </row>
    <row r="21" spans="3:17">
      <c r="C21" s="20" t="s">
        <v>536</v>
      </c>
      <c r="D21" s="18">
        <v>2</v>
      </c>
      <c r="E21" s="19">
        <v>0</v>
      </c>
      <c r="F21" s="19">
        <v>0</v>
      </c>
      <c r="G21" s="19">
        <v>0</v>
      </c>
      <c r="H21" s="19">
        <v>0</v>
      </c>
      <c r="I21" s="19">
        <v>0</v>
      </c>
      <c r="J21" s="19">
        <v>0</v>
      </c>
      <c r="K21" s="19">
        <v>2</v>
      </c>
      <c r="L21" s="19">
        <v>0</v>
      </c>
      <c r="M21" s="19">
        <v>2</v>
      </c>
      <c r="N21" s="19">
        <v>1</v>
      </c>
      <c r="O21" s="19">
        <v>1</v>
      </c>
      <c r="P21" s="19">
        <v>0</v>
      </c>
      <c r="Q21" s="16">
        <v>0</v>
      </c>
    </row>
    <row r="22" spans="3:17">
      <c r="C22" s="20" t="s">
        <v>537</v>
      </c>
      <c r="D22" s="18">
        <v>1</v>
      </c>
      <c r="E22" s="19">
        <v>0</v>
      </c>
      <c r="F22" s="19">
        <v>0</v>
      </c>
      <c r="G22" s="19">
        <v>0</v>
      </c>
      <c r="H22" s="19">
        <v>0</v>
      </c>
      <c r="I22" s="19">
        <v>0</v>
      </c>
      <c r="J22" s="19">
        <v>0</v>
      </c>
      <c r="K22" s="19">
        <v>0</v>
      </c>
      <c r="L22" s="19">
        <v>0</v>
      </c>
      <c r="M22" s="19">
        <v>0</v>
      </c>
      <c r="N22" s="19">
        <v>0</v>
      </c>
      <c r="O22" s="19">
        <v>0</v>
      </c>
      <c r="P22" s="19">
        <v>1</v>
      </c>
      <c r="Q22" s="16">
        <v>0</v>
      </c>
    </row>
    <row r="23" spans="3:17">
      <c r="C23" s="20" t="s">
        <v>538</v>
      </c>
      <c r="D23" s="18">
        <v>1</v>
      </c>
      <c r="E23" s="19">
        <v>1</v>
      </c>
      <c r="F23" s="19">
        <v>0</v>
      </c>
      <c r="G23" s="19">
        <v>0</v>
      </c>
      <c r="H23" s="19">
        <v>0</v>
      </c>
      <c r="I23" s="19">
        <v>0</v>
      </c>
      <c r="J23" s="19">
        <v>0</v>
      </c>
      <c r="K23" s="19">
        <v>0</v>
      </c>
      <c r="L23" s="19">
        <v>0</v>
      </c>
      <c r="M23" s="19">
        <v>0</v>
      </c>
      <c r="N23" s="19">
        <v>0</v>
      </c>
      <c r="O23" s="19">
        <v>0</v>
      </c>
      <c r="P23" s="19">
        <v>0</v>
      </c>
      <c r="Q23" s="16">
        <v>1</v>
      </c>
    </row>
    <row r="24" spans="3:17">
      <c r="C24" s="20" t="s">
        <v>539</v>
      </c>
      <c r="D24" s="18">
        <v>1</v>
      </c>
      <c r="E24" s="19">
        <v>0</v>
      </c>
      <c r="F24" s="19">
        <v>0.75</v>
      </c>
      <c r="G24" s="19">
        <v>0.75</v>
      </c>
      <c r="H24" s="19">
        <v>0</v>
      </c>
      <c r="I24" s="19">
        <v>0.75</v>
      </c>
      <c r="J24" s="19">
        <v>0</v>
      </c>
      <c r="K24" s="19">
        <v>0</v>
      </c>
      <c r="L24" s="19">
        <v>0</v>
      </c>
      <c r="M24" s="19">
        <v>0</v>
      </c>
      <c r="N24" s="19">
        <v>0</v>
      </c>
      <c r="O24" s="19">
        <v>0</v>
      </c>
      <c r="P24" s="19">
        <v>0</v>
      </c>
      <c r="Q24" s="16">
        <v>0.75</v>
      </c>
    </row>
    <row r="25" spans="3:17">
      <c r="C25" s="20" t="s">
        <v>540</v>
      </c>
      <c r="D25" s="18">
        <v>1</v>
      </c>
      <c r="E25" s="19">
        <v>0</v>
      </c>
      <c r="F25" s="19">
        <v>0</v>
      </c>
      <c r="G25" s="19">
        <v>0</v>
      </c>
      <c r="H25" s="19">
        <v>0</v>
      </c>
      <c r="I25" s="19">
        <v>1</v>
      </c>
      <c r="J25" s="19">
        <v>0</v>
      </c>
      <c r="K25" s="19">
        <v>0</v>
      </c>
      <c r="L25" s="19">
        <v>0</v>
      </c>
      <c r="M25" s="19">
        <v>1</v>
      </c>
      <c r="N25" s="19">
        <v>1</v>
      </c>
      <c r="O25" s="19">
        <v>0</v>
      </c>
      <c r="P25" s="19">
        <v>0</v>
      </c>
      <c r="Q25" s="16">
        <v>0</v>
      </c>
    </row>
    <row r="26" spans="3:17">
      <c r="C26" s="20" t="s">
        <v>541</v>
      </c>
      <c r="D26" s="18">
        <v>1</v>
      </c>
      <c r="E26" s="19">
        <v>1</v>
      </c>
      <c r="F26" s="19">
        <v>1</v>
      </c>
      <c r="G26" s="19">
        <v>0</v>
      </c>
      <c r="H26" s="19">
        <v>1</v>
      </c>
      <c r="I26" s="19">
        <v>0</v>
      </c>
      <c r="J26" s="19">
        <v>0</v>
      </c>
      <c r="K26" s="19">
        <v>0</v>
      </c>
      <c r="L26" s="19">
        <v>0</v>
      </c>
      <c r="M26" s="19">
        <v>0</v>
      </c>
      <c r="N26" s="19">
        <v>0</v>
      </c>
      <c r="O26" s="19">
        <v>0</v>
      </c>
      <c r="P26" s="19">
        <v>0</v>
      </c>
      <c r="Q26" s="16">
        <v>0</v>
      </c>
    </row>
    <row r="27" spans="3:17">
      <c r="C27" s="20" t="s">
        <v>542</v>
      </c>
      <c r="D27" s="18">
        <v>1</v>
      </c>
      <c r="E27" s="19">
        <v>0</v>
      </c>
      <c r="F27" s="19">
        <v>0</v>
      </c>
      <c r="G27" s="19">
        <v>0</v>
      </c>
      <c r="H27" s="19">
        <v>1</v>
      </c>
      <c r="I27" s="19">
        <v>0</v>
      </c>
      <c r="J27" s="19">
        <v>1</v>
      </c>
      <c r="K27" s="19">
        <v>0</v>
      </c>
      <c r="L27" s="19">
        <v>0</v>
      </c>
      <c r="M27" s="19">
        <v>0</v>
      </c>
      <c r="N27" s="19">
        <v>0</v>
      </c>
      <c r="O27" s="19">
        <v>0</v>
      </c>
      <c r="P27" s="19">
        <v>0</v>
      </c>
      <c r="Q27" s="16">
        <v>0</v>
      </c>
    </row>
    <row r="28" spans="3:17">
      <c r="C28" s="20" t="s">
        <v>543</v>
      </c>
      <c r="D28" s="18">
        <v>1</v>
      </c>
      <c r="E28" s="19">
        <v>0</v>
      </c>
      <c r="F28" s="19">
        <v>0</v>
      </c>
      <c r="G28" s="19">
        <v>1</v>
      </c>
      <c r="H28" s="19">
        <v>0</v>
      </c>
      <c r="I28" s="19">
        <v>1</v>
      </c>
      <c r="J28" s="19">
        <v>0</v>
      </c>
      <c r="K28" s="19">
        <v>0</v>
      </c>
      <c r="L28" s="19">
        <v>0</v>
      </c>
      <c r="M28" s="19">
        <v>0</v>
      </c>
      <c r="N28" s="19">
        <v>0</v>
      </c>
      <c r="O28" s="19">
        <v>0</v>
      </c>
      <c r="P28" s="19">
        <v>0</v>
      </c>
      <c r="Q28" s="16">
        <v>0</v>
      </c>
    </row>
    <row r="29" spans="3:17">
      <c r="C29" s="20" t="s">
        <v>364</v>
      </c>
      <c r="D29" s="18">
        <v>3</v>
      </c>
      <c r="E29" s="19">
        <v>0</v>
      </c>
      <c r="F29" s="19">
        <v>0.42857142857142855</v>
      </c>
      <c r="G29" s="19">
        <v>0</v>
      </c>
      <c r="H29" s="19">
        <v>0</v>
      </c>
      <c r="I29" s="19">
        <v>0</v>
      </c>
      <c r="J29" s="19">
        <v>0.42857142857142855</v>
      </c>
      <c r="K29" s="19">
        <v>0.42857142857142855</v>
      </c>
      <c r="L29" s="19">
        <v>0</v>
      </c>
      <c r="M29" s="19">
        <v>0</v>
      </c>
      <c r="N29" s="19">
        <v>0.42857142857142855</v>
      </c>
      <c r="O29" s="19">
        <v>0.42857142857142855</v>
      </c>
      <c r="P29" s="19">
        <v>0.42857142857142855</v>
      </c>
      <c r="Q29" s="16">
        <v>0.42857142857142855</v>
      </c>
    </row>
    <row r="30" spans="3:17">
      <c r="C30" s="20" t="s">
        <v>128</v>
      </c>
      <c r="D30" s="18">
        <v>4</v>
      </c>
      <c r="E30" s="19">
        <v>0</v>
      </c>
      <c r="F30" s="19">
        <v>0</v>
      </c>
      <c r="G30" s="19">
        <v>0</v>
      </c>
      <c r="H30" s="19">
        <v>0</v>
      </c>
      <c r="I30" s="19">
        <v>1</v>
      </c>
      <c r="J30" s="19">
        <v>0</v>
      </c>
      <c r="K30" s="19">
        <v>0</v>
      </c>
      <c r="L30" s="19">
        <v>1</v>
      </c>
      <c r="M30" s="19">
        <v>1</v>
      </c>
      <c r="N30" s="19">
        <v>1</v>
      </c>
      <c r="O30" s="19">
        <v>1</v>
      </c>
      <c r="P30" s="19">
        <v>0</v>
      </c>
      <c r="Q30" s="16">
        <v>0</v>
      </c>
    </row>
    <row r="31" spans="3:17">
      <c r="C31" s="20" t="s">
        <v>363</v>
      </c>
      <c r="D31" s="18">
        <v>1</v>
      </c>
      <c r="E31" s="19">
        <v>0</v>
      </c>
      <c r="F31" s="19">
        <v>0</v>
      </c>
      <c r="G31" s="19">
        <v>0</v>
      </c>
      <c r="H31" s="19">
        <v>0</v>
      </c>
      <c r="I31" s="19">
        <v>0</v>
      </c>
      <c r="J31" s="19">
        <v>0</v>
      </c>
      <c r="K31" s="19">
        <v>0</v>
      </c>
      <c r="L31" s="19">
        <v>0</v>
      </c>
      <c r="M31" s="19">
        <v>0</v>
      </c>
      <c r="N31" s="19">
        <v>0</v>
      </c>
      <c r="O31" s="19">
        <v>0</v>
      </c>
      <c r="P31" s="19">
        <v>0</v>
      </c>
      <c r="Q31" s="16">
        <v>0</v>
      </c>
    </row>
    <row r="32" spans="3:17">
      <c r="C32" s="20" t="s">
        <v>187</v>
      </c>
      <c r="D32" s="18">
        <v>1</v>
      </c>
      <c r="E32" s="19">
        <v>0</v>
      </c>
      <c r="F32" s="19">
        <v>1</v>
      </c>
      <c r="G32" s="19">
        <v>0</v>
      </c>
      <c r="H32" s="19">
        <v>1</v>
      </c>
      <c r="I32" s="19">
        <v>0</v>
      </c>
      <c r="J32" s="19">
        <v>0</v>
      </c>
      <c r="K32" s="19">
        <v>0</v>
      </c>
      <c r="L32" s="19">
        <v>1</v>
      </c>
      <c r="M32" s="19">
        <v>0</v>
      </c>
      <c r="N32" s="19">
        <v>0</v>
      </c>
      <c r="O32" s="19">
        <v>0</v>
      </c>
      <c r="P32" s="19">
        <v>0</v>
      </c>
      <c r="Q32" s="16">
        <v>0</v>
      </c>
    </row>
    <row r="33" spans="3:17">
      <c r="C33" s="20" t="s">
        <v>182</v>
      </c>
      <c r="D33" s="18">
        <v>2</v>
      </c>
      <c r="E33" s="19">
        <v>1</v>
      </c>
      <c r="F33" s="19">
        <v>1</v>
      </c>
      <c r="G33" s="19">
        <v>1</v>
      </c>
      <c r="H33" s="19">
        <v>0</v>
      </c>
      <c r="I33" s="19">
        <v>0</v>
      </c>
      <c r="J33" s="19">
        <v>0</v>
      </c>
      <c r="K33" s="19">
        <v>1</v>
      </c>
      <c r="L33" s="19">
        <v>0</v>
      </c>
      <c r="M33" s="19">
        <v>0</v>
      </c>
      <c r="N33" s="19">
        <v>0</v>
      </c>
      <c r="O33" s="19">
        <v>1</v>
      </c>
      <c r="P33" s="19">
        <v>0</v>
      </c>
      <c r="Q33" s="16">
        <v>0</v>
      </c>
    </row>
    <row r="34" spans="3:17">
      <c r="C34" s="20" t="s">
        <v>442</v>
      </c>
      <c r="D34" s="18">
        <v>1</v>
      </c>
      <c r="E34" s="19">
        <v>1</v>
      </c>
      <c r="F34" s="19">
        <v>0</v>
      </c>
      <c r="G34" s="19">
        <v>1</v>
      </c>
      <c r="H34" s="19">
        <v>1</v>
      </c>
      <c r="I34" s="19">
        <v>0</v>
      </c>
      <c r="J34" s="19">
        <v>0</v>
      </c>
      <c r="K34" s="19">
        <v>0</v>
      </c>
      <c r="L34" s="19">
        <v>0</v>
      </c>
      <c r="M34" s="19">
        <v>0</v>
      </c>
      <c r="N34" s="19">
        <v>0</v>
      </c>
      <c r="O34" s="19">
        <v>0</v>
      </c>
      <c r="P34" s="19">
        <v>0</v>
      </c>
      <c r="Q34" s="16">
        <v>0</v>
      </c>
    </row>
    <row r="35" spans="3:17">
      <c r="C35" s="20" t="s">
        <v>463</v>
      </c>
      <c r="D35" s="18">
        <v>1</v>
      </c>
      <c r="E35" s="19">
        <v>0</v>
      </c>
      <c r="F35" s="19">
        <v>0</v>
      </c>
      <c r="G35" s="19">
        <v>0</v>
      </c>
      <c r="H35" s="19">
        <v>0</v>
      </c>
      <c r="I35" s="19">
        <v>0</v>
      </c>
      <c r="J35" s="19">
        <v>0</v>
      </c>
      <c r="K35" s="19">
        <v>0</v>
      </c>
      <c r="L35" s="19">
        <v>0</v>
      </c>
      <c r="M35" s="19">
        <v>0</v>
      </c>
      <c r="N35" s="19">
        <v>0</v>
      </c>
      <c r="O35" s="19">
        <v>0</v>
      </c>
      <c r="P35" s="19">
        <v>0</v>
      </c>
      <c r="Q35" s="16">
        <v>0</v>
      </c>
    </row>
    <row r="36" spans="3:17">
      <c r="C36" s="20" t="s">
        <v>487</v>
      </c>
      <c r="D36" s="18">
        <v>2</v>
      </c>
      <c r="E36" s="19">
        <v>0</v>
      </c>
      <c r="F36" s="19">
        <v>0</v>
      </c>
      <c r="G36" s="19">
        <v>0</v>
      </c>
      <c r="H36" s="19">
        <v>0</v>
      </c>
      <c r="I36" s="19">
        <v>0</v>
      </c>
      <c r="J36" s="19">
        <v>0</v>
      </c>
      <c r="K36" s="19">
        <v>0</v>
      </c>
      <c r="L36" s="19">
        <v>0</v>
      </c>
      <c r="M36" s="19">
        <v>0</v>
      </c>
      <c r="N36" s="19">
        <v>0</v>
      </c>
      <c r="O36" s="19">
        <v>0</v>
      </c>
      <c r="P36" s="19">
        <v>0</v>
      </c>
      <c r="Q36" s="16">
        <v>0</v>
      </c>
    </row>
    <row r="37" spans="3:17">
      <c r="C37" s="20" t="s">
        <v>172</v>
      </c>
      <c r="D37" s="18">
        <v>7</v>
      </c>
      <c r="E37" s="19">
        <v>1</v>
      </c>
      <c r="F37" s="19">
        <v>1</v>
      </c>
      <c r="G37" s="19">
        <v>1</v>
      </c>
      <c r="H37" s="19">
        <v>1</v>
      </c>
      <c r="I37" s="19">
        <v>0</v>
      </c>
      <c r="J37" s="19">
        <v>0</v>
      </c>
      <c r="K37" s="19">
        <v>3</v>
      </c>
      <c r="L37" s="19">
        <v>0</v>
      </c>
      <c r="M37" s="19">
        <v>0</v>
      </c>
      <c r="N37" s="19">
        <v>2</v>
      </c>
      <c r="O37" s="19">
        <v>2</v>
      </c>
      <c r="P37" s="19">
        <v>0</v>
      </c>
      <c r="Q37" s="16">
        <v>6</v>
      </c>
    </row>
    <row r="38" spans="3:17">
      <c r="C38" s="20" t="s">
        <v>453</v>
      </c>
      <c r="D38" s="18">
        <v>3</v>
      </c>
      <c r="E38" s="19">
        <v>0.375</v>
      </c>
      <c r="F38" s="19">
        <v>1.375</v>
      </c>
      <c r="G38" s="19">
        <v>0</v>
      </c>
      <c r="H38" s="19">
        <v>0</v>
      </c>
      <c r="I38" s="19">
        <v>0.375</v>
      </c>
      <c r="J38" s="19">
        <v>0</v>
      </c>
      <c r="K38" s="19">
        <v>0.375</v>
      </c>
      <c r="L38" s="19">
        <v>0</v>
      </c>
      <c r="M38" s="19">
        <v>1.375</v>
      </c>
      <c r="N38" s="19">
        <v>0.375</v>
      </c>
      <c r="O38" s="19">
        <v>0.375</v>
      </c>
      <c r="P38" s="19">
        <v>0</v>
      </c>
      <c r="Q38" s="16">
        <v>1.375</v>
      </c>
    </row>
    <row r="39" spans="3:17">
      <c r="C39" s="20" t="s">
        <v>159</v>
      </c>
      <c r="D39" s="18">
        <v>3</v>
      </c>
      <c r="E39" s="19">
        <v>0.33333333333333331</v>
      </c>
      <c r="F39" s="19">
        <v>0.33333333333333331</v>
      </c>
      <c r="G39" s="19">
        <v>1</v>
      </c>
      <c r="H39" s="19">
        <v>0.33333333333333331</v>
      </c>
      <c r="I39" s="19">
        <v>0.33333333333333331</v>
      </c>
      <c r="J39" s="19">
        <v>0.33333333333333331</v>
      </c>
      <c r="K39" s="19">
        <v>0.33333333333333331</v>
      </c>
      <c r="L39" s="19">
        <v>0</v>
      </c>
      <c r="M39" s="19">
        <v>1.3333333333333333</v>
      </c>
      <c r="N39" s="19">
        <v>0.33333333333333331</v>
      </c>
      <c r="O39" s="19">
        <v>1.3333333333333333</v>
      </c>
      <c r="P39" s="19">
        <v>1</v>
      </c>
      <c r="Q39" s="16">
        <v>0</v>
      </c>
    </row>
    <row r="40" spans="3:17">
      <c r="C40" s="20" t="s">
        <v>421</v>
      </c>
      <c r="D40" s="18">
        <v>2</v>
      </c>
      <c r="E40" s="19">
        <v>0</v>
      </c>
      <c r="F40" s="19">
        <v>0</v>
      </c>
      <c r="G40" s="19">
        <v>0</v>
      </c>
      <c r="H40" s="19">
        <v>0</v>
      </c>
      <c r="I40" s="19">
        <v>1</v>
      </c>
      <c r="J40" s="19">
        <v>0</v>
      </c>
      <c r="K40" s="19">
        <v>0</v>
      </c>
      <c r="L40" s="19">
        <v>0</v>
      </c>
      <c r="M40" s="19">
        <v>1</v>
      </c>
      <c r="N40" s="19">
        <v>0</v>
      </c>
      <c r="O40" s="19">
        <v>1</v>
      </c>
      <c r="P40" s="19">
        <v>0</v>
      </c>
      <c r="Q40" s="16">
        <v>0</v>
      </c>
    </row>
    <row r="41" spans="3:17">
      <c r="C41" s="20" t="s">
        <v>456</v>
      </c>
      <c r="D41" s="18">
        <v>1</v>
      </c>
      <c r="E41" s="19">
        <v>0</v>
      </c>
      <c r="F41" s="19">
        <v>0</v>
      </c>
      <c r="G41" s="19">
        <v>1</v>
      </c>
      <c r="H41" s="19">
        <v>0</v>
      </c>
      <c r="I41" s="19">
        <v>0</v>
      </c>
      <c r="J41" s="19">
        <v>0</v>
      </c>
      <c r="K41" s="19">
        <v>1</v>
      </c>
      <c r="L41" s="19">
        <v>0</v>
      </c>
      <c r="M41" s="19">
        <v>0</v>
      </c>
      <c r="N41" s="19">
        <v>0</v>
      </c>
      <c r="O41" s="19">
        <v>0</v>
      </c>
      <c r="P41" s="19">
        <v>1</v>
      </c>
      <c r="Q41" s="16">
        <v>0</v>
      </c>
    </row>
    <row r="42" spans="3:17">
      <c r="C42" s="20" t="s">
        <v>163</v>
      </c>
      <c r="D42" s="18">
        <v>3</v>
      </c>
      <c r="E42" s="19">
        <v>0</v>
      </c>
      <c r="F42" s="19">
        <v>0</v>
      </c>
      <c r="G42" s="19">
        <v>1</v>
      </c>
      <c r="H42" s="19">
        <v>0</v>
      </c>
      <c r="I42" s="19">
        <v>1</v>
      </c>
      <c r="J42" s="19">
        <v>0</v>
      </c>
      <c r="K42" s="19">
        <v>1</v>
      </c>
      <c r="L42" s="19">
        <v>0</v>
      </c>
      <c r="M42" s="19">
        <v>1</v>
      </c>
      <c r="N42" s="19">
        <v>2</v>
      </c>
      <c r="O42" s="19">
        <v>1</v>
      </c>
      <c r="P42" s="19">
        <v>0</v>
      </c>
      <c r="Q42" s="16">
        <v>1</v>
      </c>
    </row>
    <row r="43" spans="3:17">
      <c r="C43" s="20" t="s">
        <v>515</v>
      </c>
      <c r="D43" s="18">
        <v>1</v>
      </c>
      <c r="E43" s="19">
        <v>0</v>
      </c>
      <c r="F43" s="19">
        <v>1</v>
      </c>
      <c r="G43" s="19">
        <v>0</v>
      </c>
      <c r="H43" s="19">
        <v>0</v>
      </c>
      <c r="I43" s="19">
        <v>0</v>
      </c>
      <c r="J43" s="19">
        <v>0</v>
      </c>
      <c r="K43" s="19">
        <v>0</v>
      </c>
      <c r="L43" s="19">
        <v>0</v>
      </c>
      <c r="M43" s="19">
        <v>0</v>
      </c>
      <c r="N43" s="19">
        <v>1</v>
      </c>
      <c r="O43" s="19">
        <v>0</v>
      </c>
      <c r="P43" s="19">
        <v>0</v>
      </c>
      <c r="Q43" s="16">
        <v>0</v>
      </c>
    </row>
    <row r="44" spans="3:17">
      <c r="C44" s="20" t="s">
        <v>134</v>
      </c>
      <c r="D44" s="18">
        <v>3</v>
      </c>
      <c r="E44" s="19">
        <v>0.75</v>
      </c>
      <c r="F44" s="19">
        <v>1.75</v>
      </c>
      <c r="G44" s="19">
        <v>0</v>
      </c>
      <c r="H44" s="19">
        <v>0</v>
      </c>
      <c r="I44" s="19">
        <v>0</v>
      </c>
      <c r="J44" s="19">
        <v>0</v>
      </c>
      <c r="K44" s="19">
        <v>1.75</v>
      </c>
      <c r="L44" s="19">
        <v>0</v>
      </c>
      <c r="M44" s="19">
        <v>0</v>
      </c>
      <c r="N44" s="19">
        <v>0</v>
      </c>
      <c r="O44" s="19">
        <v>0.75</v>
      </c>
      <c r="P44" s="19">
        <v>0</v>
      </c>
      <c r="Q44" s="16">
        <v>1</v>
      </c>
    </row>
    <row r="45" spans="3:17">
      <c r="C45" s="20" t="s">
        <v>116</v>
      </c>
      <c r="D45" s="18">
        <v>4</v>
      </c>
      <c r="E45" s="19">
        <v>0.6</v>
      </c>
      <c r="F45" s="19">
        <v>2.6</v>
      </c>
      <c r="G45" s="19">
        <v>0</v>
      </c>
      <c r="H45" s="19">
        <v>1</v>
      </c>
      <c r="I45" s="19">
        <v>0</v>
      </c>
      <c r="J45" s="19">
        <v>0.6</v>
      </c>
      <c r="K45" s="19">
        <v>3</v>
      </c>
      <c r="L45" s="19">
        <v>0</v>
      </c>
      <c r="M45" s="19">
        <v>1.6</v>
      </c>
      <c r="N45" s="19">
        <v>0.6</v>
      </c>
      <c r="O45" s="19">
        <v>0</v>
      </c>
      <c r="P45" s="19">
        <v>0</v>
      </c>
      <c r="Q45" s="16">
        <v>0</v>
      </c>
    </row>
    <row r="46" spans="3:17">
      <c r="C46" s="20" t="s">
        <v>167</v>
      </c>
      <c r="D46" s="18">
        <v>1</v>
      </c>
      <c r="E46" s="19">
        <v>0</v>
      </c>
      <c r="F46" s="19">
        <v>1</v>
      </c>
      <c r="G46" s="19">
        <v>0</v>
      </c>
      <c r="H46" s="19">
        <v>0</v>
      </c>
      <c r="I46" s="19">
        <v>0</v>
      </c>
      <c r="J46" s="19">
        <v>0</v>
      </c>
      <c r="K46" s="19">
        <v>1</v>
      </c>
      <c r="L46" s="19">
        <v>0</v>
      </c>
      <c r="M46" s="19">
        <v>0</v>
      </c>
      <c r="N46" s="19">
        <v>0</v>
      </c>
      <c r="O46" s="19">
        <v>0</v>
      </c>
      <c r="P46" s="19">
        <v>0</v>
      </c>
      <c r="Q46" s="16">
        <v>0</v>
      </c>
    </row>
    <row r="47" spans="3:17">
      <c r="C47" s="20" t="s">
        <v>149</v>
      </c>
      <c r="D47" s="18">
        <v>1</v>
      </c>
      <c r="E47" s="19">
        <v>0</v>
      </c>
      <c r="F47" s="19">
        <v>0</v>
      </c>
      <c r="G47" s="19">
        <v>0</v>
      </c>
      <c r="H47" s="19">
        <v>0</v>
      </c>
      <c r="I47" s="19">
        <v>1</v>
      </c>
      <c r="J47" s="19">
        <v>0</v>
      </c>
      <c r="K47" s="19">
        <v>0</v>
      </c>
      <c r="L47" s="19">
        <v>1</v>
      </c>
      <c r="M47" s="19">
        <v>0</v>
      </c>
      <c r="N47" s="19">
        <v>0</v>
      </c>
      <c r="O47" s="19">
        <v>1</v>
      </c>
      <c r="P47" s="19">
        <v>0</v>
      </c>
      <c r="Q47" s="16">
        <v>0</v>
      </c>
    </row>
    <row r="48" spans="3:17">
      <c r="C48" s="20" t="s">
        <v>429</v>
      </c>
      <c r="D48" s="18">
        <v>1</v>
      </c>
      <c r="E48" s="19">
        <v>0</v>
      </c>
      <c r="F48" s="19">
        <v>1</v>
      </c>
      <c r="G48" s="19">
        <v>0</v>
      </c>
      <c r="H48" s="19">
        <v>0</v>
      </c>
      <c r="I48" s="19">
        <v>0</v>
      </c>
      <c r="J48" s="19">
        <v>0</v>
      </c>
      <c r="K48" s="19">
        <v>0</v>
      </c>
      <c r="L48" s="19">
        <v>0</v>
      </c>
      <c r="M48" s="19">
        <v>0</v>
      </c>
      <c r="N48" s="19">
        <v>0</v>
      </c>
      <c r="O48" s="19">
        <v>0</v>
      </c>
      <c r="P48" s="19">
        <v>0</v>
      </c>
      <c r="Q48" s="16">
        <v>1</v>
      </c>
    </row>
    <row r="49" spans="3:17">
      <c r="C49" s="20" t="s">
        <v>367</v>
      </c>
      <c r="D49" s="18">
        <v>1</v>
      </c>
      <c r="E49" s="19">
        <v>0</v>
      </c>
      <c r="F49" s="19">
        <v>0</v>
      </c>
      <c r="G49" s="19">
        <v>0</v>
      </c>
      <c r="H49" s="19">
        <v>0</v>
      </c>
      <c r="I49" s="19">
        <v>0</v>
      </c>
      <c r="J49" s="19">
        <v>0</v>
      </c>
      <c r="K49" s="19">
        <v>0</v>
      </c>
      <c r="L49" s="19">
        <v>0</v>
      </c>
      <c r="M49" s="19">
        <v>0</v>
      </c>
      <c r="N49" s="19">
        <v>0</v>
      </c>
      <c r="O49" s="19">
        <v>0</v>
      </c>
      <c r="P49" s="19">
        <v>0</v>
      </c>
      <c r="Q49" s="16">
        <v>0</v>
      </c>
    </row>
    <row r="50" spans="3:17">
      <c r="C50" s="20" t="s">
        <v>508</v>
      </c>
      <c r="D50" s="18">
        <v>1</v>
      </c>
      <c r="E50" s="19">
        <v>0</v>
      </c>
      <c r="F50" s="19">
        <v>1</v>
      </c>
      <c r="G50" s="19">
        <v>0</v>
      </c>
      <c r="H50" s="19">
        <v>0</v>
      </c>
      <c r="I50" s="19">
        <v>0</v>
      </c>
      <c r="J50" s="19">
        <v>0</v>
      </c>
      <c r="K50" s="19">
        <v>1</v>
      </c>
      <c r="L50" s="19">
        <v>0</v>
      </c>
      <c r="M50" s="19">
        <v>0</v>
      </c>
      <c r="N50" s="19">
        <v>0</v>
      </c>
      <c r="O50" s="19">
        <v>0</v>
      </c>
      <c r="P50" s="19">
        <v>0</v>
      </c>
      <c r="Q50" s="16">
        <v>0</v>
      </c>
    </row>
    <row r="51" spans="3:17">
      <c r="C51" s="20" t="s">
        <v>179</v>
      </c>
      <c r="D51" s="18">
        <v>2</v>
      </c>
      <c r="E51" s="19">
        <v>0</v>
      </c>
      <c r="F51" s="19">
        <v>0</v>
      </c>
      <c r="G51" s="19">
        <v>0</v>
      </c>
      <c r="H51" s="19">
        <v>0</v>
      </c>
      <c r="I51" s="19">
        <v>0</v>
      </c>
      <c r="J51" s="19">
        <v>0</v>
      </c>
      <c r="K51" s="19">
        <v>0</v>
      </c>
      <c r="L51" s="19">
        <v>0</v>
      </c>
      <c r="M51" s="19">
        <v>2</v>
      </c>
      <c r="N51" s="19">
        <v>2</v>
      </c>
      <c r="O51" s="19">
        <v>0</v>
      </c>
      <c r="P51" s="19">
        <v>0</v>
      </c>
      <c r="Q51" s="16">
        <v>1</v>
      </c>
    </row>
    <row r="52" spans="3:17">
      <c r="C52" s="20" t="s">
        <v>377</v>
      </c>
      <c r="D52" s="18">
        <v>14</v>
      </c>
      <c r="E52" s="19">
        <v>1.75</v>
      </c>
      <c r="F52" s="19">
        <v>7</v>
      </c>
      <c r="G52" s="19">
        <v>2</v>
      </c>
      <c r="H52" s="19">
        <v>1</v>
      </c>
      <c r="I52" s="19">
        <v>0</v>
      </c>
      <c r="J52" s="19">
        <v>3.75</v>
      </c>
      <c r="K52" s="19">
        <v>0</v>
      </c>
      <c r="L52" s="19">
        <v>1</v>
      </c>
      <c r="M52" s="19">
        <v>7.75</v>
      </c>
      <c r="N52" s="19">
        <v>0</v>
      </c>
      <c r="O52" s="19">
        <v>3.75</v>
      </c>
      <c r="P52" s="19">
        <v>3</v>
      </c>
      <c r="Q52" s="16">
        <v>3</v>
      </c>
    </row>
    <row r="53" spans="3:17">
      <c r="C53" s="20" t="s">
        <v>154</v>
      </c>
      <c r="D53" s="18">
        <v>1</v>
      </c>
      <c r="E53" s="19">
        <v>0</v>
      </c>
      <c r="F53" s="19">
        <v>0</v>
      </c>
      <c r="G53" s="19">
        <v>0</v>
      </c>
      <c r="H53" s="19">
        <v>0</v>
      </c>
      <c r="I53" s="19">
        <v>0</v>
      </c>
      <c r="J53" s="19">
        <v>0</v>
      </c>
      <c r="K53" s="19">
        <v>0</v>
      </c>
      <c r="L53" s="19">
        <v>0</v>
      </c>
      <c r="M53" s="19">
        <v>0</v>
      </c>
      <c r="N53" s="19">
        <v>0</v>
      </c>
      <c r="O53" s="19">
        <v>0</v>
      </c>
      <c r="P53" s="19">
        <v>0</v>
      </c>
      <c r="Q53" s="16">
        <v>1</v>
      </c>
    </row>
    <row r="54" spans="3:17">
      <c r="C54" s="20" t="s">
        <v>425</v>
      </c>
      <c r="D54" s="18">
        <v>1</v>
      </c>
      <c r="E54" s="19">
        <v>0</v>
      </c>
      <c r="F54" s="19">
        <v>0</v>
      </c>
      <c r="G54" s="19">
        <v>1</v>
      </c>
      <c r="H54" s="19">
        <v>0</v>
      </c>
      <c r="I54" s="19">
        <v>0</v>
      </c>
      <c r="J54" s="19">
        <v>0</v>
      </c>
      <c r="K54" s="19">
        <v>0</v>
      </c>
      <c r="L54" s="19">
        <v>0</v>
      </c>
      <c r="M54" s="19">
        <v>0</v>
      </c>
      <c r="N54" s="19">
        <v>1</v>
      </c>
      <c r="O54" s="19">
        <v>0</v>
      </c>
      <c r="P54" s="19">
        <v>0</v>
      </c>
      <c r="Q54" s="16">
        <v>1</v>
      </c>
    </row>
    <row r="55" spans="3:17">
      <c r="C55" s="20" t="s">
        <v>171</v>
      </c>
      <c r="D55" s="18">
        <v>51</v>
      </c>
      <c r="E55" s="19">
        <v>2</v>
      </c>
      <c r="F55" s="19">
        <v>12.1</v>
      </c>
      <c r="G55" s="19">
        <v>8</v>
      </c>
      <c r="H55" s="19">
        <v>10.75</v>
      </c>
      <c r="I55" s="19">
        <v>5.35</v>
      </c>
      <c r="J55" s="19">
        <v>8</v>
      </c>
      <c r="K55" s="19">
        <v>8.75</v>
      </c>
      <c r="L55" s="19">
        <v>6.6</v>
      </c>
      <c r="M55" s="19">
        <v>26</v>
      </c>
      <c r="N55" s="19">
        <v>12.35</v>
      </c>
      <c r="O55" s="19">
        <v>12.35</v>
      </c>
      <c r="P55" s="19">
        <v>4</v>
      </c>
      <c r="Q55" s="16">
        <v>9.75</v>
      </c>
    </row>
    <row r="56" spans="3:17">
      <c r="C56" s="20" t="s">
        <v>144</v>
      </c>
      <c r="D56" s="18">
        <v>1</v>
      </c>
      <c r="E56" s="19">
        <v>0</v>
      </c>
      <c r="F56" s="19">
        <v>0</v>
      </c>
      <c r="G56" s="19">
        <v>0</v>
      </c>
      <c r="H56" s="19">
        <v>0</v>
      </c>
      <c r="I56" s="19">
        <v>0</v>
      </c>
      <c r="J56" s="19">
        <v>0</v>
      </c>
      <c r="K56" s="19">
        <v>0</v>
      </c>
      <c r="L56" s="19">
        <v>0</v>
      </c>
      <c r="M56" s="19">
        <v>0</v>
      </c>
      <c r="N56" s="19">
        <v>1</v>
      </c>
      <c r="O56" s="19">
        <v>1</v>
      </c>
      <c r="P56" s="19">
        <v>0</v>
      </c>
      <c r="Q56" s="16">
        <v>1</v>
      </c>
    </row>
    <row r="57" spans="3:17">
      <c r="C57" s="20" t="s">
        <v>174</v>
      </c>
      <c r="D57" s="18">
        <v>4</v>
      </c>
      <c r="E57" s="19">
        <v>0</v>
      </c>
      <c r="F57" s="19">
        <v>2</v>
      </c>
      <c r="G57" s="19">
        <v>1</v>
      </c>
      <c r="H57" s="19">
        <v>0</v>
      </c>
      <c r="I57" s="19">
        <v>0</v>
      </c>
      <c r="J57" s="19">
        <v>1</v>
      </c>
      <c r="K57" s="19">
        <v>2</v>
      </c>
      <c r="L57" s="19">
        <v>0</v>
      </c>
      <c r="M57" s="19">
        <v>2</v>
      </c>
      <c r="N57" s="19">
        <v>0</v>
      </c>
      <c r="O57" s="19">
        <v>2</v>
      </c>
      <c r="P57" s="19">
        <v>0</v>
      </c>
      <c r="Q57" s="16">
        <v>1</v>
      </c>
    </row>
    <row r="58" spans="3:17">
      <c r="C58" s="20" t="s">
        <v>145</v>
      </c>
      <c r="D58" s="18">
        <v>7</v>
      </c>
      <c r="E58" s="19">
        <v>0</v>
      </c>
      <c r="F58" s="19">
        <v>1</v>
      </c>
      <c r="G58" s="19">
        <v>0</v>
      </c>
      <c r="H58" s="19">
        <v>2</v>
      </c>
      <c r="I58" s="19">
        <v>1</v>
      </c>
      <c r="J58" s="19">
        <v>0</v>
      </c>
      <c r="K58" s="19">
        <v>1</v>
      </c>
      <c r="L58" s="19">
        <v>0</v>
      </c>
      <c r="M58" s="19">
        <v>2</v>
      </c>
      <c r="N58" s="19">
        <v>3</v>
      </c>
      <c r="O58" s="19">
        <v>1</v>
      </c>
      <c r="P58" s="19">
        <v>3</v>
      </c>
      <c r="Q58" s="16">
        <v>4</v>
      </c>
    </row>
    <row r="59" spans="3:17">
      <c r="C59" s="20" t="s">
        <v>161</v>
      </c>
      <c r="D59" s="18">
        <v>7</v>
      </c>
      <c r="E59" s="19">
        <v>0</v>
      </c>
      <c r="F59" s="19">
        <v>2</v>
      </c>
      <c r="G59" s="19">
        <v>0</v>
      </c>
      <c r="H59" s="19">
        <v>2</v>
      </c>
      <c r="I59" s="19">
        <v>0</v>
      </c>
      <c r="J59" s="19">
        <v>0</v>
      </c>
      <c r="K59" s="19">
        <v>2</v>
      </c>
      <c r="L59" s="19">
        <v>0</v>
      </c>
      <c r="M59" s="19">
        <v>4</v>
      </c>
      <c r="N59" s="19">
        <v>2</v>
      </c>
      <c r="O59" s="19">
        <v>2</v>
      </c>
      <c r="P59" s="19">
        <v>0</v>
      </c>
      <c r="Q59" s="16">
        <v>5</v>
      </c>
    </row>
    <row r="60" spans="3:17">
      <c r="C60" s="20" t="s">
        <v>462</v>
      </c>
      <c r="D60" s="18">
        <v>1</v>
      </c>
      <c r="E60" s="19">
        <v>0</v>
      </c>
      <c r="F60" s="19">
        <v>0</v>
      </c>
      <c r="G60" s="19">
        <v>0</v>
      </c>
      <c r="H60" s="19">
        <v>0</v>
      </c>
      <c r="I60" s="19">
        <v>0</v>
      </c>
      <c r="J60" s="19">
        <v>0</v>
      </c>
      <c r="K60" s="19">
        <v>0</v>
      </c>
      <c r="L60" s="19">
        <v>0</v>
      </c>
      <c r="M60" s="19">
        <v>0</v>
      </c>
      <c r="N60" s="19">
        <v>0</v>
      </c>
      <c r="O60" s="19">
        <v>0</v>
      </c>
      <c r="P60" s="19">
        <v>0</v>
      </c>
      <c r="Q60" s="16">
        <v>0</v>
      </c>
    </row>
    <row r="61" spans="3:17">
      <c r="C61" s="20" t="s">
        <v>157</v>
      </c>
      <c r="D61" s="18">
        <v>2</v>
      </c>
      <c r="E61" s="19">
        <v>0</v>
      </c>
      <c r="F61" s="19">
        <v>1</v>
      </c>
      <c r="G61" s="19">
        <v>0</v>
      </c>
      <c r="H61" s="19">
        <v>0</v>
      </c>
      <c r="I61" s="19">
        <v>0</v>
      </c>
      <c r="J61" s="19">
        <v>1</v>
      </c>
      <c r="K61" s="19">
        <v>1</v>
      </c>
      <c r="L61" s="19">
        <v>0</v>
      </c>
      <c r="M61" s="19">
        <v>1</v>
      </c>
      <c r="N61" s="19">
        <v>1</v>
      </c>
      <c r="O61" s="19">
        <v>0</v>
      </c>
      <c r="P61" s="19">
        <v>0</v>
      </c>
      <c r="Q61" s="16">
        <v>0</v>
      </c>
    </row>
    <row r="62" spans="3:17">
      <c r="C62" s="20" t="s">
        <v>135</v>
      </c>
      <c r="D62" s="18">
        <v>2</v>
      </c>
      <c r="E62" s="19">
        <v>1</v>
      </c>
      <c r="F62" s="19">
        <v>0</v>
      </c>
      <c r="G62" s="19">
        <v>0</v>
      </c>
      <c r="H62" s="19">
        <v>1</v>
      </c>
      <c r="I62" s="19">
        <v>0</v>
      </c>
      <c r="J62" s="19">
        <v>0</v>
      </c>
      <c r="K62" s="19">
        <v>0</v>
      </c>
      <c r="L62" s="19">
        <v>0</v>
      </c>
      <c r="M62" s="19">
        <v>0</v>
      </c>
      <c r="N62" s="19">
        <v>1</v>
      </c>
      <c r="O62" s="19">
        <v>1</v>
      </c>
      <c r="P62" s="19">
        <v>0</v>
      </c>
      <c r="Q62" s="16">
        <v>0</v>
      </c>
    </row>
    <row r="63" spans="3:17">
      <c r="C63" s="20" t="s">
        <v>156</v>
      </c>
      <c r="D63" s="18">
        <v>13</v>
      </c>
      <c r="E63" s="19">
        <v>0.75</v>
      </c>
      <c r="F63" s="19">
        <v>1</v>
      </c>
      <c r="G63" s="19">
        <v>1</v>
      </c>
      <c r="H63" s="19">
        <v>0.75</v>
      </c>
      <c r="I63" s="19">
        <v>1</v>
      </c>
      <c r="J63" s="19">
        <v>1</v>
      </c>
      <c r="K63" s="19">
        <v>3.75</v>
      </c>
      <c r="L63" s="19">
        <v>2</v>
      </c>
      <c r="M63" s="19">
        <v>6</v>
      </c>
      <c r="N63" s="19">
        <v>2.75</v>
      </c>
      <c r="O63" s="19">
        <v>2</v>
      </c>
      <c r="P63" s="19">
        <v>4</v>
      </c>
      <c r="Q63" s="16">
        <v>2</v>
      </c>
    </row>
    <row r="64" spans="3:17">
      <c r="C64" s="20" t="s">
        <v>121</v>
      </c>
      <c r="D64" s="18">
        <v>11</v>
      </c>
      <c r="E64" s="19">
        <v>3</v>
      </c>
      <c r="F64" s="19">
        <v>2</v>
      </c>
      <c r="G64" s="19">
        <v>0</v>
      </c>
      <c r="H64" s="19">
        <v>2</v>
      </c>
      <c r="I64" s="19">
        <v>0</v>
      </c>
      <c r="J64" s="19">
        <v>3.75</v>
      </c>
      <c r="K64" s="19">
        <v>3</v>
      </c>
      <c r="L64" s="19">
        <v>0</v>
      </c>
      <c r="M64" s="19">
        <v>1.75</v>
      </c>
      <c r="N64" s="19">
        <v>5</v>
      </c>
      <c r="O64" s="19">
        <v>5.75</v>
      </c>
      <c r="P64" s="19">
        <v>1</v>
      </c>
      <c r="Q64" s="16">
        <v>2.75</v>
      </c>
    </row>
    <row r="65" spans="3:17">
      <c r="C65" s="20" t="s">
        <v>153</v>
      </c>
      <c r="D65" s="18">
        <v>2</v>
      </c>
      <c r="E65" s="19">
        <v>2</v>
      </c>
      <c r="F65" s="19">
        <v>0</v>
      </c>
      <c r="G65" s="19">
        <v>0</v>
      </c>
      <c r="H65" s="19">
        <v>0</v>
      </c>
      <c r="I65" s="19">
        <v>0</v>
      </c>
      <c r="J65" s="19">
        <v>1</v>
      </c>
      <c r="K65" s="19">
        <v>0</v>
      </c>
      <c r="L65" s="19">
        <v>0</v>
      </c>
      <c r="M65" s="19">
        <v>0</v>
      </c>
      <c r="N65" s="19">
        <v>1</v>
      </c>
      <c r="O65" s="19">
        <v>1</v>
      </c>
      <c r="P65" s="19">
        <v>0</v>
      </c>
      <c r="Q65" s="16">
        <v>0</v>
      </c>
    </row>
    <row r="66" spans="3:17">
      <c r="C66" s="20" t="s">
        <v>113</v>
      </c>
      <c r="D66" s="18">
        <v>3</v>
      </c>
      <c r="E66" s="19">
        <v>0</v>
      </c>
      <c r="F66" s="19">
        <v>1</v>
      </c>
      <c r="G66" s="19">
        <v>0</v>
      </c>
      <c r="H66" s="19">
        <v>2</v>
      </c>
      <c r="I66" s="19">
        <v>0</v>
      </c>
      <c r="J66" s="19">
        <v>0</v>
      </c>
      <c r="K66" s="19">
        <v>0</v>
      </c>
      <c r="L66" s="19">
        <v>0</v>
      </c>
      <c r="M66" s="19">
        <v>0</v>
      </c>
      <c r="N66" s="19">
        <v>0</v>
      </c>
      <c r="O66" s="19">
        <v>0</v>
      </c>
      <c r="P66" s="19">
        <v>0</v>
      </c>
      <c r="Q66" s="16">
        <v>0</v>
      </c>
    </row>
    <row r="67" spans="3:17">
      <c r="C67" s="20" t="s">
        <v>516</v>
      </c>
      <c r="D67" s="18">
        <v>1</v>
      </c>
      <c r="E67" s="19">
        <v>0.5</v>
      </c>
      <c r="F67" s="19">
        <v>0</v>
      </c>
      <c r="G67" s="19">
        <v>0</v>
      </c>
      <c r="H67" s="19">
        <v>0.5</v>
      </c>
      <c r="I67" s="19">
        <v>0</v>
      </c>
      <c r="J67" s="19">
        <v>0</v>
      </c>
      <c r="K67" s="19">
        <v>0.5</v>
      </c>
      <c r="L67" s="19">
        <v>0</v>
      </c>
      <c r="M67" s="19">
        <v>0.5</v>
      </c>
      <c r="N67" s="19">
        <v>0.5</v>
      </c>
      <c r="O67" s="19">
        <v>0</v>
      </c>
      <c r="P67" s="19">
        <v>0</v>
      </c>
      <c r="Q67" s="16">
        <v>0.5</v>
      </c>
    </row>
    <row r="68" spans="3:17">
      <c r="C68" s="20" t="s">
        <v>470</v>
      </c>
      <c r="D68" s="18">
        <v>2</v>
      </c>
      <c r="E68" s="19">
        <v>0</v>
      </c>
      <c r="F68" s="19">
        <v>1</v>
      </c>
      <c r="G68" s="19">
        <v>0</v>
      </c>
      <c r="H68" s="19">
        <v>0</v>
      </c>
      <c r="I68" s="19">
        <v>0</v>
      </c>
      <c r="J68" s="19">
        <v>1</v>
      </c>
      <c r="K68" s="19">
        <v>2</v>
      </c>
      <c r="L68" s="19">
        <v>0</v>
      </c>
      <c r="M68" s="19">
        <v>0</v>
      </c>
      <c r="N68" s="19">
        <v>0</v>
      </c>
      <c r="O68" s="19">
        <v>1</v>
      </c>
      <c r="P68" s="19">
        <v>0</v>
      </c>
      <c r="Q68" s="16">
        <v>1</v>
      </c>
    </row>
    <row r="69" spans="3:17">
      <c r="C69" s="20" t="s">
        <v>124</v>
      </c>
      <c r="D69" s="18">
        <v>6</v>
      </c>
      <c r="E69" s="19">
        <v>2</v>
      </c>
      <c r="F69" s="19">
        <v>1</v>
      </c>
      <c r="G69" s="19">
        <v>0</v>
      </c>
      <c r="H69" s="19">
        <v>4</v>
      </c>
      <c r="I69" s="19">
        <v>1</v>
      </c>
      <c r="J69" s="19">
        <v>0</v>
      </c>
      <c r="K69" s="19">
        <v>1</v>
      </c>
      <c r="L69" s="19">
        <v>0</v>
      </c>
      <c r="M69" s="19">
        <v>0</v>
      </c>
      <c r="N69" s="19">
        <v>5</v>
      </c>
      <c r="O69" s="19">
        <v>0</v>
      </c>
      <c r="P69" s="19">
        <v>0</v>
      </c>
      <c r="Q69" s="16">
        <v>3</v>
      </c>
    </row>
    <row r="70" spans="3:17">
      <c r="C70" s="20" t="s">
        <v>381</v>
      </c>
      <c r="D70" s="18">
        <v>1</v>
      </c>
      <c r="E70" s="19">
        <v>0</v>
      </c>
      <c r="F70" s="19">
        <v>0</v>
      </c>
      <c r="G70" s="19">
        <v>0</v>
      </c>
      <c r="H70" s="19">
        <v>0</v>
      </c>
      <c r="I70" s="19">
        <v>0</v>
      </c>
      <c r="J70" s="19">
        <v>0</v>
      </c>
      <c r="K70" s="19">
        <v>0</v>
      </c>
      <c r="L70" s="19">
        <v>0</v>
      </c>
      <c r="M70" s="19">
        <v>0</v>
      </c>
      <c r="N70" s="19">
        <v>0</v>
      </c>
      <c r="O70" s="19">
        <v>0</v>
      </c>
      <c r="P70" s="19">
        <v>0</v>
      </c>
      <c r="Q70" s="16">
        <v>0</v>
      </c>
    </row>
    <row r="71" spans="3:17">
      <c r="C71" s="20" t="s">
        <v>371</v>
      </c>
      <c r="D71" s="18">
        <v>2</v>
      </c>
      <c r="E71" s="19">
        <v>0</v>
      </c>
      <c r="F71" s="19">
        <v>2</v>
      </c>
      <c r="G71" s="19">
        <v>0</v>
      </c>
      <c r="H71" s="19">
        <v>0</v>
      </c>
      <c r="I71" s="19">
        <v>0</v>
      </c>
      <c r="J71" s="19">
        <v>1</v>
      </c>
      <c r="K71" s="19">
        <v>0</v>
      </c>
      <c r="L71" s="19">
        <v>0</v>
      </c>
      <c r="M71" s="19">
        <v>0</v>
      </c>
      <c r="N71" s="19">
        <v>0</v>
      </c>
      <c r="O71" s="19">
        <v>1</v>
      </c>
      <c r="P71" s="19">
        <v>1</v>
      </c>
      <c r="Q71" s="16">
        <v>1</v>
      </c>
    </row>
    <row r="72" spans="3:17">
      <c r="C72" s="20" t="s">
        <v>445</v>
      </c>
      <c r="D72" s="18">
        <v>1</v>
      </c>
      <c r="E72" s="19">
        <v>0</v>
      </c>
      <c r="F72" s="19">
        <v>0</v>
      </c>
      <c r="G72" s="19">
        <v>0</v>
      </c>
      <c r="H72" s="19">
        <v>1</v>
      </c>
      <c r="I72" s="19">
        <v>0</v>
      </c>
      <c r="J72" s="19">
        <v>1</v>
      </c>
      <c r="K72" s="19">
        <v>0</v>
      </c>
      <c r="L72" s="19">
        <v>1</v>
      </c>
      <c r="M72" s="19">
        <v>0</v>
      </c>
      <c r="N72" s="19">
        <v>0</v>
      </c>
      <c r="O72" s="19">
        <v>0</v>
      </c>
      <c r="P72" s="19">
        <v>0</v>
      </c>
      <c r="Q72" s="16">
        <v>0</v>
      </c>
    </row>
    <row r="73" spans="3:17">
      <c r="C73" s="20" t="s">
        <v>380</v>
      </c>
      <c r="D73" s="18">
        <v>1</v>
      </c>
      <c r="E73" s="19">
        <v>0</v>
      </c>
      <c r="F73" s="19">
        <v>0</v>
      </c>
      <c r="G73" s="19">
        <v>0</v>
      </c>
      <c r="H73" s="19">
        <v>0</v>
      </c>
      <c r="I73" s="19">
        <v>0</v>
      </c>
      <c r="J73" s="19">
        <v>0</v>
      </c>
      <c r="K73" s="19">
        <v>0</v>
      </c>
      <c r="L73" s="19">
        <v>0</v>
      </c>
      <c r="M73" s="19">
        <v>0</v>
      </c>
      <c r="N73" s="19">
        <v>0</v>
      </c>
      <c r="O73" s="19">
        <v>0</v>
      </c>
      <c r="P73" s="19">
        <v>0</v>
      </c>
      <c r="Q73" s="16">
        <v>0</v>
      </c>
    </row>
    <row r="74" spans="3:17">
      <c r="C74" s="20" t="s">
        <v>454</v>
      </c>
      <c r="D74" s="18">
        <v>1</v>
      </c>
      <c r="E74" s="19">
        <v>0</v>
      </c>
      <c r="F74" s="19">
        <v>1</v>
      </c>
      <c r="G74" s="19">
        <v>0</v>
      </c>
      <c r="H74" s="19">
        <v>0</v>
      </c>
      <c r="I74" s="19">
        <v>0</v>
      </c>
      <c r="J74" s="19">
        <v>0</v>
      </c>
      <c r="K74" s="19">
        <v>1</v>
      </c>
      <c r="L74" s="19">
        <v>0</v>
      </c>
      <c r="M74" s="19">
        <v>1</v>
      </c>
      <c r="N74" s="19">
        <v>0</v>
      </c>
      <c r="O74" s="19">
        <v>0</v>
      </c>
      <c r="P74" s="19">
        <v>0</v>
      </c>
      <c r="Q74" s="16">
        <v>0</v>
      </c>
    </row>
    <row r="75" spans="3:17">
      <c r="C75" s="20" t="s">
        <v>379</v>
      </c>
      <c r="D75" s="18">
        <v>6</v>
      </c>
      <c r="E75" s="19">
        <v>0</v>
      </c>
      <c r="F75" s="19">
        <v>1</v>
      </c>
      <c r="G75" s="19">
        <v>0</v>
      </c>
      <c r="H75" s="19">
        <v>0</v>
      </c>
      <c r="I75" s="19">
        <v>1</v>
      </c>
      <c r="J75" s="19">
        <v>1</v>
      </c>
      <c r="K75" s="19">
        <v>3</v>
      </c>
      <c r="L75" s="19">
        <v>1</v>
      </c>
      <c r="M75" s="19">
        <v>3</v>
      </c>
      <c r="N75" s="19">
        <v>0</v>
      </c>
      <c r="O75" s="19">
        <v>2</v>
      </c>
      <c r="P75" s="19">
        <v>0</v>
      </c>
      <c r="Q75" s="16">
        <v>2</v>
      </c>
    </row>
    <row r="76" spans="3:17">
      <c r="C76" s="20" t="s">
        <v>464</v>
      </c>
      <c r="D76" s="18">
        <v>1</v>
      </c>
      <c r="E76" s="19">
        <v>0</v>
      </c>
      <c r="F76" s="19">
        <v>0.75</v>
      </c>
      <c r="G76" s="19">
        <v>0.75</v>
      </c>
      <c r="H76" s="19">
        <v>0</v>
      </c>
      <c r="I76" s="19">
        <v>0</v>
      </c>
      <c r="J76" s="19">
        <v>0.75</v>
      </c>
      <c r="K76" s="19">
        <v>0</v>
      </c>
      <c r="L76" s="19">
        <v>0</v>
      </c>
      <c r="M76" s="19">
        <v>0.75</v>
      </c>
      <c r="N76" s="19">
        <v>0</v>
      </c>
      <c r="O76" s="19">
        <v>0</v>
      </c>
      <c r="P76" s="19">
        <v>0</v>
      </c>
      <c r="Q76" s="16">
        <v>0</v>
      </c>
    </row>
    <row r="77" spans="3:17">
      <c r="C77" s="20" t="s">
        <v>362</v>
      </c>
      <c r="D77" s="18">
        <v>3</v>
      </c>
      <c r="E77" s="19">
        <v>1</v>
      </c>
      <c r="F77" s="19">
        <v>0</v>
      </c>
      <c r="G77" s="19">
        <v>0</v>
      </c>
      <c r="H77" s="19">
        <v>0</v>
      </c>
      <c r="I77" s="19">
        <v>0</v>
      </c>
      <c r="J77" s="19">
        <v>1</v>
      </c>
      <c r="K77" s="19">
        <v>1</v>
      </c>
      <c r="L77" s="19">
        <v>0</v>
      </c>
      <c r="M77" s="19">
        <v>1</v>
      </c>
      <c r="N77" s="19">
        <v>1</v>
      </c>
      <c r="O77" s="19">
        <v>0</v>
      </c>
      <c r="P77" s="19">
        <v>0</v>
      </c>
      <c r="Q77" s="16">
        <v>1</v>
      </c>
    </row>
    <row r="78" spans="3:17">
      <c r="C78" s="20" t="s">
        <v>457</v>
      </c>
      <c r="D78" s="18">
        <v>1</v>
      </c>
      <c r="E78" s="19">
        <v>0</v>
      </c>
      <c r="F78" s="19">
        <v>0</v>
      </c>
      <c r="G78" s="19">
        <v>0</v>
      </c>
      <c r="H78" s="19">
        <v>0</v>
      </c>
      <c r="I78" s="19">
        <v>0</v>
      </c>
      <c r="J78" s="19">
        <v>0</v>
      </c>
      <c r="K78" s="19">
        <v>0</v>
      </c>
      <c r="L78" s="19">
        <v>0</v>
      </c>
      <c r="M78" s="19">
        <v>0</v>
      </c>
      <c r="N78" s="19">
        <v>0</v>
      </c>
      <c r="O78" s="19">
        <v>0</v>
      </c>
      <c r="P78" s="19">
        <v>0</v>
      </c>
      <c r="Q78" s="16">
        <v>1</v>
      </c>
    </row>
    <row r="79" spans="3:17">
      <c r="C79" s="20" t="s">
        <v>522</v>
      </c>
      <c r="D79" s="18">
        <v>1</v>
      </c>
      <c r="E79" s="19">
        <v>0</v>
      </c>
      <c r="F79" s="19">
        <v>0.6</v>
      </c>
      <c r="G79" s="19">
        <v>0</v>
      </c>
      <c r="H79" s="19">
        <v>0.6</v>
      </c>
      <c r="I79" s="19">
        <v>0</v>
      </c>
      <c r="J79" s="19">
        <v>0.6</v>
      </c>
      <c r="K79" s="19">
        <v>0.6</v>
      </c>
      <c r="L79" s="19">
        <v>0</v>
      </c>
      <c r="M79" s="19">
        <v>0.6</v>
      </c>
      <c r="N79" s="19">
        <v>0</v>
      </c>
      <c r="O79" s="19">
        <v>0</v>
      </c>
      <c r="P79" s="19">
        <v>0</v>
      </c>
      <c r="Q79" s="16">
        <v>0</v>
      </c>
    </row>
    <row r="80" spans="3:17">
      <c r="C80" s="20" t="s">
        <v>126</v>
      </c>
      <c r="D80" s="18">
        <v>3</v>
      </c>
      <c r="E80" s="19">
        <v>0</v>
      </c>
      <c r="F80" s="19">
        <v>0</v>
      </c>
      <c r="G80" s="19">
        <v>0</v>
      </c>
      <c r="H80" s="19">
        <v>0</v>
      </c>
      <c r="I80" s="19">
        <v>0</v>
      </c>
      <c r="J80" s="19">
        <v>0</v>
      </c>
      <c r="K80" s="19">
        <v>0</v>
      </c>
      <c r="L80" s="19">
        <v>0</v>
      </c>
      <c r="M80" s="19">
        <v>1</v>
      </c>
      <c r="N80" s="19">
        <v>2</v>
      </c>
      <c r="O80" s="19">
        <v>0</v>
      </c>
      <c r="P80" s="19">
        <v>0</v>
      </c>
      <c r="Q80" s="16">
        <v>1</v>
      </c>
    </row>
    <row r="81" spans="3:17">
      <c r="C81" s="20" t="s">
        <v>444</v>
      </c>
      <c r="D81" s="18">
        <v>1</v>
      </c>
      <c r="E81" s="19">
        <v>0</v>
      </c>
      <c r="F81" s="19">
        <v>0</v>
      </c>
      <c r="G81" s="19">
        <v>0</v>
      </c>
      <c r="H81" s="19">
        <v>1</v>
      </c>
      <c r="I81" s="19">
        <v>0</v>
      </c>
      <c r="J81" s="19">
        <v>0</v>
      </c>
      <c r="K81" s="19">
        <v>1</v>
      </c>
      <c r="L81" s="19">
        <v>0</v>
      </c>
      <c r="M81" s="19">
        <v>0</v>
      </c>
      <c r="N81" s="19">
        <v>1</v>
      </c>
      <c r="O81" s="19">
        <v>0</v>
      </c>
      <c r="P81" s="19">
        <v>0</v>
      </c>
      <c r="Q81" s="16">
        <v>0</v>
      </c>
    </row>
    <row r="82" spans="3:17">
      <c r="C82" s="20" t="s">
        <v>474</v>
      </c>
      <c r="D82" s="18">
        <v>1</v>
      </c>
      <c r="E82" s="19">
        <v>0</v>
      </c>
      <c r="F82" s="19">
        <v>0</v>
      </c>
      <c r="G82" s="19">
        <v>0</v>
      </c>
      <c r="H82" s="19">
        <v>0</v>
      </c>
      <c r="I82" s="19">
        <v>0</v>
      </c>
      <c r="J82" s="19">
        <v>0</v>
      </c>
      <c r="K82" s="19">
        <v>0</v>
      </c>
      <c r="L82" s="19">
        <v>0</v>
      </c>
      <c r="M82" s="19">
        <v>0</v>
      </c>
      <c r="N82" s="19">
        <v>0</v>
      </c>
      <c r="O82" s="19">
        <v>1</v>
      </c>
      <c r="P82" s="19">
        <v>1</v>
      </c>
      <c r="Q82" s="16">
        <v>1</v>
      </c>
    </row>
    <row r="83" spans="3:17">
      <c r="C83" s="20" t="s">
        <v>119</v>
      </c>
      <c r="D83" s="18">
        <v>2</v>
      </c>
      <c r="E83" s="19">
        <v>0.5</v>
      </c>
      <c r="F83" s="19">
        <v>0</v>
      </c>
      <c r="G83" s="19">
        <v>1</v>
      </c>
      <c r="H83" s="19">
        <v>1</v>
      </c>
      <c r="I83" s="19">
        <v>0.5</v>
      </c>
      <c r="J83" s="19">
        <v>0.5</v>
      </c>
      <c r="K83" s="19">
        <v>0</v>
      </c>
      <c r="L83" s="19">
        <v>0.5</v>
      </c>
      <c r="M83" s="19">
        <v>0.5</v>
      </c>
      <c r="N83" s="19">
        <v>0</v>
      </c>
      <c r="O83" s="19">
        <v>0</v>
      </c>
      <c r="P83" s="19">
        <v>1</v>
      </c>
      <c r="Q83" s="16">
        <v>0.5</v>
      </c>
    </row>
    <row r="84" spans="3:17">
      <c r="C84" s="20" t="s">
        <v>146</v>
      </c>
      <c r="D84" s="18">
        <v>1</v>
      </c>
      <c r="E84" s="19">
        <v>0</v>
      </c>
      <c r="F84" s="19">
        <v>0</v>
      </c>
      <c r="G84" s="19">
        <v>0</v>
      </c>
      <c r="H84" s="19">
        <v>0</v>
      </c>
      <c r="I84" s="19">
        <v>0</v>
      </c>
      <c r="J84" s="19">
        <v>0</v>
      </c>
      <c r="K84" s="19">
        <v>1</v>
      </c>
      <c r="L84" s="19">
        <v>0</v>
      </c>
      <c r="M84" s="19">
        <v>0</v>
      </c>
      <c r="N84" s="19">
        <v>0</v>
      </c>
      <c r="O84" s="19">
        <v>0</v>
      </c>
      <c r="P84" s="19">
        <v>0</v>
      </c>
      <c r="Q84" s="16">
        <v>0</v>
      </c>
    </row>
    <row r="85" spans="3:17">
      <c r="C85" s="20" t="s">
        <v>176</v>
      </c>
      <c r="D85" s="18">
        <v>4</v>
      </c>
      <c r="E85" s="19">
        <v>0</v>
      </c>
      <c r="F85" s="19">
        <v>0</v>
      </c>
      <c r="G85" s="19">
        <v>0</v>
      </c>
      <c r="H85" s="19">
        <v>2</v>
      </c>
      <c r="I85" s="19">
        <v>0</v>
      </c>
      <c r="J85" s="19">
        <v>0</v>
      </c>
      <c r="K85" s="19">
        <v>0</v>
      </c>
      <c r="L85" s="19">
        <v>0</v>
      </c>
      <c r="M85" s="19">
        <v>2</v>
      </c>
      <c r="N85" s="19">
        <v>2</v>
      </c>
      <c r="O85" s="19">
        <v>0</v>
      </c>
      <c r="P85" s="19">
        <v>0</v>
      </c>
      <c r="Q85" s="16">
        <v>0</v>
      </c>
    </row>
    <row r="86" spans="3:17">
      <c r="C86" s="20" t="s">
        <v>378</v>
      </c>
      <c r="D86" s="18">
        <v>1</v>
      </c>
      <c r="E86" s="19">
        <v>0</v>
      </c>
      <c r="F86" s="19">
        <v>0</v>
      </c>
      <c r="G86" s="19">
        <v>0</v>
      </c>
      <c r="H86" s="19">
        <v>0</v>
      </c>
      <c r="I86" s="19">
        <v>0</v>
      </c>
      <c r="J86" s="19">
        <v>0</v>
      </c>
      <c r="K86" s="19">
        <v>0</v>
      </c>
      <c r="L86" s="19">
        <v>0</v>
      </c>
      <c r="M86" s="19">
        <v>0</v>
      </c>
      <c r="N86" s="19">
        <v>0</v>
      </c>
      <c r="O86" s="19">
        <v>1</v>
      </c>
      <c r="P86" s="19">
        <v>0</v>
      </c>
      <c r="Q86" s="16">
        <v>1</v>
      </c>
    </row>
    <row r="87" spans="3:17">
      <c r="C87" s="20" t="s">
        <v>155</v>
      </c>
      <c r="D87" s="18">
        <v>10</v>
      </c>
      <c r="E87" s="19">
        <v>2.2727272727272725</v>
      </c>
      <c r="F87" s="19">
        <v>2.0227272727272725</v>
      </c>
      <c r="G87" s="19">
        <v>6.0227272727272725</v>
      </c>
      <c r="H87" s="19">
        <v>2.2727272727272725</v>
      </c>
      <c r="I87" s="19">
        <v>2.2727272727272725</v>
      </c>
      <c r="J87" s="19">
        <v>1.0227272727272727</v>
      </c>
      <c r="K87" s="19">
        <v>2.2727272727272725</v>
      </c>
      <c r="L87" s="19">
        <v>0.27272727272727271</v>
      </c>
      <c r="M87" s="19">
        <v>4.0227272727272725</v>
      </c>
      <c r="N87" s="19">
        <v>2.2727272727272725</v>
      </c>
      <c r="O87" s="19">
        <v>1</v>
      </c>
      <c r="P87" s="19">
        <v>1.2727272727272727</v>
      </c>
      <c r="Q87" s="16">
        <v>1</v>
      </c>
    </row>
    <row r="88" spans="3:17">
      <c r="C88" s="20" t="s">
        <v>376</v>
      </c>
      <c r="D88" s="18">
        <v>1</v>
      </c>
      <c r="E88" s="19">
        <v>0</v>
      </c>
      <c r="F88" s="19">
        <v>1</v>
      </c>
      <c r="G88" s="19">
        <v>0</v>
      </c>
      <c r="H88" s="19">
        <v>0</v>
      </c>
      <c r="I88" s="19">
        <v>0</v>
      </c>
      <c r="J88" s="19">
        <v>0</v>
      </c>
      <c r="K88" s="19">
        <v>0</v>
      </c>
      <c r="L88" s="19">
        <v>0</v>
      </c>
      <c r="M88" s="19">
        <v>0</v>
      </c>
      <c r="N88" s="19">
        <v>0</v>
      </c>
      <c r="O88" s="19">
        <v>0</v>
      </c>
      <c r="P88" s="19">
        <v>1</v>
      </c>
      <c r="Q88" s="16">
        <v>1</v>
      </c>
    </row>
    <row r="89" spans="3:17">
      <c r="C89" s="20" t="s">
        <v>178</v>
      </c>
      <c r="D89" s="18">
        <v>2</v>
      </c>
      <c r="E89" s="19">
        <v>0</v>
      </c>
      <c r="F89" s="19">
        <v>0</v>
      </c>
      <c r="G89" s="19">
        <v>1</v>
      </c>
      <c r="H89" s="19">
        <v>0</v>
      </c>
      <c r="I89" s="19">
        <v>0</v>
      </c>
      <c r="J89" s="19">
        <v>0</v>
      </c>
      <c r="K89" s="19">
        <v>1</v>
      </c>
      <c r="L89" s="19">
        <v>0</v>
      </c>
      <c r="M89" s="19">
        <v>1</v>
      </c>
      <c r="N89" s="19">
        <v>1</v>
      </c>
      <c r="O89" s="19">
        <v>0</v>
      </c>
      <c r="P89" s="19">
        <v>0</v>
      </c>
      <c r="Q89" s="16">
        <v>1</v>
      </c>
    </row>
    <row r="90" spans="3:17">
      <c r="C90" s="20" t="s">
        <v>139</v>
      </c>
      <c r="D90" s="18">
        <v>3</v>
      </c>
      <c r="E90" s="19">
        <v>0</v>
      </c>
      <c r="F90" s="19">
        <v>0</v>
      </c>
      <c r="G90" s="19">
        <v>1</v>
      </c>
      <c r="H90" s="19">
        <v>0</v>
      </c>
      <c r="I90" s="19">
        <v>0</v>
      </c>
      <c r="J90" s="19">
        <v>0</v>
      </c>
      <c r="K90" s="19">
        <v>2</v>
      </c>
      <c r="L90" s="19">
        <v>0</v>
      </c>
      <c r="M90" s="19">
        <v>1</v>
      </c>
      <c r="N90" s="19">
        <v>2</v>
      </c>
      <c r="O90" s="19">
        <v>0</v>
      </c>
      <c r="P90" s="19">
        <v>0</v>
      </c>
      <c r="Q90" s="16">
        <v>0</v>
      </c>
    </row>
    <row r="91" spans="3:17">
      <c r="C91" s="20" t="s">
        <v>150</v>
      </c>
      <c r="D91" s="18">
        <v>19</v>
      </c>
      <c r="E91" s="19">
        <v>2</v>
      </c>
      <c r="F91" s="19">
        <v>3</v>
      </c>
      <c r="G91" s="19">
        <v>4</v>
      </c>
      <c r="H91" s="19">
        <v>2</v>
      </c>
      <c r="I91" s="19">
        <v>2</v>
      </c>
      <c r="J91" s="19">
        <v>0</v>
      </c>
      <c r="K91" s="19">
        <v>4</v>
      </c>
      <c r="L91" s="19">
        <v>0</v>
      </c>
      <c r="M91" s="19">
        <v>10</v>
      </c>
      <c r="N91" s="19">
        <v>2</v>
      </c>
      <c r="O91" s="19">
        <v>3</v>
      </c>
      <c r="P91" s="19">
        <v>1</v>
      </c>
      <c r="Q91" s="16">
        <v>8</v>
      </c>
    </row>
    <row r="92" spans="3:17">
      <c r="C92" s="20" t="s">
        <v>185</v>
      </c>
      <c r="D92" s="18">
        <v>5</v>
      </c>
      <c r="E92" s="19">
        <v>1</v>
      </c>
      <c r="F92" s="19">
        <v>0</v>
      </c>
      <c r="G92" s="19">
        <v>0</v>
      </c>
      <c r="H92" s="19">
        <v>0</v>
      </c>
      <c r="I92" s="19">
        <v>0</v>
      </c>
      <c r="J92" s="19">
        <v>0</v>
      </c>
      <c r="K92" s="19">
        <v>0</v>
      </c>
      <c r="L92" s="19">
        <v>0</v>
      </c>
      <c r="M92" s="19">
        <v>4</v>
      </c>
      <c r="N92" s="19">
        <v>0</v>
      </c>
      <c r="O92" s="19">
        <v>0</v>
      </c>
      <c r="P92" s="19">
        <v>0</v>
      </c>
      <c r="Q92" s="16">
        <v>1</v>
      </c>
    </row>
    <row r="93" spans="3:17">
      <c r="C93" s="20" t="s">
        <v>175</v>
      </c>
      <c r="D93" s="18">
        <v>2</v>
      </c>
      <c r="E93" s="19">
        <v>0</v>
      </c>
      <c r="F93" s="19">
        <v>1</v>
      </c>
      <c r="G93" s="19">
        <v>0</v>
      </c>
      <c r="H93" s="19">
        <v>0</v>
      </c>
      <c r="I93" s="19">
        <v>0</v>
      </c>
      <c r="J93" s="19">
        <v>1</v>
      </c>
      <c r="K93" s="19">
        <v>1</v>
      </c>
      <c r="L93" s="19">
        <v>0</v>
      </c>
      <c r="M93" s="19">
        <v>1</v>
      </c>
      <c r="N93" s="19">
        <v>1</v>
      </c>
      <c r="O93" s="19">
        <v>0</v>
      </c>
      <c r="P93" s="19">
        <v>0</v>
      </c>
      <c r="Q93" s="16">
        <v>1</v>
      </c>
    </row>
    <row r="94" spans="3:17">
      <c r="C94" s="20" t="s">
        <v>458</v>
      </c>
      <c r="D94" s="18">
        <v>1</v>
      </c>
      <c r="E94" s="19">
        <v>0</v>
      </c>
      <c r="F94" s="19">
        <v>0</v>
      </c>
      <c r="G94" s="19">
        <v>1</v>
      </c>
      <c r="H94" s="19">
        <v>0</v>
      </c>
      <c r="I94" s="19">
        <v>1</v>
      </c>
      <c r="J94" s="19">
        <v>0</v>
      </c>
      <c r="K94" s="19">
        <v>0</v>
      </c>
      <c r="L94" s="19">
        <v>1</v>
      </c>
      <c r="M94" s="19">
        <v>0</v>
      </c>
      <c r="N94" s="19">
        <v>0</v>
      </c>
      <c r="O94" s="19">
        <v>0</v>
      </c>
      <c r="P94" s="19">
        <v>0</v>
      </c>
      <c r="Q94" s="16">
        <v>0</v>
      </c>
    </row>
    <row r="95" spans="3:17">
      <c r="C95" s="20" t="s">
        <v>475</v>
      </c>
      <c r="D95" s="18">
        <v>1</v>
      </c>
      <c r="E95" s="19">
        <v>0</v>
      </c>
      <c r="F95" s="19">
        <v>1</v>
      </c>
      <c r="G95" s="19">
        <v>0</v>
      </c>
      <c r="H95" s="19">
        <v>0</v>
      </c>
      <c r="I95" s="19">
        <v>0</v>
      </c>
      <c r="J95" s="19">
        <v>0</v>
      </c>
      <c r="K95" s="19">
        <v>1</v>
      </c>
      <c r="L95" s="19">
        <v>0</v>
      </c>
      <c r="M95" s="19">
        <v>0</v>
      </c>
      <c r="N95" s="19">
        <v>0</v>
      </c>
      <c r="O95" s="19">
        <v>0</v>
      </c>
      <c r="P95" s="19">
        <v>0</v>
      </c>
      <c r="Q95" s="16">
        <v>1</v>
      </c>
    </row>
    <row r="96" spans="3:17">
      <c r="C96" s="20" t="s">
        <v>519</v>
      </c>
      <c r="D96" s="18">
        <v>1</v>
      </c>
      <c r="E96" s="19">
        <v>0</v>
      </c>
      <c r="F96" s="19">
        <v>1</v>
      </c>
      <c r="G96" s="19">
        <v>0</v>
      </c>
      <c r="H96" s="19">
        <v>0</v>
      </c>
      <c r="I96" s="19">
        <v>0</v>
      </c>
      <c r="J96" s="19">
        <v>0</v>
      </c>
      <c r="K96" s="19">
        <v>1</v>
      </c>
      <c r="L96" s="19">
        <v>0</v>
      </c>
      <c r="M96" s="19">
        <v>0</v>
      </c>
      <c r="N96" s="19">
        <v>0</v>
      </c>
      <c r="O96" s="19">
        <v>0</v>
      </c>
      <c r="P96" s="19">
        <v>0</v>
      </c>
      <c r="Q96" s="16">
        <v>0</v>
      </c>
    </row>
    <row r="97" spans="3:17">
      <c r="C97" s="20" t="s">
        <v>132</v>
      </c>
      <c r="D97" s="18">
        <v>3</v>
      </c>
      <c r="E97" s="19">
        <v>0</v>
      </c>
      <c r="F97" s="19">
        <v>0</v>
      </c>
      <c r="G97" s="19">
        <v>0</v>
      </c>
      <c r="H97" s="19">
        <v>0</v>
      </c>
      <c r="I97" s="19">
        <v>0</v>
      </c>
      <c r="J97" s="19">
        <v>0</v>
      </c>
      <c r="K97" s="19">
        <v>1</v>
      </c>
      <c r="L97" s="19">
        <v>0</v>
      </c>
      <c r="M97" s="19">
        <v>0</v>
      </c>
      <c r="N97" s="19">
        <v>0</v>
      </c>
      <c r="O97" s="19">
        <v>1</v>
      </c>
      <c r="P97" s="19">
        <v>1</v>
      </c>
      <c r="Q97" s="16">
        <v>1</v>
      </c>
    </row>
    <row r="98" spans="3:17">
      <c r="C98" s="20" t="s">
        <v>511</v>
      </c>
      <c r="D98" s="18">
        <v>1</v>
      </c>
      <c r="E98" s="19">
        <v>0</v>
      </c>
      <c r="F98" s="19">
        <v>0</v>
      </c>
      <c r="G98" s="19">
        <v>0</v>
      </c>
      <c r="H98" s="19">
        <v>1</v>
      </c>
      <c r="I98" s="19">
        <v>0</v>
      </c>
      <c r="J98" s="19">
        <v>0</v>
      </c>
      <c r="K98" s="19">
        <v>0</v>
      </c>
      <c r="L98" s="19">
        <v>0</v>
      </c>
      <c r="M98" s="19">
        <v>0</v>
      </c>
      <c r="N98" s="19">
        <v>0</v>
      </c>
      <c r="O98" s="19">
        <v>0</v>
      </c>
      <c r="P98" s="19">
        <v>0</v>
      </c>
      <c r="Q98" s="16">
        <v>0</v>
      </c>
    </row>
    <row r="99" spans="3:17">
      <c r="C99" s="20" t="s">
        <v>148</v>
      </c>
      <c r="D99" s="18">
        <v>8</v>
      </c>
      <c r="E99" s="19">
        <v>0</v>
      </c>
      <c r="F99" s="19">
        <v>5</v>
      </c>
      <c r="G99" s="19">
        <v>1</v>
      </c>
      <c r="H99" s="19">
        <v>0</v>
      </c>
      <c r="I99" s="19">
        <v>0</v>
      </c>
      <c r="J99" s="19">
        <v>0</v>
      </c>
      <c r="K99" s="19">
        <v>1</v>
      </c>
      <c r="L99" s="19">
        <v>0</v>
      </c>
      <c r="M99" s="19">
        <v>4</v>
      </c>
      <c r="N99" s="19">
        <v>2</v>
      </c>
      <c r="O99" s="19">
        <v>3</v>
      </c>
      <c r="P99" s="19">
        <v>1</v>
      </c>
      <c r="Q99" s="16">
        <v>3</v>
      </c>
    </row>
    <row r="100" spans="3:17">
      <c r="C100" s="20" t="s">
        <v>131</v>
      </c>
      <c r="D100" s="18">
        <v>3</v>
      </c>
      <c r="E100" s="19">
        <v>0</v>
      </c>
      <c r="F100" s="19">
        <v>0</v>
      </c>
      <c r="G100" s="19">
        <v>0</v>
      </c>
      <c r="H100" s="19">
        <v>1</v>
      </c>
      <c r="I100" s="19">
        <v>0</v>
      </c>
      <c r="J100" s="19">
        <v>1</v>
      </c>
      <c r="K100" s="19">
        <v>0</v>
      </c>
      <c r="L100" s="19">
        <v>0</v>
      </c>
      <c r="M100" s="19">
        <v>1</v>
      </c>
      <c r="N100" s="19">
        <v>1</v>
      </c>
      <c r="O100" s="19">
        <v>1</v>
      </c>
      <c r="P100" s="19">
        <v>0</v>
      </c>
      <c r="Q100" s="16">
        <v>1</v>
      </c>
    </row>
    <row r="101" spans="3:17">
      <c r="C101" s="20" t="s">
        <v>136</v>
      </c>
      <c r="D101" s="18">
        <v>1</v>
      </c>
      <c r="E101" s="19">
        <v>0</v>
      </c>
      <c r="F101" s="19">
        <v>0</v>
      </c>
      <c r="G101" s="19">
        <v>1</v>
      </c>
      <c r="H101" s="19">
        <v>0</v>
      </c>
      <c r="I101" s="19">
        <v>0</v>
      </c>
      <c r="J101" s="19">
        <v>0</v>
      </c>
      <c r="K101" s="19">
        <v>0</v>
      </c>
      <c r="L101" s="19">
        <v>0</v>
      </c>
      <c r="M101" s="19">
        <v>0</v>
      </c>
      <c r="N101" s="19">
        <v>0</v>
      </c>
      <c r="O101" s="19">
        <v>0</v>
      </c>
      <c r="P101" s="19">
        <v>0</v>
      </c>
      <c r="Q101" s="16">
        <v>1</v>
      </c>
    </row>
    <row r="102" spans="3:17">
      <c r="C102" s="20" t="s">
        <v>127</v>
      </c>
      <c r="D102" s="18">
        <v>2</v>
      </c>
      <c r="E102" s="19">
        <v>0</v>
      </c>
      <c r="F102" s="19">
        <v>0</v>
      </c>
      <c r="G102" s="19">
        <v>0</v>
      </c>
      <c r="H102" s="19">
        <v>1</v>
      </c>
      <c r="I102" s="19">
        <v>0</v>
      </c>
      <c r="J102" s="19">
        <v>0</v>
      </c>
      <c r="K102" s="19">
        <v>1</v>
      </c>
      <c r="L102" s="19">
        <v>0</v>
      </c>
      <c r="M102" s="19">
        <v>1</v>
      </c>
      <c r="N102" s="19">
        <v>1</v>
      </c>
      <c r="O102" s="19">
        <v>1</v>
      </c>
      <c r="P102" s="19">
        <v>0</v>
      </c>
      <c r="Q102" s="16">
        <v>1</v>
      </c>
    </row>
    <row r="103" spans="3:17">
      <c r="C103" s="20" t="s">
        <v>115</v>
      </c>
      <c r="D103" s="18">
        <v>4</v>
      </c>
      <c r="E103" s="19">
        <v>0</v>
      </c>
      <c r="F103" s="19">
        <v>1</v>
      </c>
      <c r="G103" s="19">
        <v>1</v>
      </c>
      <c r="H103" s="19">
        <v>1</v>
      </c>
      <c r="I103" s="19">
        <v>0</v>
      </c>
      <c r="J103" s="19">
        <v>1</v>
      </c>
      <c r="K103" s="19">
        <v>0</v>
      </c>
      <c r="L103" s="19">
        <v>0</v>
      </c>
      <c r="M103" s="19">
        <v>1</v>
      </c>
      <c r="N103" s="19">
        <v>1</v>
      </c>
      <c r="O103" s="19">
        <v>2</v>
      </c>
      <c r="P103" s="19">
        <v>0</v>
      </c>
      <c r="Q103" s="16">
        <v>0</v>
      </c>
    </row>
    <row r="104" spans="3:17">
      <c r="C104" s="20" t="s">
        <v>166</v>
      </c>
      <c r="D104" s="18">
        <v>1</v>
      </c>
      <c r="E104" s="19">
        <v>0</v>
      </c>
      <c r="F104" s="19">
        <v>0</v>
      </c>
      <c r="G104" s="19">
        <v>0</v>
      </c>
      <c r="H104" s="19">
        <v>0</v>
      </c>
      <c r="I104" s="19">
        <v>0</v>
      </c>
      <c r="J104" s="19">
        <v>0</v>
      </c>
      <c r="K104" s="19">
        <v>0</v>
      </c>
      <c r="L104" s="19">
        <v>0</v>
      </c>
      <c r="M104" s="19">
        <v>1</v>
      </c>
      <c r="N104" s="19">
        <v>1</v>
      </c>
      <c r="O104" s="19">
        <v>0</v>
      </c>
      <c r="P104" s="19">
        <v>0</v>
      </c>
      <c r="Q104" s="16">
        <v>1</v>
      </c>
    </row>
    <row r="105" spans="3:17">
      <c r="C105" s="20" t="s">
        <v>125</v>
      </c>
      <c r="D105" s="18">
        <v>2</v>
      </c>
      <c r="E105" s="19">
        <v>0</v>
      </c>
      <c r="F105" s="19">
        <v>0</v>
      </c>
      <c r="G105" s="19">
        <v>0</v>
      </c>
      <c r="H105" s="19">
        <v>0</v>
      </c>
      <c r="I105" s="19">
        <v>0</v>
      </c>
      <c r="J105" s="19">
        <v>0</v>
      </c>
      <c r="K105" s="19">
        <v>0</v>
      </c>
      <c r="L105" s="19">
        <v>0</v>
      </c>
      <c r="M105" s="19">
        <v>0</v>
      </c>
      <c r="N105" s="19">
        <v>0</v>
      </c>
      <c r="O105" s="19">
        <v>1</v>
      </c>
      <c r="P105" s="19">
        <v>1</v>
      </c>
      <c r="Q105" s="16">
        <v>1</v>
      </c>
    </row>
    <row r="106" spans="3:17">
      <c r="C106" s="20" t="s">
        <v>117</v>
      </c>
      <c r="D106" s="18">
        <v>8</v>
      </c>
      <c r="E106" s="19">
        <v>0</v>
      </c>
      <c r="F106" s="19">
        <v>1</v>
      </c>
      <c r="G106" s="19">
        <v>1</v>
      </c>
      <c r="H106" s="19">
        <v>0</v>
      </c>
      <c r="I106" s="19">
        <v>0</v>
      </c>
      <c r="J106" s="19">
        <v>1</v>
      </c>
      <c r="K106" s="19">
        <v>2</v>
      </c>
      <c r="L106" s="19">
        <v>0</v>
      </c>
      <c r="M106" s="19">
        <v>0</v>
      </c>
      <c r="N106" s="19">
        <v>4</v>
      </c>
      <c r="O106" s="19">
        <v>1</v>
      </c>
      <c r="P106" s="19">
        <v>1</v>
      </c>
      <c r="Q106" s="16">
        <v>1</v>
      </c>
    </row>
    <row r="107" spans="3:17">
      <c r="C107" s="20" t="s">
        <v>168</v>
      </c>
      <c r="D107" s="18">
        <v>2</v>
      </c>
      <c r="E107" s="19">
        <v>0</v>
      </c>
      <c r="F107" s="19">
        <v>0</v>
      </c>
      <c r="G107" s="19">
        <v>1</v>
      </c>
      <c r="H107" s="19">
        <v>0</v>
      </c>
      <c r="I107" s="19">
        <v>0</v>
      </c>
      <c r="J107" s="19">
        <v>0</v>
      </c>
      <c r="K107" s="19">
        <v>0</v>
      </c>
      <c r="L107" s="19">
        <v>0</v>
      </c>
      <c r="M107" s="19">
        <v>1</v>
      </c>
      <c r="N107" s="19">
        <v>1</v>
      </c>
      <c r="O107" s="19">
        <v>0</v>
      </c>
      <c r="P107" s="19">
        <v>0</v>
      </c>
      <c r="Q107" s="16">
        <v>0</v>
      </c>
    </row>
    <row r="108" spans="3:17">
      <c r="C108" s="20" t="s">
        <v>170</v>
      </c>
      <c r="D108" s="18">
        <v>1</v>
      </c>
      <c r="E108" s="19">
        <v>0</v>
      </c>
      <c r="F108" s="19">
        <v>0</v>
      </c>
      <c r="G108" s="19">
        <v>0</v>
      </c>
      <c r="H108" s="19">
        <v>1</v>
      </c>
      <c r="I108" s="19">
        <v>0</v>
      </c>
      <c r="J108" s="19">
        <v>0</v>
      </c>
      <c r="K108" s="19">
        <v>0</v>
      </c>
      <c r="L108" s="19">
        <v>0</v>
      </c>
      <c r="M108" s="19">
        <v>0</v>
      </c>
      <c r="N108" s="19">
        <v>0</v>
      </c>
      <c r="O108" s="19">
        <v>0</v>
      </c>
      <c r="P108" s="19">
        <v>0</v>
      </c>
      <c r="Q108" s="16">
        <v>0</v>
      </c>
    </row>
    <row r="109" spans="3:17">
      <c r="C109" s="20" t="s">
        <v>158</v>
      </c>
      <c r="D109" s="18">
        <v>4</v>
      </c>
      <c r="E109" s="19">
        <v>0</v>
      </c>
      <c r="F109" s="19">
        <v>1</v>
      </c>
      <c r="G109" s="19">
        <v>0</v>
      </c>
      <c r="H109" s="19">
        <v>1</v>
      </c>
      <c r="I109" s="19">
        <v>0</v>
      </c>
      <c r="J109" s="19">
        <v>2</v>
      </c>
      <c r="K109" s="19">
        <v>0</v>
      </c>
      <c r="L109" s="19">
        <v>0</v>
      </c>
      <c r="M109" s="19">
        <v>2</v>
      </c>
      <c r="N109" s="19">
        <v>2</v>
      </c>
      <c r="O109" s="19">
        <v>1</v>
      </c>
      <c r="P109" s="19">
        <v>0</v>
      </c>
      <c r="Q109" s="16">
        <v>1</v>
      </c>
    </row>
    <row r="110" spans="3:17">
      <c r="C110" s="20" t="s">
        <v>129</v>
      </c>
      <c r="D110" s="18">
        <v>3</v>
      </c>
      <c r="E110" s="19">
        <v>0</v>
      </c>
      <c r="F110" s="19">
        <v>1</v>
      </c>
      <c r="G110" s="19">
        <v>0</v>
      </c>
      <c r="H110" s="19">
        <v>1</v>
      </c>
      <c r="I110" s="19">
        <v>0</v>
      </c>
      <c r="J110" s="19">
        <v>0</v>
      </c>
      <c r="K110" s="19">
        <v>1</v>
      </c>
      <c r="L110" s="19">
        <v>0</v>
      </c>
      <c r="M110" s="19">
        <v>0</v>
      </c>
      <c r="N110" s="19">
        <v>1</v>
      </c>
      <c r="O110" s="19">
        <v>2</v>
      </c>
      <c r="P110" s="19">
        <v>0</v>
      </c>
      <c r="Q110" s="16">
        <v>0</v>
      </c>
    </row>
    <row r="111" spans="3:17">
      <c r="C111" s="20" t="s">
        <v>181</v>
      </c>
      <c r="D111" s="18">
        <v>4</v>
      </c>
      <c r="E111" s="19">
        <v>1</v>
      </c>
      <c r="F111" s="19">
        <v>1</v>
      </c>
      <c r="G111" s="19">
        <v>0</v>
      </c>
      <c r="H111" s="19">
        <v>2</v>
      </c>
      <c r="I111" s="19">
        <v>0</v>
      </c>
      <c r="J111" s="19">
        <v>0</v>
      </c>
      <c r="K111" s="19">
        <v>1</v>
      </c>
      <c r="L111" s="19">
        <v>0</v>
      </c>
      <c r="M111" s="19">
        <v>0</v>
      </c>
      <c r="N111" s="19">
        <v>0</v>
      </c>
      <c r="O111" s="19">
        <v>0</v>
      </c>
      <c r="P111" s="19">
        <v>0</v>
      </c>
      <c r="Q111" s="16">
        <v>0</v>
      </c>
    </row>
    <row r="112" spans="3:17">
      <c r="C112" s="20" t="s">
        <v>357</v>
      </c>
      <c r="D112" s="18">
        <v>3</v>
      </c>
      <c r="E112" s="19">
        <v>1</v>
      </c>
      <c r="F112" s="19">
        <v>0</v>
      </c>
      <c r="G112" s="19">
        <v>0</v>
      </c>
      <c r="H112" s="19">
        <v>0</v>
      </c>
      <c r="I112" s="19">
        <v>0</v>
      </c>
      <c r="J112" s="19">
        <v>0</v>
      </c>
      <c r="K112" s="19">
        <v>0</v>
      </c>
      <c r="L112" s="19">
        <v>0</v>
      </c>
      <c r="M112" s="19">
        <v>1</v>
      </c>
      <c r="N112" s="19">
        <v>2</v>
      </c>
      <c r="O112" s="19">
        <v>1</v>
      </c>
      <c r="P112" s="19">
        <v>2</v>
      </c>
      <c r="Q112" s="16">
        <v>0</v>
      </c>
    </row>
    <row r="113" spans="3:17">
      <c r="C113" s="20" t="s">
        <v>520</v>
      </c>
      <c r="D113" s="18">
        <v>3</v>
      </c>
      <c r="E113" s="19">
        <v>0</v>
      </c>
      <c r="F113" s="19">
        <v>0</v>
      </c>
      <c r="G113" s="19">
        <v>0</v>
      </c>
      <c r="H113" s="19">
        <v>1</v>
      </c>
      <c r="I113" s="19">
        <v>0</v>
      </c>
      <c r="J113" s="19">
        <v>0</v>
      </c>
      <c r="K113" s="19">
        <v>2</v>
      </c>
      <c r="L113" s="19">
        <v>0</v>
      </c>
      <c r="M113" s="19">
        <v>0</v>
      </c>
      <c r="N113" s="19">
        <v>1</v>
      </c>
      <c r="O113" s="19">
        <v>1</v>
      </c>
      <c r="P113" s="19">
        <v>1</v>
      </c>
      <c r="Q113" s="16">
        <v>2</v>
      </c>
    </row>
    <row r="114" spans="3:17">
      <c r="C114" s="20" t="s">
        <v>432</v>
      </c>
      <c r="D114" s="18">
        <v>1</v>
      </c>
      <c r="E114" s="19">
        <v>0</v>
      </c>
      <c r="F114" s="19">
        <v>0</v>
      </c>
      <c r="G114" s="19">
        <v>0</v>
      </c>
      <c r="H114" s="19">
        <v>0</v>
      </c>
      <c r="I114" s="19">
        <v>0</v>
      </c>
      <c r="J114" s="19">
        <v>0</v>
      </c>
      <c r="K114" s="19">
        <v>0</v>
      </c>
      <c r="L114" s="19">
        <v>0</v>
      </c>
      <c r="M114" s="19">
        <v>1</v>
      </c>
      <c r="N114" s="19">
        <v>0</v>
      </c>
      <c r="O114" s="19">
        <v>0</v>
      </c>
      <c r="P114" s="19">
        <v>0</v>
      </c>
      <c r="Q114" s="16">
        <v>0</v>
      </c>
    </row>
    <row r="115" spans="3:17">
      <c r="C115" s="20" t="s">
        <v>173</v>
      </c>
      <c r="D115" s="18">
        <v>19</v>
      </c>
      <c r="E115" s="19">
        <v>1.6</v>
      </c>
      <c r="F115" s="19">
        <v>1.6</v>
      </c>
      <c r="G115" s="19">
        <v>3</v>
      </c>
      <c r="H115" s="19">
        <v>1</v>
      </c>
      <c r="I115" s="19">
        <v>0</v>
      </c>
      <c r="J115" s="19">
        <v>1</v>
      </c>
      <c r="K115" s="19">
        <v>2.6</v>
      </c>
      <c r="L115" s="19">
        <v>0</v>
      </c>
      <c r="M115" s="19">
        <v>13</v>
      </c>
      <c r="N115" s="19">
        <v>1</v>
      </c>
      <c r="O115" s="19">
        <v>0.6</v>
      </c>
      <c r="P115" s="19">
        <v>1</v>
      </c>
      <c r="Q115" s="16">
        <v>1.6</v>
      </c>
    </row>
    <row r="116" spans="3:17">
      <c r="C116" s="20" t="s">
        <v>509</v>
      </c>
      <c r="D116" s="18">
        <v>1</v>
      </c>
      <c r="E116" s="19">
        <v>0</v>
      </c>
      <c r="F116" s="19">
        <v>0</v>
      </c>
      <c r="G116" s="19">
        <v>0</v>
      </c>
      <c r="H116" s="19">
        <v>0</v>
      </c>
      <c r="I116" s="19">
        <v>0</v>
      </c>
      <c r="J116" s="19">
        <v>0</v>
      </c>
      <c r="K116" s="19">
        <v>0</v>
      </c>
      <c r="L116" s="19">
        <v>0</v>
      </c>
      <c r="M116" s="19">
        <v>0</v>
      </c>
      <c r="N116" s="19">
        <v>0</v>
      </c>
      <c r="O116" s="19">
        <v>1</v>
      </c>
      <c r="P116" s="19">
        <v>0</v>
      </c>
      <c r="Q116" s="16">
        <v>1</v>
      </c>
    </row>
    <row r="117" spans="3:17">
      <c r="C117" s="20" t="s">
        <v>130</v>
      </c>
      <c r="D117" s="18">
        <v>4</v>
      </c>
      <c r="E117" s="19">
        <v>0</v>
      </c>
      <c r="F117" s="19">
        <v>1</v>
      </c>
      <c r="G117" s="19">
        <v>0</v>
      </c>
      <c r="H117" s="19">
        <v>1</v>
      </c>
      <c r="I117" s="19">
        <v>0</v>
      </c>
      <c r="J117" s="19">
        <v>0</v>
      </c>
      <c r="K117" s="19">
        <v>3</v>
      </c>
      <c r="L117" s="19">
        <v>0</v>
      </c>
      <c r="M117" s="19">
        <v>1</v>
      </c>
      <c r="N117" s="19">
        <v>0</v>
      </c>
      <c r="O117" s="19">
        <v>1</v>
      </c>
      <c r="P117" s="19">
        <v>1</v>
      </c>
      <c r="Q117" s="16">
        <v>1</v>
      </c>
    </row>
    <row r="118" spans="3:17">
      <c r="C118" s="20" t="s">
        <v>183</v>
      </c>
      <c r="D118" s="18">
        <v>5</v>
      </c>
      <c r="E118" s="19">
        <v>1</v>
      </c>
      <c r="F118" s="19">
        <v>2</v>
      </c>
      <c r="G118" s="19">
        <v>0</v>
      </c>
      <c r="H118" s="19">
        <v>1</v>
      </c>
      <c r="I118" s="19">
        <v>0</v>
      </c>
      <c r="J118" s="19">
        <v>1</v>
      </c>
      <c r="K118" s="19">
        <v>1</v>
      </c>
      <c r="L118" s="19">
        <v>0</v>
      </c>
      <c r="M118" s="19">
        <v>1</v>
      </c>
      <c r="N118" s="19">
        <v>2</v>
      </c>
      <c r="O118" s="19">
        <v>2</v>
      </c>
      <c r="P118" s="19">
        <v>0</v>
      </c>
      <c r="Q118" s="16">
        <v>1</v>
      </c>
    </row>
    <row r="119" spans="3:17">
      <c r="C119" s="20" t="s">
        <v>510</v>
      </c>
      <c r="D119" s="18">
        <v>1</v>
      </c>
      <c r="E119" s="19">
        <v>0</v>
      </c>
      <c r="F119" s="19">
        <v>0</v>
      </c>
      <c r="G119" s="19">
        <v>0</v>
      </c>
      <c r="H119" s="19">
        <v>0</v>
      </c>
      <c r="I119" s="19">
        <v>0</v>
      </c>
      <c r="J119" s="19">
        <v>0</v>
      </c>
      <c r="K119" s="19">
        <v>1</v>
      </c>
      <c r="L119" s="19">
        <v>0</v>
      </c>
      <c r="M119" s="19">
        <v>0</v>
      </c>
      <c r="N119" s="19">
        <v>1</v>
      </c>
      <c r="O119" s="19">
        <v>0</v>
      </c>
      <c r="P119" s="19">
        <v>0</v>
      </c>
      <c r="Q119" s="16">
        <v>0</v>
      </c>
    </row>
    <row r="120" spans="3:17">
      <c r="C120" s="20" t="s">
        <v>472</v>
      </c>
      <c r="D120" s="18">
        <v>1</v>
      </c>
      <c r="E120" s="19">
        <v>0</v>
      </c>
      <c r="F120" s="19">
        <v>0</v>
      </c>
      <c r="G120" s="19">
        <v>0</v>
      </c>
      <c r="H120" s="19">
        <v>0.75</v>
      </c>
      <c r="I120" s="19">
        <v>0</v>
      </c>
      <c r="J120" s="19">
        <v>0</v>
      </c>
      <c r="K120" s="19">
        <v>0.75</v>
      </c>
      <c r="L120" s="19">
        <v>0</v>
      </c>
      <c r="M120" s="19">
        <v>0</v>
      </c>
      <c r="N120" s="19">
        <v>0.75</v>
      </c>
      <c r="O120" s="19">
        <v>0</v>
      </c>
      <c r="P120" s="19">
        <v>0</v>
      </c>
      <c r="Q120" s="16">
        <v>0.75</v>
      </c>
    </row>
    <row r="121" spans="3:17">
      <c r="C121" s="20" t="s">
        <v>177</v>
      </c>
      <c r="D121" s="18">
        <v>5</v>
      </c>
      <c r="E121" s="19">
        <v>1</v>
      </c>
      <c r="F121" s="19">
        <v>2</v>
      </c>
      <c r="G121" s="19">
        <v>1</v>
      </c>
      <c r="H121" s="19">
        <v>0</v>
      </c>
      <c r="I121" s="19">
        <v>0</v>
      </c>
      <c r="J121" s="19">
        <v>0</v>
      </c>
      <c r="K121" s="19">
        <v>3</v>
      </c>
      <c r="L121" s="19">
        <v>0</v>
      </c>
      <c r="M121" s="19">
        <v>0</v>
      </c>
      <c r="N121" s="19">
        <v>2</v>
      </c>
      <c r="O121" s="19">
        <v>1</v>
      </c>
      <c r="P121" s="19">
        <v>1</v>
      </c>
      <c r="Q121" s="16">
        <v>2</v>
      </c>
    </row>
    <row r="122" spans="3:17">
      <c r="C122" s="20" t="s">
        <v>488</v>
      </c>
      <c r="D122" s="18">
        <v>1</v>
      </c>
      <c r="E122" s="19">
        <v>0</v>
      </c>
      <c r="F122" s="19">
        <v>1</v>
      </c>
      <c r="G122" s="19">
        <v>0</v>
      </c>
      <c r="H122" s="19">
        <v>0</v>
      </c>
      <c r="I122" s="19">
        <v>0</v>
      </c>
      <c r="J122" s="19">
        <v>0</v>
      </c>
      <c r="K122" s="19">
        <v>1</v>
      </c>
      <c r="L122" s="19">
        <v>0</v>
      </c>
      <c r="M122" s="19">
        <v>0</v>
      </c>
      <c r="N122" s="19">
        <v>0</v>
      </c>
      <c r="O122" s="19">
        <v>0</v>
      </c>
      <c r="P122" s="19">
        <v>0</v>
      </c>
      <c r="Q122" s="16">
        <v>1</v>
      </c>
    </row>
    <row r="123" spans="3:17">
      <c r="C123" s="20" t="s">
        <v>513</v>
      </c>
      <c r="D123" s="18">
        <v>2</v>
      </c>
      <c r="E123" s="19">
        <v>0</v>
      </c>
      <c r="F123" s="19">
        <v>2</v>
      </c>
      <c r="G123" s="19">
        <v>0</v>
      </c>
      <c r="H123" s="19">
        <v>0</v>
      </c>
      <c r="I123" s="19">
        <v>0</v>
      </c>
      <c r="J123" s="19">
        <v>0</v>
      </c>
      <c r="K123" s="19">
        <v>0</v>
      </c>
      <c r="L123" s="19">
        <v>0</v>
      </c>
      <c r="M123" s="19">
        <v>1</v>
      </c>
      <c r="N123" s="19">
        <v>2</v>
      </c>
      <c r="O123" s="19">
        <v>0</v>
      </c>
      <c r="P123" s="19">
        <v>0</v>
      </c>
      <c r="Q123" s="16">
        <v>1</v>
      </c>
    </row>
    <row r="124" spans="3:17">
      <c r="C124" s="20" t="s">
        <v>143</v>
      </c>
      <c r="D124" s="18">
        <v>2</v>
      </c>
      <c r="E124" s="19">
        <v>1</v>
      </c>
      <c r="F124" s="19">
        <v>0</v>
      </c>
      <c r="G124" s="19">
        <v>0</v>
      </c>
      <c r="H124" s="19">
        <v>0</v>
      </c>
      <c r="I124" s="19">
        <v>0</v>
      </c>
      <c r="J124" s="19">
        <v>0</v>
      </c>
      <c r="K124" s="19">
        <v>0</v>
      </c>
      <c r="L124" s="19">
        <v>0</v>
      </c>
      <c r="M124" s="19">
        <v>0</v>
      </c>
      <c r="N124" s="19">
        <v>0</v>
      </c>
      <c r="O124" s="19">
        <v>1</v>
      </c>
      <c r="P124" s="19">
        <v>0</v>
      </c>
      <c r="Q124" s="16">
        <v>1</v>
      </c>
    </row>
    <row r="125" spans="3:17">
      <c r="C125" s="20" t="s">
        <v>422</v>
      </c>
      <c r="D125" s="18">
        <v>1</v>
      </c>
      <c r="E125" s="19">
        <v>0</v>
      </c>
      <c r="F125" s="19">
        <v>0</v>
      </c>
      <c r="G125" s="19">
        <v>0</v>
      </c>
      <c r="H125" s="19">
        <v>0</v>
      </c>
      <c r="I125" s="19">
        <v>0</v>
      </c>
      <c r="J125" s="19">
        <v>0</v>
      </c>
      <c r="K125" s="19">
        <v>0</v>
      </c>
      <c r="L125" s="19">
        <v>0</v>
      </c>
      <c r="M125" s="19">
        <v>0</v>
      </c>
      <c r="N125" s="19">
        <v>0</v>
      </c>
      <c r="O125" s="19">
        <v>1</v>
      </c>
      <c r="P125" s="19">
        <v>0</v>
      </c>
      <c r="Q125" s="16">
        <v>1</v>
      </c>
    </row>
    <row r="126" spans="3:17">
      <c r="C126" s="20" t="s">
        <v>112</v>
      </c>
      <c r="D126" s="18">
        <v>3</v>
      </c>
      <c r="E126" s="19">
        <v>0</v>
      </c>
      <c r="F126" s="19">
        <v>2</v>
      </c>
      <c r="G126" s="19">
        <v>0</v>
      </c>
      <c r="H126" s="19">
        <v>1</v>
      </c>
      <c r="I126" s="19">
        <v>1</v>
      </c>
      <c r="J126" s="19">
        <v>0</v>
      </c>
      <c r="K126" s="19">
        <v>1</v>
      </c>
      <c r="L126" s="19">
        <v>0</v>
      </c>
      <c r="M126" s="19">
        <v>0</v>
      </c>
      <c r="N126" s="19">
        <v>0</v>
      </c>
      <c r="O126" s="19">
        <v>1</v>
      </c>
      <c r="P126" s="19">
        <v>0</v>
      </c>
      <c r="Q126" s="16">
        <v>1</v>
      </c>
    </row>
    <row r="127" spans="3:17">
      <c r="C127" s="20" t="s">
        <v>184</v>
      </c>
      <c r="D127" s="18">
        <v>9</v>
      </c>
      <c r="E127" s="19">
        <v>0</v>
      </c>
      <c r="F127" s="19">
        <v>2</v>
      </c>
      <c r="G127" s="19">
        <v>1</v>
      </c>
      <c r="H127" s="19">
        <v>0</v>
      </c>
      <c r="I127" s="19">
        <v>0</v>
      </c>
      <c r="J127" s="19">
        <v>0</v>
      </c>
      <c r="K127" s="19">
        <v>1</v>
      </c>
      <c r="L127" s="19">
        <v>0</v>
      </c>
      <c r="M127" s="19">
        <v>2</v>
      </c>
      <c r="N127" s="19">
        <v>5</v>
      </c>
      <c r="O127" s="19">
        <v>1</v>
      </c>
      <c r="P127" s="19">
        <v>3</v>
      </c>
      <c r="Q127" s="16">
        <v>4</v>
      </c>
    </row>
    <row r="128" spans="3:17">
      <c r="C128" s="20" t="s">
        <v>368</v>
      </c>
      <c r="D128" s="18">
        <v>11</v>
      </c>
      <c r="E128" s="19">
        <v>1</v>
      </c>
      <c r="F128" s="19">
        <v>2</v>
      </c>
      <c r="G128" s="19">
        <v>0</v>
      </c>
      <c r="H128" s="19">
        <v>1</v>
      </c>
      <c r="I128" s="19">
        <v>0</v>
      </c>
      <c r="J128" s="19">
        <v>2</v>
      </c>
      <c r="K128" s="19">
        <v>1</v>
      </c>
      <c r="L128" s="19">
        <v>0</v>
      </c>
      <c r="M128" s="19">
        <v>0</v>
      </c>
      <c r="N128" s="19">
        <v>2</v>
      </c>
      <c r="O128" s="19">
        <v>3</v>
      </c>
      <c r="P128" s="19">
        <v>0</v>
      </c>
      <c r="Q128" s="16">
        <v>2</v>
      </c>
    </row>
    <row r="129" spans="3:17">
      <c r="C129" s="20" t="s">
        <v>169</v>
      </c>
      <c r="D129" s="18">
        <v>1</v>
      </c>
      <c r="E129" s="19">
        <v>0</v>
      </c>
      <c r="F129" s="19">
        <v>0</v>
      </c>
      <c r="G129" s="19">
        <v>0</v>
      </c>
      <c r="H129" s="19">
        <v>0</v>
      </c>
      <c r="I129" s="19">
        <v>0</v>
      </c>
      <c r="J129" s="19">
        <v>0</v>
      </c>
      <c r="K129" s="19">
        <v>1</v>
      </c>
      <c r="L129" s="19">
        <v>0</v>
      </c>
      <c r="M129" s="19">
        <v>0</v>
      </c>
      <c r="N129" s="19">
        <v>1</v>
      </c>
      <c r="O129" s="19">
        <v>0</v>
      </c>
      <c r="P129" s="19">
        <v>0</v>
      </c>
      <c r="Q129" s="16">
        <v>0</v>
      </c>
    </row>
    <row r="130" spans="3:17">
      <c r="C130" s="20" t="s">
        <v>137</v>
      </c>
      <c r="D130" s="18">
        <v>1</v>
      </c>
      <c r="E130" s="19">
        <v>0</v>
      </c>
      <c r="F130" s="19">
        <v>0</v>
      </c>
      <c r="G130" s="19">
        <v>0</v>
      </c>
      <c r="H130" s="19">
        <v>0.75</v>
      </c>
      <c r="I130" s="19">
        <v>0</v>
      </c>
      <c r="J130" s="19">
        <v>0</v>
      </c>
      <c r="K130" s="19">
        <v>0.75</v>
      </c>
      <c r="L130" s="19">
        <v>0</v>
      </c>
      <c r="M130" s="19">
        <v>0</v>
      </c>
      <c r="N130" s="19">
        <v>0.75</v>
      </c>
      <c r="O130" s="19">
        <v>0</v>
      </c>
      <c r="P130" s="19">
        <v>0</v>
      </c>
      <c r="Q130" s="16">
        <v>0.75</v>
      </c>
    </row>
    <row r="131" spans="3:17">
      <c r="C131" s="20" t="s">
        <v>370</v>
      </c>
      <c r="D131" s="18">
        <v>2</v>
      </c>
      <c r="E131" s="19">
        <v>0</v>
      </c>
      <c r="F131" s="19">
        <v>0</v>
      </c>
      <c r="G131" s="19">
        <v>0</v>
      </c>
      <c r="H131" s="19">
        <v>0</v>
      </c>
      <c r="I131" s="19">
        <v>0</v>
      </c>
      <c r="J131" s="19">
        <v>0</v>
      </c>
      <c r="K131" s="19">
        <v>1</v>
      </c>
      <c r="L131" s="19">
        <v>0</v>
      </c>
      <c r="M131" s="19">
        <v>1</v>
      </c>
      <c r="N131" s="19">
        <v>0</v>
      </c>
      <c r="O131" s="19">
        <v>0</v>
      </c>
      <c r="P131" s="19">
        <v>0</v>
      </c>
      <c r="Q131" s="16">
        <v>0</v>
      </c>
    </row>
    <row r="132" spans="3:17">
      <c r="C132" s="20" t="s">
        <v>147</v>
      </c>
      <c r="D132" s="18">
        <v>3</v>
      </c>
      <c r="E132" s="19">
        <v>0</v>
      </c>
      <c r="F132" s="19">
        <v>1</v>
      </c>
      <c r="G132" s="19">
        <v>0</v>
      </c>
      <c r="H132" s="19">
        <v>1</v>
      </c>
      <c r="I132" s="19">
        <v>0</v>
      </c>
      <c r="J132" s="19">
        <v>0</v>
      </c>
      <c r="K132" s="19">
        <v>1</v>
      </c>
      <c r="L132" s="19">
        <v>0</v>
      </c>
      <c r="M132" s="19">
        <v>2</v>
      </c>
      <c r="N132" s="19">
        <v>1</v>
      </c>
      <c r="O132" s="19">
        <v>2</v>
      </c>
      <c r="P132" s="19">
        <v>1</v>
      </c>
      <c r="Q132" s="16">
        <v>0</v>
      </c>
    </row>
    <row r="133" spans="3:17">
      <c r="C133" s="20" t="s">
        <v>471</v>
      </c>
      <c r="D133" s="18">
        <v>1</v>
      </c>
      <c r="E133" s="19">
        <v>0</v>
      </c>
      <c r="F133" s="19">
        <v>1</v>
      </c>
      <c r="G133" s="19">
        <v>0</v>
      </c>
      <c r="H133" s="19">
        <v>0</v>
      </c>
      <c r="I133" s="19">
        <v>0</v>
      </c>
      <c r="J133" s="19">
        <v>1</v>
      </c>
      <c r="K133" s="19">
        <v>0</v>
      </c>
      <c r="L133" s="19">
        <v>0</v>
      </c>
      <c r="M133" s="19">
        <v>0</v>
      </c>
      <c r="N133" s="19">
        <v>0</v>
      </c>
      <c r="O133" s="19">
        <v>0</v>
      </c>
      <c r="P133" s="19">
        <v>0</v>
      </c>
      <c r="Q133" s="16">
        <v>1</v>
      </c>
    </row>
    <row r="134" spans="3:17">
      <c r="C134" s="20" t="s">
        <v>186</v>
      </c>
      <c r="D134" s="18">
        <v>11</v>
      </c>
      <c r="E134" s="19">
        <v>3</v>
      </c>
      <c r="F134" s="19">
        <v>4</v>
      </c>
      <c r="G134" s="19">
        <v>2</v>
      </c>
      <c r="H134" s="19">
        <v>3</v>
      </c>
      <c r="I134" s="19">
        <v>1</v>
      </c>
      <c r="J134" s="19">
        <v>2</v>
      </c>
      <c r="K134" s="19">
        <v>3</v>
      </c>
      <c r="L134" s="19">
        <v>1</v>
      </c>
      <c r="M134" s="19">
        <v>2</v>
      </c>
      <c r="N134" s="19">
        <v>2</v>
      </c>
      <c r="O134" s="19">
        <v>0</v>
      </c>
      <c r="P134" s="19">
        <v>0</v>
      </c>
      <c r="Q134" s="16">
        <v>3</v>
      </c>
    </row>
    <row r="135" spans="3:17">
      <c r="C135" s="20" t="s">
        <v>361</v>
      </c>
      <c r="D135" s="18">
        <v>2</v>
      </c>
      <c r="E135" s="19">
        <v>0</v>
      </c>
      <c r="F135" s="19">
        <v>1</v>
      </c>
      <c r="G135" s="19">
        <v>0</v>
      </c>
      <c r="H135" s="19">
        <v>0</v>
      </c>
      <c r="I135" s="19">
        <v>0</v>
      </c>
      <c r="J135" s="19">
        <v>0</v>
      </c>
      <c r="K135" s="19">
        <v>1</v>
      </c>
      <c r="L135" s="19">
        <v>0</v>
      </c>
      <c r="M135" s="19">
        <v>0</v>
      </c>
      <c r="N135" s="19">
        <v>1</v>
      </c>
      <c r="O135" s="19">
        <v>0</v>
      </c>
      <c r="P135" s="19">
        <v>0</v>
      </c>
      <c r="Q135" s="16">
        <v>1</v>
      </c>
    </row>
    <row r="136" spans="3:17">
      <c r="C136" s="20" t="s">
        <v>118</v>
      </c>
      <c r="D136" s="18">
        <v>2</v>
      </c>
      <c r="E136" s="19">
        <v>0</v>
      </c>
      <c r="F136" s="19">
        <v>1</v>
      </c>
      <c r="G136" s="19">
        <v>0</v>
      </c>
      <c r="H136" s="19">
        <v>0</v>
      </c>
      <c r="I136" s="19">
        <v>0</v>
      </c>
      <c r="J136" s="19">
        <v>0</v>
      </c>
      <c r="K136" s="19">
        <v>0</v>
      </c>
      <c r="L136" s="19">
        <v>0</v>
      </c>
      <c r="M136" s="19">
        <v>0</v>
      </c>
      <c r="N136" s="19">
        <v>1</v>
      </c>
      <c r="O136" s="19">
        <v>0</v>
      </c>
      <c r="P136" s="19">
        <v>0</v>
      </c>
      <c r="Q136" s="16">
        <v>0</v>
      </c>
    </row>
    <row r="137" spans="3:17">
      <c r="C137" s="20" t="s">
        <v>151</v>
      </c>
      <c r="D137" s="18">
        <v>4</v>
      </c>
      <c r="E137" s="19">
        <v>0</v>
      </c>
      <c r="F137" s="19">
        <v>0</v>
      </c>
      <c r="G137" s="19">
        <v>0</v>
      </c>
      <c r="H137" s="19">
        <v>1</v>
      </c>
      <c r="I137" s="19">
        <v>0</v>
      </c>
      <c r="J137" s="19">
        <v>0</v>
      </c>
      <c r="K137" s="19">
        <v>0</v>
      </c>
      <c r="L137" s="19">
        <v>1</v>
      </c>
      <c r="M137" s="19">
        <v>3</v>
      </c>
      <c r="N137" s="19">
        <v>1</v>
      </c>
      <c r="O137" s="19">
        <v>1</v>
      </c>
      <c r="P137" s="19">
        <v>0</v>
      </c>
      <c r="Q137" s="16">
        <v>2</v>
      </c>
    </row>
    <row r="138" spans="3:17">
      <c r="C138" s="20" t="s">
        <v>358</v>
      </c>
      <c r="D138" s="18">
        <v>3</v>
      </c>
      <c r="E138" s="19">
        <v>0</v>
      </c>
      <c r="F138" s="19">
        <v>1</v>
      </c>
      <c r="G138" s="19">
        <v>0</v>
      </c>
      <c r="H138" s="19">
        <v>0</v>
      </c>
      <c r="I138" s="19">
        <v>1</v>
      </c>
      <c r="J138" s="19">
        <v>0</v>
      </c>
      <c r="K138" s="19">
        <v>1</v>
      </c>
      <c r="L138" s="19">
        <v>0</v>
      </c>
      <c r="M138" s="19">
        <v>0</v>
      </c>
      <c r="N138" s="19">
        <v>0</v>
      </c>
      <c r="O138" s="19">
        <v>0</v>
      </c>
      <c r="P138" s="19">
        <v>1</v>
      </c>
      <c r="Q138" s="16">
        <v>1</v>
      </c>
    </row>
    <row r="139" spans="3:17">
      <c r="C139" s="20" t="s">
        <v>162</v>
      </c>
      <c r="D139" s="18">
        <v>1</v>
      </c>
      <c r="E139" s="19">
        <v>0</v>
      </c>
      <c r="F139" s="19">
        <v>0</v>
      </c>
      <c r="G139" s="19">
        <v>0</v>
      </c>
      <c r="H139" s="19">
        <v>0</v>
      </c>
      <c r="I139" s="19">
        <v>0</v>
      </c>
      <c r="J139" s="19">
        <v>0</v>
      </c>
      <c r="K139" s="19">
        <v>0</v>
      </c>
      <c r="L139" s="19">
        <v>0</v>
      </c>
      <c r="M139" s="19">
        <v>1</v>
      </c>
      <c r="N139" s="19">
        <v>0</v>
      </c>
      <c r="O139" s="19">
        <v>0</v>
      </c>
      <c r="P139" s="19">
        <v>0</v>
      </c>
      <c r="Q139" s="16">
        <v>0</v>
      </c>
    </row>
    <row r="140" spans="3:17">
      <c r="C140" s="20" t="s">
        <v>459</v>
      </c>
      <c r="D140" s="18">
        <v>1</v>
      </c>
      <c r="E140" s="19">
        <v>0</v>
      </c>
      <c r="F140" s="19">
        <v>0</v>
      </c>
      <c r="G140" s="19">
        <v>0</v>
      </c>
      <c r="H140" s="19">
        <v>0</v>
      </c>
      <c r="I140" s="19">
        <v>0</v>
      </c>
      <c r="J140" s="19">
        <v>0</v>
      </c>
      <c r="K140" s="19">
        <v>0</v>
      </c>
      <c r="L140" s="19">
        <v>0</v>
      </c>
      <c r="M140" s="19">
        <v>1</v>
      </c>
      <c r="N140" s="19">
        <v>0</v>
      </c>
      <c r="O140" s="19">
        <v>1</v>
      </c>
      <c r="P140" s="19">
        <v>1</v>
      </c>
      <c r="Q140" s="16">
        <v>0</v>
      </c>
    </row>
    <row r="141" spans="3:17">
      <c r="C141" s="20" t="s">
        <v>164</v>
      </c>
      <c r="D141" s="18">
        <v>39</v>
      </c>
      <c r="E141" s="19">
        <v>5.6</v>
      </c>
      <c r="F141" s="19">
        <v>14.6</v>
      </c>
      <c r="G141" s="19">
        <v>4.5999999999999996</v>
      </c>
      <c r="H141" s="19">
        <v>5.6</v>
      </c>
      <c r="I141" s="19">
        <v>5</v>
      </c>
      <c r="J141" s="19">
        <v>2</v>
      </c>
      <c r="K141" s="19">
        <v>14</v>
      </c>
      <c r="L141" s="19">
        <v>3</v>
      </c>
      <c r="M141" s="19">
        <v>13</v>
      </c>
      <c r="N141" s="19">
        <v>8.6</v>
      </c>
      <c r="O141" s="19">
        <v>10</v>
      </c>
      <c r="P141" s="19">
        <v>3</v>
      </c>
      <c r="Q141" s="16">
        <v>3</v>
      </c>
    </row>
    <row r="142" spans="3:17">
      <c r="C142" s="20" t="s">
        <v>430</v>
      </c>
      <c r="D142" s="18">
        <v>1</v>
      </c>
      <c r="E142" s="19">
        <v>0</v>
      </c>
      <c r="F142" s="19">
        <v>0</v>
      </c>
      <c r="G142" s="19">
        <v>1</v>
      </c>
      <c r="H142" s="19">
        <v>0</v>
      </c>
      <c r="I142" s="19">
        <v>0</v>
      </c>
      <c r="J142" s="19">
        <v>0</v>
      </c>
      <c r="K142" s="19">
        <v>0</v>
      </c>
      <c r="L142" s="19">
        <v>0</v>
      </c>
      <c r="M142" s="19">
        <v>0</v>
      </c>
      <c r="N142" s="19">
        <v>0</v>
      </c>
      <c r="O142" s="19">
        <v>1</v>
      </c>
      <c r="P142" s="19">
        <v>0</v>
      </c>
      <c r="Q142" s="16">
        <v>1</v>
      </c>
    </row>
    <row r="143" spans="3:17">
      <c r="C143" s="20" t="s">
        <v>160</v>
      </c>
      <c r="D143" s="18">
        <v>3</v>
      </c>
      <c r="E143" s="19">
        <v>0</v>
      </c>
      <c r="F143" s="19">
        <v>1</v>
      </c>
      <c r="G143" s="19">
        <v>0</v>
      </c>
      <c r="H143" s="19">
        <v>0</v>
      </c>
      <c r="I143" s="19">
        <v>0</v>
      </c>
      <c r="J143" s="19">
        <v>1</v>
      </c>
      <c r="K143" s="19">
        <v>1</v>
      </c>
      <c r="L143" s="19">
        <v>0</v>
      </c>
      <c r="M143" s="19">
        <v>2</v>
      </c>
      <c r="N143" s="19">
        <v>1</v>
      </c>
      <c r="O143" s="19">
        <v>1</v>
      </c>
      <c r="P143" s="19">
        <v>1</v>
      </c>
      <c r="Q143" s="16">
        <v>0</v>
      </c>
    </row>
    <row r="144" spans="3:17">
      <c r="C144" s="20" t="s">
        <v>441</v>
      </c>
      <c r="D144" s="18">
        <v>1</v>
      </c>
      <c r="E144" s="19">
        <v>0</v>
      </c>
      <c r="F144" s="19">
        <v>0</v>
      </c>
      <c r="G144" s="19">
        <v>0</v>
      </c>
      <c r="H144" s="19">
        <v>0</v>
      </c>
      <c r="I144" s="19">
        <v>0</v>
      </c>
      <c r="J144" s="19">
        <v>0</v>
      </c>
      <c r="K144" s="19">
        <v>0</v>
      </c>
      <c r="L144" s="19">
        <v>0</v>
      </c>
      <c r="M144" s="19">
        <v>0</v>
      </c>
      <c r="N144" s="19">
        <v>0</v>
      </c>
      <c r="O144" s="19">
        <v>0</v>
      </c>
      <c r="P144" s="19">
        <v>1</v>
      </c>
      <c r="Q144" s="16">
        <v>0</v>
      </c>
    </row>
    <row r="145" spans="3:17">
      <c r="C145" s="20" t="s">
        <v>138</v>
      </c>
      <c r="D145" s="18">
        <v>3</v>
      </c>
      <c r="E145" s="19">
        <v>0</v>
      </c>
      <c r="F145" s="19">
        <v>1</v>
      </c>
      <c r="G145" s="19">
        <v>0</v>
      </c>
      <c r="H145" s="19">
        <v>1</v>
      </c>
      <c r="I145" s="19">
        <v>0</v>
      </c>
      <c r="J145" s="19">
        <v>0</v>
      </c>
      <c r="K145" s="19">
        <v>0</v>
      </c>
      <c r="L145" s="19">
        <v>0</v>
      </c>
      <c r="M145" s="19">
        <v>0</v>
      </c>
      <c r="N145" s="19">
        <v>0</v>
      </c>
      <c r="O145" s="19">
        <v>1</v>
      </c>
      <c r="P145" s="19">
        <v>1</v>
      </c>
      <c r="Q145" s="16">
        <v>1</v>
      </c>
    </row>
    <row r="146" spans="3:17">
      <c r="C146" s="20" t="s">
        <v>120</v>
      </c>
      <c r="D146" s="18">
        <v>3</v>
      </c>
      <c r="E146" s="19">
        <v>1</v>
      </c>
      <c r="F146" s="19">
        <v>0</v>
      </c>
      <c r="G146" s="19">
        <v>0</v>
      </c>
      <c r="H146" s="19">
        <v>0</v>
      </c>
      <c r="I146" s="19">
        <v>0</v>
      </c>
      <c r="J146" s="19">
        <v>0</v>
      </c>
      <c r="K146" s="19">
        <v>0</v>
      </c>
      <c r="L146" s="19">
        <v>0</v>
      </c>
      <c r="M146" s="19">
        <v>1</v>
      </c>
      <c r="N146" s="19">
        <v>2</v>
      </c>
      <c r="O146" s="19">
        <v>0</v>
      </c>
      <c r="P146" s="19">
        <v>0</v>
      </c>
      <c r="Q146" s="16">
        <v>1</v>
      </c>
    </row>
    <row r="147" spans="3:17">
      <c r="C147" s="20" t="s">
        <v>123</v>
      </c>
      <c r="D147" s="18">
        <v>2</v>
      </c>
      <c r="E147" s="19">
        <v>0.6</v>
      </c>
      <c r="F147" s="19">
        <v>0</v>
      </c>
      <c r="G147" s="19">
        <v>0</v>
      </c>
      <c r="H147" s="19">
        <v>0</v>
      </c>
      <c r="I147" s="19">
        <v>0</v>
      </c>
      <c r="J147" s="19">
        <v>0</v>
      </c>
      <c r="K147" s="19">
        <v>0</v>
      </c>
      <c r="L147" s="19">
        <v>0</v>
      </c>
      <c r="M147" s="19">
        <v>1.6</v>
      </c>
      <c r="N147" s="19">
        <v>0.6</v>
      </c>
      <c r="O147" s="19">
        <v>0.6</v>
      </c>
      <c r="P147" s="19">
        <v>0</v>
      </c>
      <c r="Q147" s="16">
        <v>0.6</v>
      </c>
    </row>
    <row r="148" spans="3:17">
      <c r="C148" s="20" t="s">
        <v>359</v>
      </c>
      <c r="D148" s="18">
        <v>1</v>
      </c>
      <c r="E148" s="19">
        <v>0</v>
      </c>
      <c r="F148" s="19">
        <v>0</v>
      </c>
      <c r="G148" s="19">
        <v>0</v>
      </c>
      <c r="H148" s="19">
        <v>0</v>
      </c>
      <c r="I148" s="19">
        <v>0</v>
      </c>
      <c r="J148" s="19">
        <v>0</v>
      </c>
      <c r="K148" s="19">
        <v>0</v>
      </c>
      <c r="L148" s="19">
        <v>0</v>
      </c>
      <c r="M148" s="19">
        <v>0</v>
      </c>
      <c r="N148" s="19">
        <v>1</v>
      </c>
      <c r="O148" s="19">
        <v>0</v>
      </c>
      <c r="P148" s="19">
        <v>0</v>
      </c>
      <c r="Q148" s="16">
        <v>0</v>
      </c>
    </row>
    <row r="149" spans="3:17">
      <c r="C149" s="20" t="s">
        <v>122</v>
      </c>
      <c r="D149" s="18">
        <v>2</v>
      </c>
      <c r="E149" s="19">
        <v>0</v>
      </c>
      <c r="F149" s="19">
        <v>0</v>
      </c>
      <c r="G149" s="19">
        <v>0</v>
      </c>
      <c r="H149" s="19">
        <v>0</v>
      </c>
      <c r="I149" s="19">
        <v>0</v>
      </c>
      <c r="J149" s="19">
        <v>0</v>
      </c>
      <c r="K149" s="19">
        <v>0</v>
      </c>
      <c r="L149" s="19">
        <v>0</v>
      </c>
      <c r="M149" s="19">
        <v>1</v>
      </c>
      <c r="N149" s="19">
        <v>1</v>
      </c>
      <c r="O149" s="19">
        <v>0</v>
      </c>
      <c r="P149" s="19">
        <v>0</v>
      </c>
      <c r="Q149" s="16">
        <v>0</v>
      </c>
    </row>
    <row r="150" spans="3:17">
      <c r="C150" s="20" t="s">
        <v>152</v>
      </c>
      <c r="D150" s="18">
        <v>3</v>
      </c>
      <c r="E150" s="19">
        <v>2.35</v>
      </c>
      <c r="F150" s="19">
        <v>1.35</v>
      </c>
      <c r="G150" s="19">
        <v>0</v>
      </c>
      <c r="H150" s="19">
        <v>0.75</v>
      </c>
      <c r="I150" s="19">
        <v>0</v>
      </c>
      <c r="J150" s="19">
        <v>0</v>
      </c>
      <c r="K150" s="19">
        <v>1.35</v>
      </c>
      <c r="L150" s="19">
        <v>0</v>
      </c>
      <c r="M150" s="19">
        <v>0.6</v>
      </c>
      <c r="N150" s="19">
        <v>1</v>
      </c>
      <c r="O150" s="19">
        <v>0</v>
      </c>
      <c r="P150" s="19">
        <v>0.6</v>
      </c>
      <c r="Q150" s="16">
        <v>1</v>
      </c>
    </row>
    <row r="151" spans="3:17">
      <c r="C151" s="20" t="s">
        <v>476</v>
      </c>
      <c r="D151" s="18">
        <v>1</v>
      </c>
      <c r="E151" s="19">
        <v>0</v>
      </c>
      <c r="F151" s="19">
        <v>0</v>
      </c>
      <c r="G151" s="19">
        <v>0</v>
      </c>
      <c r="H151" s="19">
        <v>0</v>
      </c>
      <c r="I151" s="19">
        <v>0</v>
      </c>
      <c r="J151" s="19">
        <v>0</v>
      </c>
      <c r="K151" s="19">
        <v>0</v>
      </c>
      <c r="L151" s="19">
        <v>0</v>
      </c>
      <c r="M151" s="19">
        <v>0</v>
      </c>
      <c r="N151" s="19">
        <v>0</v>
      </c>
      <c r="O151" s="19">
        <v>0</v>
      </c>
      <c r="P151" s="19">
        <v>0</v>
      </c>
      <c r="Q151" s="16">
        <v>0</v>
      </c>
    </row>
    <row r="152" spans="3:17">
      <c r="C152" s="20" t="s">
        <v>165</v>
      </c>
      <c r="D152" s="18">
        <v>12</v>
      </c>
      <c r="E152" s="19">
        <v>1</v>
      </c>
      <c r="F152" s="19">
        <v>6</v>
      </c>
      <c r="G152" s="19">
        <v>1</v>
      </c>
      <c r="H152" s="19">
        <v>2</v>
      </c>
      <c r="I152" s="19">
        <v>0</v>
      </c>
      <c r="J152" s="19">
        <v>2</v>
      </c>
      <c r="K152" s="19">
        <v>6</v>
      </c>
      <c r="L152" s="19">
        <v>0</v>
      </c>
      <c r="M152" s="19">
        <v>4</v>
      </c>
      <c r="N152" s="19">
        <v>4</v>
      </c>
      <c r="O152" s="19">
        <v>0</v>
      </c>
      <c r="P152" s="19">
        <v>0</v>
      </c>
      <c r="Q152" s="16">
        <v>2</v>
      </c>
    </row>
    <row r="153" spans="3:17">
      <c r="C153" s="20" t="s">
        <v>360</v>
      </c>
      <c r="D153" s="18">
        <v>1</v>
      </c>
      <c r="E153" s="19">
        <v>0</v>
      </c>
      <c r="F153" s="19">
        <v>0</v>
      </c>
      <c r="G153" s="19">
        <v>0</v>
      </c>
      <c r="H153" s="19">
        <v>1</v>
      </c>
      <c r="I153" s="19">
        <v>0</v>
      </c>
      <c r="J153" s="19">
        <v>0</v>
      </c>
      <c r="K153" s="19">
        <v>1</v>
      </c>
      <c r="L153" s="19">
        <v>0</v>
      </c>
      <c r="M153" s="19">
        <v>0</v>
      </c>
      <c r="N153" s="19">
        <v>1</v>
      </c>
      <c r="O153" s="19">
        <v>0</v>
      </c>
      <c r="P153" s="19">
        <v>0</v>
      </c>
      <c r="Q153" s="16">
        <v>0</v>
      </c>
    </row>
    <row r="154" spans="3:17">
      <c r="C154" s="20" t="s">
        <v>114</v>
      </c>
      <c r="D154" s="18">
        <v>6</v>
      </c>
      <c r="E154" s="19">
        <v>0</v>
      </c>
      <c r="F154" s="19">
        <v>3</v>
      </c>
      <c r="G154" s="19">
        <v>0</v>
      </c>
      <c r="H154" s="19">
        <v>3</v>
      </c>
      <c r="I154" s="19">
        <v>2</v>
      </c>
      <c r="J154" s="19">
        <v>0</v>
      </c>
      <c r="K154" s="19">
        <v>4</v>
      </c>
      <c r="L154" s="19">
        <v>0</v>
      </c>
      <c r="M154" s="19">
        <v>1</v>
      </c>
      <c r="N154" s="19">
        <v>1</v>
      </c>
      <c r="O154" s="19">
        <v>1</v>
      </c>
      <c r="P154" s="19">
        <v>0</v>
      </c>
      <c r="Q154" s="16">
        <v>2</v>
      </c>
    </row>
    <row r="155" spans="3:17">
      <c r="C155" s="20" t="s">
        <v>110</v>
      </c>
      <c r="D155" s="18">
        <v>4</v>
      </c>
      <c r="E155" s="19">
        <v>1</v>
      </c>
      <c r="F155" s="19">
        <v>1</v>
      </c>
      <c r="G155" s="19">
        <v>1</v>
      </c>
      <c r="H155" s="19">
        <v>1</v>
      </c>
      <c r="I155" s="19">
        <v>0</v>
      </c>
      <c r="J155" s="19">
        <v>1</v>
      </c>
      <c r="K155" s="19">
        <v>1</v>
      </c>
      <c r="L155" s="19">
        <v>0</v>
      </c>
      <c r="M155" s="19">
        <v>0</v>
      </c>
      <c r="N155" s="19">
        <v>3</v>
      </c>
      <c r="O155" s="19">
        <v>1</v>
      </c>
      <c r="P155" s="19">
        <v>0</v>
      </c>
      <c r="Q155" s="16">
        <v>2</v>
      </c>
    </row>
    <row r="156" spans="3:17">
      <c r="C156" s="20" t="s">
        <v>512</v>
      </c>
      <c r="D156" s="18">
        <v>1</v>
      </c>
      <c r="E156" s="19">
        <v>0</v>
      </c>
      <c r="F156" s="19">
        <v>0</v>
      </c>
      <c r="G156" s="19">
        <v>0</v>
      </c>
      <c r="H156" s="19">
        <v>1</v>
      </c>
      <c r="I156" s="19">
        <v>0</v>
      </c>
      <c r="J156" s="19">
        <v>0</v>
      </c>
      <c r="K156" s="19">
        <v>1</v>
      </c>
      <c r="L156" s="19">
        <v>0</v>
      </c>
      <c r="M156" s="19">
        <v>0</v>
      </c>
      <c r="N156" s="19">
        <v>0</v>
      </c>
      <c r="O156" s="19">
        <v>0</v>
      </c>
      <c r="P156" s="19">
        <v>0</v>
      </c>
      <c r="Q156" s="16">
        <v>0</v>
      </c>
    </row>
    <row r="157" spans="3:17">
      <c r="C157" s="20" t="s">
        <v>518</v>
      </c>
      <c r="D157" s="18">
        <v>1</v>
      </c>
      <c r="E157" s="19">
        <v>1</v>
      </c>
      <c r="F157" s="19">
        <v>0</v>
      </c>
      <c r="G157" s="19">
        <v>0</v>
      </c>
      <c r="H157" s="19">
        <v>0</v>
      </c>
      <c r="I157" s="19">
        <v>0</v>
      </c>
      <c r="J157" s="19">
        <v>0</v>
      </c>
      <c r="K157" s="19">
        <v>0</v>
      </c>
      <c r="L157" s="19">
        <v>0</v>
      </c>
      <c r="M157" s="19">
        <v>0</v>
      </c>
      <c r="N157" s="19">
        <v>0</v>
      </c>
      <c r="O157" s="19">
        <v>0</v>
      </c>
      <c r="P157" s="19">
        <v>0</v>
      </c>
      <c r="Q157" s="16">
        <v>0</v>
      </c>
    </row>
    <row r="158" spans="3:17">
      <c r="C158" s="20" t="s">
        <v>180</v>
      </c>
      <c r="D158" s="18">
        <v>1</v>
      </c>
      <c r="E158" s="19">
        <v>0</v>
      </c>
      <c r="F158" s="19">
        <v>0</v>
      </c>
      <c r="G158" s="19">
        <v>0</v>
      </c>
      <c r="H158" s="19">
        <v>1</v>
      </c>
      <c r="I158" s="19">
        <v>0</v>
      </c>
      <c r="J158" s="19">
        <v>0</v>
      </c>
      <c r="K158" s="19">
        <v>1</v>
      </c>
      <c r="L158" s="19">
        <v>0</v>
      </c>
      <c r="M158" s="19">
        <v>0</v>
      </c>
      <c r="N158" s="19">
        <v>0</v>
      </c>
      <c r="O158" s="19">
        <v>0</v>
      </c>
      <c r="P158" s="19">
        <v>0</v>
      </c>
      <c r="Q158" s="16">
        <v>0</v>
      </c>
    </row>
    <row r="159" spans="3:17">
      <c r="C159" s="25" t="s">
        <v>279</v>
      </c>
      <c r="D159" s="28">
        <v>529</v>
      </c>
      <c r="E159" s="26">
        <v>53.731060606060616</v>
      </c>
      <c r="F159" s="26">
        <v>127.75963203463201</v>
      </c>
      <c r="G159" s="26">
        <v>57.122727272727275</v>
      </c>
      <c r="H159" s="26">
        <v>85.806060606060583</v>
      </c>
      <c r="I159" s="26">
        <v>35.58106060606061</v>
      </c>
      <c r="J159" s="26">
        <v>51.734632034632043</v>
      </c>
      <c r="K159" s="26">
        <v>130.95963203463202</v>
      </c>
      <c r="L159" s="26">
        <v>21.372727272727275</v>
      </c>
      <c r="M159" s="26">
        <v>170.1310606060606</v>
      </c>
      <c r="N159" s="26">
        <v>131.05963203463202</v>
      </c>
      <c r="O159" s="26">
        <v>103.93690476190474</v>
      </c>
      <c r="P159" s="26">
        <v>48.301298701298705</v>
      </c>
      <c r="Q159" s="27">
        <v>127.50357142857142</v>
      </c>
    </row>
  </sheetData>
  <mergeCells count="2">
    <mergeCell ref="A1:Q1"/>
    <mergeCell ref="A2:B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9"/>
  <sheetViews>
    <sheetView workbookViewId="0">
      <pane xSplit="3" ySplit="12" topLeftCell="D13" activePane="bottomRight" state="frozen"/>
      <selection pane="topRight" activeCell="D1" sqref="D1"/>
      <selection pane="bottomLeft" activeCell="A13" sqref="A13"/>
      <selection pane="bottomRight" activeCell="A3" sqref="A3"/>
    </sheetView>
  </sheetViews>
  <sheetFormatPr defaultRowHeight="14.5"/>
  <cols>
    <col min="2" max="2" width="29.7265625" customWidth="1"/>
    <col min="3" max="3" width="24.81640625" customWidth="1"/>
    <col min="4" max="4" width="19.6328125" customWidth="1"/>
    <col min="5" max="5" width="21.81640625" customWidth="1"/>
    <col min="6" max="6" width="28.6328125" customWidth="1"/>
    <col min="7" max="7" width="34.54296875" customWidth="1"/>
    <col min="8" max="8" width="25.7265625" customWidth="1"/>
    <col min="9" max="9" width="15.7265625" customWidth="1"/>
    <col min="10" max="10" width="11.81640625" customWidth="1"/>
    <col min="11" max="11" width="18.6328125" customWidth="1"/>
    <col min="12" max="12" width="13.54296875" customWidth="1"/>
    <col min="13" max="13" width="30.6328125" customWidth="1"/>
    <col min="14" max="15" width="61.453125" customWidth="1"/>
  </cols>
  <sheetData>
    <row r="1" spans="1:15" ht="35">
      <c r="A1" s="201" t="s">
        <v>372</v>
      </c>
      <c r="B1" s="201"/>
      <c r="C1" s="201"/>
      <c r="D1" s="201"/>
      <c r="E1" s="201"/>
      <c r="F1" s="201"/>
      <c r="G1" s="201"/>
      <c r="H1" s="201"/>
      <c r="I1" s="201"/>
      <c r="J1" s="201"/>
      <c r="K1" s="201"/>
      <c r="L1" s="201"/>
      <c r="M1" s="201"/>
      <c r="N1" s="201"/>
      <c r="O1" s="201"/>
    </row>
    <row r="2" spans="1:15" ht="16">
      <c r="A2" s="202" t="s">
        <v>544</v>
      </c>
      <c r="B2" s="202"/>
    </row>
    <row r="13" spans="1:15">
      <c r="C13" s="17" t="s">
        <v>288</v>
      </c>
      <c r="D13" s="5" t="s">
        <v>280</v>
      </c>
      <c r="E13" s="5" t="s">
        <v>291</v>
      </c>
      <c r="F13" s="5" t="s">
        <v>292</v>
      </c>
      <c r="G13" s="5" t="s">
        <v>293</v>
      </c>
      <c r="H13" s="5" t="s">
        <v>294</v>
      </c>
      <c r="I13" s="5" t="s">
        <v>295</v>
      </c>
      <c r="J13" s="5" t="s">
        <v>296</v>
      </c>
      <c r="K13" s="5" t="s">
        <v>297</v>
      </c>
      <c r="L13" s="5" t="s">
        <v>37</v>
      </c>
      <c r="M13" s="15" t="s">
        <v>298</v>
      </c>
      <c r="N13" s="5" t="s">
        <v>374</v>
      </c>
    </row>
    <row r="14" spans="1:15">
      <c r="C14" s="20" t="s">
        <v>477</v>
      </c>
      <c r="D14" s="29">
        <v>23</v>
      </c>
      <c r="E14" s="19">
        <v>3</v>
      </c>
      <c r="F14" s="19">
        <v>2</v>
      </c>
      <c r="G14" s="19">
        <v>0</v>
      </c>
      <c r="H14" s="19">
        <v>6</v>
      </c>
      <c r="I14" s="19">
        <v>2</v>
      </c>
      <c r="J14" s="19">
        <v>2</v>
      </c>
      <c r="K14" s="19">
        <v>4</v>
      </c>
      <c r="L14" s="19">
        <v>2</v>
      </c>
      <c r="M14" s="16">
        <v>3</v>
      </c>
      <c r="N14" s="19">
        <v>4</v>
      </c>
    </row>
    <row r="15" spans="1:15">
      <c r="C15" s="20" t="s">
        <v>530</v>
      </c>
      <c r="D15" s="29">
        <v>2</v>
      </c>
      <c r="E15" s="19">
        <v>0</v>
      </c>
      <c r="F15" s="19">
        <v>0</v>
      </c>
      <c r="G15" s="19">
        <v>1</v>
      </c>
      <c r="H15" s="19">
        <v>0</v>
      </c>
      <c r="I15" s="19">
        <v>0</v>
      </c>
      <c r="J15" s="19">
        <v>1</v>
      </c>
      <c r="K15" s="19">
        <v>1</v>
      </c>
      <c r="L15" s="19">
        <v>0</v>
      </c>
      <c r="M15" s="16">
        <v>1</v>
      </c>
      <c r="N15" s="19">
        <v>0</v>
      </c>
    </row>
    <row r="16" spans="1:15">
      <c r="C16" s="20" t="s">
        <v>531</v>
      </c>
      <c r="D16" s="29">
        <v>1</v>
      </c>
      <c r="E16" s="19">
        <v>0</v>
      </c>
      <c r="F16" s="19">
        <v>0</v>
      </c>
      <c r="G16" s="19">
        <v>0</v>
      </c>
      <c r="H16" s="19">
        <v>1</v>
      </c>
      <c r="I16" s="19">
        <v>0</v>
      </c>
      <c r="J16" s="19">
        <v>1</v>
      </c>
      <c r="K16" s="19">
        <v>1</v>
      </c>
      <c r="L16" s="19">
        <v>0</v>
      </c>
      <c r="M16" s="16">
        <v>0</v>
      </c>
      <c r="N16" s="19">
        <v>0</v>
      </c>
    </row>
    <row r="17" spans="3:14">
      <c r="C17" s="20" t="s">
        <v>532</v>
      </c>
      <c r="D17" s="29">
        <v>1</v>
      </c>
      <c r="E17" s="19">
        <v>0</v>
      </c>
      <c r="F17" s="19">
        <v>0</v>
      </c>
      <c r="G17" s="19">
        <v>1</v>
      </c>
      <c r="H17" s="19">
        <v>0</v>
      </c>
      <c r="I17" s="19">
        <v>0</v>
      </c>
      <c r="J17" s="19">
        <v>1</v>
      </c>
      <c r="K17" s="19">
        <v>0</v>
      </c>
      <c r="L17" s="19">
        <v>0</v>
      </c>
      <c r="M17" s="16">
        <v>1</v>
      </c>
      <c r="N17" s="19">
        <v>0</v>
      </c>
    </row>
    <row r="18" spans="3:14">
      <c r="C18" s="20" t="s">
        <v>533</v>
      </c>
      <c r="D18" s="29">
        <v>1</v>
      </c>
      <c r="E18" s="19">
        <v>0</v>
      </c>
      <c r="F18" s="19">
        <v>0</v>
      </c>
      <c r="G18" s="19">
        <v>0</v>
      </c>
      <c r="H18" s="19">
        <v>1</v>
      </c>
      <c r="I18" s="19">
        <v>0</v>
      </c>
      <c r="J18" s="19">
        <v>0</v>
      </c>
      <c r="K18" s="19">
        <v>0</v>
      </c>
      <c r="L18" s="19">
        <v>0</v>
      </c>
      <c r="M18" s="16">
        <v>1</v>
      </c>
      <c r="N18" s="19">
        <v>0</v>
      </c>
    </row>
    <row r="19" spans="3:14">
      <c r="C19" s="20" t="s">
        <v>534</v>
      </c>
      <c r="D19" s="29">
        <v>1</v>
      </c>
      <c r="E19" s="19">
        <v>1</v>
      </c>
      <c r="F19" s="19">
        <v>0</v>
      </c>
      <c r="G19" s="19">
        <v>0</v>
      </c>
      <c r="H19" s="19">
        <v>1</v>
      </c>
      <c r="I19" s="19">
        <v>0</v>
      </c>
      <c r="J19" s="19">
        <v>0</v>
      </c>
      <c r="K19" s="19">
        <v>0</v>
      </c>
      <c r="L19" s="19">
        <v>0</v>
      </c>
      <c r="M19" s="16">
        <v>0</v>
      </c>
      <c r="N19" s="19">
        <v>1</v>
      </c>
    </row>
    <row r="20" spans="3:14">
      <c r="C20" s="20" t="s">
        <v>535</v>
      </c>
      <c r="D20" s="29">
        <v>1</v>
      </c>
      <c r="E20" s="19">
        <v>0</v>
      </c>
      <c r="F20" s="19">
        <v>0</v>
      </c>
      <c r="G20" s="19">
        <v>0</v>
      </c>
      <c r="H20" s="19">
        <v>0</v>
      </c>
      <c r="I20" s="19">
        <v>0</v>
      </c>
      <c r="J20" s="19">
        <v>0</v>
      </c>
      <c r="K20" s="19">
        <v>0</v>
      </c>
      <c r="L20" s="19">
        <v>0</v>
      </c>
      <c r="M20" s="16">
        <v>0</v>
      </c>
      <c r="N20" s="19">
        <v>1</v>
      </c>
    </row>
    <row r="21" spans="3:14">
      <c r="C21" s="20" t="s">
        <v>536</v>
      </c>
      <c r="D21" s="29">
        <v>2</v>
      </c>
      <c r="E21" s="19">
        <v>0</v>
      </c>
      <c r="F21" s="19">
        <v>0</v>
      </c>
      <c r="G21" s="19">
        <v>0</v>
      </c>
      <c r="H21" s="19">
        <v>0</v>
      </c>
      <c r="I21" s="19">
        <v>2</v>
      </c>
      <c r="J21" s="19">
        <v>2</v>
      </c>
      <c r="K21" s="19">
        <v>0</v>
      </c>
      <c r="L21" s="19">
        <v>0</v>
      </c>
      <c r="M21" s="16">
        <v>1</v>
      </c>
      <c r="N21" s="19">
        <v>1</v>
      </c>
    </row>
    <row r="22" spans="3:14">
      <c r="C22" s="20" t="s">
        <v>537</v>
      </c>
      <c r="D22" s="29">
        <v>1</v>
      </c>
      <c r="E22" s="19">
        <v>0</v>
      </c>
      <c r="F22" s="19">
        <v>0</v>
      </c>
      <c r="G22" s="19">
        <v>0</v>
      </c>
      <c r="H22" s="19">
        <v>0</v>
      </c>
      <c r="I22" s="19">
        <v>0</v>
      </c>
      <c r="J22" s="19">
        <v>0</v>
      </c>
      <c r="K22" s="19">
        <v>1</v>
      </c>
      <c r="L22" s="19">
        <v>0</v>
      </c>
      <c r="M22" s="16">
        <v>0</v>
      </c>
      <c r="N22" s="19">
        <v>0</v>
      </c>
    </row>
    <row r="23" spans="3:14">
      <c r="C23" s="20" t="s">
        <v>538</v>
      </c>
      <c r="D23" s="29">
        <v>1</v>
      </c>
      <c r="E23" s="19">
        <v>0</v>
      </c>
      <c r="F23" s="19">
        <v>0</v>
      </c>
      <c r="G23" s="19">
        <v>0</v>
      </c>
      <c r="H23" s="19">
        <v>0</v>
      </c>
      <c r="I23" s="19">
        <v>0</v>
      </c>
      <c r="J23" s="19">
        <v>0</v>
      </c>
      <c r="K23" s="19">
        <v>0</v>
      </c>
      <c r="L23" s="19">
        <v>0</v>
      </c>
      <c r="M23" s="16">
        <v>1</v>
      </c>
      <c r="N23" s="19">
        <v>0</v>
      </c>
    </row>
    <row r="24" spans="3:14">
      <c r="C24" s="20" t="s">
        <v>539</v>
      </c>
      <c r="D24" s="29">
        <v>1</v>
      </c>
      <c r="E24" s="19">
        <v>0</v>
      </c>
      <c r="F24" s="19">
        <v>1</v>
      </c>
      <c r="G24" s="19">
        <v>0</v>
      </c>
      <c r="H24" s="19">
        <v>0</v>
      </c>
      <c r="I24" s="19">
        <v>0</v>
      </c>
      <c r="J24" s="19">
        <v>0</v>
      </c>
      <c r="K24" s="19">
        <v>0</v>
      </c>
      <c r="L24" s="19">
        <v>1</v>
      </c>
      <c r="M24" s="16">
        <v>0</v>
      </c>
      <c r="N24" s="19">
        <v>1</v>
      </c>
    </row>
    <row r="25" spans="3:14">
      <c r="C25" s="20" t="s">
        <v>540</v>
      </c>
      <c r="D25" s="29">
        <v>1</v>
      </c>
      <c r="E25" s="19">
        <v>0</v>
      </c>
      <c r="F25" s="19">
        <v>0</v>
      </c>
      <c r="G25" s="19">
        <v>0</v>
      </c>
      <c r="H25" s="19">
        <v>1</v>
      </c>
      <c r="I25" s="19">
        <v>0</v>
      </c>
      <c r="J25" s="19">
        <v>0</v>
      </c>
      <c r="K25" s="19">
        <v>0</v>
      </c>
      <c r="L25" s="19">
        <v>0</v>
      </c>
      <c r="M25" s="16">
        <v>0</v>
      </c>
      <c r="N25" s="19">
        <v>0</v>
      </c>
    </row>
    <row r="26" spans="3:14">
      <c r="C26" s="20" t="s">
        <v>541</v>
      </c>
      <c r="D26" s="29">
        <v>1</v>
      </c>
      <c r="E26" s="19">
        <v>1</v>
      </c>
      <c r="F26" s="19">
        <v>1</v>
      </c>
      <c r="G26" s="19">
        <v>1</v>
      </c>
      <c r="H26" s="19">
        <v>0</v>
      </c>
      <c r="I26" s="19">
        <v>0</v>
      </c>
      <c r="J26" s="19">
        <v>0</v>
      </c>
      <c r="K26" s="19">
        <v>0</v>
      </c>
      <c r="L26" s="19">
        <v>0</v>
      </c>
      <c r="M26" s="16">
        <v>0</v>
      </c>
      <c r="N26" s="19">
        <v>0</v>
      </c>
    </row>
    <row r="27" spans="3:14">
      <c r="C27" s="20" t="s">
        <v>542</v>
      </c>
      <c r="D27" s="29">
        <v>1</v>
      </c>
      <c r="E27" s="19">
        <v>0</v>
      </c>
      <c r="F27" s="19">
        <v>0</v>
      </c>
      <c r="G27" s="19">
        <v>0</v>
      </c>
      <c r="H27" s="19">
        <v>0</v>
      </c>
      <c r="I27" s="19">
        <v>0</v>
      </c>
      <c r="J27" s="19">
        <v>0</v>
      </c>
      <c r="K27" s="19">
        <v>0</v>
      </c>
      <c r="L27" s="19">
        <v>0</v>
      </c>
      <c r="M27" s="16">
        <v>0</v>
      </c>
      <c r="N27" s="19">
        <v>0</v>
      </c>
    </row>
    <row r="28" spans="3:14">
      <c r="C28" s="20" t="s">
        <v>543</v>
      </c>
      <c r="D28" s="29">
        <v>1</v>
      </c>
      <c r="E28" s="19">
        <v>0</v>
      </c>
      <c r="F28" s="19">
        <v>0</v>
      </c>
      <c r="G28" s="19">
        <v>0</v>
      </c>
      <c r="H28" s="19">
        <v>0</v>
      </c>
      <c r="I28" s="19">
        <v>0</v>
      </c>
      <c r="J28" s="19">
        <v>1</v>
      </c>
      <c r="K28" s="19">
        <v>0</v>
      </c>
      <c r="L28" s="19">
        <v>0</v>
      </c>
      <c r="M28" s="16">
        <v>0</v>
      </c>
      <c r="N28" s="19">
        <v>0</v>
      </c>
    </row>
    <row r="29" spans="3:14">
      <c r="C29" s="20" t="s">
        <v>364</v>
      </c>
      <c r="D29" s="29">
        <v>3</v>
      </c>
      <c r="E29" s="19">
        <v>0</v>
      </c>
      <c r="F29" s="19">
        <v>0.75</v>
      </c>
      <c r="G29" s="19">
        <v>0</v>
      </c>
      <c r="H29" s="19">
        <v>0.75</v>
      </c>
      <c r="I29" s="19">
        <v>0</v>
      </c>
      <c r="J29" s="19">
        <v>0.75</v>
      </c>
      <c r="K29" s="19">
        <v>0</v>
      </c>
      <c r="L29" s="19">
        <v>0</v>
      </c>
      <c r="M29" s="16">
        <v>0.75</v>
      </c>
      <c r="N29" s="19">
        <v>0</v>
      </c>
    </row>
    <row r="30" spans="3:14">
      <c r="C30" s="20" t="s">
        <v>128</v>
      </c>
      <c r="D30" s="29">
        <v>4</v>
      </c>
      <c r="E30" s="19">
        <v>1</v>
      </c>
      <c r="F30" s="19">
        <v>1</v>
      </c>
      <c r="G30" s="19">
        <v>0</v>
      </c>
      <c r="H30" s="19">
        <v>0</v>
      </c>
      <c r="I30" s="19">
        <v>1</v>
      </c>
      <c r="J30" s="19">
        <v>0</v>
      </c>
      <c r="K30" s="19">
        <v>1</v>
      </c>
      <c r="L30" s="19">
        <v>0</v>
      </c>
      <c r="M30" s="16">
        <v>0</v>
      </c>
      <c r="N30" s="19">
        <v>2</v>
      </c>
    </row>
    <row r="31" spans="3:14">
      <c r="C31" s="20" t="s">
        <v>363</v>
      </c>
      <c r="D31" s="29">
        <v>1</v>
      </c>
      <c r="E31" s="19">
        <v>0</v>
      </c>
      <c r="F31" s="19">
        <v>0</v>
      </c>
      <c r="G31" s="19">
        <v>0</v>
      </c>
      <c r="H31" s="19">
        <v>0</v>
      </c>
      <c r="I31" s="19">
        <v>0</v>
      </c>
      <c r="J31" s="19">
        <v>0</v>
      </c>
      <c r="K31" s="19">
        <v>0</v>
      </c>
      <c r="L31" s="19">
        <v>0</v>
      </c>
      <c r="M31" s="16">
        <v>0</v>
      </c>
      <c r="N31" s="19">
        <v>0</v>
      </c>
    </row>
    <row r="32" spans="3:14">
      <c r="C32" s="20" t="s">
        <v>187</v>
      </c>
      <c r="D32" s="29">
        <v>1</v>
      </c>
      <c r="E32" s="19">
        <v>1</v>
      </c>
      <c r="F32" s="19">
        <v>1</v>
      </c>
      <c r="G32" s="19">
        <v>1</v>
      </c>
      <c r="H32" s="19">
        <v>0</v>
      </c>
      <c r="I32" s="19">
        <v>0</v>
      </c>
      <c r="J32" s="19">
        <v>0</v>
      </c>
      <c r="K32" s="19">
        <v>0</v>
      </c>
      <c r="L32" s="19">
        <v>0</v>
      </c>
      <c r="M32" s="16">
        <v>0</v>
      </c>
      <c r="N32" s="19">
        <v>0</v>
      </c>
    </row>
    <row r="33" spans="3:14">
      <c r="C33" s="20" t="s">
        <v>182</v>
      </c>
      <c r="D33" s="29">
        <v>2</v>
      </c>
      <c r="E33" s="19">
        <v>1</v>
      </c>
      <c r="F33" s="19">
        <v>1</v>
      </c>
      <c r="G33" s="19">
        <v>1</v>
      </c>
      <c r="H33" s="19">
        <v>0</v>
      </c>
      <c r="I33" s="19">
        <v>0</v>
      </c>
      <c r="J33" s="19">
        <v>0</v>
      </c>
      <c r="K33" s="19">
        <v>0</v>
      </c>
      <c r="L33" s="19">
        <v>0</v>
      </c>
      <c r="M33" s="16">
        <v>0</v>
      </c>
      <c r="N33" s="19">
        <v>0</v>
      </c>
    </row>
    <row r="34" spans="3:14">
      <c r="C34" s="20" t="s">
        <v>442</v>
      </c>
      <c r="D34" s="29">
        <v>1</v>
      </c>
      <c r="E34" s="19">
        <v>0</v>
      </c>
      <c r="F34" s="19">
        <v>1</v>
      </c>
      <c r="G34" s="19">
        <v>1</v>
      </c>
      <c r="H34" s="19">
        <v>0</v>
      </c>
      <c r="I34" s="19">
        <v>0</v>
      </c>
      <c r="J34" s="19">
        <v>0</v>
      </c>
      <c r="K34" s="19">
        <v>0</v>
      </c>
      <c r="L34" s="19">
        <v>0</v>
      </c>
      <c r="M34" s="16">
        <v>0</v>
      </c>
      <c r="N34" s="19">
        <v>1</v>
      </c>
    </row>
    <row r="35" spans="3:14">
      <c r="C35" s="20" t="s">
        <v>463</v>
      </c>
      <c r="D35" s="29">
        <v>1</v>
      </c>
      <c r="E35" s="19">
        <v>0</v>
      </c>
      <c r="F35" s="19">
        <v>0</v>
      </c>
      <c r="G35" s="19">
        <v>0</v>
      </c>
      <c r="H35" s="19">
        <v>0</v>
      </c>
      <c r="I35" s="19">
        <v>0</v>
      </c>
      <c r="J35" s="19">
        <v>0</v>
      </c>
      <c r="K35" s="19">
        <v>1</v>
      </c>
      <c r="L35" s="19">
        <v>0</v>
      </c>
      <c r="M35" s="16">
        <v>0</v>
      </c>
      <c r="N35" s="19">
        <v>0</v>
      </c>
    </row>
    <row r="36" spans="3:14">
      <c r="C36" s="20" t="s">
        <v>487</v>
      </c>
      <c r="D36" s="29">
        <v>2</v>
      </c>
      <c r="E36" s="19">
        <v>0</v>
      </c>
      <c r="F36" s="19">
        <v>0</v>
      </c>
      <c r="G36" s="19">
        <v>0</v>
      </c>
      <c r="H36" s="19">
        <v>0</v>
      </c>
      <c r="I36" s="19">
        <v>0</v>
      </c>
      <c r="J36" s="19">
        <v>0</v>
      </c>
      <c r="K36" s="19">
        <v>0</v>
      </c>
      <c r="L36" s="19">
        <v>0</v>
      </c>
      <c r="M36" s="16">
        <v>0</v>
      </c>
      <c r="N36" s="19">
        <v>0</v>
      </c>
    </row>
    <row r="37" spans="3:14">
      <c r="C37" s="20" t="s">
        <v>172</v>
      </c>
      <c r="D37" s="29">
        <v>7</v>
      </c>
      <c r="E37" s="19">
        <v>0</v>
      </c>
      <c r="F37" s="19">
        <v>1</v>
      </c>
      <c r="G37" s="19">
        <v>0</v>
      </c>
      <c r="H37" s="19">
        <v>1</v>
      </c>
      <c r="I37" s="19">
        <v>0</v>
      </c>
      <c r="J37" s="19">
        <v>1</v>
      </c>
      <c r="K37" s="19">
        <v>5</v>
      </c>
      <c r="L37" s="19">
        <v>1</v>
      </c>
      <c r="M37" s="16">
        <v>1</v>
      </c>
      <c r="N37" s="19">
        <v>0</v>
      </c>
    </row>
    <row r="38" spans="3:14">
      <c r="C38" s="20" t="s">
        <v>453</v>
      </c>
      <c r="D38" s="29">
        <v>3</v>
      </c>
      <c r="E38" s="19">
        <v>0</v>
      </c>
      <c r="F38" s="19">
        <v>1</v>
      </c>
      <c r="G38" s="19">
        <v>0</v>
      </c>
      <c r="H38" s="19">
        <v>0</v>
      </c>
      <c r="I38" s="19">
        <v>0</v>
      </c>
      <c r="J38" s="19">
        <v>0</v>
      </c>
      <c r="K38" s="19">
        <v>1</v>
      </c>
      <c r="L38" s="19">
        <v>0</v>
      </c>
      <c r="M38" s="16">
        <v>0</v>
      </c>
      <c r="N38" s="19">
        <v>0</v>
      </c>
    </row>
    <row r="39" spans="3:14">
      <c r="C39" s="20" t="s">
        <v>159</v>
      </c>
      <c r="D39" s="29">
        <v>3</v>
      </c>
      <c r="E39" s="19">
        <v>0</v>
      </c>
      <c r="F39" s="19">
        <v>0</v>
      </c>
      <c r="G39" s="19">
        <v>0</v>
      </c>
      <c r="H39" s="19">
        <v>0</v>
      </c>
      <c r="I39" s="19">
        <v>1</v>
      </c>
      <c r="J39" s="19">
        <v>0</v>
      </c>
      <c r="K39" s="19">
        <v>2</v>
      </c>
      <c r="L39" s="19">
        <v>0</v>
      </c>
      <c r="M39" s="16">
        <v>1</v>
      </c>
      <c r="N39" s="19">
        <v>1</v>
      </c>
    </row>
    <row r="40" spans="3:14">
      <c r="C40" s="20" t="s">
        <v>421</v>
      </c>
      <c r="D40" s="29">
        <v>2</v>
      </c>
      <c r="E40" s="19">
        <v>0</v>
      </c>
      <c r="F40" s="19">
        <v>0</v>
      </c>
      <c r="G40" s="19">
        <v>0</v>
      </c>
      <c r="H40" s="19">
        <v>1</v>
      </c>
      <c r="I40" s="19">
        <v>0</v>
      </c>
      <c r="J40" s="19">
        <v>2</v>
      </c>
      <c r="K40" s="19">
        <v>0</v>
      </c>
      <c r="L40" s="19">
        <v>0</v>
      </c>
      <c r="M40" s="16">
        <v>2</v>
      </c>
      <c r="N40" s="19">
        <v>0</v>
      </c>
    </row>
    <row r="41" spans="3:14">
      <c r="C41" s="20" t="s">
        <v>456</v>
      </c>
      <c r="D41" s="29">
        <v>1</v>
      </c>
      <c r="E41" s="19">
        <v>1</v>
      </c>
      <c r="F41" s="19">
        <v>0</v>
      </c>
      <c r="G41" s="19">
        <v>1</v>
      </c>
      <c r="H41" s="19">
        <v>0</v>
      </c>
      <c r="I41" s="19">
        <v>1</v>
      </c>
      <c r="J41" s="19">
        <v>0</v>
      </c>
      <c r="K41" s="19">
        <v>0</v>
      </c>
      <c r="L41" s="19">
        <v>0</v>
      </c>
      <c r="M41" s="16">
        <v>0</v>
      </c>
      <c r="N41" s="19">
        <v>0</v>
      </c>
    </row>
    <row r="42" spans="3:14">
      <c r="C42" s="20" t="s">
        <v>163</v>
      </c>
      <c r="D42" s="29">
        <v>3</v>
      </c>
      <c r="E42" s="19">
        <v>0</v>
      </c>
      <c r="F42" s="19">
        <v>0</v>
      </c>
      <c r="G42" s="19">
        <v>0</v>
      </c>
      <c r="H42" s="19">
        <v>0</v>
      </c>
      <c r="I42" s="19">
        <v>0</v>
      </c>
      <c r="J42" s="19">
        <v>0</v>
      </c>
      <c r="K42" s="19">
        <v>3</v>
      </c>
      <c r="L42" s="19">
        <v>0</v>
      </c>
      <c r="M42" s="16">
        <v>0</v>
      </c>
      <c r="N42" s="19">
        <v>1</v>
      </c>
    </row>
    <row r="43" spans="3:14">
      <c r="C43" s="20" t="s">
        <v>515</v>
      </c>
      <c r="D43" s="29">
        <v>1</v>
      </c>
      <c r="E43" s="19">
        <v>0</v>
      </c>
      <c r="F43" s="19">
        <v>0</v>
      </c>
      <c r="G43" s="19">
        <v>1</v>
      </c>
      <c r="H43" s="19">
        <v>0</v>
      </c>
      <c r="I43" s="19">
        <v>0</v>
      </c>
      <c r="J43" s="19">
        <v>0</v>
      </c>
      <c r="K43" s="19">
        <v>0</v>
      </c>
      <c r="L43" s="19">
        <v>0</v>
      </c>
      <c r="M43" s="16">
        <v>0</v>
      </c>
      <c r="N43" s="19">
        <v>1</v>
      </c>
    </row>
    <row r="44" spans="3:14">
      <c r="C44" s="20" t="s">
        <v>134</v>
      </c>
      <c r="D44" s="29">
        <v>3</v>
      </c>
      <c r="E44" s="19">
        <v>0</v>
      </c>
      <c r="F44" s="19">
        <v>0</v>
      </c>
      <c r="G44" s="19">
        <v>0</v>
      </c>
      <c r="H44" s="19">
        <v>0</v>
      </c>
      <c r="I44" s="19">
        <v>0</v>
      </c>
      <c r="J44" s="19">
        <v>0</v>
      </c>
      <c r="K44" s="19">
        <v>2</v>
      </c>
      <c r="L44" s="19">
        <v>0</v>
      </c>
      <c r="M44" s="16">
        <v>0</v>
      </c>
      <c r="N44" s="19">
        <v>0</v>
      </c>
    </row>
    <row r="45" spans="3:14">
      <c r="C45" s="20" t="s">
        <v>116</v>
      </c>
      <c r="D45" s="29">
        <v>4</v>
      </c>
      <c r="E45" s="19">
        <v>0</v>
      </c>
      <c r="F45" s="19">
        <v>0</v>
      </c>
      <c r="G45" s="19">
        <v>1</v>
      </c>
      <c r="H45" s="19">
        <v>0</v>
      </c>
      <c r="I45" s="19">
        <v>0</v>
      </c>
      <c r="J45" s="19">
        <v>2</v>
      </c>
      <c r="K45" s="19">
        <v>1</v>
      </c>
      <c r="L45" s="19">
        <v>0</v>
      </c>
      <c r="M45" s="16">
        <v>1</v>
      </c>
      <c r="N45" s="19">
        <v>3</v>
      </c>
    </row>
    <row r="46" spans="3:14">
      <c r="C46" s="20" t="s">
        <v>167</v>
      </c>
      <c r="D46" s="29">
        <v>1</v>
      </c>
      <c r="E46" s="19">
        <v>0</v>
      </c>
      <c r="F46" s="19">
        <v>0</v>
      </c>
      <c r="G46" s="19">
        <v>0</v>
      </c>
      <c r="H46" s="19">
        <v>0</v>
      </c>
      <c r="I46" s="19">
        <v>0</v>
      </c>
      <c r="J46" s="19">
        <v>0</v>
      </c>
      <c r="K46" s="19">
        <v>1</v>
      </c>
      <c r="L46" s="19">
        <v>0</v>
      </c>
      <c r="M46" s="16">
        <v>0</v>
      </c>
      <c r="N46" s="19">
        <v>0</v>
      </c>
    </row>
    <row r="47" spans="3:14">
      <c r="C47" s="20" t="s">
        <v>149</v>
      </c>
      <c r="D47" s="29">
        <v>1</v>
      </c>
      <c r="E47" s="19">
        <v>1</v>
      </c>
      <c r="F47" s="19">
        <v>1</v>
      </c>
      <c r="G47" s="19">
        <v>0</v>
      </c>
      <c r="H47" s="19">
        <v>0</v>
      </c>
      <c r="I47" s="19">
        <v>0</v>
      </c>
      <c r="J47" s="19">
        <v>1</v>
      </c>
      <c r="K47" s="19">
        <v>0</v>
      </c>
      <c r="L47" s="19">
        <v>0</v>
      </c>
      <c r="M47" s="16">
        <v>0</v>
      </c>
      <c r="N47" s="19">
        <v>0</v>
      </c>
    </row>
    <row r="48" spans="3:14">
      <c r="C48" s="20" t="s">
        <v>429</v>
      </c>
      <c r="D48" s="29">
        <v>1</v>
      </c>
      <c r="E48" s="19">
        <v>0</v>
      </c>
      <c r="F48" s="19">
        <v>0</v>
      </c>
      <c r="G48" s="19">
        <v>0</v>
      </c>
      <c r="H48" s="19">
        <v>0</v>
      </c>
      <c r="I48" s="19">
        <v>1</v>
      </c>
      <c r="J48" s="19">
        <v>0</v>
      </c>
      <c r="K48" s="19">
        <v>0</v>
      </c>
      <c r="L48" s="19">
        <v>0</v>
      </c>
      <c r="M48" s="16">
        <v>1</v>
      </c>
      <c r="N48" s="19">
        <v>1</v>
      </c>
    </row>
    <row r="49" spans="3:14">
      <c r="C49" s="20" t="s">
        <v>367</v>
      </c>
      <c r="D49" s="29">
        <v>1</v>
      </c>
      <c r="E49" s="19">
        <v>0</v>
      </c>
      <c r="F49" s="19">
        <v>0</v>
      </c>
      <c r="G49" s="19">
        <v>0</v>
      </c>
      <c r="H49" s="19">
        <v>0</v>
      </c>
      <c r="I49" s="19">
        <v>0</v>
      </c>
      <c r="J49" s="19">
        <v>0</v>
      </c>
      <c r="K49" s="19">
        <v>0</v>
      </c>
      <c r="L49" s="19">
        <v>0</v>
      </c>
      <c r="M49" s="16">
        <v>0</v>
      </c>
      <c r="N49" s="19">
        <v>0</v>
      </c>
    </row>
    <row r="50" spans="3:14">
      <c r="C50" s="20" t="s">
        <v>508</v>
      </c>
      <c r="D50" s="29">
        <v>1</v>
      </c>
      <c r="E50" s="19">
        <v>0</v>
      </c>
      <c r="F50" s="19">
        <v>0</v>
      </c>
      <c r="G50" s="19">
        <v>0</v>
      </c>
      <c r="H50" s="19">
        <v>0</v>
      </c>
      <c r="I50" s="19">
        <v>0</v>
      </c>
      <c r="J50" s="19">
        <v>0</v>
      </c>
      <c r="K50" s="19">
        <v>1</v>
      </c>
      <c r="L50" s="19">
        <v>0</v>
      </c>
      <c r="M50" s="16">
        <v>0</v>
      </c>
      <c r="N50" s="19">
        <v>0</v>
      </c>
    </row>
    <row r="51" spans="3:14">
      <c r="C51" s="20" t="s">
        <v>179</v>
      </c>
      <c r="D51" s="29">
        <v>2</v>
      </c>
      <c r="E51" s="19">
        <v>1</v>
      </c>
      <c r="F51" s="19">
        <v>0</v>
      </c>
      <c r="G51" s="19">
        <v>0</v>
      </c>
      <c r="H51" s="19">
        <v>0</v>
      </c>
      <c r="I51" s="19">
        <v>0</v>
      </c>
      <c r="J51" s="19">
        <v>0</v>
      </c>
      <c r="K51" s="19">
        <v>0</v>
      </c>
      <c r="L51" s="19">
        <v>0</v>
      </c>
      <c r="M51" s="16">
        <v>1</v>
      </c>
      <c r="N51" s="19">
        <v>2</v>
      </c>
    </row>
    <row r="52" spans="3:14">
      <c r="C52" s="20" t="s">
        <v>377</v>
      </c>
      <c r="D52" s="29">
        <v>14</v>
      </c>
      <c r="E52" s="19">
        <v>3</v>
      </c>
      <c r="F52" s="19">
        <v>1</v>
      </c>
      <c r="G52" s="19">
        <v>4</v>
      </c>
      <c r="H52" s="19">
        <v>2</v>
      </c>
      <c r="I52" s="19">
        <v>1</v>
      </c>
      <c r="J52" s="19">
        <v>5</v>
      </c>
      <c r="K52" s="19">
        <v>6</v>
      </c>
      <c r="L52" s="19">
        <v>0</v>
      </c>
      <c r="M52" s="16">
        <v>4</v>
      </c>
      <c r="N52" s="19">
        <v>6</v>
      </c>
    </row>
    <row r="53" spans="3:14">
      <c r="C53" s="20" t="s">
        <v>154</v>
      </c>
      <c r="D53" s="29">
        <v>1</v>
      </c>
      <c r="E53" s="19">
        <v>0</v>
      </c>
      <c r="F53" s="19">
        <v>0</v>
      </c>
      <c r="G53" s="19">
        <v>1</v>
      </c>
      <c r="H53" s="19">
        <v>0</v>
      </c>
      <c r="I53" s="19">
        <v>1</v>
      </c>
      <c r="J53" s="19">
        <v>1</v>
      </c>
      <c r="K53" s="19">
        <v>0</v>
      </c>
      <c r="L53" s="19">
        <v>0</v>
      </c>
      <c r="M53" s="16">
        <v>0</v>
      </c>
      <c r="N53" s="19">
        <v>0</v>
      </c>
    </row>
    <row r="54" spans="3:14">
      <c r="C54" s="20" t="s">
        <v>425</v>
      </c>
      <c r="D54" s="29">
        <v>1</v>
      </c>
      <c r="E54" s="19">
        <v>0</v>
      </c>
      <c r="F54" s="19">
        <v>0</v>
      </c>
      <c r="G54" s="19">
        <v>0</v>
      </c>
      <c r="H54" s="19">
        <v>0</v>
      </c>
      <c r="I54" s="19">
        <v>0</v>
      </c>
      <c r="J54" s="19">
        <v>0</v>
      </c>
      <c r="K54" s="19">
        <v>1</v>
      </c>
      <c r="L54" s="19">
        <v>0</v>
      </c>
      <c r="M54" s="16">
        <v>0</v>
      </c>
      <c r="N54" s="19">
        <v>0</v>
      </c>
    </row>
    <row r="55" spans="3:14">
      <c r="C55" s="20" t="s">
        <v>171</v>
      </c>
      <c r="D55" s="29">
        <v>51</v>
      </c>
      <c r="E55" s="19">
        <v>10</v>
      </c>
      <c r="F55" s="19">
        <v>9</v>
      </c>
      <c r="G55" s="19">
        <v>14</v>
      </c>
      <c r="H55" s="19">
        <v>12</v>
      </c>
      <c r="I55" s="19">
        <v>9</v>
      </c>
      <c r="J55" s="19">
        <v>14</v>
      </c>
      <c r="K55" s="19">
        <v>7</v>
      </c>
      <c r="L55" s="19">
        <v>12</v>
      </c>
      <c r="M55" s="16">
        <v>9</v>
      </c>
      <c r="N55" s="19">
        <v>17</v>
      </c>
    </row>
    <row r="56" spans="3:14">
      <c r="C56" s="20" t="s">
        <v>144</v>
      </c>
      <c r="D56" s="29">
        <v>1</v>
      </c>
      <c r="E56" s="19">
        <v>0</v>
      </c>
      <c r="F56" s="19">
        <v>0</v>
      </c>
      <c r="G56" s="19">
        <v>0</v>
      </c>
      <c r="H56" s="19">
        <v>0</v>
      </c>
      <c r="I56" s="19">
        <v>0</v>
      </c>
      <c r="J56" s="19">
        <v>0</v>
      </c>
      <c r="K56" s="19">
        <v>0</v>
      </c>
      <c r="L56" s="19">
        <v>0</v>
      </c>
      <c r="M56" s="16">
        <v>1</v>
      </c>
      <c r="N56" s="19">
        <v>0</v>
      </c>
    </row>
    <row r="57" spans="3:14">
      <c r="C57" s="20" t="s">
        <v>174</v>
      </c>
      <c r="D57" s="29">
        <v>4</v>
      </c>
      <c r="E57" s="19">
        <v>0</v>
      </c>
      <c r="F57" s="19">
        <v>1.75</v>
      </c>
      <c r="G57" s="19">
        <v>1.5</v>
      </c>
      <c r="H57" s="19">
        <v>0.75</v>
      </c>
      <c r="I57" s="19">
        <v>0.75</v>
      </c>
      <c r="J57" s="19">
        <v>1</v>
      </c>
      <c r="K57" s="19">
        <v>0</v>
      </c>
      <c r="L57" s="19">
        <v>1</v>
      </c>
      <c r="M57" s="16">
        <v>0.75</v>
      </c>
      <c r="N57" s="19">
        <v>3.5</v>
      </c>
    </row>
    <row r="58" spans="3:14">
      <c r="C58" s="20" t="s">
        <v>145</v>
      </c>
      <c r="D58" s="29">
        <v>7</v>
      </c>
      <c r="E58" s="19">
        <v>1</v>
      </c>
      <c r="F58" s="19">
        <v>1</v>
      </c>
      <c r="G58" s="19">
        <v>1</v>
      </c>
      <c r="H58" s="19">
        <v>0</v>
      </c>
      <c r="I58" s="19">
        <v>0</v>
      </c>
      <c r="J58" s="19">
        <v>2</v>
      </c>
      <c r="K58" s="19">
        <v>1</v>
      </c>
      <c r="L58" s="19">
        <v>0</v>
      </c>
      <c r="M58" s="16">
        <v>1</v>
      </c>
      <c r="N58" s="19">
        <v>1</v>
      </c>
    </row>
    <row r="59" spans="3:14">
      <c r="C59" s="20" t="s">
        <v>161</v>
      </c>
      <c r="D59" s="29">
        <v>7</v>
      </c>
      <c r="E59" s="19">
        <v>3</v>
      </c>
      <c r="F59" s="19">
        <v>1</v>
      </c>
      <c r="G59" s="19">
        <v>4</v>
      </c>
      <c r="H59" s="19">
        <v>1</v>
      </c>
      <c r="I59" s="19">
        <v>0</v>
      </c>
      <c r="J59" s="19">
        <v>4</v>
      </c>
      <c r="K59" s="19">
        <v>1</v>
      </c>
      <c r="L59" s="19">
        <v>0</v>
      </c>
      <c r="M59" s="16">
        <v>4</v>
      </c>
      <c r="N59" s="19">
        <v>0</v>
      </c>
    </row>
    <row r="60" spans="3:14">
      <c r="C60" s="20" t="s">
        <v>462</v>
      </c>
      <c r="D60" s="29">
        <v>1</v>
      </c>
      <c r="E60" s="19">
        <v>0</v>
      </c>
      <c r="F60" s="19">
        <v>0</v>
      </c>
      <c r="G60" s="19">
        <v>0</v>
      </c>
      <c r="H60" s="19">
        <v>0</v>
      </c>
      <c r="I60" s="19">
        <v>0</v>
      </c>
      <c r="J60" s="19">
        <v>0</v>
      </c>
      <c r="K60" s="19">
        <v>0</v>
      </c>
      <c r="L60" s="19">
        <v>0</v>
      </c>
      <c r="M60" s="16">
        <v>0</v>
      </c>
      <c r="N60" s="19">
        <v>0</v>
      </c>
    </row>
    <row r="61" spans="3:14">
      <c r="C61" s="20" t="s">
        <v>157</v>
      </c>
      <c r="D61" s="29">
        <v>2</v>
      </c>
      <c r="E61" s="19">
        <v>0</v>
      </c>
      <c r="F61" s="19">
        <v>0</v>
      </c>
      <c r="G61" s="19">
        <v>0</v>
      </c>
      <c r="H61" s="19">
        <v>0</v>
      </c>
      <c r="I61" s="19">
        <v>0</v>
      </c>
      <c r="J61" s="19">
        <v>0</v>
      </c>
      <c r="K61" s="19">
        <v>1</v>
      </c>
      <c r="L61" s="19">
        <v>0</v>
      </c>
      <c r="M61" s="16">
        <v>1</v>
      </c>
      <c r="N61" s="19">
        <v>0</v>
      </c>
    </row>
    <row r="62" spans="3:14">
      <c r="C62" s="20" t="s">
        <v>135</v>
      </c>
      <c r="D62" s="29">
        <v>2</v>
      </c>
      <c r="E62" s="19">
        <v>0</v>
      </c>
      <c r="F62" s="19">
        <v>0</v>
      </c>
      <c r="G62" s="19">
        <v>0</v>
      </c>
      <c r="H62" s="19">
        <v>1</v>
      </c>
      <c r="I62" s="19">
        <v>0</v>
      </c>
      <c r="J62" s="19">
        <v>0</v>
      </c>
      <c r="K62" s="19">
        <v>0</v>
      </c>
      <c r="L62" s="19">
        <v>0</v>
      </c>
      <c r="M62" s="16">
        <v>0</v>
      </c>
      <c r="N62" s="19">
        <v>0</v>
      </c>
    </row>
    <row r="63" spans="3:14">
      <c r="C63" s="20" t="s">
        <v>156</v>
      </c>
      <c r="D63" s="29">
        <v>13</v>
      </c>
      <c r="E63" s="19">
        <v>0.75</v>
      </c>
      <c r="F63" s="19">
        <v>0</v>
      </c>
      <c r="G63" s="19">
        <v>1.75</v>
      </c>
      <c r="H63" s="19">
        <v>3</v>
      </c>
      <c r="I63" s="19">
        <v>5.75</v>
      </c>
      <c r="J63" s="19">
        <v>0.75</v>
      </c>
      <c r="K63" s="19">
        <v>1</v>
      </c>
      <c r="L63" s="19">
        <v>1</v>
      </c>
      <c r="M63" s="16">
        <v>5</v>
      </c>
      <c r="N63" s="19">
        <v>6</v>
      </c>
    </row>
    <row r="64" spans="3:14">
      <c r="C64" s="20" t="s">
        <v>121</v>
      </c>
      <c r="D64" s="29">
        <v>11</v>
      </c>
      <c r="E64" s="19">
        <v>0</v>
      </c>
      <c r="F64" s="19">
        <v>2</v>
      </c>
      <c r="G64" s="19">
        <v>1</v>
      </c>
      <c r="H64" s="19">
        <v>1</v>
      </c>
      <c r="I64" s="19">
        <v>1</v>
      </c>
      <c r="J64" s="19">
        <v>4</v>
      </c>
      <c r="K64" s="19">
        <v>3</v>
      </c>
      <c r="L64" s="19">
        <v>2</v>
      </c>
      <c r="M64" s="16">
        <v>2</v>
      </c>
      <c r="N64" s="19">
        <v>4</v>
      </c>
    </row>
    <row r="65" spans="3:14">
      <c r="C65" s="20" t="s">
        <v>153</v>
      </c>
      <c r="D65" s="29">
        <v>2</v>
      </c>
      <c r="E65" s="19">
        <v>0</v>
      </c>
      <c r="F65" s="19">
        <v>0</v>
      </c>
      <c r="G65" s="19">
        <v>1</v>
      </c>
      <c r="H65" s="19">
        <v>0</v>
      </c>
      <c r="I65" s="19">
        <v>0</v>
      </c>
      <c r="J65" s="19">
        <v>1</v>
      </c>
      <c r="K65" s="19">
        <v>1</v>
      </c>
      <c r="L65" s="19">
        <v>0</v>
      </c>
      <c r="M65" s="16">
        <v>1</v>
      </c>
      <c r="N65" s="19">
        <v>0</v>
      </c>
    </row>
    <row r="66" spans="3:14">
      <c r="C66" s="20" t="s">
        <v>113</v>
      </c>
      <c r="D66" s="29">
        <v>3</v>
      </c>
      <c r="E66" s="19">
        <v>1</v>
      </c>
      <c r="F66" s="19">
        <v>0</v>
      </c>
      <c r="G66" s="19">
        <v>0</v>
      </c>
      <c r="H66" s="19">
        <v>0</v>
      </c>
      <c r="I66" s="19">
        <v>1</v>
      </c>
      <c r="J66" s="19">
        <v>0</v>
      </c>
      <c r="K66" s="19">
        <v>0</v>
      </c>
      <c r="L66" s="19">
        <v>1</v>
      </c>
      <c r="M66" s="16">
        <v>0</v>
      </c>
      <c r="N66" s="19">
        <v>0</v>
      </c>
    </row>
    <row r="67" spans="3:14">
      <c r="C67" s="20" t="s">
        <v>516</v>
      </c>
      <c r="D67" s="29">
        <v>1</v>
      </c>
      <c r="E67" s="19">
        <v>0</v>
      </c>
      <c r="F67" s="19">
        <v>0</v>
      </c>
      <c r="G67" s="19">
        <v>0</v>
      </c>
      <c r="H67" s="19">
        <v>0</v>
      </c>
      <c r="I67" s="19">
        <v>0</v>
      </c>
      <c r="J67" s="19">
        <v>0</v>
      </c>
      <c r="K67" s="19">
        <v>0</v>
      </c>
      <c r="L67" s="19">
        <v>0</v>
      </c>
      <c r="M67" s="16">
        <v>0</v>
      </c>
      <c r="N67" s="19">
        <v>0</v>
      </c>
    </row>
    <row r="68" spans="3:14">
      <c r="C68" s="20" t="s">
        <v>470</v>
      </c>
      <c r="D68" s="29">
        <v>2</v>
      </c>
      <c r="E68" s="19">
        <v>0</v>
      </c>
      <c r="F68" s="19">
        <v>1</v>
      </c>
      <c r="G68" s="19">
        <v>0</v>
      </c>
      <c r="H68" s="19">
        <v>0</v>
      </c>
      <c r="I68" s="19">
        <v>0</v>
      </c>
      <c r="J68" s="19">
        <v>0</v>
      </c>
      <c r="K68" s="19">
        <v>1</v>
      </c>
      <c r="L68" s="19">
        <v>0</v>
      </c>
      <c r="M68" s="16">
        <v>0</v>
      </c>
      <c r="N68" s="19">
        <v>1</v>
      </c>
    </row>
    <row r="69" spans="3:14">
      <c r="C69" s="20" t="s">
        <v>124</v>
      </c>
      <c r="D69" s="29">
        <v>6</v>
      </c>
      <c r="E69" s="19">
        <v>0</v>
      </c>
      <c r="F69" s="19">
        <v>0</v>
      </c>
      <c r="G69" s="19">
        <v>1</v>
      </c>
      <c r="H69" s="19">
        <v>0</v>
      </c>
      <c r="I69" s="19">
        <v>3</v>
      </c>
      <c r="J69" s="19">
        <v>4</v>
      </c>
      <c r="K69" s="19">
        <v>2</v>
      </c>
      <c r="L69" s="19">
        <v>0</v>
      </c>
      <c r="M69" s="16">
        <v>1</v>
      </c>
      <c r="N69" s="19">
        <v>0</v>
      </c>
    </row>
    <row r="70" spans="3:14">
      <c r="C70" s="20" t="s">
        <v>381</v>
      </c>
      <c r="D70" s="29">
        <v>1</v>
      </c>
      <c r="E70" s="19">
        <v>0</v>
      </c>
      <c r="F70" s="19">
        <v>0</v>
      </c>
      <c r="G70" s="19">
        <v>0</v>
      </c>
      <c r="H70" s="19">
        <v>0</v>
      </c>
      <c r="I70" s="19">
        <v>0</v>
      </c>
      <c r="J70" s="19">
        <v>0</v>
      </c>
      <c r="K70" s="19">
        <v>0</v>
      </c>
      <c r="L70" s="19">
        <v>0</v>
      </c>
      <c r="M70" s="16">
        <v>0</v>
      </c>
      <c r="N70" s="19">
        <v>0</v>
      </c>
    </row>
    <row r="71" spans="3:14">
      <c r="C71" s="20" t="s">
        <v>371</v>
      </c>
      <c r="D71" s="29">
        <v>2</v>
      </c>
      <c r="E71" s="19">
        <v>0</v>
      </c>
      <c r="F71" s="19">
        <v>1</v>
      </c>
      <c r="G71" s="19">
        <v>1</v>
      </c>
      <c r="H71" s="19">
        <v>0</v>
      </c>
      <c r="I71" s="19">
        <v>0</v>
      </c>
      <c r="J71" s="19">
        <v>0</v>
      </c>
      <c r="K71" s="19">
        <v>0</v>
      </c>
      <c r="L71" s="19">
        <v>0</v>
      </c>
      <c r="M71" s="16">
        <v>0</v>
      </c>
      <c r="N71" s="19">
        <v>1</v>
      </c>
    </row>
    <row r="72" spans="3:14">
      <c r="C72" s="20" t="s">
        <v>445</v>
      </c>
      <c r="D72" s="29">
        <v>1</v>
      </c>
      <c r="E72" s="19">
        <v>0</v>
      </c>
      <c r="F72" s="19">
        <v>0</v>
      </c>
      <c r="G72" s="19">
        <v>0</v>
      </c>
      <c r="H72" s="19">
        <v>1</v>
      </c>
      <c r="I72" s="19">
        <v>0</v>
      </c>
      <c r="J72" s="19">
        <v>1</v>
      </c>
      <c r="K72" s="19">
        <v>1</v>
      </c>
      <c r="L72" s="19">
        <v>0</v>
      </c>
      <c r="M72" s="16">
        <v>0</v>
      </c>
      <c r="N72" s="19">
        <v>0</v>
      </c>
    </row>
    <row r="73" spans="3:14">
      <c r="C73" s="20" t="s">
        <v>380</v>
      </c>
      <c r="D73" s="29">
        <v>1</v>
      </c>
      <c r="E73" s="19">
        <v>0</v>
      </c>
      <c r="F73" s="19">
        <v>1</v>
      </c>
      <c r="G73" s="19">
        <v>0</v>
      </c>
      <c r="H73" s="19">
        <v>0</v>
      </c>
      <c r="I73" s="19">
        <v>0</v>
      </c>
      <c r="J73" s="19">
        <v>0</v>
      </c>
      <c r="K73" s="19">
        <v>1</v>
      </c>
      <c r="L73" s="19">
        <v>0</v>
      </c>
      <c r="M73" s="16">
        <v>0</v>
      </c>
      <c r="N73" s="19">
        <v>1</v>
      </c>
    </row>
    <row r="74" spans="3:14">
      <c r="C74" s="20" t="s">
        <v>454</v>
      </c>
      <c r="D74" s="29">
        <v>1</v>
      </c>
      <c r="E74" s="19">
        <v>0</v>
      </c>
      <c r="F74" s="19">
        <v>0</v>
      </c>
      <c r="G74" s="19">
        <v>0</v>
      </c>
      <c r="H74" s="19">
        <v>0</v>
      </c>
      <c r="I74" s="19">
        <v>0</v>
      </c>
      <c r="J74" s="19">
        <v>0</v>
      </c>
      <c r="K74" s="19">
        <v>1</v>
      </c>
      <c r="L74" s="19">
        <v>0</v>
      </c>
      <c r="M74" s="16">
        <v>0</v>
      </c>
      <c r="N74" s="19">
        <v>0</v>
      </c>
    </row>
    <row r="75" spans="3:14">
      <c r="C75" s="20" t="s">
        <v>379</v>
      </c>
      <c r="D75" s="29">
        <v>6</v>
      </c>
      <c r="E75" s="19">
        <v>1</v>
      </c>
      <c r="F75" s="19">
        <v>2</v>
      </c>
      <c r="G75" s="19">
        <v>0</v>
      </c>
      <c r="H75" s="19">
        <v>1</v>
      </c>
      <c r="I75" s="19">
        <v>0</v>
      </c>
      <c r="J75" s="19">
        <v>1</v>
      </c>
      <c r="K75" s="19">
        <v>2</v>
      </c>
      <c r="L75" s="19">
        <v>1</v>
      </c>
      <c r="M75" s="16">
        <v>0</v>
      </c>
      <c r="N75" s="19">
        <v>1</v>
      </c>
    </row>
    <row r="76" spans="3:14">
      <c r="C76" s="20" t="s">
        <v>464</v>
      </c>
      <c r="D76" s="29">
        <v>1</v>
      </c>
      <c r="E76" s="19">
        <v>0</v>
      </c>
      <c r="F76" s="19">
        <v>0</v>
      </c>
      <c r="G76" s="19">
        <v>0</v>
      </c>
      <c r="H76" s="19">
        <v>0</v>
      </c>
      <c r="I76" s="19">
        <v>0</v>
      </c>
      <c r="J76" s="19">
        <v>0</v>
      </c>
      <c r="K76" s="19">
        <v>1</v>
      </c>
      <c r="L76" s="19">
        <v>0</v>
      </c>
      <c r="M76" s="16">
        <v>0</v>
      </c>
      <c r="N76" s="19">
        <v>0</v>
      </c>
    </row>
    <row r="77" spans="3:14">
      <c r="C77" s="20" t="s">
        <v>362</v>
      </c>
      <c r="D77" s="29">
        <v>3</v>
      </c>
      <c r="E77" s="19">
        <v>1</v>
      </c>
      <c r="F77" s="19">
        <v>1</v>
      </c>
      <c r="G77" s="19">
        <v>0</v>
      </c>
      <c r="H77" s="19">
        <v>0</v>
      </c>
      <c r="I77" s="19">
        <v>1</v>
      </c>
      <c r="J77" s="19">
        <v>1</v>
      </c>
      <c r="K77" s="19">
        <v>1</v>
      </c>
      <c r="L77" s="19">
        <v>0</v>
      </c>
      <c r="M77" s="16">
        <v>0</v>
      </c>
      <c r="N77" s="19">
        <v>0</v>
      </c>
    </row>
    <row r="78" spans="3:14">
      <c r="C78" s="20" t="s">
        <v>457</v>
      </c>
      <c r="D78" s="29">
        <v>1</v>
      </c>
      <c r="E78" s="19">
        <v>0</v>
      </c>
      <c r="F78" s="19">
        <v>0</v>
      </c>
      <c r="G78" s="19">
        <v>0</v>
      </c>
      <c r="H78" s="19">
        <v>0</v>
      </c>
      <c r="I78" s="19">
        <v>0</v>
      </c>
      <c r="J78" s="19">
        <v>0</v>
      </c>
      <c r="K78" s="19">
        <v>0</v>
      </c>
      <c r="L78" s="19">
        <v>0</v>
      </c>
      <c r="M78" s="16">
        <v>0</v>
      </c>
      <c r="N78" s="19">
        <v>1</v>
      </c>
    </row>
    <row r="79" spans="3:14">
      <c r="C79" s="20" t="s">
        <v>522</v>
      </c>
      <c r="D79" s="29">
        <v>1</v>
      </c>
      <c r="E79" s="19">
        <v>0.6</v>
      </c>
      <c r="F79" s="19">
        <v>0</v>
      </c>
      <c r="G79" s="19">
        <v>0</v>
      </c>
      <c r="H79" s="19">
        <v>0.6</v>
      </c>
      <c r="I79" s="19">
        <v>0</v>
      </c>
      <c r="J79" s="19">
        <v>0</v>
      </c>
      <c r="K79" s="19">
        <v>0.6</v>
      </c>
      <c r="L79" s="19">
        <v>0</v>
      </c>
      <c r="M79" s="16">
        <v>0.6</v>
      </c>
      <c r="N79" s="19">
        <v>0</v>
      </c>
    </row>
    <row r="80" spans="3:14">
      <c r="C80" s="20" t="s">
        <v>126</v>
      </c>
      <c r="D80" s="29">
        <v>3</v>
      </c>
      <c r="E80" s="19">
        <v>0</v>
      </c>
      <c r="F80" s="19">
        <v>0.75</v>
      </c>
      <c r="G80" s="19">
        <v>0</v>
      </c>
      <c r="H80" s="19">
        <v>0.75</v>
      </c>
      <c r="I80" s="19">
        <v>1.5</v>
      </c>
      <c r="J80" s="19">
        <v>0</v>
      </c>
      <c r="K80" s="19">
        <v>0</v>
      </c>
      <c r="L80" s="19">
        <v>0.75</v>
      </c>
      <c r="M80" s="16">
        <v>1.75</v>
      </c>
      <c r="N80" s="19">
        <v>1.5</v>
      </c>
    </row>
    <row r="81" spans="3:14">
      <c r="C81" s="20" t="s">
        <v>444</v>
      </c>
      <c r="D81" s="29">
        <v>1</v>
      </c>
      <c r="E81" s="19">
        <v>0</v>
      </c>
      <c r="F81" s="19">
        <v>0</v>
      </c>
      <c r="G81" s="19">
        <v>0</v>
      </c>
      <c r="H81" s="19">
        <v>0</v>
      </c>
      <c r="I81" s="19">
        <v>0</v>
      </c>
      <c r="J81" s="19">
        <v>0</v>
      </c>
      <c r="K81" s="19">
        <v>1</v>
      </c>
      <c r="L81" s="19">
        <v>0</v>
      </c>
      <c r="M81" s="16">
        <v>0</v>
      </c>
      <c r="N81" s="19">
        <v>0</v>
      </c>
    </row>
    <row r="82" spans="3:14">
      <c r="C82" s="20" t="s">
        <v>474</v>
      </c>
      <c r="D82" s="29">
        <v>1</v>
      </c>
      <c r="E82" s="19">
        <v>1</v>
      </c>
      <c r="F82" s="19">
        <v>0</v>
      </c>
      <c r="G82" s="19">
        <v>0</v>
      </c>
      <c r="H82" s="19">
        <v>0</v>
      </c>
      <c r="I82" s="19">
        <v>1</v>
      </c>
      <c r="J82" s="19">
        <v>0</v>
      </c>
      <c r="K82" s="19">
        <v>0</v>
      </c>
      <c r="L82" s="19">
        <v>0</v>
      </c>
      <c r="M82" s="16">
        <v>0</v>
      </c>
      <c r="N82" s="19">
        <v>0</v>
      </c>
    </row>
    <row r="83" spans="3:14">
      <c r="C83" s="20" t="s">
        <v>119</v>
      </c>
      <c r="D83" s="29">
        <v>2</v>
      </c>
      <c r="E83" s="19">
        <v>0</v>
      </c>
      <c r="F83" s="19">
        <v>0</v>
      </c>
      <c r="G83" s="19">
        <v>0</v>
      </c>
      <c r="H83" s="19">
        <v>0</v>
      </c>
      <c r="I83" s="19">
        <v>0</v>
      </c>
      <c r="J83" s="19">
        <v>0</v>
      </c>
      <c r="K83" s="19">
        <v>1</v>
      </c>
      <c r="L83" s="19">
        <v>0</v>
      </c>
      <c r="M83" s="16">
        <v>0</v>
      </c>
      <c r="N83" s="19">
        <v>0</v>
      </c>
    </row>
    <row r="84" spans="3:14">
      <c r="C84" s="20" t="s">
        <v>146</v>
      </c>
      <c r="D84" s="29">
        <v>1</v>
      </c>
      <c r="E84" s="19">
        <v>0</v>
      </c>
      <c r="F84" s="19">
        <v>0</v>
      </c>
      <c r="G84" s="19">
        <v>0</v>
      </c>
      <c r="H84" s="19">
        <v>0</v>
      </c>
      <c r="I84" s="19">
        <v>0</v>
      </c>
      <c r="J84" s="19">
        <v>0</v>
      </c>
      <c r="K84" s="19">
        <v>0</v>
      </c>
      <c r="L84" s="19">
        <v>0</v>
      </c>
      <c r="M84" s="16">
        <v>1</v>
      </c>
      <c r="N84" s="19">
        <v>0</v>
      </c>
    </row>
    <row r="85" spans="3:14">
      <c r="C85" s="20" t="s">
        <v>176</v>
      </c>
      <c r="D85" s="29">
        <v>4</v>
      </c>
      <c r="E85" s="19">
        <v>0</v>
      </c>
      <c r="F85" s="19">
        <v>0</v>
      </c>
      <c r="G85" s="19">
        <v>0</v>
      </c>
      <c r="H85" s="19">
        <v>1</v>
      </c>
      <c r="I85" s="19">
        <v>0</v>
      </c>
      <c r="J85" s="19">
        <v>3</v>
      </c>
      <c r="K85" s="19">
        <v>1</v>
      </c>
      <c r="L85" s="19">
        <v>0</v>
      </c>
      <c r="M85" s="16">
        <v>3</v>
      </c>
      <c r="N85" s="19">
        <v>3</v>
      </c>
    </row>
    <row r="86" spans="3:14">
      <c r="C86" s="20" t="s">
        <v>378</v>
      </c>
      <c r="D86" s="29">
        <v>1</v>
      </c>
      <c r="E86" s="19">
        <v>0</v>
      </c>
      <c r="F86" s="19">
        <v>0</v>
      </c>
      <c r="G86" s="19">
        <v>0</v>
      </c>
      <c r="H86" s="19">
        <v>0</v>
      </c>
      <c r="I86" s="19">
        <v>0</v>
      </c>
      <c r="J86" s="19">
        <v>0</v>
      </c>
      <c r="K86" s="19">
        <v>1</v>
      </c>
      <c r="L86" s="19">
        <v>0</v>
      </c>
      <c r="M86" s="16">
        <v>0</v>
      </c>
      <c r="N86" s="19">
        <v>0</v>
      </c>
    </row>
    <row r="87" spans="3:14">
      <c r="C87" s="20" t="s">
        <v>155</v>
      </c>
      <c r="D87" s="29">
        <v>10</v>
      </c>
      <c r="E87" s="19">
        <v>2</v>
      </c>
      <c r="F87" s="19">
        <v>2</v>
      </c>
      <c r="G87" s="19">
        <v>0</v>
      </c>
      <c r="H87" s="19">
        <v>0</v>
      </c>
      <c r="I87" s="19">
        <v>3</v>
      </c>
      <c r="J87" s="19">
        <v>6</v>
      </c>
      <c r="K87" s="19">
        <v>1</v>
      </c>
      <c r="L87" s="19">
        <v>3</v>
      </c>
      <c r="M87" s="16">
        <v>4</v>
      </c>
      <c r="N87" s="19">
        <v>1</v>
      </c>
    </row>
    <row r="88" spans="3:14">
      <c r="C88" s="20" t="s">
        <v>376</v>
      </c>
      <c r="D88" s="29">
        <v>1</v>
      </c>
      <c r="E88" s="19">
        <v>0</v>
      </c>
      <c r="F88" s="19">
        <v>0</v>
      </c>
      <c r="G88" s="19">
        <v>0</v>
      </c>
      <c r="H88" s="19">
        <v>0</v>
      </c>
      <c r="I88" s="19">
        <v>0</v>
      </c>
      <c r="J88" s="19">
        <v>0</v>
      </c>
      <c r="K88" s="19">
        <v>1</v>
      </c>
      <c r="L88" s="19">
        <v>0</v>
      </c>
      <c r="M88" s="16">
        <v>0</v>
      </c>
      <c r="N88" s="19">
        <v>0</v>
      </c>
    </row>
    <row r="89" spans="3:14">
      <c r="C89" s="20" t="s">
        <v>178</v>
      </c>
      <c r="D89" s="29">
        <v>2</v>
      </c>
      <c r="E89" s="19">
        <v>0</v>
      </c>
      <c r="F89" s="19">
        <v>0</v>
      </c>
      <c r="G89" s="19">
        <v>0</v>
      </c>
      <c r="H89" s="19">
        <v>0</v>
      </c>
      <c r="I89" s="19">
        <v>0</v>
      </c>
      <c r="J89" s="19">
        <v>0</v>
      </c>
      <c r="K89" s="19">
        <v>1</v>
      </c>
      <c r="L89" s="19">
        <v>0</v>
      </c>
      <c r="M89" s="16">
        <v>1</v>
      </c>
      <c r="N89" s="19">
        <v>0</v>
      </c>
    </row>
    <row r="90" spans="3:14">
      <c r="C90" s="20" t="s">
        <v>139</v>
      </c>
      <c r="D90" s="29">
        <v>3</v>
      </c>
      <c r="E90" s="19">
        <v>1</v>
      </c>
      <c r="F90" s="19">
        <v>0</v>
      </c>
      <c r="G90" s="19">
        <v>0</v>
      </c>
      <c r="H90" s="19">
        <v>0</v>
      </c>
      <c r="I90" s="19">
        <v>1</v>
      </c>
      <c r="J90" s="19">
        <v>1</v>
      </c>
      <c r="K90" s="19">
        <v>1</v>
      </c>
      <c r="L90" s="19">
        <v>1</v>
      </c>
      <c r="M90" s="16">
        <v>0</v>
      </c>
      <c r="N90" s="19">
        <v>0</v>
      </c>
    </row>
    <row r="91" spans="3:14">
      <c r="C91" s="20" t="s">
        <v>150</v>
      </c>
      <c r="D91" s="29">
        <v>19</v>
      </c>
      <c r="E91" s="19">
        <v>2</v>
      </c>
      <c r="F91" s="19">
        <v>0</v>
      </c>
      <c r="G91" s="19">
        <v>3</v>
      </c>
      <c r="H91" s="19">
        <v>3</v>
      </c>
      <c r="I91" s="19">
        <v>3</v>
      </c>
      <c r="J91" s="19">
        <v>5</v>
      </c>
      <c r="K91" s="19">
        <v>5</v>
      </c>
      <c r="L91" s="19">
        <v>0</v>
      </c>
      <c r="M91" s="16">
        <v>5</v>
      </c>
      <c r="N91" s="19">
        <v>4</v>
      </c>
    </row>
    <row r="92" spans="3:14">
      <c r="C92" s="20" t="s">
        <v>185</v>
      </c>
      <c r="D92" s="29">
        <v>5</v>
      </c>
      <c r="E92" s="19">
        <v>2</v>
      </c>
      <c r="F92" s="19">
        <v>0</v>
      </c>
      <c r="G92" s="19">
        <v>2</v>
      </c>
      <c r="H92" s="19">
        <v>0</v>
      </c>
      <c r="I92" s="19">
        <v>0</v>
      </c>
      <c r="J92" s="19">
        <v>0</v>
      </c>
      <c r="K92" s="19">
        <v>1</v>
      </c>
      <c r="L92" s="19">
        <v>0</v>
      </c>
      <c r="M92" s="16">
        <v>2</v>
      </c>
      <c r="N92" s="19">
        <v>0</v>
      </c>
    </row>
    <row r="93" spans="3:14">
      <c r="C93" s="20" t="s">
        <v>175</v>
      </c>
      <c r="D93" s="29">
        <v>2</v>
      </c>
      <c r="E93" s="19">
        <v>0</v>
      </c>
      <c r="F93" s="19">
        <v>0</v>
      </c>
      <c r="G93" s="19">
        <v>0</v>
      </c>
      <c r="H93" s="19">
        <v>1</v>
      </c>
      <c r="I93" s="19">
        <v>0</v>
      </c>
      <c r="J93" s="19">
        <v>1</v>
      </c>
      <c r="K93" s="19">
        <v>0</v>
      </c>
      <c r="L93" s="19">
        <v>0</v>
      </c>
      <c r="M93" s="16">
        <v>0</v>
      </c>
      <c r="N93" s="19">
        <v>1</v>
      </c>
    </row>
    <row r="94" spans="3:14">
      <c r="C94" s="20" t="s">
        <v>458</v>
      </c>
      <c r="D94" s="29">
        <v>1</v>
      </c>
      <c r="E94" s="19">
        <v>0</v>
      </c>
      <c r="F94" s="19">
        <v>0</v>
      </c>
      <c r="G94" s="19">
        <v>0</v>
      </c>
      <c r="H94" s="19">
        <v>1</v>
      </c>
      <c r="I94" s="19">
        <v>0</v>
      </c>
      <c r="J94" s="19">
        <v>0</v>
      </c>
      <c r="K94" s="19">
        <v>1</v>
      </c>
      <c r="L94" s="19">
        <v>0</v>
      </c>
      <c r="M94" s="16">
        <v>0</v>
      </c>
      <c r="N94" s="19">
        <v>1</v>
      </c>
    </row>
    <row r="95" spans="3:14">
      <c r="C95" s="20" t="s">
        <v>475</v>
      </c>
      <c r="D95" s="29">
        <v>1</v>
      </c>
      <c r="E95" s="19">
        <v>0</v>
      </c>
      <c r="F95" s="19">
        <v>1</v>
      </c>
      <c r="G95" s="19">
        <v>0</v>
      </c>
      <c r="H95" s="19">
        <v>1</v>
      </c>
      <c r="I95" s="19">
        <v>0</v>
      </c>
      <c r="J95" s="19">
        <v>0</v>
      </c>
      <c r="K95" s="19">
        <v>0</v>
      </c>
      <c r="L95" s="19">
        <v>0</v>
      </c>
      <c r="M95" s="16">
        <v>0</v>
      </c>
      <c r="N95" s="19">
        <v>0</v>
      </c>
    </row>
    <row r="96" spans="3:14">
      <c r="C96" s="20" t="s">
        <v>519</v>
      </c>
      <c r="D96" s="29">
        <v>1</v>
      </c>
      <c r="E96" s="19">
        <v>0</v>
      </c>
      <c r="F96" s="19">
        <v>0</v>
      </c>
      <c r="G96" s="19">
        <v>0</v>
      </c>
      <c r="H96" s="19">
        <v>0</v>
      </c>
      <c r="I96" s="19">
        <v>0</v>
      </c>
      <c r="J96" s="19">
        <v>0</v>
      </c>
      <c r="K96" s="19">
        <v>1</v>
      </c>
      <c r="L96" s="19">
        <v>0</v>
      </c>
      <c r="M96" s="16">
        <v>0</v>
      </c>
      <c r="N96" s="19">
        <v>0</v>
      </c>
    </row>
    <row r="97" spans="3:14">
      <c r="C97" s="20" t="s">
        <v>132</v>
      </c>
      <c r="D97" s="29">
        <v>3</v>
      </c>
      <c r="E97" s="19">
        <v>0</v>
      </c>
      <c r="F97" s="19">
        <v>0</v>
      </c>
      <c r="G97" s="19">
        <v>0</v>
      </c>
      <c r="H97" s="19">
        <v>1</v>
      </c>
      <c r="I97" s="19">
        <v>0</v>
      </c>
      <c r="J97" s="19">
        <v>0</v>
      </c>
      <c r="K97" s="19">
        <v>1</v>
      </c>
      <c r="L97" s="19">
        <v>0</v>
      </c>
      <c r="M97" s="16">
        <v>0</v>
      </c>
      <c r="N97" s="19">
        <v>0</v>
      </c>
    </row>
    <row r="98" spans="3:14">
      <c r="C98" s="20" t="s">
        <v>511</v>
      </c>
      <c r="D98" s="29">
        <v>1</v>
      </c>
      <c r="E98" s="19">
        <v>0</v>
      </c>
      <c r="F98" s="19">
        <v>0</v>
      </c>
      <c r="G98" s="19">
        <v>0</v>
      </c>
      <c r="H98" s="19">
        <v>0</v>
      </c>
      <c r="I98" s="19">
        <v>0</v>
      </c>
      <c r="J98" s="19">
        <v>1</v>
      </c>
      <c r="K98" s="19">
        <v>0</v>
      </c>
      <c r="L98" s="19">
        <v>0</v>
      </c>
      <c r="M98" s="16">
        <v>0</v>
      </c>
      <c r="N98" s="19">
        <v>0</v>
      </c>
    </row>
    <row r="99" spans="3:14">
      <c r="C99" s="20" t="s">
        <v>148</v>
      </c>
      <c r="D99" s="29">
        <v>8</v>
      </c>
      <c r="E99" s="19">
        <v>0</v>
      </c>
      <c r="F99" s="19">
        <v>0</v>
      </c>
      <c r="G99" s="19">
        <v>0</v>
      </c>
      <c r="H99" s="19">
        <v>1</v>
      </c>
      <c r="I99" s="19">
        <v>0</v>
      </c>
      <c r="J99" s="19">
        <v>1</v>
      </c>
      <c r="K99" s="19">
        <v>6</v>
      </c>
      <c r="L99" s="19">
        <v>0</v>
      </c>
      <c r="M99" s="16">
        <v>1</v>
      </c>
      <c r="N99" s="19">
        <v>1</v>
      </c>
    </row>
    <row r="100" spans="3:14">
      <c r="C100" s="20" t="s">
        <v>131</v>
      </c>
      <c r="D100" s="29">
        <v>3</v>
      </c>
      <c r="E100" s="19">
        <v>1</v>
      </c>
      <c r="F100" s="19">
        <v>0</v>
      </c>
      <c r="G100" s="19">
        <v>0</v>
      </c>
      <c r="H100" s="19">
        <v>0.75</v>
      </c>
      <c r="I100" s="19">
        <v>0</v>
      </c>
      <c r="J100" s="19">
        <v>1</v>
      </c>
      <c r="K100" s="19">
        <v>1</v>
      </c>
      <c r="L100" s="19">
        <v>0.75</v>
      </c>
      <c r="M100" s="16">
        <v>0.75</v>
      </c>
      <c r="N100" s="19">
        <v>1.75</v>
      </c>
    </row>
    <row r="101" spans="3:14">
      <c r="C101" s="20" t="s">
        <v>136</v>
      </c>
      <c r="D101" s="29">
        <v>1</v>
      </c>
      <c r="E101" s="19">
        <v>0</v>
      </c>
      <c r="F101" s="19">
        <v>0</v>
      </c>
      <c r="G101" s="19">
        <v>0</v>
      </c>
      <c r="H101" s="19">
        <v>1</v>
      </c>
      <c r="I101" s="19">
        <v>0</v>
      </c>
      <c r="J101" s="19">
        <v>0</v>
      </c>
      <c r="K101" s="19">
        <v>0</v>
      </c>
      <c r="L101" s="19">
        <v>0</v>
      </c>
      <c r="M101" s="16">
        <v>0</v>
      </c>
      <c r="N101" s="19">
        <v>0</v>
      </c>
    </row>
    <row r="102" spans="3:14">
      <c r="C102" s="20" t="s">
        <v>127</v>
      </c>
      <c r="D102" s="29">
        <v>2</v>
      </c>
      <c r="E102" s="19">
        <v>0</v>
      </c>
      <c r="F102" s="19">
        <v>0</v>
      </c>
      <c r="G102" s="19">
        <v>0</v>
      </c>
      <c r="H102" s="19">
        <v>0</v>
      </c>
      <c r="I102" s="19">
        <v>0</v>
      </c>
      <c r="J102" s="19">
        <v>0</v>
      </c>
      <c r="K102" s="19">
        <v>1</v>
      </c>
      <c r="L102" s="19">
        <v>0</v>
      </c>
      <c r="M102" s="16">
        <v>0</v>
      </c>
      <c r="N102" s="19">
        <v>1</v>
      </c>
    </row>
    <row r="103" spans="3:14">
      <c r="C103" s="20" t="s">
        <v>115</v>
      </c>
      <c r="D103" s="29">
        <v>4</v>
      </c>
      <c r="E103" s="19">
        <v>1</v>
      </c>
      <c r="F103" s="19">
        <v>0</v>
      </c>
      <c r="G103" s="19">
        <v>0</v>
      </c>
      <c r="H103" s="19">
        <v>0</v>
      </c>
      <c r="I103" s="19">
        <v>0</v>
      </c>
      <c r="J103" s="19">
        <v>0</v>
      </c>
      <c r="K103" s="19">
        <v>1</v>
      </c>
      <c r="L103" s="19">
        <v>1</v>
      </c>
      <c r="M103" s="16">
        <v>0</v>
      </c>
      <c r="N103" s="19">
        <v>1</v>
      </c>
    </row>
    <row r="104" spans="3:14">
      <c r="C104" s="20" t="s">
        <v>166</v>
      </c>
      <c r="D104" s="29">
        <v>1</v>
      </c>
      <c r="E104" s="19">
        <v>0</v>
      </c>
      <c r="F104" s="19">
        <v>0</v>
      </c>
      <c r="G104" s="19">
        <v>0</v>
      </c>
      <c r="H104" s="19">
        <v>1</v>
      </c>
      <c r="I104" s="19">
        <v>0</v>
      </c>
      <c r="J104" s="19">
        <v>0</v>
      </c>
      <c r="K104" s="19">
        <v>0</v>
      </c>
      <c r="L104" s="19">
        <v>0</v>
      </c>
      <c r="M104" s="16">
        <v>0</v>
      </c>
      <c r="N104" s="19">
        <v>1</v>
      </c>
    </row>
    <row r="105" spans="3:14">
      <c r="C105" s="20" t="s">
        <v>125</v>
      </c>
      <c r="D105" s="29">
        <v>2</v>
      </c>
      <c r="E105" s="19">
        <v>0</v>
      </c>
      <c r="F105" s="19">
        <v>0</v>
      </c>
      <c r="G105" s="19">
        <v>0</v>
      </c>
      <c r="H105" s="19">
        <v>0</v>
      </c>
      <c r="I105" s="19">
        <v>0</v>
      </c>
      <c r="J105" s="19">
        <v>0</v>
      </c>
      <c r="K105" s="19">
        <v>1</v>
      </c>
      <c r="L105" s="19">
        <v>0</v>
      </c>
      <c r="M105" s="16">
        <v>1</v>
      </c>
      <c r="N105" s="19">
        <v>0</v>
      </c>
    </row>
    <row r="106" spans="3:14">
      <c r="C106" s="20" t="s">
        <v>117</v>
      </c>
      <c r="D106" s="29">
        <v>8</v>
      </c>
      <c r="E106" s="19">
        <v>0</v>
      </c>
      <c r="F106" s="19">
        <v>1</v>
      </c>
      <c r="G106" s="19">
        <v>0</v>
      </c>
      <c r="H106" s="19">
        <v>1</v>
      </c>
      <c r="I106" s="19">
        <v>0</v>
      </c>
      <c r="J106" s="19">
        <v>0</v>
      </c>
      <c r="K106" s="19">
        <v>5</v>
      </c>
      <c r="L106" s="19">
        <v>0</v>
      </c>
      <c r="M106" s="16">
        <v>1</v>
      </c>
      <c r="N106" s="19">
        <v>1</v>
      </c>
    </row>
    <row r="107" spans="3:14">
      <c r="C107" s="20" t="s">
        <v>168</v>
      </c>
      <c r="D107" s="29">
        <v>2</v>
      </c>
      <c r="E107" s="19">
        <v>0</v>
      </c>
      <c r="F107" s="19">
        <v>0</v>
      </c>
      <c r="G107" s="19">
        <v>0</v>
      </c>
      <c r="H107" s="19">
        <v>1</v>
      </c>
      <c r="I107" s="19">
        <v>0</v>
      </c>
      <c r="J107" s="19">
        <v>1</v>
      </c>
      <c r="K107" s="19">
        <v>0</v>
      </c>
      <c r="L107" s="19">
        <v>0</v>
      </c>
      <c r="M107" s="16">
        <v>1</v>
      </c>
      <c r="N107" s="19">
        <v>0</v>
      </c>
    </row>
    <row r="108" spans="3:14">
      <c r="C108" s="20" t="s">
        <v>170</v>
      </c>
      <c r="D108" s="29">
        <v>1</v>
      </c>
      <c r="E108" s="19">
        <v>0</v>
      </c>
      <c r="F108" s="19">
        <v>0</v>
      </c>
      <c r="G108" s="19">
        <v>0</v>
      </c>
      <c r="H108" s="19">
        <v>0</v>
      </c>
      <c r="I108" s="19">
        <v>0</v>
      </c>
      <c r="J108" s="19">
        <v>0</v>
      </c>
      <c r="K108" s="19">
        <v>1</v>
      </c>
      <c r="L108" s="19">
        <v>0</v>
      </c>
      <c r="M108" s="16">
        <v>0</v>
      </c>
      <c r="N108" s="19">
        <v>0</v>
      </c>
    </row>
    <row r="109" spans="3:14">
      <c r="C109" s="20" t="s">
        <v>158</v>
      </c>
      <c r="D109" s="29">
        <v>4</v>
      </c>
      <c r="E109" s="19">
        <v>0</v>
      </c>
      <c r="F109" s="19">
        <v>0</v>
      </c>
      <c r="G109" s="19">
        <v>1</v>
      </c>
      <c r="H109" s="19">
        <v>0</v>
      </c>
      <c r="I109" s="19">
        <v>1</v>
      </c>
      <c r="J109" s="19">
        <v>0</v>
      </c>
      <c r="K109" s="19">
        <v>3</v>
      </c>
      <c r="L109" s="19">
        <v>0</v>
      </c>
      <c r="M109" s="16">
        <v>0</v>
      </c>
      <c r="N109" s="19">
        <v>1</v>
      </c>
    </row>
    <row r="110" spans="3:14">
      <c r="C110" s="20" t="s">
        <v>129</v>
      </c>
      <c r="D110" s="29">
        <v>3</v>
      </c>
      <c r="E110" s="19">
        <v>0</v>
      </c>
      <c r="F110" s="19">
        <v>0</v>
      </c>
      <c r="G110" s="19">
        <v>0</v>
      </c>
      <c r="H110" s="19">
        <v>0</v>
      </c>
      <c r="I110" s="19">
        <v>0</v>
      </c>
      <c r="J110" s="19">
        <v>0</v>
      </c>
      <c r="K110" s="19">
        <v>3</v>
      </c>
      <c r="L110" s="19">
        <v>0</v>
      </c>
      <c r="M110" s="16">
        <v>0</v>
      </c>
      <c r="N110" s="19">
        <v>0</v>
      </c>
    </row>
    <row r="111" spans="3:14">
      <c r="C111" s="20" t="s">
        <v>181</v>
      </c>
      <c r="D111" s="29">
        <v>4</v>
      </c>
      <c r="E111" s="19">
        <v>0</v>
      </c>
      <c r="F111" s="19">
        <v>0</v>
      </c>
      <c r="G111" s="19">
        <v>0</v>
      </c>
      <c r="H111" s="19">
        <v>0</v>
      </c>
      <c r="I111" s="19">
        <v>0</v>
      </c>
      <c r="J111" s="19">
        <v>1</v>
      </c>
      <c r="K111" s="19">
        <v>1</v>
      </c>
      <c r="L111" s="19">
        <v>1</v>
      </c>
      <c r="M111" s="16">
        <v>1</v>
      </c>
      <c r="N111" s="19">
        <v>2</v>
      </c>
    </row>
    <row r="112" spans="3:14">
      <c r="C112" s="20" t="s">
        <v>357</v>
      </c>
      <c r="D112" s="29">
        <v>3</v>
      </c>
      <c r="E112" s="19">
        <v>0</v>
      </c>
      <c r="F112" s="19">
        <v>1</v>
      </c>
      <c r="G112" s="19">
        <v>0</v>
      </c>
      <c r="H112" s="19">
        <v>0</v>
      </c>
      <c r="I112" s="19">
        <v>0</v>
      </c>
      <c r="J112" s="19">
        <v>0</v>
      </c>
      <c r="K112" s="19">
        <v>1</v>
      </c>
      <c r="L112" s="19">
        <v>0</v>
      </c>
      <c r="M112" s="16">
        <v>1</v>
      </c>
      <c r="N112" s="19">
        <v>2</v>
      </c>
    </row>
    <row r="113" spans="3:14">
      <c r="C113" s="20" t="s">
        <v>520</v>
      </c>
      <c r="D113" s="29">
        <v>3</v>
      </c>
      <c r="E113" s="19">
        <v>1</v>
      </c>
      <c r="F113" s="19">
        <v>0</v>
      </c>
      <c r="G113" s="19">
        <v>2</v>
      </c>
      <c r="H113" s="19">
        <v>1</v>
      </c>
      <c r="I113" s="19">
        <v>1</v>
      </c>
      <c r="J113" s="19">
        <v>3</v>
      </c>
      <c r="K113" s="19">
        <v>0</v>
      </c>
      <c r="L113" s="19">
        <v>0</v>
      </c>
      <c r="M113" s="16">
        <v>0</v>
      </c>
      <c r="N113" s="19">
        <v>1</v>
      </c>
    </row>
    <row r="114" spans="3:14">
      <c r="C114" s="20" t="s">
        <v>432</v>
      </c>
      <c r="D114" s="29">
        <v>1</v>
      </c>
      <c r="E114" s="19">
        <v>0</v>
      </c>
      <c r="F114" s="19">
        <v>0</v>
      </c>
      <c r="G114" s="19">
        <v>0</v>
      </c>
      <c r="H114" s="19">
        <v>0</v>
      </c>
      <c r="I114" s="19">
        <v>0</v>
      </c>
      <c r="J114" s="19">
        <v>1</v>
      </c>
      <c r="K114" s="19">
        <v>0</v>
      </c>
      <c r="L114" s="19">
        <v>0</v>
      </c>
      <c r="M114" s="16">
        <v>1</v>
      </c>
      <c r="N114" s="19">
        <v>1</v>
      </c>
    </row>
    <row r="115" spans="3:14">
      <c r="C115" s="20" t="s">
        <v>173</v>
      </c>
      <c r="D115" s="29">
        <v>19</v>
      </c>
      <c r="E115" s="19">
        <v>1</v>
      </c>
      <c r="F115" s="19">
        <v>0</v>
      </c>
      <c r="G115" s="19">
        <v>2</v>
      </c>
      <c r="H115" s="19">
        <v>8</v>
      </c>
      <c r="I115" s="19">
        <v>1</v>
      </c>
      <c r="J115" s="19">
        <v>2</v>
      </c>
      <c r="K115" s="19">
        <v>5</v>
      </c>
      <c r="L115" s="19">
        <v>1</v>
      </c>
      <c r="M115" s="16">
        <v>4</v>
      </c>
      <c r="N115" s="19">
        <v>2</v>
      </c>
    </row>
    <row r="116" spans="3:14">
      <c r="C116" s="20" t="s">
        <v>509</v>
      </c>
      <c r="D116" s="29">
        <v>1</v>
      </c>
      <c r="E116" s="19">
        <v>0</v>
      </c>
      <c r="F116" s="19">
        <v>0</v>
      </c>
      <c r="G116" s="19">
        <v>0</v>
      </c>
      <c r="H116" s="19">
        <v>0</v>
      </c>
      <c r="I116" s="19">
        <v>0</v>
      </c>
      <c r="J116" s="19">
        <v>1</v>
      </c>
      <c r="K116" s="19">
        <v>0</v>
      </c>
      <c r="L116" s="19">
        <v>0</v>
      </c>
      <c r="M116" s="16">
        <v>1</v>
      </c>
      <c r="N116" s="19">
        <v>1</v>
      </c>
    </row>
    <row r="117" spans="3:14">
      <c r="C117" s="20" t="s">
        <v>130</v>
      </c>
      <c r="D117" s="29">
        <v>4</v>
      </c>
      <c r="E117" s="19">
        <v>0</v>
      </c>
      <c r="F117" s="19">
        <v>0</v>
      </c>
      <c r="G117" s="19">
        <v>1</v>
      </c>
      <c r="H117" s="19">
        <v>1</v>
      </c>
      <c r="I117" s="19">
        <v>1</v>
      </c>
      <c r="J117" s="19">
        <v>0</v>
      </c>
      <c r="K117" s="19">
        <v>1</v>
      </c>
      <c r="L117" s="19">
        <v>1</v>
      </c>
      <c r="M117" s="16">
        <v>0</v>
      </c>
      <c r="N117" s="19">
        <v>1</v>
      </c>
    </row>
    <row r="118" spans="3:14">
      <c r="C118" s="20" t="s">
        <v>183</v>
      </c>
      <c r="D118" s="29">
        <v>5</v>
      </c>
      <c r="E118" s="19">
        <v>0</v>
      </c>
      <c r="F118" s="19">
        <v>0</v>
      </c>
      <c r="G118" s="19">
        <v>0</v>
      </c>
      <c r="H118" s="19">
        <v>0</v>
      </c>
      <c r="I118" s="19">
        <v>0</v>
      </c>
      <c r="J118" s="19">
        <v>2</v>
      </c>
      <c r="K118" s="19">
        <v>3</v>
      </c>
      <c r="L118" s="19">
        <v>0</v>
      </c>
      <c r="M118" s="16">
        <v>1</v>
      </c>
      <c r="N118" s="19">
        <v>1</v>
      </c>
    </row>
    <row r="119" spans="3:14">
      <c r="C119" s="20" t="s">
        <v>510</v>
      </c>
      <c r="D119" s="29">
        <v>1</v>
      </c>
      <c r="E119" s="19">
        <v>0</v>
      </c>
      <c r="F119" s="19">
        <v>0</v>
      </c>
      <c r="G119" s="19">
        <v>0</v>
      </c>
      <c r="H119" s="19">
        <v>0</v>
      </c>
      <c r="I119" s="19">
        <v>0</v>
      </c>
      <c r="J119" s="19">
        <v>0</v>
      </c>
      <c r="K119" s="19">
        <v>1</v>
      </c>
      <c r="L119" s="19">
        <v>0</v>
      </c>
      <c r="M119" s="16">
        <v>0</v>
      </c>
      <c r="N119" s="19">
        <v>0</v>
      </c>
    </row>
    <row r="120" spans="3:14">
      <c r="C120" s="20" t="s">
        <v>472</v>
      </c>
      <c r="D120" s="29">
        <v>1</v>
      </c>
      <c r="E120" s="19">
        <v>0</v>
      </c>
      <c r="F120" s="19">
        <v>0</v>
      </c>
      <c r="G120" s="19">
        <v>0</v>
      </c>
      <c r="H120" s="19">
        <v>1</v>
      </c>
      <c r="I120" s="19">
        <v>0</v>
      </c>
      <c r="J120" s="19">
        <v>0</v>
      </c>
      <c r="K120" s="19">
        <v>0</v>
      </c>
      <c r="L120" s="19">
        <v>1</v>
      </c>
      <c r="M120" s="16">
        <v>0</v>
      </c>
      <c r="N120" s="19">
        <v>0</v>
      </c>
    </row>
    <row r="121" spans="3:14">
      <c r="C121" s="20" t="s">
        <v>177</v>
      </c>
      <c r="D121" s="29">
        <v>5</v>
      </c>
      <c r="E121" s="19">
        <v>0</v>
      </c>
      <c r="F121" s="19">
        <v>0</v>
      </c>
      <c r="G121" s="19">
        <v>1</v>
      </c>
      <c r="H121" s="19">
        <v>1</v>
      </c>
      <c r="I121" s="19">
        <v>1</v>
      </c>
      <c r="J121" s="19">
        <v>2</v>
      </c>
      <c r="K121" s="19">
        <v>1</v>
      </c>
      <c r="L121" s="19">
        <v>2</v>
      </c>
      <c r="M121" s="16">
        <v>2</v>
      </c>
      <c r="N121" s="19">
        <v>1</v>
      </c>
    </row>
    <row r="122" spans="3:14">
      <c r="C122" s="20" t="s">
        <v>488</v>
      </c>
      <c r="D122" s="29">
        <v>1</v>
      </c>
      <c r="E122" s="19">
        <v>0</v>
      </c>
      <c r="F122" s="19">
        <v>0</v>
      </c>
      <c r="G122" s="19">
        <v>0</v>
      </c>
      <c r="H122" s="19">
        <v>0</v>
      </c>
      <c r="I122" s="19">
        <v>0</v>
      </c>
      <c r="J122" s="19">
        <v>0</v>
      </c>
      <c r="K122" s="19">
        <v>1</v>
      </c>
      <c r="L122" s="19">
        <v>0</v>
      </c>
      <c r="M122" s="16">
        <v>0</v>
      </c>
      <c r="N122" s="19">
        <v>0</v>
      </c>
    </row>
    <row r="123" spans="3:14">
      <c r="C123" s="20" t="s">
        <v>513</v>
      </c>
      <c r="D123" s="29">
        <v>2</v>
      </c>
      <c r="E123" s="19">
        <v>0</v>
      </c>
      <c r="F123" s="19">
        <v>0</v>
      </c>
      <c r="G123" s="19">
        <v>1</v>
      </c>
      <c r="H123" s="19">
        <v>0</v>
      </c>
      <c r="I123" s="19">
        <v>0</v>
      </c>
      <c r="J123" s="19">
        <v>2</v>
      </c>
      <c r="K123" s="19">
        <v>0</v>
      </c>
      <c r="L123" s="19">
        <v>1</v>
      </c>
      <c r="M123" s="16">
        <v>1</v>
      </c>
      <c r="N123" s="19">
        <v>0</v>
      </c>
    </row>
    <row r="124" spans="3:14">
      <c r="C124" s="20" t="s">
        <v>143</v>
      </c>
      <c r="D124" s="29">
        <v>2</v>
      </c>
      <c r="E124" s="19">
        <v>0</v>
      </c>
      <c r="F124" s="19">
        <v>0</v>
      </c>
      <c r="G124" s="19">
        <v>0</v>
      </c>
      <c r="H124" s="19">
        <v>0</v>
      </c>
      <c r="I124" s="19">
        <v>0</v>
      </c>
      <c r="J124" s="19">
        <v>1</v>
      </c>
      <c r="K124" s="19">
        <v>0</v>
      </c>
      <c r="L124" s="19">
        <v>0</v>
      </c>
      <c r="M124" s="16">
        <v>0</v>
      </c>
      <c r="N124" s="19">
        <v>1</v>
      </c>
    </row>
    <row r="125" spans="3:14">
      <c r="C125" s="20" t="s">
        <v>422</v>
      </c>
      <c r="D125" s="29">
        <v>1</v>
      </c>
      <c r="E125" s="19">
        <v>0</v>
      </c>
      <c r="F125" s="19">
        <v>0</v>
      </c>
      <c r="G125" s="19">
        <v>0</v>
      </c>
      <c r="H125" s="19">
        <v>0</v>
      </c>
      <c r="I125" s="19">
        <v>0</v>
      </c>
      <c r="J125" s="19">
        <v>1</v>
      </c>
      <c r="K125" s="19">
        <v>0</v>
      </c>
      <c r="L125" s="19">
        <v>0</v>
      </c>
      <c r="M125" s="16">
        <v>0</v>
      </c>
      <c r="N125" s="19">
        <v>0</v>
      </c>
    </row>
    <row r="126" spans="3:14">
      <c r="C126" s="20" t="s">
        <v>112</v>
      </c>
      <c r="D126" s="29">
        <v>3</v>
      </c>
      <c r="E126" s="19">
        <v>0</v>
      </c>
      <c r="F126" s="19">
        <v>0</v>
      </c>
      <c r="G126" s="19">
        <v>0</v>
      </c>
      <c r="H126" s="19">
        <v>1</v>
      </c>
      <c r="I126" s="19">
        <v>0</v>
      </c>
      <c r="J126" s="19">
        <v>1</v>
      </c>
      <c r="K126" s="19">
        <v>1</v>
      </c>
      <c r="L126" s="19">
        <v>0</v>
      </c>
      <c r="M126" s="16">
        <v>1</v>
      </c>
      <c r="N126" s="19">
        <v>1</v>
      </c>
    </row>
    <row r="127" spans="3:14">
      <c r="C127" s="20" t="s">
        <v>184</v>
      </c>
      <c r="D127" s="29">
        <v>9</v>
      </c>
      <c r="E127" s="19">
        <v>2</v>
      </c>
      <c r="F127" s="19">
        <v>0</v>
      </c>
      <c r="G127" s="19">
        <v>1</v>
      </c>
      <c r="H127" s="19">
        <v>2</v>
      </c>
      <c r="I127" s="19">
        <v>2</v>
      </c>
      <c r="J127" s="19">
        <v>3</v>
      </c>
      <c r="K127" s="19">
        <v>3</v>
      </c>
      <c r="L127" s="19">
        <v>0</v>
      </c>
      <c r="M127" s="16">
        <v>3</v>
      </c>
      <c r="N127" s="19">
        <v>4</v>
      </c>
    </row>
    <row r="128" spans="3:14">
      <c r="C128" s="20" t="s">
        <v>368</v>
      </c>
      <c r="D128" s="29">
        <v>11</v>
      </c>
      <c r="E128" s="19">
        <v>0</v>
      </c>
      <c r="F128" s="19">
        <v>0</v>
      </c>
      <c r="G128" s="19">
        <v>1</v>
      </c>
      <c r="H128" s="19">
        <v>1</v>
      </c>
      <c r="I128" s="19">
        <v>0</v>
      </c>
      <c r="J128" s="19">
        <v>2</v>
      </c>
      <c r="K128" s="19">
        <v>5</v>
      </c>
      <c r="L128" s="19">
        <v>0</v>
      </c>
      <c r="M128" s="16">
        <v>3</v>
      </c>
      <c r="N128" s="19">
        <v>3</v>
      </c>
    </row>
    <row r="129" spans="3:14">
      <c r="C129" s="20" t="s">
        <v>169</v>
      </c>
      <c r="D129" s="29">
        <v>1</v>
      </c>
      <c r="E129" s="19">
        <v>0</v>
      </c>
      <c r="F129" s="19">
        <v>0</v>
      </c>
      <c r="G129" s="19">
        <v>0</v>
      </c>
      <c r="H129" s="19">
        <v>0</v>
      </c>
      <c r="I129" s="19">
        <v>0</v>
      </c>
      <c r="J129" s="19">
        <v>0</v>
      </c>
      <c r="K129" s="19">
        <v>0</v>
      </c>
      <c r="L129" s="19">
        <v>0</v>
      </c>
      <c r="M129" s="16">
        <v>0</v>
      </c>
      <c r="N129" s="19">
        <v>1</v>
      </c>
    </row>
    <row r="130" spans="3:14">
      <c r="C130" s="20" t="s">
        <v>137</v>
      </c>
      <c r="D130" s="29">
        <v>1</v>
      </c>
      <c r="E130" s="19">
        <v>0</v>
      </c>
      <c r="F130" s="19">
        <v>0</v>
      </c>
      <c r="G130" s="19">
        <v>0</v>
      </c>
      <c r="H130" s="19">
        <v>0</v>
      </c>
      <c r="I130" s="19">
        <v>0</v>
      </c>
      <c r="J130" s="19">
        <v>0</v>
      </c>
      <c r="K130" s="19">
        <v>0</v>
      </c>
      <c r="L130" s="19">
        <v>0</v>
      </c>
      <c r="M130" s="16">
        <v>0</v>
      </c>
      <c r="N130" s="19">
        <v>0</v>
      </c>
    </row>
    <row r="131" spans="3:14">
      <c r="C131" s="20" t="s">
        <v>370</v>
      </c>
      <c r="D131" s="29">
        <v>2</v>
      </c>
      <c r="E131" s="19">
        <v>0</v>
      </c>
      <c r="F131" s="19">
        <v>0</v>
      </c>
      <c r="G131" s="19">
        <v>1</v>
      </c>
      <c r="H131" s="19">
        <v>0</v>
      </c>
      <c r="I131" s="19">
        <v>0</v>
      </c>
      <c r="J131" s="19">
        <v>0</v>
      </c>
      <c r="K131" s="19">
        <v>0</v>
      </c>
      <c r="L131" s="19">
        <v>0</v>
      </c>
      <c r="M131" s="16">
        <v>2</v>
      </c>
      <c r="N131" s="19">
        <v>1</v>
      </c>
    </row>
    <row r="132" spans="3:14">
      <c r="C132" s="20" t="s">
        <v>147</v>
      </c>
      <c r="D132" s="29">
        <v>3</v>
      </c>
      <c r="E132" s="19">
        <v>0</v>
      </c>
      <c r="F132" s="19">
        <v>1</v>
      </c>
      <c r="G132" s="19">
        <v>0</v>
      </c>
      <c r="H132" s="19">
        <v>0</v>
      </c>
      <c r="I132" s="19">
        <v>0</v>
      </c>
      <c r="J132" s="19">
        <v>3</v>
      </c>
      <c r="K132" s="19">
        <v>0</v>
      </c>
      <c r="L132" s="19">
        <v>1</v>
      </c>
      <c r="M132" s="16">
        <v>3</v>
      </c>
      <c r="N132" s="19">
        <v>0</v>
      </c>
    </row>
    <row r="133" spans="3:14">
      <c r="C133" s="20" t="s">
        <v>471</v>
      </c>
      <c r="D133" s="29">
        <v>1</v>
      </c>
      <c r="E133" s="19">
        <v>0</v>
      </c>
      <c r="F133" s="19">
        <v>1</v>
      </c>
      <c r="G133" s="19">
        <v>0</v>
      </c>
      <c r="H133" s="19">
        <v>0</v>
      </c>
      <c r="I133" s="19">
        <v>0</v>
      </c>
      <c r="J133" s="19">
        <v>0</v>
      </c>
      <c r="K133" s="19">
        <v>0</v>
      </c>
      <c r="L133" s="19">
        <v>0</v>
      </c>
      <c r="M133" s="16">
        <v>0</v>
      </c>
      <c r="N133" s="19">
        <v>0</v>
      </c>
    </row>
    <row r="134" spans="3:14">
      <c r="C134" s="20" t="s">
        <v>186</v>
      </c>
      <c r="D134" s="29">
        <v>11</v>
      </c>
      <c r="E134" s="19">
        <v>1</v>
      </c>
      <c r="F134" s="19">
        <v>1</v>
      </c>
      <c r="G134" s="19">
        <v>3</v>
      </c>
      <c r="H134" s="19">
        <v>0</v>
      </c>
      <c r="I134" s="19">
        <v>1</v>
      </c>
      <c r="J134" s="19">
        <v>6</v>
      </c>
      <c r="K134" s="19">
        <v>2</v>
      </c>
      <c r="L134" s="19">
        <v>0</v>
      </c>
      <c r="M134" s="16">
        <v>3</v>
      </c>
      <c r="N134" s="19">
        <v>4</v>
      </c>
    </row>
    <row r="135" spans="3:14">
      <c r="C135" s="20" t="s">
        <v>361</v>
      </c>
      <c r="D135" s="29">
        <v>2</v>
      </c>
      <c r="E135" s="19">
        <v>0</v>
      </c>
      <c r="F135" s="19">
        <v>0</v>
      </c>
      <c r="G135" s="19">
        <v>0</v>
      </c>
      <c r="H135" s="19">
        <v>0</v>
      </c>
      <c r="I135" s="19">
        <v>0</v>
      </c>
      <c r="J135" s="19">
        <v>0</v>
      </c>
      <c r="K135" s="19">
        <v>2</v>
      </c>
      <c r="L135" s="19">
        <v>0</v>
      </c>
      <c r="M135" s="16">
        <v>0</v>
      </c>
      <c r="N135" s="19">
        <v>1</v>
      </c>
    </row>
    <row r="136" spans="3:14">
      <c r="C136" s="20" t="s">
        <v>118</v>
      </c>
      <c r="D136" s="29">
        <v>2</v>
      </c>
      <c r="E136" s="19">
        <v>0</v>
      </c>
      <c r="F136" s="19">
        <v>0</v>
      </c>
      <c r="G136" s="19">
        <v>0</v>
      </c>
      <c r="H136" s="19">
        <v>0</v>
      </c>
      <c r="I136" s="19">
        <v>0</v>
      </c>
      <c r="J136" s="19">
        <v>0</v>
      </c>
      <c r="K136" s="19">
        <v>1</v>
      </c>
      <c r="L136" s="19">
        <v>0</v>
      </c>
      <c r="M136" s="16">
        <v>2</v>
      </c>
      <c r="N136" s="19">
        <v>1</v>
      </c>
    </row>
    <row r="137" spans="3:14">
      <c r="C137" s="20" t="s">
        <v>151</v>
      </c>
      <c r="D137" s="29">
        <v>4</v>
      </c>
      <c r="E137" s="19">
        <v>1</v>
      </c>
      <c r="F137" s="19">
        <v>2</v>
      </c>
      <c r="G137" s="19">
        <v>1</v>
      </c>
      <c r="H137" s="19">
        <v>2</v>
      </c>
      <c r="I137" s="19">
        <v>0</v>
      </c>
      <c r="J137" s="19">
        <v>0</v>
      </c>
      <c r="K137" s="19">
        <v>1</v>
      </c>
      <c r="L137" s="19">
        <v>1</v>
      </c>
      <c r="M137" s="16">
        <v>0</v>
      </c>
      <c r="N137" s="19">
        <v>2</v>
      </c>
    </row>
    <row r="138" spans="3:14">
      <c r="C138" s="20" t="s">
        <v>358</v>
      </c>
      <c r="D138" s="29">
        <v>3</v>
      </c>
      <c r="E138" s="19">
        <v>0</v>
      </c>
      <c r="F138" s="19">
        <v>0</v>
      </c>
      <c r="G138" s="19">
        <v>0</v>
      </c>
      <c r="H138" s="19">
        <v>0</v>
      </c>
      <c r="I138" s="19">
        <v>1</v>
      </c>
      <c r="J138" s="19">
        <v>1</v>
      </c>
      <c r="K138" s="19">
        <v>1</v>
      </c>
      <c r="L138" s="19">
        <v>1</v>
      </c>
      <c r="M138" s="16">
        <v>0</v>
      </c>
      <c r="N138" s="19">
        <v>0</v>
      </c>
    </row>
    <row r="139" spans="3:14">
      <c r="C139" s="20" t="s">
        <v>162</v>
      </c>
      <c r="D139" s="29">
        <v>1</v>
      </c>
      <c r="E139" s="19">
        <v>0</v>
      </c>
      <c r="F139" s="19">
        <v>1</v>
      </c>
      <c r="G139" s="19">
        <v>0</v>
      </c>
      <c r="H139" s="19">
        <v>0</v>
      </c>
      <c r="I139" s="19">
        <v>0</v>
      </c>
      <c r="J139" s="19">
        <v>1</v>
      </c>
      <c r="K139" s="19">
        <v>0</v>
      </c>
      <c r="L139" s="19">
        <v>0</v>
      </c>
      <c r="M139" s="16">
        <v>0</v>
      </c>
      <c r="N139" s="19">
        <v>1</v>
      </c>
    </row>
    <row r="140" spans="3:14">
      <c r="C140" s="20" t="s">
        <v>459</v>
      </c>
      <c r="D140" s="29">
        <v>1</v>
      </c>
      <c r="E140" s="19">
        <v>0</v>
      </c>
      <c r="F140" s="19">
        <v>0</v>
      </c>
      <c r="G140" s="19">
        <v>0</v>
      </c>
      <c r="H140" s="19">
        <v>0</v>
      </c>
      <c r="I140" s="19">
        <v>0</v>
      </c>
      <c r="J140" s="19">
        <v>0</v>
      </c>
      <c r="K140" s="19">
        <v>1</v>
      </c>
      <c r="L140" s="19">
        <v>0</v>
      </c>
      <c r="M140" s="16">
        <v>0</v>
      </c>
      <c r="N140" s="19">
        <v>0</v>
      </c>
    </row>
    <row r="141" spans="3:14">
      <c r="C141" s="20" t="s">
        <v>164</v>
      </c>
      <c r="D141" s="29">
        <v>39</v>
      </c>
      <c r="E141" s="19">
        <v>5</v>
      </c>
      <c r="F141" s="19">
        <v>3</v>
      </c>
      <c r="G141" s="19">
        <v>4</v>
      </c>
      <c r="H141" s="19">
        <v>6</v>
      </c>
      <c r="I141" s="19">
        <v>7</v>
      </c>
      <c r="J141" s="19">
        <v>18</v>
      </c>
      <c r="K141" s="19">
        <v>4</v>
      </c>
      <c r="L141" s="19">
        <v>4</v>
      </c>
      <c r="M141" s="16">
        <v>14</v>
      </c>
      <c r="N141" s="19">
        <v>17</v>
      </c>
    </row>
    <row r="142" spans="3:14">
      <c r="C142" s="20" t="s">
        <v>430</v>
      </c>
      <c r="D142" s="29">
        <v>1</v>
      </c>
      <c r="E142" s="19">
        <v>0</v>
      </c>
      <c r="F142" s="19">
        <v>0</v>
      </c>
      <c r="G142" s="19">
        <v>0</v>
      </c>
      <c r="H142" s="19">
        <v>0</v>
      </c>
      <c r="I142" s="19">
        <v>1</v>
      </c>
      <c r="J142" s="19">
        <v>1</v>
      </c>
      <c r="K142" s="19">
        <v>0</v>
      </c>
      <c r="L142" s="19">
        <v>1</v>
      </c>
      <c r="M142" s="16">
        <v>0</v>
      </c>
      <c r="N142" s="19">
        <v>0</v>
      </c>
    </row>
    <row r="143" spans="3:14">
      <c r="C143" s="20" t="s">
        <v>160</v>
      </c>
      <c r="D143" s="29">
        <v>3</v>
      </c>
      <c r="E143" s="19">
        <v>0</v>
      </c>
      <c r="F143" s="19">
        <v>0</v>
      </c>
      <c r="G143" s="19">
        <v>1</v>
      </c>
      <c r="H143" s="19">
        <v>1</v>
      </c>
      <c r="I143" s="19">
        <v>0</v>
      </c>
      <c r="J143" s="19">
        <v>0</v>
      </c>
      <c r="K143" s="19">
        <v>0</v>
      </c>
      <c r="L143" s="19">
        <v>1</v>
      </c>
      <c r="M143" s="16">
        <v>2</v>
      </c>
      <c r="N143" s="19">
        <v>2</v>
      </c>
    </row>
    <row r="144" spans="3:14">
      <c r="C144" s="20" t="s">
        <v>441</v>
      </c>
      <c r="D144" s="29">
        <v>1</v>
      </c>
      <c r="E144" s="19">
        <v>1</v>
      </c>
      <c r="F144" s="19">
        <v>0</v>
      </c>
      <c r="G144" s="19">
        <v>0</v>
      </c>
      <c r="H144" s="19">
        <v>0</v>
      </c>
      <c r="I144" s="19">
        <v>0</v>
      </c>
      <c r="J144" s="19">
        <v>0</v>
      </c>
      <c r="K144" s="19">
        <v>0</v>
      </c>
      <c r="L144" s="19">
        <v>0</v>
      </c>
      <c r="M144" s="16">
        <v>0</v>
      </c>
      <c r="N144" s="19">
        <v>0</v>
      </c>
    </row>
    <row r="145" spans="3:14">
      <c r="C145" s="20" t="s">
        <v>138</v>
      </c>
      <c r="D145" s="29">
        <v>3</v>
      </c>
      <c r="E145" s="19">
        <v>1</v>
      </c>
      <c r="F145" s="19">
        <v>1</v>
      </c>
      <c r="G145" s="19">
        <v>0</v>
      </c>
      <c r="H145" s="19">
        <v>1</v>
      </c>
      <c r="I145" s="19">
        <v>0</v>
      </c>
      <c r="J145" s="19">
        <v>0</v>
      </c>
      <c r="K145" s="19">
        <v>1</v>
      </c>
      <c r="L145" s="19">
        <v>0</v>
      </c>
      <c r="M145" s="16">
        <v>1</v>
      </c>
      <c r="N145" s="19">
        <v>0</v>
      </c>
    </row>
    <row r="146" spans="3:14">
      <c r="C146" s="20" t="s">
        <v>120</v>
      </c>
      <c r="D146" s="29">
        <v>3</v>
      </c>
      <c r="E146" s="19">
        <v>1</v>
      </c>
      <c r="F146" s="19">
        <v>0</v>
      </c>
      <c r="G146" s="19">
        <v>0</v>
      </c>
      <c r="H146" s="19">
        <v>1</v>
      </c>
      <c r="I146" s="19">
        <v>0</v>
      </c>
      <c r="J146" s="19">
        <v>1</v>
      </c>
      <c r="K146" s="19">
        <v>0</v>
      </c>
      <c r="L146" s="19">
        <v>1</v>
      </c>
      <c r="M146" s="16">
        <v>1</v>
      </c>
      <c r="N146" s="19">
        <v>1</v>
      </c>
    </row>
    <row r="147" spans="3:14">
      <c r="C147" s="20" t="s">
        <v>123</v>
      </c>
      <c r="D147" s="29">
        <v>2</v>
      </c>
      <c r="E147" s="19">
        <v>0</v>
      </c>
      <c r="F147" s="19">
        <v>1</v>
      </c>
      <c r="G147" s="19">
        <v>1</v>
      </c>
      <c r="H147" s="19">
        <v>0</v>
      </c>
      <c r="I147" s="19">
        <v>0</v>
      </c>
      <c r="J147" s="19">
        <v>0</v>
      </c>
      <c r="K147" s="19">
        <v>0</v>
      </c>
      <c r="L147" s="19">
        <v>0</v>
      </c>
      <c r="M147" s="16">
        <v>0</v>
      </c>
      <c r="N147" s="19">
        <v>1</v>
      </c>
    </row>
    <row r="148" spans="3:14">
      <c r="C148" s="20" t="s">
        <v>359</v>
      </c>
      <c r="D148" s="29">
        <v>1</v>
      </c>
      <c r="E148" s="19">
        <v>0</v>
      </c>
      <c r="F148" s="19">
        <v>0</v>
      </c>
      <c r="G148" s="19">
        <v>0</v>
      </c>
      <c r="H148" s="19">
        <v>0</v>
      </c>
      <c r="I148" s="19">
        <v>0</v>
      </c>
      <c r="J148" s="19">
        <v>1</v>
      </c>
      <c r="K148" s="19">
        <v>0</v>
      </c>
      <c r="L148" s="19">
        <v>0</v>
      </c>
      <c r="M148" s="16">
        <v>0</v>
      </c>
      <c r="N148" s="19">
        <v>0</v>
      </c>
    </row>
    <row r="149" spans="3:14">
      <c r="C149" s="20" t="s">
        <v>122</v>
      </c>
      <c r="D149" s="29">
        <v>2</v>
      </c>
      <c r="E149" s="19">
        <v>0</v>
      </c>
      <c r="F149" s="19">
        <v>0</v>
      </c>
      <c r="G149" s="19">
        <v>0</v>
      </c>
      <c r="H149" s="19">
        <v>1</v>
      </c>
      <c r="I149" s="19">
        <v>0</v>
      </c>
      <c r="J149" s="19">
        <v>0</v>
      </c>
      <c r="K149" s="19">
        <v>1</v>
      </c>
      <c r="L149" s="19">
        <v>0</v>
      </c>
      <c r="M149" s="16">
        <v>1</v>
      </c>
      <c r="N149" s="19">
        <v>0</v>
      </c>
    </row>
    <row r="150" spans="3:14">
      <c r="C150" s="20" t="s">
        <v>152</v>
      </c>
      <c r="D150" s="29">
        <v>3</v>
      </c>
      <c r="E150" s="19">
        <v>0</v>
      </c>
      <c r="F150" s="19">
        <v>1.75</v>
      </c>
      <c r="G150" s="19">
        <v>1.75</v>
      </c>
      <c r="H150" s="19">
        <v>0.75</v>
      </c>
      <c r="I150" s="19">
        <v>0</v>
      </c>
      <c r="J150" s="19">
        <v>1</v>
      </c>
      <c r="K150" s="19">
        <v>0</v>
      </c>
      <c r="L150" s="19">
        <v>0</v>
      </c>
      <c r="M150" s="16">
        <v>1</v>
      </c>
      <c r="N150" s="19">
        <v>2.75</v>
      </c>
    </row>
    <row r="151" spans="3:14">
      <c r="C151" s="20" t="s">
        <v>476</v>
      </c>
      <c r="D151" s="29">
        <v>1</v>
      </c>
      <c r="E151" s="19">
        <v>0</v>
      </c>
      <c r="F151" s="19">
        <v>0</v>
      </c>
      <c r="G151" s="19">
        <v>0</v>
      </c>
      <c r="H151" s="19">
        <v>0</v>
      </c>
      <c r="I151" s="19">
        <v>0</v>
      </c>
      <c r="J151" s="19">
        <v>0</v>
      </c>
      <c r="K151" s="19">
        <v>1</v>
      </c>
      <c r="L151" s="19">
        <v>0</v>
      </c>
      <c r="M151" s="16">
        <v>0</v>
      </c>
      <c r="N151" s="19">
        <v>0</v>
      </c>
    </row>
    <row r="152" spans="3:14">
      <c r="C152" s="20" t="s">
        <v>165</v>
      </c>
      <c r="D152" s="29">
        <v>12</v>
      </c>
      <c r="E152" s="19">
        <v>0</v>
      </c>
      <c r="F152" s="19">
        <v>3</v>
      </c>
      <c r="G152" s="19">
        <v>1</v>
      </c>
      <c r="H152" s="19">
        <v>3</v>
      </c>
      <c r="I152" s="19">
        <v>0</v>
      </c>
      <c r="J152" s="19">
        <v>0</v>
      </c>
      <c r="K152" s="19">
        <v>4</v>
      </c>
      <c r="L152" s="19">
        <v>0</v>
      </c>
      <c r="M152" s="16">
        <v>2</v>
      </c>
      <c r="N152" s="19">
        <v>1</v>
      </c>
    </row>
    <row r="153" spans="3:14">
      <c r="C153" s="20" t="s">
        <v>360</v>
      </c>
      <c r="D153" s="29">
        <v>1</v>
      </c>
      <c r="E153" s="19">
        <v>0</v>
      </c>
      <c r="F153" s="19">
        <v>0</v>
      </c>
      <c r="G153" s="19">
        <v>1</v>
      </c>
      <c r="H153" s="19">
        <v>0</v>
      </c>
      <c r="I153" s="19">
        <v>0</v>
      </c>
      <c r="J153" s="19">
        <v>0</v>
      </c>
      <c r="K153" s="19">
        <v>1</v>
      </c>
      <c r="L153" s="19">
        <v>0</v>
      </c>
      <c r="M153" s="16">
        <v>0</v>
      </c>
      <c r="N153" s="19">
        <v>0</v>
      </c>
    </row>
    <row r="154" spans="3:14">
      <c r="C154" s="20" t="s">
        <v>114</v>
      </c>
      <c r="D154" s="29">
        <v>6</v>
      </c>
      <c r="E154" s="19">
        <v>2</v>
      </c>
      <c r="F154" s="19">
        <v>0</v>
      </c>
      <c r="G154" s="19">
        <v>1</v>
      </c>
      <c r="H154" s="19">
        <v>0</v>
      </c>
      <c r="I154" s="19">
        <v>0</v>
      </c>
      <c r="J154" s="19">
        <v>1</v>
      </c>
      <c r="K154" s="19">
        <v>1</v>
      </c>
      <c r="L154" s="19">
        <v>0</v>
      </c>
      <c r="M154" s="16">
        <v>1</v>
      </c>
      <c r="N154" s="19">
        <v>3</v>
      </c>
    </row>
    <row r="155" spans="3:14">
      <c r="C155" s="20" t="s">
        <v>110</v>
      </c>
      <c r="D155" s="29">
        <v>4</v>
      </c>
      <c r="E155" s="19">
        <v>0</v>
      </c>
      <c r="F155" s="19">
        <v>0</v>
      </c>
      <c r="G155" s="19">
        <v>1</v>
      </c>
      <c r="H155" s="19">
        <v>0</v>
      </c>
      <c r="I155" s="19">
        <v>0</v>
      </c>
      <c r="J155" s="19">
        <v>0</v>
      </c>
      <c r="K155" s="19">
        <v>1</v>
      </c>
      <c r="L155" s="19">
        <v>0</v>
      </c>
      <c r="M155" s="16">
        <v>1</v>
      </c>
      <c r="N155" s="19">
        <v>2</v>
      </c>
    </row>
    <row r="156" spans="3:14">
      <c r="C156" s="20" t="s">
        <v>512</v>
      </c>
      <c r="D156" s="29">
        <v>1</v>
      </c>
      <c r="E156" s="19">
        <v>0</v>
      </c>
      <c r="F156" s="19">
        <v>1</v>
      </c>
      <c r="G156" s="19">
        <v>0</v>
      </c>
      <c r="H156" s="19">
        <v>0</v>
      </c>
      <c r="I156" s="19">
        <v>0</v>
      </c>
      <c r="J156" s="19">
        <v>0</v>
      </c>
      <c r="K156" s="19">
        <v>0</v>
      </c>
      <c r="L156" s="19">
        <v>0</v>
      </c>
      <c r="M156" s="16">
        <v>0</v>
      </c>
      <c r="N156" s="19">
        <v>0</v>
      </c>
    </row>
    <row r="157" spans="3:14">
      <c r="C157" s="20" t="s">
        <v>518</v>
      </c>
      <c r="D157" s="29">
        <v>1</v>
      </c>
      <c r="E157" s="19">
        <v>0</v>
      </c>
      <c r="F157" s="19">
        <v>1</v>
      </c>
      <c r="G157" s="19">
        <v>0</v>
      </c>
      <c r="H157" s="19">
        <v>0</v>
      </c>
      <c r="I157" s="19">
        <v>0</v>
      </c>
      <c r="J157" s="19">
        <v>0</v>
      </c>
      <c r="K157" s="19">
        <v>0</v>
      </c>
      <c r="L157" s="19">
        <v>0</v>
      </c>
      <c r="M157" s="16">
        <v>0</v>
      </c>
      <c r="N157" s="19">
        <v>0</v>
      </c>
    </row>
    <row r="158" spans="3:14">
      <c r="C158" s="20" t="s">
        <v>180</v>
      </c>
      <c r="D158" s="29">
        <v>1</v>
      </c>
      <c r="E158" s="19">
        <v>0</v>
      </c>
      <c r="F158" s="19">
        <v>0</v>
      </c>
      <c r="G158" s="19">
        <v>0</v>
      </c>
      <c r="H158" s="19">
        <v>0</v>
      </c>
      <c r="I158" s="19">
        <v>0</v>
      </c>
      <c r="J158" s="19">
        <v>0</v>
      </c>
      <c r="K158" s="19">
        <v>1</v>
      </c>
      <c r="L158" s="19">
        <v>0</v>
      </c>
      <c r="M158" s="16">
        <v>0</v>
      </c>
      <c r="N158" s="19">
        <v>0</v>
      </c>
    </row>
    <row r="159" spans="3:14">
      <c r="C159" s="25" t="s">
        <v>279</v>
      </c>
      <c r="D159" s="32">
        <v>529</v>
      </c>
      <c r="E159" s="26">
        <v>58.35</v>
      </c>
      <c r="F159" s="26">
        <v>57</v>
      </c>
      <c r="G159" s="26">
        <v>72</v>
      </c>
      <c r="H159" s="26">
        <v>82.35</v>
      </c>
      <c r="I159" s="26">
        <v>58</v>
      </c>
      <c r="J159" s="26">
        <v>130.5</v>
      </c>
      <c r="K159" s="26">
        <v>142.6</v>
      </c>
      <c r="L159" s="26">
        <v>45.5</v>
      </c>
      <c r="M159" s="27">
        <v>121.6</v>
      </c>
      <c r="N159" s="26">
        <v>143.5</v>
      </c>
    </row>
  </sheetData>
  <mergeCells count="2">
    <mergeCell ref="A1:O1"/>
    <mergeCell ref="A2:B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workbookViewId="0">
      <pane xSplit="3" ySplit="12" topLeftCell="D13" activePane="bottomRight" state="frozen"/>
      <selection pane="topRight" activeCell="D1" sqref="D1"/>
      <selection pane="bottomLeft" activeCell="A13" sqref="A13"/>
      <selection pane="bottomRight" activeCell="A3" sqref="A3"/>
    </sheetView>
  </sheetViews>
  <sheetFormatPr defaultRowHeight="14.5"/>
  <cols>
    <col min="2" max="2" width="29.7265625" customWidth="1"/>
    <col min="3" max="3" width="24.81640625" customWidth="1"/>
    <col min="4" max="4" width="19.6328125" customWidth="1"/>
    <col min="5" max="5" width="16" customWidth="1"/>
    <col min="6" max="6" width="33.08984375" customWidth="1"/>
    <col min="7" max="7" width="20.1796875" customWidth="1"/>
    <col min="8" max="8" width="15.90625" customWidth="1"/>
    <col min="9" max="9" width="20.08984375" customWidth="1"/>
    <col min="10" max="10" width="17.54296875" customWidth="1"/>
    <col min="11" max="11" width="19.81640625" customWidth="1"/>
    <col min="12" max="12" width="21.54296875" customWidth="1"/>
    <col min="13" max="13" width="13.36328125" customWidth="1"/>
    <col min="14" max="14" width="25.26953125" customWidth="1"/>
    <col min="15" max="15" width="13.54296875" customWidth="1"/>
    <col min="16" max="17" width="19.453125" customWidth="1"/>
  </cols>
  <sheetData>
    <row r="1" spans="1:17" ht="35">
      <c r="A1" s="201" t="s">
        <v>3</v>
      </c>
      <c r="B1" s="201"/>
      <c r="C1" s="201"/>
      <c r="D1" s="201"/>
      <c r="E1" s="201"/>
      <c r="F1" s="201"/>
      <c r="G1" s="201"/>
      <c r="H1" s="201"/>
      <c r="I1" s="201"/>
      <c r="J1" s="201"/>
      <c r="K1" s="201"/>
      <c r="L1" s="201"/>
      <c r="M1" s="201"/>
      <c r="N1" s="201"/>
      <c r="O1" s="201"/>
      <c r="P1" s="201"/>
      <c r="Q1" s="201"/>
    </row>
    <row r="2" spans="1:17" ht="16">
      <c r="A2" s="202" t="s">
        <v>544</v>
      </c>
      <c r="B2" s="202"/>
    </row>
    <row r="13" spans="1:17">
      <c r="C13" s="17" t="s">
        <v>288</v>
      </c>
      <c r="D13" s="5" t="s">
        <v>280</v>
      </c>
      <c r="E13" s="5" t="s">
        <v>299</v>
      </c>
      <c r="F13" s="5" t="s">
        <v>300</v>
      </c>
      <c r="G13" s="5" t="s">
        <v>301</v>
      </c>
      <c r="H13" s="5" t="s">
        <v>302</v>
      </c>
      <c r="I13" s="5" t="s">
        <v>303</v>
      </c>
      <c r="J13" s="5" t="s">
        <v>304</v>
      </c>
      <c r="K13" s="5" t="s">
        <v>305</v>
      </c>
      <c r="L13" s="5" t="s">
        <v>306</v>
      </c>
      <c r="M13" s="5" t="s">
        <v>307</v>
      </c>
      <c r="N13" s="5" t="s">
        <v>308</v>
      </c>
      <c r="O13" s="5" t="s">
        <v>37</v>
      </c>
      <c r="P13" s="15" t="s">
        <v>309</v>
      </c>
    </row>
    <row r="14" spans="1:17">
      <c r="C14" s="20" t="s">
        <v>477</v>
      </c>
      <c r="D14" s="29">
        <v>23</v>
      </c>
      <c r="E14" s="19">
        <v>5</v>
      </c>
      <c r="F14" s="19">
        <v>1</v>
      </c>
      <c r="G14" s="19">
        <v>7.75</v>
      </c>
      <c r="H14" s="19">
        <v>4.75</v>
      </c>
      <c r="I14" s="19">
        <v>4.75</v>
      </c>
      <c r="J14" s="19">
        <v>3</v>
      </c>
      <c r="K14" s="19">
        <v>1</v>
      </c>
      <c r="L14" s="19">
        <v>1</v>
      </c>
      <c r="M14" s="19">
        <v>2</v>
      </c>
      <c r="N14" s="19">
        <v>2</v>
      </c>
      <c r="O14" s="19">
        <v>4</v>
      </c>
      <c r="P14" s="16">
        <v>5.75</v>
      </c>
    </row>
    <row r="15" spans="1:17">
      <c r="C15" s="20" t="s">
        <v>530</v>
      </c>
      <c r="D15" s="29">
        <v>2</v>
      </c>
      <c r="E15" s="19">
        <v>0</v>
      </c>
      <c r="F15" s="19">
        <v>0</v>
      </c>
      <c r="G15" s="19">
        <v>0</v>
      </c>
      <c r="H15" s="19">
        <v>0</v>
      </c>
      <c r="I15" s="19">
        <v>2</v>
      </c>
      <c r="J15" s="19">
        <v>0</v>
      </c>
      <c r="K15" s="19">
        <v>0</v>
      </c>
      <c r="L15" s="19">
        <v>0</v>
      </c>
      <c r="M15" s="19">
        <v>1</v>
      </c>
      <c r="N15" s="19">
        <v>1</v>
      </c>
      <c r="O15" s="19">
        <v>0</v>
      </c>
      <c r="P15" s="16">
        <v>0</v>
      </c>
    </row>
    <row r="16" spans="1:17">
      <c r="C16" s="20" t="s">
        <v>531</v>
      </c>
      <c r="D16" s="29">
        <v>1</v>
      </c>
      <c r="E16" s="19">
        <v>0</v>
      </c>
      <c r="F16" s="19">
        <v>0</v>
      </c>
      <c r="G16" s="19">
        <v>1</v>
      </c>
      <c r="H16" s="19">
        <v>0</v>
      </c>
      <c r="I16" s="19">
        <v>0</v>
      </c>
      <c r="J16" s="19">
        <v>0</v>
      </c>
      <c r="K16" s="19">
        <v>0</v>
      </c>
      <c r="L16" s="19">
        <v>1</v>
      </c>
      <c r="M16" s="19">
        <v>0</v>
      </c>
      <c r="N16" s="19">
        <v>0</v>
      </c>
      <c r="O16" s="19">
        <v>0</v>
      </c>
      <c r="P16" s="16">
        <v>1</v>
      </c>
    </row>
    <row r="17" spans="3:16">
      <c r="C17" s="20" t="s">
        <v>532</v>
      </c>
      <c r="D17" s="29">
        <v>1</v>
      </c>
      <c r="E17" s="19">
        <v>0</v>
      </c>
      <c r="F17" s="19">
        <v>1</v>
      </c>
      <c r="G17" s="19">
        <v>0</v>
      </c>
      <c r="H17" s="19">
        <v>0</v>
      </c>
      <c r="I17" s="19">
        <v>1</v>
      </c>
      <c r="J17" s="19">
        <v>0</v>
      </c>
      <c r="K17" s="19">
        <v>0</v>
      </c>
      <c r="L17" s="19">
        <v>1</v>
      </c>
      <c r="M17" s="19">
        <v>0</v>
      </c>
      <c r="N17" s="19">
        <v>0</v>
      </c>
      <c r="O17" s="19">
        <v>0</v>
      </c>
      <c r="P17" s="16">
        <v>0</v>
      </c>
    </row>
    <row r="18" spans="3:16">
      <c r="C18" s="20" t="s">
        <v>533</v>
      </c>
      <c r="D18" s="29">
        <v>1</v>
      </c>
      <c r="E18" s="19">
        <v>0</v>
      </c>
      <c r="F18" s="19">
        <v>1</v>
      </c>
      <c r="G18" s="19">
        <v>0</v>
      </c>
      <c r="H18" s="19">
        <v>0</v>
      </c>
      <c r="I18" s="19">
        <v>0</v>
      </c>
      <c r="J18" s="19">
        <v>0</v>
      </c>
      <c r="K18" s="19">
        <v>0</v>
      </c>
      <c r="L18" s="19">
        <v>0</v>
      </c>
      <c r="M18" s="19">
        <v>0</v>
      </c>
      <c r="N18" s="19">
        <v>0</v>
      </c>
      <c r="O18" s="19">
        <v>0</v>
      </c>
      <c r="P18" s="16">
        <v>0</v>
      </c>
    </row>
    <row r="19" spans="3:16">
      <c r="C19" s="20" t="s">
        <v>534</v>
      </c>
      <c r="D19" s="29">
        <v>1</v>
      </c>
      <c r="E19" s="19">
        <v>0</v>
      </c>
      <c r="F19" s="19">
        <v>0</v>
      </c>
      <c r="G19" s="19">
        <v>0</v>
      </c>
      <c r="H19" s="19">
        <v>1</v>
      </c>
      <c r="I19" s="19">
        <v>0</v>
      </c>
      <c r="J19" s="19">
        <v>1</v>
      </c>
      <c r="K19" s="19">
        <v>0</v>
      </c>
      <c r="L19" s="19">
        <v>1</v>
      </c>
      <c r="M19" s="19">
        <v>0</v>
      </c>
      <c r="N19" s="19">
        <v>0</v>
      </c>
      <c r="O19" s="19">
        <v>0</v>
      </c>
      <c r="P19" s="16">
        <v>0</v>
      </c>
    </row>
    <row r="20" spans="3:16">
      <c r="C20" s="20" t="s">
        <v>535</v>
      </c>
      <c r="D20" s="29">
        <v>1</v>
      </c>
      <c r="E20" s="19">
        <v>0</v>
      </c>
      <c r="F20" s="19">
        <v>0</v>
      </c>
      <c r="G20" s="19">
        <v>0.75</v>
      </c>
      <c r="H20" s="19">
        <v>0</v>
      </c>
      <c r="I20" s="19">
        <v>0.75</v>
      </c>
      <c r="J20" s="19">
        <v>0</v>
      </c>
      <c r="K20" s="19">
        <v>0.75</v>
      </c>
      <c r="L20" s="19">
        <v>0</v>
      </c>
      <c r="M20" s="19">
        <v>0</v>
      </c>
      <c r="N20" s="19">
        <v>0</v>
      </c>
      <c r="O20" s="19">
        <v>0</v>
      </c>
      <c r="P20" s="16">
        <v>0.75</v>
      </c>
    </row>
    <row r="21" spans="3:16">
      <c r="C21" s="20" t="s">
        <v>536</v>
      </c>
      <c r="D21" s="29">
        <v>2</v>
      </c>
      <c r="E21" s="19">
        <v>1</v>
      </c>
      <c r="F21" s="19">
        <v>1</v>
      </c>
      <c r="G21" s="19">
        <v>1</v>
      </c>
      <c r="H21" s="19">
        <v>0</v>
      </c>
      <c r="I21" s="19">
        <v>1</v>
      </c>
      <c r="J21" s="19">
        <v>0</v>
      </c>
      <c r="K21" s="19">
        <v>1</v>
      </c>
      <c r="L21" s="19">
        <v>0</v>
      </c>
      <c r="M21" s="19">
        <v>0</v>
      </c>
      <c r="N21" s="19">
        <v>0</v>
      </c>
      <c r="O21" s="19">
        <v>0</v>
      </c>
      <c r="P21" s="16">
        <v>1</v>
      </c>
    </row>
    <row r="22" spans="3:16">
      <c r="C22" s="20" t="s">
        <v>537</v>
      </c>
      <c r="D22" s="29">
        <v>1</v>
      </c>
      <c r="E22" s="19">
        <v>1</v>
      </c>
      <c r="F22" s="19">
        <v>0</v>
      </c>
      <c r="G22" s="19">
        <v>1</v>
      </c>
      <c r="H22" s="19">
        <v>1</v>
      </c>
      <c r="I22" s="19">
        <v>0</v>
      </c>
      <c r="J22" s="19">
        <v>0</v>
      </c>
      <c r="K22" s="19">
        <v>0</v>
      </c>
      <c r="L22" s="19">
        <v>0</v>
      </c>
      <c r="M22" s="19">
        <v>0</v>
      </c>
      <c r="N22" s="19">
        <v>0</v>
      </c>
      <c r="O22" s="19">
        <v>0</v>
      </c>
      <c r="P22" s="16">
        <v>0</v>
      </c>
    </row>
    <row r="23" spans="3:16">
      <c r="C23" s="20" t="s">
        <v>538</v>
      </c>
      <c r="D23" s="29">
        <v>1</v>
      </c>
      <c r="E23" s="19">
        <v>0</v>
      </c>
      <c r="F23" s="19">
        <v>1</v>
      </c>
      <c r="G23" s="19">
        <v>1</v>
      </c>
      <c r="H23" s="19">
        <v>1</v>
      </c>
      <c r="I23" s="19">
        <v>0</v>
      </c>
      <c r="J23" s="19">
        <v>0</v>
      </c>
      <c r="K23" s="19">
        <v>0</v>
      </c>
      <c r="L23" s="19">
        <v>0</v>
      </c>
      <c r="M23" s="19">
        <v>0</v>
      </c>
      <c r="N23" s="19">
        <v>0</v>
      </c>
      <c r="O23" s="19">
        <v>0</v>
      </c>
      <c r="P23" s="16">
        <v>0</v>
      </c>
    </row>
    <row r="24" spans="3:16">
      <c r="C24" s="20" t="s">
        <v>539</v>
      </c>
      <c r="D24" s="29">
        <v>1</v>
      </c>
      <c r="E24" s="19">
        <v>0</v>
      </c>
      <c r="F24" s="19">
        <v>0</v>
      </c>
      <c r="G24" s="19">
        <v>1</v>
      </c>
      <c r="H24" s="19">
        <v>1</v>
      </c>
      <c r="I24" s="19">
        <v>0</v>
      </c>
      <c r="J24" s="19">
        <v>0</v>
      </c>
      <c r="K24" s="19">
        <v>0</v>
      </c>
      <c r="L24" s="19">
        <v>0</v>
      </c>
      <c r="M24" s="19">
        <v>0</v>
      </c>
      <c r="N24" s="19">
        <v>0</v>
      </c>
      <c r="O24" s="19">
        <v>0</v>
      </c>
      <c r="P24" s="16">
        <v>0</v>
      </c>
    </row>
    <row r="25" spans="3:16">
      <c r="C25" s="20" t="s">
        <v>540</v>
      </c>
      <c r="D25" s="29">
        <v>1</v>
      </c>
      <c r="E25" s="19">
        <v>1</v>
      </c>
      <c r="F25" s="19">
        <v>0</v>
      </c>
      <c r="G25" s="19">
        <v>1</v>
      </c>
      <c r="H25" s="19">
        <v>0</v>
      </c>
      <c r="I25" s="19">
        <v>0</v>
      </c>
      <c r="J25" s="19">
        <v>0</v>
      </c>
      <c r="K25" s="19">
        <v>0</v>
      </c>
      <c r="L25" s="19">
        <v>0</v>
      </c>
      <c r="M25" s="19">
        <v>0</v>
      </c>
      <c r="N25" s="19">
        <v>0</v>
      </c>
      <c r="O25" s="19">
        <v>0</v>
      </c>
      <c r="P25" s="16">
        <v>0</v>
      </c>
    </row>
    <row r="26" spans="3:16">
      <c r="C26" s="20" t="s">
        <v>541</v>
      </c>
      <c r="D26" s="29">
        <v>1</v>
      </c>
      <c r="E26" s="19">
        <v>0</v>
      </c>
      <c r="F26" s="19">
        <v>1</v>
      </c>
      <c r="G26" s="19">
        <v>1</v>
      </c>
      <c r="H26" s="19">
        <v>1</v>
      </c>
      <c r="I26" s="19">
        <v>0</v>
      </c>
      <c r="J26" s="19">
        <v>0</v>
      </c>
      <c r="K26" s="19">
        <v>0</v>
      </c>
      <c r="L26" s="19">
        <v>0</v>
      </c>
      <c r="M26" s="19">
        <v>0</v>
      </c>
      <c r="N26" s="19">
        <v>0</v>
      </c>
      <c r="O26" s="19">
        <v>0</v>
      </c>
      <c r="P26" s="16">
        <v>0</v>
      </c>
    </row>
    <row r="27" spans="3:16">
      <c r="C27" s="20" t="s">
        <v>542</v>
      </c>
      <c r="D27" s="29">
        <v>1</v>
      </c>
      <c r="E27" s="19">
        <v>0.27272727272727271</v>
      </c>
      <c r="F27" s="19">
        <v>0.27272727272727271</v>
      </c>
      <c r="G27" s="19">
        <v>0.27272727272727271</v>
      </c>
      <c r="H27" s="19">
        <v>0.27272727272727271</v>
      </c>
      <c r="I27" s="19">
        <v>0.27272727272727271</v>
      </c>
      <c r="J27" s="19">
        <v>0.27272727272727271</v>
      </c>
      <c r="K27" s="19">
        <v>0.27272727272727271</v>
      </c>
      <c r="L27" s="19">
        <v>0.27272727272727271</v>
      </c>
      <c r="M27" s="19">
        <v>0.27272727272727271</v>
      </c>
      <c r="N27" s="19">
        <v>0.27272727272727271</v>
      </c>
      <c r="O27" s="19">
        <v>0.27272727272727271</v>
      </c>
      <c r="P27" s="16">
        <v>0</v>
      </c>
    </row>
    <row r="28" spans="3:16">
      <c r="C28" s="20" t="s">
        <v>543</v>
      </c>
      <c r="D28" s="29">
        <v>1</v>
      </c>
      <c r="E28" s="19">
        <v>0</v>
      </c>
      <c r="F28" s="19">
        <v>1</v>
      </c>
      <c r="G28" s="19">
        <v>0</v>
      </c>
      <c r="H28" s="19">
        <v>1</v>
      </c>
      <c r="I28" s="19">
        <v>0</v>
      </c>
      <c r="J28" s="19">
        <v>0</v>
      </c>
      <c r="K28" s="19">
        <v>1</v>
      </c>
      <c r="L28" s="19">
        <v>0</v>
      </c>
      <c r="M28" s="19">
        <v>0</v>
      </c>
      <c r="N28" s="19">
        <v>0</v>
      </c>
      <c r="O28" s="19">
        <v>0</v>
      </c>
      <c r="P28" s="16">
        <v>0</v>
      </c>
    </row>
    <row r="29" spans="3:16">
      <c r="C29" s="20" t="s">
        <v>364</v>
      </c>
      <c r="D29" s="29">
        <v>3</v>
      </c>
      <c r="E29" s="19">
        <v>0.375</v>
      </c>
      <c r="F29" s="19">
        <v>0</v>
      </c>
      <c r="G29" s="19">
        <v>0.375</v>
      </c>
      <c r="H29" s="19">
        <v>0.375</v>
      </c>
      <c r="I29" s="19">
        <v>0.375</v>
      </c>
      <c r="J29" s="19">
        <v>0</v>
      </c>
      <c r="K29" s="19">
        <v>0.375</v>
      </c>
      <c r="L29" s="19">
        <v>0.375</v>
      </c>
      <c r="M29" s="19">
        <v>0.375</v>
      </c>
      <c r="N29" s="19">
        <v>0</v>
      </c>
      <c r="O29" s="19">
        <v>0</v>
      </c>
      <c r="P29" s="16">
        <v>0.375</v>
      </c>
    </row>
    <row r="30" spans="3:16">
      <c r="C30" s="20" t="s">
        <v>128</v>
      </c>
      <c r="D30" s="29">
        <v>4</v>
      </c>
      <c r="E30" s="19">
        <v>1</v>
      </c>
      <c r="F30" s="19">
        <v>0</v>
      </c>
      <c r="G30" s="19">
        <v>1</v>
      </c>
      <c r="H30" s="19">
        <v>0</v>
      </c>
      <c r="I30" s="19">
        <v>0</v>
      </c>
      <c r="J30" s="19">
        <v>2</v>
      </c>
      <c r="K30" s="19">
        <v>0</v>
      </c>
      <c r="L30" s="19">
        <v>1</v>
      </c>
      <c r="M30" s="19">
        <v>0</v>
      </c>
      <c r="N30" s="19">
        <v>0</v>
      </c>
      <c r="O30" s="19">
        <v>0</v>
      </c>
      <c r="P30" s="16">
        <v>0</v>
      </c>
    </row>
    <row r="31" spans="3:16">
      <c r="C31" s="20" t="s">
        <v>363</v>
      </c>
      <c r="D31" s="29">
        <v>1</v>
      </c>
      <c r="E31" s="19">
        <v>0</v>
      </c>
      <c r="F31" s="19">
        <v>0</v>
      </c>
      <c r="G31" s="19">
        <v>0</v>
      </c>
      <c r="H31" s="19">
        <v>0</v>
      </c>
      <c r="I31" s="19">
        <v>0</v>
      </c>
      <c r="J31" s="19">
        <v>0</v>
      </c>
      <c r="K31" s="19">
        <v>0</v>
      </c>
      <c r="L31" s="19">
        <v>0</v>
      </c>
      <c r="M31" s="19">
        <v>0</v>
      </c>
      <c r="N31" s="19">
        <v>0</v>
      </c>
      <c r="O31" s="19">
        <v>0</v>
      </c>
      <c r="P31" s="16">
        <v>0</v>
      </c>
    </row>
    <row r="32" spans="3:16">
      <c r="C32" s="20" t="s">
        <v>187</v>
      </c>
      <c r="D32" s="29">
        <v>1</v>
      </c>
      <c r="E32" s="19">
        <v>1</v>
      </c>
      <c r="F32" s="19">
        <v>1</v>
      </c>
      <c r="G32" s="19">
        <v>0</v>
      </c>
      <c r="H32" s="19">
        <v>0</v>
      </c>
      <c r="I32" s="19">
        <v>0</v>
      </c>
      <c r="J32" s="19">
        <v>1</v>
      </c>
      <c r="K32" s="19">
        <v>0</v>
      </c>
      <c r="L32" s="19">
        <v>0</v>
      </c>
      <c r="M32" s="19">
        <v>0</v>
      </c>
      <c r="N32" s="19">
        <v>0</v>
      </c>
      <c r="O32" s="19">
        <v>0</v>
      </c>
      <c r="P32" s="16">
        <v>0</v>
      </c>
    </row>
    <row r="33" spans="3:16">
      <c r="C33" s="20" t="s">
        <v>182</v>
      </c>
      <c r="D33" s="29">
        <v>2</v>
      </c>
      <c r="E33" s="19">
        <v>0</v>
      </c>
      <c r="F33" s="19">
        <v>1</v>
      </c>
      <c r="G33" s="19">
        <v>1</v>
      </c>
      <c r="H33" s="19">
        <v>1</v>
      </c>
      <c r="I33" s="19">
        <v>0</v>
      </c>
      <c r="J33" s="19">
        <v>0</v>
      </c>
      <c r="K33" s="19">
        <v>0</v>
      </c>
      <c r="L33" s="19">
        <v>1</v>
      </c>
      <c r="M33" s="19">
        <v>0</v>
      </c>
      <c r="N33" s="19">
        <v>0</v>
      </c>
      <c r="O33" s="19">
        <v>0</v>
      </c>
      <c r="P33" s="16">
        <v>0</v>
      </c>
    </row>
    <row r="34" spans="3:16">
      <c r="C34" s="20" t="s">
        <v>442</v>
      </c>
      <c r="D34" s="29">
        <v>1</v>
      </c>
      <c r="E34" s="19">
        <v>0</v>
      </c>
      <c r="F34" s="19">
        <v>1</v>
      </c>
      <c r="G34" s="19">
        <v>1</v>
      </c>
      <c r="H34" s="19">
        <v>1</v>
      </c>
      <c r="I34" s="19">
        <v>0</v>
      </c>
      <c r="J34" s="19">
        <v>0</v>
      </c>
      <c r="K34" s="19">
        <v>0</v>
      </c>
      <c r="L34" s="19">
        <v>0</v>
      </c>
      <c r="M34" s="19">
        <v>0</v>
      </c>
      <c r="N34" s="19">
        <v>0</v>
      </c>
      <c r="O34" s="19">
        <v>0</v>
      </c>
      <c r="P34" s="16">
        <v>0</v>
      </c>
    </row>
    <row r="35" spans="3:16">
      <c r="C35" s="20" t="s">
        <v>463</v>
      </c>
      <c r="D35" s="29">
        <v>1</v>
      </c>
      <c r="E35" s="19">
        <v>0</v>
      </c>
      <c r="F35" s="19">
        <v>0</v>
      </c>
      <c r="G35" s="19">
        <v>0</v>
      </c>
      <c r="H35" s="19">
        <v>0</v>
      </c>
      <c r="I35" s="19">
        <v>0</v>
      </c>
      <c r="J35" s="19">
        <v>0</v>
      </c>
      <c r="K35" s="19">
        <v>0</v>
      </c>
      <c r="L35" s="19">
        <v>0</v>
      </c>
      <c r="M35" s="19">
        <v>0</v>
      </c>
      <c r="N35" s="19">
        <v>0</v>
      </c>
      <c r="O35" s="19">
        <v>0</v>
      </c>
      <c r="P35" s="16">
        <v>0</v>
      </c>
    </row>
    <row r="36" spans="3:16">
      <c r="C36" s="20" t="s">
        <v>487</v>
      </c>
      <c r="D36" s="29">
        <v>2</v>
      </c>
      <c r="E36" s="19">
        <v>0</v>
      </c>
      <c r="F36" s="19">
        <v>0</v>
      </c>
      <c r="G36" s="19">
        <v>0</v>
      </c>
      <c r="H36" s="19">
        <v>0</v>
      </c>
      <c r="I36" s="19">
        <v>0</v>
      </c>
      <c r="J36" s="19">
        <v>0</v>
      </c>
      <c r="K36" s="19">
        <v>0</v>
      </c>
      <c r="L36" s="19">
        <v>0</v>
      </c>
      <c r="M36" s="19">
        <v>0</v>
      </c>
      <c r="N36" s="19">
        <v>0</v>
      </c>
      <c r="O36" s="19">
        <v>0</v>
      </c>
      <c r="P36" s="16">
        <v>0</v>
      </c>
    </row>
    <row r="37" spans="3:16">
      <c r="C37" s="20" t="s">
        <v>172</v>
      </c>
      <c r="D37" s="29">
        <v>7</v>
      </c>
      <c r="E37" s="19">
        <v>3.4285714285714288</v>
      </c>
      <c r="F37" s="19">
        <v>1</v>
      </c>
      <c r="G37" s="19">
        <v>2.4285714285714288</v>
      </c>
      <c r="H37" s="19">
        <v>0</v>
      </c>
      <c r="I37" s="19">
        <v>1.4285714285714286</v>
      </c>
      <c r="J37" s="19">
        <v>0.42857142857142855</v>
      </c>
      <c r="K37" s="19">
        <v>2</v>
      </c>
      <c r="L37" s="19">
        <v>3.4285714285714288</v>
      </c>
      <c r="M37" s="19">
        <v>1.4285714285714286</v>
      </c>
      <c r="N37" s="19">
        <v>0</v>
      </c>
      <c r="O37" s="19">
        <v>1.4285714285714286</v>
      </c>
      <c r="P37" s="16">
        <v>1</v>
      </c>
    </row>
    <row r="38" spans="3:16">
      <c r="C38" s="20" t="s">
        <v>453</v>
      </c>
      <c r="D38" s="29">
        <v>3</v>
      </c>
      <c r="E38" s="19">
        <v>0</v>
      </c>
      <c r="F38" s="19">
        <v>1.3333333333333333</v>
      </c>
      <c r="G38" s="19">
        <v>0</v>
      </c>
      <c r="H38" s="19">
        <v>1.3333333333333333</v>
      </c>
      <c r="I38" s="19">
        <v>1.3333333333333333</v>
      </c>
      <c r="J38" s="19">
        <v>0.33333333333333331</v>
      </c>
      <c r="K38" s="19">
        <v>0.33333333333333331</v>
      </c>
      <c r="L38" s="19">
        <v>2.333333333333333</v>
      </c>
      <c r="M38" s="19">
        <v>0</v>
      </c>
      <c r="N38" s="19">
        <v>0.33333333333333331</v>
      </c>
      <c r="O38" s="19">
        <v>0.33333333333333331</v>
      </c>
      <c r="P38" s="16">
        <v>0.33333333333333331</v>
      </c>
    </row>
    <row r="39" spans="3:16">
      <c r="C39" s="20" t="s">
        <v>159</v>
      </c>
      <c r="D39" s="29">
        <v>3</v>
      </c>
      <c r="E39" s="19">
        <v>0</v>
      </c>
      <c r="F39" s="19">
        <v>2</v>
      </c>
      <c r="G39" s="19">
        <v>1</v>
      </c>
      <c r="H39" s="19">
        <v>0</v>
      </c>
      <c r="I39" s="19">
        <v>3</v>
      </c>
      <c r="J39" s="19">
        <v>0</v>
      </c>
      <c r="K39" s="19">
        <v>0</v>
      </c>
      <c r="L39" s="19">
        <v>0</v>
      </c>
      <c r="M39" s="19">
        <v>1</v>
      </c>
      <c r="N39" s="19">
        <v>0</v>
      </c>
      <c r="O39" s="19">
        <v>1</v>
      </c>
      <c r="P39" s="16">
        <v>1</v>
      </c>
    </row>
    <row r="40" spans="3:16">
      <c r="C40" s="20" t="s">
        <v>421</v>
      </c>
      <c r="D40" s="29">
        <v>2</v>
      </c>
      <c r="E40" s="19">
        <v>0</v>
      </c>
      <c r="F40" s="19">
        <v>1</v>
      </c>
      <c r="G40" s="19">
        <v>1</v>
      </c>
      <c r="H40" s="19">
        <v>0</v>
      </c>
      <c r="I40" s="19">
        <v>1</v>
      </c>
      <c r="J40" s="19">
        <v>0</v>
      </c>
      <c r="K40" s="19">
        <v>0</v>
      </c>
      <c r="L40" s="19">
        <v>0</v>
      </c>
      <c r="M40" s="19">
        <v>1</v>
      </c>
      <c r="N40" s="19">
        <v>0</v>
      </c>
      <c r="O40" s="19">
        <v>0</v>
      </c>
      <c r="P40" s="16">
        <v>0</v>
      </c>
    </row>
    <row r="41" spans="3:16">
      <c r="C41" s="20" t="s">
        <v>456</v>
      </c>
      <c r="D41" s="29">
        <v>1</v>
      </c>
      <c r="E41" s="19">
        <v>0</v>
      </c>
      <c r="F41" s="19">
        <v>0</v>
      </c>
      <c r="G41" s="19">
        <v>1</v>
      </c>
      <c r="H41" s="19">
        <v>0</v>
      </c>
      <c r="I41" s="19">
        <v>0</v>
      </c>
      <c r="J41" s="19">
        <v>0</v>
      </c>
      <c r="K41" s="19">
        <v>1</v>
      </c>
      <c r="L41" s="19">
        <v>0</v>
      </c>
      <c r="M41" s="19">
        <v>0</v>
      </c>
      <c r="N41" s="19">
        <v>1</v>
      </c>
      <c r="O41" s="19">
        <v>0</v>
      </c>
      <c r="P41" s="16">
        <v>0</v>
      </c>
    </row>
    <row r="42" spans="3:16">
      <c r="C42" s="20" t="s">
        <v>163</v>
      </c>
      <c r="D42" s="29">
        <v>3</v>
      </c>
      <c r="E42" s="19">
        <v>0.75</v>
      </c>
      <c r="F42" s="19">
        <v>2.75</v>
      </c>
      <c r="G42" s="19">
        <v>0</v>
      </c>
      <c r="H42" s="19">
        <v>1</v>
      </c>
      <c r="I42" s="19">
        <v>2.75</v>
      </c>
      <c r="J42" s="19">
        <v>0</v>
      </c>
      <c r="K42" s="19">
        <v>0</v>
      </c>
      <c r="L42" s="19">
        <v>0</v>
      </c>
      <c r="M42" s="19">
        <v>0</v>
      </c>
      <c r="N42" s="19">
        <v>0</v>
      </c>
      <c r="O42" s="19">
        <v>0</v>
      </c>
      <c r="P42" s="16">
        <v>0.75</v>
      </c>
    </row>
    <row r="43" spans="3:16">
      <c r="C43" s="20" t="s">
        <v>515</v>
      </c>
      <c r="D43" s="29">
        <v>1</v>
      </c>
      <c r="E43" s="19">
        <v>0</v>
      </c>
      <c r="F43" s="19">
        <v>0</v>
      </c>
      <c r="G43" s="19">
        <v>1</v>
      </c>
      <c r="H43" s="19">
        <v>0</v>
      </c>
      <c r="I43" s="19">
        <v>0</v>
      </c>
      <c r="J43" s="19">
        <v>0</v>
      </c>
      <c r="K43" s="19">
        <v>0</v>
      </c>
      <c r="L43" s="19">
        <v>0</v>
      </c>
      <c r="M43" s="19">
        <v>0</v>
      </c>
      <c r="N43" s="19">
        <v>0</v>
      </c>
      <c r="O43" s="19">
        <v>1</v>
      </c>
      <c r="P43" s="16">
        <v>0</v>
      </c>
    </row>
    <row r="44" spans="3:16">
      <c r="C44" s="20" t="s">
        <v>134</v>
      </c>
      <c r="D44" s="29">
        <v>3</v>
      </c>
      <c r="E44" s="19">
        <v>1</v>
      </c>
      <c r="F44" s="19">
        <v>2.75</v>
      </c>
      <c r="G44" s="19">
        <v>0.75</v>
      </c>
      <c r="H44" s="19">
        <v>0</v>
      </c>
      <c r="I44" s="19">
        <v>2.75</v>
      </c>
      <c r="J44" s="19">
        <v>0</v>
      </c>
      <c r="K44" s="19">
        <v>0.75</v>
      </c>
      <c r="L44" s="19">
        <v>0</v>
      </c>
      <c r="M44" s="19">
        <v>1</v>
      </c>
      <c r="N44" s="19">
        <v>0</v>
      </c>
      <c r="O44" s="19">
        <v>0</v>
      </c>
      <c r="P44" s="16">
        <v>0</v>
      </c>
    </row>
    <row r="45" spans="3:16">
      <c r="C45" s="20" t="s">
        <v>116</v>
      </c>
      <c r="D45" s="29">
        <v>4</v>
      </c>
      <c r="E45" s="19">
        <v>4</v>
      </c>
      <c r="F45" s="19">
        <v>0</v>
      </c>
      <c r="G45" s="19">
        <v>3</v>
      </c>
      <c r="H45" s="19">
        <v>1</v>
      </c>
      <c r="I45" s="19">
        <v>0</v>
      </c>
      <c r="J45" s="19">
        <v>1</v>
      </c>
      <c r="K45" s="19">
        <v>0</v>
      </c>
      <c r="L45" s="19">
        <v>0</v>
      </c>
      <c r="M45" s="19">
        <v>0</v>
      </c>
      <c r="N45" s="19">
        <v>0</v>
      </c>
      <c r="O45" s="19">
        <v>0</v>
      </c>
      <c r="P45" s="16">
        <v>1</v>
      </c>
    </row>
    <row r="46" spans="3:16">
      <c r="C46" s="20" t="s">
        <v>167</v>
      </c>
      <c r="D46" s="29">
        <v>1</v>
      </c>
      <c r="E46" s="19">
        <v>0</v>
      </c>
      <c r="F46" s="19">
        <v>1</v>
      </c>
      <c r="G46" s="19">
        <v>0</v>
      </c>
      <c r="H46" s="19">
        <v>0</v>
      </c>
      <c r="I46" s="19">
        <v>0</v>
      </c>
      <c r="J46" s="19">
        <v>0</v>
      </c>
      <c r="K46" s="19">
        <v>0</v>
      </c>
      <c r="L46" s="19">
        <v>0</v>
      </c>
      <c r="M46" s="19">
        <v>0</v>
      </c>
      <c r="N46" s="19">
        <v>0</v>
      </c>
      <c r="O46" s="19">
        <v>0</v>
      </c>
      <c r="P46" s="16">
        <v>0</v>
      </c>
    </row>
    <row r="47" spans="3:16">
      <c r="C47" s="20" t="s">
        <v>149</v>
      </c>
      <c r="D47" s="29">
        <v>1</v>
      </c>
      <c r="E47" s="19">
        <v>0</v>
      </c>
      <c r="F47" s="19">
        <v>1</v>
      </c>
      <c r="G47" s="19">
        <v>0</v>
      </c>
      <c r="H47" s="19">
        <v>1</v>
      </c>
      <c r="I47" s="19">
        <v>1</v>
      </c>
      <c r="J47" s="19">
        <v>0</v>
      </c>
      <c r="K47" s="19">
        <v>0</v>
      </c>
      <c r="L47" s="19">
        <v>0</v>
      </c>
      <c r="M47" s="19">
        <v>0</v>
      </c>
      <c r="N47" s="19">
        <v>0</v>
      </c>
      <c r="O47" s="19">
        <v>0</v>
      </c>
      <c r="P47" s="16">
        <v>0</v>
      </c>
    </row>
    <row r="48" spans="3:16">
      <c r="C48" s="20" t="s">
        <v>429</v>
      </c>
      <c r="D48" s="29">
        <v>1</v>
      </c>
      <c r="E48" s="19">
        <v>0</v>
      </c>
      <c r="F48" s="19">
        <v>0</v>
      </c>
      <c r="G48" s="19">
        <v>0</v>
      </c>
      <c r="H48" s="19">
        <v>0</v>
      </c>
      <c r="I48" s="19">
        <v>1</v>
      </c>
      <c r="J48" s="19">
        <v>0</v>
      </c>
      <c r="K48" s="19">
        <v>0</v>
      </c>
      <c r="L48" s="19">
        <v>1</v>
      </c>
      <c r="M48" s="19">
        <v>0</v>
      </c>
      <c r="N48" s="19">
        <v>0</v>
      </c>
      <c r="O48" s="19">
        <v>1</v>
      </c>
      <c r="P48" s="16">
        <v>0</v>
      </c>
    </row>
    <row r="49" spans="3:16">
      <c r="C49" s="20" t="s">
        <v>367</v>
      </c>
      <c r="D49" s="29">
        <v>1</v>
      </c>
      <c r="E49" s="19">
        <v>0</v>
      </c>
      <c r="F49" s="19">
        <v>0</v>
      </c>
      <c r="G49" s="19">
        <v>0</v>
      </c>
      <c r="H49" s="19">
        <v>0</v>
      </c>
      <c r="I49" s="19">
        <v>0</v>
      </c>
      <c r="J49" s="19">
        <v>0</v>
      </c>
      <c r="K49" s="19">
        <v>0</v>
      </c>
      <c r="L49" s="19">
        <v>0</v>
      </c>
      <c r="M49" s="19">
        <v>0</v>
      </c>
      <c r="N49" s="19">
        <v>0</v>
      </c>
      <c r="O49" s="19">
        <v>0</v>
      </c>
      <c r="P49" s="16">
        <v>0</v>
      </c>
    </row>
    <row r="50" spans="3:16">
      <c r="C50" s="20" t="s">
        <v>508</v>
      </c>
      <c r="D50" s="29">
        <v>1</v>
      </c>
      <c r="E50" s="19">
        <v>0</v>
      </c>
      <c r="F50" s="19">
        <v>0</v>
      </c>
      <c r="G50" s="19">
        <v>0</v>
      </c>
      <c r="H50" s="19">
        <v>0</v>
      </c>
      <c r="I50" s="19">
        <v>0</v>
      </c>
      <c r="J50" s="19">
        <v>1</v>
      </c>
      <c r="K50" s="19">
        <v>0</v>
      </c>
      <c r="L50" s="19">
        <v>0</v>
      </c>
      <c r="M50" s="19">
        <v>0</v>
      </c>
      <c r="N50" s="19">
        <v>0</v>
      </c>
      <c r="O50" s="19">
        <v>1</v>
      </c>
      <c r="P50" s="16">
        <v>0</v>
      </c>
    </row>
    <row r="51" spans="3:16">
      <c r="C51" s="20" t="s">
        <v>179</v>
      </c>
      <c r="D51" s="29">
        <v>2</v>
      </c>
      <c r="E51" s="19">
        <v>0</v>
      </c>
      <c r="F51" s="19">
        <v>1</v>
      </c>
      <c r="G51" s="19">
        <v>1.6</v>
      </c>
      <c r="H51" s="19">
        <v>1</v>
      </c>
      <c r="I51" s="19">
        <v>0</v>
      </c>
      <c r="J51" s="19">
        <v>0.6</v>
      </c>
      <c r="K51" s="19">
        <v>0.6</v>
      </c>
      <c r="L51" s="19">
        <v>0.6</v>
      </c>
      <c r="M51" s="19">
        <v>0</v>
      </c>
      <c r="N51" s="19">
        <v>0</v>
      </c>
      <c r="O51" s="19">
        <v>0</v>
      </c>
      <c r="P51" s="16">
        <v>0.6</v>
      </c>
    </row>
    <row r="52" spans="3:16">
      <c r="C52" s="20" t="s">
        <v>377</v>
      </c>
      <c r="D52" s="29">
        <v>14</v>
      </c>
      <c r="E52" s="19">
        <v>5</v>
      </c>
      <c r="F52" s="19">
        <v>1</v>
      </c>
      <c r="G52" s="19">
        <v>5</v>
      </c>
      <c r="H52" s="19">
        <v>3.75</v>
      </c>
      <c r="I52" s="19">
        <v>10.75</v>
      </c>
      <c r="J52" s="19">
        <v>0</v>
      </c>
      <c r="K52" s="19">
        <v>0</v>
      </c>
      <c r="L52" s="19">
        <v>4.75</v>
      </c>
      <c r="M52" s="19">
        <v>0</v>
      </c>
      <c r="N52" s="19">
        <v>0.75</v>
      </c>
      <c r="O52" s="19">
        <v>1</v>
      </c>
      <c r="P52" s="16">
        <v>1</v>
      </c>
    </row>
    <row r="53" spans="3:16">
      <c r="C53" s="20" t="s">
        <v>154</v>
      </c>
      <c r="D53" s="29">
        <v>1</v>
      </c>
      <c r="E53" s="19">
        <v>1</v>
      </c>
      <c r="F53" s="19">
        <v>0</v>
      </c>
      <c r="G53" s="19">
        <v>0</v>
      </c>
      <c r="H53" s="19">
        <v>0</v>
      </c>
      <c r="I53" s="19">
        <v>0</v>
      </c>
      <c r="J53" s="19">
        <v>0</v>
      </c>
      <c r="K53" s="19">
        <v>0</v>
      </c>
      <c r="L53" s="19">
        <v>0</v>
      </c>
      <c r="M53" s="19">
        <v>0</v>
      </c>
      <c r="N53" s="19">
        <v>0</v>
      </c>
      <c r="O53" s="19">
        <v>0</v>
      </c>
      <c r="P53" s="16">
        <v>0</v>
      </c>
    </row>
    <row r="54" spans="3:16">
      <c r="C54" s="20" t="s">
        <v>425</v>
      </c>
      <c r="D54" s="29">
        <v>1</v>
      </c>
      <c r="E54" s="19">
        <v>0</v>
      </c>
      <c r="F54" s="19">
        <v>0</v>
      </c>
      <c r="G54" s="19">
        <v>0</v>
      </c>
      <c r="H54" s="19">
        <v>0</v>
      </c>
      <c r="I54" s="19">
        <v>0</v>
      </c>
      <c r="J54" s="19">
        <v>0</v>
      </c>
      <c r="K54" s="19">
        <v>0</v>
      </c>
      <c r="L54" s="19">
        <v>0</v>
      </c>
      <c r="M54" s="19">
        <v>0</v>
      </c>
      <c r="N54" s="19">
        <v>0</v>
      </c>
      <c r="O54" s="19">
        <v>0</v>
      </c>
      <c r="P54" s="16">
        <v>1</v>
      </c>
    </row>
    <row r="55" spans="3:16">
      <c r="C55" s="20" t="s">
        <v>171</v>
      </c>
      <c r="D55" s="29">
        <v>51</v>
      </c>
      <c r="E55" s="19">
        <v>5.6</v>
      </c>
      <c r="F55" s="19">
        <v>16.600000000000001</v>
      </c>
      <c r="G55" s="19">
        <v>16.25</v>
      </c>
      <c r="H55" s="19">
        <v>8.1</v>
      </c>
      <c r="I55" s="19">
        <v>26.85</v>
      </c>
      <c r="J55" s="19">
        <v>12</v>
      </c>
      <c r="K55" s="19">
        <v>13.25</v>
      </c>
      <c r="L55" s="19">
        <v>11.6</v>
      </c>
      <c r="M55" s="19">
        <v>7.75</v>
      </c>
      <c r="N55" s="19">
        <v>8</v>
      </c>
      <c r="O55" s="19">
        <v>5</v>
      </c>
      <c r="P55" s="16">
        <v>7</v>
      </c>
    </row>
    <row r="56" spans="3:16">
      <c r="C56" s="20" t="s">
        <v>144</v>
      </c>
      <c r="D56" s="29">
        <v>1</v>
      </c>
      <c r="E56" s="19">
        <v>0</v>
      </c>
      <c r="F56" s="19">
        <v>0</v>
      </c>
      <c r="G56" s="19">
        <v>0</v>
      </c>
      <c r="H56" s="19">
        <v>0</v>
      </c>
      <c r="I56" s="19">
        <v>1</v>
      </c>
      <c r="J56" s="19">
        <v>1</v>
      </c>
      <c r="K56" s="19">
        <v>0</v>
      </c>
      <c r="L56" s="19">
        <v>1</v>
      </c>
      <c r="M56" s="19">
        <v>0</v>
      </c>
      <c r="N56" s="19">
        <v>0</v>
      </c>
      <c r="O56" s="19">
        <v>0</v>
      </c>
      <c r="P56" s="16">
        <v>0</v>
      </c>
    </row>
    <row r="57" spans="3:16">
      <c r="C57" s="20" t="s">
        <v>174</v>
      </c>
      <c r="D57" s="29">
        <v>4</v>
      </c>
      <c r="E57" s="19">
        <v>0</v>
      </c>
      <c r="F57" s="19">
        <v>1</v>
      </c>
      <c r="G57" s="19">
        <v>3</v>
      </c>
      <c r="H57" s="19">
        <v>1</v>
      </c>
      <c r="I57" s="19">
        <v>2.75</v>
      </c>
      <c r="J57" s="19">
        <v>0</v>
      </c>
      <c r="K57" s="19">
        <v>0.75</v>
      </c>
      <c r="L57" s="19">
        <v>1</v>
      </c>
      <c r="M57" s="19">
        <v>0</v>
      </c>
      <c r="N57" s="19">
        <v>0.75</v>
      </c>
      <c r="O57" s="19">
        <v>0</v>
      </c>
      <c r="P57" s="16">
        <v>0.75</v>
      </c>
    </row>
    <row r="58" spans="3:16">
      <c r="C58" s="20" t="s">
        <v>145</v>
      </c>
      <c r="D58" s="29">
        <v>7</v>
      </c>
      <c r="E58" s="19">
        <v>1</v>
      </c>
      <c r="F58" s="19">
        <v>3</v>
      </c>
      <c r="G58" s="19">
        <v>2.75</v>
      </c>
      <c r="H58" s="19">
        <v>0</v>
      </c>
      <c r="I58" s="19">
        <v>4</v>
      </c>
      <c r="J58" s="19">
        <v>0.75</v>
      </c>
      <c r="K58" s="19">
        <v>0</v>
      </c>
      <c r="L58" s="19">
        <v>2.75</v>
      </c>
      <c r="M58" s="19">
        <v>0</v>
      </c>
      <c r="N58" s="19">
        <v>0</v>
      </c>
      <c r="O58" s="19">
        <v>1</v>
      </c>
      <c r="P58" s="16">
        <v>3.75</v>
      </c>
    </row>
    <row r="59" spans="3:16">
      <c r="C59" s="20" t="s">
        <v>161</v>
      </c>
      <c r="D59" s="29">
        <v>7</v>
      </c>
      <c r="E59" s="19">
        <v>2</v>
      </c>
      <c r="F59" s="19">
        <v>2.75</v>
      </c>
      <c r="G59" s="19">
        <v>5</v>
      </c>
      <c r="H59" s="19">
        <v>2</v>
      </c>
      <c r="I59" s="19">
        <v>4.75</v>
      </c>
      <c r="J59" s="19">
        <v>0</v>
      </c>
      <c r="K59" s="19">
        <v>1.75</v>
      </c>
      <c r="L59" s="19">
        <v>0.75</v>
      </c>
      <c r="M59" s="19">
        <v>0</v>
      </c>
      <c r="N59" s="19">
        <v>0</v>
      </c>
      <c r="O59" s="19">
        <v>1</v>
      </c>
      <c r="P59" s="16">
        <v>1</v>
      </c>
    </row>
    <row r="60" spans="3:16">
      <c r="C60" s="20" t="s">
        <v>462</v>
      </c>
      <c r="D60" s="29">
        <v>1</v>
      </c>
      <c r="E60" s="19">
        <v>0</v>
      </c>
      <c r="F60" s="19">
        <v>0</v>
      </c>
      <c r="G60" s="19">
        <v>0</v>
      </c>
      <c r="H60" s="19">
        <v>0</v>
      </c>
      <c r="I60" s="19">
        <v>0</v>
      </c>
      <c r="J60" s="19">
        <v>0</v>
      </c>
      <c r="K60" s="19">
        <v>0</v>
      </c>
      <c r="L60" s="19">
        <v>0</v>
      </c>
      <c r="M60" s="19">
        <v>0</v>
      </c>
      <c r="N60" s="19">
        <v>0</v>
      </c>
      <c r="O60" s="19">
        <v>0</v>
      </c>
      <c r="P60" s="16">
        <v>0</v>
      </c>
    </row>
    <row r="61" spans="3:16">
      <c r="C61" s="20" t="s">
        <v>157</v>
      </c>
      <c r="D61" s="29">
        <v>2</v>
      </c>
      <c r="E61" s="19">
        <v>1</v>
      </c>
      <c r="F61" s="19">
        <v>0</v>
      </c>
      <c r="G61" s="19">
        <v>2</v>
      </c>
      <c r="H61" s="19">
        <v>0</v>
      </c>
      <c r="I61" s="19">
        <v>1</v>
      </c>
      <c r="J61" s="19">
        <v>0</v>
      </c>
      <c r="K61" s="19">
        <v>0</v>
      </c>
      <c r="L61" s="19">
        <v>0</v>
      </c>
      <c r="M61" s="19">
        <v>0</v>
      </c>
      <c r="N61" s="19">
        <v>0</v>
      </c>
      <c r="O61" s="19">
        <v>0</v>
      </c>
      <c r="P61" s="16">
        <v>1</v>
      </c>
    </row>
    <row r="62" spans="3:16">
      <c r="C62" s="20" t="s">
        <v>135</v>
      </c>
      <c r="D62" s="29">
        <v>2</v>
      </c>
      <c r="E62" s="19">
        <v>1</v>
      </c>
      <c r="F62" s="19">
        <v>0.75</v>
      </c>
      <c r="G62" s="19">
        <v>0</v>
      </c>
      <c r="H62" s="19">
        <v>0</v>
      </c>
      <c r="I62" s="19">
        <v>0.75</v>
      </c>
      <c r="J62" s="19">
        <v>0</v>
      </c>
      <c r="K62" s="19">
        <v>0</v>
      </c>
      <c r="L62" s="19">
        <v>0.75</v>
      </c>
      <c r="M62" s="19">
        <v>0</v>
      </c>
      <c r="N62" s="19">
        <v>0.75</v>
      </c>
      <c r="O62" s="19">
        <v>0</v>
      </c>
      <c r="P62" s="16">
        <v>1</v>
      </c>
    </row>
    <row r="63" spans="3:16">
      <c r="C63" s="20" t="s">
        <v>156</v>
      </c>
      <c r="D63" s="29">
        <v>13</v>
      </c>
      <c r="E63" s="19">
        <v>1</v>
      </c>
      <c r="F63" s="19">
        <v>4</v>
      </c>
      <c r="G63" s="19">
        <v>4</v>
      </c>
      <c r="H63" s="19">
        <v>1</v>
      </c>
      <c r="I63" s="19">
        <v>7</v>
      </c>
      <c r="J63" s="19">
        <v>0</v>
      </c>
      <c r="K63" s="19">
        <v>4</v>
      </c>
      <c r="L63" s="19">
        <v>1</v>
      </c>
      <c r="M63" s="19">
        <v>1</v>
      </c>
      <c r="N63" s="19">
        <v>2</v>
      </c>
      <c r="O63" s="19">
        <v>0</v>
      </c>
      <c r="P63" s="16">
        <v>3</v>
      </c>
    </row>
    <row r="64" spans="3:16">
      <c r="C64" s="20" t="s">
        <v>121</v>
      </c>
      <c r="D64" s="29">
        <v>11</v>
      </c>
      <c r="E64" s="19">
        <v>2.375</v>
      </c>
      <c r="F64" s="19">
        <v>2.875</v>
      </c>
      <c r="G64" s="19">
        <v>4.875</v>
      </c>
      <c r="H64" s="19">
        <v>1.375</v>
      </c>
      <c r="I64" s="19">
        <v>2.875</v>
      </c>
      <c r="J64" s="19">
        <v>2</v>
      </c>
      <c r="K64" s="19">
        <v>0.875</v>
      </c>
      <c r="L64" s="19">
        <v>2.5</v>
      </c>
      <c r="M64" s="19">
        <v>0.5</v>
      </c>
      <c r="N64" s="19">
        <v>0.375</v>
      </c>
      <c r="O64" s="19">
        <v>2.375</v>
      </c>
      <c r="P64" s="16">
        <v>3</v>
      </c>
    </row>
    <row r="65" spans="3:16">
      <c r="C65" s="20" t="s">
        <v>153</v>
      </c>
      <c r="D65" s="29">
        <v>2</v>
      </c>
      <c r="E65" s="19">
        <v>1</v>
      </c>
      <c r="F65" s="19">
        <v>2</v>
      </c>
      <c r="G65" s="19">
        <v>0</v>
      </c>
      <c r="H65" s="19">
        <v>0</v>
      </c>
      <c r="I65" s="19">
        <v>1</v>
      </c>
      <c r="J65" s="19">
        <v>1</v>
      </c>
      <c r="K65" s="19">
        <v>0</v>
      </c>
      <c r="L65" s="19">
        <v>0</v>
      </c>
      <c r="M65" s="19">
        <v>0</v>
      </c>
      <c r="N65" s="19">
        <v>1</v>
      </c>
      <c r="O65" s="19">
        <v>0</v>
      </c>
      <c r="P65" s="16">
        <v>0</v>
      </c>
    </row>
    <row r="66" spans="3:16">
      <c r="C66" s="20" t="s">
        <v>113</v>
      </c>
      <c r="D66" s="29">
        <v>3</v>
      </c>
      <c r="E66" s="19">
        <v>1</v>
      </c>
      <c r="F66" s="19">
        <v>0</v>
      </c>
      <c r="G66" s="19">
        <v>0</v>
      </c>
      <c r="H66" s="19">
        <v>1</v>
      </c>
      <c r="I66" s="19">
        <v>0</v>
      </c>
      <c r="J66" s="19">
        <v>0</v>
      </c>
      <c r="K66" s="19">
        <v>0</v>
      </c>
      <c r="L66" s="19">
        <v>1</v>
      </c>
      <c r="M66" s="19">
        <v>0</v>
      </c>
      <c r="N66" s="19">
        <v>0</v>
      </c>
      <c r="O66" s="19">
        <v>0</v>
      </c>
      <c r="P66" s="16">
        <v>1</v>
      </c>
    </row>
    <row r="67" spans="3:16">
      <c r="C67" s="20" t="s">
        <v>516</v>
      </c>
      <c r="D67" s="29">
        <v>1</v>
      </c>
      <c r="E67" s="19">
        <v>0</v>
      </c>
      <c r="F67" s="19">
        <v>1</v>
      </c>
      <c r="G67" s="19">
        <v>0</v>
      </c>
      <c r="H67" s="19">
        <v>1</v>
      </c>
      <c r="I67" s="19">
        <v>0</v>
      </c>
      <c r="J67" s="19">
        <v>0</v>
      </c>
      <c r="K67" s="19">
        <v>0</v>
      </c>
      <c r="L67" s="19">
        <v>0</v>
      </c>
      <c r="M67" s="19">
        <v>0</v>
      </c>
      <c r="N67" s="19">
        <v>0</v>
      </c>
      <c r="O67" s="19">
        <v>0</v>
      </c>
      <c r="P67" s="16">
        <v>0</v>
      </c>
    </row>
    <row r="68" spans="3:16">
      <c r="C68" s="20" t="s">
        <v>470</v>
      </c>
      <c r="D68" s="29">
        <v>2</v>
      </c>
      <c r="E68" s="19">
        <v>0</v>
      </c>
      <c r="F68" s="19">
        <v>2</v>
      </c>
      <c r="G68" s="19">
        <v>0</v>
      </c>
      <c r="H68" s="19">
        <v>0</v>
      </c>
      <c r="I68" s="19">
        <v>0</v>
      </c>
      <c r="J68" s="19">
        <v>0</v>
      </c>
      <c r="K68" s="19">
        <v>0</v>
      </c>
      <c r="L68" s="19">
        <v>1</v>
      </c>
      <c r="M68" s="19">
        <v>0</v>
      </c>
      <c r="N68" s="19">
        <v>1</v>
      </c>
      <c r="O68" s="19">
        <v>0</v>
      </c>
      <c r="P68" s="16">
        <v>0</v>
      </c>
    </row>
    <row r="69" spans="3:16">
      <c r="C69" s="20" t="s">
        <v>124</v>
      </c>
      <c r="D69" s="29">
        <v>6</v>
      </c>
      <c r="E69" s="19">
        <v>0.42857142857142855</v>
      </c>
      <c r="F69" s="19">
        <v>2.0285714285714285</v>
      </c>
      <c r="G69" s="19">
        <v>1.4285714285714286</v>
      </c>
      <c r="H69" s="19">
        <v>0.42857142857142855</v>
      </c>
      <c r="I69" s="19">
        <v>2.0285714285714285</v>
      </c>
      <c r="J69" s="19">
        <v>0</v>
      </c>
      <c r="K69" s="19">
        <v>0</v>
      </c>
      <c r="L69" s="19">
        <v>0.42857142857142855</v>
      </c>
      <c r="M69" s="19">
        <v>0</v>
      </c>
      <c r="N69" s="19">
        <v>0.6</v>
      </c>
      <c r="O69" s="19">
        <v>0.6</v>
      </c>
      <c r="P69" s="16">
        <v>1.0285714285714285</v>
      </c>
    </row>
    <row r="70" spans="3:16">
      <c r="C70" s="20" t="s">
        <v>381</v>
      </c>
      <c r="D70" s="29">
        <v>1</v>
      </c>
      <c r="E70" s="19">
        <v>0</v>
      </c>
      <c r="F70" s="19">
        <v>0</v>
      </c>
      <c r="G70" s="19">
        <v>0</v>
      </c>
      <c r="H70" s="19">
        <v>0</v>
      </c>
      <c r="I70" s="19">
        <v>0</v>
      </c>
      <c r="J70" s="19">
        <v>0</v>
      </c>
      <c r="K70" s="19">
        <v>0</v>
      </c>
      <c r="L70" s="19">
        <v>0</v>
      </c>
      <c r="M70" s="19">
        <v>0</v>
      </c>
      <c r="N70" s="19">
        <v>0</v>
      </c>
      <c r="O70" s="19">
        <v>0</v>
      </c>
      <c r="P70" s="16">
        <v>0</v>
      </c>
    </row>
    <row r="71" spans="3:16">
      <c r="C71" s="20" t="s">
        <v>371</v>
      </c>
      <c r="D71" s="29">
        <v>2</v>
      </c>
      <c r="E71" s="19">
        <v>2</v>
      </c>
      <c r="F71" s="19">
        <v>0</v>
      </c>
      <c r="G71" s="19">
        <v>0</v>
      </c>
      <c r="H71" s="19">
        <v>1</v>
      </c>
      <c r="I71" s="19">
        <v>0</v>
      </c>
      <c r="J71" s="19">
        <v>0</v>
      </c>
      <c r="K71" s="19">
        <v>0</v>
      </c>
      <c r="L71" s="19">
        <v>1</v>
      </c>
      <c r="M71" s="19">
        <v>1</v>
      </c>
      <c r="N71" s="19">
        <v>0</v>
      </c>
      <c r="O71" s="19">
        <v>1</v>
      </c>
      <c r="P71" s="16">
        <v>0</v>
      </c>
    </row>
    <row r="72" spans="3:16">
      <c r="C72" s="20" t="s">
        <v>445</v>
      </c>
      <c r="D72" s="29">
        <v>1</v>
      </c>
      <c r="E72" s="19">
        <v>0</v>
      </c>
      <c r="F72" s="19">
        <v>0</v>
      </c>
      <c r="G72" s="19">
        <v>0</v>
      </c>
      <c r="H72" s="19">
        <v>0</v>
      </c>
      <c r="I72" s="19">
        <v>0</v>
      </c>
      <c r="J72" s="19">
        <v>0</v>
      </c>
      <c r="K72" s="19">
        <v>1</v>
      </c>
      <c r="L72" s="19">
        <v>0</v>
      </c>
      <c r="M72" s="19">
        <v>1</v>
      </c>
      <c r="N72" s="19">
        <v>0</v>
      </c>
      <c r="O72" s="19">
        <v>1</v>
      </c>
      <c r="P72" s="16">
        <v>0</v>
      </c>
    </row>
    <row r="73" spans="3:16">
      <c r="C73" s="20" t="s">
        <v>380</v>
      </c>
      <c r="D73" s="29">
        <v>1</v>
      </c>
      <c r="E73" s="19">
        <v>1</v>
      </c>
      <c r="F73" s="19">
        <v>0</v>
      </c>
      <c r="G73" s="19">
        <v>1</v>
      </c>
      <c r="H73" s="19">
        <v>0</v>
      </c>
      <c r="I73" s="19">
        <v>0</v>
      </c>
      <c r="J73" s="19">
        <v>0</v>
      </c>
      <c r="K73" s="19">
        <v>0</v>
      </c>
      <c r="L73" s="19">
        <v>1</v>
      </c>
      <c r="M73" s="19">
        <v>0</v>
      </c>
      <c r="N73" s="19">
        <v>0</v>
      </c>
      <c r="O73" s="19">
        <v>0</v>
      </c>
      <c r="P73" s="16">
        <v>0</v>
      </c>
    </row>
    <row r="74" spans="3:16">
      <c r="C74" s="20" t="s">
        <v>454</v>
      </c>
      <c r="D74" s="29">
        <v>1</v>
      </c>
      <c r="E74" s="19">
        <v>1</v>
      </c>
      <c r="F74" s="19">
        <v>0</v>
      </c>
      <c r="G74" s="19">
        <v>0</v>
      </c>
      <c r="H74" s="19">
        <v>1</v>
      </c>
      <c r="I74" s="19">
        <v>1</v>
      </c>
      <c r="J74" s="19">
        <v>0</v>
      </c>
      <c r="K74" s="19">
        <v>0</v>
      </c>
      <c r="L74" s="19">
        <v>0</v>
      </c>
      <c r="M74" s="19">
        <v>0</v>
      </c>
      <c r="N74" s="19">
        <v>0</v>
      </c>
      <c r="O74" s="19">
        <v>0</v>
      </c>
      <c r="P74" s="16">
        <v>0</v>
      </c>
    </row>
    <row r="75" spans="3:16">
      <c r="C75" s="20" t="s">
        <v>379</v>
      </c>
      <c r="D75" s="29">
        <v>6</v>
      </c>
      <c r="E75" s="19">
        <v>2</v>
      </c>
      <c r="F75" s="19">
        <v>2</v>
      </c>
      <c r="G75" s="19">
        <v>0</v>
      </c>
      <c r="H75" s="19">
        <v>1</v>
      </c>
      <c r="I75" s="19">
        <v>3</v>
      </c>
      <c r="J75" s="19">
        <v>1</v>
      </c>
      <c r="K75" s="19">
        <v>1</v>
      </c>
      <c r="L75" s="19">
        <v>2</v>
      </c>
      <c r="M75" s="19">
        <v>2</v>
      </c>
      <c r="N75" s="19">
        <v>0</v>
      </c>
      <c r="O75" s="19">
        <v>0</v>
      </c>
      <c r="P75" s="16">
        <v>0</v>
      </c>
    </row>
    <row r="76" spans="3:16">
      <c r="C76" s="20" t="s">
        <v>464</v>
      </c>
      <c r="D76" s="29">
        <v>1</v>
      </c>
      <c r="E76" s="19">
        <v>1</v>
      </c>
      <c r="F76" s="19">
        <v>0</v>
      </c>
      <c r="G76" s="19">
        <v>0</v>
      </c>
      <c r="H76" s="19">
        <v>0</v>
      </c>
      <c r="I76" s="19">
        <v>0</v>
      </c>
      <c r="J76" s="19">
        <v>0</v>
      </c>
      <c r="K76" s="19">
        <v>0</v>
      </c>
      <c r="L76" s="19">
        <v>0</v>
      </c>
      <c r="M76" s="19">
        <v>0</v>
      </c>
      <c r="N76" s="19">
        <v>0</v>
      </c>
      <c r="O76" s="19">
        <v>0</v>
      </c>
      <c r="P76" s="16">
        <v>0</v>
      </c>
    </row>
    <row r="77" spans="3:16">
      <c r="C77" s="20" t="s">
        <v>362</v>
      </c>
      <c r="D77" s="29">
        <v>3</v>
      </c>
      <c r="E77" s="19">
        <v>1.75</v>
      </c>
      <c r="F77" s="19">
        <v>1.75</v>
      </c>
      <c r="G77" s="19">
        <v>1</v>
      </c>
      <c r="H77" s="19">
        <v>0</v>
      </c>
      <c r="I77" s="19">
        <v>1.75</v>
      </c>
      <c r="J77" s="19">
        <v>1</v>
      </c>
      <c r="K77" s="19">
        <v>1</v>
      </c>
      <c r="L77" s="19">
        <v>0.75</v>
      </c>
      <c r="M77" s="19">
        <v>0</v>
      </c>
      <c r="N77" s="19">
        <v>0</v>
      </c>
      <c r="O77" s="19">
        <v>0</v>
      </c>
      <c r="P77" s="16">
        <v>0</v>
      </c>
    </row>
    <row r="78" spans="3:16">
      <c r="C78" s="20" t="s">
        <v>457</v>
      </c>
      <c r="D78" s="29">
        <v>1</v>
      </c>
      <c r="E78" s="19">
        <v>0</v>
      </c>
      <c r="F78" s="19">
        <v>1</v>
      </c>
      <c r="G78" s="19">
        <v>1</v>
      </c>
      <c r="H78" s="19">
        <v>1</v>
      </c>
      <c r="I78" s="19">
        <v>0</v>
      </c>
      <c r="J78" s="19">
        <v>0</v>
      </c>
      <c r="K78" s="19">
        <v>0</v>
      </c>
      <c r="L78" s="19">
        <v>0</v>
      </c>
      <c r="M78" s="19">
        <v>0</v>
      </c>
      <c r="N78" s="19">
        <v>0</v>
      </c>
      <c r="O78" s="19">
        <v>0</v>
      </c>
      <c r="P78" s="16">
        <v>0</v>
      </c>
    </row>
    <row r="79" spans="3:16">
      <c r="C79" s="20" t="s">
        <v>522</v>
      </c>
      <c r="D79" s="29">
        <v>1</v>
      </c>
      <c r="E79" s="19">
        <v>0</v>
      </c>
      <c r="F79" s="19">
        <v>0.6</v>
      </c>
      <c r="G79" s="19">
        <v>0.6</v>
      </c>
      <c r="H79" s="19">
        <v>0.6</v>
      </c>
      <c r="I79" s="19">
        <v>0</v>
      </c>
      <c r="J79" s="19">
        <v>0</v>
      </c>
      <c r="K79" s="19">
        <v>0.6</v>
      </c>
      <c r="L79" s="19">
        <v>0</v>
      </c>
      <c r="M79" s="19">
        <v>0</v>
      </c>
      <c r="N79" s="19">
        <v>0</v>
      </c>
      <c r="O79" s="19">
        <v>0</v>
      </c>
      <c r="P79" s="16">
        <v>0.6</v>
      </c>
    </row>
    <row r="80" spans="3:16">
      <c r="C80" s="20" t="s">
        <v>126</v>
      </c>
      <c r="D80" s="29">
        <v>3</v>
      </c>
      <c r="E80" s="19">
        <v>0</v>
      </c>
      <c r="F80" s="19">
        <v>1</v>
      </c>
      <c r="G80" s="19">
        <v>0</v>
      </c>
      <c r="H80" s="19">
        <v>1</v>
      </c>
      <c r="I80" s="19">
        <v>2</v>
      </c>
      <c r="J80" s="19">
        <v>0</v>
      </c>
      <c r="K80" s="19">
        <v>1</v>
      </c>
      <c r="L80" s="19">
        <v>0</v>
      </c>
      <c r="M80" s="19">
        <v>0</v>
      </c>
      <c r="N80" s="19">
        <v>0</v>
      </c>
      <c r="O80" s="19">
        <v>1</v>
      </c>
      <c r="P80" s="16">
        <v>1</v>
      </c>
    </row>
    <row r="81" spans="3:16">
      <c r="C81" s="20" t="s">
        <v>444</v>
      </c>
      <c r="D81" s="29">
        <v>1</v>
      </c>
      <c r="E81" s="19">
        <v>0</v>
      </c>
      <c r="F81" s="19">
        <v>0</v>
      </c>
      <c r="G81" s="19">
        <v>0</v>
      </c>
      <c r="H81" s="19">
        <v>0</v>
      </c>
      <c r="I81" s="19">
        <v>0</v>
      </c>
      <c r="J81" s="19">
        <v>0</v>
      </c>
      <c r="K81" s="19">
        <v>1</v>
      </c>
      <c r="L81" s="19">
        <v>1</v>
      </c>
      <c r="M81" s="19">
        <v>1</v>
      </c>
      <c r="N81" s="19">
        <v>0</v>
      </c>
      <c r="O81" s="19">
        <v>0</v>
      </c>
      <c r="P81" s="16">
        <v>0</v>
      </c>
    </row>
    <row r="82" spans="3:16">
      <c r="C82" s="20" t="s">
        <v>474</v>
      </c>
      <c r="D82" s="29">
        <v>1</v>
      </c>
      <c r="E82" s="19">
        <v>0.6</v>
      </c>
      <c r="F82" s="19">
        <v>0</v>
      </c>
      <c r="G82" s="19">
        <v>0.6</v>
      </c>
      <c r="H82" s="19">
        <v>0</v>
      </c>
      <c r="I82" s="19">
        <v>0.6</v>
      </c>
      <c r="J82" s="19">
        <v>0</v>
      </c>
      <c r="K82" s="19">
        <v>0.6</v>
      </c>
      <c r="L82" s="19">
        <v>0</v>
      </c>
      <c r="M82" s="19">
        <v>0</v>
      </c>
      <c r="N82" s="19">
        <v>0</v>
      </c>
      <c r="O82" s="19">
        <v>0.6</v>
      </c>
      <c r="P82" s="16">
        <v>0</v>
      </c>
    </row>
    <row r="83" spans="3:16">
      <c r="C83" s="20" t="s">
        <v>119</v>
      </c>
      <c r="D83" s="29">
        <v>2</v>
      </c>
      <c r="E83" s="19">
        <v>1.25</v>
      </c>
      <c r="F83" s="19">
        <v>1.25</v>
      </c>
      <c r="G83" s="19">
        <v>0.5</v>
      </c>
      <c r="H83" s="19">
        <v>0.5</v>
      </c>
      <c r="I83" s="19">
        <v>1.25</v>
      </c>
      <c r="J83" s="19">
        <v>0.5</v>
      </c>
      <c r="K83" s="19">
        <v>0</v>
      </c>
      <c r="L83" s="19">
        <v>0</v>
      </c>
      <c r="M83" s="19">
        <v>0</v>
      </c>
      <c r="N83" s="19">
        <v>0</v>
      </c>
      <c r="O83" s="19">
        <v>0</v>
      </c>
      <c r="P83" s="16">
        <v>0</v>
      </c>
    </row>
    <row r="84" spans="3:16">
      <c r="C84" s="20" t="s">
        <v>146</v>
      </c>
      <c r="D84" s="29">
        <v>1</v>
      </c>
      <c r="E84" s="19">
        <v>1</v>
      </c>
      <c r="F84" s="19">
        <v>1</v>
      </c>
      <c r="G84" s="19">
        <v>0</v>
      </c>
      <c r="H84" s="19">
        <v>0</v>
      </c>
      <c r="I84" s="19">
        <v>0</v>
      </c>
      <c r="J84" s="19">
        <v>0</v>
      </c>
      <c r="K84" s="19">
        <v>0</v>
      </c>
      <c r="L84" s="19">
        <v>0</v>
      </c>
      <c r="M84" s="19">
        <v>0</v>
      </c>
      <c r="N84" s="19">
        <v>0</v>
      </c>
      <c r="O84" s="19">
        <v>0</v>
      </c>
      <c r="P84" s="16">
        <v>0</v>
      </c>
    </row>
    <row r="85" spans="3:16">
      <c r="C85" s="20" t="s">
        <v>176</v>
      </c>
      <c r="D85" s="29">
        <v>4</v>
      </c>
      <c r="E85" s="19">
        <v>0</v>
      </c>
      <c r="F85" s="19">
        <v>0</v>
      </c>
      <c r="G85" s="19">
        <v>1</v>
      </c>
      <c r="H85" s="19">
        <v>1</v>
      </c>
      <c r="I85" s="19">
        <v>4</v>
      </c>
      <c r="J85" s="19">
        <v>1</v>
      </c>
      <c r="K85" s="19">
        <v>0</v>
      </c>
      <c r="L85" s="19">
        <v>0</v>
      </c>
      <c r="M85" s="19">
        <v>0</v>
      </c>
      <c r="N85" s="19">
        <v>0</v>
      </c>
      <c r="O85" s="19">
        <v>0</v>
      </c>
      <c r="P85" s="16">
        <v>2</v>
      </c>
    </row>
    <row r="86" spans="3:16">
      <c r="C86" s="20" t="s">
        <v>378</v>
      </c>
      <c r="D86" s="29">
        <v>1</v>
      </c>
      <c r="E86" s="19">
        <v>0</v>
      </c>
      <c r="F86" s="19">
        <v>0</v>
      </c>
      <c r="G86" s="19">
        <v>0</v>
      </c>
      <c r="H86" s="19">
        <v>1</v>
      </c>
      <c r="I86" s="19">
        <v>0</v>
      </c>
      <c r="J86" s="19">
        <v>0</v>
      </c>
      <c r="K86" s="19">
        <v>1</v>
      </c>
      <c r="L86" s="19">
        <v>1</v>
      </c>
      <c r="M86" s="19">
        <v>0</v>
      </c>
      <c r="N86" s="19">
        <v>0</v>
      </c>
      <c r="O86" s="19">
        <v>0</v>
      </c>
      <c r="P86" s="16">
        <v>0</v>
      </c>
    </row>
    <row r="87" spans="3:16">
      <c r="C87" s="20" t="s">
        <v>155</v>
      </c>
      <c r="D87" s="29">
        <v>10</v>
      </c>
      <c r="E87" s="19">
        <v>1</v>
      </c>
      <c r="F87" s="19">
        <v>2</v>
      </c>
      <c r="G87" s="19">
        <v>5</v>
      </c>
      <c r="H87" s="19">
        <v>3</v>
      </c>
      <c r="I87" s="19">
        <v>4</v>
      </c>
      <c r="J87" s="19">
        <v>1</v>
      </c>
      <c r="K87" s="19">
        <v>3</v>
      </c>
      <c r="L87" s="19">
        <v>1</v>
      </c>
      <c r="M87" s="19">
        <v>0</v>
      </c>
      <c r="N87" s="19">
        <v>1</v>
      </c>
      <c r="O87" s="19">
        <v>1</v>
      </c>
      <c r="P87" s="16">
        <v>2</v>
      </c>
    </row>
    <row r="88" spans="3:16">
      <c r="C88" s="20" t="s">
        <v>376</v>
      </c>
      <c r="D88" s="29">
        <v>1</v>
      </c>
      <c r="E88" s="19">
        <v>0</v>
      </c>
      <c r="F88" s="19">
        <v>1</v>
      </c>
      <c r="G88" s="19">
        <v>0</v>
      </c>
      <c r="H88" s="19">
        <v>0</v>
      </c>
      <c r="I88" s="19">
        <v>1</v>
      </c>
      <c r="J88" s="19">
        <v>0</v>
      </c>
      <c r="K88" s="19">
        <v>0</v>
      </c>
      <c r="L88" s="19">
        <v>1</v>
      </c>
      <c r="M88" s="19">
        <v>0</v>
      </c>
      <c r="N88" s="19">
        <v>0</v>
      </c>
      <c r="O88" s="19">
        <v>0</v>
      </c>
      <c r="P88" s="16">
        <v>0</v>
      </c>
    </row>
    <row r="89" spans="3:16">
      <c r="C89" s="20" t="s">
        <v>178</v>
      </c>
      <c r="D89" s="29">
        <v>2</v>
      </c>
      <c r="E89" s="19">
        <v>0</v>
      </c>
      <c r="F89" s="19">
        <v>0</v>
      </c>
      <c r="G89" s="19">
        <v>0</v>
      </c>
      <c r="H89" s="19">
        <v>0</v>
      </c>
      <c r="I89" s="19">
        <v>2</v>
      </c>
      <c r="J89" s="19">
        <v>0</v>
      </c>
      <c r="K89" s="19">
        <v>0</v>
      </c>
      <c r="L89" s="19">
        <v>0</v>
      </c>
      <c r="M89" s="19">
        <v>0</v>
      </c>
      <c r="N89" s="19">
        <v>0</v>
      </c>
      <c r="O89" s="19">
        <v>1</v>
      </c>
      <c r="P89" s="16">
        <v>2</v>
      </c>
    </row>
    <row r="90" spans="3:16">
      <c r="C90" s="20" t="s">
        <v>139</v>
      </c>
      <c r="D90" s="29">
        <v>3</v>
      </c>
      <c r="E90" s="19">
        <v>1</v>
      </c>
      <c r="F90" s="19">
        <v>1</v>
      </c>
      <c r="G90" s="19">
        <v>0</v>
      </c>
      <c r="H90" s="19">
        <v>1</v>
      </c>
      <c r="I90" s="19">
        <v>3</v>
      </c>
      <c r="J90" s="19">
        <v>0</v>
      </c>
      <c r="K90" s="19">
        <v>1</v>
      </c>
      <c r="L90" s="19">
        <v>0</v>
      </c>
      <c r="M90" s="19">
        <v>0</v>
      </c>
      <c r="N90" s="19">
        <v>0</v>
      </c>
      <c r="O90" s="19">
        <v>0</v>
      </c>
      <c r="P90" s="16">
        <v>0</v>
      </c>
    </row>
    <row r="91" spans="3:16">
      <c r="C91" s="20" t="s">
        <v>150</v>
      </c>
      <c r="D91" s="29">
        <v>19</v>
      </c>
      <c r="E91" s="19">
        <v>2.75</v>
      </c>
      <c r="F91" s="19">
        <v>7.75</v>
      </c>
      <c r="G91" s="19">
        <v>8.75</v>
      </c>
      <c r="H91" s="19">
        <v>3.75</v>
      </c>
      <c r="I91" s="19">
        <v>10</v>
      </c>
      <c r="J91" s="19">
        <v>4</v>
      </c>
      <c r="K91" s="19">
        <v>1</v>
      </c>
      <c r="L91" s="19">
        <v>0</v>
      </c>
      <c r="M91" s="19">
        <v>0</v>
      </c>
      <c r="N91" s="19">
        <v>0</v>
      </c>
      <c r="O91" s="19">
        <v>5</v>
      </c>
      <c r="P91" s="16">
        <v>5</v>
      </c>
    </row>
    <row r="92" spans="3:16">
      <c r="C92" s="20" t="s">
        <v>185</v>
      </c>
      <c r="D92" s="29">
        <v>5</v>
      </c>
      <c r="E92" s="19">
        <v>1</v>
      </c>
      <c r="F92" s="19">
        <v>2</v>
      </c>
      <c r="G92" s="19">
        <v>0</v>
      </c>
      <c r="H92" s="19">
        <v>0.6</v>
      </c>
      <c r="I92" s="19">
        <v>3.6</v>
      </c>
      <c r="J92" s="19">
        <v>0.6</v>
      </c>
      <c r="K92" s="19">
        <v>0.6</v>
      </c>
      <c r="L92" s="19">
        <v>0</v>
      </c>
      <c r="M92" s="19">
        <v>0</v>
      </c>
      <c r="N92" s="19">
        <v>0</v>
      </c>
      <c r="O92" s="19">
        <v>2.6</v>
      </c>
      <c r="P92" s="16">
        <v>0</v>
      </c>
    </row>
    <row r="93" spans="3:16">
      <c r="C93" s="20" t="s">
        <v>175</v>
      </c>
      <c r="D93" s="29">
        <v>2</v>
      </c>
      <c r="E93" s="19">
        <v>0</v>
      </c>
      <c r="F93" s="19">
        <v>0</v>
      </c>
      <c r="G93" s="19">
        <v>2</v>
      </c>
      <c r="H93" s="19">
        <v>0</v>
      </c>
      <c r="I93" s="19">
        <v>0</v>
      </c>
      <c r="J93" s="19">
        <v>0</v>
      </c>
      <c r="K93" s="19">
        <v>1</v>
      </c>
      <c r="L93" s="19">
        <v>1</v>
      </c>
      <c r="M93" s="19">
        <v>0</v>
      </c>
      <c r="N93" s="19">
        <v>1</v>
      </c>
      <c r="O93" s="19">
        <v>0</v>
      </c>
      <c r="P93" s="16">
        <v>1</v>
      </c>
    </row>
    <row r="94" spans="3:16">
      <c r="C94" s="20" t="s">
        <v>458</v>
      </c>
      <c r="D94" s="29">
        <v>1</v>
      </c>
      <c r="E94" s="19">
        <v>0</v>
      </c>
      <c r="F94" s="19">
        <v>0</v>
      </c>
      <c r="G94" s="19">
        <v>1</v>
      </c>
      <c r="H94" s="19">
        <v>0</v>
      </c>
      <c r="I94" s="19">
        <v>0</v>
      </c>
      <c r="J94" s="19">
        <v>1</v>
      </c>
      <c r="K94" s="19">
        <v>0</v>
      </c>
      <c r="L94" s="19">
        <v>1</v>
      </c>
      <c r="M94" s="19">
        <v>0</v>
      </c>
      <c r="N94" s="19">
        <v>0</v>
      </c>
      <c r="O94" s="19">
        <v>0</v>
      </c>
      <c r="P94" s="16">
        <v>0</v>
      </c>
    </row>
    <row r="95" spans="3:16">
      <c r="C95" s="20" t="s">
        <v>475</v>
      </c>
      <c r="D95" s="29">
        <v>1</v>
      </c>
      <c r="E95" s="19">
        <v>1</v>
      </c>
      <c r="F95" s="19">
        <v>1</v>
      </c>
      <c r="G95" s="19">
        <v>0</v>
      </c>
      <c r="H95" s="19">
        <v>0</v>
      </c>
      <c r="I95" s="19">
        <v>1</v>
      </c>
      <c r="J95" s="19">
        <v>0</v>
      </c>
      <c r="K95" s="19">
        <v>0</v>
      </c>
      <c r="L95" s="19">
        <v>0</v>
      </c>
      <c r="M95" s="19">
        <v>0</v>
      </c>
      <c r="N95" s="19">
        <v>0</v>
      </c>
      <c r="O95" s="19">
        <v>0</v>
      </c>
      <c r="P95" s="16">
        <v>0</v>
      </c>
    </row>
    <row r="96" spans="3:16">
      <c r="C96" s="20" t="s">
        <v>519</v>
      </c>
      <c r="D96" s="29">
        <v>1</v>
      </c>
      <c r="E96" s="19">
        <v>1</v>
      </c>
      <c r="F96" s="19">
        <v>0</v>
      </c>
      <c r="G96" s="19">
        <v>0</v>
      </c>
      <c r="H96" s="19">
        <v>0</v>
      </c>
      <c r="I96" s="19">
        <v>0</v>
      </c>
      <c r="J96" s="19">
        <v>0</v>
      </c>
      <c r="K96" s="19">
        <v>0</v>
      </c>
      <c r="L96" s="19">
        <v>0</v>
      </c>
      <c r="M96" s="19">
        <v>0</v>
      </c>
      <c r="N96" s="19">
        <v>0</v>
      </c>
      <c r="O96" s="19">
        <v>0</v>
      </c>
      <c r="P96" s="16">
        <v>0</v>
      </c>
    </row>
    <row r="97" spans="3:16">
      <c r="C97" s="20" t="s">
        <v>132</v>
      </c>
      <c r="D97" s="29">
        <v>3</v>
      </c>
      <c r="E97" s="19">
        <v>0</v>
      </c>
      <c r="F97" s="19">
        <v>2</v>
      </c>
      <c r="G97" s="19">
        <v>1</v>
      </c>
      <c r="H97" s="19">
        <v>0</v>
      </c>
      <c r="I97" s="19">
        <v>1</v>
      </c>
      <c r="J97" s="19">
        <v>0</v>
      </c>
      <c r="K97" s="19">
        <v>0</v>
      </c>
      <c r="L97" s="19">
        <v>0</v>
      </c>
      <c r="M97" s="19">
        <v>0</v>
      </c>
      <c r="N97" s="19">
        <v>0</v>
      </c>
      <c r="O97" s="19">
        <v>0</v>
      </c>
      <c r="P97" s="16">
        <v>0</v>
      </c>
    </row>
    <row r="98" spans="3:16">
      <c r="C98" s="20" t="s">
        <v>511</v>
      </c>
      <c r="D98" s="29">
        <v>1</v>
      </c>
      <c r="E98" s="19">
        <v>1</v>
      </c>
      <c r="F98" s="19">
        <v>0</v>
      </c>
      <c r="G98" s="19">
        <v>0</v>
      </c>
      <c r="H98" s="19">
        <v>0</v>
      </c>
      <c r="I98" s="19">
        <v>0</v>
      </c>
      <c r="J98" s="19">
        <v>0</v>
      </c>
      <c r="K98" s="19">
        <v>0</v>
      </c>
      <c r="L98" s="19">
        <v>0</v>
      </c>
      <c r="M98" s="19">
        <v>0</v>
      </c>
      <c r="N98" s="19">
        <v>0</v>
      </c>
      <c r="O98" s="19">
        <v>0</v>
      </c>
      <c r="P98" s="16">
        <v>0</v>
      </c>
    </row>
    <row r="99" spans="3:16">
      <c r="C99" s="20" t="s">
        <v>148</v>
      </c>
      <c r="D99" s="29">
        <v>8</v>
      </c>
      <c r="E99" s="19">
        <v>2</v>
      </c>
      <c r="F99" s="19">
        <v>2.333333333333333</v>
      </c>
      <c r="G99" s="19">
        <v>2.333333333333333</v>
      </c>
      <c r="H99" s="19">
        <v>1.3333333333333333</v>
      </c>
      <c r="I99" s="19">
        <v>2.333333333333333</v>
      </c>
      <c r="J99" s="19">
        <v>1.3333333333333333</v>
      </c>
      <c r="K99" s="19">
        <v>0.33333333333333331</v>
      </c>
      <c r="L99" s="19">
        <v>3.333333333333333</v>
      </c>
      <c r="M99" s="19">
        <v>1.3333333333333333</v>
      </c>
      <c r="N99" s="19">
        <v>0</v>
      </c>
      <c r="O99" s="19">
        <v>0.33333333333333331</v>
      </c>
      <c r="P99" s="16">
        <v>1</v>
      </c>
    </row>
    <row r="100" spans="3:16">
      <c r="C100" s="20" t="s">
        <v>131</v>
      </c>
      <c r="D100" s="29">
        <v>3</v>
      </c>
      <c r="E100" s="19">
        <v>0</v>
      </c>
      <c r="F100" s="19">
        <v>1.375</v>
      </c>
      <c r="G100" s="19">
        <v>0.375</v>
      </c>
      <c r="H100" s="19">
        <v>1.375</v>
      </c>
      <c r="I100" s="19">
        <v>1.375</v>
      </c>
      <c r="J100" s="19">
        <v>0.375</v>
      </c>
      <c r="K100" s="19">
        <v>0</v>
      </c>
      <c r="L100" s="19">
        <v>1.375</v>
      </c>
      <c r="M100" s="19">
        <v>0.375</v>
      </c>
      <c r="N100" s="19">
        <v>0</v>
      </c>
      <c r="O100" s="19">
        <v>0.375</v>
      </c>
      <c r="P100" s="16">
        <v>1</v>
      </c>
    </row>
    <row r="101" spans="3:16">
      <c r="C101" s="20" t="s">
        <v>136</v>
      </c>
      <c r="D101" s="29">
        <v>1</v>
      </c>
      <c r="E101" s="19">
        <v>0.25</v>
      </c>
      <c r="F101" s="19">
        <v>0.25</v>
      </c>
      <c r="G101" s="19">
        <v>0.25</v>
      </c>
      <c r="H101" s="19">
        <v>0.25</v>
      </c>
      <c r="I101" s="19">
        <v>0.25</v>
      </c>
      <c r="J101" s="19">
        <v>0.25</v>
      </c>
      <c r="K101" s="19">
        <v>0.25</v>
      </c>
      <c r="L101" s="19">
        <v>0.25</v>
      </c>
      <c r="M101" s="19">
        <v>0.25</v>
      </c>
      <c r="N101" s="19">
        <v>0.25</v>
      </c>
      <c r="O101" s="19">
        <v>0.25</v>
      </c>
      <c r="P101" s="16">
        <v>0.25</v>
      </c>
    </row>
    <row r="102" spans="3:16">
      <c r="C102" s="20" t="s">
        <v>127</v>
      </c>
      <c r="D102" s="29">
        <v>2</v>
      </c>
      <c r="E102" s="19">
        <v>0</v>
      </c>
      <c r="F102" s="19">
        <v>1</v>
      </c>
      <c r="G102" s="19">
        <v>0</v>
      </c>
      <c r="H102" s="19">
        <v>0</v>
      </c>
      <c r="I102" s="19">
        <v>2</v>
      </c>
      <c r="J102" s="19">
        <v>0</v>
      </c>
      <c r="K102" s="19">
        <v>0</v>
      </c>
      <c r="L102" s="19">
        <v>1</v>
      </c>
      <c r="M102" s="19">
        <v>0</v>
      </c>
      <c r="N102" s="19">
        <v>0</v>
      </c>
      <c r="O102" s="19">
        <v>1</v>
      </c>
      <c r="P102" s="16">
        <v>1</v>
      </c>
    </row>
    <row r="103" spans="3:16">
      <c r="C103" s="20" t="s">
        <v>115</v>
      </c>
      <c r="D103" s="29">
        <v>4</v>
      </c>
      <c r="E103" s="19">
        <v>2</v>
      </c>
      <c r="F103" s="19">
        <v>0</v>
      </c>
      <c r="G103" s="19">
        <v>0</v>
      </c>
      <c r="H103" s="19">
        <v>1</v>
      </c>
      <c r="I103" s="19">
        <v>0</v>
      </c>
      <c r="J103" s="19">
        <v>3</v>
      </c>
      <c r="K103" s="19">
        <v>0</v>
      </c>
      <c r="L103" s="19">
        <v>1</v>
      </c>
      <c r="M103" s="19">
        <v>0</v>
      </c>
      <c r="N103" s="19">
        <v>0</v>
      </c>
      <c r="O103" s="19">
        <v>1</v>
      </c>
      <c r="P103" s="16">
        <v>1</v>
      </c>
    </row>
    <row r="104" spans="3:16">
      <c r="C104" s="20" t="s">
        <v>166</v>
      </c>
      <c r="D104" s="29">
        <v>1</v>
      </c>
      <c r="E104" s="19">
        <v>1</v>
      </c>
      <c r="F104" s="19">
        <v>0</v>
      </c>
      <c r="G104" s="19">
        <v>0</v>
      </c>
      <c r="H104" s="19">
        <v>0</v>
      </c>
      <c r="I104" s="19">
        <v>1</v>
      </c>
      <c r="J104" s="19">
        <v>0</v>
      </c>
      <c r="K104" s="19">
        <v>0</v>
      </c>
      <c r="L104" s="19">
        <v>0</v>
      </c>
      <c r="M104" s="19">
        <v>0</v>
      </c>
      <c r="N104" s="19">
        <v>0</v>
      </c>
      <c r="O104" s="19">
        <v>0</v>
      </c>
      <c r="P104" s="16">
        <v>1</v>
      </c>
    </row>
    <row r="105" spans="3:16">
      <c r="C105" s="20" t="s">
        <v>125</v>
      </c>
      <c r="D105" s="29">
        <v>2</v>
      </c>
      <c r="E105" s="19">
        <v>1.75</v>
      </c>
      <c r="F105" s="19">
        <v>0</v>
      </c>
      <c r="G105" s="19">
        <v>0</v>
      </c>
      <c r="H105" s="19">
        <v>1</v>
      </c>
      <c r="I105" s="19">
        <v>0</v>
      </c>
      <c r="J105" s="19">
        <v>0.75</v>
      </c>
      <c r="K105" s="19">
        <v>0.75</v>
      </c>
      <c r="L105" s="19">
        <v>1</v>
      </c>
      <c r="M105" s="19">
        <v>0</v>
      </c>
      <c r="N105" s="19">
        <v>0</v>
      </c>
      <c r="O105" s="19">
        <v>0.75</v>
      </c>
      <c r="P105" s="16">
        <v>0</v>
      </c>
    </row>
    <row r="106" spans="3:16">
      <c r="C106" s="20" t="s">
        <v>117</v>
      </c>
      <c r="D106" s="29">
        <v>8</v>
      </c>
      <c r="E106" s="19">
        <v>2.5</v>
      </c>
      <c r="F106" s="19">
        <v>3</v>
      </c>
      <c r="G106" s="19">
        <v>2.5</v>
      </c>
      <c r="H106" s="19">
        <v>0.5</v>
      </c>
      <c r="I106" s="19">
        <v>4.5</v>
      </c>
      <c r="J106" s="19">
        <v>0</v>
      </c>
      <c r="K106" s="19">
        <v>0</v>
      </c>
      <c r="L106" s="19">
        <v>0.5</v>
      </c>
      <c r="M106" s="19">
        <v>1.5</v>
      </c>
      <c r="N106" s="19">
        <v>1</v>
      </c>
      <c r="O106" s="19">
        <v>2</v>
      </c>
      <c r="P106" s="16">
        <v>1</v>
      </c>
    </row>
    <row r="107" spans="3:16">
      <c r="C107" s="20" t="s">
        <v>168</v>
      </c>
      <c r="D107" s="29">
        <v>2</v>
      </c>
      <c r="E107" s="19">
        <v>0</v>
      </c>
      <c r="F107" s="19">
        <v>0</v>
      </c>
      <c r="G107" s="19">
        <v>0</v>
      </c>
      <c r="H107" s="19">
        <v>2</v>
      </c>
      <c r="I107" s="19">
        <v>1</v>
      </c>
      <c r="J107" s="19">
        <v>0</v>
      </c>
      <c r="K107" s="19">
        <v>0</v>
      </c>
      <c r="L107" s="19">
        <v>1</v>
      </c>
      <c r="M107" s="19">
        <v>0</v>
      </c>
      <c r="N107" s="19">
        <v>0</v>
      </c>
      <c r="O107" s="19">
        <v>0</v>
      </c>
      <c r="P107" s="16">
        <v>0</v>
      </c>
    </row>
    <row r="108" spans="3:16">
      <c r="C108" s="20" t="s">
        <v>170</v>
      </c>
      <c r="D108" s="29">
        <v>1</v>
      </c>
      <c r="E108" s="19">
        <v>0</v>
      </c>
      <c r="F108" s="19">
        <v>0</v>
      </c>
      <c r="G108" s="19">
        <v>0</v>
      </c>
      <c r="H108" s="19">
        <v>0</v>
      </c>
      <c r="I108" s="19">
        <v>0</v>
      </c>
      <c r="J108" s="19">
        <v>0</v>
      </c>
      <c r="K108" s="19">
        <v>0</v>
      </c>
      <c r="L108" s="19">
        <v>0</v>
      </c>
      <c r="M108" s="19">
        <v>0</v>
      </c>
      <c r="N108" s="19">
        <v>0</v>
      </c>
      <c r="O108" s="19">
        <v>0</v>
      </c>
      <c r="P108" s="16">
        <v>1</v>
      </c>
    </row>
    <row r="109" spans="3:16">
      <c r="C109" s="20" t="s">
        <v>158</v>
      </c>
      <c r="D109" s="29">
        <v>4</v>
      </c>
      <c r="E109" s="19">
        <v>1</v>
      </c>
      <c r="F109" s="19">
        <v>0</v>
      </c>
      <c r="G109" s="19">
        <v>4</v>
      </c>
      <c r="H109" s="19">
        <v>1</v>
      </c>
      <c r="I109" s="19">
        <v>4</v>
      </c>
      <c r="J109" s="19">
        <v>0</v>
      </c>
      <c r="K109" s="19">
        <v>1</v>
      </c>
      <c r="L109" s="19">
        <v>1</v>
      </c>
      <c r="M109" s="19">
        <v>0</v>
      </c>
      <c r="N109" s="19">
        <v>0</v>
      </c>
      <c r="O109" s="19">
        <v>0</v>
      </c>
      <c r="P109" s="16">
        <v>0</v>
      </c>
    </row>
    <row r="110" spans="3:16">
      <c r="C110" s="20" t="s">
        <v>129</v>
      </c>
      <c r="D110" s="29">
        <v>3</v>
      </c>
      <c r="E110" s="19">
        <v>1</v>
      </c>
      <c r="F110" s="19">
        <v>1.75</v>
      </c>
      <c r="G110" s="19">
        <v>0.75</v>
      </c>
      <c r="H110" s="19">
        <v>0.75</v>
      </c>
      <c r="I110" s="19">
        <v>1.75</v>
      </c>
      <c r="J110" s="19">
        <v>0</v>
      </c>
      <c r="K110" s="19">
        <v>0</v>
      </c>
      <c r="L110" s="19">
        <v>0</v>
      </c>
      <c r="M110" s="19">
        <v>1</v>
      </c>
      <c r="N110" s="19">
        <v>0</v>
      </c>
      <c r="O110" s="19">
        <v>0</v>
      </c>
      <c r="P110" s="16">
        <v>1</v>
      </c>
    </row>
    <row r="111" spans="3:16">
      <c r="C111" s="20" t="s">
        <v>181</v>
      </c>
      <c r="D111" s="29">
        <v>4</v>
      </c>
      <c r="E111" s="19">
        <v>1</v>
      </c>
      <c r="F111" s="19">
        <v>1</v>
      </c>
      <c r="G111" s="19">
        <v>1</v>
      </c>
      <c r="H111" s="19">
        <v>1</v>
      </c>
      <c r="I111" s="19">
        <v>1</v>
      </c>
      <c r="J111" s="19">
        <v>0</v>
      </c>
      <c r="K111" s="19">
        <v>0</v>
      </c>
      <c r="L111" s="19">
        <v>0</v>
      </c>
      <c r="M111" s="19">
        <v>1</v>
      </c>
      <c r="N111" s="19">
        <v>1</v>
      </c>
      <c r="O111" s="19">
        <v>0</v>
      </c>
      <c r="P111" s="16">
        <v>1</v>
      </c>
    </row>
    <row r="112" spans="3:16">
      <c r="C112" s="20" t="s">
        <v>357</v>
      </c>
      <c r="D112" s="29">
        <v>3</v>
      </c>
      <c r="E112" s="19">
        <v>0</v>
      </c>
      <c r="F112" s="19">
        <v>1</v>
      </c>
      <c r="G112" s="19">
        <v>2</v>
      </c>
      <c r="H112" s="19">
        <v>0</v>
      </c>
      <c r="I112" s="19">
        <v>2</v>
      </c>
      <c r="J112" s="19">
        <v>1</v>
      </c>
      <c r="K112" s="19">
        <v>1</v>
      </c>
      <c r="L112" s="19">
        <v>1</v>
      </c>
      <c r="M112" s="19">
        <v>0</v>
      </c>
      <c r="N112" s="19">
        <v>0</v>
      </c>
      <c r="O112" s="19">
        <v>0</v>
      </c>
      <c r="P112" s="16">
        <v>0</v>
      </c>
    </row>
    <row r="113" spans="3:16">
      <c r="C113" s="20" t="s">
        <v>520</v>
      </c>
      <c r="D113" s="29">
        <v>3</v>
      </c>
      <c r="E113" s="19">
        <v>1</v>
      </c>
      <c r="F113" s="19">
        <v>0</v>
      </c>
      <c r="G113" s="19">
        <v>1</v>
      </c>
      <c r="H113" s="19">
        <v>0</v>
      </c>
      <c r="I113" s="19">
        <v>2</v>
      </c>
      <c r="J113" s="19">
        <v>1</v>
      </c>
      <c r="K113" s="19">
        <v>1</v>
      </c>
      <c r="L113" s="19">
        <v>0</v>
      </c>
      <c r="M113" s="19">
        <v>0</v>
      </c>
      <c r="N113" s="19">
        <v>0</v>
      </c>
      <c r="O113" s="19">
        <v>1</v>
      </c>
      <c r="P113" s="16">
        <v>1</v>
      </c>
    </row>
    <row r="114" spans="3:16">
      <c r="C114" s="20" t="s">
        <v>432</v>
      </c>
      <c r="D114" s="29">
        <v>1</v>
      </c>
      <c r="E114" s="19">
        <v>0</v>
      </c>
      <c r="F114" s="19">
        <v>0</v>
      </c>
      <c r="G114" s="19">
        <v>0</v>
      </c>
      <c r="H114" s="19">
        <v>0</v>
      </c>
      <c r="I114" s="19">
        <v>1</v>
      </c>
      <c r="J114" s="19">
        <v>0</v>
      </c>
      <c r="K114" s="19">
        <v>0</v>
      </c>
      <c r="L114" s="19">
        <v>0</v>
      </c>
      <c r="M114" s="19">
        <v>0</v>
      </c>
      <c r="N114" s="19">
        <v>0</v>
      </c>
      <c r="O114" s="19">
        <v>0</v>
      </c>
      <c r="P114" s="16">
        <v>0</v>
      </c>
    </row>
    <row r="115" spans="3:16">
      <c r="C115" s="20" t="s">
        <v>173</v>
      </c>
      <c r="D115" s="29">
        <v>19</v>
      </c>
      <c r="E115" s="19">
        <v>4.75</v>
      </c>
      <c r="F115" s="19">
        <v>14.35</v>
      </c>
      <c r="G115" s="19">
        <v>10.6</v>
      </c>
      <c r="H115" s="19">
        <v>1.6</v>
      </c>
      <c r="I115" s="19">
        <v>15.75</v>
      </c>
      <c r="J115" s="19">
        <v>0</v>
      </c>
      <c r="K115" s="19">
        <v>0.6</v>
      </c>
      <c r="L115" s="19">
        <v>0.6</v>
      </c>
      <c r="M115" s="19">
        <v>2</v>
      </c>
      <c r="N115" s="19">
        <v>1</v>
      </c>
      <c r="O115" s="19">
        <v>0</v>
      </c>
      <c r="P115" s="16">
        <v>1.75</v>
      </c>
    </row>
    <row r="116" spans="3:16">
      <c r="C116" s="20" t="s">
        <v>509</v>
      </c>
      <c r="D116" s="29">
        <v>1</v>
      </c>
      <c r="E116" s="19">
        <v>0</v>
      </c>
      <c r="F116" s="19">
        <v>0</v>
      </c>
      <c r="G116" s="19">
        <v>0</v>
      </c>
      <c r="H116" s="19">
        <v>0</v>
      </c>
      <c r="I116" s="19">
        <v>1</v>
      </c>
      <c r="J116" s="19">
        <v>1</v>
      </c>
      <c r="K116" s="19">
        <v>0</v>
      </c>
      <c r="L116" s="19">
        <v>0</v>
      </c>
      <c r="M116" s="19">
        <v>0</v>
      </c>
      <c r="N116" s="19">
        <v>0</v>
      </c>
      <c r="O116" s="19">
        <v>0</v>
      </c>
      <c r="P116" s="16">
        <v>1</v>
      </c>
    </row>
    <row r="117" spans="3:16">
      <c r="C117" s="20" t="s">
        <v>130</v>
      </c>
      <c r="D117" s="29">
        <v>4</v>
      </c>
      <c r="E117" s="19">
        <v>1</v>
      </c>
      <c r="F117" s="19">
        <v>0</v>
      </c>
      <c r="G117" s="19">
        <v>2</v>
      </c>
      <c r="H117" s="19">
        <v>0</v>
      </c>
      <c r="I117" s="19">
        <v>3</v>
      </c>
      <c r="J117" s="19">
        <v>2</v>
      </c>
      <c r="K117" s="19">
        <v>1</v>
      </c>
      <c r="L117" s="19">
        <v>0</v>
      </c>
      <c r="M117" s="19">
        <v>1</v>
      </c>
      <c r="N117" s="19">
        <v>0</v>
      </c>
      <c r="O117" s="19">
        <v>0</v>
      </c>
      <c r="P117" s="16">
        <v>1</v>
      </c>
    </row>
    <row r="118" spans="3:16">
      <c r="C118" s="20" t="s">
        <v>183</v>
      </c>
      <c r="D118" s="29">
        <v>5</v>
      </c>
      <c r="E118" s="19">
        <v>0.33333333333333331</v>
      </c>
      <c r="F118" s="19">
        <v>1.3333333333333333</v>
      </c>
      <c r="G118" s="19">
        <v>1.3333333333333333</v>
      </c>
      <c r="H118" s="19">
        <v>2.333333333333333</v>
      </c>
      <c r="I118" s="19">
        <v>2.333333333333333</v>
      </c>
      <c r="J118" s="19">
        <v>0</v>
      </c>
      <c r="K118" s="19">
        <v>1</v>
      </c>
      <c r="L118" s="19">
        <v>0.33333333333333331</v>
      </c>
      <c r="M118" s="19">
        <v>0.33333333333333331</v>
      </c>
      <c r="N118" s="19">
        <v>0.33333333333333331</v>
      </c>
      <c r="O118" s="19">
        <v>0</v>
      </c>
      <c r="P118" s="16">
        <v>1.3333333333333333</v>
      </c>
    </row>
    <row r="119" spans="3:16">
      <c r="C119" s="20" t="s">
        <v>510</v>
      </c>
      <c r="D119" s="29">
        <v>1</v>
      </c>
      <c r="E119" s="19">
        <v>1</v>
      </c>
      <c r="F119" s="19">
        <v>0</v>
      </c>
      <c r="G119" s="19">
        <v>0</v>
      </c>
      <c r="H119" s="19">
        <v>0</v>
      </c>
      <c r="I119" s="19">
        <v>0</v>
      </c>
      <c r="J119" s="19">
        <v>0</v>
      </c>
      <c r="K119" s="19">
        <v>0</v>
      </c>
      <c r="L119" s="19">
        <v>0</v>
      </c>
      <c r="M119" s="19">
        <v>0</v>
      </c>
      <c r="N119" s="19">
        <v>0</v>
      </c>
      <c r="O119" s="19">
        <v>0</v>
      </c>
      <c r="P119" s="16">
        <v>0</v>
      </c>
    </row>
    <row r="120" spans="3:16">
      <c r="C120" s="20" t="s">
        <v>472</v>
      </c>
      <c r="D120" s="29">
        <v>1</v>
      </c>
      <c r="E120" s="19">
        <v>1</v>
      </c>
      <c r="F120" s="19">
        <v>0</v>
      </c>
      <c r="G120" s="19">
        <v>1</v>
      </c>
      <c r="H120" s="19">
        <v>0</v>
      </c>
      <c r="I120" s="19">
        <v>0</v>
      </c>
      <c r="J120" s="19">
        <v>0</v>
      </c>
      <c r="K120" s="19">
        <v>0</v>
      </c>
      <c r="L120" s="19">
        <v>0</v>
      </c>
      <c r="M120" s="19">
        <v>0</v>
      </c>
      <c r="N120" s="19">
        <v>0</v>
      </c>
      <c r="O120" s="19">
        <v>0</v>
      </c>
      <c r="P120" s="16">
        <v>0</v>
      </c>
    </row>
    <row r="121" spans="3:16">
      <c r="C121" s="20" t="s">
        <v>177</v>
      </c>
      <c r="D121" s="29">
        <v>5</v>
      </c>
      <c r="E121" s="19">
        <v>4</v>
      </c>
      <c r="F121" s="19">
        <v>1</v>
      </c>
      <c r="G121" s="19">
        <v>2</v>
      </c>
      <c r="H121" s="19">
        <v>0</v>
      </c>
      <c r="I121" s="19">
        <v>4</v>
      </c>
      <c r="J121" s="19">
        <v>0</v>
      </c>
      <c r="K121" s="19">
        <v>1</v>
      </c>
      <c r="L121" s="19">
        <v>0</v>
      </c>
      <c r="M121" s="19">
        <v>0</v>
      </c>
      <c r="N121" s="19">
        <v>0</v>
      </c>
      <c r="O121" s="19">
        <v>3</v>
      </c>
      <c r="P121" s="16">
        <v>0</v>
      </c>
    </row>
    <row r="122" spans="3:16">
      <c r="C122" s="20" t="s">
        <v>488</v>
      </c>
      <c r="D122" s="29">
        <v>1</v>
      </c>
      <c r="E122" s="19">
        <v>1</v>
      </c>
      <c r="F122" s="19">
        <v>0</v>
      </c>
      <c r="G122" s="19">
        <v>0</v>
      </c>
      <c r="H122" s="19">
        <v>0</v>
      </c>
      <c r="I122" s="19">
        <v>0</v>
      </c>
      <c r="J122" s="19">
        <v>0</v>
      </c>
      <c r="K122" s="19">
        <v>0</v>
      </c>
      <c r="L122" s="19">
        <v>0</v>
      </c>
      <c r="M122" s="19">
        <v>0</v>
      </c>
      <c r="N122" s="19">
        <v>0</v>
      </c>
      <c r="O122" s="19">
        <v>1</v>
      </c>
      <c r="P122" s="16">
        <v>0</v>
      </c>
    </row>
    <row r="123" spans="3:16">
      <c r="C123" s="20" t="s">
        <v>513</v>
      </c>
      <c r="D123" s="29">
        <v>2</v>
      </c>
      <c r="E123" s="19">
        <v>0</v>
      </c>
      <c r="F123" s="19">
        <v>0</v>
      </c>
      <c r="G123" s="19">
        <v>0</v>
      </c>
      <c r="H123" s="19">
        <v>0</v>
      </c>
      <c r="I123" s="19">
        <v>1</v>
      </c>
      <c r="J123" s="19">
        <v>2</v>
      </c>
      <c r="K123" s="19">
        <v>0</v>
      </c>
      <c r="L123" s="19">
        <v>1</v>
      </c>
      <c r="M123" s="19">
        <v>0</v>
      </c>
      <c r="N123" s="19">
        <v>0</v>
      </c>
      <c r="O123" s="19">
        <v>1</v>
      </c>
      <c r="P123" s="16">
        <v>0</v>
      </c>
    </row>
    <row r="124" spans="3:16">
      <c r="C124" s="20" t="s">
        <v>143</v>
      </c>
      <c r="D124" s="29">
        <v>2</v>
      </c>
      <c r="E124" s="19">
        <v>1.75</v>
      </c>
      <c r="F124" s="19">
        <v>0</v>
      </c>
      <c r="G124" s="19">
        <v>1.75</v>
      </c>
      <c r="H124" s="19">
        <v>0</v>
      </c>
      <c r="I124" s="19">
        <v>0</v>
      </c>
      <c r="J124" s="19">
        <v>0</v>
      </c>
      <c r="K124" s="19">
        <v>0.75</v>
      </c>
      <c r="L124" s="19">
        <v>1.75</v>
      </c>
      <c r="M124" s="19">
        <v>0</v>
      </c>
      <c r="N124" s="19">
        <v>0</v>
      </c>
      <c r="O124" s="19">
        <v>0</v>
      </c>
      <c r="P124" s="16">
        <v>0</v>
      </c>
    </row>
    <row r="125" spans="3:16">
      <c r="C125" s="20" t="s">
        <v>422</v>
      </c>
      <c r="D125" s="29">
        <v>1</v>
      </c>
      <c r="E125" s="19">
        <v>1</v>
      </c>
      <c r="F125" s="19">
        <v>0</v>
      </c>
      <c r="G125" s="19">
        <v>0</v>
      </c>
      <c r="H125" s="19">
        <v>0</v>
      </c>
      <c r="I125" s="19">
        <v>0</v>
      </c>
      <c r="J125" s="19">
        <v>0</v>
      </c>
      <c r="K125" s="19">
        <v>1</v>
      </c>
      <c r="L125" s="19">
        <v>1</v>
      </c>
      <c r="M125" s="19">
        <v>0</v>
      </c>
      <c r="N125" s="19">
        <v>0</v>
      </c>
      <c r="O125" s="19">
        <v>0</v>
      </c>
      <c r="P125" s="16">
        <v>0</v>
      </c>
    </row>
    <row r="126" spans="3:16">
      <c r="C126" s="20" t="s">
        <v>112</v>
      </c>
      <c r="D126" s="29">
        <v>3</v>
      </c>
      <c r="E126" s="19">
        <v>1</v>
      </c>
      <c r="F126" s="19">
        <v>1</v>
      </c>
      <c r="G126" s="19">
        <v>1</v>
      </c>
      <c r="H126" s="19">
        <v>2</v>
      </c>
      <c r="I126" s="19">
        <v>0</v>
      </c>
      <c r="J126" s="19">
        <v>0</v>
      </c>
      <c r="K126" s="19">
        <v>0</v>
      </c>
      <c r="L126" s="19">
        <v>0</v>
      </c>
      <c r="M126" s="19">
        <v>0</v>
      </c>
      <c r="N126" s="19">
        <v>0</v>
      </c>
      <c r="O126" s="19">
        <v>0</v>
      </c>
      <c r="P126" s="16">
        <v>1</v>
      </c>
    </row>
    <row r="127" spans="3:16">
      <c r="C127" s="20" t="s">
        <v>184</v>
      </c>
      <c r="D127" s="29">
        <v>9</v>
      </c>
      <c r="E127" s="19">
        <v>0.33333333333333331</v>
      </c>
      <c r="F127" s="19">
        <v>3.4285714285714284</v>
      </c>
      <c r="G127" s="19">
        <v>3.7619047619047614</v>
      </c>
      <c r="H127" s="19">
        <v>1.7619047619047619</v>
      </c>
      <c r="I127" s="19">
        <v>5.7619047619047619</v>
      </c>
      <c r="J127" s="19">
        <v>0.33333333333333331</v>
      </c>
      <c r="K127" s="19">
        <v>2.7619047619047614</v>
      </c>
      <c r="L127" s="19">
        <v>2.7619047619047619</v>
      </c>
      <c r="M127" s="19">
        <v>0</v>
      </c>
      <c r="N127" s="19">
        <v>0</v>
      </c>
      <c r="O127" s="19">
        <v>1.3333333333333333</v>
      </c>
      <c r="P127" s="16">
        <v>1.7619047619047619</v>
      </c>
    </row>
    <row r="128" spans="3:16">
      <c r="C128" s="20" t="s">
        <v>368</v>
      </c>
      <c r="D128" s="29">
        <v>11</v>
      </c>
      <c r="E128" s="19">
        <v>1.6</v>
      </c>
      <c r="F128" s="19">
        <v>0.6</v>
      </c>
      <c r="G128" s="19">
        <v>1.6</v>
      </c>
      <c r="H128" s="19">
        <v>2</v>
      </c>
      <c r="I128" s="19">
        <v>4.5999999999999996</v>
      </c>
      <c r="J128" s="19">
        <v>0.6</v>
      </c>
      <c r="K128" s="19">
        <v>0</v>
      </c>
      <c r="L128" s="19">
        <v>3</v>
      </c>
      <c r="M128" s="19">
        <v>0</v>
      </c>
      <c r="N128" s="19">
        <v>1</v>
      </c>
      <c r="O128" s="19">
        <v>1</v>
      </c>
      <c r="P128" s="16">
        <v>2</v>
      </c>
    </row>
    <row r="129" spans="3:16">
      <c r="C129" s="20" t="s">
        <v>169</v>
      </c>
      <c r="D129" s="29">
        <v>1</v>
      </c>
      <c r="E129" s="19">
        <v>0</v>
      </c>
      <c r="F129" s="19">
        <v>0</v>
      </c>
      <c r="G129" s="19">
        <v>1</v>
      </c>
      <c r="H129" s="19">
        <v>0</v>
      </c>
      <c r="I129" s="19">
        <v>0</v>
      </c>
      <c r="J129" s="19">
        <v>0</v>
      </c>
      <c r="K129" s="19">
        <v>0</v>
      </c>
      <c r="L129" s="19">
        <v>0</v>
      </c>
      <c r="M129" s="19">
        <v>0</v>
      </c>
      <c r="N129" s="19">
        <v>0</v>
      </c>
      <c r="O129" s="19">
        <v>0</v>
      </c>
      <c r="P129" s="16">
        <v>1</v>
      </c>
    </row>
    <row r="130" spans="3:16">
      <c r="C130" s="20" t="s">
        <v>137</v>
      </c>
      <c r="D130" s="29">
        <v>1</v>
      </c>
      <c r="E130" s="19">
        <v>0.6</v>
      </c>
      <c r="F130" s="19">
        <v>0</v>
      </c>
      <c r="G130" s="19">
        <v>0.6</v>
      </c>
      <c r="H130" s="19">
        <v>0.6</v>
      </c>
      <c r="I130" s="19">
        <v>0.6</v>
      </c>
      <c r="J130" s="19">
        <v>0.6</v>
      </c>
      <c r="K130" s="19">
        <v>0</v>
      </c>
      <c r="L130" s="19">
        <v>0</v>
      </c>
      <c r="M130" s="19">
        <v>0</v>
      </c>
      <c r="N130" s="19">
        <v>0</v>
      </c>
      <c r="O130" s="19">
        <v>0</v>
      </c>
      <c r="P130" s="16">
        <v>0</v>
      </c>
    </row>
    <row r="131" spans="3:16">
      <c r="C131" s="20" t="s">
        <v>370</v>
      </c>
      <c r="D131" s="29">
        <v>2</v>
      </c>
      <c r="E131" s="19">
        <v>0</v>
      </c>
      <c r="F131" s="19">
        <v>1</v>
      </c>
      <c r="G131" s="19">
        <v>0</v>
      </c>
      <c r="H131" s="19">
        <v>0</v>
      </c>
      <c r="I131" s="19">
        <v>0</v>
      </c>
      <c r="J131" s="19">
        <v>0</v>
      </c>
      <c r="K131" s="19">
        <v>0</v>
      </c>
      <c r="L131" s="19">
        <v>1</v>
      </c>
      <c r="M131" s="19">
        <v>0</v>
      </c>
      <c r="N131" s="19">
        <v>1</v>
      </c>
      <c r="O131" s="19">
        <v>0</v>
      </c>
      <c r="P131" s="16">
        <v>0</v>
      </c>
    </row>
    <row r="132" spans="3:16">
      <c r="C132" s="20" t="s">
        <v>147</v>
      </c>
      <c r="D132" s="29">
        <v>3</v>
      </c>
      <c r="E132" s="19">
        <v>2</v>
      </c>
      <c r="F132" s="19">
        <v>0</v>
      </c>
      <c r="G132" s="19">
        <v>0</v>
      </c>
      <c r="H132" s="19">
        <v>1</v>
      </c>
      <c r="I132" s="19">
        <v>0</v>
      </c>
      <c r="J132" s="19">
        <v>0</v>
      </c>
      <c r="K132" s="19">
        <v>1</v>
      </c>
      <c r="L132" s="19">
        <v>1</v>
      </c>
      <c r="M132" s="19">
        <v>2</v>
      </c>
      <c r="N132" s="19">
        <v>0</v>
      </c>
      <c r="O132" s="19">
        <v>1</v>
      </c>
      <c r="P132" s="16">
        <v>0</v>
      </c>
    </row>
    <row r="133" spans="3:16">
      <c r="C133" s="20" t="s">
        <v>471</v>
      </c>
      <c r="D133" s="29">
        <v>1</v>
      </c>
      <c r="E133" s="19">
        <v>0.75</v>
      </c>
      <c r="F133" s="19">
        <v>0.75</v>
      </c>
      <c r="G133" s="19">
        <v>0.75</v>
      </c>
      <c r="H133" s="19">
        <v>0</v>
      </c>
      <c r="I133" s="19">
        <v>0.75</v>
      </c>
      <c r="J133" s="19">
        <v>0</v>
      </c>
      <c r="K133" s="19">
        <v>0</v>
      </c>
      <c r="L133" s="19">
        <v>0</v>
      </c>
      <c r="M133" s="19">
        <v>0</v>
      </c>
      <c r="N133" s="19">
        <v>0</v>
      </c>
      <c r="O133" s="19">
        <v>0</v>
      </c>
      <c r="P133" s="16">
        <v>0</v>
      </c>
    </row>
    <row r="134" spans="3:16">
      <c r="C134" s="20" t="s">
        <v>186</v>
      </c>
      <c r="D134" s="29">
        <v>11</v>
      </c>
      <c r="E134" s="19">
        <v>2</v>
      </c>
      <c r="F134" s="19">
        <v>3</v>
      </c>
      <c r="G134" s="19">
        <v>3</v>
      </c>
      <c r="H134" s="19">
        <v>2</v>
      </c>
      <c r="I134" s="19">
        <v>1</v>
      </c>
      <c r="J134" s="19">
        <v>2</v>
      </c>
      <c r="K134" s="19">
        <v>1</v>
      </c>
      <c r="L134" s="19">
        <v>4</v>
      </c>
      <c r="M134" s="19">
        <v>0</v>
      </c>
      <c r="N134" s="19">
        <v>2</v>
      </c>
      <c r="O134" s="19">
        <v>1</v>
      </c>
      <c r="P134" s="16">
        <v>2</v>
      </c>
    </row>
    <row r="135" spans="3:16">
      <c r="C135" s="20" t="s">
        <v>361</v>
      </c>
      <c r="D135" s="29">
        <v>2</v>
      </c>
      <c r="E135" s="19">
        <v>0</v>
      </c>
      <c r="F135" s="19">
        <v>1</v>
      </c>
      <c r="G135" s="19">
        <v>1</v>
      </c>
      <c r="H135" s="19">
        <v>0</v>
      </c>
      <c r="I135" s="19">
        <v>2</v>
      </c>
      <c r="J135" s="19">
        <v>1</v>
      </c>
      <c r="K135" s="19">
        <v>0</v>
      </c>
      <c r="L135" s="19">
        <v>0</v>
      </c>
      <c r="M135" s="19">
        <v>0</v>
      </c>
      <c r="N135" s="19">
        <v>1</v>
      </c>
      <c r="O135" s="19">
        <v>0</v>
      </c>
      <c r="P135" s="16">
        <v>0</v>
      </c>
    </row>
    <row r="136" spans="3:16">
      <c r="C136" s="20" t="s">
        <v>118</v>
      </c>
      <c r="D136" s="29">
        <v>2</v>
      </c>
      <c r="E136" s="19">
        <v>2</v>
      </c>
      <c r="F136" s="19">
        <v>0</v>
      </c>
      <c r="G136" s="19">
        <v>1</v>
      </c>
      <c r="H136" s="19">
        <v>0</v>
      </c>
      <c r="I136" s="19">
        <v>0</v>
      </c>
      <c r="J136" s="19">
        <v>1</v>
      </c>
      <c r="K136" s="19">
        <v>0</v>
      </c>
      <c r="L136" s="19">
        <v>0</v>
      </c>
      <c r="M136" s="19">
        <v>0</v>
      </c>
      <c r="N136" s="19">
        <v>0</v>
      </c>
      <c r="O136" s="19">
        <v>0</v>
      </c>
      <c r="P136" s="16">
        <v>0</v>
      </c>
    </row>
    <row r="137" spans="3:16">
      <c r="C137" s="20" t="s">
        <v>151</v>
      </c>
      <c r="D137" s="29">
        <v>4</v>
      </c>
      <c r="E137" s="19">
        <v>0</v>
      </c>
      <c r="F137" s="19">
        <v>0.75</v>
      </c>
      <c r="G137" s="19">
        <v>1.75</v>
      </c>
      <c r="H137" s="19">
        <v>0</v>
      </c>
      <c r="I137" s="19">
        <v>2</v>
      </c>
      <c r="J137" s="19">
        <v>2.75</v>
      </c>
      <c r="K137" s="19">
        <v>0</v>
      </c>
      <c r="L137" s="19">
        <v>2.75</v>
      </c>
      <c r="M137" s="19">
        <v>0</v>
      </c>
      <c r="N137" s="19">
        <v>0</v>
      </c>
      <c r="O137" s="19">
        <v>0</v>
      </c>
      <c r="P137" s="16">
        <v>1</v>
      </c>
    </row>
    <row r="138" spans="3:16">
      <c r="C138" s="20" t="s">
        <v>358</v>
      </c>
      <c r="D138" s="29">
        <v>3</v>
      </c>
      <c r="E138" s="19">
        <v>2</v>
      </c>
      <c r="F138" s="19">
        <v>2</v>
      </c>
      <c r="G138" s="19">
        <v>1</v>
      </c>
      <c r="H138" s="19">
        <v>0</v>
      </c>
      <c r="I138" s="19">
        <v>2</v>
      </c>
      <c r="J138" s="19">
        <v>0</v>
      </c>
      <c r="K138" s="19">
        <v>0</v>
      </c>
      <c r="L138" s="19">
        <v>2</v>
      </c>
      <c r="M138" s="19">
        <v>0</v>
      </c>
      <c r="N138" s="19">
        <v>0</v>
      </c>
      <c r="O138" s="19">
        <v>0</v>
      </c>
      <c r="P138" s="16">
        <v>0</v>
      </c>
    </row>
    <row r="139" spans="3:16">
      <c r="C139" s="20" t="s">
        <v>162</v>
      </c>
      <c r="D139" s="29">
        <v>1</v>
      </c>
      <c r="E139" s="19">
        <v>0</v>
      </c>
      <c r="F139" s="19">
        <v>0</v>
      </c>
      <c r="G139" s="19">
        <v>0</v>
      </c>
      <c r="H139" s="19">
        <v>0</v>
      </c>
      <c r="I139" s="19">
        <v>1</v>
      </c>
      <c r="J139" s="19">
        <v>0</v>
      </c>
      <c r="K139" s="19">
        <v>0</v>
      </c>
      <c r="L139" s="19">
        <v>0</v>
      </c>
      <c r="M139" s="19">
        <v>0</v>
      </c>
      <c r="N139" s="19">
        <v>0</v>
      </c>
      <c r="O139" s="19">
        <v>0</v>
      </c>
      <c r="P139" s="16">
        <v>0</v>
      </c>
    </row>
    <row r="140" spans="3:16">
      <c r="C140" s="20" t="s">
        <v>459</v>
      </c>
      <c r="D140" s="29">
        <v>1</v>
      </c>
      <c r="E140" s="19">
        <v>0</v>
      </c>
      <c r="F140" s="19">
        <v>0</v>
      </c>
      <c r="G140" s="19">
        <v>0.75</v>
      </c>
      <c r="H140" s="19">
        <v>0</v>
      </c>
      <c r="I140" s="19">
        <v>0.75</v>
      </c>
      <c r="J140" s="19">
        <v>0</v>
      </c>
      <c r="K140" s="19">
        <v>0</v>
      </c>
      <c r="L140" s="19">
        <v>0.75</v>
      </c>
      <c r="M140" s="19">
        <v>0</v>
      </c>
      <c r="N140" s="19">
        <v>0</v>
      </c>
      <c r="O140" s="19">
        <v>0.75</v>
      </c>
      <c r="P140" s="16">
        <v>0</v>
      </c>
    </row>
    <row r="141" spans="3:16">
      <c r="C141" s="20" t="s">
        <v>164</v>
      </c>
      <c r="D141" s="29">
        <v>39</v>
      </c>
      <c r="E141" s="19">
        <v>11.75</v>
      </c>
      <c r="F141" s="19">
        <v>12.75</v>
      </c>
      <c r="G141" s="19">
        <v>7</v>
      </c>
      <c r="H141" s="19">
        <v>5.6</v>
      </c>
      <c r="I141" s="19">
        <v>16.600000000000001</v>
      </c>
      <c r="J141" s="19">
        <v>5.6</v>
      </c>
      <c r="K141" s="19">
        <v>6</v>
      </c>
      <c r="L141" s="19">
        <v>7.75</v>
      </c>
      <c r="M141" s="19">
        <v>6</v>
      </c>
      <c r="N141" s="19">
        <v>10.6</v>
      </c>
      <c r="O141" s="19">
        <v>4</v>
      </c>
      <c r="P141" s="16">
        <v>6.35</v>
      </c>
    </row>
    <row r="142" spans="3:16">
      <c r="C142" s="20" t="s">
        <v>430</v>
      </c>
      <c r="D142" s="29">
        <v>1</v>
      </c>
      <c r="E142" s="19">
        <v>0</v>
      </c>
      <c r="F142" s="19">
        <v>1</v>
      </c>
      <c r="G142" s="19">
        <v>1</v>
      </c>
      <c r="H142" s="19">
        <v>0</v>
      </c>
      <c r="I142" s="19">
        <v>1</v>
      </c>
      <c r="J142" s="19">
        <v>0</v>
      </c>
      <c r="K142" s="19">
        <v>0</v>
      </c>
      <c r="L142" s="19">
        <v>0</v>
      </c>
      <c r="M142" s="19">
        <v>0</v>
      </c>
      <c r="N142" s="19">
        <v>0</v>
      </c>
      <c r="O142" s="19">
        <v>0</v>
      </c>
      <c r="P142" s="16">
        <v>0</v>
      </c>
    </row>
    <row r="143" spans="3:16">
      <c r="C143" s="20" t="s">
        <v>160</v>
      </c>
      <c r="D143" s="29">
        <v>3</v>
      </c>
      <c r="E143" s="19">
        <v>2</v>
      </c>
      <c r="F143" s="19">
        <v>0</v>
      </c>
      <c r="G143" s="19">
        <v>0</v>
      </c>
      <c r="H143" s="19">
        <v>1</v>
      </c>
      <c r="I143" s="19">
        <v>2</v>
      </c>
      <c r="J143" s="19">
        <v>0</v>
      </c>
      <c r="K143" s="19">
        <v>0</v>
      </c>
      <c r="L143" s="19">
        <v>0</v>
      </c>
      <c r="M143" s="19">
        <v>1</v>
      </c>
      <c r="N143" s="19">
        <v>1</v>
      </c>
      <c r="O143" s="19">
        <v>0</v>
      </c>
      <c r="P143" s="16">
        <v>0</v>
      </c>
    </row>
    <row r="144" spans="3:16">
      <c r="C144" s="20" t="s">
        <v>441</v>
      </c>
      <c r="D144" s="29">
        <v>1</v>
      </c>
      <c r="E144" s="19">
        <v>1</v>
      </c>
      <c r="F144" s="19">
        <v>0</v>
      </c>
      <c r="G144" s="19">
        <v>0</v>
      </c>
      <c r="H144" s="19">
        <v>0</v>
      </c>
      <c r="I144" s="19">
        <v>0</v>
      </c>
      <c r="J144" s="19">
        <v>1</v>
      </c>
      <c r="K144" s="19">
        <v>0</v>
      </c>
      <c r="L144" s="19">
        <v>0</v>
      </c>
      <c r="M144" s="19">
        <v>0</v>
      </c>
      <c r="N144" s="19">
        <v>0</v>
      </c>
      <c r="O144" s="19">
        <v>0</v>
      </c>
      <c r="P144" s="16">
        <v>1</v>
      </c>
    </row>
    <row r="145" spans="3:16">
      <c r="C145" s="20" t="s">
        <v>138</v>
      </c>
      <c r="D145" s="29">
        <v>3</v>
      </c>
      <c r="E145" s="19">
        <v>1</v>
      </c>
      <c r="F145" s="19">
        <v>0</v>
      </c>
      <c r="G145" s="19">
        <v>2</v>
      </c>
      <c r="H145" s="19">
        <v>1</v>
      </c>
      <c r="I145" s="19">
        <v>0</v>
      </c>
      <c r="J145" s="19">
        <v>1</v>
      </c>
      <c r="K145" s="19">
        <v>0</v>
      </c>
      <c r="L145" s="19">
        <v>2</v>
      </c>
      <c r="M145" s="19">
        <v>0</v>
      </c>
      <c r="N145" s="19">
        <v>0</v>
      </c>
      <c r="O145" s="19">
        <v>0</v>
      </c>
      <c r="P145" s="16">
        <v>1</v>
      </c>
    </row>
    <row r="146" spans="3:16">
      <c r="C146" s="20" t="s">
        <v>120</v>
      </c>
      <c r="D146" s="29">
        <v>3</v>
      </c>
      <c r="E146" s="19">
        <v>0</v>
      </c>
      <c r="F146" s="19">
        <v>1</v>
      </c>
      <c r="G146" s="19">
        <v>1.35</v>
      </c>
      <c r="H146" s="19">
        <v>0.75</v>
      </c>
      <c r="I146" s="19">
        <v>2.35</v>
      </c>
      <c r="J146" s="19">
        <v>0.6</v>
      </c>
      <c r="K146" s="19">
        <v>0</v>
      </c>
      <c r="L146" s="19">
        <v>0.6</v>
      </c>
      <c r="M146" s="19">
        <v>0</v>
      </c>
      <c r="N146" s="19">
        <v>0</v>
      </c>
      <c r="O146" s="19">
        <v>0</v>
      </c>
      <c r="P146" s="16">
        <v>2.35</v>
      </c>
    </row>
    <row r="147" spans="3:16">
      <c r="C147" s="20" t="s">
        <v>123</v>
      </c>
      <c r="D147" s="29">
        <v>2</v>
      </c>
      <c r="E147" s="19">
        <v>0.75</v>
      </c>
      <c r="F147" s="19">
        <v>0</v>
      </c>
      <c r="G147" s="19">
        <v>0</v>
      </c>
      <c r="H147" s="19">
        <v>0</v>
      </c>
      <c r="I147" s="19">
        <v>0.75</v>
      </c>
      <c r="J147" s="19">
        <v>1.75</v>
      </c>
      <c r="K147" s="19">
        <v>0</v>
      </c>
      <c r="L147" s="19">
        <v>0.75</v>
      </c>
      <c r="M147" s="19">
        <v>0</v>
      </c>
      <c r="N147" s="19">
        <v>0</v>
      </c>
      <c r="O147" s="19">
        <v>0</v>
      </c>
      <c r="P147" s="16">
        <v>0</v>
      </c>
    </row>
    <row r="148" spans="3:16">
      <c r="C148" s="20" t="s">
        <v>359</v>
      </c>
      <c r="D148" s="29">
        <v>1</v>
      </c>
      <c r="E148" s="19">
        <v>0.75</v>
      </c>
      <c r="F148" s="19">
        <v>0</v>
      </c>
      <c r="G148" s="19">
        <v>0.75</v>
      </c>
      <c r="H148" s="19">
        <v>0</v>
      </c>
      <c r="I148" s="19">
        <v>0</v>
      </c>
      <c r="J148" s="19">
        <v>0.75</v>
      </c>
      <c r="K148" s="19">
        <v>0</v>
      </c>
      <c r="L148" s="19">
        <v>0</v>
      </c>
      <c r="M148" s="19">
        <v>0</v>
      </c>
      <c r="N148" s="19">
        <v>0</v>
      </c>
      <c r="O148" s="19">
        <v>0</v>
      </c>
      <c r="P148" s="16">
        <v>0.75</v>
      </c>
    </row>
    <row r="149" spans="3:16">
      <c r="C149" s="20" t="s">
        <v>122</v>
      </c>
      <c r="D149" s="29">
        <v>2</v>
      </c>
      <c r="E149" s="19">
        <v>1</v>
      </c>
      <c r="F149" s="19">
        <v>0</v>
      </c>
      <c r="G149" s="19">
        <v>2</v>
      </c>
      <c r="H149" s="19">
        <v>0</v>
      </c>
      <c r="I149" s="19">
        <v>0</v>
      </c>
      <c r="J149" s="19">
        <v>1</v>
      </c>
      <c r="K149" s="19">
        <v>0</v>
      </c>
      <c r="L149" s="19">
        <v>0</v>
      </c>
      <c r="M149" s="19">
        <v>0</v>
      </c>
      <c r="N149" s="19">
        <v>0</v>
      </c>
      <c r="O149" s="19">
        <v>0</v>
      </c>
      <c r="P149" s="16">
        <v>0</v>
      </c>
    </row>
    <row r="150" spans="3:16">
      <c r="C150" s="20" t="s">
        <v>152</v>
      </c>
      <c r="D150" s="29">
        <v>3</v>
      </c>
      <c r="E150" s="19">
        <v>0</v>
      </c>
      <c r="F150" s="19">
        <v>1.75</v>
      </c>
      <c r="G150" s="19">
        <v>0.75</v>
      </c>
      <c r="H150" s="19">
        <v>0</v>
      </c>
      <c r="I150" s="19">
        <v>2.75</v>
      </c>
      <c r="J150" s="19">
        <v>0</v>
      </c>
      <c r="K150" s="19">
        <v>0</v>
      </c>
      <c r="L150" s="19">
        <v>0</v>
      </c>
      <c r="M150" s="19">
        <v>0</v>
      </c>
      <c r="N150" s="19">
        <v>2</v>
      </c>
      <c r="O150" s="19">
        <v>0</v>
      </c>
      <c r="P150" s="16">
        <v>1.75</v>
      </c>
    </row>
    <row r="151" spans="3:16">
      <c r="C151" s="20" t="s">
        <v>476</v>
      </c>
      <c r="D151" s="29">
        <v>1</v>
      </c>
      <c r="E151" s="19">
        <v>1</v>
      </c>
      <c r="F151" s="19">
        <v>0</v>
      </c>
      <c r="G151" s="19">
        <v>1</v>
      </c>
      <c r="H151" s="19">
        <v>0</v>
      </c>
      <c r="I151" s="19">
        <v>1</v>
      </c>
      <c r="J151" s="19">
        <v>0</v>
      </c>
      <c r="K151" s="19">
        <v>0</v>
      </c>
      <c r="L151" s="19">
        <v>0</v>
      </c>
      <c r="M151" s="19">
        <v>0</v>
      </c>
      <c r="N151" s="19">
        <v>0</v>
      </c>
      <c r="O151" s="19">
        <v>0</v>
      </c>
      <c r="P151" s="16">
        <v>0</v>
      </c>
    </row>
    <row r="152" spans="3:16">
      <c r="C152" s="20" t="s">
        <v>165</v>
      </c>
      <c r="D152" s="29">
        <v>12</v>
      </c>
      <c r="E152" s="19">
        <v>5</v>
      </c>
      <c r="F152" s="19">
        <v>5</v>
      </c>
      <c r="G152" s="19">
        <v>5</v>
      </c>
      <c r="H152" s="19">
        <v>2</v>
      </c>
      <c r="I152" s="19">
        <v>9</v>
      </c>
      <c r="J152" s="19">
        <v>1</v>
      </c>
      <c r="K152" s="19">
        <v>2</v>
      </c>
      <c r="L152" s="19">
        <v>2</v>
      </c>
      <c r="M152" s="19">
        <v>0</v>
      </c>
      <c r="N152" s="19">
        <v>0</v>
      </c>
      <c r="O152" s="19">
        <v>0</v>
      </c>
      <c r="P152" s="16">
        <v>1</v>
      </c>
    </row>
    <row r="153" spans="3:16">
      <c r="C153" s="20" t="s">
        <v>360</v>
      </c>
      <c r="D153" s="29">
        <v>1</v>
      </c>
      <c r="E153" s="19">
        <v>0.5</v>
      </c>
      <c r="F153" s="19">
        <v>0</v>
      </c>
      <c r="G153" s="19">
        <v>0.5</v>
      </c>
      <c r="H153" s="19">
        <v>0</v>
      </c>
      <c r="I153" s="19">
        <v>0.5</v>
      </c>
      <c r="J153" s="19">
        <v>0</v>
      </c>
      <c r="K153" s="19">
        <v>0.5</v>
      </c>
      <c r="L153" s="19">
        <v>0.5</v>
      </c>
      <c r="M153" s="19">
        <v>0</v>
      </c>
      <c r="N153" s="19">
        <v>0</v>
      </c>
      <c r="O153" s="19">
        <v>0</v>
      </c>
      <c r="P153" s="16">
        <v>0.5</v>
      </c>
    </row>
    <row r="154" spans="3:16">
      <c r="C154" s="20" t="s">
        <v>114</v>
      </c>
      <c r="D154" s="29">
        <v>6</v>
      </c>
      <c r="E154" s="19">
        <v>1</v>
      </c>
      <c r="F154" s="19">
        <v>2.4285714285714288</v>
      </c>
      <c r="G154" s="19">
        <v>1.4285714285714286</v>
      </c>
      <c r="H154" s="19">
        <v>3.4285714285714284</v>
      </c>
      <c r="I154" s="19">
        <v>3.4285714285714284</v>
      </c>
      <c r="J154" s="19">
        <v>1</v>
      </c>
      <c r="K154" s="19">
        <v>1.4285714285714286</v>
      </c>
      <c r="L154" s="19">
        <v>0.42857142857142855</v>
      </c>
      <c r="M154" s="19">
        <v>0.42857142857142855</v>
      </c>
      <c r="N154" s="19">
        <v>0</v>
      </c>
      <c r="O154" s="19">
        <v>0</v>
      </c>
      <c r="P154" s="16">
        <v>2</v>
      </c>
    </row>
    <row r="155" spans="3:16">
      <c r="C155" s="20" t="s">
        <v>110</v>
      </c>
      <c r="D155" s="29">
        <v>4</v>
      </c>
      <c r="E155" s="19">
        <v>1</v>
      </c>
      <c r="F155" s="19">
        <v>0</v>
      </c>
      <c r="G155" s="19">
        <v>1</v>
      </c>
      <c r="H155" s="19">
        <v>0</v>
      </c>
      <c r="I155" s="19">
        <v>0</v>
      </c>
      <c r="J155" s="19">
        <v>1</v>
      </c>
      <c r="K155" s="19">
        <v>0</v>
      </c>
      <c r="L155" s="19">
        <v>0</v>
      </c>
      <c r="M155" s="19">
        <v>0</v>
      </c>
      <c r="N155" s="19">
        <v>0</v>
      </c>
      <c r="O155" s="19">
        <v>1</v>
      </c>
      <c r="P155" s="16">
        <v>2</v>
      </c>
    </row>
    <row r="156" spans="3:16">
      <c r="C156" s="20" t="s">
        <v>512</v>
      </c>
      <c r="D156" s="29">
        <v>1</v>
      </c>
      <c r="E156" s="19">
        <v>1</v>
      </c>
      <c r="F156" s="19">
        <v>0</v>
      </c>
      <c r="G156" s="19">
        <v>0</v>
      </c>
      <c r="H156" s="19">
        <v>0</v>
      </c>
      <c r="I156" s="19">
        <v>0</v>
      </c>
      <c r="J156" s="19">
        <v>1</v>
      </c>
      <c r="K156" s="19">
        <v>0</v>
      </c>
      <c r="L156" s="19">
        <v>0</v>
      </c>
      <c r="M156" s="19">
        <v>0</v>
      </c>
      <c r="N156" s="19">
        <v>0</v>
      </c>
      <c r="O156" s="19">
        <v>0</v>
      </c>
      <c r="P156" s="16">
        <v>0</v>
      </c>
    </row>
    <row r="157" spans="3:16">
      <c r="C157" s="20" t="s">
        <v>518</v>
      </c>
      <c r="D157" s="29">
        <v>1</v>
      </c>
      <c r="E157" s="19">
        <v>0</v>
      </c>
      <c r="F157" s="19">
        <v>0</v>
      </c>
      <c r="G157" s="19">
        <v>0</v>
      </c>
      <c r="H157" s="19">
        <v>0</v>
      </c>
      <c r="I157" s="19">
        <v>0</v>
      </c>
      <c r="J157" s="19">
        <v>0</v>
      </c>
      <c r="K157" s="19">
        <v>0</v>
      </c>
      <c r="L157" s="19">
        <v>0</v>
      </c>
      <c r="M157" s="19">
        <v>0</v>
      </c>
      <c r="N157" s="19">
        <v>0</v>
      </c>
      <c r="O157" s="19">
        <v>0</v>
      </c>
      <c r="P157" s="16">
        <v>0</v>
      </c>
    </row>
    <row r="158" spans="3:16">
      <c r="C158" s="20" t="s">
        <v>180</v>
      </c>
      <c r="D158" s="29">
        <v>1</v>
      </c>
      <c r="E158" s="19">
        <v>0</v>
      </c>
      <c r="F158" s="19">
        <v>0.75</v>
      </c>
      <c r="G158" s="19">
        <v>0.75</v>
      </c>
      <c r="H158" s="19">
        <v>0</v>
      </c>
      <c r="I158" s="19">
        <v>0.75</v>
      </c>
      <c r="J158" s="19">
        <v>0</v>
      </c>
      <c r="K158" s="19">
        <v>0</v>
      </c>
      <c r="L158" s="19">
        <v>0</v>
      </c>
      <c r="M158" s="19">
        <v>0.75</v>
      </c>
      <c r="N158" s="19">
        <v>0</v>
      </c>
      <c r="O158" s="19">
        <v>0</v>
      </c>
      <c r="P158" s="16">
        <v>0</v>
      </c>
    </row>
    <row r="159" spans="3:16">
      <c r="C159" s="25" t="s">
        <v>279</v>
      </c>
      <c r="D159" s="32">
        <v>529</v>
      </c>
      <c r="E159" s="26">
        <v>131.9465367965368</v>
      </c>
      <c r="F159" s="26">
        <v>155.0584415584415</v>
      </c>
      <c r="G159" s="26">
        <v>173.31201298701291</v>
      </c>
      <c r="H159" s="26">
        <v>92.116774891774881</v>
      </c>
      <c r="I159" s="26">
        <v>240.24534632034624</v>
      </c>
      <c r="J159" s="26">
        <v>74.17629870129872</v>
      </c>
      <c r="K159" s="26">
        <v>67.879870129870142</v>
      </c>
      <c r="L159" s="26">
        <v>100.72034632034632</v>
      </c>
      <c r="M159" s="26">
        <v>41.296536796536792</v>
      </c>
      <c r="N159" s="26">
        <v>44.014393939393941</v>
      </c>
      <c r="O159" s="26">
        <v>56.001298701298701</v>
      </c>
      <c r="P159" s="27">
        <v>94.482142857142861</v>
      </c>
    </row>
  </sheetData>
  <mergeCells count="2">
    <mergeCell ref="A1:Q1"/>
    <mergeCell ref="A2:B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9"/>
  <sheetViews>
    <sheetView workbookViewId="0">
      <pane xSplit="3" ySplit="12" topLeftCell="D13" activePane="bottomRight" state="frozen"/>
      <selection pane="topRight" activeCell="D1" sqref="D1"/>
      <selection pane="bottomLeft" activeCell="A13" sqref="A13"/>
      <selection pane="bottomRight" activeCell="A3" sqref="A3"/>
    </sheetView>
  </sheetViews>
  <sheetFormatPr defaultRowHeight="14.5"/>
  <cols>
    <col min="2" max="2" width="29.7265625" customWidth="1"/>
    <col min="3" max="3" width="24.81640625" customWidth="1"/>
    <col min="4" max="4" width="19.6328125" customWidth="1"/>
    <col min="5" max="5" width="13.453125" customWidth="1"/>
    <col min="6" max="6" width="6.54296875" customWidth="1"/>
    <col min="7" max="7" width="10.36328125" customWidth="1"/>
    <col min="8" max="8" width="15.7265625" customWidth="1"/>
    <col min="9" max="9" width="26.54296875" customWidth="1"/>
    <col min="10" max="10" width="13.453125" customWidth="1"/>
    <col min="11" max="11" width="14.54296875" customWidth="1"/>
    <col min="12" max="12" width="22.08984375" customWidth="1"/>
    <col min="13" max="13" width="21.90625" customWidth="1"/>
    <col min="14" max="14" width="12.36328125" customWidth="1"/>
    <col min="15" max="15" width="15" customWidth="1"/>
    <col min="16" max="16" width="33.54296875" customWidth="1"/>
    <col min="17" max="17" width="23.26953125" customWidth="1"/>
    <col min="18" max="18" width="8.453125" customWidth="1"/>
    <col min="19" max="19" width="12.1796875" customWidth="1"/>
    <col min="20" max="20" width="16.36328125" customWidth="1"/>
    <col min="21" max="22" width="23.7265625" customWidth="1"/>
  </cols>
  <sheetData>
    <row r="1" spans="1:23" ht="35">
      <c r="A1" s="201" t="s">
        <v>4</v>
      </c>
      <c r="B1" s="201"/>
      <c r="C1" s="201"/>
      <c r="D1" s="201"/>
      <c r="E1" s="201"/>
      <c r="F1" s="201"/>
      <c r="G1" s="201"/>
      <c r="H1" s="201"/>
      <c r="I1" s="201"/>
      <c r="J1" s="201"/>
      <c r="K1" s="201"/>
      <c r="L1" s="201"/>
      <c r="M1" s="201"/>
      <c r="N1" s="201"/>
      <c r="O1" s="201"/>
      <c r="P1" s="201"/>
      <c r="Q1" s="201"/>
      <c r="R1" s="201"/>
      <c r="S1" s="201"/>
      <c r="T1" s="201"/>
      <c r="U1" s="201"/>
      <c r="V1" s="201"/>
      <c r="W1" s="201"/>
    </row>
    <row r="2" spans="1:23" ht="16">
      <c r="A2" s="202" t="s">
        <v>544</v>
      </c>
      <c r="B2" s="202"/>
    </row>
    <row r="13" spans="1:23">
      <c r="C13" s="17" t="s">
        <v>288</v>
      </c>
      <c r="D13" s="5" t="s">
        <v>280</v>
      </c>
      <c r="E13" s="5" t="s">
        <v>310</v>
      </c>
      <c r="F13" s="5" t="s">
        <v>17</v>
      </c>
      <c r="G13" s="5" t="s">
        <v>54</v>
      </c>
      <c r="H13" s="5" t="s">
        <v>311</v>
      </c>
      <c r="I13" s="5" t="s">
        <v>312</v>
      </c>
      <c r="J13" s="5" t="s">
        <v>313</v>
      </c>
      <c r="K13" s="5" t="s">
        <v>314</v>
      </c>
      <c r="L13" s="5" t="s">
        <v>315</v>
      </c>
      <c r="M13" s="5" t="s">
        <v>316</v>
      </c>
      <c r="N13" s="5" t="s">
        <v>317</v>
      </c>
      <c r="O13" s="5" t="s">
        <v>284</v>
      </c>
      <c r="P13" s="5" t="s">
        <v>318</v>
      </c>
      <c r="Q13" s="5" t="s">
        <v>319</v>
      </c>
      <c r="R13" s="5" t="s">
        <v>53</v>
      </c>
      <c r="S13" s="5" t="s">
        <v>320</v>
      </c>
      <c r="T13" s="5" t="s">
        <v>321</v>
      </c>
      <c r="U13" s="15" t="s">
        <v>322</v>
      </c>
    </row>
    <row r="14" spans="1:23">
      <c r="C14" s="20" t="s">
        <v>477</v>
      </c>
      <c r="D14" s="18">
        <v>23</v>
      </c>
      <c r="E14" s="19">
        <v>2.6785714285714284</v>
      </c>
      <c r="F14" s="19">
        <v>8.75</v>
      </c>
      <c r="G14" s="19">
        <v>0.75</v>
      </c>
      <c r="H14" s="19">
        <v>2.9285714285714288</v>
      </c>
      <c r="I14" s="19">
        <v>2</v>
      </c>
      <c r="J14" s="19">
        <v>4.0285714285714285</v>
      </c>
      <c r="K14" s="19">
        <v>1.5</v>
      </c>
      <c r="L14" s="19">
        <v>0</v>
      </c>
      <c r="M14" s="19">
        <v>3.0285714285714289</v>
      </c>
      <c r="N14" s="19">
        <v>2.9285714285714288</v>
      </c>
      <c r="O14" s="19">
        <v>1</v>
      </c>
      <c r="P14" s="19">
        <v>0</v>
      </c>
      <c r="Q14" s="19">
        <v>4.0285714285714285</v>
      </c>
      <c r="R14" s="19">
        <v>2.1</v>
      </c>
      <c r="S14" s="19">
        <v>2</v>
      </c>
      <c r="T14" s="83">
        <v>3</v>
      </c>
      <c r="U14" s="16">
        <v>0</v>
      </c>
    </row>
    <row r="15" spans="1:23">
      <c r="C15" s="20" t="s">
        <v>530</v>
      </c>
      <c r="D15" s="18">
        <v>2</v>
      </c>
      <c r="E15" s="19">
        <v>0</v>
      </c>
      <c r="F15" s="19">
        <v>0</v>
      </c>
      <c r="G15" s="19">
        <v>0</v>
      </c>
      <c r="H15" s="19">
        <v>0</v>
      </c>
      <c r="I15" s="19">
        <v>0.6</v>
      </c>
      <c r="J15" s="19">
        <v>0.6</v>
      </c>
      <c r="K15" s="19">
        <v>0.6</v>
      </c>
      <c r="L15" s="19">
        <v>0</v>
      </c>
      <c r="M15" s="19">
        <v>0</v>
      </c>
      <c r="N15" s="19">
        <v>0</v>
      </c>
      <c r="O15" s="19">
        <v>0</v>
      </c>
      <c r="P15" s="19">
        <v>0</v>
      </c>
      <c r="Q15" s="19">
        <v>0</v>
      </c>
      <c r="R15" s="19">
        <v>0</v>
      </c>
      <c r="S15" s="19">
        <v>0</v>
      </c>
      <c r="T15" s="83">
        <v>0</v>
      </c>
      <c r="U15" s="16">
        <v>1.6</v>
      </c>
    </row>
    <row r="16" spans="1:23">
      <c r="C16" s="20" t="s">
        <v>531</v>
      </c>
      <c r="D16" s="18">
        <v>1</v>
      </c>
      <c r="E16" s="19">
        <v>0</v>
      </c>
      <c r="F16" s="19">
        <v>0</v>
      </c>
      <c r="G16" s="19">
        <v>0</v>
      </c>
      <c r="H16" s="19">
        <v>1</v>
      </c>
      <c r="I16" s="19">
        <v>0</v>
      </c>
      <c r="J16" s="19">
        <v>1</v>
      </c>
      <c r="K16" s="19">
        <v>0</v>
      </c>
      <c r="L16" s="19">
        <v>0</v>
      </c>
      <c r="M16" s="19">
        <v>1</v>
      </c>
      <c r="N16" s="19">
        <v>0</v>
      </c>
      <c r="O16" s="19">
        <v>0</v>
      </c>
      <c r="P16" s="19">
        <v>0</v>
      </c>
      <c r="Q16" s="19">
        <v>0</v>
      </c>
      <c r="R16" s="19">
        <v>0</v>
      </c>
      <c r="S16" s="19">
        <v>0</v>
      </c>
      <c r="T16" s="83">
        <v>0</v>
      </c>
      <c r="U16" s="16">
        <v>0</v>
      </c>
    </row>
    <row r="17" spans="3:21">
      <c r="C17" s="20" t="s">
        <v>532</v>
      </c>
      <c r="D17" s="18">
        <v>1</v>
      </c>
      <c r="E17" s="19">
        <v>0</v>
      </c>
      <c r="F17" s="19">
        <v>0</v>
      </c>
      <c r="G17" s="19">
        <v>0</v>
      </c>
      <c r="H17" s="19">
        <v>0</v>
      </c>
      <c r="I17" s="19">
        <v>0</v>
      </c>
      <c r="J17" s="19">
        <v>1</v>
      </c>
      <c r="K17" s="19">
        <v>0</v>
      </c>
      <c r="L17" s="19">
        <v>0</v>
      </c>
      <c r="M17" s="19">
        <v>0</v>
      </c>
      <c r="N17" s="19">
        <v>1</v>
      </c>
      <c r="O17" s="19">
        <v>0</v>
      </c>
      <c r="P17" s="19">
        <v>0</v>
      </c>
      <c r="Q17" s="19">
        <v>1</v>
      </c>
      <c r="R17" s="19">
        <v>0</v>
      </c>
      <c r="S17" s="19">
        <v>0</v>
      </c>
      <c r="T17" s="83">
        <v>0</v>
      </c>
      <c r="U17" s="16">
        <v>0</v>
      </c>
    </row>
    <row r="18" spans="3:21">
      <c r="C18" s="20" t="s">
        <v>533</v>
      </c>
      <c r="D18" s="18">
        <v>1</v>
      </c>
      <c r="E18" s="19">
        <v>0.6</v>
      </c>
      <c r="F18" s="19">
        <v>0</v>
      </c>
      <c r="G18" s="19">
        <v>0.6</v>
      </c>
      <c r="H18" s="19">
        <v>0</v>
      </c>
      <c r="I18" s="19">
        <v>0.6</v>
      </c>
      <c r="J18" s="19">
        <v>0</v>
      </c>
      <c r="K18" s="19">
        <v>0</v>
      </c>
      <c r="L18" s="19">
        <v>0.6</v>
      </c>
      <c r="M18" s="19">
        <v>0</v>
      </c>
      <c r="N18" s="19">
        <v>0</v>
      </c>
      <c r="O18" s="19">
        <v>0</v>
      </c>
      <c r="P18" s="19">
        <v>0</v>
      </c>
      <c r="Q18" s="19">
        <v>0</v>
      </c>
      <c r="R18" s="19">
        <v>0</v>
      </c>
      <c r="S18" s="19">
        <v>0</v>
      </c>
      <c r="T18" s="83">
        <v>0</v>
      </c>
      <c r="U18" s="16">
        <v>0</v>
      </c>
    </row>
    <row r="19" spans="3:21">
      <c r="C19" s="20" t="s">
        <v>534</v>
      </c>
      <c r="D19" s="18">
        <v>1</v>
      </c>
      <c r="E19" s="19">
        <v>1</v>
      </c>
      <c r="F19" s="19">
        <v>0</v>
      </c>
      <c r="G19" s="19">
        <v>0</v>
      </c>
      <c r="H19" s="19">
        <v>0</v>
      </c>
      <c r="I19" s="19">
        <v>0</v>
      </c>
      <c r="J19" s="19">
        <v>0</v>
      </c>
      <c r="K19" s="19">
        <v>0</v>
      </c>
      <c r="L19" s="19">
        <v>0</v>
      </c>
      <c r="M19" s="19">
        <v>0</v>
      </c>
      <c r="N19" s="19">
        <v>0</v>
      </c>
      <c r="O19" s="19">
        <v>0</v>
      </c>
      <c r="P19" s="19">
        <v>1</v>
      </c>
      <c r="Q19" s="19">
        <v>0</v>
      </c>
      <c r="R19" s="19">
        <v>0</v>
      </c>
      <c r="S19" s="19">
        <v>0</v>
      </c>
      <c r="T19" s="83">
        <v>0</v>
      </c>
      <c r="U19" s="16">
        <v>0</v>
      </c>
    </row>
    <row r="20" spans="3:21">
      <c r="C20" s="20" t="s">
        <v>535</v>
      </c>
      <c r="D20" s="18">
        <v>1</v>
      </c>
      <c r="E20" s="19">
        <v>0.3</v>
      </c>
      <c r="F20" s="19">
        <v>0.3</v>
      </c>
      <c r="G20" s="19">
        <v>0</v>
      </c>
      <c r="H20" s="19">
        <v>0</v>
      </c>
      <c r="I20" s="19">
        <v>0.3</v>
      </c>
      <c r="J20" s="19">
        <v>0</v>
      </c>
      <c r="K20" s="19">
        <v>0</v>
      </c>
      <c r="L20" s="19">
        <v>0</v>
      </c>
      <c r="M20" s="19">
        <v>0.3</v>
      </c>
      <c r="N20" s="19">
        <v>0.3</v>
      </c>
      <c r="O20" s="19">
        <v>0</v>
      </c>
      <c r="P20" s="19">
        <v>0.3</v>
      </c>
      <c r="Q20" s="19">
        <v>0.3</v>
      </c>
      <c r="R20" s="19">
        <v>0.3</v>
      </c>
      <c r="S20" s="19">
        <v>0</v>
      </c>
      <c r="T20" s="83">
        <v>0</v>
      </c>
      <c r="U20" s="16">
        <v>0.3</v>
      </c>
    </row>
    <row r="21" spans="3:21">
      <c r="C21" s="20" t="s">
        <v>536</v>
      </c>
      <c r="D21" s="18">
        <v>2</v>
      </c>
      <c r="E21" s="19">
        <v>0</v>
      </c>
      <c r="F21" s="19">
        <v>0</v>
      </c>
      <c r="G21" s="19">
        <v>1</v>
      </c>
      <c r="H21" s="19">
        <v>0</v>
      </c>
      <c r="I21" s="19">
        <v>0</v>
      </c>
      <c r="J21" s="19">
        <v>0</v>
      </c>
      <c r="K21" s="19">
        <v>0</v>
      </c>
      <c r="L21" s="19">
        <v>0</v>
      </c>
      <c r="M21" s="19">
        <v>0</v>
      </c>
      <c r="N21" s="19">
        <v>1</v>
      </c>
      <c r="O21" s="19">
        <v>0</v>
      </c>
      <c r="P21" s="19">
        <v>1</v>
      </c>
      <c r="Q21" s="19">
        <v>0</v>
      </c>
      <c r="R21" s="19">
        <v>2</v>
      </c>
      <c r="S21" s="19">
        <v>0</v>
      </c>
      <c r="T21" s="83">
        <v>0</v>
      </c>
      <c r="U21" s="16">
        <v>1</v>
      </c>
    </row>
    <row r="22" spans="3:21">
      <c r="C22" s="20" t="s">
        <v>537</v>
      </c>
      <c r="D22" s="18">
        <v>1</v>
      </c>
      <c r="E22" s="19">
        <v>0</v>
      </c>
      <c r="F22" s="19">
        <v>1</v>
      </c>
      <c r="G22" s="19">
        <v>0</v>
      </c>
      <c r="H22" s="19">
        <v>0</v>
      </c>
      <c r="I22" s="19">
        <v>0</v>
      </c>
      <c r="J22" s="19">
        <v>0</v>
      </c>
      <c r="K22" s="19">
        <v>0</v>
      </c>
      <c r="L22" s="19">
        <v>0</v>
      </c>
      <c r="M22" s="19">
        <v>1</v>
      </c>
      <c r="N22" s="19">
        <v>0</v>
      </c>
      <c r="O22" s="19">
        <v>0</v>
      </c>
      <c r="P22" s="19">
        <v>0</v>
      </c>
      <c r="Q22" s="19">
        <v>0</v>
      </c>
      <c r="R22" s="19">
        <v>0</v>
      </c>
      <c r="S22" s="19">
        <v>0</v>
      </c>
      <c r="T22" s="83">
        <v>0</v>
      </c>
      <c r="U22" s="16">
        <v>1</v>
      </c>
    </row>
    <row r="23" spans="3:21">
      <c r="C23" s="20" t="s">
        <v>538</v>
      </c>
      <c r="D23" s="18">
        <v>1</v>
      </c>
      <c r="E23" s="19">
        <v>0</v>
      </c>
      <c r="F23" s="19">
        <v>0</v>
      </c>
      <c r="G23" s="19">
        <v>0</v>
      </c>
      <c r="H23" s="19">
        <v>0</v>
      </c>
      <c r="I23" s="19">
        <v>0</v>
      </c>
      <c r="J23" s="19">
        <v>0</v>
      </c>
      <c r="K23" s="19">
        <v>0</v>
      </c>
      <c r="L23" s="19">
        <v>0</v>
      </c>
      <c r="M23" s="19">
        <v>1</v>
      </c>
      <c r="N23" s="19">
        <v>0</v>
      </c>
      <c r="O23" s="19">
        <v>0</v>
      </c>
      <c r="P23" s="19">
        <v>0</v>
      </c>
      <c r="Q23" s="19">
        <v>1</v>
      </c>
      <c r="R23" s="19">
        <v>1</v>
      </c>
      <c r="S23" s="19">
        <v>0</v>
      </c>
      <c r="T23" s="83">
        <v>0</v>
      </c>
      <c r="U23" s="16">
        <v>0</v>
      </c>
    </row>
    <row r="24" spans="3:21">
      <c r="C24" s="20" t="s">
        <v>539</v>
      </c>
      <c r="D24" s="18">
        <v>1</v>
      </c>
      <c r="E24" s="19">
        <v>0</v>
      </c>
      <c r="F24" s="19">
        <v>0.75</v>
      </c>
      <c r="G24" s="19">
        <v>0.75</v>
      </c>
      <c r="H24" s="19">
        <v>0.75</v>
      </c>
      <c r="I24" s="19">
        <v>0</v>
      </c>
      <c r="J24" s="19">
        <v>0</v>
      </c>
      <c r="K24" s="19">
        <v>0</v>
      </c>
      <c r="L24" s="19">
        <v>0</v>
      </c>
      <c r="M24" s="19">
        <v>0</v>
      </c>
      <c r="N24" s="19">
        <v>0</v>
      </c>
      <c r="O24" s="19">
        <v>0</v>
      </c>
      <c r="P24" s="19">
        <v>0</v>
      </c>
      <c r="Q24" s="19">
        <v>0</v>
      </c>
      <c r="R24" s="19">
        <v>0</v>
      </c>
      <c r="S24" s="19">
        <v>0</v>
      </c>
      <c r="T24" s="83">
        <v>0</v>
      </c>
      <c r="U24" s="16">
        <v>0</v>
      </c>
    </row>
    <row r="25" spans="3:21">
      <c r="C25" s="20" t="s">
        <v>540</v>
      </c>
      <c r="D25" s="18">
        <v>1</v>
      </c>
      <c r="E25" s="19">
        <v>0</v>
      </c>
      <c r="F25" s="19">
        <v>0</v>
      </c>
      <c r="G25" s="19">
        <v>0</v>
      </c>
      <c r="H25" s="19">
        <v>1</v>
      </c>
      <c r="I25" s="19">
        <v>0</v>
      </c>
      <c r="J25" s="19">
        <v>1</v>
      </c>
      <c r="K25" s="19">
        <v>1</v>
      </c>
      <c r="L25" s="19">
        <v>0</v>
      </c>
      <c r="M25" s="19">
        <v>0</v>
      </c>
      <c r="N25" s="19">
        <v>0</v>
      </c>
      <c r="O25" s="19">
        <v>0</v>
      </c>
      <c r="P25" s="19">
        <v>0</v>
      </c>
      <c r="Q25" s="19">
        <v>0</v>
      </c>
      <c r="R25" s="19">
        <v>0</v>
      </c>
      <c r="S25" s="19">
        <v>0</v>
      </c>
      <c r="T25" s="83">
        <v>0</v>
      </c>
      <c r="U25" s="16">
        <v>0</v>
      </c>
    </row>
    <row r="26" spans="3:21">
      <c r="C26" s="20" t="s">
        <v>541</v>
      </c>
      <c r="D26" s="18">
        <v>1</v>
      </c>
      <c r="E26" s="19">
        <v>0</v>
      </c>
      <c r="F26" s="19">
        <v>0</v>
      </c>
      <c r="G26" s="19">
        <v>0</v>
      </c>
      <c r="H26" s="19">
        <v>1</v>
      </c>
      <c r="I26" s="19">
        <v>1</v>
      </c>
      <c r="J26" s="19">
        <v>1</v>
      </c>
      <c r="K26" s="19">
        <v>0</v>
      </c>
      <c r="L26" s="19">
        <v>0</v>
      </c>
      <c r="M26" s="19">
        <v>0</v>
      </c>
      <c r="N26" s="19">
        <v>0</v>
      </c>
      <c r="O26" s="19">
        <v>0</v>
      </c>
      <c r="P26" s="19">
        <v>0</v>
      </c>
      <c r="Q26" s="19">
        <v>0</v>
      </c>
      <c r="R26" s="19">
        <v>0</v>
      </c>
      <c r="S26" s="19">
        <v>0</v>
      </c>
      <c r="T26" s="83">
        <v>0</v>
      </c>
      <c r="U26" s="16">
        <v>0</v>
      </c>
    </row>
    <row r="27" spans="3:21">
      <c r="C27" s="20" t="s">
        <v>542</v>
      </c>
      <c r="D27" s="18">
        <v>1</v>
      </c>
      <c r="E27" s="19">
        <v>0.16666666666666666</v>
      </c>
      <c r="F27" s="19">
        <v>0.16666666666666666</v>
      </c>
      <c r="G27" s="19">
        <v>0.16666666666666666</v>
      </c>
      <c r="H27" s="19">
        <v>0.16666666666666666</v>
      </c>
      <c r="I27" s="19">
        <v>0.16666666666666666</v>
      </c>
      <c r="J27" s="19">
        <v>0.16666666666666666</v>
      </c>
      <c r="K27" s="19">
        <v>0.16666666666666666</v>
      </c>
      <c r="L27" s="19">
        <v>0.16666666666666666</v>
      </c>
      <c r="M27" s="19">
        <v>0.16666666666666666</v>
      </c>
      <c r="N27" s="19">
        <v>0.16666666666666666</v>
      </c>
      <c r="O27" s="19">
        <v>0.16666666666666666</v>
      </c>
      <c r="P27" s="19">
        <v>0.16666666666666666</v>
      </c>
      <c r="Q27" s="19">
        <v>0.16666666666666666</v>
      </c>
      <c r="R27" s="19">
        <v>0.16666666666666666</v>
      </c>
      <c r="S27" s="19">
        <v>0.16666666666666666</v>
      </c>
      <c r="T27" s="83">
        <v>0.16666666666666666</v>
      </c>
      <c r="U27" s="16">
        <v>0.16666666666666666</v>
      </c>
    </row>
    <row r="28" spans="3:21">
      <c r="C28" s="20" t="s">
        <v>543</v>
      </c>
      <c r="D28" s="18">
        <v>1</v>
      </c>
      <c r="E28" s="19">
        <v>0.375</v>
      </c>
      <c r="F28" s="19">
        <v>0.375</v>
      </c>
      <c r="G28" s="19">
        <v>0</v>
      </c>
      <c r="H28" s="19">
        <v>0</v>
      </c>
      <c r="I28" s="19">
        <v>0</v>
      </c>
      <c r="J28" s="19">
        <v>0.375</v>
      </c>
      <c r="K28" s="19">
        <v>0</v>
      </c>
      <c r="L28" s="19">
        <v>0</v>
      </c>
      <c r="M28" s="19">
        <v>0</v>
      </c>
      <c r="N28" s="19">
        <v>0.375</v>
      </c>
      <c r="O28" s="19">
        <v>0</v>
      </c>
      <c r="P28" s="19">
        <v>0</v>
      </c>
      <c r="Q28" s="19">
        <v>0.375</v>
      </c>
      <c r="R28" s="19">
        <v>0.375</v>
      </c>
      <c r="S28" s="19">
        <v>0</v>
      </c>
      <c r="T28" s="83">
        <v>0.375</v>
      </c>
      <c r="U28" s="16">
        <v>0</v>
      </c>
    </row>
    <row r="29" spans="3:21">
      <c r="C29" s="20" t="s">
        <v>364</v>
      </c>
      <c r="D29" s="18">
        <v>3</v>
      </c>
      <c r="E29" s="19">
        <v>0</v>
      </c>
      <c r="F29" s="19">
        <v>0.42857142857142855</v>
      </c>
      <c r="G29" s="19">
        <v>0</v>
      </c>
      <c r="H29" s="19">
        <v>0</v>
      </c>
      <c r="I29" s="19">
        <v>0.42857142857142855</v>
      </c>
      <c r="J29" s="19">
        <v>0</v>
      </c>
      <c r="K29" s="19">
        <v>0</v>
      </c>
      <c r="L29" s="19">
        <v>0.42857142857142855</v>
      </c>
      <c r="M29" s="19">
        <v>0.42857142857142855</v>
      </c>
      <c r="N29" s="19">
        <v>0.42857142857142855</v>
      </c>
      <c r="O29" s="19">
        <v>0</v>
      </c>
      <c r="P29" s="19">
        <v>0</v>
      </c>
      <c r="Q29" s="19">
        <v>0</v>
      </c>
      <c r="R29" s="19">
        <v>0</v>
      </c>
      <c r="S29" s="19">
        <v>0</v>
      </c>
      <c r="T29" s="83">
        <v>0</v>
      </c>
      <c r="U29" s="16">
        <v>0.42857142857142855</v>
      </c>
    </row>
    <row r="30" spans="3:21">
      <c r="C30" s="20" t="s">
        <v>128</v>
      </c>
      <c r="D30" s="18">
        <v>4</v>
      </c>
      <c r="E30" s="19">
        <v>0</v>
      </c>
      <c r="F30" s="19">
        <v>0</v>
      </c>
      <c r="G30" s="19">
        <v>1</v>
      </c>
      <c r="H30" s="19">
        <v>0</v>
      </c>
      <c r="I30" s="19">
        <v>0</v>
      </c>
      <c r="J30" s="19">
        <v>0</v>
      </c>
      <c r="K30" s="19">
        <v>0</v>
      </c>
      <c r="L30" s="19">
        <v>1</v>
      </c>
      <c r="M30" s="19">
        <v>0</v>
      </c>
      <c r="N30" s="19">
        <v>0</v>
      </c>
      <c r="O30" s="19">
        <v>0</v>
      </c>
      <c r="P30" s="19">
        <v>1</v>
      </c>
      <c r="Q30" s="19">
        <v>1</v>
      </c>
      <c r="R30" s="19">
        <v>1</v>
      </c>
      <c r="S30" s="19">
        <v>0</v>
      </c>
      <c r="T30" s="83">
        <v>0</v>
      </c>
      <c r="U30" s="16">
        <v>0</v>
      </c>
    </row>
    <row r="31" spans="3:21">
      <c r="C31" s="20" t="s">
        <v>363</v>
      </c>
      <c r="D31" s="18">
        <v>1</v>
      </c>
      <c r="E31" s="19">
        <v>0</v>
      </c>
      <c r="F31" s="19">
        <v>0</v>
      </c>
      <c r="G31" s="19">
        <v>0</v>
      </c>
      <c r="H31" s="19">
        <v>0</v>
      </c>
      <c r="I31" s="19">
        <v>0</v>
      </c>
      <c r="J31" s="19">
        <v>0</v>
      </c>
      <c r="K31" s="19">
        <v>0</v>
      </c>
      <c r="L31" s="19">
        <v>0</v>
      </c>
      <c r="M31" s="19">
        <v>0</v>
      </c>
      <c r="N31" s="19">
        <v>0</v>
      </c>
      <c r="O31" s="19">
        <v>0</v>
      </c>
      <c r="P31" s="19">
        <v>0</v>
      </c>
      <c r="Q31" s="19">
        <v>0</v>
      </c>
      <c r="R31" s="19">
        <v>0</v>
      </c>
      <c r="S31" s="19">
        <v>0</v>
      </c>
      <c r="T31" s="83">
        <v>0</v>
      </c>
      <c r="U31" s="16">
        <v>0</v>
      </c>
    </row>
    <row r="32" spans="3:21">
      <c r="C32" s="20" t="s">
        <v>187</v>
      </c>
      <c r="D32" s="18">
        <v>1</v>
      </c>
      <c r="E32" s="19">
        <v>0</v>
      </c>
      <c r="F32" s="19">
        <v>0</v>
      </c>
      <c r="G32" s="19">
        <v>1</v>
      </c>
      <c r="H32" s="19">
        <v>0</v>
      </c>
      <c r="I32" s="19">
        <v>0</v>
      </c>
      <c r="J32" s="19">
        <v>1</v>
      </c>
      <c r="K32" s="19">
        <v>0</v>
      </c>
      <c r="L32" s="19">
        <v>0</v>
      </c>
      <c r="M32" s="19">
        <v>0</v>
      </c>
      <c r="N32" s="19">
        <v>0</v>
      </c>
      <c r="O32" s="19">
        <v>0</v>
      </c>
      <c r="P32" s="19">
        <v>0</v>
      </c>
      <c r="Q32" s="19">
        <v>0</v>
      </c>
      <c r="R32" s="19">
        <v>0</v>
      </c>
      <c r="S32" s="19">
        <v>0</v>
      </c>
      <c r="T32" s="83">
        <v>0</v>
      </c>
      <c r="U32" s="16">
        <v>0</v>
      </c>
    </row>
    <row r="33" spans="3:21">
      <c r="C33" s="20" t="s">
        <v>182</v>
      </c>
      <c r="D33" s="18">
        <v>2</v>
      </c>
      <c r="E33" s="19">
        <v>1</v>
      </c>
      <c r="F33" s="19">
        <v>1</v>
      </c>
      <c r="G33" s="19">
        <v>1</v>
      </c>
      <c r="H33" s="19">
        <v>1</v>
      </c>
      <c r="I33" s="19">
        <v>0</v>
      </c>
      <c r="J33" s="19">
        <v>1</v>
      </c>
      <c r="K33" s="19">
        <v>0</v>
      </c>
      <c r="L33" s="19">
        <v>0</v>
      </c>
      <c r="M33" s="19">
        <v>0</v>
      </c>
      <c r="N33" s="19">
        <v>0</v>
      </c>
      <c r="O33" s="19">
        <v>0</v>
      </c>
      <c r="P33" s="19">
        <v>0</v>
      </c>
      <c r="Q33" s="19">
        <v>0</v>
      </c>
      <c r="R33" s="19">
        <v>0</v>
      </c>
      <c r="S33" s="19">
        <v>0</v>
      </c>
      <c r="T33" s="83">
        <v>0</v>
      </c>
      <c r="U33" s="16">
        <v>0</v>
      </c>
    </row>
    <row r="34" spans="3:21">
      <c r="C34" s="20" t="s">
        <v>442</v>
      </c>
      <c r="D34" s="18">
        <v>1</v>
      </c>
      <c r="E34" s="19">
        <v>0</v>
      </c>
      <c r="F34" s="19">
        <v>0</v>
      </c>
      <c r="G34" s="19">
        <v>0</v>
      </c>
      <c r="H34" s="19">
        <v>1</v>
      </c>
      <c r="I34" s="19">
        <v>1</v>
      </c>
      <c r="J34" s="19">
        <v>0</v>
      </c>
      <c r="K34" s="19">
        <v>0</v>
      </c>
      <c r="L34" s="19">
        <v>0</v>
      </c>
      <c r="M34" s="19">
        <v>0</v>
      </c>
      <c r="N34" s="19">
        <v>0</v>
      </c>
      <c r="O34" s="19">
        <v>0</v>
      </c>
      <c r="P34" s="19">
        <v>0</v>
      </c>
      <c r="Q34" s="19">
        <v>0</v>
      </c>
      <c r="R34" s="19">
        <v>0</v>
      </c>
      <c r="S34" s="19">
        <v>0</v>
      </c>
      <c r="T34" s="83">
        <v>0</v>
      </c>
      <c r="U34" s="16">
        <v>0</v>
      </c>
    </row>
    <row r="35" spans="3:21">
      <c r="C35" s="20" t="s">
        <v>463</v>
      </c>
      <c r="D35" s="18">
        <v>1</v>
      </c>
      <c r="E35" s="19">
        <v>0</v>
      </c>
      <c r="F35" s="19">
        <v>0</v>
      </c>
      <c r="G35" s="19">
        <v>0</v>
      </c>
      <c r="H35" s="19">
        <v>0</v>
      </c>
      <c r="I35" s="19">
        <v>0</v>
      </c>
      <c r="J35" s="19">
        <v>0</v>
      </c>
      <c r="K35" s="19">
        <v>0</v>
      </c>
      <c r="L35" s="19">
        <v>0</v>
      </c>
      <c r="M35" s="19">
        <v>0</v>
      </c>
      <c r="N35" s="19">
        <v>0</v>
      </c>
      <c r="O35" s="19">
        <v>0</v>
      </c>
      <c r="P35" s="19">
        <v>0</v>
      </c>
      <c r="Q35" s="19">
        <v>0</v>
      </c>
      <c r="R35" s="19">
        <v>0</v>
      </c>
      <c r="S35" s="19">
        <v>0</v>
      </c>
      <c r="T35" s="83">
        <v>0</v>
      </c>
      <c r="U35" s="16">
        <v>0</v>
      </c>
    </row>
    <row r="36" spans="3:21">
      <c r="C36" s="20" t="s">
        <v>487</v>
      </c>
      <c r="D36" s="18">
        <v>2</v>
      </c>
      <c r="E36" s="19">
        <v>0</v>
      </c>
      <c r="F36" s="19">
        <v>0</v>
      </c>
      <c r="G36" s="19">
        <v>0</v>
      </c>
      <c r="H36" s="19">
        <v>0</v>
      </c>
      <c r="I36" s="19">
        <v>0</v>
      </c>
      <c r="J36" s="19">
        <v>0</v>
      </c>
      <c r="K36" s="19">
        <v>0</v>
      </c>
      <c r="L36" s="19">
        <v>0</v>
      </c>
      <c r="M36" s="19">
        <v>0</v>
      </c>
      <c r="N36" s="19">
        <v>0</v>
      </c>
      <c r="O36" s="19">
        <v>0</v>
      </c>
      <c r="P36" s="19">
        <v>0</v>
      </c>
      <c r="Q36" s="19">
        <v>0</v>
      </c>
      <c r="R36" s="19">
        <v>0</v>
      </c>
      <c r="S36" s="19">
        <v>0</v>
      </c>
      <c r="T36" s="83">
        <v>0</v>
      </c>
      <c r="U36" s="16">
        <v>0</v>
      </c>
    </row>
    <row r="37" spans="3:21">
      <c r="C37" s="20" t="s">
        <v>172</v>
      </c>
      <c r="D37" s="18">
        <v>7</v>
      </c>
      <c r="E37" s="19">
        <v>1</v>
      </c>
      <c r="F37" s="19">
        <v>0</v>
      </c>
      <c r="G37" s="19">
        <v>0</v>
      </c>
      <c r="H37" s="19">
        <v>2</v>
      </c>
      <c r="I37" s="19">
        <v>2.5</v>
      </c>
      <c r="J37" s="19">
        <v>0</v>
      </c>
      <c r="K37" s="19">
        <v>0</v>
      </c>
      <c r="L37" s="19">
        <v>3</v>
      </c>
      <c r="M37" s="19">
        <v>1.75</v>
      </c>
      <c r="N37" s="19">
        <v>0</v>
      </c>
      <c r="O37" s="19">
        <v>0</v>
      </c>
      <c r="P37" s="19">
        <v>2.75</v>
      </c>
      <c r="Q37" s="19">
        <v>0.75</v>
      </c>
      <c r="R37" s="19">
        <v>1.75</v>
      </c>
      <c r="S37" s="19">
        <v>1</v>
      </c>
      <c r="T37" s="83">
        <v>1.5</v>
      </c>
      <c r="U37" s="16">
        <v>1</v>
      </c>
    </row>
    <row r="38" spans="3:21">
      <c r="C38" s="20" t="s">
        <v>453</v>
      </c>
      <c r="D38" s="18">
        <v>3</v>
      </c>
      <c r="E38" s="19">
        <v>0.92647058823529416</v>
      </c>
      <c r="F38" s="19">
        <v>0.17647058823529413</v>
      </c>
      <c r="G38" s="19">
        <v>1.1764705882352942</v>
      </c>
      <c r="H38" s="19">
        <v>0.17647058823529413</v>
      </c>
      <c r="I38" s="19">
        <v>0.17647058823529413</v>
      </c>
      <c r="J38" s="19">
        <v>0.92647058823529416</v>
      </c>
      <c r="K38" s="19">
        <v>0.17647058823529413</v>
      </c>
      <c r="L38" s="19">
        <v>0.17647058823529413</v>
      </c>
      <c r="M38" s="19">
        <v>0.17647058823529413</v>
      </c>
      <c r="N38" s="19">
        <v>0.17647058823529413</v>
      </c>
      <c r="O38" s="19">
        <v>0.17647058823529413</v>
      </c>
      <c r="P38" s="19">
        <v>0</v>
      </c>
      <c r="Q38" s="19">
        <v>0.92647058823529416</v>
      </c>
      <c r="R38" s="19">
        <v>1.1764705882352942</v>
      </c>
      <c r="S38" s="19">
        <v>0.17647058823529413</v>
      </c>
      <c r="T38" s="83">
        <v>0.17647058823529413</v>
      </c>
      <c r="U38" s="16">
        <v>0.17647058823529413</v>
      </c>
    </row>
    <row r="39" spans="3:21">
      <c r="C39" s="20" t="s">
        <v>159</v>
      </c>
      <c r="D39" s="18">
        <v>3</v>
      </c>
      <c r="E39" s="19">
        <v>0</v>
      </c>
      <c r="F39" s="19">
        <v>1</v>
      </c>
      <c r="G39" s="19">
        <v>0</v>
      </c>
      <c r="H39" s="19">
        <v>1</v>
      </c>
      <c r="I39" s="19">
        <v>0</v>
      </c>
      <c r="J39" s="19">
        <v>1</v>
      </c>
      <c r="K39" s="19">
        <v>0</v>
      </c>
      <c r="L39" s="19">
        <v>1</v>
      </c>
      <c r="M39" s="19">
        <v>0</v>
      </c>
      <c r="N39" s="19">
        <v>0</v>
      </c>
      <c r="O39" s="19">
        <v>0</v>
      </c>
      <c r="P39" s="19">
        <v>2</v>
      </c>
      <c r="Q39" s="19">
        <v>2</v>
      </c>
      <c r="R39" s="19">
        <v>0</v>
      </c>
      <c r="S39" s="19">
        <v>0</v>
      </c>
      <c r="T39" s="83">
        <v>0</v>
      </c>
      <c r="U39" s="16">
        <v>0</v>
      </c>
    </row>
    <row r="40" spans="3:21">
      <c r="C40" s="20" t="s">
        <v>421</v>
      </c>
      <c r="D40" s="18">
        <v>2</v>
      </c>
      <c r="E40" s="19">
        <v>0</v>
      </c>
      <c r="F40" s="19">
        <v>0</v>
      </c>
      <c r="G40" s="19">
        <v>0</v>
      </c>
      <c r="H40" s="19">
        <v>0</v>
      </c>
      <c r="I40" s="19">
        <v>1</v>
      </c>
      <c r="J40" s="19">
        <v>0</v>
      </c>
      <c r="K40" s="19">
        <v>0</v>
      </c>
      <c r="L40" s="19">
        <v>0</v>
      </c>
      <c r="M40" s="19">
        <v>1</v>
      </c>
      <c r="N40" s="19">
        <v>0</v>
      </c>
      <c r="O40" s="19">
        <v>0</v>
      </c>
      <c r="P40" s="19">
        <v>1</v>
      </c>
      <c r="Q40" s="19">
        <v>1</v>
      </c>
      <c r="R40" s="19">
        <v>0</v>
      </c>
      <c r="S40" s="19">
        <v>0</v>
      </c>
      <c r="T40" s="83">
        <v>1</v>
      </c>
      <c r="U40" s="16">
        <v>0</v>
      </c>
    </row>
    <row r="41" spans="3:21">
      <c r="C41" s="20" t="s">
        <v>456</v>
      </c>
      <c r="D41" s="18">
        <v>1</v>
      </c>
      <c r="E41" s="19">
        <v>0</v>
      </c>
      <c r="F41" s="19">
        <v>0</v>
      </c>
      <c r="G41" s="19">
        <v>1</v>
      </c>
      <c r="H41" s="19">
        <v>0</v>
      </c>
      <c r="I41" s="19">
        <v>0</v>
      </c>
      <c r="J41" s="19">
        <v>0</v>
      </c>
      <c r="K41" s="19">
        <v>0</v>
      </c>
      <c r="L41" s="19">
        <v>0</v>
      </c>
      <c r="M41" s="19">
        <v>0</v>
      </c>
      <c r="N41" s="19">
        <v>1</v>
      </c>
      <c r="O41" s="19">
        <v>0</v>
      </c>
      <c r="P41" s="19">
        <v>0</v>
      </c>
      <c r="Q41" s="19">
        <v>1</v>
      </c>
      <c r="R41" s="19">
        <v>0</v>
      </c>
      <c r="S41" s="19">
        <v>0</v>
      </c>
      <c r="T41" s="83">
        <v>0</v>
      </c>
      <c r="U41" s="16">
        <v>0</v>
      </c>
    </row>
    <row r="42" spans="3:21">
      <c r="C42" s="20" t="s">
        <v>163</v>
      </c>
      <c r="D42" s="18">
        <v>3</v>
      </c>
      <c r="E42" s="19">
        <v>0</v>
      </c>
      <c r="F42" s="19">
        <v>1</v>
      </c>
      <c r="G42" s="19">
        <v>0</v>
      </c>
      <c r="H42" s="19">
        <v>1</v>
      </c>
      <c r="I42" s="19">
        <v>2</v>
      </c>
      <c r="J42" s="19">
        <v>1</v>
      </c>
      <c r="K42" s="19">
        <v>0</v>
      </c>
      <c r="L42" s="19">
        <v>1</v>
      </c>
      <c r="M42" s="19">
        <v>0</v>
      </c>
      <c r="N42" s="19">
        <v>0</v>
      </c>
      <c r="O42" s="19">
        <v>0</v>
      </c>
      <c r="P42" s="19">
        <v>0</v>
      </c>
      <c r="Q42" s="19">
        <v>1</v>
      </c>
      <c r="R42" s="19">
        <v>0</v>
      </c>
      <c r="S42" s="19">
        <v>0</v>
      </c>
      <c r="T42" s="83">
        <v>0</v>
      </c>
      <c r="U42" s="16">
        <v>1</v>
      </c>
    </row>
    <row r="43" spans="3:21">
      <c r="C43" s="20" t="s">
        <v>515</v>
      </c>
      <c r="D43" s="18">
        <v>1</v>
      </c>
      <c r="E43" s="19">
        <v>1</v>
      </c>
      <c r="F43" s="19">
        <v>0</v>
      </c>
      <c r="G43" s="19">
        <v>0</v>
      </c>
      <c r="H43" s="19">
        <v>1</v>
      </c>
      <c r="I43" s="19">
        <v>0</v>
      </c>
      <c r="J43" s="19">
        <v>0</v>
      </c>
      <c r="K43" s="19">
        <v>0</v>
      </c>
      <c r="L43" s="19">
        <v>0</v>
      </c>
      <c r="M43" s="19">
        <v>0</v>
      </c>
      <c r="N43" s="19">
        <v>0</v>
      </c>
      <c r="O43" s="19">
        <v>0</v>
      </c>
      <c r="P43" s="19">
        <v>1</v>
      </c>
      <c r="Q43" s="19">
        <v>0</v>
      </c>
      <c r="R43" s="19">
        <v>0</v>
      </c>
      <c r="S43" s="19">
        <v>0</v>
      </c>
      <c r="T43" s="83">
        <v>0</v>
      </c>
      <c r="U43" s="16">
        <v>0</v>
      </c>
    </row>
    <row r="44" spans="3:21">
      <c r="C44" s="20" t="s">
        <v>134</v>
      </c>
      <c r="D44" s="18">
        <v>3</v>
      </c>
      <c r="E44" s="19">
        <v>1.9333333333333331</v>
      </c>
      <c r="F44" s="19">
        <v>0.93333333333333335</v>
      </c>
      <c r="G44" s="19">
        <v>0.33333333333333331</v>
      </c>
      <c r="H44" s="19">
        <v>0</v>
      </c>
      <c r="I44" s="19">
        <v>0</v>
      </c>
      <c r="J44" s="19">
        <v>1.3333333333333333</v>
      </c>
      <c r="K44" s="19">
        <v>0.33333333333333331</v>
      </c>
      <c r="L44" s="19">
        <v>0.93333333333333335</v>
      </c>
      <c r="M44" s="19">
        <v>0.6</v>
      </c>
      <c r="N44" s="19">
        <v>0.33333333333333331</v>
      </c>
      <c r="O44" s="19">
        <v>0</v>
      </c>
      <c r="P44" s="19">
        <v>0.33333333333333331</v>
      </c>
      <c r="Q44" s="19">
        <v>0</v>
      </c>
      <c r="R44" s="19">
        <v>0</v>
      </c>
      <c r="S44" s="19">
        <v>0</v>
      </c>
      <c r="T44" s="83">
        <v>0.6</v>
      </c>
      <c r="U44" s="16">
        <v>0</v>
      </c>
    </row>
    <row r="45" spans="3:21">
      <c r="C45" s="20" t="s">
        <v>116</v>
      </c>
      <c r="D45" s="18">
        <v>4</v>
      </c>
      <c r="E45" s="19">
        <v>0</v>
      </c>
      <c r="F45" s="19">
        <v>2</v>
      </c>
      <c r="G45" s="19">
        <v>0</v>
      </c>
      <c r="H45" s="19">
        <v>0</v>
      </c>
      <c r="I45" s="19">
        <v>0</v>
      </c>
      <c r="J45" s="19">
        <v>0</v>
      </c>
      <c r="K45" s="19">
        <v>0</v>
      </c>
      <c r="L45" s="19">
        <v>0</v>
      </c>
      <c r="M45" s="19">
        <v>1</v>
      </c>
      <c r="N45" s="19">
        <v>2</v>
      </c>
      <c r="O45" s="19">
        <v>0</v>
      </c>
      <c r="P45" s="19">
        <v>3</v>
      </c>
      <c r="Q45" s="19">
        <v>1</v>
      </c>
      <c r="R45" s="19">
        <v>1</v>
      </c>
      <c r="S45" s="19">
        <v>0</v>
      </c>
      <c r="T45" s="83">
        <v>0</v>
      </c>
      <c r="U45" s="16">
        <v>0</v>
      </c>
    </row>
    <row r="46" spans="3:21">
      <c r="C46" s="20" t="s">
        <v>167</v>
      </c>
      <c r="D46" s="18">
        <v>1</v>
      </c>
      <c r="E46" s="19">
        <v>0</v>
      </c>
      <c r="F46" s="19">
        <v>0</v>
      </c>
      <c r="G46" s="19">
        <v>0</v>
      </c>
      <c r="H46" s="19">
        <v>0</v>
      </c>
      <c r="I46" s="19">
        <v>0</v>
      </c>
      <c r="J46" s="19">
        <v>0</v>
      </c>
      <c r="K46" s="19">
        <v>0</v>
      </c>
      <c r="L46" s="19">
        <v>0</v>
      </c>
      <c r="M46" s="19">
        <v>0</v>
      </c>
      <c r="N46" s="19">
        <v>0</v>
      </c>
      <c r="O46" s="19">
        <v>0</v>
      </c>
      <c r="P46" s="19">
        <v>0</v>
      </c>
      <c r="Q46" s="19">
        <v>0</v>
      </c>
      <c r="R46" s="19">
        <v>0</v>
      </c>
      <c r="S46" s="19">
        <v>0</v>
      </c>
      <c r="T46" s="83">
        <v>0</v>
      </c>
      <c r="U46" s="16">
        <v>0</v>
      </c>
    </row>
    <row r="47" spans="3:21">
      <c r="C47" s="20" t="s">
        <v>149</v>
      </c>
      <c r="D47" s="18">
        <v>1</v>
      </c>
      <c r="E47" s="19">
        <v>0</v>
      </c>
      <c r="F47" s="19">
        <v>0</v>
      </c>
      <c r="G47" s="19">
        <v>0</v>
      </c>
      <c r="H47" s="19">
        <v>0</v>
      </c>
      <c r="I47" s="19">
        <v>0</v>
      </c>
      <c r="J47" s="19">
        <v>0</v>
      </c>
      <c r="K47" s="19">
        <v>1</v>
      </c>
      <c r="L47" s="19">
        <v>0</v>
      </c>
      <c r="M47" s="19">
        <v>0</v>
      </c>
      <c r="N47" s="19">
        <v>0</v>
      </c>
      <c r="O47" s="19">
        <v>0</v>
      </c>
      <c r="P47" s="19">
        <v>0</v>
      </c>
      <c r="Q47" s="19">
        <v>1</v>
      </c>
      <c r="R47" s="19">
        <v>0</v>
      </c>
      <c r="S47" s="19">
        <v>0</v>
      </c>
      <c r="T47" s="83">
        <v>1</v>
      </c>
      <c r="U47" s="16">
        <v>0</v>
      </c>
    </row>
    <row r="48" spans="3:21">
      <c r="C48" s="20" t="s">
        <v>429</v>
      </c>
      <c r="D48" s="18">
        <v>1</v>
      </c>
      <c r="E48" s="19">
        <v>0.75</v>
      </c>
      <c r="F48" s="19">
        <v>0.75</v>
      </c>
      <c r="G48" s="19">
        <v>0</v>
      </c>
      <c r="H48" s="19">
        <v>0</v>
      </c>
      <c r="I48" s="19">
        <v>0</v>
      </c>
      <c r="J48" s="19">
        <v>0</v>
      </c>
      <c r="K48" s="19">
        <v>0</v>
      </c>
      <c r="L48" s="19">
        <v>0.75</v>
      </c>
      <c r="M48" s="19">
        <v>0</v>
      </c>
      <c r="N48" s="19">
        <v>0</v>
      </c>
      <c r="O48" s="19">
        <v>0</v>
      </c>
      <c r="P48" s="19">
        <v>0</v>
      </c>
      <c r="Q48" s="19">
        <v>0.75</v>
      </c>
      <c r="R48" s="19">
        <v>0</v>
      </c>
      <c r="S48" s="19">
        <v>0</v>
      </c>
      <c r="T48" s="83">
        <v>0</v>
      </c>
      <c r="U48" s="16">
        <v>0</v>
      </c>
    </row>
    <row r="49" spans="3:21">
      <c r="C49" s="20" t="s">
        <v>367</v>
      </c>
      <c r="D49" s="18">
        <v>1</v>
      </c>
      <c r="E49" s="19">
        <v>0</v>
      </c>
      <c r="F49" s="19">
        <v>0</v>
      </c>
      <c r="G49" s="19">
        <v>0</v>
      </c>
      <c r="H49" s="19">
        <v>0</v>
      </c>
      <c r="I49" s="19">
        <v>0</v>
      </c>
      <c r="J49" s="19">
        <v>0</v>
      </c>
      <c r="K49" s="19">
        <v>0</v>
      </c>
      <c r="L49" s="19">
        <v>0</v>
      </c>
      <c r="M49" s="19">
        <v>0</v>
      </c>
      <c r="N49" s="19">
        <v>0</v>
      </c>
      <c r="O49" s="19">
        <v>0</v>
      </c>
      <c r="P49" s="19">
        <v>0</v>
      </c>
      <c r="Q49" s="19">
        <v>0</v>
      </c>
      <c r="R49" s="19">
        <v>0</v>
      </c>
      <c r="S49" s="19">
        <v>0</v>
      </c>
      <c r="T49" s="83">
        <v>0</v>
      </c>
      <c r="U49" s="16">
        <v>0</v>
      </c>
    </row>
    <row r="50" spans="3:21">
      <c r="C50" s="20" t="s">
        <v>508</v>
      </c>
      <c r="D50" s="18">
        <v>1</v>
      </c>
      <c r="E50" s="19">
        <v>0</v>
      </c>
      <c r="F50" s="19">
        <v>0</v>
      </c>
      <c r="G50" s="19">
        <v>1</v>
      </c>
      <c r="H50" s="19">
        <v>0</v>
      </c>
      <c r="I50" s="19">
        <v>0</v>
      </c>
      <c r="J50" s="19">
        <v>0</v>
      </c>
      <c r="K50" s="19">
        <v>0</v>
      </c>
      <c r="L50" s="19">
        <v>1</v>
      </c>
      <c r="M50" s="19">
        <v>1</v>
      </c>
      <c r="N50" s="19">
        <v>0</v>
      </c>
      <c r="O50" s="19">
        <v>0</v>
      </c>
      <c r="P50" s="19">
        <v>0</v>
      </c>
      <c r="Q50" s="19">
        <v>0</v>
      </c>
      <c r="R50" s="19">
        <v>0</v>
      </c>
      <c r="S50" s="19">
        <v>0</v>
      </c>
      <c r="T50" s="83">
        <v>0</v>
      </c>
      <c r="U50" s="16">
        <v>0</v>
      </c>
    </row>
    <row r="51" spans="3:21">
      <c r="C51" s="20" t="s">
        <v>179</v>
      </c>
      <c r="D51" s="18">
        <v>2</v>
      </c>
      <c r="E51" s="19">
        <v>1</v>
      </c>
      <c r="F51" s="19">
        <v>0</v>
      </c>
      <c r="G51" s="19">
        <v>0</v>
      </c>
      <c r="H51" s="19">
        <v>0</v>
      </c>
      <c r="I51" s="19">
        <v>0</v>
      </c>
      <c r="J51" s="19">
        <v>0</v>
      </c>
      <c r="K51" s="19">
        <v>0</v>
      </c>
      <c r="L51" s="19">
        <v>0</v>
      </c>
      <c r="M51" s="19">
        <v>1</v>
      </c>
      <c r="N51" s="19">
        <v>0</v>
      </c>
      <c r="O51" s="19">
        <v>0</v>
      </c>
      <c r="P51" s="19">
        <v>0</v>
      </c>
      <c r="Q51" s="19">
        <v>1</v>
      </c>
      <c r="R51" s="19">
        <v>2</v>
      </c>
      <c r="S51" s="19">
        <v>0</v>
      </c>
      <c r="T51" s="83">
        <v>1</v>
      </c>
      <c r="U51" s="16">
        <v>0</v>
      </c>
    </row>
    <row r="52" spans="3:21">
      <c r="C52" s="20" t="s">
        <v>377</v>
      </c>
      <c r="D52" s="18">
        <v>14</v>
      </c>
      <c r="E52" s="19">
        <v>0</v>
      </c>
      <c r="F52" s="19">
        <v>8.35</v>
      </c>
      <c r="G52" s="19">
        <v>0</v>
      </c>
      <c r="H52" s="19">
        <v>2</v>
      </c>
      <c r="I52" s="19">
        <v>0</v>
      </c>
      <c r="J52" s="19">
        <v>0</v>
      </c>
      <c r="K52" s="19">
        <v>3.35</v>
      </c>
      <c r="L52" s="19">
        <v>0.6</v>
      </c>
      <c r="M52" s="19">
        <v>6</v>
      </c>
      <c r="N52" s="19">
        <v>0</v>
      </c>
      <c r="O52" s="19">
        <v>1</v>
      </c>
      <c r="P52" s="19">
        <v>0</v>
      </c>
      <c r="Q52" s="19">
        <v>10.35</v>
      </c>
      <c r="R52" s="19">
        <v>0</v>
      </c>
      <c r="S52" s="19">
        <v>0</v>
      </c>
      <c r="T52" s="83">
        <v>2.35</v>
      </c>
      <c r="U52" s="16">
        <v>2</v>
      </c>
    </row>
    <row r="53" spans="3:21">
      <c r="C53" s="20" t="s">
        <v>154</v>
      </c>
      <c r="D53" s="18">
        <v>1</v>
      </c>
      <c r="E53" s="19">
        <v>0</v>
      </c>
      <c r="F53" s="19">
        <v>0</v>
      </c>
      <c r="G53" s="19">
        <v>0</v>
      </c>
      <c r="H53" s="19">
        <v>0</v>
      </c>
      <c r="I53" s="19">
        <v>0</v>
      </c>
      <c r="J53" s="19">
        <v>0</v>
      </c>
      <c r="K53" s="19">
        <v>0</v>
      </c>
      <c r="L53" s="19">
        <v>0</v>
      </c>
      <c r="M53" s="19">
        <v>1</v>
      </c>
      <c r="N53" s="19">
        <v>0</v>
      </c>
      <c r="O53" s="19">
        <v>0</v>
      </c>
      <c r="P53" s="19">
        <v>0</v>
      </c>
      <c r="Q53" s="19">
        <v>0</v>
      </c>
      <c r="R53" s="19">
        <v>0</v>
      </c>
      <c r="S53" s="19">
        <v>0</v>
      </c>
      <c r="T53" s="83">
        <v>1</v>
      </c>
      <c r="U53" s="16">
        <v>0</v>
      </c>
    </row>
    <row r="54" spans="3:21">
      <c r="C54" s="20" t="s">
        <v>425</v>
      </c>
      <c r="D54" s="18">
        <v>1</v>
      </c>
      <c r="E54" s="19">
        <v>0.375</v>
      </c>
      <c r="F54" s="19">
        <v>0</v>
      </c>
      <c r="G54" s="19">
        <v>0.375</v>
      </c>
      <c r="H54" s="19">
        <v>0</v>
      </c>
      <c r="I54" s="19">
        <v>0</v>
      </c>
      <c r="J54" s="19">
        <v>0</v>
      </c>
      <c r="K54" s="19">
        <v>0.375</v>
      </c>
      <c r="L54" s="19">
        <v>0</v>
      </c>
      <c r="M54" s="19">
        <v>0.375</v>
      </c>
      <c r="N54" s="19">
        <v>0.375</v>
      </c>
      <c r="O54" s="19">
        <v>0</v>
      </c>
      <c r="P54" s="19">
        <v>0.375</v>
      </c>
      <c r="Q54" s="19">
        <v>0</v>
      </c>
      <c r="R54" s="19">
        <v>0.375</v>
      </c>
      <c r="S54" s="19">
        <v>0</v>
      </c>
      <c r="T54" s="83">
        <v>0</v>
      </c>
      <c r="U54" s="16">
        <v>0</v>
      </c>
    </row>
    <row r="55" spans="3:21">
      <c r="C55" s="20" t="s">
        <v>171</v>
      </c>
      <c r="D55" s="18">
        <v>51</v>
      </c>
      <c r="E55" s="19">
        <v>8.7249999999999996</v>
      </c>
      <c r="F55" s="19">
        <v>9.1</v>
      </c>
      <c r="G55" s="19">
        <v>6.7249999999999996</v>
      </c>
      <c r="H55" s="19">
        <v>2.6</v>
      </c>
      <c r="I55" s="19">
        <v>3.6</v>
      </c>
      <c r="J55" s="19">
        <v>8.9499999999999993</v>
      </c>
      <c r="K55" s="19">
        <v>11.924999999999999</v>
      </c>
      <c r="L55" s="19">
        <v>10</v>
      </c>
      <c r="M55" s="19">
        <v>7.4749999999999996</v>
      </c>
      <c r="N55" s="19">
        <v>5.9749999999999996</v>
      </c>
      <c r="O55" s="19">
        <v>4.5999999999999996</v>
      </c>
      <c r="P55" s="19">
        <v>7.6</v>
      </c>
      <c r="Q55" s="19">
        <v>20.950000000000003</v>
      </c>
      <c r="R55" s="19">
        <v>7.9749999999999996</v>
      </c>
      <c r="S55" s="19">
        <v>3.375</v>
      </c>
      <c r="T55" s="83">
        <v>12.45</v>
      </c>
      <c r="U55" s="16">
        <v>7.25</v>
      </c>
    </row>
    <row r="56" spans="3:21">
      <c r="C56" s="20" t="s">
        <v>144</v>
      </c>
      <c r="D56" s="18">
        <v>1</v>
      </c>
      <c r="E56" s="19">
        <v>0</v>
      </c>
      <c r="F56" s="19">
        <v>0</v>
      </c>
      <c r="G56" s="19">
        <v>0</v>
      </c>
      <c r="H56" s="19">
        <v>0</v>
      </c>
      <c r="I56" s="19">
        <v>0</v>
      </c>
      <c r="J56" s="19">
        <v>0</v>
      </c>
      <c r="K56" s="19">
        <v>0</v>
      </c>
      <c r="L56" s="19">
        <v>0</v>
      </c>
      <c r="M56" s="19">
        <v>0</v>
      </c>
      <c r="N56" s="19">
        <v>0</v>
      </c>
      <c r="O56" s="19">
        <v>0</v>
      </c>
      <c r="P56" s="19">
        <v>0</v>
      </c>
      <c r="Q56" s="19">
        <v>1</v>
      </c>
      <c r="R56" s="19">
        <v>0</v>
      </c>
      <c r="S56" s="19">
        <v>0</v>
      </c>
      <c r="T56" s="83">
        <v>1</v>
      </c>
      <c r="U56" s="16">
        <v>0</v>
      </c>
    </row>
    <row r="57" spans="3:21">
      <c r="C57" s="20" t="s">
        <v>174</v>
      </c>
      <c r="D57" s="18">
        <v>4</v>
      </c>
      <c r="E57" s="19">
        <v>1.6</v>
      </c>
      <c r="F57" s="19">
        <v>1.6</v>
      </c>
      <c r="G57" s="19">
        <v>2.35</v>
      </c>
      <c r="H57" s="19">
        <v>0</v>
      </c>
      <c r="I57" s="19">
        <v>0</v>
      </c>
      <c r="J57" s="19">
        <v>0.75</v>
      </c>
      <c r="K57" s="19">
        <v>0</v>
      </c>
      <c r="L57" s="19">
        <v>0.6</v>
      </c>
      <c r="M57" s="19">
        <v>2.35</v>
      </c>
      <c r="N57" s="19">
        <v>0</v>
      </c>
      <c r="O57" s="19">
        <v>0</v>
      </c>
      <c r="P57" s="19">
        <v>0</v>
      </c>
      <c r="Q57" s="19">
        <v>0.75</v>
      </c>
      <c r="R57" s="19">
        <v>0</v>
      </c>
      <c r="S57" s="19">
        <v>0</v>
      </c>
      <c r="T57" s="83">
        <v>0</v>
      </c>
      <c r="U57" s="16">
        <v>0</v>
      </c>
    </row>
    <row r="58" spans="3:21">
      <c r="C58" s="20" t="s">
        <v>145</v>
      </c>
      <c r="D58" s="18">
        <v>7</v>
      </c>
      <c r="E58" s="19">
        <v>0</v>
      </c>
      <c r="F58" s="19">
        <v>1</v>
      </c>
      <c r="G58" s="19">
        <v>1</v>
      </c>
      <c r="H58" s="19">
        <v>1</v>
      </c>
      <c r="I58" s="19">
        <v>0</v>
      </c>
      <c r="J58" s="19">
        <v>1</v>
      </c>
      <c r="K58" s="19">
        <v>0</v>
      </c>
      <c r="L58" s="19">
        <v>1</v>
      </c>
      <c r="M58" s="19">
        <v>1</v>
      </c>
      <c r="N58" s="19">
        <v>1</v>
      </c>
      <c r="O58" s="19">
        <v>1</v>
      </c>
      <c r="P58" s="19">
        <v>1</v>
      </c>
      <c r="Q58" s="19">
        <v>2</v>
      </c>
      <c r="R58" s="19">
        <v>2</v>
      </c>
      <c r="S58" s="19">
        <v>1</v>
      </c>
      <c r="T58" s="83">
        <v>0</v>
      </c>
      <c r="U58" s="16">
        <v>2</v>
      </c>
    </row>
    <row r="59" spans="3:21">
      <c r="C59" s="20" t="s">
        <v>161</v>
      </c>
      <c r="D59" s="18">
        <v>7</v>
      </c>
      <c r="E59" s="19">
        <v>2.4285714285714288</v>
      </c>
      <c r="F59" s="19">
        <v>1</v>
      </c>
      <c r="G59" s="19">
        <v>1</v>
      </c>
      <c r="H59" s="19">
        <v>0</v>
      </c>
      <c r="I59" s="19">
        <v>0</v>
      </c>
      <c r="J59" s="19">
        <v>0.42857142857142855</v>
      </c>
      <c r="K59" s="19">
        <v>0.42857142857142855</v>
      </c>
      <c r="L59" s="19">
        <v>2</v>
      </c>
      <c r="M59" s="19">
        <v>1.4285714285714286</v>
      </c>
      <c r="N59" s="19">
        <v>1</v>
      </c>
      <c r="O59" s="19">
        <v>0</v>
      </c>
      <c r="P59" s="19">
        <v>0</v>
      </c>
      <c r="Q59" s="19">
        <v>2.4285714285714288</v>
      </c>
      <c r="R59" s="19">
        <v>4</v>
      </c>
      <c r="S59" s="19">
        <v>0</v>
      </c>
      <c r="T59" s="83">
        <v>1.4285714285714286</v>
      </c>
      <c r="U59" s="16">
        <v>1.4285714285714286</v>
      </c>
    </row>
    <row r="60" spans="3:21">
      <c r="C60" s="20" t="s">
        <v>462</v>
      </c>
      <c r="D60" s="18">
        <v>1</v>
      </c>
      <c r="E60" s="19">
        <v>0</v>
      </c>
      <c r="F60" s="19">
        <v>0</v>
      </c>
      <c r="G60" s="19">
        <v>0</v>
      </c>
      <c r="H60" s="19">
        <v>0</v>
      </c>
      <c r="I60" s="19">
        <v>0</v>
      </c>
      <c r="J60" s="19">
        <v>0</v>
      </c>
      <c r="K60" s="19">
        <v>0</v>
      </c>
      <c r="L60" s="19">
        <v>0</v>
      </c>
      <c r="M60" s="19">
        <v>0</v>
      </c>
      <c r="N60" s="19">
        <v>0</v>
      </c>
      <c r="O60" s="19">
        <v>0</v>
      </c>
      <c r="P60" s="19">
        <v>0</v>
      </c>
      <c r="Q60" s="19">
        <v>0</v>
      </c>
      <c r="R60" s="19">
        <v>0</v>
      </c>
      <c r="S60" s="19">
        <v>0</v>
      </c>
      <c r="T60" s="83">
        <v>0</v>
      </c>
      <c r="U60" s="16">
        <v>0</v>
      </c>
    </row>
    <row r="61" spans="3:21">
      <c r="C61" s="20" t="s">
        <v>157</v>
      </c>
      <c r="D61" s="18">
        <v>2</v>
      </c>
      <c r="E61" s="19">
        <v>0</v>
      </c>
      <c r="F61" s="19">
        <v>1</v>
      </c>
      <c r="G61" s="19">
        <v>1</v>
      </c>
      <c r="H61" s="19">
        <v>1</v>
      </c>
      <c r="I61" s="19">
        <v>0</v>
      </c>
      <c r="J61" s="19">
        <v>0</v>
      </c>
      <c r="K61" s="19">
        <v>0</v>
      </c>
      <c r="L61" s="19">
        <v>0</v>
      </c>
      <c r="M61" s="19">
        <v>0</v>
      </c>
      <c r="N61" s="19">
        <v>0</v>
      </c>
      <c r="O61" s="19">
        <v>0</v>
      </c>
      <c r="P61" s="19">
        <v>0</v>
      </c>
      <c r="Q61" s="19">
        <v>1</v>
      </c>
      <c r="R61" s="19">
        <v>1</v>
      </c>
      <c r="S61" s="19">
        <v>0</v>
      </c>
      <c r="T61" s="83">
        <v>0</v>
      </c>
      <c r="U61" s="16">
        <v>0</v>
      </c>
    </row>
    <row r="62" spans="3:21">
      <c r="C62" s="20" t="s">
        <v>135</v>
      </c>
      <c r="D62" s="18">
        <v>2</v>
      </c>
      <c r="E62" s="19">
        <v>1.3333333333333333</v>
      </c>
      <c r="F62" s="19">
        <v>0.33333333333333331</v>
      </c>
      <c r="G62" s="19">
        <v>0</v>
      </c>
      <c r="H62" s="19">
        <v>1</v>
      </c>
      <c r="I62" s="19">
        <v>0.33333333333333331</v>
      </c>
      <c r="J62" s="19">
        <v>0.33333333333333331</v>
      </c>
      <c r="K62" s="19">
        <v>0</v>
      </c>
      <c r="L62" s="19">
        <v>0.33333333333333331</v>
      </c>
      <c r="M62" s="19">
        <v>0</v>
      </c>
      <c r="N62" s="19">
        <v>0.33333333333333331</v>
      </c>
      <c r="O62" s="19">
        <v>0</v>
      </c>
      <c r="P62" s="19">
        <v>0.33333333333333331</v>
      </c>
      <c r="Q62" s="19">
        <v>0.33333333333333331</v>
      </c>
      <c r="R62" s="19">
        <v>0</v>
      </c>
      <c r="S62" s="19">
        <v>0</v>
      </c>
      <c r="T62" s="83">
        <v>0.33333333333333331</v>
      </c>
      <c r="U62" s="16">
        <v>0</v>
      </c>
    </row>
    <row r="63" spans="3:21">
      <c r="C63" s="20" t="s">
        <v>156</v>
      </c>
      <c r="D63" s="18">
        <v>13</v>
      </c>
      <c r="E63" s="19">
        <v>1.375</v>
      </c>
      <c r="F63" s="19">
        <v>2.375</v>
      </c>
      <c r="G63" s="19">
        <v>0.375</v>
      </c>
      <c r="H63" s="19">
        <v>1.375</v>
      </c>
      <c r="I63" s="19">
        <v>1.75</v>
      </c>
      <c r="J63" s="19">
        <v>3</v>
      </c>
      <c r="K63" s="19">
        <v>0.75</v>
      </c>
      <c r="L63" s="19">
        <v>1</v>
      </c>
      <c r="M63" s="19">
        <v>0</v>
      </c>
      <c r="N63" s="19">
        <v>0.375</v>
      </c>
      <c r="O63" s="19">
        <v>0</v>
      </c>
      <c r="P63" s="19">
        <v>2.375</v>
      </c>
      <c r="Q63" s="19">
        <v>4.75</v>
      </c>
      <c r="R63" s="19">
        <v>1.375</v>
      </c>
      <c r="S63" s="19">
        <v>0</v>
      </c>
      <c r="T63" s="83">
        <v>4.75</v>
      </c>
      <c r="U63" s="16">
        <v>4</v>
      </c>
    </row>
    <row r="64" spans="3:21">
      <c r="C64" s="20" t="s">
        <v>121</v>
      </c>
      <c r="D64" s="18">
        <v>11</v>
      </c>
      <c r="E64" s="19">
        <v>3.180769230769231</v>
      </c>
      <c r="F64" s="19">
        <v>3.430769230769231</v>
      </c>
      <c r="G64" s="19">
        <v>1.4307692307692308</v>
      </c>
      <c r="H64" s="19">
        <v>1.4307692307692308</v>
      </c>
      <c r="I64" s="19">
        <v>0.23076923076923078</v>
      </c>
      <c r="J64" s="19">
        <v>2.180769230769231</v>
      </c>
      <c r="K64" s="19">
        <v>0.95</v>
      </c>
      <c r="L64" s="19">
        <v>0.43076923076923079</v>
      </c>
      <c r="M64" s="19">
        <v>2.180769230769231</v>
      </c>
      <c r="N64" s="19">
        <v>2.2307692307692308</v>
      </c>
      <c r="O64" s="19">
        <v>0.2</v>
      </c>
      <c r="P64" s="19">
        <v>1.4307692307692308</v>
      </c>
      <c r="Q64" s="19">
        <v>1.4307692307692308</v>
      </c>
      <c r="R64" s="19">
        <v>3.2</v>
      </c>
      <c r="S64" s="19">
        <v>0</v>
      </c>
      <c r="T64" s="83">
        <v>0.2</v>
      </c>
      <c r="U64" s="16">
        <v>0.43076923076923079</v>
      </c>
    </row>
    <row r="65" spans="3:21">
      <c r="C65" s="20" t="s">
        <v>153</v>
      </c>
      <c r="D65" s="18">
        <v>2</v>
      </c>
      <c r="E65" s="19">
        <v>1</v>
      </c>
      <c r="F65" s="19">
        <v>0</v>
      </c>
      <c r="G65" s="19">
        <v>0</v>
      </c>
      <c r="H65" s="19">
        <v>0</v>
      </c>
      <c r="I65" s="19">
        <v>0</v>
      </c>
      <c r="J65" s="19">
        <v>2</v>
      </c>
      <c r="K65" s="19">
        <v>0</v>
      </c>
      <c r="L65" s="19">
        <v>0</v>
      </c>
      <c r="M65" s="19">
        <v>2</v>
      </c>
      <c r="N65" s="19">
        <v>0</v>
      </c>
      <c r="O65" s="19">
        <v>0</v>
      </c>
      <c r="P65" s="19">
        <v>0</v>
      </c>
      <c r="Q65" s="19">
        <v>0</v>
      </c>
      <c r="R65" s="19">
        <v>1</v>
      </c>
      <c r="S65" s="19">
        <v>0</v>
      </c>
      <c r="T65" s="83">
        <v>0</v>
      </c>
      <c r="U65" s="16">
        <v>0</v>
      </c>
    </row>
    <row r="66" spans="3:21">
      <c r="C66" s="20" t="s">
        <v>113</v>
      </c>
      <c r="D66" s="18">
        <v>3</v>
      </c>
      <c r="E66" s="19">
        <v>1.75</v>
      </c>
      <c r="F66" s="19">
        <v>0</v>
      </c>
      <c r="G66" s="19">
        <v>1.75</v>
      </c>
      <c r="H66" s="19">
        <v>0</v>
      </c>
      <c r="I66" s="19">
        <v>0</v>
      </c>
      <c r="J66" s="19">
        <v>0</v>
      </c>
      <c r="K66" s="19">
        <v>0</v>
      </c>
      <c r="L66" s="19">
        <v>0</v>
      </c>
      <c r="M66" s="19">
        <v>0</v>
      </c>
      <c r="N66" s="19">
        <v>0</v>
      </c>
      <c r="O66" s="19">
        <v>0</v>
      </c>
      <c r="P66" s="19">
        <v>0.75</v>
      </c>
      <c r="Q66" s="19">
        <v>0</v>
      </c>
      <c r="R66" s="19">
        <v>0</v>
      </c>
      <c r="S66" s="19">
        <v>0</v>
      </c>
      <c r="T66" s="83">
        <v>0</v>
      </c>
      <c r="U66" s="16">
        <v>0</v>
      </c>
    </row>
    <row r="67" spans="3:21">
      <c r="C67" s="20" t="s">
        <v>516</v>
      </c>
      <c r="D67" s="18">
        <v>1</v>
      </c>
      <c r="E67" s="19">
        <v>0.6</v>
      </c>
      <c r="F67" s="19">
        <v>0.6</v>
      </c>
      <c r="G67" s="19">
        <v>0.6</v>
      </c>
      <c r="H67" s="19">
        <v>0</v>
      </c>
      <c r="I67" s="19">
        <v>0</v>
      </c>
      <c r="J67" s="19">
        <v>0</v>
      </c>
      <c r="K67" s="19">
        <v>0</v>
      </c>
      <c r="L67" s="19">
        <v>0</v>
      </c>
      <c r="M67" s="19">
        <v>0</v>
      </c>
      <c r="N67" s="19">
        <v>0.6</v>
      </c>
      <c r="O67" s="19">
        <v>0</v>
      </c>
      <c r="P67" s="19">
        <v>0</v>
      </c>
      <c r="Q67" s="19">
        <v>0</v>
      </c>
      <c r="R67" s="19">
        <v>0</v>
      </c>
      <c r="S67" s="19">
        <v>0</v>
      </c>
      <c r="T67" s="83">
        <v>0.6</v>
      </c>
      <c r="U67" s="16">
        <v>0</v>
      </c>
    </row>
    <row r="68" spans="3:21">
      <c r="C68" s="20" t="s">
        <v>470</v>
      </c>
      <c r="D68" s="18">
        <v>2</v>
      </c>
      <c r="E68" s="19">
        <v>1</v>
      </c>
      <c r="F68" s="19">
        <v>1</v>
      </c>
      <c r="G68" s="19">
        <v>0</v>
      </c>
      <c r="H68" s="19">
        <v>0</v>
      </c>
      <c r="I68" s="19">
        <v>0</v>
      </c>
      <c r="J68" s="19">
        <v>2</v>
      </c>
      <c r="K68" s="19">
        <v>0</v>
      </c>
      <c r="L68" s="19">
        <v>0</v>
      </c>
      <c r="M68" s="19">
        <v>0</v>
      </c>
      <c r="N68" s="19">
        <v>0</v>
      </c>
      <c r="O68" s="19">
        <v>0</v>
      </c>
      <c r="P68" s="19">
        <v>0</v>
      </c>
      <c r="Q68" s="19">
        <v>1</v>
      </c>
      <c r="R68" s="19">
        <v>0</v>
      </c>
      <c r="S68" s="19">
        <v>0</v>
      </c>
      <c r="T68" s="83">
        <v>1</v>
      </c>
      <c r="U68" s="16">
        <v>0</v>
      </c>
    </row>
    <row r="69" spans="3:21">
      <c r="C69" s="20" t="s">
        <v>124</v>
      </c>
      <c r="D69" s="18">
        <v>6</v>
      </c>
      <c r="E69" s="19">
        <v>2.4333333333333331</v>
      </c>
      <c r="F69" s="19">
        <v>0</v>
      </c>
      <c r="G69" s="19">
        <v>2.1</v>
      </c>
      <c r="H69" s="19">
        <v>0.33333333333333331</v>
      </c>
      <c r="I69" s="19">
        <v>0</v>
      </c>
      <c r="J69" s="19">
        <v>1.3333333333333333</v>
      </c>
      <c r="K69" s="19">
        <v>0</v>
      </c>
      <c r="L69" s="19">
        <v>1</v>
      </c>
      <c r="M69" s="19">
        <v>1.3333333333333333</v>
      </c>
      <c r="N69" s="19">
        <v>0.6</v>
      </c>
      <c r="O69" s="19">
        <v>0</v>
      </c>
      <c r="P69" s="19">
        <v>0.33333333333333331</v>
      </c>
      <c r="Q69" s="19">
        <v>2.333333333333333</v>
      </c>
      <c r="R69" s="19">
        <v>1.3333333333333333</v>
      </c>
      <c r="S69" s="19">
        <v>0</v>
      </c>
      <c r="T69" s="83">
        <v>0.33333333333333331</v>
      </c>
      <c r="U69" s="16">
        <v>2.1</v>
      </c>
    </row>
    <row r="70" spans="3:21">
      <c r="C70" s="20" t="s">
        <v>381</v>
      </c>
      <c r="D70" s="18">
        <v>1</v>
      </c>
      <c r="E70" s="19">
        <v>0</v>
      </c>
      <c r="F70" s="19">
        <v>0</v>
      </c>
      <c r="G70" s="19">
        <v>0</v>
      </c>
      <c r="H70" s="19">
        <v>0</v>
      </c>
      <c r="I70" s="19">
        <v>0</v>
      </c>
      <c r="J70" s="19">
        <v>0</v>
      </c>
      <c r="K70" s="19">
        <v>0</v>
      </c>
      <c r="L70" s="19">
        <v>0</v>
      </c>
      <c r="M70" s="19">
        <v>0</v>
      </c>
      <c r="N70" s="19">
        <v>0</v>
      </c>
      <c r="O70" s="19">
        <v>0</v>
      </c>
      <c r="P70" s="19">
        <v>0</v>
      </c>
      <c r="Q70" s="19">
        <v>0</v>
      </c>
      <c r="R70" s="19">
        <v>0</v>
      </c>
      <c r="S70" s="19">
        <v>0</v>
      </c>
      <c r="T70" s="83">
        <v>0</v>
      </c>
      <c r="U70" s="16">
        <v>0</v>
      </c>
    </row>
    <row r="71" spans="3:21">
      <c r="C71" s="20" t="s">
        <v>371</v>
      </c>
      <c r="D71" s="18">
        <v>2</v>
      </c>
      <c r="E71" s="19">
        <v>1</v>
      </c>
      <c r="F71" s="19">
        <v>1</v>
      </c>
      <c r="G71" s="19">
        <v>0</v>
      </c>
      <c r="H71" s="19">
        <v>1</v>
      </c>
      <c r="I71" s="19">
        <v>0</v>
      </c>
      <c r="J71" s="19">
        <v>0</v>
      </c>
      <c r="K71" s="19">
        <v>0</v>
      </c>
      <c r="L71" s="19">
        <v>0</v>
      </c>
      <c r="M71" s="19">
        <v>0</v>
      </c>
      <c r="N71" s="19">
        <v>1</v>
      </c>
      <c r="O71" s="19">
        <v>0</v>
      </c>
      <c r="P71" s="19">
        <v>1</v>
      </c>
      <c r="Q71" s="19">
        <v>0</v>
      </c>
      <c r="R71" s="19">
        <v>0</v>
      </c>
      <c r="S71" s="19">
        <v>0</v>
      </c>
      <c r="T71" s="83">
        <v>0</v>
      </c>
      <c r="U71" s="16">
        <v>1</v>
      </c>
    </row>
    <row r="72" spans="3:21">
      <c r="C72" s="20" t="s">
        <v>445</v>
      </c>
      <c r="D72" s="18">
        <v>1</v>
      </c>
      <c r="E72" s="19">
        <v>0</v>
      </c>
      <c r="F72" s="19">
        <v>0</v>
      </c>
      <c r="G72" s="19">
        <v>0</v>
      </c>
      <c r="H72" s="19">
        <v>0</v>
      </c>
      <c r="I72" s="19">
        <v>0</v>
      </c>
      <c r="J72" s="19">
        <v>1</v>
      </c>
      <c r="K72" s="19">
        <v>1</v>
      </c>
      <c r="L72" s="19">
        <v>0</v>
      </c>
      <c r="M72" s="19">
        <v>0</v>
      </c>
      <c r="N72" s="19">
        <v>1</v>
      </c>
      <c r="O72" s="19">
        <v>0</v>
      </c>
      <c r="P72" s="19">
        <v>0</v>
      </c>
      <c r="Q72" s="19">
        <v>0</v>
      </c>
      <c r="R72" s="19">
        <v>0</v>
      </c>
      <c r="S72" s="19">
        <v>0</v>
      </c>
      <c r="T72" s="83">
        <v>0</v>
      </c>
      <c r="U72" s="16">
        <v>0</v>
      </c>
    </row>
    <row r="73" spans="3:21">
      <c r="C73" s="20" t="s">
        <v>380</v>
      </c>
      <c r="D73" s="18">
        <v>1</v>
      </c>
      <c r="E73" s="19">
        <v>0</v>
      </c>
      <c r="F73" s="19">
        <v>0</v>
      </c>
      <c r="G73" s="19">
        <v>1</v>
      </c>
      <c r="H73" s="19">
        <v>0</v>
      </c>
      <c r="I73" s="19">
        <v>0</v>
      </c>
      <c r="J73" s="19">
        <v>0</v>
      </c>
      <c r="K73" s="19">
        <v>0</v>
      </c>
      <c r="L73" s="19">
        <v>0</v>
      </c>
      <c r="M73" s="19">
        <v>0</v>
      </c>
      <c r="N73" s="19">
        <v>0</v>
      </c>
      <c r="O73" s="19">
        <v>0</v>
      </c>
      <c r="P73" s="19">
        <v>1</v>
      </c>
      <c r="Q73" s="19">
        <v>0</v>
      </c>
      <c r="R73" s="19">
        <v>0</v>
      </c>
      <c r="S73" s="19">
        <v>0</v>
      </c>
      <c r="T73" s="83">
        <v>0</v>
      </c>
      <c r="U73" s="16">
        <v>0</v>
      </c>
    </row>
    <row r="74" spans="3:21">
      <c r="C74" s="20" t="s">
        <v>454</v>
      </c>
      <c r="D74" s="18">
        <v>1</v>
      </c>
      <c r="E74" s="19">
        <v>0</v>
      </c>
      <c r="F74" s="19">
        <v>0</v>
      </c>
      <c r="G74" s="19">
        <v>0</v>
      </c>
      <c r="H74" s="19">
        <v>0</v>
      </c>
      <c r="I74" s="19">
        <v>0</v>
      </c>
      <c r="J74" s="19">
        <v>1</v>
      </c>
      <c r="K74" s="19">
        <v>1</v>
      </c>
      <c r="L74" s="19">
        <v>0</v>
      </c>
      <c r="M74" s="19">
        <v>0</v>
      </c>
      <c r="N74" s="19">
        <v>0</v>
      </c>
      <c r="O74" s="19">
        <v>0</v>
      </c>
      <c r="P74" s="19">
        <v>0</v>
      </c>
      <c r="Q74" s="19">
        <v>1</v>
      </c>
      <c r="R74" s="19">
        <v>0</v>
      </c>
      <c r="S74" s="19">
        <v>0</v>
      </c>
      <c r="T74" s="83">
        <v>0</v>
      </c>
      <c r="U74" s="16">
        <v>0</v>
      </c>
    </row>
    <row r="75" spans="3:21">
      <c r="C75" s="20" t="s">
        <v>379</v>
      </c>
      <c r="D75" s="18">
        <v>6</v>
      </c>
      <c r="E75" s="19">
        <v>0</v>
      </c>
      <c r="F75" s="19">
        <v>0</v>
      </c>
      <c r="G75" s="19">
        <v>0</v>
      </c>
      <c r="H75" s="19">
        <v>0</v>
      </c>
      <c r="I75" s="19">
        <v>0</v>
      </c>
      <c r="J75" s="19">
        <v>2.6</v>
      </c>
      <c r="K75" s="19">
        <v>1.6</v>
      </c>
      <c r="L75" s="19">
        <v>1</v>
      </c>
      <c r="M75" s="19">
        <v>1.6</v>
      </c>
      <c r="N75" s="19">
        <v>1</v>
      </c>
      <c r="O75" s="19">
        <v>0</v>
      </c>
      <c r="P75" s="19">
        <v>0</v>
      </c>
      <c r="Q75" s="19">
        <v>2.6</v>
      </c>
      <c r="R75" s="19">
        <v>0</v>
      </c>
      <c r="S75" s="19">
        <v>0</v>
      </c>
      <c r="T75" s="83">
        <v>0.6</v>
      </c>
      <c r="U75" s="16">
        <v>0</v>
      </c>
    </row>
    <row r="76" spans="3:21">
      <c r="C76" s="20" t="s">
        <v>464</v>
      </c>
      <c r="D76" s="18">
        <v>1</v>
      </c>
      <c r="E76" s="19">
        <v>0</v>
      </c>
      <c r="F76" s="19">
        <v>1</v>
      </c>
      <c r="G76" s="19">
        <v>0</v>
      </c>
      <c r="H76" s="19">
        <v>0</v>
      </c>
      <c r="I76" s="19">
        <v>0</v>
      </c>
      <c r="J76" s="19">
        <v>0</v>
      </c>
      <c r="K76" s="19">
        <v>0</v>
      </c>
      <c r="L76" s="19">
        <v>1</v>
      </c>
      <c r="M76" s="19">
        <v>0</v>
      </c>
      <c r="N76" s="19">
        <v>0</v>
      </c>
      <c r="O76" s="19">
        <v>0</v>
      </c>
      <c r="P76" s="19">
        <v>0</v>
      </c>
      <c r="Q76" s="19">
        <v>0</v>
      </c>
      <c r="R76" s="19">
        <v>0</v>
      </c>
      <c r="S76" s="19">
        <v>0</v>
      </c>
      <c r="T76" s="83">
        <v>0</v>
      </c>
      <c r="U76" s="16">
        <v>0</v>
      </c>
    </row>
    <row r="77" spans="3:21">
      <c r="C77" s="20" t="s">
        <v>362</v>
      </c>
      <c r="D77" s="18">
        <v>3</v>
      </c>
      <c r="E77" s="19">
        <v>0</v>
      </c>
      <c r="F77" s="19">
        <v>0</v>
      </c>
      <c r="G77" s="19">
        <v>0</v>
      </c>
      <c r="H77" s="19">
        <v>0</v>
      </c>
      <c r="I77" s="19">
        <v>1</v>
      </c>
      <c r="J77" s="19">
        <v>0</v>
      </c>
      <c r="K77" s="19">
        <v>0.75</v>
      </c>
      <c r="L77" s="19">
        <v>0</v>
      </c>
      <c r="M77" s="19">
        <v>1</v>
      </c>
      <c r="N77" s="19">
        <v>0</v>
      </c>
      <c r="O77" s="19">
        <v>0.75</v>
      </c>
      <c r="P77" s="19">
        <v>1</v>
      </c>
      <c r="Q77" s="19">
        <v>1.75</v>
      </c>
      <c r="R77" s="19">
        <v>1</v>
      </c>
      <c r="S77" s="19">
        <v>0</v>
      </c>
      <c r="T77" s="83">
        <v>0.75</v>
      </c>
      <c r="U77" s="16">
        <v>1</v>
      </c>
    </row>
    <row r="78" spans="3:21">
      <c r="C78" s="20" t="s">
        <v>457</v>
      </c>
      <c r="D78" s="18">
        <v>1</v>
      </c>
      <c r="E78" s="19">
        <v>0</v>
      </c>
      <c r="F78" s="19">
        <v>0</v>
      </c>
      <c r="G78" s="19">
        <v>0</v>
      </c>
      <c r="H78" s="19">
        <v>0</v>
      </c>
      <c r="I78" s="19">
        <v>0</v>
      </c>
      <c r="J78" s="19">
        <v>1</v>
      </c>
      <c r="K78" s="19">
        <v>1</v>
      </c>
      <c r="L78" s="19">
        <v>0</v>
      </c>
      <c r="M78" s="19">
        <v>0</v>
      </c>
      <c r="N78" s="19">
        <v>0</v>
      </c>
      <c r="O78" s="19">
        <v>0</v>
      </c>
      <c r="P78" s="19">
        <v>0</v>
      </c>
      <c r="Q78" s="19">
        <v>0</v>
      </c>
      <c r="R78" s="19">
        <v>0</v>
      </c>
      <c r="S78" s="19">
        <v>0</v>
      </c>
      <c r="T78" s="83">
        <v>0</v>
      </c>
      <c r="U78" s="16">
        <v>0</v>
      </c>
    </row>
    <row r="79" spans="3:21">
      <c r="C79" s="20" t="s">
        <v>522</v>
      </c>
      <c r="D79" s="18">
        <v>1</v>
      </c>
      <c r="E79" s="19">
        <v>0</v>
      </c>
      <c r="F79" s="19">
        <v>0.6</v>
      </c>
      <c r="G79" s="19">
        <v>0</v>
      </c>
      <c r="H79" s="19">
        <v>0</v>
      </c>
      <c r="I79" s="19">
        <v>0</v>
      </c>
      <c r="J79" s="19">
        <v>0</v>
      </c>
      <c r="K79" s="19">
        <v>0</v>
      </c>
      <c r="L79" s="19">
        <v>0</v>
      </c>
      <c r="M79" s="19">
        <v>0.6</v>
      </c>
      <c r="N79" s="19">
        <v>0.6</v>
      </c>
      <c r="O79" s="19">
        <v>0</v>
      </c>
      <c r="P79" s="19">
        <v>0</v>
      </c>
      <c r="Q79" s="19">
        <v>0</v>
      </c>
      <c r="R79" s="19">
        <v>0.6</v>
      </c>
      <c r="S79" s="19">
        <v>0</v>
      </c>
      <c r="T79" s="83">
        <v>0</v>
      </c>
      <c r="U79" s="16">
        <v>0</v>
      </c>
    </row>
    <row r="80" spans="3:21">
      <c r="C80" s="20" t="s">
        <v>126</v>
      </c>
      <c r="D80" s="18">
        <v>3</v>
      </c>
      <c r="E80" s="19">
        <v>0.27272727272727271</v>
      </c>
      <c r="F80" s="19">
        <v>0.27272727272727271</v>
      </c>
      <c r="G80" s="19">
        <v>0</v>
      </c>
      <c r="H80" s="19">
        <v>1.0227272727272727</v>
      </c>
      <c r="I80" s="19">
        <v>0</v>
      </c>
      <c r="J80" s="19">
        <v>1.2727272727272727</v>
      </c>
      <c r="K80" s="19">
        <v>0.75</v>
      </c>
      <c r="L80" s="19">
        <v>0</v>
      </c>
      <c r="M80" s="19">
        <v>0.75</v>
      </c>
      <c r="N80" s="19">
        <v>0.27272727272727271</v>
      </c>
      <c r="O80" s="19">
        <v>0</v>
      </c>
      <c r="P80" s="19">
        <v>0.27272727272727271</v>
      </c>
      <c r="Q80" s="19">
        <v>0.27272727272727271</v>
      </c>
      <c r="R80" s="19">
        <v>1.0227272727272727</v>
      </c>
      <c r="S80" s="19">
        <v>0.27272727272727271</v>
      </c>
      <c r="T80" s="83">
        <v>0</v>
      </c>
      <c r="U80" s="16">
        <v>0.27272727272727271</v>
      </c>
    </row>
    <row r="81" spans="3:21">
      <c r="C81" s="20" t="s">
        <v>444</v>
      </c>
      <c r="D81" s="18">
        <v>1</v>
      </c>
      <c r="E81" s="19">
        <v>0</v>
      </c>
      <c r="F81" s="19">
        <v>1</v>
      </c>
      <c r="G81" s="19">
        <v>0</v>
      </c>
      <c r="H81" s="19">
        <v>0</v>
      </c>
      <c r="I81" s="19">
        <v>0</v>
      </c>
      <c r="J81" s="19">
        <v>0</v>
      </c>
      <c r="K81" s="19">
        <v>0</v>
      </c>
      <c r="L81" s="19">
        <v>0</v>
      </c>
      <c r="M81" s="19">
        <v>0</v>
      </c>
      <c r="N81" s="19">
        <v>1</v>
      </c>
      <c r="O81" s="19">
        <v>0</v>
      </c>
      <c r="P81" s="19">
        <v>1</v>
      </c>
      <c r="Q81" s="19">
        <v>0</v>
      </c>
      <c r="R81" s="19">
        <v>0</v>
      </c>
      <c r="S81" s="19">
        <v>0</v>
      </c>
      <c r="T81" s="83">
        <v>0</v>
      </c>
      <c r="U81" s="16">
        <v>0</v>
      </c>
    </row>
    <row r="82" spans="3:21">
      <c r="C82" s="20" t="s">
        <v>474</v>
      </c>
      <c r="D82" s="18">
        <v>1</v>
      </c>
      <c r="E82" s="19">
        <v>0</v>
      </c>
      <c r="F82" s="19">
        <v>0</v>
      </c>
      <c r="G82" s="19">
        <v>0</v>
      </c>
      <c r="H82" s="19">
        <v>0</v>
      </c>
      <c r="I82" s="19">
        <v>0</v>
      </c>
      <c r="J82" s="19">
        <v>0</v>
      </c>
      <c r="K82" s="19">
        <v>0</v>
      </c>
      <c r="L82" s="19">
        <v>0</v>
      </c>
      <c r="M82" s="19">
        <v>0.6</v>
      </c>
      <c r="N82" s="19">
        <v>0</v>
      </c>
      <c r="O82" s="19">
        <v>0</v>
      </c>
      <c r="P82" s="19">
        <v>0</v>
      </c>
      <c r="Q82" s="19">
        <v>0.6</v>
      </c>
      <c r="R82" s="19">
        <v>0.6</v>
      </c>
      <c r="S82" s="19">
        <v>0</v>
      </c>
      <c r="T82" s="83">
        <v>0</v>
      </c>
      <c r="U82" s="16">
        <v>0.6</v>
      </c>
    </row>
    <row r="83" spans="3:21">
      <c r="C83" s="20" t="s">
        <v>119</v>
      </c>
      <c r="D83" s="18">
        <v>2</v>
      </c>
      <c r="E83" s="19">
        <v>0</v>
      </c>
      <c r="F83" s="19">
        <v>0</v>
      </c>
      <c r="G83" s="19">
        <v>0</v>
      </c>
      <c r="H83" s="19">
        <v>0</v>
      </c>
      <c r="I83" s="19">
        <v>0</v>
      </c>
      <c r="J83" s="19">
        <v>1.35</v>
      </c>
      <c r="K83" s="19">
        <v>0</v>
      </c>
      <c r="L83" s="19">
        <v>0</v>
      </c>
      <c r="M83" s="19">
        <v>0</v>
      </c>
      <c r="N83" s="19">
        <v>0</v>
      </c>
      <c r="O83" s="19">
        <v>0.75</v>
      </c>
      <c r="P83" s="19">
        <v>0.75</v>
      </c>
      <c r="Q83" s="19">
        <v>0.75</v>
      </c>
      <c r="R83" s="19">
        <v>0.6</v>
      </c>
      <c r="S83" s="19">
        <v>0</v>
      </c>
      <c r="T83" s="83">
        <v>0</v>
      </c>
      <c r="U83" s="16">
        <v>0.6</v>
      </c>
    </row>
    <row r="84" spans="3:21">
      <c r="C84" s="20" t="s">
        <v>146</v>
      </c>
      <c r="D84" s="18">
        <v>1</v>
      </c>
      <c r="E84" s="19">
        <v>0</v>
      </c>
      <c r="F84" s="19">
        <v>0</v>
      </c>
      <c r="G84" s="19">
        <v>0</v>
      </c>
      <c r="H84" s="19">
        <v>0</v>
      </c>
      <c r="I84" s="19">
        <v>0</v>
      </c>
      <c r="J84" s="19">
        <v>0</v>
      </c>
      <c r="K84" s="19">
        <v>0</v>
      </c>
      <c r="L84" s="19">
        <v>0</v>
      </c>
      <c r="M84" s="19">
        <v>0</v>
      </c>
      <c r="N84" s="19">
        <v>0</v>
      </c>
      <c r="O84" s="19">
        <v>0</v>
      </c>
      <c r="P84" s="19">
        <v>0</v>
      </c>
      <c r="Q84" s="19">
        <v>1</v>
      </c>
      <c r="R84" s="19">
        <v>0</v>
      </c>
      <c r="S84" s="19">
        <v>0</v>
      </c>
      <c r="T84" s="83">
        <v>0</v>
      </c>
      <c r="U84" s="16">
        <v>0</v>
      </c>
    </row>
    <row r="85" spans="3:21">
      <c r="C85" s="20" t="s">
        <v>176</v>
      </c>
      <c r="D85" s="18">
        <v>4</v>
      </c>
      <c r="E85" s="19">
        <v>0</v>
      </c>
      <c r="F85" s="19">
        <v>0</v>
      </c>
      <c r="G85" s="19">
        <v>0</v>
      </c>
      <c r="H85" s="19">
        <v>0</v>
      </c>
      <c r="I85" s="19">
        <v>1</v>
      </c>
      <c r="J85" s="19">
        <v>1</v>
      </c>
      <c r="K85" s="19">
        <v>2</v>
      </c>
      <c r="L85" s="19">
        <v>0</v>
      </c>
      <c r="M85" s="19">
        <v>1</v>
      </c>
      <c r="N85" s="19">
        <v>0</v>
      </c>
      <c r="O85" s="19">
        <v>0</v>
      </c>
      <c r="P85" s="19">
        <v>1</v>
      </c>
      <c r="Q85" s="19">
        <v>4</v>
      </c>
      <c r="R85" s="19">
        <v>0</v>
      </c>
      <c r="S85" s="19">
        <v>0</v>
      </c>
      <c r="T85" s="83">
        <v>0</v>
      </c>
      <c r="U85" s="16">
        <v>1</v>
      </c>
    </row>
    <row r="86" spans="3:21">
      <c r="C86" s="20" t="s">
        <v>378</v>
      </c>
      <c r="D86" s="18">
        <v>1</v>
      </c>
      <c r="E86" s="19">
        <v>0</v>
      </c>
      <c r="F86" s="19">
        <v>0</v>
      </c>
      <c r="G86" s="19">
        <v>0</v>
      </c>
      <c r="H86" s="19">
        <v>1</v>
      </c>
      <c r="I86" s="19">
        <v>0</v>
      </c>
      <c r="J86" s="19">
        <v>0</v>
      </c>
      <c r="K86" s="19">
        <v>0</v>
      </c>
      <c r="L86" s="19">
        <v>0</v>
      </c>
      <c r="M86" s="19">
        <v>0</v>
      </c>
      <c r="N86" s="19">
        <v>0</v>
      </c>
      <c r="O86" s="19">
        <v>0</v>
      </c>
      <c r="P86" s="19">
        <v>0</v>
      </c>
      <c r="Q86" s="19">
        <v>1</v>
      </c>
      <c r="R86" s="19">
        <v>0</v>
      </c>
      <c r="S86" s="19">
        <v>0</v>
      </c>
      <c r="T86" s="83">
        <v>0</v>
      </c>
      <c r="U86" s="16">
        <v>0</v>
      </c>
    </row>
    <row r="87" spans="3:21">
      <c r="C87" s="20" t="s">
        <v>155</v>
      </c>
      <c r="D87" s="18">
        <v>10</v>
      </c>
      <c r="E87" s="19">
        <v>0.5</v>
      </c>
      <c r="F87" s="19">
        <v>2.5</v>
      </c>
      <c r="G87" s="19">
        <v>0.5</v>
      </c>
      <c r="H87" s="19">
        <v>0</v>
      </c>
      <c r="I87" s="19">
        <v>1</v>
      </c>
      <c r="J87" s="19">
        <v>3</v>
      </c>
      <c r="K87" s="19">
        <v>1</v>
      </c>
      <c r="L87" s="19">
        <v>1</v>
      </c>
      <c r="M87" s="19">
        <v>1</v>
      </c>
      <c r="N87" s="19">
        <v>1</v>
      </c>
      <c r="O87" s="19">
        <v>0</v>
      </c>
      <c r="P87" s="19">
        <v>2</v>
      </c>
      <c r="Q87" s="19">
        <v>3</v>
      </c>
      <c r="R87" s="19">
        <v>3.5</v>
      </c>
      <c r="S87" s="19">
        <v>1</v>
      </c>
      <c r="T87" s="83">
        <v>0</v>
      </c>
      <c r="U87" s="16">
        <v>0.5</v>
      </c>
    </row>
    <row r="88" spans="3:21">
      <c r="C88" s="20" t="s">
        <v>376</v>
      </c>
      <c r="D88" s="18">
        <v>1</v>
      </c>
      <c r="E88" s="19">
        <v>0</v>
      </c>
      <c r="F88" s="19">
        <v>1</v>
      </c>
      <c r="G88" s="19">
        <v>0</v>
      </c>
      <c r="H88" s="19">
        <v>0</v>
      </c>
      <c r="I88" s="19">
        <v>0</v>
      </c>
      <c r="J88" s="19">
        <v>0</v>
      </c>
      <c r="K88" s="19">
        <v>0</v>
      </c>
      <c r="L88" s="19">
        <v>0</v>
      </c>
      <c r="M88" s="19">
        <v>0</v>
      </c>
      <c r="N88" s="19">
        <v>1</v>
      </c>
      <c r="O88" s="19">
        <v>0</v>
      </c>
      <c r="P88" s="19">
        <v>0</v>
      </c>
      <c r="Q88" s="19">
        <v>1</v>
      </c>
      <c r="R88" s="19">
        <v>0</v>
      </c>
      <c r="S88" s="19">
        <v>0</v>
      </c>
      <c r="T88" s="83">
        <v>0</v>
      </c>
      <c r="U88" s="16">
        <v>0</v>
      </c>
    </row>
    <row r="89" spans="3:21">
      <c r="C89" s="20" t="s">
        <v>178</v>
      </c>
      <c r="D89" s="18">
        <v>2</v>
      </c>
      <c r="E89" s="19">
        <v>0</v>
      </c>
      <c r="F89" s="19">
        <v>1</v>
      </c>
      <c r="G89" s="19">
        <v>0</v>
      </c>
      <c r="H89" s="19">
        <v>1</v>
      </c>
      <c r="I89" s="19">
        <v>0</v>
      </c>
      <c r="J89" s="19">
        <v>0</v>
      </c>
      <c r="K89" s="19">
        <v>0</v>
      </c>
      <c r="L89" s="19">
        <v>0</v>
      </c>
      <c r="M89" s="19">
        <v>1</v>
      </c>
      <c r="N89" s="19">
        <v>1</v>
      </c>
      <c r="O89" s="19">
        <v>0</v>
      </c>
      <c r="P89" s="19">
        <v>0</v>
      </c>
      <c r="Q89" s="19">
        <v>1</v>
      </c>
      <c r="R89" s="19">
        <v>0</v>
      </c>
      <c r="S89" s="19">
        <v>0</v>
      </c>
      <c r="T89" s="83">
        <v>0</v>
      </c>
      <c r="U89" s="16">
        <v>0</v>
      </c>
    </row>
    <row r="90" spans="3:21">
      <c r="C90" s="20" t="s">
        <v>139</v>
      </c>
      <c r="D90" s="18">
        <v>3</v>
      </c>
      <c r="E90" s="19">
        <v>1</v>
      </c>
      <c r="F90" s="19">
        <v>2</v>
      </c>
      <c r="G90" s="19">
        <v>0</v>
      </c>
      <c r="H90" s="19">
        <v>0</v>
      </c>
      <c r="I90" s="19">
        <v>0</v>
      </c>
      <c r="J90" s="19">
        <v>1</v>
      </c>
      <c r="K90" s="19">
        <v>0</v>
      </c>
      <c r="L90" s="19">
        <v>0</v>
      </c>
      <c r="M90" s="19">
        <v>0</v>
      </c>
      <c r="N90" s="19">
        <v>1</v>
      </c>
      <c r="O90" s="19">
        <v>0</v>
      </c>
      <c r="P90" s="19">
        <v>1</v>
      </c>
      <c r="Q90" s="19">
        <v>1</v>
      </c>
      <c r="R90" s="19">
        <v>0</v>
      </c>
      <c r="S90" s="19">
        <v>0</v>
      </c>
      <c r="T90" s="83">
        <v>1</v>
      </c>
      <c r="U90" s="16">
        <v>0</v>
      </c>
    </row>
    <row r="91" spans="3:21">
      <c r="C91" s="20" t="s">
        <v>150</v>
      </c>
      <c r="D91" s="18">
        <v>19</v>
      </c>
      <c r="E91" s="19">
        <v>3</v>
      </c>
      <c r="F91" s="19">
        <v>2.5</v>
      </c>
      <c r="G91" s="19">
        <v>3</v>
      </c>
      <c r="H91" s="19">
        <v>0</v>
      </c>
      <c r="I91" s="19">
        <v>1.6</v>
      </c>
      <c r="J91" s="19">
        <v>8.1</v>
      </c>
      <c r="K91" s="19">
        <v>2.5</v>
      </c>
      <c r="L91" s="19">
        <v>1</v>
      </c>
      <c r="M91" s="19">
        <v>1</v>
      </c>
      <c r="N91" s="19">
        <v>3.5</v>
      </c>
      <c r="O91" s="19">
        <v>1</v>
      </c>
      <c r="P91" s="19">
        <v>2.6</v>
      </c>
      <c r="Q91" s="19">
        <v>8.1</v>
      </c>
      <c r="R91" s="19">
        <v>5</v>
      </c>
      <c r="S91" s="19">
        <v>0</v>
      </c>
      <c r="T91" s="83">
        <v>3.1</v>
      </c>
      <c r="U91" s="16">
        <v>1</v>
      </c>
    </row>
    <row r="92" spans="3:21">
      <c r="C92" s="20" t="s">
        <v>185</v>
      </c>
      <c r="D92" s="18">
        <v>5</v>
      </c>
      <c r="E92" s="19">
        <v>2</v>
      </c>
      <c r="F92" s="19">
        <v>0</v>
      </c>
      <c r="G92" s="19">
        <v>2</v>
      </c>
      <c r="H92" s="19">
        <v>0</v>
      </c>
      <c r="I92" s="19">
        <v>0.75</v>
      </c>
      <c r="J92" s="19">
        <v>0.75</v>
      </c>
      <c r="K92" s="19">
        <v>0</v>
      </c>
      <c r="L92" s="19">
        <v>0.75</v>
      </c>
      <c r="M92" s="19">
        <v>1.75</v>
      </c>
      <c r="N92" s="19">
        <v>0</v>
      </c>
      <c r="O92" s="19">
        <v>0</v>
      </c>
      <c r="P92" s="19">
        <v>0.75</v>
      </c>
      <c r="Q92" s="19">
        <v>1.5</v>
      </c>
      <c r="R92" s="19">
        <v>2</v>
      </c>
      <c r="S92" s="19">
        <v>0</v>
      </c>
      <c r="T92" s="83">
        <v>0.75</v>
      </c>
      <c r="U92" s="16">
        <v>0</v>
      </c>
    </row>
    <row r="93" spans="3:21">
      <c r="C93" s="20" t="s">
        <v>175</v>
      </c>
      <c r="D93" s="18">
        <v>2</v>
      </c>
      <c r="E93" s="19">
        <v>0</v>
      </c>
      <c r="F93" s="19">
        <v>0</v>
      </c>
      <c r="G93" s="19">
        <v>0</v>
      </c>
      <c r="H93" s="19">
        <v>0</v>
      </c>
      <c r="I93" s="19">
        <v>0</v>
      </c>
      <c r="J93" s="19">
        <v>1</v>
      </c>
      <c r="K93" s="19">
        <v>0</v>
      </c>
      <c r="L93" s="19">
        <v>0</v>
      </c>
      <c r="M93" s="19">
        <v>1</v>
      </c>
      <c r="N93" s="19">
        <v>0</v>
      </c>
      <c r="O93" s="19">
        <v>0</v>
      </c>
      <c r="P93" s="19">
        <v>1</v>
      </c>
      <c r="Q93" s="19">
        <v>1</v>
      </c>
      <c r="R93" s="19">
        <v>1</v>
      </c>
      <c r="S93" s="19">
        <v>0</v>
      </c>
      <c r="T93" s="83">
        <v>0</v>
      </c>
      <c r="U93" s="16">
        <v>1</v>
      </c>
    </row>
    <row r="94" spans="3:21">
      <c r="C94" s="20" t="s">
        <v>458</v>
      </c>
      <c r="D94" s="18">
        <v>1</v>
      </c>
      <c r="E94" s="19">
        <v>0</v>
      </c>
      <c r="F94" s="19">
        <v>0</v>
      </c>
      <c r="G94" s="19">
        <v>1</v>
      </c>
      <c r="H94" s="19">
        <v>0</v>
      </c>
      <c r="I94" s="19">
        <v>0</v>
      </c>
      <c r="J94" s="19">
        <v>0</v>
      </c>
      <c r="K94" s="19">
        <v>1</v>
      </c>
      <c r="L94" s="19">
        <v>0</v>
      </c>
      <c r="M94" s="19">
        <v>0</v>
      </c>
      <c r="N94" s="19">
        <v>0</v>
      </c>
      <c r="O94" s="19">
        <v>0</v>
      </c>
      <c r="P94" s="19">
        <v>0</v>
      </c>
      <c r="Q94" s="19">
        <v>0</v>
      </c>
      <c r="R94" s="19">
        <v>0</v>
      </c>
      <c r="S94" s="19">
        <v>0</v>
      </c>
      <c r="T94" s="83">
        <v>0</v>
      </c>
      <c r="U94" s="16">
        <v>0</v>
      </c>
    </row>
    <row r="95" spans="3:21">
      <c r="C95" s="20" t="s">
        <v>475</v>
      </c>
      <c r="D95" s="18">
        <v>1</v>
      </c>
      <c r="E95" s="19">
        <v>0</v>
      </c>
      <c r="F95" s="19">
        <v>1</v>
      </c>
      <c r="G95" s="19">
        <v>0</v>
      </c>
      <c r="H95" s="19">
        <v>0</v>
      </c>
      <c r="I95" s="19">
        <v>0</v>
      </c>
      <c r="J95" s="19">
        <v>0</v>
      </c>
      <c r="K95" s="19">
        <v>0</v>
      </c>
      <c r="L95" s="19">
        <v>1</v>
      </c>
      <c r="M95" s="19">
        <v>1</v>
      </c>
      <c r="N95" s="19">
        <v>0</v>
      </c>
      <c r="O95" s="19">
        <v>0</v>
      </c>
      <c r="P95" s="19">
        <v>0</v>
      </c>
      <c r="Q95" s="19">
        <v>0</v>
      </c>
      <c r="R95" s="19">
        <v>0</v>
      </c>
      <c r="S95" s="19">
        <v>0</v>
      </c>
      <c r="T95" s="83">
        <v>0</v>
      </c>
      <c r="U95" s="16">
        <v>0</v>
      </c>
    </row>
    <row r="96" spans="3:21">
      <c r="C96" s="20" t="s">
        <v>519</v>
      </c>
      <c r="D96" s="18">
        <v>1</v>
      </c>
      <c r="E96" s="19">
        <v>0</v>
      </c>
      <c r="F96" s="19">
        <v>0</v>
      </c>
      <c r="G96" s="19">
        <v>0</v>
      </c>
      <c r="H96" s="19">
        <v>0</v>
      </c>
      <c r="I96" s="19">
        <v>0</v>
      </c>
      <c r="J96" s="19">
        <v>0</v>
      </c>
      <c r="K96" s="19">
        <v>0</v>
      </c>
      <c r="L96" s="19">
        <v>0</v>
      </c>
      <c r="M96" s="19">
        <v>0</v>
      </c>
      <c r="N96" s="19">
        <v>1</v>
      </c>
      <c r="O96" s="19">
        <v>0</v>
      </c>
      <c r="P96" s="19">
        <v>1</v>
      </c>
      <c r="Q96" s="19">
        <v>0</v>
      </c>
      <c r="R96" s="19">
        <v>1</v>
      </c>
      <c r="S96" s="19">
        <v>0</v>
      </c>
      <c r="T96" s="83">
        <v>0</v>
      </c>
      <c r="U96" s="16">
        <v>0</v>
      </c>
    </row>
    <row r="97" spans="3:21">
      <c r="C97" s="20" t="s">
        <v>132</v>
      </c>
      <c r="D97" s="18">
        <v>3</v>
      </c>
      <c r="E97" s="19">
        <v>0</v>
      </c>
      <c r="F97" s="19">
        <v>0</v>
      </c>
      <c r="G97" s="19">
        <v>0</v>
      </c>
      <c r="H97" s="19">
        <v>1</v>
      </c>
      <c r="I97" s="19">
        <v>1</v>
      </c>
      <c r="J97" s="19">
        <v>1</v>
      </c>
      <c r="K97" s="19">
        <v>0</v>
      </c>
      <c r="L97" s="19">
        <v>1</v>
      </c>
      <c r="M97" s="19">
        <v>0</v>
      </c>
      <c r="N97" s="19">
        <v>0</v>
      </c>
      <c r="O97" s="19">
        <v>0</v>
      </c>
      <c r="P97" s="19">
        <v>0</v>
      </c>
      <c r="Q97" s="19">
        <v>1</v>
      </c>
      <c r="R97" s="19">
        <v>0</v>
      </c>
      <c r="S97" s="19">
        <v>0</v>
      </c>
      <c r="T97" s="83">
        <v>0</v>
      </c>
      <c r="U97" s="16">
        <v>0</v>
      </c>
    </row>
    <row r="98" spans="3:21">
      <c r="C98" s="20" t="s">
        <v>511</v>
      </c>
      <c r="D98" s="18">
        <v>1</v>
      </c>
      <c r="E98" s="19">
        <v>0</v>
      </c>
      <c r="F98" s="19">
        <v>0</v>
      </c>
      <c r="G98" s="19">
        <v>0</v>
      </c>
      <c r="H98" s="19">
        <v>0</v>
      </c>
      <c r="I98" s="19">
        <v>0</v>
      </c>
      <c r="J98" s="19">
        <v>0</v>
      </c>
      <c r="K98" s="19">
        <v>0</v>
      </c>
      <c r="L98" s="19">
        <v>0</v>
      </c>
      <c r="M98" s="19">
        <v>0</v>
      </c>
      <c r="N98" s="19">
        <v>0</v>
      </c>
      <c r="O98" s="19">
        <v>0</v>
      </c>
      <c r="P98" s="19">
        <v>0</v>
      </c>
      <c r="Q98" s="19">
        <v>0</v>
      </c>
      <c r="R98" s="19">
        <v>0</v>
      </c>
      <c r="S98" s="19">
        <v>0</v>
      </c>
      <c r="T98" s="83">
        <v>0</v>
      </c>
      <c r="U98" s="16">
        <v>0</v>
      </c>
    </row>
    <row r="99" spans="3:21">
      <c r="C99" s="20" t="s">
        <v>148</v>
      </c>
      <c r="D99" s="18">
        <v>8</v>
      </c>
      <c r="E99" s="19">
        <v>0</v>
      </c>
      <c r="F99" s="19">
        <v>2.75</v>
      </c>
      <c r="G99" s="19">
        <v>0</v>
      </c>
      <c r="H99" s="19">
        <v>0.33333333333333331</v>
      </c>
      <c r="I99" s="19">
        <v>1</v>
      </c>
      <c r="J99" s="19">
        <v>2.333333333333333</v>
      </c>
      <c r="K99" s="19">
        <v>1.3333333333333333</v>
      </c>
      <c r="L99" s="19">
        <v>1.75</v>
      </c>
      <c r="M99" s="19">
        <v>2.333333333333333</v>
      </c>
      <c r="N99" s="19">
        <v>0.75</v>
      </c>
      <c r="O99" s="19">
        <v>0</v>
      </c>
      <c r="P99" s="19">
        <v>1.3333333333333333</v>
      </c>
      <c r="Q99" s="19">
        <v>1.3333333333333333</v>
      </c>
      <c r="R99" s="19">
        <v>3.333333333333333</v>
      </c>
      <c r="S99" s="19">
        <v>0.33333333333333331</v>
      </c>
      <c r="T99" s="83">
        <v>0.33333333333333331</v>
      </c>
      <c r="U99" s="16">
        <v>2.75</v>
      </c>
    </row>
    <row r="100" spans="3:21">
      <c r="C100" s="20" t="s">
        <v>131</v>
      </c>
      <c r="D100" s="18">
        <v>3</v>
      </c>
      <c r="E100" s="19">
        <v>0.33333333333333331</v>
      </c>
      <c r="F100" s="19">
        <v>0</v>
      </c>
      <c r="G100" s="19">
        <v>0</v>
      </c>
      <c r="H100" s="19">
        <v>0.33333333333333331</v>
      </c>
      <c r="I100" s="19">
        <v>0.33333333333333331</v>
      </c>
      <c r="J100" s="19">
        <v>1.3333333333333333</v>
      </c>
      <c r="K100" s="19">
        <v>0</v>
      </c>
      <c r="L100" s="19">
        <v>0.33333333333333331</v>
      </c>
      <c r="M100" s="19">
        <v>1</v>
      </c>
      <c r="N100" s="19">
        <v>0.33333333333333331</v>
      </c>
      <c r="O100" s="19">
        <v>0</v>
      </c>
      <c r="P100" s="19">
        <v>1</v>
      </c>
      <c r="Q100" s="19">
        <v>1.3333333333333333</v>
      </c>
      <c r="R100" s="19">
        <v>1</v>
      </c>
      <c r="S100" s="19">
        <v>0</v>
      </c>
      <c r="T100" s="83">
        <v>0</v>
      </c>
      <c r="U100" s="16">
        <v>0.33333333333333331</v>
      </c>
    </row>
    <row r="101" spans="3:21">
      <c r="C101" s="20" t="s">
        <v>136</v>
      </c>
      <c r="D101" s="18">
        <v>1</v>
      </c>
      <c r="E101" s="19">
        <v>0.16666666666666666</v>
      </c>
      <c r="F101" s="19">
        <v>0.16666666666666666</v>
      </c>
      <c r="G101" s="19">
        <v>0.16666666666666666</v>
      </c>
      <c r="H101" s="19">
        <v>0.16666666666666666</v>
      </c>
      <c r="I101" s="19">
        <v>0.16666666666666666</v>
      </c>
      <c r="J101" s="19">
        <v>0.16666666666666666</v>
      </c>
      <c r="K101" s="19">
        <v>0.16666666666666666</v>
      </c>
      <c r="L101" s="19">
        <v>0.16666666666666666</v>
      </c>
      <c r="M101" s="19">
        <v>0.16666666666666666</v>
      </c>
      <c r="N101" s="19">
        <v>0.16666666666666666</v>
      </c>
      <c r="O101" s="19">
        <v>0.16666666666666666</v>
      </c>
      <c r="P101" s="19">
        <v>0.16666666666666666</v>
      </c>
      <c r="Q101" s="19">
        <v>0.16666666666666666</v>
      </c>
      <c r="R101" s="19">
        <v>0.16666666666666666</v>
      </c>
      <c r="S101" s="19">
        <v>0.16666666666666666</v>
      </c>
      <c r="T101" s="83">
        <v>0.16666666666666666</v>
      </c>
      <c r="U101" s="16">
        <v>0.16666666666666666</v>
      </c>
    </row>
    <row r="102" spans="3:21">
      <c r="C102" s="20" t="s">
        <v>127</v>
      </c>
      <c r="D102" s="18">
        <v>2</v>
      </c>
      <c r="E102" s="19">
        <v>0</v>
      </c>
      <c r="F102" s="19">
        <v>0</v>
      </c>
      <c r="G102" s="19">
        <v>0</v>
      </c>
      <c r="H102" s="19">
        <v>0</v>
      </c>
      <c r="I102" s="19">
        <v>0</v>
      </c>
      <c r="J102" s="19">
        <v>0</v>
      </c>
      <c r="K102" s="19">
        <v>0</v>
      </c>
      <c r="L102" s="19">
        <v>0</v>
      </c>
      <c r="M102" s="19">
        <v>0</v>
      </c>
      <c r="N102" s="19">
        <v>1</v>
      </c>
      <c r="O102" s="19">
        <v>0</v>
      </c>
      <c r="P102" s="19">
        <v>1</v>
      </c>
      <c r="Q102" s="19">
        <v>2</v>
      </c>
      <c r="R102" s="19">
        <v>1</v>
      </c>
      <c r="S102" s="19">
        <v>0</v>
      </c>
      <c r="T102" s="83">
        <v>1</v>
      </c>
      <c r="U102" s="16">
        <v>0</v>
      </c>
    </row>
    <row r="103" spans="3:21">
      <c r="C103" s="20" t="s">
        <v>115</v>
      </c>
      <c r="D103" s="18">
        <v>4</v>
      </c>
      <c r="E103" s="19">
        <v>0</v>
      </c>
      <c r="F103" s="19">
        <v>0</v>
      </c>
      <c r="G103" s="19">
        <v>0.75</v>
      </c>
      <c r="H103" s="19">
        <v>0</v>
      </c>
      <c r="I103" s="19">
        <v>0</v>
      </c>
      <c r="J103" s="19">
        <v>0</v>
      </c>
      <c r="K103" s="19">
        <v>2.75</v>
      </c>
      <c r="L103" s="19">
        <v>0</v>
      </c>
      <c r="M103" s="19">
        <v>0</v>
      </c>
      <c r="N103" s="19">
        <v>0</v>
      </c>
      <c r="O103" s="19">
        <v>0</v>
      </c>
      <c r="P103" s="19">
        <v>0</v>
      </c>
      <c r="Q103" s="19">
        <v>1</v>
      </c>
      <c r="R103" s="19">
        <v>2.75</v>
      </c>
      <c r="S103" s="19">
        <v>0</v>
      </c>
      <c r="T103" s="83">
        <v>0</v>
      </c>
      <c r="U103" s="16">
        <v>0</v>
      </c>
    </row>
    <row r="104" spans="3:21">
      <c r="C104" s="20" t="s">
        <v>166</v>
      </c>
      <c r="D104" s="18">
        <v>1</v>
      </c>
      <c r="E104" s="19">
        <v>0</v>
      </c>
      <c r="F104" s="19">
        <v>1</v>
      </c>
      <c r="G104" s="19">
        <v>0</v>
      </c>
      <c r="H104" s="19">
        <v>0</v>
      </c>
      <c r="I104" s="19">
        <v>0</v>
      </c>
      <c r="J104" s="19">
        <v>0</v>
      </c>
      <c r="K104" s="19">
        <v>0</v>
      </c>
      <c r="L104" s="19">
        <v>0</v>
      </c>
      <c r="M104" s="19">
        <v>1</v>
      </c>
      <c r="N104" s="19">
        <v>0</v>
      </c>
      <c r="O104" s="19">
        <v>0</v>
      </c>
      <c r="P104" s="19">
        <v>0</v>
      </c>
      <c r="Q104" s="19">
        <v>1</v>
      </c>
      <c r="R104" s="19">
        <v>0</v>
      </c>
      <c r="S104" s="19">
        <v>0</v>
      </c>
      <c r="T104" s="83">
        <v>0</v>
      </c>
      <c r="U104" s="16">
        <v>0</v>
      </c>
    </row>
    <row r="105" spans="3:21">
      <c r="C105" s="20" t="s">
        <v>125</v>
      </c>
      <c r="D105" s="18">
        <v>2</v>
      </c>
      <c r="E105" s="19">
        <v>0.75</v>
      </c>
      <c r="F105" s="19">
        <v>0</v>
      </c>
      <c r="G105" s="19">
        <v>0</v>
      </c>
      <c r="H105" s="19">
        <v>0.75</v>
      </c>
      <c r="I105" s="19">
        <v>1</v>
      </c>
      <c r="J105" s="19">
        <v>0</v>
      </c>
      <c r="K105" s="19">
        <v>0</v>
      </c>
      <c r="L105" s="19">
        <v>0.75</v>
      </c>
      <c r="M105" s="19">
        <v>0</v>
      </c>
      <c r="N105" s="19">
        <v>0</v>
      </c>
      <c r="O105" s="19">
        <v>0</v>
      </c>
      <c r="P105" s="19">
        <v>0</v>
      </c>
      <c r="Q105" s="19">
        <v>0</v>
      </c>
      <c r="R105" s="19">
        <v>0</v>
      </c>
      <c r="S105" s="19">
        <v>0</v>
      </c>
      <c r="T105" s="83">
        <v>0.75</v>
      </c>
      <c r="U105" s="16">
        <v>1</v>
      </c>
    </row>
    <row r="106" spans="3:21">
      <c r="C106" s="20" t="s">
        <v>117</v>
      </c>
      <c r="D106" s="18">
        <v>8</v>
      </c>
      <c r="E106" s="19">
        <v>0.75</v>
      </c>
      <c r="F106" s="19">
        <v>1.75</v>
      </c>
      <c r="G106" s="19">
        <v>0.75</v>
      </c>
      <c r="H106" s="19">
        <v>1</v>
      </c>
      <c r="I106" s="19">
        <v>0</v>
      </c>
      <c r="J106" s="19">
        <v>2.6</v>
      </c>
      <c r="K106" s="19">
        <v>1</v>
      </c>
      <c r="L106" s="19">
        <v>0.6</v>
      </c>
      <c r="M106" s="19">
        <v>0.6</v>
      </c>
      <c r="N106" s="19">
        <v>1</v>
      </c>
      <c r="O106" s="19">
        <v>0</v>
      </c>
      <c r="P106" s="19">
        <v>1.6</v>
      </c>
      <c r="Q106" s="19">
        <v>3.6</v>
      </c>
      <c r="R106" s="19">
        <v>0</v>
      </c>
      <c r="S106" s="19">
        <v>1</v>
      </c>
      <c r="T106" s="83">
        <v>1</v>
      </c>
      <c r="U106" s="16">
        <v>1.75</v>
      </c>
    </row>
    <row r="107" spans="3:21">
      <c r="C107" s="20" t="s">
        <v>168</v>
      </c>
      <c r="D107" s="18">
        <v>2</v>
      </c>
      <c r="E107" s="19">
        <v>0</v>
      </c>
      <c r="F107" s="19">
        <v>0</v>
      </c>
      <c r="G107" s="19">
        <v>0</v>
      </c>
      <c r="H107" s="19">
        <v>0.75</v>
      </c>
      <c r="I107" s="19">
        <v>0</v>
      </c>
      <c r="J107" s="19">
        <v>0.75</v>
      </c>
      <c r="K107" s="19">
        <v>0</v>
      </c>
      <c r="L107" s="19">
        <v>0</v>
      </c>
      <c r="M107" s="19">
        <v>0</v>
      </c>
      <c r="N107" s="19">
        <v>1</v>
      </c>
      <c r="O107" s="19">
        <v>0</v>
      </c>
      <c r="P107" s="19">
        <v>0.75</v>
      </c>
      <c r="Q107" s="19">
        <v>1.75</v>
      </c>
      <c r="R107" s="19">
        <v>1</v>
      </c>
      <c r="S107" s="19">
        <v>0</v>
      </c>
      <c r="T107" s="83">
        <v>0</v>
      </c>
      <c r="U107" s="16">
        <v>0</v>
      </c>
    </row>
    <row r="108" spans="3:21">
      <c r="C108" s="20" t="s">
        <v>170</v>
      </c>
      <c r="D108" s="18">
        <v>1</v>
      </c>
      <c r="E108" s="19">
        <v>0</v>
      </c>
      <c r="F108" s="19">
        <v>0</v>
      </c>
      <c r="G108" s="19">
        <v>0</v>
      </c>
      <c r="H108" s="19">
        <v>0</v>
      </c>
      <c r="I108" s="19">
        <v>0</v>
      </c>
      <c r="J108" s="19">
        <v>0</v>
      </c>
      <c r="K108" s="19">
        <v>0</v>
      </c>
      <c r="L108" s="19">
        <v>0</v>
      </c>
      <c r="M108" s="19">
        <v>0</v>
      </c>
      <c r="N108" s="19">
        <v>0</v>
      </c>
      <c r="O108" s="19">
        <v>0</v>
      </c>
      <c r="P108" s="19">
        <v>0</v>
      </c>
      <c r="Q108" s="19">
        <v>0</v>
      </c>
      <c r="R108" s="19">
        <v>1</v>
      </c>
      <c r="S108" s="19">
        <v>0</v>
      </c>
      <c r="T108" s="83">
        <v>0</v>
      </c>
      <c r="U108" s="16">
        <v>0</v>
      </c>
    </row>
    <row r="109" spans="3:21">
      <c r="C109" s="20" t="s">
        <v>158</v>
      </c>
      <c r="D109" s="18">
        <v>4</v>
      </c>
      <c r="E109" s="19">
        <v>0</v>
      </c>
      <c r="F109" s="19">
        <v>0</v>
      </c>
      <c r="G109" s="19">
        <v>0</v>
      </c>
      <c r="H109" s="19">
        <v>0</v>
      </c>
      <c r="I109" s="19">
        <v>1</v>
      </c>
      <c r="J109" s="19">
        <v>3</v>
      </c>
      <c r="K109" s="19">
        <v>0</v>
      </c>
      <c r="L109" s="19">
        <v>0</v>
      </c>
      <c r="M109" s="19">
        <v>1</v>
      </c>
      <c r="N109" s="19">
        <v>0</v>
      </c>
      <c r="O109" s="19">
        <v>0</v>
      </c>
      <c r="P109" s="19">
        <v>2</v>
      </c>
      <c r="Q109" s="19">
        <v>3</v>
      </c>
      <c r="R109" s="19">
        <v>1</v>
      </c>
      <c r="S109" s="19">
        <v>0</v>
      </c>
      <c r="T109" s="83">
        <v>0</v>
      </c>
      <c r="U109" s="16">
        <v>1</v>
      </c>
    </row>
    <row r="110" spans="3:21">
      <c r="C110" s="20" t="s">
        <v>129</v>
      </c>
      <c r="D110" s="18">
        <v>3</v>
      </c>
      <c r="E110" s="19">
        <v>0</v>
      </c>
      <c r="F110" s="19">
        <v>0</v>
      </c>
      <c r="G110" s="19">
        <v>1</v>
      </c>
      <c r="H110" s="19">
        <v>0</v>
      </c>
      <c r="I110" s="19">
        <v>1</v>
      </c>
      <c r="J110" s="19">
        <v>1.75</v>
      </c>
      <c r="K110" s="19">
        <v>0</v>
      </c>
      <c r="L110" s="19">
        <v>1.75</v>
      </c>
      <c r="M110" s="19">
        <v>0</v>
      </c>
      <c r="N110" s="19">
        <v>0</v>
      </c>
      <c r="O110" s="19">
        <v>0</v>
      </c>
      <c r="P110" s="19">
        <v>1.75</v>
      </c>
      <c r="Q110" s="19">
        <v>0.75</v>
      </c>
      <c r="R110" s="19">
        <v>0</v>
      </c>
      <c r="S110" s="19">
        <v>0</v>
      </c>
      <c r="T110" s="83">
        <v>0</v>
      </c>
      <c r="U110" s="16">
        <v>0</v>
      </c>
    </row>
    <row r="111" spans="3:21">
      <c r="C111" s="20" t="s">
        <v>181</v>
      </c>
      <c r="D111" s="18">
        <v>4</v>
      </c>
      <c r="E111" s="19">
        <v>0</v>
      </c>
      <c r="F111" s="19">
        <v>0</v>
      </c>
      <c r="G111" s="19">
        <v>0</v>
      </c>
      <c r="H111" s="19">
        <v>0</v>
      </c>
      <c r="I111" s="19">
        <v>0</v>
      </c>
      <c r="J111" s="19">
        <v>0</v>
      </c>
      <c r="K111" s="19">
        <v>0</v>
      </c>
      <c r="L111" s="19">
        <v>0</v>
      </c>
      <c r="M111" s="19">
        <v>1</v>
      </c>
      <c r="N111" s="19">
        <v>2</v>
      </c>
      <c r="O111" s="19">
        <v>0</v>
      </c>
      <c r="P111" s="19">
        <v>1</v>
      </c>
      <c r="Q111" s="19">
        <v>1</v>
      </c>
      <c r="R111" s="19">
        <v>1</v>
      </c>
      <c r="S111" s="19">
        <v>0</v>
      </c>
      <c r="T111" s="83">
        <v>0</v>
      </c>
      <c r="U111" s="16">
        <v>0</v>
      </c>
    </row>
    <row r="112" spans="3:21">
      <c r="C112" s="20" t="s">
        <v>357</v>
      </c>
      <c r="D112" s="18">
        <v>3</v>
      </c>
      <c r="E112" s="19">
        <v>0</v>
      </c>
      <c r="F112" s="19">
        <v>1</v>
      </c>
      <c r="G112" s="19">
        <v>0</v>
      </c>
      <c r="H112" s="19">
        <v>0</v>
      </c>
      <c r="I112" s="19">
        <v>1</v>
      </c>
      <c r="J112" s="19">
        <v>0</v>
      </c>
      <c r="K112" s="19">
        <v>0</v>
      </c>
      <c r="L112" s="19">
        <v>0</v>
      </c>
      <c r="M112" s="19">
        <v>0</v>
      </c>
      <c r="N112" s="19">
        <v>0</v>
      </c>
      <c r="O112" s="19">
        <v>0</v>
      </c>
      <c r="P112" s="19">
        <v>0</v>
      </c>
      <c r="Q112" s="19">
        <v>3</v>
      </c>
      <c r="R112" s="19">
        <v>0</v>
      </c>
      <c r="S112" s="19">
        <v>0</v>
      </c>
      <c r="T112" s="83">
        <v>0</v>
      </c>
      <c r="U112" s="16">
        <v>3</v>
      </c>
    </row>
    <row r="113" spans="3:21">
      <c r="C113" s="20" t="s">
        <v>520</v>
      </c>
      <c r="D113" s="18">
        <v>3</v>
      </c>
      <c r="E113" s="19">
        <v>2</v>
      </c>
      <c r="F113" s="19">
        <v>0</v>
      </c>
      <c r="G113" s="19">
        <v>1</v>
      </c>
      <c r="H113" s="19">
        <v>1</v>
      </c>
      <c r="I113" s="19">
        <v>0</v>
      </c>
      <c r="J113" s="19">
        <v>0</v>
      </c>
      <c r="K113" s="19">
        <v>0</v>
      </c>
      <c r="L113" s="19">
        <v>0</v>
      </c>
      <c r="M113" s="19">
        <v>0</v>
      </c>
      <c r="N113" s="19">
        <v>1</v>
      </c>
      <c r="O113" s="19">
        <v>0</v>
      </c>
      <c r="P113" s="19">
        <v>1</v>
      </c>
      <c r="Q113" s="19">
        <v>1</v>
      </c>
      <c r="R113" s="19">
        <v>0</v>
      </c>
      <c r="S113" s="19">
        <v>0</v>
      </c>
      <c r="T113" s="83">
        <v>0</v>
      </c>
      <c r="U113" s="16">
        <v>1</v>
      </c>
    </row>
    <row r="114" spans="3:21">
      <c r="C114" s="20" t="s">
        <v>432</v>
      </c>
      <c r="D114" s="18">
        <v>1</v>
      </c>
      <c r="E114" s="19">
        <v>0</v>
      </c>
      <c r="F114" s="19">
        <v>1</v>
      </c>
      <c r="G114" s="19">
        <v>0</v>
      </c>
      <c r="H114" s="19">
        <v>0</v>
      </c>
      <c r="I114" s="19">
        <v>0</v>
      </c>
      <c r="J114" s="19">
        <v>0</v>
      </c>
      <c r="K114" s="19">
        <v>0</v>
      </c>
      <c r="L114" s="19">
        <v>0</v>
      </c>
      <c r="M114" s="19">
        <v>0</v>
      </c>
      <c r="N114" s="19">
        <v>1</v>
      </c>
      <c r="O114" s="19">
        <v>0</v>
      </c>
      <c r="P114" s="19">
        <v>0</v>
      </c>
      <c r="Q114" s="19">
        <v>1</v>
      </c>
      <c r="R114" s="19">
        <v>0</v>
      </c>
      <c r="S114" s="19">
        <v>0</v>
      </c>
      <c r="T114" s="83">
        <v>0</v>
      </c>
      <c r="U114" s="16">
        <v>0</v>
      </c>
    </row>
    <row r="115" spans="3:21">
      <c r="C115" s="20" t="s">
        <v>173</v>
      </c>
      <c r="D115" s="18">
        <v>19</v>
      </c>
      <c r="E115" s="19">
        <v>1.75</v>
      </c>
      <c r="F115" s="19">
        <v>11.5</v>
      </c>
      <c r="G115" s="19">
        <v>3</v>
      </c>
      <c r="H115" s="19">
        <v>3.5</v>
      </c>
      <c r="I115" s="19">
        <v>0</v>
      </c>
      <c r="J115" s="19">
        <v>7.75</v>
      </c>
      <c r="K115" s="19">
        <v>1.75</v>
      </c>
      <c r="L115" s="19">
        <v>2</v>
      </c>
      <c r="M115" s="19">
        <v>4</v>
      </c>
      <c r="N115" s="19">
        <v>2.5</v>
      </c>
      <c r="O115" s="19">
        <v>2</v>
      </c>
      <c r="P115" s="19">
        <v>2.5</v>
      </c>
      <c r="Q115" s="19">
        <v>7.5</v>
      </c>
      <c r="R115" s="19">
        <v>0</v>
      </c>
      <c r="S115" s="19">
        <v>0</v>
      </c>
      <c r="T115" s="83">
        <v>1.75</v>
      </c>
      <c r="U115" s="16">
        <v>1</v>
      </c>
    </row>
    <row r="116" spans="3:21">
      <c r="C116" s="20" t="s">
        <v>509</v>
      </c>
      <c r="D116" s="18">
        <v>1</v>
      </c>
      <c r="E116" s="19">
        <v>0</v>
      </c>
      <c r="F116" s="19">
        <v>0</v>
      </c>
      <c r="G116" s="19">
        <v>0</v>
      </c>
      <c r="H116" s="19">
        <v>0</v>
      </c>
      <c r="I116" s="19">
        <v>0</v>
      </c>
      <c r="J116" s="19">
        <v>0</v>
      </c>
      <c r="K116" s="19">
        <v>0</v>
      </c>
      <c r="L116" s="19">
        <v>0</v>
      </c>
      <c r="M116" s="19">
        <v>1</v>
      </c>
      <c r="N116" s="19">
        <v>1</v>
      </c>
      <c r="O116" s="19">
        <v>0</v>
      </c>
      <c r="P116" s="19">
        <v>1</v>
      </c>
      <c r="Q116" s="19">
        <v>0</v>
      </c>
      <c r="R116" s="19">
        <v>0</v>
      </c>
      <c r="S116" s="19">
        <v>0</v>
      </c>
      <c r="T116" s="83">
        <v>0</v>
      </c>
      <c r="U116" s="16">
        <v>0</v>
      </c>
    </row>
    <row r="117" spans="3:21">
      <c r="C117" s="20" t="s">
        <v>130</v>
      </c>
      <c r="D117" s="18">
        <v>4</v>
      </c>
      <c r="E117" s="19">
        <v>1.75</v>
      </c>
      <c r="F117" s="19">
        <v>0</v>
      </c>
      <c r="G117" s="19">
        <v>1.75</v>
      </c>
      <c r="H117" s="19">
        <v>0.75</v>
      </c>
      <c r="I117" s="19">
        <v>0</v>
      </c>
      <c r="J117" s="19">
        <v>0</v>
      </c>
      <c r="K117" s="19">
        <v>0</v>
      </c>
      <c r="L117" s="19">
        <v>0</v>
      </c>
      <c r="M117" s="19">
        <v>1</v>
      </c>
      <c r="N117" s="19">
        <v>1.75</v>
      </c>
      <c r="O117" s="19">
        <v>0</v>
      </c>
      <c r="P117" s="19">
        <v>0</v>
      </c>
      <c r="Q117" s="19">
        <v>1</v>
      </c>
      <c r="R117" s="19">
        <v>1</v>
      </c>
      <c r="S117" s="19">
        <v>0</v>
      </c>
      <c r="T117" s="83">
        <v>0</v>
      </c>
      <c r="U117" s="16">
        <v>1</v>
      </c>
    </row>
    <row r="118" spans="3:21">
      <c r="C118" s="20" t="s">
        <v>183</v>
      </c>
      <c r="D118" s="18">
        <v>5</v>
      </c>
      <c r="E118" s="19">
        <v>1.3333333333333333</v>
      </c>
      <c r="F118" s="19">
        <v>1</v>
      </c>
      <c r="G118" s="19">
        <v>0</v>
      </c>
      <c r="H118" s="19">
        <v>0.33333333333333331</v>
      </c>
      <c r="I118" s="19">
        <v>0</v>
      </c>
      <c r="J118" s="19">
        <v>1.0833333333333333</v>
      </c>
      <c r="K118" s="19">
        <v>0</v>
      </c>
      <c r="L118" s="19">
        <v>1</v>
      </c>
      <c r="M118" s="19">
        <v>1.0833333333333333</v>
      </c>
      <c r="N118" s="19">
        <v>2</v>
      </c>
      <c r="O118" s="19">
        <v>0</v>
      </c>
      <c r="P118" s="19">
        <v>2.083333333333333</v>
      </c>
      <c r="Q118" s="19">
        <v>2.333333333333333</v>
      </c>
      <c r="R118" s="19">
        <v>1.3333333333333333</v>
      </c>
      <c r="S118" s="19">
        <v>0.33333333333333331</v>
      </c>
      <c r="T118" s="83">
        <v>1.0833333333333333</v>
      </c>
      <c r="U118" s="16">
        <v>0</v>
      </c>
    </row>
    <row r="119" spans="3:21">
      <c r="C119" s="20" t="s">
        <v>510</v>
      </c>
      <c r="D119" s="18">
        <v>1</v>
      </c>
      <c r="E119" s="19">
        <v>0</v>
      </c>
      <c r="F119" s="19">
        <v>0</v>
      </c>
      <c r="G119" s="19">
        <v>1</v>
      </c>
      <c r="H119" s="19">
        <v>0</v>
      </c>
      <c r="I119" s="19">
        <v>0</v>
      </c>
      <c r="J119" s="19">
        <v>0</v>
      </c>
      <c r="K119" s="19">
        <v>0</v>
      </c>
      <c r="L119" s="19">
        <v>0</v>
      </c>
      <c r="M119" s="19">
        <v>1</v>
      </c>
      <c r="N119" s="19">
        <v>1</v>
      </c>
      <c r="O119" s="19">
        <v>0</v>
      </c>
      <c r="P119" s="19">
        <v>0</v>
      </c>
      <c r="Q119" s="19">
        <v>0</v>
      </c>
      <c r="R119" s="19">
        <v>0</v>
      </c>
      <c r="S119" s="19">
        <v>0</v>
      </c>
      <c r="T119" s="83">
        <v>0</v>
      </c>
      <c r="U119" s="16">
        <v>0</v>
      </c>
    </row>
    <row r="120" spans="3:21">
      <c r="C120" s="20" t="s">
        <v>472</v>
      </c>
      <c r="D120" s="18">
        <v>1</v>
      </c>
      <c r="E120" s="19">
        <v>0</v>
      </c>
      <c r="F120" s="19">
        <v>0.75</v>
      </c>
      <c r="G120" s="19">
        <v>0.75</v>
      </c>
      <c r="H120" s="19">
        <v>0.75</v>
      </c>
      <c r="I120" s="19">
        <v>0</v>
      </c>
      <c r="J120" s="19">
        <v>0</v>
      </c>
      <c r="K120" s="19">
        <v>0</v>
      </c>
      <c r="L120" s="19">
        <v>0</v>
      </c>
      <c r="M120" s="19">
        <v>0</v>
      </c>
      <c r="N120" s="19">
        <v>0</v>
      </c>
      <c r="O120" s="19">
        <v>0</v>
      </c>
      <c r="P120" s="19">
        <v>0</v>
      </c>
      <c r="Q120" s="19">
        <v>0</v>
      </c>
      <c r="R120" s="19">
        <v>0</v>
      </c>
      <c r="S120" s="19">
        <v>0</v>
      </c>
      <c r="T120" s="83">
        <v>0</v>
      </c>
      <c r="U120" s="16">
        <v>0</v>
      </c>
    </row>
    <row r="121" spans="3:21">
      <c r="C121" s="20" t="s">
        <v>177</v>
      </c>
      <c r="D121" s="18">
        <v>5</v>
      </c>
      <c r="E121" s="19">
        <v>0.6</v>
      </c>
      <c r="F121" s="19">
        <v>2</v>
      </c>
      <c r="G121" s="19">
        <v>1.6</v>
      </c>
      <c r="H121" s="19">
        <v>0</v>
      </c>
      <c r="I121" s="19">
        <v>0</v>
      </c>
      <c r="J121" s="19">
        <v>2</v>
      </c>
      <c r="K121" s="19">
        <v>0</v>
      </c>
      <c r="L121" s="19">
        <v>1</v>
      </c>
      <c r="M121" s="19">
        <v>0</v>
      </c>
      <c r="N121" s="19">
        <v>1</v>
      </c>
      <c r="O121" s="19">
        <v>0</v>
      </c>
      <c r="P121" s="19">
        <v>1</v>
      </c>
      <c r="Q121" s="19">
        <v>2</v>
      </c>
      <c r="R121" s="19">
        <v>1.6</v>
      </c>
      <c r="S121" s="19">
        <v>0</v>
      </c>
      <c r="T121" s="83">
        <v>0</v>
      </c>
      <c r="U121" s="16">
        <v>0.6</v>
      </c>
    </row>
    <row r="122" spans="3:21">
      <c r="C122" s="20" t="s">
        <v>488</v>
      </c>
      <c r="D122" s="18">
        <v>1</v>
      </c>
      <c r="E122" s="19">
        <v>0</v>
      </c>
      <c r="F122" s="19">
        <v>1</v>
      </c>
      <c r="G122" s="19">
        <v>0</v>
      </c>
      <c r="H122" s="19">
        <v>0</v>
      </c>
      <c r="I122" s="19">
        <v>0</v>
      </c>
      <c r="J122" s="19">
        <v>0</v>
      </c>
      <c r="K122" s="19">
        <v>0</v>
      </c>
      <c r="L122" s="19">
        <v>0</v>
      </c>
      <c r="M122" s="19">
        <v>0</v>
      </c>
      <c r="N122" s="19">
        <v>1</v>
      </c>
      <c r="O122" s="19">
        <v>0</v>
      </c>
      <c r="P122" s="19">
        <v>0</v>
      </c>
      <c r="Q122" s="19">
        <v>0</v>
      </c>
      <c r="R122" s="19">
        <v>0</v>
      </c>
      <c r="S122" s="19">
        <v>0</v>
      </c>
      <c r="T122" s="83">
        <v>0</v>
      </c>
      <c r="U122" s="16">
        <v>0</v>
      </c>
    </row>
    <row r="123" spans="3:21">
      <c r="C123" s="20" t="s">
        <v>513</v>
      </c>
      <c r="D123" s="18">
        <v>2</v>
      </c>
      <c r="E123" s="19">
        <v>1</v>
      </c>
      <c r="F123" s="19">
        <v>0</v>
      </c>
      <c r="G123" s="19">
        <v>1</v>
      </c>
      <c r="H123" s="19">
        <v>0</v>
      </c>
      <c r="I123" s="19">
        <v>0</v>
      </c>
      <c r="J123" s="19">
        <v>0</v>
      </c>
      <c r="K123" s="19">
        <v>0</v>
      </c>
      <c r="L123" s="19">
        <v>1</v>
      </c>
      <c r="M123" s="19">
        <v>0</v>
      </c>
      <c r="N123" s="19">
        <v>1</v>
      </c>
      <c r="O123" s="19">
        <v>0</v>
      </c>
      <c r="P123" s="19">
        <v>0</v>
      </c>
      <c r="Q123" s="19">
        <v>1</v>
      </c>
      <c r="R123" s="19">
        <v>0</v>
      </c>
      <c r="S123" s="19">
        <v>0</v>
      </c>
      <c r="T123" s="83">
        <v>0</v>
      </c>
      <c r="U123" s="16">
        <v>0</v>
      </c>
    </row>
    <row r="124" spans="3:21">
      <c r="C124" s="20" t="s">
        <v>143</v>
      </c>
      <c r="D124" s="18">
        <v>2</v>
      </c>
      <c r="E124" s="19">
        <v>0</v>
      </c>
      <c r="F124" s="19">
        <v>0</v>
      </c>
      <c r="G124" s="19">
        <v>0</v>
      </c>
      <c r="H124" s="19">
        <v>0</v>
      </c>
      <c r="I124" s="19">
        <v>0.6</v>
      </c>
      <c r="J124" s="19">
        <v>0</v>
      </c>
      <c r="K124" s="19">
        <v>0</v>
      </c>
      <c r="L124" s="19">
        <v>1.6</v>
      </c>
      <c r="M124" s="19">
        <v>0.6</v>
      </c>
      <c r="N124" s="19">
        <v>0</v>
      </c>
      <c r="O124" s="19">
        <v>0</v>
      </c>
      <c r="P124" s="19">
        <v>1.6</v>
      </c>
      <c r="Q124" s="19">
        <v>0</v>
      </c>
      <c r="R124" s="19">
        <v>1.6</v>
      </c>
      <c r="S124" s="19">
        <v>0</v>
      </c>
      <c r="T124" s="83">
        <v>0</v>
      </c>
      <c r="U124" s="16">
        <v>0</v>
      </c>
    </row>
    <row r="125" spans="3:21">
      <c r="C125" s="20" t="s">
        <v>422</v>
      </c>
      <c r="D125" s="18">
        <v>1</v>
      </c>
      <c r="E125" s="19">
        <v>0</v>
      </c>
      <c r="F125" s="19">
        <v>0</v>
      </c>
      <c r="G125" s="19">
        <v>0</v>
      </c>
      <c r="H125" s="19">
        <v>0</v>
      </c>
      <c r="I125" s="19">
        <v>0</v>
      </c>
      <c r="J125" s="19">
        <v>0</v>
      </c>
      <c r="K125" s="19">
        <v>0</v>
      </c>
      <c r="L125" s="19">
        <v>0.6</v>
      </c>
      <c r="M125" s="19">
        <v>0</v>
      </c>
      <c r="N125" s="19">
        <v>0</v>
      </c>
      <c r="O125" s="19">
        <v>0</v>
      </c>
      <c r="P125" s="19">
        <v>0.6</v>
      </c>
      <c r="Q125" s="19">
        <v>0.6</v>
      </c>
      <c r="R125" s="19">
        <v>0.6</v>
      </c>
      <c r="S125" s="19">
        <v>0.6</v>
      </c>
      <c r="T125" s="83">
        <v>0</v>
      </c>
      <c r="U125" s="16">
        <v>0</v>
      </c>
    </row>
    <row r="126" spans="3:21">
      <c r="C126" s="20" t="s">
        <v>112</v>
      </c>
      <c r="D126" s="18">
        <v>3</v>
      </c>
      <c r="E126" s="19">
        <v>1</v>
      </c>
      <c r="F126" s="19">
        <v>0</v>
      </c>
      <c r="G126" s="19">
        <v>1</v>
      </c>
      <c r="H126" s="19">
        <v>0</v>
      </c>
      <c r="I126" s="19">
        <v>0</v>
      </c>
      <c r="J126" s="19">
        <v>0.5</v>
      </c>
      <c r="K126" s="19">
        <v>0.5</v>
      </c>
      <c r="L126" s="19">
        <v>0</v>
      </c>
      <c r="M126" s="19">
        <v>1</v>
      </c>
      <c r="N126" s="19">
        <v>0</v>
      </c>
      <c r="O126" s="19">
        <v>0</v>
      </c>
      <c r="P126" s="19">
        <v>0.5</v>
      </c>
      <c r="Q126" s="19">
        <v>0</v>
      </c>
      <c r="R126" s="19">
        <v>0.5</v>
      </c>
      <c r="S126" s="19">
        <v>0.5</v>
      </c>
      <c r="T126" s="83">
        <v>0.5</v>
      </c>
      <c r="U126" s="16">
        <v>0</v>
      </c>
    </row>
    <row r="127" spans="3:21">
      <c r="C127" s="20" t="s">
        <v>184</v>
      </c>
      <c r="D127" s="18">
        <v>9</v>
      </c>
      <c r="E127" s="19">
        <v>0.16666666666666666</v>
      </c>
      <c r="F127" s="19">
        <v>2.7666666666666666</v>
      </c>
      <c r="G127" s="19">
        <v>0.16666666666666666</v>
      </c>
      <c r="H127" s="19">
        <v>1.1666666666666667</v>
      </c>
      <c r="I127" s="19">
        <v>1.1666666666666667</v>
      </c>
      <c r="J127" s="19">
        <v>1.1952380952380952</v>
      </c>
      <c r="K127" s="19">
        <v>1.7952380952380953</v>
      </c>
      <c r="L127" s="19">
        <v>0.16666666666666666</v>
      </c>
      <c r="M127" s="19">
        <v>1.7952380952380953</v>
      </c>
      <c r="N127" s="19">
        <v>0.16666666666666666</v>
      </c>
      <c r="O127" s="19">
        <v>0.59523809523809523</v>
      </c>
      <c r="P127" s="19">
        <v>1.1666666666666667</v>
      </c>
      <c r="Q127" s="19">
        <v>5.795238095238096</v>
      </c>
      <c r="R127" s="19">
        <v>1.7666666666666666</v>
      </c>
      <c r="S127" s="19">
        <v>1.1666666666666667</v>
      </c>
      <c r="T127" s="83">
        <v>1.5952380952380953</v>
      </c>
      <c r="U127" s="16">
        <v>1.5952380952380953</v>
      </c>
    </row>
    <row r="128" spans="3:21">
      <c r="C128" s="20" t="s">
        <v>368</v>
      </c>
      <c r="D128" s="18">
        <v>11</v>
      </c>
      <c r="E128" s="19">
        <v>0</v>
      </c>
      <c r="F128" s="19">
        <v>0.42857142857142855</v>
      </c>
      <c r="G128" s="19">
        <v>0.42857142857142855</v>
      </c>
      <c r="H128" s="19">
        <v>1</v>
      </c>
      <c r="I128" s="19">
        <v>0.42857142857142855</v>
      </c>
      <c r="J128" s="19">
        <v>2</v>
      </c>
      <c r="K128" s="19">
        <v>0</v>
      </c>
      <c r="L128" s="19">
        <v>0</v>
      </c>
      <c r="M128" s="19">
        <v>2</v>
      </c>
      <c r="N128" s="19">
        <v>0</v>
      </c>
      <c r="O128" s="19">
        <v>1</v>
      </c>
      <c r="P128" s="19">
        <v>2.4285714285714284</v>
      </c>
      <c r="Q128" s="19">
        <v>2.4285714285714284</v>
      </c>
      <c r="R128" s="19">
        <v>4</v>
      </c>
      <c r="S128" s="19">
        <v>4</v>
      </c>
      <c r="T128" s="83">
        <v>3</v>
      </c>
      <c r="U128" s="16">
        <v>0.42857142857142855</v>
      </c>
    </row>
    <row r="129" spans="3:21">
      <c r="C129" s="20" t="s">
        <v>169</v>
      </c>
      <c r="D129" s="18">
        <v>1</v>
      </c>
      <c r="E129" s="19">
        <v>0.75</v>
      </c>
      <c r="F129" s="19">
        <v>0</v>
      </c>
      <c r="G129" s="19">
        <v>0</v>
      </c>
      <c r="H129" s="19">
        <v>0</v>
      </c>
      <c r="I129" s="19">
        <v>0.75</v>
      </c>
      <c r="J129" s="19">
        <v>0</v>
      </c>
      <c r="K129" s="19">
        <v>0</v>
      </c>
      <c r="L129" s="19">
        <v>0</v>
      </c>
      <c r="M129" s="19">
        <v>0.75</v>
      </c>
      <c r="N129" s="19">
        <v>0</v>
      </c>
      <c r="O129" s="19">
        <v>0</v>
      </c>
      <c r="P129" s="19">
        <v>0</v>
      </c>
      <c r="Q129" s="19">
        <v>0</v>
      </c>
      <c r="R129" s="19">
        <v>0.75</v>
      </c>
      <c r="S129" s="19">
        <v>0</v>
      </c>
      <c r="T129" s="83">
        <v>0</v>
      </c>
      <c r="U129" s="16">
        <v>0</v>
      </c>
    </row>
    <row r="130" spans="3:21">
      <c r="C130" s="20" t="s">
        <v>137</v>
      </c>
      <c r="D130" s="18">
        <v>1</v>
      </c>
      <c r="E130" s="19">
        <v>0</v>
      </c>
      <c r="F130" s="19">
        <v>0</v>
      </c>
      <c r="G130" s="19">
        <v>0</v>
      </c>
      <c r="H130" s="19">
        <v>0</v>
      </c>
      <c r="I130" s="19">
        <v>0</v>
      </c>
      <c r="J130" s="19">
        <v>0</v>
      </c>
      <c r="K130" s="19">
        <v>0</v>
      </c>
      <c r="L130" s="19">
        <v>0</v>
      </c>
      <c r="M130" s="19">
        <v>1</v>
      </c>
      <c r="N130" s="19">
        <v>0</v>
      </c>
      <c r="O130" s="19">
        <v>0</v>
      </c>
      <c r="P130" s="19">
        <v>0</v>
      </c>
      <c r="Q130" s="19">
        <v>1</v>
      </c>
      <c r="R130" s="19">
        <v>0</v>
      </c>
      <c r="S130" s="19">
        <v>0</v>
      </c>
      <c r="T130" s="83">
        <v>0</v>
      </c>
      <c r="U130" s="16">
        <v>0</v>
      </c>
    </row>
    <row r="131" spans="3:21">
      <c r="C131" s="20" t="s">
        <v>370</v>
      </c>
      <c r="D131" s="18">
        <v>2</v>
      </c>
      <c r="E131" s="19">
        <v>1</v>
      </c>
      <c r="F131" s="19">
        <v>1</v>
      </c>
      <c r="G131" s="19">
        <v>1</v>
      </c>
      <c r="H131" s="19">
        <v>0</v>
      </c>
      <c r="I131" s="19">
        <v>0</v>
      </c>
      <c r="J131" s="19">
        <v>0</v>
      </c>
      <c r="K131" s="19">
        <v>0</v>
      </c>
      <c r="L131" s="19">
        <v>0</v>
      </c>
      <c r="M131" s="19">
        <v>0</v>
      </c>
      <c r="N131" s="19">
        <v>0</v>
      </c>
      <c r="O131" s="19">
        <v>0</v>
      </c>
      <c r="P131" s="19">
        <v>1</v>
      </c>
      <c r="Q131" s="19">
        <v>0</v>
      </c>
      <c r="R131" s="19">
        <v>0</v>
      </c>
      <c r="S131" s="19">
        <v>0</v>
      </c>
      <c r="T131" s="83">
        <v>0</v>
      </c>
      <c r="U131" s="16">
        <v>0</v>
      </c>
    </row>
    <row r="132" spans="3:21">
      <c r="C132" s="20" t="s">
        <v>147</v>
      </c>
      <c r="D132" s="18">
        <v>3</v>
      </c>
      <c r="E132" s="19">
        <v>0</v>
      </c>
      <c r="F132" s="19">
        <v>0</v>
      </c>
      <c r="G132" s="19">
        <v>0</v>
      </c>
      <c r="H132" s="19">
        <v>0</v>
      </c>
      <c r="I132" s="19">
        <v>1</v>
      </c>
      <c r="J132" s="19">
        <v>0</v>
      </c>
      <c r="K132" s="19">
        <v>0</v>
      </c>
      <c r="L132" s="19">
        <v>0</v>
      </c>
      <c r="M132" s="19">
        <v>0</v>
      </c>
      <c r="N132" s="19">
        <v>0</v>
      </c>
      <c r="O132" s="19">
        <v>1</v>
      </c>
      <c r="P132" s="19">
        <v>1</v>
      </c>
      <c r="Q132" s="19">
        <v>1</v>
      </c>
      <c r="R132" s="19">
        <v>1</v>
      </c>
      <c r="S132" s="19">
        <v>0</v>
      </c>
      <c r="T132" s="83">
        <v>2</v>
      </c>
      <c r="U132" s="16">
        <v>2</v>
      </c>
    </row>
    <row r="133" spans="3:21">
      <c r="C133" s="20" t="s">
        <v>471</v>
      </c>
      <c r="D133" s="18">
        <v>1</v>
      </c>
      <c r="E133" s="19">
        <v>0</v>
      </c>
      <c r="F133" s="19">
        <v>1</v>
      </c>
      <c r="G133" s="19">
        <v>1</v>
      </c>
      <c r="H133" s="19">
        <v>0</v>
      </c>
      <c r="I133" s="19">
        <v>0</v>
      </c>
      <c r="J133" s="19">
        <v>0</v>
      </c>
      <c r="K133" s="19">
        <v>0</v>
      </c>
      <c r="L133" s="19">
        <v>0</v>
      </c>
      <c r="M133" s="19">
        <v>0</v>
      </c>
      <c r="N133" s="19">
        <v>0</v>
      </c>
      <c r="O133" s="19">
        <v>0</v>
      </c>
      <c r="P133" s="19">
        <v>0</v>
      </c>
      <c r="Q133" s="19">
        <v>0</v>
      </c>
      <c r="R133" s="19">
        <v>0</v>
      </c>
      <c r="S133" s="19">
        <v>0</v>
      </c>
      <c r="T133" s="83">
        <v>0</v>
      </c>
      <c r="U133" s="16">
        <v>0</v>
      </c>
    </row>
    <row r="134" spans="3:21">
      <c r="C134" s="20" t="s">
        <v>186</v>
      </c>
      <c r="D134" s="18">
        <v>11</v>
      </c>
      <c r="E134" s="19">
        <v>2</v>
      </c>
      <c r="F134" s="19">
        <v>5</v>
      </c>
      <c r="G134" s="19">
        <v>2</v>
      </c>
      <c r="H134" s="19">
        <v>1</v>
      </c>
      <c r="I134" s="19">
        <v>0</v>
      </c>
      <c r="J134" s="19">
        <v>1</v>
      </c>
      <c r="K134" s="19">
        <v>2</v>
      </c>
      <c r="L134" s="19">
        <v>1</v>
      </c>
      <c r="M134" s="19">
        <v>1</v>
      </c>
      <c r="N134" s="19">
        <v>1</v>
      </c>
      <c r="O134" s="19">
        <v>0</v>
      </c>
      <c r="P134" s="19">
        <v>2</v>
      </c>
      <c r="Q134" s="19">
        <v>5</v>
      </c>
      <c r="R134" s="19">
        <v>3</v>
      </c>
      <c r="S134" s="19">
        <v>0</v>
      </c>
      <c r="T134" s="83">
        <v>3</v>
      </c>
      <c r="U134" s="16">
        <v>1</v>
      </c>
    </row>
    <row r="135" spans="3:21">
      <c r="C135" s="20" t="s">
        <v>361</v>
      </c>
      <c r="D135" s="18">
        <v>2</v>
      </c>
      <c r="E135" s="19">
        <v>0</v>
      </c>
      <c r="F135" s="19">
        <v>0</v>
      </c>
      <c r="G135" s="19">
        <v>0</v>
      </c>
      <c r="H135" s="19">
        <v>0</v>
      </c>
      <c r="I135" s="19">
        <v>0</v>
      </c>
      <c r="J135" s="19">
        <v>1</v>
      </c>
      <c r="K135" s="19">
        <v>0</v>
      </c>
      <c r="L135" s="19">
        <v>0</v>
      </c>
      <c r="M135" s="19">
        <v>0</v>
      </c>
      <c r="N135" s="19">
        <v>0</v>
      </c>
      <c r="O135" s="19">
        <v>0</v>
      </c>
      <c r="P135" s="19">
        <v>1</v>
      </c>
      <c r="Q135" s="19">
        <v>2</v>
      </c>
      <c r="R135" s="19">
        <v>0</v>
      </c>
      <c r="S135" s="19">
        <v>0</v>
      </c>
      <c r="T135" s="83">
        <v>1</v>
      </c>
      <c r="U135" s="16">
        <v>1</v>
      </c>
    </row>
    <row r="136" spans="3:21">
      <c r="C136" s="20" t="s">
        <v>118</v>
      </c>
      <c r="D136" s="18">
        <v>2</v>
      </c>
      <c r="E136" s="19">
        <v>0</v>
      </c>
      <c r="F136" s="19">
        <v>1</v>
      </c>
      <c r="G136" s="19">
        <v>0</v>
      </c>
      <c r="H136" s="19">
        <v>0</v>
      </c>
      <c r="I136" s="19">
        <v>1</v>
      </c>
      <c r="J136" s="19">
        <v>0</v>
      </c>
      <c r="K136" s="19">
        <v>0</v>
      </c>
      <c r="L136" s="19">
        <v>0</v>
      </c>
      <c r="M136" s="19">
        <v>1</v>
      </c>
      <c r="N136" s="19">
        <v>0</v>
      </c>
      <c r="O136" s="19">
        <v>0</v>
      </c>
      <c r="P136" s="19">
        <v>0</v>
      </c>
      <c r="Q136" s="19">
        <v>0</v>
      </c>
      <c r="R136" s="19">
        <v>0</v>
      </c>
      <c r="S136" s="19">
        <v>0</v>
      </c>
      <c r="T136" s="83">
        <v>0</v>
      </c>
      <c r="U136" s="16">
        <v>0</v>
      </c>
    </row>
    <row r="137" spans="3:21">
      <c r="C137" s="20" t="s">
        <v>151</v>
      </c>
      <c r="D137" s="18">
        <v>4</v>
      </c>
      <c r="E137" s="19">
        <v>3</v>
      </c>
      <c r="F137" s="19">
        <v>1</v>
      </c>
      <c r="G137" s="19">
        <v>1</v>
      </c>
      <c r="H137" s="19">
        <v>0</v>
      </c>
      <c r="I137" s="19">
        <v>0</v>
      </c>
      <c r="J137" s="19">
        <v>1</v>
      </c>
      <c r="K137" s="19">
        <v>1</v>
      </c>
      <c r="L137" s="19">
        <v>1</v>
      </c>
      <c r="M137" s="19">
        <v>0</v>
      </c>
      <c r="N137" s="19">
        <v>0</v>
      </c>
      <c r="O137" s="19">
        <v>0</v>
      </c>
      <c r="P137" s="19">
        <v>0</v>
      </c>
      <c r="Q137" s="19">
        <v>2</v>
      </c>
      <c r="R137" s="19">
        <v>0</v>
      </c>
      <c r="S137" s="19">
        <v>0</v>
      </c>
      <c r="T137" s="83">
        <v>1</v>
      </c>
      <c r="U137" s="16">
        <v>0</v>
      </c>
    </row>
    <row r="138" spans="3:21">
      <c r="C138" s="20" t="s">
        <v>358</v>
      </c>
      <c r="D138" s="18">
        <v>3</v>
      </c>
      <c r="E138" s="19">
        <v>0</v>
      </c>
      <c r="F138" s="19">
        <v>0</v>
      </c>
      <c r="G138" s="19">
        <v>0</v>
      </c>
      <c r="H138" s="19">
        <v>0</v>
      </c>
      <c r="I138" s="19">
        <v>0</v>
      </c>
      <c r="J138" s="19">
        <v>1</v>
      </c>
      <c r="K138" s="19">
        <v>0</v>
      </c>
      <c r="L138" s="19">
        <v>0</v>
      </c>
      <c r="M138" s="19">
        <v>2</v>
      </c>
      <c r="N138" s="19">
        <v>1</v>
      </c>
      <c r="O138" s="19">
        <v>0</v>
      </c>
      <c r="P138" s="19">
        <v>1</v>
      </c>
      <c r="Q138" s="19">
        <v>2</v>
      </c>
      <c r="R138" s="19">
        <v>0</v>
      </c>
      <c r="S138" s="19">
        <v>0</v>
      </c>
      <c r="T138" s="83">
        <v>1</v>
      </c>
      <c r="U138" s="16">
        <v>1</v>
      </c>
    </row>
    <row r="139" spans="3:21">
      <c r="C139" s="20" t="s">
        <v>162</v>
      </c>
      <c r="D139" s="18">
        <v>1</v>
      </c>
      <c r="E139" s="19">
        <v>0</v>
      </c>
      <c r="F139" s="19">
        <v>1</v>
      </c>
      <c r="G139" s="19">
        <v>0</v>
      </c>
      <c r="H139" s="19">
        <v>1</v>
      </c>
      <c r="I139" s="19">
        <v>0</v>
      </c>
      <c r="J139" s="19">
        <v>0</v>
      </c>
      <c r="K139" s="19">
        <v>0</v>
      </c>
      <c r="L139" s="19">
        <v>0</v>
      </c>
      <c r="M139" s="19">
        <v>0</v>
      </c>
      <c r="N139" s="19">
        <v>1</v>
      </c>
      <c r="O139" s="19">
        <v>0</v>
      </c>
      <c r="P139" s="19">
        <v>0</v>
      </c>
      <c r="Q139" s="19">
        <v>0</v>
      </c>
      <c r="R139" s="19">
        <v>0</v>
      </c>
      <c r="S139" s="19">
        <v>0</v>
      </c>
      <c r="T139" s="83">
        <v>0</v>
      </c>
      <c r="U139" s="16">
        <v>0</v>
      </c>
    </row>
    <row r="140" spans="3:21">
      <c r="C140" s="20" t="s">
        <v>459</v>
      </c>
      <c r="D140" s="18">
        <v>1</v>
      </c>
      <c r="E140" s="19">
        <v>0</v>
      </c>
      <c r="F140" s="19">
        <v>0</v>
      </c>
      <c r="G140" s="19">
        <v>0.33333333333333331</v>
      </c>
      <c r="H140" s="19">
        <v>0</v>
      </c>
      <c r="I140" s="19">
        <v>0.33333333333333331</v>
      </c>
      <c r="J140" s="19">
        <v>0</v>
      </c>
      <c r="K140" s="19">
        <v>0</v>
      </c>
      <c r="L140" s="19">
        <v>0</v>
      </c>
      <c r="M140" s="19">
        <v>0.33333333333333331</v>
      </c>
      <c r="N140" s="19">
        <v>0.33333333333333331</v>
      </c>
      <c r="O140" s="19">
        <v>0</v>
      </c>
      <c r="P140" s="19">
        <v>0.33333333333333331</v>
      </c>
      <c r="Q140" s="19">
        <v>0.33333333333333331</v>
      </c>
      <c r="R140" s="19">
        <v>0.33333333333333331</v>
      </c>
      <c r="S140" s="19">
        <v>0</v>
      </c>
      <c r="T140" s="83">
        <v>0.33333333333333331</v>
      </c>
      <c r="U140" s="16">
        <v>0.33333333333333331</v>
      </c>
    </row>
    <row r="141" spans="3:21">
      <c r="C141" s="20" t="s">
        <v>164</v>
      </c>
      <c r="D141" s="18">
        <v>39</v>
      </c>
      <c r="E141" s="19">
        <v>2.375</v>
      </c>
      <c r="F141" s="19">
        <v>11</v>
      </c>
      <c r="G141" s="19">
        <v>6.125</v>
      </c>
      <c r="H141" s="19">
        <v>2</v>
      </c>
      <c r="I141" s="19">
        <v>2</v>
      </c>
      <c r="J141" s="19">
        <v>15.375</v>
      </c>
      <c r="K141" s="19">
        <v>4</v>
      </c>
      <c r="L141" s="19">
        <v>7.375</v>
      </c>
      <c r="M141" s="19">
        <v>7</v>
      </c>
      <c r="N141" s="19">
        <v>8.375</v>
      </c>
      <c r="O141" s="19">
        <v>3</v>
      </c>
      <c r="P141" s="19">
        <v>7.375</v>
      </c>
      <c r="Q141" s="19">
        <v>12</v>
      </c>
      <c r="R141" s="19">
        <v>6.125</v>
      </c>
      <c r="S141" s="19">
        <v>0</v>
      </c>
      <c r="T141" s="83">
        <v>5.75</v>
      </c>
      <c r="U141" s="16">
        <v>1</v>
      </c>
    </row>
    <row r="142" spans="3:21">
      <c r="C142" s="20" t="s">
        <v>430</v>
      </c>
      <c r="D142" s="18">
        <v>1</v>
      </c>
      <c r="E142" s="19">
        <v>0</v>
      </c>
      <c r="F142" s="19">
        <v>0</v>
      </c>
      <c r="G142" s="19">
        <v>0</v>
      </c>
      <c r="H142" s="19">
        <v>1</v>
      </c>
      <c r="I142" s="19">
        <v>0</v>
      </c>
      <c r="J142" s="19">
        <v>0</v>
      </c>
      <c r="K142" s="19">
        <v>0</v>
      </c>
      <c r="L142" s="19">
        <v>0</v>
      </c>
      <c r="M142" s="19">
        <v>0</v>
      </c>
      <c r="N142" s="19">
        <v>0</v>
      </c>
      <c r="O142" s="19">
        <v>0</v>
      </c>
      <c r="P142" s="19">
        <v>0</v>
      </c>
      <c r="Q142" s="19">
        <v>0</v>
      </c>
      <c r="R142" s="19">
        <v>1</v>
      </c>
      <c r="S142" s="19">
        <v>0</v>
      </c>
      <c r="T142" s="83">
        <v>0</v>
      </c>
      <c r="U142" s="16">
        <v>0</v>
      </c>
    </row>
    <row r="143" spans="3:21">
      <c r="C143" s="20" t="s">
        <v>160</v>
      </c>
      <c r="D143" s="18">
        <v>3</v>
      </c>
      <c r="E143" s="19">
        <v>0</v>
      </c>
      <c r="F143" s="19">
        <v>1</v>
      </c>
      <c r="G143" s="19">
        <v>0</v>
      </c>
      <c r="H143" s="19">
        <v>0</v>
      </c>
      <c r="I143" s="19">
        <v>1</v>
      </c>
      <c r="J143" s="19">
        <v>1</v>
      </c>
      <c r="K143" s="19">
        <v>0</v>
      </c>
      <c r="L143" s="19">
        <v>1</v>
      </c>
      <c r="M143" s="19">
        <v>0</v>
      </c>
      <c r="N143" s="19">
        <v>0</v>
      </c>
      <c r="O143" s="19">
        <v>0</v>
      </c>
      <c r="P143" s="19">
        <v>1</v>
      </c>
      <c r="Q143" s="19">
        <v>1</v>
      </c>
      <c r="R143" s="19">
        <v>0</v>
      </c>
      <c r="S143" s="19">
        <v>0</v>
      </c>
      <c r="T143" s="83">
        <v>0</v>
      </c>
      <c r="U143" s="16">
        <v>2</v>
      </c>
    </row>
    <row r="144" spans="3:21">
      <c r="C144" s="20" t="s">
        <v>441</v>
      </c>
      <c r="D144" s="18">
        <v>1</v>
      </c>
      <c r="E144" s="19">
        <v>0</v>
      </c>
      <c r="F144" s="19">
        <v>0</v>
      </c>
      <c r="G144" s="19">
        <v>1</v>
      </c>
      <c r="H144" s="19">
        <v>0</v>
      </c>
      <c r="I144" s="19">
        <v>0</v>
      </c>
      <c r="J144" s="19">
        <v>0</v>
      </c>
      <c r="K144" s="19">
        <v>0</v>
      </c>
      <c r="L144" s="19">
        <v>0</v>
      </c>
      <c r="M144" s="19">
        <v>0</v>
      </c>
      <c r="N144" s="19">
        <v>1</v>
      </c>
      <c r="O144" s="19">
        <v>0</v>
      </c>
      <c r="P144" s="19">
        <v>0</v>
      </c>
      <c r="Q144" s="19">
        <v>0</v>
      </c>
      <c r="R144" s="19">
        <v>0</v>
      </c>
      <c r="S144" s="19">
        <v>0</v>
      </c>
      <c r="T144" s="83">
        <v>0</v>
      </c>
      <c r="U144" s="16">
        <v>1</v>
      </c>
    </row>
    <row r="145" spans="3:21">
      <c r="C145" s="20" t="s">
        <v>138</v>
      </c>
      <c r="D145" s="18">
        <v>3</v>
      </c>
      <c r="E145" s="19">
        <v>1</v>
      </c>
      <c r="F145" s="19">
        <v>1</v>
      </c>
      <c r="G145" s="19">
        <v>2</v>
      </c>
      <c r="H145" s="19">
        <v>1</v>
      </c>
      <c r="I145" s="19">
        <v>0</v>
      </c>
      <c r="J145" s="19">
        <v>0</v>
      </c>
      <c r="K145" s="19">
        <v>0</v>
      </c>
      <c r="L145" s="19">
        <v>0</v>
      </c>
      <c r="M145" s="19">
        <v>0</v>
      </c>
      <c r="N145" s="19">
        <v>1</v>
      </c>
      <c r="O145" s="19">
        <v>0</v>
      </c>
      <c r="P145" s="19">
        <v>0</v>
      </c>
      <c r="Q145" s="19">
        <v>0</v>
      </c>
      <c r="R145" s="19">
        <v>1</v>
      </c>
      <c r="S145" s="19">
        <v>0</v>
      </c>
      <c r="T145" s="83">
        <v>0</v>
      </c>
      <c r="U145" s="16">
        <v>1</v>
      </c>
    </row>
    <row r="146" spans="3:21">
      <c r="C146" s="20" t="s">
        <v>120</v>
      </c>
      <c r="D146" s="18">
        <v>3</v>
      </c>
      <c r="E146" s="19">
        <v>1.75</v>
      </c>
      <c r="F146" s="19">
        <v>0</v>
      </c>
      <c r="G146" s="19">
        <v>0</v>
      </c>
      <c r="H146" s="19">
        <v>0</v>
      </c>
      <c r="I146" s="19">
        <v>0</v>
      </c>
      <c r="J146" s="19">
        <v>0</v>
      </c>
      <c r="K146" s="19">
        <v>0</v>
      </c>
      <c r="L146" s="19">
        <v>0</v>
      </c>
      <c r="M146" s="19">
        <v>1.75</v>
      </c>
      <c r="N146" s="19">
        <v>0</v>
      </c>
      <c r="O146" s="19">
        <v>0</v>
      </c>
      <c r="P146" s="19">
        <v>0</v>
      </c>
      <c r="Q146" s="19">
        <v>2.75</v>
      </c>
      <c r="R146" s="19">
        <v>0</v>
      </c>
      <c r="S146" s="19">
        <v>0</v>
      </c>
      <c r="T146" s="83">
        <v>0.75</v>
      </c>
      <c r="U146" s="16">
        <v>0</v>
      </c>
    </row>
    <row r="147" spans="3:21">
      <c r="C147" s="20" t="s">
        <v>123</v>
      </c>
      <c r="D147" s="18">
        <v>2</v>
      </c>
      <c r="E147" s="19">
        <v>0</v>
      </c>
      <c r="F147" s="19">
        <v>0</v>
      </c>
      <c r="G147" s="19">
        <v>0</v>
      </c>
      <c r="H147" s="19">
        <v>0</v>
      </c>
      <c r="I147" s="19">
        <v>0.5</v>
      </c>
      <c r="J147" s="19">
        <v>0.5</v>
      </c>
      <c r="K147" s="19">
        <v>0</v>
      </c>
      <c r="L147" s="19">
        <v>0.5</v>
      </c>
      <c r="M147" s="19">
        <v>0.5</v>
      </c>
      <c r="N147" s="19">
        <v>0.5</v>
      </c>
      <c r="O147" s="19">
        <v>0</v>
      </c>
      <c r="P147" s="19">
        <v>0</v>
      </c>
      <c r="Q147" s="19">
        <v>0.5</v>
      </c>
      <c r="R147" s="19">
        <v>0</v>
      </c>
      <c r="S147" s="19">
        <v>0</v>
      </c>
      <c r="T147" s="83">
        <v>0</v>
      </c>
      <c r="U147" s="16">
        <v>0</v>
      </c>
    </row>
    <row r="148" spans="3:21">
      <c r="C148" s="20" t="s">
        <v>359</v>
      </c>
      <c r="D148" s="18">
        <v>1</v>
      </c>
      <c r="E148" s="19">
        <v>0</v>
      </c>
      <c r="F148" s="19">
        <v>0</v>
      </c>
      <c r="G148" s="19">
        <v>1</v>
      </c>
      <c r="H148" s="19">
        <v>0</v>
      </c>
      <c r="I148" s="19">
        <v>0</v>
      </c>
      <c r="J148" s="19">
        <v>0</v>
      </c>
      <c r="K148" s="19">
        <v>0</v>
      </c>
      <c r="L148" s="19">
        <v>0</v>
      </c>
      <c r="M148" s="19">
        <v>0</v>
      </c>
      <c r="N148" s="19">
        <v>0</v>
      </c>
      <c r="O148" s="19">
        <v>0</v>
      </c>
      <c r="P148" s="19">
        <v>0</v>
      </c>
      <c r="Q148" s="19">
        <v>0</v>
      </c>
      <c r="R148" s="19">
        <v>1</v>
      </c>
      <c r="S148" s="19">
        <v>0</v>
      </c>
      <c r="T148" s="83">
        <v>0</v>
      </c>
      <c r="U148" s="16">
        <v>0</v>
      </c>
    </row>
    <row r="149" spans="3:21">
      <c r="C149" s="20" t="s">
        <v>122</v>
      </c>
      <c r="D149" s="18">
        <v>2</v>
      </c>
      <c r="E149" s="19">
        <v>0</v>
      </c>
      <c r="F149" s="19">
        <v>0</v>
      </c>
      <c r="G149" s="19">
        <v>0</v>
      </c>
      <c r="H149" s="19">
        <v>0</v>
      </c>
      <c r="I149" s="19">
        <v>1</v>
      </c>
      <c r="J149" s="19">
        <v>0</v>
      </c>
      <c r="K149" s="19">
        <v>0</v>
      </c>
      <c r="L149" s="19">
        <v>1</v>
      </c>
      <c r="M149" s="19">
        <v>1</v>
      </c>
      <c r="N149" s="19">
        <v>0</v>
      </c>
      <c r="O149" s="19">
        <v>0</v>
      </c>
      <c r="P149" s="19">
        <v>1</v>
      </c>
      <c r="Q149" s="19">
        <v>1</v>
      </c>
      <c r="R149" s="19">
        <v>0</v>
      </c>
      <c r="S149" s="19">
        <v>0</v>
      </c>
      <c r="T149" s="83">
        <v>0</v>
      </c>
      <c r="U149" s="16">
        <v>0</v>
      </c>
    </row>
    <row r="150" spans="3:21">
      <c r="C150" s="20" t="s">
        <v>152</v>
      </c>
      <c r="D150" s="18">
        <v>3</v>
      </c>
      <c r="E150" s="19">
        <v>0.70833333333333326</v>
      </c>
      <c r="F150" s="19">
        <v>0.70833333333333326</v>
      </c>
      <c r="G150" s="19">
        <v>0.70833333333333326</v>
      </c>
      <c r="H150" s="19">
        <v>0</v>
      </c>
      <c r="I150" s="19">
        <v>0.33333333333333331</v>
      </c>
      <c r="J150" s="19">
        <v>0.33333333333333331</v>
      </c>
      <c r="K150" s="19">
        <v>0</v>
      </c>
      <c r="L150" s="19">
        <v>0.33333333333333331</v>
      </c>
      <c r="M150" s="19">
        <v>0</v>
      </c>
      <c r="N150" s="19">
        <v>1.375</v>
      </c>
      <c r="O150" s="19">
        <v>0</v>
      </c>
      <c r="P150" s="19">
        <v>0.33333333333333331</v>
      </c>
      <c r="Q150" s="19">
        <v>1.7083333333333333</v>
      </c>
      <c r="R150" s="19">
        <v>0.375</v>
      </c>
      <c r="S150" s="19">
        <v>0</v>
      </c>
      <c r="T150" s="83">
        <v>0</v>
      </c>
      <c r="U150" s="16">
        <v>0.375</v>
      </c>
    </row>
    <row r="151" spans="3:21">
      <c r="C151" s="20" t="s">
        <v>476</v>
      </c>
      <c r="D151" s="18">
        <v>1</v>
      </c>
      <c r="E151" s="19">
        <v>0</v>
      </c>
      <c r="F151" s="19">
        <v>1</v>
      </c>
      <c r="G151" s="19">
        <v>0</v>
      </c>
      <c r="H151" s="19">
        <v>0</v>
      </c>
      <c r="I151" s="19">
        <v>0</v>
      </c>
      <c r="J151" s="19">
        <v>0</v>
      </c>
      <c r="K151" s="19">
        <v>0</v>
      </c>
      <c r="L151" s="19">
        <v>1</v>
      </c>
      <c r="M151" s="19">
        <v>0</v>
      </c>
      <c r="N151" s="19">
        <v>0</v>
      </c>
      <c r="O151" s="19">
        <v>0</v>
      </c>
      <c r="P151" s="19">
        <v>0</v>
      </c>
      <c r="Q151" s="19">
        <v>1</v>
      </c>
      <c r="R151" s="19">
        <v>0</v>
      </c>
      <c r="S151" s="19">
        <v>0</v>
      </c>
      <c r="T151" s="83">
        <v>0</v>
      </c>
      <c r="U151" s="16">
        <v>0</v>
      </c>
    </row>
    <row r="152" spans="3:21">
      <c r="C152" s="20" t="s">
        <v>165</v>
      </c>
      <c r="D152" s="18">
        <v>12</v>
      </c>
      <c r="E152" s="19">
        <v>2.1785714285714288</v>
      </c>
      <c r="F152" s="19">
        <v>6.1785714285714288</v>
      </c>
      <c r="G152" s="19">
        <v>2.1785714285714288</v>
      </c>
      <c r="H152" s="19">
        <v>1</v>
      </c>
      <c r="I152" s="19">
        <v>3.1785714285714288</v>
      </c>
      <c r="J152" s="19">
        <v>1</v>
      </c>
      <c r="K152" s="19">
        <v>1</v>
      </c>
      <c r="L152" s="19">
        <v>1.4285714285714286</v>
      </c>
      <c r="M152" s="19">
        <v>1</v>
      </c>
      <c r="N152" s="19">
        <v>1.4285714285714286</v>
      </c>
      <c r="O152" s="19">
        <v>0</v>
      </c>
      <c r="P152" s="19">
        <v>3</v>
      </c>
      <c r="Q152" s="19">
        <v>5</v>
      </c>
      <c r="R152" s="19">
        <v>0</v>
      </c>
      <c r="S152" s="19">
        <v>0</v>
      </c>
      <c r="T152" s="83">
        <v>2</v>
      </c>
      <c r="U152" s="16">
        <v>1</v>
      </c>
    </row>
    <row r="153" spans="3:21">
      <c r="C153" s="20" t="s">
        <v>360</v>
      </c>
      <c r="D153" s="18">
        <v>1</v>
      </c>
      <c r="E153" s="19">
        <v>0</v>
      </c>
      <c r="F153" s="19">
        <v>0</v>
      </c>
      <c r="G153" s="19">
        <v>0</v>
      </c>
      <c r="H153" s="19">
        <v>0</v>
      </c>
      <c r="I153" s="19">
        <v>0</v>
      </c>
      <c r="J153" s="19">
        <v>0</v>
      </c>
      <c r="K153" s="19">
        <v>0</v>
      </c>
      <c r="L153" s="19">
        <v>0</v>
      </c>
      <c r="M153" s="19">
        <v>0.5</v>
      </c>
      <c r="N153" s="19">
        <v>0</v>
      </c>
      <c r="O153" s="19">
        <v>0</v>
      </c>
      <c r="P153" s="19">
        <v>0</v>
      </c>
      <c r="Q153" s="19">
        <v>0.5</v>
      </c>
      <c r="R153" s="19">
        <v>0.5</v>
      </c>
      <c r="S153" s="19">
        <v>0</v>
      </c>
      <c r="T153" s="83">
        <v>0.5</v>
      </c>
      <c r="U153" s="16">
        <v>0.5</v>
      </c>
    </row>
    <row r="154" spans="3:21">
      <c r="C154" s="20" t="s">
        <v>114</v>
      </c>
      <c r="D154" s="18">
        <v>6</v>
      </c>
      <c r="E154" s="19">
        <v>2.375</v>
      </c>
      <c r="F154" s="19">
        <v>2.75</v>
      </c>
      <c r="G154" s="19">
        <v>1.375</v>
      </c>
      <c r="H154" s="19">
        <v>1</v>
      </c>
      <c r="I154" s="19">
        <v>0</v>
      </c>
      <c r="J154" s="19">
        <v>1.375</v>
      </c>
      <c r="K154" s="19">
        <v>0</v>
      </c>
      <c r="L154" s="19">
        <v>0</v>
      </c>
      <c r="M154" s="19">
        <v>2.375</v>
      </c>
      <c r="N154" s="19">
        <v>0.75</v>
      </c>
      <c r="O154" s="19">
        <v>0</v>
      </c>
      <c r="P154" s="19">
        <v>0</v>
      </c>
      <c r="Q154" s="19">
        <v>2.375</v>
      </c>
      <c r="R154" s="19">
        <v>0.375</v>
      </c>
      <c r="S154" s="19">
        <v>0</v>
      </c>
      <c r="T154" s="83">
        <v>0</v>
      </c>
      <c r="U154" s="16">
        <v>1.125</v>
      </c>
    </row>
    <row r="155" spans="3:21">
      <c r="C155" s="20" t="s">
        <v>110</v>
      </c>
      <c r="D155" s="18">
        <v>4</v>
      </c>
      <c r="E155" s="19">
        <v>2.75</v>
      </c>
      <c r="F155" s="19">
        <v>1</v>
      </c>
      <c r="G155" s="19">
        <v>1.5</v>
      </c>
      <c r="H155" s="19">
        <v>0.75</v>
      </c>
      <c r="I155" s="19">
        <v>0</v>
      </c>
      <c r="J155" s="19">
        <v>0</v>
      </c>
      <c r="K155" s="19">
        <v>0</v>
      </c>
      <c r="L155" s="19">
        <v>1</v>
      </c>
      <c r="M155" s="19">
        <v>0.75</v>
      </c>
      <c r="N155" s="19">
        <v>0</v>
      </c>
      <c r="O155" s="19">
        <v>0</v>
      </c>
      <c r="P155" s="19">
        <v>0</v>
      </c>
      <c r="Q155" s="19">
        <v>0</v>
      </c>
      <c r="R155" s="19">
        <v>0.75</v>
      </c>
      <c r="S155" s="19">
        <v>0</v>
      </c>
      <c r="T155" s="83">
        <v>0</v>
      </c>
      <c r="U155" s="16">
        <v>0</v>
      </c>
    </row>
    <row r="156" spans="3:21">
      <c r="C156" s="20" t="s">
        <v>512</v>
      </c>
      <c r="D156" s="18">
        <v>1</v>
      </c>
      <c r="E156" s="19">
        <v>0.5</v>
      </c>
      <c r="F156" s="19">
        <v>0.5</v>
      </c>
      <c r="G156" s="19">
        <v>0.5</v>
      </c>
      <c r="H156" s="19">
        <v>0</v>
      </c>
      <c r="I156" s="19">
        <v>0</v>
      </c>
      <c r="J156" s="19">
        <v>0</v>
      </c>
      <c r="K156" s="19">
        <v>0</v>
      </c>
      <c r="L156" s="19">
        <v>0</v>
      </c>
      <c r="M156" s="19">
        <v>0</v>
      </c>
      <c r="N156" s="19">
        <v>0.5</v>
      </c>
      <c r="O156" s="19">
        <v>0</v>
      </c>
      <c r="P156" s="19">
        <v>0</v>
      </c>
      <c r="Q156" s="19">
        <v>0</v>
      </c>
      <c r="R156" s="19">
        <v>0</v>
      </c>
      <c r="S156" s="19">
        <v>0.5</v>
      </c>
      <c r="T156" s="83">
        <v>0</v>
      </c>
      <c r="U156" s="16">
        <v>0</v>
      </c>
    </row>
    <row r="157" spans="3:21">
      <c r="C157" s="20" t="s">
        <v>518</v>
      </c>
      <c r="D157" s="18">
        <v>1</v>
      </c>
      <c r="E157" s="19">
        <v>0</v>
      </c>
      <c r="F157" s="19">
        <v>0</v>
      </c>
      <c r="G157" s="19">
        <v>0</v>
      </c>
      <c r="H157" s="19">
        <v>0</v>
      </c>
      <c r="I157" s="19">
        <v>0</v>
      </c>
      <c r="J157" s="19">
        <v>0</v>
      </c>
      <c r="K157" s="19">
        <v>0</v>
      </c>
      <c r="L157" s="19">
        <v>0</v>
      </c>
      <c r="M157" s="19">
        <v>0</v>
      </c>
      <c r="N157" s="19">
        <v>0</v>
      </c>
      <c r="O157" s="19">
        <v>0</v>
      </c>
      <c r="P157" s="19">
        <v>0</v>
      </c>
      <c r="Q157" s="19">
        <v>0</v>
      </c>
      <c r="R157" s="19">
        <v>0</v>
      </c>
      <c r="S157" s="19">
        <v>0</v>
      </c>
      <c r="T157" s="83">
        <v>0</v>
      </c>
      <c r="U157" s="16">
        <v>0</v>
      </c>
    </row>
    <row r="158" spans="3:21">
      <c r="C158" s="20" t="s">
        <v>180</v>
      </c>
      <c r="D158" s="18">
        <v>1</v>
      </c>
      <c r="E158" s="19">
        <v>0</v>
      </c>
      <c r="F158" s="19">
        <v>0.75</v>
      </c>
      <c r="G158" s="19">
        <v>0</v>
      </c>
      <c r="H158" s="19">
        <v>0</v>
      </c>
      <c r="I158" s="19">
        <v>0</v>
      </c>
      <c r="J158" s="19">
        <v>0.75</v>
      </c>
      <c r="K158" s="19">
        <v>0</v>
      </c>
      <c r="L158" s="19">
        <v>0</v>
      </c>
      <c r="M158" s="19">
        <v>0</v>
      </c>
      <c r="N158" s="19">
        <v>0.75</v>
      </c>
      <c r="O158" s="19">
        <v>0</v>
      </c>
      <c r="P158" s="19">
        <v>0</v>
      </c>
      <c r="Q158" s="19">
        <v>0</v>
      </c>
      <c r="R158" s="19">
        <v>0</v>
      </c>
      <c r="S158" s="19">
        <v>0</v>
      </c>
      <c r="T158" s="83">
        <v>0</v>
      </c>
      <c r="U158" s="16">
        <v>0</v>
      </c>
    </row>
    <row r="159" spans="3:21">
      <c r="C159" s="25" t="s">
        <v>279</v>
      </c>
      <c r="D159" s="28">
        <v>529</v>
      </c>
      <c r="E159" s="26">
        <v>78.290681377446091</v>
      </c>
      <c r="F159" s="26">
        <v>125.29068137744605</v>
      </c>
      <c r="G159" s="26">
        <v>72.064382676147375</v>
      </c>
      <c r="H159" s="26">
        <v>50.36687185363656</v>
      </c>
      <c r="I159" s="26">
        <v>42.826287438052148</v>
      </c>
      <c r="J159" s="26">
        <v>112.27401471077937</v>
      </c>
      <c r="K159" s="26">
        <v>52.45028011204483</v>
      </c>
      <c r="L159" s="26">
        <v>62.122716009480733</v>
      </c>
      <c r="M159" s="26">
        <v>92.429858866623562</v>
      </c>
      <c r="N159" s="26">
        <v>74.249014710779406</v>
      </c>
      <c r="O159" s="26">
        <v>18.405042016806721</v>
      </c>
      <c r="P159" s="26">
        <v>85.640401265401252</v>
      </c>
      <c r="Q159" s="26">
        <v>182.95258613935081</v>
      </c>
      <c r="R159" s="26">
        <v>92.307531194295876</v>
      </c>
      <c r="S159" s="26">
        <v>17.590864527629236</v>
      </c>
      <c r="T159" s="84">
        <v>68.975280112044814</v>
      </c>
      <c r="U159" s="27">
        <v>61.810919472684191</v>
      </c>
    </row>
  </sheetData>
  <mergeCells count="2">
    <mergeCell ref="A1:W1"/>
    <mergeCell ref="A2:B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9"/>
  <sheetViews>
    <sheetView workbookViewId="0">
      <pane xSplit="3" ySplit="12" topLeftCell="D13" activePane="bottomRight" state="frozen"/>
      <selection pane="topRight" activeCell="D1" sqref="D1"/>
      <selection pane="bottomLeft" activeCell="A13" sqref="A13"/>
      <selection pane="bottomRight" activeCell="A3" sqref="A3"/>
    </sheetView>
  </sheetViews>
  <sheetFormatPr defaultRowHeight="14.5"/>
  <cols>
    <col min="2" max="2" width="29.7265625" customWidth="1"/>
    <col min="3" max="3" width="24.81640625" customWidth="1"/>
    <col min="4" max="4" width="19.6328125" customWidth="1"/>
    <col min="5" max="5" width="23.90625" customWidth="1"/>
    <col min="6" max="6" width="15.08984375" customWidth="1"/>
    <col min="7" max="7" width="17.26953125" customWidth="1"/>
    <col min="8" max="9" width="7.7265625" customWidth="1"/>
    <col min="10" max="10" width="6.54296875" customWidth="1"/>
    <col min="11" max="11" width="20.08984375" customWidth="1"/>
    <col min="12" max="12" width="5.54296875" customWidth="1"/>
    <col min="13" max="13" width="19.54296875" customWidth="1"/>
    <col min="14" max="14" width="13.1796875" customWidth="1"/>
    <col min="15" max="15" width="32.6328125" customWidth="1"/>
    <col min="16" max="16" width="9.08984375" customWidth="1"/>
    <col min="17" max="18" width="8.453125" customWidth="1"/>
  </cols>
  <sheetData>
    <row r="1" spans="1:18" ht="35">
      <c r="A1" s="201" t="s">
        <v>328</v>
      </c>
      <c r="B1" s="201"/>
      <c r="C1" s="201"/>
      <c r="D1" s="201"/>
      <c r="E1" s="201"/>
      <c r="F1" s="201"/>
      <c r="G1" s="201"/>
      <c r="H1" s="201"/>
      <c r="I1" s="201"/>
      <c r="J1" s="201"/>
      <c r="K1" s="201"/>
      <c r="L1" s="201"/>
      <c r="M1" s="201"/>
      <c r="N1" s="201"/>
      <c r="O1" s="201"/>
      <c r="P1" s="201"/>
      <c r="Q1" s="201"/>
      <c r="R1" s="201"/>
    </row>
    <row r="2" spans="1:18" ht="16">
      <c r="A2" s="202" t="s">
        <v>544</v>
      </c>
      <c r="B2" s="202"/>
    </row>
    <row r="13" spans="1:18">
      <c r="C13" s="17" t="s">
        <v>288</v>
      </c>
      <c r="D13" s="5" t="s">
        <v>280</v>
      </c>
      <c r="E13" s="5" t="s">
        <v>323</v>
      </c>
      <c r="F13" s="5" t="s">
        <v>324</v>
      </c>
      <c r="G13" s="5" t="s">
        <v>70</v>
      </c>
      <c r="H13" s="5" t="s">
        <v>73</v>
      </c>
      <c r="I13" s="5" t="s">
        <v>75</v>
      </c>
      <c r="J13" s="5" t="s">
        <v>65</v>
      </c>
      <c r="K13" s="5" t="s">
        <v>325</v>
      </c>
      <c r="L13" s="5" t="s">
        <v>71</v>
      </c>
      <c r="M13" s="5" t="s">
        <v>326</v>
      </c>
      <c r="N13" s="5" t="s">
        <v>327</v>
      </c>
      <c r="O13" s="5" t="s">
        <v>66</v>
      </c>
      <c r="P13" s="5" t="s">
        <v>69</v>
      </c>
      <c r="Q13" s="15" t="s">
        <v>72</v>
      </c>
    </row>
    <row r="14" spans="1:18">
      <c r="C14" s="91" t="s">
        <v>477</v>
      </c>
      <c r="D14" s="18">
        <v>23</v>
      </c>
      <c r="E14" s="18">
        <v>9</v>
      </c>
      <c r="F14" s="18">
        <v>4</v>
      </c>
      <c r="G14" s="18">
        <v>2</v>
      </c>
      <c r="H14" s="18">
        <v>2</v>
      </c>
      <c r="I14" s="18">
        <v>6</v>
      </c>
      <c r="J14" s="18">
        <v>2</v>
      </c>
      <c r="K14" s="18">
        <v>2</v>
      </c>
      <c r="L14" s="18">
        <v>1</v>
      </c>
      <c r="M14" s="18">
        <v>0</v>
      </c>
      <c r="N14" s="18">
        <v>2</v>
      </c>
      <c r="O14" s="18">
        <v>4</v>
      </c>
      <c r="P14" s="18">
        <v>2</v>
      </c>
      <c r="Q14" s="33">
        <v>1</v>
      </c>
    </row>
    <row r="15" spans="1:18">
      <c r="C15" s="91" t="s">
        <v>530</v>
      </c>
      <c r="D15" s="18">
        <v>2</v>
      </c>
      <c r="E15" s="18">
        <v>0</v>
      </c>
      <c r="F15" s="18">
        <v>0</v>
      </c>
      <c r="G15" s="18">
        <v>1</v>
      </c>
      <c r="H15" s="18">
        <v>2</v>
      </c>
      <c r="I15" s="18">
        <v>0</v>
      </c>
      <c r="J15" s="18">
        <v>0</v>
      </c>
      <c r="K15" s="18">
        <v>0</v>
      </c>
      <c r="L15" s="18">
        <v>1</v>
      </c>
      <c r="M15" s="18">
        <v>0</v>
      </c>
      <c r="N15" s="18">
        <v>0</v>
      </c>
      <c r="O15" s="18">
        <v>1</v>
      </c>
      <c r="P15" s="18">
        <v>1</v>
      </c>
      <c r="Q15" s="33">
        <v>1</v>
      </c>
    </row>
    <row r="16" spans="1:18">
      <c r="C16" s="91" t="s">
        <v>531</v>
      </c>
      <c r="D16" s="18">
        <v>1</v>
      </c>
      <c r="E16" s="18">
        <v>0</v>
      </c>
      <c r="F16" s="18">
        <v>0</v>
      </c>
      <c r="G16" s="18">
        <v>1</v>
      </c>
      <c r="H16" s="18">
        <v>0</v>
      </c>
      <c r="I16" s="18">
        <v>0</v>
      </c>
      <c r="J16" s="18">
        <v>0</v>
      </c>
      <c r="K16" s="18">
        <v>0</v>
      </c>
      <c r="L16" s="18">
        <v>0</v>
      </c>
      <c r="M16" s="18">
        <v>1</v>
      </c>
      <c r="N16" s="18">
        <v>0</v>
      </c>
      <c r="O16" s="18">
        <v>0</v>
      </c>
      <c r="P16" s="18">
        <v>1</v>
      </c>
      <c r="Q16" s="33">
        <v>0</v>
      </c>
    </row>
    <row r="17" spans="3:17">
      <c r="C17" s="91" t="s">
        <v>532</v>
      </c>
      <c r="D17" s="18">
        <v>1</v>
      </c>
      <c r="E17" s="18">
        <v>0</v>
      </c>
      <c r="F17" s="18">
        <v>0</v>
      </c>
      <c r="G17" s="18">
        <v>0</v>
      </c>
      <c r="H17" s="18">
        <v>0</v>
      </c>
      <c r="I17" s="18">
        <v>1</v>
      </c>
      <c r="J17" s="18">
        <v>0</v>
      </c>
      <c r="K17" s="18">
        <v>0</v>
      </c>
      <c r="L17" s="18">
        <v>0</v>
      </c>
      <c r="M17" s="18">
        <v>0</v>
      </c>
      <c r="N17" s="18">
        <v>0</v>
      </c>
      <c r="O17" s="18">
        <v>1</v>
      </c>
      <c r="P17" s="18">
        <v>1</v>
      </c>
      <c r="Q17" s="33">
        <v>0</v>
      </c>
    </row>
    <row r="18" spans="3:17">
      <c r="C18" s="91" t="s">
        <v>533</v>
      </c>
      <c r="D18" s="18">
        <v>1</v>
      </c>
      <c r="E18" s="18">
        <v>1</v>
      </c>
      <c r="F18" s="18">
        <v>0</v>
      </c>
      <c r="G18" s="18">
        <v>1</v>
      </c>
      <c r="H18" s="18">
        <v>0</v>
      </c>
      <c r="I18" s="18">
        <v>0</v>
      </c>
      <c r="J18" s="18">
        <v>0</v>
      </c>
      <c r="K18" s="18">
        <v>0</v>
      </c>
      <c r="L18" s="18">
        <v>0</v>
      </c>
      <c r="M18" s="18">
        <v>0</v>
      </c>
      <c r="N18" s="18">
        <v>0</v>
      </c>
      <c r="O18" s="18">
        <v>0</v>
      </c>
      <c r="P18" s="18">
        <v>0</v>
      </c>
      <c r="Q18" s="33">
        <v>0</v>
      </c>
    </row>
    <row r="19" spans="3:17">
      <c r="C19" s="91" t="s">
        <v>534</v>
      </c>
      <c r="D19" s="18">
        <v>1</v>
      </c>
      <c r="E19" s="18">
        <v>1</v>
      </c>
      <c r="F19" s="18">
        <v>0</v>
      </c>
      <c r="G19" s="18">
        <v>0</v>
      </c>
      <c r="H19" s="18">
        <v>1</v>
      </c>
      <c r="I19" s="18">
        <v>0</v>
      </c>
      <c r="J19" s="18">
        <v>0</v>
      </c>
      <c r="K19" s="18">
        <v>1</v>
      </c>
      <c r="L19" s="18">
        <v>0</v>
      </c>
      <c r="M19" s="18">
        <v>0</v>
      </c>
      <c r="N19" s="18">
        <v>0</v>
      </c>
      <c r="O19" s="18">
        <v>0</v>
      </c>
      <c r="P19" s="18">
        <v>0</v>
      </c>
      <c r="Q19" s="33">
        <v>0</v>
      </c>
    </row>
    <row r="20" spans="3:17">
      <c r="C20" s="91" t="s">
        <v>535</v>
      </c>
      <c r="D20" s="18">
        <v>1</v>
      </c>
      <c r="E20" s="18">
        <v>1</v>
      </c>
      <c r="F20" s="18">
        <v>1</v>
      </c>
      <c r="G20" s="18">
        <v>0</v>
      </c>
      <c r="H20" s="18">
        <v>0</v>
      </c>
      <c r="I20" s="18">
        <v>1</v>
      </c>
      <c r="J20" s="18">
        <v>0</v>
      </c>
      <c r="K20" s="18">
        <v>0</v>
      </c>
      <c r="L20" s="18">
        <v>0</v>
      </c>
      <c r="M20" s="18">
        <v>0</v>
      </c>
      <c r="N20" s="18">
        <v>0</v>
      </c>
      <c r="O20" s="18">
        <v>1</v>
      </c>
      <c r="P20" s="18">
        <v>1</v>
      </c>
      <c r="Q20" s="33">
        <v>1</v>
      </c>
    </row>
    <row r="21" spans="3:17">
      <c r="C21" s="91" t="s">
        <v>536</v>
      </c>
      <c r="D21" s="18">
        <v>2</v>
      </c>
      <c r="E21" s="18">
        <v>1</v>
      </c>
      <c r="F21" s="18">
        <v>1</v>
      </c>
      <c r="G21" s="18">
        <v>0</v>
      </c>
      <c r="H21" s="18">
        <v>0</v>
      </c>
      <c r="I21" s="18">
        <v>2</v>
      </c>
      <c r="J21" s="18">
        <v>0</v>
      </c>
      <c r="K21" s="18">
        <v>0</v>
      </c>
      <c r="L21" s="18">
        <v>0</v>
      </c>
      <c r="M21" s="18">
        <v>0</v>
      </c>
      <c r="N21" s="18">
        <v>0</v>
      </c>
      <c r="O21" s="18">
        <v>1</v>
      </c>
      <c r="P21" s="18">
        <v>1</v>
      </c>
      <c r="Q21" s="33">
        <v>0</v>
      </c>
    </row>
    <row r="22" spans="3:17">
      <c r="C22" s="91" t="s">
        <v>537</v>
      </c>
      <c r="D22" s="18">
        <v>1</v>
      </c>
      <c r="E22" s="18">
        <v>1</v>
      </c>
      <c r="F22" s="18">
        <v>0</v>
      </c>
      <c r="G22" s="18">
        <v>0</v>
      </c>
      <c r="H22" s="18">
        <v>0</v>
      </c>
      <c r="I22" s="18">
        <v>0</v>
      </c>
      <c r="J22" s="18">
        <v>0</v>
      </c>
      <c r="K22" s="18">
        <v>0</v>
      </c>
      <c r="L22" s="18">
        <v>0</v>
      </c>
      <c r="M22" s="18">
        <v>0</v>
      </c>
      <c r="N22" s="18">
        <v>0</v>
      </c>
      <c r="O22" s="18">
        <v>0</v>
      </c>
      <c r="P22" s="18">
        <v>0</v>
      </c>
      <c r="Q22" s="33">
        <v>0</v>
      </c>
    </row>
    <row r="23" spans="3:17">
      <c r="C23" s="91" t="s">
        <v>538</v>
      </c>
      <c r="D23" s="18">
        <v>1</v>
      </c>
      <c r="E23" s="18">
        <v>1</v>
      </c>
      <c r="F23" s="18">
        <v>0</v>
      </c>
      <c r="G23" s="18">
        <v>0</v>
      </c>
      <c r="H23" s="18">
        <v>0</v>
      </c>
      <c r="I23" s="18">
        <v>1</v>
      </c>
      <c r="J23" s="18">
        <v>0</v>
      </c>
      <c r="K23" s="18">
        <v>0</v>
      </c>
      <c r="L23" s="18">
        <v>0</v>
      </c>
      <c r="M23" s="18">
        <v>0</v>
      </c>
      <c r="N23" s="18">
        <v>0</v>
      </c>
      <c r="O23" s="18">
        <v>1</v>
      </c>
      <c r="P23" s="18">
        <v>0</v>
      </c>
      <c r="Q23" s="33">
        <v>0</v>
      </c>
    </row>
    <row r="24" spans="3:17">
      <c r="C24" s="91" t="s">
        <v>539</v>
      </c>
      <c r="D24" s="18">
        <v>1</v>
      </c>
      <c r="E24" s="18">
        <v>1</v>
      </c>
      <c r="F24" s="18">
        <v>0</v>
      </c>
      <c r="G24" s="18">
        <v>0</v>
      </c>
      <c r="H24" s="18">
        <v>0</v>
      </c>
      <c r="I24" s="18">
        <v>1</v>
      </c>
      <c r="J24" s="18">
        <v>0</v>
      </c>
      <c r="K24" s="18">
        <v>0</v>
      </c>
      <c r="L24" s="18">
        <v>0</v>
      </c>
      <c r="M24" s="18">
        <v>0</v>
      </c>
      <c r="N24" s="18">
        <v>0</v>
      </c>
      <c r="O24" s="18">
        <v>0</v>
      </c>
      <c r="P24" s="18">
        <v>0</v>
      </c>
      <c r="Q24" s="33">
        <v>0</v>
      </c>
    </row>
    <row r="25" spans="3:17">
      <c r="C25" s="91" t="s">
        <v>540</v>
      </c>
      <c r="D25" s="18">
        <v>1</v>
      </c>
      <c r="E25" s="18">
        <v>0</v>
      </c>
      <c r="F25" s="18">
        <v>0</v>
      </c>
      <c r="G25" s="18">
        <v>0</v>
      </c>
      <c r="H25" s="18">
        <v>0</v>
      </c>
      <c r="I25" s="18">
        <v>1</v>
      </c>
      <c r="J25" s="18">
        <v>0</v>
      </c>
      <c r="K25" s="18">
        <v>0</v>
      </c>
      <c r="L25" s="18">
        <v>0</v>
      </c>
      <c r="M25" s="18">
        <v>0</v>
      </c>
      <c r="N25" s="18">
        <v>0</v>
      </c>
      <c r="O25" s="18">
        <v>0</v>
      </c>
      <c r="P25" s="18">
        <v>0</v>
      </c>
      <c r="Q25" s="33">
        <v>0</v>
      </c>
    </row>
    <row r="26" spans="3:17">
      <c r="C26" s="91" t="s">
        <v>541</v>
      </c>
      <c r="D26" s="18">
        <v>1</v>
      </c>
      <c r="E26" s="18">
        <v>0</v>
      </c>
      <c r="F26" s="18">
        <v>0</v>
      </c>
      <c r="G26" s="18">
        <v>0</v>
      </c>
      <c r="H26" s="18">
        <v>0</v>
      </c>
      <c r="I26" s="18">
        <v>1</v>
      </c>
      <c r="J26" s="18">
        <v>0</v>
      </c>
      <c r="K26" s="18">
        <v>0</v>
      </c>
      <c r="L26" s="18">
        <v>1</v>
      </c>
      <c r="M26" s="18">
        <v>0</v>
      </c>
      <c r="N26" s="18">
        <v>0</v>
      </c>
      <c r="O26" s="18">
        <v>0</v>
      </c>
      <c r="P26" s="18">
        <v>0</v>
      </c>
      <c r="Q26" s="33">
        <v>1</v>
      </c>
    </row>
    <row r="27" spans="3:17">
      <c r="C27" s="91" t="s">
        <v>542</v>
      </c>
      <c r="D27" s="18">
        <v>1</v>
      </c>
      <c r="E27" s="18">
        <v>1</v>
      </c>
      <c r="F27" s="18">
        <v>0</v>
      </c>
      <c r="G27" s="18">
        <v>0</v>
      </c>
      <c r="H27" s="18">
        <v>0</v>
      </c>
      <c r="I27" s="18">
        <v>0</v>
      </c>
      <c r="J27" s="18">
        <v>0</v>
      </c>
      <c r="K27" s="18">
        <v>0</v>
      </c>
      <c r="L27" s="18">
        <v>0</v>
      </c>
      <c r="M27" s="18">
        <v>0</v>
      </c>
      <c r="N27" s="18">
        <v>0</v>
      </c>
      <c r="O27" s="18">
        <v>0</v>
      </c>
      <c r="P27" s="18">
        <v>0</v>
      </c>
      <c r="Q27" s="33">
        <v>0</v>
      </c>
    </row>
    <row r="28" spans="3:17">
      <c r="C28" s="91" t="s">
        <v>543</v>
      </c>
      <c r="D28" s="18">
        <v>1</v>
      </c>
      <c r="E28" s="18">
        <v>1</v>
      </c>
      <c r="F28" s="18">
        <v>0</v>
      </c>
      <c r="G28" s="18">
        <v>1</v>
      </c>
      <c r="H28" s="18">
        <v>1</v>
      </c>
      <c r="I28" s="18">
        <v>1</v>
      </c>
      <c r="J28" s="18">
        <v>0</v>
      </c>
      <c r="K28" s="18">
        <v>0</v>
      </c>
      <c r="L28" s="18">
        <v>0</v>
      </c>
      <c r="M28" s="18">
        <v>0</v>
      </c>
      <c r="N28" s="18">
        <v>0</v>
      </c>
      <c r="O28" s="18">
        <v>0</v>
      </c>
      <c r="P28" s="18">
        <v>0</v>
      </c>
      <c r="Q28" s="33">
        <v>0</v>
      </c>
    </row>
    <row r="29" spans="3:17">
      <c r="C29" s="91" t="s">
        <v>364</v>
      </c>
      <c r="D29" s="18">
        <v>3</v>
      </c>
      <c r="E29" s="18">
        <v>1</v>
      </c>
      <c r="F29" s="18">
        <v>0</v>
      </c>
      <c r="G29" s="18">
        <v>1</v>
      </c>
      <c r="H29" s="18">
        <v>1</v>
      </c>
      <c r="I29" s="18">
        <v>0</v>
      </c>
      <c r="J29" s="18">
        <v>1</v>
      </c>
      <c r="K29" s="18">
        <v>0</v>
      </c>
      <c r="L29" s="18">
        <v>0</v>
      </c>
      <c r="M29" s="18">
        <v>0</v>
      </c>
      <c r="N29" s="18">
        <v>0</v>
      </c>
      <c r="O29" s="18">
        <v>0</v>
      </c>
      <c r="P29" s="18">
        <v>0</v>
      </c>
      <c r="Q29" s="33">
        <v>0</v>
      </c>
    </row>
    <row r="30" spans="3:17">
      <c r="C30" s="91" t="s">
        <v>128</v>
      </c>
      <c r="D30" s="18">
        <v>4</v>
      </c>
      <c r="E30" s="18">
        <v>0</v>
      </c>
      <c r="F30" s="18">
        <v>0</v>
      </c>
      <c r="G30" s="18">
        <v>1</v>
      </c>
      <c r="H30" s="18">
        <v>0</v>
      </c>
      <c r="I30" s="18">
        <v>1</v>
      </c>
      <c r="J30" s="18">
        <v>0</v>
      </c>
      <c r="K30" s="18">
        <v>1</v>
      </c>
      <c r="L30" s="18">
        <v>0</v>
      </c>
      <c r="M30" s="18">
        <v>0</v>
      </c>
      <c r="N30" s="18">
        <v>1</v>
      </c>
      <c r="O30" s="18">
        <v>1</v>
      </c>
      <c r="P30" s="18">
        <v>1</v>
      </c>
      <c r="Q30" s="33">
        <v>1</v>
      </c>
    </row>
    <row r="31" spans="3:17">
      <c r="C31" s="91" t="s">
        <v>363</v>
      </c>
      <c r="D31" s="18">
        <v>1</v>
      </c>
      <c r="E31" s="18">
        <v>0</v>
      </c>
      <c r="F31" s="18">
        <v>0</v>
      </c>
      <c r="G31" s="18">
        <v>0</v>
      </c>
      <c r="H31" s="18">
        <v>0</v>
      </c>
      <c r="I31" s="18">
        <v>0</v>
      </c>
      <c r="J31" s="18">
        <v>0</v>
      </c>
      <c r="K31" s="18">
        <v>0</v>
      </c>
      <c r="L31" s="18">
        <v>0</v>
      </c>
      <c r="M31" s="18">
        <v>0</v>
      </c>
      <c r="N31" s="18">
        <v>0</v>
      </c>
      <c r="O31" s="18">
        <v>0</v>
      </c>
      <c r="P31" s="18">
        <v>0</v>
      </c>
      <c r="Q31" s="33">
        <v>0</v>
      </c>
    </row>
    <row r="32" spans="3:17">
      <c r="C32" s="91" t="s">
        <v>187</v>
      </c>
      <c r="D32" s="18">
        <v>1</v>
      </c>
      <c r="E32" s="18">
        <v>0</v>
      </c>
      <c r="F32" s="18">
        <v>1</v>
      </c>
      <c r="G32" s="18">
        <v>0</v>
      </c>
      <c r="H32" s="18">
        <v>0</v>
      </c>
      <c r="I32" s="18">
        <v>0</v>
      </c>
      <c r="J32" s="18">
        <v>0</v>
      </c>
      <c r="K32" s="18">
        <v>0</v>
      </c>
      <c r="L32" s="18">
        <v>0</v>
      </c>
      <c r="M32" s="18">
        <v>0</v>
      </c>
      <c r="N32" s="18">
        <v>0</v>
      </c>
      <c r="O32" s="18">
        <v>0</v>
      </c>
      <c r="P32" s="18">
        <v>0</v>
      </c>
      <c r="Q32" s="33">
        <v>0</v>
      </c>
    </row>
    <row r="33" spans="3:17">
      <c r="C33" s="91" t="s">
        <v>182</v>
      </c>
      <c r="D33" s="18">
        <v>2</v>
      </c>
      <c r="E33" s="18">
        <v>0</v>
      </c>
      <c r="F33" s="18">
        <v>2</v>
      </c>
      <c r="G33" s="18">
        <v>1</v>
      </c>
      <c r="H33" s="18">
        <v>1</v>
      </c>
      <c r="I33" s="18">
        <v>0</v>
      </c>
      <c r="J33" s="18">
        <v>0</v>
      </c>
      <c r="K33" s="18">
        <v>0</v>
      </c>
      <c r="L33" s="18">
        <v>0</v>
      </c>
      <c r="M33" s="18">
        <v>1</v>
      </c>
      <c r="N33" s="18">
        <v>0</v>
      </c>
      <c r="O33" s="18">
        <v>0</v>
      </c>
      <c r="P33" s="18">
        <v>0</v>
      </c>
      <c r="Q33" s="33">
        <v>0</v>
      </c>
    </row>
    <row r="34" spans="3:17">
      <c r="C34" s="91" t="s">
        <v>442</v>
      </c>
      <c r="D34" s="18">
        <v>1</v>
      </c>
      <c r="E34" s="18">
        <v>0</v>
      </c>
      <c r="F34" s="18">
        <v>0</v>
      </c>
      <c r="G34" s="18">
        <v>1</v>
      </c>
      <c r="H34" s="18">
        <v>1</v>
      </c>
      <c r="I34" s="18">
        <v>0</v>
      </c>
      <c r="J34" s="18">
        <v>0</v>
      </c>
      <c r="K34" s="18">
        <v>0</v>
      </c>
      <c r="L34" s="18">
        <v>0</v>
      </c>
      <c r="M34" s="18">
        <v>0</v>
      </c>
      <c r="N34" s="18">
        <v>0</v>
      </c>
      <c r="O34" s="18">
        <v>0</v>
      </c>
      <c r="P34" s="18">
        <v>0</v>
      </c>
      <c r="Q34" s="33">
        <v>0</v>
      </c>
    </row>
    <row r="35" spans="3:17">
      <c r="C35" s="91" t="s">
        <v>463</v>
      </c>
      <c r="D35" s="18">
        <v>1</v>
      </c>
      <c r="E35" s="18">
        <v>1</v>
      </c>
      <c r="F35" s="18">
        <v>0</v>
      </c>
      <c r="G35" s="18">
        <v>0</v>
      </c>
      <c r="H35" s="18">
        <v>0</v>
      </c>
      <c r="I35" s="18">
        <v>0</v>
      </c>
      <c r="J35" s="18">
        <v>0</v>
      </c>
      <c r="K35" s="18">
        <v>0</v>
      </c>
      <c r="L35" s="18">
        <v>0</v>
      </c>
      <c r="M35" s="18">
        <v>0</v>
      </c>
      <c r="N35" s="18">
        <v>0</v>
      </c>
      <c r="O35" s="18">
        <v>0</v>
      </c>
      <c r="P35" s="18">
        <v>0</v>
      </c>
      <c r="Q35" s="33">
        <v>0</v>
      </c>
    </row>
    <row r="36" spans="3:17">
      <c r="C36" s="91" t="s">
        <v>487</v>
      </c>
      <c r="D36" s="18">
        <v>2</v>
      </c>
      <c r="E36" s="18">
        <v>0</v>
      </c>
      <c r="F36" s="18">
        <v>0</v>
      </c>
      <c r="G36" s="18">
        <v>0</v>
      </c>
      <c r="H36" s="18">
        <v>0</v>
      </c>
      <c r="I36" s="18">
        <v>0</v>
      </c>
      <c r="J36" s="18">
        <v>0</v>
      </c>
      <c r="K36" s="18">
        <v>0</v>
      </c>
      <c r="L36" s="18">
        <v>0</v>
      </c>
      <c r="M36" s="18">
        <v>0</v>
      </c>
      <c r="N36" s="18">
        <v>0</v>
      </c>
      <c r="O36" s="18">
        <v>0</v>
      </c>
      <c r="P36" s="18">
        <v>0</v>
      </c>
      <c r="Q36" s="33">
        <v>0</v>
      </c>
    </row>
    <row r="37" spans="3:17">
      <c r="C37" s="91" t="s">
        <v>172</v>
      </c>
      <c r="D37" s="18">
        <v>7</v>
      </c>
      <c r="E37" s="18">
        <v>6</v>
      </c>
      <c r="F37" s="18">
        <v>2</v>
      </c>
      <c r="G37" s="18">
        <v>0</v>
      </c>
      <c r="H37" s="18">
        <v>0</v>
      </c>
      <c r="I37" s="18">
        <v>5</v>
      </c>
      <c r="J37" s="18">
        <v>0</v>
      </c>
      <c r="K37" s="18">
        <v>1</v>
      </c>
      <c r="L37" s="18">
        <v>0</v>
      </c>
      <c r="M37" s="18">
        <v>0</v>
      </c>
      <c r="N37" s="18">
        <v>0</v>
      </c>
      <c r="O37" s="18">
        <v>0</v>
      </c>
      <c r="P37" s="18">
        <v>2</v>
      </c>
      <c r="Q37" s="33">
        <v>0</v>
      </c>
    </row>
    <row r="38" spans="3:17">
      <c r="C38" s="91" t="s">
        <v>453</v>
      </c>
      <c r="D38" s="18">
        <v>3</v>
      </c>
      <c r="E38" s="18">
        <v>3</v>
      </c>
      <c r="F38" s="18">
        <v>1</v>
      </c>
      <c r="G38" s="18">
        <v>1</v>
      </c>
      <c r="H38" s="18">
        <v>1</v>
      </c>
      <c r="I38" s="18">
        <v>1</v>
      </c>
      <c r="J38" s="18">
        <v>1</v>
      </c>
      <c r="K38" s="18">
        <v>0</v>
      </c>
      <c r="L38" s="18">
        <v>0</v>
      </c>
      <c r="M38" s="18">
        <v>0</v>
      </c>
      <c r="N38" s="18">
        <v>0</v>
      </c>
      <c r="O38" s="18">
        <v>0</v>
      </c>
      <c r="P38" s="18">
        <v>1</v>
      </c>
      <c r="Q38" s="33">
        <v>0</v>
      </c>
    </row>
    <row r="39" spans="3:17">
      <c r="C39" s="91" t="s">
        <v>159</v>
      </c>
      <c r="D39" s="18">
        <v>3</v>
      </c>
      <c r="E39" s="18">
        <v>2</v>
      </c>
      <c r="F39" s="18">
        <v>1</v>
      </c>
      <c r="G39" s="18">
        <v>0</v>
      </c>
      <c r="H39" s="18">
        <v>0</v>
      </c>
      <c r="I39" s="18">
        <v>2</v>
      </c>
      <c r="J39" s="18">
        <v>0</v>
      </c>
      <c r="K39" s="18">
        <v>1</v>
      </c>
      <c r="L39" s="18">
        <v>0</v>
      </c>
      <c r="M39" s="18">
        <v>0</v>
      </c>
      <c r="N39" s="18">
        <v>0</v>
      </c>
      <c r="O39" s="18">
        <v>2</v>
      </c>
      <c r="P39" s="18">
        <v>0</v>
      </c>
      <c r="Q39" s="33">
        <v>0</v>
      </c>
    </row>
    <row r="40" spans="3:17">
      <c r="C40" s="91" t="s">
        <v>421</v>
      </c>
      <c r="D40" s="18">
        <v>2</v>
      </c>
      <c r="E40" s="18">
        <v>2</v>
      </c>
      <c r="F40" s="18">
        <v>0</v>
      </c>
      <c r="G40" s="18">
        <v>1</v>
      </c>
      <c r="H40" s="18">
        <v>0</v>
      </c>
      <c r="I40" s="18">
        <v>1</v>
      </c>
      <c r="J40" s="18">
        <v>0</v>
      </c>
      <c r="K40" s="18">
        <v>0</v>
      </c>
      <c r="L40" s="18">
        <v>0</v>
      </c>
      <c r="M40" s="18">
        <v>0</v>
      </c>
      <c r="N40" s="18">
        <v>0</v>
      </c>
      <c r="O40" s="18">
        <v>0</v>
      </c>
      <c r="P40" s="18">
        <v>0</v>
      </c>
      <c r="Q40" s="33">
        <v>0</v>
      </c>
    </row>
    <row r="41" spans="3:17">
      <c r="C41" s="91" t="s">
        <v>456</v>
      </c>
      <c r="D41" s="18">
        <v>1</v>
      </c>
      <c r="E41" s="18">
        <v>0</v>
      </c>
      <c r="F41" s="18">
        <v>1</v>
      </c>
      <c r="G41" s="18">
        <v>1</v>
      </c>
      <c r="H41" s="18">
        <v>0</v>
      </c>
      <c r="I41" s="18">
        <v>0</v>
      </c>
      <c r="J41" s="18">
        <v>1</v>
      </c>
      <c r="K41" s="18">
        <v>0</v>
      </c>
      <c r="L41" s="18">
        <v>1</v>
      </c>
      <c r="M41" s="18">
        <v>0</v>
      </c>
      <c r="N41" s="18">
        <v>0</v>
      </c>
      <c r="O41" s="18">
        <v>1</v>
      </c>
      <c r="P41" s="18">
        <v>0</v>
      </c>
      <c r="Q41" s="33">
        <v>0</v>
      </c>
    </row>
    <row r="42" spans="3:17">
      <c r="C42" s="91" t="s">
        <v>163</v>
      </c>
      <c r="D42" s="18">
        <v>3</v>
      </c>
      <c r="E42" s="18">
        <v>3</v>
      </c>
      <c r="F42" s="18">
        <v>0</v>
      </c>
      <c r="G42" s="18">
        <v>1</v>
      </c>
      <c r="H42" s="18">
        <v>1</v>
      </c>
      <c r="I42" s="18">
        <v>1</v>
      </c>
      <c r="J42" s="18">
        <v>0</v>
      </c>
      <c r="K42" s="18">
        <v>1</v>
      </c>
      <c r="L42" s="18">
        <v>0</v>
      </c>
      <c r="M42" s="18">
        <v>1</v>
      </c>
      <c r="N42" s="18">
        <v>0</v>
      </c>
      <c r="O42" s="18">
        <v>0</v>
      </c>
      <c r="P42" s="18">
        <v>0</v>
      </c>
      <c r="Q42" s="33">
        <v>1</v>
      </c>
    </row>
    <row r="43" spans="3:17">
      <c r="C43" s="91" t="s">
        <v>515</v>
      </c>
      <c r="D43" s="18">
        <v>1</v>
      </c>
      <c r="E43" s="18">
        <v>1</v>
      </c>
      <c r="F43" s="18">
        <v>0</v>
      </c>
      <c r="G43" s="18">
        <v>0</v>
      </c>
      <c r="H43" s="18">
        <v>0</v>
      </c>
      <c r="I43" s="18">
        <v>1</v>
      </c>
      <c r="J43" s="18">
        <v>0</v>
      </c>
      <c r="K43" s="18">
        <v>0</v>
      </c>
      <c r="L43" s="18">
        <v>0</v>
      </c>
      <c r="M43" s="18">
        <v>0</v>
      </c>
      <c r="N43" s="18">
        <v>0</v>
      </c>
      <c r="O43" s="18">
        <v>0</v>
      </c>
      <c r="P43" s="18">
        <v>0</v>
      </c>
      <c r="Q43" s="33">
        <v>0</v>
      </c>
    </row>
    <row r="44" spans="3:17">
      <c r="C44" s="91" t="s">
        <v>134</v>
      </c>
      <c r="D44" s="18">
        <v>3</v>
      </c>
      <c r="E44" s="18">
        <v>3</v>
      </c>
      <c r="F44" s="18">
        <v>0</v>
      </c>
      <c r="G44" s="18">
        <v>1</v>
      </c>
      <c r="H44" s="18">
        <v>0</v>
      </c>
      <c r="I44" s="18">
        <v>1</v>
      </c>
      <c r="J44" s="18">
        <v>0</v>
      </c>
      <c r="K44" s="18">
        <v>0</v>
      </c>
      <c r="L44" s="18">
        <v>0</v>
      </c>
      <c r="M44" s="18">
        <v>0</v>
      </c>
      <c r="N44" s="18">
        <v>1</v>
      </c>
      <c r="O44" s="18">
        <v>0</v>
      </c>
      <c r="P44" s="18">
        <v>0</v>
      </c>
      <c r="Q44" s="33">
        <v>0</v>
      </c>
    </row>
    <row r="45" spans="3:17">
      <c r="C45" s="91" t="s">
        <v>116</v>
      </c>
      <c r="D45" s="18">
        <v>4</v>
      </c>
      <c r="E45" s="18">
        <v>4</v>
      </c>
      <c r="F45" s="18">
        <v>3</v>
      </c>
      <c r="G45" s="18">
        <v>0</v>
      </c>
      <c r="H45" s="18">
        <v>0</v>
      </c>
      <c r="I45" s="18">
        <v>2</v>
      </c>
      <c r="J45" s="18">
        <v>0</v>
      </c>
      <c r="K45" s="18">
        <v>0</v>
      </c>
      <c r="L45" s="18">
        <v>0</v>
      </c>
      <c r="M45" s="18">
        <v>0</v>
      </c>
      <c r="N45" s="18">
        <v>0</v>
      </c>
      <c r="O45" s="18">
        <v>0</v>
      </c>
      <c r="P45" s="18">
        <v>0</v>
      </c>
      <c r="Q45" s="33">
        <v>0</v>
      </c>
    </row>
    <row r="46" spans="3:17">
      <c r="C46" s="91" t="s">
        <v>167</v>
      </c>
      <c r="D46" s="18">
        <v>1</v>
      </c>
      <c r="E46" s="18">
        <v>1</v>
      </c>
      <c r="F46" s="18">
        <v>0</v>
      </c>
      <c r="G46" s="18">
        <v>0</v>
      </c>
      <c r="H46" s="18">
        <v>1</v>
      </c>
      <c r="I46" s="18">
        <v>1</v>
      </c>
      <c r="J46" s="18">
        <v>0</v>
      </c>
      <c r="K46" s="18">
        <v>0</v>
      </c>
      <c r="L46" s="18">
        <v>0</v>
      </c>
      <c r="M46" s="18">
        <v>0</v>
      </c>
      <c r="N46" s="18">
        <v>0</v>
      </c>
      <c r="O46" s="18">
        <v>0</v>
      </c>
      <c r="P46" s="18">
        <v>0</v>
      </c>
      <c r="Q46" s="33">
        <v>1</v>
      </c>
    </row>
    <row r="47" spans="3:17">
      <c r="C47" s="91" t="s">
        <v>149</v>
      </c>
      <c r="D47" s="18">
        <v>1</v>
      </c>
      <c r="E47" s="18">
        <v>1</v>
      </c>
      <c r="F47" s="18">
        <v>1</v>
      </c>
      <c r="G47" s="18">
        <v>0</v>
      </c>
      <c r="H47" s="18">
        <v>0</v>
      </c>
      <c r="I47" s="18">
        <v>1</v>
      </c>
      <c r="J47" s="18">
        <v>0</v>
      </c>
      <c r="K47" s="18">
        <v>1</v>
      </c>
      <c r="L47" s="18">
        <v>1</v>
      </c>
      <c r="M47" s="18">
        <v>0</v>
      </c>
      <c r="N47" s="18">
        <v>0</v>
      </c>
      <c r="O47" s="18">
        <v>1</v>
      </c>
      <c r="P47" s="18">
        <v>1</v>
      </c>
      <c r="Q47" s="33">
        <v>1</v>
      </c>
    </row>
    <row r="48" spans="3:17">
      <c r="C48" s="91" t="s">
        <v>429</v>
      </c>
      <c r="D48" s="18">
        <v>1</v>
      </c>
      <c r="E48" s="18">
        <v>1</v>
      </c>
      <c r="F48" s="18">
        <v>0</v>
      </c>
      <c r="G48" s="18">
        <v>0</v>
      </c>
      <c r="H48" s="18">
        <v>0</v>
      </c>
      <c r="I48" s="18">
        <v>0</v>
      </c>
      <c r="J48" s="18">
        <v>0</v>
      </c>
      <c r="K48" s="18">
        <v>0</v>
      </c>
      <c r="L48" s="18">
        <v>0</v>
      </c>
      <c r="M48" s="18">
        <v>0</v>
      </c>
      <c r="N48" s="18">
        <v>0</v>
      </c>
      <c r="O48" s="18">
        <v>0</v>
      </c>
      <c r="P48" s="18">
        <v>0</v>
      </c>
      <c r="Q48" s="33">
        <v>0</v>
      </c>
    </row>
    <row r="49" spans="3:17">
      <c r="C49" s="91" t="s">
        <v>367</v>
      </c>
      <c r="D49" s="18">
        <v>1</v>
      </c>
      <c r="E49" s="18">
        <v>0</v>
      </c>
      <c r="F49" s="18">
        <v>0</v>
      </c>
      <c r="G49" s="18">
        <v>0</v>
      </c>
      <c r="H49" s="18">
        <v>0</v>
      </c>
      <c r="I49" s="18">
        <v>0</v>
      </c>
      <c r="J49" s="18">
        <v>0</v>
      </c>
      <c r="K49" s="18">
        <v>0</v>
      </c>
      <c r="L49" s="18">
        <v>0</v>
      </c>
      <c r="M49" s="18">
        <v>0</v>
      </c>
      <c r="N49" s="18">
        <v>0</v>
      </c>
      <c r="O49" s="18">
        <v>0</v>
      </c>
      <c r="P49" s="18">
        <v>0</v>
      </c>
      <c r="Q49" s="33">
        <v>0</v>
      </c>
    </row>
    <row r="50" spans="3:17">
      <c r="C50" s="91" t="s">
        <v>508</v>
      </c>
      <c r="D50" s="18">
        <v>1</v>
      </c>
      <c r="E50" s="18">
        <v>1</v>
      </c>
      <c r="F50" s="18">
        <v>1</v>
      </c>
      <c r="G50" s="18">
        <v>0</v>
      </c>
      <c r="H50" s="18">
        <v>0</v>
      </c>
      <c r="I50" s="18">
        <v>1</v>
      </c>
      <c r="J50" s="18">
        <v>0</v>
      </c>
      <c r="K50" s="18">
        <v>0</v>
      </c>
      <c r="L50" s="18">
        <v>0</v>
      </c>
      <c r="M50" s="18">
        <v>0</v>
      </c>
      <c r="N50" s="18">
        <v>0</v>
      </c>
      <c r="O50" s="18">
        <v>0</v>
      </c>
      <c r="P50" s="18">
        <v>0</v>
      </c>
      <c r="Q50" s="33">
        <v>0</v>
      </c>
    </row>
    <row r="51" spans="3:17">
      <c r="C51" s="91" t="s">
        <v>179</v>
      </c>
      <c r="D51" s="18">
        <v>2</v>
      </c>
      <c r="E51" s="18">
        <v>1</v>
      </c>
      <c r="F51" s="18">
        <v>0</v>
      </c>
      <c r="G51" s="18">
        <v>0</v>
      </c>
      <c r="H51" s="18">
        <v>1</v>
      </c>
      <c r="I51" s="18">
        <v>0</v>
      </c>
      <c r="J51" s="18">
        <v>1</v>
      </c>
      <c r="K51" s="18">
        <v>0</v>
      </c>
      <c r="L51" s="18">
        <v>0</v>
      </c>
      <c r="M51" s="18">
        <v>0</v>
      </c>
      <c r="N51" s="18">
        <v>0</v>
      </c>
      <c r="O51" s="18">
        <v>0</v>
      </c>
      <c r="P51" s="18">
        <v>1</v>
      </c>
      <c r="Q51" s="33">
        <v>0</v>
      </c>
    </row>
    <row r="52" spans="3:17">
      <c r="C52" s="91" t="s">
        <v>377</v>
      </c>
      <c r="D52" s="18">
        <v>14</v>
      </c>
      <c r="E52" s="18">
        <v>13</v>
      </c>
      <c r="F52" s="18">
        <v>7</v>
      </c>
      <c r="G52" s="18">
        <v>0</v>
      </c>
      <c r="H52" s="18">
        <v>0</v>
      </c>
      <c r="I52" s="18">
        <v>11</v>
      </c>
      <c r="J52" s="18">
        <v>1</v>
      </c>
      <c r="K52" s="18">
        <v>2</v>
      </c>
      <c r="L52" s="18">
        <v>0</v>
      </c>
      <c r="M52" s="18">
        <v>0</v>
      </c>
      <c r="N52" s="18">
        <v>3</v>
      </c>
      <c r="O52" s="18">
        <v>6</v>
      </c>
      <c r="P52" s="18">
        <v>1</v>
      </c>
      <c r="Q52" s="33">
        <v>2</v>
      </c>
    </row>
    <row r="53" spans="3:17">
      <c r="C53" s="91" t="s">
        <v>154</v>
      </c>
      <c r="D53" s="18">
        <v>1</v>
      </c>
      <c r="E53" s="18">
        <v>0</v>
      </c>
      <c r="F53" s="18">
        <v>0</v>
      </c>
      <c r="G53" s="18">
        <v>0</v>
      </c>
      <c r="H53" s="18">
        <v>0</v>
      </c>
      <c r="I53" s="18">
        <v>1</v>
      </c>
      <c r="J53" s="18">
        <v>0</v>
      </c>
      <c r="K53" s="18">
        <v>0</v>
      </c>
      <c r="L53" s="18">
        <v>0</v>
      </c>
      <c r="M53" s="18">
        <v>0</v>
      </c>
      <c r="N53" s="18">
        <v>0</v>
      </c>
      <c r="O53" s="18">
        <v>1</v>
      </c>
      <c r="P53" s="18">
        <v>0</v>
      </c>
      <c r="Q53" s="33">
        <v>0</v>
      </c>
    </row>
    <row r="54" spans="3:17">
      <c r="C54" s="91" t="s">
        <v>425</v>
      </c>
      <c r="D54" s="18">
        <v>1</v>
      </c>
      <c r="E54" s="18">
        <v>1</v>
      </c>
      <c r="F54" s="18">
        <v>0</v>
      </c>
      <c r="G54" s="18">
        <v>0</v>
      </c>
      <c r="H54" s="18">
        <v>0</v>
      </c>
      <c r="I54" s="18">
        <v>0</v>
      </c>
      <c r="J54" s="18">
        <v>0</v>
      </c>
      <c r="K54" s="18">
        <v>0</v>
      </c>
      <c r="L54" s="18">
        <v>0</v>
      </c>
      <c r="M54" s="18">
        <v>0</v>
      </c>
      <c r="N54" s="18">
        <v>0</v>
      </c>
      <c r="O54" s="18">
        <v>0</v>
      </c>
      <c r="P54" s="18">
        <v>0</v>
      </c>
      <c r="Q54" s="33">
        <v>1</v>
      </c>
    </row>
    <row r="55" spans="3:17">
      <c r="C55" s="91" t="s">
        <v>171</v>
      </c>
      <c r="D55" s="18">
        <v>51</v>
      </c>
      <c r="E55" s="18">
        <v>32</v>
      </c>
      <c r="F55" s="18">
        <v>25</v>
      </c>
      <c r="G55" s="18">
        <v>13</v>
      </c>
      <c r="H55" s="18">
        <v>13</v>
      </c>
      <c r="I55" s="18">
        <v>22</v>
      </c>
      <c r="J55" s="18">
        <v>5</v>
      </c>
      <c r="K55" s="18">
        <v>7</v>
      </c>
      <c r="L55" s="18">
        <v>6</v>
      </c>
      <c r="M55" s="18">
        <v>8</v>
      </c>
      <c r="N55" s="18">
        <v>8</v>
      </c>
      <c r="O55" s="18">
        <v>15</v>
      </c>
      <c r="P55" s="18">
        <v>12</v>
      </c>
      <c r="Q55" s="33">
        <v>1</v>
      </c>
    </row>
    <row r="56" spans="3:17">
      <c r="C56" s="91" t="s">
        <v>144</v>
      </c>
      <c r="D56" s="18">
        <v>1</v>
      </c>
      <c r="E56" s="18">
        <v>1</v>
      </c>
      <c r="F56" s="18">
        <v>0</v>
      </c>
      <c r="G56" s="18">
        <v>0</v>
      </c>
      <c r="H56" s="18">
        <v>0</v>
      </c>
      <c r="I56" s="18">
        <v>1</v>
      </c>
      <c r="J56" s="18">
        <v>0</v>
      </c>
      <c r="K56" s="18">
        <v>0</v>
      </c>
      <c r="L56" s="18">
        <v>0</v>
      </c>
      <c r="M56" s="18">
        <v>0</v>
      </c>
      <c r="N56" s="18">
        <v>0</v>
      </c>
      <c r="O56" s="18">
        <v>1</v>
      </c>
      <c r="P56" s="18">
        <v>0</v>
      </c>
      <c r="Q56" s="33">
        <v>0</v>
      </c>
    </row>
    <row r="57" spans="3:17">
      <c r="C57" s="91" t="s">
        <v>174</v>
      </c>
      <c r="D57" s="18">
        <v>4</v>
      </c>
      <c r="E57" s="18">
        <v>3</v>
      </c>
      <c r="F57" s="18">
        <v>1</v>
      </c>
      <c r="G57" s="18">
        <v>0</v>
      </c>
      <c r="H57" s="18">
        <v>1</v>
      </c>
      <c r="I57" s="18">
        <v>2</v>
      </c>
      <c r="J57" s="18">
        <v>0</v>
      </c>
      <c r="K57" s="18">
        <v>0</v>
      </c>
      <c r="L57" s="18">
        <v>0</v>
      </c>
      <c r="M57" s="18">
        <v>0</v>
      </c>
      <c r="N57" s="18">
        <v>0</v>
      </c>
      <c r="O57" s="18">
        <v>1</v>
      </c>
      <c r="P57" s="18">
        <v>1</v>
      </c>
      <c r="Q57" s="33">
        <v>1</v>
      </c>
    </row>
    <row r="58" spans="3:17">
      <c r="C58" s="91" t="s">
        <v>145</v>
      </c>
      <c r="D58" s="18">
        <v>7</v>
      </c>
      <c r="E58" s="18">
        <v>6</v>
      </c>
      <c r="F58" s="18">
        <v>1</v>
      </c>
      <c r="G58" s="18">
        <v>1</v>
      </c>
      <c r="H58" s="18">
        <v>1</v>
      </c>
      <c r="I58" s="18">
        <v>7</v>
      </c>
      <c r="J58" s="18">
        <v>0</v>
      </c>
      <c r="K58" s="18">
        <v>1</v>
      </c>
      <c r="L58" s="18">
        <v>1</v>
      </c>
      <c r="M58" s="18">
        <v>0</v>
      </c>
      <c r="N58" s="18">
        <v>0</v>
      </c>
      <c r="O58" s="18">
        <v>0</v>
      </c>
      <c r="P58" s="18">
        <v>1</v>
      </c>
      <c r="Q58" s="33">
        <v>1</v>
      </c>
    </row>
    <row r="59" spans="3:17">
      <c r="C59" s="91" t="s">
        <v>161</v>
      </c>
      <c r="D59" s="18">
        <v>7</v>
      </c>
      <c r="E59" s="18">
        <v>7</v>
      </c>
      <c r="F59" s="18">
        <v>3</v>
      </c>
      <c r="G59" s="18">
        <v>1</v>
      </c>
      <c r="H59" s="18">
        <v>3</v>
      </c>
      <c r="I59" s="18">
        <v>4</v>
      </c>
      <c r="J59" s="18">
        <v>0</v>
      </c>
      <c r="K59" s="18">
        <v>1</v>
      </c>
      <c r="L59" s="18">
        <v>0</v>
      </c>
      <c r="M59" s="18">
        <v>0</v>
      </c>
      <c r="N59" s="18">
        <v>1</v>
      </c>
      <c r="O59" s="18">
        <v>2</v>
      </c>
      <c r="P59" s="18">
        <v>1</v>
      </c>
      <c r="Q59" s="33">
        <v>0</v>
      </c>
    </row>
    <row r="60" spans="3:17">
      <c r="C60" s="91" t="s">
        <v>462</v>
      </c>
      <c r="D60" s="18">
        <v>1</v>
      </c>
      <c r="E60" s="18">
        <v>0</v>
      </c>
      <c r="F60" s="18">
        <v>0</v>
      </c>
      <c r="G60" s="18">
        <v>0</v>
      </c>
      <c r="H60" s="18">
        <v>0</v>
      </c>
      <c r="I60" s="18">
        <v>0</v>
      </c>
      <c r="J60" s="18">
        <v>0</v>
      </c>
      <c r="K60" s="18">
        <v>0</v>
      </c>
      <c r="L60" s="18">
        <v>0</v>
      </c>
      <c r="M60" s="18">
        <v>0</v>
      </c>
      <c r="N60" s="18">
        <v>0</v>
      </c>
      <c r="O60" s="18">
        <v>0</v>
      </c>
      <c r="P60" s="18">
        <v>0</v>
      </c>
      <c r="Q60" s="33">
        <v>0</v>
      </c>
    </row>
    <row r="61" spans="3:17">
      <c r="C61" s="91" t="s">
        <v>157</v>
      </c>
      <c r="D61" s="18">
        <v>2</v>
      </c>
      <c r="E61" s="18">
        <v>1</v>
      </c>
      <c r="F61" s="18">
        <v>0</v>
      </c>
      <c r="G61" s="18">
        <v>0</v>
      </c>
      <c r="H61" s="18">
        <v>0</v>
      </c>
      <c r="I61" s="18">
        <v>2</v>
      </c>
      <c r="J61" s="18">
        <v>0</v>
      </c>
      <c r="K61" s="18">
        <v>0</v>
      </c>
      <c r="L61" s="18">
        <v>0</v>
      </c>
      <c r="M61" s="18">
        <v>0</v>
      </c>
      <c r="N61" s="18">
        <v>0</v>
      </c>
      <c r="O61" s="18">
        <v>0</v>
      </c>
      <c r="P61" s="18">
        <v>1</v>
      </c>
      <c r="Q61" s="33">
        <v>0</v>
      </c>
    </row>
    <row r="62" spans="3:17">
      <c r="C62" s="91" t="s">
        <v>135</v>
      </c>
      <c r="D62" s="18">
        <v>2</v>
      </c>
      <c r="E62" s="18">
        <v>2</v>
      </c>
      <c r="F62" s="18">
        <v>1</v>
      </c>
      <c r="G62" s="18">
        <v>0</v>
      </c>
      <c r="H62" s="18">
        <v>1</v>
      </c>
      <c r="I62" s="18">
        <v>2</v>
      </c>
      <c r="J62" s="18">
        <v>0</v>
      </c>
      <c r="K62" s="18">
        <v>0</v>
      </c>
      <c r="L62" s="18">
        <v>0</v>
      </c>
      <c r="M62" s="18">
        <v>0</v>
      </c>
      <c r="N62" s="18">
        <v>0</v>
      </c>
      <c r="O62" s="18">
        <v>0</v>
      </c>
      <c r="P62" s="18">
        <v>0</v>
      </c>
      <c r="Q62" s="33">
        <v>1</v>
      </c>
    </row>
    <row r="63" spans="3:17">
      <c r="C63" s="91" t="s">
        <v>156</v>
      </c>
      <c r="D63" s="18">
        <v>13</v>
      </c>
      <c r="E63" s="18">
        <v>11</v>
      </c>
      <c r="F63" s="18">
        <v>3</v>
      </c>
      <c r="G63" s="18">
        <v>3</v>
      </c>
      <c r="H63" s="18">
        <v>1</v>
      </c>
      <c r="I63" s="18">
        <v>4</v>
      </c>
      <c r="J63" s="18">
        <v>1</v>
      </c>
      <c r="K63" s="18">
        <v>0</v>
      </c>
      <c r="L63" s="18">
        <v>0</v>
      </c>
      <c r="M63" s="18">
        <v>1</v>
      </c>
      <c r="N63" s="18">
        <v>0</v>
      </c>
      <c r="O63" s="18">
        <v>0</v>
      </c>
      <c r="P63" s="18">
        <v>0</v>
      </c>
      <c r="Q63" s="33">
        <v>0</v>
      </c>
    </row>
    <row r="64" spans="3:17">
      <c r="C64" s="91" t="s">
        <v>121</v>
      </c>
      <c r="D64" s="18">
        <v>11</v>
      </c>
      <c r="E64" s="18">
        <v>9</v>
      </c>
      <c r="F64" s="18">
        <v>3</v>
      </c>
      <c r="G64" s="18">
        <v>0</v>
      </c>
      <c r="H64" s="18">
        <v>0</v>
      </c>
      <c r="I64" s="18">
        <v>5</v>
      </c>
      <c r="J64" s="18">
        <v>1</v>
      </c>
      <c r="K64" s="18">
        <v>1</v>
      </c>
      <c r="L64" s="18">
        <v>0</v>
      </c>
      <c r="M64" s="18">
        <v>2</v>
      </c>
      <c r="N64" s="18">
        <v>2</v>
      </c>
      <c r="O64" s="18">
        <v>1</v>
      </c>
      <c r="P64" s="18">
        <v>3</v>
      </c>
      <c r="Q64" s="33">
        <v>1</v>
      </c>
    </row>
    <row r="65" spans="3:17">
      <c r="C65" s="91" t="s">
        <v>153</v>
      </c>
      <c r="D65" s="18">
        <v>2</v>
      </c>
      <c r="E65" s="18">
        <v>2</v>
      </c>
      <c r="F65" s="18">
        <v>0</v>
      </c>
      <c r="G65" s="18">
        <v>0</v>
      </c>
      <c r="H65" s="18">
        <v>1</v>
      </c>
      <c r="I65" s="18">
        <v>0</v>
      </c>
      <c r="J65" s="18">
        <v>0</v>
      </c>
      <c r="K65" s="18">
        <v>0</v>
      </c>
      <c r="L65" s="18">
        <v>0</v>
      </c>
      <c r="M65" s="18">
        <v>0</v>
      </c>
      <c r="N65" s="18">
        <v>1</v>
      </c>
      <c r="O65" s="18">
        <v>1</v>
      </c>
      <c r="P65" s="18">
        <v>0</v>
      </c>
      <c r="Q65" s="33">
        <v>0</v>
      </c>
    </row>
    <row r="66" spans="3:17">
      <c r="C66" s="91" t="s">
        <v>113</v>
      </c>
      <c r="D66" s="18">
        <v>3</v>
      </c>
      <c r="E66" s="18">
        <v>2</v>
      </c>
      <c r="F66" s="18">
        <v>1</v>
      </c>
      <c r="G66" s="18">
        <v>0</v>
      </c>
      <c r="H66" s="18">
        <v>0</v>
      </c>
      <c r="I66" s="18">
        <v>0</v>
      </c>
      <c r="J66" s="18">
        <v>0</v>
      </c>
      <c r="K66" s="18">
        <v>0</v>
      </c>
      <c r="L66" s="18">
        <v>0</v>
      </c>
      <c r="M66" s="18">
        <v>0</v>
      </c>
      <c r="N66" s="18">
        <v>0</v>
      </c>
      <c r="O66" s="18">
        <v>0</v>
      </c>
      <c r="P66" s="18">
        <v>0</v>
      </c>
      <c r="Q66" s="33">
        <v>0</v>
      </c>
    </row>
    <row r="67" spans="3:17">
      <c r="C67" s="91" t="s">
        <v>516</v>
      </c>
      <c r="D67" s="18">
        <v>1</v>
      </c>
      <c r="E67" s="18">
        <v>1</v>
      </c>
      <c r="F67" s="18">
        <v>0</v>
      </c>
      <c r="G67" s="18">
        <v>0</v>
      </c>
      <c r="H67" s="18">
        <v>0</v>
      </c>
      <c r="I67" s="18">
        <v>1</v>
      </c>
      <c r="J67" s="18">
        <v>0</v>
      </c>
      <c r="K67" s="18">
        <v>0</v>
      </c>
      <c r="L67" s="18">
        <v>0</v>
      </c>
      <c r="M67" s="18">
        <v>0</v>
      </c>
      <c r="N67" s="18">
        <v>0</v>
      </c>
      <c r="O67" s="18">
        <v>0</v>
      </c>
      <c r="P67" s="18">
        <v>0</v>
      </c>
      <c r="Q67" s="33">
        <v>0</v>
      </c>
    </row>
    <row r="68" spans="3:17">
      <c r="C68" s="91" t="s">
        <v>470</v>
      </c>
      <c r="D68" s="18">
        <v>2</v>
      </c>
      <c r="E68" s="18">
        <v>2</v>
      </c>
      <c r="F68" s="18">
        <v>0</v>
      </c>
      <c r="G68" s="18">
        <v>0</v>
      </c>
      <c r="H68" s="18">
        <v>0</v>
      </c>
      <c r="I68" s="18">
        <v>0</v>
      </c>
      <c r="J68" s="18">
        <v>0</v>
      </c>
      <c r="K68" s="18">
        <v>0</v>
      </c>
      <c r="L68" s="18">
        <v>0</v>
      </c>
      <c r="M68" s="18">
        <v>0</v>
      </c>
      <c r="N68" s="18">
        <v>0</v>
      </c>
      <c r="O68" s="18">
        <v>0</v>
      </c>
      <c r="P68" s="18">
        <v>0</v>
      </c>
      <c r="Q68" s="33">
        <v>0</v>
      </c>
    </row>
    <row r="69" spans="3:17">
      <c r="C69" s="91" t="s">
        <v>124</v>
      </c>
      <c r="D69" s="18">
        <v>6</v>
      </c>
      <c r="E69" s="18">
        <v>5</v>
      </c>
      <c r="F69" s="18">
        <v>1</v>
      </c>
      <c r="G69" s="18">
        <v>1</v>
      </c>
      <c r="H69" s="18">
        <v>0</v>
      </c>
      <c r="I69" s="18">
        <v>2</v>
      </c>
      <c r="J69" s="18">
        <v>0</v>
      </c>
      <c r="K69" s="18">
        <v>0</v>
      </c>
      <c r="L69" s="18">
        <v>1</v>
      </c>
      <c r="M69" s="18">
        <v>0</v>
      </c>
      <c r="N69" s="18">
        <v>1</v>
      </c>
      <c r="O69" s="18">
        <v>2</v>
      </c>
      <c r="P69" s="18">
        <v>1</v>
      </c>
      <c r="Q69" s="33">
        <v>1</v>
      </c>
    </row>
    <row r="70" spans="3:17">
      <c r="C70" s="91" t="s">
        <v>381</v>
      </c>
      <c r="D70" s="18">
        <v>1</v>
      </c>
      <c r="E70" s="18">
        <v>0</v>
      </c>
      <c r="F70" s="18">
        <v>0</v>
      </c>
      <c r="G70" s="18">
        <v>0</v>
      </c>
      <c r="H70" s="18">
        <v>0</v>
      </c>
      <c r="I70" s="18">
        <v>0</v>
      </c>
      <c r="J70" s="18">
        <v>0</v>
      </c>
      <c r="K70" s="18">
        <v>0</v>
      </c>
      <c r="L70" s="18">
        <v>0</v>
      </c>
      <c r="M70" s="18">
        <v>0</v>
      </c>
      <c r="N70" s="18">
        <v>0</v>
      </c>
      <c r="O70" s="18">
        <v>0</v>
      </c>
      <c r="P70" s="18">
        <v>0</v>
      </c>
      <c r="Q70" s="33">
        <v>0</v>
      </c>
    </row>
    <row r="71" spans="3:17">
      <c r="C71" s="91" t="s">
        <v>371</v>
      </c>
      <c r="D71" s="18">
        <v>2</v>
      </c>
      <c r="E71" s="18">
        <v>2</v>
      </c>
      <c r="F71" s="18">
        <v>0</v>
      </c>
      <c r="G71" s="18">
        <v>1</v>
      </c>
      <c r="H71" s="18">
        <v>0</v>
      </c>
      <c r="I71" s="18">
        <v>0</v>
      </c>
      <c r="J71" s="18">
        <v>0</v>
      </c>
      <c r="K71" s="18">
        <v>0</v>
      </c>
      <c r="L71" s="18">
        <v>1</v>
      </c>
      <c r="M71" s="18">
        <v>0</v>
      </c>
      <c r="N71" s="18">
        <v>0</v>
      </c>
      <c r="O71" s="18">
        <v>0</v>
      </c>
      <c r="P71" s="18">
        <v>1</v>
      </c>
      <c r="Q71" s="33">
        <v>0</v>
      </c>
    </row>
    <row r="72" spans="3:17">
      <c r="C72" s="91" t="s">
        <v>445</v>
      </c>
      <c r="D72" s="18">
        <v>1</v>
      </c>
      <c r="E72" s="18">
        <v>0</v>
      </c>
      <c r="F72" s="18">
        <v>0</v>
      </c>
      <c r="G72" s="18">
        <v>1</v>
      </c>
      <c r="H72" s="18">
        <v>0</v>
      </c>
      <c r="I72" s="18">
        <v>1</v>
      </c>
      <c r="J72" s="18">
        <v>0</v>
      </c>
      <c r="K72" s="18">
        <v>0</v>
      </c>
      <c r="L72" s="18">
        <v>0</v>
      </c>
      <c r="M72" s="18">
        <v>0</v>
      </c>
      <c r="N72" s="18">
        <v>0</v>
      </c>
      <c r="O72" s="18">
        <v>0</v>
      </c>
      <c r="P72" s="18">
        <v>0</v>
      </c>
      <c r="Q72" s="33">
        <v>0</v>
      </c>
    </row>
    <row r="73" spans="3:17">
      <c r="C73" s="91" t="s">
        <v>380</v>
      </c>
      <c r="D73" s="18">
        <v>1</v>
      </c>
      <c r="E73" s="18">
        <v>0</v>
      </c>
      <c r="F73" s="18">
        <v>1</v>
      </c>
      <c r="G73" s="18">
        <v>0</v>
      </c>
      <c r="H73" s="18">
        <v>0</v>
      </c>
      <c r="I73" s="18">
        <v>1</v>
      </c>
      <c r="J73" s="18">
        <v>0</v>
      </c>
      <c r="K73" s="18">
        <v>0</v>
      </c>
      <c r="L73" s="18">
        <v>0</v>
      </c>
      <c r="M73" s="18">
        <v>0</v>
      </c>
      <c r="N73" s="18">
        <v>0</v>
      </c>
      <c r="O73" s="18">
        <v>1</v>
      </c>
      <c r="P73" s="18">
        <v>0</v>
      </c>
      <c r="Q73" s="33">
        <v>0</v>
      </c>
    </row>
    <row r="74" spans="3:17">
      <c r="C74" s="91" t="s">
        <v>454</v>
      </c>
      <c r="D74" s="18">
        <v>1</v>
      </c>
      <c r="E74" s="18">
        <v>1</v>
      </c>
      <c r="F74" s="18">
        <v>0</v>
      </c>
      <c r="G74" s="18">
        <v>1</v>
      </c>
      <c r="H74" s="18">
        <v>0</v>
      </c>
      <c r="I74" s="18">
        <v>1</v>
      </c>
      <c r="J74" s="18">
        <v>0</v>
      </c>
      <c r="K74" s="18">
        <v>1</v>
      </c>
      <c r="L74" s="18">
        <v>0</v>
      </c>
      <c r="M74" s="18">
        <v>0</v>
      </c>
      <c r="N74" s="18">
        <v>0</v>
      </c>
      <c r="O74" s="18">
        <v>0</v>
      </c>
      <c r="P74" s="18">
        <v>0</v>
      </c>
      <c r="Q74" s="33">
        <v>0</v>
      </c>
    </row>
    <row r="75" spans="3:17">
      <c r="C75" s="91" t="s">
        <v>379</v>
      </c>
      <c r="D75" s="18">
        <v>6</v>
      </c>
      <c r="E75" s="18">
        <v>5</v>
      </c>
      <c r="F75" s="18">
        <v>1</v>
      </c>
      <c r="G75" s="18">
        <v>0</v>
      </c>
      <c r="H75" s="18">
        <v>1</v>
      </c>
      <c r="I75" s="18">
        <v>3</v>
      </c>
      <c r="J75" s="18">
        <v>1</v>
      </c>
      <c r="K75" s="18">
        <v>2</v>
      </c>
      <c r="L75" s="18">
        <v>1</v>
      </c>
      <c r="M75" s="18">
        <v>1</v>
      </c>
      <c r="N75" s="18">
        <v>1</v>
      </c>
      <c r="O75" s="18">
        <v>1</v>
      </c>
      <c r="P75" s="18">
        <v>0</v>
      </c>
      <c r="Q75" s="33">
        <v>0</v>
      </c>
    </row>
    <row r="76" spans="3:17">
      <c r="C76" s="91" t="s">
        <v>464</v>
      </c>
      <c r="D76" s="18">
        <v>1</v>
      </c>
      <c r="E76" s="18">
        <v>1</v>
      </c>
      <c r="F76" s="18">
        <v>0</v>
      </c>
      <c r="G76" s="18">
        <v>0</v>
      </c>
      <c r="H76" s="18">
        <v>0</v>
      </c>
      <c r="I76" s="18">
        <v>1</v>
      </c>
      <c r="J76" s="18">
        <v>0</v>
      </c>
      <c r="K76" s="18">
        <v>1</v>
      </c>
      <c r="L76" s="18">
        <v>0</v>
      </c>
      <c r="M76" s="18">
        <v>0</v>
      </c>
      <c r="N76" s="18">
        <v>0</v>
      </c>
      <c r="O76" s="18">
        <v>0</v>
      </c>
      <c r="P76" s="18">
        <v>0</v>
      </c>
      <c r="Q76" s="33">
        <v>0</v>
      </c>
    </row>
    <row r="77" spans="3:17">
      <c r="C77" s="91" t="s">
        <v>362</v>
      </c>
      <c r="D77" s="18">
        <v>3</v>
      </c>
      <c r="E77" s="18">
        <v>2</v>
      </c>
      <c r="F77" s="18">
        <v>0</v>
      </c>
      <c r="G77" s="18">
        <v>0</v>
      </c>
      <c r="H77" s="18">
        <v>0</v>
      </c>
      <c r="I77" s="18">
        <v>2</v>
      </c>
      <c r="J77" s="18">
        <v>0</v>
      </c>
      <c r="K77" s="18">
        <v>0</v>
      </c>
      <c r="L77" s="18">
        <v>0</v>
      </c>
      <c r="M77" s="18">
        <v>1</v>
      </c>
      <c r="N77" s="18">
        <v>1</v>
      </c>
      <c r="O77" s="18">
        <v>2</v>
      </c>
      <c r="P77" s="18">
        <v>0</v>
      </c>
      <c r="Q77" s="33">
        <v>0</v>
      </c>
    </row>
    <row r="78" spans="3:17">
      <c r="C78" s="91" t="s">
        <v>457</v>
      </c>
      <c r="D78" s="18">
        <v>1</v>
      </c>
      <c r="E78" s="18">
        <v>1</v>
      </c>
      <c r="F78" s="18">
        <v>1</v>
      </c>
      <c r="G78" s="18">
        <v>1</v>
      </c>
      <c r="H78" s="18">
        <v>1</v>
      </c>
      <c r="I78" s="18">
        <v>1</v>
      </c>
      <c r="J78" s="18">
        <v>0</v>
      </c>
      <c r="K78" s="18">
        <v>0</v>
      </c>
      <c r="L78" s="18">
        <v>0</v>
      </c>
      <c r="M78" s="18">
        <v>0</v>
      </c>
      <c r="N78" s="18">
        <v>0</v>
      </c>
      <c r="O78" s="18">
        <v>0</v>
      </c>
      <c r="P78" s="18">
        <v>0</v>
      </c>
      <c r="Q78" s="33">
        <v>0</v>
      </c>
    </row>
    <row r="79" spans="3:17">
      <c r="C79" s="91" t="s">
        <v>522</v>
      </c>
      <c r="D79" s="18">
        <v>1</v>
      </c>
      <c r="E79" s="18">
        <v>1</v>
      </c>
      <c r="F79" s="18">
        <v>1</v>
      </c>
      <c r="G79" s="18">
        <v>0</v>
      </c>
      <c r="H79" s="18">
        <v>0</v>
      </c>
      <c r="I79" s="18">
        <v>0</v>
      </c>
      <c r="J79" s="18">
        <v>0</v>
      </c>
      <c r="K79" s="18">
        <v>1</v>
      </c>
      <c r="L79" s="18">
        <v>1</v>
      </c>
      <c r="M79" s="18">
        <v>0</v>
      </c>
      <c r="N79" s="18">
        <v>1</v>
      </c>
      <c r="O79" s="18">
        <v>0</v>
      </c>
      <c r="P79" s="18">
        <v>0</v>
      </c>
      <c r="Q79" s="33">
        <v>1</v>
      </c>
    </row>
    <row r="80" spans="3:17">
      <c r="C80" s="91" t="s">
        <v>126</v>
      </c>
      <c r="D80" s="18">
        <v>3</v>
      </c>
      <c r="E80" s="18">
        <v>2</v>
      </c>
      <c r="F80" s="18">
        <v>0</v>
      </c>
      <c r="G80" s="18">
        <v>0</v>
      </c>
      <c r="H80" s="18">
        <v>1</v>
      </c>
      <c r="I80" s="18">
        <v>1</v>
      </c>
      <c r="J80" s="18">
        <v>0</v>
      </c>
      <c r="K80" s="18">
        <v>0</v>
      </c>
      <c r="L80" s="18">
        <v>0</v>
      </c>
      <c r="M80" s="18">
        <v>0</v>
      </c>
      <c r="N80" s="18">
        <v>0</v>
      </c>
      <c r="O80" s="18">
        <v>0</v>
      </c>
      <c r="P80" s="18">
        <v>0</v>
      </c>
      <c r="Q80" s="33">
        <v>0</v>
      </c>
    </row>
    <row r="81" spans="3:17">
      <c r="C81" s="91" t="s">
        <v>444</v>
      </c>
      <c r="D81" s="18">
        <v>1</v>
      </c>
      <c r="E81" s="18">
        <v>1</v>
      </c>
      <c r="F81" s="18">
        <v>1</v>
      </c>
      <c r="G81" s="18">
        <v>0</v>
      </c>
      <c r="H81" s="18">
        <v>1</v>
      </c>
      <c r="I81" s="18">
        <v>1</v>
      </c>
      <c r="J81" s="18">
        <v>0</v>
      </c>
      <c r="K81" s="18">
        <v>0</v>
      </c>
      <c r="L81" s="18">
        <v>0</v>
      </c>
      <c r="M81" s="18">
        <v>0</v>
      </c>
      <c r="N81" s="18">
        <v>0</v>
      </c>
      <c r="O81" s="18">
        <v>0</v>
      </c>
      <c r="P81" s="18">
        <v>0</v>
      </c>
      <c r="Q81" s="33">
        <v>0</v>
      </c>
    </row>
    <row r="82" spans="3:17">
      <c r="C82" s="91" t="s">
        <v>474</v>
      </c>
      <c r="D82" s="18">
        <v>1</v>
      </c>
      <c r="E82" s="18">
        <v>1</v>
      </c>
      <c r="F82" s="18">
        <v>0</v>
      </c>
      <c r="G82" s="18">
        <v>0</v>
      </c>
      <c r="H82" s="18">
        <v>1</v>
      </c>
      <c r="I82" s="18">
        <v>0</v>
      </c>
      <c r="J82" s="18">
        <v>0</v>
      </c>
      <c r="K82" s="18">
        <v>0</v>
      </c>
      <c r="L82" s="18">
        <v>0</v>
      </c>
      <c r="M82" s="18">
        <v>0</v>
      </c>
      <c r="N82" s="18">
        <v>0</v>
      </c>
      <c r="O82" s="18">
        <v>0</v>
      </c>
      <c r="P82" s="18">
        <v>0</v>
      </c>
      <c r="Q82" s="33">
        <v>0</v>
      </c>
    </row>
    <row r="83" spans="3:17">
      <c r="C83" s="91" t="s">
        <v>119</v>
      </c>
      <c r="D83" s="18">
        <v>2</v>
      </c>
      <c r="E83" s="18">
        <v>2</v>
      </c>
      <c r="F83" s="18">
        <v>2</v>
      </c>
      <c r="G83" s="18">
        <v>1</v>
      </c>
      <c r="H83" s="18">
        <v>0</v>
      </c>
      <c r="I83" s="18">
        <v>2</v>
      </c>
      <c r="J83" s="18">
        <v>1</v>
      </c>
      <c r="K83" s="18">
        <v>2</v>
      </c>
      <c r="L83" s="18">
        <v>1</v>
      </c>
      <c r="M83" s="18">
        <v>0</v>
      </c>
      <c r="N83" s="18">
        <v>1</v>
      </c>
      <c r="O83" s="18">
        <v>1</v>
      </c>
      <c r="P83" s="18">
        <v>2</v>
      </c>
      <c r="Q83" s="33">
        <v>0</v>
      </c>
    </row>
    <row r="84" spans="3:17">
      <c r="C84" s="91" t="s">
        <v>146</v>
      </c>
      <c r="D84" s="18">
        <v>1</v>
      </c>
      <c r="E84" s="18">
        <v>1</v>
      </c>
      <c r="F84" s="18">
        <v>0</v>
      </c>
      <c r="G84" s="18">
        <v>0</v>
      </c>
      <c r="H84" s="18">
        <v>0</v>
      </c>
      <c r="I84" s="18">
        <v>1</v>
      </c>
      <c r="J84" s="18">
        <v>0</v>
      </c>
      <c r="K84" s="18">
        <v>0</v>
      </c>
      <c r="L84" s="18">
        <v>0</v>
      </c>
      <c r="M84" s="18">
        <v>0</v>
      </c>
      <c r="N84" s="18">
        <v>0</v>
      </c>
      <c r="O84" s="18">
        <v>0</v>
      </c>
      <c r="P84" s="18">
        <v>0</v>
      </c>
      <c r="Q84" s="33">
        <v>1</v>
      </c>
    </row>
    <row r="85" spans="3:17">
      <c r="C85" s="91" t="s">
        <v>176</v>
      </c>
      <c r="D85" s="18">
        <v>4</v>
      </c>
      <c r="E85" s="18">
        <v>4</v>
      </c>
      <c r="F85" s="18">
        <v>4</v>
      </c>
      <c r="G85" s="18">
        <v>2</v>
      </c>
      <c r="H85" s="18">
        <v>1</v>
      </c>
      <c r="I85" s="18">
        <v>3</v>
      </c>
      <c r="J85" s="18">
        <v>0</v>
      </c>
      <c r="K85" s="18">
        <v>3</v>
      </c>
      <c r="L85" s="18">
        <v>1</v>
      </c>
      <c r="M85" s="18">
        <v>0</v>
      </c>
      <c r="N85" s="18">
        <v>1</v>
      </c>
      <c r="O85" s="18">
        <v>1</v>
      </c>
      <c r="P85" s="18">
        <v>1</v>
      </c>
      <c r="Q85" s="33">
        <v>0</v>
      </c>
    </row>
    <row r="86" spans="3:17">
      <c r="C86" s="91" t="s">
        <v>378</v>
      </c>
      <c r="D86" s="18">
        <v>1</v>
      </c>
      <c r="E86" s="18">
        <v>1</v>
      </c>
      <c r="F86" s="18">
        <v>0</v>
      </c>
      <c r="G86" s="18">
        <v>0</v>
      </c>
      <c r="H86" s="18">
        <v>0</v>
      </c>
      <c r="I86" s="18">
        <v>1</v>
      </c>
      <c r="J86" s="18">
        <v>0</v>
      </c>
      <c r="K86" s="18">
        <v>0</v>
      </c>
      <c r="L86" s="18">
        <v>0</v>
      </c>
      <c r="M86" s="18">
        <v>0</v>
      </c>
      <c r="N86" s="18">
        <v>0</v>
      </c>
      <c r="O86" s="18">
        <v>0</v>
      </c>
      <c r="P86" s="18">
        <v>0</v>
      </c>
      <c r="Q86" s="33">
        <v>0</v>
      </c>
    </row>
    <row r="87" spans="3:17">
      <c r="C87" s="91" t="s">
        <v>155</v>
      </c>
      <c r="D87" s="18">
        <v>10</v>
      </c>
      <c r="E87" s="18">
        <v>6</v>
      </c>
      <c r="F87" s="18">
        <v>5</v>
      </c>
      <c r="G87" s="18">
        <v>1</v>
      </c>
      <c r="H87" s="18">
        <v>0</v>
      </c>
      <c r="I87" s="18">
        <v>6</v>
      </c>
      <c r="J87" s="18">
        <v>0</v>
      </c>
      <c r="K87" s="18">
        <v>1</v>
      </c>
      <c r="L87" s="18">
        <v>0</v>
      </c>
      <c r="M87" s="18">
        <v>2</v>
      </c>
      <c r="N87" s="18">
        <v>1</v>
      </c>
      <c r="O87" s="18">
        <v>3</v>
      </c>
      <c r="P87" s="18">
        <v>3</v>
      </c>
      <c r="Q87" s="33">
        <v>0</v>
      </c>
    </row>
    <row r="88" spans="3:17">
      <c r="C88" s="91" t="s">
        <v>376</v>
      </c>
      <c r="D88" s="18">
        <v>1</v>
      </c>
      <c r="E88" s="18">
        <v>1</v>
      </c>
      <c r="F88" s="18">
        <v>0</v>
      </c>
      <c r="G88" s="18">
        <v>0</v>
      </c>
      <c r="H88" s="18">
        <v>0</v>
      </c>
      <c r="I88" s="18">
        <v>1</v>
      </c>
      <c r="J88" s="18">
        <v>0</v>
      </c>
      <c r="K88" s="18">
        <v>1</v>
      </c>
      <c r="L88" s="18">
        <v>0</v>
      </c>
      <c r="M88" s="18">
        <v>0</v>
      </c>
      <c r="N88" s="18">
        <v>0</v>
      </c>
      <c r="O88" s="18">
        <v>0</v>
      </c>
      <c r="P88" s="18">
        <v>0</v>
      </c>
      <c r="Q88" s="33">
        <v>0</v>
      </c>
    </row>
    <row r="89" spans="3:17">
      <c r="C89" s="91" t="s">
        <v>178</v>
      </c>
      <c r="D89" s="18">
        <v>2</v>
      </c>
      <c r="E89" s="18">
        <v>2</v>
      </c>
      <c r="F89" s="18">
        <v>2</v>
      </c>
      <c r="G89" s="18">
        <v>0</v>
      </c>
      <c r="H89" s="18">
        <v>2</v>
      </c>
      <c r="I89" s="18">
        <v>1</v>
      </c>
      <c r="J89" s="18">
        <v>0</v>
      </c>
      <c r="K89" s="18">
        <v>0</v>
      </c>
      <c r="L89" s="18">
        <v>0</v>
      </c>
      <c r="M89" s="18">
        <v>0</v>
      </c>
      <c r="N89" s="18">
        <v>1</v>
      </c>
      <c r="O89" s="18">
        <v>0</v>
      </c>
      <c r="P89" s="18">
        <v>0</v>
      </c>
      <c r="Q89" s="33">
        <v>1</v>
      </c>
    </row>
    <row r="90" spans="3:17">
      <c r="C90" s="91" t="s">
        <v>139</v>
      </c>
      <c r="D90" s="18">
        <v>3</v>
      </c>
      <c r="E90" s="18">
        <v>3</v>
      </c>
      <c r="F90" s="18">
        <v>1</v>
      </c>
      <c r="G90" s="18">
        <v>1</v>
      </c>
      <c r="H90" s="18">
        <v>0</v>
      </c>
      <c r="I90" s="18">
        <v>1</v>
      </c>
      <c r="J90" s="18">
        <v>0</v>
      </c>
      <c r="K90" s="18">
        <v>0</v>
      </c>
      <c r="L90" s="18">
        <v>0</v>
      </c>
      <c r="M90" s="18">
        <v>0</v>
      </c>
      <c r="N90" s="18">
        <v>0</v>
      </c>
      <c r="O90" s="18">
        <v>1</v>
      </c>
      <c r="P90" s="18">
        <v>1</v>
      </c>
      <c r="Q90" s="33">
        <v>1</v>
      </c>
    </row>
    <row r="91" spans="3:17">
      <c r="C91" s="91" t="s">
        <v>150</v>
      </c>
      <c r="D91" s="18">
        <v>19</v>
      </c>
      <c r="E91" s="18">
        <v>16</v>
      </c>
      <c r="F91" s="18">
        <v>8</v>
      </c>
      <c r="G91" s="18">
        <v>1</v>
      </c>
      <c r="H91" s="18">
        <v>0</v>
      </c>
      <c r="I91" s="18">
        <v>7</v>
      </c>
      <c r="J91" s="18">
        <v>0</v>
      </c>
      <c r="K91" s="18">
        <v>1</v>
      </c>
      <c r="L91" s="18">
        <v>0</v>
      </c>
      <c r="M91" s="18">
        <v>0</v>
      </c>
      <c r="N91" s="18">
        <v>2</v>
      </c>
      <c r="O91" s="18">
        <v>7</v>
      </c>
      <c r="P91" s="18">
        <v>3</v>
      </c>
      <c r="Q91" s="33">
        <v>0</v>
      </c>
    </row>
    <row r="92" spans="3:17">
      <c r="C92" s="91" t="s">
        <v>185</v>
      </c>
      <c r="D92" s="18">
        <v>5</v>
      </c>
      <c r="E92" s="18">
        <v>2</v>
      </c>
      <c r="F92" s="18">
        <v>3</v>
      </c>
      <c r="G92" s="18">
        <v>1</v>
      </c>
      <c r="H92" s="18">
        <v>0</v>
      </c>
      <c r="I92" s="18">
        <v>2</v>
      </c>
      <c r="J92" s="18">
        <v>0</v>
      </c>
      <c r="K92" s="18">
        <v>0</v>
      </c>
      <c r="L92" s="18">
        <v>0</v>
      </c>
      <c r="M92" s="18">
        <v>1</v>
      </c>
      <c r="N92" s="18">
        <v>1</v>
      </c>
      <c r="O92" s="18">
        <v>1</v>
      </c>
      <c r="P92" s="18">
        <v>1</v>
      </c>
      <c r="Q92" s="33">
        <v>0</v>
      </c>
    </row>
    <row r="93" spans="3:17">
      <c r="C93" s="91" t="s">
        <v>175</v>
      </c>
      <c r="D93" s="18">
        <v>2</v>
      </c>
      <c r="E93" s="18">
        <v>2</v>
      </c>
      <c r="F93" s="18">
        <v>1</v>
      </c>
      <c r="G93" s="18">
        <v>1</v>
      </c>
      <c r="H93" s="18">
        <v>1</v>
      </c>
      <c r="I93" s="18">
        <v>0</v>
      </c>
      <c r="J93" s="18">
        <v>0</v>
      </c>
      <c r="K93" s="18">
        <v>0</v>
      </c>
      <c r="L93" s="18">
        <v>1</v>
      </c>
      <c r="M93" s="18">
        <v>0</v>
      </c>
      <c r="N93" s="18">
        <v>0</v>
      </c>
      <c r="O93" s="18">
        <v>0</v>
      </c>
      <c r="P93" s="18">
        <v>1</v>
      </c>
      <c r="Q93" s="33">
        <v>0</v>
      </c>
    </row>
    <row r="94" spans="3:17">
      <c r="C94" s="91" t="s">
        <v>458</v>
      </c>
      <c r="D94" s="18">
        <v>1</v>
      </c>
      <c r="E94" s="18">
        <v>0</v>
      </c>
      <c r="F94" s="18">
        <v>1</v>
      </c>
      <c r="G94" s="18">
        <v>0</v>
      </c>
      <c r="H94" s="18">
        <v>0</v>
      </c>
      <c r="I94" s="18">
        <v>1</v>
      </c>
      <c r="J94" s="18">
        <v>0</v>
      </c>
      <c r="K94" s="18">
        <v>0</v>
      </c>
      <c r="L94" s="18">
        <v>1</v>
      </c>
      <c r="M94" s="18">
        <v>0</v>
      </c>
      <c r="N94" s="18">
        <v>1</v>
      </c>
      <c r="O94" s="18">
        <v>1</v>
      </c>
      <c r="P94" s="18">
        <v>0</v>
      </c>
      <c r="Q94" s="33">
        <v>1</v>
      </c>
    </row>
    <row r="95" spans="3:17">
      <c r="C95" s="91" t="s">
        <v>475</v>
      </c>
      <c r="D95" s="18">
        <v>1</v>
      </c>
      <c r="E95" s="18">
        <v>0</v>
      </c>
      <c r="F95" s="18">
        <v>1</v>
      </c>
      <c r="G95" s="18">
        <v>0</v>
      </c>
      <c r="H95" s="18">
        <v>1</v>
      </c>
      <c r="I95" s="18">
        <v>0</v>
      </c>
      <c r="J95" s="18">
        <v>0</v>
      </c>
      <c r="K95" s="18">
        <v>0</v>
      </c>
      <c r="L95" s="18">
        <v>0</v>
      </c>
      <c r="M95" s="18">
        <v>0</v>
      </c>
      <c r="N95" s="18">
        <v>0</v>
      </c>
      <c r="O95" s="18">
        <v>0</v>
      </c>
      <c r="P95" s="18">
        <v>1</v>
      </c>
      <c r="Q95" s="33">
        <v>0</v>
      </c>
    </row>
    <row r="96" spans="3:17">
      <c r="C96" s="91" t="s">
        <v>519</v>
      </c>
      <c r="D96" s="18">
        <v>1</v>
      </c>
      <c r="E96" s="18">
        <v>1</v>
      </c>
      <c r="F96" s="18">
        <v>0</v>
      </c>
      <c r="G96" s="18">
        <v>0</v>
      </c>
      <c r="H96" s="18">
        <v>1</v>
      </c>
      <c r="I96" s="18">
        <v>1</v>
      </c>
      <c r="J96" s="18">
        <v>0</v>
      </c>
      <c r="K96" s="18">
        <v>0</v>
      </c>
      <c r="L96" s="18">
        <v>0</v>
      </c>
      <c r="M96" s="18">
        <v>0</v>
      </c>
      <c r="N96" s="18">
        <v>0</v>
      </c>
      <c r="O96" s="18">
        <v>0</v>
      </c>
      <c r="P96" s="18">
        <v>0</v>
      </c>
      <c r="Q96" s="33">
        <v>0</v>
      </c>
    </row>
    <row r="97" spans="3:17">
      <c r="C97" s="91" t="s">
        <v>132</v>
      </c>
      <c r="D97" s="18">
        <v>3</v>
      </c>
      <c r="E97" s="18">
        <v>2</v>
      </c>
      <c r="F97" s="18">
        <v>1</v>
      </c>
      <c r="G97" s="18">
        <v>0</v>
      </c>
      <c r="H97" s="18">
        <v>0</v>
      </c>
      <c r="I97" s="18">
        <v>1</v>
      </c>
      <c r="J97" s="18">
        <v>0</v>
      </c>
      <c r="K97" s="18">
        <v>0</v>
      </c>
      <c r="L97" s="18">
        <v>0</v>
      </c>
      <c r="M97" s="18">
        <v>0</v>
      </c>
      <c r="N97" s="18">
        <v>0</v>
      </c>
      <c r="O97" s="18">
        <v>0</v>
      </c>
      <c r="P97" s="18">
        <v>0</v>
      </c>
      <c r="Q97" s="33">
        <v>0</v>
      </c>
    </row>
    <row r="98" spans="3:17">
      <c r="C98" s="91" t="s">
        <v>511</v>
      </c>
      <c r="D98" s="18">
        <v>1</v>
      </c>
      <c r="E98" s="18">
        <v>1</v>
      </c>
      <c r="F98" s="18">
        <v>0</v>
      </c>
      <c r="G98" s="18">
        <v>0</v>
      </c>
      <c r="H98" s="18">
        <v>0</v>
      </c>
      <c r="I98" s="18">
        <v>0</v>
      </c>
      <c r="J98" s="18">
        <v>0</v>
      </c>
      <c r="K98" s="18">
        <v>0</v>
      </c>
      <c r="L98" s="18">
        <v>0</v>
      </c>
      <c r="M98" s="18">
        <v>0</v>
      </c>
      <c r="N98" s="18">
        <v>0</v>
      </c>
      <c r="O98" s="18">
        <v>0</v>
      </c>
      <c r="P98" s="18">
        <v>0</v>
      </c>
      <c r="Q98" s="33">
        <v>0</v>
      </c>
    </row>
    <row r="99" spans="3:17">
      <c r="C99" s="91" t="s">
        <v>148</v>
      </c>
      <c r="D99" s="18">
        <v>8</v>
      </c>
      <c r="E99" s="18">
        <v>7</v>
      </c>
      <c r="F99" s="18">
        <v>1</v>
      </c>
      <c r="G99" s="18">
        <v>1</v>
      </c>
      <c r="H99" s="18">
        <v>1</v>
      </c>
      <c r="I99" s="18">
        <v>5</v>
      </c>
      <c r="J99" s="18">
        <v>0</v>
      </c>
      <c r="K99" s="18">
        <v>2</v>
      </c>
      <c r="L99" s="18">
        <v>0</v>
      </c>
      <c r="M99" s="18">
        <v>0</v>
      </c>
      <c r="N99" s="18">
        <v>0</v>
      </c>
      <c r="O99" s="18">
        <v>2</v>
      </c>
      <c r="P99" s="18">
        <v>2</v>
      </c>
      <c r="Q99" s="33">
        <v>0</v>
      </c>
    </row>
    <row r="100" spans="3:17">
      <c r="C100" s="91" t="s">
        <v>131</v>
      </c>
      <c r="D100" s="18">
        <v>3</v>
      </c>
      <c r="E100" s="18">
        <v>3</v>
      </c>
      <c r="F100" s="18">
        <v>0</v>
      </c>
      <c r="G100" s="18">
        <v>1</v>
      </c>
      <c r="H100" s="18">
        <v>0</v>
      </c>
      <c r="I100" s="18">
        <v>1</v>
      </c>
      <c r="J100" s="18">
        <v>0</v>
      </c>
      <c r="K100" s="18">
        <v>0</v>
      </c>
      <c r="L100" s="18">
        <v>0</v>
      </c>
      <c r="M100" s="18">
        <v>0</v>
      </c>
      <c r="N100" s="18">
        <v>0</v>
      </c>
      <c r="O100" s="18">
        <v>0</v>
      </c>
      <c r="P100" s="18">
        <v>0</v>
      </c>
      <c r="Q100" s="33">
        <v>0</v>
      </c>
    </row>
    <row r="101" spans="3:17">
      <c r="C101" s="91" t="s">
        <v>136</v>
      </c>
      <c r="D101" s="18">
        <v>1</v>
      </c>
      <c r="E101" s="18">
        <v>1</v>
      </c>
      <c r="F101" s="18">
        <v>1</v>
      </c>
      <c r="G101" s="18">
        <v>1</v>
      </c>
      <c r="H101" s="18">
        <v>1</v>
      </c>
      <c r="I101" s="18">
        <v>1</v>
      </c>
      <c r="J101" s="18">
        <v>0</v>
      </c>
      <c r="K101" s="18">
        <v>0</v>
      </c>
      <c r="L101" s="18">
        <v>0</v>
      </c>
      <c r="M101" s="18">
        <v>1</v>
      </c>
      <c r="N101" s="18">
        <v>0</v>
      </c>
      <c r="O101" s="18">
        <v>1</v>
      </c>
      <c r="P101" s="18">
        <v>1</v>
      </c>
      <c r="Q101" s="33">
        <v>0</v>
      </c>
    </row>
    <row r="102" spans="3:17">
      <c r="C102" s="91" t="s">
        <v>127</v>
      </c>
      <c r="D102" s="18">
        <v>2</v>
      </c>
      <c r="E102" s="18">
        <v>2</v>
      </c>
      <c r="F102" s="18">
        <v>1</v>
      </c>
      <c r="G102" s="18">
        <v>0</v>
      </c>
      <c r="H102" s="18">
        <v>0</v>
      </c>
      <c r="I102" s="18">
        <v>0</v>
      </c>
      <c r="J102" s="18">
        <v>0</v>
      </c>
      <c r="K102" s="18">
        <v>0</v>
      </c>
      <c r="L102" s="18">
        <v>0</v>
      </c>
      <c r="M102" s="18">
        <v>0</v>
      </c>
      <c r="N102" s="18">
        <v>1</v>
      </c>
      <c r="O102" s="18">
        <v>0</v>
      </c>
      <c r="P102" s="18">
        <v>0</v>
      </c>
      <c r="Q102" s="33">
        <v>0</v>
      </c>
    </row>
    <row r="103" spans="3:17">
      <c r="C103" s="91" t="s">
        <v>115</v>
      </c>
      <c r="D103" s="18">
        <v>4</v>
      </c>
      <c r="E103" s="18">
        <v>2</v>
      </c>
      <c r="F103" s="18">
        <v>2</v>
      </c>
      <c r="G103" s="18">
        <v>0</v>
      </c>
      <c r="H103" s="18">
        <v>1</v>
      </c>
      <c r="I103" s="18">
        <v>1</v>
      </c>
      <c r="J103" s="18">
        <v>0</v>
      </c>
      <c r="K103" s="18">
        <v>0</v>
      </c>
      <c r="L103" s="18">
        <v>1</v>
      </c>
      <c r="M103" s="18">
        <v>0</v>
      </c>
      <c r="N103" s="18">
        <v>0</v>
      </c>
      <c r="O103" s="18">
        <v>0</v>
      </c>
      <c r="P103" s="18">
        <v>1</v>
      </c>
      <c r="Q103" s="33">
        <v>1</v>
      </c>
    </row>
    <row r="104" spans="3:17">
      <c r="C104" s="91" t="s">
        <v>166</v>
      </c>
      <c r="D104" s="18">
        <v>1</v>
      </c>
      <c r="E104" s="18">
        <v>1</v>
      </c>
      <c r="F104" s="18">
        <v>0</v>
      </c>
      <c r="G104" s="18">
        <v>1</v>
      </c>
      <c r="H104" s="18">
        <v>0</v>
      </c>
      <c r="I104" s="18">
        <v>1</v>
      </c>
      <c r="J104" s="18">
        <v>0</v>
      </c>
      <c r="K104" s="18">
        <v>0</v>
      </c>
      <c r="L104" s="18">
        <v>0</v>
      </c>
      <c r="M104" s="18">
        <v>0</v>
      </c>
      <c r="N104" s="18">
        <v>0</v>
      </c>
      <c r="O104" s="18">
        <v>0</v>
      </c>
      <c r="P104" s="18">
        <v>0</v>
      </c>
      <c r="Q104" s="33">
        <v>0</v>
      </c>
    </row>
    <row r="105" spans="3:17">
      <c r="C105" s="91" t="s">
        <v>125</v>
      </c>
      <c r="D105" s="18">
        <v>2</v>
      </c>
      <c r="E105" s="18">
        <v>1</v>
      </c>
      <c r="F105" s="18">
        <v>2</v>
      </c>
      <c r="G105" s="18">
        <v>1</v>
      </c>
      <c r="H105" s="18">
        <v>1</v>
      </c>
      <c r="I105" s="18">
        <v>1</v>
      </c>
      <c r="J105" s="18">
        <v>0</v>
      </c>
      <c r="K105" s="18">
        <v>0</v>
      </c>
      <c r="L105" s="18">
        <v>0</v>
      </c>
      <c r="M105" s="18">
        <v>0</v>
      </c>
      <c r="N105" s="18">
        <v>0</v>
      </c>
      <c r="O105" s="18">
        <v>0</v>
      </c>
      <c r="P105" s="18">
        <v>0</v>
      </c>
      <c r="Q105" s="33">
        <v>0</v>
      </c>
    </row>
    <row r="106" spans="3:17">
      <c r="C106" s="91" t="s">
        <v>117</v>
      </c>
      <c r="D106" s="18">
        <v>8</v>
      </c>
      <c r="E106" s="18">
        <v>6</v>
      </c>
      <c r="F106" s="18">
        <v>2</v>
      </c>
      <c r="G106" s="18">
        <v>2</v>
      </c>
      <c r="H106" s="18">
        <v>0</v>
      </c>
      <c r="I106" s="18">
        <v>3</v>
      </c>
      <c r="J106" s="18">
        <v>0</v>
      </c>
      <c r="K106" s="18">
        <v>0</v>
      </c>
      <c r="L106" s="18">
        <v>0</v>
      </c>
      <c r="M106" s="18">
        <v>0</v>
      </c>
      <c r="N106" s="18">
        <v>0</v>
      </c>
      <c r="O106" s="18">
        <v>0</v>
      </c>
      <c r="P106" s="18">
        <v>0</v>
      </c>
      <c r="Q106" s="33">
        <v>2</v>
      </c>
    </row>
    <row r="107" spans="3:17">
      <c r="C107" s="91" t="s">
        <v>168</v>
      </c>
      <c r="D107" s="18">
        <v>2</v>
      </c>
      <c r="E107" s="18">
        <v>2</v>
      </c>
      <c r="F107" s="18">
        <v>0</v>
      </c>
      <c r="G107" s="18">
        <v>0</v>
      </c>
      <c r="H107" s="18">
        <v>1</v>
      </c>
      <c r="I107" s="18">
        <v>2</v>
      </c>
      <c r="J107" s="18">
        <v>0</v>
      </c>
      <c r="K107" s="18">
        <v>0</v>
      </c>
      <c r="L107" s="18">
        <v>0</v>
      </c>
      <c r="M107" s="18">
        <v>0</v>
      </c>
      <c r="N107" s="18">
        <v>0</v>
      </c>
      <c r="O107" s="18">
        <v>0</v>
      </c>
      <c r="P107" s="18">
        <v>0</v>
      </c>
      <c r="Q107" s="33">
        <v>0</v>
      </c>
    </row>
    <row r="108" spans="3:17">
      <c r="C108" s="91" t="s">
        <v>170</v>
      </c>
      <c r="D108" s="18">
        <v>1</v>
      </c>
      <c r="E108" s="18">
        <v>1</v>
      </c>
      <c r="F108" s="18">
        <v>0</v>
      </c>
      <c r="G108" s="18">
        <v>0</v>
      </c>
      <c r="H108" s="18">
        <v>0</v>
      </c>
      <c r="I108" s="18">
        <v>0</v>
      </c>
      <c r="J108" s="18">
        <v>0</v>
      </c>
      <c r="K108" s="18">
        <v>0</v>
      </c>
      <c r="L108" s="18">
        <v>0</v>
      </c>
      <c r="M108" s="18">
        <v>0</v>
      </c>
      <c r="N108" s="18">
        <v>0</v>
      </c>
      <c r="O108" s="18">
        <v>0</v>
      </c>
      <c r="P108" s="18">
        <v>0</v>
      </c>
      <c r="Q108" s="33">
        <v>0</v>
      </c>
    </row>
    <row r="109" spans="3:17">
      <c r="C109" s="91" t="s">
        <v>158</v>
      </c>
      <c r="D109" s="18">
        <v>4</v>
      </c>
      <c r="E109" s="18">
        <v>4</v>
      </c>
      <c r="F109" s="18">
        <v>1</v>
      </c>
      <c r="G109" s="18">
        <v>0</v>
      </c>
      <c r="H109" s="18">
        <v>1</v>
      </c>
      <c r="I109" s="18">
        <v>1</v>
      </c>
      <c r="J109" s="18">
        <v>0</v>
      </c>
      <c r="K109" s="18">
        <v>2</v>
      </c>
      <c r="L109" s="18">
        <v>0</v>
      </c>
      <c r="M109" s="18">
        <v>1</v>
      </c>
      <c r="N109" s="18">
        <v>0</v>
      </c>
      <c r="O109" s="18">
        <v>1</v>
      </c>
      <c r="P109" s="18">
        <v>1</v>
      </c>
      <c r="Q109" s="33">
        <v>0</v>
      </c>
    </row>
    <row r="110" spans="3:17">
      <c r="C110" s="91" t="s">
        <v>129</v>
      </c>
      <c r="D110" s="18">
        <v>3</v>
      </c>
      <c r="E110" s="18">
        <v>3</v>
      </c>
      <c r="F110" s="18">
        <v>1</v>
      </c>
      <c r="G110" s="18">
        <v>0</v>
      </c>
      <c r="H110" s="18">
        <v>0</v>
      </c>
      <c r="I110" s="18">
        <v>1</v>
      </c>
      <c r="J110" s="18">
        <v>0</v>
      </c>
      <c r="K110" s="18">
        <v>0</v>
      </c>
      <c r="L110" s="18">
        <v>0</v>
      </c>
      <c r="M110" s="18">
        <v>0</v>
      </c>
      <c r="N110" s="18">
        <v>0</v>
      </c>
      <c r="O110" s="18">
        <v>0</v>
      </c>
      <c r="P110" s="18">
        <v>0</v>
      </c>
      <c r="Q110" s="33">
        <v>0</v>
      </c>
    </row>
    <row r="111" spans="3:17">
      <c r="C111" s="91" t="s">
        <v>181</v>
      </c>
      <c r="D111" s="18">
        <v>4</v>
      </c>
      <c r="E111" s="18">
        <v>3</v>
      </c>
      <c r="F111" s="18">
        <v>2</v>
      </c>
      <c r="G111" s="18">
        <v>1</v>
      </c>
      <c r="H111" s="18">
        <v>0</v>
      </c>
      <c r="I111" s="18">
        <v>0</v>
      </c>
      <c r="J111" s="18">
        <v>0</v>
      </c>
      <c r="K111" s="18">
        <v>0</v>
      </c>
      <c r="L111" s="18">
        <v>0</v>
      </c>
      <c r="M111" s="18">
        <v>0</v>
      </c>
      <c r="N111" s="18">
        <v>0</v>
      </c>
      <c r="O111" s="18">
        <v>1</v>
      </c>
      <c r="P111" s="18">
        <v>1</v>
      </c>
      <c r="Q111" s="33">
        <v>1</v>
      </c>
    </row>
    <row r="112" spans="3:17">
      <c r="C112" s="91" t="s">
        <v>357</v>
      </c>
      <c r="D112" s="18">
        <v>3</v>
      </c>
      <c r="E112" s="18">
        <v>3</v>
      </c>
      <c r="F112" s="18">
        <v>0</v>
      </c>
      <c r="G112" s="18">
        <v>2</v>
      </c>
      <c r="H112" s="18">
        <v>0</v>
      </c>
      <c r="I112" s="18">
        <v>2</v>
      </c>
      <c r="J112" s="18">
        <v>0</v>
      </c>
      <c r="K112" s="18">
        <v>0</v>
      </c>
      <c r="L112" s="18">
        <v>0</v>
      </c>
      <c r="M112" s="18">
        <v>0</v>
      </c>
      <c r="N112" s="18">
        <v>0</v>
      </c>
      <c r="O112" s="18">
        <v>2</v>
      </c>
      <c r="P112" s="18">
        <v>1</v>
      </c>
      <c r="Q112" s="33">
        <v>0</v>
      </c>
    </row>
    <row r="113" spans="3:17">
      <c r="C113" s="91" t="s">
        <v>520</v>
      </c>
      <c r="D113" s="18">
        <v>3</v>
      </c>
      <c r="E113" s="18">
        <v>3</v>
      </c>
      <c r="F113" s="18">
        <v>0</v>
      </c>
      <c r="G113" s="18">
        <v>0</v>
      </c>
      <c r="H113" s="18">
        <v>0</v>
      </c>
      <c r="I113" s="18">
        <v>2</v>
      </c>
      <c r="J113" s="18">
        <v>0</v>
      </c>
      <c r="K113" s="18">
        <v>1</v>
      </c>
      <c r="L113" s="18">
        <v>0</v>
      </c>
      <c r="M113" s="18">
        <v>0</v>
      </c>
      <c r="N113" s="18">
        <v>0</v>
      </c>
      <c r="O113" s="18">
        <v>0</v>
      </c>
      <c r="P113" s="18">
        <v>1</v>
      </c>
      <c r="Q113" s="33">
        <v>0</v>
      </c>
    </row>
    <row r="114" spans="3:17">
      <c r="C114" s="91" t="s">
        <v>432</v>
      </c>
      <c r="D114" s="18">
        <v>1</v>
      </c>
      <c r="E114" s="18">
        <v>1</v>
      </c>
      <c r="F114" s="18">
        <v>0</v>
      </c>
      <c r="G114" s="18">
        <v>0</v>
      </c>
      <c r="H114" s="18">
        <v>0</v>
      </c>
      <c r="I114" s="18">
        <v>1</v>
      </c>
      <c r="J114" s="18">
        <v>0</v>
      </c>
      <c r="K114" s="18">
        <v>0</v>
      </c>
      <c r="L114" s="18">
        <v>0</v>
      </c>
      <c r="M114" s="18">
        <v>0</v>
      </c>
      <c r="N114" s="18">
        <v>0</v>
      </c>
      <c r="O114" s="18">
        <v>0</v>
      </c>
      <c r="P114" s="18">
        <v>0</v>
      </c>
      <c r="Q114" s="33">
        <v>0</v>
      </c>
    </row>
    <row r="115" spans="3:17">
      <c r="C115" s="91" t="s">
        <v>173</v>
      </c>
      <c r="D115" s="18">
        <v>19</v>
      </c>
      <c r="E115" s="18">
        <v>18</v>
      </c>
      <c r="F115" s="18">
        <v>12</v>
      </c>
      <c r="G115" s="18">
        <v>4</v>
      </c>
      <c r="H115" s="18">
        <v>4</v>
      </c>
      <c r="I115" s="18">
        <v>2</v>
      </c>
      <c r="J115" s="18">
        <v>0</v>
      </c>
      <c r="K115" s="18">
        <v>2</v>
      </c>
      <c r="L115" s="18">
        <v>1</v>
      </c>
      <c r="M115" s="18">
        <v>0</v>
      </c>
      <c r="N115" s="18">
        <v>1</v>
      </c>
      <c r="O115" s="18">
        <v>0</v>
      </c>
      <c r="P115" s="18">
        <v>0</v>
      </c>
      <c r="Q115" s="33">
        <v>0</v>
      </c>
    </row>
    <row r="116" spans="3:17">
      <c r="C116" s="91" t="s">
        <v>509</v>
      </c>
      <c r="D116" s="18">
        <v>1</v>
      </c>
      <c r="E116" s="18">
        <v>1</v>
      </c>
      <c r="F116" s="18">
        <v>0</v>
      </c>
      <c r="G116" s="18">
        <v>0</v>
      </c>
      <c r="H116" s="18">
        <v>0</v>
      </c>
      <c r="I116" s="18">
        <v>0</v>
      </c>
      <c r="J116" s="18">
        <v>0</v>
      </c>
      <c r="K116" s="18">
        <v>0</v>
      </c>
      <c r="L116" s="18">
        <v>0</v>
      </c>
      <c r="M116" s="18">
        <v>0</v>
      </c>
      <c r="N116" s="18">
        <v>0</v>
      </c>
      <c r="O116" s="18">
        <v>0</v>
      </c>
      <c r="P116" s="18">
        <v>0</v>
      </c>
      <c r="Q116" s="33">
        <v>0</v>
      </c>
    </row>
    <row r="117" spans="3:17">
      <c r="C117" s="91" t="s">
        <v>130</v>
      </c>
      <c r="D117" s="18">
        <v>4</v>
      </c>
      <c r="E117" s="18">
        <v>3</v>
      </c>
      <c r="F117" s="18">
        <v>1</v>
      </c>
      <c r="G117" s="18">
        <v>0</v>
      </c>
      <c r="H117" s="18">
        <v>0</v>
      </c>
      <c r="I117" s="18">
        <v>1</v>
      </c>
      <c r="J117" s="18">
        <v>1</v>
      </c>
      <c r="K117" s="18">
        <v>0</v>
      </c>
      <c r="L117" s="18">
        <v>0</v>
      </c>
      <c r="M117" s="18">
        <v>0</v>
      </c>
      <c r="N117" s="18">
        <v>0</v>
      </c>
      <c r="O117" s="18">
        <v>0</v>
      </c>
      <c r="P117" s="18">
        <v>0</v>
      </c>
      <c r="Q117" s="33">
        <v>1</v>
      </c>
    </row>
    <row r="118" spans="3:17">
      <c r="C118" s="91" t="s">
        <v>183</v>
      </c>
      <c r="D118" s="18">
        <v>5</v>
      </c>
      <c r="E118" s="18">
        <v>5</v>
      </c>
      <c r="F118" s="18">
        <v>2</v>
      </c>
      <c r="G118" s="18">
        <v>0</v>
      </c>
      <c r="H118" s="18">
        <v>2</v>
      </c>
      <c r="I118" s="18">
        <v>3</v>
      </c>
      <c r="J118" s="18">
        <v>0</v>
      </c>
      <c r="K118" s="18">
        <v>1</v>
      </c>
      <c r="L118" s="18">
        <v>0</v>
      </c>
      <c r="M118" s="18">
        <v>1</v>
      </c>
      <c r="N118" s="18">
        <v>0</v>
      </c>
      <c r="O118" s="18">
        <v>1</v>
      </c>
      <c r="P118" s="18">
        <v>0</v>
      </c>
      <c r="Q118" s="33">
        <v>0</v>
      </c>
    </row>
    <row r="119" spans="3:17">
      <c r="C119" s="91" t="s">
        <v>510</v>
      </c>
      <c r="D119" s="18">
        <v>1</v>
      </c>
      <c r="E119" s="18">
        <v>1</v>
      </c>
      <c r="F119" s="18">
        <v>0</v>
      </c>
      <c r="G119" s="18">
        <v>0</v>
      </c>
      <c r="H119" s="18">
        <v>0</v>
      </c>
      <c r="I119" s="18">
        <v>0</v>
      </c>
      <c r="J119" s="18">
        <v>0</v>
      </c>
      <c r="K119" s="18">
        <v>0</v>
      </c>
      <c r="L119" s="18">
        <v>0</v>
      </c>
      <c r="M119" s="18">
        <v>0</v>
      </c>
      <c r="N119" s="18">
        <v>0</v>
      </c>
      <c r="O119" s="18">
        <v>0</v>
      </c>
      <c r="P119" s="18">
        <v>0</v>
      </c>
      <c r="Q119" s="33">
        <v>0</v>
      </c>
    </row>
    <row r="120" spans="3:17">
      <c r="C120" s="91" t="s">
        <v>472</v>
      </c>
      <c r="D120" s="18">
        <v>1</v>
      </c>
      <c r="E120" s="18">
        <v>0</v>
      </c>
      <c r="F120" s="18">
        <v>0</v>
      </c>
      <c r="G120" s="18">
        <v>0</v>
      </c>
      <c r="H120" s="18">
        <v>0</v>
      </c>
      <c r="I120" s="18">
        <v>1</v>
      </c>
      <c r="J120" s="18">
        <v>0</v>
      </c>
      <c r="K120" s="18">
        <v>1</v>
      </c>
      <c r="L120" s="18">
        <v>0</v>
      </c>
      <c r="M120" s="18">
        <v>0</v>
      </c>
      <c r="N120" s="18">
        <v>0</v>
      </c>
      <c r="O120" s="18">
        <v>1</v>
      </c>
      <c r="P120" s="18">
        <v>0</v>
      </c>
      <c r="Q120" s="33">
        <v>0</v>
      </c>
    </row>
    <row r="121" spans="3:17">
      <c r="C121" s="91" t="s">
        <v>177</v>
      </c>
      <c r="D121" s="18">
        <v>5</v>
      </c>
      <c r="E121" s="18">
        <v>5</v>
      </c>
      <c r="F121" s="18">
        <v>3</v>
      </c>
      <c r="G121" s="18">
        <v>1</v>
      </c>
      <c r="H121" s="18">
        <v>1</v>
      </c>
      <c r="I121" s="18">
        <v>5</v>
      </c>
      <c r="J121" s="18">
        <v>0</v>
      </c>
      <c r="K121" s="18">
        <v>1</v>
      </c>
      <c r="L121" s="18">
        <v>0</v>
      </c>
      <c r="M121" s="18">
        <v>0</v>
      </c>
      <c r="N121" s="18">
        <v>0</v>
      </c>
      <c r="O121" s="18">
        <v>0</v>
      </c>
      <c r="P121" s="18">
        <v>2</v>
      </c>
      <c r="Q121" s="33">
        <v>0</v>
      </c>
    </row>
    <row r="122" spans="3:17">
      <c r="C122" s="91" t="s">
        <v>488</v>
      </c>
      <c r="D122" s="18">
        <v>1</v>
      </c>
      <c r="E122" s="18">
        <v>1</v>
      </c>
      <c r="F122" s="18">
        <v>0</v>
      </c>
      <c r="G122" s="18">
        <v>0</v>
      </c>
      <c r="H122" s="18">
        <v>0</v>
      </c>
      <c r="I122" s="18">
        <v>0</v>
      </c>
      <c r="J122" s="18">
        <v>0</v>
      </c>
      <c r="K122" s="18">
        <v>1</v>
      </c>
      <c r="L122" s="18">
        <v>0</v>
      </c>
      <c r="M122" s="18">
        <v>0</v>
      </c>
      <c r="N122" s="18">
        <v>0</v>
      </c>
      <c r="O122" s="18">
        <v>0</v>
      </c>
      <c r="P122" s="18">
        <v>0</v>
      </c>
      <c r="Q122" s="33">
        <v>0</v>
      </c>
    </row>
    <row r="123" spans="3:17">
      <c r="C123" s="91" t="s">
        <v>513</v>
      </c>
      <c r="D123" s="18">
        <v>2</v>
      </c>
      <c r="E123" s="18">
        <v>2</v>
      </c>
      <c r="F123" s="18">
        <v>0</v>
      </c>
      <c r="G123" s="18">
        <v>0</v>
      </c>
      <c r="H123" s="18">
        <v>0</v>
      </c>
      <c r="I123" s="18">
        <v>0</v>
      </c>
      <c r="J123" s="18">
        <v>0</v>
      </c>
      <c r="K123" s="18">
        <v>0</v>
      </c>
      <c r="L123" s="18">
        <v>0</v>
      </c>
      <c r="M123" s="18">
        <v>0</v>
      </c>
      <c r="N123" s="18">
        <v>0</v>
      </c>
      <c r="O123" s="18">
        <v>0</v>
      </c>
      <c r="P123" s="18">
        <v>0</v>
      </c>
      <c r="Q123" s="33">
        <v>0</v>
      </c>
    </row>
    <row r="124" spans="3:17">
      <c r="C124" s="91" t="s">
        <v>143</v>
      </c>
      <c r="D124" s="18">
        <v>2</v>
      </c>
      <c r="E124" s="18">
        <v>1</v>
      </c>
      <c r="F124" s="18">
        <v>1</v>
      </c>
      <c r="G124" s="18">
        <v>0</v>
      </c>
      <c r="H124" s="18">
        <v>1</v>
      </c>
      <c r="I124" s="18">
        <v>0</v>
      </c>
      <c r="J124" s="18">
        <v>0</v>
      </c>
      <c r="K124" s="18">
        <v>0</v>
      </c>
      <c r="L124" s="18">
        <v>0</v>
      </c>
      <c r="M124" s="18">
        <v>1</v>
      </c>
      <c r="N124" s="18">
        <v>0</v>
      </c>
      <c r="O124" s="18">
        <v>0</v>
      </c>
      <c r="P124" s="18">
        <v>0</v>
      </c>
      <c r="Q124" s="33">
        <v>1</v>
      </c>
    </row>
    <row r="125" spans="3:17">
      <c r="C125" s="91" t="s">
        <v>422</v>
      </c>
      <c r="D125" s="18">
        <v>1</v>
      </c>
      <c r="E125" s="18">
        <v>0</v>
      </c>
      <c r="F125" s="18">
        <v>1</v>
      </c>
      <c r="G125" s="18">
        <v>0</v>
      </c>
      <c r="H125" s="18">
        <v>0</v>
      </c>
      <c r="I125" s="18">
        <v>1</v>
      </c>
      <c r="J125" s="18">
        <v>0</v>
      </c>
      <c r="K125" s="18">
        <v>0</v>
      </c>
      <c r="L125" s="18">
        <v>0</v>
      </c>
      <c r="M125" s="18">
        <v>0</v>
      </c>
      <c r="N125" s="18">
        <v>0</v>
      </c>
      <c r="O125" s="18">
        <v>0</v>
      </c>
      <c r="P125" s="18">
        <v>0</v>
      </c>
      <c r="Q125" s="33">
        <v>0</v>
      </c>
    </row>
    <row r="126" spans="3:17">
      <c r="C126" s="91" t="s">
        <v>112</v>
      </c>
      <c r="D126" s="18">
        <v>3</v>
      </c>
      <c r="E126" s="18">
        <v>1</v>
      </c>
      <c r="F126" s="18">
        <v>1</v>
      </c>
      <c r="G126" s="18">
        <v>0</v>
      </c>
      <c r="H126" s="18">
        <v>1</v>
      </c>
      <c r="I126" s="18">
        <v>2</v>
      </c>
      <c r="J126" s="18">
        <v>0</v>
      </c>
      <c r="K126" s="18">
        <v>0</v>
      </c>
      <c r="L126" s="18">
        <v>0</v>
      </c>
      <c r="M126" s="18">
        <v>0</v>
      </c>
      <c r="N126" s="18">
        <v>0</v>
      </c>
      <c r="O126" s="18">
        <v>0</v>
      </c>
      <c r="P126" s="18">
        <v>0</v>
      </c>
      <c r="Q126" s="33">
        <v>1</v>
      </c>
    </row>
    <row r="127" spans="3:17">
      <c r="C127" s="91" t="s">
        <v>184</v>
      </c>
      <c r="D127" s="18">
        <v>9</v>
      </c>
      <c r="E127" s="18">
        <v>9</v>
      </c>
      <c r="F127" s="18">
        <v>5</v>
      </c>
      <c r="G127" s="18">
        <v>2</v>
      </c>
      <c r="H127" s="18">
        <v>3</v>
      </c>
      <c r="I127" s="18">
        <v>4</v>
      </c>
      <c r="J127" s="18">
        <v>0</v>
      </c>
      <c r="K127" s="18">
        <v>2</v>
      </c>
      <c r="L127" s="18">
        <v>2</v>
      </c>
      <c r="M127" s="18">
        <v>0</v>
      </c>
      <c r="N127" s="18">
        <v>1</v>
      </c>
      <c r="O127" s="18">
        <v>3</v>
      </c>
      <c r="P127" s="18">
        <v>2</v>
      </c>
      <c r="Q127" s="33">
        <v>0</v>
      </c>
    </row>
    <row r="128" spans="3:17">
      <c r="C128" s="91" t="s">
        <v>368</v>
      </c>
      <c r="D128" s="18">
        <v>11</v>
      </c>
      <c r="E128" s="18">
        <v>6</v>
      </c>
      <c r="F128" s="18">
        <v>2</v>
      </c>
      <c r="G128" s="18">
        <v>1</v>
      </c>
      <c r="H128" s="18">
        <v>1</v>
      </c>
      <c r="I128" s="18">
        <v>1</v>
      </c>
      <c r="J128" s="18">
        <v>0</v>
      </c>
      <c r="K128" s="18">
        <v>1</v>
      </c>
      <c r="L128" s="18">
        <v>0</v>
      </c>
      <c r="M128" s="18">
        <v>0</v>
      </c>
      <c r="N128" s="18">
        <v>0</v>
      </c>
      <c r="O128" s="18">
        <v>2</v>
      </c>
      <c r="P128" s="18">
        <v>6</v>
      </c>
      <c r="Q128" s="33">
        <v>0</v>
      </c>
    </row>
    <row r="129" spans="3:17">
      <c r="C129" s="91" t="s">
        <v>169</v>
      </c>
      <c r="D129" s="18">
        <v>1</v>
      </c>
      <c r="E129" s="18">
        <v>0</v>
      </c>
      <c r="F129" s="18">
        <v>0</v>
      </c>
      <c r="G129" s="18">
        <v>0</v>
      </c>
      <c r="H129" s="18">
        <v>0</v>
      </c>
      <c r="I129" s="18">
        <v>1</v>
      </c>
      <c r="J129" s="18">
        <v>0</v>
      </c>
      <c r="K129" s="18">
        <v>0</v>
      </c>
      <c r="L129" s="18">
        <v>0</v>
      </c>
      <c r="M129" s="18">
        <v>0</v>
      </c>
      <c r="N129" s="18">
        <v>0</v>
      </c>
      <c r="O129" s="18">
        <v>0</v>
      </c>
      <c r="P129" s="18">
        <v>0</v>
      </c>
      <c r="Q129" s="33">
        <v>0</v>
      </c>
    </row>
    <row r="130" spans="3:17">
      <c r="C130" s="91" t="s">
        <v>137</v>
      </c>
      <c r="D130" s="18">
        <v>1</v>
      </c>
      <c r="E130" s="18">
        <v>0</v>
      </c>
      <c r="F130" s="18">
        <v>0</v>
      </c>
      <c r="G130" s="18">
        <v>0</v>
      </c>
      <c r="H130" s="18">
        <v>1</v>
      </c>
      <c r="I130" s="18">
        <v>1</v>
      </c>
      <c r="J130" s="18">
        <v>0</v>
      </c>
      <c r="K130" s="18">
        <v>0</v>
      </c>
      <c r="L130" s="18">
        <v>0</v>
      </c>
      <c r="M130" s="18">
        <v>0</v>
      </c>
      <c r="N130" s="18">
        <v>0</v>
      </c>
      <c r="O130" s="18">
        <v>1</v>
      </c>
      <c r="P130" s="18">
        <v>1</v>
      </c>
      <c r="Q130" s="33">
        <v>0</v>
      </c>
    </row>
    <row r="131" spans="3:17">
      <c r="C131" s="91" t="s">
        <v>370</v>
      </c>
      <c r="D131" s="18">
        <v>2</v>
      </c>
      <c r="E131" s="18">
        <v>2</v>
      </c>
      <c r="F131" s="18">
        <v>0</v>
      </c>
      <c r="G131" s="18">
        <v>0</v>
      </c>
      <c r="H131" s="18">
        <v>0</v>
      </c>
      <c r="I131" s="18">
        <v>1</v>
      </c>
      <c r="J131" s="18">
        <v>0</v>
      </c>
      <c r="K131" s="18">
        <v>0</v>
      </c>
      <c r="L131" s="18">
        <v>0</v>
      </c>
      <c r="M131" s="18">
        <v>0</v>
      </c>
      <c r="N131" s="18">
        <v>0</v>
      </c>
      <c r="O131" s="18">
        <v>0</v>
      </c>
      <c r="P131" s="18">
        <v>0</v>
      </c>
      <c r="Q131" s="33">
        <v>0</v>
      </c>
    </row>
    <row r="132" spans="3:17">
      <c r="C132" s="91" t="s">
        <v>147</v>
      </c>
      <c r="D132" s="18">
        <v>3</v>
      </c>
      <c r="E132" s="18">
        <v>3</v>
      </c>
      <c r="F132" s="18">
        <v>2</v>
      </c>
      <c r="G132" s="18">
        <v>0</v>
      </c>
      <c r="H132" s="18">
        <v>1</v>
      </c>
      <c r="I132" s="18">
        <v>1</v>
      </c>
      <c r="J132" s="18">
        <v>0</v>
      </c>
      <c r="K132" s="18">
        <v>0</v>
      </c>
      <c r="L132" s="18">
        <v>0</v>
      </c>
      <c r="M132" s="18">
        <v>0</v>
      </c>
      <c r="N132" s="18">
        <v>0</v>
      </c>
      <c r="O132" s="18">
        <v>1</v>
      </c>
      <c r="P132" s="18">
        <v>0</v>
      </c>
      <c r="Q132" s="33">
        <v>0</v>
      </c>
    </row>
    <row r="133" spans="3:17">
      <c r="C133" s="91" t="s">
        <v>471</v>
      </c>
      <c r="D133" s="18">
        <v>1</v>
      </c>
      <c r="E133" s="18">
        <v>1</v>
      </c>
      <c r="F133" s="18">
        <v>0</v>
      </c>
      <c r="G133" s="18">
        <v>0</v>
      </c>
      <c r="H133" s="18">
        <v>1</v>
      </c>
      <c r="I133" s="18">
        <v>0</v>
      </c>
      <c r="J133" s="18">
        <v>0</v>
      </c>
      <c r="K133" s="18">
        <v>0</v>
      </c>
      <c r="L133" s="18">
        <v>0</v>
      </c>
      <c r="M133" s="18">
        <v>0</v>
      </c>
      <c r="N133" s="18">
        <v>0</v>
      </c>
      <c r="O133" s="18">
        <v>0</v>
      </c>
      <c r="P133" s="18">
        <v>0</v>
      </c>
      <c r="Q133" s="33">
        <v>0</v>
      </c>
    </row>
    <row r="134" spans="3:17">
      <c r="C134" s="91" t="s">
        <v>186</v>
      </c>
      <c r="D134" s="18">
        <v>11</v>
      </c>
      <c r="E134" s="18">
        <v>8</v>
      </c>
      <c r="F134" s="18">
        <v>4</v>
      </c>
      <c r="G134" s="18">
        <v>2</v>
      </c>
      <c r="H134" s="18">
        <v>2</v>
      </c>
      <c r="I134" s="18">
        <v>6</v>
      </c>
      <c r="J134" s="18">
        <v>1</v>
      </c>
      <c r="K134" s="18">
        <v>3</v>
      </c>
      <c r="L134" s="18">
        <v>1</v>
      </c>
      <c r="M134" s="18">
        <v>0</v>
      </c>
      <c r="N134" s="18">
        <v>0</v>
      </c>
      <c r="O134" s="18">
        <v>1</v>
      </c>
      <c r="P134" s="18">
        <v>3</v>
      </c>
      <c r="Q134" s="33">
        <v>2</v>
      </c>
    </row>
    <row r="135" spans="3:17">
      <c r="C135" s="91" t="s">
        <v>361</v>
      </c>
      <c r="D135" s="18">
        <v>2</v>
      </c>
      <c r="E135" s="18">
        <v>2</v>
      </c>
      <c r="F135" s="18">
        <v>0</v>
      </c>
      <c r="G135" s="18">
        <v>0</v>
      </c>
      <c r="H135" s="18">
        <v>0</v>
      </c>
      <c r="I135" s="18">
        <v>1</v>
      </c>
      <c r="J135" s="18">
        <v>0</v>
      </c>
      <c r="K135" s="18">
        <v>1</v>
      </c>
      <c r="L135" s="18">
        <v>0</v>
      </c>
      <c r="M135" s="18">
        <v>0</v>
      </c>
      <c r="N135" s="18">
        <v>0</v>
      </c>
      <c r="O135" s="18">
        <v>0</v>
      </c>
      <c r="P135" s="18">
        <v>1</v>
      </c>
      <c r="Q135" s="33">
        <v>0</v>
      </c>
    </row>
    <row r="136" spans="3:17">
      <c r="C136" s="91" t="s">
        <v>118</v>
      </c>
      <c r="D136" s="18">
        <v>2</v>
      </c>
      <c r="E136" s="18">
        <v>1</v>
      </c>
      <c r="F136" s="18">
        <v>0</v>
      </c>
      <c r="G136" s="18">
        <v>0</v>
      </c>
      <c r="H136" s="18">
        <v>0</v>
      </c>
      <c r="I136" s="18">
        <v>1</v>
      </c>
      <c r="J136" s="18">
        <v>0</v>
      </c>
      <c r="K136" s="18">
        <v>0</v>
      </c>
      <c r="L136" s="18">
        <v>0</v>
      </c>
      <c r="M136" s="18">
        <v>0</v>
      </c>
      <c r="N136" s="18">
        <v>0</v>
      </c>
      <c r="O136" s="18">
        <v>0</v>
      </c>
      <c r="P136" s="18">
        <v>0</v>
      </c>
      <c r="Q136" s="33">
        <v>0</v>
      </c>
    </row>
    <row r="137" spans="3:17">
      <c r="C137" s="91" t="s">
        <v>151</v>
      </c>
      <c r="D137" s="18">
        <v>4</v>
      </c>
      <c r="E137" s="18">
        <v>4</v>
      </c>
      <c r="F137" s="18">
        <v>1</v>
      </c>
      <c r="G137" s="18">
        <v>1</v>
      </c>
      <c r="H137" s="18">
        <v>1</v>
      </c>
      <c r="I137" s="18">
        <v>1</v>
      </c>
      <c r="J137" s="18">
        <v>0</v>
      </c>
      <c r="K137" s="18">
        <v>1</v>
      </c>
      <c r="L137" s="18">
        <v>1</v>
      </c>
      <c r="M137" s="18">
        <v>1</v>
      </c>
      <c r="N137" s="18">
        <v>1</v>
      </c>
      <c r="O137" s="18">
        <v>2</v>
      </c>
      <c r="P137" s="18">
        <v>1</v>
      </c>
      <c r="Q137" s="33">
        <v>2</v>
      </c>
    </row>
    <row r="138" spans="3:17">
      <c r="C138" s="91" t="s">
        <v>358</v>
      </c>
      <c r="D138" s="18">
        <v>3</v>
      </c>
      <c r="E138" s="18">
        <v>3</v>
      </c>
      <c r="F138" s="18">
        <v>1</v>
      </c>
      <c r="G138" s="18">
        <v>0</v>
      </c>
      <c r="H138" s="18">
        <v>1</v>
      </c>
      <c r="I138" s="18">
        <v>3</v>
      </c>
      <c r="J138" s="18">
        <v>1</v>
      </c>
      <c r="K138" s="18">
        <v>2</v>
      </c>
      <c r="L138" s="18">
        <v>0</v>
      </c>
      <c r="M138" s="18">
        <v>0</v>
      </c>
      <c r="N138" s="18">
        <v>0</v>
      </c>
      <c r="O138" s="18">
        <v>1</v>
      </c>
      <c r="P138" s="18">
        <v>1</v>
      </c>
      <c r="Q138" s="33">
        <v>0</v>
      </c>
    </row>
    <row r="139" spans="3:17">
      <c r="C139" s="91" t="s">
        <v>162</v>
      </c>
      <c r="D139" s="18">
        <v>1</v>
      </c>
      <c r="E139" s="18">
        <v>1</v>
      </c>
      <c r="F139" s="18">
        <v>1</v>
      </c>
      <c r="G139" s="18">
        <v>1</v>
      </c>
      <c r="H139" s="18">
        <v>0</v>
      </c>
      <c r="I139" s="18">
        <v>0</v>
      </c>
      <c r="J139" s="18">
        <v>0</v>
      </c>
      <c r="K139" s="18">
        <v>0</v>
      </c>
      <c r="L139" s="18">
        <v>0</v>
      </c>
      <c r="M139" s="18">
        <v>0</v>
      </c>
      <c r="N139" s="18">
        <v>0</v>
      </c>
      <c r="O139" s="18">
        <v>0</v>
      </c>
      <c r="P139" s="18">
        <v>0</v>
      </c>
      <c r="Q139" s="33">
        <v>0</v>
      </c>
    </row>
    <row r="140" spans="3:17">
      <c r="C140" s="91" t="s">
        <v>459</v>
      </c>
      <c r="D140" s="18">
        <v>1</v>
      </c>
      <c r="E140" s="18">
        <v>1</v>
      </c>
      <c r="F140" s="18">
        <v>0</v>
      </c>
      <c r="G140" s="18">
        <v>1</v>
      </c>
      <c r="H140" s="18">
        <v>0</v>
      </c>
      <c r="I140" s="18">
        <v>1</v>
      </c>
      <c r="J140" s="18">
        <v>0</v>
      </c>
      <c r="K140" s="18">
        <v>1</v>
      </c>
      <c r="L140" s="18">
        <v>0</v>
      </c>
      <c r="M140" s="18">
        <v>0</v>
      </c>
      <c r="N140" s="18">
        <v>0</v>
      </c>
      <c r="O140" s="18">
        <v>1</v>
      </c>
      <c r="P140" s="18">
        <v>1</v>
      </c>
      <c r="Q140" s="33">
        <v>0</v>
      </c>
    </row>
    <row r="141" spans="3:17">
      <c r="C141" s="91" t="s">
        <v>164</v>
      </c>
      <c r="D141" s="18">
        <v>39</v>
      </c>
      <c r="E141" s="18">
        <v>27</v>
      </c>
      <c r="F141" s="18">
        <v>7</v>
      </c>
      <c r="G141" s="18">
        <v>5</v>
      </c>
      <c r="H141" s="18">
        <v>11</v>
      </c>
      <c r="I141" s="18">
        <v>22</v>
      </c>
      <c r="J141" s="18">
        <v>1</v>
      </c>
      <c r="K141" s="18">
        <v>4</v>
      </c>
      <c r="L141" s="18">
        <v>2</v>
      </c>
      <c r="M141" s="18">
        <v>1</v>
      </c>
      <c r="N141" s="18">
        <v>6</v>
      </c>
      <c r="O141" s="18">
        <v>2</v>
      </c>
      <c r="P141" s="18">
        <v>7</v>
      </c>
      <c r="Q141" s="33">
        <v>2</v>
      </c>
    </row>
    <row r="142" spans="3:17">
      <c r="C142" s="91" t="s">
        <v>430</v>
      </c>
      <c r="D142" s="18">
        <v>1</v>
      </c>
      <c r="E142" s="18">
        <v>1</v>
      </c>
      <c r="F142" s="18">
        <v>0</v>
      </c>
      <c r="G142" s="18">
        <v>0</v>
      </c>
      <c r="H142" s="18">
        <v>0</v>
      </c>
      <c r="I142" s="18">
        <v>0</v>
      </c>
      <c r="J142" s="18">
        <v>0</v>
      </c>
      <c r="K142" s="18">
        <v>0</v>
      </c>
      <c r="L142" s="18">
        <v>0</v>
      </c>
      <c r="M142" s="18">
        <v>0</v>
      </c>
      <c r="N142" s="18">
        <v>0</v>
      </c>
      <c r="O142" s="18">
        <v>0</v>
      </c>
      <c r="P142" s="18">
        <v>0</v>
      </c>
      <c r="Q142" s="33">
        <v>0</v>
      </c>
    </row>
    <row r="143" spans="3:17">
      <c r="C143" s="91" t="s">
        <v>160</v>
      </c>
      <c r="D143" s="18">
        <v>3</v>
      </c>
      <c r="E143" s="18">
        <v>3</v>
      </c>
      <c r="F143" s="18">
        <v>1</v>
      </c>
      <c r="G143" s="18">
        <v>2</v>
      </c>
      <c r="H143" s="18">
        <v>2</v>
      </c>
      <c r="I143" s="18">
        <v>2</v>
      </c>
      <c r="J143" s="18">
        <v>0</v>
      </c>
      <c r="K143" s="18">
        <v>1</v>
      </c>
      <c r="L143" s="18">
        <v>0</v>
      </c>
      <c r="M143" s="18">
        <v>0</v>
      </c>
      <c r="N143" s="18">
        <v>1</v>
      </c>
      <c r="O143" s="18">
        <v>1</v>
      </c>
      <c r="P143" s="18">
        <v>1</v>
      </c>
      <c r="Q143" s="33">
        <v>0</v>
      </c>
    </row>
    <row r="144" spans="3:17">
      <c r="C144" s="91" t="s">
        <v>441</v>
      </c>
      <c r="D144" s="18">
        <v>1</v>
      </c>
      <c r="E144" s="18">
        <v>1</v>
      </c>
      <c r="F144" s="18">
        <v>0</v>
      </c>
      <c r="G144" s="18">
        <v>0</v>
      </c>
      <c r="H144" s="18">
        <v>0</v>
      </c>
      <c r="I144" s="18">
        <v>0</v>
      </c>
      <c r="J144" s="18">
        <v>0</v>
      </c>
      <c r="K144" s="18">
        <v>0</v>
      </c>
      <c r="L144" s="18">
        <v>0</v>
      </c>
      <c r="M144" s="18">
        <v>0</v>
      </c>
      <c r="N144" s="18">
        <v>0</v>
      </c>
      <c r="O144" s="18">
        <v>0</v>
      </c>
      <c r="P144" s="18">
        <v>1</v>
      </c>
      <c r="Q144" s="33">
        <v>0</v>
      </c>
    </row>
    <row r="145" spans="3:17">
      <c r="C145" s="91" t="s">
        <v>138</v>
      </c>
      <c r="D145" s="18">
        <v>3</v>
      </c>
      <c r="E145" s="18">
        <v>2</v>
      </c>
      <c r="F145" s="18">
        <v>0</v>
      </c>
      <c r="G145" s="18">
        <v>0</v>
      </c>
      <c r="H145" s="18">
        <v>0</v>
      </c>
      <c r="I145" s="18">
        <v>1</v>
      </c>
      <c r="J145" s="18">
        <v>0</v>
      </c>
      <c r="K145" s="18">
        <v>0</v>
      </c>
      <c r="L145" s="18">
        <v>0</v>
      </c>
      <c r="M145" s="18">
        <v>0</v>
      </c>
      <c r="N145" s="18">
        <v>0</v>
      </c>
      <c r="O145" s="18">
        <v>0</v>
      </c>
      <c r="P145" s="18">
        <v>1</v>
      </c>
      <c r="Q145" s="33">
        <v>1</v>
      </c>
    </row>
    <row r="146" spans="3:17">
      <c r="C146" s="91" t="s">
        <v>120</v>
      </c>
      <c r="D146" s="18">
        <v>3</v>
      </c>
      <c r="E146" s="18">
        <v>2</v>
      </c>
      <c r="F146" s="18">
        <v>1</v>
      </c>
      <c r="G146" s="18">
        <v>0</v>
      </c>
      <c r="H146" s="18">
        <v>0</v>
      </c>
      <c r="I146" s="18">
        <v>1</v>
      </c>
      <c r="J146" s="18">
        <v>0</v>
      </c>
      <c r="K146" s="18">
        <v>1</v>
      </c>
      <c r="L146" s="18">
        <v>0</v>
      </c>
      <c r="M146" s="18">
        <v>0</v>
      </c>
      <c r="N146" s="18">
        <v>0</v>
      </c>
      <c r="O146" s="18">
        <v>1</v>
      </c>
      <c r="P146" s="18">
        <v>1</v>
      </c>
      <c r="Q146" s="33">
        <v>0</v>
      </c>
    </row>
    <row r="147" spans="3:17">
      <c r="C147" s="91" t="s">
        <v>123</v>
      </c>
      <c r="D147" s="18">
        <v>2</v>
      </c>
      <c r="E147" s="18">
        <v>1</v>
      </c>
      <c r="F147" s="18">
        <v>1</v>
      </c>
      <c r="G147" s="18">
        <v>0</v>
      </c>
      <c r="H147" s="18">
        <v>1</v>
      </c>
      <c r="I147" s="18">
        <v>1</v>
      </c>
      <c r="J147" s="18">
        <v>0</v>
      </c>
      <c r="K147" s="18">
        <v>0</v>
      </c>
      <c r="L147" s="18">
        <v>0</v>
      </c>
      <c r="M147" s="18">
        <v>0</v>
      </c>
      <c r="N147" s="18">
        <v>1</v>
      </c>
      <c r="O147" s="18">
        <v>1</v>
      </c>
      <c r="P147" s="18">
        <v>1</v>
      </c>
      <c r="Q147" s="33">
        <v>0</v>
      </c>
    </row>
    <row r="148" spans="3:17">
      <c r="C148" s="91" t="s">
        <v>359</v>
      </c>
      <c r="D148" s="18">
        <v>1</v>
      </c>
      <c r="E148" s="18">
        <v>1</v>
      </c>
      <c r="F148" s="18">
        <v>0</v>
      </c>
      <c r="G148" s="18">
        <v>0</v>
      </c>
      <c r="H148" s="18">
        <v>0</v>
      </c>
      <c r="I148" s="18">
        <v>1</v>
      </c>
      <c r="J148" s="18">
        <v>0</v>
      </c>
      <c r="K148" s="18">
        <v>0</v>
      </c>
      <c r="L148" s="18">
        <v>0</v>
      </c>
      <c r="M148" s="18">
        <v>0</v>
      </c>
      <c r="N148" s="18">
        <v>0</v>
      </c>
      <c r="O148" s="18">
        <v>0</v>
      </c>
      <c r="P148" s="18">
        <v>0</v>
      </c>
      <c r="Q148" s="33">
        <v>0</v>
      </c>
    </row>
    <row r="149" spans="3:17">
      <c r="C149" s="91" t="s">
        <v>122</v>
      </c>
      <c r="D149" s="18">
        <v>2</v>
      </c>
      <c r="E149" s="18">
        <v>2</v>
      </c>
      <c r="F149" s="18">
        <v>0</v>
      </c>
      <c r="G149" s="18">
        <v>1</v>
      </c>
      <c r="H149" s="18">
        <v>0</v>
      </c>
      <c r="I149" s="18">
        <v>1</v>
      </c>
      <c r="J149" s="18">
        <v>0</v>
      </c>
      <c r="K149" s="18">
        <v>0</v>
      </c>
      <c r="L149" s="18">
        <v>0</v>
      </c>
      <c r="M149" s="18">
        <v>0</v>
      </c>
      <c r="N149" s="18">
        <v>0</v>
      </c>
      <c r="O149" s="18">
        <v>0</v>
      </c>
      <c r="P149" s="18">
        <v>0</v>
      </c>
      <c r="Q149" s="33">
        <v>0</v>
      </c>
    </row>
    <row r="150" spans="3:17">
      <c r="C150" s="91" t="s">
        <v>152</v>
      </c>
      <c r="D150" s="18">
        <v>3</v>
      </c>
      <c r="E150" s="18">
        <v>2</v>
      </c>
      <c r="F150" s="18">
        <v>1</v>
      </c>
      <c r="G150" s="18">
        <v>2</v>
      </c>
      <c r="H150" s="18">
        <v>2</v>
      </c>
      <c r="I150" s="18">
        <v>1</v>
      </c>
      <c r="J150" s="18">
        <v>0</v>
      </c>
      <c r="K150" s="18">
        <v>0</v>
      </c>
      <c r="L150" s="18">
        <v>0</v>
      </c>
      <c r="M150" s="18">
        <v>0</v>
      </c>
      <c r="N150" s="18">
        <v>1</v>
      </c>
      <c r="O150" s="18">
        <v>0</v>
      </c>
      <c r="P150" s="18">
        <v>0</v>
      </c>
      <c r="Q150" s="33">
        <v>0</v>
      </c>
    </row>
    <row r="151" spans="3:17">
      <c r="C151" s="91" t="s">
        <v>476</v>
      </c>
      <c r="D151" s="18">
        <v>1</v>
      </c>
      <c r="E151" s="18">
        <v>0</v>
      </c>
      <c r="F151" s="18">
        <v>0</v>
      </c>
      <c r="G151" s="18">
        <v>0</v>
      </c>
      <c r="H151" s="18">
        <v>0</v>
      </c>
      <c r="I151" s="18">
        <v>1</v>
      </c>
      <c r="J151" s="18">
        <v>0</v>
      </c>
      <c r="K151" s="18">
        <v>0</v>
      </c>
      <c r="L151" s="18">
        <v>0</v>
      </c>
      <c r="M151" s="18">
        <v>0</v>
      </c>
      <c r="N151" s="18">
        <v>0</v>
      </c>
      <c r="O151" s="18">
        <v>0</v>
      </c>
      <c r="P151" s="18">
        <v>0</v>
      </c>
      <c r="Q151" s="33">
        <v>0</v>
      </c>
    </row>
    <row r="152" spans="3:17">
      <c r="C152" s="91" t="s">
        <v>165</v>
      </c>
      <c r="D152" s="18">
        <v>12</v>
      </c>
      <c r="E152" s="18">
        <v>10</v>
      </c>
      <c r="F152" s="18">
        <v>4</v>
      </c>
      <c r="G152" s="18">
        <v>4</v>
      </c>
      <c r="H152" s="18">
        <v>5</v>
      </c>
      <c r="I152" s="18">
        <v>9</v>
      </c>
      <c r="J152" s="18">
        <v>1</v>
      </c>
      <c r="K152" s="18">
        <v>2</v>
      </c>
      <c r="L152" s="18">
        <v>2</v>
      </c>
      <c r="M152" s="18">
        <v>0</v>
      </c>
      <c r="N152" s="18">
        <v>2</v>
      </c>
      <c r="O152" s="18">
        <v>1</v>
      </c>
      <c r="P152" s="18">
        <v>2</v>
      </c>
      <c r="Q152" s="33">
        <v>2</v>
      </c>
    </row>
    <row r="153" spans="3:17">
      <c r="C153" s="91" t="s">
        <v>360</v>
      </c>
      <c r="D153" s="18">
        <v>1</v>
      </c>
      <c r="E153" s="18">
        <v>1</v>
      </c>
      <c r="F153" s="18">
        <v>0</v>
      </c>
      <c r="G153" s="18">
        <v>0</v>
      </c>
      <c r="H153" s="18">
        <v>0</v>
      </c>
      <c r="I153" s="18">
        <v>1</v>
      </c>
      <c r="J153" s="18">
        <v>0</v>
      </c>
      <c r="K153" s="18">
        <v>0</v>
      </c>
      <c r="L153" s="18">
        <v>0</v>
      </c>
      <c r="M153" s="18">
        <v>0</v>
      </c>
      <c r="N153" s="18">
        <v>0</v>
      </c>
      <c r="O153" s="18">
        <v>0</v>
      </c>
      <c r="P153" s="18">
        <v>0</v>
      </c>
      <c r="Q153" s="33">
        <v>0</v>
      </c>
    </row>
    <row r="154" spans="3:17">
      <c r="C154" s="91" t="s">
        <v>114</v>
      </c>
      <c r="D154" s="18">
        <v>6</v>
      </c>
      <c r="E154" s="18">
        <v>4</v>
      </c>
      <c r="F154" s="18">
        <v>1</v>
      </c>
      <c r="G154" s="18">
        <v>0</v>
      </c>
      <c r="H154" s="18">
        <v>1</v>
      </c>
      <c r="I154" s="18">
        <v>1</v>
      </c>
      <c r="J154" s="18">
        <v>0</v>
      </c>
      <c r="K154" s="18">
        <v>2</v>
      </c>
      <c r="L154" s="18">
        <v>0</v>
      </c>
      <c r="M154" s="18">
        <v>0</v>
      </c>
      <c r="N154" s="18">
        <v>0</v>
      </c>
      <c r="O154" s="18">
        <v>2</v>
      </c>
      <c r="P154" s="18">
        <v>4</v>
      </c>
      <c r="Q154" s="33">
        <v>0</v>
      </c>
    </row>
    <row r="155" spans="3:17">
      <c r="C155" s="91" t="s">
        <v>110</v>
      </c>
      <c r="D155" s="18">
        <v>4</v>
      </c>
      <c r="E155" s="18">
        <v>4</v>
      </c>
      <c r="F155" s="18">
        <v>2</v>
      </c>
      <c r="G155" s="18">
        <v>0</v>
      </c>
      <c r="H155" s="18">
        <v>0</v>
      </c>
      <c r="I155" s="18">
        <v>1</v>
      </c>
      <c r="J155" s="18">
        <v>0</v>
      </c>
      <c r="K155" s="18">
        <v>1</v>
      </c>
      <c r="L155" s="18">
        <v>0</v>
      </c>
      <c r="M155" s="18">
        <v>0</v>
      </c>
      <c r="N155" s="18">
        <v>0</v>
      </c>
      <c r="O155" s="18">
        <v>0</v>
      </c>
      <c r="P155" s="18">
        <v>1</v>
      </c>
      <c r="Q155" s="33">
        <v>0</v>
      </c>
    </row>
    <row r="156" spans="3:17">
      <c r="C156" s="91" t="s">
        <v>512</v>
      </c>
      <c r="D156" s="18">
        <v>1</v>
      </c>
      <c r="E156" s="18">
        <v>0</v>
      </c>
      <c r="F156" s="18">
        <v>0</v>
      </c>
      <c r="G156" s="18">
        <v>0</v>
      </c>
      <c r="H156" s="18">
        <v>0</v>
      </c>
      <c r="I156" s="18">
        <v>0</v>
      </c>
      <c r="J156" s="18">
        <v>0</v>
      </c>
      <c r="K156" s="18">
        <v>0</v>
      </c>
      <c r="L156" s="18">
        <v>0</v>
      </c>
      <c r="M156" s="18">
        <v>0</v>
      </c>
      <c r="N156" s="18">
        <v>0</v>
      </c>
      <c r="O156" s="18">
        <v>0</v>
      </c>
      <c r="P156" s="18">
        <v>0</v>
      </c>
      <c r="Q156" s="33">
        <v>0</v>
      </c>
    </row>
    <row r="157" spans="3:17">
      <c r="C157" s="91" t="s">
        <v>518</v>
      </c>
      <c r="D157" s="18">
        <v>1</v>
      </c>
      <c r="E157" s="18">
        <v>0</v>
      </c>
      <c r="F157" s="18">
        <v>0</v>
      </c>
      <c r="G157" s="18">
        <v>0</v>
      </c>
      <c r="H157" s="18">
        <v>0</v>
      </c>
      <c r="I157" s="18">
        <v>0</v>
      </c>
      <c r="J157" s="18">
        <v>0</v>
      </c>
      <c r="K157" s="18">
        <v>0</v>
      </c>
      <c r="L157" s="18">
        <v>0</v>
      </c>
      <c r="M157" s="18">
        <v>0</v>
      </c>
      <c r="N157" s="18">
        <v>0</v>
      </c>
      <c r="O157" s="18">
        <v>0</v>
      </c>
      <c r="P157" s="18">
        <v>0</v>
      </c>
      <c r="Q157" s="33">
        <v>0</v>
      </c>
    </row>
    <row r="158" spans="3:17">
      <c r="C158" s="91" t="s">
        <v>180</v>
      </c>
      <c r="D158" s="18">
        <v>1</v>
      </c>
      <c r="E158" s="18">
        <v>1</v>
      </c>
      <c r="F158" s="18">
        <v>0</v>
      </c>
      <c r="G158" s="18">
        <v>0</v>
      </c>
      <c r="H158" s="18">
        <v>0</v>
      </c>
      <c r="I158" s="18">
        <v>0</v>
      </c>
      <c r="J158" s="18">
        <v>0</v>
      </c>
      <c r="K158" s="18">
        <v>0</v>
      </c>
      <c r="L158" s="18">
        <v>0</v>
      </c>
      <c r="M158" s="18">
        <v>0</v>
      </c>
      <c r="N158" s="18">
        <v>0</v>
      </c>
      <c r="O158" s="18">
        <v>0</v>
      </c>
      <c r="P158" s="18">
        <v>0</v>
      </c>
      <c r="Q158" s="33">
        <v>0</v>
      </c>
    </row>
    <row r="159" spans="3:17">
      <c r="C159" s="91" t="s">
        <v>279</v>
      </c>
      <c r="D159" s="28">
        <v>529</v>
      </c>
      <c r="E159" s="34">
        <v>392</v>
      </c>
      <c r="F159" s="34">
        <v>167</v>
      </c>
      <c r="G159" s="34">
        <v>83</v>
      </c>
      <c r="H159" s="34">
        <v>93</v>
      </c>
      <c r="I159" s="34">
        <v>239</v>
      </c>
      <c r="J159" s="34">
        <v>21</v>
      </c>
      <c r="K159" s="34">
        <v>66</v>
      </c>
      <c r="L159" s="34">
        <v>30</v>
      </c>
      <c r="M159" s="34">
        <v>25</v>
      </c>
      <c r="N159" s="34">
        <v>46</v>
      </c>
      <c r="O159" s="34">
        <v>92</v>
      </c>
      <c r="P159" s="34">
        <v>93</v>
      </c>
      <c r="Q159" s="35">
        <v>38</v>
      </c>
    </row>
  </sheetData>
  <mergeCells count="2">
    <mergeCell ref="A1:R1"/>
    <mergeCell ref="A2:B2"/>
  </mergeCells>
  <pageMargins left="0.7" right="0.7" top="0.75" bottom="0.75" header="0.3" footer="0.3"/>
  <pageSetup orientation="portrait" horizontalDpi="200" verticalDpi="200" r:id="rId2"/>
  <drawing r:id="rId3"/>
  <extLst>
    <ext xmlns:x14="http://schemas.microsoft.com/office/spreadsheetml/2009/9/main" uri="{A8765BA9-456A-4dab-B4F3-ACF838C121DE}">
      <x14:slicerList>
        <x14:slicer r:id="rId4"/>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19" workbookViewId="0">
      <selection activeCell="D34" activeCellId="1" sqref="B34:B38 D34:D38"/>
    </sheetView>
  </sheetViews>
  <sheetFormatPr defaultRowHeight="14.5"/>
  <cols>
    <col min="1" max="1" width="93.54296875" customWidth="1"/>
    <col min="2" max="2" width="36" customWidth="1"/>
    <col min="3" max="3" width="8" style="19" customWidth="1"/>
    <col min="4" max="4" width="10.7265625" customWidth="1"/>
    <col min="5" max="5" width="5.26953125" customWidth="1"/>
    <col min="6" max="6" width="14" style="29" hidden="1" customWidth="1"/>
  </cols>
  <sheetData>
    <row r="1" spans="1:7" ht="16">
      <c r="A1" s="203" t="s">
        <v>546</v>
      </c>
      <c r="B1" s="203"/>
      <c r="C1" s="203"/>
      <c r="D1" s="203"/>
      <c r="E1" s="203"/>
    </row>
    <row r="2" spans="1:7" ht="16">
      <c r="A2" s="61" t="s">
        <v>351</v>
      </c>
      <c r="B2" s="62" t="s">
        <v>352</v>
      </c>
      <c r="C2" s="94" t="s">
        <v>353</v>
      </c>
      <c r="D2" s="62" t="s">
        <v>354</v>
      </c>
      <c r="E2" s="63" t="s">
        <v>355</v>
      </c>
      <c r="F2" s="29" t="s">
        <v>397</v>
      </c>
    </row>
    <row r="3" spans="1:7" ht="16">
      <c r="A3" s="64" t="s">
        <v>1</v>
      </c>
      <c r="B3" s="75"/>
      <c r="C3" s="95"/>
      <c r="D3" s="75"/>
      <c r="E3" s="65"/>
      <c r="F3" s="29">
        <v>125</v>
      </c>
    </row>
    <row r="4" spans="1:7" ht="16">
      <c r="A4" s="46"/>
      <c r="B4" s="66" t="s">
        <v>285</v>
      </c>
      <c r="C4" s="67">
        <v>45.928571428571438</v>
      </c>
      <c r="D4" s="76">
        <f>C4/$F$3</f>
        <v>0.36742857142857149</v>
      </c>
      <c r="E4" s="47">
        <v>1</v>
      </c>
      <c r="F4" s="93"/>
      <c r="G4" s="92"/>
    </row>
    <row r="5" spans="1:7" ht="16">
      <c r="A5" s="46"/>
      <c r="B5" s="66" t="s">
        <v>17</v>
      </c>
      <c r="C5" s="67">
        <v>41.260714285714286</v>
      </c>
      <c r="D5" s="76">
        <f t="shared" ref="D5:D8" si="0">C5/$F$3</f>
        <v>0.33008571428571432</v>
      </c>
      <c r="E5" s="47">
        <v>2</v>
      </c>
      <c r="F5" s="93"/>
      <c r="G5" s="92"/>
    </row>
    <row r="6" spans="1:7" ht="16">
      <c r="A6" s="46"/>
      <c r="B6" s="66" t="s">
        <v>282</v>
      </c>
      <c r="C6" s="96">
        <v>35.853571428571435</v>
      </c>
      <c r="D6" s="76">
        <f t="shared" si="0"/>
        <v>0.28682857142857149</v>
      </c>
      <c r="E6" s="47">
        <v>3</v>
      </c>
      <c r="F6" s="93"/>
      <c r="G6" s="92"/>
    </row>
    <row r="7" spans="1:7" ht="16">
      <c r="A7" s="46"/>
      <c r="B7" s="66" t="s">
        <v>286</v>
      </c>
      <c r="C7" s="67">
        <v>35.357142857142861</v>
      </c>
      <c r="D7" s="76">
        <f t="shared" si="0"/>
        <v>0.28285714285714286</v>
      </c>
      <c r="E7" s="47">
        <v>4</v>
      </c>
      <c r="F7" s="93"/>
      <c r="G7" s="92"/>
    </row>
    <row r="8" spans="1:7" ht="16">
      <c r="A8" s="46"/>
      <c r="B8" s="66" t="s">
        <v>283</v>
      </c>
      <c r="C8" s="67">
        <v>33.23571428571428</v>
      </c>
      <c r="D8" s="76">
        <f t="shared" si="0"/>
        <v>0.26588571428571423</v>
      </c>
      <c r="E8" s="47">
        <v>5</v>
      </c>
      <c r="F8" s="93"/>
      <c r="G8" s="92"/>
    </row>
    <row r="9" spans="1:7" ht="16">
      <c r="A9" s="64" t="s">
        <v>2</v>
      </c>
      <c r="B9" s="75"/>
      <c r="C9" s="95"/>
      <c r="D9" s="75"/>
      <c r="E9" s="57"/>
      <c r="F9" s="93">
        <v>125</v>
      </c>
    </row>
    <row r="10" spans="1:7" ht="16">
      <c r="A10" s="46"/>
      <c r="B10" s="68" t="s">
        <v>286</v>
      </c>
      <c r="C10" s="97">
        <v>41.628571428571433</v>
      </c>
      <c r="D10" s="76">
        <f>C10/$F$9</f>
        <v>0.33302857142857145</v>
      </c>
      <c r="E10" s="47">
        <v>1</v>
      </c>
      <c r="F10" s="93"/>
    </row>
    <row r="11" spans="1:7" ht="16">
      <c r="A11" s="46"/>
      <c r="B11" s="68" t="s">
        <v>283</v>
      </c>
      <c r="C11" s="96">
        <v>41.178571428571431</v>
      </c>
      <c r="D11" s="76">
        <f t="shared" ref="D11:D14" si="1">C11/$F$9</f>
        <v>0.32942857142857146</v>
      </c>
      <c r="E11" s="47">
        <v>2</v>
      </c>
      <c r="F11" s="93"/>
    </row>
    <row r="12" spans="1:7" ht="16">
      <c r="A12" s="46"/>
      <c r="B12" s="68" t="s">
        <v>287</v>
      </c>
      <c r="C12" s="97">
        <v>33.278571428571425</v>
      </c>
      <c r="D12" s="76">
        <f t="shared" si="1"/>
        <v>0.26622857142857143</v>
      </c>
      <c r="E12" s="47">
        <v>3</v>
      </c>
      <c r="F12" s="93"/>
    </row>
    <row r="13" spans="1:7" ht="16">
      <c r="A13" s="46"/>
      <c r="B13" s="68" t="s">
        <v>17</v>
      </c>
      <c r="C13" s="97">
        <v>32.778571428571425</v>
      </c>
      <c r="D13" s="76">
        <f t="shared" si="1"/>
        <v>0.26222857142857142</v>
      </c>
      <c r="E13" s="47">
        <v>4</v>
      </c>
      <c r="F13" s="93"/>
    </row>
    <row r="14" spans="1:7" ht="16">
      <c r="A14" s="46"/>
      <c r="B14" s="68" t="s">
        <v>24</v>
      </c>
      <c r="C14" s="96">
        <v>30</v>
      </c>
      <c r="D14" s="76">
        <f t="shared" si="1"/>
        <v>0.24</v>
      </c>
      <c r="E14" s="47">
        <v>5</v>
      </c>
      <c r="F14" s="93"/>
    </row>
    <row r="15" spans="1:7" ht="16">
      <c r="A15" s="64" t="s">
        <v>413</v>
      </c>
      <c r="B15" s="75"/>
      <c r="C15" s="95"/>
      <c r="D15" s="75"/>
      <c r="E15" s="57"/>
      <c r="F15" s="93">
        <v>125</v>
      </c>
    </row>
    <row r="16" spans="1:7" ht="16">
      <c r="A16" s="46"/>
      <c r="B16" s="68" t="s">
        <v>297</v>
      </c>
      <c r="C16" s="77">
        <v>42</v>
      </c>
      <c r="D16" s="76">
        <f>C16/$F$15</f>
        <v>0.33600000000000002</v>
      </c>
      <c r="E16" s="78">
        <v>1</v>
      </c>
      <c r="F16" s="93"/>
    </row>
    <row r="17" spans="1:6" ht="16">
      <c r="A17" s="46"/>
      <c r="B17" s="68" t="s">
        <v>374</v>
      </c>
      <c r="C17" s="77">
        <v>31.25</v>
      </c>
      <c r="D17" s="76">
        <f t="shared" ref="D17:D20" si="2">C17/$F$15</f>
        <v>0.25</v>
      </c>
      <c r="E17" s="78">
        <v>2</v>
      </c>
      <c r="F17" s="93"/>
    </row>
    <row r="18" spans="1:6" ht="16">
      <c r="A18" s="46"/>
      <c r="B18" s="68" t="s">
        <v>296</v>
      </c>
      <c r="C18" s="96">
        <v>23.75</v>
      </c>
      <c r="D18" s="76">
        <f t="shared" si="2"/>
        <v>0.19</v>
      </c>
      <c r="E18" s="78">
        <v>3</v>
      </c>
      <c r="F18" s="93"/>
    </row>
    <row r="19" spans="1:6" ht="16">
      <c r="A19" s="46"/>
      <c r="B19" s="68" t="s">
        <v>298</v>
      </c>
      <c r="C19" s="77">
        <v>20.25</v>
      </c>
      <c r="D19" s="76">
        <f t="shared" si="2"/>
        <v>0.16200000000000001</v>
      </c>
      <c r="E19" s="78">
        <v>4</v>
      </c>
      <c r="F19" s="93"/>
    </row>
    <row r="20" spans="1:6" ht="16">
      <c r="A20" s="46"/>
      <c r="B20" s="68" t="s">
        <v>294</v>
      </c>
      <c r="C20" s="77">
        <v>18.25</v>
      </c>
      <c r="D20" s="76">
        <f t="shared" si="2"/>
        <v>0.14599999999999999</v>
      </c>
      <c r="E20" s="78">
        <v>5</v>
      </c>
      <c r="F20" s="93"/>
    </row>
    <row r="21" spans="1:6" ht="16">
      <c r="A21" s="64" t="s">
        <v>3</v>
      </c>
      <c r="B21" s="75"/>
      <c r="C21" s="95"/>
      <c r="D21" s="75"/>
      <c r="E21" s="57"/>
      <c r="F21" s="93">
        <v>125</v>
      </c>
    </row>
    <row r="22" spans="1:6" ht="16">
      <c r="A22" s="46"/>
      <c r="B22" s="68" t="s">
        <v>299</v>
      </c>
      <c r="C22" s="77">
        <v>44.628571428571433</v>
      </c>
      <c r="D22" s="76">
        <f>C22/$F$21</f>
        <v>0.35702857142857147</v>
      </c>
      <c r="E22" s="78">
        <v>1</v>
      </c>
      <c r="F22" s="93"/>
    </row>
    <row r="23" spans="1:6" ht="16">
      <c r="A23" s="46"/>
      <c r="B23" s="68" t="s">
        <v>303</v>
      </c>
      <c r="C23" s="77">
        <v>44.13214285714286</v>
      </c>
      <c r="D23" s="76">
        <f t="shared" ref="D23:D26" si="3">C23/$F$21</f>
        <v>0.3530571428571429</v>
      </c>
      <c r="E23" s="78">
        <v>2</v>
      </c>
      <c r="F23" s="93"/>
    </row>
    <row r="24" spans="1:6" ht="16">
      <c r="A24" s="46"/>
      <c r="B24" s="68" t="s">
        <v>301</v>
      </c>
      <c r="C24" s="77">
        <v>37.282142857142858</v>
      </c>
      <c r="D24" s="76">
        <f t="shared" si="3"/>
        <v>0.29825714285714289</v>
      </c>
      <c r="E24" s="78">
        <v>3</v>
      </c>
      <c r="F24" s="93"/>
    </row>
    <row r="25" spans="1:6" ht="16">
      <c r="A25" s="46"/>
      <c r="B25" s="68" t="s">
        <v>300</v>
      </c>
      <c r="C25" s="77">
        <v>29.207142857142856</v>
      </c>
      <c r="D25" s="76">
        <f t="shared" si="3"/>
        <v>0.23365714285714284</v>
      </c>
      <c r="E25" s="78">
        <v>4</v>
      </c>
      <c r="F25" s="93"/>
    </row>
    <row r="26" spans="1:6" ht="16">
      <c r="A26" s="46"/>
      <c r="B26" s="68" t="s">
        <v>304</v>
      </c>
      <c r="C26" s="77">
        <v>27.824999999999999</v>
      </c>
      <c r="D26" s="76">
        <f t="shared" si="3"/>
        <v>0.22259999999999999</v>
      </c>
      <c r="E26" s="78">
        <v>5</v>
      </c>
      <c r="F26" s="93"/>
    </row>
    <row r="27" spans="1:6" ht="16">
      <c r="A27" s="64" t="s">
        <v>4</v>
      </c>
      <c r="B27" s="75"/>
      <c r="C27" s="95"/>
      <c r="D27" s="75"/>
      <c r="E27" s="57"/>
      <c r="F27" s="93">
        <v>125</v>
      </c>
    </row>
    <row r="28" spans="1:6" ht="16">
      <c r="A28" s="46"/>
      <c r="B28" s="68" t="s">
        <v>319</v>
      </c>
      <c r="C28" s="77">
        <v>32.795163170163171</v>
      </c>
      <c r="D28" s="76">
        <f>C28/$F$27</f>
        <v>0.26236130536130536</v>
      </c>
      <c r="E28" s="78">
        <v>1</v>
      </c>
      <c r="F28" s="93"/>
    </row>
    <row r="29" spans="1:6" ht="16">
      <c r="A29" s="46"/>
      <c r="B29" s="68" t="s">
        <v>310</v>
      </c>
      <c r="C29" s="77">
        <v>31.62849650349651</v>
      </c>
      <c r="D29" s="76">
        <f t="shared" ref="D29:D32" si="4">C29/$F$27</f>
        <v>0.25302797202797206</v>
      </c>
      <c r="E29" s="78">
        <v>2</v>
      </c>
      <c r="F29" s="93"/>
    </row>
    <row r="30" spans="1:6" ht="16">
      <c r="A30" s="46"/>
      <c r="B30" s="68" t="s">
        <v>17</v>
      </c>
      <c r="C30" s="77">
        <v>26.915401265401268</v>
      </c>
      <c r="D30" s="76">
        <f t="shared" si="4"/>
        <v>0.21532321012321015</v>
      </c>
      <c r="E30" s="78">
        <v>3</v>
      </c>
      <c r="F30" s="93"/>
    </row>
    <row r="31" spans="1:6" ht="16">
      <c r="A31" s="46"/>
      <c r="B31" s="68" t="s">
        <v>54</v>
      </c>
      <c r="C31" s="77">
        <v>26.755769230769232</v>
      </c>
      <c r="D31" s="76">
        <f t="shared" si="4"/>
        <v>0.21404615384615386</v>
      </c>
      <c r="E31" s="78">
        <v>4</v>
      </c>
      <c r="F31" s="93"/>
    </row>
    <row r="32" spans="1:6" ht="16">
      <c r="A32" s="79"/>
      <c r="B32" s="69" t="s">
        <v>317</v>
      </c>
      <c r="C32" s="98">
        <v>25.798734598734601</v>
      </c>
      <c r="D32" s="76">
        <f t="shared" si="4"/>
        <v>0.2063898767898768</v>
      </c>
      <c r="E32" s="81">
        <v>5</v>
      </c>
      <c r="F32" s="93"/>
    </row>
    <row r="33" spans="1:6" ht="16">
      <c r="A33" s="70" t="s">
        <v>328</v>
      </c>
      <c r="B33" s="71"/>
      <c r="C33" s="99"/>
      <c r="D33" s="71"/>
      <c r="E33" s="72"/>
      <c r="F33" s="93">
        <v>125</v>
      </c>
    </row>
    <row r="34" spans="1:6" ht="16">
      <c r="A34" s="54"/>
      <c r="B34" s="73" t="s">
        <v>323</v>
      </c>
      <c r="C34" s="77">
        <v>94</v>
      </c>
      <c r="D34" s="76">
        <f>C34/$F$33</f>
        <v>0.752</v>
      </c>
      <c r="E34" s="82">
        <v>1</v>
      </c>
      <c r="F34" s="93"/>
    </row>
    <row r="35" spans="1:6" ht="16">
      <c r="A35" s="46"/>
      <c r="B35" s="68" t="s">
        <v>75</v>
      </c>
      <c r="C35" s="77">
        <v>51</v>
      </c>
      <c r="D35" s="76">
        <f t="shared" ref="D35:D38" si="5">C35/$F$33</f>
        <v>0.40799999999999997</v>
      </c>
      <c r="E35" s="78">
        <v>2</v>
      </c>
      <c r="F35" s="93"/>
    </row>
    <row r="36" spans="1:6" ht="16">
      <c r="A36" s="46"/>
      <c r="B36" s="68" t="s">
        <v>324</v>
      </c>
      <c r="C36" s="77">
        <v>35</v>
      </c>
      <c r="D36" s="76">
        <f t="shared" si="5"/>
        <v>0.28000000000000003</v>
      </c>
      <c r="E36" s="78">
        <v>3</v>
      </c>
      <c r="F36" s="93"/>
    </row>
    <row r="37" spans="1:6" ht="16">
      <c r="A37" s="46"/>
      <c r="B37" s="68" t="s">
        <v>69</v>
      </c>
      <c r="C37" s="77">
        <v>24</v>
      </c>
      <c r="D37" s="76">
        <f t="shared" si="5"/>
        <v>0.192</v>
      </c>
      <c r="E37" s="78">
        <v>4</v>
      </c>
      <c r="F37" s="93"/>
    </row>
    <row r="38" spans="1:6" ht="16">
      <c r="A38" s="79"/>
      <c r="B38" s="74" t="s">
        <v>70</v>
      </c>
      <c r="C38" s="98">
        <v>16</v>
      </c>
      <c r="D38" s="80">
        <f t="shared" si="5"/>
        <v>0.128</v>
      </c>
      <c r="E38" s="81">
        <v>5</v>
      </c>
      <c r="F38" s="93"/>
    </row>
    <row r="39" spans="1:6" ht="16">
      <c r="A39" s="51"/>
      <c r="B39" s="51"/>
      <c r="C39" s="96"/>
      <c r="D39" s="51"/>
      <c r="E39" s="51"/>
    </row>
    <row r="40" spans="1:6" ht="16">
      <c r="A40" s="51"/>
      <c r="B40" s="51"/>
      <c r="C40" s="96"/>
      <c r="D40" s="51"/>
      <c r="E40" s="51"/>
    </row>
    <row r="41" spans="1:6" ht="16">
      <c r="A41" s="51"/>
      <c r="B41" s="51"/>
      <c r="C41" s="96"/>
      <c r="D41" s="51"/>
      <c r="E41" s="51"/>
    </row>
    <row r="42" spans="1:6" ht="16">
      <c r="A42" s="51"/>
      <c r="B42" s="51"/>
      <c r="C42" s="96"/>
      <c r="D42" s="51"/>
      <c r="E42" s="51"/>
    </row>
  </sheetData>
  <mergeCells count="1">
    <mergeCell ref="A1:E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sqref="A1:E1"/>
    </sheetView>
  </sheetViews>
  <sheetFormatPr defaultRowHeight="14.5"/>
  <cols>
    <col min="1" max="1" width="93.54296875" customWidth="1"/>
    <col min="2" max="2" width="36" customWidth="1"/>
    <col min="3" max="3" width="8" style="19" customWidth="1"/>
    <col min="4" max="4" width="10.7265625" customWidth="1"/>
    <col min="5" max="5" width="5.26953125" customWidth="1"/>
    <col min="6" max="6" width="14.7265625" hidden="1" customWidth="1"/>
  </cols>
  <sheetData>
    <row r="1" spans="1:8" ht="16">
      <c r="A1" s="203" t="s">
        <v>545</v>
      </c>
      <c r="B1" s="203"/>
      <c r="C1" s="203"/>
      <c r="D1" s="203"/>
      <c r="E1" s="203"/>
    </row>
    <row r="2" spans="1:8" ht="16">
      <c r="A2" s="61" t="s">
        <v>351</v>
      </c>
      <c r="B2" s="62" t="s">
        <v>352</v>
      </c>
      <c r="C2" s="94" t="s">
        <v>353</v>
      </c>
      <c r="D2" s="62" t="s">
        <v>354</v>
      </c>
      <c r="E2" s="63" t="s">
        <v>355</v>
      </c>
      <c r="F2" s="117" t="s">
        <v>397</v>
      </c>
    </row>
    <row r="3" spans="1:8" ht="16">
      <c r="A3" s="64" t="s">
        <v>1</v>
      </c>
      <c r="B3" s="75"/>
      <c r="C3" s="95"/>
      <c r="D3" s="75"/>
      <c r="E3" s="65"/>
      <c r="F3">
        <v>353</v>
      </c>
    </row>
    <row r="4" spans="1:8" ht="16">
      <c r="A4" s="46"/>
      <c r="B4" s="51" t="s">
        <v>285</v>
      </c>
      <c r="C4" s="96">
        <v>185.40576923076921</v>
      </c>
      <c r="D4" s="76">
        <f>C4/$F$3</f>
        <v>0.52522880801917626</v>
      </c>
      <c r="E4" s="47">
        <v>1</v>
      </c>
    </row>
    <row r="5" spans="1:8" ht="16">
      <c r="A5" s="46"/>
      <c r="B5" s="51" t="s">
        <v>282</v>
      </c>
      <c r="C5" s="67">
        <v>151.95576923076922</v>
      </c>
      <c r="D5" s="76">
        <f t="shared" ref="D5:D8" si="0">C5/$F$9</f>
        <v>0.43046960122030942</v>
      </c>
      <c r="E5" s="47">
        <v>2</v>
      </c>
    </row>
    <row r="6" spans="1:8" ht="16">
      <c r="A6" s="46"/>
      <c r="B6" s="66" t="s">
        <v>17</v>
      </c>
      <c r="C6" s="67">
        <v>149.05576923076922</v>
      </c>
      <c r="D6" s="76">
        <f t="shared" si="0"/>
        <v>0.42225430376988449</v>
      </c>
      <c r="E6" s="47">
        <v>3</v>
      </c>
    </row>
    <row r="7" spans="1:8" ht="16">
      <c r="A7" s="46"/>
      <c r="B7" s="66" t="s">
        <v>283</v>
      </c>
      <c r="C7" s="67">
        <v>68.805769230769229</v>
      </c>
      <c r="D7" s="76">
        <f t="shared" si="0"/>
        <v>0.1949171932882981</v>
      </c>
      <c r="E7" s="47">
        <v>4</v>
      </c>
    </row>
    <row r="8" spans="1:8" ht="16">
      <c r="A8" s="46"/>
      <c r="B8" s="66" t="s">
        <v>286</v>
      </c>
      <c r="C8" s="67">
        <v>64.755769230769232</v>
      </c>
      <c r="D8" s="76">
        <f t="shared" si="0"/>
        <v>0.18344410546960122</v>
      </c>
      <c r="E8" s="47">
        <v>5</v>
      </c>
    </row>
    <row r="9" spans="1:8" ht="16">
      <c r="A9" s="64" t="s">
        <v>2</v>
      </c>
      <c r="B9" s="75"/>
      <c r="C9" s="95"/>
      <c r="D9" s="75"/>
      <c r="E9" s="57"/>
      <c r="F9">
        <v>353</v>
      </c>
    </row>
    <row r="10" spans="1:8" ht="16">
      <c r="A10" s="46"/>
      <c r="B10" s="68" t="s">
        <v>285</v>
      </c>
      <c r="C10" s="97">
        <v>137.83106060606062</v>
      </c>
      <c r="D10" s="76">
        <f>C10/$F$9</f>
        <v>0.39045626234011505</v>
      </c>
      <c r="E10" s="47">
        <v>1</v>
      </c>
      <c r="H10" s="68"/>
    </row>
    <row r="11" spans="1:8" ht="16">
      <c r="A11" s="46"/>
      <c r="B11" s="68" t="s">
        <v>17</v>
      </c>
      <c r="C11" s="97">
        <v>89.131060606060586</v>
      </c>
      <c r="D11" s="76">
        <f t="shared" ref="D11:D14" si="1">C11/$F$9</f>
        <v>0.25249592239677221</v>
      </c>
      <c r="E11" s="47">
        <v>2</v>
      </c>
      <c r="H11" s="68"/>
    </row>
    <row r="12" spans="1:8" ht="16">
      <c r="A12" s="46"/>
      <c r="B12" s="68" t="s">
        <v>287</v>
      </c>
      <c r="C12" s="97">
        <v>88.724999999999994</v>
      </c>
      <c r="D12" s="76">
        <f t="shared" si="1"/>
        <v>0.2513456090651558</v>
      </c>
      <c r="E12" s="47">
        <v>3</v>
      </c>
      <c r="H12" s="68"/>
    </row>
    <row r="13" spans="1:8" ht="16">
      <c r="A13" s="46"/>
      <c r="B13" s="68" t="s">
        <v>286</v>
      </c>
      <c r="C13" s="97">
        <v>82.681060606060598</v>
      </c>
      <c r="D13" s="76">
        <f t="shared" si="1"/>
        <v>0.23422396772255127</v>
      </c>
      <c r="E13" s="47">
        <v>4</v>
      </c>
      <c r="H13" s="68"/>
    </row>
    <row r="14" spans="1:8" ht="16">
      <c r="A14" s="46"/>
      <c r="B14" s="68" t="s">
        <v>283</v>
      </c>
      <c r="C14" s="97">
        <v>82.431060606060598</v>
      </c>
      <c r="D14" s="76">
        <f t="shared" si="1"/>
        <v>0.23351575242510084</v>
      </c>
      <c r="E14" s="47">
        <v>5</v>
      </c>
      <c r="H14" s="68"/>
    </row>
    <row r="15" spans="1:8" ht="16">
      <c r="A15" s="64" t="s">
        <v>372</v>
      </c>
      <c r="B15" s="75"/>
      <c r="C15" s="95"/>
      <c r="D15" s="75"/>
      <c r="E15" s="57"/>
      <c r="F15">
        <v>353</v>
      </c>
    </row>
    <row r="16" spans="1:8" ht="16">
      <c r="A16" s="46"/>
      <c r="B16" s="68" t="s">
        <v>374</v>
      </c>
      <c r="C16" s="19">
        <v>103.25</v>
      </c>
      <c r="D16" s="76">
        <f>C16/$F$15</f>
        <v>0.29249291784702547</v>
      </c>
      <c r="E16" s="78">
        <v>1</v>
      </c>
    </row>
    <row r="17" spans="1:6" ht="16">
      <c r="A17" s="46"/>
      <c r="B17" s="68" t="s">
        <v>296</v>
      </c>
      <c r="C17" s="77">
        <v>98.75</v>
      </c>
      <c r="D17" s="76">
        <f t="shared" ref="D17:D20" si="2">C17/$F$15</f>
        <v>0.27974504249291787</v>
      </c>
      <c r="E17" s="78">
        <v>2</v>
      </c>
    </row>
    <row r="18" spans="1:6" ht="16">
      <c r="A18" s="46"/>
      <c r="B18" s="68" t="s">
        <v>297</v>
      </c>
      <c r="C18" s="77">
        <v>94</v>
      </c>
      <c r="D18" s="76">
        <f t="shared" si="2"/>
        <v>0.26628895184135976</v>
      </c>
      <c r="E18" s="78">
        <v>3</v>
      </c>
    </row>
    <row r="19" spans="1:6" ht="16">
      <c r="A19" s="46"/>
      <c r="B19" s="68" t="s">
        <v>298</v>
      </c>
      <c r="C19" s="77">
        <v>93.75</v>
      </c>
      <c r="D19" s="76">
        <f t="shared" si="2"/>
        <v>0.26558073654390935</v>
      </c>
      <c r="E19" s="78">
        <v>4</v>
      </c>
    </row>
    <row r="20" spans="1:6" ht="16">
      <c r="A20" s="46"/>
      <c r="B20" s="68" t="s">
        <v>293</v>
      </c>
      <c r="C20" s="77">
        <v>56</v>
      </c>
      <c r="D20" s="76">
        <f t="shared" si="2"/>
        <v>0.15864022662889518</v>
      </c>
      <c r="E20" s="78">
        <v>5</v>
      </c>
    </row>
    <row r="21" spans="1:6" ht="16">
      <c r="A21" s="64" t="s">
        <v>3</v>
      </c>
      <c r="B21" s="75"/>
      <c r="C21" s="95"/>
      <c r="D21" s="75"/>
      <c r="E21" s="57"/>
      <c r="F21">
        <v>353</v>
      </c>
    </row>
    <row r="22" spans="1:6" ht="16">
      <c r="A22" s="46"/>
      <c r="B22" s="68" t="s">
        <v>303</v>
      </c>
      <c r="C22" s="77">
        <v>186.09047619047615</v>
      </c>
      <c r="D22" s="76">
        <f>C22/$F$21</f>
        <v>0.5271684877917171</v>
      </c>
      <c r="E22" s="78">
        <v>1</v>
      </c>
    </row>
    <row r="23" spans="1:6" ht="16">
      <c r="A23" s="46"/>
      <c r="B23" s="68" t="s">
        <v>301</v>
      </c>
      <c r="C23" s="77">
        <v>119.40714285714284</v>
      </c>
      <c r="D23" s="76">
        <f t="shared" ref="D23:D26" si="3">C23/$F$21</f>
        <v>0.33826386078510723</v>
      </c>
      <c r="E23" s="78">
        <v>2</v>
      </c>
    </row>
    <row r="24" spans="1:6" ht="16">
      <c r="A24" s="46"/>
      <c r="B24" s="68" t="s">
        <v>300</v>
      </c>
      <c r="C24" s="77">
        <v>116.97857142857143</v>
      </c>
      <c r="D24" s="76">
        <f t="shared" si="3"/>
        <v>0.33138405503844598</v>
      </c>
      <c r="E24" s="78">
        <v>3</v>
      </c>
    </row>
    <row r="25" spans="1:6" ht="16">
      <c r="A25" s="46"/>
      <c r="B25" s="51" t="s">
        <v>299</v>
      </c>
      <c r="C25" s="77">
        <v>79.045238095238105</v>
      </c>
      <c r="D25" s="76">
        <f t="shared" si="3"/>
        <v>0.22392418723863486</v>
      </c>
      <c r="E25" s="78">
        <v>4</v>
      </c>
    </row>
    <row r="26" spans="1:6" ht="16">
      <c r="A26" s="46"/>
      <c r="B26" s="68" t="s">
        <v>306</v>
      </c>
      <c r="C26" s="77">
        <v>75.490476190476201</v>
      </c>
      <c r="D26" s="76">
        <f t="shared" si="3"/>
        <v>0.21385404019964929</v>
      </c>
      <c r="E26" s="78">
        <v>5</v>
      </c>
    </row>
    <row r="27" spans="1:6" ht="16">
      <c r="A27" s="64" t="s">
        <v>4</v>
      </c>
      <c r="B27" s="75"/>
      <c r="C27" s="95"/>
      <c r="D27" s="75"/>
      <c r="E27" s="57"/>
      <c r="F27">
        <v>353</v>
      </c>
    </row>
    <row r="28" spans="1:6" ht="16">
      <c r="A28" s="46"/>
      <c r="B28" s="68" t="s">
        <v>319</v>
      </c>
      <c r="C28" s="77">
        <v>142.88718487394954</v>
      </c>
      <c r="D28" s="76">
        <f>C28/$F$27</f>
        <v>0.40477956054943209</v>
      </c>
      <c r="E28" s="78">
        <v>1</v>
      </c>
    </row>
    <row r="29" spans="1:6" ht="16">
      <c r="A29" s="46"/>
      <c r="B29" s="68" t="s">
        <v>17</v>
      </c>
      <c r="C29" s="77">
        <v>88.433613445378157</v>
      </c>
      <c r="D29" s="76">
        <f t="shared" ref="D29:D32" si="4">C29/$F$27</f>
        <v>0.25052015140333755</v>
      </c>
      <c r="E29" s="78">
        <v>2</v>
      </c>
    </row>
    <row r="30" spans="1:6" ht="16">
      <c r="A30" s="46"/>
      <c r="B30" s="68" t="s">
        <v>313</v>
      </c>
      <c r="C30" s="77">
        <v>81.075280112044823</v>
      </c>
      <c r="D30" s="76">
        <f t="shared" si="4"/>
        <v>0.22967501448171337</v>
      </c>
      <c r="E30" s="78">
        <v>3</v>
      </c>
    </row>
    <row r="31" spans="1:6" ht="16">
      <c r="A31" s="46"/>
      <c r="B31" s="66" t="s">
        <v>53</v>
      </c>
      <c r="C31" s="96">
        <v>67.468137254901976</v>
      </c>
      <c r="D31" s="76">
        <f t="shared" si="4"/>
        <v>0.19112786757762598</v>
      </c>
      <c r="E31" s="78">
        <v>4</v>
      </c>
    </row>
    <row r="32" spans="1:6" ht="16">
      <c r="A32" s="79"/>
      <c r="B32" s="74" t="s">
        <v>316</v>
      </c>
      <c r="C32" s="101">
        <v>62.300280112044831</v>
      </c>
      <c r="D32" s="76">
        <f t="shared" si="4"/>
        <v>0.17648804564318649</v>
      </c>
      <c r="E32" s="81">
        <v>5</v>
      </c>
    </row>
    <row r="33" spans="1:6" ht="16">
      <c r="A33" s="70" t="s">
        <v>328</v>
      </c>
      <c r="B33" s="71"/>
      <c r="C33" s="99"/>
      <c r="D33" s="75"/>
      <c r="E33" s="72"/>
      <c r="F33">
        <v>353</v>
      </c>
    </row>
    <row r="34" spans="1:6" ht="16">
      <c r="A34" s="54"/>
      <c r="B34" s="73" t="s">
        <v>323</v>
      </c>
      <c r="C34" s="102">
        <v>279</v>
      </c>
      <c r="D34" s="76">
        <f>C34/$F$33</f>
        <v>0.79036827195467418</v>
      </c>
      <c r="E34" s="82">
        <v>1</v>
      </c>
    </row>
    <row r="35" spans="1:6" ht="16">
      <c r="A35" s="46"/>
      <c r="B35" s="68" t="s">
        <v>66</v>
      </c>
      <c r="C35" s="77">
        <v>174</v>
      </c>
      <c r="D35" s="76">
        <f t="shared" ref="D35:D38" si="5">C35/$F$33</f>
        <v>0.49291784702549574</v>
      </c>
      <c r="E35" s="78">
        <v>2</v>
      </c>
    </row>
    <row r="36" spans="1:6" ht="16">
      <c r="A36" s="46"/>
      <c r="B36" s="68" t="s">
        <v>75</v>
      </c>
      <c r="C36" s="77">
        <v>125</v>
      </c>
      <c r="D36" s="76">
        <f t="shared" si="5"/>
        <v>0.35410764872521244</v>
      </c>
      <c r="E36" s="78">
        <v>3</v>
      </c>
    </row>
    <row r="37" spans="1:6" ht="16">
      <c r="A37" s="46"/>
      <c r="B37" s="68" t="s">
        <v>73</v>
      </c>
      <c r="C37" s="77">
        <v>72</v>
      </c>
      <c r="D37" s="76">
        <f t="shared" si="5"/>
        <v>0.20396600566572237</v>
      </c>
      <c r="E37" s="78">
        <v>3</v>
      </c>
    </row>
    <row r="38" spans="1:6" ht="16">
      <c r="A38" s="79"/>
      <c r="B38" s="74" t="s">
        <v>71</v>
      </c>
      <c r="C38" s="101">
        <v>67</v>
      </c>
      <c r="D38" s="80">
        <f t="shared" si="5"/>
        <v>0.18980169971671387</v>
      </c>
      <c r="E38" s="81">
        <v>5</v>
      </c>
    </row>
  </sheetData>
  <mergeCells count="1">
    <mergeCell ref="A1:E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topLeftCell="A79" workbookViewId="0">
      <selection activeCell="A92" sqref="A92:E98"/>
    </sheetView>
  </sheetViews>
  <sheetFormatPr defaultRowHeight="14.5"/>
  <cols>
    <col min="1" max="1" width="29.54296875" bestFit="1" customWidth="1"/>
    <col min="2" max="2" width="26" bestFit="1" customWidth="1"/>
    <col min="3" max="3" width="9.54296875" bestFit="1" customWidth="1"/>
    <col min="4" max="4" width="29.54296875" bestFit="1" customWidth="1"/>
    <col min="5" max="5" width="11.81640625" bestFit="1" customWidth="1"/>
  </cols>
  <sheetData>
    <row r="1" spans="1:17" s="5" customFormat="1">
      <c r="A1" s="5" t="s">
        <v>398</v>
      </c>
      <c r="D1" s="5" t="s">
        <v>399</v>
      </c>
      <c r="G1" s="5" t="s">
        <v>400</v>
      </c>
      <c r="J1" s="5" t="s">
        <v>401</v>
      </c>
      <c r="M1" s="5" t="s">
        <v>402</v>
      </c>
      <c r="P1" s="5" t="s">
        <v>403</v>
      </c>
    </row>
    <row r="2" spans="1:17">
      <c r="A2" t="s">
        <v>285</v>
      </c>
      <c r="B2">
        <v>185.40576923076921</v>
      </c>
      <c r="D2" t="s">
        <v>285</v>
      </c>
      <c r="E2">
        <v>137.83106060606062</v>
      </c>
      <c r="G2" t="s">
        <v>374</v>
      </c>
      <c r="H2">
        <v>103.25</v>
      </c>
      <c r="J2" t="s">
        <v>303</v>
      </c>
      <c r="K2">
        <v>186.09047619047615</v>
      </c>
      <c r="M2" t="s">
        <v>319</v>
      </c>
      <c r="N2">
        <v>142.88718487394954</v>
      </c>
      <c r="P2" t="s">
        <v>323</v>
      </c>
      <c r="Q2">
        <v>279</v>
      </c>
    </row>
    <row r="3" spans="1:17">
      <c r="A3" t="s">
        <v>282</v>
      </c>
      <c r="B3">
        <v>151.95576923076922</v>
      </c>
      <c r="D3" t="s">
        <v>17</v>
      </c>
      <c r="E3">
        <v>89.131060606060586</v>
      </c>
      <c r="G3" t="s">
        <v>296</v>
      </c>
      <c r="H3">
        <v>98.75</v>
      </c>
      <c r="J3" t="s">
        <v>301</v>
      </c>
      <c r="K3">
        <v>119.40714285714284</v>
      </c>
      <c r="M3" t="s">
        <v>17</v>
      </c>
      <c r="N3">
        <v>88.433613445378157</v>
      </c>
      <c r="P3" t="s">
        <v>66</v>
      </c>
      <c r="Q3">
        <v>174</v>
      </c>
    </row>
    <row r="4" spans="1:17">
      <c r="A4" t="s">
        <v>17</v>
      </c>
      <c r="B4">
        <v>149.05576923076922</v>
      </c>
      <c r="D4" t="s">
        <v>287</v>
      </c>
      <c r="E4">
        <v>88.724999999999994</v>
      </c>
      <c r="G4" t="s">
        <v>297</v>
      </c>
      <c r="H4">
        <v>94</v>
      </c>
      <c r="J4" t="s">
        <v>300</v>
      </c>
      <c r="K4">
        <v>116.97857142857143</v>
      </c>
      <c r="M4" t="s">
        <v>313</v>
      </c>
      <c r="N4">
        <v>81.075280112044823</v>
      </c>
      <c r="P4" t="s">
        <v>75</v>
      </c>
      <c r="Q4">
        <v>125</v>
      </c>
    </row>
    <row r="5" spans="1:17">
      <c r="A5" t="s">
        <v>283</v>
      </c>
      <c r="B5">
        <v>68.805769230769229</v>
      </c>
      <c r="D5" t="s">
        <v>286</v>
      </c>
      <c r="E5">
        <v>82.681060606060598</v>
      </c>
      <c r="G5" t="s">
        <v>298</v>
      </c>
      <c r="H5">
        <v>93.75</v>
      </c>
      <c r="J5" t="s">
        <v>299</v>
      </c>
      <c r="K5">
        <v>79.045238095238105</v>
      </c>
      <c r="M5" t="s">
        <v>53</v>
      </c>
      <c r="N5">
        <v>67.468137254901976</v>
      </c>
      <c r="P5" t="s">
        <v>73</v>
      </c>
      <c r="Q5">
        <v>72</v>
      </c>
    </row>
    <row r="6" spans="1:17">
      <c r="A6" t="s">
        <v>286</v>
      </c>
      <c r="B6">
        <v>64.755769230769232</v>
      </c>
      <c r="D6" t="s">
        <v>283</v>
      </c>
      <c r="E6">
        <v>82.431060606060598</v>
      </c>
      <c r="G6" t="s">
        <v>293</v>
      </c>
      <c r="H6">
        <v>56</v>
      </c>
      <c r="J6" t="s">
        <v>306</v>
      </c>
      <c r="K6">
        <v>75.490476190476201</v>
      </c>
      <c r="M6" t="s">
        <v>316</v>
      </c>
      <c r="N6">
        <v>62.300280112044831</v>
      </c>
      <c r="P6" t="s">
        <v>71</v>
      </c>
      <c r="Q6">
        <v>67</v>
      </c>
    </row>
    <row r="7" spans="1:17">
      <c r="A7" t="s">
        <v>19</v>
      </c>
      <c r="B7">
        <v>55.030769230769238</v>
      </c>
      <c r="D7" t="s">
        <v>19</v>
      </c>
      <c r="E7">
        <v>70.408333333333331</v>
      </c>
      <c r="G7" t="s">
        <v>294</v>
      </c>
      <c r="H7">
        <v>54.5</v>
      </c>
      <c r="J7" t="s">
        <v>309</v>
      </c>
      <c r="K7">
        <v>59.378571428571441</v>
      </c>
      <c r="M7" t="s">
        <v>318</v>
      </c>
      <c r="N7">
        <v>59.953571428571436</v>
      </c>
      <c r="P7" t="s">
        <v>326</v>
      </c>
      <c r="Q7">
        <v>63</v>
      </c>
    </row>
    <row r="8" spans="1:17">
      <c r="A8" t="s">
        <v>24</v>
      </c>
      <c r="B8">
        <v>52.955769230769235</v>
      </c>
      <c r="D8" t="s">
        <v>24</v>
      </c>
      <c r="E8">
        <v>48.45606060606061</v>
      </c>
      <c r="G8" t="s">
        <v>295</v>
      </c>
      <c r="H8">
        <v>41.5</v>
      </c>
      <c r="J8" t="s">
        <v>302</v>
      </c>
      <c r="K8">
        <v>58.161904761904779</v>
      </c>
      <c r="M8" t="s">
        <v>321</v>
      </c>
      <c r="N8">
        <v>57.20028011204483</v>
      </c>
      <c r="P8" t="s">
        <v>324</v>
      </c>
      <c r="Q8">
        <v>61</v>
      </c>
    </row>
    <row r="9" spans="1:17">
      <c r="A9" t="s">
        <v>278</v>
      </c>
      <c r="B9">
        <v>50.980769230769234</v>
      </c>
      <c r="D9" t="s">
        <v>281</v>
      </c>
      <c r="E9">
        <v>45.372727272727275</v>
      </c>
      <c r="G9" t="s">
        <v>291</v>
      </c>
      <c r="H9">
        <v>39.75</v>
      </c>
      <c r="J9" t="s">
        <v>305</v>
      </c>
      <c r="K9">
        <v>51.228571428571442</v>
      </c>
      <c r="M9" t="s">
        <v>315</v>
      </c>
      <c r="N9">
        <v>46.130042016806726</v>
      </c>
      <c r="P9" t="s">
        <v>69</v>
      </c>
      <c r="Q9">
        <v>51</v>
      </c>
    </row>
    <row r="10" spans="1:17">
      <c r="A10" t="s">
        <v>277</v>
      </c>
      <c r="B10">
        <v>42.455769230769235</v>
      </c>
      <c r="D10" t="s">
        <v>289</v>
      </c>
      <c r="E10">
        <v>36.031060606060613</v>
      </c>
      <c r="G10" t="s">
        <v>292</v>
      </c>
      <c r="H10">
        <v>38.5</v>
      </c>
      <c r="J10" t="s">
        <v>304</v>
      </c>
      <c r="K10">
        <v>42.078571428571443</v>
      </c>
      <c r="M10" t="s">
        <v>322</v>
      </c>
      <c r="N10">
        <v>43.937184873949583</v>
      </c>
      <c r="P10" t="s">
        <v>72</v>
      </c>
      <c r="Q10">
        <v>34</v>
      </c>
    </row>
    <row r="11" spans="1:17">
      <c r="A11" t="s">
        <v>281</v>
      </c>
      <c r="B11">
        <v>41.780769230769238</v>
      </c>
      <c r="D11" t="s">
        <v>278</v>
      </c>
      <c r="E11">
        <v>33.872727272727275</v>
      </c>
      <c r="G11" t="s">
        <v>37</v>
      </c>
      <c r="H11">
        <v>32</v>
      </c>
      <c r="J11" t="s">
        <v>308</v>
      </c>
      <c r="K11">
        <v>35.766666666666666</v>
      </c>
      <c r="M11" t="s">
        <v>317</v>
      </c>
      <c r="N11">
        <v>43.080042016806722</v>
      </c>
      <c r="P11" t="s">
        <v>327</v>
      </c>
      <c r="Q11">
        <v>21</v>
      </c>
    </row>
    <row r="12" spans="1:17">
      <c r="A12" t="s">
        <v>289</v>
      </c>
      <c r="B12">
        <v>35.055769230769236</v>
      </c>
      <c r="D12" t="s">
        <v>277</v>
      </c>
      <c r="E12">
        <v>33.856060606060602</v>
      </c>
      <c r="J12" t="s">
        <v>37</v>
      </c>
      <c r="K12">
        <v>34.778571428571425</v>
      </c>
      <c r="M12" t="s">
        <v>310</v>
      </c>
      <c r="N12">
        <v>41.541946778711484</v>
      </c>
      <c r="P12" t="s">
        <v>65</v>
      </c>
      <c r="Q12">
        <v>21</v>
      </c>
    </row>
    <row r="13" spans="1:17">
      <c r="A13" t="s">
        <v>287</v>
      </c>
      <c r="B13">
        <v>30.530769230769234</v>
      </c>
      <c r="D13" t="s">
        <v>282</v>
      </c>
      <c r="E13">
        <v>23.331060606060607</v>
      </c>
      <c r="J13" t="s">
        <v>307</v>
      </c>
      <c r="K13">
        <v>28.595238095238095</v>
      </c>
      <c r="M13" t="s">
        <v>54</v>
      </c>
      <c r="N13">
        <v>41.041946778711477</v>
      </c>
      <c r="P13" t="s">
        <v>325</v>
      </c>
      <c r="Q13">
        <v>20</v>
      </c>
    </row>
    <row r="14" spans="1:17">
      <c r="A14" t="s">
        <v>284</v>
      </c>
      <c r="B14">
        <v>21.23076923076923</v>
      </c>
      <c r="D14" t="s">
        <v>284</v>
      </c>
      <c r="E14">
        <v>17.872727272727275</v>
      </c>
      <c r="M14" t="s">
        <v>314</v>
      </c>
      <c r="N14">
        <v>39.733613445378154</v>
      </c>
      <c r="P14" t="s">
        <v>70</v>
      </c>
      <c r="Q14">
        <v>14</v>
      </c>
    </row>
    <row r="15" spans="1:17">
      <c r="M15" t="s">
        <v>312</v>
      </c>
      <c r="N15">
        <v>31.166946778711484</v>
      </c>
    </row>
    <row r="16" spans="1:17">
      <c r="M16" t="s">
        <v>311</v>
      </c>
      <c r="N16">
        <v>29.234803921568624</v>
      </c>
    </row>
    <row r="17" spans="1:17">
      <c r="M17" t="s">
        <v>284</v>
      </c>
      <c r="N17">
        <v>16.12170868347339</v>
      </c>
    </row>
    <row r="18" spans="1:17">
      <c r="M18" t="s">
        <v>320</v>
      </c>
      <c r="N18">
        <v>12.984803921568627</v>
      </c>
    </row>
    <row r="23" spans="1:17">
      <c r="A23" s="5" t="s">
        <v>404</v>
      </c>
      <c r="B23" s="5"/>
      <c r="C23" s="5"/>
      <c r="D23" s="5" t="s">
        <v>405</v>
      </c>
      <c r="E23" s="5"/>
      <c r="F23" s="5"/>
      <c r="G23" s="5" t="s">
        <v>406</v>
      </c>
      <c r="H23" s="5"/>
      <c r="I23" s="5"/>
      <c r="J23" s="5" t="s">
        <v>407</v>
      </c>
      <c r="K23" s="5"/>
      <c r="L23" s="5"/>
      <c r="M23" s="5" t="s">
        <v>408</v>
      </c>
      <c r="N23" s="5"/>
      <c r="O23" s="5"/>
      <c r="P23" s="5" t="s">
        <v>409</v>
      </c>
    </row>
    <row r="24" spans="1:17">
      <c r="A24" s="5" t="s">
        <v>285</v>
      </c>
      <c r="B24" s="5">
        <v>45.928571428571438</v>
      </c>
      <c r="C24" s="5"/>
      <c r="D24" s="5" t="s">
        <v>286</v>
      </c>
      <c r="E24" s="5">
        <v>41.628571428571433</v>
      </c>
      <c r="F24" s="5"/>
      <c r="G24" s="5" t="s">
        <v>297</v>
      </c>
      <c r="H24" s="5">
        <v>42</v>
      </c>
      <c r="I24" s="5"/>
      <c r="J24" s="5" t="s">
        <v>299</v>
      </c>
      <c r="K24" s="5">
        <v>44.628571428571433</v>
      </c>
      <c r="L24" s="5"/>
      <c r="M24" s="5" t="s">
        <v>319</v>
      </c>
      <c r="N24" s="5">
        <v>32.795163170163171</v>
      </c>
      <c r="O24" s="5"/>
      <c r="P24" t="s">
        <v>323</v>
      </c>
      <c r="Q24">
        <v>94</v>
      </c>
    </row>
    <row r="25" spans="1:17">
      <c r="A25" s="5" t="s">
        <v>17</v>
      </c>
      <c r="B25" s="5">
        <v>41.260714285714286</v>
      </c>
      <c r="C25" s="5"/>
      <c r="D25" s="5" t="s">
        <v>283</v>
      </c>
      <c r="E25" s="5">
        <v>41.178571428571431</v>
      </c>
      <c r="F25" s="5"/>
      <c r="G25" s="5" t="s">
        <v>374</v>
      </c>
      <c r="H25" s="5">
        <v>31.25</v>
      </c>
      <c r="I25" s="5"/>
      <c r="J25" s="5" t="s">
        <v>303</v>
      </c>
      <c r="K25" s="5">
        <v>44.13214285714286</v>
      </c>
      <c r="L25" s="5"/>
      <c r="M25" s="5" t="s">
        <v>310</v>
      </c>
      <c r="N25" s="5">
        <v>31.62849650349651</v>
      </c>
      <c r="O25" s="5"/>
      <c r="P25" t="s">
        <v>75</v>
      </c>
      <c r="Q25">
        <v>51</v>
      </c>
    </row>
    <row r="26" spans="1:17">
      <c r="A26" s="5" t="s">
        <v>282</v>
      </c>
      <c r="B26" s="5">
        <v>35.853571428571435</v>
      </c>
      <c r="C26" s="5"/>
      <c r="D26" s="5" t="s">
        <v>287</v>
      </c>
      <c r="E26" s="5">
        <v>33.278571428571425</v>
      </c>
      <c r="F26" s="5"/>
      <c r="G26" s="5" t="s">
        <v>296</v>
      </c>
      <c r="H26" s="5">
        <v>23.75</v>
      </c>
      <c r="I26" s="5"/>
      <c r="J26" s="5" t="s">
        <v>301</v>
      </c>
      <c r="K26" s="5">
        <v>37.282142857142858</v>
      </c>
      <c r="L26" s="5"/>
      <c r="M26" s="5" t="s">
        <v>17</v>
      </c>
      <c r="N26" s="5">
        <v>26.915401265401268</v>
      </c>
      <c r="O26" s="5"/>
      <c r="P26" t="s">
        <v>324</v>
      </c>
      <c r="Q26">
        <v>35</v>
      </c>
    </row>
    <row r="27" spans="1:17">
      <c r="A27" s="5" t="s">
        <v>286</v>
      </c>
      <c r="B27" s="5">
        <v>35.357142857142861</v>
      </c>
      <c r="C27" s="5"/>
      <c r="D27" s="5" t="s">
        <v>17</v>
      </c>
      <c r="E27" s="5">
        <v>32.778571428571425</v>
      </c>
      <c r="F27" s="5"/>
      <c r="G27" s="5" t="s">
        <v>298</v>
      </c>
      <c r="H27" s="5">
        <v>20.25</v>
      </c>
      <c r="I27" s="5"/>
      <c r="J27" s="5" t="s">
        <v>300</v>
      </c>
      <c r="K27" s="5">
        <v>29.207142857142856</v>
      </c>
      <c r="L27" s="5"/>
      <c r="M27" s="5" t="s">
        <v>54</v>
      </c>
      <c r="N27" s="5">
        <v>26.755769230769232</v>
      </c>
      <c r="O27" s="5"/>
      <c r="P27" t="s">
        <v>69</v>
      </c>
      <c r="Q27">
        <v>24</v>
      </c>
    </row>
    <row r="28" spans="1:17">
      <c r="A28" s="5" t="s">
        <v>283</v>
      </c>
      <c r="B28" s="5">
        <v>33.23571428571428</v>
      </c>
      <c r="C28" s="5"/>
      <c r="D28" s="5" t="s">
        <v>24</v>
      </c>
      <c r="E28" s="5">
        <v>30</v>
      </c>
      <c r="F28" s="5"/>
      <c r="G28" s="5" t="s">
        <v>294</v>
      </c>
      <c r="H28" s="5">
        <v>18.25</v>
      </c>
      <c r="I28" s="5"/>
      <c r="J28" s="5" t="s">
        <v>304</v>
      </c>
      <c r="K28" s="5">
        <v>27.824999999999999</v>
      </c>
      <c r="L28" s="5"/>
      <c r="M28" s="5" t="s">
        <v>317</v>
      </c>
      <c r="N28" s="5">
        <v>25.798734598734601</v>
      </c>
      <c r="O28" s="5"/>
      <c r="P28" t="s">
        <v>70</v>
      </c>
      <c r="Q28">
        <v>16</v>
      </c>
    </row>
    <row r="29" spans="1:17">
      <c r="A29" s="5" t="s">
        <v>24</v>
      </c>
      <c r="B29" s="5">
        <v>31.610714285714284</v>
      </c>
      <c r="C29" s="5"/>
      <c r="D29" s="5" t="s">
        <v>19</v>
      </c>
      <c r="E29" s="5">
        <v>28.528571428571428</v>
      </c>
      <c r="F29" s="5"/>
      <c r="G29" s="5" t="s">
        <v>292</v>
      </c>
      <c r="H29" s="5">
        <v>13.5</v>
      </c>
      <c r="I29" s="5"/>
      <c r="J29" s="5" t="s">
        <v>309</v>
      </c>
      <c r="K29" s="5">
        <v>27.753571428571426</v>
      </c>
      <c r="L29" s="5"/>
      <c r="M29" s="5" t="s">
        <v>316</v>
      </c>
      <c r="N29" s="5">
        <v>24.634340659340662</v>
      </c>
      <c r="O29" s="5"/>
      <c r="P29" t="s">
        <v>73</v>
      </c>
      <c r="Q29">
        <v>16</v>
      </c>
    </row>
    <row r="30" spans="1:17">
      <c r="A30" s="5" t="s">
        <v>19</v>
      </c>
      <c r="B30" s="5">
        <v>24.103571428571428</v>
      </c>
      <c r="C30" s="5"/>
      <c r="D30" s="5" t="s">
        <v>285</v>
      </c>
      <c r="E30" s="5">
        <v>20.95</v>
      </c>
      <c r="F30" s="5"/>
      <c r="G30" s="5" t="s">
        <v>291</v>
      </c>
      <c r="H30" s="5">
        <v>13</v>
      </c>
      <c r="I30" s="5"/>
      <c r="J30" s="5" t="s">
        <v>302</v>
      </c>
      <c r="K30" s="5">
        <v>25.082142857142856</v>
      </c>
      <c r="L30" s="5"/>
      <c r="M30" s="5" t="s">
        <v>313</v>
      </c>
      <c r="N30" s="5">
        <v>22.628496503496507</v>
      </c>
      <c r="O30" s="5"/>
      <c r="P30" t="s">
        <v>66</v>
      </c>
      <c r="Q30">
        <v>16</v>
      </c>
    </row>
    <row r="31" spans="1:17">
      <c r="A31" s="5" t="s">
        <v>278</v>
      </c>
      <c r="B31" s="5">
        <v>19.228571428571428</v>
      </c>
      <c r="C31" s="5"/>
      <c r="D31" s="5" t="s">
        <v>277</v>
      </c>
      <c r="E31" s="5">
        <v>14.278571428571428</v>
      </c>
      <c r="F31" s="5"/>
      <c r="G31" s="5" t="s">
        <v>293</v>
      </c>
      <c r="H31" s="5">
        <v>13</v>
      </c>
      <c r="I31" s="5"/>
      <c r="J31" s="5" t="s">
        <v>306</v>
      </c>
      <c r="K31" s="5">
        <v>19.957142857142856</v>
      </c>
      <c r="L31" s="5"/>
      <c r="M31" s="5" t="s">
        <v>318</v>
      </c>
      <c r="N31" s="5">
        <v>22.220163170163168</v>
      </c>
      <c r="O31" s="5"/>
      <c r="P31" t="s">
        <v>72</v>
      </c>
      <c r="Q31">
        <v>13</v>
      </c>
    </row>
    <row r="32" spans="1:17">
      <c r="A32" s="5" t="s">
        <v>287</v>
      </c>
      <c r="B32" s="5">
        <v>17.307142857142857</v>
      </c>
      <c r="C32" s="5"/>
      <c r="D32" s="5" t="s">
        <v>278</v>
      </c>
      <c r="E32" s="5">
        <v>12.428571428571429</v>
      </c>
      <c r="F32" s="5"/>
      <c r="G32" s="5" t="s">
        <v>295</v>
      </c>
      <c r="H32" s="5">
        <v>12.5</v>
      </c>
      <c r="I32" s="5"/>
      <c r="J32" s="5" t="s">
        <v>37</v>
      </c>
      <c r="K32" s="5">
        <v>16.95</v>
      </c>
      <c r="L32" s="5"/>
      <c r="M32" s="5" t="s">
        <v>53</v>
      </c>
      <c r="N32" s="5">
        <v>18.897727272727273</v>
      </c>
      <c r="O32" s="5"/>
      <c r="P32" t="s">
        <v>325</v>
      </c>
      <c r="Q32">
        <v>12</v>
      </c>
    </row>
    <row r="33" spans="1:17">
      <c r="A33" s="5" t="s">
        <v>277</v>
      </c>
      <c r="B33" s="5">
        <v>17.203571428571429</v>
      </c>
      <c r="C33" s="5"/>
      <c r="D33" s="5" t="s">
        <v>289</v>
      </c>
      <c r="E33" s="5">
        <v>11.95</v>
      </c>
      <c r="F33" s="5"/>
      <c r="G33" s="5" t="s">
        <v>37</v>
      </c>
      <c r="H33" s="5">
        <v>10.5</v>
      </c>
      <c r="I33" s="5"/>
      <c r="J33" s="5" t="s">
        <v>305</v>
      </c>
      <c r="K33" s="5">
        <v>12.028571428571428</v>
      </c>
      <c r="L33" s="5"/>
      <c r="M33" s="5" t="s">
        <v>315</v>
      </c>
      <c r="N33" s="5">
        <v>15.226007326007325</v>
      </c>
      <c r="O33" s="5"/>
      <c r="P33" t="s">
        <v>327</v>
      </c>
      <c r="Q33">
        <v>10</v>
      </c>
    </row>
    <row r="34" spans="1:17">
      <c r="A34" s="5" t="s">
        <v>281</v>
      </c>
      <c r="B34" s="5">
        <v>10.103571428571428</v>
      </c>
      <c r="C34" s="5"/>
      <c r="D34" s="5" t="s">
        <v>281</v>
      </c>
      <c r="E34" s="5">
        <v>8</v>
      </c>
      <c r="F34" s="5"/>
      <c r="G34" s="5"/>
      <c r="H34" s="5"/>
      <c r="I34" s="5"/>
      <c r="J34" s="5" t="s">
        <v>307</v>
      </c>
      <c r="K34" s="5">
        <v>10.428571428571429</v>
      </c>
      <c r="L34" s="5"/>
      <c r="M34" s="5" t="s">
        <v>311</v>
      </c>
      <c r="N34" s="5">
        <v>14.286829836829837</v>
      </c>
      <c r="O34" s="5"/>
      <c r="P34" t="s">
        <v>71</v>
      </c>
      <c r="Q34">
        <v>6</v>
      </c>
    </row>
    <row r="35" spans="1:17">
      <c r="A35" s="5" t="s">
        <v>289</v>
      </c>
      <c r="B35" s="5">
        <v>7.7571428571428571</v>
      </c>
      <c r="C35" s="5"/>
      <c r="D35" s="5" t="s">
        <v>282</v>
      </c>
      <c r="E35" s="5">
        <v>6.5</v>
      </c>
      <c r="F35" s="5"/>
      <c r="G35" s="5"/>
      <c r="H35" s="5"/>
      <c r="I35" s="5"/>
      <c r="J35" s="5" t="s">
        <v>308</v>
      </c>
      <c r="K35" s="5">
        <v>4.9749999999999996</v>
      </c>
      <c r="L35" s="5"/>
      <c r="M35" s="5" t="s">
        <v>322</v>
      </c>
      <c r="N35" s="5">
        <v>13.80706793206793</v>
      </c>
      <c r="O35" s="5"/>
      <c r="P35" t="s">
        <v>65</v>
      </c>
      <c r="Q35">
        <v>5</v>
      </c>
    </row>
    <row r="36" spans="1:17">
      <c r="A36" s="5" t="s">
        <v>284</v>
      </c>
      <c r="B36" s="5">
        <v>2.0499999999999998</v>
      </c>
      <c r="C36" s="5"/>
      <c r="D36" s="5" t="s">
        <v>284</v>
      </c>
      <c r="E36" s="5">
        <v>3.5</v>
      </c>
      <c r="F36" s="5"/>
      <c r="G36" s="5"/>
      <c r="H36" s="5"/>
      <c r="I36" s="5"/>
      <c r="J36" s="5"/>
      <c r="K36" s="5"/>
      <c r="L36" s="5"/>
      <c r="M36" s="5" t="s">
        <v>314</v>
      </c>
      <c r="N36" s="5">
        <v>9.4499999999999993</v>
      </c>
      <c r="O36" s="5"/>
      <c r="P36" t="s">
        <v>326</v>
      </c>
      <c r="Q36">
        <v>3</v>
      </c>
    </row>
    <row r="37" spans="1:17">
      <c r="A37" s="5"/>
      <c r="B37" s="5"/>
      <c r="C37" s="5"/>
      <c r="D37" s="5"/>
      <c r="E37" s="5"/>
      <c r="F37" s="5"/>
      <c r="G37" s="5"/>
      <c r="H37" s="5"/>
      <c r="I37" s="5"/>
      <c r="J37" s="5"/>
      <c r="K37" s="5"/>
      <c r="L37" s="5"/>
      <c r="M37" s="5" t="s">
        <v>321</v>
      </c>
      <c r="N37" s="5">
        <v>9.2333333333333325</v>
      </c>
      <c r="O37" s="5"/>
      <c r="P37" s="5"/>
      <c r="Q37" s="5"/>
    </row>
    <row r="38" spans="1:17">
      <c r="A38" s="5"/>
      <c r="B38" s="5"/>
      <c r="C38" s="5"/>
      <c r="D38" s="5"/>
      <c r="E38" s="5"/>
      <c r="F38" s="5"/>
      <c r="G38" s="5"/>
      <c r="H38" s="5"/>
      <c r="I38" s="5"/>
      <c r="J38" s="5"/>
      <c r="K38" s="5"/>
      <c r="L38" s="5"/>
      <c r="M38" s="5" t="s">
        <v>312</v>
      </c>
      <c r="N38" s="5">
        <v>5.9926739926739927</v>
      </c>
      <c r="O38" s="5"/>
      <c r="P38" s="5"/>
      <c r="Q38" s="5"/>
    </row>
    <row r="39" spans="1:17">
      <c r="A39" s="5"/>
      <c r="B39" s="5"/>
      <c r="C39" s="5"/>
      <c r="D39" s="5"/>
      <c r="E39" s="5"/>
      <c r="F39" s="5"/>
      <c r="G39" s="5"/>
      <c r="H39" s="5"/>
      <c r="I39" s="5"/>
      <c r="J39" s="5"/>
      <c r="K39" s="5"/>
      <c r="L39" s="5"/>
      <c r="M39" s="5" t="s">
        <v>320</v>
      </c>
      <c r="N39" s="5">
        <v>2.4393939393939394</v>
      </c>
      <c r="O39" s="5"/>
      <c r="P39" s="5"/>
      <c r="Q39" s="5"/>
    </row>
    <row r="40" spans="1:17">
      <c r="A40" s="5"/>
      <c r="B40" s="5"/>
      <c r="C40" s="5"/>
      <c r="D40" s="5"/>
      <c r="E40" s="5"/>
      <c r="F40" s="5"/>
      <c r="G40" s="5"/>
      <c r="H40" s="5"/>
      <c r="I40" s="5"/>
      <c r="J40" s="5"/>
      <c r="K40" s="5"/>
      <c r="L40" s="5"/>
      <c r="M40" s="5" t="s">
        <v>284</v>
      </c>
      <c r="N40" s="5">
        <v>1.1166666666666667</v>
      </c>
      <c r="O40" s="5"/>
      <c r="P40" s="5"/>
      <c r="Q40" s="5"/>
    </row>
    <row r="41" spans="1:17">
      <c r="A41" s="5"/>
      <c r="B41" s="5"/>
      <c r="C41" s="5"/>
      <c r="D41" s="5"/>
      <c r="E41" s="5"/>
      <c r="F41" s="5"/>
      <c r="G41" s="5"/>
      <c r="H41" s="5"/>
      <c r="I41" s="5"/>
      <c r="J41" s="5"/>
      <c r="K41" s="5"/>
      <c r="L41" s="5"/>
      <c r="M41" s="5"/>
      <c r="N41" s="5"/>
      <c r="O41" s="5"/>
      <c r="P41" s="5"/>
      <c r="Q41" s="5"/>
    </row>
    <row r="45" spans="1:17">
      <c r="A45" t="s">
        <v>592</v>
      </c>
    </row>
    <row r="46" spans="1:17" ht="15" thickBot="1">
      <c r="A46" s="233" t="s">
        <v>594</v>
      </c>
    </row>
    <row r="47" spans="1:17" ht="15" thickBot="1">
      <c r="A47" s="210" t="s">
        <v>593</v>
      </c>
      <c r="B47" s="211" t="s">
        <v>588</v>
      </c>
      <c r="C47" s="211" t="s">
        <v>354</v>
      </c>
      <c r="D47" s="211" t="s">
        <v>589</v>
      </c>
      <c r="E47" s="212" t="s">
        <v>590</v>
      </c>
    </row>
    <row r="48" spans="1:17" ht="15" thickBot="1">
      <c r="A48" s="213">
        <v>1</v>
      </c>
      <c r="B48" s="214" t="s">
        <v>285</v>
      </c>
      <c r="C48" s="215">
        <v>0.52522880801917626</v>
      </c>
      <c r="D48" s="216" t="s">
        <v>285</v>
      </c>
      <c r="E48" s="217">
        <v>0.36742857142857149</v>
      </c>
    </row>
    <row r="49" spans="1:5" ht="15" thickBot="1">
      <c r="A49" s="218">
        <v>2</v>
      </c>
      <c r="B49" s="219" t="s">
        <v>282</v>
      </c>
      <c r="C49" s="220">
        <v>0.43046960122030942</v>
      </c>
      <c r="D49" s="221" t="s">
        <v>17</v>
      </c>
      <c r="E49" s="222">
        <v>0.33008571428571432</v>
      </c>
    </row>
    <row r="50" spans="1:5" ht="15" thickBot="1">
      <c r="A50" s="223">
        <v>3</v>
      </c>
      <c r="B50" s="224" t="s">
        <v>17</v>
      </c>
      <c r="C50" s="225">
        <v>0.42225430376988449</v>
      </c>
      <c r="D50" s="226" t="s">
        <v>282</v>
      </c>
      <c r="E50" s="227">
        <v>0.28682857142857149</v>
      </c>
    </row>
    <row r="51" spans="1:5" ht="15" thickBot="1">
      <c r="A51" s="223">
        <v>4</v>
      </c>
      <c r="B51" s="224" t="s">
        <v>283</v>
      </c>
      <c r="C51" s="225">
        <v>0.1949171932882981</v>
      </c>
      <c r="D51" s="226" t="s">
        <v>286</v>
      </c>
      <c r="E51" s="227">
        <v>0.28285714285714286</v>
      </c>
    </row>
    <row r="52" spans="1:5" ht="15" thickBot="1">
      <c r="A52" s="223">
        <v>5</v>
      </c>
      <c r="B52" s="224" t="s">
        <v>286</v>
      </c>
      <c r="C52" s="225">
        <v>0.18344410546960122</v>
      </c>
      <c r="D52" s="226" t="s">
        <v>283</v>
      </c>
      <c r="E52" s="227">
        <v>0.26588571428571423</v>
      </c>
    </row>
    <row r="53" spans="1:5" ht="15" thickBot="1">
      <c r="A53" s="228"/>
      <c r="B53" s="229" t="s">
        <v>591</v>
      </c>
      <c r="C53" s="230">
        <f>SUM(C48:C52)</f>
        <v>1.7563140117672695</v>
      </c>
      <c r="D53" s="231"/>
      <c r="E53" s="232">
        <f>SUM(E48:E52)</f>
        <v>1.5330857142857144</v>
      </c>
    </row>
    <row r="55" spans="1:5" ht="15" thickBot="1">
      <c r="A55" s="233" t="s">
        <v>595</v>
      </c>
    </row>
    <row r="56" spans="1:5" ht="15" thickBot="1">
      <c r="A56" s="210" t="s">
        <v>593</v>
      </c>
      <c r="B56" s="211" t="s">
        <v>588</v>
      </c>
      <c r="C56" s="211" t="s">
        <v>354</v>
      </c>
      <c r="D56" s="211" t="s">
        <v>589</v>
      </c>
      <c r="E56" s="212" t="s">
        <v>590</v>
      </c>
    </row>
    <row r="57" spans="1:5" ht="15" thickBot="1">
      <c r="A57" s="213">
        <v>1</v>
      </c>
      <c r="B57" s="214" t="s">
        <v>285</v>
      </c>
      <c r="C57" s="215">
        <v>0.39045626234011505</v>
      </c>
      <c r="D57" s="216" t="s">
        <v>286</v>
      </c>
      <c r="E57" s="217">
        <v>0.33302857142857145</v>
      </c>
    </row>
    <row r="58" spans="1:5" ht="15" thickBot="1">
      <c r="A58" s="218">
        <v>2</v>
      </c>
      <c r="B58" s="219" t="s">
        <v>17</v>
      </c>
      <c r="C58" s="220">
        <v>0.25249592239677221</v>
      </c>
      <c r="D58" s="221" t="s">
        <v>283</v>
      </c>
      <c r="E58" s="222">
        <v>0.32942857142857146</v>
      </c>
    </row>
    <row r="59" spans="1:5" ht="15" thickBot="1">
      <c r="A59" s="223">
        <v>3</v>
      </c>
      <c r="B59" s="224" t="s">
        <v>287</v>
      </c>
      <c r="C59" s="225">
        <v>0.2513456090651558</v>
      </c>
      <c r="D59" s="226" t="s">
        <v>287</v>
      </c>
      <c r="E59" s="227">
        <v>0.26622857142857143</v>
      </c>
    </row>
    <row r="60" spans="1:5" ht="15" thickBot="1">
      <c r="A60" s="223">
        <v>4</v>
      </c>
      <c r="B60" s="224" t="s">
        <v>286</v>
      </c>
      <c r="C60" s="225">
        <v>0.23422396772255127</v>
      </c>
      <c r="D60" s="226" t="s">
        <v>17</v>
      </c>
      <c r="E60" s="227">
        <v>0.26222857142857142</v>
      </c>
    </row>
    <row r="61" spans="1:5" ht="15" thickBot="1">
      <c r="A61" s="223">
        <v>5</v>
      </c>
      <c r="B61" s="224" t="s">
        <v>283</v>
      </c>
      <c r="C61" s="225">
        <v>0.23351575242510084</v>
      </c>
      <c r="D61" s="226" t="s">
        <v>24</v>
      </c>
      <c r="E61" s="227">
        <v>0.24</v>
      </c>
    </row>
    <row r="62" spans="1:5" ht="15" thickBot="1">
      <c r="A62" s="228"/>
      <c r="B62" s="229" t="s">
        <v>591</v>
      </c>
      <c r="C62" s="230">
        <f>SUM(C57:C61)</f>
        <v>1.3620375139496952</v>
      </c>
      <c r="D62" s="231"/>
      <c r="E62" s="232">
        <f>SUM(E57:E61)</f>
        <v>1.4309142857142858</v>
      </c>
    </row>
    <row r="64" spans="1:5" ht="15" thickBot="1">
      <c r="A64" s="238" t="s">
        <v>596</v>
      </c>
    </row>
    <row r="65" spans="1:5" ht="15" thickBot="1">
      <c r="A65" s="210" t="s">
        <v>593</v>
      </c>
      <c r="B65" s="211" t="s">
        <v>588</v>
      </c>
      <c r="C65" s="211" t="s">
        <v>354</v>
      </c>
      <c r="D65" s="211" t="s">
        <v>589</v>
      </c>
      <c r="E65" s="212" t="s">
        <v>590</v>
      </c>
    </row>
    <row r="66" spans="1:5" ht="15" thickBot="1">
      <c r="A66" s="235">
        <v>1</v>
      </c>
      <c r="B66" s="214" t="s">
        <v>374</v>
      </c>
      <c r="C66" s="215">
        <v>0.29249291784702547</v>
      </c>
      <c r="D66" s="216" t="s">
        <v>297</v>
      </c>
      <c r="E66" s="217">
        <v>0.33600000000000002</v>
      </c>
    </row>
    <row r="67" spans="1:5" ht="15" thickBot="1">
      <c r="A67" s="236">
        <v>2</v>
      </c>
      <c r="B67" s="219" t="s">
        <v>296</v>
      </c>
      <c r="C67" s="220">
        <v>0.27974504249291787</v>
      </c>
      <c r="D67" s="221" t="s">
        <v>374</v>
      </c>
      <c r="E67" s="222">
        <v>0.25</v>
      </c>
    </row>
    <row r="68" spans="1:5" ht="15" thickBot="1">
      <c r="A68" s="237">
        <v>3</v>
      </c>
      <c r="B68" s="224" t="s">
        <v>297</v>
      </c>
      <c r="C68" s="225">
        <v>0.26628895184135976</v>
      </c>
      <c r="D68" s="226" t="s">
        <v>296</v>
      </c>
      <c r="E68" s="227">
        <v>0.19</v>
      </c>
    </row>
    <row r="69" spans="1:5" ht="15" thickBot="1">
      <c r="A69" s="237">
        <v>4</v>
      </c>
      <c r="B69" s="224" t="s">
        <v>298</v>
      </c>
      <c r="C69" s="225">
        <v>0.26558073654390935</v>
      </c>
      <c r="D69" s="226" t="s">
        <v>298</v>
      </c>
      <c r="E69" s="227">
        <v>0.16200000000000001</v>
      </c>
    </row>
    <row r="70" spans="1:5" ht="15" thickBot="1">
      <c r="A70" s="237">
        <v>5</v>
      </c>
      <c r="B70" s="224" t="s">
        <v>293</v>
      </c>
      <c r="C70" s="225">
        <v>0.15864022662889518</v>
      </c>
      <c r="D70" s="226" t="s">
        <v>294</v>
      </c>
      <c r="E70" s="227">
        <v>0.14599999999999999</v>
      </c>
    </row>
    <row r="71" spans="1:5" ht="15" thickBot="1">
      <c r="A71" s="228"/>
      <c r="B71" s="229" t="s">
        <v>591</v>
      </c>
      <c r="C71" s="230">
        <f>SUM(C66:C70)</f>
        <v>1.2627478753541075</v>
      </c>
      <c r="D71" s="231"/>
      <c r="E71" s="232">
        <f>SUM(E66:E70)</f>
        <v>1.0840000000000001</v>
      </c>
    </row>
    <row r="73" spans="1:5" ht="15" thickBot="1">
      <c r="A73" s="238" t="s">
        <v>597</v>
      </c>
    </row>
    <row r="74" spans="1:5" ht="15" thickBot="1">
      <c r="A74" s="210" t="s">
        <v>593</v>
      </c>
      <c r="B74" s="211" t="s">
        <v>588</v>
      </c>
      <c r="C74" s="211" t="s">
        <v>354</v>
      </c>
      <c r="D74" s="211" t="s">
        <v>589</v>
      </c>
      <c r="E74" s="212" t="s">
        <v>590</v>
      </c>
    </row>
    <row r="75" spans="1:5" ht="15" thickBot="1">
      <c r="A75" s="213">
        <v>1</v>
      </c>
      <c r="B75" s="214" t="s">
        <v>303</v>
      </c>
      <c r="C75" s="215">
        <v>0.5271684877917171</v>
      </c>
      <c r="D75" s="216" t="s">
        <v>299</v>
      </c>
      <c r="E75" s="217">
        <v>0.35702857142857147</v>
      </c>
    </row>
    <row r="76" spans="1:5" ht="15" thickBot="1">
      <c r="A76" s="218">
        <v>2</v>
      </c>
      <c r="B76" s="219" t="s">
        <v>301</v>
      </c>
      <c r="C76" s="220">
        <v>0.33826386078510723</v>
      </c>
      <c r="D76" s="221" t="s">
        <v>303</v>
      </c>
      <c r="E76" s="222">
        <v>0.3530571428571429</v>
      </c>
    </row>
    <row r="77" spans="1:5" ht="15" thickBot="1">
      <c r="A77" s="223">
        <v>3</v>
      </c>
      <c r="B77" s="224" t="s">
        <v>300</v>
      </c>
      <c r="C77" s="225">
        <v>0.33138405503844598</v>
      </c>
      <c r="D77" s="226" t="s">
        <v>301</v>
      </c>
      <c r="E77" s="227">
        <v>0.29825714285714289</v>
      </c>
    </row>
    <row r="78" spans="1:5" ht="15" thickBot="1">
      <c r="A78" s="223">
        <v>4</v>
      </c>
      <c r="B78" s="224" t="s">
        <v>299</v>
      </c>
      <c r="C78" s="225">
        <v>0.22392418723863486</v>
      </c>
      <c r="D78" s="226" t="s">
        <v>300</v>
      </c>
      <c r="E78" s="227">
        <v>0.23365714285714284</v>
      </c>
    </row>
    <row r="79" spans="1:5" ht="15" thickBot="1">
      <c r="A79" s="223">
        <v>5</v>
      </c>
      <c r="B79" s="224" t="s">
        <v>306</v>
      </c>
      <c r="C79" s="225">
        <v>0.21385404019964929</v>
      </c>
      <c r="D79" s="226" t="s">
        <v>304</v>
      </c>
      <c r="E79" s="227">
        <v>0.22259999999999999</v>
      </c>
    </row>
    <row r="80" spans="1:5" ht="15" thickBot="1">
      <c r="A80" s="228"/>
      <c r="B80" s="229" t="s">
        <v>591</v>
      </c>
      <c r="C80" s="230">
        <f>SUM(C75:C79)</f>
        <v>1.6345946310535544</v>
      </c>
      <c r="D80" s="231"/>
      <c r="E80" s="232">
        <f>SUM(E75:E79)</f>
        <v>1.4646000000000001</v>
      </c>
    </row>
    <row r="81" spans="1:5" ht="15.5">
      <c r="A81" s="234"/>
    </row>
    <row r="82" spans="1:5" ht="16" thickBot="1">
      <c r="A82" s="239" t="s">
        <v>598</v>
      </c>
    </row>
    <row r="83" spans="1:5" ht="15" thickBot="1">
      <c r="A83" s="210" t="s">
        <v>593</v>
      </c>
      <c r="B83" s="211" t="s">
        <v>588</v>
      </c>
      <c r="C83" s="211" t="s">
        <v>354</v>
      </c>
      <c r="D83" s="211" t="s">
        <v>589</v>
      </c>
      <c r="E83" s="212" t="s">
        <v>590</v>
      </c>
    </row>
    <row r="84" spans="1:5" ht="15" thickBot="1">
      <c r="A84" s="213">
        <v>1</v>
      </c>
      <c r="B84" s="214" t="s">
        <v>319</v>
      </c>
      <c r="C84" s="215">
        <v>0.40477956054943209</v>
      </c>
      <c r="D84" s="216" t="s">
        <v>319</v>
      </c>
      <c r="E84" s="217">
        <v>0.26236130536130536</v>
      </c>
    </row>
    <row r="85" spans="1:5" ht="15" thickBot="1">
      <c r="A85" s="218">
        <v>2</v>
      </c>
      <c r="B85" s="219" t="s">
        <v>17</v>
      </c>
      <c r="C85" s="220">
        <v>0.25052015140333755</v>
      </c>
      <c r="D85" s="221" t="s">
        <v>310</v>
      </c>
      <c r="E85" s="222">
        <v>0.25302797202797206</v>
      </c>
    </row>
    <row r="86" spans="1:5" ht="15" thickBot="1">
      <c r="A86" s="223">
        <v>3</v>
      </c>
      <c r="B86" s="224" t="s">
        <v>313</v>
      </c>
      <c r="C86" s="225">
        <v>0.22967501448171337</v>
      </c>
      <c r="D86" s="226" t="s">
        <v>17</v>
      </c>
      <c r="E86" s="227">
        <v>0.21532321012321015</v>
      </c>
    </row>
    <row r="87" spans="1:5" ht="15" thickBot="1">
      <c r="A87" s="223">
        <v>4</v>
      </c>
      <c r="B87" s="224" t="s">
        <v>53</v>
      </c>
      <c r="C87" s="225">
        <v>0.19112786757762598</v>
      </c>
      <c r="D87" s="226" t="s">
        <v>54</v>
      </c>
      <c r="E87" s="227">
        <v>0.21404615384615386</v>
      </c>
    </row>
    <row r="88" spans="1:5" ht="15" thickBot="1">
      <c r="A88" s="223">
        <v>5</v>
      </c>
      <c r="B88" s="224" t="s">
        <v>316</v>
      </c>
      <c r="C88" s="225">
        <v>0.17648804564318649</v>
      </c>
      <c r="D88" s="226" t="s">
        <v>317</v>
      </c>
      <c r="E88" s="227">
        <v>0.2063898767898768</v>
      </c>
    </row>
    <row r="89" spans="1:5" ht="15" thickBot="1">
      <c r="A89" s="228"/>
      <c r="B89" s="229" t="s">
        <v>591</v>
      </c>
      <c r="C89" s="230">
        <f>SUM(C84:C88)</f>
        <v>1.2525906396552955</v>
      </c>
      <c r="D89" s="231"/>
      <c r="E89" s="232">
        <f>SUM(E84:E88)</f>
        <v>1.1511485181485182</v>
      </c>
    </row>
    <row r="90" spans="1:5" ht="15.5">
      <c r="A90" s="234"/>
    </row>
    <row r="91" spans="1:5" ht="16" thickBot="1">
      <c r="A91" s="240" t="s">
        <v>599</v>
      </c>
    </row>
    <row r="92" spans="1:5" ht="15" thickBot="1">
      <c r="A92" s="210" t="s">
        <v>593</v>
      </c>
      <c r="B92" s="211" t="s">
        <v>588</v>
      </c>
      <c r="C92" s="211" t="s">
        <v>354</v>
      </c>
      <c r="D92" s="211" t="s">
        <v>589</v>
      </c>
      <c r="E92" s="212" t="s">
        <v>590</v>
      </c>
    </row>
    <row r="93" spans="1:5" ht="15" thickBot="1">
      <c r="A93" s="213">
        <v>1</v>
      </c>
      <c r="B93" s="214" t="s">
        <v>323</v>
      </c>
      <c r="C93" s="215">
        <v>0.79036827195467418</v>
      </c>
      <c r="D93" s="216" t="s">
        <v>323</v>
      </c>
      <c r="E93" s="217">
        <v>0.752</v>
      </c>
    </row>
    <row r="94" spans="1:5" ht="15" thickBot="1">
      <c r="A94" s="218">
        <v>2</v>
      </c>
      <c r="B94" s="219" t="s">
        <v>66</v>
      </c>
      <c r="C94" s="220">
        <v>0.49291784702549574</v>
      </c>
      <c r="D94" s="221" t="s">
        <v>75</v>
      </c>
      <c r="E94" s="222">
        <v>0.40799999999999997</v>
      </c>
    </row>
    <row r="95" spans="1:5" ht="15" thickBot="1">
      <c r="A95" s="223">
        <v>3</v>
      </c>
      <c r="B95" s="224" t="s">
        <v>75</v>
      </c>
      <c r="C95" s="225">
        <v>0.35410764872521244</v>
      </c>
      <c r="D95" s="226" t="s">
        <v>324</v>
      </c>
      <c r="E95" s="227">
        <v>0.28000000000000003</v>
      </c>
    </row>
    <row r="96" spans="1:5" ht="15" thickBot="1">
      <c r="A96" s="223">
        <v>4</v>
      </c>
      <c r="B96" s="224" t="s">
        <v>73</v>
      </c>
      <c r="C96" s="225">
        <v>0.20396600566572237</v>
      </c>
      <c r="D96" s="226" t="s">
        <v>69</v>
      </c>
      <c r="E96" s="227">
        <v>0.192</v>
      </c>
    </row>
    <row r="97" spans="1:5" ht="15" thickBot="1">
      <c r="A97" s="223">
        <v>5</v>
      </c>
      <c r="B97" s="224" t="s">
        <v>71</v>
      </c>
      <c r="C97" s="225">
        <v>0.18980169971671387</v>
      </c>
      <c r="D97" s="226" t="s">
        <v>70</v>
      </c>
      <c r="E97" s="227">
        <v>0.128</v>
      </c>
    </row>
    <row r="98" spans="1:5" ht="15" thickBot="1">
      <c r="A98" s="228"/>
      <c r="B98" s="229" t="s">
        <v>591</v>
      </c>
      <c r="C98" s="230">
        <f>SUM(C93:C97)</f>
        <v>2.0311614730878187</v>
      </c>
      <c r="D98" s="231"/>
      <c r="E98" s="232">
        <f>SUM(E93:E97)</f>
        <v>1.7599999999999998</v>
      </c>
    </row>
  </sheetData>
  <sortState ref="P24:Q36">
    <sortCondition descending="1" ref="Q24:Q36"/>
  </sortState>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item1.xml>�� 
</file>

<file path=customXml/item2.xml>�� 
</file>

<file path=customXml/item3.xml>�� 
</file>

<file path=customXml/item4.xml>�� 
</file>

<file path=customXml/item5.xml>�� 
</file>

<file path=customXml/item6.xml>��         
</file>

<file path=customXml/item7.xml>�� 
</file>

<file path=customXml/item8.xml>��                                                                                                                                                                                 
</file>

<file path=customXml/item9.xml>�� 
</file>

<file path=customXml/item10.xml>�� 
</file>

<file path=customXml/item11.xml>��                 
</file>

<file path=customXml/item12.xml>�� 
</file>

<file path=customXml/item13.xml>��             
</file>

<file path=customXml/item14.xml>�� 
</file>

<file path=customXml/item15.xml>�� 
</file>

<file path=customXml/item16.xml>�� 
</file>

<file path=customXml/item17.xml>��       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                        
</file>

<file path=customXml/item30.xml>�� 
</file>

<file path=customXml/item31.xml>��                 
</file>

<file path=customXml/item32.xml>��                                                                                                 
</file>

<file path=customXml/item33.xml>�� 
</file>

<file path=customXml/item34.xml>�� 
</file>

<file path=customXml/item35.xml>��           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Props1.xml><?xml version="1.0" encoding="utf-8"?>
<ds:datastoreItem xmlns:ds="http://schemas.openxmlformats.org/officeDocument/2006/customXml" ds:itemID="{F7E407E0-DACF-4E57-AE49-68E5144E35D9}">
  <ds:schemaRefs/>
</ds:datastoreItem>
</file>

<file path=customXml/itemProps2.xml><?xml version="1.0" encoding="utf-8"?>
<ds:datastoreItem xmlns:ds="http://schemas.openxmlformats.org/officeDocument/2006/customXml" ds:itemID="{5CDA272A-E330-4CB6-BB22-3A4B9597C68F}">
  <ds:schemaRefs/>
</ds:datastoreItem>
</file>

<file path=customXml/itemProps3.xml><?xml version="1.0" encoding="utf-8"?>
<ds:datastoreItem xmlns:ds="http://schemas.openxmlformats.org/officeDocument/2006/customXml" ds:itemID="{EE0525AA-BAF7-40C8-99E7-8FF67533BB61}">
  <ds:schemaRefs/>
</ds:datastoreItem>
</file>

<file path=customXml/itemProps4.xml><?xml version="1.0" encoding="utf-8"?>
<ds:datastoreItem xmlns:ds="http://schemas.openxmlformats.org/officeDocument/2006/customXml" ds:itemID="{632DE3F8-38C3-4B69-BC42-0358F45665BC}">
  <ds:schemaRefs/>
</ds:datastoreItem>
</file>

<file path=customXml/itemProps5.xml><?xml version="1.0" encoding="utf-8"?>
<ds:datastoreItem xmlns:ds="http://schemas.openxmlformats.org/officeDocument/2006/customXml" ds:itemID="{C72D31A2-68AF-4BB5-B44C-AE860F112BD2}">
  <ds:schemaRefs/>
</ds:datastoreItem>
</file>

<file path=customXml/itemProps6.xml><?xml version="1.0" encoding="utf-8"?>
<ds:datastoreItem xmlns:ds="http://schemas.openxmlformats.org/officeDocument/2006/customXml" ds:itemID="{D15A3CC7-3466-4CA8-B73D-550F270959FD}">
  <ds:schemaRefs/>
</ds:datastoreItem>
</file>

<file path=customXml/itemProps7.xml><?xml version="1.0" encoding="utf-8"?>
<ds:datastoreItem xmlns:ds="http://schemas.openxmlformats.org/officeDocument/2006/customXml" ds:itemID="{9E621ED9-7D08-4660-BCC1-FFAEDE9AE6ED}">
  <ds:schemaRefs/>
</ds:datastoreItem>
</file>

<file path=customXml/itemProps8.xml><?xml version="1.0" encoding="utf-8"?>
<ds:datastoreItem xmlns:ds="http://schemas.openxmlformats.org/officeDocument/2006/customXml" ds:itemID="{48BEB900-7323-4D1E-B43D-5832E945D493}">
  <ds:schemaRefs/>
</ds:datastoreItem>
</file>

<file path=customXml/itemProps9.xml><?xml version="1.0" encoding="utf-8"?>
<ds:datastoreItem xmlns:ds="http://schemas.openxmlformats.org/officeDocument/2006/customXml" ds:itemID="{21BE61A8-1D62-47B8-9C77-5C628F3DEB6B}">
  <ds:schemaRefs/>
</ds:datastoreItem>
</file>

<file path=customXml/itemProps10.xml><?xml version="1.0" encoding="utf-8"?>
<ds:datastoreItem xmlns:ds="http://schemas.openxmlformats.org/officeDocument/2006/customXml" ds:itemID="{63622588-3F12-44C7-BE84-333C12C20B5A}">
  <ds:schemaRefs/>
</ds:datastoreItem>
</file>

<file path=customXml/itemProps11.xml><?xml version="1.0" encoding="utf-8"?>
<ds:datastoreItem xmlns:ds="http://schemas.openxmlformats.org/officeDocument/2006/customXml" ds:itemID="{1B6EB4BC-89AD-48C2-B1CA-CD1B1CFC3786}">
  <ds:schemaRefs/>
</ds:datastoreItem>
</file>

<file path=customXml/itemProps12.xml><?xml version="1.0" encoding="utf-8"?>
<ds:datastoreItem xmlns:ds="http://schemas.openxmlformats.org/officeDocument/2006/customXml" ds:itemID="{2F174709-F900-43D9-B9B3-E579CBDEBD7A}">
  <ds:schemaRefs/>
</ds:datastoreItem>
</file>

<file path=customXml/itemProps13.xml><?xml version="1.0" encoding="utf-8"?>
<ds:datastoreItem xmlns:ds="http://schemas.openxmlformats.org/officeDocument/2006/customXml" ds:itemID="{21C17B21-0BEB-4D00-8200-13BB4CCD7BFB}">
  <ds:schemaRefs/>
</ds:datastoreItem>
</file>

<file path=customXml/itemProps14.xml><?xml version="1.0" encoding="utf-8"?>
<ds:datastoreItem xmlns:ds="http://schemas.openxmlformats.org/officeDocument/2006/customXml" ds:itemID="{0CFBD63C-98FB-4497-99FE-0554803AF146}">
  <ds:schemaRefs/>
</ds:datastoreItem>
</file>

<file path=customXml/itemProps15.xml><?xml version="1.0" encoding="utf-8"?>
<ds:datastoreItem xmlns:ds="http://schemas.openxmlformats.org/officeDocument/2006/customXml" ds:itemID="{3C563F60-BFAB-4F19-9E30-645755E1E814}">
  <ds:schemaRefs/>
</ds:datastoreItem>
</file>

<file path=customXml/itemProps16.xml><?xml version="1.0" encoding="utf-8"?>
<ds:datastoreItem xmlns:ds="http://schemas.openxmlformats.org/officeDocument/2006/customXml" ds:itemID="{51CA23F0-724F-4DB9-ADD5-EC19B1DA0EDF}">
  <ds:schemaRefs/>
</ds:datastoreItem>
</file>

<file path=customXml/itemProps17.xml><?xml version="1.0" encoding="utf-8"?>
<ds:datastoreItem xmlns:ds="http://schemas.openxmlformats.org/officeDocument/2006/customXml" ds:itemID="{206D8EE6-B7C0-4E2D-8A07-F6B6B20F34A8}">
  <ds:schemaRefs/>
</ds:datastoreItem>
</file>

<file path=customXml/itemProps18.xml><?xml version="1.0" encoding="utf-8"?>
<ds:datastoreItem xmlns:ds="http://schemas.openxmlformats.org/officeDocument/2006/customXml" ds:itemID="{CDE48809-2CCD-4E80-B498-B57EF7634786}">
  <ds:schemaRefs/>
</ds:datastoreItem>
</file>

<file path=customXml/itemProps19.xml><?xml version="1.0" encoding="utf-8"?>
<ds:datastoreItem xmlns:ds="http://schemas.openxmlformats.org/officeDocument/2006/customXml" ds:itemID="{3BEE58EF-CC9F-483C-9C8A-AAC8E4FDD524}">
  <ds:schemaRefs/>
</ds:datastoreItem>
</file>

<file path=customXml/itemProps20.xml><?xml version="1.0" encoding="utf-8"?>
<ds:datastoreItem xmlns:ds="http://schemas.openxmlformats.org/officeDocument/2006/customXml" ds:itemID="{C95423D2-78FE-4A7D-82C1-056609B76A74}">
  <ds:schemaRefs/>
</ds:datastoreItem>
</file>

<file path=customXml/itemProps21.xml><?xml version="1.0" encoding="utf-8"?>
<ds:datastoreItem xmlns:ds="http://schemas.openxmlformats.org/officeDocument/2006/customXml" ds:itemID="{7A61A29F-CC8F-4130-8599-1200A279BB6F}">
  <ds:schemaRefs/>
</ds:datastoreItem>
</file>

<file path=customXml/itemProps22.xml><?xml version="1.0" encoding="utf-8"?>
<ds:datastoreItem xmlns:ds="http://schemas.openxmlformats.org/officeDocument/2006/customXml" ds:itemID="{F3DE8339-5353-455D-B28C-EB7D61D6F92F}">
  <ds:schemaRefs/>
</ds:datastoreItem>
</file>

<file path=customXml/itemProps23.xml><?xml version="1.0" encoding="utf-8"?>
<ds:datastoreItem xmlns:ds="http://schemas.openxmlformats.org/officeDocument/2006/customXml" ds:itemID="{8711B206-DBDC-4DA1-9F53-4955FA1F7300}">
  <ds:schemaRefs/>
</ds:datastoreItem>
</file>

<file path=customXml/itemProps24.xml><?xml version="1.0" encoding="utf-8"?>
<ds:datastoreItem xmlns:ds="http://schemas.openxmlformats.org/officeDocument/2006/customXml" ds:itemID="{1460F6FA-8CC1-4B9E-B699-FB9F75DF8953}">
  <ds:schemaRefs/>
</ds:datastoreItem>
</file>

<file path=customXml/itemProps25.xml><?xml version="1.0" encoding="utf-8"?>
<ds:datastoreItem xmlns:ds="http://schemas.openxmlformats.org/officeDocument/2006/customXml" ds:itemID="{0114EE08-ADE8-4D80-B4B7-6A9FB6F2BC07}">
  <ds:schemaRefs/>
</ds:datastoreItem>
</file>

<file path=customXml/itemProps26.xml><?xml version="1.0" encoding="utf-8"?>
<ds:datastoreItem xmlns:ds="http://schemas.openxmlformats.org/officeDocument/2006/customXml" ds:itemID="{B3B553AA-956D-4C9B-A3BA-6EF7B3023BC6}">
  <ds:schemaRefs/>
</ds:datastoreItem>
</file>

<file path=customXml/itemProps27.xml><?xml version="1.0" encoding="utf-8"?>
<ds:datastoreItem xmlns:ds="http://schemas.openxmlformats.org/officeDocument/2006/customXml" ds:itemID="{3B0B3C2A-73DB-4049-AC7E-D948298E6E66}">
  <ds:schemaRefs/>
</ds:datastoreItem>
</file>

<file path=customXml/itemProps28.xml><?xml version="1.0" encoding="utf-8"?>
<ds:datastoreItem xmlns:ds="http://schemas.openxmlformats.org/officeDocument/2006/customXml" ds:itemID="{634E8DB9-4E2F-4262-BD96-9983EAED1AEF}">
  <ds:schemaRefs/>
</ds:datastoreItem>
</file>

<file path=customXml/itemProps29.xml><?xml version="1.0" encoding="utf-8"?>
<ds:datastoreItem xmlns:ds="http://schemas.openxmlformats.org/officeDocument/2006/customXml" ds:itemID="{129CCA27-8786-4DEC-8484-3C32AE96FAF0}">
  <ds:schemaRefs/>
</ds:datastoreItem>
</file>

<file path=customXml/itemProps30.xml><?xml version="1.0" encoding="utf-8"?>
<ds:datastoreItem xmlns:ds="http://schemas.openxmlformats.org/officeDocument/2006/customXml" ds:itemID="{E7DF44AC-C9C8-43DE-B8CF-BDD4BF8916C3}">
  <ds:schemaRefs/>
</ds:datastoreItem>
</file>

<file path=customXml/itemProps31.xml><?xml version="1.0" encoding="utf-8"?>
<ds:datastoreItem xmlns:ds="http://schemas.openxmlformats.org/officeDocument/2006/customXml" ds:itemID="{420634B4-B80E-4BFE-AD9E-1CF006EBA6B8}">
  <ds:schemaRefs/>
</ds:datastoreItem>
</file>

<file path=customXml/itemProps32.xml><?xml version="1.0" encoding="utf-8"?>
<ds:datastoreItem xmlns:ds="http://schemas.openxmlformats.org/officeDocument/2006/customXml" ds:itemID="{2D688000-6EC3-42CF-8FD6-350275021363}">
  <ds:schemaRefs/>
</ds:datastoreItem>
</file>

<file path=customXml/itemProps33.xml><?xml version="1.0" encoding="utf-8"?>
<ds:datastoreItem xmlns:ds="http://schemas.openxmlformats.org/officeDocument/2006/customXml" ds:itemID="{DBEA8A39-1070-48AD-A0AC-20EC61F6043B}">
  <ds:schemaRefs/>
</ds:datastoreItem>
</file>

<file path=customXml/itemProps34.xml><?xml version="1.0" encoding="utf-8"?>
<ds:datastoreItem xmlns:ds="http://schemas.openxmlformats.org/officeDocument/2006/customXml" ds:itemID="{478F1D29-DD78-4AF4-9AD9-331681780B6C}">
  <ds:schemaRefs/>
</ds:datastoreItem>
</file>

<file path=customXml/itemProps35.xml><?xml version="1.0" encoding="utf-8"?>
<ds:datastoreItem xmlns:ds="http://schemas.openxmlformats.org/officeDocument/2006/customXml" ds:itemID="{81004B2A-99B6-459B-90F1-2DD6ED267252}">
  <ds:schemaRefs/>
</ds:datastoreItem>
</file>

<file path=customXml/itemProps36.xml><?xml version="1.0" encoding="utf-8"?>
<ds:datastoreItem xmlns:ds="http://schemas.openxmlformats.org/officeDocument/2006/customXml" ds:itemID="{8A6AE806-9200-499C-B0EA-7987CFA65E77}">
  <ds:schemaRefs/>
</ds:datastoreItem>
</file>

<file path=customXml/itemProps37.xml><?xml version="1.0" encoding="utf-8"?>
<ds:datastoreItem xmlns:ds="http://schemas.openxmlformats.org/officeDocument/2006/customXml" ds:itemID="{0C3ADA4F-8754-47BF-A529-3BF065D69DC6}">
  <ds:schemaRefs/>
</ds:datastoreItem>
</file>

<file path=customXml/itemProps38.xml><?xml version="1.0" encoding="utf-8"?>
<ds:datastoreItem xmlns:ds="http://schemas.openxmlformats.org/officeDocument/2006/customXml" ds:itemID="{CAC28B53-6318-492B-A822-A92666833C32}">
  <ds:schemaRefs/>
</ds:datastoreItem>
</file>

<file path=customXml/itemProps39.xml><?xml version="1.0" encoding="utf-8"?>
<ds:datastoreItem xmlns:ds="http://schemas.openxmlformats.org/officeDocument/2006/customXml" ds:itemID="{9AA1C8A1-3ACF-4907-809E-1985D30BD32C}">
  <ds:schemaRefs/>
</ds:datastoreItem>
</file>

<file path=customXml/itemProps40.xml><?xml version="1.0" encoding="utf-8"?>
<ds:datastoreItem xmlns:ds="http://schemas.openxmlformats.org/officeDocument/2006/customXml" ds:itemID="{0A442D16-BE40-4745-B0C3-70F38F7A411A}">
  <ds:schemaRefs/>
</ds:datastoreItem>
</file>

<file path=customXml/itemProps41.xml><?xml version="1.0" encoding="utf-8"?>
<ds:datastoreItem xmlns:ds="http://schemas.openxmlformats.org/officeDocument/2006/customXml" ds:itemID="{0DBBFEA6-50A8-4207-B2E7-EA4AD60CAC24}">
  <ds:schemaRefs/>
</ds:datastoreItem>
</file>

<file path=customXml/itemProps42.xml><?xml version="1.0" encoding="utf-8"?>
<ds:datastoreItem xmlns:ds="http://schemas.openxmlformats.org/officeDocument/2006/customXml" ds:itemID="{17BD5D28-9C5E-4870-9943-BE269C7E02CF}">
  <ds:schemaRefs/>
</ds:datastoreItem>
</file>

<file path=customXml/itemProps43.xml><?xml version="1.0" encoding="utf-8"?>
<ds:datastoreItem xmlns:ds="http://schemas.openxmlformats.org/officeDocument/2006/customXml" ds:itemID="{8CB075F5-089F-476B-955F-E5D72C108148}">
  <ds:schemaRefs/>
</ds:datastoreItem>
</file>

<file path=customXml/itemProps44.xml><?xml version="1.0" encoding="utf-8"?>
<ds:datastoreItem xmlns:ds="http://schemas.openxmlformats.org/officeDocument/2006/customXml" ds:itemID="{72A61EE3-053A-4527-8D94-27FBB12A4EAB}">
  <ds:schemaRefs/>
</ds:datastoreItem>
</file>

<file path=customXml/itemProps45.xml><?xml version="1.0" encoding="utf-8"?>
<ds:datastoreItem xmlns:ds="http://schemas.openxmlformats.org/officeDocument/2006/customXml" ds:itemID="{C9370581-E48E-4F18-8103-7307E59A9383}">
  <ds:schemaRefs/>
</ds:datastoreItem>
</file>

<file path=customXml/itemProps46.xml><?xml version="1.0" encoding="utf-8"?>
<ds:datastoreItem xmlns:ds="http://schemas.openxmlformats.org/officeDocument/2006/customXml" ds:itemID="{D4A57EEF-649B-4BB6-BFE1-6652A77E5CFC}">
  <ds:schemaRefs/>
</ds:datastoreItem>
</file>

<file path=customXml/itemProps47.xml><?xml version="1.0" encoding="utf-8"?>
<ds:datastoreItem xmlns:ds="http://schemas.openxmlformats.org/officeDocument/2006/customXml" ds:itemID="{1C8AB41C-BFF4-40E5-9514-AFC6BB101465}">
  <ds:schemaRefs/>
</ds:datastoreItem>
</file>

<file path=customXml/itemProps48.xml><?xml version="1.0" encoding="utf-8"?>
<ds:datastoreItem xmlns:ds="http://schemas.openxmlformats.org/officeDocument/2006/customXml" ds:itemID="{0DB2342E-E39D-4430-A774-D0C85E65F0F3}">
  <ds:schemaRefs/>
</ds:datastoreItem>
</file>

<file path=customXml/itemProps49.xml><?xml version="1.0" encoding="utf-8"?>
<ds:datastoreItem xmlns:ds="http://schemas.openxmlformats.org/officeDocument/2006/customXml" ds:itemID="{B446F56E-3695-4092-BF42-98E054EA4943}">
  <ds:schemaRefs/>
</ds:datastoreItem>
</file>

<file path=customXml/itemProps50.xml><?xml version="1.0" encoding="utf-8"?>
<ds:datastoreItem xmlns:ds="http://schemas.openxmlformats.org/officeDocument/2006/customXml" ds:itemID="{9715A5DD-FA50-4D5E-8DF4-0C453B716A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All Data</vt:lpstr>
      <vt:lpstr>Q1</vt:lpstr>
      <vt:lpstr>Q2</vt:lpstr>
      <vt:lpstr>Q3</vt:lpstr>
      <vt:lpstr>Q4</vt:lpstr>
      <vt:lpstr>Q5</vt:lpstr>
      <vt:lpstr>Q6</vt:lpstr>
      <vt:lpstr>General</vt:lpstr>
      <vt:lpstr>Nassau </vt:lpstr>
      <vt:lpstr>Suffolk </vt:lpstr>
      <vt:lpstr>Population Information</vt:lpstr>
      <vt:lpstr>PT Q1</vt:lpstr>
      <vt:lpstr>PT Q2</vt:lpstr>
      <vt:lpstr>PT Q3</vt:lpstr>
      <vt:lpstr>PT Q4</vt:lpstr>
      <vt:lpstr>PT Q5</vt:lpstr>
      <vt:lpstr>PT Q6</vt:lpstr>
      <vt:lpstr>Nassau Rank</vt:lpstr>
      <vt:lpstr>Suffolk Rank</vt:lpstr>
      <vt:lpstr>PASTE TO GET RANKS</vt:lpstr>
    </vt:vector>
  </TitlesOfParts>
  <Company>Healthcare Association of New York State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Melissa Bauer</cp:lastModifiedBy>
  <cp:lastPrinted>2017-08-07T18:45:48Z</cp:lastPrinted>
  <dcterms:created xsi:type="dcterms:W3CDTF">2017-08-01T19:04:14Z</dcterms:created>
  <dcterms:modified xsi:type="dcterms:W3CDTF">2023-02-03T17:10:19Z</dcterms:modified>
</cp:coreProperties>
</file>